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3"/>
  <workbookPr showInkAnnotation="0" autoCompressPictures="0"/>
  <mc:AlternateContent xmlns:mc="http://schemas.openxmlformats.org/markup-compatibility/2006">
    <mc:Choice Requires="x15">
      <x15ac:absPath xmlns:x15ac="http://schemas.microsoft.com/office/spreadsheetml/2010/11/ac" url="/Users/sarah/Dropbox/Princeton/MLBS - DARPA project/MLBS 2018 to share/Copies of master data files for use/"/>
    </mc:Choice>
  </mc:AlternateContent>
  <xr:revisionPtr revIDLastSave="0" documentId="13_ncr:1_{2EA0722D-2FED-E741-93C5-52705CECD680}" xr6:coauthVersionLast="43" xr6:coauthVersionMax="43" xr10:uidLastSave="{00000000-0000-0000-0000-000000000000}"/>
  <bookViews>
    <workbookView xWindow="80" yWindow="460" windowWidth="36320" windowHeight="28340" tabRatio="500" xr2:uid="{00000000-000D-0000-FFFF-FFFF00000000}"/>
  </bookViews>
  <sheets>
    <sheet name="2016-2017 master" sheetId="1" r:id="rId1"/>
    <sheet name="explinations" sheetId="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R1276" i="1" l="1"/>
  <c r="Q1276" i="1" s="1"/>
  <c r="R1277" i="1"/>
  <c r="Q1277" i="1" s="1"/>
  <c r="R1278" i="1"/>
  <c r="Q1278" i="1" s="1"/>
  <c r="R1279" i="1"/>
  <c r="Q1279" i="1" s="1"/>
  <c r="R1280" i="1"/>
  <c r="Q1280" i="1" s="1"/>
  <c r="R1281" i="1"/>
  <c r="Q1281" i="1" s="1"/>
  <c r="R1282" i="1"/>
  <c r="Q1282" i="1" s="1"/>
  <c r="R1283" i="1"/>
  <c r="Q1283" i="1" s="1"/>
  <c r="R1284" i="1"/>
  <c r="Q1284" i="1" s="1"/>
  <c r="R1285" i="1"/>
  <c r="Q1285" i="1" s="1"/>
  <c r="R1286" i="1"/>
  <c r="Q1286" i="1" s="1"/>
  <c r="R1287" i="1"/>
  <c r="Q1287" i="1" s="1"/>
  <c r="R1288" i="1"/>
  <c r="Q1288" i="1" s="1"/>
  <c r="R1289" i="1"/>
  <c r="Q1289" i="1" s="1"/>
  <c r="R1290" i="1"/>
  <c r="Q1290" i="1" s="1"/>
  <c r="R1291" i="1"/>
  <c r="Q1291" i="1" s="1"/>
  <c r="R1292" i="1"/>
  <c r="Q1292" i="1" s="1"/>
  <c r="R1293" i="1"/>
  <c r="Q1293" i="1" s="1"/>
  <c r="R1294" i="1"/>
  <c r="Q1294" i="1" s="1"/>
  <c r="R1295" i="1"/>
  <c r="Q1295" i="1" s="1"/>
  <c r="R1296" i="1"/>
  <c r="Q1296" i="1" s="1"/>
  <c r="R1297" i="1"/>
  <c r="Q1297" i="1" s="1"/>
  <c r="R1298" i="1"/>
  <c r="Q1298" i="1" s="1"/>
  <c r="R1299" i="1"/>
  <c r="Q1299" i="1" s="1"/>
  <c r="R1300" i="1"/>
  <c r="Q1300" i="1" s="1"/>
  <c r="R1301" i="1"/>
  <c r="Q1301" i="1" s="1"/>
  <c r="R1302" i="1"/>
  <c r="Q1302" i="1" s="1"/>
  <c r="R1303" i="1"/>
  <c r="Q1303" i="1" s="1"/>
  <c r="R1304" i="1"/>
  <c r="Q1304" i="1" s="1"/>
  <c r="R1305" i="1"/>
  <c r="Q1305" i="1" s="1"/>
  <c r="R1306" i="1"/>
  <c r="Q1306" i="1" s="1"/>
  <c r="R1307" i="1"/>
  <c r="Q1307" i="1" s="1"/>
  <c r="R1308" i="1"/>
  <c r="Q1308" i="1" s="1"/>
  <c r="R1309" i="1"/>
  <c r="Q1309" i="1" s="1"/>
  <c r="R1310" i="1"/>
  <c r="Q1310" i="1" s="1"/>
  <c r="R1311" i="1"/>
  <c r="Q1311" i="1" s="1"/>
  <c r="R1312" i="1"/>
  <c r="Q1312" i="1" s="1"/>
  <c r="R1313" i="1"/>
  <c r="Q1313" i="1" s="1"/>
  <c r="R1314" i="1"/>
  <c r="Q1314" i="1" s="1"/>
  <c r="R1315" i="1"/>
  <c r="Q1315" i="1" s="1"/>
  <c r="R1316" i="1"/>
  <c r="Q1316" i="1" s="1"/>
  <c r="R1317" i="1"/>
  <c r="Q1317" i="1" s="1"/>
  <c r="R1318" i="1"/>
  <c r="Q1318" i="1" s="1"/>
  <c r="R1319" i="1"/>
  <c r="Q1319" i="1" s="1"/>
  <c r="R1320" i="1"/>
  <c r="Q1320" i="1" s="1"/>
  <c r="R1321" i="1"/>
  <c r="Q1321" i="1" s="1"/>
  <c r="R1322" i="1"/>
  <c r="Q1322" i="1" s="1"/>
  <c r="R1323" i="1"/>
  <c r="Q1323" i="1" s="1"/>
  <c r="R1324" i="1"/>
  <c r="Q1324" i="1" s="1"/>
  <c r="R1325" i="1"/>
  <c r="Q1325" i="1" s="1"/>
  <c r="R1326" i="1"/>
  <c r="Q1326" i="1" s="1"/>
  <c r="R1327" i="1"/>
  <c r="Q1327" i="1" s="1"/>
  <c r="R1328" i="1"/>
  <c r="Q1328" i="1" s="1"/>
  <c r="R1329" i="1"/>
  <c r="Q1329" i="1" s="1"/>
  <c r="R1330" i="1"/>
  <c r="Q1330" i="1" s="1"/>
  <c r="R1331" i="1"/>
  <c r="Q1331" i="1" s="1"/>
  <c r="R1332" i="1"/>
  <c r="Q1332" i="1" s="1"/>
  <c r="R1333" i="1"/>
  <c r="Q1333" i="1" s="1"/>
  <c r="R1334" i="1"/>
  <c r="Q1334" i="1" s="1"/>
  <c r="R1335" i="1"/>
  <c r="Q1335" i="1" s="1"/>
  <c r="R1336" i="1"/>
  <c r="Q1336" i="1" s="1"/>
  <c r="R1337" i="1"/>
  <c r="Q1337" i="1" s="1"/>
  <c r="R1338" i="1"/>
  <c r="Q1338" i="1" s="1"/>
  <c r="R1339" i="1"/>
  <c r="Q1339" i="1" s="1"/>
  <c r="R1340" i="1"/>
  <c r="Q1340" i="1" s="1"/>
  <c r="R1341" i="1"/>
  <c r="Q1341" i="1" s="1"/>
  <c r="R1342" i="1"/>
  <c r="Q1342" i="1" s="1"/>
  <c r="R1343" i="1"/>
  <c r="Q1343" i="1" s="1"/>
  <c r="R1344" i="1"/>
  <c r="Q1344" i="1" s="1"/>
  <c r="R1345" i="1"/>
  <c r="Q1345" i="1" s="1"/>
  <c r="R1346" i="1"/>
  <c r="Q1346" i="1" s="1"/>
  <c r="R1347" i="1"/>
  <c r="Q1347" i="1" s="1"/>
  <c r="R1348" i="1"/>
  <c r="Q1348" i="1" s="1"/>
  <c r="R1349" i="1"/>
  <c r="Q1349" i="1" s="1"/>
  <c r="R1350" i="1"/>
  <c r="Q1350" i="1" s="1"/>
  <c r="R1351" i="1"/>
  <c r="Q1351" i="1" s="1"/>
  <c r="R1352" i="1"/>
  <c r="Q1352" i="1" s="1"/>
  <c r="R1353" i="1"/>
  <c r="Q1353" i="1" s="1"/>
  <c r="R1354" i="1"/>
  <c r="Q1354" i="1" s="1"/>
  <c r="R1355" i="1"/>
  <c r="Q1355" i="1" s="1"/>
  <c r="R1356" i="1"/>
  <c r="Q1356" i="1" s="1"/>
  <c r="R1357" i="1"/>
  <c r="Q1357" i="1" s="1"/>
  <c r="R1358" i="1"/>
  <c r="Q1358" i="1" s="1"/>
  <c r="R1359" i="1"/>
  <c r="Q1359" i="1" s="1"/>
  <c r="R1360" i="1"/>
  <c r="Q1360" i="1" s="1"/>
  <c r="R1361" i="1"/>
  <c r="Q1361" i="1" s="1"/>
  <c r="R1362" i="1"/>
  <c r="Q1362" i="1" s="1"/>
  <c r="R1363" i="1"/>
  <c r="Q1363" i="1" s="1"/>
  <c r="R1364" i="1"/>
  <c r="Q1364" i="1" s="1"/>
  <c r="R1365" i="1"/>
  <c r="Q1365" i="1" s="1"/>
  <c r="R1366" i="1"/>
  <c r="Q1366" i="1" s="1"/>
  <c r="R1367" i="1"/>
  <c r="Q1367" i="1" s="1"/>
  <c r="R1368" i="1"/>
  <c r="Q1368" i="1" s="1"/>
  <c r="R1369" i="1"/>
  <c r="Q1369" i="1" s="1"/>
  <c r="R1370" i="1"/>
  <c r="Q1370" i="1" s="1"/>
  <c r="R1371" i="1"/>
  <c r="Q1371" i="1" s="1"/>
  <c r="R1372" i="1"/>
  <c r="Q1372" i="1" s="1"/>
  <c r="R1373" i="1"/>
  <c r="Q1373" i="1" s="1"/>
  <c r="R1374" i="1"/>
  <c r="Q1374" i="1" s="1"/>
  <c r="R1375" i="1"/>
  <c r="Q1375" i="1" s="1"/>
  <c r="R1376" i="1"/>
  <c r="Q1376" i="1" s="1"/>
  <c r="R1377" i="1"/>
  <c r="Q1377" i="1" s="1"/>
  <c r="R1378" i="1"/>
  <c r="Q1378" i="1" s="1"/>
  <c r="R1379" i="1"/>
  <c r="Q1379" i="1" s="1"/>
  <c r="R1380" i="1"/>
  <c r="Q1380" i="1" s="1"/>
  <c r="R1381" i="1"/>
  <c r="Q1381" i="1" s="1"/>
  <c r="R1382" i="1"/>
  <c r="Q1382" i="1" s="1"/>
  <c r="R1383" i="1"/>
  <c r="Q1383" i="1" s="1"/>
  <c r="R1384" i="1"/>
  <c r="Q1384" i="1" s="1"/>
  <c r="R1385" i="1"/>
  <c r="Q1385" i="1" s="1"/>
  <c r="R1386" i="1"/>
  <c r="Q1386" i="1" s="1"/>
  <c r="R1387" i="1"/>
  <c r="Q1387" i="1" s="1"/>
  <c r="R1388" i="1"/>
  <c r="Q1388" i="1" s="1"/>
  <c r="R1389" i="1"/>
  <c r="Q1389" i="1" s="1"/>
  <c r="R1390" i="1"/>
  <c r="Q1390" i="1" s="1"/>
  <c r="R1391" i="1"/>
  <c r="Q1391" i="1" s="1"/>
  <c r="R1392" i="1"/>
  <c r="Q1392" i="1" s="1"/>
  <c r="R1393" i="1"/>
  <c r="Q1393" i="1" s="1"/>
  <c r="R1394" i="1"/>
  <c r="Q1394" i="1" s="1"/>
  <c r="R1395" i="1"/>
  <c r="Q1395" i="1" s="1"/>
  <c r="R1396" i="1"/>
  <c r="Q1396" i="1" s="1"/>
  <c r="R1397" i="1"/>
  <c r="Q1397" i="1" s="1"/>
  <c r="R1398" i="1"/>
  <c r="Q1398" i="1" s="1"/>
  <c r="R1399" i="1"/>
  <c r="Q1399" i="1" s="1"/>
  <c r="R1400" i="1"/>
  <c r="Q1400" i="1" s="1"/>
  <c r="R1401" i="1"/>
  <c r="Q1401" i="1" s="1"/>
  <c r="R1402" i="1"/>
  <c r="Q1402" i="1" s="1"/>
  <c r="R1403" i="1"/>
  <c r="Q1403" i="1" s="1"/>
  <c r="R1404" i="1"/>
  <c r="Q1404" i="1" s="1"/>
  <c r="R1405" i="1"/>
  <c r="Q1405" i="1" s="1"/>
  <c r="R1406" i="1"/>
  <c r="Q1406" i="1" s="1"/>
  <c r="R1407" i="1"/>
  <c r="Q1407" i="1" s="1"/>
  <c r="R1408" i="1"/>
  <c r="Q1408" i="1" s="1"/>
  <c r="R1409" i="1"/>
  <c r="Q1409" i="1" s="1"/>
  <c r="R1410" i="1"/>
  <c r="Q1410" i="1" s="1"/>
  <c r="R1411" i="1"/>
  <c r="Q1411" i="1" s="1"/>
  <c r="R1412" i="1"/>
  <c r="Q1412" i="1" s="1"/>
  <c r="R1413" i="1"/>
  <c r="Q1413" i="1" s="1"/>
  <c r="R1414" i="1"/>
  <c r="Q1414" i="1" s="1"/>
  <c r="R1415" i="1"/>
  <c r="Q1415" i="1" s="1"/>
  <c r="R1416" i="1"/>
  <c r="Q1416" i="1" s="1"/>
  <c r="R1417" i="1"/>
  <c r="Q1417" i="1" s="1"/>
  <c r="R1418" i="1"/>
  <c r="Q1418" i="1" s="1"/>
  <c r="R1419" i="1"/>
  <c r="Q1419" i="1" s="1"/>
  <c r="R1420" i="1"/>
  <c r="Q1420" i="1" s="1"/>
  <c r="R1421" i="1"/>
  <c r="Q1421" i="1" s="1"/>
  <c r="R1422" i="1"/>
  <c r="Q1422" i="1" s="1"/>
  <c r="R1423" i="1"/>
  <c r="Q1423" i="1" s="1"/>
  <c r="R1424" i="1"/>
  <c r="Q1424" i="1" s="1"/>
  <c r="R1425" i="1"/>
  <c r="Q1425" i="1" s="1"/>
  <c r="R1426" i="1"/>
  <c r="Q1426" i="1" s="1"/>
  <c r="R1427" i="1"/>
  <c r="Q1427" i="1" s="1"/>
  <c r="R1428" i="1"/>
  <c r="Q1428" i="1" s="1"/>
  <c r="R1429" i="1"/>
  <c r="Q1429" i="1" s="1"/>
  <c r="R1430" i="1"/>
  <c r="Q1430" i="1" s="1"/>
  <c r="R1431" i="1"/>
  <c r="Q1431" i="1" s="1"/>
  <c r="R1432" i="1"/>
  <c r="Q1432" i="1" s="1"/>
  <c r="R1433" i="1"/>
  <c r="Q1433" i="1" s="1"/>
  <c r="R1434" i="1"/>
  <c r="Q1434" i="1" s="1"/>
  <c r="R1435" i="1"/>
  <c r="Q1435" i="1" s="1"/>
  <c r="R1436" i="1"/>
  <c r="Q1436" i="1" s="1"/>
  <c r="R1437" i="1"/>
  <c r="Q1437" i="1" s="1"/>
  <c r="R1438" i="1"/>
  <c r="Q1438" i="1" s="1"/>
  <c r="R1439" i="1"/>
  <c r="Q1439" i="1" s="1"/>
  <c r="R1440" i="1"/>
  <c r="Q1440" i="1" s="1"/>
  <c r="R1441" i="1"/>
  <c r="Q1441" i="1" s="1"/>
  <c r="R1442" i="1"/>
  <c r="Q1442" i="1" s="1"/>
  <c r="R1443" i="1"/>
  <c r="Q1443" i="1" s="1"/>
  <c r="R1444" i="1"/>
  <c r="Q1444" i="1" s="1"/>
  <c r="R1445" i="1"/>
  <c r="Q1445" i="1" s="1"/>
  <c r="R1446" i="1"/>
  <c r="Q1446" i="1" s="1"/>
  <c r="R1232" i="1"/>
  <c r="Q1232" i="1" s="1"/>
  <c r="R1233" i="1"/>
  <c r="Q1233" i="1" s="1"/>
  <c r="R1234" i="1"/>
  <c r="Q1234" i="1" s="1"/>
  <c r="R1235" i="1"/>
  <c r="Q1235" i="1" s="1"/>
  <c r="R1236" i="1"/>
  <c r="Q1236" i="1" s="1"/>
  <c r="R1237" i="1"/>
  <c r="Q1237" i="1" s="1"/>
  <c r="R1238" i="1"/>
  <c r="Q1238" i="1" s="1"/>
  <c r="R1239" i="1"/>
  <c r="Q1239" i="1" s="1"/>
  <c r="R1240" i="1"/>
  <c r="Q1240" i="1" s="1"/>
  <c r="R1241" i="1"/>
  <c r="Q1241" i="1" s="1"/>
  <c r="R1242" i="1"/>
  <c r="Q1242" i="1" s="1"/>
  <c r="R1243" i="1"/>
  <c r="Q1243" i="1" s="1"/>
  <c r="R1244" i="1"/>
  <c r="Q1244" i="1" s="1"/>
  <c r="R1245" i="1"/>
  <c r="Q1245" i="1" s="1"/>
  <c r="R1246" i="1"/>
  <c r="Q1246" i="1" s="1"/>
  <c r="R1247" i="1"/>
  <c r="Q1247" i="1" s="1"/>
  <c r="R1248" i="1"/>
  <c r="Q1248" i="1" s="1"/>
  <c r="R1249" i="1"/>
  <c r="Q1249" i="1" s="1"/>
  <c r="R1250" i="1"/>
  <c r="Q1250" i="1" s="1"/>
  <c r="R1251" i="1"/>
  <c r="Q1251" i="1" s="1"/>
  <c r="R1252" i="1"/>
  <c r="Q1252" i="1" s="1"/>
  <c r="R1253" i="1"/>
  <c r="Q1253" i="1" s="1"/>
  <c r="R1254" i="1"/>
  <c r="Q1254" i="1" s="1"/>
  <c r="Q1255" i="1"/>
  <c r="R1255" i="1"/>
  <c r="R1256" i="1"/>
  <c r="Q1256" i="1" s="1"/>
  <c r="R1257" i="1"/>
  <c r="Q1257" i="1" s="1"/>
  <c r="R1258" i="1"/>
  <c r="Q1258" i="1" s="1"/>
  <c r="R1259" i="1"/>
  <c r="Q1259" i="1" s="1"/>
  <c r="R1260" i="1"/>
  <c r="Q1260" i="1" s="1"/>
  <c r="R1261" i="1"/>
  <c r="Q1261" i="1" s="1"/>
  <c r="R1262" i="1"/>
  <c r="Q1262" i="1" s="1"/>
  <c r="R1263" i="1"/>
  <c r="Q1263" i="1" s="1"/>
  <c r="R1264" i="1"/>
  <c r="Q1264" i="1" s="1"/>
  <c r="R1265" i="1"/>
  <c r="Q1265" i="1" s="1"/>
  <c r="R1266" i="1"/>
  <c r="Q1266" i="1" s="1"/>
  <c r="R1267" i="1"/>
  <c r="Q1267" i="1" s="1"/>
  <c r="R1268" i="1"/>
  <c r="Q1268" i="1" s="1"/>
  <c r="R1269" i="1"/>
  <c r="Q1269" i="1" s="1"/>
  <c r="R1270" i="1"/>
  <c r="Q1270" i="1" s="1"/>
  <c r="R1271" i="1"/>
  <c r="Q1271" i="1" s="1"/>
  <c r="R1272" i="1"/>
  <c r="Q1272" i="1" s="1"/>
  <c r="R1273" i="1"/>
  <c r="Q1273" i="1" s="1"/>
  <c r="R1274" i="1"/>
  <c r="Q1274" i="1" s="1"/>
  <c r="R1275" i="1"/>
  <c r="Q1275" i="1" s="1"/>
  <c r="R1231" i="1"/>
  <c r="Q1231" i="1" s="1"/>
  <c r="R1221" i="1"/>
  <c r="Q1221" i="1" s="1"/>
  <c r="R1222" i="1"/>
  <c r="Q1222" i="1" s="1"/>
  <c r="R1223" i="1"/>
  <c r="Q1223" i="1" s="1"/>
  <c r="R1224" i="1"/>
  <c r="Q1224" i="1" s="1"/>
  <c r="R1225" i="1"/>
  <c r="Q1225" i="1" s="1"/>
  <c r="R1226" i="1"/>
  <c r="Q1226" i="1" s="1"/>
  <c r="R1227" i="1"/>
  <c r="Q1227" i="1" s="1"/>
  <c r="R1228" i="1"/>
  <c r="Q1228" i="1" s="1"/>
  <c r="R1229" i="1"/>
  <c r="Q1229" i="1" s="1"/>
  <c r="R1199" i="1"/>
  <c r="Q1199" i="1" s="1"/>
  <c r="R1200" i="1"/>
  <c r="Q1200" i="1" s="1"/>
  <c r="R1201" i="1"/>
  <c r="Q1201" i="1" s="1"/>
  <c r="R1202" i="1"/>
  <c r="Q1202" i="1" s="1"/>
  <c r="R1203" i="1"/>
  <c r="Q1203" i="1" s="1"/>
  <c r="R1204" i="1"/>
  <c r="Q1204" i="1" s="1"/>
  <c r="R1205" i="1"/>
  <c r="Q1205" i="1" s="1"/>
  <c r="R1206" i="1"/>
  <c r="Q1206" i="1" s="1"/>
  <c r="R1207" i="1"/>
  <c r="Q1207" i="1" s="1"/>
  <c r="R1208" i="1"/>
  <c r="Q1208" i="1" s="1"/>
  <c r="R1209" i="1"/>
  <c r="Q1209" i="1" s="1"/>
  <c r="R1210" i="1"/>
  <c r="Q1210" i="1" s="1"/>
  <c r="R1211" i="1"/>
  <c r="Q1211" i="1" s="1"/>
  <c r="R1212" i="1"/>
  <c r="Q1212" i="1" s="1"/>
  <c r="R1213" i="1"/>
  <c r="Q1213" i="1" s="1"/>
  <c r="R1214" i="1"/>
  <c r="Q1214" i="1" s="1"/>
  <c r="R1215" i="1"/>
  <c r="Q1215" i="1" s="1"/>
  <c r="Q1216" i="1"/>
  <c r="R1216" i="1"/>
  <c r="R1217" i="1"/>
  <c r="Q1217" i="1" s="1"/>
  <c r="R1218" i="1"/>
  <c r="Q1218" i="1" s="1"/>
  <c r="R1219" i="1"/>
  <c r="Q1219" i="1" s="1"/>
  <c r="Q1220" i="1"/>
  <c r="R1220" i="1"/>
  <c r="R1187" i="1"/>
  <c r="Q1187" i="1" s="1"/>
  <c r="Q1188" i="1"/>
  <c r="R1188" i="1"/>
  <c r="R1189" i="1"/>
  <c r="Q1189" i="1" s="1"/>
  <c r="R1190" i="1"/>
  <c r="Q1190" i="1" s="1"/>
  <c r="R1191" i="1"/>
  <c r="Q1191" i="1" s="1"/>
  <c r="Q1192" i="1"/>
  <c r="R1192" i="1"/>
  <c r="Q1193" i="1"/>
  <c r="R1193" i="1"/>
  <c r="R1194" i="1"/>
  <c r="Q1194" i="1" s="1"/>
  <c r="R1195" i="1"/>
  <c r="R1196" i="1"/>
  <c r="Q1196" i="1" s="1"/>
  <c r="Q1197" i="1"/>
  <c r="R1197" i="1"/>
  <c r="R1198" i="1"/>
  <c r="Q1198" i="1" s="1"/>
  <c r="R1186" i="1"/>
  <c r="AP516" i="1"/>
  <c r="AP522" i="1"/>
  <c r="AP526" i="1"/>
  <c r="AP562" i="1"/>
  <c r="AP571" i="1"/>
  <c r="AP574" i="1"/>
  <c r="AP590" i="1"/>
  <c r="AP625" i="1"/>
  <c r="AP631" i="1"/>
  <c r="AP635" i="1"/>
  <c r="AP638" i="1"/>
  <c r="AP646" i="1"/>
  <c r="AP650" i="1"/>
  <c r="AP668" i="1"/>
  <c r="AP674" i="1"/>
  <c r="AP684" i="1"/>
  <c r="AP687" i="1"/>
  <c r="AP698" i="1"/>
  <c r="AP702" i="1"/>
  <c r="AP706" i="1"/>
  <c r="AP713" i="1"/>
  <c r="AP715" i="1"/>
  <c r="AP720" i="1"/>
  <c r="AP721" i="1"/>
  <c r="AP722" i="1"/>
  <c r="AP723" i="1"/>
  <c r="AP724" i="1"/>
  <c r="AP725" i="1"/>
  <c r="AP727" i="1"/>
  <c r="AP1103" i="1"/>
  <c r="AP1257" i="1"/>
  <c r="AP1262" i="1"/>
  <c r="AP1296" i="1"/>
  <c r="AP1308" i="1"/>
  <c r="AP1319" i="1"/>
  <c r="AP1335" i="1"/>
  <c r="AP1341" i="1"/>
  <c r="AP1352" i="1"/>
  <c r="AP1356" i="1"/>
  <c r="AP1372" i="1"/>
  <c r="AP1396" i="1"/>
  <c r="AP1399" i="1"/>
  <c r="AP1405" i="1"/>
  <c r="AP1429" i="1"/>
  <c r="AP1434" i="1"/>
  <c r="AP1435" i="1"/>
  <c r="AP1436" i="1"/>
  <c r="AP1438" i="1"/>
  <c r="AP1439" i="1"/>
  <c r="AP536" i="1"/>
  <c r="AP606" i="1"/>
  <c r="AP615" i="1"/>
  <c r="AP620" i="1"/>
  <c r="AP679" i="1"/>
  <c r="AP690" i="1"/>
  <c r="AP709" i="1"/>
  <c r="AP719" i="1"/>
  <c r="AP726" i="1"/>
  <c r="AP731" i="1"/>
  <c r="AP1301" i="1"/>
  <c r="AP1375" i="1"/>
  <c r="AP1427" i="1"/>
  <c r="AP1433" i="1"/>
  <c r="AP1437" i="1"/>
  <c r="AP1440" i="1"/>
  <c r="AP477" i="1"/>
  <c r="AO188" i="1"/>
  <c r="AO193" i="1"/>
  <c r="AO186" i="1"/>
  <c r="AO477" i="1"/>
  <c r="AO516" i="1"/>
  <c r="AO522" i="1"/>
  <c r="AO526" i="1"/>
  <c r="AO562" i="1"/>
  <c r="AO571" i="1"/>
  <c r="AO574" i="1"/>
  <c r="AO590" i="1"/>
  <c r="AO625" i="1"/>
  <c r="AO631" i="1"/>
  <c r="AO635" i="1"/>
  <c r="AO638" i="1"/>
  <c r="AO646" i="1"/>
  <c r="AO650" i="1"/>
  <c r="AO668" i="1"/>
  <c r="AO674" i="1"/>
  <c r="AO684" i="1"/>
  <c r="AO687" i="1"/>
  <c r="AO698" i="1"/>
  <c r="AO702" i="1"/>
  <c r="AO706" i="1"/>
  <c r="AO713" i="1"/>
  <c r="AO715" i="1"/>
  <c r="AO720" i="1"/>
  <c r="AO721" i="1"/>
  <c r="AO722" i="1"/>
  <c r="AO723" i="1"/>
  <c r="AO724" i="1"/>
  <c r="AO725" i="1"/>
  <c r="AO727" i="1"/>
  <c r="AO1103" i="1"/>
  <c r="AO1257" i="1"/>
  <c r="AO1262" i="1"/>
  <c r="AO1296" i="1"/>
  <c r="AO1308" i="1"/>
  <c r="AO1319" i="1"/>
  <c r="AO1335" i="1"/>
  <c r="AO1341" i="1"/>
  <c r="AO1352" i="1"/>
  <c r="AO1356" i="1"/>
  <c r="AO1372" i="1"/>
  <c r="AO1396" i="1"/>
  <c r="AO1399" i="1"/>
  <c r="AO1405" i="1"/>
  <c r="AO1429" i="1"/>
  <c r="AO1434" i="1"/>
  <c r="AO1435" i="1"/>
  <c r="AO1436" i="1"/>
  <c r="AO1438" i="1"/>
  <c r="AO1439" i="1"/>
  <c r="AO536" i="1"/>
  <c r="AO606" i="1"/>
  <c r="AO615" i="1"/>
  <c r="AO620" i="1"/>
  <c r="AO679" i="1"/>
  <c r="AO690" i="1"/>
  <c r="AO709" i="1"/>
  <c r="AO719" i="1"/>
  <c r="AO726" i="1"/>
  <c r="AO731" i="1"/>
  <c r="AO1301" i="1"/>
  <c r="AO1375" i="1"/>
  <c r="AO1427" i="1"/>
  <c r="AO1433" i="1"/>
  <c r="AO1437" i="1"/>
  <c r="AO1440" i="1"/>
  <c r="AO5" i="1"/>
  <c r="R1230" i="1"/>
  <c r="E606" i="1"/>
  <c r="AS606" i="1" s="1"/>
  <c r="R606" i="1"/>
  <c r="AG606" i="1"/>
  <c r="R716" i="1"/>
  <c r="R717" i="1"/>
  <c r="R718"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9" i="1"/>
  <c r="R720" i="1"/>
  <c r="R721" i="1"/>
  <c r="R722" i="1"/>
  <c r="R723" i="1"/>
  <c r="R724" i="1"/>
  <c r="R725" i="1"/>
  <c r="R726" i="1"/>
  <c r="R727" i="1"/>
  <c r="R728" i="1"/>
  <c r="R729" i="1"/>
  <c r="R730" i="1"/>
  <c r="R731" i="1"/>
  <c r="R732" i="1"/>
  <c r="R733" i="1"/>
  <c r="R505" i="1"/>
  <c r="R485" i="1"/>
  <c r="R484" i="1"/>
  <c r="R472" i="1"/>
  <c r="R473" i="1"/>
  <c r="R474" i="1"/>
  <c r="R475" i="1"/>
  <c r="R476" i="1"/>
  <c r="R477" i="1"/>
  <c r="R471" i="1"/>
  <c r="R361" i="1"/>
  <c r="R348" i="1"/>
  <c r="R349" i="1"/>
  <c r="R347" i="1"/>
  <c r="DF512" i="1" l="1"/>
  <c r="AP512" i="1"/>
  <c r="AO512" i="1"/>
  <c r="AG512" i="1"/>
  <c r="E512" i="1"/>
  <c r="BC154" i="1"/>
  <c r="BC842" i="1"/>
  <c r="BI154" i="1"/>
  <c r="BI842" i="1"/>
  <c r="BF154" i="1"/>
  <c r="BF842" i="1"/>
  <c r="BA154" i="1" l="1"/>
  <c r="AZ154" i="1" s="1"/>
  <c r="BA842" i="1"/>
  <c r="AZ842" i="1" s="1"/>
  <c r="BD902" i="1"/>
  <c r="BC902" i="1" s="1"/>
  <c r="BG902" i="1"/>
  <c r="BF902" i="1" s="1"/>
  <c r="BJ902" i="1"/>
  <c r="BD939" i="1"/>
  <c r="BC939" i="1" s="1"/>
  <c r="BG939" i="1"/>
  <c r="BF939" i="1" s="1"/>
  <c r="BJ939" i="1"/>
  <c r="BI939" i="1" s="1"/>
  <c r="BI902" i="1" l="1"/>
  <c r="AT512" i="1" l="1"/>
  <c r="CK512" i="1"/>
  <c r="CU512" i="1"/>
  <c r="BG512" i="1"/>
  <c r="BJ512" i="1"/>
  <c r="BD512" i="1"/>
  <c r="BY512" i="1"/>
  <c r="CB512" i="1"/>
  <c r="BV512" i="1"/>
  <c r="BS512" i="1"/>
  <c r="CE512" i="1"/>
  <c r="CA512" i="1" l="1"/>
  <c r="BC512" i="1"/>
  <c r="BI512" i="1"/>
  <c r="BF512" i="1"/>
  <c r="BX512" i="1"/>
  <c r="CD512" i="1"/>
  <c r="CS512" i="1"/>
  <c r="BR512" i="1"/>
  <c r="CJ512" i="1"/>
  <c r="BU512" i="1"/>
  <c r="BM512" i="1" l="1"/>
  <c r="BP512" i="1" s="1"/>
  <c r="BO512" i="1" s="1"/>
  <c r="BA512" i="1"/>
  <c r="AT606" i="1" l="1"/>
  <c r="AX512" i="1"/>
  <c r="BL512" i="1"/>
  <c r="AS512" i="1" l="1"/>
  <c r="BZ512" i="1" l="1"/>
  <c r="CL512" i="1"/>
  <c r="BK512" i="1"/>
  <c r="CV512" i="1"/>
  <c r="BH512" i="1"/>
  <c r="CC512" i="1"/>
  <c r="BT512" i="1"/>
  <c r="CF512" i="1"/>
  <c r="BW512" i="1"/>
  <c r="BE512" i="1"/>
  <c r="BB512" i="1" l="1"/>
  <c r="AZ512" i="1" s="1"/>
  <c r="BN512" i="1"/>
  <c r="BQ512" i="1" s="1"/>
  <c r="AR2173" i="1"/>
  <c r="AR1784" i="1"/>
  <c r="AR1858" i="1"/>
  <c r="AR1698" i="1"/>
  <c r="AR1697" i="1"/>
  <c r="AR1699" i="1"/>
  <c r="AR141" i="1"/>
  <c r="AR777" i="1"/>
  <c r="E698" i="1"/>
  <c r="E706" i="1"/>
  <c r="E1433" i="1"/>
  <c r="E562" i="1"/>
  <c r="E625" i="1"/>
  <c r="E702" i="1"/>
  <c r="E668" i="1"/>
  <c r="E674" i="1"/>
  <c r="E719" i="1"/>
  <c r="E574" i="1"/>
  <c r="E2507" i="1"/>
  <c r="E1493" i="1"/>
  <c r="E2368" i="1"/>
  <c r="E1301" i="1"/>
  <c r="E571" i="1"/>
  <c r="E1296" i="1"/>
  <c r="E2542" i="1"/>
  <c r="E1308" i="1"/>
  <c r="E720" i="1"/>
  <c r="E2526" i="1"/>
  <c r="E2455" i="1"/>
  <c r="E2525" i="1"/>
  <c r="E2456" i="1"/>
  <c r="E1434" i="1"/>
  <c r="E2524" i="1"/>
  <c r="E2502" i="1"/>
  <c r="E2357" i="1"/>
  <c r="E721" i="1"/>
  <c r="E679" i="1"/>
  <c r="E713" i="1"/>
  <c r="E1429" i="1"/>
  <c r="E722" i="1"/>
  <c r="E1372" i="1"/>
  <c r="E1319" i="1"/>
  <c r="AT1319" i="1" s="1"/>
  <c r="E590" i="1"/>
  <c r="E715" i="1"/>
  <c r="E690" i="1"/>
  <c r="E687" i="1"/>
  <c r="E684" i="1"/>
  <c r="E536" i="1"/>
  <c r="E650" i="1"/>
  <c r="E1405" i="1"/>
  <c r="E1435" i="1"/>
  <c r="E731" i="1"/>
  <c r="E646" i="1"/>
  <c r="E723" i="1"/>
  <c r="E1427" i="1"/>
  <c r="E1436" i="1"/>
  <c r="E2512" i="1"/>
  <c r="E2529" i="1"/>
  <c r="E2530" i="1"/>
  <c r="E2532" i="1"/>
  <c r="E724" i="1"/>
  <c r="E1437" i="1"/>
  <c r="E2403" i="1"/>
  <c r="E2409" i="1"/>
  <c r="E2531" i="1"/>
  <c r="E2482" i="1"/>
  <c r="E2520" i="1"/>
  <c r="E2518" i="1"/>
  <c r="E725" i="1"/>
  <c r="E2484" i="1"/>
  <c r="E2318" i="1"/>
  <c r="E1375" i="1"/>
  <c r="E2480" i="1"/>
  <c r="E2517" i="1"/>
  <c r="E2539" i="1"/>
  <c r="E1438" i="1"/>
  <c r="E2528" i="1"/>
  <c r="E1356" i="1"/>
  <c r="E631" i="1"/>
  <c r="E615" i="1"/>
  <c r="E635" i="1"/>
  <c r="E1399" i="1"/>
  <c r="E620" i="1"/>
  <c r="E1352" i="1"/>
  <c r="E1341" i="1"/>
  <c r="E522" i="1"/>
  <c r="E1262" i="1"/>
  <c r="E1335" i="1"/>
  <c r="E726" i="1"/>
  <c r="E1103" i="1"/>
  <c r="E1396" i="1"/>
  <c r="E709" i="1"/>
  <c r="E477" i="1"/>
  <c r="E516" i="1"/>
  <c r="E1257" i="1"/>
  <c r="E1439" i="1"/>
  <c r="E2311" i="1"/>
  <c r="E526" i="1"/>
  <c r="E638" i="1"/>
  <c r="E2533" i="1"/>
  <c r="E2313" i="1"/>
  <c r="E727" i="1"/>
  <c r="E2509" i="1"/>
  <c r="E1440" i="1"/>
  <c r="E2117" i="1"/>
  <c r="E2417" i="1"/>
  <c r="E2527" i="1"/>
  <c r="E2534" i="1"/>
  <c r="E2462" i="1"/>
  <c r="E2459" i="1"/>
  <c r="E2453" i="1"/>
  <c r="E2448" i="1"/>
  <c r="E2458" i="1"/>
  <c r="E2444" i="1"/>
  <c r="E1464" i="1"/>
  <c r="AG706" i="1"/>
  <c r="AG1433" i="1"/>
  <c r="AG562" i="1"/>
  <c r="AG625" i="1"/>
  <c r="AG702" i="1"/>
  <c r="AG668" i="1"/>
  <c r="AG674" i="1"/>
  <c r="AG719" i="1"/>
  <c r="AG574" i="1"/>
  <c r="AG1301" i="1"/>
  <c r="AG571" i="1"/>
  <c r="AG1296" i="1"/>
  <c r="AG1308" i="1"/>
  <c r="AG720" i="1"/>
  <c r="AG1434" i="1"/>
  <c r="AG721" i="1"/>
  <c r="AG679" i="1"/>
  <c r="AG713" i="1"/>
  <c r="AG1429" i="1"/>
  <c r="AG722" i="1"/>
  <c r="AG1372" i="1"/>
  <c r="AG1319" i="1"/>
  <c r="AG590" i="1"/>
  <c r="AG715" i="1"/>
  <c r="AG690" i="1"/>
  <c r="AG687" i="1"/>
  <c r="AG684" i="1"/>
  <c r="AG536" i="1"/>
  <c r="AG650" i="1"/>
  <c r="AG1405" i="1"/>
  <c r="AG1435" i="1"/>
  <c r="AG731" i="1"/>
  <c r="AG646" i="1"/>
  <c r="AG723" i="1"/>
  <c r="AG1427" i="1"/>
  <c r="AG1436" i="1"/>
  <c r="AG724" i="1"/>
  <c r="AG1437" i="1"/>
  <c r="AG725" i="1"/>
  <c r="AG1375" i="1"/>
  <c r="AG1438" i="1"/>
  <c r="AG1356" i="1"/>
  <c r="AG631" i="1"/>
  <c r="AG615" i="1"/>
  <c r="AG635" i="1"/>
  <c r="AG1399" i="1"/>
  <c r="AG620" i="1"/>
  <c r="AG1352" i="1"/>
  <c r="AG1341" i="1"/>
  <c r="AG522" i="1"/>
  <c r="AG1262" i="1"/>
  <c r="AG1335" i="1"/>
  <c r="AG726" i="1"/>
  <c r="AG1103" i="1"/>
  <c r="AG1396" i="1"/>
  <c r="AG709" i="1"/>
  <c r="AG477" i="1"/>
  <c r="AG516" i="1"/>
  <c r="AG1257" i="1"/>
  <c r="AG1439" i="1"/>
  <c r="AG526" i="1"/>
  <c r="AG638" i="1"/>
  <c r="AG727" i="1"/>
  <c r="AG1440" i="1"/>
  <c r="AG698" i="1"/>
  <c r="AY512" i="1" l="1"/>
  <c r="AW512" i="1" s="1"/>
  <c r="AS1262" i="1"/>
  <c r="AS1429" i="1"/>
  <c r="AS727" i="1"/>
  <c r="AS620" i="1"/>
  <c r="AS684" i="1"/>
  <c r="AS571" i="1"/>
  <c r="AS706" i="1"/>
  <c r="AS1103" i="1"/>
  <c r="AS1356" i="1"/>
  <c r="AS1405" i="1"/>
  <c r="AS720" i="1"/>
  <c r="AS1301" i="1"/>
  <c r="AS702" i="1"/>
  <c r="AS1257" i="1"/>
  <c r="AS631" i="1"/>
  <c r="AS1435" i="1"/>
  <c r="AS1434" i="1"/>
  <c r="AS638" i="1"/>
  <c r="AS522" i="1"/>
  <c r="AS1437" i="1"/>
  <c r="AS687" i="1"/>
  <c r="AS713" i="1"/>
  <c r="AS526" i="1"/>
  <c r="AS477" i="1"/>
  <c r="AS726" i="1"/>
  <c r="AS1341" i="1"/>
  <c r="AS635" i="1"/>
  <c r="AS1438" i="1"/>
  <c r="AS724" i="1"/>
  <c r="AS646" i="1"/>
  <c r="AS650" i="1"/>
  <c r="AS690" i="1"/>
  <c r="AS1372" i="1"/>
  <c r="AS679" i="1"/>
  <c r="AS1308" i="1"/>
  <c r="AS698" i="1"/>
  <c r="AS674" i="1"/>
  <c r="AS625" i="1"/>
  <c r="AS1396" i="1"/>
  <c r="AS725" i="1"/>
  <c r="AS590" i="1"/>
  <c r="AS574" i="1"/>
  <c r="AS516" i="1"/>
  <c r="AS1399" i="1"/>
  <c r="AS1319" i="1"/>
  <c r="AS1433" i="1"/>
  <c r="AS1440" i="1"/>
  <c r="AS1439" i="1"/>
  <c r="AS709" i="1"/>
  <c r="AS1335" i="1"/>
  <c r="AS1352" i="1"/>
  <c r="AS615" i="1"/>
  <c r="AS1375" i="1"/>
  <c r="AS1436" i="1"/>
  <c r="AS731" i="1"/>
  <c r="AS536" i="1"/>
  <c r="AS715" i="1"/>
  <c r="AS722" i="1"/>
  <c r="AS721" i="1"/>
  <c r="AS1296" i="1"/>
  <c r="AS719" i="1"/>
  <c r="AS562" i="1"/>
  <c r="AS668" i="1"/>
  <c r="E1246" i="1" l="1"/>
  <c r="AP873" i="1"/>
  <c r="AR873" i="1" s="1"/>
  <c r="E198" i="1"/>
  <c r="E299" i="1"/>
  <c r="E1117" i="1"/>
  <c r="E1118" i="1"/>
  <c r="E394" i="1"/>
  <c r="E395" i="1"/>
  <c r="E242" i="1"/>
  <c r="E951" i="1"/>
  <c r="E956" i="1"/>
  <c r="E251" i="1"/>
  <c r="E968" i="1"/>
  <c r="E973" i="1"/>
  <c r="E321" i="1"/>
  <c r="E1046" i="1"/>
  <c r="E326" i="1"/>
  <c r="E1052" i="1"/>
  <c r="E1059" i="1"/>
  <c r="E1062" i="1"/>
  <c r="E396" i="1"/>
  <c r="E399" i="1"/>
  <c r="E1126" i="1"/>
  <c r="E993" i="1"/>
  <c r="E1049" i="1"/>
  <c r="E333" i="1"/>
  <c r="E1122" i="1"/>
  <c r="E1125" i="1"/>
  <c r="E981" i="1"/>
  <c r="E316" i="1"/>
  <c r="E339" i="1"/>
  <c r="E403" i="1"/>
  <c r="E267" i="1"/>
  <c r="E401" i="1"/>
  <c r="E1129" i="1"/>
  <c r="E987" i="1"/>
  <c r="E1039" i="1"/>
  <c r="E1132" i="1"/>
  <c r="E404" i="1"/>
  <c r="E260" i="1"/>
  <c r="E849" i="1"/>
  <c r="E1068" i="1"/>
  <c r="E343" i="1"/>
  <c r="E351" i="1"/>
  <c r="E1133" i="1"/>
  <c r="E406" i="1"/>
  <c r="E1135" i="1"/>
  <c r="E1001" i="1"/>
  <c r="E1076" i="1"/>
  <c r="E1078" i="1"/>
  <c r="E1134" i="1"/>
  <c r="E408" i="1"/>
  <c r="E139" i="1"/>
  <c r="E1070" i="1"/>
  <c r="E1073" i="1"/>
  <c r="E1081" i="1"/>
  <c r="E409" i="1"/>
  <c r="E1137" i="1"/>
  <c r="E411" i="1"/>
  <c r="E345" i="1"/>
  <c r="E1138" i="1"/>
  <c r="E355" i="1"/>
  <c r="E1140" i="1"/>
  <c r="E413" i="1"/>
  <c r="E841" i="1"/>
  <c r="E855" i="1"/>
  <c r="E865" i="1"/>
  <c r="E364" i="1"/>
  <c r="E415" i="1"/>
  <c r="E1142" i="1"/>
  <c r="E419" i="1"/>
  <c r="E421" i="1"/>
  <c r="E1145" i="1"/>
  <c r="E885" i="1"/>
  <c r="E1156" i="1"/>
  <c r="E368" i="1"/>
  <c r="E878" i="1"/>
  <c r="E1163" i="1"/>
  <c r="E429" i="1"/>
  <c r="E375" i="1"/>
  <c r="E379" i="1"/>
  <c r="E210" i="1"/>
  <c r="E927" i="1"/>
  <c r="E214" i="1"/>
  <c r="E223" i="1"/>
  <c r="E230" i="1"/>
  <c r="E296" i="1"/>
  <c r="E433" i="1"/>
  <c r="E1173" i="1"/>
  <c r="E434" i="1"/>
  <c r="E435" i="1"/>
  <c r="E994" i="1"/>
  <c r="E1040" i="1"/>
  <c r="E317" i="1"/>
  <c r="E324" i="1"/>
  <c r="E327" i="1"/>
  <c r="E1053" i="1"/>
  <c r="E1056" i="1"/>
  <c r="E335" i="1"/>
  <c r="E1063" i="1"/>
  <c r="E1099" i="1"/>
  <c r="E1123" i="1"/>
  <c r="E400" i="1"/>
  <c r="E1130" i="1"/>
  <c r="E405" i="1"/>
  <c r="E1179" i="1"/>
  <c r="E436" i="1"/>
  <c r="E1180" i="1"/>
  <c r="E438" i="1"/>
  <c r="E1182" i="1"/>
  <c r="E440" i="1"/>
  <c r="E1184" i="1"/>
  <c r="E442" i="1"/>
  <c r="E1191" i="1"/>
  <c r="E444" i="1"/>
  <c r="E1192" i="1"/>
  <c r="E445" i="1"/>
  <c r="E243" i="1"/>
  <c r="E957" i="1"/>
  <c r="E969" i="1"/>
  <c r="E988" i="1"/>
  <c r="E397" i="1"/>
  <c r="E963" i="1"/>
  <c r="E952" i="1"/>
  <c r="E974" i="1"/>
  <c r="E330" i="1"/>
  <c r="E1060" i="1"/>
  <c r="E447" i="1"/>
  <c r="E1199" i="1"/>
  <c r="E448" i="1"/>
  <c r="E1193" i="1"/>
  <c r="E451" i="1"/>
  <c r="E1203" i="1"/>
  <c r="E982" i="1"/>
  <c r="E1200" i="1"/>
  <c r="E449" i="1"/>
  <c r="E1201" i="1"/>
  <c r="E998" i="1"/>
  <c r="E1071" i="1"/>
  <c r="E1079" i="1"/>
  <c r="E356" i="1"/>
  <c r="E402" i="1"/>
  <c r="E410" i="1"/>
  <c r="E412" i="1"/>
  <c r="E1139" i="1"/>
  <c r="E414" i="1"/>
  <c r="E1141" i="1"/>
  <c r="E453" i="1"/>
  <c r="E1205" i="1"/>
  <c r="E1206" i="1"/>
  <c r="E454" i="1"/>
  <c r="E1207" i="1"/>
  <c r="E455" i="1"/>
  <c r="E1208" i="1"/>
  <c r="E456" i="1"/>
  <c r="E1209" i="1"/>
  <c r="E457" i="1"/>
  <c r="E1082" i="1"/>
  <c r="E407" i="1"/>
  <c r="E1210" i="1"/>
  <c r="E458" i="1"/>
  <c r="E144" i="1"/>
  <c r="E352" i="1"/>
  <c r="E1136" i="1"/>
  <c r="E459" i="1"/>
  <c r="E1212" i="1"/>
  <c r="E270" i="1"/>
  <c r="E460" i="1"/>
  <c r="E856" i="1"/>
  <c r="E422" i="1"/>
  <c r="E1157" i="1"/>
  <c r="E426" i="1"/>
  <c r="E1213" i="1"/>
  <c r="E461" i="1"/>
  <c r="E462" i="1"/>
  <c r="E463" i="1"/>
  <c r="E1217" i="1"/>
  <c r="E1216" i="1"/>
  <c r="E466" i="1"/>
  <c r="E1219" i="1"/>
  <c r="E231" i="1"/>
  <c r="E1027" i="1"/>
  <c r="E1174" i="1"/>
  <c r="E468" i="1"/>
  <c r="E478" i="1"/>
  <c r="E479" i="1"/>
  <c r="E392" i="1"/>
  <c r="E1220" i="1"/>
  <c r="E928" i="1"/>
  <c r="E224" i="1"/>
  <c r="E380" i="1"/>
  <c r="E383" i="1"/>
  <c r="E1115" i="1"/>
  <c r="E1177" i="1"/>
  <c r="E482" i="1"/>
  <c r="E486" i="1"/>
  <c r="E481" i="1"/>
  <c r="E953" i="1"/>
  <c r="E958" i="1"/>
  <c r="E970" i="1"/>
  <c r="E975" i="1"/>
  <c r="E1041" i="1"/>
  <c r="E318" i="1"/>
  <c r="E1047" i="1"/>
  <c r="E1050" i="1"/>
  <c r="E328" i="1"/>
  <c r="E1054" i="1"/>
  <c r="E1057" i="1"/>
  <c r="E336" i="1"/>
  <c r="E1064" i="1"/>
  <c r="E1124" i="1"/>
  <c r="E398" i="1"/>
  <c r="E1131" i="1"/>
  <c r="E437" i="1"/>
  <c r="E439" i="1"/>
  <c r="E446" i="1"/>
  <c r="E1229" i="1"/>
  <c r="E489" i="1"/>
  <c r="E1233" i="1"/>
  <c r="E1234" i="1"/>
  <c r="E964" i="1"/>
  <c r="E983" i="1"/>
  <c r="E331" i="1"/>
  <c r="E1181" i="1"/>
  <c r="E1183" i="1"/>
  <c r="E443" i="1"/>
  <c r="E1128" i="1"/>
  <c r="E452" i="1"/>
  <c r="E244" i="1"/>
  <c r="E441" i="1"/>
  <c r="E1204" i="1"/>
  <c r="E1235" i="1"/>
  <c r="E491" i="1"/>
  <c r="E1236" i="1"/>
  <c r="E1185" i="1"/>
  <c r="E490" i="1"/>
  <c r="E1194" i="1"/>
  <c r="E1202" i="1"/>
  <c r="E492" i="1"/>
  <c r="E1237" i="1"/>
  <c r="E493" i="1"/>
  <c r="E857" i="1"/>
  <c r="E879" i="1"/>
  <c r="E1086" i="1"/>
  <c r="E1093" i="1"/>
  <c r="E464" i="1"/>
  <c r="E1238" i="1"/>
  <c r="E494" i="1"/>
  <c r="E495" i="1"/>
  <c r="E496" i="1"/>
  <c r="E497" i="1"/>
  <c r="E1241" i="1"/>
  <c r="E149" i="1"/>
  <c r="E498" i="1"/>
  <c r="E887" i="1"/>
  <c r="E744" i="1"/>
  <c r="E1242" i="1"/>
  <c r="E500" i="1"/>
  <c r="E1461" i="1"/>
  <c r="E1155" i="1"/>
  <c r="E428" i="1"/>
  <c r="E1162" i="1"/>
  <c r="E225" i="1"/>
  <c r="E940" i="1"/>
  <c r="E239" i="1"/>
  <c r="E1028" i="1"/>
  <c r="E1034" i="1"/>
  <c r="E1106" i="1"/>
  <c r="E1109" i="1"/>
  <c r="E381" i="1"/>
  <c r="E1175" i="1"/>
  <c r="E1178" i="1"/>
  <c r="E480" i="1"/>
  <c r="E1227" i="1"/>
  <c r="E1244" i="1"/>
  <c r="E1245" i="1"/>
  <c r="E384" i="1"/>
  <c r="E1116" i="1"/>
  <c r="E192" i="1"/>
  <c r="E923" i="1"/>
  <c r="E929" i="1"/>
  <c r="E393" i="1"/>
  <c r="E470" i="1"/>
  <c r="E1221" i="1"/>
  <c r="E919" i="1"/>
  <c r="E232" i="1"/>
  <c r="E505" i="1"/>
  <c r="E1447" i="1"/>
  <c r="E24" i="1"/>
  <c r="E33" i="1"/>
  <c r="E44" i="1"/>
  <c r="E36" i="1"/>
  <c r="E777" i="1"/>
  <c r="E3" i="1"/>
  <c r="E752" i="1"/>
  <c r="E9" i="1"/>
  <c r="E759" i="1"/>
  <c r="E13" i="1"/>
  <c r="E20" i="1"/>
  <c r="E48" i="1"/>
  <c r="E62" i="1"/>
  <c r="E794" i="1"/>
  <c r="E65" i="1"/>
  <c r="E4" i="1"/>
  <c r="E10" i="1"/>
  <c r="E18" i="1"/>
  <c r="E21" i="1"/>
  <c r="E78" i="1"/>
  <c r="E14" i="1"/>
  <c r="E79" i="1"/>
  <c r="E815" i="1"/>
  <c r="E92" i="1"/>
  <c r="E816" i="1"/>
  <c r="E26" i="1"/>
  <c r="E819" i="1"/>
  <c r="E769" i="1"/>
  <c r="E797" i="1"/>
  <c r="E32" i="1"/>
  <c r="E801" i="1"/>
  <c r="E73" i="1"/>
  <c r="E821" i="1"/>
  <c r="E807" i="1"/>
  <c r="E96" i="1"/>
  <c r="E15" i="1"/>
  <c r="E761" i="1"/>
  <c r="E87" i="1"/>
  <c r="E105" i="1"/>
  <c r="E81" i="1"/>
  <c r="E817" i="1"/>
  <c r="E828" i="1"/>
  <c r="E755" i="1"/>
  <c r="E56" i="1"/>
  <c r="E88" i="1"/>
  <c r="E734" i="1"/>
  <c r="E1449" i="1"/>
  <c r="E740" i="1"/>
  <c r="E739" i="1"/>
  <c r="E845" i="1"/>
  <c r="E846" i="1"/>
  <c r="E848" i="1"/>
  <c r="E146" i="1"/>
  <c r="E862" i="1"/>
  <c r="E872" i="1"/>
  <c r="E874" i="1"/>
  <c r="E852" i="1"/>
  <c r="E860" i="1"/>
  <c r="E172" i="1"/>
  <c r="E880" i="1"/>
  <c r="E877" i="1"/>
  <c r="E176" i="1"/>
  <c r="E908" i="1"/>
  <c r="E211" i="1"/>
  <c r="E932" i="1"/>
  <c r="E965" i="1"/>
  <c r="E252" i="1"/>
  <c r="E256" i="1"/>
  <c r="E990" i="1"/>
  <c r="E995" i="1"/>
  <c r="E1005" i="1"/>
  <c r="E282" i="1"/>
  <c r="E161" i="1"/>
  <c r="E157" i="1"/>
  <c r="E1015" i="1"/>
  <c r="E292" i="1"/>
  <c r="E295" i="1"/>
  <c r="E307" i="1"/>
  <c r="E228" i="1"/>
  <c r="E1030" i="1"/>
  <c r="E972" i="1"/>
  <c r="E980" i="1"/>
  <c r="E1038" i="1"/>
  <c r="E1042" i="1"/>
  <c r="E319" i="1"/>
  <c r="E1043" i="1"/>
  <c r="E1044" i="1"/>
  <c r="E323" i="1"/>
  <c r="E253" i="1"/>
  <c r="E1061" i="1"/>
  <c r="E840" i="1"/>
  <c r="E134" i="1"/>
  <c r="E850" i="1"/>
  <c r="E858" i="1"/>
  <c r="E163" i="1"/>
  <c r="E165" i="1"/>
  <c r="E882" i="1"/>
  <c r="E889" i="1"/>
  <c r="E894" i="1"/>
  <c r="E181" i="1"/>
  <c r="E217" i="1"/>
  <c r="E220" i="1"/>
  <c r="E914" i="1"/>
  <c r="E233" i="1"/>
  <c r="E234" i="1"/>
  <c r="E949" i="1"/>
  <c r="E245" i="1"/>
  <c r="E261" i="1"/>
  <c r="E991" i="1"/>
  <c r="E266" i="1"/>
  <c r="E271" i="1"/>
  <c r="E273" i="1"/>
  <c r="E151" i="1"/>
  <c r="E154" i="1"/>
  <c r="E1009" i="1"/>
  <c r="E197" i="1"/>
  <c r="E945" i="1"/>
  <c r="E235" i="1"/>
  <c r="E936" i="1"/>
  <c r="E931" i="1"/>
  <c r="E303" i="1"/>
  <c r="E241" i="1"/>
  <c r="E950" i="1"/>
  <c r="E992" i="1"/>
  <c r="E320" i="1"/>
  <c r="E262" i="1"/>
  <c r="E322" i="1"/>
  <c r="E960" i="1"/>
  <c r="E332" i="1"/>
  <c r="E334" i="1"/>
  <c r="E337" i="1"/>
  <c r="E338" i="1"/>
  <c r="E1066" i="1"/>
  <c r="E133" i="1"/>
  <c r="E138" i="1"/>
  <c r="E341" i="1"/>
  <c r="E1075" i="1"/>
  <c r="E1077" i="1"/>
  <c r="E353" i="1"/>
  <c r="E1080" i="1"/>
  <c r="E997" i="1"/>
  <c r="E274" i="1"/>
  <c r="E1067" i="1"/>
  <c r="E346" i="1"/>
  <c r="E141" i="1"/>
  <c r="E1083" i="1"/>
  <c r="E854" i="1"/>
  <c r="E1085" i="1"/>
  <c r="E884" i="1"/>
  <c r="E1097" i="1"/>
  <c r="E371" i="1"/>
  <c r="E277" i="1"/>
  <c r="E1010" i="1"/>
  <c r="E222" i="1"/>
  <c r="E312" i="1"/>
  <c r="E913" i="1"/>
  <c r="E302" i="1"/>
  <c r="E1119" i="1"/>
  <c r="E1011" i="1"/>
  <c r="E158" i="1"/>
  <c r="E294" i="1"/>
  <c r="E842" i="1"/>
  <c r="E137" i="1"/>
  <c r="E132" i="1"/>
  <c r="E42" i="1"/>
  <c r="E150" i="1"/>
  <c r="E156" i="1"/>
  <c r="E159" i="1"/>
  <c r="E160" i="1"/>
  <c r="E155" i="1"/>
  <c r="E177" i="1"/>
  <c r="E897" i="1"/>
  <c r="E188" i="1"/>
  <c r="E909" i="1"/>
  <c r="E904" i="1"/>
  <c r="E187" i="1"/>
  <c r="E196" i="1"/>
  <c r="E202" i="1"/>
  <c r="E195" i="1"/>
  <c r="E207" i="1"/>
  <c r="E924" i="1"/>
  <c r="E226" i="1"/>
  <c r="E935" i="1"/>
  <c r="E920" i="1"/>
  <c r="E942" i="1"/>
  <c r="E943" i="1"/>
  <c r="E240" i="1"/>
  <c r="E959" i="1"/>
  <c r="E248" i="1"/>
  <c r="E966" i="1"/>
  <c r="E971" i="1"/>
  <c r="E954" i="1"/>
  <c r="E976" i="1"/>
  <c r="E979" i="1"/>
  <c r="E984" i="1"/>
  <c r="E263" i="1"/>
  <c r="E985" i="1"/>
  <c r="E255" i="1"/>
  <c r="E145" i="1"/>
  <c r="E143" i="1"/>
  <c r="E847" i="1"/>
  <c r="E996" i="1"/>
  <c r="E853" i="1"/>
  <c r="E859" i="1"/>
  <c r="E166" i="1"/>
  <c r="E876" i="1"/>
  <c r="E883" i="1"/>
  <c r="E1004" i="1"/>
  <c r="E278" i="1"/>
  <c r="E283" i="1"/>
  <c r="E173" i="1"/>
  <c r="E287" i="1"/>
  <c r="E881" i="1"/>
  <c r="E1016" i="1"/>
  <c r="E293" i="1"/>
  <c r="E1020" i="1"/>
  <c r="E189" i="1"/>
  <c r="E910" i="1"/>
  <c r="E203" i="1"/>
  <c r="E205" i="1"/>
  <c r="E925" i="1"/>
  <c r="E218" i="1"/>
  <c r="E237" i="1"/>
  <c r="E1021" i="1"/>
  <c r="E895" i="1"/>
  <c r="E890" i="1"/>
  <c r="E921" i="1"/>
  <c r="E182" i="1"/>
  <c r="E1022" i="1"/>
  <c r="E1023" i="1"/>
  <c r="E208" i="1"/>
  <c r="E1026" i="1"/>
  <c r="E1032" i="1"/>
  <c r="E313" i="1"/>
  <c r="E247" i="1"/>
  <c r="E962" i="1"/>
  <c r="E250" i="1"/>
  <c r="E986" i="1"/>
  <c r="E1045" i="1"/>
  <c r="E1051" i="1"/>
  <c r="E955" i="1"/>
  <c r="E1048" i="1"/>
  <c r="E325" i="1"/>
  <c r="E1058" i="1"/>
  <c r="E1000" i="1"/>
  <c r="E1104" i="1"/>
  <c r="E916" i="1"/>
  <c r="E1031" i="1"/>
  <c r="E488" i="1"/>
  <c r="E140" i="1"/>
  <c r="E147" i="1"/>
  <c r="E873" i="1"/>
  <c r="E861" i="1"/>
  <c r="E866" i="1"/>
  <c r="E170" i="1"/>
  <c r="E888" i="1"/>
  <c r="E179" i="1"/>
  <c r="E911" i="1"/>
  <c r="E930" i="1"/>
  <c r="E941" i="1"/>
  <c r="E227" i="1"/>
  <c r="E236" i="1"/>
  <c r="E946" i="1"/>
  <c r="E944" i="1"/>
  <c r="E246" i="1"/>
  <c r="E249" i="1"/>
  <c r="E254" i="1"/>
  <c r="E977" i="1"/>
  <c r="E258" i="1"/>
  <c r="E264" i="1"/>
  <c r="E989" i="1"/>
  <c r="E265" i="1"/>
  <c r="E268" i="1"/>
  <c r="E1002" i="1"/>
  <c r="E275" i="1"/>
  <c r="E999" i="1"/>
  <c r="E164" i="1"/>
  <c r="E276" i="1"/>
  <c r="E1008" i="1"/>
  <c r="E171" i="1"/>
  <c r="E867" i="1"/>
  <c r="E1014" i="1"/>
  <c r="E863" i="1"/>
  <c r="E178" i="1"/>
  <c r="E1017" i="1"/>
  <c r="E898" i="1"/>
  <c r="E900" i="1"/>
  <c r="E194" i="1"/>
  <c r="E915" i="1"/>
  <c r="E221" i="1"/>
  <c r="E933" i="1"/>
  <c r="E298" i="1"/>
  <c r="E301" i="1"/>
  <c r="E1024" i="1"/>
  <c r="E311" i="1"/>
  <c r="E1035" i="1"/>
  <c r="E967" i="1"/>
  <c r="E978" i="1"/>
  <c r="E315" i="1"/>
  <c r="E329" i="1"/>
  <c r="E1055" i="1"/>
  <c r="E1065" i="1"/>
  <c r="E1069" i="1"/>
  <c r="E342" i="1"/>
  <c r="E269" i="1"/>
  <c r="E344" i="1"/>
  <c r="E1072" i="1"/>
  <c r="E272" i="1"/>
  <c r="E354" i="1"/>
  <c r="E152" i="1"/>
  <c r="E868" i="1"/>
  <c r="E284" i="1"/>
  <c r="E357" i="1"/>
  <c r="E358" i="1"/>
  <c r="E864" i="1"/>
  <c r="E367" i="1"/>
  <c r="E288" i="1"/>
  <c r="E1090" i="1"/>
  <c r="E738" i="1"/>
  <c r="E1448" i="1"/>
  <c r="E767" i="1"/>
  <c r="E30" i="1"/>
  <c r="E770" i="1"/>
  <c r="E771" i="1"/>
  <c r="E778" i="1"/>
  <c r="E34" i="1"/>
  <c r="E745" i="1"/>
  <c r="E750" i="1"/>
  <c r="E8" i="1"/>
  <c r="E11" i="1"/>
  <c r="E17" i="1"/>
  <c r="E764" i="1"/>
  <c r="E736" i="1"/>
  <c r="E50" i="1"/>
  <c r="E54" i="1"/>
  <c r="E783" i="1"/>
  <c r="E58" i="1"/>
  <c r="E61" i="1"/>
  <c r="E735" i="1"/>
  <c r="E788" i="1"/>
  <c r="E45" i="1"/>
  <c r="E64" i="1"/>
  <c r="E768" i="1"/>
  <c r="E31" i="1"/>
  <c r="E25" i="1"/>
  <c r="E772" i="1"/>
  <c r="E793" i="1"/>
  <c r="E66" i="1"/>
  <c r="E796" i="1"/>
  <c r="E753" i="1"/>
  <c r="E37" i="1"/>
  <c r="E67" i="1"/>
  <c r="E798" i="1"/>
  <c r="E68" i="1"/>
  <c r="E746" i="1"/>
  <c r="E751" i="1"/>
  <c r="E800" i="1"/>
  <c r="E70" i="1"/>
  <c r="E806" i="1"/>
  <c r="E72" i="1"/>
  <c r="E35" i="1"/>
  <c r="E808" i="1"/>
  <c r="E77" i="1"/>
  <c r="E810" i="1"/>
  <c r="E12" i="1"/>
  <c r="E813" i="1"/>
  <c r="E22" i="1"/>
  <c r="E760" i="1"/>
  <c r="E737" i="1"/>
  <c r="E741" i="1"/>
  <c r="E55" i="1"/>
  <c r="E789" i="1"/>
  <c r="E86" i="1"/>
  <c r="E46" i="1"/>
  <c r="E80" i="1"/>
  <c r="E59" i="1"/>
  <c r="E784" i="1"/>
  <c r="E773" i="1"/>
  <c r="E94" i="1"/>
  <c r="E795" i="1"/>
  <c r="E95" i="1"/>
  <c r="E779" i="1"/>
  <c r="E71" i="1"/>
  <c r="E38" i="1"/>
  <c r="E747" i="1"/>
  <c r="E754" i="1"/>
  <c r="E799" i="1"/>
  <c r="E69" i="1"/>
  <c r="E23" i="1"/>
  <c r="E5" i="1"/>
  <c r="E100" i="1"/>
  <c r="E19" i="1"/>
  <c r="E785" i="1"/>
  <c r="E60" i="1"/>
  <c r="E93" i="1"/>
  <c r="E47" i="1"/>
  <c r="E790" i="1"/>
  <c r="E824" i="1"/>
  <c r="E107" i="1"/>
  <c r="E97" i="1"/>
  <c r="E823" i="1"/>
  <c r="E802" i="1"/>
  <c r="E112" i="1"/>
  <c r="E743" i="1"/>
  <c r="E148" i="1"/>
  <c r="E1018" i="1"/>
  <c r="E891" i="1"/>
  <c r="E229" i="1"/>
  <c r="E305" i="1"/>
  <c r="E1111" i="1"/>
  <c r="E386" i="1"/>
  <c r="E1114" i="1"/>
  <c r="E308" i="1"/>
  <c r="E391" i="1"/>
  <c r="E423" i="1"/>
  <c r="E416" i="1"/>
  <c r="E869" i="1"/>
  <c r="E1095" i="1"/>
  <c r="E424" i="1"/>
  <c r="E1158" i="1"/>
  <c r="E1121" i="1"/>
  <c r="E1168" i="1"/>
  <c r="E1165" i="1"/>
  <c r="E199" i="1"/>
  <c r="E901" i="1"/>
  <c r="E1146" i="1"/>
  <c r="E1144" i="1"/>
  <c r="E1148" i="1"/>
  <c r="E918" i="1"/>
  <c r="E1169" i="1"/>
  <c r="E487" i="1"/>
  <c r="E1105" i="1"/>
  <c r="E871" i="1"/>
  <c r="E169" i="1"/>
  <c r="E175" i="1"/>
  <c r="E291" i="1"/>
  <c r="E1152" i="1"/>
  <c r="E366" i="1"/>
  <c r="E1225" i="1"/>
  <c r="E502" i="1"/>
  <c r="E483" i="1"/>
  <c r="E822" i="1"/>
  <c r="E765" i="1"/>
  <c r="E101" i="1"/>
  <c r="E103" i="1"/>
  <c r="E814" i="1"/>
  <c r="E63" i="1"/>
  <c r="E106" i="1"/>
  <c r="E49" i="1"/>
  <c r="E27" i="1"/>
  <c r="E774" i="1"/>
  <c r="E820" i="1"/>
  <c r="E748" i="1"/>
  <c r="E39" i="1"/>
  <c r="E104" i="1"/>
  <c r="E809" i="1"/>
  <c r="E102" i="1"/>
  <c r="E762" i="1"/>
  <c r="E113" i="1"/>
  <c r="E16" i="1"/>
  <c r="E766" i="1"/>
  <c r="E791" i="1"/>
  <c r="E825" i="1"/>
  <c r="E306" i="1"/>
  <c r="E51" i="1"/>
  <c r="E119" i="1"/>
  <c r="E775" i="1"/>
  <c r="E122" i="1"/>
  <c r="E28" i="1"/>
  <c r="E835" i="1"/>
  <c r="E123" i="1"/>
  <c r="E6" i="1"/>
  <c r="E40" i="1"/>
  <c r="E75" i="1"/>
  <c r="E756" i="1"/>
  <c r="E836" i="1"/>
  <c r="E111" i="1"/>
  <c r="E763" i="1"/>
  <c r="E128" i="1"/>
  <c r="E57" i="1"/>
  <c r="E792" i="1"/>
  <c r="E89" i="1"/>
  <c r="E120" i="1"/>
  <c r="E834" i="1"/>
  <c r="E109" i="1"/>
  <c r="E135" i="1"/>
  <c r="E843" i="1"/>
  <c r="E130" i="1"/>
  <c r="E804" i="1"/>
  <c r="E811" i="1"/>
  <c r="E41" i="1"/>
  <c r="E830" i="1"/>
  <c r="E76" i="1"/>
  <c r="E99" i="1"/>
  <c r="E129" i="1"/>
  <c r="E826" i="1"/>
  <c r="E786" i="1"/>
  <c r="E136" i="1"/>
  <c r="E844" i="1"/>
  <c r="E805" i="1"/>
  <c r="E812" i="1"/>
  <c r="E1092" i="1"/>
  <c r="E363" i="1"/>
  <c r="E1094" i="1"/>
  <c r="E1036" i="1"/>
  <c r="E1098" i="1"/>
  <c r="E1107" i="1"/>
  <c r="E934" i="1"/>
  <c r="E906" i="1"/>
  <c r="E382" i="1"/>
  <c r="E390" i="1"/>
  <c r="E1006" i="1"/>
  <c r="E431" i="1"/>
  <c r="E907" i="1"/>
  <c r="E1033" i="1"/>
  <c r="E1226" i="1"/>
  <c r="E1113" i="1"/>
  <c r="E286" i="1"/>
  <c r="E370" i="1"/>
  <c r="E1243" i="1"/>
  <c r="E501" i="1"/>
  <c r="E281" i="1"/>
  <c r="E190" i="1"/>
  <c r="E213" i="1"/>
  <c r="E1100" i="1"/>
  <c r="E377" i="1"/>
  <c r="E359" i="1"/>
  <c r="E1150" i="1"/>
  <c r="E285" i="1"/>
  <c r="E1007" i="1"/>
  <c r="E467" i="1"/>
  <c r="E1003" i="1"/>
  <c r="E425" i="1"/>
  <c r="E43" i="1"/>
  <c r="E201" i="1"/>
  <c r="E896" i="1"/>
  <c r="E206" i="1"/>
  <c r="E209" i="1"/>
  <c r="E376" i="1"/>
  <c r="E378" i="1"/>
  <c r="E219" i="1"/>
  <c r="E385" i="1"/>
  <c r="E782" i="1"/>
  <c r="E1153" i="1"/>
  <c r="E1112" i="1"/>
  <c r="E938" i="1"/>
  <c r="E1151" i="1"/>
  <c r="E1096" i="1"/>
  <c r="E369" i="1"/>
  <c r="E200" i="1"/>
  <c r="E939" i="1"/>
  <c r="E1149" i="1"/>
  <c r="E1160" i="1"/>
  <c r="E1215" i="1"/>
  <c r="E903" i="1"/>
  <c r="E926" i="1"/>
  <c r="E1110" i="1"/>
  <c r="E1084" i="1"/>
  <c r="E1074" i="1"/>
  <c r="E1211" i="1"/>
  <c r="E360" i="1"/>
  <c r="E450" i="1"/>
  <c r="E418" i="1"/>
  <c r="E1240" i="1"/>
  <c r="E1452" i="1"/>
  <c r="E742" i="1"/>
  <c r="E117" i="1"/>
  <c r="E131" i="1"/>
  <c r="E875" i="1"/>
  <c r="E204" i="1"/>
  <c r="E1455" i="1"/>
  <c r="E905" i="1"/>
  <c r="E297" i="1"/>
  <c r="E193" i="1"/>
  <c r="E142" i="1"/>
  <c r="E851" i="1"/>
  <c r="E153" i="1"/>
  <c r="E899" i="1"/>
  <c r="E186" i="1"/>
  <c r="E948" i="1"/>
  <c r="E961" i="1"/>
  <c r="E212" i="1"/>
  <c r="E257" i="1"/>
  <c r="E340" i="1"/>
  <c r="E350" i="1"/>
  <c r="E259" i="1"/>
  <c r="E162" i="1"/>
  <c r="E374" i="1"/>
  <c r="E1143" i="1"/>
  <c r="E1127" i="1"/>
  <c r="E1247" i="1"/>
  <c r="E937" i="1"/>
  <c r="E1120" i="1"/>
  <c r="E947" i="1"/>
  <c r="E417" i="1"/>
  <c r="E1147" i="1"/>
  <c r="E372" i="1"/>
  <c r="E180" i="1"/>
  <c r="E279" i="1"/>
  <c r="E289" i="1"/>
  <c r="E427" i="1"/>
  <c r="E1161" i="1"/>
  <c r="E892" i="1"/>
  <c r="E917" i="1"/>
  <c r="E309" i="1"/>
  <c r="E430" i="1"/>
  <c r="E184" i="1"/>
  <c r="E1037" i="1"/>
  <c r="E432" i="1"/>
  <c r="E922" i="1"/>
  <c r="E1108" i="1"/>
  <c r="E387" i="1"/>
  <c r="E1170" i="1"/>
  <c r="E1176" i="1"/>
  <c r="E886" i="1"/>
  <c r="E1091" i="1"/>
  <c r="E365" i="1"/>
  <c r="E373" i="1"/>
  <c r="E1214" i="1"/>
  <c r="E870" i="1"/>
  <c r="E1159" i="1"/>
  <c r="E168" i="1"/>
  <c r="E1164" i="1"/>
  <c r="E465" i="1"/>
  <c r="E174" i="1"/>
  <c r="E1218" i="1"/>
  <c r="E1012" i="1"/>
  <c r="E290" i="1"/>
  <c r="E280" i="1"/>
  <c r="E215" i="1"/>
  <c r="E238" i="1"/>
  <c r="E310" i="1"/>
  <c r="E388" i="1"/>
  <c r="E1224" i="1"/>
  <c r="E1166" i="1"/>
  <c r="E893" i="1"/>
  <c r="E1171" i="1"/>
  <c r="E1222" i="1"/>
  <c r="E314" i="1"/>
  <c r="E1228" i="1"/>
  <c r="E1013" i="1"/>
  <c r="E1239" i="1"/>
  <c r="E499" i="1"/>
  <c r="E420" i="1"/>
  <c r="E1019" i="1"/>
  <c r="E185" i="1"/>
  <c r="E216" i="1"/>
  <c r="E389" i="1"/>
  <c r="E1223" i="1"/>
  <c r="E1167" i="1"/>
  <c r="E300" i="1"/>
  <c r="E304" i="1"/>
  <c r="E1029" i="1"/>
  <c r="E503" i="1"/>
  <c r="E504" i="1"/>
  <c r="E1172" i="1"/>
  <c r="E780" i="1"/>
  <c r="E110" i="1"/>
  <c r="E829" i="1"/>
  <c r="E74" i="1"/>
  <c r="E832" i="1"/>
  <c r="E116" i="1"/>
  <c r="E818" i="1"/>
  <c r="E82" i="1"/>
  <c r="E833" i="1"/>
  <c r="E108" i="1"/>
  <c r="E749" i="1"/>
  <c r="E98" i="1"/>
  <c r="E803" i="1"/>
  <c r="E124" i="1"/>
  <c r="E837" i="1"/>
  <c r="E127" i="1"/>
  <c r="E114" i="1"/>
  <c r="E83" i="1"/>
  <c r="E838" i="1"/>
  <c r="E29" i="1"/>
  <c r="E776" i="1"/>
  <c r="E7" i="1"/>
  <c r="E757" i="1"/>
  <c r="E781" i="1"/>
  <c r="E125" i="1"/>
  <c r="E115" i="1"/>
  <c r="E52" i="1"/>
  <c r="E90" i="1"/>
  <c r="E84" i="1"/>
  <c r="E1451" i="1"/>
  <c r="E758" i="1"/>
  <c r="E831" i="1"/>
  <c r="E126" i="1"/>
  <c r="E53" i="1"/>
  <c r="E787" i="1"/>
  <c r="E118" i="1"/>
  <c r="E85" i="1"/>
  <c r="E827" i="1"/>
  <c r="E91" i="1"/>
  <c r="E121" i="1"/>
  <c r="E839" i="1"/>
  <c r="E183" i="1"/>
  <c r="E167" i="1"/>
  <c r="E191" i="1"/>
  <c r="E1154" i="1"/>
  <c r="E469" i="1"/>
  <c r="E902" i="1"/>
  <c r="E2" i="1"/>
  <c r="E1248" i="1"/>
  <c r="E912" i="1"/>
  <c r="E1450" i="1"/>
  <c r="E1453" i="1"/>
  <c r="E1454" i="1"/>
  <c r="E1456" i="1"/>
  <c r="E1458" i="1"/>
  <c r="E1457" i="1"/>
  <c r="E1459" i="1"/>
  <c r="E1460" i="1"/>
  <c r="E1251" i="1"/>
  <c r="AS1251" i="1" s="1"/>
  <c r="E509" i="1"/>
  <c r="E511" i="1"/>
  <c r="E471" i="1"/>
  <c r="E1252" i="1"/>
  <c r="E518" i="1"/>
  <c r="AS518" i="1" s="1"/>
  <c r="E1258" i="1"/>
  <c r="AS1258" i="1" s="1"/>
  <c r="E472" i="1"/>
  <c r="E1260" i="1"/>
  <c r="AS1260" i="1" s="1"/>
  <c r="E527" i="1"/>
  <c r="E484" i="1"/>
  <c r="E1264" i="1"/>
  <c r="E1266" i="1"/>
  <c r="E542" i="1"/>
  <c r="AS542" i="1" s="1"/>
  <c r="E551" i="1"/>
  <c r="E1279" i="1"/>
  <c r="AS1279" i="1" s="1"/>
  <c r="E1272" i="1"/>
  <c r="E1273" i="1"/>
  <c r="E546" i="1"/>
  <c r="E1270" i="1"/>
  <c r="AS1270" i="1" s="1"/>
  <c r="E1278" i="1"/>
  <c r="E1280" i="1"/>
  <c r="AS1280" i="1" s="1"/>
  <c r="E555" i="1"/>
  <c r="AS555" i="1" s="1"/>
  <c r="E557" i="1"/>
  <c r="E1282" i="1"/>
  <c r="E564" i="1"/>
  <c r="E556" i="1"/>
  <c r="AS556" i="1" s="1"/>
  <c r="E1284" i="1"/>
  <c r="E1292" i="1"/>
  <c r="AS1292" i="1" s="1"/>
  <c r="E572" i="1"/>
  <c r="E1298" i="1"/>
  <c r="E579" i="1"/>
  <c r="AS579" i="1" s="1"/>
  <c r="E1302" i="1"/>
  <c r="E578" i="1"/>
  <c r="E1305" i="1"/>
  <c r="E1331" i="1"/>
  <c r="AS1331" i="1" s="1"/>
  <c r="E1253" i="1"/>
  <c r="AS1253" i="1" s="1"/>
  <c r="E473" i="1"/>
  <c r="E616" i="1"/>
  <c r="E1187" i="1"/>
  <c r="AS1187" i="1" s="1"/>
  <c r="E1337" i="1"/>
  <c r="E1312" i="1"/>
  <c r="E1313" i="1"/>
  <c r="E524" i="1"/>
  <c r="AS524" i="1" s="1"/>
  <c r="E585" i="1"/>
  <c r="E591" i="1"/>
  <c r="AS591" i="1" s="1"/>
  <c r="E1315" i="1"/>
  <c r="AS1315" i="1" s="1"/>
  <c r="E586" i="1"/>
  <c r="AS586" i="1" s="1"/>
  <c r="E1314" i="1"/>
  <c r="AS1314" i="1" s="1"/>
  <c r="E596" i="1"/>
  <c r="AS596" i="1" s="1"/>
  <c r="E533" i="1"/>
  <c r="AS533" i="1" s="1"/>
  <c r="E1323" i="1"/>
  <c r="E1271" i="1"/>
  <c r="E552" i="1"/>
  <c r="AS552" i="1" s="1"/>
  <c r="E592" i="1"/>
  <c r="E1325" i="1"/>
  <c r="AS1325" i="1" s="1"/>
  <c r="E1274" i="1"/>
  <c r="E1328" i="1"/>
  <c r="AS1328" i="1" s="1"/>
  <c r="E1281" i="1"/>
  <c r="AS1281" i="1" s="1"/>
  <c r="E598" i="1"/>
  <c r="E547" i="1"/>
  <c r="E558" i="1"/>
  <c r="E565" i="1"/>
  <c r="AS565" i="1" s="1"/>
  <c r="E1285" i="1"/>
  <c r="AS1285" i="1" s="1"/>
  <c r="E1231" i="1"/>
  <c r="AS1231" i="1" s="1"/>
  <c r="E1441" i="1"/>
  <c r="AS1441" i="1" s="1"/>
  <c r="E601" i="1"/>
  <c r="E1293" i="1"/>
  <c r="E1283" i="1"/>
  <c r="E1303" i="1"/>
  <c r="AS1303" i="1" s="1"/>
  <c r="E1289" i="1"/>
  <c r="E602" i="1"/>
  <c r="E1306" i="1"/>
  <c r="E1342" i="1"/>
  <c r="AS1342" i="1" s="1"/>
  <c r="E1343" i="1"/>
  <c r="AS1343" i="1" s="1"/>
  <c r="E626" i="1"/>
  <c r="E1347" i="1"/>
  <c r="AS1347" i="1" s="1"/>
  <c r="E1254" i="1"/>
  <c r="AS1254" i="1" s="1"/>
  <c r="E1310" i="1"/>
  <c r="E519" i="1"/>
  <c r="E627" i="1"/>
  <c r="E617" i="1"/>
  <c r="E611" i="1"/>
  <c r="E474" i="1"/>
  <c r="E1332" i="1"/>
  <c r="E1188" i="1"/>
  <c r="AS1188" i="1" s="1"/>
  <c r="E1338" i="1"/>
  <c r="AS1338" i="1" s="1"/>
  <c r="E1349" i="1"/>
  <c r="AS1349" i="1" s="1"/>
  <c r="E628" i="1"/>
  <c r="AS628" i="1" s="1"/>
  <c r="E632" i="1"/>
  <c r="E1353" i="1"/>
  <c r="E636" i="1"/>
  <c r="AS636" i="1" s="1"/>
  <c r="E1357" i="1"/>
  <c r="E1360" i="1"/>
  <c r="AS1360" i="1" s="1"/>
  <c r="E639" i="1"/>
  <c r="E485" i="1"/>
  <c r="E513" i="1"/>
  <c r="AS513" i="1" s="1"/>
  <c r="E1088" i="1"/>
  <c r="E728" i="1"/>
  <c r="E640" i="1"/>
  <c r="AS640" i="1" s="1"/>
  <c r="E1321" i="1"/>
  <c r="AS1321" i="1" s="1"/>
  <c r="E641" i="1"/>
  <c r="E534" i="1"/>
  <c r="AS534" i="1" s="1"/>
  <c r="E587" i="1"/>
  <c r="AS587" i="1" s="1"/>
  <c r="E1367" i="1"/>
  <c r="AS1367" i="1" s="1"/>
  <c r="E1316" i="1"/>
  <c r="AS1316" i="1" s="1"/>
  <c r="E1364" i="1"/>
  <c r="AS1364" i="1" s="1"/>
  <c r="E1373" i="1"/>
  <c r="E1369" i="1"/>
  <c r="AS1369" i="1" s="1"/>
  <c r="E541" i="1"/>
  <c r="E529" i="1"/>
  <c r="E647" i="1"/>
  <c r="E651" i="1"/>
  <c r="AS651" i="1" s="1"/>
  <c r="E652" i="1"/>
  <c r="AS652" i="1" s="1"/>
  <c r="E1378" i="1"/>
  <c r="AS1378" i="1" s="1"/>
  <c r="E1324" i="1"/>
  <c r="E655" i="1"/>
  <c r="E545" i="1"/>
  <c r="E1377" i="1"/>
  <c r="AS1377" i="1" s="1"/>
  <c r="E653" i="1"/>
  <c r="AS653" i="1" s="1"/>
  <c r="E1275" i="1"/>
  <c r="E599" i="1"/>
  <c r="AS599" i="1" s="1"/>
  <c r="E1381" i="1"/>
  <c r="E1326" i="1"/>
  <c r="AS1326" i="1" s="1"/>
  <c r="E1379" i="1"/>
  <c r="AS1379" i="1" s="1"/>
  <c r="E548" i="1"/>
  <c r="AS548" i="1" s="1"/>
  <c r="E347" i="1"/>
  <c r="E661" i="1"/>
  <c r="AS661" i="1" s="1"/>
  <c r="E1384" i="1"/>
  <c r="AS1384" i="1" s="1"/>
  <c r="E662" i="1"/>
  <c r="E665" i="1"/>
  <c r="E1386" i="1"/>
  <c r="AS1386" i="1" s="1"/>
  <c r="E1344" i="1"/>
  <c r="AS1344" i="1" s="1"/>
  <c r="E1286" i="1"/>
  <c r="AS1286" i="1" s="1"/>
  <c r="E1330" i="1"/>
  <c r="AS1330" i="1" s="1"/>
  <c r="E1385" i="1"/>
  <c r="AS1385" i="1" s="1"/>
  <c r="E1442" i="1"/>
  <c r="AS1442" i="1" s="1"/>
  <c r="E603" i="1"/>
  <c r="AS603" i="1" s="1"/>
  <c r="E1294" i="1"/>
  <c r="E1232" i="1"/>
  <c r="E566" i="1"/>
  <c r="AS566" i="1" s="1"/>
  <c r="E664" i="1"/>
  <c r="AS664" i="1" s="1"/>
  <c r="E1307" i="1"/>
  <c r="E1299" i="1"/>
  <c r="AS1299" i="1" s="1"/>
  <c r="E1290" i="1"/>
  <c r="AS1290" i="1" s="1"/>
  <c r="E1196" i="1"/>
  <c r="AS1196" i="1" s="1"/>
  <c r="E671" i="1"/>
  <c r="E1389" i="1"/>
  <c r="AS1389" i="1" s="1"/>
  <c r="E669" i="1"/>
  <c r="E1345" i="1"/>
  <c r="AS1345" i="1" s="1"/>
  <c r="E475" i="1"/>
  <c r="E1255" i="1"/>
  <c r="E1348" i="1"/>
  <c r="E520" i="1"/>
  <c r="AS520" i="1" s="1"/>
  <c r="E1354" i="1"/>
  <c r="E1392" i="1"/>
  <c r="AS1392" i="1" s="1"/>
  <c r="E1333" i="1"/>
  <c r="E608" i="1"/>
  <c r="E612" i="1"/>
  <c r="E618" i="1"/>
  <c r="AS618" i="1" s="1"/>
  <c r="E1391" i="1"/>
  <c r="AS1391" i="1" s="1"/>
  <c r="E633" i="1"/>
  <c r="AS633" i="1" s="1"/>
  <c r="E1311" i="1"/>
  <c r="E1358" i="1"/>
  <c r="AS1358" i="1" s="1"/>
  <c r="E1339" i="1"/>
  <c r="AS1339" i="1" s="1"/>
  <c r="E1189" i="1"/>
  <c r="E637" i="1"/>
  <c r="E1394" i="1"/>
  <c r="AS1394" i="1" s="1"/>
  <c r="E1361" i="1"/>
  <c r="AS1361" i="1" s="1"/>
  <c r="E1101" i="1"/>
  <c r="AS1101" i="1" s="1"/>
  <c r="E676" i="1"/>
  <c r="AS676" i="1" s="1"/>
  <c r="E1350" i="1"/>
  <c r="E1370" i="1"/>
  <c r="E682" i="1"/>
  <c r="E1322" i="1"/>
  <c r="E680" i="1"/>
  <c r="E729" i="1"/>
  <c r="E1403" i="1"/>
  <c r="E1402" i="1"/>
  <c r="AS1402" i="1" s="1"/>
  <c r="E642" i="1"/>
  <c r="AS642" i="1" s="1"/>
  <c r="E1401" i="1"/>
  <c r="E685" i="1"/>
  <c r="E1406" i="1"/>
  <c r="AS1406" i="1" s="1"/>
  <c r="E1089" i="1"/>
  <c r="E1317" i="1"/>
  <c r="AS1317" i="1" s="1"/>
  <c r="E732" i="1"/>
  <c r="AS732" i="1" s="1"/>
  <c r="E1400" i="1"/>
  <c r="AS1400" i="1" s="1"/>
  <c r="E1365" i="1"/>
  <c r="E677" i="1"/>
  <c r="AS677" i="1" s="1"/>
  <c r="E1408" i="1"/>
  <c r="E688" i="1"/>
  <c r="AS688" i="1" s="1"/>
  <c r="E1410" i="1"/>
  <c r="E693" i="1"/>
  <c r="E1382" i="1"/>
  <c r="E348" i="1"/>
  <c r="E1276" i="1"/>
  <c r="AS1276" i="1" s="1"/>
  <c r="E654" i="1"/>
  <c r="E1412" i="1"/>
  <c r="AS1412" i="1" s="1"/>
  <c r="E549" i="1"/>
  <c r="E656" i="1"/>
  <c r="AS656" i="1" s="1"/>
  <c r="E600" i="1"/>
  <c r="AS600" i="1" s="1"/>
  <c r="E694" i="1"/>
  <c r="E1380" i="1"/>
  <c r="E1414" i="1"/>
  <c r="E699" i="1"/>
  <c r="AS699" i="1" s="1"/>
  <c r="E1415" i="1"/>
  <c r="AS1415" i="1" s="1"/>
  <c r="E672" i="1"/>
  <c r="AS672" i="1" s="1"/>
  <c r="E1417" i="1"/>
  <c r="AS1417" i="1" s="1"/>
  <c r="E1300" i="1"/>
  <c r="AS1300" i="1" s="1"/>
  <c r="E704" i="1"/>
  <c r="AS704" i="1" s="1"/>
  <c r="E666" i="1"/>
  <c r="AS666" i="1" s="1"/>
  <c r="E1390" i="1"/>
  <c r="AS1390" i="1" s="1"/>
  <c r="E707" i="1"/>
  <c r="E525" i="1"/>
  <c r="E1395" i="1"/>
  <c r="E1424" i="1"/>
  <c r="AS1424" i="1" s="1"/>
  <c r="E630" i="1"/>
  <c r="AS630" i="1" s="1"/>
  <c r="E1351" i="1"/>
  <c r="E1393" i="1"/>
  <c r="AS1393" i="1" s="1"/>
  <c r="E686" i="1"/>
  <c r="AS686" i="1" s="1"/>
  <c r="E1409" i="1"/>
  <c r="E1371" i="1"/>
  <c r="AS1371" i="1" s="1"/>
  <c r="E1426" i="1"/>
  <c r="AS1426" i="1" s="1"/>
  <c r="E1411" i="1"/>
  <c r="AS1411" i="1" s="1"/>
  <c r="E1413" i="1"/>
  <c r="AS1413" i="1" s="1"/>
  <c r="E1277" i="1"/>
  <c r="AS1277" i="1" s="1"/>
  <c r="E1430" i="1"/>
  <c r="AS1430" i="1" s="1"/>
  <c r="E716" i="1"/>
  <c r="E692" i="1"/>
  <c r="AS692" i="1" s="1"/>
  <c r="E1087" i="1"/>
  <c r="E1230" i="1"/>
  <c r="E580" i="1"/>
  <c r="E563" i="1"/>
  <c r="E1288" i="1"/>
  <c r="E554" i="1"/>
  <c r="E1268" i="1"/>
  <c r="AS1268" i="1" s="1"/>
  <c r="E514" i="1"/>
  <c r="AS514" i="1" s="1"/>
  <c r="E1261" i="1"/>
  <c r="AS1261" i="1" s="1"/>
  <c r="E508" i="1"/>
  <c r="E607" i="1"/>
  <c r="E506" i="1"/>
  <c r="E658" i="1"/>
  <c r="AS658" i="1" s="1"/>
  <c r="E1195" i="1"/>
  <c r="E544" i="1"/>
  <c r="AS544" i="1" s="1"/>
  <c r="E1265" i="1"/>
  <c r="E582" i="1"/>
  <c r="AS582" i="1" s="1"/>
  <c r="E1186" i="1"/>
  <c r="E1320" i="1"/>
  <c r="E1336" i="1"/>
  <c r="AS1336" i="1" s="1"/>
  <c r="E1025" i="1"/>
  <c r="E361" i="1"/>
  <c r="E594" i="1"/>
  <c r="AS594" i="1" s="1"/>
  <c r="E733" i="1"/>
  <c r="AS733" i="1" s="1"/>
  <c r="E663" i="1"/>
  <c r="AS663" i="1" s="1"/>
  <c r="E1297" i="1"/>
  <c r="E577" i="1"/>
  <c r="AS577" i="1" s="1"/>
  <c r="E581" i="1"/>
  <c r="E1309" i="1"/>
  <c r="E1362" i="1"/>
  <c r="AS1362" i="1" s="1"/>
  <c r="E622" i="1"/>
  <c r="E1249" i="1"/>
  <c r="E710" i="1"/>
  <c r="AS710" i="1" s="1"/>
  <c r="E543" i="1"/>
  <c r="E610" i="1"/>
  <c r="E575" i="1"/>
  <c r="E532" i="1"/>
  <c r="E538" i="1"/>
  <c r="E675" i="1"/>
  <c r="AS675" i="1" s="1"/>
  <c r="E1267" i="1"/>
  <c r="E540" i="1"/>
  <c r="E593" i="1"/>
  <c r="AS593" i="1" s="1"/>
  <c r="E537" i="1"/>
  <c r="E597" i="1"/>
  <c r="E559" i="1"/>
  <c r="AS559" i="1" s="1"/>
  <c r="E576" i="1"/>
  <c r="AS576" i="1" s="1"/>
  <c r="E613" i="1"/>
  <c r="AS613" i="1" s="1"/>
  <c r="E523" i="1"/>
  <c r="E1259" i="1"/>
  <c r="E623" i="1"/>
  <c r="AS623" i="1" s="1"/>
  <c r="E1250" i="1"/>
  <c r="E539" i="1"/>
  <c r="AS539" i="1" s="1"/>
  <c r="E1263" i="1"/>
  <c r="E1376" i="1"/>
  <c r="AS1376" i="1" s="1"/>
  <c r="E1269" i="1"/>
  <c r="E517" i="1"/>
  <c r="E1444" i="1"/>
  <c r="AS1444" i="1" s="1"/>
  <c r="E510" i="1"/>
  <c r="AS510" i="1" s="1"/>
  <c r="E528" i="1"/>
  <c r="E621" i="1"/>
  <c r="AS621" i="1" s="1"/>
  <c r="E507" i="1"/>
  <c r="E1304" i="1"/>
  <c r="E1419" i="1"/>
  <c r="AS1419" i="1" s="1"/>
  <c r="E644" i="1"/>
  <c r="AS644" i="1" s="1"/>
  <c r="E1397" i="1"/>
  <c r="AS1397" i="1" s="1"/>
  <c r="E1368" i="1"/>
  <c r="AS1368" i="1" s="1"/>
  <c r="E553" i="1"/>
  <c r="AS553" i="1" s="1"/>
  <c r="E588" i="1"/>
  <c r="AS588" i="1" s="1"/>
  <c r="E645" i="1"/>
  <c r="AS645" i="1" s="1"/>
  <c r="E569" i="1"/>
  <c r="E1329" i="1"/>
  <c r="E629" i="1"/>
  <c r="E583" i="1"/>
  <c r="AS583" i="1" s="1"/>
  <c r="E689" i="1"/>
  <c r="AS689" i="1" s="1"/>
  <c r="E648" i="1"/>
  <c r="E691" i="1"/>
  <c r="E659" i="1"/>
  <c r="E560" i="1"/>
  <c r="AS560" i="1" s="1"/>
  <c r="E1287" i="1"/>
  <c r="AS1287" i="1" s="1"/>
  <c r="E696" i="1"/>
  <c r="AS696" i="1" s="1"/>
  <c r="E567" i="1"/>
  <c r="AS567" i="1" s="1"/>
  <c r="E1295" i="1"/>
  <c r="AS1295" i="1" s="1"/>
  <c r="E703" i="1"/>
  <c r="E700" i="1"/>
  <c r="E568" i="1"/>
  <c r="E1197" i="1"/>
  <c r="E1443" i="1"/>
  <c r="E604" i="1"/>
  <c r="E670" i="1"/>
  <c r="AS670" i="1" s="1"/>
  <c r="E1387" i="1"/>
  <c r="AS1387" i="1" s="1"/>
  <c r="E570" i="1"/>
  <c r="AS570" i="1" s="1"/>
  <c r="E1421" i="1"/>
  <c r="E1446" i="1"/>
  <c r="AS1446" i="1" s="1"/>
  <c r="E1488" i="1"/>
  <c r="E614" i="1"/>
  <c r="AS614" i="1" s="1"/>
  <c r="E1398" i="1"/>
  <c r="AS1398" i="1" s="1"/>
  <c r="E1355" i="1"/>
  <c r="AS1355" i="1" s="1"/>
  <c r="E584" i="1"/>
  <c r="E515" i="1"/>
  <c r="E1256" i="1"/>
  <c r="E1359" i="1"/>
  <c r="AS1359" i="1" s="1"/>
  <c r="E1190" i="1"/>
  <c r="AS1190" i="1" s="1"/>
  <c r="E1340" i="1"/>
  <c r="E476" i="1"/>
  <c r="AS476" i="1" s="1"/>
  <c r="E609" i="1"/>
  <c r="AS609" i="1" s="1"/>
  <c r="E1423" i="1"/>
  <c r="AS1423" i="1" s="1"/>
  <c r="E708" i="1"/>
  <c r="E1334" i="1"/>
  <c r="E521" i="1"/>
  <c r="AS521" i="1" s="1"/>
  <c r="E634" i="1"/>
  <c r="AS634" i="1" s="1"/>
  <c r="E1462" i="1"/>
  <c r="E619" i="1"/>
  <c r="E1102" i="1"/>
  <c r="AS1102" i="1" s="1"/>
  <c r="E1425" i="1"/>
  <c r="AS1425" i="1" s="1"/>
  <c r="E643" i="1"/>
  <c r="AS643" i="1" s="1"/>
  <c r="E1404" i="1"/>
  <c r="AS1404" i="1" s="1"/>
  <c r="E1407" i="1"/>
  <c r="AS1407" i="1" s="1"/>
  <c r="E681" i="1"/>
  <c r="AS681" i="1" s="1"/>
  <c r="E1374" i="1"/>
  <c r="AS1374" i="1" s="1"/>
  <c r="E649" i="1"/>
  <c r="AS649" i="1" s="1"/>
  <c r="E1363" i="1"/>
  <c r="E1318" i="1"/>
  <c r="E530" i="1"/>
  <c r="AS530" i="1" s="1"/>
  <c r="E1366" i="1"/>
  <c r="AS1366" i="1" s="1"/>
  <c r="E678" i="1"/>
  <c r="E683" i="1"/>
  <c r="AS683" i="1" s="1"/>
  <c r="E730" i="1"/>
  <c r="AS730" i="1" s="1"/>
  <c r="E535" i="1"/>
  <c r="AS535" i="1" s="1"/>
  <c r="E711" i="1"/>
  <c r="E589" i="1"/>
  <c r="AS589" i="1" s="1"/>
  <c r="E714" i="1"/>
  <c r="AS714" i="1" s="1"/>
  <c r="E712" i="1"/>
  <c r="AS712" i="1" s="1"/>
  <c r="E1428" i="1"/>
  <c r="E531" i="1"/>
  <c r="AS531" i="1" s="1"/>
  <c r="E1327" i="1"/>
  <c r="E349" i="1"/>
  <c r="AS349" i="1" s="1"/>
  <c r="E595" i="1"/>
  <c r="AS595" i="1" s="1"/>
  <c r="E660" i="1"/>
  <c r="E695" i="1"/>
  <c r="AS695" i="1" s="1"/>
  <c r="E1383" i="1"/>
  <c r="AS1383" i="1" s="1"/>
  <c r="E550" i="1"/>
  <c r="E657" i="1"/>
  <c r="AS657" i="1" s="1"/>
  <c r="E697" i="1"/>
  <c r="AS697" i="1" s="1"/>
  <c r="E1418" i="1"/>
  <c r="AS1418" i="1" s="1"/>
  <c r="E1388" i="1"/>
  <c r="AS1388" i="1" s="1"/>
  <c r="E561" i="1"/>
  <c r="AS561" i="1" s="1"/>
  <c r="E1422" i="1"/>
  <c r="E1198" i="1"/>
  <c r="AS1198" i="1" s="1"/>
  <c r="E1445" i="1"/>
  <c r="E667" i="1"/>
  <c r="E1346" i="1"/>
  <c r="E573" i="1"/>
  <c r="E624" i="1"/>
  <c r="E1416" i="1"/>
  <c r="AS1416" i="1" s="1"/>
  <c r="E705" i="1"/>
  <c r="E673" i="1"/>
  <c r="E1291" i="1"/>
  <c r="E1420" i="1"/>
  <c r="AS1420" i="1" s="1"/>
  <c r="E605" i="1"/>
  <c r="AS605" i="1" s="1"/>
  <c r="E718" i="1"/>
  <c r="AS718" i="1" s="1"/>
  <c r="E1432" i="1"/>
  <c r="AT1432" i="1" s="1"/>
  <c r="E717" i="1"/>
  <c r="AT717" i="1" s="1"/>
  <c r="E701" i="1"/>
  <c r="E1431" i="1"/>
  <c r="AS1431" i="1" s="1"/>
  <c r="E1463"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9" i="1"/>
  <c r="E1490" i="1"/>
  <c r="E2050" i="1"/>
  <c r="E1633" i="1"/>
  <c r="E1708" i="1"/>
  <c r="E1709" i="1"/>
  <c r="E1707" i="1"/>
  <c r="E1710" i="1"/>
  <c r="E2173" i="1"/>
  <c r="E1711" i="1"/>
  <c r="E1784" i="1"/>
  <c r="E1858" i="1"/>
  <c r="E1702" i="1"/>
  <c r="E1693" i="1"/>
  <c r="E1718" i="1"/>
  <c r="E1722" i="1"/>
  <c r="E1729" i="1"/>
  <c r="E1730" i="1"/>
  <c r="E1736" i="1"/>
  <c r="E1744" i="1"/>
  <c r="E1746" i="1"/>
  <c r="E1751" i="1"/>
  <c r="E1712" i="1"/>
  <c r="E1719" i="1"/>
  <c r="E1723" i="1"/>
  <c r="E1724" i="1"/>
  <c r="E1726" i="1"/>
  <c r="E1731" i="1"/>
  <c r="E1735" i="1"/>
  <c r="E1745" i="1"/>
  <c r="E1747" i="1"/>
  <c r="E1748" i="1"/>
  <c r="E1750" i="1"/>
  <c r="E1752" i="1"/>
  <c r="E1760" i="1"/>
  <c r="E1762" i="1"/>
  <c r="E1772" i="1"/>
  <c r="E1780" i="1"/>
  <c r="E1785" i="1"/>
  <c r="E1791" i="1"/>
  <c r="E1793" i="1"/>
  <c r="E1795" i="1"/>
  <c r="E1796" i="1"/>
  <c r="E1799" i="1"/>
  <c r="E1809" i="1"/>
  <c r="E1811" i="1"/>
  <c r="E1814" i="1"/>
  <c r="E1816" i="1"/>
  <c r="E1820" i="1"/>
  <c r="E1826" i="1"/>
  <c r="E1773" i="1"/>
  <c r="E1781" i="1"/>
  <c r="E1786" i="1"/>
  <c r="E1792" i="1"/>
  <c r="E1800" i="1"/>
  <c r="E1804" i="1"/>
  <c r="E1810" i="1"/>
  <c r="E1815" i="1"/>
  <c r="E1817" i="1"/>
  <c r="E1829" i="1"/>
  <c r="E1831" i="1"/>
  <c r="E1837" i="1"/>
  <c r="E1840" i="1"/>
  <c r="E1846" i="1"/>
  <c r="E1853" i="1"/>
  <c r="E1857" i="1"/>
  <c r="E1864" i="1"/>
  <c r="E1871" i="1"/>
  <c r="E1879" i="1"/>
  <c r="E1888" i="1"/>
  <c r="E1894" i="1"/>
  <c r="E1904" i="1"/>
  <c r="E1908" i="1"/>
  <c r="E1917" i="1"/>
  <c r="E1923" i="1"/>
  <c r="E1927" i="1"/>
  <c r="E1935" i="1"/>
  <c r="E1937" i="1"/>
  <c r="E1878" i="1"/>
  <c r="E1880" i="1"/>
  <c r="E1889" i="1"/>
  <c r="E1895" i="1"/>
  <c r="E1905" i="1"/>
  <c r="E1910" i="1"/>
  <c r="E1918" i="1"/>
  <c r="E1922" i="1"/>
  <c r="E1924" i="1"/>
  <c r="E1936" i="1"/>
  <c r="E1938" i="1"/>
  <c r="E1946" i="1"/>
  <c r="E1949" i="1"/>
  <c r="E1952" i="1"/>
  <c r="E1958" i="1"/>
  <c r="E1961" i="1"/>
  <c r="E1962" i="1"/>
  <c r="E1713" i="1"/>
  <c r="E1720" i="1"/>
  <c r="E1727" i="1"/>
  <c r="E1753" i="1"/>
  <c r="E1766" i="1"/>
  <c r="E1973" i="1"/>
  <c r="E1721" i="1"/>
  <c r="E1728" i="1"/>
  <c r="E1737" i="1"/>
  <c r="E1754" i="1"/>
  <c r="E1755" i="1"/>
  <c r="E1763" i="1"/>
  <c r="E1974" i="1"/>
  <c r="E1975" i="1"/>
  <c r="E1979" i="1"/>
  <c r="E1981" i="1"/>
  <c r="E1987" i="1"/>
  <c r="E1774" i="1"/>
  <c r="E1782" i="1"/>
  <c r="E1787" i="1"/>
  <c r="E1797" i="1"/>
  <c r="E1805" i="1"/>
  <c r="E1812" i="1"/>
  <c r="E1818" i="1"/>
  <c r="E1821" i="1"/>
  <c r="E1830" i="1"/>
  <c r="E1832" i="1"/>
  <c r="E1838" i="1"/>
  <c r="E1854" i="1"/>
  <c r="E1875" i="1"/>
  <c r="E1990" i="1"/>
  <c r="E1992" i="1"/>
  <c r="E1994" i="1"/>
  <c r="E1775" i="1"/>
  <c r="E1783" i="1"/>
  <c r="E1788" i="1"/>
  <c r="E1794" i="1"/>
  <c r="E1798" i="1"/>
  <c r="E1801" i="1"/>
  <c r="E1806" i="1"/>
  <c r="E1813" i="1"/>
  <c r="E1819" i="1"/>
  <c r="E1822" i="1"/>
  <c r="E1841" i="1"/>
  <c r="E1843" i="1"/>
  <c r="E1847" i="1"/>
  <c r="E1849" i="1"/>
  <c r="E1855" i="1"/>
  <c r="E1856" i="1"/>
  <c r="E1859" i="1"/>
  <c r="E1865" i="1"/>
  <c r="E1876" i="1"/>
  <c r="E1991" i="1"/>
  <c r="E1993" i="1"/>
  <c r="E1995" i="1"/>
  <c r="E1997" i="1"/>
  <c r="E1998" i="1"/>
  <c r="E2004" i="1"/>
  <c r="E1881" i="1"/>
  <c r="E1890" i="1"/>
  <c r="E1896" i="1"/>
  <c r="E1906" i="1"/>
  <c r="E1911" i="1"/>
  <c r="E1919" i="1"/>
  <c r="E1925" i="1"/>
  <c r="E1928" i="1"/>
  <c r="E1939" i="1"/>
  <c r="E1947" i="1"/>
  <c r="E1950" i="1"/>
  <c r="E1953" i="1"/>
  <c r="E1959" i="1"/>
  <c r="E1963" i="1"/>
  <c r="E1966" i="1"/>
  <c r="E2016" i="1"/>
  <c r="E2021" i="1"/>
  <c r="E2023" i="1"/>
  <c r="E2024" i="1"/>
  <c r="E2025" i="1"/>
  <c r="E2028" i="1"/>
  <c r="E2030" i="1"/>
  <c r="E2032" i="1"/>
  <c r="E2036" i="1"/>
  <c r="E2038" i="1"/>
  <c r="E2046" i="1"/>
  <c r="E2051" i="1"/>
  <c r="E1882" i="1"/>
  <c r="E1897" i="1"/>
  <c r="E1907" i="1"/>
  <c r="E1909" i="1"/>
  <c r="E1912" i="1"/>
  <c r="E1920" i="1"/>
  <c r="E1926" i="1"/>
  <c r="E1940" i="1"/>
  <c r="E1948" i="1"/>
  <c r="E1951" i="1"/>
  <c r="E1954" i="1"/>
  <c r="E1955" i="1"/>
  <c r="E1960" i="1"/>
  <c r="E1964" i="1"/>
  <c r="E2011" i="1"/>
  <c r="E2017" i="1"/>
  <c r="E2022" i="1"/>
  <c r="E2029" i="1"/>
  <c r="E2031" i="1"/>
  <c r="E2033" i="1"/>
  <c r="E2037" i="1"/>
  <c r="E2041" i="1"/>
  <c r="E2047" i="1"/>
  <c r="E2052" i="1"/>
  <c r="E2060" i="1"/>
  <c r="E2062" i="1"/>
  <c r="E2068" i="1"/>
  <c r="E1700" i="1"/>
  <c r="E1971" i="1"/>
  <c r="E1972" i="1"/>
  <c r="E2069" i="1"/>
  <c r="E2071" i="1"/>
  <c r="E2073" i="1"/>
  <c r="E2075" i="1"/>
  <c r="E2076" i="1"/>
  <c r="E2077" i="1"/>
  <c r="E2080" i="1"/>
  <c r="E2083" i="1"/>
  <c r="E2088" i="1"/>
  <c r="E1714" i="1"/>
  <c r="E1732" i="1"/>
  <c r="E1738" i="1"/>
  <c r="E2090" i="1"/>
  <c r="E1776" i="1"/>
  <c r="E1789" i="1"/>
  <c r="E1802" i="1"/>
  <c r="E1839" i="1"/>
  <c r="E1844" i="1"/>
  <c r="E1850" i="1"/>
  <c r="E1860" i="1"/>
  <c r="E1872" i="1"/>
  <c r="E2007" i="1"/>
  <c r="E2009" i="1"/>
  <c r="E2110" i="1"/>
  <c r="E2112" i="1"/>
  <c r="E2114" i="1"/>
  <c r="E2118" i="1"/>
  <c r="E2120" i="1"/>
  <c r="E2122" i="1"/>
  <c r="E1777" i="1"/>
  <c r="E1790" i="1"/>
  <c r="E1803" i="1"/>
  <c r="E1807" i="1"/>
  <c r="E1828" i="1"/>
  <c r="E1834" i="1"/>
  <c r="E1845" i="1"/>
  <c r="E1861" i="1"/>
  <c r="E1866" i="1"/>
  <c r="E1999" i="1"/>
  <c r="E2010" i="1"/>
  <c r="E2111" i="1"/>
  <c r="E2113" i="1"/>
  <c r="E2115" i="1"/>
  <c r="E2121" i="1"/>
  <c r="E2128" i="1"/>
  <c r="E2129" i="1"/>
  <c r="E2132" i="1"/>
  <c r="E1891" i="1"/>
  <c r="E1898" i="1"/>
  <c r="E1929" i="1"/>
  <c r="E1941" i="1"/>
  <c r="E1967" i="1"/>
  <c r="E2026" i="1"/>
  <c r="E2048" i="1"/>
  <c r="E2058" i="1"/>
  <c r="E2064" i="1"/>
  <c r="E2138" i="1"/>
  <c r="E1883" i="1"/>
  <c r="E1899" i="1"/>
  <c r="E1921" i="1"/>
  <c r="E1930" i="1"/>
  <c r="E1942" i="1"/>
  <c r="E1965" i="1"/>
  <c r="E1968" i="1"/>
  <c r="E2027" i="1"/>
  <c r="E2039" i="1"/>
  <c r="E2042" i="1"/>
  <c r="E2049" i="1"/>
  <c r="E2059" i="1"/>
  <c r="E2061" i="1"/>
  <c r="E2139" i="1"/>
  <c r="E2145" i="1"/>
  <c r="E2147" i="1"/>
  <c r="E2148" i="1"/>
  <c r="E1704" i="1"/>
  <c r="E2070" i="1"/>
  <c r="E2078" i="1"/>
  <c r="E2081" i="1"/>
  <c r="E2084" i="1"/>
  <c r="E2150" i="1"/>
  <c r="E2151" i="1"/>
  <c r="E2154" i="1"/>
  <c r="E2156" i="1"/>
  <c r="E1701" i="1"/>
  <c r="E1705" i="1"/>
  <c r="E2074" i="1"/>
  <c r="E2079" i="1"/>
  <c r="E2082" i="1"/>
  <c r="E2085" i="1"/>
  <c r="E2152" i="1"/>
  <c r="E2155" i="1"/>
  <c r="E2157" i="1"/>
  <c r="E2158" i="1"/>
  <c r="E1733" i="1"/>
  <c r="E1739" i="1"/>
  <c r="E1976" i="1"/>
  <c r="E1982" i="1"/>
  <c r="E2092" i="1"/>
  <c r="E2100" i="1"/>
  <c r="E2163" i="1"/>
  <c r="E2167" i="1"/>
  <c r="E2168" i="1"/>
  <c r="E2172" i="1"/>
  <c r="E2180" i="1"/>
  <c r="E1715" i="1"/>
  <c r="E1734" i="1"/>
  <c r="E1756" i="1"/>
  <c r="E1767" i="1"/>
  <c r="E2107" i="1"/>
  <c r="E2162" i="1"/>
  <c r="E2164" i="1"/>
  <c r="E2169" i="1"/>
  <c r="E2181" i="1"/>
  <c r="E2185" i="1"/>
  <c r="E2186" i="1"/>
  <c r="E1778" i="1"/>
  <c r="E2005" i="1"/>
  <c r="E1779" i="1"/>
  <c r="E1808" i="1"/>
  <c r="E1835" i="1"/>
  <c r="E2006" i="1"/>
  <c r="E2124" i="1"/>
  <c r="E2135" i="1"/>
  <c r="E2193" i="1"/>
  <c r="E1884" i="1"/>
  <c r="E1900" i="1"/>
  <c r="E1913" i="1"/>
  <c r="E1931" i="1"/>
  <c r="E1969" i="1"/>
  <c r="E2012" i="1"/>
  <c r="E2043" i="1"/>
  <c r="E2054" i="1"/>
  <c r="E2065" i="1"/>
  <c r="E2140" i="1"/>
  <c r="E2144" i="1"/>
  <c r="E2149" i="1"/>
  <c r="E2197" i="1"/>
  <c r="E2204" i="1"/>
  <c r="E2219" i="1"/>
  <c r="E2220" i="1"/>
  <c r="E2221" i="1"/>
  <c r="E1885" i="1"/>
  <c r="E1892" i="1"/>
  <c r="E1901" i="1"/>
  <c r="E1914" i="1"/>
  <c r="E1932" i="1"/>
  <c r="E1943" i="1"/>
  <c r="E1970" i="1"/>
  <c r="E2013" i="1"/>
  <c r="E2018" i="1"/>
  <c r="E2055" i="1"/>
  <c r="E2063" i="1"/>
  <c r="E2066" i="1"/>
  <c r="E2141" i="1"/>
  <c r="E2198" i="1"/>
  <c r="E2201" i="1"/>
  <c r="E2205" i="1"/>
  <c r="E2211" i="1"/>
  <c r="E2218" i="1"/>
  <c r="E2222" i="1"/>
  <c r="E2223" i="1"/>
  <c r="E2226" i="1"/>
  <c r="E2230" i="1"/>
  <c r="E2231" i="1"/>
  <c r="E2086" i="1"/>
  <c r="E2159" i="1"/>
  <c r="E2072" i="1"/>
  <c r="E2087" i="1"/>
  <c r="E2089" i="1"/>
  <c r="E2153" i="1"/>
  <c r="E2160" i="1"/>
  <c r="E2161" i="1"/>
  <c r="E2234" i="1"/>
  <c r="E2235" i="1"/>
  <c r="E2236" i="1"/>
  <c r="E1716" i="1"/>
  <c r="E1740" i="1"/>
  <c r="E1768" i="1"/>
  <c r="E1977" i="1"/>
  <c r="E2098" i="1"/>
  <c r="E2101" i="1"/>
  <c r="E2108" i="1"/>
  <c r="E2165" i="1"/>
  <c r="E2170" i="1"/>
  <c r="E2177" i="1"/>
  <c r="E2187" i="1"/>
  <c r="E2188" i="1"/>
  <c r="E2237" i="1"/>
  <c r="E2239" i="1"/>
  <c r="E1717" i="1"/>
  <c r="E1741" i="1"/>
  <c r="E1757" i="1"/>
  <c r="E1764" i="1"/>
  <c r="E1769" i="1"/>
  <c r="E1978" i="1"/>
  <c r="E2093" i="1"/>
  <c r="E2099" i="1"/>
  <c r="E2102" i="1"/>
  <c r="E2109" i="1"/>
  <c r="E2166" i="1"/>
  <c r="E2171" i="1"/>
  <c r="E2178" i="1"/>
  <c r="E2179" i="1"/>
  <c r="E2182" i="1"/>
  <c r="E2238" i="1"/>
  <c r="E2240" i="1"/>
  <c r="E2242" i="1"/>
  <c r="E2243" i="1"/>
  <c r="E2244" i="1"/>
  <c r="E1823" i="1"/>
  <c r="E1836" i="1"/>
  <c r="E1851" i="1"/>
  <c r="E1867" i="1"/>
  <c r="E1873" i="1"/>
  <c r="E2000" i="1"/>
  <c r="E2133" i="1"/>
  <c r="E2194" i="1"/>
  <c r="E2245" i="1"/>
  <c r="E2254" i="1"/>
  <c r="E2256" i="1"/>
  <c r="E1824" i="1"/>
  <c r="E1848" i="1"/>
  <c r="E1852" i="1"/>
  <c r="E1868" i="1"/>
  <c r="E1874" i="1"/>
  <c r="E2001" i="1"/>
  <c r="E2246" i="1"/>
  <c r="E2257" i="1"/>
  <c r="E2259" i="1"/>
  <c r="E2260" i="1"/>
  <c r="E2262" i="1"/>
  <c r="E2264" i="1"/>
  <c r="E1886" i="1"/>
  <c r="E1893" i="1"/>
  <c r="E1902" i="1"/>
  <c r="E1915" i="1"/>
  <c r="E1933" i="1"/>
  <c r="E1944" i="1"/>
  <c r="E1956" i="1"/>
  <c r="E2014" i="1"/>
  <c r="E2019" i="1"/>
  <c r="E2034" i="1"/>
  <c r="E2044" i="1"/>
  <c r="E2056" i="1"/>
  <c r="E2136" i="1"/>
  <c r="E2142" i="1"/>
  <c r="E2146" i="1"/>
  <c r="E2199" i="1"/>
  <c r="E2202" i="1"/>
  <c r="E2206" i="1"/>
  <c r="E2209" i="1"/>
  <c r="E2224" i="1"/>
  <c r="E2232" i="1"/>
  <c r="E2267" i="1"/>
  <c r="E2271" i="1"/>
  <c r="E1887" i="1"/>
  <c r="E1903" i="1"/>
  <c r="E1916" i="1"/>
  <c r="E1934" i="1"/>
  <c r="E1945" i="1"/>
  <c r="E1957" i="1"/>
  <c r="E2015" i="1"/>
  <c r="E2020" i="1"/>
  <c r="E2035" i="1"/>
  <c r="E2040" i="1"/>
  <c r="E2045" i="1"/>
  <c r="E2053" i="1"/>
  <c r="E2057" i="1"/>
  <c r="E2067" i="1"/>
  <c r="E2137" i="1"/>
  <c r="E2143" i="1"/>
  <c r="E2200" i="1"/>
  <c r="E2203" i="1"/>
  <c r="E2207" i="1"/>
  <c r="E2208" i="1"/>
  <c r="E2210" i="1"/>
  <c r="E2225" i="1"/>
  <c r="E2233" i="1"/>
  <c r="E2272" i="1"/>
  <c r="E2273" i="1"/>
  <c r="E1742" i="1"/>
  <c r="E1758" i="1"/>
  <c r="E1761" i="1"/>
  <c r="E1765" i="1"/>
  <c r="E1770" i="1"/>
  <c r="E1980" i="1"/>
  <c r="E1983" i="1"/>
  <c r="E1985" i="1"/>
  <c r="E2094" i="1"/>
  <c r="E2103" i="1"/>
  <c r="E2105" i="1"/>
  <c r="E2175" i="1"/>
  <c r="E2189" i="1"/>
  <c r="E2274" i="1"/>
  <c r="E2276" i="1"/>
  <c r="E2279" i="1"/>
  <c r="E2280" i="1"/>
  <c r="E1492" i="1"/>
  <c r="E1743" i="1"/>
  <c r="E1771" i="1"/>
  <c r="E1984" i="1"/>
  <c r="E1986" i="1"/>
  <c r="E1988" i="1"/>
  <c r="E1989" i="1"/>
  <c r="E2095" i="1"/>
  <c r="E2104" i="1"/>
  <c r="E2106" i="1"/>
  <c r="E2174" i="1"/>
  <c r="E2176" i="1"/>
  <c r="E2183" i="1"/>
  <c r="E2184" i="1"/>
  <c r="E2190" i="1"/>
  <c r="E2241" i="1"/>
  <c r="E2275" i="1"/>
  <c r="E2278" i="1"/>
  <c r="E2281" i="1"/>
  <c r="E2282" i="1"/>
  <c r="E1825" i="1"/>
  <c r="E1862" i="1"/>
  <c r="E1869" i="1"/>
  <c r="E2002" i="1"/>
  <c r="E2008" i="1"/>
  <c r="E2119" i="1"/>
  <c r="E2123" i="1"/>
  <c r="E2125" i="1"/>
  <c r="E2126" i="1"/>
  <c r="E2130" i="1"/>
  <c r="E2134" i="1"/>
  <c r="E2191" i="1"/>
  <c r="E2195" i="1"/>
  <c r="E2258" i="1"/>
  <c r="E2261" i="1"/>
  <c r="E2263" i="1"/>
  <c r="E2265" i="1"/>
  <c r="E2283" i="1"/>
  <c r="E2284" i="1"/>
  <c r="E1842" i="1"/>
  <c r="E1863" i="1"/>
  <c r="E1870" i="1"/>
  <c r="E1877" i="1"/>
  <c r="E1996" i="1"/>
  <c r="E2003" i="1"/>
  <c r="E2127" i="1"/>
  <c r="E2131" i="1"/>
  <c r="E2192" i="1"/>
  <c r="E2196" i="1"/>
  <c r="E2255" i="1"/>
  <c r="E2266" i="1"/>
  <c r="E2285" i="1"/>
  <c r="E2286" i="1"/>
  <c r="E2287" i="1"/>
  <c r="E2288" i="1"/>
  <c r="E1690" i="1"/>
  <c r="E1691" i="1"/>
  <c r="E1706" i="1"/>
  <c r="E1725" i="1"/>
  <c r="E1749" i="1"/>
  <c r="E1827" i="1"/>
  <c r="E1759" i="1"/>
  <c r="E1833" i="1"/>
  <c r="E2091" i="1"/>
  <c r="E1686" i="1"/>
  <c r="E2549" i="1"/>
  <c r="E1532" i="1"/>
  <c r="E1542" i="1"/>
  <c r="E1551" i="1"/>
  <c r="E1546" i="1"/>
  <c r="E1550" i="1"/>
  <c r="E1533" i="1"/>
  <c r="E1552" i="1"/>
  <c r="E1553" i="1"/>
  <c r="E1543" i="1"/>
  <c r="E1547" i="1"/>
  <c r="E1562" i="1"/>
  <c r="E1569" i="1"/>
  <c r="E1563" i="1"/>
  <c r="E1570" i="1"/>
  <c r="E1518" i="1"/>
  <c r="E1519" i="1"/>
  <c r="E1524" i="1"/>
  <c r="E1526" i="1"/>
  <c r="E1511" i="1"/>
  <c r="E2543" i="1"/>
  <c r="E1572" i="1"/>
  <c r="E1576" i="1"/>
  <c r="E1580" i="1"/>
  <c r="E1583" i="1"/>
  <c r="E1590" i="1"/>
  <c r="E2545" i="1"/>
  <c r="E2550" i="1"/>
  <c r="E1593" i="1"/>
  <c r="E1573" i="1"/>
  <c r="E1577" i="1"/>
  <c r="E1584" i="1"/>
  <c r="E1591" i="1"/>
  <c r="E1594" i="1"/>
  <c r="E1601" i="1"/>
  <c r="E2544" i="1"/>
  <c r="E2546" i="1"/>
  <c r="E2551" i="1"/>
  <c r="E1581" i="1"/>
  <c r="E1534" i="1"/>
  <c r="E1544" i="1"/>
  <c r="E1548" i="1"/>
  <c r="E1554" i="1"/>
  <c r="E1605" i="1"/>
  <c r="E1603" i="1"/>
  <c r="E1535" i="1"/>
  <c r="E1545" i="1"/>
  <c r="E1555" i="1"/>
  <c r="E1606" i="1"/>
  <c r="E1607" i="1"/>
  <c r="E1549" i="1"/>
  <c r="E1604" i="1"/>
  <c r="E1494" i="1"/>
  <c r="E1502" i="1"/>
  <c r="E1612" i="1"/>
  <c r="E1499" i="1"/>
  <c r="E1609" i="1"/>
  <c r="E1610" i="1"/>
  <c r="E1611" i="1"/>
  <c r="E1613" i="1"/>
  <c r="E1616" i="1"/>
  <c r="E1621" i="1"/>
  <c r="E1500" i="1"/>
  <c r="E1503" i="1"/>
  <c r="E1512" i="1"/>
  <c r="E1514" i="1"/>
  <c r="E1525" i="1"/>
  <c r="E1527" i="1"/>
  <c r="E1529" i="1"/>
  <c r="E1629" i="1"/>
  <c r="E1513" i="1"/>
  <c r="E1515" i="1"/>
  <c r="E1520" i="1"/>
  <c r="E1521" i="1"/>
  <c r="E1528" i="1"/>
  <c r="E1530" i="1"/>
  <c r="E1630" i="1"/>
  <c r="E1574" i="1"/>
  <c r="E1582" i="1"/>
  <c r="E1595" i="1"/>
  <c r="E1631" i="1"/>
  <c r="E1634" i="1"/>
  <c r="E1640" i="1"/>
  <c r="E1536" i="1"/>
  <c r="E1556" i="1"/>
  <c r="E1646" i="1"/>
  <c r="E1608" i="1"/>
  <c r="E1648" i="1"/>
  <c r="E1651" i="1"/>
  <c r="E1537" i="1"/>
  <c r="E1557" i="1"/>
  <c r="E1647" i="1"/>
  <c r="E1571" i="1"/>
  <c r="E1504" i="1"/>
  <c r="E1564" i="1"/>
  <c r="E1614" i="1"/>
  <c r="E1617" i="1"/>
  <c r="E1622" i="1"/>
  <c r="E1624" i="1"/>
  <c r="E1656" i="1"/>
  <c r="E1501" i="1"/>
  <c r="E1505" i="1"/>
  <c r="E1531" i="1"/>
  <c r="E1615" i="1"/>
  <c r="E1618" i="1"/>
  <c r="E1623" i="1"/>
  <c r="E1625" i="1"/>
  <c r="E1652" i="1"/>
  <c r="E1657" i="1"/>
  <c r="E1660" i="1"/>
  <c r="E1522" i="1"/>
  <c r="E1659" i="1"/>
  <c r="E1575" i="1"/>
  <c r="E1585" i="1"/>
  <c r="E1592" i="1"/>
  <c r="E1596" i="1"/>
  <c r="E1602" i="1"/>
  <c r="E1632" i="1"/>
  <c r="E1635" i="1"/>
  <c r="E1641" i="1"/>
  <c r="E1642" i="1"/>
  <c r="E1661" i="1"/>
  <c r="E1662" i="1"/>
  <c r="E1538" i="1"/>
  <c r="E1558" i="1"/>
  <c r="E1643" i="1"/>
  <c r="E1649" i="1"/>
  <c r="E1668" i="1"/>
  <c r="E1539" i="1"/>
  <c r="E1644" i="1"/>
  <c r="E1650" i="1"/>
  <c r="E1669" i="1"/>
  <c r="E1495" i="1"/>
  <c r="E1506" i="1"/>
  <c r="E1565" i="1"/>
  <c r="E1619" i="1"/>
  <c r="E1653" i="1"/>
  <c r="E1496" i="1"/>
  <c r="E1566" i="1"/>
  <c r="E1620" i="1"/>
  <c r="E1627" i="1"/>
  <c r="E1654" i="1"/>
  <c r="E1658" i="1"/>
  <c r="E1516" i="1"/>
  <c r="E1517" i="1"/>
  <c r="E1523" i="1"/>
  <c r="E1673" i="1"/>
  <c r="E1674" i="1"/>
  <c r="E1586" i="1"/>
  <c r="E1597" i="1"/>
  <c r="E1636" i="1"/>
  <c r="E1663" i="1"/>
  <c r="E1675" i="1"/>
  <c r="E2547" i="1"/>
  <c r="E1587" i="1"/>
  <c r="E1598" i="1"/>
  <c r="E1637" i="1"/>
  <c r="E1645" i="1"/>
  <c r="E1664" i="1"/>
  <c r="E1676" i="1"/>
  <c r="E2548" i="1"/>
  <c r="E1678" i="1"/>
  <c r="E1680" i="1"/>
  <c r="E1670" i="1"/>
  <c r="E1681" i="1"/>
  <c r="E1682" i="1"/>
  <c r="E1507" i="1"/>
  <c r="E1497" i="1"/>
  <c r="E1626" i="1"/>
  <c r="E1498" i="1"/>
  <c r="E1508" i="1"/>
  <c r="E1567" i="1"/>
  <c r="E1655" i="1"/>
  <c r="E1672" i="1"/>
  <c r="E1683" i="1"/>
  <c r="E1684" i="1"/>
  <c r="E1685" i="1"/>
  <c r="E1599" i="1"/>
  <c r="E1588" i="1"/>
  <c r="E1600" i="1"/>
  <c r="E1540" i="1"/>
  <c r="E1679" i="1"/>
  <c r="E1541" i="1"/>
  <c r="E1559" i="1"/>
  <c r="E1671" i="1"/>
  <c r="E1509" i="1"/>
  <c r="E1568" i="1"/>
  <c r="E1687" i="1"/>
  <c r="E1665" i="1"/>
  <c r="E1578" i="1"/>
  <c r="E1589" i="1"/>
  <c r="E1638" i="1"/>
  <c r="E1666" i="1"/>
  <c r="E1560" i="1"/>
  <c r="E1694" i="1"/>
  <c r="E1561" i="1"/>
  <c r="E1695" i="1"/>
  <c r="E1696" i="1"/>
  <c r="E1510" i="1"/>
  <c r="E1628" i="1"/>
  <c r="E1688" i="1"/>
  <c r="E1689" i="1"/>
  <c r="E1579" i="1"/>
  <c r="E1677" i="1"/>
  <c r="E1639" i="1"/>
  <c r="E1667" i="1"/>
  <c r="E1692" i="1"/>
  <c r="E1697" i="1"/>
  <c r="E1699" i="1"/>
  <c r="E1698" i="1"/>
  <c r="E1703" i="1"/>
  <c r="E2277" i="1"/>
  <c r="E2290" i="1"/>
  <c r="E2291" i="1"/>
  <c r="E2293" i="1"/>
  <c r="E2295" i="1"/>
  <c r="E2297" i="1"/>
  <c r="E2289" i="1"/>
  <c r="E2292" i="1"/>
  <c r="E2306" i="1"/>
  <c r="E2296" i="1"/>
  <c r="E2212" i="1"/>
  <c r="E2294" i="1"/>
  <c r="E2314" i="1"/>
  <c r="E2312" i="1"/>
  <c r="E2247" i="1"/>
  <c r="E2307" i="1"/>
  <c r="E2298" i="1"/>
  <c r="E2305" i="1"/>
  <c r="E2315" i="1"/>
  <c r="E2320" i="1"/>
  <c r="E2319" i="1"/>
  <c r="E2325" i="1"/>
  <c r="E2337" i="1"/>
  <c r="E2333" i="1"/>
  <c r="E2326" i="1"/>
  <c r="E2338" i="1"/>
  <c r="E2334" i="1"/>
  <c r="E2343" i="1"/>
  <c r="E2342" i="1"/>
  <c r="E2344" i="1"/>
  <c r="E2328" i="1"/>
  <c r="E2345" i="1"/>
  <c r="E2358" i="1"/>
  <c r="E2348" i="1"/>
  <c r="E2346" i="1"/>
  <c r="E2362" i="1"/>
  <c r="E2364" i="1"/>
  <c r="E1491" i="1"/>
  <c r="E2373" i="1"/>
  <c r="E2369" i="1"/>
  <c r="E2378" i="1"/>
  <c r="E2363" i="1"/>
  <c r="E2365" i="1"/>
  <c r="E2370" i="1"/>
  <c r="E2227" i="1"/>
  <c r="E2268" i="1"/>
  <c r="E2379" i="1"/>
  <c r="E2383" i="1"/>
  <c r="E2374" i="1"/>
  <c r="E2381" i="1"/>
  <c r="E2352" i="1"/>
  <c r="E2349" i="1"/>
  <c r="E2347" i="1"/>
  <c r="E2380" i="1"/>
  <c r="E2391" i="1"/>
  <c r="E2248" i="1"/>
  <c r="E2299" i="1"/>
  <c r="E2395" i="1"/>
  <c r="E2392" i="1"/>
  <c r="E2445" i="1"/>
  <c r="E2439" i="1"/>
  <c r="E2397" i="1"/>
  <c r="E2213" i="1"/>
  <c r="E2437" i="1"/>
  <c r="E2249" i="1"/>
  <c r="E2300" i="1"/>
  <c r="E2396" i="1"/>
  <c r="E2323" i="1"/>
  <c r="E2401" i="1"/>
  <c r="E2404" i="1"/>
  <c r="E2400" i="1"/>
  <c r="E2324" i="1"/>
  <c r="E2327" i="1"/>
  <c r="E2329" i="1"/>
  <c r="E2420" i="1"/>
  <c r="E2341" i="1"/>
  <c r="E2422" i="1"/>
  <c r="E2423" i="1"/>
  <c r="E2330" i="1"/>
  <c r="E2410" i="1"/>
  <c r="E2427" i="1"/>
  <c r="E2421" i="1"/>
  <c r="E2359" i="1"/>
  <c r="E2428" i="1"/>
  <c r="E2350" i="1"/>
  <c r="E2353" i="1"/>
  <c r="E2386" i="1"/>
  <c r="E2431" i="1"/>
  <c r="E2269" i="1"/>
  <c r="E2535" i="1"/>
  <c r="E2387" i="1"/>
  <c r="E2429" i="1"/>
  <c r="E2351" i="1"/>
  <c r="E2354" i="1"/>
  <c r="E2432" i="1"/>
  <c r="E2270" i="1"/>
  <c r="E2430" i="1"/>
  <c r="E2536" i="1"/>
  <c r="E2371" i="1"/>
  <c r="E2388" i="1"/>
  <c r="E2375" i="1"/>
  <c r="E2384" i="1"/>
  <c r="E2393" i="1"/>
  <c r="E2449" i="1"/>
  <c r="E2440" i="1"/>
  <c r="E2214" i="1"/>
  <c r="E2308" i="1"/>
  <c r="E2435" i="1"/>
  <c r="E2301" i="1"/>
  <c r="E2250" i="1"/>
  <c r="E2457" i="1"/>
  <c r="E2215" i="1"/>
  <c r="E2398" i="1"/>
  <c r="E2394" i="1"/>
  <c r="E2441" i="1"/>
  <c r="E2463" i="1"/>
  <c r="E2450" i="1"/>
  <c r="E2446" i="1"/>
  <c r="E2469" i="1"/>
  <c r="E2466" i="1"/>
  <c r="E2309" i="1"/>
  <c r="E2436" i="1"/>
  <c r="E2302" i="1"/>
  <c r="E2251" i="1"/>
  <c r="E2472" i="1"/>
  <c r="E2414" i="1"/>
  <c r="E2402" i="1"/>
  <c r="E2473" i="1"/>
  <c r="E2405" i="1"/>
  <c r="E2475" i="1"/>
  <c r="E2096" i="1"/>
  <c r="E2316" i="1"/>
  <c r="E2321" i="1"/>
  <c r="E2477" i="1"/>
  <c r="E2415" i="1"/>
  <c r="E2406" i="1"/>
  <c r="E2097" i="1"/>
  <c r="E2322" i="1"/>
  <c r="E2478" i="1"/>
  <c r="E2485" i="1"/>
  <c r="E2483" i="1"/>
  <c r="E2317" i="1"/>
  <c r="E2486" i="1"/>
  <c r="E2331" i="1"/>
  <c r="E2424" i="1"/>
  <c r="E2488" i="1"/>
  <c r="E2418" i="1"/>
  <c r="E2490" i="1"/>
  <c r="E2491" i="1"/>
  <c r="E2411" i="1"/>
  <c r="E2412" i="1"/>
  <c r="E2495" i="1"/>
  <c r="E2493" i="1"/>
  <c r="E2335" i="1"/>
  <c r="E2494" i="1"/>
  <c r="E2487" i="1"/>
  <c r="E2332" i="1"/>
  <c r="E2425" i="1"/>
  <c r="E2419" i="1"/>
  <c r="E2489" i="1"/>
  <c r="E2339" i="1"/>
  <c r="E2389" i="1"/>
  <c r="E2496" i="1"/>
  <c r="E2500" i="1"/>
  <c r="E2454" i="1"/>
  <c r="E2360" i="1"/>
  <c r="E2355" i="1"/>
  <c r="E2498" i="1"/>
  <c r="E2433" i="1"/>
  <c r="E2228" i="1"/>
  <c r="E2366" i="1"/>
  <c r="E2382" i="1"/>
  <c r="E2537" i="1"/>
  <c r="E2376" i="1"/>
  <c r="E2503" i="1"/>
  <c r="E2372" i="1"/>
  <c r="E2367" i="1"/>
  <c r="E2506" i="1"/>
  <c r="E2229" i="1"/>
  <c r="E2538" i="1"/>
  <c r="E2377" i="1"/>
  <c r="E2385" i="1"/>
  <c r="E2390" i="1"/>
  <c r="E2497" i="1"/>
  <c r="E2499" i="1"/>
  <c r="E2501" i="1"/>
  <c r="E2356" i="1"/>
  <c r="E2361" i="1"/>
  <c r="E2460" i="1"/>
  <c r="E2451" i="1"/>
  <c r="E2464" i="1"/>
  <c r="E2216" i="1"/>
  <c r="E2504" i="1"/>
  <c r="E2442" i="1"/>
  <c r="E2467" i="1"/>
  <c r="E2252" i="1"/>
  <c r="E2303" i="1"/>
  <c r="E2310" i="1"/>
  <c r="E2399" i="1"/>
  <c r="E2461" i="1"/>
  <c r="E2452" i="1"/>
  <c r="E2447" i="1"/>
  <c r="E2465" i="1"/>
  <c r="E2438" i="1"/>
  <c r="E2508" i="1"/>
  <c r="E2505" i="1"/>
  <c r="E2443" i="1"/>
  <c r="E2217" i="1"/>
  <c r="E2471" i="1"/>
  <c r="E2470" i="1"/>
  <c r="E2304" i="1"/>
  <c r="E2116" i="1"/>
  <c r="E2468" i="1"/>
  <c r="E2253" i="1"/>
  <c r="E2416" i="1"/>
  <c r="E2481" i="1"/>
  <c r="E2510" i="1"/>
  <c r="E2514" i="1"/>
  <c r="E2474" i="1"/>
  <c r="E2407" i="1"/>
  <c r="E2479" i="1"/>
  <c r="E2511" i="1"/>
  <c r="E2513" i="1"/>
  <c r="E2408" i="1"/>
  <c r="E2540" i="1"/>
  <c r="E2476" i="1"/>
  <c r="E2515" i="1"/>
  <c r="E2519" i="1"/>
  <c r="E2516" i="1"/>
  <c r="E2541" i="1"/>
  <c r="E2521" i="1"/>
  <c r="E2426" i="1"/>
  <c r="E2340" i="1"/>
  <c r="E2413" i="1"/>
  <c r="E2522" i="1"/>
  <c r="E2336" i="1"/>
  <c r="E2492" i="1"/>
  <c r="E2523" i="1"/>
  <c r="E2434" i="1"/>
  <c r="E2595" i="1"/>
  <c r="E2594" i="1"/>
  <c r="E2579" i="1"/>
  <c r="E2596" i="1"/>
  <c r="E2560" i="1"/>
  <c r="E2559" i="1"/>
  <c r="E2593" i="1"/>
  <c r="E2591" i="1"/>
  <c r="E2592" i="1"/>
  <c r="E2558" i="1"/>
  <c r="E2557" i="1"/>
  <c r="E2568" i="1"/>
  <c r="E2561" i="1"/>
  <c r="E2570" i="1"/>
  <c r="E2565" i="1"/>
  <c r="E2597" i="1"/>
  <c r="E2581" i="1"/>
  <c r="E2567" i="1"/>
  <c r="E2569" i="1"/>
  <c r="E2571" i="1"/>
  <c r="E2566" i="1"/>
  <c r="E2598" i="1"/>
  <c r="E2552" i="1"/>
  <c r="E2580" i="1"/>
  <c r="E2554" i="1"/>
  <c r="E2553" i="1"/>
  <c r="E2582" i="1"/>
  <c r="E2572" i="1"/>
  <c r="E2583" i="1"/>
  <c r="E2576" i="1"/>
  <c r="E2573" i="1"/>
  <c r="E2562" i="1"/>
  <c r="E2574" i="1"/>
  <c r="E2577" i="1"/>
  <c r="E2599" i="1"/>
  <c r="E2588" i="1"/>
  <c r="E2584" i="1"/>
  <c r="E2578" i="1"/>
  <c r="E2585" i="1"/>
  <c r="E2555" i="1"/>
  <c r="E2587" i="1"/>
  <c r="E2575" i="1"/>
  <c r="E2586" i="1"/>
  <c r="E2600" i="1"/>
  <c r="E2589" i="1"/>
  <c r="E2556" i="1"/>
  <c r="E2564" i="1"/>
  <c r="E2563" i="1"/>
  <c r="E2590" i="1"/>
  <c r="E362" i="1"/>
  <c r="AT585" i="1" l="1"/>
  <c r="CU585" i="1"/>
  <c r="BJ585" i="1"/>
  <c r="BG585" i="1"/>
  <c r="CB585" i="1"/>
  <c r="BS585" i="1"/>
  <c r="CE585" i="1"/>
  <c r="BD585" i="1"/>
  <c r="CK585" i="1"/>
  <c r="BY585" i="1"/>
  <c r="BV585" i="1"/>
  <c r="BJ572" i="1"/>
  <c r="CB572" i="1"/>
  <c r="CE572" i="1"/>
  <c r="BS572" i="1"/>
  <c r="CK572" i="1"/>
  <c r="BV572" i="1"/>
  <c r="CU572" i="1"/>
  <c r="BD572" i="1"/>
  <c r="BG572" i="1"/>
  <c r="BY572" i="1"/>
  <c r="AT1323" i="1"/>
  <c r="BG1323" i="1"/>
  <c r="BY1323" i="1"/>
  <c r="CU1323" i="1"/>
  <c r="BD1323" i="1"/>
  <c r="BJ1323" i="1"/>
  <c r="CB1323" i="1"/>
  <c r="BS1323" i="1"/>
  <c r="CE1323" i="1"/>
  <c r="CK1323" i="1"/>
  <c r="BV1323" i="1"/>
  <c r="CB1266" i="1"/>
  <c r="CE1266" i="1"/>
  <c r="BS1266" i="1"/>
  <c r="CK1266" i="1"/>
  <c r="BD1266" i="1"/>
  <c r="BV1266" i="1"/>
  <c r="BJ1266" i="1"/>
  <c r="BY1266" i="1"/>
  <c r="CU1266" i="1"/>
  <c r="BG1266" i="1"/>
  <c r="BY1195" i="1"/>
  <c r="BG1195" i="1"/>
  <c r="CU1195" i="1"/>
  <c r="BJ1195" i="1"/>
  <c r="CB1195" i="1"/>
  <c r="BS1195" i="1"/>
  <c r="CE1195" i="1"/>
  <c r="BV1195" i="1"/>
  <c r="CK1195" i="1"/>
  <c r="BD1195" i="1"/>
  <c r="CE1313" i="1"/>
  <c r="BD1313" i="1"/>
  <c r="BV1313" i="1"/>
  <c r="CK1313" i="1"/>
  <c r="BG1313" i="1"/>
  <c r="BY1313" i="1"/>
  <c r="CU1313" i="1"/>
  <c r="BJ1313" i="1"/>
  <c r="CB1313" i="1"/>
  <c r="BS1313" i="1"/>
  <c r="BS1264" i="1"/>
  <c r="BD1264" i="1"/>
  <c r="CE1264" i="1"/>
  <c r="BV1264" i="1"/>
  <c r="BY1264" i="1"/>
  <c r="CB1264" i="1"/>
  <c r="CK1264" i="1"/>
  <c r="CU1264" i="1"/>
  <c r="BG1264" i="1"/>
  <c r="BJ1264" i="1"/>
  <c r="BG1284" i="1"/>
  <c r="BY1284" i="1"/>
  <c r="BJ1284" i="1"/>
  <c r="CB1284" i="1"/>
  <c r="BS1284" i="1"/>
  <c r="CE1284" i="1"/>
  <c r="CK1284" i="1"/>
  <c r="BV1284" i="1"/>
  <c r="BD1284" i="1"/>
  <c r="CU1284" i="1"/>
  <c r="BS507" i="1"/>
  <c r="CK507" i="1"/>
  <c r="BD507" i="1"/>
  <c r="BV507" i="1"/>
  <c r="BY507" i="1"/>
  <c r="CU507" i="1"/>
  <c r="BG507" i="1"/>
  <c r="BJ507" i="1"/>
  <c r="CE507" i="1"/>
  <c r="CB507" i="1"/>
  <c r="BS1263" i="1"/>
  <c r="CU1263" i="1"/>
  <c r="BY1263" i="1"/>
  <c r="BG1263" i="1"/>
  <c r="CB1263" i="1"/>
  <c r="CE1263" i="1"/>
  <c r="BJ1263" i="1"/>
  <c r="BV1263" i="1"/>
  <c r="CK1263" i="1"/>
  <c r="BD1263" i="1"/>
  <c r="BS532" i="1"/>
  <c r="CE532" i="1"/>
  <c r="BD532" i="1"/>
  <c r="BV532" i="1"/>
  <c r="CK532" i="1"/>
  <c r="BG532" i="1"/>
  <c r="BY532" i="1"/>
  <c r="CU532" i="1"/>
  <c r="BJ532" i="1"/>
  <c r="CB532" i="1"/>
  <c r="BV1309" i="1"/>
  <c r="CK1309" i="1"/>
  <c r="BG1309" i="1"/>
  <c r="CU1309" i="1"/>
  <c r="BY1309" i="1"/>
  <c r="BJ1309" i="1"/>
  <c r="CB1309" i="1"/>
  <c r="BD1309" i="1"/>
  <c r="CE1309" i="1"/>
  <c r="BS1309" i="1"/>
  <c r="BJ1025" i="1"/>
  <c r="BS1025" i="1"/>
  <c r="CK1025" i="1"/>
  <c r="BD1025" i="1"/>
  <c r="BV1025" i="1"/>
  <c r="CU1025" i="1"/>
  <c r="BY1025" i="1"/>
  <c r="CE1025" i="1"/>
  <c r="BG1025" i="1"/>
  <c r="CB1025" i="1"/>
  <c r="BJ1288" i="1"/>
  <c r="CB1288" i="1"/>
  <c r="BS1288" i="1"/>
  <c r="CE1288" i="1"/>
  <c r="BD1288" i="1"/>
  <c r="BV1288" i="1"/>
  <c r="CK1288" i="1"/>
  <c r="BG1288" i="1"/>
  <c r="BY1288" i="1"/>
  <c r="CU1288" i="1"/>
  <c r="BY1312" i="1"/>
  <c r="BD1312" i="1"/>
  <c r="BG1312" i="1"/>
  <c r="CB1312" i="1"/>
  <c r="BJ1312" i="1"/>
  <c r="CE1312" i="1"/>
  <c r="CK1312" i="1"/>
  <c r="BS1312" i="1"/>
  <c r="BV1312" i="1"/>
  <c r="CU1312" i="1"/>
  <c r="BG1305" i="1"/>
  <c r="CB1305" i="1"/>
  <c r="BJ1305" i="1"/>
  <c r="CE1305" i="1"/>
  <c r="CK1305" i="1"/>
  <c r="BS1305" i="1"/>
  <c r="BV1305" i="1"/>
  <c r="CU1305" i="1"/>
  <c r="BD1305" i="1"/>
  <c r="BY1305" i="1"/>
  <c r="BS546" i="1"/>
  <c r="BV546" i="1"/>
  <c r="BY546" i="1"/>
  <c r="BD546" i="1"/>
  <c r="BG546" i="1"/>
  <c r="CB546" i="1"/>
  <c r="BJ546" i="1"/>
  <c r="CE546" i="1"/>
  <c r="CK546" i="1"/>
  <c r="CU546" i="1"/>
  <c r="BJ484" i="1"/>
  <c r="BS484" i="1"/>
  <c r="CE484" i="1"/>
  <c r="CK484" i="1"/>
  <c r="BV484" i="1"/>
  <c r="CU484" i="1"/>
  <c r="BD484" i="1"/>
  <c r="BG484" i="1"/>
  <c r="BY484" i="1"/>
  <c r="CB484" i="1"/>
  <c r="BJ511" i="1"/>
  <c r="BS511" i="1"/>
  <c r="BD511" i="1"/>
  <c r="CE511" i="1"/>
  <c r="BV511" i="1"/>
  <c r="CK511" i="1"/>
  <c r="CB511" i="1"/>
  <c r="CU511" i="1"/>
  <c r="BG511" i="1"/>
  <c r="BY511" i="1"/>
  <c r="BG523" i="1"/>
  <c r="CU523" i="1"/>
  <c r="BJ523" i="1"/>
  <c r="CB523" i="1"/>
  <c r="CE523" i="1"/>
  <c r="BS523" i="1"/>
  <c r="BD523" i="1"/>
  <c r="BV523" i="1"/>
  <c r="BY523" i="1"/>
  <c r="CK523" i="1"/>
  <c r="BD1252" i="1"/>
  <c r="BV1252" i="1"/>
  <c r="BY1252" i="1"/>
  <c r="CU1252" i="1"/>
  <c r="BJ1252" i="1"/>
  <c r="CB1252" i="1"/>
  <c r="BS1252" i="1"/>
  <c r="CE1252" i="1"/>
  <c r="CK1252" i="1"/>
  <c r="BG1252" i="1"/>
  <c r="CK601" i="1"/>
  <c r="BD601" i="1"/>
  <c r="BV601" i="1"/>
  <c r="CU601" i="1"/>
  <c r="BG601" i="1"/>
  <c r="BY601" i="1"/>
  <c r="CB601" i="1"/>
  <c r="BJ601" i="1"/>
  <c r="CE601" i="1"/>
  <c r="BS601" i="1"/>
  <c r="BV471" i="1"/>
  <c r="CU471" i="1"/>
  <c r="BG471" i="1"/>
  <c r="CB471" i="1"/>
  <c r="BJ471" i="1"/>
  <c r="CE471" i="1"/>
  <c r="BS471" i="1"/>
  <c r="BY471" i="1"/>
  <c r="CK471" i="1"/>
  <c r="BD471" i="1"/>
  <c r="BS597" i="1"/>
  <c r="CB597" i="1"/>
  <c r="BJ597" i="1"/>
  <c r="BV597" i="1"/>
  <c r="CK597" i="1"/>
  <c r="BD597" i="1"/>
  <c r="BG597" i="1"/>
  <c r="BY597" i="1"/>
  <c r="CU597" i="1"/>
  <c r="CE597" i="1"/>
  <c r="BD575" i="1"/>
  <c r="CK575" i="1"/>
  <c r="BV575" i="1"/>
  <c r="BG575" i="1"/>
  <c r="BY575" i="1"/>
  <c r="CU575" i="1"/>
  <c r="CB575" i="1"/>
  <c r="BJ575" i="1"/>
  <c r="CE575" i="1"/>
  <c r="BS575" i="1"/>
  <c r="BD581" i="1"/>
  <c r="BV581" i="1"/>
  <c r="BG581" i="1"/>
  <c r="BY581" i="1"/>
  <c r="BJ581" i="1"/>
  <c r="CB581" i="1"/>
  <c r="CE581" i="1"/>
  <c r="CU581" i="1"/>
  <c r="BS581" i="1"/>
  <c r="CK581" i="1"/>
  <c r="BD506" i="1"/>
  <c r="CU506" i="1"/>
  <c r="BG506" i="1"/>
  <c r="BY506" i="1"/>
  <c r="BJ506" i="1"/>
  <c r="CB506" i="1"/>
  <c r="BS506" i="1"/>
  <c r="CE506" i="1"/>
  <c r="CK506" i="1"/>
  <c r="BV506" i="1"/>
  <c r="CE563" i="1"/>
  <c r="BD563" i="1"/>
  <c r="BV563" i="1"/>
  <c r="CK563" i="1"/>
  <c r="CU563" i="1"/>
  <c r="BG563" i="1"/>
  <c r="BY563" i="1"/>
  <c r="BJ563" i="1"/>
  <c r="CB563" i="1"/>
  <c r="BS563" i="1"/>
  <c r="CB1306" i="1"/>
  <c r="BY1306" i="1"/>
  <c r="BJ1306" i="1"/>
  <c r="CU1306" i="1"/>
  <c r="CE1306" i="1"/>
  <c r="BS1306" i="1"/>
  <c r="BG1306" i="1"/>
  <c r="BV1306" i="1"/>
  <c r="CK1306" i="1"/>
  <c r="BD1306" i="1"/>
  <c r="BJ1274" i="1"/>
  <c r="CB1274" i="1"/>
  <c r="BS1274" i="1"/>
  <c r="BY1274" i="1"/>
  <c r="BG1274" i="1"/>
  <c r="BV1274" i="1"/>
  <c r="CE1274" i="1"/>
  <c r="BD1274" i="1"/>
  <c r="CK1274" i="1"/>
  <c r="CU1274" i="1"/>
  <c r="BV1337" i="1"/>
  <c r="CU1337" i="1"/>
  <c r="BD1337" i="1"/>
  <c r="BY1337" i="1"/>
  <c r="CB1337" i="1"/>
  <c r="BG1337" i="1"/>
  <c r="CE1337" i="1"/>
  <c r="BS1337" i="1"/>
  <c r="CK1337" i="1"/>
  <c r="BJ1337" i="1"/>
  <c r="CU578" i="1"/>
  <c r="BG578" i="1"/>
  <c r="BY578" i="1"/>
  <c r="BJ578" i="1"/>
  <c r="CB578" i="1"/>
  <c r="BS578" i="1"/>
  <c r="BV578" i="1"/>
  <c r="CE578" i="1"/>
  <c r="CK578" i="1"/>
  <c r="BD578" i="1"/>
  <c r="BD564" i="1"/>
  <c r="BV564" i="1"/>
  <c r="BY564" i="1"/>
  <c r="BJ564" i="1"/>
  <c r="BS564" i="1"/>
  <c r="CU564" i="1"/>
  <c r="CB564" i="1"/>
  <c r="CE564" i="1"/>
  <c r="CK564" i="1"/>
  <c r="BG564" i="1"/>
  <c r="CB1273" i="1"/>
  <c r="BJ1273" i="1"/>
  <c r="CE1273" i="1"/>
  <c r="BS1273" i="1"/>
  <c r="CK1273" i="1"/>
  <c r="CU1273" i="1"/>
  <c r="BD1273" i="1"/>
  <c r="BG1273" i="1"/>
  <c r="BV1273" i="1"/>
  <c r="BY1273" i="1"/>
  <c r="BD527" i="1"/>
  <c r="BG527" i="1"/>
  <c r="CU527" i="1"/>
  <c r="CB527" i="1"/>
  <c r="BJ527" i="1"/>
  <c r="CE527" i="1"/>
  <c r="CK527" i="1"/>
  <c r="BS527" i="1"/>
  <c r="BV527" i="1"/>
  <c r="BY527" i="1"/>
  <c r="BJ509" i="1"/>
  <c r="BS509" i="1"/>
  <c r="CE509" i="1"/>
  <c r="BV509" i="1"/>
  <c r="CK509" i="1"/>
  <c r="BD509" i="1"/>
  <c r="CU509" i="1"/>
  <c r="BY509" i="1"/>
  <c r="BG509" i="1"/>
  <c r="CB509" i="1"/>
  <c r="BD538" i="1"/>
  <c r="BV538" i="1"/>
  <c r="CK538" i="1"/>
  <c r="BY538" i="1"/>
  <c r="BG538" i="1"/>
  <c r="CU538" i="1"/>
  <c r="BS538" i="1"/>
  <c r="BJ538" i="1"/>
  <c r="CB538" i="1"/>
  <c r="CE538" i="1"/>
  <c r="BG361" i="1"/>
  <c r="CU361" i="1"/>
  <c r="BJ361" i="1"/>
  <c r="BS361" i="1"/>
  <c r="CE361" i="1"/>
  <c r="BV361" i="1"/>
  <c r="CK361" i="1"/>
  <c r="CB361" i="1"/>
  <c r="BD361" i="1"/>
  <c r="BY361" i="1"/>
  <c r="BV554" i="1"/>
  <c r="CK554" i="1"/>
  <c r="BY554" i="1"/>
  <c r="CU554" i="1"/>
  <c r="BG554" i="1"/>
  <c r="CB554" i="1"/>
  <c r="BJ554" i="1"/>
  <c r="CE554" i="1"/>
  <c r="BD554" i="1"/>
  <c r="BS554" i="1"/>
  <c r="BD528" i="1"/>
  <c r="CU528" i="1"/>
  <c r="BG528" i="1"/>
  <c r="BJ528" i="1"/>
  <c r="CB528" i="1"/>
  <c r="CE528" i="1"/>
  <c r="BS528" i="1"/>
  <c r="BV528" i="1"/>
  <c r="BY528" i="1"/>
  <c r="CK528" i="1"/>
  <c r="CE1250" i="1"/>
  <c r="BS1250" i="1"/>
  <c r="CK1250" i="1"/>
  <c r="BV1250" i="1"/>
  <c r="BJ1250" i="1"/>
  <c r="BY1250" i="1"/>
  <c r="CB1250" i="1"/>
  <c r="CU1250" i="1"/>
  <c r="BD1250" i="1"/>
  <c r="BG1250" i="1"/>
  <c r="BD537" i="1"/>
  <c r="BV537" i="1"/>
  <c r="CK537" i="1"/>
  <c r="CU537" i="1"/>
  <c r="BG537" i="1"/>
  <c r="BY537" i="1"/>
  <c r="CB537" i="1"/>
  <c r="CE537" i="1"/>
  <c r="BJ537" i="1"/>
  <c r="BS537" i="1"/>
  <c r="BS610" i="1"/>
  <c r="BD610" i="1"/>
  <c r="BV610" i="1"/>
  <c r="CK610" i="1"/>
  <c r="BY610" i="1"/>
  <c r="BG610" i="1"/>
  <c r="CU610" i="1"/>
  <c r="BJ610" i="1"/>
  <c r="CB610" i="1"/>
  <c r="CE610" i="1"/>
  <c r="CB1320" i="1"/>
  <c r="CA1320" i="1" s="1"/>
  <c r="BY1320" i="1"/>
  <c r="BX1320" i="1" s="1"/>
  <c r="BV1320" i="1"/>
  <c r="BU1320" i="1" s="1"/>
  <c r="BD1320" i="1"/>
  <c r="BC1320" i="1" s="1"/>
  <c r="CK1320" i="1"/>
  <c r="CJ1320" i="1" s="1"/>
  <c r="BS1320" i="1"/>
  <c r="BR1320" i="1" s="1"/>
  <c r="BJ1320" i="1"/>
  <c r="BI1320" i="1" s="1"/>
  <c r="CU1320" i="1"/>
  <c r="CE1320" i="1"/>
  <c r="CD1320" i="1" s="1"/>
  <c r="BG1320" i="1"/>
  <c r="BF1320" i="1" s="1"/>
  <c r="AT1320" i="1"/>
  <c r="BJ607" i="1"/>
  <c r="BY607" i="1"/>
  <c r="CU607" i="1"/>
  <c r="BD607" i="1"/>
  <c r="BS607" i="1"/>
  <c r="CB607" i="1"/>
  <c r="BG607" i="1"/>
  <c r="BV607" i="1"/>
  <c r="CE607" i="1"/>
  <c r="CK607" i="1"/>
  <c r="AT580" i="1"/>
  <c r="BS580" i="1"/>
  <c r="CE580" i="1"/>
  <c r="BD580" i="1"/>
  <c r="BV580" i="1"/>
  <c r="CK580" i="1"/>
  <c r="BG580" i="1"/>
  <c r="BY580" i="1"/>
  <c r="CU580" i="1"/>
  <c r="BJ580" i="1"/>
  <c r="CB580" i="1"/>
  <c r="CB1302" i="1"/>
  <c r="BG1302" i="1"/>
  <c r="CE1302" i="1"/>
  <c r="BJ1302" i="1"/>
  <c r="BS1302" i="1"/>
  <c r="CK1302" i="1"/>
  <c r="BV1302" i="1"/>
  <c r="BY1302" i="1"/>
  <c r="BD1302" i="1"/>
  <c r="CU1302" i="1"/>
  <c r="BS1282" i="1"/>
  <c r="CK1282" i="1"/>
  <c r="BD1282" i="1"/>
  <c r="BV1282" i="1"/>
  <c r="CU1282" i="1"/>
  <c r="BY1282" i="1"/>
  <c r="BG1282" i="1"/>
  <c r="CB1282" i="1"/>
  <c r="BJ1282" i="1"/>
  <c r="CE1282" i="1"/>
  <c r="BG1272" i="1"/>
  <c r="BV1272" i="1"/>
  <c r="CE1272" i="1"/>
  <c r="BJ1272" i="1"/>
  <c r="BY1272" i="1"/>
  <c r="CK1272" i="1"/>
  <c r="BD1272" i="1"/>
  <c r="BS1272" i="1"/>
  <c r="CB1272" i="1"/>
  <c r="CU1272" i="1"/>
  <c r="BJ1269" i="1"/>
  <c r="BS1269" i="1"/>
  <c r="CE1269" i="1"/>
  <c r="BV1269" i="1"/>
  <c r="CK1269" i="1"/>
  <c r="BD1269" i="1"/>
  <c r="CU1269" i="1"/>
  <c r="BG1269" i="1"/>
  <c r="BY1269" i="1"/>
  <c r="CB1269" i="1"/>
  <c r="CK598" i="1"/>
  <c r="BD598" i="1"/>
  <c r="BV598" i="1"/>
  <c r="BG598" i="1"/>
  <c r="CU598" i="1"/>
  <c r="CB598" i="1"/>
  <c r="BY598" i="1"/>
  <c r="CE598" i="1"/>
  <c r="BJ598" i="1"/>
  <c r="BS598" i="1"/>
  <c r="BY543" i="1"/>
  <c r="CB543" i="1"/>
  <c r="BS543" i="1"/>
  <c r="CE543" i="1"/>
  <c r="BD543" i="1"/>
  <c r="BV543" i="1"/>
  <c r="CK543" i="1"/>
  <c r="BG543" i="1"/>
  <c r="BJ543" i="1"/>
  <c r="CU543" i="1"/>
  <c r="BY1297" i="1"/>
  <c r="CU1297" i="1"/>
  <c r="BJ1297" i="1"/>
  <c r="CB1297" i="1"/>
  <c r="BD1297" i="1"/>
  <c r="BS1297" i="1"/>
  <c r="CE1297" i="1"/>
  <c r="BV1297" i="1"/>
  <c r="CK1297" i="1"/>
  <c r="BG1297" i="1"/>
  <c r="BV1186" i="1"/>
  <c r="CU1186" i="1"/>
  <c r="BD1186" i="1"/>
  <c r="BG1186" i="1"/>
  <c r="CB1186" i="1"/>
  <c r="BJ1186" i="1"/>
  <c r="CE1186" i="1"/>
  <c r="BS1186" i="1"/>
  <c r="BY1186" i="1"/>
  <c r="CK1186" i="1"/>
  <c r="CK508" i="1"/>
  <c r="BD508" i="1"/>
  <c r="CU508" i="1"/>
  <c r="BG508" i="1"/>
  <c r="BY508" i="1"/>
  <c r="BJ508" i="1"/>
  <c r="CB508" i="1"/>
  <c r="CE508" i="1"/>
  <c r="BS508" i="1"/>
  <c r="BV508" i="1"/>
  <c r="BJ1230" i="1"/>
  <c r="CE1230" i="1"/>
  <c r="BS1230" i="1"/>
  <c r="BD1230" i="1"/>
  <c r="BV1230" i="1"/>
  <c r="CK1230" i="1"/>
  <c r="CU1230" i="1"/>
  <c r="BG1230" i="1"/>
  <c r="BY1230" i="1"/>
  <c r="CB1230" i="1"/>
  <c r="BG592" i="1"/>
  <c r="BY592" i="1"/>
  <c r="CB592" i="1"/>
  <c r="BD592" i="1"/>
  <c r="BJ592" i="1"/>
  <c r="CE592" i="1"/>
  <c r="CU592" i="1"/>
  <c r="BV592" i="1"/>
  <c r="BS592" i="1"/>
  <c r="CK592" i="1"/>
  <c r="BG557" i="1"/>
  <c r="BY557" i="1"/>
  <c r="CU557" i="1"/>
  <c r="BJ557" i="1"/>
  <c r="CB557" i="1"/>
  <c r="BS557" i="1"/>
  <c r="CE557" i="1"/>
  <c r="BD557" i="1"/>
  <c r="BV557" i="1"/>
  <c r="CK557" i="1"/>
  <c r="CE472" i="1"/>
  <c r="BD472" i="1"/>
  <c r="BV472" i="1"/>
  <c r="CK472" i="1"/>
  <c r="BG472" i="1"/>
  <c r="BJ472" i="1"/>
  <c r="BS472" i="1"/>
  <c r="BY472" i="1"/>
  <c r="CB472" i="1"/>
  <c r="CU472" i="1"/>
  <c r="CK517" i="1"/>
  <c r="BD517" i="1"/>
  <c r="CU517" i="1"/>
  <c r="BG517" i="1"/>
  <c r="BY517" i="1"/>
  <c r="BJ517" i="1"/>
  <c r="BV517" i="1"/>
  <c r="CB517" i="1"/>
  <c r="CE517" i="1"/>
  <c r="BS517" i="1"/>
  <c r="AT1267" i="1"/>
  <c r="BD1267" i="1"/>
  <c r="BV1267" i="1"/>
  <c r="CK1267" i="1"/>
  <c r="BG1267" i="1"/>
  <c r="CU1267" i="1"/>
  <c r="BY1267" i="1"/>
  <c r="BJ1267" i="1"/>
  <c r="CE1267" i="1"/>
  <c r="BS1267" i="1"/>
  <c r="CB1267" i="1"/>
  <c r="BS1249" i="1"/>
  <c r="BD1249" i="1"/>
  <c r="BV1249" i="1"/>
  <c r="BG1249" i="1"/>
  <c r="CU1249" i="1"/>
  <c r="BY1249" i="1"/>
  <c r="BJ1249" i="1"/>
  <c r="CB1249" i="1"/>
  <c r="CE1249" i="1"/>
  <c r="CK1249" i="1"/>
  <c r="BY1265" i="1"/>
  <c r="CU1265" i="1"/>
  <c r="CB1265" i="1"/>
  <c r="BJ1265" i="1"/>
  <c r="BS1265" i="1"/>
  <c r="CE1265" i="1"/>
  <c r="BG1265" i="1"/>
  <c r="BV1265" i="1"/>
  <c r="CK1265" i="1"/>
  <c r="BD1265" i="1"/>
  <c r="BD547" i="1"/>
  <c r="CE547" i="1"/>
  <c r="BV547" i="1"/>
  <c r="CK547" i="1"/>
  <c r="BG547" i="1"/>
  <c r="BY547" i="1"/>
  <c r="CU547" i="1"/>
  <c r="BS547" i="1"/>
  <c r="BJ547" i="1"/>
  <c r="CB547" i="1"/>
  <c r="BJ473" i="1"/>
  <c r="CE473" i="1"/>
  <c r="BS473" i="1"/>
  <c r="BV473" i="1"/>
  <c r="CK473" i="1"/>
  <c r="BD473" i="1"/>
  <c r="CU473" i="1"/>
  <c r="BY473" i="1"/>
  <c r="CB473" i="1"/>
  <c r="BG473" i="1"/>
  <c r="CE1278" i="1"/>
  <c r="BD1278" i="1"/>
  <c r="BV1278" i="1"/>
  <c r="CU1278" i="1"/>
  <c r="BG1278" i="1"/>
  <c r="BY1278" i="1"/>
  <c r="CK1278" i="1"/>
  <c r="BJ1278" i="1"/>
  <c r="BS1278" i="1"/>
  <c r="CB1278" i="1"/>
  <c r="BS1259" i="1"/>
  <c r="CE1259" i="1"/>
  <c r="BD1259" i="1"/>
  <c r="BV1259" i="1"/>
  <c r="CU1259" i="1"/>
  <c r="BY1259" i="1"/>
  <c r="BG1259" i="1"/>
  <c r="CB1259" i="1"/>
  <c r="BJ1259" i="1"/>
  <c r="CK1259" i="1"/>
  <c r="BS540" i="1"/>
  <c r="BD540" i="1"/>
  <c r="BV540" i="1"/>
  <c r="BY540" i="1"/>
  <c r="CU540" i="1"/>
  <c r="BG540" i="1"/>
  <c r="CB540" i="1"/>
  <c r="CE540" i="1"/>
  <c r="CK540" i="1"/>
  <c r="BJ540" i="1"/>
  <c r="BJ1298" i="1"/>
  <c r="CB1298" i="1"/>
  <c r="BS1298" i="1"/>
  <c r="CE1298" i="1"/>
  <c r="CK1298" i="1"/>
  <c r="BD1298" i="1"/>
  <c r="BV1298" i="1"/>
  <c r="BG1298" i="1"/>
  <c r="BY1298" i="1"/>
  <c r="CU1298" i="1"/>
  <c r="BS551" i="1"/>
  <c r="BV551" i="1"/>
  <c r="BG551" i="1"/>
  <c r="CK551" i="1"/>
  <c r="BY551" i="1"/>
  <c r="CU551" i="1"/>
  <c r="BJ551" i="1"/>
  <c r="BD551" i="1"/>
  <c r="CB551" i="1"/>
  <c r="CE551" i="1"/>
  <c r="AS1320" i="1"/>
  <c r="AS523" i="1"/>
  <c r="AT523" i="1"/>
  <c r="AS1266" i="1"/>
  <c r="AT1266" i="1"/>
  <c r="AS1195" i="1"/>
  <c r="AT1195" i="1"/>
  <c r="AS1284" i="1"/>
  <c r="AT1284" i="1"/>
  <c r="AS507" i="1"/>
  <c r="AT507" i="1"/>
  <c r="AS1263" i="1"/>
  <c r="AT1263" i="1"/>
  <c r="AS532" i="1"/>
  <c r="AT532" i="1"/>
  <c r="AS1309" i="1"/>
  <c r="AT1309" i="1"/>
  <c r="AS1025" i="1"/>
  <c r="AT1025" i="1"/>
  <c r="AS1288" i="1"/>
  <c r="AT1288" i="1"/>
  <c r="AS1312" i="1"/>
  <c r="AT1312" i="1"/>
  <c r="AS1305" i="1"/>
  <c r="AT1305" i="1"/>
  <c r="AS546" i="1"/>
  <c r="AT546" i="1"/>
  <c r="AS484" i="1"/>
  <c r="AT484" i="1"/>
  <c r="AS511" i="1"/>
  <c r="AT511" i="1"/>
  <c r="AS572" i="1"/>
  <c r="AT572" i="1"/>
  <c r="AS1269" i="1"/>
  <c r="AT1269" i="1"/>
  <c r="AS598" i="1"/>
  <c r="AT598" i="1"/>
  <c r="AS1252" i="1"/>
  <c r="AT1252" i="1"/>
  <c r="AS361" i="1"/>
  <c r="AT361" i="1"/>
  <c r="AS601" i="1"/>
  <c r="AT601" i="1"/>
  <c r="AS471" i="1"/>
  <c r="AT471" i="1"/>
  <c r="AS597" i="1"/>
  <c r="AT597" i="1"/>
  <c r="AS575" i="1"/>
  <c r="AT575" i="1"/>
  <c r="AS581" i="1"/>
  <c r="AT581" i="1"/>
  <c r="AS506" i="1"/>
  <c r="AT506" i="1"/>
  <c r="AS563" i="1"/>
  <c r="AT563" i="1"/>
  <c r="AS1306" i="1"/>
  <c r="AT1306" i="1"/>
  <c r="AS1274" i="1"/>
  <c r="AT1274" i="1"/>
  <c r="AS1337" i="1"/>
  <c r="AT1337" i="1"/>
  <c r="AS578" i="1"/>
  <c r="AT578" i="1"/>
  <c r="AS564" i="1"/>
  <c r="AT564" i="1"/>
  <c r="AS1273" i="1"/>
  <c r="AT1273" i="1"/>
  <c r="AS527" i="1"/>
  <c r="AT527" i="1"/>
  <c r="AS509" i="1"/>
  <c r="AT509" i="1"/>
  <c r="AS517" i="1"/>
  <c r="AT517" i="1"/>
  <c r="AS538" i="1"/>
  <c r="AT538" i="1"/>
  <c r="AS1264" i="1"/>
  <c r="AT1264" i="1"/>
  <c r="AS528" i="1"/>
  <c r="AT528" i="1"/>
  <c r="AS1250" i="1"/>
  <c r="AT1250" i="1"/>
  <c r="AS537" i="1"/>
  <c r="AT537" i="1"/>
  <c r="AS610" i="1"/>
  <c r="AT610" i="1"/>
  <c r="AS607" i="1"/>
  <c r="AT607" i="1"/>
  <c r="AS1302" i="1"/>
  <c r="AT1302" i="1"/>
  <c r="AS1282" i="1"/>
  <c r="AT1282" i="1"/>
  <c r="AS1272" i="1"/>
  <c r="AT1272" i="1"/>
  <c r="AS1313" i="1"/>
  <c r="AT1313" i="1"/>
  <c r="AS717" i="1"/>
  <c r="AS543" i="1"/>
  <c r="AT543" i="1"/>
  <c r="AS1297" i="1"/>
  <c r="AT1297" i="1"/>
  <c r="AS1186" i="1"/>
  <c r="AT1186" i="1"/>
  <c r="AS508" i="1"/>
  <c r="AT508" i="1"/>
  <c r="AS1230" i="1"/>
  <c r="AT1230" i="1"/>
  <c r="AS592" i="1"/>
  <c r="AT592" i="1"/>
  <c r="AS557" i="1"/>
  <c r="AT557" i="1"/>
  <c r="AS472" i="1"/>
  <c r="AT472" i="1"/>
  <c r="AS1249" i="1"/>
  <c r="AT1249" i="1"/>
  <c r="AS1265" i="1"/>
  <c r="AT1265" i="1"/>
  <c r="AS547" i="1"/>
  <c r="AT547" i="1"/>
  <c r="AS473" i="1"/>
  <c r="AT473" i="1"/>
  <c r="AS1278" i="1"/>
  <c r="AT1278" i="1"/>
  <c r="AS554" i="1"/>
  <c r="AT554" i="1"/>
  <c r="AS1432" i="1"/>
  <c r="AS1259" i="1"/>
  <c r="AT1259" i="1"/>
  <c r="AS540" i="1"/>
  <c r="AT540" i="1"/>
  <c r="AS1298" i="1"/>
  <c r="AT1298" i="1"/>
  <c r="AS551" i="1"/>
  <c r="AT551" i="1"/>
  <c r="CU368" i="1"/>
  <c r="BJ368" i="1"/>
  <c r="BY368" i="1"/>
  <c r="BD368" i="1"/>
  <c r="CE368" i="1"/>
  <c r="CB368" i="1"/>
  <c r="BG368" i="1"/>
  <c r="BS368" i="1"/>
  <c r="BV368" i="1"/>
  <c r="CK368" i="1"/>
  <c r="AS580" i="1"/>
  <c r="AS1087" i="1"/>
  <c r="AS573" i="1"/>
  <c r="AS1346" i="1"/>
  <c r="AS667" i="1"/>
  <c r="AS1197" i="1"/>
  <c r="AS1294" i="1"/>
  <c r="AS1291" i="1"/>
  <c r="AS1445" i="1"/>
  <c r="AS550" i="1"/>
  <c r="AS1428" i="1"/>
  <c r="AS678" i="1"/>
  <c r="AS568" i="1"/>
  <c r="AS659" i="1"/>
  <c r="AS629" i="1"/>
  <c r="AS1327" i="1"/>
  <c r="AS1293" i="1"/>
  <c r="AS673" i="1"/>
  <c r="AS1334" i="1"/>
  <c r="AS1256" i="1"/>
  <c r="AS1421" i="1"/>
  <c r="AS700" i="1"/>
  <c r="AS1443" i="1"/>
  <c r="AS1232" i="1"/>
  <c r="AS701" i="1"/>
  <c r="AS705" i="1"/>
  <c r="AS1422" i="1"/>
  <c r="AS515" i="1"/>
  <c r="AS703" i="1"/>
  <c r="AS648" i="1"/>
  <c r="AS602" i="1"/>
  <c r="AS1340" i="1"/>
  <c r="AS660" i="1"/>
  <c r="AS1318" i="1"/>
  <c r="AS584" i="1"/>
  <c r="AS1307" i="1"/>
  <c r="AS1289" i="1"/>
  <c r="AS619" i="1"/>
  <c r="AS1329" i="1"/>
  <c r="AS624" i="1"/>
  <c r="AS1363" i="1"/>
  <c r="AS541" i="1"/>
  <c r="AS616" i="1"/>
  <c r="AS654" i="1"/>
  <c r="AS1401" i="1"/>
  <c r="AS1271" i="1"/>
  <c r="AS1414" i="1"/>
  <c r="AS1365" i="1"/>
  <c r="AS1350" i="1"/>
  <c r="AS1324" i="1"/>
  <c r="AS1373" i="1"/>
  <c r="AS474" i="1"/>
  <c r="AS626" i="1"/>
  <c r="AS655" i="1"/>
  <c r="AS1311" i="1"/>
  <c r="AS1354" i="1"/>
  <c r="AS671" i="1"/>
  <c r="AS1353" i="1"/>
  <c r="AS611" i="1"/>
  <c r="AS1332" i="1"/>
  <c r="AS1351" i="1"/>
  <c r="AS1382" i="1"/>
  <c r="AS662" i="1"/>
  <c r="AS632" i="1"/>
  <c r="AS617" i="1"/>
  <c r="AS1409" i="1"/>
  <c r="AS707" i="1"/>
  <c r="AS1380" i="1"/>
  <c r="AS665" i="1"/>
  <c r="AS1381" i="1"/>
  <c r="AS693" i="1"/>
  <c r="AS1348" i="1"/>
  <c r="AS1275" i="1"/>
  <c r="AS627" i="1"/>
  <c r="AS1333" i="1"/>
  <c r="AS669" i="1"/>
  <c r="AS1283" i="1"/>
  <c r="AS716" i="1"/>
  <c r="AS1089" i="1"/>
  <c r="AS1255" i="1"/>
  <c r="AS647" i="1"/>
  <c r="AS485" i="1"/>
  <c r="AS519" i="1"/>
  <c r="AS1395" i="1"/>
  <c r="AS549" i="1"/>
  <c r="AS637" i="1"/>
  <c r="AS612" i="1"/>
  <c r="AS347" i="1"/>
  <c r="AS529" i="1"/>
  <c r="AS1310" i="1"/>
  <c r="AS1408" i="1"/>
  <c r="AS685" i="1"/>
  <c r="AS1189" i="1"/>
  <c r="AS608" i="1"/>
  <c r="AS545" i="1"/>
  <c r="AS641" i="1"/>
  <c r="AS558" i="1"/>
  <c r="AS585" i="1"/>
  <c r="AS622" i="1"/>
  <c r="AS711" i="1"/>
  <c r="BA1320" i="1" l="1"/>
  <c r="BU585" i="1"/>
  <c r="BW585" i="1"/>
  <c r="BK585" i="1"/>
  <c r="BI585" i="1"/>
  <c r="BF585" i="1"/>
  <c r="BH585" i="1"/>
  <c r="BZ585" i="1"/>
  <c r="BX585" i="1"/>
  <c r="CV585" i="1"/>
  <c r="CS585" i="1"/>
  <c r="CJ585" i="1"/>
  <c r="CL585" i="1"/>
  <c r="CC585" i="1"/>
  <c r="CA585" i="1"/>
  <c r="BC585" i="1"/>
  <c r="BE585" i="1"/>
  <c r="CD585" i="1"/>
  <c r="CF585" i="1"/>
  <c r="BR585" i="1"/>
  <c r="BT585" i="1"/>
  <c r="BC1298" i="1"/>
  <c r="BE1298" i="1"/>
  <c r="BC1265" i="1"/>
  <c r="BE1265" i="1"/>
  <c r="BZ1230" i="1"/>
  <c r="BX1230" i="1"/>
  <c r="BX543" i="1"/>
  <c r="BZ543" i="1"/>
  <c r="CD1302" i="1"/>
  <c r="CF1302" i="1"/>
  <c r="CC538" i="1"/>
  <c r="CA538" i="1"/>
  <c r="CJ564" i="1"/>
  <c r="CL564" i="1"/>
  <c r="CA601" i="1"/>
  <c r="CC601" i="1"/>
  <c r="BK1305" i="1"/>
  <c r="BI1305" i="1"/>
  <c r="CS1313" i="1"/>
  <c r="CV1313" i="1"/>
  <c r="CJ1298" i="1"/>
  <c r="CL1298" i="1"/>
  <c r="BU1278" i="1"/>
  <c r="BW1278" i="1"/>
  <c r="CD592" i="1"/>
  <c r="CF592" i="1"/>
  <c r="BT598" i="1"/>
  <c r="BR598" i="1"/>
  <c r="CJ1272" i="1"/>
  <c r="CL1272" i="1"/>
  <c r="CV1302" i="1"/>
  <c r="CS1302" i="1"/>
  <c r="BF607" i="1"/>
  <c r="BH607" i="1"/>
  <c r="BX537" i="1"/>
  <c r="BZ537" i="1"/>
  <c r="CJ528" i="1"/>
  <c r="CL528" i="1"/>
  <c r="CS528" i="1"/>
  <c r="CV528" i="1"/>
  <c r="CV554" i="1"/>
  <c r="CS554" i="1"/>
  <c r="BU361" i="1"/>
  <c r="BW361" i="1"/>
  <c r="BI538" i="1"/>
  <c r="BK538" i="1"/>
  <c r="CA509" i="1"/>
  <c r="CC509" i="1"/>
  <c r="BT509" i="1"/>
  <c r="BR509" i="1"/>
  <c r="CC527" i="1"/>
  <c r="CA527" i="1"/>
  <c r="CS1273" i="1"/>
  <c r="CV1273" i="1"/>
  <c r="CD564" i="1"/>
  <c r="CF564" i="1"/>
  <c r="BC578" i="1"/>
  <c r="BE578" i="1"/>
  <c r="BH578" i="1"/>
  <c r="BF578" i="1"/>
  <c r="BX1337" i="1"/>
  <c r="BZ1337" i="1"/>
  <c r="BU1274" i="1"/>
  <c r="BW1274" i="1"/>
  <c r="BU1306" i="1"/>
  <c r="BW1306" i="1"/>
  <c r="BT563" i="1"/>
  <c r="BR563" i="1"/>
  <c r="BC563" i="1"/>
  <c r="BE563" i="1"/>
  <c r="BX506" i="1"/>
  <c r="BZ506" i="1"/>
  <c r="CA581" i="1"/>
  <c r="CC581" i="1"/>
  <c r="BI575" i="1"/>
  <c r="BK575" i="1"/>
  <c r="CD597" i="1"/>
  <c r="CF597" i="1"/>
  <c r="CA597" i="1"/>
  <c r="CC597" i="1"/>
  <c r="CC471" i="1"/>
  <c r="CA471" i="1"/>
  <c r="BX601" i="1"/>
  <c r="BZ601" i="1"/>
  <c r="CD1252" i="1"/>
  <c r="CF1252" i="1"/>
  <c r="CL523" i="1"/>
  <c r="CJ523" i="1"/>
  <c r="CV523" i="1"/>
  <c r="CS523" i="1"/>
  <c r="CF511" i="1"/>
  <c r="CD511" i="1"/>
  <c r="CV484" i="1"/>
  <c r="CS484" i="1"/>
  <c r="CF546" i="1"/>
  <c r="CD546" i="1"/>
  <c r="BX1305" i="1"/>
  <c r="BZ1305" i="1"/>
  <c r="CA1305" i="1"/>
  <c r="CC1305" i="1"/>
  <c r="CA1312" i="1"/>
  <c r="CC1312" i="1"/>
  <c r="BW1288" i="1"/>
  <c r="BU1288" i="1"/>
  <c r="CF1025" i="1"/>
  <c r="CD1025" i="1"/>
  <c r="BR1309" i="1"/>
  <c r="BT1309" i="1"/>
  <c r="CJ1309" i="1"/>
  <c r="CL1309" i="1"/>
  <c r="BW532" i="1"/>
  <c r="BU532" i="1"/>
  <c r="CF1263" i="1"/>
  <c r="CD1263" i="1"/>
  <c r="BK507" i="1"/>
  <c r="BI507" i="1"/>
  <c r="CV1284" i="1"/>
  <c r="CS1284" i="1"/>
  <c r="BX1284" i="1"/>
  <c r="BZ1284" i="1"/>
  <c r="BW1264" i="1"/>
  <c r="BU1264" i="1"/>
  <c r="BX1313" i="1"/>
  <c r="BZ1313" i="1"/>
  <c r="BU1195" i="1"/>
  <c r="BW1195" i="1"/>
  <c r="BH1266" i="1"/>
  <c r="BF1266" i="1"/>
  <c r="CF1266" i="1"/>
  <c r="CD1266" i="1"/>
  <c r="BC1323" i="1"/>
  <c r="BE1323" i="1"/>
  <c r="CV572" i="1"/>
  <c r="CS572" i="1"/>
  <c r="CF540" i="1"/>
  <c r="CD540" i="1"/>
  <c r="CS1265" i="1"/>
  <c r="CV1265" i="1"/>
  <c r="CA557" i="1"/>
  <c r="CC557" i="1"/>
  <c r="CV508" i="1"/>
  <c r="CS508" i="1"/>
  <c r="BC1272" i="1"/>
  <c r="BE1272" i="1"/>
  <c r="BW607" i="1"/>
  <c r="BU607" i="1"/>
  <c r="CJ361" i="1"/>
  <c r="CL361" i="1"/>
  <c r="CD1274" i="1"/>
  <c r="CF1274" i="1"/>
  <c r="CF575" i="1"/>
  <c r="CD575" i="1"/>
  <c r="CL546" i="1"/>
  <c r="CJ546" i="1"/>
  <c r="BF1309" i="1"/>
  <c r="BH1309" i="1"/>
  <c r="CF507" i="1"/>
  <c r="CD507" i="1"/>
  <c r="BX1195" i="1"/>
  <c r="BZ1195" i="1"/>
  <c r="CS547" i="1"/>
  <c r="CV547" i="1"/>
  <c r="BU1249" i="1"/>
  <c r="BW1249" i="1"/>
  <c r="BI557" i="1"/>
  <c r="BK557" i="1"/>
  <c r="BC508" i="1"/>
  <c r="BE508" i="1"/>
  <c r="BF1302" i="1"/>
  <c r="BH1302" i="1"/>
  <c r="CJ1259" i="1"/>
  <c r="CL1259" i="1"/>
  <c r="CS592" i="1"/>
  <c r="CV592" i="1"/>
  <c r="BI543" i="1"/>
  <c r="BK543" i="1"/>
  <c r="BH528" i="1"/>
  <c r="BF528" i="1"/>
  <c r="CJ1306" i="1"/>
  <c r="CL1306" i="1"/>
  <c r="BC575" i="1"/>
  <c r="BE575" i="1"/>
  <c r="BK1312" i="1"/>
  <c r="BI1312" i="1"/>
  <c r="BF1025" i="1"/>
  <c r="BH1025" i="1"/>
  <c r="BK1263" i="1"/>
  <c r="BI1263" i="1"/>
  <c r="BE572" i="1"/>
  <c r="BC572" i="1"/>
  <c r="CA540" i="1"/>
  <c r="CC540" i="1"/>
  <c r="BR1259" i="1"/>
  <c r="BT1259" i="1"/>
  <c r="BX1265" i="1"/>
  <c r="BZ1265" i="1"/>
  <c r="CV472" i="1"/>
  <c r="CS472" i="1"/>
  <c r="BR1297" i="1"/>
  <c r="BT1297" i="1"/>
  <c r="CD551" i="1"/>
  <c r="CF551" i="1"/>
  <c r="BW551" i="1"/>
  <c r="BU551" i="1"/>
  <c r="BF540" i="1"/>
  <c r="BH540" i="1"/>
  <c r="CA1278" i="1"/>
  <c r="CC1278" i="1"/>
  <c r="BX547" i="1"/>
  <c r="BZ547" i="1"/>
  <c r="CL1249" i="1"/>
  <c r="CJ1249" i="1"/>
  <c r="BC1249" i="1"/>
  <c r="BE1249" i="1"/>
  <c r="BU517" i="1"/>
  <c r="BW517" i="1"/>
  <c r="CD472" i="1"/>
  <c r="CF472" i="1"/>
  <c r="BK592" i="1"/>
  <c r="BI592" i="1"/>
  <c r="BT508" i="1"/>
  <c r="BR508" i="1"/>
  <c r="BE1186" i="1"/>
  <c r="BC1186" i="1"/>
  <c r="CL543" i="1"/>
  <c r="CJ543" i="1"/>
  <c r="CL598" i="1"/>
  <c r="CJ598" i="1"/>
  <c r="BZ1272" i="1"/>
  <c r="BX1272" i="1"/>
  <c r="BE1302" i="1"/>
  <c r="BC1302" i="1"/>
  <c r="BE580" i="1"/>
  <c r="BC580" i="1"/>
  <c r="BU610" i="1"/>
  <c r="BW610" i="1"/>
  <c r="CC1250" i="1"/>
  <c r="CA1250" i="1"/>
  <c r="BC528" i="1"/>
  <c r="BE528" i="1"/>
  <c r="BT538" i="1"/>
  <c r="BR538" i="1"/>
  <c r="BI509" i="1"/>
  <c r="BK509" i="1"/>
  <c r="CV527" i="1"/>
  <c r="CS527" i="1"/>
  <c r="CC564" i="1"/>
  <c r="CA564" i="1"/>
  <c r="CS578" i="1"/>
  <c r="CV578" i="1"/>
  <c r="BF1274" i="1"/>
  <c r="BH1274" i="1"/>
  <c r="CA563" i="1"/>
  <c r="CC563" i="1"/>
  <c r="BI581" i="1"/>
  <c r="BK581" i="1"/>
  <c r="CA575" i="1"/>
  <c r="CC575" i="1"/>
  <c r="BT597" i="1"/>
  <c r="BR597" i="1"/>
  <c r="BF471" i="1"/>
  <c r="BH471" i="1"/>
  <c r="BR1252" i="1"/>
  <c r="BT1252" i="1"/>
  <c r="BF523" i="1"/>
  <c r="BH523" i="1"/>
  <c r="BC511" i="1"/>
  <c r="BE511" i="1"/>
  <c r="BK546" i="1"/>
  <c r="BI546" i="1"/>
  <c r="BF1305" i="1"/>
  <c r="BH1305" i="1"/>
  <c r="BC1288" i="1"/>
  <c r="BE1288" i="1"/>
  <c r="CD1309" i="1"/>
  <c r="CF1309" i="1"/>
  <c r="BC532" i="1"/>
  <c r="BE532" i="1"/>
  <c r="BF507" i="1"/>
  <c r="BH507" i="1"/>
  <c r="BF1284" i="1"/>
  <c r="BH1284" i="1"/>
  <c r="CD1264" i="1"/>
  <c r="CF1264" i="1"/>
  <c r="CD1195" i="1"/>
  <c r="CF1195" i="1"/>
  <c r="CV1323" i="1"/>
  <c r="CS1323" i="1"/>
  <c r="CA551" i="1"/>
  <c r="CC551" i="1"/>
  <c r="BR551" i="1"/>
  <c r="BT551" i="1"/>
  <c r="BT1298" i="1"/>
  <c r="BR1298" i="1"/>
  <c r="CS540" i="1"/>
  <c r="CV540" i="1"/>
  <c r="BH1259" i="1"/>
  <c r="BF1259" i="1"/>
  <c r="BR1278" i="1"/>
  <c r="BT1278" i="1"/>
  <c r="CF1278" i="1"/>
  <c r="CD1278" i="1"/>
  <c r="BT473" i="1"/>
  <c r="BR473" i="1"/>
  <c r="BF547" i="1"/>
  <c r="BH547" i="1"/>
  <c r="BF1265" i="1"/>
  <c r="BH1265" i="1"/>
  <c r="CD1249" i="1"/>
  <c r="CF1249" i="1"/>
  <c r="BR1249" i="1"/>
  <c r="BT1249" i="1"/>
  <c r="CJ1267" i="1"/>
  <c r="CL1267" i="1"/>
  <c r="BI517" i="1"/>
  <c r="BK517" i="1"/>
  <c r="BZ472" i="1"/>
  <c r="BX472" i="1"/>
  <c r="CL557" i="1"/>
  <c r="CJ557" i="1"/>
  <c r="BZ557" i="1"/>
  <c r="BX557" i="1"/>
  <c r="BC592" i="1"/>
  <c r="BE592" i="1"/>
  <c r="CL1230" i="1"/>
  <c r="CJ1230" i="1"/>
  <c r="CF508" i="1"/>
  <c r="CD508" i="1"/>
  <c r="CJ1186" i="1"/>
  <c r="CL1186" i="1"/>
  <c r="CS1186" i="1"/>
  <c r="CV1186" i="1"/>
  <c r="CA1297" i="1"/>
  <c r="CC1297" i="1"/>
  <c r="BU543" i="1"/>
  <c r="BW543" i="1"/>
  <c r="CD598" i="1"/>
  <c r="CF598" i="1"/>
  <c r="CA1269" i="1"/>
  <c r="CC1269" i="1"/>
  <c r="BT1269" i="1"/>
  <c r="BR1269" i="1"/>
  <c r="BI1272" i="1"/>
  <c r="BK1272" i="1"/>
  <c r="BX1282" i="1"/>
  <c r="BZ1282" i="1"/>
  <c r="BX1302" i="1"/>
  <c r="BZ1302" i="1"/>
  <c r="CA580" i="1"/>
  <c r="CC580" i="1"/>
  <c r="CF580" i="1"/>
  <c r="CD580" i="1"/>
  <c r="BR607" i="1"/>
  <c r="BT607" i="1"/>
  <c r="CV1320" i="1"/>
  <c r="CS1320" i="1"/>
  <c r="CF610" i="1"/>
  <c r="CD610" i="1"/>
  <c r="BE610" i="1"/>
  <c r="BC610" i="1"/>
  <c r="CS537" i="1"/>
  <c r="CV537" i="1"/>
  <c r="BZ1250" i="1"/>
  <c r="BX1250" i="1"/>
  <c r="BU528" i="1"/>
  <c r="BW528" i="1"/>
  <c r="BR554" i="1"/>
  <c r="BT554" i="1"/>
  <c r="CL554" i="1"/>
  <c r="CJ554" i="1"/>
  <c r="BR361" i="1"/>
  <c r="BT361" i="1"/>
  <c r="CV538" i="1"/>
  <c r="CS538" i="1"/>
  <c r="BX509" i="1"/>
  <c r="BZ509" i="1"/>
  <c r="BX527" i="1"/>
  <c r="BZ527" i="1"/>
  <c r="BH527" i="1"/>
  <c r="BF527" i="1"/>
  <c r="BT1273" i="1"/>
  <c r="BR1273" i="1"/>
  <c r="CV564" i="1"/>
  <c r="CS564" i="1"/>
  <c r="CF578" i="1"/>
  <c r="CD578" i="1"/>
  <c r="BI1337" i="1"/>
  <c r="BK1337" i="1"/>
  <c r="CV1337" i="1"/>
  <c r="CS1337" i="1"/>
  <c r="BZ1274" i="1"/>
  <c r="BX1274" i="1"/>
  <c r="BR1306" i="1"/>
  <c r="BT1306" i="1"/>
  <c r="BK563" i="1"/>
  <c r="BI563" i="1"/>
  <c r="BW506" i="1"/>
  <c r="BU506" i="1"/>
  <c r="CV506" i="1"/>
  <c r="CS506" i="1"/>
  <c r="BZ581" i="1"/>
  <c r="BX581" i="1"/>
  <c r="CS575" i="1"/>
  <c r="CV575" i="1"/>
  <c r="BZ597" i="1"/>
  <c r="BX597" i="1"/>
  <c r="BE471" i="1"/>
  <c r="BC471" i="1"/>
  <c r="CS471" i="1"/>
  <c r="CV471" i="1"/>
  <c r="CS601" i="1"/>
  <c r="CV601" i="1"/>
  <c r="CC1252" i="1"/>
  <c r="CA1252" i="1"/>
  <c r="BU523" i="1"/>
  <c r="BW523" i="1"/>
  <c r="BZ511" i="1"/>
  <c r="BX511" i="1"/>
  <c r="BR511" i="1"/>
  <c r="BT511" i="1"/>
  <c r="CJ484" i="1"/>
  <c r="CL484" i="1"/>
  <c r="CC546" i="1"/>
  <c r="CA546" i="1"/>
  <c r="CS1305" i="1"/>
  <c r="CV1305" i="1"/>
  <c r="CV1312" i="1"/>
  <c r="CS1312" i="1"/>
  <c r="BC1312" i="1"/>
  <c r="BE1312" i="1"/>
  <c r="CF1288" i="1"/>
  <c r="CD1288" i="1"/>
  <c r="CS1025" i="1"/>
  <c r="CV1025" i="1"/>
  <c r="BC1309" i="1"/>
  <c r="BE1309" i="1"/>
  <c r="CA532" i="1"/>
  <c r="CC532" i="1"/>
  <c r="CD532" i="1"/>
  <c r="CF532" i="1"/>
  <c r="BF1263" i="1"/>
  <c r="BH1263" i="1"/>
  <c r="CS507" i="1"/>
  <c r="CV507" i="1"/>
  <c r="BU1284" i="1"/>
  <c r="BW1284" i="1"/>
  <c r="BI1264" i="1"/>
  <c r="BK1264" i="1"/>
  <c r="BC1264" i="1"/>
  <c r="BE1264" i="1"/>
  <c r="CJ1313" i="1"/>
  <c r="CL1313" i="1"/>
  <c r="BT1195" i="1"/>
  <c r="BR1195" i="1"/>
  <c r="BX1266" i="1"/>
  <c r="BZ1266" i="1"/>
  <c r="BU1323" i="1"/>
  <c r="BW1323" i="1"/>
  <c r="BX1323" i="1"/>
  <c r="BZ1323" i="1"/>
  <c r="CJ572" i="1"/>
  <c r="CL572" i="1"/>
  <c r="CJ551" i="1"/>
  <c r="CL551" i="1"/>
  <c r="CF1259" i="1"/>
  <c r="CD1259" i="1"/>
  <c r="BF1249" i="1"/>
  <c r="BH1249" i="1"/>
  <c r="BU598" i="1"/>
  <c r="BW598" i="1"/>
  <c r="BF554" i="1"/>
  <c r="BH554" i="1"/>
  <c r="BE1273" i="1"/>
  <c r="BC1273" i="1"/>
  <c r="CC1306" i="1"/>
  <c r="CA1306" i="1"/>
  <c r="BI506" i="1"/>
  <c r="BK506" i="1"/>
  <c r="BK471" i="1"/>
  <c r="BI471" i="1"/>
  <c r="BC484" i="1"/>
  <c r="BE484" i="1"/>
  <c r="CJ1288" i="1"/>
  <c r="CL1288" i="1"/>
  <c r="CJ532" i="1"/>
  <c r="CL532" i="1"/>
  <c r="BT507" i="1"/>
  <c r="BR507" i="1"/>
  <c r="BI1323" i="1"/>
  <c r="BK1323" i="1"/>
  <c r="BF551" i="1"/>
  <c r="BH551" i="1"/>
  <c r="BI1259" i="1"/>
  <c r="BK1259" i="1"/>
  <c r="CL1265" i="1"/>
  <c r="CJ1265" i="1"/>
  <c r="CA517" i="1"/>
  <c r="CC517" i="1"/>
  <c r="BE472" i="1"/>
  <c r="BC472" i="1"/>
  <c r="BU508" i="1"/>
  <c r="BW508" i="1"/>
  <c r="BC598" i="1"/>
  <c r="BE598" i="1"/>
  <c r="CA1282" i="1"/>
  <c r="CC1282" i="1"/>
  <c r="BW580" i="1"/>
  <c r="BU580" i="1"/>
  <c r="CV1250" i="1"/>
  <c r="CS1250" i="1"/>
  <c r="CF1298" i="1"/>
  <c r="CD1298" i="1"/>
  <c r="CA1259" i="1"/>
  <c r="CC1259" i="1"/>
  <c r="BC1278" i="1"/>
  <c r="BE1278" i="1"/>
  <c r="BU473" i="1"/>
  <c r="BW473" i="1"/>
  <c r="BW1265" i="1"/>
  <c r="BU1265" i="1"/>
  <c r="BF1267" i="1"/>
  <c r="BH1267" i="1"/>
  <c r="CC472" i="1"/>
  <c r="CA472" i="1"/>
  <c r="CS557" i="1"/>
  <c r="CV557" i="1"/>
  <c r="CS1230" i="1"/>
  <c r="CV1230" i="1"/>
  <c r="CL508" i="1"/>
  <c r="CJ508" i="1"/>
  <c r="BC1297" i="1"/>
  <c r="BE1297" i="1"/>
  <c r="BK598" i="1"/>
  <c r="BI598" i="1"/>
  <c r="CD1269" i="1"/>
  <c r="CF1269" i="1"/>
  <c r="BH1282" i="1"/>
  <c r="BF1282" i="1"/>
  <c r="CC1302" i="1"/>
  <c r="CA1302" i="1"/>
  <c r="CA607" i="1"/>
  <c r="CC607" i="1"/>
  <c r="BF537" i="1"/>
  <c r="BH537" i="1"/>
  <c r="BX528" i="1"/>
  <c r="BZ528" i="1"/>
  <c r="BZ554" i="1"/>
  <c r="BX554" i="1"/>
  <c r="CD361" i="1"/>
  <c r="CF361" i="1"/>
  <c r="BH509" i="1"/>
  <c r="BF509" i="1"/>
  <c r="CJ1273" i="1"/>
  <c r="CL1273" i="1"/>
  <c r="CJ578" i="1"/>
  <c r="CL578" i="1"/>
  <c r="BE1337" i="1"/>
  <c r="BC1337" i="1"/>
  <c r="BH1306" i="1"/>
  <c r="BF1306" i="1"/>
  <c r="CD563" i="1"/>
  <c r="CF563" i="1"/>
  <c r="BF506" i="1"/>
  <c r="BH506" i="1"/>
  <c r="CV597" i="1"/>
  <c r="CS597" i="1"/>
  <c r="BF601" i="1"/>
  <c r="BH601" i="1"/>
  <c r="BZ523" i="1"/>
  <c r="BX523" i="1"/>
  <c r="BU484" i="1"/>
  <c r="BW484" i="1"/>
  <c r="BC1305" i="1"/>
  <c r="BE1305" i="1"/>
  <c r="BF1312" i="1"/>
  <c r="BH1312" i="1"/>
  <c r="BX1025" i="1"/>
  <c r="BZ1025" i="1"/>
  <c r="BU1309" i="1"/>
  <c r="BW1309" i="1"/>
  <c r="CA1263" i="1"/>
  <c r="CC1263" i="1"/>
  <c r="BE1284" i="1"/>
  <c r="BC1284" i="1"/>
  <c r="BF1313" i="1"/>
  <c r="BH1313" i="1"/>
  <c r="CS1266" i="1"/>
  <c r="CV1266" i="1"/>
  <c r="CA1266" i="1"/>
  <c r="CC1266" i="1"/>
  <c r="BU572" i="1"/>
  <c r="BW572" i="1"/>
  <c r="BE551" i="1"/>
  <c r="BC551" i="1"/>
  <c r="CV1298" i="1"/>
  <c r="CS1298" i="1"/>
  <c r="CC1298" i="1"/>
  <c r="CA1298" i="1"/>
  <c r="BX540" i="1"/>
  <c r="BZ540" i="1"/>
  <c r="BX1259" i="1"/>
  <c r="BZ1259" i="1"/>
  <c r="BK1278" i="1"/>
  <c r="BI1278" i="1"/>
  <c r="BF473" i="1"/>
  <c r="BH473" i="1"/>
  <c r="CD473" i="1"/>
  <c r="CF473" i="1"/>
  <c r="CJ547" i="1"/>
  <c r="CL547" i="1"/>
  <c r="CD1265" i="1"/>
  <c r="CF1265" i="1"/>
  <c r="CA1249" i="1"/>
  <c r="CC1249" i="1"/>
  <c r="CA1267" i="1"/>
  <c r="CC1267" i="1"/>
  <c r="BW1267" i="1"/>
  <c r="BU1267" i="1"/>
  <c r="BX517" i="1"/>
  <c r="BZ517" i="1"/>
  <c r="BR472" i="1"/>
  <c r="BT472" i="1"/>
  <c r="BU557" i="1"/>
  <c r="BW557" i="1"/>
  <c r="BH557" i="1"/>
  <c r="BF557" i="1"/>
  <c r="CA592" i="1"/>
  <c r="CC592" i="1"/>
  <c r="BU1230" i="1"/>
  <c r="BW1230" i="1"/>
  <c r="CA508" i="1"/>
  <c r="CC508" i="1"/>
  <c r="BZ1186" i="1"/>
  <c r="BX1186" i="1"/>
  <c r="BU1186" i="1"/>
  <c r="BW1186" i="1"/>
  <c r="BI1297" i="1"/>
  <c r="BK1297" i="1"/>
  <c r="BC543" i="1"/>
  <c r="BE543" i="1"/>
  <c r="BX598" i="1"/>
  <c r="BZ598" i="1"/>
  <c r="BZ1269" i="1"/>
  <c r="BX1269" i="1"/>
  <c r="BI1269" i="1"/>
  <c r="BK1269" i="1"/>
  <c r="CD1272" i="1"/>
  <c r="CF1272" i="1"/>
  <c r="CS1282" i="1"/>
  <c r="CV1282" i="1"/>
  <c r="BU1302" i="1"/>
  <c r="BW1302" i="1"/>
  <c r="BI580" i="1"/>
  <c r="BK580" i="1"/>
  <c r="BR580" i="1"/>
  <c r="BT580" i="1"/>
  <c r="BC607" i="1"/>
  <c r="BE607" i="1"/>
  <c r="CC610" i="1"/>
  <c r="CA610" i="1"/>
  <c r="BT610" i="1"/>
  <c r="BR610" i="1"/>
  <c r="CJ537" i="1"/>
  <c r="CL537" i="1"/>
  <c r="BI1250" i="1"/>
  <c r="BK1250" i="1"/>
  <c r="BR528" i="1"/>
  <c r="BT528" i="1"/>
  <c r="BE554" i="1"/>
  <c r="BC554" i="1"/>
  <c r="BW554" i="1"/>
  <c r="BU554" i="1"/>
  <c r="BI361" i="1"/>
  <c r="BK361" i="1"/>
  <c r="BF538" i="1"/>
  <c r="BH538" i="1"/>
  <c r="CS509" i="1"/>
  <c r="CV509" i="1"/>
  <c r="BU527" i="1"/>
  <c r="BW527" i="1"/>
  <c r="BE527" i="1"/>
  <c r="BC527" i="1"/>
  <c r="CD1273" i="1"/>
  <c r="CF1273" i="1"/>
  <c r="BR564" i="1"/>
  <c r="BT564" i="1"/>
  <c r="BW578" i="1"/>
  <c r="BU578" i="1"/>
  <c r="CJ1337" i="1"/>
  <c r="CL1337" i="1"/>
  <c r="BU1337" i="1"/>
  <c r="BW1337" i="1"/>
  <c r="BT1274" i="1"/>
  <c r="BR1274" i="1"/>
  <c r="CD1306" i="1"/>
  <c r="CF1306" i="1"/>
  <c r="BX563" i="1"/>
  <c r="BZ563" i="1"/>
  <c r="CJ506" i="1"/>
  <c r="CL506" i="1"/>
  <c r="BE506" i="1"/>
  <c r="BC506" i="1"/>
  <c r="BF581" i="1"/>
  <c r="BH581" i="1"/>
  <c r="BX575" i="1"/>
  <c r="BZ575" i="1"/>
  <c r="BF597" i="1"/>
  <c r="BH597" i="1"/>
  <c r="CL471" i="1"/>
  <c r="CJ471" i="1"/>
  <c r="BU471" i="1"/>
  <c r="BW471" i="1"/>
  <c r="BU601" i="1"/>
  <c r="BW601" i="1"/>
  <c r="BI1252" i="1"/>
  <c r="BK1252" i="1"/>
  <c r="BC523" i="1"/>
  <c r="BE523" i="1"/>
  <c r="BH511" i="1"/>
  <c r="BF511" i="1"/>
  <c r="BI511" i="1"/>
  <c r="BK511" i="1"/>
  <c r="CD484" i="1"/>
  <c r="CF484" i="1"/>
  <c r="BF546" i="1"/>
  <c r="BH546" i="1"/>
  <c r="BU1305" i="1"/>
  <c r="BW1305" i="1"/>
  <c r="BU1312" i="1"/>
  <c r="BW1312" i="1"/>
  <c r="BX1312" i="1"/>
  <c r="BZ1312" i="1"/>
  <c r="BR1288" i="1"/>
  <c r="BT1288" i="1"/>
  <c r="BU1025" i="1"/>
  <c r="BW1025" i="1"/>
  <c r="CA1309" i="1"/>
  <c r="CC1309" i="1"/>
  <c r="BI532" i="1"/>
  <c r="BK532" i="1"/>
  <c r="BR532" i="1"/>
  <c r="BT532" i="1"/>
  <c r="BZ1263" i="1"/>
  <c r="BX1263" i="1"/>
  <c r="BX507" i="1"/>
  <c r="BZ507" i="1"/>
  <c r="CJ1284" i="1"/>
  <c r="CL1284" i="1"/>
  <c r="BH1264" i="1"/>
  <c r="BF1264" i="1"/>
  <c r="BR1264" i="1"/>
  <c r="BT1264" i="1"/>
  <c r="BW1313" i="1"/>
  <c r="BU1313" i="1"/>
  <c r="CA1195" i="1"/>
  <c r="CC1195" i="1"/>
  <c r="BK1266" i="1"/>
  <c r="BI1266" i="1"/>
  <c r="CJ1323" i="1"/>
  <c r="CL1323" i="1"/>
  <c r="BF1323" i="1"/>
  <c r="BH1323" i="1"/>
  <c r="BT572" i="1"/>
  <c r="BR572" i="1"/>
  <c r="BR547" i="1"/>
  <c r="BT547" i="1"/>
  <c r="CJ517" i="1"/>
  <c r="CL517" i="1"/>
  <c r="CD1297" i="1"/>
  <c r="CF1297" i="1"/>
  <c r="CJ580" i="1"/>
  <c r="CL580" i="1"/>
  <c r="BE538" i="1"/>
  <c r="BC538" i="1"/>
  <c r="BC564" i="1"/>
  <c r="BE564" i="1"/>
  <c r="CF581" i="1"/>
  <c r="CD581" i="1"/>
  <c r="CJ1252" i="1"/>
  <c r="CL1252" i="1"/>
  <c r="BW511" i="1"/>
  <c r="BU511" i="1"/>
  <c r="CJ1195" i="1"/>
  <c r="CL1195" i="1"/>
  <c r="CL473" i="1"/>
  <c r="CJ473" i="1"/>
  <c r="CS1267" i="1"/>
  <c r="CV1267" i="1"/>
  <c r="BF1230" i="1"/>
  <c r="BH1230" i="1"/>
  <c r="BF1186" i="1"/>
  <c r="BH1186" i="1"/>
  <c r="BF543" i="1"/>
  <c r="BH543" i="1"/>
  <c r="BU1269" i="1"/>
  <c r="BW1269" i="1"/>
  <c r="CJ610" i="1"/>
  <c r="CL610" i="1"/>
  <c r="BI551" i="1"/>
  <c r="BK551" i="1"/>
  <c r="BX1298" i="1"/>
  <c r="BZ1298" i="1"/>
  <c r="BK1298" i="1"/>
  <c r="BI1298" i="1"/>
  <c r="BU540" i="1"/>
  <c r="BW540" i="1"/>
  <c r="CS1259" i="1"/>
  <c r="CV1259" i="1"/>
  <c r="CL1278" i="1"/>
  <c r="CJ1278" i="1"/>
  <c r="CA473" i="1"/>
  <c r="CC473" i="1"/>
  <c r="BK473" i="1"/>
  <c r="BI473" i="1"/>
  <c r="BW547" i="1"/>
  <c r="BU547" i="1"/>
  <c r="BT1265" i="1"/>
  <c r="BR1265" i="1"/>
  <c r="BK1249" i="1"/>
  <c r="BI1249" i="1"/>
  <c r="BT1267" i="1"/>
  <c r="BR1267" i="1"/>
  <c r="BC1267" i="1"/>
  <c r="BE1267" i="1"/>
  <c r="BF517" i="1"/>
  <c r="BH517" i="1"/>
  <c r="BI472" i="1"/>
  <c r="BK472" i="1"/>
  <c r="BC557" i="1"/>
  <c r="BE557" i="1"/>
  <c r="CL592" i="1"/>
  <c r="CJ592" i="1"/>
  <c r="BZ592" i="1"/>
  <c r="BX592" i="1"/>
  <c r="BC1230" i="1"/>
  <c r="BE1230" i="1"/>
  <c r="BK508" i="1"/>
  <c r="BI508" i="1"/>
  <c r="BT1186" i="1"/>
  <c r="BR1186" i="1"/>
  <c r="BH1297" i="1"/>
  <c r="BF1297" i="1"/>
  <c r="CS1297" i="1"/>
  <c r="CV1297" i="1"/>
  <c r="CD543" i="1"/>
  <c r="CF543" i="1"/>
  <c r="CA598" i="1"/>
  <c r="CC598" i="1"/>
  <c r="BF1269" i="1"/>
  <c r="BH1269" i="1"/>
  <c r="CV1272" i="1"/>
  <c r="CS1272" i="1"/>
  <c r="BW1272" i="1"/>
  <c r="BU1272" i="1"/>
  <c r="BW1282" i="1"/>
  <c r="BU1282" i="1"/>
  <c r="CJ1302" i="1"/>
  <c r="CL1302" i="1"/>
  <c r="CS580" i="1"/>
  <c r="CV580" i="1"/>
  <c r="CV607" i="1"/>
  <c r="CS607" i="1"/>
  <c r="BM1320" i="1"/>
  <c r="BI610" i="1"/>
  <c r="BK610" i="1"/>
  <c r="BR537" i="1"/>
  <c r="BT537" i="1"/>
  <c r="BW537" i="1"/>
  <c r="BU537" i="1"/>
  <c r="BW1250" i="1"/>
  <c r="BU1250" i="1"/>
  <c r="CD528" i="1"/>
  <c r="CF528" i="1"/>
  <c r="CD554" i="1"/>
  <c r="CF554" i="1"/>
  <c r="BZ361" i="1"/>
  <c r="BX361" i="1"/>
  <c r="CS361" i="1"/>
  <c r="CV361" i="1"/>
  <c r="BX538" i="1"/>
  <c r="BZ538" i="1"/>
  <c r="BC509" i="1"/>
  <c r="BE509" i="1"/>
  <c r="BR527" i="1"/>
  <c r="BT527" i="1"/>
  <c r="BX1273" i="1"/>
  <c r="BZ1273" i="1"/>
  <c r="BI1273" i="1"/>
  <c r="BK1273" i="1"/>
  <c r="BI564" i="1"/>
  <c r="BK564" i="1"/>
  <c r="BR578" i="1"/>
  <c r="BT578" i="1"/>
  <c r="BR1337" i="1"/>
  <c r="BT1337" i="1"/>
  <c r="CS1274" i="1"/>
  <c r="CV1274" i="1"/>
  <c r="CA1274" i="1"/>
  <c r="CC1274" i="1"/>
  <c r="CV1306" i="1"/>
  <c r="CS1306" i="1"/>
  <c r="BF563" i="1"/>
  <c r="BH563" i="1"/>
  <c r="CD506" i="1"/>
  <c r="CF506" i="1"/>
  <c r="CJ581" i="1"/>
  <c r="CL581" i="1"/>
  <c r="BW581" i="1"/>
  <c r="BU581" i="1"/>
  <c r="BH575" i="1"/>
  <c r="BF575" i="1"/>
  <c r="BC597" i="1"/>
  <c r="BE597" i="1"/>
  <c r="BX471" i="1"/>
  <c r="BZ471" i="1"/>
  <c r="BT601" i="1"/>
  <c r="BR601" i="1"/>
  <c r="BC601" i="1"/>
  <c r="BE601" i="1"/>
  <c r="CV1252" i="1"/>
  <c r="CS1252" i="1"/>
  <c r="BR523" i="1"/>
  <c r="BT523" i="1"/>
  <c r="CS511" i="1"/>
  <c r="CV511" i="1"/>
  <c r="CA484" i="1"/>
  <c r="CC484" i="1"/>
  <c r="BT484" i="1"/>
  <c r="BR484" i="1"/>
  <c r="BC546" i="1"/>
  <c r="BE546" i="1"/>
  <c r="BT1305" i="1"/>
  <c r="BR1305" i="1"/>
  <c r="BT1312" i="1"/>
  <c r="BR1312" i="1"/>
  <c r="CS1288" i="1"/>
  <c r="CV1288" i="1"/>
  <c r="CC1288" i="1"/>
  <c r="CA1288" i="1"/>
  <c r="BC1025" i="1"/>
  <c r="BE1025" i="1"/>
  <c r="BI1309" i="1"/>
  <c r="BK1309" i="1"/>
  <c r="CS532" i="1"/>
  <c r="CV532" i="1"/>
  <c r="BE1263" i="1"/>
  <c r="BC1263" i="1"/>
  <c r="CS1263" i="1"/>
  <c r="CV1263" i="1"/>
  <c r="BU507" i="1"/>
  <c r="BW507" i="1"/>
  <c r="CD1284" i="1"/>
  <c r="CF1284" i="1"/>
  <c r="CS1264" i="1"/>
  <c r="CV1264" i="1"/>
  <c r="BR1313" i="1"/>
  <c r="BT1313" i="1"/>
  <c r="BE1313" i="1"/>
  <c r="BC1313" i="1"/>
  <c r="BK1195" i="1"/>
  <c r="BI1195" i="1"/>
  <c r="BU1266" i="1"/>
  <c r="BW1266" i="1"/>
  <c r="CF1323" i="1"/>
  <c r="CD1323" i="1"/>
  <c r="CF572" i="1"/>
  <c r="CD572" i="1"/>
  <c r="BC473" i="1"/>
  <c r="BE473" i="1"/>
  <c r="CD517" i="1"/>
  <c r="CF517" i="1"/>
  <c r="BU472" i="1"/>
  <c r="BW472" i="1"/>
  <c r="CC1186" i="1"/>
  <c r="CA1186" i="1"/>
  <c r="BI1282" i="1"/>
  <c r="BK1282" i="1"/>
  <c r="BX610" i="1"/>
  <c r="BZ610" i="1"/>
  <c r="BE1250" i="1"/>
  <c r="BC1250" i="1"/>
  <c r="BI527" i="1"/>
  <c r="BK527" i="1"/>
  <c r="CC1337" i="1"/>
  <c r="CA1337" i="1"/>
  <c r="BU563" i="1"/>
  <c r="BW563" i="1"/>
  <c r="BE1252" i="1"/>
  <c r="BC1252" i="1"/>
  <c r="BZ1264" i="1"/>
  <c r="BX1264" i="1"/>
  <c r="CS551" i="1"/>
  <c r="CV551" i="1"/>
  <c r="BH1298" i="1"/>
  <c r="BF1298" i="1"/>
  <c r="BK540" i="1"/>
  <c r="BI540" i="1"/>
  <c r="BC540" i="1"/>
  <c r="BE540" i="1"/>
  <c r="BW1259" i="1"/>
  <c r="BU1259" i="1"/>
  <c r="BX1278" i="1"/>
  <c r="BZ1278" i="1"/>
  <c r="BZ473" i="1"/>
  <c r="BX473" i="1"/>
  <c r="CA547" i="1"/>
  <c r="CC547" i="1"/>
  <c r="CF547" i="1"/>
  <c r="CD547" i="1"/>
  <c r="BI1265" i="1"/>
  <c r="BK1265" i="1"/>
  <c r="BZ1249" i="1"/>
  <c r="BX1249" i="1"/>
  <c r="CF1267" i="1"/>
  <c r="CD1267" i="1"/>
  <c r="CV517" i="1"/>
  <c r="CS517" i="1"/>
  <c r="BF472" i="1"/>
  <c r="BH472" i="1"/>
  <c r="CD557" i="1"/>
  <c r="CF557" i="1"/>
  <c r="BT592" i="1"/>
  <c r="BR592" i="1"/>
  <c r="BF592" i="1"/>
  <c r="BH592" i="1"/>
  <c r="BT1230" i="1"/>
  <c r="BR1230" i="1"/>
  <c r="BZ508" i="1"/>
  <c r="BX508" i="1"/>
  <c r="CF1186" i="1"/>
  <c r="CD1186" i="1"/>
  <c r="CL1297" i="1"/>
  <c r="CJ1297" i="1"/>
  <c r="BZ1297" i="1"/>
  <c r="BX1297" i="1"/>
  <c r="BR543" i="1"/>
  <c r="BT543" i="1"/>
  <c r="CV598" i="1"/>
  <c r="CS598" i="1"/>
  <c r="CS1269" i="1"/>
  <c r="CV1269" i="1"/>
  <c r="CA1272" i="1"/>
  <c r="CC1272" i="1"/>
  <c r="BF1272" i="1"/>
  <c r="BH1272" i="1"/>
  <c r="BC1282" i="1"/>
  <c r="BE1282" i="1"/>
  <c r="BR1302" i="1"/>
  <c r="BT1302" i="1"/>
  <c r="BX580" i="1"/>
  <c r="BZ580" i="1"/>
  <c r="CJ607" i="1"/>
  <c r="CL607" i="1"/>
  <c r="BZ607" i="1"/>
  <c r="BX607" i="1"/>
  <c r="CV610" i="1"/>
  <c r="CS610" i="1"/>
  <c r="BI537" i="1"/>
  <c r="BK537" i="1"/>
  <c r="BC537" i="1"/>
  <c r="BE537" i="1"/>
  <c r="CJ1250" i="1"/>
  <c r="CL1250" i="1"/>
  <c r="CA528" i="1"/>
  <c r="CC528" i="1"/>
  <c r="BI554" i="1"/>
  <c r="BK554" i="1"/>
  <c r="BE361" i="1"/>
  <c r="BC361" i="1"/>
  <c r="BF361" i="1"/>
  <c r="BH361" i="1"/>
  <c r="CJ538" i="1"/>
  <c r="CL538" i="1"/>
  <c r="CJ509" i="1"/>
  <c r="CL509" i="1"/>
  <c r="CJ527" i="1"/>
  <c r="CL527" i="1"/>
  <c r="BU1273" i="1"/>
  <c r="BW1273" i="1"/>
  <c r="CC1273" i="1"/>
  <c r="CA1273" i="1"/>
  <c r="BX564" i="1"/>
  <c r="BZ564" i="1"/>
  <c r="CA578" i="1"/>
  <c r="CC578" i="1"/>
  <c r="CD1337" i="1"/>
  <c r="CF1337" i="1"/>
  <c r="CJ1274" i="1"/>
  <c r="CL1274" i="1"/>
  <c r="BI1274" i="1"/>
  <c r="BK1274" i="1"/>
  <c r="BI1306" i="1"/>
  <c r="BK1306" i="1"/>
  <c r="CS563" i="1"/>
  <c r="CV563" i="1"/>
  <c r="BR506" i="1"/>
  <c r="BT506" i="1"/>
  <c r="BR581" i="1"/>
  <c r="BT581" i="1"/>
  <c r="BC581" i="1"/>
  <c r="BE581" i="1"/>
  <c r="BW575" i="1"/>
  <c r="BU575" i="1"/>
  <c r="CJ597" i="1"/>
  <c r="CL597" i="1"/>
  <c r="BT471" i="1"/>
  <c r="BR471" i="1"/>
  <c r="CD601" i="1"/>
  <c r="CF601" i="1"/>
  <c r="CL601" i="1"/>
  <c r="CJ601" i="1"/>
  <c r="BZ1252" i="1"/>
  <c r="BX1252" i="1"/>
  <c r="CD523" i="1"/>
  <c r="CF523" i="1"/>
  <c r="CA511" i="1"/>
  <c r="CC511" i="1"/>
  <c r="BZ484" i="1"/>
  <c r="BX484" i="1"/>
  <c r="BK484" i="1"/>
  <c r="BI484" i="1"/>
  <c r="BX546" i="1"/>
  <c r="BZ546" i="1"/>
  <c r="CL1305" i="1"/>
  <c r="CJ1305" i="1"/>
  <c r="CL1312" i="1"/>
  <c r="CJ1312" i="1"/>
  <c r="BZ1288" i="1"/>
  <c r="BX1288" i="1"/>
  <c r="BK1288" i="1"/>
  <c r="BI1288" i="1"/>
  <c r="CL1025" i="1"/>
  <c r="CJ1025" i="1"/>
  <c r="BX1309" i="1"/>
  <c r="BZ1309" i="1"/>
  <c r="BX532" i="1"/>
  <c r="BZ532" i="1"/>
  <c r="CL1263" i="1"/>
  <c r="CJ1263" i="1"/>
  <c r="BT1263" i="1"/>
  <c r="BR1263" i="1"/>
  <c r="BE507" i="1"/>
  <c r="BC507" i="1"/>
  <c r="BT1284" i="1"/>
  <c r="BR1284" i="1"/>
  <c r="CJ1264" i="1"/>
  <c r="CL1264" i="1"/>
  <c r="CA1313" i="1"/>
  <c r="CC1313" i="1"/>
  <c r="CF1313" i="1"/>
  <c r="CD1313" i="1"/>
  <c r="CS1195" i="1"/>
  <c r="CV1195" i="1"/>
  <c r="BC1266" i="1"/>
  <c r="BE1266" i="1"/>
  <c r="BR1323" i="1"/>
  <c r="BT1323" i="1"/>
  <c r="BX572" i="1"/>
  <c r="BZ572" i="1"/>
  <c r="CC572" i="1"/>
  <c r="CA572" i="1"/>
  <c r="CS1278" i="1"/>
  <c r="CV1278" i="1"/>
  <c r="BX1267" i="1"/>
  <c r="BZ1267" i="1"/>
  <c r="BK1230" i="1"/>
  <c r="BI1230" i="1"/>
  <c r="CJ1269" i="1"/>
  <c r="CL1269" i="1"/>
  <c r="BR1282" i="1"/>
  <c r="BT1282" i="1"/>
  <c r="CA537" i="1"/>
  <c r="CC537" i="1"/>
  <c r="CD1250" i="1"/>
  <c r="CF1250" i="1"/>
  <c r="CF509" i="1"/>
  <c r="CD509" i="1"/>
  <c r="BX578" i="1"/>
  <c r="BZ578" i="1"/>
  <c r="BK597" i="1"/>
  <c r="BI597" i="1"/>
  <c r="BK523" i="1"/>
  <c r="BI523" i="1"/>
  <c r="BR546" i="1"/>
  <c r="BT546" i="1"/>
  <c r="BI1025" i="1"/>
  <c r="BK1025" i="1"/>
  <c r="BI1284" i="1"/>
  <c r="BK1284" i="1"/>
  <c r="BR1266" i="1"/>
  <c r="BT1266" i="1"/>
  <c r="BX551" i="1"/>
  <c r="BZ551" i="1"/>
  <c r="BU1298" i="1"/>
  <c r="BW1298" i="1"/>
  <c r="CL540" i="1"/>
  <c r="CJ540" i="1"/>
  <c r="BR540" i="1"/>
  <c r="BT540" i="1"/>
  <c r="BC1259" i="1"/>
  <c r="BE1259" i="1"/>
  <c r="BF1278" i="1"/>
  <c r="BH1278" i="1"/>
  <c r="CS473" i="1"/>
  <c r="CV473" i="1"/>
  <c r="BI547" i="1"/>
  <c r="BK547" i="1"/>
  <c r="BC547" i="1"/>
  <c r="BE547" i="1"/>
  <c r="CA1265" i="1"/>
  <c r="CC1265" i="1"/>
  <c r="CV1249" i="1"/>
  <c r="CS1249" i="1"/>
  <c r="BI1267" i="1"/>
  <c r="BK1267" i="1"/>
  <c r="BT517" i="1"/>
  <c r="BR517" i="1"/>
  <c r="BC517" i="1"/>
  <c r="BE517" i="1"/>
  <c r="CJ472" i="1"/>
  <c r="CL472" i="1"/>
  <c r="BR557" i="1"/>
  <c r="BT557" i="1"/>
  <c r="BU592" i="1"/>
  <c r="BW592" i="1"/>
  <c r="CC1230" i="1"/>
  <c r="CA1230" i="1"/>
  <c r="CD1230" i="1"/>
  <c r="CF1230" i="1"/>
  <c r="BF508" i="1"/>
  <c r="BH508" i="1"/>
  <c r="BK1186" i="1"/>
  <c r="BI1186" i="1"/>
  <c r="BU1297" i="1"/>
  <c r="BW1297" i="1"/>
  <c r="CS543" i="1"/>
  <c r="CV543" i="1"/>
  <c r="CA543" i="1"/>
  <c r="CC543" i="1"/>
  <c r="BF598" i="1"/>
  <c r="BH598" i="1"/>
  <c r="BC1269" i="1"/>
  <c r="BE1269" i="1"/>
  <c r="BR1272" i="1"/>
  <c r="BT1272" i="1"/>
  <c r="CF1282" i="1"/>
  <c r="CD1282" i="1"/>
  <c r="CJ1282" i="1"/>
  <c r="CL1282" i="1"/>
  <c r="BI1302" i="1"/>
  <c r="BK1302" i="1"/>
  <c r="BF580" i="1"/>
  <c r="BH580" i="1"/>
  <c r="CF607" i="1"/>
  <c r="CD607" i="1"/>
  <c r="BI607" i="1"/>
  <c r="BK607" i="1"/>
  <c r="BF610" i="1"/>
  <c r="BH610" i="1"/>
  <c r="CD537" i="1"/>
  <c r="CF537" i="1"/>
  <c r="BF1250" i="1"/>
  <c r="BH1250" i="1"/>
  <c r="BR1250" i="1"/>
  <c r="BT1250" i="1"/>
  <c r="BI528" i="1"/>
  <c r="BK528" i="1"/>
  <c r="CC554" i="1"/>
  <c r="CA554" i="1"/>
  <c r="CC361" i="1"/>
  <c r="CA361" i="1"/>
  <c r="CF538" i="1"/>
  <c r="CD538" i="1"/>
  <c r="BU538" i="1"/>
  <c r="BW538" i="1"/>
  <c r="BW509" i="1"/>
  <c r="BU509" i="1"/>
  <c r="CD527" i="1"/>
  <c r="CF527" i="1"/>
  <c r="BF1273" i="1"/>
  <c r="BH1273" i="1"/>
  <c r="BH564" i="1"/>
  <c r="BF564" i="1"/>
  <c r="BU564" i="1"/>
  <c r="BW564" i="1"/>
  <c r="BI578" i="1"/>
  <c r="BK578" i="1"/>
  <c r="BF1337" i="1"/>
  <c r="BH1337" i="1"/>
  <c r="BC1274" i="1"/>
  <c r="BE1274" i="1"/>
  <c r="BE1306" i="1"/>
  <c r="BC1306" i="1"/>
  <c r="BZ1306" i="1"/>
  <c r="BX1306" i="1"/>
  <c r="CL563" i="1"/>
  <c r="CJ563" i="1"/>
  <c r="CC506" i="1"/>
  <c r="CA506" i="1"/>
  <c r="CS581" i="1"/>
  <c r="CV581" i="1"/>
  <c r="BR575" i="1"/>
  <c r="BT575" i="1"/>
  <c r="CJ575" i="1"/>
  <c r="CL575" i="1"/>
  <c r="BU597" i="1"/>
  <c r="BW597" i="1"/>
  <c r="CD471" i="1"/>
  <c r="CF471" i="1"/>
  <c r="BK601" i="1"/>
  <c r="BI601" i="1"/>
  <c r="BF1252" i="1"/>
  <c r="BH1252" i="1"/>
  <c r="BW1252" i="1"/>
  <c r="BU1252" i="1"/>
  <c r="CA523" i="1"/>
  <c r="CC523" i="1"/>
  <c r="CJ511" i="1"/>
  <c r="CL511" i="1"/>
  <c r="BF484" i="1"/>
  <c r="BH484" i="1"/>
  <c r="CS546" i="1"/>
  <c r="CV546" i="1"/>
  <c r="BU546" i="1"/>
  <c r="BW546" i="1"/>
  <c r="CD1305" i="1"/>
  <c r="CF1305" i="1"/>
  <c r="CD1312" i="1"/>
  <c r="CF1312" i="1"/>
  <c r="BF1288" i="1"/>
  <c r="BH1288" i="1"/>
  <c r="BB1288" i="1" s="1"/>
  <c r="CC1025" i="1"/>
  <c r="CA1025" i="1"/>
  <c r="BT1025" i="1"/>
  <c r="BR1025" i="1"/>
  <c r="CS1309" i="1"/>
  <c r="CV1309" i="1"/>
  <c r="BF532" i="1"/>
  <c r="BH532" i="1"/>
  <c r="BU1263" i="1"/>
  <c r="BW1263" i="1"/>
  <c r="CC507" i="1"/>
  <c r="CA507" i="1"/>
  <c r="CL507" i="1"/>
  <c r="CJ507" i="1"/>
  <c r="CC1284" i="1"/>
  <c r="CA1284" i="1"/>
  <c r="CA1264" i="1"/>
  <c r="CC1264" i="1"/>
  <c r="BI1313" i="1"/>
  <c r="BK1313" i="1"/>
  <c r="BE1195" i="1"/>
  <c r="BC1195" i="1"/>
  <c r="BF1195" i="1"/>
  <c r="BH1195" i="1"/>
  <c r="CL1266" i="1"/>
  <c r="CJ1266" i="1"/>
  <c r="CA1323" i="1"/>
  <c r="CC1323" i="1"/>
  <c r="BF572" i="1"/>
  <c r="BH572" i="1"/>
  <c r="BI572" i="1"/>
  <c r="BK572" i="1"/>
  <c r="CL1320" i="1"/>
  <c r="BZ1320" i="1"/>
  <c r="BT1320" i="1"/>
  <c r="BW1320" i="1"/>
  <c r="BE1320" i="1"/>
  <c r="CC1320" i="1"/>
  <c r="BH1320" i="1"/>
  <c r="BK1320" i="1"/>
  <c r="CF1320" i="1"/>
  <c r="BR368" i="1"/>
  <c r="BF368" i="1"/>
  <c r="CA368" i="1"/>
  <c r="CD368" i="1"/>
  <c r="BC368" i="1"/>
  <c r="BX368" i="1"/>
  <c r="CJ368" i="1"/>
  <c r="BI368" i="1"/>
  <c r="BU368" i="1"/>
  <c r="CS368" i="1"/>
  <c r="DF509" i="1"/>
  <c r="DF511" i="1"/>
  <c r="DF471" i="1"/>
  <c r="DF1252" i="1"/>
  <c r="DF518" i="1"/>
  <c r="DF1258" i="1"/>
  <c r="DF472" i="1"/>
  <c r="DF1260" i="1"/>
  <c r="DF527" i="1"/>
  <c r="DF484" i="1"/>
  <c r="DF1264" i="1"/>
  <c r="DF1266" i="1"/>
  <c r="DF542" i="1"/>
  <c r="DF551" i="1"/>
  <c r="DF1279" i="1"/>
  <c r="DF1272" i="1"/>
  <c r="DF1273" i="1"/>
  <c r="DF546" i="1"/>
  <c r="DF1270" i="1"/>
  <c r="DF1278" i="1"/>
  <c r="DF1280" i="1"/>
  <c r="DF555" i="1"/>
  <c r="DF557" i="1"/>
  <c r="DF1282" i="1"/>
  <c r="DF564" i="1"/>
  <c r="DF556" i="1"/>
  <c r="DF1284" i="1"/>
  <c r="DF1292" i="1"/>
  <c r="DF572" i="1"/>
  <c r="DF1298" i="1"/>
  <c r="DF579" i="1"/>
  <c r="DF1302" i="1"/>
  <c r="DF578" i="1"/>
  <c r="DF1305" i="1"/>
  <c r="DF1331" i="1"/>
  <c r="DF1253" i="1"/>
  <c r="DF473" i="1"/>
  <c r="DF616" i="1"/>
  <c r="DF1187" i="1"/>
  <c r="DF1337" i="1"/>
  <c r="DF1312" i="1"/>
  <c r="DF1313" i="1"/>
  <c r="DF524" i="1"/>
  <c r="DF585" i="1"/>
  <c r="DF591" i="1"/>
  <c r="DF1315" i="1"/>
  <c r="DF586" i="1"/>
  <c r="DF1314" i="1"/>
  <c r="DF596" i="1"/>
  <c r="DF533" i="1"/>
  <c r="DF1323" i="1"/>
  <c r="DF1271" i="1"/>
  <c r="DF552" i="1"/>
  <c r="DF592" i="1"/>
  <c r="DF1325" i="1"/>
  <c r="DF1274" i="1"/>
  <c r="DF1328" i="1"/>
  <c r="DF1281" i="1"/>
  <c r="DF598" i="1"/>
  <c r="DF547" i="1"/>
  <c r="DF558" i="1"/>
  <c r="DF565" i="1"/>
  <c r="DF1285" i="1"/>
  <c r="DF1231" i="1"/>
  <c r="DF1441" i="1"/>
  <c r="DF601" i="1"/>
  <c r="DF1293" i="1"/>
  <c r="DF1283" i="1"/>
  <c r="DF1303" i="1"/>
  <c r="DF1289" i="1"/>
  <c r="DF602" i="1"/>
  <c r="DF1306" i="1"/>
  <c r="DF1342" i="1"/>
  <c r="DF1343" i="1"/>
  <c r="DF626" i="1"/>
  <c r="DF1347" i="1"/>
  <c r="DF1254" i="1"/>
  <c r="DF1310" i="1"/>
  <c r="DF519" i="1"/>
  <c r="DF627" i="1"/>
  <c r="DF617" i="1"/>
  <c r="DF611" i="1"/>
  <c r="DF474" i="1"/>
  <c r="DF1332" i="1"/>
  <c r="DF1188" i="1"/>
  <c r="DF1338" i="1"/>
  <c r="DF1349" i="1"/>
  <c r="DF628" i="1"/>
  <c r="DF632" i="1"/>
  <c r="DF1353" i="1"/>
  <c r="DF636" i="1"/>
  <c r="DF1357" i="1"/>
  <c r="DF1360" i="1"/>
  <c r="DF639" i="1"/>
  <c r="DF485" i="1"/>
  <c r="DF513" i="1"/>
  <c r="DF1088" i="1"/>
  <c r="DF728" i="1"/>
  <c r="DF640" i="1"/>
  <c r="DF1321" i="1"/>
  <c r="DF641" i="1"/>
  <c r="DF534" i="1"/>
  <c r="DF587" i="1"/>
  <c r="DF1367" i="1"/>
  <c r="DF1316" i="1"/>
  <c r="DF1364" i="1"/>
  <c r="DF1373" i="1"/>
  <c r="DF1369" i="1"/>
  <c r="DF541" i="1"/>
  <c r="DF529" i="1"/>
  <c r="DF647" i="1"/>
  <c r="DF651" i="1"/>
  <c r="DF652" i="1"/>
  <c r="DF1378" i="1"/>
  <c r="DF1324" i="1"/>
  <c r="DF655" i="1"/>
  <c r="DF545" i="1"/>
  <c r="DF1377" i="1"/>
  <c r="DF653" i="1"/>
  <c r="DF1275" i="1"/>
  <c r="DF599" i="1"/>
  <c r="DF1381" i="1"/>
  <c r="DF1326" i="1"/>
  <c r="DF1379" i="1"/>
  <c r="DF548" i="1"/>
  <c r="DF347" i="1"/>
  <c r="DF661" i="1"/>
  <c r="DF1384" i="1"/>
  <c r="DF662" i="1"/>
  <c r="DF665" i="1"/>
  <c r="DF1386" i="1"/>
  <c r="DF1344" i="1"/>
  <c r="DF1286" i="1"/>
  <c r="DF1330" i="1"/>
  <c r="DF1385" i="1"/>
  <c r="DF1442" i="1"/>
  <c r="DF603" i="1"/>
  <c r="DF1294" i="1"/>
  <c r="DF1232" i="1"/>
  <c r="DF566" i="1"/>
  <c r="DF664" i="1"/>
  <c r="DF1307" i="1"/>
  <c r="DF1299" i="1"/>
  <c r="DF1290" i="1"/>
  <c r="DF1196" i="1"/>
  <c r="DF671" i="1"/>
  <c r="DF1389" i="1"/>
  <c r="DF669" i="1"/>
  <c r="DF1345" i="1"/>
  <c r="DF475" i="1"/>
  <c r="DF1255" i="1"/>
  <c r="DF1348" i="1"/>
  <c r="DF520" i="1"/>
  <c r="DF1354" i="1"/>
  <c r="DF1392" i="1"/>
  <c r="DF1333" i="1"/>
  <c r="DF608" i="1"/>
  <c r="DF612" i="1"/>
  <c r="DF618" i="1"/>
  <c r="DF1391" i="1"/>
  <c r="DF633" i="1"/>
  <c r="DF1311" i="1"/>
  <c r="DF1358" i="1"/>
  <c r="DF1339" i="1"/>
  <c r="DF1189" i="1"/>
  <c r="DF637" i="1"/>
  <c r="DF1394" i="1"/>
  <c r="DF1361" i="1"/>
  <c r="DF1101" i="1"/>
  <c r="DF676" i="1"/>
  <c r="DF1350" i="1"/>
  <c r="DF1370" i="1"/>
  <c r="DF682" i="1"/>
  <c r="DF1322" i="1"/>
  <c r="DF680" i="1"/>
  <c r="DF729" i="1"/>
  <c r="DF1403" i="1"/>
  <c r="DF1402" i="1"/>
  <c r="DF642" i="1"/>
  <c r="DF1401" i="1"/>
  <c r="DF685" i="1"/>
  <c r="DF1406" i="1"/>
  <c r="DF1089" i="1"/>
  <c r="DF1317" i="1"/>
  <c r="DF732" i="1"/>
  <c r="DF1400" i="1"/>
  <c r="DF1365" i="1"/>
  <c r="DF677" i="1"/>
  <c r="DF1408" i="1"/>
  <c r="DF688" i="1"/>
  <c r="DF1410" i="1"/>
  <c r="DF693" i="1"/>
  <c r="DF1382" i="1"/>
  <c r="DF348" i="1"/>
  <c r="DF1276" i="1"/>
  <c r="DF654" i="1"/>
  <c r="DF1412" i="1"/>
  <c r="DF549" i="1"/>
  <c r="DF656" i="1"/>
  <c r="DF600" i="1"/>
  <c r="DF694" i="1"/>
  <c r="DF1380" i="1"/>
  <c r="DF1414" i="1"/>
  <c r="DF699" i="1"/>
  <c r="DF1415" i="1"/>
  <c r="DF672" i="1"/>
  <c r="DF1417" i="1"/>
  <c r="DF1300" i="1"/>
  <c r="DF704" i="1"/>
  <c r="DF666" i="1"/>
  <c r="DF1390" i="1"/>
  <c r="DF707" i="1"/>
  <c r="DF525" i="1"/>
  <c r="DF1395" i="1"/>
  <c r="DF1424" i="1"/>
  <c r="DF630" i="1"/>
  <c r="DF1351" i="1"/>
  <c r="DF1393" i="1"/>
  <c r="DF686" i="1"/>
  <c r="DF1409" i="1"/>
  <c r="DF1371" i="1"/>
  <c r="DF1426" i="1"/>
  <c r="DF1411" i="1"/>
  <c r="DF1413" i="1"/>
  <c r="DF1277" i="1"/>
  <c r="DF1430" i="1"/>
  <c r="DF716" i="1"/>
  <c r="DF692" i="1"/>
  <c r="DF1087" i="1"/>
  <c r="DF1230" i="1"/>
  <c r="DF580" i="1"/>
  <c r="DF563" i="1"/>
  <c r="DF1288" i="1"/>
  <c r="DF554" i="1"/>
  <c r="DF1268" i="1"/>
  <c r="DF514" i="1"/>
  <c r="DF1261" i="1"/>
  <c r="DF508" i="1"/>
  <c r="DF607" i="1"/>
  <c r="DF506" i="1"/>
  <c r="DF658" i="1"/>
  <c r="DF1195" i="1"/>
  <c r="DF544" i="1"/>
  <c r="DF1265" i="1"/>
  <c r="DF582" i="1"/>
  <c r="DF1186" i="1"/>
  <c r="DF1320" i="1"/>
  <c r="DF1336" i="1"/>
  <c r="DF1025" i="1"/>
  <c r="DF361" i="1"/>
  <c r="DF594" i="1"/>
  <c r="DF733" i="1"/>
  <c r="DF663" i="1"/>
  <c r="DF1297" i="1"/>
  <c r="DF577" i="1"/>
  <c r="DF581" i="1"/>
  <c r="DF1309" i="1"/>
  <c r="DF1362" i="1"/>
  <c r="DF622" i="1"/>
  <c r="DF1249" i="1"/>
  <c r="DF710" i="1"/>
  <c r="DF543" i="1"/>
  <c r="DF610" i="1"/>
  <c r="DF575" i="1"/>
  <c r="DF532" i="1"/>
  <c r="DF538" i="1"/>
  <c r="DF675" i="1"/>
  <c r="DF1267" i="1"/>
  <c r="DF540" i="1"/>
  <c r="DF593" i="1"/>
  <c r="DF537" i="1"/>
  <c r="DF597" i="1"/>
  <c r="DF559" i="1"/>
  <c r="DF576" i="1"/>
  <c r="DF613" i="1"/>
  <c r="DF523" i="1"/>
  <c r="DF1259" i="1"/>
  <c r="DF623" i="1"/>
  <c r="DF1250" i="1"/>
  <c r="DF539" i="1"/>
  <c r="DF1263" i="1"/>
  <c r="DF1376" i="1"/>
  <c r="DF1269" i="1"/>
  <c r="DF517" i="1"/>
  <c r="DF1444" i="1"/>
  <c r="DF510" i="1"/>
  <c r="DF528" i="1"/>
  <c r="DF621" i="1"/>
  <c r="DF507" i="1"/>
  <c r="DF1304" i="1"/>
  <c r="DF1419" i="1"/>
  <c r="DF644" i="1"/>
  <c r="DF1397" i="1"/>
  <c r="DF1368" i="1"/>
  <c r="DF553" i="1"/>
  <c r="DF588" i="1"/>
  <c r="DF645" i="1"/>
  <c r="DF569" i="1"/>
  <c r="DF1329" i="1"/>
  <c r="DF629" i="1"/>
  <c r="DF583" i="1"/>
  <c r="DF689" i="1"/>
  <c r="DF648" i="1"/>
  <c r="DF691" i="1"/>
  <c r="DF659" i="1"/>
  <c r="DF560" i="1"/>
  <c r="DF1287" i="1"/>
  <c r="DF696" i="1"/>
  <c r="DF567" i="1"/>
  <c r="DF1295" i="1"/>
  <c r="DF703" i="1"/>
  <c r="DF700" i="1"/>
  <c r="DF568" i="1"/>
  <c r="DF1197" i="1"/>
  <c r="DF1443" i="1"/>
  <c r="DF604" i="1"/>
  <c r="DF670" i="1"/>
  <c r="DF1387" i="1"/>
  <c r="DF570" i="1"/>
  <c r="DF1421" i="1"/>
  <c r="DF1446" i="1"/>
  <c r="DF1488" i="1"/>
  <c r="DF614" i="1"/>
  <c r="DF1398" i="1"/>
  <c r="DF1355" i="1"/>
  <c r="DF584" i="1"/>
  <c r="DF515" i="1"/>
  <c r="DF1256" i="1"/>
  <c r="DF1359" i="1"/>
  <c r="DF1190" i="1"/>
  <c r="DF1340" i="1"/>
  <c r="DF476" i="1"/>
  <c r="DF609" i="1"/>
  <c r="DF1423" i="1"/>
  <c r="DF708" i="1"/>
  <c r="DF1334" i="1"/>
  <c r="DF521" i="1"/>
  <c r="DF634" i="1"/>
  <c r="DF1462" i="1"/>
  <c r="DF619" i="1"/>
  <c r="DF1102" i="1"/>
  <c r="DF1425" i="1"/>
  <c r="DF643" i="1"/>
  <c r="DF1404" i="1"/>
  <c r="DF1407" i="1"/>
  <c r="DF681" i="1"/>
  <c r="DF1374" i="1"/>
  <c r="DF649" i="1"/>
  <c r="DF1363" i="1"/>
  <c r="DF1318" i="1"/>
  <c r="DF530" i="1"/>
  <c r="DF1366" i="1"/>
  <c r="DF678" i="1"/>
  <c r="DF683" i="1"/>
  <c r="DF730" i="1"/>
  <c r="DF535" i="1"/>
  <c r="DF711" i="1"/>
  <c r="DF589" i="1"/>
  <c r="DF714" i="1"/>
  <c r="DF712" i="1"/>
  <c r="DF1428" i="1"/>
  <c r="DF531" i="1"/>
  <c r="DF1327" i="1"/>
  <c r="DF349" i="1"/>
  <c r="DF595" i="1"/>
  <c r="DF660" i="1"/>
  <c r="DF695" i="1"/>
  <c r="DF1383" i="1"/>
  <c r="DF550" i="1"/>
  <c r="DF657" i="1"/>
  <c r="DF697" i="1"/>
  <c r="DF1418" i="1"/>
  <c r="DF1388" i="1"/>
  <c r="DF561" i="1"/>
  <c r="DF1422" i="1"/>
  <c r="DF1198" i="1"/>
  <c r="DF1445" i="1"/>
  <c r="DF667" i="1"/>
  <c r="DF1346" i="1"/>
  <c r="DF573" i="1"/>
  <c r="DF624" i="1"/>
  <c r="DF1416" i="1"/>
  <c r="DF705" i="1"/>
  <c r="DF673" i="1"/>
  <c r="DF1291" i="1"/>
  <c r="DF1420" i="1"/>
  <c r="DF605" i="1"/>
  <c r="DF718" i="1"/>
  <c r="DF1432" i="1"/>
  <c r="DF717" i="1"/>
  <c r="DF701" i="1"/>
  <c r="DF1431" i="1"/>
  <c r="DF840" i="1"/>
  <c r="DF842" i="1"/>
  <c r="DF845" i="1"/>
  <c r="DF137" i="1"/>
  <c r="DF846" i="1"/>
  <c r="DF140" i="1"/>
  <c r="DF132" i="1"/>
  <c r="DF134" i="1"/>
  <c r="DF848" i="1"/>
  <c r="DF142" i="1"/>
  <c r="DF850" i="1"/>
  <c r="DF146" i="1"/>
  <c r="DF851" i="1"/>
  <c r="DF42" i="1"/>
  <c r="DF147" i="1"/>
  <c r="DF858" i="1"/>
  <c r="DF150" i="1"/>
  <c r="DF156" i="1"/>
  <c r="DF873" i="1"/>
  <c r="DF862" i="1"/>
  <c r="DF861" i="1"/>
  <c r="DF159" i="1"/>
  <c r="DF872" i="1"/>
  <c r="DF163" i="1"/>
  <c r="DF874" i="1"/>
  <c r="DF160" i="1"/>
  <c r="DF153" i="1"/>
  <c r="DF155" i="1"/>
  <c r="DF852" i="1"/>
  <c r="DF866" i="1"/>
  <c r="DF860" i="1"/>
  <c r="DF170" i="1"/>
  <c r="DF172" i="1"/>
  <c r="DF880" i="1"/>
  <c r="DF877" i="1"/>
  <c r="DF875" i="1"/>
  <c r="DF165" i="1"/>
  <c r="DF176" i="1"/>
  <c r="DF882" i="1"/>
  <c r="DF888" i="1"/>
  <c r="DF179" i="1"/>
  <c r="DF177" i="1"/>
  <c r="DF889" i="1"/>
  <c r="DF894" i="1"/>
  <c r="DF897" i="1"/>
  <c r="DF188" i="1"/>
  <c r="DF908" i="1"/>
  <c r="DF909" i="1"/>
  <c r="DF911" i="1"/>
  <c r="DF904" i="1"/>
  <c r="DF899" i="1"/>
  <c r="DF193" i="1"/>
  <c r="DF181" i="1"/>
  <c r="DF187" i="1"/>
  <c r="DF196" i="1"/>
  <c r="DF202" i="1"/>
  <c r="DF195" i="1"/>
  <c r="DF186" i="1"/>
  <c r="DF207" i="1"/>
  <c r="DF924" i="1"/>
  <c r="DF930" i="1"/>
  <c r="DF217" i="1"/>
  <c r="DF220" i="1"/>
  <c r="DF226" i="1"/>
  <c r="DF935" i="1"/>
  <c r="DF941" i="1"/>
  <c r="DF227" i="1"/>
  <c r="DF211" i="1"/>
  <c r="DF914" i="1"/>
  <c r="DF204" i="1"/>
  <c r="DF932" i="1"/>
  <c r="DF920" i="1"/>
  <c r="DF1455" i="1"/>
  <c r="DF942" i="1"/>
  <c r="DF233" i="1"/>
  <c r="DF943" i="1"/>
  <c r="DF236" i="1"/>
  <c r="DF946" i="1"/>
  <c r="DF234" i="1"/>
  <c r="DF944" i="1"/>
  <c r="DF240" i="1"/>
  <c r="DF949" i="1"/>
  <c r="DF246" i="1"/>
  <c r="DF959" i="1"/>
  <c r="DF248" i="1"/>
  <c r="DF249" i="1"/>
  <c r="DF965" i="1"/>
  <c r="DF252" i="1"/>
  <c r="DF966" i="1"/>
  <c r="DF254" i="1"/>
  <c r="DF971" i="1"/>
  <c r="DF954" i="1"/>
  <c r="DF948" i="1"/>
  <c r="DF961" i="1"/>
  <c r="DF245" i="1"/>
  <c r="DF976" i="1"/>
  <c r="DF256" i="1"/>
  <c r="DF977" i="1"/>
  <c r="DF258" i="1"/>
  <c r="DF979" i="1"/>
  <c r="DF261" i="1"/>
  <c r="DF984" i="1"/>
  <c r="DF263" i="1"/>
  <c r="DF985" i="1"/>
  <c r="DF255" i="1"/>
  <c r="DF264" i="1"/>
  <c r="DF989" i="1"/>
  <c r="DF991" i="1"/>
  <c r="DF265" i="1"/>
  <c r="DF990" i="1"/>
  <c r="DF266" i="1"/>
  <c r="DF145" i="1"/>
  <c r="DF995" i="1"/>
  <c r="DF143" i="1"/>
  <c r="DF268" i="1"/>
  <c r="DF271" i="1"/>
  <c r="DF273" i="1"/>
  <c r="DF1002" i="1"/>
  <c r="DF275" i="1"/>
  <c r="DF847" i="1"/>
  <c r="DF999" i="1"/>
  <c r="DF996" i="1"/>
  <c r="DF853" i="1"/>
  <c r="DF859" i="1"/>
  <c r="DF151" i="1"/>
  <c r="DF154" i="1"/>
  <c r="DF164" i="1"/>
  <c r="DF166" i="1"/>
  <c r="DF876" i="1"/>
  <c r="DF883" i="1"/>
  <c r="DF1004" i="1"/>
  <c r="DF276" i="1"/>
  <c r="DF1005" i="1"/>
  <c r="DF278" i="1"/>
  <c r="DF1008" i="1"/>
  <c r="DF282" i="1"/>
  <c r="DF1009" i="1"/>
  <c r="DF283" i="1"/>
  <c r="DF161" i="1"/>
  <c r="DF171" i="1"/>
  <c r="DF867" i="1"/>
  <c r="DF173" i="1"/>
  <c r="DF1014" i="1"/>
  <c r="DF287" i="1"/>
  <c r="DF863" i="1"/>
  <c r="DF178" i="1"/>
  <c r="DF881" i="1"/>
  <c r="DF157" i="1"/>
  <c r="DF1015" i="1"/>
  <c r="DF1016" i="1"/>
  <c r="DF292" i="1"/>
  <c r="DF293" i="1"/>
  <c r="DF1017" i="1"/>
  <c r="DF1020" i="1"/>
  <c r="DF898" i="1"/>
  <c r="DF900" i="1"/>
  <c r="DF189" i="1"/>
  <c r="DF194" i="1"/>
  <c r="DF910" i="1"/>
  <c r="DF197" i="1"/>
  <c r="DF203" i="1"/>
  <c r="DF915" i="1"/>
  <c r="DF205" i="1"/>
  <c r="DF925" i="1"/>
  <c r="DF218" i="1"/>
  <c r="DF237" i="1"/>
  <c r="DF295" i="1"/>
  <c r="DF1021" i="1"/>
  <c r="DF895" i="1"/>
  <c r="DF905" i="1"/>
  <c r="DF212" i="1"/>
  <c r="DF890" i="1"/>
  <c r="DF921" i="1"/>
  <c r="DF221" i="1"/>
  <c r="DF945" i="1"/>
  <c r="DF297" i="1"/>
  <c r="DF182" i="1"/>
  <c r="DF912" i="1"/>
  <c r="DF933" i="1"/>
  <c r="DF1022" i="1"/>
  <c r="DF298" i="1"/>
  <c r="DF1023" i="1"/>
  <c r="DF301" i="1"/>
  <c r="DF1024" i="1"/>
  <c r="DF307" i="1"/>
  <c r="DF235" i="1"/>
  <c r="DF936" i="1"/>
  <c r="DF208" i="1"/>
  <c r="DF931" i="1"/>
  <c r="DF303" i="1"/>
  <c r="DF1026" i="1"/>
  <c r="DF228" i="1"/>
  <c r="DF1030" i="1"/>
  <c r="DF311" i="1"/>
  <c r="DF1032" i="1"/>
  <c r="DF313" i="1"/>
  <c r="DF1035" i="1"/>
  <c r="DF1456" i="1"/>
  <c r="DF241" i="1"/>
  <c r="DF950" i="1"/>
  <c r="DF247" i="1"/>
  <c r="DF962" i="1"/>
  <c r="DF250" i="1"/>
  <c r="DF967" i="1"/>
  <c r="DF972" i="1"/>
  <c r="DF978" i="1"/>
  <c r="DF980" i="1"/>
  <c r="DF986" i="1"/>
  <c r="DF992" i="1"/>
  <c r="DF1038" i="1"/>
  <c r="DF315" i="1"/>
  <c r="DF1042" i="1"/>
  <c r="DF319" i="1"/>
  <c r="DF1043" i="1"/>
  <c r="DF320" i="1"/>
  <c r="DF1044" i="1"/>
  <c r="DF1045" i="1"/>
  <c r="DF323" i="1"/>
  <c r="DF1051" i="1"/>
  <c r="DF329" i="1"/>
  <c r="DF955" i="1"/>
  <c r="DF1048" i="1"/>
  <c r="DF259" i="1"/>
  <c r="DF253" i="1"/>
  <c r="DF262" i="1"/>
  <c r="DF322" i="1"/>
  <c r="DF325" i="1"/>
  <c r="DF257" i="1"/>
  <c r="DF960" i="1"/>
  <c r="DF332" i="1"/>
  <c r="DF1058" i="1"/>
  <c r="DF334" i="1"/>
  <c r="DF337" i="1"/>
  <c r="DF1061" i="1"/>
  <c r="DF1055" i="1"/>
  <c r="DF1065" i="1"/>
  <c r="DF338" i="1"/>
  <c r="DF1066" i="1"/>
  <c r="DF133" i="1"/>
  <c r="DF138" i="1"/>
  <c r="DF1000" i="1"/>
  <c r="DF341" i="1"/>
  <c r="DF1069" i="1"/>
  <c r="DF342" i="1"/>
  <c r="DF1075" i="1"/>
  <c r="DF1077" i="1"/>
  <c r="DF353" i="1"/>
  <c r="DF1080" i="1"/>
  <c r="DF1003" i="1"/>
  <c r="DF340" i="1"/>
  <c r="DF350" i="1"/>
  <c r="DF269" i="1"/>
  <c r="DF997" i="1"/>
  <c r="DF274" i="1"/>
  <c r="DF1067" i="1"/>
  <c r="DF344" i="1"/>
  <c r="DF1072" i="1"/>
  <c r="DF346" i="1"/>
  <c r="DF272" i="1"/>
  <c r="DF141" i="1"/>
  <c r="DF354" i="1"/>
  <c r="DF1083" i="1"/>
  <c r="DF854" i="1"/>
  <c r="DF152" i="1"/>
  <c r="DF868" i="1"/>
  <c r="DF284" i="1"/>
  <c r="DF357" i="1"/>
  <c r="DF1085" i="1"/>
  <c r="DF358" i="1"/>
  <c r="DF864" i="1"/>
  <c r="DF148" i="1"/>
  <c r="DF884" i="1"/>
  <c r="DF277" i="1"/>
  <c r="DF1018" i="1"/>
  <c r="DF362" i="1"/>
  <c r="DF1092" i="1"/>
  <c r="DF363" i="1"/>
  <c r="DF1094" i="1"/>
  <c r="DF1010" i="1"/>
  <c r="DF367" i="1"/>
  <c r="DF1097" i="1"/>
  <c r="DF162" i="1"/>
  <c r="DF288" i="1"/>
  <c r="DF1090" i="1"/>
  <c r="DF371" i="1"/>
  <c r="DF891" i="1"/>
  <c r="DF183" i="1"/>
  <c r="DF896" i="1"/>
  <c r="DF190" i="1"/>
  <c r="DF206" i="1"/>
  <c r="DF209" i="1"/>
  <c r="DF213" i="1"/>
  <c r="DF222" i="1"/>
  <c r="DF937" i="1"/>
  <c r="DF229" i="1"/>
  <c r="DF305" i="1"/>
  <c r="DF1036" i="1"/>
  <c r="DF1098" i="1"/>
  <c r="DF1100" i="1"/>
  <c r="DF376" i="1"/>
  <c r="DF1104" i="1"/>
  <c r="DF377" i="1"/>
  <c r="DF1107" i="1"/>
  <c r="DF378" i="1"/>
  <c r="DF926" i="1"/>
  <c r="DF374" i="1"/>
  <c r="DF916" i="1"/>
  <c r="DF934" i="1"/>
  <c r="DF312" i="1"/>
  <c r="DF1110" i="1"/>
  <c r="DF906" i="1"/>
  <c r="DF219" i="1"/>
  <c r="DF1031" i="1"/>
  <c r="DF382" i="1"/>
  <c r="DF1111" i="1"/>
  <c r="DF385" i="1"/>
  <c r="DF386" i="1"/>
  <c r="DF1114" i="1"/>
  <c r="DF913" i="1"/>
  <c r="DF198" i="1"/>
  <c r="DF299" i="1"/>
  <c r="DF302" i="1"/>
  <c r="DF308" i="1"/>
  <c r="DF1117" i="1"/>
  <c r="DF390" i="1"/>
  <c r="DF1118" i="1"/>
  <c r="DF394" i="1"/>
  <c r="DF1120" i="1"/>
  <c r="DF947" i="1"/>
  <c r="DF391" i="1"/>
  <c r="DF1119" i="1"/>
  <c r="DF395" i="1"/>
  <c r="DF242" i="1"/>
  <c r="DF951" i="1"/>
  <c r="DF956" i="1"/>
  <c r="DF251" i="1"/>
  <c r="DF968" i="1"/>
  <c r="DF973" i="1"/>
  <c r="DF321" i="1"/>
  <c r="DF1046" i="1"/>
  <c r="DF326" i="1"/>
  <c r="DF1052" i="1"/>
  <c r="DF1059" i="1"/>
  <c r="DF1062" i="1"/>
  <c r="DF396" i="1"/>
  <c r="DF399" i="1"/>
  <c r="DF1126" i="1"/>
  <c r="DF993" i="1"/>
  <c r="DF1049" i="1"/>
  <c r="DF333" i="1"/>
  <c r="DF1122" i="1"/>
  <c r="DF1125" i="1"/>
  <c r="DF981" i="1"/>
  <c r="DF316" i="1"/>
  <c r="DF339" i="1"/>
  <c r="DF403" i="1"/>
  <c r="DF267" i="1"/>
  <c r="DF401" i="1"/>
  <c r="DF1129" i="1"/>
  <c r="DF987" i="1"/>
  <c r="DF1039" i="1"/>
  <c r="DF1132" i="1"/>
  <c r="DF404" i="1"/>
  <c r="DF260" i="1"/>
  <c r="DF849" i="1"/>
  <c r="DF1068" i="1"/>
  <c r="DF343" i="1"/>
  <c r="DF351" i="1"/>
  <c r="DF1133" i="1"/>
  <c r="DF406" i="1"/>
  <c r="DF1135" i="1"/>
  <c r="DF1084" i="1"/>
  <c r="DF1001" i="1"/>
  <c r="DF1076" i="1"/>
  <c r="DF1078" i="1"/>
  <c r="DF1134" i="1"/>
  <c r="DF408" i="1"/>
  <c r="DF139" i="1"/>
  <c r="DF1070" i="1"/>
  <c r="DF1073" i="1"/>
  <c r="DF1081" i="1"/>
  <c r="DF409" i="1"/>
  <c r="DF1137" i="1"/>
  <c r="DF411" i="1"/>
  <c r="DF345" i="1"/>
  <c r="DF1138" i="1"/>
  <c r="DF1458" i="1"/>
  <c r="DF355" i="1"/>
  <c r="DF1140" i="1"/>
  <c r="DF413" i="1"/>
  <c r="DF841" i="1"/>
  <c r="DF855" i="1"/>
  <c r="DF865" i="1"/>
  <c r="DF1006" i="1"/>
  <c r="DF359" i="1"/>
  <c r="DF364" i="1"/>
  <c r="DF415" i="1"/>
  <c r="DF1142" i="1"/>
  <c r="DF417" i="1"/>
  <c r="DF419" i="1"/>
  <c r="DF1147" i="1"/>
  <c r="DF421" i="1"/>
  <c r="DF423" i="1"/>
  <c r="DF1011" i="1"/>
  <c r="DF416" i="1"/>
  <c r="DF869" i="1"/>
  <c r="DF1143" i="1"/>
  <c r="DF782" i="1"/>
  <c r="DF372" i="1"/>
  <c r="DF1145" i="1"/>
  <c r="DF1150" i="1"/>
  <c r="DF158" i="1"/>
  <c r="DF167" i="1"/>
  <c r="DF885" i="1"/>
  <c r="DF180" i="1"/>
  <c r="DF294" i="1"/>
  <c r="DF1095" i="1"/>
  <c r="DF1153" i="1"/>
  <c r="DF1156" i="1"/>
  <c r="DF425" i="1"/>
  <c r="DF424" i="1"/>
  <c r="DF368" i="1"/>
  <c r="DF1158" i="1"/>
  <c r="DF878" i="1"/>
  <c r="DF279" i="1"/>
  <c r="DF289" i="1"/>
  <c r="DF427" i="1"/>
  <c r="DF1161" i="1"/>
  <c r="DF1163" i="1"/>
  <c r="DF429" i="1"/>
  <c r="DF892" i="1"/>
  <c r="DF917" i="1"/>
  <c r="DF309" i="1"/>
  <c r="DF375" i="1"/>
  <c r="DF379" i="1"/>
  <c r="DF1121" i="1"/>
  <c r="DF430" i="1"/>
  <c r="DF184" i="1"/>
  <c r="DF1037" i="1"/>
  <c r="DF432" i="1"/>
  <c r="DF1168" i="1"/>
  <c r="DF431" i="1"/>
  <c r="DF907" i="1"/>
  <c r="DF1165" i="1"/>
  <c r="DF922" i="1"/>
  <c r="DF191" i="1"/>
  <c r="DF199" i="1"/>
  <c r="DF210" i="1"/>
  <c r="DF927" i="1"/>
  <c r="DF214" i="1"/>
  <c r="DF223" i="1"/>
  <c r="DF230" i="1"/>
  <c r="DF296" i="1"/>
  <c r="DF1108" i="1"/>
  <c r="DF1112" i="1"/>
  <c r="DF387" i="1"/>
  <c r="DF1170" i="1"/>
  <c r="DF433" i="1"/>
  <c r="DF1173" i="1"/>
  <c r="DF434" i="1"/>
  <c r="DF435" i="1"/>
  <c r="DF901" i="1"/>
  <c r="DF1176" i="1"/>
  <c r="DF938" i="1"/>
  <c r="DF994" i="1"/>
  <c r="DF1040" i="1"/>
  <c r="DF317" i="1"/>
  <c r="DF324" i="1"/>
  <c r="DF327" i="1"/>
  <c r="DF1053" i="1"/>
  <c r="DF1056" i="1"/>
  <c r="DF335" i="1"/>
  <c r="DF1063" i="1"/>
  <c r="DF1099" i="1"/>
  <c r="DF1123" i="1"/>
  <c r="DF400" i="1"/>
  <c r="DF1130" i="1"/>
  <c r="DF405" i="1"/>
  <c r="DF1179" i="1"/>
  <c r="DF436" i="1"/>
  <c r="DF1180" i="1"/>
  <c r="DF438" i="1"/>
  <c r="DF1182" i="1"/>
  <c r="DF440" i="1"/>
  <c r="DF1184" i="1"/>
  <c r="DF442" i="1"/>
  <c r="DF1191" i="1"/>
  <c r="DF444" i="1"/>
  <c r="DF1192" i="1"/>
  <c r="DF445" i="1"/>
  <c r="DF243" i="1"/>
  <c r="DF957" i="1"/>
  <c r="DF969" i="1"/>
  <c r="DF988" i="1"/>
  <c r="DF397" i="1"/>
  <c r="DF963" i="1"/>
  <c r="DF952" i="1"/>
  <c r="DF974" i="1"/>
  <c r="DF330" i="1"/>
  <c r="DF1060" i="1"/>
  <c r="DF447" i="1"/>
  <c r="DF1199" i="1"/>
  <c r="DF448" i="1"/>
  <c r="DF1193" i="1"/>
  <c r="DF1457" i="1"/>
  <c r="DF451" i="1"/>
  <c r="DF1203" i="1"/>
  <c r="DF1127" i="1"/>
  <c r="DF982" i="1"/>
  <c r="DF1200" i="1"/>
  <c r="DF449" i="1"/>
  <c r="DF1201" i="1"/>
  <c r="DF998" i="1"/>
  <c r="DF1071" i="1"/>
  <c r="DF1079" i="1"/>
  <c r="DF356" i="1"/>
  <c r="DF402" i="1"/>
  <c r="DF410" i="1"/>
  <c r="DF412" i="1"/>
  <c r="DF1139" i="1"/>
  <c r="DF414" i="1"/>
  <c r="DF1141" i="1"/>
  <c r="DF453" i="1"/>
  <c r="DF1205" i="1"/>
  <c r="DF1206" i="1"/>
  <c r="DF454" i="1"/>
  <c r="DF1207" i="1"/>
  <c r="DF455" i="1"/>
  <c r="DF1208" i="1"/>
  <c r="DF456" i="1"/>
  <c r="DF1209" i="1"/>
  <c r="DF1074" i="1"/>
  <c r="DF457" i="1"/>
  <c r="DF1082" i="1"/>
  <c r="DF407" i="1"/>
  <c r="DF1210" i="1"/>
  <c r="DF458" i="1"/>
  <c r="DF144" i="1"/>
  <c r="DF352" i="1"/>
  <c r="DF1136" i="1"/>
  <c r="DF459" i="1"/>
  <c r="DF1212" i="1"/>
  <c r="DF270" i="1"/>
  <c r="DF460" i="1"/>
  <c r="DF1211" i="1"/>
  <c r="DF856" i="1"/>
  <c r="DF886" i="1"/>
  <c r="DF1091" i="1"/>
  <c r="DF365" i="1"/>
  <c r="DF373" i="1"/>
  <c r="DF1146" i="1"/>
  <c r="DF422" i="1"/>
  <c r="DF1154" i="1"/>
  <c r="DF1157" i="1"/>
  <c r="DF426" i="1"/>
  <c r="DF1213" i="1"/>
  <c r="DF285" i="1"/>
  <c r="DF1214" i="1"/>
  <c r="DF1144" i="1"/>
  <c r="DF360" i="1"/>
  <c r="DF1007" i="1"/>
  <c r="DF461" i="1"/>
  <c r="DF462" i="1"/>
  <c r="DF1151" i="1"/>
  <c r="DF870" i="1"/>
  <c r="DF1159" i="1"/>
  <c r="DF168" i="1"/>
  <c r="DF1164" i="1"/>
  <c r="DF463" i="1"/>
  <c r="DF1217" i="1"/>
  <c r="DF465" i="1"/>
  <c r="DF174" i="1"/>
  <c r="DF1218" i="1"/>
  <c r="DF1148" i="1"/>
  <c r="DF43" i="1"/>
  <c r="DF1216" i="1"/>
  <c r="DF466" i="1"/>
  <c r="DF1096" i="1"/>
  <c r="DF1459" i="1"/>
  <c r="DF1012" i="1"/>
  <c r="DF290" i="1"/>
  <c r="DF280" i="1"/>
  <c r="DF1219" i="1"/>
  <c r="DF369" i="1"/>
  <c r="DF467" i="1"/>
  <c r="DF215" i="1"/>
  <c r="DF231" i="1"/>
  <c r="DF238" i="1"/>
  <c r="DF1027" i="1"/>
  <c r="DF310" i="1"/>
  <c r="DF388" i="1"/>
  <c r="DF1174" i="1"/>
  <c r="DF468" i="1"/>
  <c r="DF469" i="1"/>
  <c r="DF478" i="1"/>
  <c r="DF479" i="1"/>
  <c r="DF1224" i="1"/>
  <c r="DF1166" i="1"/>
  <c r="DF893" i="1"/>
  <c r="DF200" i="1"/>
  <c r="DF918" i="1"/>
  <c r="DF392" i="1"/>
  <c r="DF1171" i="1"/>
  <c r="DF1220" i="1"/>
  <c r="DF1222" i="1"/>
  <c r="DF939" i="1"/>
  <c r="DF928" i="1"/>
  <c r="DF224" i="1"/>
  <c r="DF1033" i="1"/>
  <c r="DF380" i="1"/>
  <c r="DF383" i="1"/>
  <c r="DF1115" i="1"/>
  <c r="DF1177" i="1"/>
  <c r="DF482" i="1"/>
  <c r="DF1226" i="1"/>
  <c r="DF1113" i="1"/>
  <c r="DF314" i="1"/>
  <c r="DF1169" i="1"/>
  <c r="DF486" i="1"/>
  <c r="DF1228" i="1"/>
  <c r="DF481" i="1"/>
  <c r="DF902" i="1"/>
  <c r="DF487" i="1"/>
  <c r="DF1105" i="1"/>
  <c r="DF953" i="1"/>
  <c r="DF958" i="1"/>
  <c r="DF970" i="1"/>
  <c r="DF975" i="1"/>
  <c r="DF1041" i="1"/>
  <c r="DF318" i="1"/>
  <c r="DF1047" i="1"/>
  <c r="DF1050" i="1"/>
  <c r="DF328" i="1"/>
  <c r="DF1054" i="1"/>
  <c r="DF1057" i="1"/>
  <c r="DF336" i="1"/>
  <c r="DF1064" i="1"/>
  <c r="DF1124" i="1"/>
  <c r="DF398" i="1"/>
  <c r="DF1131" i="1"/>
  <c r="DF437" i="1"/>
  <c r="DF439" i="1"/>
  <c r="DF446" i="1"/>
  <c r="DF1229" i="1"/>
  <c r="DF489" i="1"/>
  <c r="DF1233" i="1"/>
  <c r="DF1234" i="1"/>
  <c r="DF964" i="1"/>
  <c r="DF983" i="1"/>
  <c r="DF331" i="1"/>
  <c r="DF1181" i="1"/>
  <c r="DF1183" i="1"/>
  <c r="DF443" i="1"/>
  <c r="DF1128" i="1"/>
  <c r="DF452" i="1"/>
  <c r="DF244" i="1"/>
  <c r="DF441" i="1"/>
  <c r="DF1204" i="1"/>
  <c r="DF1235" i="1"/>
  <c r="DF491" i="1"/>
  <c r="DF1236" i="1"/>
  <c r="DF450" i="1"/>
  <c r="DF1185" i="1"/>
  <c r="DF490" i="1"/>
  <c r="DF1194" i="1"/>
  <c r="DF1202" i="1"/>
  <c r="DF492" i="1"/>
  <c r="DF1237" i="1"/>
  <c r="DF493" i="1"/>
  <c r="DF857" i="1"/>
  <c r="DF871" i="1"/>
  <c r="DF169" i="1"/>
  <c r="DF879" i="1"/>
  <c r="DF175" i="1"/>
  <c r="DF281" i="1"/>
  <c r="DF1013" i="1"/>
  <c r="DF291" i="1"/>
  <c r="DF1086" i="1"/>
  <c r="DF1093" i="1"/>
  <c r="DF1149" i="1"/>
  <c r="DF464" i="1"/>
  <c r="DF1238" i="1"/>
  <c r="DF494" i="1"/>
  <c r="DF1239" i="1"/>
  <c r="DF495" i="1"/>
  <c r="DF496" i="1"/>
  <c r="DF497" i="1"/>
  <c r="DF1241" i="1"/>
  <c r="DF499" i="1"/>
  <c r="DF286" i="1"/>
  <c r="DF1160" i="1"/>
  <c r="DF1152" i="1"/>
  <c r="DF1215" i="1"/>
  <c r="DF418" i="1"/>
  <c r="DF1240" i="1"/>
  <c r="DF149" i="1"/>
  <c r="DF366" i="1"/>
  <c r="DF420" i="1"/>
  <c r="DF498" i="1"/>
  <c r="DF370" i="1"/>
  <c r="DF887" i="1"/>
  <c r="DF744" i="1"/>
  <c r="DF1242" i="1"/>
  <c r="DF500" i="1"/>
  <c r="DF1461" i="1"/>
  <c r="DF1019" i="1"/>
  <c r="DF1155" i="1"/>
  <c r="DF1460" i="1"/>
  <c r="DF428" i="1"/>
  <c r="DF1162" i="1"/>
  <c r="DF185" i="1"/>
  <c r="DF216" i="1"/>
  <c r="DF225" i="1"/>
  <c r="DF940" i="1"/>
  <c r="DF239" i="1"/>
  <c r="DF1028" i="1"/>
  <c r="DF1034" i="1"/>
  <c r="DF1106" i="1"/>
  <c r="DF1109" i="1"/>
  <c r="DF381" i="1"/>
  <c r="DF389" i="1"/>
  <c r="DF1175" i="1"/>
  <c r="DF1178" i="1"/>
  <c r="DF1223" i="1"/>
  <c r="DF480" i="1"/>
  <c r="DF1225" i="1"/>
  <c r="DF1227" i="1"/>
  <c r="DF488" i="1"/>
  <c r="DF1243" i="1"/>
  <c r="DF501" i="1"/>
  <c r="DF1244" i="1"/>
  <c r="DF502" i="1"/>
  <c r="DF1245" i="1"/>
  <c r="DF483" i="1"/>
  <c r="DF1167" i="1"/>
  <c r="DF300" i="1"/>
  <c r="DF384" i="1"/>
  <c r="DF1116" i="1"/>
  <c r="DF201" i="1"/>
  <c r="DF2" i="1"/>
  <c r="DF903" i="1"/>
  <c r="DF192" i="1"/>
  <c r="DF923" i="1"/>
  <c r="DF929" i="1"/>
  <c r="DF304" i="1"/>
  <c r="DF1029" i="1"/>
  <c r="DF393" i="1"/>
  <c r="DF470" i="1"/>
  <c r="DF503" i="1"/>
  <c r="DF504" i="1"/>
  <c r="DF1247" i="1"/>
  <c r="DF1248" i="1"/>
  <c r="DF1221" i="1"/>
  <c r="DF1246" i="1"/>
  <c r="DF919" i="1"/>
  <c r="DF232" i="1"/>
  <c r="DF1172" i="1"/>
  <c r="DF505" i="1"/>
  <c r="DF738" i="1"/>
  <c r="DF1448" i="1"/>
  <c r="DF1447" i="1"/>
  <c r="DF24" i="1"/>
  <c r="DF767" i="1"/>
  <c r="DF30" i="1"/>
  <c r="DF33" i="1"/>
  <c r="DF770" i="1"/>
  <c r="DF771" i="1"/>
  <c r="DF44" i="1"/>
  <c r="DF778" i="1"/>
  <c r="DF34" i="1"/>
  <c r="DF745" i="1"/>
  <c r="DF36" i="1"/>
  <c r="DF777" i="1"/>
  <c r="DF3" i="1"/>
  <c r="DF750" i="1"/>
  <c r="DF752" i="1"/>
  <c r="DF8" i="1"/>
  <c r="DF9" i="1"/>
  <c r="DF759" i="1"/>
  <c r="DF11" i="1"/>
  <c r="DF13" i="1"/>
  <c r="DF17" i="1"/>
  <c r="DF20" i="1"/>
  <c r="DF764" i="1"/>
  <c r="DF734" i="1"/>
  <c r="DF736" i="1"/>
  <c r="DF50" i="1"/>
  <c r="DF54" i="1"/>
  <c r="DF783" i="1"/>
  <c r="DF58" i="1"/>
  <c r="DF61" i="1"/>
  <c r="DF1449" i="1"/>
  <c r="DF740" i="1"/>
  <c r="DF735" i="1"/>
  <c r="DF48" i="1"/>
  <c r="DF788" i="1"/>
  <c r="DF45" i="1"/>
  <c r="DF62" i="1"/>
  <c r="DF739" i="1"/>
  <c r="DF64" i="1"/>
  <c r="DF768" i="1"/>
  <c r="DF31" i="1"/>
  <c r="DF794" i="1"/>
  <c r="DF25" i="1"/>
  <c r="DF772" i="1"/>
  <c r="DF793" i="1"/>
  <c r="DF65" i="1"/>
  <c r="DF66" i="1"/>
  <c r="DF796" i="1"/>
  <c r="DF753" i="1"/>
  <c r="DF37" i="1"/>
  <c r="DF67" i="1"/>
  <c r="DF798" i="1"/>
  <c r="DF68" i="1"/>
  <c r="DF746" i="1"/>
  <c r="DF4" i="1"/>
  <c r="DF751" i="1"/>
  <c r="DF800" i="1"/>
  <c r="DF70" i="1"/>
  <c r="DF806" i="1"/>
  <c r="DF72" i="1"/>
  <c r="DF35" i="1"/>
  <c r="DF808" i="1"/>
  <c r="DF77" i="1"/>
  <c r="DF810" i="1"/>
  <c r="DF10" i="1"/>
  <c r="DF12" i="1"/>
  <c r="DF18" i="1"/>
  <c r="DF21" i="1"/>
  <c r="DF78" i="1"/>
  <c r="DF813" i="1"/>
  <c r="DF22" i="1"/>
  <c r="DF760" i="1"/>
  <c r="DF14" i="1"/>
  <c r="DF737" i="1"/>
  <c r="DF1450" i="1"/>
  <c r="DF79" i="1"/>
  <c r="DF815" i="1"/>
  <c r="DF741" i="1"/>
  <c r="DF55" i="1"/>
  <c r="DF789" i="1"/>
  <c r="DF86" i="1"/>
  <c r="DF92" i="1"/>
  <c r="DF46" i="1"/>
  <c r="DF80" i="1"/>
  <c r="DF59" i="1"/>
  <c r="DF816" i="1"/>
  <c r="DF784" i="1"/>
  <c r="DF26" i="1"/>
  <c r="DF773" i="1"/>
  <c r="DF94" i="1"/>
  <c r="DF819" i="1"/>
  <c r="DF795" i="1"/>
  <c r="DF95" i="1"/>
  <c r="DF769" i="1"/>
  <c r="DF797" i="1"/>
  <c r="DF32" i="1"/>
  <c r="DF779" i="1"/>
  <c r="DF801" i="1"/>
  <c r="DF71" i="1"/>
  <c r="DF73" i="1"/>
  <c r="DF38" i="1"/>
  <c r="DF747" i="1"/>
  <c r="DF821" i="1"/>
  <c r="DF754" i="1"/>
  <c r="DF799" i="1"/>
  <c r="DF807" i="1"/>
  <c r="DF96" i="1"/>
  <c r="DF69" i="1"/>
  <c r="DF23" i="1"/>
  <c r="DF5" i="1"/>
  <c r="DF822" i="1"/>
  <c r="DF1452" i="1"/>
  <c r="DF765" i="1"/>
  <c r="DF100" i="1"/>
  <c r="DF15" i="1"/>
  <c r="DF101" i="1"/>
  <c r="DF761" i="1"/>
  <c r="DF19" i="1"/>
  <c r="DF103" i="1"/>
  <c r="DF814" i="1"/>
  <c r="DF785" i="1"/>
  <c r="DF60" i="1"/>
  <c r="DF63" i="1"/>
  <c r="DF87" i="1"/>
  <c r="DF93" i="1"/>
  <c r="DF105" i="1"/>
  <c r="DF106" i="1"/>
  <c r="DF81" i="1"/>
  <c r="DF47" i="1"/>
  <c r="DF790" i="1"/>
  <c r="DF817" i="1"/>
  <c r="DF824" i="1"/>
  <c r="DF49" i="1"/>
  <c r="DF742" i="1"/>
  <c r="DF27" i="1"/>
  <c r="DF107" i="1"/>
  <c r="DF774" i="1"/>
  <c r="DF820" i="1"/>
  <c r="DF828" i="1"/>
  <c r="DF748" i="1"/>
  <c r="DF755" i="1"/>
  <c r="DF39" i="1"/>
  <c r="DF97" i="1"/>
  <c r="DF823" i="1"/>
  <c r="DF104" i="1"/>
  <c r="DF809" i="1"/>
  <c r="DF780" i="1"/>
  <c r="DF802" i="1"/>
  <c r="DF110" i="1"/>
  <c r="DF829" i="1"/>
  <c r="DF74" i="1"/>
  <c r="DF1453" i="1"/>
  <c r="DF102" i="1"/>
  <c r="DF762" i="1"/>
  <c r="DF112" i="1"/>
  <c r="DF113" i="1"/>
  <c r="DF16" i="1"/>
  <c r="DF766" i="1"/>
  <c r="DF832" i="1"/>
  <c r="DF56" i="1"/>
  <c r="DF116" i="1"/>
  <c r="DF791" i="1"/>
  <c r="DF88" i="1"/>
  <c r="DF825" i="1"/>
  <c r="DF743" i="1"/>
  <c r="DF306" i="1"/>
  <c r="DF51" i="1"/>
  <c r="DF818" i="1"/>
  <c r="DF82" i="1"/>
  <c r="DF119" i="1"/>
  <c r="DF775" i="1"/>
  <c r="DF833" i="1"/>
  <c r="DF122" i="1"/>
  <c r="DF28" i="1"/>
  <c r="DF835" i="1"/>
  <c r="DF108" i="1"/>
  <c r="DF123" i="1"/>
  <c r="DF749" i="1"/>
  <c r="DF6" i="1"/>
  <c r="DF98" i="1"/>
  <c r="DF40" i="1"/>
  <c r="DF75" i="1"/>
  <c r="DF756" i="1"/>
  <c r="DF836" i="1"/>
  <c r="DF803" i="1"/>
  <c r="DF111" i="1"/>
  <c r="DF124" i="1"/>
  <c r="DF837" i="1"/>
  <c r="DF127" i="1"/>
  <c r="DF763" i="1"/>
  <c r="DF114" i="1"/>
  <c r="DF128" i="1"/>
  <c r="DF57" i="1"/>
  <c r="DF83" i="1"/>
  <c r="DF792" i="1"/>
  <c r="DF89" i="1"/>
  <c r="DF838" i="1"/>
  <c r="DF120" i="1"/>
  <c r="DF834" i="1"/>
  <c r="DF29" i="1"/>
  <c r="DF109" i="1"/>
  <c r="DF776" i="1"/>
  <c r="DF135" i="1"/>
  <c r="DF843" i="1"/>
  <c r="DF130" i="1"/>
  <c r="DF7" i="1"/>
  <c r="DF757" i="1"/>
  <c r="DF781" i="1"/>
  <c r="DF804" i="1"/>
  <c r="DF811" i="1"/>
  <c r="DF41" i="1"/>
  <c r="DF830" i="1"/>
  <c r="DF76" i="1"/>
  <c r="DF99" i="1"/>
  <c r="DF125" i="1"/>
  <c r="DF115" i="1"/>
  <c r="DF129" i="1"/>
  <c r="DF826" i="1"/>
  <c r="DF52" i="1"/>
  <c r="DF90" i="1"/>
  <c r="DF786" i="1"/>
  <c r="DF84" i="1"/>
  <c r="DF117" i="1"/>
  <c r="DF136" i="1"/>
  <c r="DF844" i="1"/>
  <c r="DF1451" i="1"/>
  <c r="DF758" i="1"/>
  <c r="DF805" i="1"/>
  <c r="DF831" i="1"/>
  <c r="DF126" i="1"/>
  <c r="DF812" i="1"/>
  <c r="DF1454" i="1"/>
  <c r="DF131" i="1"/>
  <c r="DF53" i="1"/>
  <c r="DF787" i="1"/>
  <c r="DF118" i="1"/>
  <c r="DF85" i="1"/>
  <c r="DF827" i="1"/>
  <c r="DF91" i="1"/>
  <c r="DF121" i="1"/>
  <c r="DF839" i="1"/>
  <c r="DF1465" i="1"/>
  <c r="DF1463" i="1"/>
  <c r="DF1486" i="1"/>
  <c r="DF1487" i="1"/>
  <c r="DF1476" i="1"/>
  <c r="DF1477" i="1"/>
  <c r="DF1478" i="1"/>
  <c r="DF1479" i="1"/>
  <c r="DF1480" i="1"/>
  <c r="DF1481" i="1"/>
  <c r="DF1482" i="1"/>
  <c r="DF1483" i="1"/>
  <c r="DF1484" i="1"/>
  <c r="DF1485" i="1"/>
  <c r="DF1467" i="1"/>
  <c r="DF1468" i="1"/>
  <c r="DF1469" i="1"/>
  <c r="DF1470" i="1"/>
  <c r="DF1471" i="1"/>
  <c r="DF1472" i="1"/>
  <c r="DF1473" i="1"/>
  <c r="DF1474" i="1"/>
  <c r="DF1475" i="1"/>
  <c r="DF1466" i="1"/>
  <c r="DF1489" i="1"/>
  <c r="DF1490" i="1"/>
  <c r="DF2290" i="1"/>
  <c r="DF2291" i="1"/>
  <c r="DF2293" i="1"/>
  <c r="DF2295" i="1"/>
  <c r="DF2297" i="1"/>
  <c r="DF2289" i="1"/>
  <c r="DF2292" i="1"/>
  <c r="DF2306" i="1"/>
  <c r="DF2296" i="1"/>
  <c r="DF2212" i="1"/>
  <c r="DF2294" i="1"/>
  <c r="DF2314" i="1"/>
  <c r="DF2312" i="1"/>
  <c r="DF2247" i="1"/>
  <c r="DF2307" i="1"/>
  <c r="DF2298" i="1"/>
  <c r="DF2305" i="1"/>
  <c r="DF2315" i="1"/>
  <c r="DF2320" i="1"/>
  <c r="DF2319" i="1"/>
  <c r="DF2325" i="1"/>
  <c r="DF2337" i="1"/>
  <c r="DF2333" i="1"/>
  <c r="DF2326" i="1"/>
  <c r="DF2338" i="1"/>
  <c r="DF2334" i="1"/>
  <c r="DF2343" i="1"/>
  <c r="DF2342" i="1"/>
  <c r="DF2344" i="1"/>
  <c r="DF2328" i="1"/>
  <c r="DF2345" i="1"/>
  <c r="DF2358" i="1"/>
  <c r="DF2348" i="1"/>
  <c r="DF2346" i="1"/>
  <c r="DF2362" i="1"/>
  <c r="DF2364" i="1"/>
  <c r="DF1491" i="1"/>
  <c r="DF2373" i="1"/>
  <c r="DF2369" i="1"/>
  <c r="DF2378" i="1"/>
  <c r="DF2363" i="1"/>
  <c r="DF2365" i="1"/>
  <c r="DF2370" i="1"/>
  <c r="DF2227" i="1"/>
  <c r="DF2268" i="1"/>
  <c r="DF2379" i="1"/>
  <c r="DF2383" i="1"/>
  <c r="DF2374" i="1"/>
  <c r="DF2381" i="1"/>
  <c r="DF2352" i="1"/>
  <c r="DF2349" i="1"/>
  <c r="DF2347" i="1"/>
  <c r="DF2380" i="1"/>
  <c r="DF2391" i="1"/>
  <c r="DF2248" i="1"/>
  <c r="DF2299" i="1"/>
  <c r="DF2395" i="1"/>
  <c r="DF2392" i="1"/>
  <c r="DF2445" i="1"/>
  <c r="DF2439" i="1"/>
  <c r="DF2397" i="1"/>
  <c r="DF2213" i="1"/>
  <c r="DF2437" i="1"/>
  <c r="DF2249" i="1"/>
  <c r="DF2300" i="1"/>
  <c r="DF2396" i="1"/>
  <c r="DF2323" i="1"/>
  <c r="DF2401" i="1"/>
  <c r="DF2404" i="1"/>
  <c r="DF2400" i="1"/>
  <c r="DF2324" i="1"/>
  <c r="DF2327" i="1"/>
  <c r="DF2329" i="1"/>
  <c r="DF2420" i="1"/>
  <c r="DF2341" i="1"/>
  <c r="DF2422" i="1"/>
  <c r="DF2423" i="1"/>
  <c r="DF2330" i="1"/>
  <c r="DF2410" i="1"/>
  <c r="DF2427" i="1"/>
  <c r="DF2421" i="1"/>
  <c r="DF2359" i="1"/>
  <c r="DF2428" i="1"/>
  <c r="DF2350" i="1"/>
  <c r="DF2353" i="1"/>
  <c r="DF2386" i="1"/>
  <c r="DF2431" i="1"/>
  <c r="DF2269" i="1"/>
  <c r="DF2535" i="1"/>
  <c r="DF2387" i="1"/>
  <c r="DF2429" i="1"/>
  <c r="DF2351" i="1"/>
  <c r="DF2354" i="1"/>
  <c r="DF2432" i="1"/>
  <c r="DF2270" i="1"/>
  <c r="DF2430" i="1"/>
  <c r="DF2536" i="1"/>
  <c r="DF2371" i="1"/>
  <c r="DF2388" i="1"/>
  <c r="DF2375" i="1"/>
  <c r="DF2384" i="1"/>
  <c r="DF2393" i="1"/>
  <c r="DF2449" i="1"/>
  <c r="DF2440" i="1"/>
  <c r="DF2214" i="1"/>
  <c r="DF2308" i="1"/>
  <c r="DF2435" i="1"/>
  <c r="DF2301" i="1"/>
  <c r="DF2250" i="1"/>
  <c r="DF2457" i="1"/>
  <c r="DF2215" i="1"/>
  <c r="DF2398" i="1"/>
  <c r="DF2394" i="1"/>
  <c r="DF2441" i="1"/>
  <c r="DF2463" i="1"/>
  <c r="DF2450" i="1"/>
  <c r="DF2446" i="1"/>
  <c r="DF2469" i="1"/>
  <c r="DF2466" i="1"/>
  <c r="DF2309" i="1"/>
  <c r="DF2436" i="1"/>
  <c r="DF2302" i="1"/>
  <c r="DF2251" i="1"/>
  <c r="DF2472" i="1"/>
  <c r="DF2414" i="1"/>
  <c r="DF2402" i="1"/>
  <c r="DF2473" i="1"/>
  <c r="DF2405" i="1"/>
  <c r="DF2475" i="1"/>
  <c r="DF2096" i="1"/>
  <c r="DF2316" i="1"/>
  <c r="DF2321" i="1"/>
  <c r="DF2477" i="1"/>
  <c r="DF2415" i="1"/>
  <c r="DF2406" i="1"/>
  <c r="DF2097" i="1"/>
  <c r="DF2322" i="1"/>
  <c r="DF2478" i="1"/>
  <c r="DF2485" i="1"/>
  <c r="DF2483" i="1"/>
  <c r="DF2317" i="1"/>
  <c r="DF2486" i="1"/>
  <c r="DF2331" i="1"/>
  <c r="DF2424" i="1"/>
  <c r="DF2488" i="1"/>
  <c r="DF2418" i="1"/>
  <c r="DF2490" i="1"/>
  <c r="DF2491" i="1"/>
  <c r="DF2411" i="1"/>
  <c r="DF2412" i="1"/>
  <c r="DF2495" i="1"/>
  <c r="DF2493" i="1"/>
  <c r="DF2335" i="1"/>
  <c r="DF2494" i="1"/>
  <c r="DF2487" i="1"/>
  <c r="DF2332" i="1"/>
  <c r="DF2425" i="1"/>
  <c r="DF2419" i="1"/>
  <c r="DF2489" i="1"/>
  <c r="DF2339" i="1"/>
  <c r="DF2389" i="1"/>
  <c r="DF2496" i="1"/>
  <c r="DF2500" i="1"/>
  <c r="DF2454" i="1"/>
  <c r="DF2360" i="1"/>
  <c r="DF2355" i="1"/>
  <c r="DF2498" i="1"/>
  <c r="DF2433" i="1"/>
  <c r="DF2228" i="1"/>
  <c r="DF2366" i="1"/>
  <c r="DF2382" i="1"/>
  <c r="DF2537" i="1"/>
  <c r="DF2376" i="1"/>
  <c r="DF2503" i="1"/>
  <c r="DF2372" i="1"/>
  <c r="DF2367" i="1"/>
  <c r="DF2506" i="1"/>
  <c r="DF2229" i="1"/>
  <c r="DF2538" i="1"/>
  <c r="DF2377" i="1"/>
  <c r="DF2385" i="1"/>
  <c r="DF2390" i="1"/>
  <c r="DF2497" i="1"/>
  <c r="DF2499" i="1"/>
  <c r="DF2501" i="1"/>
  <c r="DF2356" i="1"/>
  <c r="DF2361" i="1"/>
  <c r="DF2460" i="1"/>
  <c r="DF2451" i="1"/>
  <c r="DF2464" i="1"/>
  <c r="DF2216" i="1"/>
  <c r="DF2504" i="1"/>
  <c r="DF2442" i="1"/>
  <c r="DF2467" i="1"/>
  <c r="DF2252" i="1"/>
  <c r="DF2303" i="1"/>
  <c r="DF2310" i="1"/>
  <c r="DF2399" i="1"/>
  <c r="DF2461" i="1"/>
  <c r="DF2452" i="1"/>
  <c r="DF2447" i="1"/>
  <c r="DF2465" i="1"/>
  <c r="DF2438" i="1"/>
  <c r="DF2508" i="1"/>
  <c r="DF2505" i="1"/>
  <c r="DF2443" i="1"/>
  <c r="DF2217" i="1"/>
  <c r="DF2471" i="1"/>
  <c r="DF2470" i="1"/>
  <c r="DF2304" i="1"/>
  <c r="DF2116" i="1"/>
  <c r="DF2468" i="1"/>
  <c r="DF2253" i="1"/>
  <c r="DF2416" i="1"/>
  <c r="DF2481" i="1"/>
  <c r="DF2510" i="1"/>
  <c r="DF2514" i="1"/>
  <c r="DF2474" i="1"/>
  <c r="DF2407" i="1"/>
  <c r="DF2479" i="1"/>
  <c r="DF2511" i="1"/>
  <c r="DF2513" i="1"/>
  <c r="DF2408" i="1"/>
  <c r="DF2540" i="1"/>
  <c r="DF2476" i="1"/>
  <c r="DF2515" i="1"/>
  <c r="DF2519" i="1"/>
  <c r="DF2516" i="1"/>
  <c r="DF2541" i="1"/>
  <c r="DF2521" i="1"/>
  <c r="DF2426" i="1"/>
  <c r="DF2340" i="1"/>
  <c r="DF2413" i="1"/>
  <c r="DF2522" i="1"/>
  <c r="DF2336" i="1"/>
  <c r="DF2492" i="1"/>
  <c r="DF2523" i="1"/>
  <c r="DF2434" i="1"/>
  <c r="DF1690" i="1"/>
  <c r="DF1692" i="1"/>
  <c r="DF1697" i="1"/>
  <c r="DF1699" i="1"/>
  <c r="DF1702" i="1"/>
  <c r="DF1691" i="1"/>
  <c r="DF1693" i="1"/>
  <c r="DF1698" i="1"/>
  <c r="DF1703" i="1"/>
  <c r="DF1706" i="1"/>
  <c r="DF1708" i="1"/>
  <c r="DF1718" i="1"/>
  <c r="DF1722" i="1"/>
  <c r="DF1725" i="1"/>
  <c r="DF1729" i="1"/>
  <c r="DF1730" i="1"/>
  <c r="DF1736" i="1"/>
  <c r="DF1744" i="1"/>
  <c r="DF1746" i="1"/>
  <c r="DF1749" i="1"/>
  <c r="DF1751" i="1"/>
  <c r="DF1709" i="1"/>
  <c r="DF1712" i="1"/>
  <c r="DF1719" i="1"/>
  <c r="DF1723" i="1"/>
  <c r="DF1724" i="1"/>
  <c r="DF1726" i="1"/>
  <c r="DF1731" i="1"/>
  <c r="DF1735" i="1"/>
  <c r="DF1745" i="1"/>
  <c r="DF1747" i="1"/>
  <c r="DF1748" i="1"/>
  <c r="DF1750" i="1"/>
  <c r="DF1752" i="1"/>
  <c r="DF1760" i="1"/>
  <c r="DF1762" i="1"/>
  <c r="DF1772" i="1"/>
  <c r="DF1780" i="1"/>
  <c r="DF1785" i="1"/>
  <c r="DF1791" i="1"/>
  <c r="DF1793" i="1"/>
  <c r="DF1795" i="1"/>
  <c r="DF1796" i="1"/>
  <c r="DF1799" i="1"/>
  <c r="DF1809" i="1"/>
  <c r="DF1811" i="1"/>
  <c r="DF1814" i="1"/>
  <c r="DF1816" i="1"/>
  <c r="DF1820" i="1"/>
  <c r="DF1826" i="1"/>
  <c r="DF1773" i="1"/>
  <c r="DF1781" i="1"/>
  <c r="DF1786" i="1"/>
  <c r="DF1792" i="1"/>
  <c r="DF1800" i="1"/>
  <c r="DF1804" i="1"/>
  <c r="DF1810" i="1"/>
  <c r="DF1815" i="1"/>
  <c r="DF1817" i="1"/>
  <c r="DF1827" i="1"/>
  <c r="DF1829" i="1"/>
  <c r="DF1831" i="1"/>
  <c r="DF1837" i="1"/>
  <c r="DF1840" i="1"/>
  <c r="DF1846" i="1"/>
  <c r="DF1853" i="1"/>
  <c r="DF1857" i="1"/>
  <c r="DF1864" i="1"/>
  <c r="DF1871" i="1"/>
  <c r="DF1879" i="1"/>
  <c r="DF1888" i="1"/>
  <c r="DF1894" i="1"/>
  <c r="DF1904" i="1"/>
  <c r="DF1908" i="1"/>
  <c r="DF1917" i="1"/>
  <c r="DF1923" i="1"/>
  <c r="DF1927" i="1"/>
  <c r="DF1935" i="1"/>
  <c r="DF1937" i="1"/>
  <c r="DF1878" i="1"/>
  <c r="DF1880" i="1"/>
  <c r="DF1889" i="1"/>
  <c r="DF1895" i="1"/>
  <c r="DF1905" i="1"/>
  <c r="DF1910" i="1"/>
  <c r="DF1918" i="1"/>
  <c r="DF1922" i="1"/>
  <c r="DF1924" i="1"/>
  <c r="DF1936" i="1"/>
  <c r="DF1938" i="1"/>
  <c r="DF1946" i="1"/>
  <c r="DF1949" i="1"/>
  <c r="DF1952" i="1"/>
  <c r="DF1958" i="1"/>
  <c r="DF1961" i="1"/>
  <c r="DF1962" i="1"/>
  <c r="DF1707" i="1"/>
  <c r="DF1713" i="1"/>
  <c r="DF1720" i="1"/>
  <c r="DF1727" i="1"/>
  <c r="DF1753" i="1"/>
  <c r="DF1759" i="1"/>
  <c r="DF1766" i="1"/>
  <c r="DF1973" i="1"/>
  <c r="DF1721" i="1"/>
  <c r="DF1728" i="1"/>
  <c r="DF1737" i="1"/>
  <c r="DF1754" i="1"/>
  <c r="DF1755" i="1"/>
  <c r="DF1763" i="1"/>
  <c r="DF1974" i="1"/>
  <c r="DF1975" i="1"/>
  <c r="DF1979" i="1"/>
  <c r="DF1981" i="1"/>
  <c r="DF1987" i="1"/>
  <c r="DF1774" i="1"/>
  <c r="DF1782" i="1"/>
  <c r="DF1787" i="1"/>
  <c r="DF1797" i="1"/>
  <c r="DF1805" i="1"/>
  <c r="DF1812" i="1"/>
  <c r="DF1818" i="1"/>
  <c r="DF1821" i="1"/>
  <c r="DF1830" i="1"/>
  <c r="DF1832" i="1"/>
  <c r="DF1838" i="1"/>
  <c r="DF1854" i="1"/>
  <c r="DF1858" i="1"/>
  <c r="DF1875" i="1"/>
  <c r="DF1990" i="1"/>
  <c r="DF1992" i="1"/>
  <c r="DF1994" i="1"/>
  <c r="DF1775" i="1"/>
  <c r="DF1783" i="1"/>
  <c r="DF1788" i="1"/>
  <c r="DF1794" i="1"/>
  <c r="DF1798" i="1"/>
  <c r="DF1801" i="1"/>
  <c r="DF1806" i="1"/>
  <c r="DF1813" i="1"/>
  <c r="DF1819" i="1"/>
  <c r="DF1822" i="1"/>
  <c r="DF1833" i="1"/>
  <c r="DF1841" i="1"/>
  <c r="DF1843" i="1"/>
  <c r="DF1847" i="1"/>
  <c r="DF1849" i="1"/>
  <c r="DF1855" i="1"/>
  <c r="DF1856" i="1"/>
  <c r="DF1859" i="1"/>
  <c r="DF1865" i="1"/>
  <c r="DF1876" i="1"/>
  <c r="DF1991" i="1"/>
  <c r="DF1993" i="1"/>
  <c r="DF1995" i="1"/>
  <c r="DF1997" i="1"/>
  <c r="DF1998" i="1"/>
  <c r="DF2004" i="1"/>
  <c r="DF1881" i="1"/>
  <c r="DF1890" i="1"/>
  <c r="DF1896" i="1"/>
  <c r="DF1906" i="1"/>
  <c r="DF1911" i="1"/>
  <c r="DF1919" i="1"/>
  <c r="DF1925" i="1"/>
  <c r="DF1928" i="1"/>
  <c r="DF1939" i="1"/>
  <c r="DF1947" i="1"/>
  <c r="DF1950" i="1"/>
  <c r="DF1953" i="1"/>
  <c r="DF1959" i="1"/>
  <c r="DF1963" i="1"/>
  <c r="DF1966" i="1"/>
  <c r="DF2016" i="1"/>
  <c r="DF2021" i="1"/>
  <c r="DF2023" i="1"/>
  <c r="DF2024" i="1"/>
  <c r="DF2025" i="1"/>
  <c r="DF2028" i="1"/>
  <c r="DF2030" i="1"/>
  <c r="DF2032" i="1"/>
  <c r="DF2036" i="1"/>
  <c r="DF2038" i="1"/>
  <c r="DF2046" i="1"/>
  <c r="DF2051" i="1"/>
  <c r="DF1882" i="1"/>
  <c r="DF1897" i="1"/>
  <c r="DF1907" i="1"/>
  <c r="DF1909" i="1"/>
  <c r="DF1912" i="1"/>
  <c r="DF1920" i="1"/>
  <c r="DF1926" i="1"/>
  <c r="DF1940" i="1"/>
  <c r="DF1948" i="1"/>
  <c r="DF1951" i="1"/>
  <c r="DF1954" i="1"/>
  <c r="DF1955" i="1"/>
  <c r="DF1960" i="1"/>
  <c r="DF1964" i="1"/>
  <c r="DF2011" i="1"/>
  <c r="DF2017" i="1"/>
  <c r="DF2022" i="1"/>
  <c r="DF2029" i="1"/>
  <c r="DF2031" i="1"/>
  <c r="DF2033" i="1"/>
  <c r="DF2037" i="1"/>
  <c r="DF2041" i="1"/>
  <c r="DF2047" i="1"/>
  <c r="DF2052" i="1"/>
  <c r="DF2060" i="1"/>
  <c r="DF2062" i="1"/>
  <c r="DF2068" i="1"/>
  <c r="DF1700" i="1"/>
  <c r="DF1971" i="1"/>
  <c r="DF1972" i="1"/>
  <c r="DF2069" i="1"/>
  <c r="DF2071" i="1"/>
  <c r="DF2073" i="1"/>
  <c r="DF2075" i="1"/>
  <c r="DF2076" i="1"/>
  <c r="DF2077" i="1"/>
  <c r="DF2080" i="1"/>
  <c r="DF2083" i="1"/>
  <c r="DF2088" i="1"/>
  <c r="DF1714" i="1"/>
  <c r="DF1732" i="1"/>
  <c r="DF1738" i="1"/>
  <c r="DF2090" i="1"/>
  <c r="DF2091" i="1"/>
  <c r="DF1776" i="1"/>
  <c r="DF1784" i="1"/>
  <c r="DF1789" i="1"/>
  <c r="DF1802" i="1"/>
  <c r="DF1839" i="1"/>
  <c r="DF1844" i="1"/>
  <c r="DF1850" i="1"/>
  <c r="DF1860" i="1"/>
  <c r="DF1872" i="1"/>
  <c r="DF2007" i="1"/>
  <c r="DF2009" i="1"/>
  <c r="DF2110" i="1"/>
  <c r="DF2112" i="1"/>
  <c r="DF2114" i="1"/>
  <c r="DF2118" i="1"/>
  <c r="DF2120" i="1"/>
  <c r="DF2122" i="1"/>
  <c r="DF1777" i="1"/>
  <c r="DF1790" i="1"/>
  <c r="DF1803" i="1"/>
  <c r="DF1807" i="1"/>
  <c r="DF1828" i="1"/>
  <c r="DF1834" i="1"/>
  <c r="DF1845" i="1"/>
  <c r="DF1861" i="1"/>
  <c r="DF1866" i="1"/>
  <c r="DF1999" i="1"/>
  <c r="DF2010" i="1"/>
  <c r="DF2111" i="1"/>
  <c r="DF2113" i="1"/>
  <c r="DF2115" i="1"/>
  <c r="DF2121" i="1"/>
  <c r="DF2128" i="1"/>
  <c r="DF2129" i="1"/>
  <c r="DF2132" i="1"/>
  <c r="DF1891" i="1"/>
  <c r="DF1898" i="1"/>
  <c r="DF1929" i="1"/>
  <c r="DF1941" i="1"/>
  <c r="DF1967" i="1"/>
  <c r="DF2026" i="1"/>
  <c r="DF2048" i="1"/>
  <c r="DF2058" i="1"/>
  <c r="DF2064" i="1"/>
  <c r="DF2138" i="1"/>
  <c r="DF1883" i="1"/>
  <c r="DF1899" i="1"/>
  <c r="DF1921" i="1"/>
  <c r="DF1930" i="1"/>
  <c r="DF1942" i="1"/>
  <c r="DF1965" i="1"/>
  <c r="DF1968" i="1"/>
  <c r="DF2027" i="1"/>
  <c r="DF2039" i="1"/>
  <c r="DF2042" i="1"/>
  <c r="DF2049" i="1"/>
  <c r="DF2059" i="1"/>
  <c r="DF2061" i="1"/>
  <c r="DF2139" i="1"/>
  <c r="DF2145" i="1"/>
  <c r="DF2147" i="1"/>
  <c r="DF2148" i="1"/>
  <c r="DF1704" i="1"/>
  <c r="DF2070" i="1"/>
  <c r="DF2078" i="1"/>
  <c r="DF2081" i="1"/>
  <c r="DF2084" i="1"/>
  <c r="DF2150" i="1"/>
  <c r="DF2151" i="1"/>
  <c r="DF2154" i="1"/>
  <c r="DF2156" i="1"/>
  <c r="DF1701" i="1"/>
  <c r="DF1705" i="1"/>
  <c r="DF2074" i="1"/>
  <c r="DF2079" i="1"/>
  <c r="DF2082" i="1"/>
  <c r="DF2085" i="1"/>
  <c r="DF2152" i="1"/>
  <c r="DF2155" i="1"/>
  <c r="DF2157" i="1"/>
  <c r="DF2158" i="1"/>
  <c r="DF1733" i="1"/>
  <c r="DF1739" i="1"/>
  <c r="DF1976" i="1"/>
  <c r="DF1982" i="1"/>
  <c r="DF2092" i="1"/>
  <c r="DF2100" i="1"/>
  <c r="DF2163" i="1"/>
  <c r="DF2167" i="1"/>
  <c r="DF2168" i="1"/>
  <c r="DF2172" i="1"/>
  <c r="DF2180" i="1"/>
  <c r="DF1715" i="1"/>
  <c r="DF1734" i="1"/>
  <c r="DF1756" i="1"/>
  <c r="DF1767" i="1"/>
  <c r="DF2107" i="1"/>
  <c r="DF2162" i="1"/>
  <c r="DF2164" i="1"/>
  <c r="DF2169" i="1"/>
  <c r="DF2181" i="1"/>
  <c r="DF2185" i="1"/>
  <c r="DF2186" i="1"/>
  <c r="DF1778" i="1"/>
  <c r="DF2005" i="1"/>
  <c r="DF1779" i="1"/>
  <c r="DF1808" i="1"/>
  <c r="DF1835" i="1"/>
  <c r="DF2006" i="1"/>
  <c r="DF2124" i="1"/>
  <c r="DF2135" i="1"/>
  <c r="DF2193" i="1"/>
  <c r="DF1884" i="1"/>
  <c r="DF1900" i="1"/>
  <c r="DF1913" i="1"/>
  <c r="DF1931" i="1"/>
  <c r="DF1969" i="1"/>
  <c r="DF2012" i="1"/>
  <c r="DF2043" i="1"/>
  <c r="DF2054" i="1"/>
  <c r="DF2065" i="1"/>
  <c r="DF2140" i="1"/>
  <c r="DF2144" i="1"/>
  <c r="DF2149" i="1"/>
  <c r="DF2197" i="1"/>
  <c r="DF2204" i="1"/>
  <c r="DF2219" i="1"/>
  <c r="DF2220" i="1"/>
  <c r="DF2221" i="1"/>
  <c r="DF2050" i="1"/>
  <c r="DF1885" i="1"/>
  <c r="DF1892" i="1"/>
  <c r="DF1901" i="1"/>
  <c r="DF1914" i="1"/>
  <c r="DF1932" i="1"/>
  <c r="DF1943" i="1"/>
  <c r="DF1970" i="1"/>
  <c r="DF2013" i="1"/>
  <c r="DF2018" i="1"/>
  <c r="DF2055" i="1"/>
  <c r="DF2063" i="1"/>
  <c r="DF2066" i="1"/>
  <c r="DF2141" i="1"/>
  <c r="DF2198" i="1"/>
  <c r="DF2201" i="1"/>
  <c r="DF2205" i="1"/>
  <c r="DF2211" i="1"/>
  <c r="DF2218" i="1"/>
  <c r="DF2222" i="1"/>
  <c r="DF2223" i="1"/>
  <c r="DF2226" i="1"/>
  <c r="DF2230" i="1"/>
  <c r="DF2231" i="1"/>
  <c r="DF2086" i="1"/>
  <c r="DF2159" i="1"/>
  <c r="DF2072" i="1"/>
  <c r="DF2087" i="1"/>
  <c r="DF2089" i="1"/>
  <c r="DF2153" i="1"/>
  <c r="DF2160" i="1"/>
  <c r="DF2161" i="1"/>
  <c r="DF2234" i="1"/>
  <c r="DF2235" i="1"/>
  <c r="DF2236" i="1"/>
  <c r="DF1716" i="1"/>
  <c r="DF1740" i="1"/>
  <c r="DF1768" i="1"/>
  <c r="DF1977" i="1"/>
  <c r="DF2098" i="1"/>
  <c r="DF2101" i="1"/>
  <c r="DF2108" i="1"/>
  <c r="DF2165" i="1"/>
  <c r="DF2170" i="1"/>
  <c r="DF2177" i="1"/>
  <c r="DF2187" i="1"/>
  <c r="DF2188" i="1"/>
  <c r="DF2237" i="1"/>
  <c r="DF2239" i="1"/>
  <c r="DF1717" i="1"/>
  <c r="DF1741" i="1"/>
  <c r="DF1757" i="1"/>
  <c r="DF1764" i="1"/>
  <c r="DF1769" i="1"/>
  <c r="DF1978" i="1"/>
  <c r="DF2093" i="1"/>
  <c r="DF2099" i="1"/>
  <c r="DF2102" i="1"/>
  <c r="DF2109" i="1"/>
  <c r="DF2166" i="1"/>
  <c r="DF2171" i="1"/>
  <c r="DF2178" i="1"/>
  <c r="DF2179" i="1"/>
  <c r="DF2182" i="1"/>
  <c r="DF2238" i="1"/>
  <c r="DF2240" i="1"/>
  <c r="DF2242" i="1"/>
  <c r="DF2243" i="1"/>
  <c r="DF2244" i="1"/>
  <c r="DF1823" i="1"/>
  <c r="DF1836" i="1"/>
  <c r="DF1851" i="1"/>
  <c r="DF1867" i="1"/>
  <c r="DF1873" i="1"/>
  <c r="DF2000" i="1"/>
  <c r="DF2133" i="1"/>
  <c r="DF2194" i="1"/>
  <c r="DF2245" i="1"/>
  <c r="DF2254" i="1"/>
  <c r="DF2256" i="1"/>
  <c r="DF1824" i="1"/>
  <c r="DF1848" i="1"/>
  <c r="DF1852" i="1"/>
  <c r="DF1868" i="1"/>
  <c r="DF1874" i="1"/>
  <c r="DF2001" i="1"/>
  <c r="DF2246" i="1"/>
  <c r="DF2257" i="1"/>
  <c r="DF2259" i="1"/>
  <c r="DF2260" i="1"/>
  <c r="DF2262" i="1"/>
  <c r="DF2264" i="1"/>
  <c r="DF1886" i="1"/>
  <c r="DF1893" i="1"/>
  <c r="DF1902" i="1"/>
  <c r="DF1915" i="1"/>
  <c r="DF1933" i="1"/>
  <c r="DF1944" i="1"/>
  <c r="DF1956" i="1"/>
  <c r="DF2014" i="1"/>
  <c r="DF2019" i="1"/>
  <c r="DF2034" i="1"/>
  <c r="DF2044" i="1"/>
  <c r="DF2056" i="1"/>
  <c r="DF2136" i="1"/>
  <c r="DF2142" i="1"/>
  <c r="DF2146" i="1"/>
  <c r="DF2199" i="1"/>
  <c r="DF2202" i="1"/>
  <c r="DF2206" i="1"/>
  <c r="DF2209" i="1"/>
  <c r="DF2224" i="1"/>
  <c r="DF2232" i="1"/>
  <c r="DF2267" i="1"/>
  <c r="DF2271" i="1"/>
  <c r="DF1887" i="1"/>
  <c r="DF1903" i="1"/>
  <c r="DF1916" i="1"/>
  <c r="DF1934" i="1"/>
  <c r="DF1945" i="1"/>
  <c r="DF1957" i="1"/>
  <c r="DF2015" i="1"/>
  <c r="DF2020" i="1"/>
  <c r="DF2035" i="1"/>
  <c r="DF2040" i="1"/>
  <c r="DF2045" i="1"/>
  <c r="DF2053" i="1"/>
  <c r="DF2057" i="1"/>
  <c r="DF2067" i="1"/>
  <c r="DF2137" i="1"/>
  <c r="DF2143" i="1"/>
  <c r="DF2200" i="1"/>
  <c r="DF2203" i="1"/>
  <c r="DF2207" i="1"/>
  <c r="DF2208" i="1"/>
  <c r="DF2210" i="1"/>
  <c r="DF2225" i="1"/>
  <c r="DF2233" i="1"/>
  <c r="DF2272" i="1"/>
  <c r="DF2273" i="1"/>
  <c r="DF1710" i="1"/>
  <c r="DF1742" i="1"/>
  <c r="DF1758" i="1"/>
  <c r="DF1761" i="1"/>
  <c r="DF1765" i="1"/>
  <c r="DF1770" i="1"/>
  <c r="DF1980" i="1"/>
  <c r="DF1983" i="1"/>
  <c r="DF1985" i="1"/>
  <c r="DF2094" i="1"/>
  <c r="DF2103" i="1"/>
  <c r="DF2105" i="1"/>
  <c r="DF2173" i="1"/>
  <c r="DF2175" i="1"/>
  <c r="DF2189" i="1"/>
  <c r="DF2274" i="1"/>
  <c r="DF2276" i="1"/>
  <c r="DF2277" i="1"/>
  <c r="DF2279" i="1"/>
  <c r="DF2280" i="1"/>
  <c r="DF1492" i="1"/>
  <c r="DF1711" i="1"/>
  <c r="DF1743" i="1"/>
  <c r="DF1771" i="1"/>
  <c r="DF1984" i="1"/>
  <c r="DF1986" i="1"/>
  <c r="DF1988" i="1"/>
  <c r="DF1989" i="1"/>
  <c r="DF2095" i="1"/>
  <c r="DF2104" i="1"/>
  <c r="DF2106" i="1"/>
  <c r="DF2174" i="1"/>
  <c r="DF2176" i="1"/>
  <c r="DF2183" i="1"/>
  <c r="DF2184" i="1"/>
  <c r="DF2190" i="1"/>
  <c r="DF2241" i="1"/>
  <c r="DF2275" i="1"/>
  <c r="DF2278" i="1"/>
  <c r="DF2281" i="1"/>
  <c r="DF2282" i="1"/>
  <c r="DF1825" i="1"/>
  <c r="DF1862" i="1"/>
  <c r="DF1869" i="1"/>
  <c r="DF2002" i="1"/>
  <c r="DF2008" i="1"/>
  <c r="DF2119" i="1"/>
  <c r="DF2123" i="1"/>
  <c r="DF2125" i="1"/>
  <c r="DF2126" i="1"/>
  <c r="DF2130" i="1"/>
  <c r="DF2134" i="1"/>
  <c r="DF2191" i="1"/>
  <c r="DF2195" i="1"/>
  <c r="DF2258" i="1"/>
  <c r="DF2261" i="1"/>
  <c r="DF2263" i="1"/>
  <c r="DF2265" i="1"/>
  <c r="DF2283" i="1"/>
  <c r="DF2284" i="1"/>
  <c r="DF1842" i="1"/>
  <c r="DF1863" i="1"/>
  <c r="DF1870" i="1"/>
  <c r="DF1877" i="1"/>
  <c r="DF1996" i="1"/>
  <c r="DF2003" i="1"/>
  <c r="DF2127" i="1"/>
  <c r="DF2131" i="1"/>
  <c r="DF2192" i="1"/>
  <c r="DF2196" i="1"/>
  <c r="DF2255" i="1"/>
  <c r="DF2266" i="1"/>
  <c r="DF2285" i="1"/>
  <c r="DF2286" i="1"/>
  <c r="DF2287" i="1"/>
  <c r="DF2288" i="1"/>
  <c r="DF2549" i="1"/>
  <c r="DF1532" i="1"/>
  <c r="DF1542" i="1"/>
  <c r="DF1551" i="1"/>
  <c r="DF1546" i="1"/>
  <c r="DF1550" i="1"/>
  <c r="DF1533" i="1"/>
  <c r="DF1552" i="1"/>
  <c r="DF1553" i="1"/>
  <c r="DF1543" i="1"/>
  <c r="DF1547" i="1"/>
  <c r="DF1562" i="1"/>
  <c r="DF1569" i="1"/>
  <c r="DF1563" i="1"/>
  <c r="DF1570" i="1"/>
  <c r="DF1518" i="1"/>
  <c r="DF1519" i="1"/>
  <c r="DF1524" i="1"/>
  <c r="DF1526" i="1"/>
  <c r="DF1511" i="1"/>
  <c r="DF2543" i="1"/>
  <c r="DF1572" i="1"/>
  <c r="DF1576" i="1"/>
  <c r="DF1580" i="1"/>
  <c r="DF1583" i="1"/>
  <c r="DF1590" i="1"/>
  <c r="DF2545" i="1"/>
  <c r="DF2550" i="1"/>
  <c r="DF1593" i="1"/>
  <c r="DF1573" i="1"/>
  <c r="DF1577" i="1"/>
  <c r="DF1584" i="1"/>
  <c r="DF1591" i="1"/>
  <c r="DF1594" i="1"/>
  <c r="DF1601" i="1"/>
  <c r="DF2544" i="1"/>
  <c r="DF2546" i="1"/>
  <c r="DF2551" i="1"/>
  <c r="DF1581" i="1"/>
  <c r="DF1534" i="1"/>
  <c r="DF1544" i="1"/>
  <c r="DF1548" i="1"/>
  <c r="DF1554" i="1"/>
  <c r="DF1605" i="1"/>
  <c r="DF1603" i="1"/>
  <c r="DF1535" i="1"/>
  <c r="DF1545" i="1"/>
  <c r="DF1555" i="1"/>
  <c r="DF1606" i="1"/>
  <c r="DF1607" i="1"/>
  <c r="DF1549" i="1"/>
  <c r="DF1604" i="1"/>
  <c r="DF1494" i="1"/>
  <c r="DF1502" i="1"/>
  <c r="DF1612" i="1"/>
  <c r="DF1499" i="1"/>
  <c r="DF1609" i="1"/>
  <c r="DF1610" i="1"/>
  <c r="DF1611" i="1"/>
  <c r="DF1613" i="1"/>
  <c r="DF1616" i="1"/>
  <c r="DF1621" i="1"/>
  <c r="DF1500" i="1"/>
  <c r="DF1503" i="1"/>
  <c r="DF1512" i="1"/>
  <c r="DF1514" i="1"/>
  <c r="DF1525" i="1"/>
  <c r="DF1527" i="1"/>
  <c r="DF1529" i="1"/>
  <c r="DF1629" i="1"/>
  <c r="DF1513" i="1"/>
  <c r="DF1515" i="1"/>
  <c r="DF1520" i="1"/>
  <c r="DF1521" i="1"/>
  <c r="DF1528" i="1"/>
  <c r="DF1530" i="1"/>
  <c r="DF1630" i="1"/>
  <c r="DF1574" i="1"/>
  <c r="DF1582" i="1"/>
  <c r="DF1595" i="1"/>
  <c r="DF1631" i="1"/>
  <c r="DF1634" i="1"/>
  <c r="DF1640" i="1"/>
  <c r="DF1536" i="1"/>
  <c r="DF1556" i="1"/>
  <c r="DF1646" i="1"/>
  <c r="DF1608" i="1"/>
  <c r="DF1648" i="1"/>
  <c r="DF1651" i="1"/>
  <c r="DF1537" i="1"/>
  <c r="DF1557" i="1"/>
  <c r="DF1647" i="1"/>
  <c r="DF1571" i="1"/>
  <c r="DF1504" i="1"/>
  <c r="DF1564" i="1"/>
  <c r="DF1614" i="1"/>
  <c r="DF1617" i="1"/>
  <c r="DF1622" i="1"/>
  <c r="DF1624" i="1"/>
  <c r="DF1656" i="1"/>
  <c r="DF1501" i="1"/>
  <c r="DF1505" i="1"/>
  <c r="DF1531" i="1"/>
  <c r="DF1615" i="1"/>
  <c r="DF1618" i="1"/>
  <c r="DF1623" i="1"/>
  <c r="DF1625" i="1"/>
  <c r="DF1652" i="1"/>
  <c r="DF1657" i="1"/>
  <c r="DF1660" i="1"/>
  <c r="DF1522" i="1"/>
  <c r="DF1659" i="1"/>
  <c r="DF1575" i="1"/>
  <c r="DF1585" i="1"/>
  <c r="DF1592" i="1"/>
  <c r="DF1596" i="1"/>
  <c r="DF1602" i="1"/>
  <c r="DF1632" i="1"/>
  <c r="DF1635" i="1"/>
  <c r="DF1641" i="1"/>
  <c r="DF1642" i="1"/>
  <c r="DF1661" i="1"/>
  <c r="DF1662" i="1"/>
  <c r="DF1538" i="1"/>
  <c r="DF1558" i="1"/>
  <c r="DF1643" i="1"/>
  <c r="DF1649" i="1"/>
  <c r="DF1668" i="1"/>
  <c r="DF1539" i="1"/>
  <c r="DF1644" i="1"/>
  <c r="DF1650" i="1"/>
  <c r="DF1669" i="1"/>
  <c r="DF1495" i="1"/>
  <c r="DF1506" i="1"/>
  <c r="DF1565" i="1"/>
  <c r="DF1619" i="1"/>
  <c r="DF1653" i="1"/>
  <c r="DF1496" i="1"/>
  <c r="DF1566" i="1"/>
  <c r="DF1620" i="1"/>
  <c r="DF1627" i="1"/>
  <c r="DF1654" i="1"/>
  <c r="DF1658" i="1"/>
  <c r="DF1516" i="1"/>
  <c r="DF1517" i="1"/>
  <c r="DF1523" i="1"/>
  <c r="DF1673" i="1"/>
  <c r="DF1674" i="1"/>
  <c r="DF1586" i="1"/>
  <c r="DF1597" i="1"/>
  <c r="DF1636" i="1"/>
  <c r="DF1663" i="1"/>
  <c r="DF1675" i="1"/>
  <c r="DF2547" i="1"/>
  <c r="DF1587" i="1"/>
  <c r="DF1598" i="1"/>
  <c r="DF1637" i="1"/>
  <c r="DF1645" i="1"/>
  <c r="DF1664" i="1"/>
  <c r="DF1676" i="1"/>
  <c r="DF2548" i="1"/>
  <c r="DF1678" i="1"/>
  <c r="DF1680" i="1"/>
  <c r="DF1670" i="1"/>
  <c r="DF1681" i="1"/>
  <c r="DF1682" i="1"/>
  <c r="DF1507" i="1"/>
  <c r="DF1497" i="1"/>
  <c r="DF1626" i="1"/>
  <c r="DF1498" i="1"/>
  <c r="DF1508" i="1"/>
  <c r="DF1567" i="1"/>
  <c r="DF1655" i="1"/>
  <c r="DF1672" i="1"/>
  <c r="DF1683" i="1"/>
  <c r="DF1684" i="1"/>
  <c r="DF1685" i="1"/>
  <c r="DF1599" i="1"/>
  <c r="DF1588" i="1"/>
  <c r="DF1600" i="1"/>
  <c r="DF1540" i="1"/>
  <c r="DF1679" i="1"/>
  <c r="DF1541" i="1"/>
  <c r="DF1559" i="1"/>
  <c r="DF1671" i="1"/>
  <c r="DF1509" i="1"/>
  <c r="DF1568" i="1"/>
  <c r="DF1686" i="1"/>
  <c r="DF1687" i="1"/>
  <c r="DF1665" i="1"/>
  <c r="DF1633" i="1"/>
  <c r="DF1578" i="1"/>
  <c r="DF1589" i="1"/>
  <c r="DF1638" i="1"/>
  <c r="DF1666" i="1"/>
  <c r="DF1560" i="1"/>
  <c r="DF1694" i="1"/>
  <c r="DF1561" i="1"/>
  <c r="DF1695" i="1"/>
  <c r="DF1696" i="1"/>
  <c r="DF1510" i="1"/>
  <c r="DF1628" i="1"/>
  <c r="DF1688" i="1"/>
  <c r="DF1689" i="1"/>
  <c r="DF1579" i="1"/>
  <c r="DF1677" i="1"/>
  <c r="DF1639" i="1"/>
  <c r="DF1667" i="1"/>
  <c r="DF2595" i="1"/>
  <c r="DF2594" i="1"/>
  <c r="DF2579" i="1"/>
  <c r="DF2596" i="1"/>
  <c r="DF2560" i="1"/>
  <c r="DF2559" i="1"/>
  <c r="DF2593" i="1"/>
  <c r="DF2591" i="1"/>
  <c r="DF2592" i="1"/>
  <c r="DF2558" i="1"/>
  <c r="DF2557" i="1"/>
  <c r="DF2568" i="1"/>
  <c r="DF2561" i="1"/>
  <c r="DF2570" i="1"/>
  <c r="DF2565" i="1"/>
  <c r="DF2597" i="1"/>
  <c r="DF2581" i="1"/>
  <c r="DF2567" i="1"/>
  <c r="DF2569" i="1"/>
  <c r="DF2571" i="1"/>
  <c r="DF2566" i="1"/>
  <c r="DF2598" i="1"/>
  <c r="DF2552" i="1"/>
  <c r="DF2580" i="1"/>
  <c r="DF2554" i="1"/>
  <c r="DF2553" i="1"/>
  <c r="DF2582" i="1"/>
  <c r="DF2572" i="1"/>
  <c r="DF2583" i="1"/>
  <c r="DF2576" i="1"/>
  <c r="DF2573" i="1"/>
  <c r="DF2562" i="1"/>
  <c r="DF2574" i="1"/>
  <c r="DF2577" i="1"/>
  <c r="DF2599" i="1"/>
  <c r="DF2588" i="1"/>
  <c r="DF2584" i="1"/>
  <c r="DF2578" i="1"/>
  <c r="DF2585" i="1"/>
  <c r="DF2555" i="1"/>
  <c r="DF2587" i="1"/>
  <c r="DF2575" i="1"/>
  <c r="DF2586" i="1"/>
  <c r="DF2600" i="1"/>
  <c r="DF2589" i="1"/>
  <c r="DF2556" i="1"/>
  <c r="DF2564" i="1"/>
  <c r="DF2563" i="1"/>
  <c r="DF2590" i="1"/>
  <c r="DF1251" i="1"/>
  <c r="BA601" i="1" l="1"/>
  <c r="BB471" i="1"/>
  <c r="BB1263" i="1"/>
  <c r="BB585" i="1"/>
  <c r="BA585" i="1"/>
  <c r="BA1274" i="1"/>
  <c r="BA517" i="1"/>
  <c r="BB1274" i="1"/>
  <c r="AZ1274" i="1" s="1"/>
  <c r="BB517" i="1"/>
  <c r="BN585" i="1"/>
  <c r="BQ585" i="1" s="1"/>
  <c r="BM585" i="1"/>
  <c r="BA471" i="1"/>
  <c r="BB540" i="1"/>
  <c r="AZ540" i="1" s="1"/>
  <c r="BA563" i="1"/>
  <c r="BM1259" i="1"/>
  <c r="BP1259" i="1" s="1"/>
  <c r="BO1259" i="1" s="1"/>
  <c r="BA1259" i="1"/>
  <c r="AX1259" i="1" s="1"/>
  <c r="BN1259" i="1"/>
  <c r="BQ1259" i="1" s="1"/>
  <c r="BN598" i="1"/>
  <c r="BQ598" i="1" s="1"/>
  <c r="BN1297" i="1"/>
  <c r="BQ1297" i="1" s="1"/>
  <c r="BN601" i="1"/>
  <c r="BQ601" i="1" s="1"/>
  <c r="BM1025" i="1"/>
  <c r="BP1025" i="1" s="1"/>
  <c r="BO1025" i="1" s="1"/>
  <c r="BB578" i="1"/>
  <c r="AZ578" i="1" s="1"/>
  <c r="BM361" i="1"/>
  <c r="BL361" i="1" s="1"/>
  <c r="BA1230" i="1"/>
  <c r="BB1282" i="1"/>
  <c r="AZ1282" i="1" s="1"/>
  <c r="BA1313" i="1"/>
  <c r="BB563" i="1"/>
  <c r="AZ563" i="1" s="1"/>
  <c r="BN1186" i="1"/>
  <c r="BQ1186" i="1" s="1"/>
  <c r="BA1267" i="1"/>
  <c r="BN578" i="1"/>
  <c r="BQ578" i="1" s="1"/>
  <c r="BA543" i="1"/>
  <c r="BM1249" i="1"/>
  <c r="BL1249" i="1" s="1"/>
  <c r="BM1323" i="1"/>
  <c r="BP1323" i="1" s="1"/>
  <c r="BO1323" i="1" s="1"/>
  <c r="BB557" i="1"/>
  <c r="BA538" i="1"/>
  <c r="BA506" i="1"/>
  <c r="BA557" i="1"/>
  <c r="BA528" i="1"/>
  <c r="BB1302" i="1"/>
  <c r="AZ1302" i="1" s="1"/>
  <c r="BB543" i="1"/>
  <c r="AZ543" i="1" s="1"/>
  <c r="BB1267" i="1"/>
  <c r="AZ1267" i="1" s="1"/>
  <c r="BN484" i="1"/>
  <c r="BQ484" i="1" s="1"/>
  <c r="BN1264" i="1"/>
  <c r="BQ1264" i="1" s="1"/>
  <c r="BA1306" i="1"/>
  <c r="BN1272" i="1"/>
  <c r="BQ1272" i="1" s="1"/>
  <c r="BA597" i="1"/>
  <c r="BM592" i="1"/>
  <c r="BP592" i="1" s="1"/>
  <c r="BO592" i="1" s="1"/>
  <c r="BM554" i="1"/>
  <c r="BP554" i="1" s="1"/>
  <c r="BO554" i="1" s="1"/>
  <c r="BB506" i="1"/>
  <c r="AZ506" i="1" s="1"/>
  <c r="BN557" i="1"/>
  <c r="BQ557" i="1" s="1"/>
  <c r="BM1312" i="1"/>
  <c r="BP1312" i="1" s="1"/>
  <c r="BO1312" i="1" s="1"/>
  <c r="BB601" i="1"/>
  <c r="BM580" i="1"/>
  <c r="BP580" i="1" s="1"/>
  <c r="BO580" i="1" s="1"/>
  <c r="BA598" i="1"/>
  <c r="BN1025" i="1"/>
  <c r="BQ1025" i="1" s="1"/>
  <c r="BB507" i="1"/>
  <c r="AZ507" i="1" s="1"/>
  <c r="BA1282" i="1"/>
  <c r="BB1305" i="1"/>
  <c r="AZ1305" i="1" s="1"/>
  <c r="BB1195" i="1"/>
  <c r="AZ1195" i="1" s="1"/>
  <c r="BM506" i="1"/>
  <c r="BL506" i="1" s="1"/>
  <c r="BN538" i="1"/>
  <c r="BQ538" i="1" s="1"/>
  <c r="BB1269" i="1"/>
  <c r="BB1266" i="1"/>
  <c r="AZ1266" i="1" s="1"/>
  <c r="BA1298" i="1"/>
  <c r="BB546" i="1"/>
  <c r="AZ546" i="1" s="1"/>
  <c r="BB1272" i="1"/>
  <c r="AZ1272" i="1" s="1"/>
  <c r="BA1269" i="1"/>
  <c r="BA546" i="1"/>
  <c r="BA509" i="1"/>
  <c r="BB572" i="1"/>
  <c r="AZ572" i="1" s="1"/>
  <c r="BA484" i="1"/>
  <c r="BB473" i="1"/>
  <c r="AZ473" i="1" s="1"/>
  <c r="BB551" i="1"/>
  <c r="AZ551" i="1" s="1"/>
  <c r="BL1320" i="1"/>
  <c r="BP1320" i="1"/>
  <c r="BO1320" i="1" s="1"/>
  <c r="BN547" i="1"/>
  <c r="BQ547" i="1" s="1"/>
  <c r="BN507" i="1"/>
  <c r="BQ507" i="1" s="1"/>
  <c r="AZ471" i="1"/>
  <c r="BA1312" i="1"/>
  <c r="BB508" i="1"/>
  <c r="BM575" i="1"/>
  <c r="BM543" i="1"/>
  <c r="BM540" i="1"/>
  <c r="BM1266" i="1"/>
  <c r="BN592" i="1"/>
  <c r="BQ592" i="1" s="1"/>
  <c r="BN572" i="1"/>
  <c r="BQ572" i="1" s="1"/>
  <c r="BB1313" i="1"/>
  <c r="BM1337" i="1"/>
  <c r="BM1267" i="1"/>
  <c r="BA473" i="1"/>
  <c r="BN540" i="1"/>
  <c r="BQ540" i="1" s="1"/>
  <c r="BB1230" i="1"/>
  <c r="BM511" i="1"/>
  <c r="BA1266" i="1"/>
  <c r="BN532" i="1"/>
  <c r="BQ532" i="1" s="1"/>
  <c r="BN1288" i="1"/>
  <c r="BQ1288" i="1" s="1"/>
  <c r="BB523" i="1"/>
  <c r="BM1274" i="1"/>
  <c r="BA554" i="1"/>
  <c r="BM610" i="1"/>
  <c r="BN472" i="1"/>
  <c r="BQ472" i="1" s="1"/>
  <c r="BA1337" i="1"/>
  <c r="BB1259" i="1"/>
  <c r="BB1312" i="1"/>
  <c r="BM1252" i="1"/>
  <c r="BM1273" i="1"/>
  <c r="BN528" i="1"/>
  <c r="BQ528" i="1" s="1"/>
  <c r="BM1269" i="1"/>
  <c r="BM1298" i="1"/>
  <c r="BB532" i="1"/>
  <c r="BM508" i="1"/>
  <c r="BB1249" i="1"/>
  <c r="BM1297" i="1"/>
  <c r="BA508" i="1"/>
  <c r="BM1195" i="1"/>
  <c r="BA1272" i="1"/>
  <c r="BN1263" i="1"/>
  <c r="BQ1263" i="1" s="1"/>
  <c r="BN546" i="1"/>
  <c r="BQ546" i="1" s="1"/>
  <c r="BN564" i="1"/>
  <c r="BQ564" i="1" s="1"/>
  <c r="BM509" i="1"/>
  <c r="BN537" i="1"/>
  <c r="BQ537" i="1" s="1"/>
  <c r="BM1263" i="1"/>
  <c r="BA361" i="1"/>
  <c r="BB537" i="1"/>
  <c r="BN543" i="1"/>
  <c r="BQ543" i="1" s="1"/>
  <c r="BA540" i="1"/>
  <c r="BA1252" i="1"/>
  <c r="BA1250" i="1"/>
  <c r="BN1313" i="1"/>
  <c r="BQ1313" i="1" s="1"/>
  <c r="BB1025" i="1"/>
  <c r="BM1305" i="1"/>
  <c r="BM601" i="1"/>
  <c r="BM581" i="1"/>
  <c r="BN527" i="1"/>
  <c r="BQ527" i="1" s="1"/>
  <c r="BM537" i="1"/>
  <c r="BN1267" i="1"/>
  <c r="BQ1267" i="1" s="1"/>
  <c r="BB538" i="1"/>
  <c r="BM547" i="1"/>
  <c r="BM1288" i="1"/>
  <c r="BN1274" i="1"/>
  <c r="BQ1274" i="1" s="1"/>
  <c r="BM564" i="1"/>
  <c r="BB554" i="1"/>
  <c r="BM472" i="1"/>
  <c r="BM607" i="1"/>
  <c r="BN1195" i="1"/>
  <c r="BQ1195" i="1" s="1"/>
  <c r="BM532" i="1"/>
  <c r="BN1273" i="1"/>
  <c r="BQ1273" i="1" s="1"/>
  <c r="BA532" i="1"/>
  <c r="BA1249" i="1"/>
  <c r="BB575" i="1"/>
  <c r="BN1312" i="1"/>
  <c r="BQ1312" i="1" s="1"/>
  <c r="BN1337" i="1"/>
  <c r="BQ1337" i="1" s="1"/>
  <c r="BB1306" i="1"/>
  <c r="BM1272" i="1"/>
  <c r="BA581" i="1"/>
  <c r="BB361" i="1"/>
  <c r="BA537" i="1"/>
  <c r="BB1252" i="1"/>
  <c r="BB1250" i="1"/>
  <c r="BM1313" i="1"/>
  <c r="BA1025" i="1"/>
  <c r="BN581" i="1"/>
  <c r="BQ581" i="1" s="1"/>
  <c r="BM527" i="1"/>
  <c r="BN473" i="1"/>
  <c r="BQ473" i="1" s="1"/>
  <c r="BM572" i="1"/>
  <c r="BN1302" i="1"/>
  <c r="BQ1302" i="1" s="1"/>
  <c r="BN1309" i="1"/>
  <c r="BQ1309" i="1" s="1"/>
  <c r="BM1302" i="1"/>
  <c r="BB1297" i="1"/>
  <c r="BB1278" i="1"/>
  <c r="BA472" i="1"/>
  <c r="BM1306" i="1"/>
  <c r="BB1309" i="1"/>
  <c r="BN511" i="1"/>
  <c r="BQ511" i="1" s="1"/>
  <c r="BB1337" i="1"/>
  <c r="BN1269" i="1"/>
  <c r="BQ1269" i="1" s="1"/>
  <c r="BB592" i="1"/>
  <c r="BN1278" i="1"/>
  <c r="BQ1278" i="1" s="1"/>
  <c r="BM597" i="1"/>
  <c r="BB509" i="1"/>
  <c r="BN610" i="1"/>
  <c r="BQ610" i="1" s="1"/>
  <c r="BM551" i="1"/>
  <c r="BA575" i="1"/>
  <c r="AZ1288" i="1"/>
  <c r="AZ517" i="1"/>
  <c r="BM471" i="1"/>
  <c r="BM1230" i="1"/>
  <c r="BN1266" i="1"/>
  <c r="BQ1266" i="1" s="1"/>
  <c r="BN523" i="1"/>
  <c r="BQ523" i="1" s="1"/>
  <c r="BB564" i="1"/>
  <c r="BM528" i="1"/>
  <c r="AX528" i="1" s="1"/>
  <c r="BM1309" i="1"/>
  <c r="BA1297" i="1"/>
  <c r="BA1278" i="1"/>
  <c r="BB472" i="1"/>
  <c r="BA1309" i="1"/>
  <c r="BA592" i="1"/>
  <c r="BM1278" i="1"/>
  <c r="BA511" i="1"/>
  <c r="BN597" i="1"/>
  <c r="BQ597" i="1" s="1"/>
  <c r="BN551" i="1"/>
  <c r="BQ551" i="1" s="1"/>
  <c r="BA1263" i="1"/>
  <c r="BB1323" i="1"/>
  <c r="BA507" i="1"/>
  <c r="BN1305" i="1"/>
  <c r="BQ1305" i="1" s="1"/>
  <c r="BM563" i="1"/>
  <c r="BL563" i="1" s="1"/>
  <c r="BN361" i="1"/>
  <c r="BQ361" i="1" s="1"/>
  <c r="BM598" i="1"/>
  <c r="BB1265" i="1"/>
  <c r="BN506" i="1"/>
  <c r="BQ506" i="1" s="1"/>
  <c r="BN1230" i="1"/>
  <c r="BQ1230" i="1" s="1"/>
  <c r="AZ1263" i="1"/>
  <c r="BM523" i="1"/>
  <c r="BA564" i="1"/>
  <c r="BM1265" i="1"/>
  <c r="BN1298" i="1"/>
  <c r="BQ1298" i="1" s="1"/>
  <c r="BB511" i="1"/>
  <c r="BN575" i="1"/>
  <c r="BQ575" i="1" s="1"/>
  <c r="BA527" i="1"/>
  <c r="BB607" i="1"/>
  <c r="AZ607" i="1" s="1"/>
  <c r="BM1186" i="1"/>
  <c r="BA551" i="1"/>
  <c r="BN517" i="1"/>
  <c r="BQ517" i="1" s="1"/>
  <c r="BB484" i="1"/>
  <c r="BA1273" i="1"/>
  <c r="BN1323" i="1"/>
  <c r="BQ1323" i="1" s="1"/>
  <c r="BB1264" i="1"/>
  <c r="BN1306" i="1"/>
  <c r="BQ1306" i="1" s="1"/>
  <c r="BN607" i="1"/>
  <c r="BQ607" i="1" s="1"/>
  <c r="BN1282" i="1"/>
  <c r="BQ1282" i="1" s="1"/>
  <c r="BM557" i="1"/>
  <c r="BB1284" i="1"/>
  <c r="BM538" i="1"/>
  <c r="BA580" i="1"/>
  <c r="BA1323" i="1"/>
  <c r="BN563" i="1"/>
  <c r="BQ563" i="1" s="1"/>
  <c r="BA1265" i="1"/>
  <c r="BN1250" i="1"/>
  <c r="BQ1250" i="1" s="1"/>
  <c r="BA1186" i="1"/>
  <c r="BM517" i="1"/>
  <c r="BB547" i="1"/>
  <c r="BM1284" i="1"/>
  <c r="BA1195" i="1"/>
  <c r="BM484" i="1"/>
  <c r="BB597" i="1"/>
  <c r="BB610" i="1"/>
  <c r="BN1265" i="1"/>
  <c r="BQ1265" i="1" s="1"/>
  <c r="BB527" i="1"/>
  <c r="BA607" i="1"/>
  <c r="BM1282" i="1"/>
  <c r="BB1273" i="1"/>
  <c r="BA1264" i="1"/>
  <c r="BA1288" i="1"/>
  <c r="BA523" i="1"/>
  <c r="BB580" i="1"/>
  <c r="BM1264" i="1"/>
  <c r="BA1305" i="1"/>
  <c r="BB1298" i="1"/>
  <c r="BA572" i="1"/>
  <c r="BM1250" i="1"/>
  <c r="BA547" i="1"/>
  <c r="BN1284" i="1"/>
  <c r="BQ1284" i="1" s="1"/>
  <c r="BB1186" i="1"/>
  <c r="BN471" i="1"/>
  <c r="BQ471" i="1" s="1"/>
  <c r="BB581" i="1"/>
  <c r="BM578" i="1"/>
  <c r="BN580" i="1"/>
  <c r="BQ580" i="1" s="1"/>
  <c r="BN508" i="1"/>
  <c r="BQ508" i="1" s="1"/>
  <c r="BA1284" i="1"/>
  <c r="BB598" i="1"/>
  <c r="BM507" i="1"/>
  <c r="BM546" i="1"/>
  <c r="BN554" i="1"/>
  <c r="BQ554" i="1" s="1"/>
  <c r="BA610" i="1"/>
  <c r="BN1249" i="1"/>
  <c r="BQ1249" i="1" s="1"/>
  <c r="BM473" i="1"/>
  <c r="BN1252" i="1"/>
  <c r="BQ1252" i="1" s="1"/>
  <c r="BB528" i="1"/>
  <c r="BA1302" i="1"/>
  <c r="AX1320" i="1"/>
  <c r="BA578" i="1"/>
  <c r="BN509" i="1"/>
  <c r="BQ509" i="1" s="1"/>
  <c r="BN1320" i="1"/>
  <c r="BQ1320" i="1" s="1"/>
  <c r="BB1320" i="1"/>
  <c r="BA368" i="1"/>
  <c r="BM368" i="1"/>
  <c r="AP532" i="1"/>
  <c r="AP1265" i="1"/>
  <c r="AP537" i="1"/>
  <c r="AP543" i="1"/>
  <c r="AP551" i="1"/>
  <c r="AP1279" i="1"/>
  <c r="AP1272" i="1"/>
  <c r="AP1273" i="1"/>
  <c r="AP555" i="1"/>
  <c r="AP557" i="1"/>
  <c r="AP1282" i="1"/>
  <c r="AP564" i="1"/>
  <c r="AP1230" i="1"/>
  <c r="AP556" i="1"/>
  <c r="AP1195" i="1"/>
  <c r="AP572" i="1"/>
  <c r="AP1298" i="1"/>
  <c r="AP579" i="1"/>
  <c r="AP1331" i="1"/>
  <c r="AP1253" i="1"/>
  <c r="AP473" i="1"/>
  <c r="AP580" i="1"/>
  <c r="AP616" i="1"/>
  <c r="AP1313" i="1"/>
  <c r="AP585" i="1"/>
  <c r="AP1268" i="1"/>
  <c r="AP591" i="1"/>
  <c r="AP1315" i="1"/>
  <c r="AP596" i="1"/>
  <c r="AP1087" i="1"/>
  <c r="AP1323" i="1"/>
  <c r="AP1271" i="1"/>
  <c r="AP552" i="1"/>
  <c r="AP544" i="1"/>
  <c r="AP592" i="1"/>
  <c r="AP1274" i="1"/>
  <c r="AP547" i="1"/>
  <c r="AP558" i="1"/>
  <c r="AP565" i="1"/>
  <c r="AP1285" i="1"/>
  <c r="AP1231" i="1"/>
  <c r="AP1441" i="1"/>
  <c r="AP601" i="1"/>
  <c r="AP1293" i="1"/>
  <c r="AP1283" i="1"/>
  <c r="AP1343" i="1"/>
  <c r="AP1347" i="1"/>
  <c r="AP1254" i="1"/>
  <c r="AP1310" i="1"/>
  <c r="AP519" i="1"/>
  <c r="AP627" i="1"/>
  <c r="AP617" i="1"/>
  <c r="AP611" i="1"/>
  <c r="AP474" i="1"/>
  <c r="AP1332" i="1"/>
  <c r="AP1349" i="1"/>
  <c r="AP628" i="1"/>
  <c r="AP632" i="1"/>
  <c r="AP1336" i="1"/>
  <c r="AP582" i="1"/>
  <c r="AP1353" i="1"/>
  <c r="AP636" i="1"/>
  <c r="AP639" i="1"/>
  <c r="AP485" i="1"/>
  <c r="AP1261" i="1"/>
  <c r="AP513" i="1"/>
  <c r="AP1088" i="1"/>
  <c r="AP728" i="1"/>
  <c r="AP640" i="1"/>
  <c r="AP644" i="1"/>
  <c r="AP1368" i="1"/>
  <c r="AP1321" i="1"/>
  <c r="AP641" i="1"/>
  <c r="AP534" i="1"/>
  <c r="AP539" i="1"/>
  <c r="AP1373" i="1"/>
  <c r="AP1369" i="1"/>
  <c r="AP541" i="1"/>
  <c r="AP652" i="1"/>
  <c r="AP1378" i="1"/>
  <c r="AP1324" i="1"/>
  <c r="AP655" i="1"/>
  <c r="AP545" i="1"/>
  <c r="AP1377" i="1"/>
  <c r="AP593" i="1"/>
  <c r="AP653" i="1"/>
  <c r="AP1275" i="1"/>
  <c r="AP599" i="1"/>
  <c r="AP1381" i="1"/>
  <c r="AP1326" i="1"/>
  <c r="AP1379" i="1"/>
  <c r="AP548" i="1"/>
  <c r="AP1384" i="1"/>
  <c r="AP662" i="1"/>
  <c r="AP1304" i="1"/>
  <c r="AP665" i="1"/>
  <c r="AP663" i="1"/>
  <c r="AP1386" i="1"/>
  <c r="AP1344" i="1"/>
  <c r="AP559" i="1"/>
  <c r="AP1286" i="1"/>
  <c r="AP1330" i="1"/>
  <c r="AP1385" i="1"/>
  <c r="AP1442" i="1"/>
  <c r="AP603" i="1"/>
  <c r="AP622" i="1"/>
  <c r="AP1294" i="1"/>
  <c r="AP1232" i="1"/>
  <c r="AP566" i="1"/>
  <c r="AP664" i="1"/>
  <c r="AP1307" i="1"/>
  <c r="AP671" i="1"/>
  <c r="AP733" i="1"/>
  <c r="AP577" i="1"/>
  <c r="AP669" i="1"/>
  <c r="AP1345" i="1"/>
  <c r="AP475" i="1"/>
  <c r="AP1255" i="1"/>
  <c r="AP1348" i="1"/>
  <c r="AP520" i="1"/>
  <c r="AP1354" i="1"/>
  <c r="AP1392" i="1"/>
  <c r="AP1333" i="1"/>
  <c r="AP608" i="1"/>
  <c r="AP612" i="1"/>
  <c r="AP618" i="1"/>
  <c r="AP1391" i="1"/>
  <c r="AP633" i="1"/>
  <c r="AP1311" i="1"/>
  <c r="AP637" i="1"/>
  <c r="AP1394" i="1"/>
  <c r="AP675" i="1"/>
  <c r="AP514" i="1"/>
  <c r="AP676" i="1"/>
  <c r="AP1350" i="1"/>
  <c r="AP1397" i="1"/>
  <c r="AP1370" i="1"/>
  <c r="AP682" i="1"/>
  <c r="AP1322" i="1"/>
  <c r="AP680" i="1"/>
  <c r="AP729" i="1"/>
  <c r="AP1403" i="1"/>
  <c r="AP1402" i="1"/>
  <c r="AP642" i="1"/>
  <c r="AP1401" i="1"/>
  <c r="AP685" i="1"/>
  <c r="AP1406" i="1"/>
  <c r="AP588" i="1"/>
  <c r="AP1089" i="1"/>
  <c r="AP1317" i="1"/>
  <c r="AP645" i="1"/>
  <c r="AP732" i="1"/>
  <c r="AP613" i="1"/>
  <c r="AP1408" i="1"/>
  <c r="AP688" i="1"/>
  <c r="AP1410" i="1"/>
  <c r="AP693" i="1"/>
  <c r="AP1382" i="1"/>
  <c r="AP348" i="1"/>
  <c r="AP1276" i="1"/>
  <c r="AP553" i="1"/>
  <c r="AP654" i="1"/>
  <c r="AP694" i="1"/>
  <c r="AP1380" i="1"/>
  <c r="AP623" i="1"/>
  <c r="AP699" i="1"/>
  <c r="AP1415" i="1"/>
  <c r="AP672" i="1"/>
  <c r="AP1419" i="1"/>
  <c r="AP704" i="1"/>
  <c r="AP666" i="1"/>
  <c r="AP1390" i="1"/>
  <c r="AP707" i="1"/>
  <c r="AP525" i="1"/>
  <c r="AP1395" i="1"/>
  <c r="AP1424" i="1"/>
  <c r="AP630" i="1"/>
  <c r="AP1351" i="1"/>
  <c r="AP686" i="1"/>
  <c r="AP1409" i="1"/>
  <c r="AP1411" i="1"/>
  <c r="AP1413" i="1"/>
  <c r="AP1277" i="1"/>
  <c r="AP1430" i="1"/>
  <c r="AP692" i="1"/>
  <c r="AP1309" i="1"/>
  <c r="AP1297" i="1"/>
  <c r="AP1299" i="1"/>
  <c r="AP1393" i="1"/>
  <c r="AP1358" i="1"/>
  <c r="AP511" i="1"/>
  <c r="AP1400" i="1"/>
  <c r="AP1303" i="1"/>
  <c r="AP471" i="1"/>
  <c r="AP1320" i="1"/>
  <c r="AP472" i="1"/>
  <c r="AP1371" i="1"/>
  <c r="AP510" i="1"/>
  <c r="AP1412" i="1"/>
  <c r="AP1290" i="1"/>
  <c r="AP1289" i="1"/>
  <c r="AP569" i="1"/>
  <c r="AP1329" i="1"/>
  <c r="AP629" i="1"/>
  <c r="AP583" i="1"/>
  <c r="AP689" i="1"/>
  <c r="AP659" i="1"/>
  <c r="AP560" i="1"/>
  <c r="AP1287" i="1"/>
  <c r="AP696" i="1"/>
  <c r="AP567" i="1"/>
  <c r="AP1295" i="1"/>
  <c r="AP703" i="1"/>
  <c r="AP700" i="1"/>
  <c r="AP568" i="1"/>
  <c r="AP670" i="1"/>
  <c r="AP1387" i="1"/>
  <c r="AP570" i="1"/>
  <c r="AP614" i="1"/>
  <c r="AP1398" i="1"/>
  <c r="AP1355" i="1"/>
  <c r="AP584" i="1"/>
  <c r="AP515" i="1"/>
  <c r="AP1256" i="1"/>
  <c r="AP1359" i="1"/>
  <c r="AP1190" i="1"/>
  <c r="AP1340" i="1"/>
  <c r="AP476" i="1"/>
  <c r="AP609" i="1"/>
  <c r="AP1423" i="1"/>
  <c r="AP708" i="1"/>
  <c r="AP619" i="1"/>
  <c r="AP1102" i="1"/>
  <c r="AP643" i="1"/>
  <c r="AP1404" i="1"/>
  <c r="AP1407" i="1"/>
  <c r="AP681" i="1"/>
  <c r="AP1374" i="1"/>
  <c r="AP649" i="1"/>
  <c r="AP1363" i="1"/>
  <c r="AP589" i="1"/>
  <c r="AP714" i="1"/>
  <c r="AP712" i="1"/>
  <c r="AP1327" i="1"/>
  <c r="AP349" i="1"/>
  <c r="AP550" i="1"/>
  <c r="AP697" i="1"/>
  <c r="AP1418" i="1"/>
  <c r="AP1388" i="1"/>
  <c r="AP561" i="1"/>
  <c r="AP1422" i="1"/>
  <c r="AP1198" i="1"/>
  <c r="AP1445" i="1"/>
  <c r="AP667" i="1"/>
  <c r="AP1346" i="1"/>
  <c r="AP573" i="1"/>
  <c r="AP624" i="1"/>
  <c r="AP1416" i="1"/>
  <c r="AP705" i="1"/>
  <c r="AP673" i="1"/>
  <c r="AP1291" i="1"/>
  <c r="AP1420" i="1"/>
  <c r="AP1186" i="1"/>
  <c r="AP506" i="1"/>
  <c r="AP508" i="1"/>
  <c r="AP1250" i="1"/>
  <c r="AP1249" i="1"/>
  <c r="AP1252" i="1"/>
  <c r="AP1260" i="1"/>
  <c r="AP523" i="1"/>
  <c r="AP484" i="1"/>
  <c r="AP1025" i="1"/>
  <c r="AP528" i="1"/>
  <c r="AP1266" i="1"/>
  <c r="AP1269" i="1"/>
  <c r="AP540" i="1"/>
  <c r="AP1267" i="1"/>
  <c r="AP361" i="1"/>
  <c r="AP546" i="1"/>
  <c r="AP1270" i="1"/>
  <c r="AP1284" i="1"/>
  <c r="AP1292" i="1"/>
  <c r="AP563" i="1"/>
  <c r="AP1288" i="1"/>
  <c r="AP575" i="1"/>
  <c r="AP1302" i="1"/>
  <c r="AP1187" i="1"/>
  <c r="AP610" i="1"/>
  <c r="AP1312" i="1"/>
  <c r="AP581" i="1"/>
  <c r="AP524" i="1"/>
  <c r="AP586" i="1"/>
  <c r="AP1314" i="1"/>
  <c r="AP538" i="1"/>
  <c r="AP1325" i="1"/>
  <c r="AP602" i="1"/>
  <c r="AP626" i="1"/>
  <c r="AP1188" i="1"/>
  <c r="AP1338" i="1"/>
  <c r="AP1357" i="1"/>
  <c r="AP1362" i="1"/>
  <c r="AP529" i="1"/>
  <c r="AP647" i="1"/>
  <c r="AP658" i="1"/>
  <c r="AP347" i="1"/>
  <c r="AP661" i="1"/>
  <c r="AP1389" i="1"/>
  <c r="AP1339" i="1"/>
  <c r="AP1365" i="1"/>
  <c r="AP594" i="1"/>
  <c r="AP1444" i="1"/>
  <c r="AP549" i="1"/>
  <c r="AP656" i="1"/>
  <c r="AP600" i="1"/>
  <c r="AP1414" i="1"/>
  <c r="AP1417" i="1"/>
  <c r="AP1300" i="1"/>
  <c r="AP716" i="1"/>
  <c r="AP1328" i="1"/>
  <c r="AP597" i="1"/>
  <c r="AP517" i="1"/>
  <c r="AP677" i="1"/>
  <c r="AP587" i="1"/>
  <c r="AP1367" i="1"/>
  <c r="AP1316" i="1"/>
  <c r="AP648" i="1"/>
  <c r="AP691" i="1"/>
  <c r="AP1197" i="1"/>
  <c r="AP1443" i="1"/>
  <c r="AP604" i="1"/>
  <c r="AP1421" i="1"/>
  <c r="AP1446" i="1"/>
  <c r="AP1334" i="1"/>
  <c r="AP521" i="1"/>
  <c r="AP1425" i="1"/>
  <c r="AP1318" i="1"/>
  <c r="AP530" i="1"/>
  <c r="AP1366" i="1"/>
  <c r="AP678" i="1"/>
  <c r="AP1428" i="1"/>
  <c r="AP531" i="1"/>
  <c r="AP595" i="1"/>
  <c r="AP660" i="1"/>
  <c r="AP695" i="1"/>
  <c r="AP605" i="1"/>
  <c r="AP718" i="1"/>
  <c r="AP1432" i="1"/>
  <c r="AP1264" i="1"/>
  <c r="AP542" i="1"/>
  <c r="AP554" i="1"/>
  <c r="AP1278" i="1"/>
  <c r="AP1280" i="1"/>
  <c r="AP533" i="1"/>
  <c r="AP1281" i="1"/>
  <c r="AP598" i="1"/>
  <c r="AP1306" i="1"/>
  <c r="AP576" i="1"/>
  <c r="AP1360" i="1"/>
  <c r="AP1364" i="1"/>
  <c r="AP651" i="1"/>
  <c r="AP1376" i="1"/>
  <c r="AP1196" i="1"/>
  <c r="AP1189" i="1"/>
  <c r="AP1361" i="1"/>
  <c r="AP1101" i="1"/>
  <c r="AP607" i="1"/>
  <c r="AP1383" i="1"/>
  <c r="AP657" i="1"/>
  <c r="AP578" i="1"/>
  <c r="AP1305" i="1"/>
  <c r="AP1337" i="1"/>
  <c r="AP1342" i="1"/>
  <c r="AP621" i="1"/>
  <c r="AP1426" i="1"/>
  <c r="AP634" i="1"/>
  <c r="AP683" i="1"/>
  <c r="AP730" i="1"/>
  <c r="AP535" i="1"/>
  <c r="AP717" i="1"/>
  <c r="AP701" i="1"/>
  <c r="AP710" i="1"/>
  <c r="AP711" i="1"/>
  <c r="AP1431" i="1"/>
  <c r="AO507" i="1"/>
  <c r="AO509" i="1"/>
  <c r="AO518" i="1"/>
  <c r="AO1258" i="1"/>
  <c r="AO1259" i="1"/>
  <c r="AO1263" i="1"/>
  <c r="AO527" i="1"/>
  <c r="AO532" i="1"/>
  <c r="AO1265" i="1"/>
  <c r="AO537" i="1"/>
  <c r="AO543" i="1"/>
  <c r="AO551" i="1"/>
  <c r="AO1279" i="1"/>
  <c r="AO1272" i="1"/>
  <c r="AO1273" i="1"/>
  <c r="AO555" i="1"/>
  <c r="AO557" i="1"/>
  <c r="AO1282" i="1"/>
  <c r="AO564" i="1"/>
  <c r="AO1230" i="1"/>
  <c r="AO556" i="1"/>
  <c r="AO1195" i="1"/>
  <c r="AO572" i="1"/>
  <c r="AO1298" i="1"/>
  <c r="AO579" i="1"/>
  <c r="AO1331" i="1"/>
  <c r="AO1253" i="1"/>
  <c r="AO473" i="1"/>
  <c r="AO580" i="1"/>
  <c r="AO616" i="1"/>
  <c r="AO1313" i="1"/>
  <c r="AO585" i="1"/>
  <c r="AO1268" i="1"/>
  <c r="AO591" i="1"/>
  <c r="AO1315" i="1"/>
  <c r="AO596" i="1"/>
  <c r="AO1087" i="1"/>
  <c r="AO1323" i="1"/>
  <c r="AO1271" i="1"/>
  <c r="AO552" i="1"/>
  <c r="AO544" i="1"/>
  <c r="AO592" i="1"/>
  <c r="AO1274" i="1"/>
  <c r="AO547" i="1"/>
  <c r="AO558" i="1"/>
  <c r="AO565" i="1"/>
  <c r="AO1285" i="1"/>
  <c r="AO1231" i="1"/>
  <c r="AO1441" i="1"/>
  <c r="AO601" i="1"/>
  <c r="AO1293" i="1"/>
  <c r="AO1283" i="1"/>
  <c r="AO1343" i="1"/>
  <c r="AO1347" i="1"/>
  <c r="AO1254" i="1"/>
  <c r="AO1310" i="1"/>
  <c r="AO519" i="1"/>
  <c r="AO627" i="1"/>
  <c r="AO617" i="1"/>
  <c r="AO611" i="1"/>
  <c r="AO474" i="1"/>
  <c r="AO1332" i="1"/>
  <c r="AO1349" i="1"/>
  <c r="AO628" i="1"/>
  <c r="AO632" i="1"/>
  <c r="AO1336" i="1"/>
  <c r="AO582" i="1"/>
  <c r="AO1353" i="1"/>
  <c r="AO636" i="1"/>
  <c r="AO639" i="1"/>
  <c r="AO485" i="1"/>
  <c r="AO1261" i="1"/>
  <c r="AO513" i="1"/>
  <c r="AO1088" i="1"/>
  <c r="AO728" i="1"/>
  <c r="AO640" i="1"/>
  <c r="AO644" i="1"/>
  <c r="AO1368" i="1"/>
  <c r="AO1321" i="1"/>
  <c r="AO641" i="1"/>
  <c r="AO534" i="1"/>
  <c r="AO539" i="1"/>
  <c r="AO1373" i="1"/>
  <c r="AO1369" i="1"/>
  <c r="AO541" i="1"/>
  <c r="AO652" i="1"/>
  <c r="AO1378" i="1"/>
  <c r="AO1324" i="1"/>
  <c r="AO655" i="1"/>
  <c r="AO545" i="1"/>
  <c r="AO1377" i="1"/>
  <c r="AO593" i="1"/>
  <c r="AO653" i="1"/>
  <c r="AO1275" i="1"/>
  <c r="AO599" i="1"/>
  <c r="AO1381" i="1"/>
  <c r="AO1326" i="1"/>
  <c r="AO1379" i="1"/>
  <c r="AO548" i="1"/>
  <c r="AO1384" i="1"/>
  <c r="AO662" i="1"/>
  <c r="AO1304" i="1"/>
  <c r="AO665" i="1"/>
  <c r="AO663" i="1"/>
  <c r="AO1386" i="1"/>
  <c r="AO1344" i="1"/>
  <c r="AO559" i="1"/>
  <c r="AO1286" i="1"/>
  <c r="AO1330" i="1"/>
  <c r="AO1385" i="1"/>
  <c r="AO1442" i="1"/>
  <c r="AO603" i="1"/>
  <c r="AO622" i="1"/>
  <c r="AO1294" i="1"/>
  <c r="AO1232" i="1"/>
  <c r="AO566" i="1"/>
  <c r="AO664" i="1"/>
  <c r="AO1307" i="1"/>
  <c r="AO671" i="1"/>
  <c r="AO733" i="1"/>
  <c r="AO577" i="1"/>
  <c r="AO669" i="1"/>
  <c r="AO1345" i="1"/>
  <c r="AO475" i="1"/>
  <c r="AO1255" i="1"/>
  <c r="AO1348" i="1"/>
  <c r="AO520" i="1"/>
  <c r="AO1354" i="1"/>
  <c r="AO1392" i="1"/>
  <c r="AO1333" i="1"/>
  <c r="AO608" i="1"/>
  <c r="AO612" i="1"/>
  <c r="AO618" i="1"/>
  <c r="AO1391" i="1"/>
  <c r="AO633" i="1"/>
  <c r="AO1311" i="1"/>
  <c r="AO637" i="1"/>
  <c r="AO1394" i="1"/>
  <c r="AO675" i="1"/>
  <c r="AO514" i="1"/>
  <c r="AO676" i="1"/>
  <c r="AO1350" i="1"/>
  <c r="AO1397" i="1"/>
  <c r="AO1370" i="1"/>
  <c r="AO682" i="1"/>
  <c r="AO1322" i="1"/>
  <c r="AO680" i="1"/>
  <c r="AO729" i="1"/>
  <c r="AO1403" i="1"/>
  <c r="AO1402" i="1"/>
  <c r="AO642" i="1"/>
  <c r="AO1401" i="1"/>
  <c r="AO685" i="1"/>
  <c r="AO1406" i="1"/>
  <c r="AO588" i="1"/>
  <c r="AO1089" i="1"/>
  <c r="AO1317" i="1"/>
  <c r="AO645" i="1"/>
  <c r="AO732" i="1"/>
  <c r="AO613" i="1"/>
  <c r="AO1408" i="1"/>
  <c r="AO688" i="1"/>
  <c r="AO1410" i="1"/>
  <c r="AO693" i="1"/>
  <c r="AO1382" i="1"/>
  <c r="AO348" i="1"/>
  <c r="AO1276" i="1"/>
  <c r="AO553" i="1"/>
  <c r="AO654" i="1"/>
  <c r="AO694" i="1"/>
  <c r="AO1380" i="1"/>
  <c r="AO623" i="1"/>
  <c r="AO699" i="1"/>
  <c r="AO1415" i="1"/>
  <c r="AO672" i="1"/>
  <c r="AO1419" i="1"/>
  <c r="AO704" i="1"/>
  <c r="AO666" i="1"/>
  <c r="AO1390" i="1"/>
  <c r="AO707" i="1"/>
  <c r="AO525" i="1"/>
  <c r="AO1395" i="1"/>
  <c r="AO1424" i="1"/>
  <c r="AO630" i="1"/>
  <c r="AO1351" i="1"/>
  <c r="AO686" i="1"/>
  <c r="AO1409" i="1"/>
  <c r="AO1411" i="1"/>
  <c r="AO1413" i="1"/>
  <c r="AO1277" i="1"/>
  <c r="AO1430" i="1"/>
  <c r="AO692" i="1"/>
  <c r="AO1309" i="1"/>
  <c r="AO1297" i="1"/>
  <c r="AO1299" i="1"/>
  <c r="AO1393" i="1"/>
  <c r="AO1358" i="1"/>
  <c r="AO511" i="1"/>
  <c r="AO1400" i="1"/>
  <c r="AO1303" i="1"/>
  <c r="AO471" i="1"/>
  <c r="AO1320" i="1"/>
  <c r="AO472" i="1"/>
  <c r="AO1371" i="1"/>
  <c r="AO510" i="1"/>
  <c r="AO1412" i="1"/>
  <c r="AO1290" i="1"/>
  <c r="AO1289" i="1"/>
  <c r="AO569" i="1"/>
  <c r="AO1329" i="1"/>
  <c r="AO629" i="1"/>
  <c r="AO583" i="1"/>
  <c r="AO689" i="1"/>
  <c r="AO659" i="1"/>
  <c r="AO560" i="1"/>
  <c r="AO1287" i="1"/>
  <c r="AO696" i="1"/>
  <c r="AO567" i="1"/>
  <c r="AO1295" i="1"/>
  <c r="AO703" i="1"/>
  <c r="AO700" i="1"/>
  <c r="AO568" i="1"/>
  <c r="AO670" i="1"/>
  <c r="AO1387" i="1"/>
  <c r="AO570" i="1"/>
  <c r="AO614" i="1"/>
  <c r="AO1398" i="1"/>
  <c r="AO1355" i="1"/>
  <c r="AO584" i="1"/>
  <c r="AO515" i="1"/>
  <c r="AO1256" i="1"/>
  <c r="AO1359" i="1"/>
  <c r="AO1190" i="1"/>
  <c r="AO1340" i="1"/>
  <c r="AO476" i="1"/>
  <c r="AO609" i="1"/>
  <c r="AO1423" i="1"/>
  <c r="AO708" i="1"/>
  <c r="AO619" i="1"/>
  <c r="AO1102" i="1"/>
  <c r="AO643" i="1"/>
  <c r="AO1404" i="1"/>
  <c r="AO1407" i="1"/>
  <c r="AO681" i="1"/>
  <c r="AO1374" i="1"/>
  <c r="AO649" i="1"/>
  <c r="AO1363" i="1"/>
  <c r="AO589" i="1"/>
  <c r="AO714" i="1"/>
  <c r="AO712" i="1"/>
  <c r="AO1327" i="1"/>
  <c r="AO349" i="1"/>
  <c r="AO550" i="1"/>
  <c r="AO697" i="1"/>
  <c r="AO1418" i="1"/>
  <c r="AO1388" i="1"/>
  <c r="AO561" i="1"/>
  <c r="AO1422" i="1"/>
  <c r="AO1198" i="1"/>
  <c r="AO1445" i="1"/>
  <c r="AO667" i="1"/>
  <c r="AO1346" i="1"/>
  <c r="AO573" i="1"/>
  <c r="AO624" i="1"/>
  <c r="AO1416" i="1"/>
  <c r="AO705" i="1"/>
  <c r="AO673" i="1"/>
  <c r="AO1291" i="1"/>
  <c r="AO1420" i="1"/>
  <c r="AO1186" i="1"/>
  <c r="AO506" i="1"/>
  <c r="AO508" i="1"/>
  <c r="AO1250" i="1"/>
  <c r="AO1249" i="1"/>
  <c r="AO1252" i="1"/>
  <c r="AO1260" i="1"/>
  <c r="AO523" i="1"/>
  <c r="AO484" i="1"/>
  <c r="AO1025" i="1"/>
  <c r="AO528" i="1"/>
  <c r="AO1266" i="1"/>
  <c r="AO1269" i="1"/>
  <c r="AO540" i="1"/>
  <c r="AO1267" i="1"/>
  <c r="AO361" i="1"/>
  <c r="AO546" i="1"/>
  <c r="AO1270" i="1"/>
  <c r="AO1284" i="1"/>
  <c r="AO1292" i="1"/>
  <c r="AO563" i="1"/>
  <c r="AO1288" i="1"/>
  <c r="AO575" i="1"/>
  <c r="AO1302" i="1"/>
  <c r="AO1187" i="1"/>
  <c r="AO610" i="1"/>
  <c r="AO1312" i="1"/>
  <c r="AO581" i="1"/>
  <c r="AO524" i="1"/>
  <c r="AO586" i="1"/>
  <c r="AO1314" i="1"/>
  <c r="AO538" i="1"/>
  <c r="AO1325" i="1"/>
  <c r="AO602" i="1"/>
  <c r="AO626" i="1"/>
  <c r="AO1188" i="1"/>
  <c r="AO1338" i="1"/>
  <c r="AO1357" i="1"/>
  <c r="AO1362" i="1"/>
  <c r="AO529" i="1"/>
  <c r="AO647" i="1"/>
  <c r="AO658" i="1"/>
  <c r="AO347" i="1"/>
  <c r="AO661" i="1"/>
  <c r="AO1389" i="1"/>
  <c r="AO1339" i="1"/>
  <c r="AO1365" i="1"/>
  <c r="AO594" i="1"/>
  <c r="AO1444" i="1"/>
  <c r="AO549" i="1"/>
  <c r="AO656" i="1"/>
  <c r="AO600" i="1"/>
  <c r="AO1414" i="1"/>
  <c r="AO1417" i="1"/>
  <c r="AO1300" i="1"/>
  <c r="AO716" i="1"/>
  <c r="AO1328" i="1"/>
  <c r="AO597" i="1"/>
  <c r="AO517" i="1"/>
  <c r="AO677" i="1"/>
  <c r="AO587" i="1"/>
  <c r="AO1367" i="1"/>
  <c r="AO1316" i="1"/>
  <c r="AO648" i="1"/>
  <c r="AO691" i="1"/>
  <c r="AO1197" i="1"/>
  <c r="AO1443" i="1"/>
  <c r="AO604" i="1"/>
  <c r="AO1421" i="1"/>
  <c r="AO1446" i="1"/>
  <c r="AO1334" i="1"/>
  <c r="AO521" i="1"/>
  <c r="AO1425" i="1"/>
  <c r="AO1318" i="1"/>
  <c r="AO530" i="1"/>
  <c r="AO1366" i="1"/>
  <c r="AO678" i="1"/>
  <c r="AO1428" i="1"/>
  <c r="AO531" i="1"/>
  <c r="AO595" i="1"/>
  <c r="AO660" i="1"/>
  <c r="AO695" i="1"/>
  <c r="AO605" i="1"/>
  <c r="AO718" i="1"/>
  <c r="AO1432" i="1"/>
  <c r="AO1264" i="1"/>
  <c r="AO542" i="1"/>
  <c r="AO554" i="1"/>
  <c r="AO1278" i="1"/>
  <c r="AO1280" i="1"/>
  <c r="AO533" i="1"/>
  <c r="AO1281" i="1"/>
  <c r="AO598" i="1"/>
  <c r="AO1306" i="1"/>
  <c r="AO576" i="1"/>
  <c r="AO1360" i="1"/>
  <c r="AO1364" i="1"/>
  <c r="AO651" i="1"/>
  <c r="AO1376" i="1"/>
  <c r="AO1196" i="1"/>
  <c r="AO1189" i="1"/>
  <c r="AO1361" i="1"/>
  <c r="AO1101" i="1"/>
  <c r="AO607" i="1"/>
  <c r="AO1383" i="1"/>
  <c r="AO657" i="1"/>
  <c r="AO578" i="1"/>
  <c r="AO1305" i="1"/>
  <c r="AO1337" i="1"/>
  <c r="AO1342" i="1"/>
  <c r="AO621" i="1"/>
  <c r="AO1426" i="1"/>
  <c r="AO634" i="1"/>
  <c r="AO683" i="1"/>
  <c r="AO730" i="1"/>
  <c r="AO535" i="1"/>
  <c r="AO717" i="1"/>
  <c r="AO701" i="1"/>
  <c r="AO710" i="1"/>
  <c r="AO711" i="1"/>
  <c r="AO1431" i="1"/>
  <c r="AO1251" i="1"/>
  <c r="AP1251" i="1"/>
  <c r="AP507" i="1"/>
  <c r="AP509" i="1"/>
  <c r="AP518" i="1"/>
  <c r="AP1258" i="1"/>
  <c r="AP1259" i="1"/>
  <c r="AP1263" i="1"/>
  <c r="AP527" i="1"/>
  <c r="AP2288" i="1"/>
  <c r="AG1425" i="1"/>
  <c r="AG710" i="1"/>
  <c r="AG1102" i="1"/>
  <c r="AG643" i="1"/>
  <c r="AG683" i="1"/>
  <c r="AG686" i="1"/>
  <c r="AG1404" i="1"/>
  <c r="AG1318" i="1"/>
  <c r="AG1407" i="1"/>
  <c r="AG1371" i="1"/>
  <c r="AG1409" i="1"/>
  <c r="AG730" i="1"/>
  <c r="AG681" i="1"/>
  <c r="AG1374" i="1"/>
  <c r="AG530" i="1"/>
  <c r="AG1366" i="1"/>
  <c r="AG1426" i="1"/>
  <c r="AG649" i="1"/>
  <c r="AG535" i="1"/>
  <c r="AG678" i="1"/>
  <c r="AG1363" i="1"/>
  <c r="AG711" i="1"/>
  <c r="AG1428" i="1"/>
  <c r="AG589" i="1"/>
  <c r="AG531" i="1"/>
  <c r="AG714" i="1"/>
  <c r="AG712" i="1"/>
  <c r="AG1327" i="1"/>
  <c r="AG595" i="1"/>
  <c r="AG1411" i="1"/>
  <c r="AG1413" i="1"/>
  <c r="AG1383" i="1"/>
  <c r="AG716" i="1"/>
  <c r="AG660" i="1"/>
  <c r="AG1277" i="1"/>
  <c r="AG1430" i="1"/>
  <c r="AG695" i="1"/>
  <c r="AG349" i="1"/>
  <c r="AG692" i="1"/>
  <c r="AG550" i="1"/>
  <c r="AG657" i="1"/>
  <c r="AG697" i="1"/>
  <c r="AG605" i="1"/>
  <c r="AG1418" i="1"/>
  <c r="AG1388" i="1"/>
  <c r="AG717" i="1"/>
  <c r="AG1431" i="1"/>
  <c r="AG718" i="1"/>
  <c r="AG561" i="1"/>
  <c r="AG1432" i="1"/>
  <c r="AG1422" i="1"/>
  <c r="AG1198" i="1"/>
  <c r="AG1445" i="1"/>
  <c r="AG667" i="1"/>
  <c r="AG1346" i="1"/>
  <c r="AG573" i="1"/>
  <c r="AG624" i="1"/>
  <c r="AG1416" i="1"/>
  <c r="AG705" i="1"/>
  <c r="AG701" i="1"/>
  <c r="AG673" i="1"/>
  <c r="AG1291" i="1"/>
  <c r="AG1420" i="1"/>
  <c r="AG619" i="1"/>
  <c r="AG1398" i="1"/>
  <c r="AG1355" i="1"/>
  <c r="AG707" i="1"/>
  <c r="AG525" i="1"/>
  <c r="AG584" i="1"/>
  <c r="AG1395" i="1"/>
  <c r="AG1334" i="1"/>
  <c r="AG515" i="1"/>
  <c r="AG1256" i="1"/>
  <c r="AG1424" i="1"/>
  <c r="AG1359" i="1"/>
  <c r="AG634" i="1"/>
  <c r="AG1393" i="1"/>
  <c r="AG630" i="1"/>
  <c r="AG1190" i="1"/>
  <c r="AG1340" i="1"/>
  <c r="AG1351" i="1"/>
  <c r="AG521" i="1"/>
  <c r="AG476" i="1"/>
  <c r="AG609" i="1"/>
  <c r="AG1423" i="1"/>
  <c r="AG708" i="1"/>
  <c r="AG614" i="1"/>
  <c r="AG1251" i="1"/>
  <c r="AG471" i="1"/>
  <c r="AG507" i="1"/>
  <c r="AG1186" i="1"/>
  <c r="AG506" i="1"/>
  <c r="AG509" i="1"/>
  <c r="AG508" i="1"/>
  <c r="AG1250" i="1"/>
  <c r="AG1249" i="1"/>
  <c r="AG1252" i="1"/>
  <c r="AG1260" i="1"/>
  <c r="AG518" i="1"/>
  <c r="AG523" i="1"/>
  <c r="AG472" i="1"/>
  <c r="AG1258" i="1"/>
  <c r="AG1259" i="1"/>
  <c r="AG1263" i="1"/>
  <c r="AG517" i="1"/>
  <c r="AG484" i="1"/>
  <c r="AG1264" i="1"/>
  <c r="AG527" i="1"/>
  <c r="AG1025" i="1"/>
  <c r="AG528" i="1"/>
  <c r="AG532" i="1"/>
  <c r="AG1266" i="1"/>
  <c r="AG1265" i="1"/>
  <c r="AG537" i="1"/>
  <c r="AG542" i="1"/>
  <c r="AG1269" i="1"/>
  <c r="AG540" i="1"/>
  <c r="AG1267" i="1"/>
  <c r="AG361" i="1"/>
  <c r="AG543" i="1"/>
  <c r="AG554" i="1"/>
  <c r="AG551" i="1"/>
  <c r="AG1279" i="1"/>
  <c r="AG546" i="1"/>
  <c r="AG1272" i="1"/>
  <c r="AG1278" i="1"/>
  <c r="AG1273" i="1"/>
  <c r="AG1270" i="1"/>
  <c r="AG1280" i="1"/>
  <c r="AG555" i="1"/>
  <c r="AG557" i="1"/>
  <c r="AG1284" i="1"/>
  <c r="AG1282" i="1"/>
  <c r="AG1292" i="1"/>
  <c r="AG564" i="1"/>
  <c r="AG563" i="1"/>
  <c r="AG1230" i="1"/>
  <c r="AG1288" i="1"/>
  <c r="AG556" i="1"/>
  <c r="AG569" i="1"/>
  <c r="AG1195" i="1"/>
  <c r="AG572" i="1"/>
  <c r="AG1297" i="1"/>
  <c r="AG575" i="1"/>
  <c r="AG1298" i="1"/>
  <c r="AG578" i="1"/>
  <c r="AG1305" i="1"/>
  <c r="AG1302" i="1"/>
  <c r="AG579" i="1"/>
  <c r="AG1331" i="1"/>
  <c r="AG1253" i="1"/>
  <c r="AG607" i="1"/>
  <c r="AG473" i="1"/>
  <c r="AG1187" i="1"/>
  <c r="AG580" i="1"/>
  <c r="AG610" i="1"/>
  <c r="AG1337" i="1"/>
  <c r="AG616" i="1"/>
  <c r="AG1309" i="1"/>
  <c r="AG1312" i="1"/>
  <c r="AG1313" i="1"/>
  <c r="AG581" i="1"/>
  <c r="AG524" i="1"/>
  <c r="AG510" i="1"/>
  <c r="AG585" i="1"/>
  <c r="AG1268" i="1"/>
  <c r="AG586" i="1"/>
  <c r="AG591" i="1"/>
  <c r="AG1315" i="1"/>
  <c r="AG1314" i="1"/>
  <c r="AG1320" i="1"/>
  <c r="AG596" i="1"/>
  <c r="AG533" i="1"/>
  <c r="AG538" i="1"/>
  <c r="AG1087" i="1"/>
  <c r="AG1323" i="1"/>
  <c r="AG1325" i="1"/>
  <c r="AG1271" i="1"/>
  <c r="AG597" i="1"/>
  <c r="AG552" i="1"/>
  <c r="AG544" i="1"/>
  <c r="AG592" i="1"/>
  <c r="AG1281" i="1"/>
  <c r="AG598" i="1"/>
  <c r="AG1328" i="1"/>
  <c r="AG1274" i="1"/>
  <c r="AG547" i="1"/>
  <c r="AG1329" i="1"/>
  <c r="AG558" i="1"/>
  <c r="AG1289" i="1"/>
  <c r="AG565" i="1"/>
  <c r="AG1285" i="1"/>
  <c r="AG1306" i="1"/>
  <c r="AG1231" i="1"/>
  <c r="AG1441" i="1"/>
  <c r="AG601" i="1"/>
  <c r="AG602" i="1"/>
  <c r="AG1293" i="1"/>
  <c r="AG1303" i="1"/>
  <c r="AG1283" i="1"/>
  <c r="AG1342" i="1"/>
  <c r="AG576" i="1"/>
  <c r="AG1343" i="1"/>
  <c r="AG626" i="1"/>
  <c r="AG621" i="1"/>
  <c r="AG1347" i="1"/>
  <c r="AG1254" i="1"/>
  <c r="AG1188" i="1"/>
  <c r="AG1310" i="1"/>
  <c r="AG519" i="1"/>
  <c r="AG627" i="1"/>
  <c r="AG1338" i="1"/>
  <c r="AG617" i="1"/>
  <c r="AG611" i="1"/>
  <c r="AG474" i="1"/>
  <c r="AG1332" i="1"/>
  <c r="AG1357" i="1"/>
  <c r="AG1349" i="1"/>
  <c r="AG628" i="1"/>
  <c r="AG632" i="1"/>
  <c r="AG1360" i="1"/>
  <c r="AG1336" i="1"/>
  <c r="AG582" i="1"/>
  <c r="AG1353" i="1"/>
  <c r="AG636" i="1"/>
  <c r="AG639" i="1"/>
  <c r="AG485" i="1"/>
  <c r="AG1261" i="1"/>
  <c r="AG513" i="1"/>
  <c r="AG1088" i="1"/>
  <c r="AG728" i="1"/>
  <c r="AG640" i="1"/>
  <c r="AG644" i="1"/>
  <c r="AG1316" i="1"/>
  <c r="AG1368" i="1"/>
  <c r="AG1321" i="1"/>
  <c r="AG641" i="1"/>
  <c r="AG1367" i="1"/>
  <c r="AG587" i="1"/>
  <c r="AG1362" i="1"/>
  <c r="AG1364" i="1"/>
  <c r="AG534" i="1"/>
  <c r="AG539" i="1"/>
  <c r="AG529" i="1"/>
  <c r="AG651" i="1"/>
  <c r="AG1373" i="1"/>
  <c r="AG1369" i="1"/>
  <c r="AG541" i="1"/>
  <c r="AG647" i="1"/>
  <c r="AG1376" i="1"/>
  <c r="AG652" i="1"/>
  <c r="AG1378" i="1"/>
  <c r="AG1324" i="1"/>
  <c r="AG655" i="1"/>
  <c r="AG545" i="1"/>
  <c r="AG1377" i="1"/>
  <c r="AG593" i="1"/>
  <c r="AG653" i="1"/>
  <c r="AG1275" i="1"/>
  <c r="AG599" i="1"/>
  <c r="AG1381" i="1"/>
  <c r="AG1326" i="1"/>
  <c r="AG1379" i="1"/>
  <c r="AG658" i="1"/>
  <c r="AG347" i="1"/>
  <c r="AG548" i="1"/>
  <c r="AG661" i="1"/>
  <c r="AG1384" i="1"/>
  <c r="AG662" i="1"/>
  <c r="AG1304" i="1"/>
  <c r="AG665" i="1"/>
  <c r="AG663" i="1"/>
  <c r="AG1386" i="1"/>
  <c r="AG1344" i="1"/>
  <c r="AG1290" i="1"/>
  <c r="AG1196" i="1"/>
  <c r="AG559" i="1"/>
  <c r="AG1286" i="1"/>
  <c r="AG1330" i="1"/>
  <c r="AG1385" i="1"/>
  <c r="AG1442" i="1"/>
  <c r="AG603" i="1"/>
  <c r="AG622" i="1"/>
  <c r="AG1294" i="1"/>
  <c r="AG1232" i="1"/>
  <c r="AG566" i="1"/>
  <c r="AG664" i="1"/>
  <c r="AG1307" i="1"/>
  <c r="AG1299" i="1"/>
  <c r="AG671" i="1"/>
  <c r="AG1389" i="1"/>
  <c r="AG733" i="1"/>
  <c r="AG577" i="1"/>
  <c r="AG669" i="1"/>
  <c r="AG1345" i="1"/>
  <c r="AG475" i="1"/>
  <c r="AG1255" i="1"/>
  <c r="AG1348" i="1"/>
  <c r="AG520" i="1"/>
  <c r="AG1354" i="1"/>
  <c r="AG1189" i="1"/>
  <c r="AG1392" i="1"/>
  <c r="AG1333" i="1"/>
  <c r="AG608" i="1"/>
  <c r="AG612" i="1"/>
  <c r="AG618" i="1"/>
  <c r="AG1339" i="1"/>
  <c r="AG1391" i="1"/>
  <c r="AG633" i="1"/>
  <c r="AG1358" i="1"/>
  <c r="AG629" i="1"/>
  <c r="AG1311" i="1"/>
  <c r="AG583" i="1"/>
  <c r="AG1361" i="1"/>
  <c r="AG1101" i="1"/>
  <c r="AG637" i="1"/>
  <c r="AG1394" i="1"/>
  <c r="AG675" i="1"/>
  <c r="AG514" i="1"/>
  <c r="AG676" i="1"/>
  <c r="AG1350" i="1"/>
  <c r="AG1397" i="1"/>
  <c r="AG1370" i="1"/>
  <c r="AG682" i="1"/>
  <c r="AG1322" i="1"/>
  <c r="AG680" i="1"/>
  <c r="AG729" i="1"/>
  <c r="AG1403" i="1"/>
  <c r="AG1402" i="1"/>
  <c r="AG642" i="1"/>
  <c r="AG1401" i="1"/>
  <c r="AG685" i="1"/>
  <c r="AG1406" i="1"/>
  <c r="AG588" i="1"/>
  <c r="AG1089" i="1"/>
  <c r="AG1317" i="1"/>
  <c r="AG1365" i="1"/>
  <c r="AG645" i="1"/>
  <c r="AG677" i="1"/>
  <c r="AG732" i="1"/>
  <c r="AG1400" i="1"/>
  <c r="AG613" i="1"/>
  <c r="AG1408" i="1"/>
  <c r="AG688" i="1"/>
  <c r="AG689" i="1"/>
  <c r="AG648" i="1"/>
  <c r="AG1410" i="1"/>
  <c r="AG693" i="1"/>
  <c r="AG1382" i="1"/>
  <c r="AG348" i="1"/>
  <c r="AG1412" i="1"/>
  <c r="AG594" i="1"/>
  <c r="AG1444" i="1"/>
  <c r="AG1276" i="1"/>
  <c r="AG549" i="1"/>
  <c r="AG553" i="1"/>
  <c r="AG656" i="1"/>
  <c r="AG654" i="1"/>
  <c r="AG600" i="1"/>
  <c r="AG691" i="1"/>
  <c r="AG694" i="1"/>
  <c r="AG1414" i="1"/>
  <c r="AG1380" i="1"/>
  <c r="AG659" i="1"/>
  <c r="AG623" i="1"/>
  <c r="AG699" i="1"/>
  <c r="AG1415" i="1"/>
  <c r="AG1417" i="1"/>
  <c r="AG560" i="1"/>
  <c r="AG1287" i="1"/>
  <c r="AG696" i="1"/>
  <c r="AG567" i="1"/>
  <c r="AG1295" i="1"/>
  <c r="AG1197" i="1"/>
  <c r="AG703" i="1"/>
  <c r="AG672" i="1"/>
  <c r="AG700" i="1"/>
  <c r="AG1419" i="1"/>
  <c r="AG1443" i="1"/>
  <c r="AG568" i="1"/>
  <c r="AG1300" i="1"/>
  <c r="AG604" i="1"/>
  <c r="AG1421" i="1"/>
  <c r="AG1446" i="1"/>
  <c r="AG704" i="1"/>
  <c r="AG670" i="1"/>
  <c r="AG666" i="1"/>
  <c r="AG1390" i="1"/>
  <c r="AG1387" i="1"/>
  <c r="AG570" i="1"/>
  <c r="AG511" i="1"/>
  <c r="AG2556" i="1"/>
  <c r="AG2555" i="1"/>
  <c r="AG2578" i="1"/>
  <c r="AG2584" i="1"/>
  <c r="AG2598" i="1"/>
  <c r="AG2560" i="1"/>
  <c r="AG2595" i="1"/>
  <c r="AG2295" i="1"/>
  <c r="BP832" i="1"/>
  <c r="BO832" i="1" s="1"/>
  <c r="BZ832" i="1"/>
  <c r="BT832" i="1"/>
  <c r="BW832" i="1"/>
  <c r="CC832" i="1"/>
  <c r="BV886" i="1"/>
  <c r="BU886" i="1" s="1"/>
  <c r="BY886" i="1"/>
  <c r="BX886" i="1" s="1"/>
  <c r="CB886" i="1"/>
  <c r="CA886" i="1" s="1"/>
  <c r="CE886" i="1"/>
  <c r="BS886" i="1"/>
  <c r="AS886" i="1"/>
  <c r="BP770" i="1"/>
  <c r="BO770" i="1" s="1"/>
  <c r="BZ770" i="1"/>
  <c r="BT770" i="1"/>
  <c r="BW770" i="1"/>
  <c r="BP1008" i="1"/>
  <c r="BO1008" i="1" s="1"/>
  <c r="AS1008" i="1"/>
  <c r="BH1008" i="1" s="1"/>
  <c r="BP931" i="1"/>
  <c r="BO931" i="1" s="1"/>
  <c r="AS931" i="1"/>
  <c r="CC931" i="1" s="1"/>
  <c r="BP751" i="1"/>
  <c r="BO751" i="1" s="1"/>
  <c r="BZ751" i="1"/>
  <c r="BT751" i="1"/>
  <c r="BW751" i="1"/>
  <c r="BP278" i="1"/>
  <c r="BO278" i="1" s="1"/>
  <c r="AS278" i="1"/>
  <c r="BP15" i="1"/>
  <c r="BO15" i="1" s="1"/>
  <c r="BZ15" i="1"/>
  <c r="BT15" i="1"/>
  <c r="BW15" i="1"/>
  <c r="BP173" i="1"/>
  <c r="BO173" i="1" s="1"/>
  <c r="AS173" i="1"/>
  <c r="CI173" i="1" s="1"/>
  <c r="BP838" i="1"/>
  <c r="BO838" i="1" s="1"/>
  <c r="BZ838" i="1"/>
  <c r="CC838" i="1"/>
  <c r="BT838" i="1"/>
  <c r="BW838" i="1"/>
  <c r="BV504" i="1"/>
  <c r="BU504" i="1" s="1"/>
  <c r="BY504" i="1"/>
  <c r="BX504" i="1" s="1"/>
  <c r="CB504" i="1"/>
  <c r="CA504" i="1" s="1"/>
  <c r="CE504" i="1"/>
  <c r="BS504" i="1"/>
  <c r="BR504" i="1" s="1"/>
  <c r="AS504" i="1"/>
  <c r="BP241" i="1"/>
  <c r="BO241" i="1" s="1"/>
  <c r="AS241" i="1"/>
  <c r="BK241" i="1" s="1"/>
  <c r="BP895" i="1"/>
  <c r="BO895" i="1" s="1"/>
  <c r="AS895" i="1"/>
  <c r="DE895" i="1" s="1"/>
  <c r="BP283" i="1"/>
  <c r="BO283" i="1" s="1"/>
  <c r="AS283" i="1"/>
  <c r="CR283" i="1" s="1"/>
  <c r="BP234" i="1"/>
  <c r="BO234" i="1" s="1"/>
  <c r="AS234" i="1"/>
  <c r="BW234" i="1" s="1"/>
  <c r="BP194" i="1"/>
  <c r="BO194" i="1" s="1"/>
  <c r="AS194" i="1"/>
  <c r="CO194" i="1" s="1"/>
  <c r="BP894" i="1"/>
  <c r="BO894" i="1" s="1"/>
  <c r="AS894" i="1"/>
  <c r="DE894" i="1" s="1"/>
  <c r="BV427" i="1"/>
  <c r="BU427" i="1" s="1"/>
  <c r="BY427" i="1"/>
  <c r="BX427" i="1" s="1"/>
  <c r="CB427" i="1"/>
  <c r="CA427" i="1" s="1"/>
  <c r="CE427" i="1"/>
  <c r="CD427" i="1" s="1"/>
  <c r="BS427" i="1"/>
  <c r="BR427" i="1" s="1"/>
  <c r="AS427" i="1"/>
  <c r="BV289" i="1"/>
  <c r="BU289" i="1" s="1"/>
  <c r="BY289" i="1"/>
  <c r="BX289" i="1" s="1"/>
  <c r="CB289" i="1"/>
  <c r="CA289" i="1" s="1"/>
  <c r="CE289" i="1"/>
  <c r="BS289" i="1"/>
  <c r="AS289" i="1"/>
  <c r="BV1037" i="1"/>
  <c r="BY1037" i="1"/>
  <c r="CB1037" i="1"/>
  <c r="CA1037" i="1" s="1"/>
  <c r="CE1037" i="1"/>
  <c r="CD1037" i="1" s="1"/>
  <c r="BS1037" i="1"/>
  <c r="BR1037" i="1" s="1"/>
  <c r="AS1037" i="1"/>
  <c r="BV184" i="1"/>
  <c r="BY184" i="1"/>
  <c r="BX184" i="1" s="1"/>
  <c r="CB184" i="1"/>
  <c r="CA184" i="1" s="1"/>
  <c r="CE184" i="1"/>
  <c r="CD184" i="1" s="1"/>
  <c r="BS184" i="1"/>
  <c r="AS184" i="1"/>
  <c r="BV1164" i="1"/>
  <c r="BY1164" i="1"/>
  <c r="BX1164" i="1" s="1"/>
  <c r="CB1164" i="1"/>
  <c r="CE1164" i="1"/>
  <c r="CD1164" i="1" s="1"/>
  <c r="BS1164" i="1"/>
  <c r="BR1164" i="1" s="1"/>
  <c r="AS1164" i="1"/>
  <c r="BV1019" i="1"/>
  <c r="BU1019" i="1" s="1"/>
  <c r="BY1019" i="1"/>
  <c r="CB1019" i="1"/>
  <c r="CE1019" i="1"/>
  <c r="CD1019" i="1" s="1"/>
  <c r="BS1019" i="1"/>
  <c r="AS1019" i="1"/>
  <c r="BP220" i="1"/>
  <c r="BO220" i="1" s="1"/>
  <c r="AS220" i="1"/>
  <c r="BE220" i="1" s="1"/>
  <c r="BP864" i="1"/>
  <c r="BO864" i="1" s="1"/>
  <c r="AS864" i="1"/>
  <c r="DB864" i="1" s="1"/>
  <c r="BP1020" i="1"/>
  <c r="BO1020" i="1" s="1"/>
  <c r="AS1020" i="1"/>
  <c r="BZ1020" i="1" s="1"/>
  <c r="BP36" i="1"/>
  <c r="BO36" i="1" s="1"/>
  <c r="BZ36" i="1"/>
  <c r="BT36" i="1"/>
  <c r="BW36" i="1"/>
  <c r="BP87" i="1"/>
  <c r="BO87" i="1" s="1"/>
  <c r="BZ87" i="1"/>
  <c r="BT87" i="1"/>
  <c r="BW87" i="1"/>
  <c r="BV917" i="1"/>
  <c r="BU917" i="1" s="1"/>
  <c r="BY917" i="1"/>
  <c r="CB917" i="1"/>
  <c r="CA917" i="1" s="1"/>
  <c r="CE917" i="1"/>
  <c r="CD917" i="1" s="1"/>
  <c r="BS917" i="1"/>
  <c r="AS917" i="1"/>
  <c r="BP1097" i="1"/>
  <c r="BO1097" i="1" s="1"/>
  <c r="AS1097" i="1"/>
  <c r="BZ1097" i="1" s="1"/>
  <c r="BP830" i="1"/>
  <c r="BO830" i="1" s="1"/>
  <c r="BZ830" i="1"/>
  <c r="CF830" i="1"/>
  <c r="BT830" i="1"/>
  <c r="BW830" i="1"/>
  <c r="BV312" i="1"/>
  <c r="BY312" i="1"/>
  <c r="BX312" i="1" s="1"/>
  <c r="CB312" i="1"/>
  <c r="CE312" i="1"/>
  <c r="CD312" i="1" s="1"/>
  <c r="BS312" i="1"/>
  <c r="AS312" i="1"/>
  <c r="BP843" i="1"/>
  <c r="BO843" i="1" s="1"/>
  <c r="BZ843" i="1"/>
  <c r="BT843" i="1"/>
  <c r="BW843" i="1"/>
  <c r="BP235" i="1"/>
  <c r="BO235" i="1" s="1"/>
  <c r="AS235" i="1"/>
  <c r="BV1168" i="1"/>
  <c r="BU1168" i="1" s="1"/>
  <c r="BY1168" i="1"/>
  <c r="CB1168" i="1"/>
  <c r="CA1168" i="1" s="1"/>
  <c r="CE1168" i="1"/>
  <c r="BS1168" i="1"/>
  <c r="BR1168" i="1" s="1"/>
  <c r="AS1168" i="1"/>
  <c r="BV1095" i="1"/>
  <c r="BU1095" i="1" s="1"/>
  <c r="BY1095" i="1"/>
  <c r="BX1095" i="1" s="1"/>
  <c r="CB1095" i="1"/>
  <c r="CA1095" i="1" s="1"/>
  <c r="CE1095" i="1"/>
  <c r="CD1095" i="1" s="1"/>
  <c r="BS1095" i="1"/>
  <c r="BR1095" i="1" s="1"/>
  <c r="AS1095" i="1"/>
  <c r="BP819" i="1"/>
  <c r="BO819" i="1" s="1"/>
  <c r="BZ819" i="1"/>
  <c r="BT819" i="1"/>
  <c r="BW819" i="1"/>
  <c r="BP178" i="1"/>
  <c r="BO178" i="1" s="1"/>
  <c r="AS178" i="1"/>
  <c r="BT178" i="1" s="1"/>
  <c r="BP836" i="1"/>
  <c r="BO836" i="1" s="1"/>
  <c r="BZ836" i="1"/>
  <c r="BT836" i="1"/>
  <c r="BW836" i="1"/>
  <c r="BP337" i="1"/>
  <c r="BO337" i="1" s="1"/>
  <c r="AS337" i="1"/>
  <c r="BP265" i="1"/>
  <c r="BO265" i="1" s="1"/>
  <c r="AS265" i="1"/>
  <c r="BT265" i="1" s="1"/>
  <c r="BV892" i="1"/>
  <c r="BU892" i="1" s="1"/>
  <c r="BY892" i="1"/>
  <c r="CB892" i="1"/>
  <c r="CE892" i="1"/>
  <c r="CD892" i="1" s="1"/>
  <c r="BS892" i="1"/>
  <c r="BR892" i="1" s="1"/>
  <c r="AS892" i="1"/>
  <c r="BP995" i="1"/>
  <c r="BO995" i="1" s="1"/>
  <c r="AS995" i="1"/>
  <c r="BT995" i="1" s="1"/>
  <c r="BV291" i="1"/>
  <c r="BU291" i="1" s="1"/>
  <c r="BY291" i="1"/>
  <c r="BX291" i="1" s="1"/>
  <c r="CB291" i="1"/>
  <c r="CE291" i="1"/>
  <c r="CD291" i="1" s="1"/>
  <c r="BS291" i="1"/>
  <c r="AS291" i="1"/>
  <c r="BP826" i="1"/>
  <c r="BO826" i="1" s="1"/>
  <c r="BZ826" i="1"/>
  <c r="CC826" i="1"/>
  <c r="BT826" i="1"/>
  <c r="BW826" i="1"/>
  <c r="BP94" i="1"/>
  <c r="BO94" i="1" s="1"/>
  <c r="BZ94" i="1"/>
  <c r="BT94" i="1"/>
  <c r="BW94" i="1"/>
  <c r="BV199" i="1"/>
  <c r="BY199" i="1"/>
  <c r="BX199" i="1" s="1"/>
  <c r="CB199" i="1"/>
  <c r="CE199" i="1"/>
  <c r="CD199" i="1" s="1"/>
  <c r="BS199" i="1"/>
  <c r="BR199" i="1" s="1"/>
  <c r="AS199" i="1"/>
  <c r="BP999" i="1"/>
  <c r="BO999" i="1" s="1"/>
  <c r="AS999" i="1"/>
  <c r="CI999" i="1" s="1"/>
  <c r="BP808" i="1"/>
  <c r="BO808" i="1" s="1"/>
  <c r="BZ808" i="1"/>
  <c r="BT808" i="1"/>
  <c r="BW808" i="1"/>
  <c r="BV1121" i="1"/>
  <c r="BU1121" i="1" s="1"/>
  <c r="BY1121" i="1"/>
  <c r="CB1121" i="1"/>
  <c r="CA1121" i="1" s="1"/>
  <c r="CE1121" i="1"/>
  <c r="CD1121" i="1" s="1"/>
  <c r="BS1121" i="1"/>
  <c r="AS1121" i="1"/>
  <c r="BP181" i="1"/>
  <c r="BO181" i="1" s="1"/>
  <c r="AS181" i="1"/>
  <c r="BE181" i="1" s="1"/>
  <c r="BV1248" i="1"/>
  <c r="BU1248" i="1" s="1"/>
  <c r="BY1248" i="1"/>
  <c r="BX1248" i="1" s="1"/>
  <c r="CB1248" i="1"/>
  <c r="CA1248" i="1" s="1"/>
  <c r="CE1248" i="1"/>
  <c r="CD1248" i="1" s="1"/>
  <c r="BS1248" i="1"/>
  <c r="AS1248" i="1"/>
  <c r="BP95" i="1"/>
  <c r="BO95" i="1" s="1"/>
  <c r="BZ95" i="1"/>
  <c r="CF95" i="1"/>
  <c r="BT95" i="1"/>
  <c r="BW95" i="1"/>
  <c r="BP207" i="1"/>
  <c r="BO207" i="1" s="1"/>
  <c r="AS207" i="1"/>
  <c r="BT207" i="1" s="1"/>
  <c r="BV913" i="1"/>
  <c r="BY913" i="1"/>
  <c r="BX913" i="1" s="1"/>
  <c r="CB913" i="1"/>
  <c r="CE913" i="1"/>
  <c r="CD913" i="1" s="1"/>
  <c r="BS913" i="1"/>
  <c r="BR913" i="1" s="1"/>
  <c r="AS913" i="1"/>
  <c r="BV238" i="1"/>
  <c r="BY238" i="1"/>
  <c r="BX238" i="1" s="1"/>
  <c r="CB238" i="1"/>
  <c r="CE238" i="1"/>
  <c r="CD238" i="1" s="1"/>
  <c r="BS238" i="1"/>
  <c r="AS238" i="1"/>
  <c r="BV467" i="1"/>
  <c r="BY467" i="1"/>
  <c r="CB467" i="1"/>
  <c r="CE467" i="1"/>
  <c r="BS467" i="1"/>
  <c r="AS467" i="1"/>
  <c r="BP72" i="1"/>
  <c r="BO72" i="1" s="1"/>
  <c r="BZ72" i="1"/>
  <c r="CC72" i="1"/>
  <c r="BT72" i="1"/>
  <c r="BW72" i="1"/>
  <c r="BP737" i="1"/>
  <c r="BO737" i="1" s="1"/>
  <c r="BZ737" i="1"/>
  <c r="BT737" i="1"/>
  <c r="BW737" i="1"/>
  <c r="BP754" i="1"/>
  <c r="BO754" i="1" s="1"/>
  <c r="BZ754" i="1"/>
  <c r="BT754" i="1"/>
  <c r="BW754" i="1"/>
  <c r="BP945" i="1"/>
  <c r="BO945" i="1" s="1"/>
  <c r="AS945" i="1"/>
  <c r="CR945" i="1" s="1"/>
  <c r="BV1158" i="1"/>
  <c r="BU1158" i="1" s="1"/>
  <c r="BY1158" i="1"/>
  <c r="CB1158" i="1"/>
  <c r="CA1158" i="1" s="1"/>
  <c r="CE1158" i="1"/>
  <c r="CD1158" i="1" s="1"/>
  <c r="BS1158" i="1"/>
  <c r="BR1158" i="1" s="1"/>
  <c r="AS1158" i="1"/>
  <c r="BP156" i="1"/>
  <c r="BO156" i="1" s="1"/>
  <c r="AS156" i="1"/>
  <c r="BH156" i="1" s="1"/>
  <c r="BV310" i="1"/>
  <c r="BU310" i="1" s="1"/>
  <c r="BY310" i="1"/>
  <c r="CB310" i="1"/>
  <c r="CA310" i="1" s="1"/>
  <c r="CE310" i="1"/>
  <c r="CD310" i="1" s="1"/>
  <c r="BS310" i="1"/>
  <c r="AS310" i="1"/>
  <c r="BP358" i="1"/>
  <c r="BO358" i="1" s="1"/>
  <c r="AS358" i="1"/>
  <c r="BH358" i="1" s="1"/>
  <c r="BP784" i="1"/>
  <c r="BO784" i="1" s="1"/>
  <c r="BZ784" i="1"/>
  <c r="CC784" i="1"/>
  <c r="BT784" i="1"/>
  <c r="BW784" i="1"/>
  <c r="BV222" i="1"/>
  <c r="BY222" i="1"/>
  <c r="BX222" i="1" s="1"/>
  <c r="CB222" i="1"/>
  <c r="CE222" i="1"/>
  <c r="CD222" i="1" s="1"/>
  <c r="BS222" i="1"/>
  <c r="BR222" i="1" s="1"/>
  <c r="AS222" i="1"/>
  <c r="BV200" i="1"/>
  <c r="BU200" i="1" s="1"/>
  <c r="BY200" i="1"/>
  <c r="BX200" i="1" s="1"/>
  <c r="CB200" i="1"/>
  <c r="CE200" i="1"/>
  <c r="CD200" i="1" s="1"/>
  <c r="BS200" i="1"/>
  <c r="BR200" i="1" s="1"/>
  <c r="AS200" i="1"/>
  <c r="BP950" i="1"/>
  <c r="BO950" i="1" s="1"/>
  <c r="AS950" i="1"/>
  <c r="CI950" i="1" s="1"/>
  <c r="BP271" i="1"/>
  <c r="BO271" i="1" s="1"/>
  <c r="AS271" i="1"/>
  <c r="BP203" i="1"/>
  <c r="BO203" i="1" s="1"/>
  <c r="AS203" i="1"/>
  <c r="CF203" i="1" s="1"/>
  <c r="BP132" i="1"/>
  <c r="BO132" i="1" s="1"/>
  <c r="AS132" i="1"/>
  <c r="BP288" i="1"/>
  <c r="BO288" i="1" s="1"/>
  <c r="AS288" i="1"/>
  <c r="DE288" i="1" s="1"/>
  <c r="BP19" i="1"/>
  <c r="BO19" i="1" s="1"/>
  <c r="BZ19" i="1"/>
  <c r="BT19" i="1"/>
  <c r="BW19" i="1"/>
  <c r="BV1170" i="1"/>
  <c r="BU1170" i="1" s="1"/>
  <c r="BY1170" i="1"/>
  <c r="CB1170" i="1"/>
  <c r="CA1170" i="1" s="1"/>
  <c r="CE1170" i="1"/>
  <c r="CD1170" i="1" s="1"/>
  <c r="BS1170" i="1"/>
  <c r="AS1170" i="1"/>
  <c r="BP29" i="1"/>
  <c r="BO29" i="1" s="1"/>
  <c r="BZ29" i="1"/>
  <c r="BT29" i="1"/>
  <c r="BW29" i="1"/>
  <c r="BP137" i="1"/>
  <c r="BO137" i="1" s="1"/>
  <c r="AS137" i="1"/>
  <c r="CI137" i="1" s="1"/>
  <c r="BP53" i="1"/>
  <c r="BO53" i="1" s="1"/>
  <c r="BZ53" i="1"/>
  <c r="BT53" i="1"/>
  <c r="BW53" i="1"/>
  <c r="BP941" i="1"/>
  <c r="BO941" i="1" s="1"/>
  <c r="AS941" i="1"/>
  <c r="DE941" i="1" s="1"/>
  <c r="BP810" i="1"/>
  <c r="BO810" i="1" s="1"/>
  <c r="BZ810" i="1"/>
  <c r="CF810" i="1"/>
  <c r="BT810" i="1"/>
  <c r="BW810" i="1"/>
  <c r="BP862" i="1"/>
  <c r="BO862" i="1" s="1"/>
  <c r="AS862" i="1"/>
  <c r="CC862" i="1" s="1"/>
  <c r="BV893" i="1"/>
  <c r="BU893" i="1" s="1"/>
  <c r="BY893" i="1"/>
  <c r="CB893" i="1"/>
  <c r="CA893" i="1" s="1"/>
  <c r="CE893" i="1"/>
  <c r="BS893" i="1"/>
  <c r="BR893" i="1" s="1"/>
  <c r="AS893" i="1"/>
  <c r="BP1061" i="1"/>
  <c r="BO1061" i="1" s="1"/>
  <c r="AS1061" i="1"/>
  <c r="CY1061" i="1" s="1"/>
  <c r="BP972" i="1"/>
  <c r="BO972" i="1" s="1"/>
  <c r="AS972" i="1"/>
  <c r="CI972" i="1" s="1"/>
  <c r="BP107" i="1"/>
  <c r="BO107" i="1" s="1"/>
  <c r="BZ107" i="1"/>
  <c r="BT107" i="1"/>
  <c r="BW107" i="1"/>
  <c r="BP211" i="1"/>
  <c r="BO211" i="1" s="1"/>
  <c r="AS211" i="1"/>
  <c r="BK211" i="1" s="1"/>
  <c r="BV430" i="1"/>
  <c r="BU430" i="1" s="1"/>
  <c r="BY430" i="1"/>
  <c r="CB430" i="1"/>
  <c r="CA430" i="1" s="1"/>
  <c r="CE430" i="1"/>
  <c r="BS430" i="1"/>
  <c r="AS430" i="1"/>
  <c r="BV389" i="1"/>
  <c r="BU389" i="1" s="1"/>
  <c r="BY389" i="1"/>
  <c r="CB389" i="1"/>
  <c r="CA389" i="1" s="1"/>
  <c r="CE389" i="1"/>
  <c r="CD389" i="1" s="1"/>
  <c r="BS389" i="1"/>
  <c r="BR389" i="1" s="1"/>
  <c r="AS389" i="1"/>
  <c r="BV1176" i="1"/>
  <c r="BY1176" i="1"/>
  <c r="BX1176" i="1" s="1"/>
  <c r="CB1176" i="1"/>
  <c r="CE1176" i="1"/>
  <c r="CD1176" i="1" s="1"/>
  <c r="BS1176" i="1"/>
  <c r="AS1176" i="1"/>
  <c r="BP765" i="1"/>
  <c r="BO765" i="1" s="1"/>
  <c r="BZ765" i="1"/>
  <c r="BT765" i="1"/>
  <c r="BW765" i="1"/>
  <c r="BV388" i="1"/>
  <c r="BU388" i="1" s="1"/>
  <c r="BY388" i="1"/>
  <c r="CB388" i="1"/>
  <c r="CA388" i="1" s="1"/>
  <c r="CE388" i="1"/>
  <c r="CD388" i="1" s="1"/>
  <c r="BS388" i="1"/>
  <c r="BR388" i="1" s="1"/>
  <c r="AS388" i="1"/>
  <c r="BP152" i="1"/>
  <c r="BO152" i="1" s="1"/>
  <c r="AS152" i="1"/>
  <c r="CC152" i="1" s="1"/>
  <c r="BV432" i="1"/>
  <c r="BU432" i="1" s="1"/>
  <c r="BY432" i="1"/>
  <c r="CB432" i="1"/>
  <c r="CA432" i="1" s="1"/>
  <c r="CE432" i="1"/>
  <c r="CD432" i="1" s="1"/>
  <c r="BS432" i="1"/>
  <c r="AS432" i="1"/>
  <c r="BP275" i="1"/>
  <c r="BO275" i="1" s="1"/>
  <c r="AS275" i="1"/>
  <c r="CC275" i="1" s="1"/>
  <c r="BU1067" i="1"/>
  <c r="BX1067" i="1"/>
  <c r="CA1067" i="1"/>
  <c r="CD1067" i="1"/>
  <c r="BR1067" i="1"/>
  <c r="AS1067" i="1"/>
  <c r="BT1067" i="1" s="1"/>
  <c r="BV1010" i="1"/>
  <c r="BY1010" i="1"/>
  <c r="CB1010" i="1"/>
  <c r="CA1010" i="1" s="1"/>
  <c r="CE1010" i="1"/>
  <c r="CD1010" i="1" s="1"/>
  <c r="BS1010" i="1"/>
  <c r="AS1010" i="1"/>
  <c r="BV417" i="1"/>
  <c r="BY417" i="1"/>
  <c r="CB417" i="1"/>
  <c r="CA417" i="1" s="1"/>
  <c r="CE417" i="1"/>
  <c r="BS417" i="1"/>
  <c r="AS417" i="1"/>
  <c r="BV290" i="1"/>
  <c r="BU290" i="1" s="1"/>
  <c r="BY290" i="1"/>
  <c r="CB290" i="1"/>
  <c r="CA290" i="1" s="1"/>
  <c r="CE290" i="1"/>
  <c r="CD290" i="1" s="1"/>
  <c r="BS290" i="1"/>
  <c r="AS290" i="1"/>
  <c r="BP221" i="1"/>
  <c r="BO221" i="1" s="1"/>
  <c r="AS221" i="1"/>
  <c r="DE221" i="1" s="1"/>
  <c r="BP237" i="1"/>
  <c r="BO237" i="1" s="1"/>
  <c r="AS237" i="1"/>
  <c r="DE237" i="1" s="1"/>
  <c r="BP31" i="1"/>
  <c r="BO31" i="1" s="1"/>
  <c r="BZ31" i="1"/>
  <c r="BT31" i="1"/>
  <c r="BW31" i="1"/>
  <c r="BP76" i="1"/>
  <c r="BO76" i="1" s="1"/>
  <c r="BZ76" i="1"/>
  <c r="BT76" i="1"/>
  <c r="BW76" i="1"/>
  <c r="BP806" i="1"/>
  <c r="BO806" i="1" s="1"/>
  <c r="BZ806" i="1"/>
  <c r="CF806" i="1"/>
  <c r="BT806" i="1"/>
  <c r="BW806" i="1"/>
  <c r="BP863" i="1"/>
  <c r="BO863" i="1" s="1"/>
  <c r="AS863" i="1"/>
  <c r="DB863" i="1" s="1"/>
  <c r="BP70" i="1"/>
  <c r="BO70" i="1" s="1"/>
  <c r="BZ70" i="1"/>
  <c r="BT70" i="1"/>
  <c r="BW70" i="1"/>
  <c r="BP98" i="1"/>
  <c r="BO98" i="1" s="1"/>
  <c r="BZ98" i="1"/>
  <c r="BT98" i="1"/>
  <c r="BW98" i="1"/>
  <c r="BP332" i="1"/>
  <c r="BO332" i="1" s="1"/>
  <c r="AS332" i="1"/>
  <c r="BT332" i="1" s="1"/>
  <c r="BV1147" i="1"/>
  <c r="BY1147" i="1"/>
  <c r="BX1147" i="1" s="1"/>
  <c r="CB1147" i="1"/>
  <c r="CE1147" i="1"/>
  <c r="CD1147" i="1" s="1"/>
  <c r="BS1147" i="1"/>
  <c r="AS1147" i="1"/>
  <c r="BP52" i="1"/>
  <c r="BO52" i="1" s="1"/>
  <c r="BZ52" i="1"/>
  <c r="BT52" i="1"/>
  <c r="BW52" i="1"/>
  <c r="BP254" i="1"/>
  <c r="BO254" i="1" s="1"/>
  <c r="AS254" i="1"/>
  <c r="CC254" i="1" s="1"/>
  <c r="BP63" i="1"/>
  <c r="BO63" i="1" s="1"/>
  <c r="BZ63" i="1"/>
  <c r="BT63" i="1"/>
  <c r="BW63" i="1"/>
  <c r="BP868" i="1"/>
  <c r="BO868" i="1" s="1"/>
  <c r="AS868" i="1"/>
  <c r="BE868" i="1" s="1"/>
  <c r="BP202" i="1"/>
  <c r="BO202" i="1" s="1"/>
  <c r="AS202" i="1"/>
  <c r="BT202" i="1" s="1"/>
  <c r="BP236" i="1"/>
  <c r="BO236" i="1" s="1"/>
  <c r="AS236" i="1"/>
  <c r="DE236" i="1" s="1"/>
  <c r="BP114" i="1"/>
  <c r="BO114" i="1" s="1"/>
  <c r="BZ114" i="1"/>
  <c r="BT114" i="1"/>
  <c r="BW114" i="1"/>
  <c r="BP188" i="1"/>
  <c r="BO188" i="1" s="1"/>
  <c r="AS188" i="1"/>
  <c r="CF188" i="1" s="1"/>
  <c r="BP307" i="1"/>
  <c r="BO307" i="1" s="1"/>
  <c r="AS307" i="1"/>
  <c r="BH307" i="1" s="1"/>
  <c r="BP954" i="1"/>
  <c r="BO954" i="1" s="1"/>
  <c r="AS954" i="1"/>
  <c r="CI954" i="1" s="1"/>
  <c r="BV1091" i="1"/>
  <c r="BY1091" i="1"/>
  <c r="CB1091" i="1"/>
  <c r="CE1091" i="1"/>
  <c r="BS1091" i="1"/>
  <c r="BR1091" i="1" s="1"/>
  <c r="AS1091" i="1"/>
  <c r="BP932" i="1"/>
  <c r="BO932" i="1" s="1"/>
  <c r="AS932" i="1"/>
  <c r="CI932" i="1" s="1"/>
  <c r="BV180" i="1"/>
  <c r="BY180" i="1"/>
  <c r="CB180" i="1"/>
  <c r="CE180" i="1"/>
  <c r="BS180" i="1"/>
  <c r="AS180" i="1"/>
  <c r="BP261" i="1"/>
  <c r="BO261" i="1" s="1"/>
  <c r="AS261" i="1"/>
  <c r="CC261" i="1" s="1"/>
  <c r="BP160" i="1"/>
  <c r="BO160" i="1" s="1"/>
  <c r="AS160" i="1"/>
  <c r="DB160" i="1" s="1"/>
  <c r="BP34" i="1"/>
  <c r="BO34" i="1" s="1"/>
  <c r="BZ34" i="1"/>
  <c r="BT34" i="1"/>
  <c r="BW34" i="1"/>
  <c r="BP90" i="1"/>
  <c r="BO90" i="1" s="1"/>
  <c r="BZ90" i="1"/>
  <c r="BT90" i="1"/>
  <c r="BW90" i="1"/>
  <c r="BP155" i="1"/>
  <c r="BO155" i="1" s="1"/>
  <c r="AS155" i="1"/>
  <c r="BH155" i="1" s="1"/>
  <c r="BP75" i="1"/>
  <c r="BO75" i="1" s="1"/>
  <c r="BZ75" i="1"/>
  <c r="BT75" i="1"/>
  <c r="BW75" i="1"/>
  <c r="BV294" i="1"/>
  <c r="BY294" i="1"/>
  <c r="CB294" i="1"/>
  <c r="CE294" i="1"/>
  <c r="BS294" i="1"/>
  <c r="AS294" i="1"/>
  <c r="BP41" i="1"/>
  <c r="BO41" i="1" s="1"/>
  <c r="BZ41" i="1"/>
  <c r="BT41" i="1"/>
  <c r="BW41" i="1"/>
  <c r="BP1090" i="1"/>
  <c r="BO1090" i="1" s="1"/>
  <c r="AS1090" i="1"/>
  <c r="BZ1090" i="1" s="1"/>
  <c r="BP133" i="1"/>
  <c r="BO133" i="1" s="1"/>
  <c r="AS133" i="1"/>
  <c r="BE133" i="1" s="1"/>
  <c r="BP189" i="1"/>
  <c r="BO189" i="1" s="1"/>
  <c r="AS189" i="1"/>
  <c r="BT189" i="1" s="1"/>
  <c r="BP32" i="1"/>
  <c r="BO32" i="1" s="1"/>
  <c r="BZ32" i="1"/>
  <c r="BT32" i="1"/>
  <c r="BW32" i="1"/>
  <c r="BV174" i="1"/>
  <c r="BY174" i="1"/>
  <c r="BX174" i="1" s="1"/>
  <c r="CB174" i="1"/>
  <c r="CE174" i="1"/>
  <c r="CD174" i="1" s="1"/>
  <c r="BS174" i="1"/>
  <c r="AS174" i="1"/>
  <c r="BV503" i="1"/>
  <c r="BY503" i="1"/>
  <c r="BX503" i="1" s="1"/>
  <c r="CB503" i="1"/>
  <c r="CE503" i="1"/>
  <c r="CD503" i="1" s="1"/>
  <c r="BS503" i="1"/>
  <c r="BR503" i="1" s="1"/>
  <c r="AS503" i="1"/>
  <c r="BP159" i="1"/>
  <c r="BO159" i="1" s="1"/>
  <c r="AS159" i="1"/>
  <c r="BE159" i="1" s="1"/>
  <c r="BP69" i="1"/>
  <c r="BO69" i="1" s="1"/>
  <c r="BZ69" i="1"/>
  <c r="BT69" i="1"/>
  <c r="BW69" i="1"/>
  <c r="BP170" i="1"/>
  <c r="BO170" i="1" s="1"/>
  <c r="AS170" i="1"/>
  <c r="BT170" i="1" s="1"/>
  <c r="BP171" i="1"/>
  <c r="BO171" i="1" s="1"/>
  <c r="AS171" i="1"/>
  <c r="BH171" i="1" s="1"/>
  <c r="BP264" i="1"/>
  <c r="BO264" i="1" s="1"/>
  <c r="AS264" i="1"/>
  <c r="CC264" i="1" s="1"/>
  <c r="BP172" i="1"/>
  <c r="BO172" i="1" s="1"/>
  <c r="AS172" i="1"/>
  <c r="BP73" i="1"/>
  <c r="BO73" i="1" s="1"/>
  <c r="BZ73" i="1"/>
  <c r="BT73" i="1"/>
  <c r="BW73" i="1"/>
  <c r="BV423" i="1"/>
  <c r="BY423" i="1"/>
  <c r="BX423" i="1" s="1"/>
  <c r="CB423" i="1"/>
  <c r="CE423" i="1"/>
  <c r="CD423" i="1" s="1"/>
  <c r="BS423" i="1"/>
  <c r="BR423" i="1" s="1"/>
  <c r="AS423" i="1"/>
  <c r="BP771" i="1"/>
  <c r="BO771" i="1" s="1"/>
  <c r="BZ771" i="1"/>
  <c r="BT771" i="1"/>
  <c r="BW771" i="1"/>
  <c r="BV215" i="1"/>
  <c r="BY215" i="1"/>
  <c r="BX215" i="1" s="1"/>
  <c r="CB215" i="1"/>
  <c r="CE215" i="1"/>
  <c r="CD215" i="1" s="1"/>
  <c r="BS215" i="1"/>
  <c r="BR215" i="1" s="1"/>
  <c r="AS215" i="1"/>
  <c r="BP833" i="1"/>
  <c r="BO833" i="1" s="1"/>
  <c r="BZ833" i="1"/>
  <c r="BT833" i="1"/>
  <c r="BW833" i="1"/>
  <c r="BP115" i="1"/>
  <c r="BO115" i="1" s="1"/>
  <c r="BZ115" i="1"/>
  <c r="BT115" i="1"/>
  <c r="BW115" i="1"/>
  <c r="BP77" i="1"/>
  <c r="BO77" i="1" s="1"/>
  <c r="BZ77" i="1"/>
  <c r="BT77" i="1"/>
  <c r="BW77" i="1"/>
  <c r="BP984" i="1"/>
  <c r="BO984" i="1" s="1"/>
  <c r="AS984" i="1"/>
  <c r="CI984" i="1" s="1"/>
  <c r="BV1243" i="1"/>
  <c r="BY1243" i="1"/>
  <c r="CB1243" i="1"/>
  <c r="CA1243" i="1" s="1"/>
  <c r="CE1243" i="1"/>
  <c r="BS1243" i="1"/>
  <c r="AS1243" i="1"/>
  <c r="BP867" i="1"/>
  <c r="BO867" i="1" s="1"/>
  <c r="AS867" i="1"/>
  <c r="BT867" i="1" s="1"/>
  <c r="BV1159" i="1"/>
  <c r="BY1159" i="1"/>
  <c r="CB1159" i="1"/>
  <c r="CE1159" i="1"/>
  <c r="BS1159" i="1"/>
  <c r="AS1159" i="1"/>
  <c r="BV424" i="1"/>
  <c r="BU424" i="1" s="1"/>
  <c r="BY424" i="1"/>
  <c r="CB424" i="1"/>
  <c r="CA424" i="1" s="1"/>
  <c r="CE424" i="1"/>
  <c r="CD424" i="1" s="1"/>
  <c r="BS424" i="1"/>
  <c r="BR424" i="1" s="1"/>
  <c r="AS424" i="1"/>
  <c r="BP138" i="1"/>
  <c r="BO138" i="1" s="1"/>
  <c r="AS138" i="1"/>
  <c r="BE138" i="1" s="1"/>
  <c r="BP874" i="1"/>
  <c r="BO874" i="1" s="1"/>
  <c r="AS874" i="1"/>
  <c r="CC874" i="1" s="1"/>
  <c r="BP1085" i="1"/>
  <c r="BO1085" i="1" s="1"/>
  <c r="AS1085" i="1"/>
  <c r="DE1085" i="1" s="1"/>
  <c r="BP47" i="1"/>
  <c r="BO47" i="1" s="1"/>
  <c r="BZ47" i="1"/>
  <c r="BT47" i="1"/>
  <c r="BW47" i="1"/>
  <c r="BV483" i="1"/>
  <c r="BU483" i="1" s="1"/>
  <c r="BY483" i="1"/>
  <c r="CB483" i="1"/>
  <c r="CA483" i="1" s="1"/>
  <c r="CE483" i="1"/>
  <c r="BS483" i="1"/>
  <c r="BR483" i="1" s="1"/>
  <c r="AS483" i="1"/>
  <c r="BP273" i="1"/>
  <c r="BO273" i="1" s="1"/>
  <c r="AS273" i="1"/>
  <c r="BK273" i="1" s="1"/>
  <c r="BV304" i="1"/>
  <c r="BU304" i="1" s="1"/>
  <c r="BY304" i="1"/>
  <c r="BX304" i="1" s="1"/>
  <c r="CB304" i="1"/>
  <c r="CA304" i="1" s="1"/>
  <c r="CE304" i="1"/>
  <c r="CD304" i="1" s="1"/>
  <c r="BS304" i="1"/>
  <c r="BR304" i="1" s="1"/>
  <c r="AS304" i="1"/>
  <c r="BV469" i="1"/>
  <c r="BY469" i="1"/>
  <c r="BX469" i="1" s="1"/>
  <c r="CB469" i="1"/>
  <c r="CE469" i="1"/>
  <c r="CD469" i="1" s="1"/>
  <c r="BS469" i="1"/>
  <c r="BR469" i="1" s="1"/>
  <c r="AS469" i="1"/>
  <c r="BP955" i="1"/>
  <c r="BO955" i="1" s="1"/>
  <c r="AS955" i="1"/>
  <c r="CF955" i="1" s="1"/>
  <c r="BP11" i="1"/>
  <c r="BO11" i="1" s="1"/>
  <c r="BZ11" i="1"/>
  <c r="BT11" i="1"/>
  <c r="BW11" i="1"/>
  <c r="BP85" i="1"/>
  <c r="BO85" i="1" s="1"/>
  <c r="BZ85" i="1"/>
  <c r="BT85" i="1"/>
  <c r="BW85" i="1"/>
  <c r="BV281" i="1"/>
  <c r="BY281" i="1"/>
  <c r="BX281" i="1" s="1"/>
  <c r="CB281" i="1"/>
  <c r="CE281" i="1"/>
  <c r="CD281" i="1" s="1"/>
  <c r="BS281" i="1"/>
  <c r="BR281" i="1" s="1"/>
  <c r="AS281" i="1"/>
  <c r="BV387" i="1"/>
  <c r="BY387" i="1"/>
  <c r="BX387" i="1" s="1"/>
  <c r="CB387" i="1"/>
  <c r="CA387" i="1" s="1"/>
  <c r="CE387" i="1"/>
  <c r="CD387" i="1" s="1"/>
  <c r="BS387" i="1"/>
  <c r="BR387" i="1" s="1"/>
  <c r="AS387" i="1"/>
  <c r="BP796" i="1"/>
  <c r="BO796" i="1" s="1"/>
  <c r="BZ796" i="1"/>
  <c r="BT796" i="1"/>
  <c r="BW796" i="1"/>
  <c r="BP81" i="1"/>
  <c r="BO81" i="1" s="1"/>
  <c r="BZ81" i="1"/>
  <c r="BT81" i="1"/>
  <c r="BW81" i="1"/>
  <c r="BV1224" i="1"/>
  <c r="BU1224" i="1" s="1"/>
  <c r="BY1224" i="1"/>
  <c r="CB1224" i="1"/>
  <c r="CE1224" i="1"/>
  <c r="BS1224" i="1"/>
  <c r="AS1224" i="1"/>
  <c r="BV373" i="1"/>
  <c r="BU373" i="1" s="1"/>
  <c r="BY373" i="1"/>
  <c r="CB373" i="1"/>
  <c r="CA373" i="1" s="1"/>
  <c r="CE373" i="1"/>
  <c r="CD373" i="1" s="1"/>
  <c r="BS373" i="1"/>
  <c r="BR373" i="1" s="1"/>
  <c r="AS373" i="1"/>
  <c r="BP914" i="1"/>
  <c r="BO914" i="1" s="1"/>
  <c r="AS914" i="1"/>
  <c r="BH914" i="1" s="1"/>
  <c r="BP166" i="1"/>
  <c r="BO166" i="1" s="1"/>
  <c r="AS166" i="1"/>
  <c r="BT166" i="1" s="1"/>
  <c r="BV891" i="1"/>
  <c r="BY891" i="1"/>
  <c r="CB891" i="1"/>
  <c r="CE891" i="1"/>
  <c r="BS891" i="1"/>
  <c r="BR891" i="1" s="1"/>
  <c r="AS891" i="1"/>
  <c r="BP163" i="1"/>
  <c r="BO163" i="1" s="1"/>
  <c r="AS163" i="1"/>
  <c r="BT163" i="1" s="1"/>
  <c r="BV302" i="1"/>
  <c r="BU302" i="1" s="1"/>
  <c r="BY302" i="1"/>
  <c r="CB302" i="1"/>
  <c r="CA302" i="1" s="1"/>
  <c r="CE302" i="1"/>
  <c r="BS302" i="1"/>
  <c r="BR302" i="1" s="1"/>
  <c r="AS302" i="1"/>
  <c r="BP40" i="1"/>
  <c r="BO40" i="1" s="1"/>
  <c r="BZ40" i="1"/>
  <c r="BT40" i="1"/>
  <c r="BW40" i="1"/>
  <c r="BP113" i="1"/>
  <c r="BO113" i="1" s="1"/>
  <c r="BZ113" i="1"/>
  <c r="BT113" i="1"/>
  <c r="BW113" i="1"/>
  <c r="BP74" i="1"/>
  <c r="BO74" i="1" s="1"/>
  <c r="BZ74" i="1"/>
  <c r="BT74" i="1"/>
  <c r="BW74" i="1"/>
  <c r="BP61" i="1"/>
  <c r="BO61" i="1" s="1"/>
  <c r="BZ61" i="1"/>
  <c r="BT61" i="1"/>
  <c r="BW61" i="1"/>
  <c r="BP811" i="1"/>
  <c r="BO811" i="1" s="1"/>
  <c r="BZ811" i="1"/>
  <c r="BT811" i="1"/>
  <c r="BW811" i="1"/>
  <c r="BP284" i="1"/>
  <c r="BO284" i="1" s="1"/>
  <c r="AS284" i="1"/>
  <c r="CI284" i="1" s="1"/>
  <c r="BP218" i="1"/>
  <c r="BO218" i="1" s="1"/>
  <c r="AS218" i="1"/>
  <c r="BV1171" i="1"/>
  <c r="BU1171" i="1" s="1"/>
  <c r="BY1171" i="1"/>
  <c r="CB1171" i="1"/>
  <c r="CA1171" i="1" s="1"/>
  <c r="CE1171" i="1"/>
  <c r="BS1171" i="1"/>
  <c r="BR1171" i="1" s="1"/>
  <c r="AS1171" i="1"/>
  <c r="BP786" i="1"/>
  <c r="BO786" i="1" s="1"/>
  <c r="AS786" i="1"/>
  <c r="BP258" i="1"/>
  <c r="BO258" i="1" s="1"/>
  <c r="AS258" i="1"/>
  <c r="CR258" i="1" s="1"/>
  <c r="BV1218" i="1"/>
  <c r="BY1218" i="1"/>
  <c r="BX1218" i="1" s="1"/>
  <c r="CB1218" i="1"/>
  <c r="CE1218" i="1"/>
  <c r="CD1218" i="1" s="1"/>
  <c r="BS1218" i="1"/>
  <c r="BR1218" i="1" s="1"/>
  <c r="AS1218" i="1"/>
  <c r="BV431" i="1"/>
  <c r="BY431" i="1"/>
  <c r="BX431" i="1" s="1"/>
  <c r="CB431" i="1"/>
  <c r="CE431" i="1"/>
  <c r="CD431" i="1" s="1"/>
  <c r="BS431" i="1"/>
  <c r="BR431" i="1" s="1"/>
  <c r="AS431" i="1"/>
  <c r="BP91" i="1"/>
  <c r="BO91" i="1" s="1"/>
  <c r="BZ91" i="1"/>
  <c r="BT91" i="1"/>
  <c r="BW91" i="1"/>
  <c r="BV1018" i="1"/>
  <c r="BY1018" i="1"/>
  <c r="BX1018" i="1" s="1"/>
  <c r="CB1018" i="1"/>
  <c r="CE1018" i="1"/>
  <c r="CD1018" i="1" s="1"/>
  <c r="BS1018" i="1"/>
  <c r="BR1018" i="1" s="1"/>
  <c r="AS1018" i="1"/>
  <c r="BP39" i="1"/>
  <c r="BO39" i="1" s="1"/>
  <c r="BZ39" i="1"/>
  <c r="BT39" i="1"/>
  <c r="BW39" i="1"/>
  <c r="BP16" i="1"/>
  <c r="BO16" i="1" s="1"/>
  <c r="BZ16" i="1"/>
  <c r="BT16" i="1"/>
  <c r="BW16" i="1"/>
  <c r="BP1048" i="1"/>
  <c r="BO1048" i="1" s="1"/>
  <c r="AS1048" i="1"/>
  <c r="CI1048" i="1" s="1"/>
  <c r="BP5" i="1"/>
  <c r="BO5" i="1" s="1"/>
  <c r="BZ5" i="1"/>
  <c r="BT5" i="1"/>
  <c r="BW5" i="1"/>
  <c r="BV1160" i="1"/>
  <c r="BU1160" i="1" s="1"/>
  <c r="BY1160" i="1"/>
  <c r="CB1160" i="1"/>
  <c r="CE1160" i="1"/>
  <c r="BS1160" i="1"/>
  <c r="AS1160" i="1"/>
  <c r="BP788" i="1"/>
  <c r="BO788" i="1" s="1"/>
  <c r="BZ788" i="1"/>
  <c r="BT788" i="1"/>
  <c r="BW788" i="1"/>
  <c r="BP97" i="1"/>
  <c r="BO97" i="1" s="1"/>
  <c r="BZ97" i="1"/>
  <c r="BT97" i="1"/>
  <c r="BW97" i="1"/>
  <c r="BP809" i="1"/>
  <c r="BO809" i="1" s="1"/>
  <c r="BZ809" i="1"/>
  <c r="BT809" i="1"/>
  <c r="BW809" i="1"/>
  <c r="BV1011" i="1"/>
  <c r="BU1011" i="1" s="1"/>
  <c r="BY1011" i="1"/>
  <c r="BX1011" i="1" s="1"/>
  <c r="CB1011" i="1"/>
  <c r="CA1011" i="1" s="1"/>
  <c r="CE1011" i="1"/>
  <c r="CD1011" i="1" s="1"/>
  <c r="BS1011" i="1"/>
  <c r="BR1011" i="1" s="1"/>
  <c r="AS1011" i="1"/>
  <c r="BP334" i="1"/>
  <c r="BO334" i="1" s="1"/>
  <c r="AS334" i="1"/>
  <c r="BV372" i="1"/>
  <c r="BY372" i="1"/>
  <c r="BX372" i="1" s="1"/>
  <c r="CB372" i="1"/>
  <c r="CE372" i="1"/>
  <c r="CD372" i="1" s="1"/>
  <c r="BS372" i="1"/>
  <c r="AS372" i="1"/>
  <c r="BV907" i="1"/>
  <c r="BY907" i="1"/>
  <c r="CB907" i="1"/>
  <c r="CA907" i="1" s="1"/>
  <c r="CE907" i="1"/>
  <c r="BS907" i="1"/>
  <c r="BR907" i="1" s="1"/>
  <c r="AS907" i="1"/>
  <c r="BP165" i="1"/>
  <c r="BO165" i="1" s="1"/>
  <c r="AS165" i="1"/>
  <c r="CI165" i="1" s="1"/>
  <c r="BP248" i="1"/>
  <c r="BO248" i="1" s="1"/>
  <c r="AS248" i="1"/>
  <c r="DB248" i="1" s="1"/>
  <c r="BV1215" i="1"/>
  <c r="BY1215" i="1"/>
  <c r="BX1215" i="1" s="1"/>
  <c r="CB1215" i="1"/>
  <c r="CA1215" i="1" s="1"/>
  <c r="CE1215" i="1"/>
  <c r="CD1215" i="1" s="1"/>
  <c r="BS1215" i="1"/>
  <c r="BR1215" i="1" s="1"/>
  <c r="AS1215" i="1"/>
  <c r="BP247" i="1"/>
  <c r="BO247" i="1" s="1"/>
  <c r="AS247" i="1"/>
  <c r="BP904" i="1"/>
  <c r="BO904" i="1" s="1"/>
  <c r="AS904" i="1"/>
  <c r="CO904" i="1" s="1"/>
  <c r="BP1051" i="1"/>
  <c r="BO1051" i="1" s="1"/>
  <c r="AS1051" i="1"/>
  <c r="BP781" i="1"/>
  <c r="BO781" i="1" s="1"/>
  <c r="BZ781" i="1"/>
  <c r="BT781" i="1"/>
  <c r="BW781" i="1"/>
  <c r="BP35" i="1"/>
  <c r="BO35" i="1" s="1"/>
  <c r="BZ35" i="1"/>
  <c r="BT35" i="1"/>
  <c r="BW35" i="1"/>
  <c r="BV1165" i="1"/>
  <c r="BU1165" i="1" s="1"/>
  <c r="BY1165" i="1"/>
  <c r="CB1165" i="1"/>
  <c r="CA1165" i="1" s="1"/>
  <c r="CE1165" i="1"/>
  <c r="CD1165" i="1" s="1"/>
  <c r="BS1165" i="1"/>
  <c r="BR1165" i="1" s="1"/>
  <c r="AS1165" i="1"/>
  <c r="BV1214" i="1"/>
  <c r="BY1214" i="1"/>
  <c r="BX1214" i="1" s="1"/>
  <c r="CB1214" i="1"/>
  <c r="CE1214" i="1"/>
  <c r="CD1214" i="1" s="1"/>
  <c r="BS1214" i="1"/>
  <c r="BR1214" i="1" s="1"/>
  <c r="AS1214" i="1"/>
  <c r="BP942" i="1"/>
  <c r="BO942" i="1" s="1"/>
  <c r="AS942" i="1"/>
  <c r="BE942" i="1" s="1"/>
  <c r="BV870" i="1"/>
  <c r="BY870" i="1"/>
  <c r="BX870" i="1" s="1"/>
  <c r="CB870" i="1"/>
  <c r="CE870" i="1"/>
  <c r="CD870" i="1" s="1"/>
  <c r="BS870" i="1"/>
  <c r="BR870" i="1" s="1"/>
  <c r="AS870" i="1"/>
  <c r="BP99" i="1"/>
  <c r="BO99" i="1" s="1"/>
  <c r="BZ99" i="1"/>
  <c r="BT99" i="1"/>
  <c r="BW99" i="1"/>
  <c r="BP217" i="1"/>
  <c r="BO217" i="1" s="1"/>
  <c r="AS217" i="1"/>
  <c r="CR217" i="1" s="1"/>
  <c r="BV1144" i="1"/>
  <c r="BU1144" i="1" s="1"/>
  <c r="BY1144" i="1"/>
  <c r="BX1144" i="1" s="1"/>
  <c r="CB1144" i="1"/>
  <c r="CE1144" i="1"/>
  <c r="BS1144" i="1"/>
  <c r="BR1144" i="1" s="1"/>
  <c r="AS1144" i="1"/>
  <c r="BV869" i="1"/>
  <c r="BU869" i="1" s="1"/>
  <c r="BY869" i="1"/>
  <c r="CB869" i="1"/>
  <c r="CA869" i="1" s="1"/>
  <c r="CE869" i="1"/>
  <c r="CD869" i="1" s="1"/>
  <c r="BS869" i="1"/>
  <c r="AS869" i="1"/>
  <c r="BP949" i="1"/>
  <c r="BO949" i="1" s="1"/>
  <c r="AS949" i="1"/>
  <c r="DE949" i="1" s="1"/>
  <c r="BP179" i="1"/>
  <c r="BO179" i="1" s="1"/>
  <c r="AS179" i="1"/>
  <c r="CI179" i="1" s="1"/>
  <c r="BV1167" i="1"/>
  <c r="BU1167" i="1" s="1"/>
  <c r="BY1167" i="1"/>
  <c r="BX1167" i="1" s="1"/>
  <c r="CB1167" i="1"/>
  <c r="CA1167" i="1" s="1"/>
  <c r="CE1167" i="1"/>
  <c r="BS1167" i="1"/>
  <c r="BR1167" i="1" s="1"/>
  <c r="AS1167" i="1"/>
  <c r="BV1166" i="1"/>
  <c r="BU1166" i="1" s="1"/>
  <c r="BY1166" i="1"/>
  <c r="CB1166" i="1"/>
  <c r="CA1166" i="1" s="1"/>
  <c r="CE1166" i="1"/>
  <c r="CD1166" i="1" s="1"/>
  <c r="BS1166" i="1"/>
  <c r="BR1166" i="1" s="1"/>
  <c r="AS1166" i="1"/>
  <c r="BP880" i="1"/>
  <c r="BO880" i="1" s="1"/>
  <c r="AS880" i="1"/>
  <c r="BP176" i="1"/>
  <c r="BO176" i="1" s="1"/>
  <c r="AS176" i="1"/>
  <c r="CI176" i="1" s="1"/>
  <c r="BP882" i="1"/>
  <c r="BO882" i="1" s="1"/>
  <c r="AS882" i="1"/>
  <c r="BH882" i="1" s="1"/>
  <c r="BP177" i="1"/>
  <c r="BO177" i="1" s="1"/>
  <c r="AS177" i="1"/>
  <c r="BZ177" i="1" s="1"/>
  <c r="BP888" i="1"/>
  <c r="BO888" i="1" s="1"/>
  <c r="AS888" i="1"/>
  <c r="BP889" i="1"/>
  <c r="BO889" i="1" s="1"/>
  <c r="AS889" i="1"/>
  <c r="CR889" i="1" s="1"/>
  <c r="BU897" i="1"/>
  <c r="BX897" i="1"/>
  <c r="CA897" i="1"/>
  <c r="CD897" i="1"/>
  <c r="BR897" i="1"/>
  <c r="AS897" i="1"/>
  <c r="DB897" i="1" s="1"/>
  <c r="BP187" i="1"/>
  <c r="BO187" i="1" s="1"/>
  <c r="AS187" i="1"/>
  <c r="CR187" i="1" s="1"/>
  <c r="BP908" i="1"/>
  <c r="BO908" i="1" s="1"/>
  <c r="AS908" i="1"/>
  <c r="BP195" i="1"/>
  <c r="BO195" i="1" s="1"/>
  <c r="AS195" i="1"/>
  <c r="CO195" i="1" s="1"/>
  <c r="BP909" i="1"/>
  <c r="BO909" i="1" s="1"/>
  <c r="AS909" i="1"/>
  <c r="BP196" i="1"/>
  <c r="BO196" i="1" s="1"/>
  <c r="AS196" i="1"/>
  <c r="BT196" i="1" s="1"/>
  <c r="BP911" i="1"/>
  <c r="BO911" i="1" s="1"/>
  <c r="AS911" i="1"/>
  <c r="BP920" i="1"/>
  <c r="BO920" i="1" s="1"/>
  <c r="AS920" i="1"/>
  <c r="CF920" i="1" s="1"/>
  <c r="BP924" i="1"/>
  <c r="BO924" i="1" s="1"/>
  <c r="AS924" i="1"/>
  <c r="DB924" i="1" s="1"/>
  <c r="BP930" i="1"/>
  <c r="BO930" i="1" s="1"/>
  <c r="AS930" i="1"/>
  <c r="BT930" i="1" s="1"/>
  <c r="BP226" i="1"/>
  <c r="BO226" i="1" s="1"/>
  <c r="AS226" i="1"/>
  <c r="BP935" i="1"/>
  <c r="BO935" i="1" s="1"/>
  <c r="AS935" i="1"/>
  <c r="CF935" i="1" s="1"/>
  <c r="BP227" i="1"/>
  <c r="BO227" i="1" s="1"/>
  <c r="AS227" i="1"/>
  <c r="BP233" i="1"/>
  <c r="BO233" i="1" s="1"/>
  <c r="AS233" i="1"/>
  <c r="CI233" i="1" s="1"/>
  <c r="BP943" i="1"/>
  <c r="BO943" i="1" s="1"/>
  <c r="AS943" i="1"/>
  <c r="BP944" i="1"/>
  <c r="BO944" i="1" s="1"/>
  <c r="AS944" i="1"/>
  <c r="CI944" i="1" s="1"/>
  <c r="BP946" i="1"/>
  <c r="BO946" i="1" s="1"/>
  <c r="AS946" i="1"/>
  <c r="BK946" i="1" s="1"/>
  <c r="BP240" i="1"/>
  <c r="BO240" i="1" s="1"/>
  <c r="AS240" i="1"/>
  <c r="BZ240" i="1" s="1"/>
  <c r="BP245" i="1"/>
  <c r="BO245" i="1" s="1"/>
  <c r="AS245" i="1"/>
  <c r="BP246" i="1"/>
  <c r="BO246" i="1" s="1"/>
  <c r="AS246" i="1"/>
  <c r="BH246" i="1" s="1"/>
  <c r="BP959" i="1"/>
  <c r="BO959" i="1" s="1"/>
  <c r="AS959" i="1"/>
  <c r="BK959" i="1" s="1"/>
  <c r="BP249" i="1"/>
  <c r="BO249" i="1" s="1"/>
  <c r="AS249" i="1"/>
  <c r="CC249" i="1" s="1"/>
  <c r="BP965" i="1"/>
  <c r="BO965" i="1" s="1"/>
  <c r="AS965" i="1"/>
  <c r="BP252" i="1"/>
  <c r="BO252" i="1" s="1"/>
  <c r="AS252" i="1"/>
  <c r="CR252" i="1" s="1"/>
  <c r="BP966" i="1"/>
  <c r="BO966" i="1" s="1"/>
  <c r="AS966" i="1"/>
  <c r="BH966" i="1" s="1"/>
  <c r="BP971" i="1"/>
  <c r="BO971" i="1" s="1"/>
  <c r="AS971" i="1"/>
  <c r="CO971" i="1" s="1"/>
  <c r="BP255" i="1"/>
  <c r="BO255" i="1" s="1"/>
  <c r="AS255" i="1"/>
  <c r="DE255" i="1" s="1"/>
  <c r="BP976" i="1"/>
  <c r="BO976" i="1" s="1"/>
  <c r="AS976" i="1"/>
  <c r="CF976" i="1" s="1"/>
  <c r="BP256" i="1"/>
  <c r="BO256" i="1" s="1"/>
  <c r="AS256" i="1"/>
  <c r="BP977" i="1"/>
  <c r="BO977" i="1" s="1"/>
  <c r="AS977" i="1"/>
  <c r="CR977" i="1" s="1"/>
  <c r="BP979" i="1"/>
  <c r="BO979" i="1" s="1"/>
  <c r="AS979" i="1"/>
  <c r="BP263" i="1"/>
  <c r="BO263" i="1" s="1"/>
  <c r="AS263" i="1"/>
  <c r="CO263" i="1" s="1"/>
  <c r="BP985" i="1"/>
  <c r="BO985" i="1" s="1"/>
  <c r="AS985" i="1"/>
  <c r="BH985" i="1" s="1"/>
  <c r="BP989" i="1"/>
  <c r="BO989" i="1" s="1"/>
  <c r="AS989" i="1"/>
  <c r="BK989" i="1" s="1"/>
  <c r="BP990" i="1"/>
  <c r="BO990" i="1" s="1"/>
  <c r="AS990" i="1"/>
  <c r="BP266" i="1"/>
  <c r="BO266" i="1" s="1"/>
  <c r="AS266" i="1"/>
  <c r="BW266" i="1" s="1"/>
  <c r="BP991" i="1"/>
  <c r="BO991" i="1" s="1"/>
  <c r="AS991" i="1"/>
  <c r="BH991" i="1" s="1"/>
  <c r="BP145" i="1"/>
  <c r="BO145" i="1" s="1"/>
  <c r="BQ145" i="1"/>
  <c r="BP143" i="1"/>
  <c r="BO143" i="1" s="1"/>
  <c r="AS143" i="1"/>
  <c r="BH143" i="1" s="1"/>
  <c r="BP268" i="1"/>
  <c r="BO268" i="1" s="1"/>
  <c r="AS268" i="1"/>
  <c r="CF268" i="1" s="1"/>
  <c r="BP996" i="1"/>
  <c r="BO996" i="1" s="1"/>
  <c r="AS996" i="1"/>
  <c r="BE996" i="1" s="1"/>
  <c r="BP1002" i="1"/>
  <c r="BO1002" i="1" s="1"/>
  <c r="AS1002" i="1"/>
  <c r="CC1002" i="1" s="1"/>
  <c r="BP853" i="1"/>
  <c r="BO853" i="1" s="1"/>
  <c r="AS853" i="1"/>
  <c r="BP859" i="1"/>
  <c r="BO859" i="1" s="1"/>
  <c r="AS859" i="1"/>
  <c r="CI859" i="1" s="1"/>
  <c r="BP154" i="1"/>
  <c r="BO154" i="1" s="1"/>
  <c r="AS154" i="1"/>
  <c r="BP876" i="1"/>
  <c r="BO876" i="1" s="1"/>
  <c r="AS876" i="1"/>
  <c r="BZ876" i="1" s="1"/>
  <c r="BP883" i="1"/>
  <c r="BO883" i="1" s="1"/>
  <c r="AS883" i="1"/>
  <c r="BP1004" i="1"/>
  <c r="BO1004" i="1" s="1"/>
  <c r="AS1004" i="1"/>
  <c r="CF1004" i="1" s="1"/>
  <c r="BP276" i="1"/>
  <c r="BO276" i="1" s="1"/>
  <c r="AS276" i="1"/>
  <c r="CY276" i="1" s="1"/>
  <c r="BP1005" i="1"/>
  <c r="BO1005" i="1" s="1"/>
  <c r="AS1005" i="1"/>
  <c r="BW1005" i="1" s="1"/>
  <c r="BP282" i="1"/>
  <c r="BO282" i="1" s="1"/>
  <c r="AS282" i="1"/>
  <c r="BP1009" i="1"/>
  <c r="BO1009" i="1" s="1"/>
  <c r="AS1009" i="1"/>
  <c r="CC1009" i="1" s="1"/>
  <c r="BP1014" i="1"/>
  <c r="BO1014" i="1" s="1"/>
  <c r="AS1014" i="1"/>
  <c r="BK1014" i="1" s="1"/>
  <c r="BP287" i="1"/>
  <c r="BO287" i="1" s="1"/>
  <c r="AS287" i="1"/>
  <c r="DB287" i="1" s="1"/>
  <c r="BP157" i="1"/>
  <c r="BO157" i="1" s="1"/>
  <c r="AS157" i="1"/>
  <c r="CY157" i="1" s="1"/>
  <c r="BP1015" i="1"/>
  <c r="BO1015" i="1" s="1"/>
  <c r="AS1015" i="1"/>
  <c r="CI1015" i="1" s="1"/>
  <c r="BP292" i="1"/>
  <c r="BO292" i="1" s="1"/>
  <c r="AS292" i="1"/>
  <c r="BP1016" i="1"/>
  <c r="BO1016" i="1" s="1"/>
  <c r="AS1016" i="1"/>
  <c r="BE1016" i="1" s="1"/>
  <c r="BP293" i="1"/>
  <c r="BO293" i="1" s="1"/>
  <c r="AS293" i="1"/>
  <c r="BP1017" i="1"/>
  <c r="BO1017" i="1" s="1"/>
  <c r="AS1017" i="1"/>
  <c r="CR1017" i="1" s="1"/>
  <c r="BP890" i="1"/>
  <c r="BO890" i="1" s="1"/>
  <c r="AS890" i="1"/>
  <c r="BK890" i="1" s="1"/>
  <c r="BP182" i="1"/>
  <c r="BO182" i="1" s="1"/>
  <c r="AS182" i="1"/>
  <c r="CO182" i="1" s="1"/>
  <c r="BV898" i="1"/>
  <c r="BU898" i="1" s="1"/>
  <c r="BY898" i="1"/>
  <c r="BX898" i="1" s="1"/>
  <c r="CB898" i="1"/>
  <c r="CA898" i="1" s="1"/>
  <c r="CE898" i="1"/>
  <c r="BS898" i="1"/>
  <c r="AS898" i="1"/>
  <c r="BV900" i="1"/>
  <c r="BY900" i="1"/>
  <c r="BX900" i="1" s="1"/>
  <c r="CB900" i="1"/>
  <c r="CA900" i="1" s="1"/>
  <c r="CE900" i="1"/>
  <c r="CD900" i="1" s="1"/>
  <c r="BS900" i="1"/>
  <c r="BR900" i="1" s="1"/>
  <c r="AS900" i="1"/>
  <c r="BP910" i="1"/>
  <c r="BO910" i="1" s="1"/>
  <c r="AS910" i="1"/>
  <c r="DB910" i="1" s="1"/>
  <c r="BP197" i="1"/>
  <c r="BO197" i="1" s="1"/>
  <c r="AS197" i="1"/>
  <c r="CI197" i="1" s="1"/>
  <c r="BP915" i="1"/>
  <c r="BO915" i="1" s="1"/>
  <c r="AS915" i="1"/>
  <c r="BP205" i="1"/>
  <c r="BO205" i="1" s="1"/>
  <c r="AS205" i="1"/>
  <c r="CF205" i="1" s="1"/>
  <c r="BP921" i="1"/>
  <c r="BO921" i="1" s="1"/>
  <c r="AS921" i="1"/>
  <c r="DE921" i="1" s="1"/>
  <c r="BP925" i="1"/>
  <c r="BO925" i="1" s="1"/>
  <c r="AS925" i="1"/>
  <c r="CR925" i="1" s="1"/>
  <c r="BU295" i="1"/>
  <c r="BX295" i="1"/>
  <c r="CA295" i="1"/>
  <c r="CD295" i="1"/>
  <c r="BR295" i="1"/>
  <c r="AS295" i="1"/>
  <c r="DE295" i="1" s="1"/>
  <c r="BP1021" i="1"/>
  <c r="BO1021" i="1" s="1"/>
  <c r="AS1021" i="1"/>
  <c r="BT1021" i="1" s="1"/>
  <c r="BP912" i="1"/>
  <c r="BO912" i="1" s="1"/>
  <c r="AS912" i="1"/>
  <c r="CY912" i="1" s="1"/>
  <c r="BP208" i="1"/>
  <c r="BO208" i="1" s="1"/>
  <c r="AS208" i="1"/>
  <c r="CO208" i="1" s="1"/>
  <c r="BP933" i="1"/>
  <c r="BO933" i="1" s="1"/>
  <c r="AS933" i="1"/>
  <c r="BP936" i="1"/>
  <c r="BO936" i="1" s="1"/>
  <c r="AS936" i="1"/>
  <c r="CR936" i="1" s="1"/>
  <c r="BP1022" i="1"/>
  <c r="BO1022" i="1" s="1"/>
  <c r="AS1022" i="1"/>
  <c r="BP298" i="1"/>
  <c r="BO298" i="1" s="1"/>
  <c r="AS298" i="1"/>
  <c r="CI298" i="1" s="1"/>
  <c r="BV1023" i="1"/>
  <c r="BU1023" i="1" s="1"/>
  <c r="BY1023" i="1"/>
  <c r="CB1023" i="1"/>
  <c r="CA1023" i="1" s="1"/>
  <c r="CE1023" i="1"/>
  <c r="CD1023" i="1" s="1"/>
  <c r="BS1023" i="1"/>
  <c r="BR1023" i="1" s="1"/>
  <c r="AS1023" i="1"/>
  <c r="BP301" i="1"/>
  <c r="BO301" i="1" s="1"/>
  <c r="AS301" i="1"/>
  <c r="CO301" i="1" s="1"/>
  <c r="BP303" i="1"/>
  <c r="BO303" i="1" s="1"/>
  <c r="AS303" i="1"/>
  <c r="BH303" i="1" s="1"/>
  <c r="BP1024" i="1"/>
  <c r="BO1024" i="1" s="1"/>
  <c r="AS1024" i="1"/>
  <c r="CR1024" i="1" s="1"/>
  <c r="BP1026" i="1"/>
  <c r="BO1026" i="1" s="1"/>
  <c r="AS1026" i="1"/>
  <c r="BP228" i="1"/>
  <c r="BO228" i="1" s="1"/>
  <c r="AS228" i="1"/>
  <c r="CO228" i="1" s="1"/>
  <c r="BV1030" i="1"/>
  <c r="BU1030" i="1" s="1"/>
  <c r="BY1030" i="1"/>
  <c r="CB1030" i="1"/>
  <c r="CA1030" i="1" s="1"/>
  <c r="CE1030" i="1"/>
  <c r="BS1030" i="1"/>
  <c r="BR1030" i="1" s="1"/>
  <c r="AS1030" i="1"/>
  <c r="BP311" i="1"/>
  <c r="BO311" i="1" s="1"/>
  <c r="AS311" i="1"/>
  <c r="BK311" i="1" s="1"/>
  <c r="BP1032" i="1"/>
  <c r="BO1032" i="1" s="1"/>
  <c r="AS1032" i="1"/>
  <c r="BP313" i="1"/>
  <c r="BO313" i="1" s="1"/>
  <c r="AS313" i="1"/>
  <c r="CO313" i="1" s="1"/>
  <c r="BP1035" i="1"/>
  <c r="BO1035" i="1" s="1"/>
  <c r="AS1035" i="1"/>
  <c r="BH1035" i="1" s="1"/>
  <c r="BP962" i="1"/>
  <c r="BO962" i="1" s="1"/>
  <c r="AS962" i="1"/>
  <c r="CI962" i="1" s="1"/>
  <c r="BP250" i="1"/>
  <c r="BO250" i="1" s="1"/>
  <c r="AS250" i="1"/>
  <c r="BP253" i="1"/>
  <c r="BO253" i="1" s="1"/>
  <c r="AS253" i="1"/>
  <c r="CC253" i="1" s="1"/>
  <c r="BP967" i="1"/>
  <c r="BO967" i="1" s="1"/>
  <c r="AS967" i="1"/>
  <c r="BP978" i="1"/>
  <c r="BO978" i="1" s="1"/>
  <c r="AS978" i="1"/>
  <c r="CF978" i="1" s="1"/>
  <c r="BP980" i="1"/>
  <c r="BO980" i="1" s="1"/>
  <c r="AS980" i="1"/>
  <c r="BP262" i="1"/>
  <c r="BO262" i="1" s="1"/>
  <c r="AS262" i="1"/>
  <c r="CY262" i="1" s="1"/>
  <c r="BP986" i="1"/>
  <c r="BO986" i="1" s="1"/>
  <c r="AS986" i="1"/>
  <c r="BP992" i="1"/>
  <c r="BO992" i="1" s="1"/>
  <c r="AS992" i="1"/>
  <c r="BW992" i="1" s="1"/>
  <c r="BP1038" i="1"/>
  <c r="BO1038" i="1" s="1"/>
  <c r="AS1038" i="1"/>
  <c r="BE1038" i="1" s="1"/>
  <c r="BP315" i="1"/>
  <c r="BO315" i="1" s="1"/>
  <c r="AS315" i="1"/>
  <c r="BT315" i="1" s="1"/>
  <c r="BP1042" i="1"/>
  <c r="BO1042" i="1" s="1"/>
  <c r="AS1042" i="1"/>
  <c r="CY1042" i="1" s="1"/>
  <c r="BP319" i="1"/>
  <c r="BO319" i="1" s="1"/>
  <c r="AS319" i="1"/>
  <c r="CF319" i="1" s="1"/>
  <c r="BP1043" i="1"/>
  <c r="BO1043" i="1" s="1"/>
  <c r="AS1043" i="1"/>
  <c r="BP320" i="1"/>
  <c r="BO320" i="1" s="1"/>
  <c r="AS320" i="1"/>
  <c r="CY320" i="1" s="1"/>
  <c r="BP1044" i="1"/>
  <c r="BO1044" i="1" s="1"/>
  <c r="AS1044" i="1"/>
  <c r="DE1044" i="1" s="1"/>
  <c r="BP322" i="1"/>
  <c r="BO322" i="1" s="1"/>
  <c r="AS322" i="1"/>
  <c r="BT322" i="1" s="1"/>
  <c r="BP1045" i="1"/>
  <c r="BO1045" i="1" s="1"/>
  <c r="AS1045" i="1"/>
  <c r="BP323" i="1"/>
  <c r="BO323" i="1" s="1"/>
  <c r="AS323" i="1"/>
  <c r="BT323" i="1" s="1"/>
  <c r="BP325" i="1"/>
  <c r="BO325" i="1" s="1"/>
  <c r="AS325" i="1"/>
  <c r="BP329" i="1"/>
  <c r="BO329" i="1" s="1"/>
  <c r="AS329" i="1"/>
  <c r="BZ329" i="1" s="1"/>
  <c r="BP960" i="1"/>
  <c r="BO960" i="1" s="1"/>
  <c r="AS960" i="1"/>
  <c r="BP1055" i="1"/>
  <c r="BO1055" i="1" s="1"/>
  <c r="AS1055" i="1"/>
  <c r="BT1055" i="1" s="1"/>
  <c r="BP1058" i="1"/>
  <c r="BO1058" i="1" s="1"/>
  <c r="AS1058" i="1"/>
  <c r="BP1065" i="1"/>
  <c r="BO1065" i="1" s="1"/>
  <c r="AS1065" i="1"/>
  <c r="BT1065" i="1" s="1"/>
  <c r="BP338" i="1"/>
  <c r="BO338" i="1" s="1"/>
  <c r="AS338" i="1"/>
  <c r="BP1066" i="1"/>
  <c r="BO1066" i="1" s="1"/>
  <c r="AS1066" i="1"/>
  <c r="CF1066" i="1" s="1"/>
  <c r="BP269" i="1"/>
  <c r="BO269" i="1" s="1"/>
  <c r="AS269" i="1"/>
  <c r="DE269" i="1" s="1"/>
  <c r="BP997" i="1"/>
  <c r="BO997" i="1" s="1"/>
  <c r="AS997" i="1"/>
  <c r="CO997" i="1" s="1"/>
  <c r="BP1000" i="1"/>
  <c r="BO1000" i="1" s="1"/>
  <c r="AS1000" i="1"/>
  <c r="BK1000" i="1" s="1"/>
  <c r="BP274" i="1"/>
  <c r="BO274" i="1" s="1"/>
  <c r="AS274" i="1"/>
  <c r="CC274" i="1" s="1"/>
  <c r="BP341" i="1"/>
  <c r="BO341" i="1" s="1"/>
  <c r="AS341" i="1"/>
  <c r="DB341" i="1" s="1"/>
  <c r="BP1069" i="1"/>
  <c r="BO1069" i="1" s="1"/>
  <c r="BQ1069" i="1"/>
  <c r="BP342" i="1"/>
  <c r="BO342" i="1" s="1"/>
  <c r="AS342" i="1"/>
  <c r="BP344" i="1"/>
  <c r="BO344" i="1" s="1"/>
  <c r="AS344" i="1"/>
  <c r="BZ344" i="1" s="1"/>
  <c r="BP1072" i="1"/>
  <c r="BO1072" i="1" s="1"/>
  <c r="AS1072" i="1"/>
  <c r="BU346" i="1"/>
  <c r="BX346" i="1"/>
  <c r="CA346" i="1"/>
  <c r="CD346" i="1"/>
  <c r="BR346" i="1"/>
  <c r="AS346" i="1"/>
  <c r="BT346" i="1" s="1"/>
  <c r="BP1075" i="1"/>
  <c r="BO1075" i="1" s="1"/>
  <c r="AS1075" i="1"/>
  <c r="BP1077" i="1"/>
  <c r="BO1077" i="1" s="1"/>
  <c r="AS1077" i="1"/>
  <c r="CR1077" i="1" s="1"/>
  <c r="BP353" i="1"/>
  <c r="BO353" i="1" s="1"/>
  <c r="AS353" i="1"/>
  <c r="BU1080" i="1"/>
  <c r="BX1080" i="1"/>
  <c r="CA1080" i="1"/>
  <c r="CD1080" i="1"/>
  <c r="BR1080" i="1"/>
  <c r="AS1080" i="1"/>
  <c r="CI1080" i="1" s="1"/>
  <c r="BP141" i="1"/>
  <c r="BO141" i="1" s="1"/>
  <c r="AS141" i="1"/>
  <c r="CY141" i="1" s="1"/>
  <c r="BP272" i="1"/>
  <c r="BO272" i="1" s="1"/>
  <c r="BQ272" i="1"/>
  <c r="BU354" i="1"/>
  <c r="BX354" i="1"/>
  <c r="CA354" i="1"/>
  <c r="CD354" i="1"/>
  <c r="BR354" i="1"/>
  <c r="AS354" i="1"/>
  <c r="BP1083" i="1"/>
  <c r="BO1083" i="1" s="1"/>
  <c r="AS1083" i="1"/>
  <c r="BT1083" i="1" s="1"/>
  <c r="BP854" i="1"/>
  <c r="BO854" i="1" s="1"/>
  <c r="AS854" i="1"/>
  <c r="DB854" i="1" s="1"/>
  <c r="BP357" i="1"/>
  <c r="BO357" i="1" s="1"/>
  <c r="AS357" i="1"/>
  <c r="BT357" i="1" s="1"/>
  <c r="BV148" i="1"/>
  <c r="BU148" i="1" s="1"/>
  <c r="BY148" i="1"/>
  <c r="BX148" i="1" s="1"/>
  <c r="CB148" i="1"/>
  <c r="CA148" i="1" s="1"/>
  <c r="CE148" i="1"/>
  <c r="CD148" i="1" s="1"/>
  <c r="BS148" i="1"/>
  <c r="BR148" i="1" s="1"/>
  <c r="AS148" i="1"/>
  <c r="DE148" i="1" s="1"/>
  <c r="BP884" i="1"/>
  <c r="BO884" i="1" s="1"/>
  <c r="AS884" i="1"/>
  <c r="CO884" i="1" s="1"/>
  <c r="AS362" i="1"/>
  <c r="BV1092" i="1"/>
  <c r="BY1092" i="1"/>
  <c r="BX1092" i="1" s="1"/>
  <c r="CB1092" i="1"/>
  <c r="CE1092" i="1"/>
  <c r="CD1092" i="1" s="1"/>
  <c r="BS1092" i="1"/>
  <c r="BR1092" i="1" s="1"/>
  <c r="AS1092" i="1"/>
  <c r="BV363" i="1"/>
  <c r="BU363" i="1" s="1"/>
  <c r="BY363" i="1"/>
  <c r="BX363" i="1" s="1"/>
  <c r="CB363" i="1"/>
  <c r="CA363" i="1" s="1"/>
  <c r="CE363" i="1"/>
  <c r="CD363" i="1" s="1"/>
  <c r="BS363" i="1"/>
  <c r="BR363" i="1" s="1"/>
  <c r="AS363" i="1"/>
  <c r="BV1094" i="1"/>
  <c r="BU1094" i="1" s="1"/>
  <c r="BY1094" i="1"/>
  <c r="CB1094" i="1"/>
  <c r="CA1094" i="1" s="1"/>
  <c r="CE1094" i="1"/>
  <c r="BS1094" i="1"/>
  <c r="BR1094" i="1" s="1"/>
  <c r="AS1094" i="1"/>
  <c r="DE1094" i="1" s="1"/>
  <c r="BP367" i="1"/>
  <c r="BO367" i="1" s="1"/>
  <c r="AS367" i="1"/>
  <c r="BP371" i="1"/>
  <c r="BO371" i="1" s="1"/>
  <c r="AS371" i="1"/>
  <c r="BT371" i="1" s="1"/>
  <c r="BV183" i="1"/>
  <c r="BU183" i="1" s="1"/>
  <c r="BY183" i="1"/>
  <c r="BX183" i="1" s="1"/>
  <c r="CB183" i="1"/>
  <c r="CE183" i="1"/>
  <c r="CD183" i="1" s="1"/>
  <c r="BS183" i="1"/>
  <c r="BR183" i="1" s="1"/>
  <c r="AS183" i="1"/>
  <c r="BV896" i="1"/>
  <c r="BU896" i="1" s="1"/>
  <c r="BY896" i="1"/>
  <c r="CB896" i="1"/>
  <c r="CA896" i="1" s="1"/>
  <c r="CE896" i="1"/>
  <c r="BS896" i="1"/>
  <c r="BR896" i="1" s="1"/>
  <c r="AS896" i="1"/>
  <c r="BV190" i="1"/>
  <c r="BU190" i="1" s="1"/>
  <c r="BY190" i="1"/>
  <c r="BX190" i="1" s="1"/>
  <c r="CB190" i="1"/>
  <c r="CA190" i="1" s="1"/>
  <c r="CE190" i="1"/>
  <c r="CD190" i="1" s="1"/>
  <c r="BS190" i="1"/>
  <c r="BR190" i="1" s="1"/>
  <c r="AS190" i="1"/>
  <c r="BV906" i="1"/>
  <c r="BY906" i="1"/>
  <c r="BX906" i="1" s="1"/>
  <c r="CB906" i="1"/>
  <c r="CE906" i="1"/>
  <c r="CD906" i="1" s="1"/>
  <c r="BS906" i="1"/>
  <c r="BR906" i="1" s="1"/>
  <c r="AS906" i="1"/>
  <c r="CE916" i="1"/>
  <c r="AS916" i="1"/>
  <c r="BV206" i="1"/>
  <c r="BU206" i="1" s="1"/>
  <c r="BY206" i="1"/>
  <c r="BX206" i="1" s="1"/>
  <c r="CB206" i="1"/>
  <c r="CA206" i="1" s="1"/>
  <c r="CE206" i="1"/>
  <c r="CD206" i="1" s="1"/>
  <c r="BS206" i="1"/>
  <c r="BR206" i="1" s="1"/>
  <c r="AS206" i="1"/>
  <c r="BV209" i="1"/>
  <c r="BU209" i="1" s="1"/>
  <c r="BY209" i="1"/>
  <c r="BX209" i="1" s="1"/>
  <c r="CB209" i="1"/>
  <c r="CA209" i="1" s="1"/>
  <c r="CE209" i="1"/>
  <c r="CD209" i="1" s="1"/>
  <c r="BS209" i="1"/>
  <c r="BR209" i="1" s="1"/>
  <c r="AS209" i="1"/>
  <c r="BV213" i="1"/>
  <c r="BU213" i="1" s="1"/>
  <c r="BY213" i="1"/>
  <c r="BX213" i="1" s="1"/>
  <c r="CB213" i="1"/>
  <c r="CA213" i="1" s="1"/>
  <c r="CE213" i="1"/>
  <c r="BS213" i="1"/>
  <c r="BR213" i="1" s="1"/>
  <c r="AS213" i="1"/>
  <c r="BV934" i="1"/>
  <c r="BU934" i="1" s="1"/>
  <c r="BY934" i="1"/>
  <c r="CB934" i="1"/>
  <c r="CE934" i="1"/>
  <c r="BS934" i="1"/>
  <c r="BR934" i="1" s="1"/>
  <c r="AS934" i="1"/>
  <c r="BV937" i="1"/>
  <c r="BY937" i="1"/>
  <c r="BX937" i="1" s="1"/>
  <c r="CB937" i="1"/>
  <c r="CE937" i="1"/>
  <c r="CD937" i="1" s="1"/>
  <c r="BS937" i="1"/>
  <c r="BR937" i="1" s="1"/>
  <c r="AS937" i="1"/>
  <c r="BV229" i="1"/>
  <c r="BU229" i="1" s="1"/>
  <c r="BY229" i="1"/>
  <c r="BX229" i="1" s="1"/>
  <c r="CB229" i="1"/>
  <c r="CA229" i="1" s="1"/>
  <c r="CE229" i="1"/>
  <c r="CF229" i="1" s="1"/>
  <c r="BS229" i="1"/>
  <c r="BR229" i="1" s="1"/>
  <c r="BV305" i="1"/>
  <c r="BU305" i="1" s="1"/>
  <c r="BY305" i="1"/>
  <c r="BX305" i="1" s="1"/>
  <c r="CB305" i="1"/>
  <c r="CA305" i="1" s="1"/>
  <c r="CE305" i="1"/>
  <c r="CD305" i="1" s="1"/>
  <c r="BS305" i="1"/>
  <c r="BR305" i="1" s="1"/>
  <c r="AS305" i="1"/>
  <c r="BV1036" i="1"/>
  <c r="BY1036" i="1"/>
  <c r="CB1036" i="1"/>
  <c r="CA1036" i="1" s="1"/>
  <c r="CE1036" i="1"/>
  <c r="CD1036" i="1" s="1"/>
  <c r="BS1036" i="1"/>
  <c r="BR1036" i="1" s="1"/>
  <c r="AS1036" i="1"/>
  <c r="BV1098" i="1"/>
  <c r="BU1098" i="1" s="1"/>
  <c r="BY1098" i="1"/>
  <c r="BX1098" i="1" s="1"/>
  <c r="CB1098" i="1"/>
  <c r="CA1098" i="1" s="1"/>
  <c r="CE1098" i="1"/>
  <c r="CD1098" i="1" s="1"/>
  <c r="BS1098" i="1"/>
  <c r="BR1098" i="1" s="1"/>
  <c r="AS1098" i="1"/>
  <c r="DE1098" i="1" s="1"/>
  <c r="BV1100" i="1"/>
  <c r="BU1100" i="1" s="1"/>
  <c r="BY1100" i="1"/>
  <c r="BX1100" i="1" s="1"/>
  <c r="CB1100" i="1"/>
  <c r="CA1100" i="1" s="1"/>
  <c r="CE1100" i="1"/>
  <c r="BS1100" i="1"/>
  <c r="AS1100" i="1"/>
  <c r="BV376" i="1"/>
  <c r="BU376" i="1" s="1"/>
  <c r="BY376" i="1"/>
  <c r="BX376" i="1" s="1"/>
  <c r="CB376" i="1"/>
  <c r="CA376" i="1" s="1"/>
  <c r="CE376" i="1"/>
  <c r="CD376" i="1" s="1"/>
  <c r="BS376" i="1"/>
  <c r="BR376" i="1" s="1"/>
  <c r="AS376" i="1"/>
  <c r="AS1104" i="1"/>
  <c r="BV377" i="1"/>
  <c r="BU377" i="1" s="1"/>
  <c r="BY377" i="1"/>
  <c r="BX377" i="1" s="1"/>
  <c r="CB377" i="1"/>
  <c r="CA377" i="1" s="1"/>
  <c r="CE377" i="1"/>
  <c r="CD377" i="1" s="1"/>
  <c r="BS377" i="1"/>
  <c r="BR377" i="1" s="1"/>
  <c r="AS377" i="1"/>
  <c r="BV1107" i="1"/>
  <c r="BU1107" i="1" s="1"/>
  <c r="BY1107" i="1"/>
  <c r="BX1107" i="1" s="1"/>
  <c r="CB1107" i="1"/>
  <c r="CA1107" i="1" s="1"/>
  <c r="CE1107" i="1"/>
  <c r="BS1107" i="1"/>
  <c r="AS1107" i="1"/>
  <c r="BV378" i="1"/>
  <c r="BU378" i="1" s="1"/>
  <c r="BY378" i="1"/>
  <c r="BX378" i="1" s="1"/>
  <c r="CB378" i="1"/>
  <c r="CA378" i="1" s="1"/>
  <c r="CE378" i="1"/>
  <c r="CD378" i="1" s="1"/>
  <c r="BS378" i="1"/>
  <c r="BR378" i="1" s="1"/>
  <c r="AS378" i="1"/>
  <c r="BV219" i="1"/>
  <c r="BY219" i="1"/>
  <c r="CB219" i="1"/>
  <c r="CA219" i="1" s="1"/>
  <c r="CE219" i="1"/>
  <c r="CD219" i="1" s="1"/>
  <c r="BS219" i="1"/>
  <c r="BR219" i="1" s="1"/>
  <c r="AS219" i="1"/>
  <c r="BV1031" i="1"/>
  <c r="BU1031" i="1" s="1"/>
  <c r="BY1031" i="1"/>
  <c r="BX1031" i="1" s="1"/>
  <c r="CB1031" i="1"/>
  <c r="CA1031" i="1" s="1"/>
  <c r="CE1031" i="1"/>
  <c r="CD1031" i="1" s="1"/>
  <c r="BS1031" i="1"/>
  <c r="BR1031" i="1" s="1"/>
  <c r="AS1031" i="1"/>
  <c r="DE1031" i="1" s="1"/>
  <c r="BV382" i="1"/>
  <c r="BU382" i="1" s="1"/>
  <c r="BY382" i="1"/>
  <c r="BX382" i="1" s="1"/>
  <c r="CB382" i="1"/>
  <c r="CA382" i="1" s="1"/>
  <c r="CE382" i="1"/>
  <c r="BS382" i="1"/>
  <c r="BR382" i="1" s="1"/>
  <c r="AS382" i="1"/>
  <c r="BV1111" i="1"/>
  <c r="BU1111" i="1" s="1"/>
  <c r="BY1111" i="1"/>
  <c r="BX1111" i="1" s="1"/>
  <c r="CB1111" i="1"/>
  <c r="CA1111" i="1" s="1"/>
  <c r="CE1111" i="1"/>
  <c r="CD1111" i="1" s="1"/>
  <c r="BS1111" i="1"/>
  <c r="BR1111" i="1" s="1"/>
  <c r="AS1111" i="1"/>
  <c r="BV385" i="1"/>
  <c r="BY385" i="1"/>
  <c r="CB385" i="1"/>
  <c r="CA385" i="1" s="1"/>
  <c r="CE385" i="1"/>
  <c r="CD385" i="1" s="1"/>
  <c r="BS385" i="1"/>
  <c r="BR385" i="1" s="1"/>
  <c r="AS385" i="1"/>
  <c r="BV1114" i="1"/>
  <c r="BU1114" i="1" s="1"/>
  <c r="BY1114" i="1"/>
  <c r="BX1114" i="1" s="1"/>
  <c r="CB1114" i="1"/>
  <c r="CA1114" i="1" s="1"/>
  <c r="CE1114" i="1"/>
  <c r="CD1114" i="1" s="1"/>
  <c r="BS1114" i="1"/>
  <c r="BR1114" i="1" s="1"/>
  <c r="AS1114" i="1"/>
  <c r="BV386" i="1"/>
  <c r="BU386" i="1" s="1"/>
  <c r="BY386" i="1"/>
  <c r="BX386" i="1" s="1"/>
  <c r="CB386" i="1"/>
  <c r="CA386" i="1" s="1"/>
  <c r="CE386" i="1"/>
  <c r="BS386" i="1"/>
  <c r="BR386" i="1" s="1"/>
  <c r="AS386" i="1"/>
  <c r="AS198" i="1"/>
  <c r="BV947" i="1"/>
  <c r="BU947" i="1" s="1"/>
  <c r="BY947" i="1"/>
  <c r="CB947" i="1"/>
  <c r="CA947" i="1" s="1"/>
  <c r="CE947" i="1"/>
  <c r="CD947" i="1" s="1"/>
  <c r="BS947" i="1"/>
  <c r="BR947" i="1" s="1"/>
  <c r="AS947" i="1"/>
  <c r="AS299" i="1"/>
  <c r="BV308" i="1"/>
  <c r="BU308" i="1" s="1"/>
  <c r="BY308" i="1"/>
  <c r="BX308" i="1" s="1"/>
  <c r="CB308" i="1"/>
  <c r="CA308" i="1" s="1"/>
  <c r="CE308" i="1"/>
  <c r="CD308" i="1" s="1"/>
  <c r="BS308" i="1"/>
  <c r="BR308" i="1" s="1"/>
  <c r="AS308" i="1"/>
  <c r="AS1117" i="1"/>
  <c r="BV390" i="1"/>
  <c r="BU390" i="1" s="1"/>
  <c r="BY390" i="1"/>
  <c r="BX390" i="1" s="1"/>
  <c r="CB390" i="1"/>
  <c r="CA390" i="1" s="1"/>
  <c r="CE390" i="1"/>
  <c r="CD390" i="1" s="1"/>
  <c r="BS390" i="1"/>
  <c r="BR390" i="1" s="1"/>
  <c r="AS390" i="1"/>
  <c r="AS1118" i="1"/>
  <c r="BV391" i="1"/>
  <c r="BU391" i="1" s="1"/>
  <c r="BY391" i="1"/>
  <c r="BX391" i="1" s="1"/>
  <c r="CB391" i="1"/>
  <c r="CA391" i="1" s="1"/>
  <c r="CE391" i="1"/>
  <c r="CD391" i="1" s="1"/>
  <c r="BS391" i="1"/>
  <c r="BR391" i="1" s="1"/>
  <c r="AS391" i="1"/>
  <c r="BV1119" i="1"/>
  <c r="BU1119" i="1" s="1"/>
  <c r="BY1119" i="1"/>
  <c r="CB1119" i="1"/>
  <c r="CA1119" i="1" s="1"/>
  <c r="CE1119" i="1"/>
  <c r="BS1119" i="1"/>
  <c r="BR1119" i="1" s="1"/>
  <c r="AS1119" i="1"/>
  <c r="AS394" i="1"/>
  <c r="BV1120" i="1"/>
  <c r="BY1120" i="1"/>
  <c r="BX1120" i="1" s="1"/>
  <c r="CB1120" i="1"/>
  <c r="CE1120" i="1"/>
  <c r="CD1120" i="1" s="1"/>
  <c r="BS1120" i="1"/>
  <c r="BR1120" i="1" s="1"/>
  <c r="AS1120" i="1"/>
  <c r="AS395" i="1"/>
  <c r="AS242" i="1"/>
  <c r="AS951" i="1"/>
  <c r="AS956" i="1"/>
  <c r="AS251" i="1"/>
  <c r="AS968" i="1"/>
  <c r="AS973" i="1"/>
  <c r="AS993" i="1"/>
  <c r="AS321" i="1"/>
  <c r="AS1046" i="1"/>
  <c r="AS1049" i="1"/>
  <c r="AS326" i="1"/>
  <c r="AS1052" i="1"/>
  <c r="AS333" i="1"/>
  <c r="AS1059" i="1"/>
  <c r="AS1062" i="1"/>
  <c r="AS1122" i="1"/>
  <c r="AS396" i="1"/>
  <c r="AS1125" i="1"/>
  <c r="AS399" i="1"/>
  <c r="AS1126" i="1"/>
  <c r="AS981" i="1"/>
  <c r="AS267" i="1"/>
  <c r="AS316" i="1"/>
  <c r="AS339" i="1"/>
  <c r="AS401" i="1"/>
  <c r="AS1129" i="1"/>
  <c r="AS403" i="1"/>
  <c r="AS260" i="1"/>
  <c r="AS987" i="1"/>
  <c r="AS1039" i="1"/>
  <c r="AS1132" i="1"/>
  <c r="AS404" i="1"/>
  <c r="AS849" i="1"/>
  <c r="AS1001" i="1"/>
  <c r="AS1068" i="1"/>
  <c r="AS343" i="1"/>
  <c r="AS1076" i="1"/>
  <c r="AS351" i="1"/>
  <c r="AS1078" i="1"/>
  <c r="AS1133" i="1"/>
  <c r="AS406" i="1"/>
  <c r="AS1134" i="1"/>
  <c r="AS408" i="1"/>
  <c r="AS1135" i="1"/>
  <c r="AS139" i="1"/>
  <c r="AS1070" i="1"/>
  <c r="AS345" i="1"/>
  <c r="AS1073" i="1"/>
  <c r="AS1081" i="1"/>
  <c r="AS409" i="1"/>
  <c r="AS1137" i="1"/>
  <c r="AS411" i="1"/>
  <c r="AS1138" i="1"/>
  <c r="AS841" i="1"/>
  <c r="AS355" i="1"/>
  <c r="AS413" i="1"/>
  <c r="AS1140" i="1"/>
  <c r="BV782" i="1"/>
  <c r="BU782" i="1" s="1"/>
  <c r="BY782" i="1"/>
  <c r="BX782" i="1" s="1"/>
  <c r="CB782" i="1"/>
  <c r="CA782" i="1" s="1"/>
  <c r="CE782" i="1"/>
  <c r="CD782" i="1" s="1"/>
  <c r="BS782" i="1"/>
  <c r="BR782" i="1" s="1"/>
  <c r="AS782" i="1"/>
  <c r="AS855" i="1"/>
  <c r="AS865" i="1"/>
  <c r="BV1006" i="1"/>
  <c r="BU1006" i="1" s="1"/>
  <c r="BY1006" i="1"/>
  <c r="CB1006" i="1"/>
  <c r="CA1006" i="1" s="1"/>
  <c r="CE1006" i="1"/>
  <c r="BS1006" i="1"/>
  <c r="BR1006" i="1" s="1"/>
  <c r="AS1006" i="1"/>
  <c r="BV359" i="1"/>
  <c r="BU359" i="1" s="1"/>
  <c r="BY359" i="1"/>
  <c r="BX359" i="1" s="1"/>
  <c r="CB359" i="1"/>
  <c r="CA359" i="1" s="1"/>
  <c r="CE359" i="1"/>
  <c r="CD359" i="1" s="1"/>
  <c r="BS359" i="1"/>
  <c r="BR359" i="1" s="1"/>
  <c r="AS359" i="1"/>
  <c r="AS364" i="1"/>
  <c r="AS415" i="1"/>
  <c r="AS1142" i="1"/>
  <c r="BV416" i="1"/>
  <c r="BU416" i="1" s="1"/>
  <c r="BY416" i="1"/>
  <c r="BX416" i="1" s="1"/>
  <c r="CB416" i="1"/>
  <c r="CA416" i="1" s="1"/>
  <c r="CE416" i="1"/>
  <c r="BS416" i="1"/>
  <c r="BR416" i="1" s="1"/>
  <c r="AS416" i="1"/>
  <c r="AS1145" i="1"/>
  <c r="AS419" i="1"/>
  <c r="AS421" i="1"/>
  <c r="BV1150" i="1"/>
  <c r="BU1150" i="1" s="1"/>
  <c r="BY1150" i="1"/>
  <c r="BX1150" i="1" s="1"/>
  <c r="CB1150" i="1"/>
  <c r="CA1150" i="1" s="1"/>
  <c r="CE1150" i="1"/>
  <c r="CD1150" i="1" s="1"/>
  <c r="BS1150" i="1"/>
  <c r="BR1150" i="1" s="1"/>
  <c r="AS1150" i="1"/>
  <c r="BV158" i="1"/>
  <c r="BY158" i="1"/>
  <c r="BX158" i="1" s="1"/>
  <c r="CB158" i="1"/>
  <c r="CE158" i="1"/>
  <c r="CD158" i="1" s="1"/>
  <c r="BS158" i="1"/>
  <c r="BR158" i="1" s="1"/>
  <c r="AS158" i="1"/>
  <c r="BV167" i="1"/>
  <c r="BU167" i="1" s="1"/>
  <c r="BY167" i="1"/>
  <c r="BX167" i="1" s="1"/>
  <c r="CB167" i="1"/>
  <c r="CA167" i="1" s="1"/>
  <c r="CE167" i="1"/>
  <c r="CD167" i="1" s="1"/>
  <c r="BS167" i="1"/>
  <c r="BR167" i="1" s="1"/>
  <c r="AS167" i="1"/>
  <c r="AS885" i="1"/>
  <c r="AS368" i="1"/>
  <c r="BV1153" i="1"/>
  <c r="BY1153" i="1"/>
  <c r="BX1153" i="1" s="1"/>
  <c r="CB1153" i="1"/>
  <c r="CE1153" i="1"/>
  <c r="CD1153" i="1" s="1"/>
  <c r="BS1153" i="1"/>
  <c r="BR1153" i="1" s="1"/>
  <c r="AS1153" i="1"/>
  <c r="AS1156" i="1"/>
  <c r="AS425" i="1"/>
  <c r="AS878" i="1"/>
  <c r="BV279" i="1"/>
  <c r="BY279" i="1"/>
  <c r="BX279" i="1" s="1"/>
  <c r="CB279" i="1"/>
  <c r="CE279" i="1"/>
  <c r="CD279" i="1" s="1"/>
  <c r="BS279" i="1"/>
  <c r="BR279" i="1" s="1"/>
  <c r="AS279" i="1"/>
  <c r="BV1161" i="1"/>
  <c r="BU1161" i="1" s="1"/>
  <c r="BY1161" i="1"/>
  <c r="BX1161" i="1" s="1"/>
  <c r="CB1161" i="1"/>
  <c r="CA1161" i="1" s="1"/>
  <c r="CE1161" i="1"/>
  <c r="CD1161" i="1" s="1"/>
  <c r="BS1161" i="1"/>
  <c r="AS1161" i="1"/>
  <c r="AS429" i="1"/>
  <c r="AS1163" i="1"/>
  <c r="BV309" i="1"/>
  <c r="BY309" i="1"/>
  <c r="BX309" i="1" s="1"/>
  <c r="CB309" i="1"/>
  <c r="CE309" i="1"/>
  <c r="CD309" i="1" s="1"/>
  <c r="BS309" i="1"/>
  <c r="BR309" i="1" s="1"/>
  <c r="AS309" i="1"/>
  <c r="AS375" i="1"/>
  <c r="AS379" i="1"/>
  <c r="BV922" i="1"/>
  <c r="BU922" i="1" s="1"/>
  <c r="BY922" i="1"/>
  <c r="BX922" i="1" s="1"/>
  <c r="CB922" i="1"/>
  <c r="CA922" i="1" s="1"/>
  <c r="CE922" i="1"/>
  <c r="CD922" i="1" s="1"/>
  <c r="BS922" i="1"/>
  <c r="BR922" i="1" s="1"/>
  <c r="AS922" i="1"/>
  <c r="BV901" i="1"/>
  <c r="BY901" i="1"/>
  <c r="BX901" i="1" s="1"/>
  <c r="CB901" i="1"/>
  <c r="CE901" i="1"/>
  <c r="CD901" i="1" s="1"/>
  <c r="BS901" i="1"/>
  <c r="BR901" i="1" s="1"/>
  <c r="AS901" i="1"/>
  <c r="BV191" i="1"/>
  <c r="BU191" i="1" s="1"/>
  <c r="BY191" i="1"/>
  <c r="BX191" i="1" s="1"/>
  <c r="CB191" i="1"/>
  <c r="CE191" i="1"/>
  <c r="CD191" i="1" s="1"/>
  <c r="BS191" i="1"/>
  <c r="BR191" i="1" s="1"/>
  <c r="AS191" i="1"/>
  <c r="AS210" i="1"/>
  <c r="AS927" i="1"/>
  <c r="AS214" i="1"/>
  <c r="AS223" i="1"/>
  <c r="BV938" i="1"/>
  <c r="BU938" i="1" s="1"/>
  <c r="BY938" i="1"/>
  <c r="CB938" i="1"/>
  <c r="CA938" i="1" s="1"/>
  <c r="CE938" i="1"/>
  <c r="BS938" i="1"/>
  <c r="AS938" i="1"/>
  <c r="AS230" i="1"/>
  <c r="AS296" i="1"/>
  <c r="BV1108" i="1"/>
  <c r="BU1108" i="1" s="1"/>
  <c r="BY1108" i="1"/>
  <c r="BX1108" i="1" s="1"/>
  <c r="CB1108" i="1"/>
  <c r="CA1108" i="1" s="1"/>
  <c r="CE1108" i="1"/>
  <c r="CD1108" i="1" s="1"/>
  <c r="BS1108" i="1"/>
  <c r="BR1108" i="1" s="1"/>
  <c r="AS1108" i="1"/>
  <c r="BV1112" i="1"/>
  <c r="BU1112" i="1" s="1"/>
  <c r="BY1112" i="1"/>
  <c r="CB1112" i="1"/>
  <c r="CA1112" i="1" s="1"/>
  <c r="CE1112" i="1"/>
  <c r="BS1112" i="1"/>
  <c r="BR1112" i="1" s="1"/>
  <c r="AS1112" i="1"/>
  <c r="AS433" i="1"/>
  <c r="AS1173" i="1"/>
  <c r="AS434" i="1"/>
  <c r="AS435" i="1"/>
  <c r="AS243" i="1"/>
  <c r="AS957" i="1"/>
  <c r="AS963" i="1"/>
  <c r="AS969" i="1"/>
  <c r="AS988" i="1"/>
  <c r="AS994" i="1"/>
  <c r="AS1040" i="1"/>
  <c r="AS317" i="1"/>
  <c r="AS324" i="1"/>
  <c r="AS327" i="1"/>
  <c r="AS1053" i="1"/>
  <c r="AS1056" i="1"/>
  <c r="AS335" i="1"/>
  <c r="AS1063" i="1"/>
  <c r="AS1099" i="1"/>
  <c r="AS1123" i="1"/>
  <c r="AS397" i="1"/>
  <c r="AS400" i="1"/>
  <c r="AS1130" i="1"/>
  <c r="AS405" i="1"/>
  <c r="AS1179" i="1"/>
  <c r="AS436" i="1"/>
  <c r="AS1180" i="1"/>
  <c r="AS438" i="1"/>
  <c r="AS1182" i="1"/>
  <c r="AS440" i="1"/>
  <c r="AS1184" i="1"/>
  <c r="AS442" i="1"/>
  <c r="AS1191" i="1"/>
  <c r="AS444" i="1"/>
  <c r="AS1192" i="1"/>
  <c r="AS445" i="1"/>
  <c r="AS952" i="1"/>
  <c r="AS974" i="1"/>
  <c r="AS330" i="1"/>
  <c r="AS1060" i="1"/>
  <c r="AS1193" i="1"/>
  <c r="AS447" i="1"/>
  <c r="AS1199" i="1"/>
  <c r="AS448" i="1"/>
  <c r="AS982" i="1"/>
  <c r="AS1200" i="1"/>
  <c r="AS449" i="1"/>
  <c r="AS1201" i="1"/>
  <c r="AS451" i="1"/>
  <c r="AS1203" i="1"/>
  <c r="AS998" i="1"/>
  <c r="AS1071" i="1"/>
  <c r="AS1079" i="1"/>
  <c r="AS356" i="1"/>
  <c r="AS402" i="1"/>
  <c r="AS410" i="1"/>
  <c r="AS412" i="1"/>
  <c r="AS1139" i="1"/>
  <c r="AS414" i="1"/>
  <c r="AS1141" i="1"/>
  <c r="AS453" i="1"/>
  <c r="AS1205" i="1"/>
  <c r="AS1206" i="1"/>
  <c r="AS454" i="1"/>
  <c r="AS1207" i="1"/>
  <c r="AS455" i="1"/>
  <c r="AS1208" i="1"/>
  <c r="AS456" i="1"/>
  <c r="AS1209" i="1"/>
  <c r="AS457" i="1"/>
  <c r="AS1082" i="1"/>
  <c r="AS407" i="1"/>
  <c r="AS1210" i="1"/>
  <c r="AS458" i="1"/>
  <c r="AS144" i="1"/>
  <c r="AS270" i="1"/>
  <c r="AS352" i="1"/>
  <c r="AS1136" i="1"/>
  <c r="AS459" i="1"/>
  <c r="AS1212" i="1"/>
  <c r="AS460" i="1"/>
  <c r="AS856" i="1"/>
  <c r="BV1007" i="1"/>
  <c r="BU1007" i="1" s="1"/>
  <c r="BY1007" i="1"/>
  <c r="BX1007" i="1" s="1"/>
  <c r="CB1007" i="1"/>
  <c r="CE1007" i="1"/>
  <c r="CD1007" i="1" s="1"/>
  <c r="BS1007" i="1"/>
  <c r="AS1007" i="1"/>
  <c r="BV285" i="1"/>
  <c r="BY285" i="1"/>
  <c r="CB285" i="1"/>
  <c r="CA285" i="1" s="1"/>
  <c r="CE285" i="1"/>
  <c r="CD285" i="1" s="1"/>
  <c r="BS285" i="1"/>
  <c r="BR285" i="1" s="1"/>
  <c r="AS285" i="1"/>
  <c r="BV365" i="1"/>
  <c r="BY365" i="1"/>
  <c r="BX365" i="1" s="1"/>
  <c r="CB365" i="1"/>
  <c r="CA365" i="1" s="1"/>
  <c r="CE365" i="1"/>
  <c r="CD365" i="1" s="1"/>
  <c r="BS365" i="1"/>
  <c r="BR365" i="1" s="1"/>
  <c r="AS365" i="1"/>
  <c r="BV1146" i="1"/>
  <c r="BU1146" i="1" s="1"/>
  <c r="BY1146" i="1"/>
  <c r="BX1146" i="1" s="1"/>
  <c r="CB1146" i="1"/>
  <c r="CA1146" i="1" s="1"/>
  <c r="CE1146" i="1"/>
  <c r="CD1146" i="1" s="1"/>
  <c r="BS1146" i="1"/>
  <c r="BR1146" i="1" s="1"/>
  <c r="AS1146" i="1"/>
  <c r="AS422" i="1"/>
  <c r="BV1151" i="1"/>
  <c r="BU1151" i="1" s="1"/>
  <c r="BY1151" i="1"/>
  <c r="BX1151" i="1" s="1"/>
  <c r="CB1151" i="1"/>
  <c r="CA1151" i="1" s="1"/>
  <c r="CE1151" i="1"/>
  <c r="CD1151" i="1" s="1"/>
  <c r="BS1151" i="1"/>
  <c r="BR1151" i="1" s="1"/>
  <c r="AS1151" i="1"/>
  <c r="BV1154" i="1"/>
  <c r="BU1154" i="1" s="1"/>
  <c r="BY1154" i="1"/>
  <c r="BX1154" i="1" s="1"/>
  <c r="CB1154" i="1"/>
  <c r="CA1154" i="1" s="1"/>
  <c r="CE1154" i="1"/>
  <c r="BS1154" i="1"/>
  <c r="BR1154" i="1" s="1"/>
  <c r="AS1154" i="1"/>
  <c r="AS1157" i="1"/>
  <c r="AS426" i="1"/>
  <c r="AS1213" i="1"/>
  <c r="AS461" i="1"/>
  <c r="AS462" i="1"/>
  <c r="BV168" i="1"/>
  <c r="BU168" i="1" s="1"/>
  <c r="BY168" i="1"/>
  <c r="BX168" i="1" s="1"/>
  <c r="CB168" i="1"/>
  <c r="CA168" i="1" s="1"/>
  <c r="CE168" i="1"/>
  <c r="CD168" i="1" s="1"/>
  <c r="BS168" i="1"/>
  <c r="BR168" i="1" s="1"/>
  <c r="AS168" i="1"/>
  <c r="BV1096" i="1"/>
  <c r="BU1096" i="1" s="1"/>
  <c r="BY1096" i="1"/>
  <c r="BX1096" i="1" s="1"/>
  <c r="CB1096" i="1"/>
  <c r="CA1096" i="1" s="1"/>
  <c r="CE1096" i="1"/>
  <c r="CD1096" i="1" s="1"/>
  <c r="BS1096" i="1"/>
  <c r="BR1096" i="1" s="1"/>
  <c r="AS1096" i="1"/>
  <c r="AS1216" i="1"/>
  <c r="AS463" i="1"/>
  <c r="AS1217" i="1"/>
  <c r="BV465" i="1"/>
  <c r="BU465" i="1" s="1"/>
  <c r="BY465" i="1"/>
  <c r="BX465" i="1" s="1"/>
  <c r="CB465" i="1"/>
  <c r="CA465" i="1" s="1"/>
  <c r="CE465" i="1"/>
  <c r="CD465" i="1" s="1"/>
  <c r="BS465" i="1"/>
  <c r="BR465" i="1" s="1"/>
  <c r="AS465" i="1"/>
  <c r="AS466" i="1"/>
  <c r="BV280" i="1"/>
  <c r="BU280" i="1" s="1"/>
  <c r="BY280" i="1"/>
  <c r="BX280" i="1" s="1"/>
  <c r="CB280" i="1"/>
  <c r="CA280" i="1" s="1"/>
  <c r="CE280" i="1"/>
  <c r="CD280" i="1" s="1"/>
  <c r="BS280" i="1"/>
  <c r="BR280" i="1" s="1"/>
  <c r="AS280" i="1"/>
  <c r="BV1012" i="1"/>
  <c r="BU1012" i="1" s="1"/>
  <c r="BY1012" i="1"/>
  <c r="CB1012" i="1"/>
  <c r="CE1012" i="1"/>
  <c r="CD1012" i="1" s="1"/>
  <c r="BS1012" i="1"/>
  <c r="BR1012" i="1" s="1"/>
  <c r="AS1012" i="1"/>
  <c r="BV369" i="1"/>
  <c r="BU369" i="1" s="1"/>
  <c r="BY369" i="1"/>
  <c r="BX369" i="1" s="1"/>
  <c r="CB369" i="1"/>
  <c r="CA369" i="1" s="1"/>
  <c r="CE369" i="1"/>
  <c r="CD369" i="1" s="1"/>
  <c r="BS369" i="1"/>
  <c r="BR369" i="1" s="1"/>
  <c r="AS369" i="1"/>
  <c r="AS1219" i="1"/>
  <c r="BV918" i="1"/>
  <c r="BU918" i="1" s="1"/>
  <c r="BY918" i="1"/>
  <c r="BX918" i="1" s="1"/>
  <c r="CB918" i="1"/>
  <c r="CA918" i="1" s="1"/>
  <c r="CE918" i="1"/>
  <c r="CD918" i="1" s="1"/>
  <c r="BS918" i="1"/>
  <c r="BR918" i="1" s="1"/>
  <c r="AS918" i="1"/>
  <c r="BV939" i="1"/>
  <c r="BU939" i="1" s="1"/>
  <c r="BY939" i="1"/>
  <c r="BX939" i="1" s="1"/>
  <c r="CB939" i="1"/>
  <c r="CA939" i="1" s="1"/>
  <c r="CE939" i="1"/>
  <c r="CD939" i="1" s="1"/>
  <c r="BS939" i="1"/>
  <c r="BR939" i="1" s="1"/>
  <c r="AS939" i="1"/>
  <c r="AS231" i="1"/>
  <c r="AS1027" i="1"/>
  <c r="AS392" i="1"/>
  <c r="AS1174" i="1"/>
  <c r="AS468" i="1"/>
  <c r="AS1220" i="1"/>
  <c r="BV1222" i="1"/>
  <c r="BU1222" i="1" s="1"/>
  <c r="BY1222" i="1"/>
  <c r="BX1222" i="1" s="1"/>
  <c r="CB1222" i="1"/>
  <c r="CA1222" i="1" s="1"/>
  <c r="CE1222" i="1"/>
  <c r="CD1222" i="1" s="1"/>
  <c r="BS1222" i="1"/>
  <c r="BR1222" i="1" s="1"/>
  <c r="AS1222" i="1"/>
  <c r="AS478" i="1"/>
  <c r="AS479" i="1"/>
  <c r="AS928" i="1"/>
  <c r="AS224" i="1"/>
  <c r="BV1033" i="1"/>
  <c r="BU1033" i="1" s="1"/>
  <c r="BY1033" i="1"/>
  <c r="BX1033" i="1" s="1"/>
  <c r="CB1033" i="1"/>
  <c r="CA1033" i="1" s="1"/>
  <c r="CE1033" i="1"/>
  <c r="CD1033" i="1" s="1"/>
  <c r="BS1033" i="1"/>
  <c r="BR1033" i="1" s="1"/>
  <c r="AS1033" i="1"/>
  <c r="BV314" i="1"/>
  <c r="BU314" i="1" s="1"/>
  <c r="BY314" i="1"/>
  <c r="BX314" i="1" s="1"/>
  <c r="CB314" i="1"/>
  <c r="CA314" i="1" s="1"/>
  <c r="CE314" i="1"/>
  <c r="CD314" i="1" s="1"/>
  <c r="BS314" i="1"/>
  <c r="BR314" i="1" s="1"/>
  <c r="AS314" i="1"/>
  <c r="AS380" i="1"/>
  <c r="AS383" i="1"/>
  <c r="BV1113" i="1"/>
  <c r="BU1113" i="1" s="1"/>
  <c r="BY1113" i="1"/>
  <c r="BX1113" i="1" s="1"/>
  <c r="CB1113" i="1"/>
  <c r="CA1113" i="1" s="1"/>
  <c r="CE1113" i="1"/>
  <c r="CD1113" i="1" s="1"/>
  <c r="BS1113" i="1"/>
  <c r="BR1113" i="1" s="1"/>
  <c r="AS1113" i="1"/>
  <c r="AS1115" i="1"/>
  <c r="BV1169" i="1"/>
  <c r="BU1169" i="1" s="1"/>
  <c r="BY1169" i="1"/>
  <c r="CB1169" i="1"/>
  <c r="CA1169" i="1" s="1"/>
  <c r="CE1169" i="1"/>
  <c r="CD1169" i="1" s="1"/>
  <c r="BS1169" i="1"/>
  <c r="BR1169" i="1" s="1"/>
  <c r="AS1169" i="1"/>
  <c r="AS1177" i="1"/>
  <c r="AS481" i="1"/>
  <c r="AS482" i="1"/>
  <c r="BV1226" i="1"/>
  <c r="BU1226" i="1" s="1"/>
  <c r="BY1226" i="1"/>
  <c r="CB1226" i="1"/>
  <c r="CA1226" i="1" s="1"/>
  <c r="CE1226" i="1"/>
  <c r="CD1226" i="1" s="1"/>
  <c r="BS1226" i="1"/>
  <c r="BR1226" i="1" s="1"/>
  <c r="AS1226" i="1"/>
  <c r="AS486" i="1"/>
  <c r="BV1228" i="1"/>
  <c r="BU1228" i="1" s="1"/>
  <c r="BY1228" i="1"/>
  <c r="BX1228" i="1" s="1"/>
  <c r="CB1228" i="1"/>
  <c r="CA1228" i="1" s="1"/>
  <c r="CE1228" i="1"/>
  <c r="CD1228" i="1" s="1"/>
  <c r="BS1228" i="1"/>
  <c r="BR1228" i="1" s="1"/>
  <c r="AS1228" i="1"/>
  <c r="BV902" i="1"/>
  <c r="BU902" i="1" s="1"/>
  <c r="BY902" i="1"/>
  <c r="BX902" i="1" s="1"/>
  <c r="CB902" i="1"/>
  <c r="CA902" i="1" s="1"/>
  <c r="CE902" i="1"/>
  <c r="CD902" i="1" s="1"/>
  <c r="BS902" i="1"/>
  <c r="BR902" i="1" s="1"/>
  <c r="AS902" i="1"/>
  <c r="BV1105" i="1"/>
  <c r="BU1105" i="1" s="1"/>
  <c r="BY1105" i="1"/>
  <c r="CB1105" i="1"/>
  <c r="CA1105" i="1" s="1"/>
  <c r="CE1105" i="1"/>
  <c r="CD1105" i="1" s="1"/>
  <c r="BS1105" i="1"/>
  <c r="BR1105" i="1" s="1"/>
  <c r="AS1105" i="1"/>
  <c r="BV487" i="1"/>
  <c r="BU487" i="1" s="1"/>
  <c r="BY487" i="1"/>
  <c r="BX487" i="1" s="1"/>
  <c r="CB487" i="1"/>
  <c r="CA487" i="1" s="1"/>
  <c r="CE487" i="1"/>
  <c r="CD487" i="1" s="1"/>
  <c r="BS487" i="1"/>
  <c r="BR487" i="1" s="1"/>
  <c r="AS487" i="1"/>
  <c r="AS244" i="1"/>
  <c r="AS953" i="1"/>
  <c r="AS958" i="1"/>
  <c r="AS964" i="1"/>
  <c r="AS970" i="1"/>
  <c r="AS975" i="1"/>
  <c r="AS983" i="1"/>
  <c r="AS1041" i="1"/>
  <c r="AS318" i="1"/>
  <c r="AS1047" i="1"/>
  <c r="AS1050" i="1"/>
  <c r="AS328" i="1"/>
  <c r="AS1054" i="1"/>
  <c r="AS331" i="1"/>
  <c r="AS1057" i="1"/>
  <c r="AS336" i="1"/>
  <c r="AS1064" i="1"/>
  <c r="AS1124" i="1"/>
  <c r="AS398" i="1"/>
  <c r="AS1128" i="1"/>
  <c r="AS1131" i="1"/>
  <c r="AS437" i="1"/>
  <c r="AS1181" i="1"/>
  <c r="AS439" i="1"/>
  <c r="AS1183" i="1"/>
  <c r="AS441" i="1"/>
  <c r="AS443" i="1"/>
  <c r="AS446" i="1"/>
  <c r="AS452" i="1"/>
  <c r="AS1229" i="1"/>
  <c r="AS489" i="1"/>
  <c r="AS1233" i="1"/>
  <c r="AS1234" i="1"/>
  <c r="AS1185" i="1"/>
  <c r="AS1204" i="1"/>
  <c r="AS490" i="1"/>
  <c r="AS1235" i="1"/>
  <c r="AS491" i="1"/>
  <c r="AS1236" i="1"/>
  <c r="AS1194" i="1"/>
  <c r="AS1202" i="1"/>
  <c r="AS492" i="1"/>
  <c r="AS1237" i="1"/>
  <c r="AS493" i="1"/>
  <c r="AS149" i="1"/>
  <c r="AS857" i="1"/>
  <c r="BV871" i="1"/>
  <c r="BU871" i="1" s="1"/>
  <c r="BY871" i="1"/>
  <c r="CB871" i="1"/>
  <c r="CA871" i="1" s="1"/>
  <c r="CE871" i="1"/>
  <c r="BS871" i="1"/>
  <c r="BR871" i="1" s="1"/>
  <c r="AS871" i="1"/>
  <c r="BV169" i="1"/>
  <c r="BY169" i="1"/>
  <c r="BX169" i="1" s="1"/>
  <c r="CB169" i="1"/>
  <c r="CE169" i="1"/>
  <c r="CD169" i="1" s="1"/>
  <c r="BS169" i="1"/>
  <c r="BR169" i="1" s="1"/>
  <c r="AS169" i="1"/>
  <c r="AS879" i="1"/>
  <c r="BV175" i="1"/>
  <c r="BU175" i="1" s="1"/>
  <c r="BY175" i="1"/>
  <c r="CB175" i="1"/>
  <c r="CE175" i="1"/>
  <c r="BS175" i="1"/>
  <c r="BR175" i="1" s="1"/>
  <c r="AS175" i="1"/>
  <c r="AS887" i="1"/>
  <c r="BV1013" i="1"/>
  <c r="BY1013" i="1"/>
  <c r="BX1013" i="1" s="1"/>
  <c r="CB1013" i="1"/>
  <c r="CE1013" i="1"/>
  <c r="BS1013" i="1"/>
  <c r="BR1013" i="1" s="1"/>
  <c r="AS1013" i="1"/>
  <c r="BV286" i="1"/>
  <c r="BU286" i="1" s="1"/>
  <c r="BY286" i="1"/>
  <c r="BX286" i="1" s="1"/>
  <c r="CB286" i="1"/>
  <c r="CE286" i="1"/>
  <c r="CD286" i="1" s="1"/>
  <c r="BS286" i="1"/>
  <c r="AS286" i="1"/>
  <c r="AS1086" i="1"/>
  <c r="AS1093" i="1"/>
  <c r="BV366" i="1"/>
  <c r="BY366" i="1"/>
  <c r="BX366" i="1" s="1"/>
  <c r="CB366" i="1"/>
  <c r="CE366" i="1"/>
  <c r="CD366" i="1" s="1"/>
  <c r="BS366" i="1"/>
  <c r="BR366" i="1" s="1"/>
  <c r="AS366" i="1"/>
  <c r="BV370" i="1"/>
  <c r="BU370" i="1" s="1"/>
  <c r="BY370" i="1"/>
  <c r="BX370" i="1" s="1"/>
  <c r="CB370" i="1"/>
  <c r="CE370" i="1"/>
  <c r="CD370" i="1" s="1"/>
  <c r="BS370" i="1"/>
  <c r="AS370" i="1"/>
  <c r="BV420" i="1"/>
  <c r="BY420" i="1"/>
  <c r="BX420" i="1" s="1"/>
  <c r="CB420" i="1"/>
  <c r="CA420" i="1" s="1"/>
  <c r="CE420" i="1"/>
  <c r="BS420" i="1"/>
  <c r="BR420" i="1" s="1"/>
  <c r="AS420" i="1"/>
  <c r="BV1149" i="1"/>
  <c r="BU1149" i="1" s="1"/>
  <c r="BY1149" i="1"/>
  <c r="BX1149" i="1" s="1"/>
  <c r="CB1149" i="1"/>
  <c r="CA1149" i="1" s="1"/>
  <c r="CE1149" i="1"/>
  <c r="CD1149" i="1" s="1"/>
  <c r="BS1149" i="1"/>
  <c r="BR1149" i="1" s="1"/>
  <c r="AS1149" i="1"/>
  <c r="BV1152" i="1"/>
  <c r="BU1152" i="1" s="1"/>
  <c r="BY1152" i="1"/>
  <c r="BX1152" i="1" s="1"/>
  <c r="CB1152" i="1"/>
  <c r="CA1152" i="1" s="1"/>
  <c r="CE1152" i="1"/>
  <c r="CD1152" i="1" s="1"/>
  <c r="BS1152" i="1"/>
  <c r="AS1152" i="1"/>
  <c r="AS464" i="1"/>
  <c r="AS1238" i="1"/>
  <c r="AS494" i="1"/>
  <c r="BV1239" i="1"/>
  <c r="BU1239" i="1" s="1"/>
  <c r="BY1239" i="1"/>
  <c r="BX1239" i="1" s="1"/>
  <c r="CB1239" i="1"/>
  <c r="CA1239" i="1" s="1"/>
  <c r="CE1239" i="1"/>
  <c r="CD1239" i="1" s="1"/>
  <c r="BS1239" i="1"/>
  <c r="AS1239" i="1"/>
  <c r="AS495" i="1"/>
  <c r="AS496" i="1"/>
  <c r="AS497" i="1"/>
  <c r="AS498" i="1"/>
  <c r="AS1241" i="1"/>
  <c r="BV499" i="1"/>
  <c r="BU499" i="1" s="1"/>
  <c r="BY499" i="1"/>
  <c r="CB499" i="1"/>
  <c r="CA499" i="1" s="1"/>
  <c r="CE499" i="1"/>
  <c r="CD499" i="1" s="1"/>
  <c r="BS499" i="1"/>
  <c r="BR499" i="1" s="1"/>
  <c r="AS499" i="1"/>
  <c r="AS744" i="1"/>
  <c r="AS1155" i="1"/>
  <c r="AS1242" i="1"/>
  <c r="AS500" i="1"/>
  <c r="AS1461" i="1"/>
  <c r="AS428" i="1"/>
  <c r="AS1162" i="1"/>
  <c r="BV185" i="1"/>
  <c r="BU185" i="1" s="1"/>
  <c r="BY185" i="1"/>
  <c r="CB185" i="1"/>
  <c r="CE185" i="1"/>
  <c r="CD185" i="1" s="1"/>
  <c r="BS185" i="1"/>
  <c r="AS185" i="1"/>
  <c r="BV216" i="1"/>
  <c r="BY216" i="1"/>
  <c r="BX216" i="1" s="1"/>
  <c r="CB216" i="1"/>
  <c r="CA216" i="1" s="1"/>
  <c r="CE216" i="1"/>
  <c r="CD216" i="1" s="1"/>
  <c r="BS216" i="1"/>
  <c r="BR216" i="1" s="1"/>
  <c r="AS216" i="1"/>
  <c r="AS225" i="1"/>
  <c r="AS940" i="1"/>
  <c r="AS239" i="1"/>
  <c r="BV300" i="1"/>
  <c r="BY300" i="1"/>
  <c r="BX300" i="1" s="1"/>
  <c r="CB300" i="1"/>
  <c r="CA300" i="1" s="1"/>
  <c r="CE300" i="1"/>
  <c r="BS300" i="1"/>
  <c r="BR300" i="1" s="1"/>
  <c r="AS300" i="1"/>
  <c r="AS1028" i="1"/>
  <c r="AS1034" i="1"/>
  <c r="AS1106" i="1"/>
  <c r="AS1109" i="1"/>
  <c r="AS381" i="1"/>
  <c r="AS384" i="1"/>
  <c r="AS1116" i="1"/>
  <c r="AS1175" i="1"/>
  <c r="AS1178" i="1"/>
  <c r="BV1223" i="1"/>
  <c r="BY1223" i="1"/>
  <c r="CB1223" i="1"/>
  <c r="CA1223" i="1" s="1"/>
  <c r="CE1223" i="1"/>
  <c r="BS1223" i="1"/>
  <c r="BR1223" i="1" s="1"/>
  <c r="AS1223" i="1"/>
  <c r="AS480" i="1"/>
  <c r="BV1225" i="1"/>
  <c r="BY1225" i="1"/>
  <c r="BX1225" i="1" s="1"/>
  <c r="CB1225" i="1"/>
  <c r="CE1225" i="1"/>
  <c r="CD1225" i="1" s="1"/>
  <c r="BS1225" i="1"/>
  <c r="BR1225" i="1" s="1"/>
  <c r="AS1225" i="1"/>
  <c r="AS1227" i="1"/>
  <c r="AS488" i="1"/>
  <c r="BV501" i="1"/>
  <c r="BU501" i="1" s="1"/>
  <c r="BY501" i="1"/>
  <c r="CB501" i="1"/>
  <c r="CA501" i="1" s="1"/>
  <c r="CE501" i="1"/>
  <c r="CD501" i="1" s="1"/>
  <c r="BS501" i="1"/>
  <c r="BR501" i="1" s="1"/>
  <c r="AS501" i="1"/>
  <c r="AS1244" i="1"/>
  <c r="BV502" i="1"/>
  <c r="BU502" i="1" s="1"/>
  <c r="BY502" i="1"/>
  <c r="BX502" i="1" s="1"/>
  <c r="CB502" i="1"/>
  <c r="CE502" i="1"/>
  <c r="CD502" i="1" s="1"/>
  <c r="BS502" i="1"/>
  <c r="BR502" i="1" s="1"/>
  <c r="AS502" i="1"/>
  <c r="AS1245" i="1"/>
  <c r="BV2" i="1"/>
  <c r="BU2" i="1" s="1"/>
  <c r="BY2" i="1"/>
  <c r="CB2" i="1"/>
  <c r="CA2" i="1" s="1"/>
  <c r="CE2" i="1"/>
  <c r="CD2" i="1" s="1"/>
  <c r="BS2" i="1"/>
  <c r="BR2" i="1" s="1"/>
  <c r="AS2" i="1"/>
  <c r="BV903" i="1"/>
  <c r="BY903" i="1"/>
  <c r="BX903" i="1" s="1"/>
  <c r="CB903" i="1"/>
  <c r="CE903" i="1"/>
  <c r="CD903" i="1" s="1"/>
  <c r="BS903" i="1"/>
  <c r="BR903" i="1" s="1"/>
  <c r="AS903" i="1"/>
  <c r="AS192" i="1"/>
  <c r="AS923" i="1"/>
  <c r="AS929" i="1"/>
  <c r="BV1029" i="1"/>
  <c r="BY1029" i="1"/>
  <c r="BX1029" i="1" s="1"/>
  <c r="CB1029" i="1"/>
  <c r="CE1029" i="1"/>
  <c r="CD1029" i="1" s="1"/>
  <c r="BS1029" i="1"/>
  <c r="BR1029" i="1" s="1"/>
  <c r="AS1029" i="1"/>
  <c r="AS393" i="1"/>
  <c r="AS1221" i="1"/>
  <c r="AS470" i="1"/>
  <c r="AS1246" i="1"/>
  <c r="AS919" i="1"/>
  <c r="AS232" i="1"/>
  <c r="BV1172" i="1"/>
  <c r="BU1172" i="1" s="1"/>
  <c r="BY1172" i="1"/>
  <c r="CB1172" i="1"/>
  <c r="CE1172" i="1"/>
  <c r="BS1172" i="1"/>
  <c r="AS1172" i="1"/>
  <c r="AS505" i="1"/>
  <c r="BP161" i="1"/>
  <c r="BO161" i="1" s="1"/>
  <c r="AS161" i="1"/>
  <c r="CI161" i="1" s="1"/>
  <c r="BV277" i="1"/>
  <c r="BY277" i="1"/>
  <c r="BX277" i="1" s="1"/>
  <c r="CB277" i="1"/>
  <c r="CE277" i="1"/>
  <c r="CD277" i="1" s="1"/>
  <c r="BS277" i="1"/>
  <c r="BR277" i="1" s="1"/>
  <c r="AS277" i="1"/>
  <c r="BP151" i="1"/>
  <c r="BO151" i="1" s="1"/>
  <c r="AS151" i="1"/>
  <c r="CO151" i="1" s="1"/>
  <c r="BP881" i="1"/>
  <c r="BO881" i="1" s="1"/>
  <c r="AS881" i="1"/>
  <c r="DB881" i="1" s="1"/>
  <c r="BV1148" i="1"/>
  <c r="BU1148" i="1" s="1"/>
  <c r="BY1148" i="1"/>
  <c r="CB1148" i="1"/>
  <c r="CA1148" i="1" s="1"/>
  <c r="CE1148" i="1"/>
  <c r="CD1148" i="1" s="1"/>
  <c r="BS1148" i="1"/>
  <c r="BR1148" i="1" s="1"/>
  <c r="AS1148" i="1"/>
  <c r="BP164" i="1"/>
  <c r="BO164" i="1" s="1"/>
  <c r="AS164" i="1"/>
  <c r="BE164" i="1" s="1"/>
  <c r="BM1447" i="1"/>
  <c r="BN1447" i="1"/>
  <c r="BM738" i="1"/>
  <c r="BL738" i="1" s="1"/>
  <c r="BW738" i="1"/>
  <c r="BZ738" i="1"/>
  <c r="BT738" i="1"/>
  <c r="BM1448" i="1"/>
  <c r="BL1448" i="1" s="1"/>
  <c r="BW1448" i="1"/>
  <c r="BZ1448" i="1"/>
  <c r="BT1448" i="1"/>
  <c r="BM24" i="1"/>
  <c r="BL24" i="1" s="1"/>
  <c r="BW24" i="1"/>
  <c r="BZ24" i="1"/>
  <c r="BT24" i="1"/>
  <c r="BM767" i="1"/>
  <c r="BL767" i="1" s="1"/>
  <c r="BW767" i="1"/>
  <c r="BZ767" i="1"/>
  <c r="BT767" i="1"/>
  <c r="BM33" i="1"/>
  <c r="BL33" i="1" s="1"/>
  <c r="BW33" i="1"/>
  <c r="BZ33" i="1"/>
  <c r="BT33" i="1"/>
  <c r="BM44" i="1"/>
  <c r="BL44" i="1" s="1"/>
  <c r="BW44" i="1"/>
  <c r="BZ44" i="1"/>
  <c r="BT44" i="1"/>
  <c r="BM778" i="1"/>
  <c r="BL778" i="1" s="1"/>
  <c r="BW778" i="1"/>
  <c r="BZ778" i="1"/>
  <c r="BT778" i="1"/>
  <c r="BM745" i="1"/>
  <c r="BL745" i="1" s="1"/>
  <c r="BW745" i="1"/>
  <c r="BZ745" i="1"/>
  <c r="BT745" i="1"/>
  <c r="BM3" i="1"/>
  <c r="BL3" i="1" s="1"/>
  <c r="BW3" i="1"/>
  <c r="BZ3" i="1"/>
  <c r="BT3" i="1"/>
  <c r="BM777" i="1"/>
  <c r="BL777" i="1" s="1"/>
  <c r="AS777" i="1"/>
  <c r="BW777" i="1" s="1"/>
  <c r="BM750" i="1"/>
  <c r="BL750" i="1" s="1"/>
  <c r="BW750" i="1"/>
  <c r="BZ750" i="1"/>
  <c r="BT750" i="1"/>
  <c r="BM8" i="1"/>
  <c r="BL8" i="1" s="1"/>
  <c r="BW8" i="1"/>
  <c r="BZ8" i="1"/>
  <c r="BT8" i="1"/>
  <c r="BM752" i="1"/>
  <c r="BL752" i="1" s="1"/>
  <c r="BW752" i="1"/>
  <c r="BZ752" i="1"/>
  <c r="BT752" i="1"/>
  <c r="BM9" i="1"/>
  <c r="BL9" i="1" s="1"/>
  <c r="BW9" i="1"/>
  <c r="BZ9" i="1"/>
  <c r="BT9" i="1"/>
  <c r="BM759" i="1"/>
  <c r="BL759" i="1" s="1"/>
  <c r="BW759" i="1"/>
  <c r="BZ759" i="1"/>
  <c r="BT759" i="1"/>
  <c r="BM764" i="1"/>
  <c r="BL764" i="1" s="1"/>
  <c r="BW764" i="1"/>
  <c r="BZ764" i="1"/>
  <c r="BT764" i="1"/>
  <c r="BM13" i="1"/>
  <c r="BL13" i="1" s="1"/>
  <c r="BW13" i="1"/>
  <c r="BZ13" i="1"/>
  <c r="BT13" i="1"/>
  <c r="BM17" i="1"/>
  <c r="BL17" i="1" s="1"/>
  <c r="BW17" i="1"/>
  <c r="BZ17" i="1"/>
  <c r="BT17" i="1"/>
  <c r="BM20" i="1"/>
  <c r="BL20" i="1" s="1"/>
  <c r="BW20" i="1"/>
  <c r="BZ20" i="1"/>
  <c r="BT20" i="1"/>
  <c r="BM734" i="1"/>
  <c r="BL734" i="1" s="1"/>
  <c r="BW734" i="1"/>
  <c r="BZ734" i="1"/>
  <c r="BT734" i="1"/>
  <c r="BM736" i="1"/>
  <c r="BL736" i="1" s="1"/>
  <c r="BW736" i="1"/>
  <c r="BZ736" i="1"/>
  <c r="BT736" i="1"/>
  <c r="BM45" i="1"/>
  <c r="BL45" i="1" s="1"/>
  <c r="BW45" i="1"/>
  <c r="BZ45" i="1"/>
  <c r="BT45" i="1"/>
  <c r="BM48" i="1"/>
  <c r="BL48" i="1" s="1"/>
  <c r="BW48" i="1"/>
  <c r="BZ48" i="1"/>
  <c r="BT48" i="1"/>
  <c r="BM50" i="1"/>
  <c r="BL50" i="1" s="1"/>
  <c r="BW50" i="1"/>
  <c r="BZ50" i="1"/>
  <c r="BT50" i="1"/>
  <c r="BM54" i="1"/>
  <c r="BL54" i="1" s="1"/>
  <c r="BW54" i="1"/>
  <c r="BZ54" i="1"/>
  <c r="BT54" i="1"/>
  <c r="BM783" i="1"/>
  <c r="BL783" i="1" s="1"/>
  <c r="BW783" i="1"/>
  <c r="BZ783" i="1"/>
  <c r="BT783" i="1"/>
  <c r="BM58" i="1"/>
  <c r="BL58" i="1" s="1"/>
  <c r="BW58" i="1"/>
  <c r="BZ58" i="1"/>
  <c r="BT58" i="1"/>
  <c r="BM735" i="1"/>
  <c r="BL735" i="1" s="1"/>
  <c r="BW735" i="1"/>
  <c r="BZ735" i="1"/>
  <c r="BT735" i="1"/>
  <c r="BM740" i="1"/>
  <c r="BL740" i="1" s="1"/>
  <c r="BW740" i="1"/>
  <c r="BZ740" i="1"/>
  <c r="BT740" i="1"/>
  <c r="BM1449" i="1"/>
  <c r="BL1449" i="1" s="1"/>
  <c r="BW1449" i="1"/>
  <c r="BZ1449" i="1"/>
  <c r="BT1449" i="1"/>
  <c r="BM62" i="1"/>
  <c r="BL62" i="1" s="1"/>
  <c r="BW62" i="1"/>
  <c r="BZ62" i="1"/>
  <c r="BT62" i="1"/>
  <c r="BM64" i="1"/>
  <c r="BL64" i="1" s="1"/>
  <c r="BW64" i="1"/>
  <c r="BZ64" i="1"/>
  <c r="BT64" i="1"/>
  <c r="BM739" i="1"/>
  <c r="BL739" i="1" s="1"/>
  <c r="BW739" i="1"/>
  <c r="BZ739" i="1"/>
  <c r="BT739" i="1"/>
  <c r="BM25" i="1"/>
  <c r="BL25" i="1" s="1"/>
  <c r="BW25" i="1"/>
  <c r="BZ25" i="1"/>
  <c r="BT25" i="1"/>
  <c r="BM768" i="1"/>
  <c r="BL768" i="1" s="1"/>
  <c r="BW768" i="1"/>
  <c r="BZ768" i="1"/>
  <c r="BT768" i="1"/>
  <c r="BM772" i="1"/>
  <c r="BL772" i="1" s="1"/>
  <c r="BW772" i="1"/>
  <c r="BZ772" i="1"/>
  <c r="BT772" i="1"/>
  <c r="BM793" i="1"/>
  <c r="BL793" i="1" s="1"/>
  <c r="BW793" i="1"/>
  <c r="BZ793" i="1"/>
  <c r="BT793" i="1"/>
  <c r="BM65" i="1"/>
  <c r="BL65" i="1" s="1"/>
  <c r="BW65" i="1"/>
  <c r="BZ65" i="1"/>
  <c r="BT65" i="1"/>
  <c r="BM794" i="1"/>
  <c r="BL794" i="1" s="1"/>
  <c r="BW794" i="1"/>
  <c r="BZ794" i="1"/>
  <c r="BT794" i="1"/>
  <c r="BM66" i="1"/>
  <c r="BL66" i="1" s="1"/>
  <c r="BW66" i="1"/>
  <c r="BZ66" i="1"/>
  <c r="BT66" i="1"/>
  <c r="BM746" i="1"/>
  <c r="BL746" i="1" s="1"/>
  <c r="BW746" i="1"/>
  <c r="BZ746" i="1"/>
  <c r="BT746" i="1"/>
  <c r="BM4" i="1"/>
  <c r="BL4" i="1" s="1"/>
  <c r="BW4" i="1"/>
  <c r="BZ4" i="1"/>
  <c r="BT4" i="1"/>
  <c r="BM753" i="1"/>
  <c r="BL753" i="1" s="1"/>
  <c r="BW753" i="1"/>
  <c r="BZ753" i="1"/>
  <c r="BT753" i="1"/>
  <c r="BM37" i="1"/>
  <c r="BL37" i="1" s="1"/>
  <c r="BW37" i="1"/>
  <c r="BZ37" i="1"/>
  <c r="BT37" i="1"/>
  <c r="BM67" i="1"/>
  <c r="BL67" i="1" s="1"/>
  <c r="BW67" i="1"/>
  <c r="BZ67" i="1"/>
  <c r="BT67" i="1"/>
  <c r="BM798" i="1"/>
  <c r="BL798" i="1" s="1"/>
  <c r="BW798" i="1"/>
  <c r="BZ798" i="1"/>
  <c r="BT798" i="1"/>
  <c r="BM68" i="1"/>
  <c r="BL68" i="1" s="1"/>
  <c r="BW68" i="1"/>
  <c r="BZ68" i="1"/>
  <c r="BT68" i="1"/>
  <c r="BM800" i="1"/>
  <c r="BL800" i="1" s="1"/>
  <c r="BW800" i="1"/>
  <c r="BZ800" i="1"/>
  <c r="BT800" i="1"/>
  <c r="BM10" i="1"/>
  <c r="BL10" i="1" s="1"/>
  <c r="BW10" i="1"/>
  <c r="BZ10" i="1"/>
  <c r="BT10" i="1"/>
  <c r="BM760" i="1"/>
  <c r="BL760" i="1" s="1"/>
  <c r="BW760" i="1"/>
  <c r="BZ760" i="1"/>
  <c r="BT760" i="1"/>
  <c r="BM12" i="1"/>
  <c r="BL12" i="1" s="1"/>
  <c r="BW12" i="1"/>
  <c r="BZ12" i="1"/>
  <c r="BT12" i="1"/>
  <c r="BM14" i="1"/>
  <c r="BL14" i="1" s="1"/>
  <c r="BW14" i="1"/>
  <c r="BZ14" i="1"/>
  <c r="BT14" i="1"/>
  <c r="BM18" i="1"/>
  <c r="BL18" i="1" s="1"/>
  <c r="BW18" i="1"/>
  <c r="BZ18" i="1"/>
  <c r="BT18" i="1"/>
  <c r="BM21" i="1"/>
  <c r="BL21" i="1" s="1"/>
  <c r="BW21" i="1"/>
  <c r="BZ21" i="1"/>
  <c r="BT21" i="1"/>
  <c r="BM22" i="1"/>
  <c r="BL22" i="1" s="1"/>
  <c r="BW22" i="1"/>
  <c r="BZ22" i="1"/>
  <c r="BT22" i="1"/>
  <c r="BM78" i="1"/>
  <c r="BL78" i="1" s="1"/>
  <c r="BW78" i="1"/>
  <c r="BZ78" i="1"/>
  <c r="BT78" i="1"/>
  <c r="BM813" i="1"/>
  <c r="BL813" i="1" s="1"/>
  <c r="BW813" i="1"/>
  <c r="BZ813" i="1"/>
  <c r="BT813" i="1"/>
  <c r="BM79" i="1"/>
  <c r="BL79" i="1" s="1"/>
  <c r="BW79" i="1"/>
  <c r="BZ79" i="1"/>
  <c r="BT79" i="1"/>
  <c r="BM815" i="1"/>
  <c r="BL815" i="1" s="1"/>
  <c r="BW815" i="1"/>
  <c r="BZ815" i="1"/>
  <c r="BT815" i="1"/>
  <c r="BM741" i="1"/>
  <c r="BL741" i="1" s="1"/>
  <c r="BW741" i="1"/>
  <c r="BZ741" i="1"/>
  <c r="BT741" i="1"/>
  <c r="BM46" i="1"/>
  <c r="BL46" i="1" s="1"/>
  <c r="BW46" i="1"/>
  <c r="BZ46" i="1"/>
  <c r="BT46" i="1"/>
  <c r="BM55" i="1"/>
  <c r="BL55" i="1" s="1"/>
  <c r="BW55" i="1"/>
  <c r="BZ55" i="1"/>
  <c r="BT55" i="1"/>
  <c r="BM789" i="1"/>
  <c r="BL789" i="1" s="1"/>
  <c r="BW789" i="1"/>
  <c r="BZ789" i="1"/>
  <c r="BT789" i="1"/>
  <c r="BM80" i="1"/>
  <c r="BL80" i="1" s="1"/>
  <c r="BW80" i="1"/>
  <c r="BZ80" i="1"/>
  <c r="BT80" i="1"/>
  <c r="BM86" i="1"/>
  <c r="BL86" i="1" s="1"/>
  <c r="BW86" i="1"/>
  <c r="BZ86" i="1"/>
  <c r="BT86" i="1"/>
  <c r="BM92" i="1"/>
  <c r="BL92" i="1" s="1"/>
  <c r="BW92" i="1"/>
  <c r="BZ92" i="1"/>
  <c r="BT92" i="1"/>
  <c r="BM59" i="1"/>
  <c r="BL59" i="1" s="1"/>
  <c r="BW59" i="1"/>
  <c r="BZ59" i="1"/>
  <c r="BT59" i="1"/>
  <c r="BM816" i="1"/>
  <c r="BL816" i="1" s="1"/>
  <c r="BW816" i="1"/>
  <c r="BZ816" i="1"/>
  <c r="BT816" i="1"/>
  <c r="BM26" i="1"/>
  <c r="BL26" i="1" s="1"/>
  <c r="BW26" i="1"/>
  <c r="BZ26" i="1"/>
  <c r="BT26" i="1"/>
  <c r="BM773" i="1"/>
  <c r="BL773" i="1" s="1"/>
  <c r="BW773" i="1"/>
  <c r="BZ773" i="1"/>
  <c r="BT773" i="1"/>
  <c r="BM795" i="1"/>
  <c r="BL795" i="1" s="1"/>
  <c r="BW795" i="1"/>
  <c r="BZ795" i="1"/>
  <c r="BT795" i="1"/>
  <c r="BM769" i="1"/>
  <c r="BL769" i="1" s="1"/>
  <c r="BW769" i="1"/>
  <c r="BZ769" i="1"/>
  <c r="BT769" i="1"/>
  <c r="BM797" i="1"/>
  <c r="BL797" i="1" s="1"/>
  <c r="BW797" i="1"/>
  <c r="BZ797" i="1"/>
  <c r="BT797" i="1"/>
  <c r="BM747" i="1"/>
  <c r="BL747" i="1" s="1"/>
  <c r="BW747" i="1"/>
  <c r="BZ747" i="1"/>
  <c r="BT747" i="1"/>
  <c r="BM38" i="1"/>
  <c r="BL38" i="1" s="1"/>
  <c r="BW38" i="1"/>
  <c r="BZ38" i="1"/>
  <c r="BT38" i="1"/>
  <c r="BM779" i="1"/>
  <c r="BL779" i="1" s="1"/>
  <c r="BW779" i="1"/>
  <c r="BZ779" i="1"/>
  <c r="BT779" i="1"/>
  <c r="BM799" i="1"/>
  <c r="BL799" i="1" s="1"/>
  <c r="BW799" i="1"/>
  <c r="BZ799" i="1"/>
  <c r="BT799" i="1"/>
  <c r="BM801" i="1"/>
  <c r="BL801" i="1" s="1"/>
  <c r="BW801" i="1"/>
  <c r="BZ801" i="1"/>
  <c r="BT801" i="1"/>
  <c r="BM71" i="1"/>
  <c r="BL71" i="1" s="1"/>
  <c r="BW71" i="1"/>
  <c r="BZ71" i="1"/>
  <c r="BT71" i="1"/>
  <c r="BM807" i="1"/>
  <c r="BL807" i="1" s="1"/>
  <c r="BW807" i="1"/>
  <c r="BZ807" i="1"/>
  <c r="BT807" i="1"/>
  <c r="BM96" i="1"/>
  <c r="BL96" i="1" s="1"/>
  <c r="BW96" i="1"/>
  <c r="BZ96" i="1"/>
  <c r="BT96" i="1"/>
  <c r="BM821" i="1"/>
  <c r="BL821" i="1" s="1"/>
  <c r="BW821" i="1"/>
  <c r="BZ821" i="1"/>
  <c r="BT821" i="1"/>
  <c r="BM23" i="1"/>
  <c r="BL23" i="1" s="1"/>
  <c r="BW23" i="1"/>
  <c r="BZ23" i="1"/>
  <c r="BT23" i="1"/>
  <c r="BM822" i="1"/>
  <c r="BL822" i="1" s="1"/>
  <c r="BW822" i="1"/>
  <c r="BZ822" i="1"/>
  <c r="BT822" i="1"/>
  <c r="BM100" i="1"/>
  <c r="BL100" i="1" s="1"/>
  <c r="BW100" i="1"/>
  <c r="BZ100" i="1"/>
  <c r="BT100" i="1"/>
  <c r="BM101" i="1"/>
  <c r="BL101" i="1" s="1"/>
  <c r="BW101" i="1"/>
  <c r="BZ101" i="1"/>
  <c r="BT101" i="1"/>
  <c r="BM761" i="1"/>
  <c r="BL761" i="1" s="1"/>
  <c r="BW761" i="1"/>
  <c r="BZ761" i="1"/>
  <c r="BT761" i="1"/>
  <c r="BM814" i="1"/>
  <c r="BL814" i="1" s="1"/>
  <c r="BW814" i="1"/>
  <c r="BZ814" i="1"/>
  <c r="BT814" i="1"/>
  <c r="BM785" i="1"/>
  <c r="BL785" i="1" s="1"/>
  <c r="BM60" i="1"/>
  <c r="BL60" i="1" s="1"/>
  <c r="BM790" i="1"/>
  <c r="BL790" i="1" s="1"/>
  <c r="BM93" i="1"/>
  <c r="BL93" i="1" s="1"/>
  <c r="BM817" i="1"/>
  <c r="BL817" i="1" s="1"/>
  <c r="BM105" i="1"/>
  <c r="BL105" i="1" s="1"/>
  <c r="BM106" i="1"/>
  <c r="BL106" i="1" s="1"/>
  <c r="BM824" i="1"/>
  <c r="BL824" i="1" s="1"/>
  <c r="BM49" i="1"/>
  <c r="BL49" i="1" s="1"/>
  <c r="BM27" i="1"/>
  <c r="BL27" i="1" s="1"/>
  <c r="BM820" i="1"/>
  <c r="BL820" i="1" s="1"/>
  <c r="BM828" i="1"/>
  <c r="BL828" i="1" s="1"/>
  <c r="BM748" i="1"/>
  <c r="BL748" i="1" s="1"/>
  <c r="BM755" i="1"/>
  <c r="BL755" i="1" s="1"/>
  <c r="BM780" i="1"/>
  <c r="BL780" i="1" s="1"/>
  <c r="BM802" i="1"/>
  <c r="BL802" i="1" s="1"/>
  <c r="BM823" i="1"/>
  <c r="BL823" i="1" s="1"/>
  <c r="BM104" i="1"/>
  <c r="BL104" i="1" s="1"/>
  <c r="BM110" i="1"/>
  <c r="BL110" i="1" s="1"/>
  <c r="BM829" i="1"/>
  <c r="BL829" i="1" s="1"/>
  <c r="BM762" i="1"/>
  <c r="BL762" i="1" s="1"/>
  <c r="BM102" i="1"/>
  <c r="BL102" i="1" s="1"/>
  <c r="BM766" i="1"/>
  <c r="BL766" i="1" s="1"/>
  <c r="BM112" i="1"/>
  <c r="BL112" i="1" s="1"/>
  <c r="BM56" i="1"/>
  <c r="BL56" i="1" s="1"/>
  <c r="BM791" i="1"/>
  <c r="BL791" i="1" s="1"/>
  <c r="BM88" i="1"/>
  <c r="BL88" i="1" s="1"/>
  <c r="BM825" i="1"/>
  <c r="BL825" i="1" s="1"/>
  <c r="BM116" i="1"/>
  <c r="BL116" i="1" s="1"/>
  <c r="BM743" i="1"/>
  <c r="BL743" i="1" s="1"/>
  <c r="BM51" i="1"/>
  <c r="BL51" i="1" s="1"/>
  <c r="BM818" i="1"/>
  <c r="BM306" i="1"/>
  <c r="BL306" i="1" s="1"/>
  <c r="BM82" i="1"/>
  <c r="BL82" i="1" s="1"/>
  <c r="BM119" i="1"/>
  <c r="BL119" i="1" s="1"/>
  <c r="BM28" i="1"/>
  <c r="BL28" i="1" s="1"/>
  <c r="BM775" i="1"/>
  <c r="BL775" i="1" s="1"/>
  <c r="BM122" i="1"/>
  <c r="BL122" i="1" s="1"/>
  <c r="BM108" i="1"/>
  <c r="BL108" i="1" s="1"/>
  <c r="BM835" i="1"/>
  <c r="BL835" i="1" s="1"/>
  <c r="BM123" i="1"/>
  <c r="BL123" i="1" s="1"/>
  <c r="BM749" i="1"/>
  <c r="BL749" i="1" s="1"/>
  <c r="BM6" i="1"/>
  <c r="BL6" i="1" s="1"/>
  <c r="BM756" i="1"/>
  <c r="BL756" i="1" s="1"/>
  <c r="BM803" i="1"/>
  <c r="BL803" i="1" s="1"/>
  <c r="BM111" i="1"/>
  <c r="BL111" i="1" s="1"/>
  <c r="BM124" i="1"/>
  <c r="BL124" i="1" s="1"/>
  <c r="BM763" i="1"/>
  <c r="BL763" i="1" s="1"/>
  <c r="BM837" i="1"/>
  <c r="BL837" i="1" s="1"/>
  <c r="BM127" i="1"/>
  <c r="BL127" i="1" s="1"/>
  <c r="BM128" i="1"/>
  <c r="BL128" i="1" s="1"/>
  <c r="BM57" i="1"/>
  <c r="BL57" i="1" s="1"/>
  <c r="BM792" i="1"/>
  <c r="BL792" i="1" s="1"/>
  <c r="BM83" i="1"/>
  <c r="BL83" i="1" s="1"/>
  <c r="BM89" i="1"/>
  <c r="BL89" i="1" s="1"/>
  <c r="BM120" i="1"/>
  <c r="BM109" i="1"/>
  <c r="BL109" i="1" s="1"/>
  <c r="BM834" i="1"/>
  <c r="BL834" i="1" s="1"/>
  <c r="BM776" i="1"/>
  <c r="BL776" i="1" s="1"/>
  <c r="BM135" i="1"/>
  <c r="BL135" i="1" s="1"/>
  <c r="BM130" i="1"/>
  <c r="BL130" i="1" s="1"/>
  <c r="BM7" i="1"/>
  <c r="BL7" i="1" s="1"/>
  <c r="BM757" i="1"/>
  <c r="BL757" i="1" s="1"/>
  <c r="BM804" i="1"/>
  <c r="BL804" i="1" s="1"/>
  <c r="BM125" i="1"/>
  <c r="BL125" i="1" s="1"/>
  <c r="BM129" i="1"/>
  <c r="BL129" i="1" s="1"/>
  <c r="BM84" i="1"/>
  <c r="BL84" i="1" s="1"/>
  <c r="BM1451" i="1"/>
  <c r="BL1451" i="1" s="1"/>
  <c r="BM136" i="1"/>
  <c r="BL136" i="1" s="1"/>
  <c r="BM844" i="1"/>
  <c r="BL844" i="1" s="1"/>
  <c r="BM758" i="1"/>
  <c r="BL758" i="1" s="1"/>
  <c r="BM805" i="1"/>
  <c r="BL805" i="1" s="1"/>
  <c r="BM831" i="1"/>
  <c r="BL831" i="1" s="1"/>
  <c r="BM126" i="1"/>
  <c r="BL126" i="1" s="1"/>
  <c r="BM812" i="1"/>
  <c r="BL812" i="1" s="1"/>
  <c r="BM787" i="1"/>
  <c r="BL787" i="1" s="1"/>
  <c r="BM827" i="1"/>
  <c r="BL827" i="1" s="1"/>
  <c r="BM118" i="1"/>
  <c r="BL118" i="1" s="1"/>
  <c r="BM121" i="1"/>
  <c r="BL121" i="1" s="1"/>
  <c r="BM839" i="1"/>
  <c r="BL839" i="1" s="1"/>
  <c r="BM840" i="1"/>
  <c r="BL840" i="1" s="1"/>
  <c r="BM842" i="1"/>
  <c r="BM134" i="1"/>
  <c r="BL134" i="1" s="1"/>
  <c r="BM845" i="1"/>
  <c r="BL845" i="1" s="1"/>
  <c r="BM846" i="1"/>
  <c r="BL846" i="1" s="1"/>
  <c r="BM140" i="1"/>
  <c r="BL140" i="1" s="1"/>
  <c r="BM848" i="1"/>
  <c r="BL848" i="1" s="1"/>
  <c r="BM850" i="1"/>
  <c r="BL850" i="1" s="1"/>
  <c r="BM146" i="1"/>
  <c r="BL146" i="1" s="1"/>
  <c r="BS42" i="1"/>
  <c r="BR42" i="1" s="1"/>
  <c r="BV42" i="1"/>
  <c r="BU42" i="1" s="1"/>
  <c r="BY42" i="1"/>
  <c r="BX42" i="1" s="1"/>
  <c r="CB42" i="1"/>
  <c r="CA42" i="1" s="1"/>
  <c r="CE42" i="1"/>
  <c r="CD42" i="1" s="1"/>
  <c r="CH42" i="1"/>
  <c r="CG42" i="1" s="1"/>
  <c r="CK42" i="1"/>
  <c r="CJ42" i="1" s="1"/>
  <c r="BM147" i="1"/>
  <c r="BL147" i="1" s="1"/>
  <c r="BS852" i="1"/>
  <c r="BR852" i="1" s="1"/>
  <c r="BV852" i="1"/>
  <c r="BU852" i="1" s="1"/>
  <c r="BY852" i="1"/>
  <c r="BX852" i="1" s="1"/>
  <c r="CB852" i="1"/>
  <c r="CA852" i="1" s="1"/>
  <c r="CE852" i="1"/>
  <c r="CD852" i="1" s="1"/>
  <c r="CH852" i="1"/>
  <c r="CG852" i="1" s="1"/>
  <c r="CK852" i="1"/>
  <c r="CJ852" i="1" s="1"/>
  <c r="BM858" i="1"/>
  <c r="BL858" i="1" s="1"/>
  <c r="BM150" i="1"/>
  <c r="BL150" i="1" s="1"/>
  <c r="BM861" i="1"/>
  <c r="BL861" i="1" s="1"/>
  <c r="BM866" i="1"/>
  <c r="BL866" i="1" s="1"/>
  <c r="BM872" i="1"/>
  <c r="BL872" i="1" s="1"/>
  <c r="BM873" i="1"/>
  <c r="BL873" i="1" s="1"/>
  <c r="BM877" i="1"/>
  <c r="BL877" i="1" s="1"/>
  <c r="BM880" i="1"/>
  <c r="BL880" i="1" s="1"/>
  <c r="BM176" i="1"/>
  <c r="BL176" i="1" s="1"/>
  <c r="BM882" i="1"/>
  <c r="BL882" i="1" s="1"/>
  <c r="BM177" i="1"/>
  <c r="BL177" i="1" s="1"/>
  <c r="BM888" i="1"/>
  <c r="BL888" i="1" s="1"/>
  <c r="BM889" i="1"/>
  <c r="BL889" i="1" s="1"/>
  <c r="CG897" i="1"/>
  <c r="BM187" i="1"/>
  <c r="BL187" i="1" s="1"/>
  <c r="BM908" i="1"/>
  <c r="BL908" i="1" s="1"/>
  <c r="BM195" i="1"/>
  <c r="BL195" i="1" s="1"/>
  <c r="BM909" i="1"/>
  <c r="BL909" i="1" s="1"/>
  <c r="BM196" i="1"/>
  <c r="BL196" i="1" s="1"/>
  <c r="BM911" i="1"/>
  <c r="BL911" i="1" s="1"/>
  <c r="BM920" i="1"/>
  <c r="BL920" i="1" s="1"/>
  <c r="BM924" i="1"/>
  <c r="BL924" i="1" s="1"/>
  <c r="BM930" i="1"/>
  <c r="BL930" i="1" s="1"/>
  <c r="BM226" i="1"/>
  <c r="BL226" i="1" s="1"/>
  <c r="BM935" i="1"/>
  <c r="BL935" i="1" s="1"/>
  <c r="BM227" i="1"/>
  <c r="BL227" i="1" s="1"/>
  <c r="BM233" i="1"/>
  <c r="BL233" i="1" s="1"/>
  <c r="BM943" i="1"/>
  <c r="BL943" i="1" s="1"/>
  <c r="BM944" i="1"/>
  <c r="BL944" i="1" s="1"/>
  <c r="BM946" i="1"/>
  <c r="BL946" i="1" s="1"/>
  <c r="BM240" i="1"/>
  <c r="BL240" i="1" s="1"/>
  <c r="BM245" i="1"/>
  <c r="BL245" i="1" s="1"/>
  <c r="BM246" i="1"/>
  <c r="BL246" i="1" s="1"/>
  <c r="BM959" i="1"/>
  <c r="BL959" i="1" s="1"/>
  <c r="BM249" i="1"/>
  <c r="BL249" i="1" s="1"/>
  <c r="BM965" i="1"/>
  <c r="BL965" i="1" s="1"/>
  <c r="BM252" i="1"/>
  <c r="BL252" i="1" s="1"/>
  <c r="BM966" i="1"/>
  <c r="BL966" i="1" s="1"/>
  <c r="BM971" i="1"/>
  <c r="BL971" i="1" s="1"/>
  <c r="BM255" i="1"/>
  <c r="BL255" i="1" s="1"/>
  <c r="BM976" i="1"/>
  <c r="BL976" i="1" s="1"/>
  <c r="BM256" i="1"/>
  <c r="BL256" i="1" s="1"/>
  <c r="BM977" i="1"/>
  <c r="BL977" i="1" s="1"/>
  <c r="BM979" i="1"/>
  <c r="BL979" i="1" s="1"/>
  <c r="BM263" i="1"/>
  <c r="BL263" i="1" s="1"/>
  <c r="BM985" i="1"/>
  <c r="BL985" i="1" s="1"/>
  <c r="BM989" i="1"/>
  <c r="BL989" i="1" s="1"/>
  <c r="BM990" i="1"/>
  <c r="BL990" i="1" s="1"/>
  <c r="BM266" i="1"/>
  <c r="BL266" i="1" s="1"/>
  <c r="BM991" i="1"/>
  <c r="BL991" i="1" s="1"/>
  <c r="BM145" i="1"/>
  <c r="BM143" i="1"/>
  <c r="BL143" i="1" s="1"/>
  <c r="BM268" i="1"/>
  <c r="BL268" i="1" s="1"/>
  <c r="BM996" i="1"/>
  <c r="BL996" i="1" s="1"/>
  <c r="BM1002" i="1"/>
  <c r="BL1002" i="1" s="1"/>
  <c r="BM853" i="1"/>
  <c r="BL853" i="1" s="1"/>
  <c r="BM859" i="1"/>
  <c r="BL859" i="1" s="1"/>
  <c r="BM154" i="1"/>
  <c r="BM876" i="1"/>
  <c r="BL876" i="1" s="1"/>
  <c r="BM883" i="1"/>
  <c r="BL883" i="1" s="1"/>
  <c r="BM1004" i="1"/>
  <c r="BL1004" i="1" s="1"/>
  <c r="BM276" i="1"/>
  <c r="BL276" i="1" s="1"/>
  <c r="BM1005" i="1"/>
  <c r="BL1005" i="1" s="1"/>
  <c r="BM282" i="1"/>
  <c r="BL282" i="1" s="1"/>
  <c r="BM1009" i="1"/>
  <c r="BL1009" i="1" s="1"/>
  <c r="BM1014" i="1"/>
  <c r="BL1014" i="1" s="1"/>
  <c r="BM287" i="1"/>
  <c r="BL287" i="1" s="1"/>
  <c r="BM157" i="1"/>
  <c r="BL157" i="1" s="1"/>
  <c r="BM1015" i="1"/>
  <c r="BL1015" i="1" s="1"/>
  <c r="BM292" i="1"/>
  <c r="BL292" i="1" s="1"/>
  <c r="BM1016" i="1"/>
  <c r="BL1016" i="1" s="1"/>
  <c r="BM293" i="1"/>
  <c r="BL293" i="1" s="1"/>
  <c r="BM1017" i="1"/>
  <c r="BL1017" i="1" s="1"/>
  <c r="BM890" i="1"/>
  <c r="BL890" i="1" s="1"/>
  <c r="BM182" i="1"/>
  <c r="BL182" i="1" s="1"/>
  <c r="CH898" i="1"/>
  <c r="CK898" i="1"/>
  <c r="CH900" i="1"/>
  <c r="CG900" i="1" s="1"/>
  <c r="CK900" i="1"/>
  <c r="CJ900" i="1" s="1"/>
  <c r="BM910" i="1"/>
  <c r="BL910" i="1" s="1"/>
  <c r="BM197" i="1"/>
  <c r="BL197" i="1" s="1"/>
  <c r="BM915" i="1"/>
  <c r="BL915" i="1" s="1"/>
  <c r="BM205" i="1"/>
  <c r="BL205" i="1" s="1"/>
  <c r="BM921" i="1"/>
  <c r="BL921" i="1" s="1"/>
  <c r="BM925" i="1"/>
  <c r="BL925" i="1" s="1"/>
  <c r="CG295" i="1"/>
  <c r="BM1021" i="1"/>
  <c r="BL1021" i="1" s="1"/>
  <c r="BM912" i="1"/>
  <c r="BL912" i="1" s="1"/>
  <c r="BM208" i="1"/>
  <c r="BL208" i="1" s="1"/>
  <c r="BM933" i="1"/>
  <c r="BL933" i="1" s="1"/>
  <c r="BM936" i="1"/>
  <c r="BL936" i="1" s="1"/>
  <c r="BM1022" i="1"/>
  <c r="BL1022" i="1" s="1"/>
  <c r="BM298" i="1"/>
  <c r="BL298" i="1" s="1"/>
  <c r="CH1023" i="1"/>
  <c r="CG1023" i="1" s="1"/>
  <c r="CK1023" i="1"/>
  <c r="BM301" i="1"/>
  <c r="BL301" i="1" s="1"/>
  <c r="BM303" i="1"/>
  <c r="BL303" i="1" s="1"/>
  <c r="BM1024" i="1"/>
  <c r="BL1024" i="1" s="1"/>
  <c r="BM1026" i="1"/>
  <c r="BL1026" i="1" s="1"/>
  <c r="BM228" i="1"/>
  <c r="BL228" i="1" s="1"/>
  <c r="CH1030" i="1"/>
  <c r="CG1030" i="1" s="1"/>
  <c r="CK1030" i="1"/>
  <c r="CJ1030" i="1" s="1"/>
  <c r="BM311" i="1"/>
  <c r="AX311" i="1" s="1"/>
  <c r="AW311" i="1" s="1"/>
  <c r="BM1032" i="1"/>
  <c r="BL1032" i="1" s="1"/>
  <c r="BM313" i="1"/>
  <c r="BM1035" i="1"/>
  <c r="AX1035" i="1" s="1"/>
  <c r="AW1035" i="1" s="1"/>
  <c r="BM962" i="1"/>
  <c r="BL962" i="1" s="1"/>
  <c r="BM250" i="1"/>
  <c r="BL250" i="1" s="1"/>
  <c r="BM253" i="1"/>
  <c r="AX253" i="1" s="1"/>
  <c r="AW253" i="1" s="1"/>
  <c r="BM967" i="1"/>
  <c r="AX967" i="1" s="1"/>
  <c r="AW967" i="1" s="1"/>
  <c r="BM978" i="1"/>
  <c r="AX978" i="1" s="1"/>
  <c r="AW978" i="1" s="1"/>
  <c r="BM980" i="1"/>
  <c r="BL980" i="1" s="1"/>
  <c r="BM262" i="1"/>
  <c r="BM986" i="1"/>
  <c r="BL986" i="1" s="1"/>
  <c r="BM992" i="1"/>
  <c r="BL992" i="1" s="1"/>
  <c r="BM1038" i="1"/>
  <c r="BL1038" i="1" s="1"/>
  <c r="BM315" i="1"/>
  <c r="BM1042" i="1"/>
  <c r="AX1042" i="1" s="1"/>
  <c r="AW1042" i="1" s="1"/>
  <c r="BM319" i="1"/>
  <c r="BL319" i="1" s="1"/>
  <c r="BM1043" i="1"/>
  <c r="AX1043" i="1" s="1"/>
  <c r="AW1043" i="1" s="1"/>
  <c r="BM320" i="1"/>
  <c r="BL320" i="1" s="1"/>
  <c r="BM1044" i="1"/>
  <c r="AX1044" i="1" s="1"/>
  <c r="AW1044" i="1" s="1"/>
  <c r="BM322" i="1"/>
  <c r="BL322" i="1" s="1"/>
  <c r="BM1045" i="1"/>
  <c r="BL1045" i="1" s="1"/>
  <c r="BM323" i="1"/>
  <c r="BL323" i="1" s="1"/>
  <c r="BM325" i="1"/>
  <c r="BL325" i="1" s="1"/>
  <c r="BM329" i="1"/>
  <c r="BL329" i="1" s="1"/>
  <c r="BM960" i="1"/>
  <c r="BL960" i="1" s="1"/>
  <c r="BM1055" i="1"/>
  <c r="BL1055" i="1" s="1"/>
  <c r="BM1058" i="1"/>
  <c r="AX1058" i="1" s="1"/>
  <c r="BM1065" i="1"/>
  <c r="BL1065" i="1" s="1"/>
  <c r="BM338" i="1"/>
  <c r="BL338" i="1" s="1"/>
  <c r="BM1066" i="1"/>
  <c r="BL1066" i="1" s="1"/>
  <c r="BM269" i="1"/>
  <c r="BL269" i="1" s="1"/>
  <c r="BM997" i="1"/>
  <c r="BL997" i="1" s="1"/>
  <c r="BM1000" i="1"/>
  <c r="AX1000" i="1" s="1"/>
  <c r="AW1000" i="1" s="1"/>
  <c r="BM274" i="1"/>
  <c r="AX274" i="1" s="1"/>
  <c r="AW274" i="1" s="1"/>
  <c r="BM341" i="1"/>
  <c r="BL341" i="1" s="1"/>
  <c r="BM1069" i="1"/>
  <c r="BM342" i="1"/>
  <c r="AX342" i="1" s="1"/>
  <c r="AW342" i="1" s="1"/>
  <c r="BM344" i="1"/>
  <c r="BM1072" i="1"/>
  <c r="BL1072" i="1" s="1"/>
  <c r="CG346" i="1"/>
  <c r="BM1075" i="1"/>
  <c r="AX1075" i="1" s="1"/>
  <c r="AW1075" i="1" s="1"/>
  <c r="BM1077" i="1"/>
  <c r="BM353" i="1"/>
  <c r="AX353" i="1" s="1"/>
  <c r="AW353" i="1" s="1"/>
  <c r="CG1080" i="1"/>
  <c r="BM141" i="1"/>
  <c r="AX141" i="1" s="1"/>
  <c r="AW141" i="1" s="1"/>
  <c r="BM272" i="1"/>
  <c r="CG354" i="1"/>
  <c r="BM1083" i="1"/>
  <c r="BL1083" i="1" s="1"/>
  <c r="BM854" i="1"/>
  <c r="BL854" i="1" s="1"/>
  <c r="BM357" i="1"/>
  <c r="CH148" i="1"/>
  <c r="CG148" i="1" s="1"/>
  <c r="CK148" i="1"/>
  <c r="BM884" i="1"/>
  <c r="BL884" i="1" s="1"/>
  <c r="CH1092" i="1"/>
  <c r="CG1092" i="1" s="1"/>
  <c r="CK1092" i="1"/>
  <c r="CJ1092" i="1" s="1"/>
  <c r="CH363" i="1"/>
  <c r="CG363" i="1" s="1"/>
  <c r="CK363" i="1"/>
  <c r="CH1094" i="1"/>
  <c r="CG1094" i="1" s="1"/>
  <c r="CK1094" i="1"/>
  <c r="CJ1094" i="1" s="1"/>
  <c r="BM367" i="1"/>
  <c r="BL367" i="1" s="1"/>
  <c r="BM371" i="1"/>
  <c r="AX371" i="1" s="1"/>
  <c r="AW371" i="1" s="1"/>
  <c r="CH183" i="1"/>
  <c r="CG183" i="1" s="1"/>
  <c r="CK183" i="1"/>
  <c r="CH896" i="1"/>
  <c r="CG896" i="1" s="1"/>
  <c r="CK896" i="1"/>
  <c r="CJ896" i="1" s="1"/>
  <c r="CH190" i="1"/>
  <c r="CG190" i="1" s="1"/>
  <c r="CK190" i="1"/>
  <c r="CH906" i="1"/>
  <c r="CG906" i="1" s="1"/>
  <c r="CK906" i="1"/>
  <c r="CJ906" i="1" s="1"/>
  <c r="CH916" i="1"/>
  <c r="CK916" i="1"/>
  <c r="CH206" i="1"/>
  <c r="CG206" i="1" s="1"/>
  <c r="CK206" i="1"/>
  <c r="CJ206" i="1" s="1"/>
  <c r="CH209" i="1"/>
  <c r="CG209" i="1" s="1"/>
  <c r="CK209" i="1"/>
  <c r="CJ209" i="1" s="1"/>
  <c r="CH213" i="1"/>
  <c r="CK213" i="1"/>
  <c r="CH934" i="1"/>
  <c r="CG934" i="1" s="1"/>
  <c r="CK934" i="1"/>
  <c r="CH937" i="1"/>
  <c r="CG937" i="1" s="1"/>
  <c r="CK937" i="1"/>
  <c r="CJ937" i="1" s="1"/>
  <c r="CH229" i="1"/>
  <c r="CG229" i="1" s="1"/>
  <c r="CK229" i="1"/>
  <c r="CL229" i="1" s="1"/>
  <c r="CH305" i="1"/>
  <c r="CG305" i="1" s="1"/>
  <c r="CK305" i="1"/>
  <c r="CJ305" i="1" s="1"/>
  <c r="CH1036" i="1"/>
  <c r="CK1036" i="1"/>
  <c r="CH1098" i="1"/>
  <c r="CK1098" i="1"/>
  <c r="CJ1098" i="1" s="1"/>
  <c r="CH1100" i="1"/>
  <c r="CG1100" i="1" s="1"/>
  <c r="CK1100" i="1"/>
  <c r="CH376" i="1"/>
  <c r="CG376" i="1" s="1"/>
  <c r="CK376" i="1"/>
  <c r="CJ376" i="1" s="1"/>
  <c r="CH377" i="1"/>
  <c r="CG377" i="1" s="1"/>
  <c r="CK377" i="1"/>
  <c r="CJ377" i="1" s="1"/>
  <c r="CH1107" i="1"/>
  <c r="CK1107" i="1"/>
  <c r="CH378" i="1"/>
  <c r="CK378" i="1"/>
  <c r="CJ378" i="1" s="1"/>
  <c r="CH219" i="1"/>
  <c r="CG219" i="1" s="1"/>
  <c r="CK219" i="1"/>
  <c r="CH1031" i="1"/>
  <c r="CK1031" i="1"/>
  <c r="CJ1031" i="1" s="1"/>
  <c r="CH382" i="1"/>
  <c r="CK382" i="1"/>
  <c r="CH1111" i="1"/>
  <c r="CG1111" i="1" s="1"/>
  <c r="CK1111" i="1"/>
  <c r="CH385" i="1"/>
  <c r="CG385" i="1" s="1"/>
  <c r="CK385" i="1"/>
  <c r="CH1114" i="1"/>
  <c r="CK1114" i="1"/>
  <c r="CH386" i="1"/>
  <c r="CG386" i="1" s="1"/>
  <c r="CK386" i="1"/>
  <c r="CJ386" i="1" s="1"/>
  <c r="CH947" i="1"/>
  <c r="CG947" i="1" s="1"/>
  <c r="CK947" i="1"/>
  <c r="CH308" i="1"/>
  <c r="CG308" i="1" s="1"/>
  <c r="CK308" i="1"/>
  <c r="CH390" i="1"/>
  <c r="CG390" i="1" s="1"/>
  <c r="CK390" i="1"/>
  <c r="CH391" i="1"/>
  <c r="CG391" i="1" s="1"/>
  <c r="CK391" i="1"/>
  <c r="CJ391" i="1" s="1"/>
  <c r="CH1119" i="1"/>
  <c r="CK1119" i="1"/>
  <c r="CJ1119" i="1" s="1"/>
  <c r="CH1120" i="1"/>
  <c r="CG1120" i="1" s="1"/>
  <c r="CK1120" i="1"/>
  <c r="CJ1120" i="1" s="1"/>
  <c r="CH782" i="1"/>
  <c r="CG782" i="1" s="1"/>
  <c r="CK782" i="1"/>
  <c r="CH1006" i="1"/>
  <c r="CG1006" i="1" s="1"/>
  <c r="CK1006" i="1"/>
  <c r="CJ1006" i="1" s="1"/>
  <c r="CH359" i="1"/>
  <c r="CK359" i="1"/>
  <c r="CH416" i="1"/>
  <c r="CG416" i="1" s="1"/>
  <c r="CK416" i="1"/>
  <c r="CH1150" i="1"/>
  <c r="CK1150" i="1"/>
  <c r="CH158" i="1"/>
  <c r="CG158" i="1" s="1"/>
  <c r="CK158" i="1"/>
  <c r="CH167" i="1"/>
  <c r="CG167" i="1" s="1"/>
  <c r="CK167" i="1"/>
  <c r="CJ167" i="1" s="1"/>
  <c r="CH1153" i="1"/>
  <c r="CG1153" i="1" s="1"/>
  <c r="CK1153" i="1"/>
  <c r="CJ1153" i="1" s="1"/>
  <c r="CH279" i="1"/>
  <c r="CK279" i="1"/>
  <c r="CJ279" i="1" s="1"/>
  <c r="CH1161" i="1"/>
  <c r="CG1161" i="1" s="1"/>
  <c r="CK1161" i="1"/>
  <c r="CH309" i="1"/>
  <c r="CK309" i="1"/>
  <c r="CH922" i="1"/>
  <c r="CG922" i="1" s="1"/>
  <c r="CK922" i="1"/>
  <c r="CH901" i="1"/>
  <c r="CK901" i="1"/>
  <c r="CH191" i="1"/>
  <c r="CG191" i="1" s="1"/>
  <c r="CK191" i="1"/>
  <c r="CH938" i="1"/>
  <c r="CK938" i="1"/>
  <c r="CJ938" i="1" s="1"/>
  <c r="CH1108" i="1"/>
  <c r="CG1108" i="1" s="1"/>
  <c r="CK1108" i="1"/>
  <c r="CJ1108" i="1" s="1"/>
  <c r="CH1112" i="1"/>
  <c r="CG1112" i="1" s="1"/>
  <c r="CK1112" i="1"/>
  <c r="CJ1112" i="1" s="1"/>
  <c r="CH1007" i="1"/>
  <c r="CG1007" i="1" s="1"/>
  <c r="CK1007" i="1"/>
  <c r="CJ1007" i="1" s="1"/>
  <c r="CH285" i="1"/>
  <c r="CG285" i="1" s="1"/>
  <c r="CK285" i="1"/>
  <c r="CH365" i="1"/>
  <c r="CG365" i="1" s="1"/>
  <c r="CK365" i="1"/>
  <c r="CH1146" i="1"/>
  <c r="CG1146" i="1" s="1"/>
  <c r="CK1146" i="1"/>
  <c r="CJ1146" i="1" s="1"/>
  <c r="CH1151" i="1"/>
  <c r="CG1151" i="1" s="1"/>
  <c r="CK1151" i="1"/>
  <c r="CJ1151" i="1" s="1"/>
  <c r="CH1154" i="1"/>
  <c r="CK1154" i="1"/>
  <c r="CH168" i="1"/>
  <c r="CK168" i="1"/>
  <c r="CJ168" i="1" s="1"/>
  <c r="CH1096" i="1"/>
  <c r="CG1096" i="1" s="1"/>
  <c r="CK1096" i="1"/>
  <c r="CH465" i="1"/>
  <c r="CK465" i="1"/>
  <c r="CJ465" i="1" s="1"/>
  <c r="CH280" i="1"/>
  <c r="CG280" i="1" s="1"/>
  <c r="CK280" i="1"/>
  <c r="CJ280" i="1" s="1"/>
  <c r="CH1012" i="1"/>
  <c r="CG1012" i="1" s="1"/>
  <c r="CK1012" i="1"/>
  <c r="CH369" i="1"/>
  <c r="CK369" i="1"/>
  <c r="CJ369" i="1" s="1"/>
  <c r="CH918" i="1"/>
  <c r="CG918" i="1" s="1"/>
  <c r="CK918" i="1"/>
  <c r="CJ918" i="1" s="1"/>
  <c r="CH939" i="1"/>
  <c r="CG939" i="1" s="1"/>
  <c r="CK939" i="1"/>
  <c r="CJ939" i="1" s="1"/>
  <c r="CH1222" i="1"/>
  <c r="CG1222" i="1" s="1"/>
  <c r="CK1222" i="1"/>
  <c r="CH1033" i="1"/>
  <c r="CG1033" i="1" s="1"/>
  <c r="CK1033" i="1"/>
  <c r="CH314" i="1"/>
  <c r="CK314" i="1"/>
  <c r="CJ314" i="1" s="1"/>
  <c r="CH1113" i="1"/>
  <c r="CG1113" i="1" s="1"/>
  <c r="CK1113" i="1"/>
  <c r="CJ1113" i="1" s="1"/>
  <c r="CH1169" i="1"/>
  <c r="CK1169" i="1"/>
  <c r="CH1226" i="1"/>
  <c r="CG1226" i="1" s="1"/>
  <c r="CK1226" i="1"/>
  <c r="CH1228" i="1"/>
  <c r="CG1228" i="1" s="1"/>
  <c r="CK1228" i="1"/>
  <c r="CJ1228" i="1" s="1"/>
  <c r="CH902" i="1"/>
  <c r="CG902" i="1" s="1"/>
  <c r="CK902" i="1"/>
  <c r="CJ902" i="1" s="1"/>
  <c r="CH1105" i="1"/>
  <c r="CG1105" i="1" s="1"/>
  <c r="CK1105" i="1"/>
  <c r="CH487" i="1"/>
  <c r="CG487" i="1" s="1"/>
  <c r="CK487" i="1"/>
  <c r="CJ487" i="1" s="1"/>
  <c r="CH871" i="1"/>
  <c r="CG871" i="1" s="1"/>
  <c r="CK871" i="1"/>
  <c r="CH169" i="1"/>
  <c r="CK169" i="1"/>
  <c r="CJ169" i="1" s="1"/>
  <c r="CH175" i="1"/>
  <c r="CG175" i="1" s="1"/>
  <c r="CK175" i="1"/>
  <c r="CJ175" i="1" s="1"/>
  <c r="CH1013" i="1"/>
  <c r="CG1013" i="1" s="1"/>
  <c r="CK1013" i="1"/>
  <c r="CJ1013" i="1" s="1"/>
  <c r="CH286" i="1"/>
  <c r="CG286" i="1" s="1"/>
  <c r="CK286" i="1"/>
  <c r="CJ286" i="1" s="1"/>
  <c r="CH366" i="1"/>
  <c r="CG366" i="1" s="1"/>
  <c r="CK366" i="1"/>
  <c r="CJ366" i="1" s="1"/>
  <c r="CH370" i="1"/>
  <c r="CG370" i="1" s="1"/>
  <c r="CK370" i="1"/>
  <c r="CJ370" i="1" s="1"/>
  <c r="CH420" i="1"/>
  <c r="CG420" i="1" s="1"/>
  <c r="CK420" i="1"/>
  <c r="CH1149" i="1"/>
  <c r="CG1149" i="1" s="1"/>
  <c r="CK1149" i="1"/>
  <c r="CH1152" i="1"/>
  <c r="CG1152" i="1" s="1"/>
  <c r="CK1152" i="1"/>
  <c r="CJ1152" i="1" s="1"/>
  <c r="CH1239" i="1"/>
  <c r="CG1239" i="1" s="1"/>
  <c r="CK1239" i="1"/>
  <c r="CJ1239" i="1" s="1"/>
  <c r="CH499" i="1"/>
  <c r="CG499" i="1" s="1"/>
  <c r="CK499" i="1"/>
  <c r="CJ499" i="1" s="1"/>
  <c r="CH185" i="1"/>
  <c r="CG185" i="1" s="1"/>
  <c r="CK185" i="1"/>
  <c r="CH216" i="1"/>
  <c r="CG216" i="1" s="1"/>
  <c r="CK216" i="1"/>
  <c r="CH300" i="1"/>
  <c r="CG300" i="1" s="1"/>
  <c r="CK300" i="1"/>
  <c r="CH1223" i="1"/>
  <c r="CG1223" i="1" s="1"/>
  <c r="CK1223" i="1"/>
  <c r="CJ1223" i="1" s="1"/>
  <c r="CH1225" i="1"/>
  <c r="CG1225" i="1" s="1"/>
  <c r="CK1225" i="1"/>
  <c r="CH501" i="1"/>
  <c r="CG501" i="1" s="1"/>
  <c r="CK501" i="1"/>
  <c r="CH502" i="1"/>
  <c r="CG502" i="1" s="1"/>
  <c r="CK502" i="1"/>
  <c r="CJ502" i="1" s="1"/>
  <c r="CH2" i="1"/>
  <c r="CG2" i="1" s="1"/>
  <c r="CK2" i="1"/>
  <c r="CH903" i="1"/>
  <c r="CG903" i="1" s="1"/>
  <c r="CK903" i="1"/>
  <c r="CH1029" i="1"/>
  <c r="CG1029" i="1" s="1"/>
  <c r="CK1029" i="1"/>
  <c r="CH1172" i="1"/>
  <c r="CG1172" i="1" s="1"/>
  <c r="CK1172" i="1"/>
  <c r="BM161" i="1"/>
  <c r="BL161" i="1" s="1"/>
  <c r="CH277" i="1"/>
  <c r="CG277" i="1" s="1"/>
  <c r="CK277" i="1"/>
  <c r="CJ277" i="1" s="1"/>
  <c r="BM151" i="1"/>
  <c r="BL151" i="1" s="1"/>
  <c r="BM881" i="1"/>
  <c r="BL881" i="1" s="1"/>
  <c r="CH1148" i="1"/>
  <c r="CK1148" i="1"/>
  <c r="CJ1148" i="1" s="1"/>
  <c r="BM164" i="1"/>
  <c r="BL164" i="1" s="1"/>
  <c r="BM774" i="1"/>
  <c r="BL774" i="1" s="1"/>
  <c r="BM30" i="1"/>
  <c r="BL30" i="1" s="1"/>
  <c r="BM832" i="1"/>
  <c r="BL832" i="1" s="1"/>
  <c r="CH886" i="1"/>
  <c r="CG886" i="1" s="1"/>
  <c r="CK886" i="1"/>
  <c r="BM770" i="1"/>
  <c r="BL770" i="1" s="1"/>
  <c r="BM1008" i="1"/>
  <c r="BL1008" i="1" s="1"/>
  <c r="BM931" i="1"/>
  <c r="BL931" i="1" s="1"/>
  <c r="BM751" i="1"/>
  <c r="BL751" i="1" s="1"/>
  <c r="BM278" i="1"/>
  <c r="BL278" i="1" s="1"/>
  <c r="BM15" i="1"/>
  <c r="BL15" i="1" s="1"/>
  <c r="BM173" i="1"/>
  <c r="BL173" i="1" s="1"/>
  <c r="BM838" i="1"/>
  <c r="BL838" i="1" s="1"/>
  <c r="CH504" i="1"/>
  <c r="CG504" i="1" s="1"/>
  <c r="CK504" i="1"/>
  <c r="CJ504" i="1" s="1"/>
  <c r="BM241" i="1"/>
  <c r="BL241" i="1" s="1"/>
  <c r="BM895" i="1"/>
  <c r="BL895" i="1" s="1"/>
  <c r="BM283" i="1"/>
  <c r="BL283" i="1" s="1"/>
  <c r="BM234" i="1"/>
  <c r="BL234" i="1" s="1"/>
  <c r="BM194" i="1"/>
  <c r="BL194" i="1" s="1"/>
  <c r="BM894" i="1"/>
  <c r="BL894" i="1" s="1"/>
  <c r="CH427" i="1"/>
  <c r="CK427" i="1"/>
  <c r="CJ427" i="1" s="1"/>
  <c r="CH289" i="1"/>
  <c r="CG289" i="1" s="1"/>
  <c r="CK289" i="1"/>
  <c r="CJ289" i="1" s="1"/>
  <c r="CH1037" i="1"/>
  <c r="CG1037" i="1" s="1"/>
  <c r="CK1037" i="1"/>
  <c r="CJ1037" i="1" s="1"/>
  <c r="CH184" i="1"/>
  <c r="CG184" i="1" s="1"/>
  <c r="CK184" i="1"/>
  <c r="CJ184" i="1" s="1"/>
  <c r="CH1164" i="1"/>
  <c r="CK1164" i="1"/>
  <c r="CJ1164" i="1" s="1"/>
  <c r="CH1019" i="1"/>
  <c r="CK1019" i="1"/>
  <c r="CJ1019" i="1" s="1"/>
  <c r="BM220" i="1"/>
  <c r="BL220" i="1" s="1"/>
  <c r="BM864" i="1"/>
  <c r="BL864" i="1" s="1"/>
  <c r="BM1020" i="1"/>
  <c r="BM36" i="1"/>
  <c r="BL36" i="1" s="1"/>
  <c r="BM87" i="1"/>
  <c r="BL87" i="1" s="1"/>
  <c r="CH917" i="1"/>
  <c r="CG917" i="1" s="1"/>
  <c r="CK917" i="1"/>
  <c r="CJ917" i="1" s="1"/>
  <c r="BM1097" i="1"/>
  <c r="AX1097" i="1" s="1"/>
  <c r="AW1097" i="1" s="1"/>
  <c r="BM830" i="1"/>
  <c r="BL830" i="1" s="1"/>
  <c r="CH312" i="1"/>
  <c r="CG312" i="1" s="1"/>
  <c r="CK312" i="1"/>
  <c r="BM843" i="1"/>
  <c r="BL843" i="1" s="1"/>
  <c r="BM235" i="1"/>
  <c r="BL235" i="1" s="1"/>
  <c r="CH1168" i="1"/>
  <c r="CG1168" i="1" s="1"/>
  <c r="CK1168" i="1"/>
  <c r="CJ1168" i="1" s="1"/>
  <c r="CH1095" i="1"/>
  <c r="CG1095" i="1" s="1"/>
  <c r="CK1095" i="1"/>
  <c r="BM819" i="1"/>
  <c r="BL819" i="1" s="1"/>
  <c r="BM178" i="1"/>
  <c r="BL178" i="1" s="1"/>
  <c r="BM836" i="1"/>
  <c r="BL836" i="1" s="1"/>
  <c r="BM337" i="1"/>
  <c r="BM265" i="1"/>
  <c r="BL265" i="1" s="1"/>
  <c r="CH892" i="1"/>
  <c r="CK892" i="1"/>
  <c r="CJ892" i="1" s="1"/>
  <c r="BM995" i="1"/>
  <c r="BL995" i="1" s="1"/>
  <c r="CH291" i="1"/>
  <c r="CK291" i="1"/>
  <c r="BM826" i="1"/>
  <c r="BL826" i="1" s="1"/>
  <c r="BM94" i="1"/>
  <c r="BL94" i="1" s="1"/>
  <c r="CH199" i="1"/>
  <c r="CG199" i="1" s="1"/>
  <c r="CK199" i="1"/>
  <c r="BM999" i="1"/>
  <c r="BL999" i="1" s="1"/>
  <c r="BM808" i="1"/>
  <c r="BL808" i="1" s="1"/>
  <c r="CH1121" i="1"/>
  <c r="CK1121" i="1"/>
  <c r="CJ1121" i="1" s="1"/>
  <c r="BM181" i="1"/>
  <c r="BL181" i="1" s="1"/>
  <c r="CH1248" i="1"/>
  <c r="CK1248" i="1"/>
  <c r="BM95" i="1"/>
  <c r="BL95" i="1" s="1"/>
  <c r="BM207" i="1"/>
  <c r="BL207" i="1" s="1"/>
  <c r="CH913" i="1"/>
  <c r="CG913" i="1" s="1"/>
  <c r="CK913" i="1"/>
  <c r="CJ913" i="1" s="1"/>
  <c r="CH238" i="1"/>
  <c r="CG238" i="1" s="1"/>
  <c r="CK238" i="1"/>
  <c r="CH467" i="1"/>
  <c r="CG467" i="1" s="1"/>
  <c r="CK467" i="1"/>
  <c r="CJ467" i="1" s="1"/>
  <c r="BM72" i="1"/>
  <c r="BL72" i="1" s="1"/>
  <c r="BM737" i="1"/>
  <c r="BL737" i="1" s="1"/>
  <c r="BM754" i="1"/>
  <c r="BL754" i="1" s="1"/>
  <c r="BM945" i="1"/>
  <c r="BL945" i="1" s="1"/>
  <c r="CH1158" i="1"/>
  <c r="CG1158" i="1" s="1"/>
  <c r="CK1158" i="1"/>
  <c r="BM156" i="1"/>
  <c r="BL156" i="1" s="1"/>
  <c r="CH310" i="1"/>
  <c r="CG310" i="1" s="1"/>
  <c r="CK310" i="1"/>
  <c r="CJ310" i="1" s="1"/>
  <c r="BM358" i="1"/>
  <c r="BL358" i="1" s="1"/>
  <c r="BM784" i="1"/>
  <c r="BL784" i="1" s="1"/>
  <c r="CH222" i="1"/>
  <c r="CG222" i="1" s="1"/>
  <c r="CK222" i="1"/>
  <c r="CH200" i="1"/>
  <c r="CK200" i="1"/>
  <c r="CJ200" i="1" s="1"/>
  <c r="BM950" i="1"/>
  <c r="BL950" i="1" s="1"/>
  <c r="BM271" i="1"/>
  <c r="BL271" i="1" s="1"/>
  <c r="BM203" i="1"/>
  <c r="BL203" i="1" s="1"/>
  <c r="BM132" i="1"/>
  <c r="BL132" i="1" s="1"/>
  <c r="BM288" i="1"/>
  <c r="BL288" i="1" s="1"/>
  <c r="BM19" i="1"/>
  <c r="BL19" i="1" s="1"/>
  <c r="CH1170" i="1"/>
  <c r="CG1170" i="1" s="1"/>
  <c r="CK1170" i="1"/>
  <c r="BM29" i="1"/>
  <c r="BL29" i="1" s="1"/>
  <c r="BM137" i="1"/>
  <c r="BL137" i="1" s="1"/>
  <c r="BM53" i="1"/>
  <c r="BL53" i="1" s="1"/>
  <c r="BM941" i="1"/>
  <c r="BL941" i="1" s="1"/>
  <c r="BM810" i="1"/>
  <c r="BL810" i="1" s="1"/>
  <c r="BM862" i="1"/>
  <c r="BL862" i="1" s="1"/>
  <c r="CH893" i="1"/>
  <c r="CG893" i="1" s="1"/>
  <c r="CK893" i="1"/>
  <c r="CJ893" i="1" s="1"/>
  <c r="BM1061" i="1"/>
  <c r="BL1061" i="1" s="1"/>
  <c r="BM972" i="1"/>
  <c r="BL972" i="1" s="1"/>
  <c r="BM107" i="1"/>
  <c r="BL107" i="1" s="1"/>
  <c r="BM211" i="1"/>
  <c r="BL211" i="1" s="1"/>
  <c r="CH430" i="1"/>
  <c r="CG430" i="1" s="1"/>
  <c r="CK430" i="1"/>
  <c r="CH389" i="1"/>
  <c r="CG389" i="1" s="1"/>
  <c r="CK389" i="1"/>
  <c r="CJ389" i="1" s="1"/>
  <c r="CH1176" i="1"/>
  <c r="CG1176" i="1" s="1"/>
  <c r="CK1176" i="1"/>
  <c r="BM765" i="1"/>
  <c r="BL765" i="1" s="1"/>
  <c r="CH388" i="1"/>
  <c r="CG388" i="1" s="1"/>
  <c r="CK388" i="1"/>
  <c r="CJ388" i="1" s="1"/>
  <c r="BM152" i="1"/>
  <c r="BL152" i="1" s="1"/>
  <c r="CH432" i="1"/>
  <c r="CG432" i="1" s="1"/>
  <c r="CK432" i="1"/>
  <c r="CJ432" i="1" s="1"/>
  <c r="BM275" i="1"/>
  <c r="BL275" i="1" s="1"/>
  <c r="CG1067" i="1"/>
  <c r="CH1010" i="1"/>
  <c r="CG1010" i="1" s="1"/>
  <c r="CK1010" i="1"/>
  <c r="CJ1010" i="1" s="1"/>
  <c r="CH417" i="1"/>
  <c r="CK417" i="1"/>
  <c r="CJ417" i="1" s="1"/>
  <c r="CH290" i="1"/>
  <c r="CG290" i="1" s="1"/>
  <c r="CK290" i="1"/>
  <c r="CJ290" i="1" s="1"/>
  <c r="BM221" i="1"/>
  <c r="BL221" i="1" s="1"/>
  <c r="BM237" i="1"/>
  <c r="BL237" i="1" s="1"/>
  <c r="BM31" i="1"/>
  <c r="BL31" i="1" s="1"/>
  <c r="BM76" i="1"/>
  <c r="BL76" i="1" s="1"/>
  <c r="BM806" i="1"/>
  <c r="BL806" i="1" s="1"/>
  <c r="BM863" i="1"/>
  <c r="BL863" i="1" s="1"/>
  <c r="BM70" i="1"/>
  <c r="BL70" i="1" s="1"/>
  <c r="BM98" i="1"/>
  <c r="BL98" i="1" s="1"/>
  <c r="BM332" i="1"/>
  <c r="BL332" i="1" s="1"/>
  <c r="CH1147" i="1"/>
  <c r="CK1147" i="1"/>
  <c r="CJ1147" i="1" s="1"/>
  <c r="BM52" i="1"/>
  <c r="BL52" i="1" s="1"/>
  <c r="BM254" i="1"/>
  <c r="BL254" i="1" s="1"/>
  <c r="BM63" i="1"/>
  <c r="BL63" i="1" s="1"/>
  <c r="BM868" i="1"/>
  <c r="BL868" i="1" s="1"/>
  <c r="BM202" i="1"/>
  <c r="BL202" i="1" s="1"/>
  <c r="BM236" i="1"/>
  <c r="BL236" i="1" s="1"/>
  <c r="BM114" i="1"/>
  <c r="BL114" i="1" s="1"/>
  <c r="BM188" i="1"/>
  <c r="BL188" i="1" s="1"/>
  <c r="BM307" i="1"/>
  <c r="BL307" i="1" s="1"/>
  <c r="BM954" i="1"/>
  <c r="BL954" i="1" s="1"/>
  <c r="CH1091" i="1"/>
  <c r="CG1091" i="1" s="1"/>
  <c r="CK1091" i="1"/>
  <c r="CJ1091" i="1" s="1"/>
  <c r="BM932" i="1"/>
  <c r="BL932" i="1" s="1"/>
  <c r="CH180" i="1"/>
  <c r="CK180" i="1"/>
  <c r="BM261" i="1"/>
  <c r="BL261" i="1" s="1"/>
  <c r="BM160" i="1"/>
  <c r="BL160" i="1" s="1"/>
  <c r="BM34" i="1"/>
  <c r="BL34" i="1" s="1"/>
  <c r="BM90" i="1"/>
  <c r="BL90" i="1" s="1"/>
  <c r="BM155" i="1"/>
  <c r="BL155" i="1" s="1"/>
  <c r="BM75" i="1"/>
  <c r="BL75" i="1" s="1"/>
  <c r="CH294" i="1"/>
  <c r="CG294" i="1" s="1"/>
  <c r="CK294" i="1"/>
  <c r="CJ294" i="1" s="1"/>
  <c r="BM41" i="1"/>
  <c r="BL41" i="1" s="1"/>
  <c r="BM1090" i="1"/>
  <c r="BM133" i="1"/>
  <c r="BL133" i="1" s="1"/>
  <c r="BM189" i="1"/>
  <c r="BL189" i="1" s="1"/>
  <c r="BM32" i="1"/>
  <c r="BL32" i="1" s="1"/>
  <c r="CH174" i="1"/>
  <c r="CG174" i="1" s="1"/>
  <c r="CK174" i="1"/>
  <c r="CH503" i="1"/>
  <c r="CG503" i="1" s="1"/>
  <c r="CK503" i="1"/>
  <c r="CJ503" i="1" s="1"/>
  <c r="BM159" i="1"/>
  <c r="BL159" i="1" s="1"/>
  <c r="BM69" i="1"/>
  <c r="BL69" i="1" s="1"/>
  <c r="BM170" i="1"/>
  <c r="BL170" i="1" s="1"/>
  <c r="BM171" i="1"/>
  <c r="BL171" i="1" s="1"/>
  <c r="BM264" i="1"/>
  <c r="BL264" i="1" s="1"/>
  <c r="BM172" i="1"/>
  <c r="BL172" i="1" s="1"/>
  <c r="BM73" i="1"/>
  <c r="BL73" i="1" s="1"/>
  <c r="CH423" i="1"/>
  <c r="CG423" i="1" s="1"/>
  <c r="CK423" i="1"/>
  <c r="BM771" i="1"/>
  <c r="BL771" i="1" s="1"/>
  <c r="CH215" i="1"/>
  <c r="CG215" i="1" s="1"/>
  <c r="CK215" i="1"/>
  <c r="BM833" i="1"/>
  <c r="BL833" i="1" s="1"/>
  <c r="BM115" i="1"/>
  <c r="BL115" i="1" s="1"/>
  <c r="BM77" i="1"/>
  <c r="BL77" i="1" s="1"/>
  <c r="BM984" i="1"/>
  <c r="BL984" i="1" s="1"/>
  <c r="CH1243" i="1"/>
  <c r="CG1243" i="1" s="1"/>
  <c r="CK1243" i="1"/>
  <c r="CJ1243" i="1" s="1"/>
  <c r="BM867" i="1"/>
  <c r="BL867" i="1" s="1"/>
  <c r="CH1159" i="1"/>
  <c r="CG1159" i="1" s="1"/>
  <c r="CK1159" i="1"/>
  <c r="CJ1159" i="1" s="1"/>
  <c r="CH424" i="1"/>
  <c r="CG424" i="1" s="1"/>
  <c r="CK424" i="1"/>
  <c r="CJ424" i="1" s="1"/>
  <c r="BM138" i="1"/>
  <c r="BM874" i="1"/>
  <c r="BL874" i="1" s="1"/>
  <c r="BM1085" i="1"/>
  <c r="BL1085" i="1" s="1"/>
  <c r="BM47" i="1"/>
  <c r="BL47" i="1" s="1"/>
  <c r="CH483" i="1"/>
  <c r="CG483" i="1" s="1"/>
  <c r="CK483" i="1"/>
  <c r="CJ483" i="1" s="1"/>
  <c r="BM273" i="1"/>
  <c r="BL273" i="1" s="1"/>
  <c r="CH304" i="1"/>
  <c r="CK304" i="1"/>
  <c r="CJ304" i="1" s="1"/>
  <c r="CH469" i="1"/>
  <c r="CK469" i="1"/>
  <c r="BM955" i="1"/>
  <c r="AX955" i="1" s="1"/>
  <c r="AW955" i="1" s="1"/>
  <c r="BM11" i="1"/>
  <c r="BL11" i="1" s="1"/>
  <c r="BM85" i="1"/>
  <c r="BL85" i="1" s="1"/>
  <c r="CH281" i="1"/>
  <c r="CG281" i="1" s="1"/>
  <c r="CK281" i="1"/>
  <c r="CJ281" i="1" s="1"/>
  <c r="CH387" i="1"/>
  <c r="CG387" i="1" s="1"/>
  <c r="CK387" i="1"/>
  <c r="CJ387" i="1" s="1"/>
  <c r="BM796" i="1"/>
  <c r="BL796" i="1" s="1"/>
  <c r="BM81" i="1"/>
  <c r="BL81" i="1" s="1"/>
  <c r="CH1224" i="1"/>
  <c r="CG1224" i="1" s="1"/>
  <c r="CK1224" i="1"/>
  <c r="CJ1224" i="1" s="1"/>
  <c r="CH373" i="1"/>
  <c r="CG373" i="1" s="1"/>
  <c r="CK373" i="1"/>
  <c r="CJ373" i="1" s="1"/>
  <c r="BM914" i="1"/>
  <c r="BL914" i="1" s="1"/>
  <c r="BM166" i="1"/>
  <c r="BL166" i="1" s="1"/>
  <c r="CH891" i="1"/>
  <c r="CK891" i="1"/>
  <c r="CJ891" i="1" s="1"/>
  <c r="BM163" i="1"/>
  <c r="BL163" i="1" s="1"/>
  <c r="CH302" i="1"/>
  <c r="CG302" i="1" s="1"/>
  <c r="CK302" i="1"/>
  <c r="BM40" i="1"/>
  <c r="BL40" i="1" s="1"/>
  <c r="BM113" i="1"/>
  <c r="BL113" i="1" s="1"/>
  <c r="BM74" i="1"/>
  <c r="BL74" i="1" s="1"/>
  <c r="BM61" i="1"/>
  <c r="BL61" i="1" s="1"/>
  <c r="BM811" i="1"/>
  <c r="BL811" i="1" s="1"/>
  <c r="BM284" i="1"/>
  <c r="AX284" i="1" s="1"/>
  <c r="AW284" i="1" s="1"/>
  <c r="BM218" i="1"/>
  <c r="BL218" i="1" s="1"/>
  <c r="CH1171" i="1"/>
  <c r="CG1171" i="1" s="1"/>
  <c r="CK1171" i="1"/>
  <c r="BM786" i="1"/>
  <c r="BL786" i="1" s="1"/>
  <c r="BM258" i="1"/>
  <c r="BL258" i="1" s="1"/>
  <c r="CH1218" i="1"/>
  <c r="CG1218" i="1" s="1"/>
  <c r="CK1218" i="1"/>
  <c r="CJ1218" i="1" s="1"/>
  <c r="CH431" i="1"/>
  <c r="CG431" i="1" s="1"/>
  <c r="CK431" i="1"/>
  <c r="CJ431" i="1" s="1"/>
  <c r="BM91" i="1"/>
  <c r="BL91" i="1" s="1"/>
  <c r="CH1018" i="1"/>
  <c r="CG1018" i="1" s="1"/>
  <c r="CK1018" i="1"/>
  <c r="CJ1018" i="1" s="1"/>
  <c r="BM39" i="1"/>
  <c r="BL39" i="1" s="1"/>
  <c r="BM16" i="1"/>
  <c r="BL16" i="1" s="1"/>
  <c r="BM1048" i="1"/>
  <c r="AX1048" i="1" s="1"/>
  <c r="AW1048" i="1" s="1"/>
  <c r="BM5" i="1"/>
  <c r="BL5" i="1" s="1"/>
  <c r="CH1160" i="1"/>
  <c r="CG1160" i="1" s="1"/>
  <c r="CK1160" i="1"/>
  <c r="BM788" i="1"/>
  <c r="BL788" i="1" s="1"/>
  <c r="BM97" i="1"/>
  <c r="BL97" i="1" s="1"/>
  <c r="BM809" i="1"/>
  <c r="BL809" i="1" s="1"/>
  <c r="CH1011" i="1"/>
  <c r="CG1011" i="1" s="1"/>
  <c r="CK1011" i="1"/>
  <c r="CJ1011" i="1" s="1"/>
  <c r="BM334" i="1"/>
  <c r="AX334" i="1" s="1"/>
  <c r="AW334" i="1" s="1"/>
  <c r="CH372" i="1"/>
  <c r="CG372" i="1" s="1"/>
  <c r="CK372" i="1"/>
  <c r="CJ372" i="1" s="1"/>
  <c r="CH907" i="1"/>
  <c r="CK907" i="1"/>
  <c r="BM165" i="1"/>
  <c r="BL165" i="1" s="1"/>
  <c r="BM248" i="1"/>
  <c r="BL248" i="1" s="1"/>
  <c r="CH1215" i="1"/>
  <c r="CG1215" i="1" s="1"/>
  <c r="CK1215" i="1"/>
  <c r="CJ1215" i="1" s="1"/>
  <c r="BM247" i="1"/>
  <c r="BM904" i="1"/>
  <c r="BL904" i="1" s="1"/>
  <c r="BM1051" i="1"/>
  <c r="BL1051" i="1" s="1"/>
  <c r="BM781" i="1"/>
  <c r="BL781" i="1" s="1"/>
  <c r="BM35" i="1"/>
  <c r="BL35" i="1" s="1"/>
  <c r="CH1165" i="1"/>
  <c r="CG1165" i="1" s="1"/>
  <c r="CK1165" i="1"/>
  <c r="CJ1165" i="1" s="1"/>
  <c r="CH1214" i="1"/>
  <c r="CG1214" i="1" s="1"/>
  <c r="CK1214" i="1"/>
  <c r="CJ1214" i="1" s="1"/>
  <c r="BM942" i="1"/>
  <c r="BL942" i="1" s="1"/>
  <c r="CH870" i="1"/>
  <c r="CK870" i="1"/>
  <c r="BM99" i="1"/>
  <c r="BL99" i="1" s="1"/>
  <c r="BM217" i="1"/>
  <c r="BL217" i="1" s="1"/>
  <c r="CH1144" i="1"/>
  <c r="CK1144" i="1"/>
  <c r="CJ1144" i="1" s="1"/>
  <c r="CH869" i="1"/>
  <c r="CK869" i="1"/>
  <c r="BM949" i="1"/>
  <c r="BL949" i="1" s="1"/>
  <c r="BM179" i="1"/>
  <c r="BL179" i="1" s="1"/>
  <c r="CH1167" i="1"/>
  <c r="CG1167" i="1" s="1"/>
  <c r="CK1167" i="1"/>
  <c r="CJ1167" i="1" s="1"/>
  <c r="CH1166" i="1"/>
  <c r="CG1166" i="1" s="1"/>
  <c r="CK1166" i="1"/>
  <c r="BM103" i="1"/>
  <c r="BL103" i="1" s="1"/>
  <c r="BW106" i="1"/>
  <c r="BZ106" i="1"/>
  <c r="BT106" i="1"/>
  <c r="BW824" i="1"/>
  <c r="BZ824" i="1"/>
  <c r="BT824" i="1"/>
  <c r="BW49" i="1"/>
  <c r="BZ49" i="1"/>
  <c r="BT49" i="1"/>
  <c r="BW27" i="1"/>
  <c r="BZ27" i="1"/>
  <c r="BT27" i="1"/>
  <c r="BW820" i="1"/>
  <c r="BZ820" i="1"/>
  <c r="BT820" i="1"/>
  <c r="BW828" i="1"/>
  <c r="BZ828" i="1"/>
  <c r="BT828" i="1"/>
  <c r="BW748" i="1"/>
  <c r="BZ748" i="1"/>
  <c r="BT748" i="1"/>
  <c r="BW755" i="1"/>
  <c r="BZ755" i="1"/>
  <c r="BT755" i="1"/>
  <c r="BW780" i="1"/>
  <c r="BZ780" i="1"/>
  <c r="BT780" i="1"/>
  <c r="BW802" i="1"/>
  <c r="BZ802" i="1"/>
  <c r="BT802" i="1"/>
  <c r="BW823" i="1"/>
  <c r="BZ823" i="1"/>
  <c r="BT823" i="1"/>
  <c r="BW104" i="1"/>
  <c r="BZ104" i="1"/>
  <c r="BT104" i="1"/>
  <c r="BW110" i="1"/>
  <c r="BZ110" i="1"/>
  <c r="BT110" i="1"/>
  <c r="BW829" i="1"/>
  <c r="BZ829" i="1"/>
  <c r="BT829" i="1"/>
  <c r="BW762" i="1"/>
  <c r="BZ762" i="1"/>
  <c r="BT762" i="1"/>
  <c r="BW102" i="1"/>
  <c r="BZ102" i="1"/>
  <c r="BT102" i="1"/>
  <c r="BW766" i="1"/>
  <c r="BZ766" i="1"/>
  <c r="BT766" i="1"/>
  <c r="BW112" i="1"/>
  <c r="BZ112" i="1"/>
  <c r="BT112" i="1"/>
  <c r="BW56" i="1"/>
  <c r="BZ56" i="1"/>
  <c r="BT56" i="1"/>
  <c r="BW791" i="1"/>
  <c r="BZ791" i="1"/>
  <c r="BT791" i="1"/>
  <c r="BW88" i="1"/>
  <c r="BZ88" i="1"/>
  <c r="BT88" i="1"/>
  <c r="BW825" i="1"/>
  <c r="BZ825" i="1"/>
  <c r="BT825" i="1"/>
  <c r="BW116" i="1"/>
  <c r="BZ116" i="1"/>
  <c r="BT116" i="1"/>
  <c r="BW743" i="1"/>
  <c r="BZ743" i="1"/>
  <c r="BT743" i="1"/>
  <c r="BW51" i="1"/>
  <c r="BZ51" i="1"/>
  <c r="BT51" i="1"/>
  <c r="BW818" i="1"/>
  <c r="BZ818" i="1"/>
  <c r="BT818" i="1"/>
  <c r="BW306" i="1"/>
  <c r="BZ306" i="1"/>
  <c r="BT306" i="1"/>
  <c r="BW82" i="1"/>
  <c r="BZ82" i="1"/>
  <c r="BT82" i="1"/>
  <c r="BW119" i="1"/>
  <c r="BZ119" i="1"/>
  <c r="BT119" i="1"/>
  <c r="BW28" i="1"/>
  <c r="BZ28" i="1"/>
  <c r="BT28" i="1"/>
  <c r="BW775" i="1"/>
  <c r="BZ775" i="1"/>
  <c r="BT775" i="1"/>
  <c r="BW122" i="1"/>
  <c r="BZ122" i="1"/>
  <c r="BT122" i="1"/>
  <c r="BW108" i="1"/>
  <c r="BZ108" i="1"/>
  <c r="BT108" i="1"/>
  <c r="BW835" i="1"/>
  <c r="BZ835" i="1"/>
  <c r="BT835" i="1"/>
  <c r="BW123" i="1"/>
  <c r="BZ123" i="1"/>
  <c r="BT123" i="1"/>
  <c r="BW749" i="1"/>
  <c r="BZ749" i="1"/>
  <c r="BT749" i="1"/>
  <c r="BW6" i="1"/>
  <c r="BZ6" i="1"/>
  <c r="BT6" i="1"/>
  <c r="BW756" i="1"/>
  <c r="BZ756" i="1"/>
  <c r="BT756" i="1"/>
  <c r="BW803" i="1"/>
  <c r="BZ803" i="1"/>
  <c r="BT803" i="1"/>
  <c r="BW111" i="1"/>
  <c r="BZ111" i="1"/>
  <c r="BT111" i="1"/>
  <c r="BW124" i="1"/>
  <c r="BZ124" i="1"/>
  <c r="BT124" i="1"/>
  <c r="BW763" i="1"/>
  <c r="BZ763" i="1"/>
  <c r="BT763" i="1"/>
  <c r="BW837" i="1"/>
  <c r="BZ837" i="1"/>
  <c r="BT837" i="1"/>
  <c r="BW127" i="1"/>
  <c r="BZ127" i="1"/>
  <c r="BT127" i="1"/>
  <c r="BW128" i="1"/>
  <c r="BZ128" i="1"/>
  <c r="BT128" i="1"/>
  <c r="BW57" i="1"/>
  <c r="BZ57" i="1"/>
  <c r="BT57" i="1"/>
  <c r="BW792" i="1"/>
  <c r="BZ792" i="1"/>
  <c r="BT792" i="1"/>
  <c r="BW83" i="1"/>
  <c r="BZ83" i="1"/>
  <c r="BT83" i="1"/>
  <c r="BW89" i="1"/>
  <c r="BZ89" i="1"/>
  <c r="BT89" i="1"/>
  <c r="BW120" i="1"/>
  <c r="BZ120" i="1"/>
  <c r="BT120" i="1"/>
  <c r="BW109" i="1"/>
  <c r="BZ109" i="1"/>
  <c r="BT109" i="1"/>
  <c r="BW834" i="1"/>
  <c r="BZ834" i="1"/>
  <c r="BT834" i="1"/>
  <c r="BW776" i="1"/>
  <c r="BZ776" i="1"/>
  <c r="BT776" i="1"/>
  <c r="BW135" i="1"/>
  <c r="BZ135" i="1"/>
  <c r="BT135" i="1"/>
  <c r="BW130" i="1"/>
  <c r="BZ130" i="1"/>
  <c r="BT130" i="1"/>
  <c r="BW7" i="1"/>
  <c r="BZ7" i="1"/>
  <c r="BT7" i="1"/>
  <c r="BW757" i="1"/>
  <c r="BZ757" i="1"/>
  <c r="BT757" i="1"/>
  <c r="BW804" i="1"/>
  <c r="BZ804" i="1"/>
  <c r="BT804" i="1"/>
  <c r="BW125" i="1"/>
  <c r="BZ125" i="1"/>
  <c r="BT125" i="1"/>
  <c r="BW129" i="1"/>
  <c r="BZ129" i="1"/>
  <c r="BT129" i="1"/>
  <c r="BW84" i="1"/>
  <c r="BZ84" i="1"/>
  <c r="BT84" i="1"/>
  <c r="BW1451" i="1"/>
  <c r="BZ1451" i="1"/>
  <c r="BT1451" i="1"/>
  <c r="BW136" i="1"/>
  <c r="BZ136" i="1"/>
  <c r="BT136" i="1"/>
  <c r="BW844" i="1"/>
  <c r="BZ844" i="1"/>
  <c r="BT844" i="1"/>
  <c r="BW758" i="1"/>
  <c r="BZ758" i="1"/>
  <c r="BT758" i="1"/>
  <c r="BW805" i="1"/>
  <c r="BZ805" i="1"/>
  <c r="BT805" i="1"/>
  <c r="BW831" i="1"/>
  <c r="BZ831" i="1"/>
  <c r="BT831" i="1"/>
  <c r="BW126" i="1"/>
  <c r="BZ126" i="1"/>
  <c r="BT126" i="1"/>
  <c r="BW812" i="1"/>
  <c r="BZ812" i="1"/>
  <c r="BT812" i="1"/>
  <c r="BW787" i="1"/>
  <c r="BZ787" i="1"/>
  <c r="BT787" i="1"/>
  <c r="BW827" i="1"/>
  <c r="BZ827" i="1"/>
  <c r="BT827" i="1"/>
  <c r="BW118" i="1"/>
  <c r="BZ118" i="1"/>
  <c r="BT118" i="1"/>
  <c r="BW121" i="1"/>
  <c r="BZ121" i="1"/>
  <c r="BT121" i="1"/>
  <c r="BW839" i="1"/>
  <c r="BZ839" i="1"/>
  <c r="BT839" i="1"/>
  <c r="AS840" i="1"/>
  <c r="AS842" i="1"/>
  <c r="CF842" i="1" s="1"/>
  <c r="AS134" i="1"/>
  <c r="BE134" i="1" s="1"/>
  <c r="AS845" i="1"/>
  <c r="BT845" i="1" s="1"/>
  <c r="AS846" i="1"/>
  <c r="AS140" i="1"/>
  <c r="BE140" i="1" s="1"/>
  <c r="AS848" i="1"/>
  <c r="BE848" i="1" s="1"/>
  <c r="AS850" i="1"/>
  <c r="BT850" i="1" s="1"/>
  <c r="AS146" i="1"/>
  <c r="AS42" i="1"/>
  <c r="AS147" i="1"/>
  <c r="CC147" i="1" s="1"/>
  <c r="AS852" i="1"/>
  <c r="AS858" i="1"/>
  <c r="BE858" i="1" s="1"/>
  <c r="AS150" i="1"/>
  <c r="BW150" i="1" s="1"/>
  <c r="AS861" i="1"/>
  <c r="BK861" i="1" s="1"/>
  <c r="AS866" i="1"/>
  <c r="BT866" i="1" s="1"/>
  <c r="AS872" i="1"/>
  <c r="AS873" i="1"/>
  <c r="CI873" i="1" s="1"/>
  <c r="AS877" i="1"/>
  <c r="BE877" i="1" s="1"/>
  <c r="BN145" i="1"/>
  <c r="CI268" i="1"/>
  <c r="CO322" i="1"/>
  <c r="BN1069" i="1"/>
  <c r="BN272" i="1"/>
  <c r="CI371" i="1"/>
  <c r="CR371" i="1"/>
  <c r="BW774" i="1"/>
  <c r="BZ774" i="1"/>
  <c r="BT774" i="1"/>
  <c r="BW30" i="1"/>
  <c r="BZ30" i="1"/>
  <c r="BT30" i="1"/>
  <c r="CR288" i="1"/>
  <c r="BW105" i="1"/>
  <c r="BZ105" i="1"/>
  <c r="BT105" i="1"/>
  <c r="BP1448" i="1"/>
  <c r="BO1448" i="1" s="1"/>
  <c r="BP24" i="1"/>
  <c r="BO24" i="1" s="1"/>
  <c r="BP767" i="1"/>
  <c r="BO767" i="1" s="1"/>
  <c r="BP33" i="1"/>
  <c r="BO33" i="1" s="1"/>
  <c r="BP44" i="1"/>
  <c r="BO44" i="1" s="1"/>
  <c r="BP778" i="1"/>
  <c r="BO778" i="1" s="1"/>
  <c r="BP745" i="1"/>
  <c r="BO745" i="1" s="1"/>
  <c r="BP3" i="1"/>
  <c r="BO3" i="1" s="1"/>
  <c r="BP777" i="1"/>
  <c r="BO777" i="1" s="1"/>
  <c r="BP750" i="1"/>
  <c r="BO750" i="1" s="1"/>
  <c r="BP8" i="1"/>
  <c r="BO8" i="1" s="1"/>
  <c r="BP752" i="1"/>
  <c r="BO752" i="1" s="1"/>
  <c r="BP9" i="1"/>
  <c r="BO9" i="1" s="1"/>
  <c r="BP759" i="1"/>
  <c r="BO759" i="1" s="1"/>
  <c r="BP764" i="1"/>
  <c r="BO764" i="1" s="1"/>
  <c r="BP13" i="1"/>
  <c r="BO13" i="1" s="1"/>
  <c r="BP17" i="1"/>
  <c r="BO17" i="1" s="1"/>
  <c r="BP20" i="1"/>
  <c r="BO20" i="1" s="1"/>
  <c r="BP734" i="1"/>
  <c r="BO734" i="1" s="1"/>
  <c r="BP736" i="1"/>
  <c r="BO736" i="1" s="1"/>
  <c r="BP45" i="1"/>
  <c r="BO45" i="1" s="1"/>
  <c r="BP48" i="1"/>
  <c r="BO48" i="1" s="1"/>
  <c r="BP50" i="1"/>
  <c r="BO50" i="1" s="1"/>
  <c r="BP54" i="1"/>
  <c r="BO54" i="1" s="1"/>
  <c r="BP783" i="1"/>
  <c r="BO783" i="1" s="1"/>
  <c r="BP58" i="1"/>
  <c r="BO58" i="1" s="1"/>
  <c r="BP735" i="1"/>
  <c r="BO735" i="1" s="1"/>
  <c r="BP740" i="1"/>
  <c r="BO740" i="1" s="1"/>
  <c r="BP1449" i="1"/>
  <c r="BO1449" i="1" s="1"/>
  <c r="BP62" i="1"/>
  <c r="BO62" i="1" s="1"/>
  <c r="BP64" i="1"/>
  <c r="BO64" i="1" s="1"/>
  <c r="BP739" i="1"/>
  <c r="BO739" i="1" s="1"/>
  <c r="BP25" i="1"/>
  <c r="BO25" i="1" s="1"/>
  <c r="BP768" i="1"/>
  <c r="BO768" i="1" s="1"/>
  <c r="BP772" i="1"/>
  <c r="BO772" i="1" s="1"/>
  <c r="BP793" i="1"/>
  <c r="BO793" i="1" s="1"/>
  <c r="BP65" i="1"/>
  <c r="BO65" i="1" s="1"/>
  <c r="BP794" i="1"/>
  <c r="BO794" i="1" s="1"/>
  <c r="BP66" i="1"/>
  <c r="BO66" i="1" s="1"/>
  <c r="BP746" i="1"/>
  <c r="BO746" i="1" s="1"/>
  <c r="BP4" i="1"/>
  <c r="BO4" i="1" s="1"/>
  <c r="BP753" i="1"/>
  <c r="BO753" i="1" s="1"/>
  <c r="BP37" i="1"/>
  <c r="BO37" i="1" s="1"/>
  <c r="BP67" i="1"/>
  <c r="BO67" i="1" s="1"/>
  <c r="BP798" i="1"/>
  <c r="BO798" i="1" s="1"/>
  <c r="BP68" i="1"/>
  <c r="BO68" i="1" s="1"/>
  <c r="BP800" i="1"/>
  <c r="BO800" i="1" s="1"/>
  <c r="BP10" i="1"/>
  <c r="BO10" i="1" s="1"/>
  <c r="BP760" i="1"/>
  <c r="BO760" i="1" s="1"/>
  <c r="BP12" i="1"/>
  <c r="BO12" i="1" s="1"/>
  <c r="BP14" i="1"/>
  <c r="BO14" i="1" s="1"/>
  <c r="BP18" i="1"/>
  <c r="BO18" i="1" s="1"/>
  <c r="BP21" i="1"/>
  <c r="BO21" i="1" s="1"/>
  <c r="BP22" i="1"/>
  <c r="BO22" i="1" s="1"/>
  <c r="BP78" i="1"/>
  <c r="BO78" i="1" s="1"/>
  <c r="BP813" i="1"/>
  <c r="BO813" i="1" s="1"/>
  <c r="BP79" i="1"/>
  <c r="BO79" i="1" s="1"/>
  <c r="BP815" i="1"/>
  <c r="BO815" i="1" s="1"/>
  <c r="BP741" i="1"/>
  <c r="BO741" i="1" s="1"/>
  <c r="BP46" i="1"/>
  <c r="BO46" i="1" s="1"/>
  <c r="BP55" i="1"/>
  <c r="BO55" i="1" s="1"/>
  <c r="BP789" i="1"/>
  <c r="BO789" i="1" s="1"/>
  <c r="BP80" i="1"/>
  <c r="BO80" i="1" s="1"/>
  <c r="BP86" i="1"/>
  <c r="BO86" i="1" s="1"/>
  <c r="BP92" i="1"/>
  <c r="BO92" i="1" s="1"/>
  <c r="BP59" i="1"/>
  <c r="BO59" i="1" s="1"/>
  <c r="BP816" i="1"/>
  <c r="BO816" i="1" s="1"/>
  <c r="BP26" i="1"/>
  <c r="BO26" i="1" s="1"/>
  <c r="BP773" i="1"/>
  <c r="BO773" i="1" s="1"/>
  <c r="BP795" i="1"/>
  <c r="BO795" i="1" s="1"/>
  <c r="BP769" i="1"/>
  <c r="BO769" i="1" s="1"/>
  <c r="BP797" i="1"/>
  <c r="BO797" i="1" s="1"/>
  <c r="BP747" i="1"/>
  <c r="BO747" i="1" s="1"/>
  <c r="BP38" i="1"/>
  <c r="BO38" i="1" s="1"/>
  <c r="BP779" i="1"/>
  <c r="BO779" i="1" s="1"/>
  <c r="BP799" i="1"/>
  <c r="BO799" i="1" s="1"/>
  <c r="BP801" i="1"/>
  <c r="BO801" i="1" s="1"/>
  <c r="BP71" i="1"/>
  <c r="BO71" i="1" s="1"/>
  <c r="BP807" i="1"/>
  <c r="BO807" i="1" s="1"/>
  <c r="BP96" i="1"/>
  <c r="BO96" i="1" s="1"/>
  <c r="BP821" i="1"/>
  <c r="BO821" i="1" s="1"/>
  <c r="BP23" i="1"/>
  <c r="BO23" i="1" s="1"/>
  <c r="BP822" i="1"/>
  <c r="BO822" i="1" s="1"/>
  <c r="BP100" i="1"/>
  <c r="BO100" i="1" s="1"/>
  <c r="BP101" i="1"/>
  <c r="BO101" i="1" s="1"/>
  <c r="BP761" i="1"/>
  <c r="BO761" i="1" s="1"/>
  <c r="BP814" i="1"/>
  <c r="BO814" i="1" s="1"/>
  <c r="BP103" i="1"/>
  <c r="BO103" i="1" s="1"/>
  <c r="BZ103" i="1"/>
  <c r="BT103" i="1"/>
  <c r="BW103" i="1"/>
  <c r="BP785" i="1"/>
  <c r="BO785" i="1" s="1"/>
  <c r="BZ785" i="1"/>
  <c r="BT785" i="1"/>
  <c r="BW785" i="1"/>
  <c r="BP60" i="1"/>
  <c r="BO60" i="1" s="1"/>
  <c r="BZ60" i="1"/>
  <c r="BT60" i="1"/>
  <c r="BW60" i="1"/>
  <c r="BP790" i="1"/>
  <c r="BO790" i="1" s="1"/>
  <c r="BZ790" i="1"/>
  <c r="BT790" i="1"/>
  <c r="BW790" i="1"/>
  <c r="BP93" i="1"/>
  <c r="BO93" i="1" s="1"/>
  <c r="BZ93" i="1"/>
  <c r="BT93" i="1"/>
  <c r="BW93" i="1"/>
  <c r="BP817" i="1"/>
  <c r="BO817" i="1" s="1"/>
  <c r="BZ817" i="1"/>
  <c r="BT817" i="1"/>
  <c r="BW817" i="1"/>
  <c r="BP105" i="1"/>
  <c r="BO105" i="1" s="1"/>
  <c r="BP106" i="1"/>
  <c r="BO106" i="1" s="1"/>
  <c r="BP824" i="1"/>
  <c r="BO824" i="1" s="1"/>
  <c r="BP49" i="1"/>
  <c r="BO49" i="1" s="1"/>
  <c r="BP27" i="1"/>
  <c r="BO27" i="1" s="1"/>
  <c r="BP820" i="1"/>
  <c r="BO820" i="1" s="1"/>
  <c r="BP828" i="1"/>
  <c r="BO828" i="1" s="1"/>
  <c r="BP748" i="1"/>
  <c r="BO748" i="1" s="1"/>
  <c r="BP755" i="1"/>
  <c r="BO755" i="1" s="1"/>
  <c r="BP780" i="1"/>
  <c r="BO780" i="1" s="1"/>
  <c r="BP802" i="1"/>
  <c r="BO802" i="1" s="1"/>
  <c r="BP823" i="1"/>
  <c r="BO823" i="1" s="1"/>
  <c r="BP104" i="1"/>
  <c r="BO104" i="1" s="1"/>
  <c r="BP110" i="1"/>
  <c r="BO110" i="1" s="1"/>
  <c r="BP829" i="1"/>
  <c r="BO829" i="1" s="1"/>
  <c r="BP762" i="1"/>
  <c r="BO762" i="1" s="1"/>
  <c r="BP102" i="1"/>
  <c r="BO102" i="1" s="1"/>
  <c r="BP766" i="1"/>
  <c r="BO766" i="1" s="1"/>
  <c r="BP112" i="1"/>
  <c r="BO112" i="1" s="1"/>
  <c r="BP56" i="1"/>
  <c r="BO56" i="1" s="1"/>
  <c r="BP791" i="1"/>
  <c r="BO791" i="1" s="1"/>
  <c r="BP88" i="1"/>
  <c r="BO88" i="1" s="1"/>
  <c r="BP825" i="1"/>
  <c r="BO825" i="1" s="1"/>
  <c r="BP116" i="1"/>
  <c r="BO116" i="1" s="1"/>
  <c r="BP743" i="1"/>
  <c r="BO743" i="1" s="1"/>
  <c r="BP51" i="1"/>
  <c r="BO51" i="1" s="1"/>
  <c r="BP818" i="1"/>
  <c r="BO818" i="1" s="1"/>
  <c r="BP306" i="1"/>
  <c r="BO306" i="1" s="1"/>
  <c r="BP82" i="1"/>
  <c r="BO82" i="1" s="1"/>
  <c r="BP119" i="1"/>
  <c r="BO119" i="1" s="1"/>
  <c r="BP28" i="1"/>
  <c r="BO28" i="1" s="1"/>
  <c r="BP775" i="1"/>
  <c r="BO775" i="1" s="1"/>
  <c r="BP122" i="1"/>
  <c r="BO122" i="1" s="1"/>
  <c r="BP108" i="1"/>
  <c r="BO108" i="1" s="1"/>
  <c r="BP835" i="1"/>
  <c r="BO835" i="1" s="1"/>
  <c r="BP123" i="1"/>
  <c r="BO123" i="1" s="1"/>
  <c r="BP749" i="1"/>
  <c r="BO749" i="1" s="1"/>
  <c r="BP6" i="1"/>
  <c r="BO6" i="1" s="1"/>
  <c r="BP756" i="1"/>
  <c r="BO756" i="1" s="1"/>
  <c r="BP803" i="1"/>
  <c r="BO803" i="1" s="1"/>
  <c r="BP111" i="1"/>
  <c r="BO111" i="1" s="1"/>
  <c r="BP124" i="1"/>
  <c r="BO124" i="1" s="1"/>
  <c r="BP763" i="1"/>
  <c r="BO763" i="1" s="1"/>
  <c r="BP837" i="1"/>
  <c r="BO837" i="1" s="1"/>
  <c r="BP127" i="1"/>
  <c r="BO127" i="1" s="1"/>
  <c r="BP128" i="1"/>
  <c r="BO128" i="1" s="1"/>
  <c r="BP57" i="1"/>
  <c r="BO57" i="1" s="1"/>
  <c r="BP792" i="1"/>
  <c r="BO792" i="1" s="1"/>
  <c r="BP83" i="1"/>
  <c r="BO83" i="1" s="1"/>
  <c r="BP89" i="1"/>
  <c r="BO89" i="1" s="1"/>
  <c r="BP120" i="1"/>
  <c r="BO120" i="1" s="1"/>
  <c r="BP109" i="1"/>
  <c r="BO109" i="1" s="1"/>
  <c r="BP834" i="1"/>
  <c r="BO834" i="1" s="1"/>
  <c r="BP776" i="1"/>
  <c r="BO776" i="1" s="1"/>
  <c r="BP135" i="1"/>
  <c r="BO135" i="1" s="1"/>
  <c r="BP130" i="1"/>
  <c r="BO130" i="1" s="1"/>
  <c r="BP7" i="1"/>
  <c r="BO7" i="1" s="1"/>
  <c r="BP757" i="1"/>
  <c r="BO757" i="1" s="1"/>
  <c r="BP804" i="1"/>
  <c r="BO804" i="1" s="1"/>
  <c r="BP125" i="1"/>
  <c r="BO125" i="1" s="1"/>
  <c r="BP129" i="1"/>
  <c r="BO129" i="1" s="1"/>
  <c r="BP84" i="1"/>
  <c r="BO84" i="1" s="1"/>
  <c r="BP1451" i="1"/>
  <c r="BO1451" i="1" s="1"/>
  <c r="BP136" i="1"/>
  <c r="BO136" i="1" s="1"/>
  <c r="BP844" i="1"/>
  <c r="BO844" i="1" s="1"/>
  <c r="BP758" i="1"/>
  <c r="BO758" i="1" s="1"/>
  <c r="BP805" i="1"/>
  <c r="BO805" i="1" s="1"/>
  <c r="BP831" i="1"/>
  <c r="BO831" i="1" s="1"/>
  <c r="BP126" i="1"/>
  <c r="BO126" i="1" s="1"/>
  <c r="BP812" i="1"/>
  <c r="BO812" i="1" s="1"/>
  <c r="BP787" i="1"/>
  <c r="BO787" i="1" s="1"/>
  <c r="BP827" i="1"/>
  <c r="BO827" i="1" s="1"/>
  <c r="BP118" i="1"/>
  <c r="BO118" i="1" s="1"/>
  <c r="BP121" i="1"/>
  <c r="BO121" i="1" s="1"/>
  <c r="BP839" i="1"/>
  <c r="BO839" i="1" s="1"/>
  <c r="BP840" i="1"/>
  <c r="BO840" i="1" s="1"/>
  <c r="BP842" i="1"/>
  <c r="BO842" i="1" s="1"/>
  <c r="BP134" i="1"/>
  <c r="BO134" i="1" s="1"/>
  <c r="BP845" i="1"/>
  <c r="BO845" i="1" s="1"/>
  <c r="BP846" i="1"/>
  <c r="BO846" i="1" s="1"/>
  <c r="BP140" i="1"/>
  <c r="BO140" i="1" s="1"/>
  <c r="BP848" i="1"/>
  <c r="BO848" i="1" s="1"/>
  <c r="BP850" i="1"/>
  <c r="BO850" i="1" s="1"/>
  <c r="BP146" i="1"/>
  <c r="BO146" i="1" s="1"/>
  <c r="BP147" i="1"/>
  <c r="BO147" i="1" s="1"/>
  <c r="BP858" i="1"/>
  <c r="BO858" i="1" s="1"/>
  <c r="BP150" i="1"/>
  <c r="BO150" i="1" s="1"/>
  <c r="BP861" i="1"/>
  <c r="BO861" i="1" s="1"/>
  <c r="BP866" i="1"/>
  <c r="BO866" i="1" s="1"/>
  <c r="BP872" i="1"/>
  <c r="BO872" i="1" s="1"/>
  <c r="BP873" i="1"/>
  <c r="BO873" i="1" s="1"/>
  <c r="BP877" i="1"/>
  <c r="BO877" i="1" s="1"/>
  <c r="BP774" i="1"/>
  <c r="BO774" i="1" s="1"/>
  <c r="BP30" i="1"/>
  <c r="BO30" i="1" s="1"/>
  <c r="BP738" i="1"/>
  <c r="BO738" i="1" s="1"/>
  <c r="D147" i="1"/>
  <c r="DH147" i="1" s="1"/>
  <c r="D862" i="1"/>
  <c r="DH862" i="1" s="1"/>
  <c r="D744" i="1"/>
  <c r="D1163" i="1"/>
  <c r="DH1163" i="1" s="1"/>
  <c r="D427" i="1"/>
  <c r="DH427" i="1" s="1"/>
  <c r="D279" i="1"/>
  <c r="DH279" i="1" s="1"/>
  <c r="D289" i="1"/>
  <c r="DH289" i="1" s="1"/>
  <c r="D210" i="1"/>
  <c r="DH210" i="1" s="1"/>
  <c r="D892" i="1"/>
  <c r="DH892" i="1" s="1"/>
  <c r="D917" i="1"/>
  <c r="DH917" i="1" s="1"/>
  <c r="D375" i="1"/>
  <c r="DH375" i="1" s="1"/>
  <c r="D430" i="1"/>
  <c r="DH430" i="1" s="1"/>
  <c r="D379" i="1"/>
  <c r="DH379" i="1" s="1"/>
  <c r="D156" i="1"/>
  <c r="DH156" i="1" s="1"/>
  <c r="D309" i="1"/>
  <c r="DH309" i="1" s="1"/>
  <c r="D184" i="1"/>
  <c r="DH184" i="1" s="1"/>
  <c r="D432" i="1"/>
  <c r="DH432" i="1" s="1"/>
  <c r="D1037" i="1"/>
  <c r="DH1037" i="1" s="1"/>
  <c r="D1165" i="1"/>
  <c r="DH1165" i="1" s="1"/>
  <c r="D907" i="1"/>
  <c r="DH907" i="1" s="1"/>
  <c r="D431" i="1"/>
  <c r="DH431" i="1" s="1"/>
  <c r="D901" i="1"/>
  <c r="DH901" i="1" s="1"/>
  <c r="D1154" i="1"/>
  <c r="DH1154" i="1" s="1"/>
  <c r="D426" i="1"/>
  <c r="DH426" i="1" s="1"/>
  <c r="D866" i="1"/>
  <c r="DH866" i="1" s="1"/>
  <c r="D1157" i="1"/>
  <c r="DH1157" i="1" s="1"/>
  <c r="D870" i="1"/>
  <c r="DH870" i="1" s="1"/>
  <c r="D285" i="1"/>
  <c r="DH285" i="1" s="1"/>
  <c r="D1159" i="1"/>
  <c r="DH1159" i="1" s="1"/>
  <c r="D1151" i="1"/>
  <c r="DH1151" i="1" s="1"/>
  <c r="D1091" i="1"/>
  <c r="DH1091" i="1" s="1"/>
  <c r="D365" i="1"/>
  <c r="DH365" i="1" s="1"/>
  <c r="D360" i="1"/>
  <c r="DH360" i="1" s="1"/>
  <c r="D1144" i="1"/>
  <c r="DH1144" i="1" s="1"/>
  <c r="D159" i="1"/>
  <c r="DH159" i="1" s="1"/>
  <c r="D1007" i="1"/>
  <c r="DH1007" i="1" s="1"/>
  <c r="D373" i="1"/>
  <c r="DH373" i="1" s="1"/>
  <c r="D856" i="1"/>
  <c r="DH856" i="1" s="1"/>
  <c r="D886" i="1"/>
  <c r="DH886" i="1" s="1"/>
  <c r="D174" i="1"/>
  <c r="DH174" i="1" s="1"/>
  <c r="D43" i="1"/>
  <c r="DH43" i="1" s="1"/>
  <c r="D1096" i="1"/>
  <c r="DH1096" i="1" s="1"/>
  <c r="D168" i="1"/>
  <c r="DH168" i="1" s="1"/>
  <c r="D1148" i="1"/>
  <c r="DH1148" i="1" s="1"/>
  <c r="D1164" i="1"/>
  <c r="DH1164" i="1" s="1"/>
  <c r="D872" i="1"/>
  <c r="DH872" i="1" s="1"/>
  <c r="D280" i="1"/>
  <c r="DH280" i="1" s="1"/>
  <c r="D290" i="1"/>
  <c r="DH290" i="1" s="1"/>
  <c r="D369" i="1"/>
  <c r="DH369" i="1" s="1"/>
  <c r="D1012" i="1"/>
  <c r="DH1012" i="1" s="1"/>
  <c r="D160" i="1"/>
  <c r="DH160" i="1" s="1"/>
  <c r="D873" i="1"/>
  <c r="DH873" i="1" s="1"/>
  <c r="D163" i="1"/>
  <c r="DH163" i="1" s="1"/>
  <c r="D366" i="1"/>
  <c r="DH366" i="1" s="1"/>
  <c r="D887" i="1"/>
  <c r="DH887" i="1" s="1"/>
  <c r="D2" i="1"/>
  <c r="D42" i="1"/>
  <c r="DH42" i="1" s="1"/>
  <c r="D782" i="1"/>
  <c r="DH782" i="1" s="1"/>
  <c r="D840" i="1"/>
  <c r="D841" i="1"/>
  <c r="D132" i="1"/>
  <c r="D1455" i="1"/>
  <c r="D133" i="1"/>
  <c r="D842" i="1"/>
  <c r="D134" i="1"/>
  <c r="D845" i="1"/>
  <c r="D137" i="1"/>
  <c r="D138" i="1"/>
  <c r="D139" i="1"/>
  <c r="D846" i="1"/>
  <c r="D847" i="1"/>
  <c r="D140" i="1"/>
  <c r="D848" i="1"/>
  <c r="D141" i="1"/>
  <c r="D849" i="1"/>
  <c r="D142" i="1"/>
  <c r="D143" i="1"/>
  <c r="D144" i="1"/>
  <c r="D850" i="1"/>
  <c r="D145" i="1"/>
  <c r="D146" i="1"/>
  <c r="D851" i="1"/>
  <c r="D148" i="1"/>
  <c r="D149" i="1"/>
  <c r="DH149" i="1" s="1"/>
  <c r="D852" i="1"/>
  <c r="DH852" i="1" s="1"/>
  <c r="D853" i="1"/>
  <c r="D854" i="1"/>
  <c r="D855" i="1"/>
  <c r="DH855" i="1" s="1"/>
  <c r="D857" i="1"/>
  <c r="DH857" i="1" s="1"/>
  <c r="D858" i="1"/>
  <c r="DH858" i="1" s="1"/>
  <c r="D859" i="1"/>
  <c r="D150" i="1"/>
  <c r="DH150" i="1" s="1"/>
  <c r="D151" i="1"/>
  <c r="D152" i="1"/>
  <c r="D860" i="1"/>
  <c r="DH860" i="1" s="1"/>
  <c r="D153" i="1"/>
  <c r="DH153" i="1" s="1"/>
  <c r="D154" i="1"/>
  <c r="D861" i="1"/>
  <c r="DH861" i="1" s="1"/>
  <c r="D155" i="1"/>
  <c r="DH155" i="1" s="1"/>
  <c r="D863" i="1"/>
  <c r="D864" i="1"/>
  <c r="D865" i="1"/>
  <c r="DH865" i="1" s="1"/>
  <c r="D157" i="1"/>
  <c r="D158" i="1"/>
  <c r="DH158" i="1" s="1"/>
  <c r="D867" i="1"/>
  <c r="D868" i="1"/>
  <c r="D869" i="1"/>
  <c r="DH869" i="1" s="1"/>
  <c r="D871" i="1"/>
  <c r="DH871" i="1" s="1"/>
  <c r="D161" i="1"/>
  <c r="D162" i="1"/>
  <c r="D164" i="1"/>
  <c r="D874" i="1"/>
  <c r="DH874" i="1" s="1"/>
  <c r="D165" i="1"/>
  <c r="DH165" i="1" s="1"/>
  <c r="D166" i="1"/>
  <c r="D167" i="1"/>
  <c r="DH167" i="1" s="1"/>
  <c r="D169" i="1"/>
  <c r="DH169" i="1" s="1"/>
  <c r="D875" i="1"/>
  <c r="DH875" i="1" s="1"/>
  <c r="D876" i="1"/>
  <c r="D170" i="1"/>
  <c r="DH170" i="1" s="1"/>
  <c r="D171" i="1"/>
  <c r="D877" i="1"/>
  <c r="D878" i="1"/>
  <c r="DH878" i="1" s="1"/>
  <c r="D879" i="1"/>
  <c r="DH879" i="1" s="1"/>
  <c r="D172" i="1"/>
  <c r="DH172" i="1" s="1"/>
  <c r="D173" i="1"/>
  <c r="D175" i="1"/>
  <c r="DH175" i="1" s="1"/>
  <c r="D880" i="1"/>
  <c r="DH880" i="1" s="1"/>
  <c r="D881" i="1"/>
  <c r="D176" i="1"/>
  <c r="D882" i="1"/>
  <c r="DH882" i="1" s="1"/>
  <c r="D883" i="1"/>
  <c r="D884" i="1"/>
  <c r="D885" i="1"/>
  <c r="D177" i="1"/>
  <c r="DH177" i="1" s="1"/>
  <c r="D178" i="1"/>
  <c r="D888" i="1"/>
  <c r="DH888" i="1" s="1"/>
  <c r="D179" i="1"/>
  <c r="DH179" i="1" s="1"/>
  <c r="D180" i="1"/>
  <c r="DH180" i="1" s="1"/>
  <c r="D889" i="1"/>
  <c r="DH889" i="1" s="1"/>
  <c r="D890" i="1"/>
  <c r="D891" i="1"/>
  <c r="D893" i="1"/>
  <c r="DH893" i="1" s="1"/>
  <c r="D181" i="1"/>
  <c r="DH181" i="1" s="1"/>
  <c r="D182" i="1"/>
  <c r="D183" i="1"/>
  <c r="D185" i="1"/>
  <c r="DH185" i="1" s="1"/>
  <c r="D894" i="1"/>
  <c r="DH894" i="1" s="1"/>
  <c r="D895" i="1"/>
  <c r="D896" i="1"/>
  <c r="D186" i="1"/>
  <c r="DH186" i="1" s="1"/>
  <c r="D897" i="1"/>
  <c r="D898" i="1"/>
  <c r="D187" i="1"/>
  <c r="D899" i="1"/>
  <c r="DH899" i="1" s="1"/>
  <c r="D900" i="1"/>
  <c r="D902" i="1"/>
  <c r="DH902" i="1" s="1"/>
  <c r="D903" i="1"/>
  <c r="DH903" i="1" s="1"/>
  <c r="D188" i="1"/>
  <c r="DH188" i="1" s="1"/>
  <c r="D189" i="1"/>
  <c r="D190" i="1"/>
  <c r="D191" i="1"/>
  <c r="D904" i="1"/>
  <c r="DH904" i="1" s="1"/>
  <c r="D905" i="1"/>
  <c r="D906" i="1"/>
  <c r="D908" i="1"/>
  <c r="DH908" i="1" s="1"/>
  <c r="D192" i="1"/>
  <c r="DH192" i="1" s="1"/>
  <c r="D193" i="1"/>
  <c r="DH193" i="1" s="1"/>
  <c r="D194" i="1"/>
  <c r="D195" i="1"/>
  <c r="DH195" i="1" s="1"/>
  <c r="D909" i="1"/>
  <c r="DH909" i="1" s="1"/>
  <c r="D910" i="1"/>
  <c r="D196" i="1"/>
  <c r="DH196" i="1" s="1"/>
  <c r="D197" i="1"/>
  <c r="D198" i="1"/>
  <c r="D199" i="1"/>
  <c r="DH199" i="1" s="1"/>
  <c r="D200" i="1"/>
  <c r="DH200" i="1" s="1"/>
  <c r="D201" i="1"/>
  <c r="DH201" i="1" s="1"/>
  <c r="D911" i="1"/>
  <c r="DH911" i="1" s="1"/>
  <c r="D912" i="1"/>
  <c r="D1456" i="1"/>
  <c r="D913" i="1"/>
  <c r="D202" i="1"/>
  <c r="DH202" i="1" s="1"/>
  <c r="D203" i="1"/>
  <c r="D914" i="1"/>
  <c r="DH914" i="1" s="1"/>
  <c r="D915" i="1"/>
  <c r="D916" i="1"/>
  <c r="D918" i="1"/>
  <c r="DH918" i="1" s="1"/>
  <c r="D919" i="1"/>
  <c r="DH919" i="1" s="1"/>
  <c r="D204" i="1"/>
  <c r="D205" i="1"/>
  <c r="D206" i="1"/>
  <c r="D920" i="1"/>
  <c r="DH920" i="1" s="1"/>
  <c r="D921" i="1"/>
  <c r="D922" i="1"/>
  <c r="DH922" i="1" s="1"/>
  <c r="D923" i="1"/>
  <c r="DH923" i="1" s="1"/>
  <c r="D207" i="1"/>
  <c r="DH207" i="1" s="1"/>
  <c r="D208" i="1"/>
  <c r="D209" i="1"/>
  <c r="D924" i="1"/>
  <c r="DH924" i="1" s="1"/>
  <c r="D925" i="1"/>
  <c r="D926" i="1"/>
  <c r="D927" i="1"/>
  <c r="DH927" i="1" s="1"/>
  <c r="D928" i="1"/>
  <c r="DH928" i="1" s="1"/>
  <c r="D929" i="1"/>
  <c r="DH929" i="1" s="1"/>
  <c r="D211" i="1"/>
  <c r="DH211" i="1" s="1"/>
  <c r="D212" i="1"/>
  <c r="D213" i="1"/>
  <c r="D214" i="1"/>
  <c r="DH214" i="1" s="1"/>
  <c r="D215" i="1"/>
  <c r="DH215" i="1" s="1"/>
  <c r="D216" i="1"/>
  <c r="DH216" i="1" s="1"/>
  <c r="D930" i="1"/>
  <c r="D931" i="1"/>
  <c r="D217" i="1"/>
  <c r="DH217" i="1" s="1"/>
  <c r="D218" i="1"/>
  <c r="D219" i="1"/>
  <c r="D932" i="1"/>
  <c r="DH932" i="1" s="1"/>
  <c r="D933" i="1"/>
  <c r="D934" i="1"/>
  <c r="D220" i="1"/>
  <c r="DH220" i="1" s="1"/>
  <c r="D221" i="1"/>
  <c r="D222" i="1"/>
  <c r="D223" i="1"/>
  <c r="DH223" i="1" s="1"/>
  <c r="D224" i="1"/>
  <c r="DH224" i="1" s="1"/>
  <c r="D225" i="1"/>
  <c r="DH225" i="1" s="1"/>
  <c r="D226" i="1"/>
  <c r="D935" i="1"/>
  <c r="DH935" i="1" s="1"/>
  <c r="D936" i="1"/>
  <c r="D937" i="1"/>
  <c r="D938" i="1"/>
  <c r="DH938" i="1" s="1"/>
  <c r="D939" i="1"/>
  <c r="DH939" i="1" s="1"/>
  <c r="D940" i="1"/>
  <c r="DH940" i="1" s="1"/>
  <c r="D941" i="1"/>
  <c r="DH941" i="1" s="1"/>
  <c r="D227" i="1"/>
  <c r="D228" i="1"/>
  <c r="D229" i="1"/>
  <c r="D230" i="1"/>
  <c r="DH230" i="1" s="1"/>
  <c r="D231" i="1"/>
  <c r="DH231" i="1" s="1"/>
  <c r="D232" i="1"/>
  <c r="DH232" i="1" s="1"/>
  <c r="D942" i="1"/>
  <c r="D233" i="1"/>
  <c r="D943" i="1"/>
  <c r="DH943" i="1" s="1"/>
  <c r="D234" i="1"/>
  <c r="D235" i="1"/>
  <c r="D944" i="1"/>
  <c r="DH944" i="1" s="1"/>
  <c r="D945" i="1"/>
  <c r="D946" i="1"/>
  <c r="DH946" i="1" s="1"/>
  <c r="D947" i="1"/>
  <c r="D236" i="1"/>
  <c r="DH236" i="1" s="1"/>
  <c r="D237" i="1"/>
  <c r="D238" i="1"/>
  <c r="DH238" i="1" s="1"/>
  <c r="D239" i="1"/>
  <c r="DH239" i="1" s="1"/>
  <c r="D948" i="1"/>
  <c r="D240" i="1"/>
  <c r="D241" i="1"/>
  <c r="D242" i="1"/>
  <c r="D243" i="1"/>
  <c r="D244" i="1"/>
  <c r="D949" i="1"/>
  <c r="D950" i="1"/>
  <c r="D951" i="1"/>
  <c r="D952" i="1"/>
  <c r="D953" i="1"/>
  <c r="D245" i="1"/>
  <c r="D1463" i="1"/>
  <c r="D954" i="1"/>
  <c r="D955" i="1"/>
  <c r="D956" i="1"/>
  <c r="D957" i="1"/>
  <c r="D958" i="1"/>
  <c r="D246" i="1"/>
  <c r="D247" i="1"/>
  <c r="D959" i="1"/>
  <c r="D960" i="1"/>
  <c r="D248" i="1"/>
  <c r="D961" i="1"/>
  <c r="D962" i="1"/>
  <c r="D963" i="1"/>
  <c r="D964" i="1"/>
  <c r="D249" i="1"/>
  <c r="D250" i="1"/>
  <c r="D251" i="1"/>
  <c r="D965" i="1"/>
  <c r="D252" i="1"/>
  <c r="D253" i="1"/>
  <c r="D966" i="1"/>
  <c r="D967" i="1"/>
  <c r="D968" i="1"/>
  <c r="D969" i="1"/>
  <c r="D970" i="1"/>
  <c r="D254" i="1"/>
  <c r="D971" i="1"/>
  <c r="D972" i="1"/>
  <c r="D973" i="1"/>
  <c r="D974" i="1"/>
  <c r="D975" i="1"/>
  <c r="D255" i="1"/>
  <c r="D976" i="1"/>
  <c r="D256" i="1"/>
  <c r="D257" i="1"/>
  <c r="D977" i="1"/>
  <c r="D978" i="1"/>
  <c r="D258" i="1"/>
  <c r="D259" i="1"/>
  <c r="D260" i="1"/>
  <c r="D979" i="1"/>
  <c r="D980" i="1"/>
  <c r="D981" i="1"/>
  <c r="D982" i="1"/>
  <c r="D983" i="1"/>
  <c r="D261" i="1"/>
  <c r="D262" i="1"/>
  <c r="D984" i="1"/>
  <c r="D263" i="1"/>
  <c r="D985" i="1"/>
  <c r="D986" i="1"/>
  <c r="D987" i="1"/>
  <c r="D988" i="1"/>
  <c r="D264" i="1"/>
  <c r="D989" i="1"/>
  <c r="D265" i="1"/>
  <c r="D990" i="1"/>
  <c r="D266" i="1"/>
  <c r="D267" i="1"/>
  <c r="D991" i="1"/>
  <c r="D992" i="1"/>
  <c r="D993" i="1"/>
  <c r="D994" i="1"/>
  <c r="D995" i="1"/>
  <c r="D268" i="1"/>
  <c r="D269" i="1"/>
  <c r="D270" i="1"/>
  <c r="D996" i="1"/>
  <c r="D997" i="1"/>
  <c r="D998" i="1"/>
  <c r="D271" i="1"/>
  <c r="D272" i="1"/>
  <c r="D999" i="1"/>
  <c r="D1000" i="1"/>
  <c r="D1001" i="1"/>
  <c r="D273" i="1"/>
  <c r="D274" i="1"/>
  <c r="D1002" i="1"/>
  <c r="D1003" i="1"/>
  <c r="D275" i="1"/>
  <c r="D1004" i="1"/>
  <c r="D276" i="1"/>
  <c r="D277" i="1"/>
  <c r="D1005" i="1"/>
  <c r="D1006" i="1"/>
  <c r="DH1006" i="1" s="1"/>
  <c r="D278" i="1"/>
  <c r="D281" i="1"/>
  <c r="DH281" i="1" s="1"/>
  <c r="D1008" i="1"/>
  <c r="D282" i="1"/>
  <c r="D1009" i="1"/>
  <c r="D1010" i="1"/>
  <c r="D1011" i="1"/>
  <c r="DH1011" i="1" s="1"/>
  <c r="D1013" i="1"/>
  <c r="DH1013" i="1" s="1"/>
  <c r="D283" i="1"/>
  <c r="D284" i="1"/>
  <c r="D286" i="1"/>
  <c r="DH286" i="1" s="1"/>
  <c r="D1014" i="1"/>
  <c r="D287" i="1"/>
  <c r="D288" i="1"/>
  <c r="D291" i="1"/>
  <c r="DH291" i="1" s="1"/>
  <c r="D1015" i="1"/>
  <c r="D292" i="1"/>
  <c r="D1016" i="1"/>
  <c r="D293" i="1"/>
  <c r="D1017" i="1"/>
  <c r="D1018" i="1"/>
  <c r="D294" i="1"/>
  <c r="DH294" i="1" s="1"/>
  <c r="D1019" i="1"/>
  <c r="DH1019" i="1" s="1"/>
  <c r="D1020" i="1"/>
  <c r="D295" i="1"/>
  <c r="D296" i="1"/>
  <c r="DH296" i="1" s="1"/>
  <c r="D1021" i="1"/>
  <c r="D297" i="1"/>
  <c r="D1022" i="1"/>
  <c r="D298" i="1"/>
  <c r="D299" i="1"/>
  <c r="D300" i="1"/>
  <c r="DH300" i="1" s="1"/>
  <c r="D1023" i="1"/>
  <c r="D301" i="1"/>
  <c r="D302" i="1"/>
  <c r="D303" i="1"/>
  <c r="D304" i="1"/>
  <c r="DH304" i="1" s="1"/>
  <c r="D1024" i="1"/>
  <c r="D1026" i="1"/>
  <c r="D305" i="1"/>
  <c r="D1027" i="1"/>
  <c r="DH1027" i="1" s="1"/>
  <c r="D1028" i="1"/>
  <c r="DH1028" i="1" s="1"/>
  <c r="D307" i="1"/>
  <c r="D308" i="1"/>
  <c r="D310" i="1"/>
  <c r="DH310" i="1" s="1"/>
  <c r="D1029" i="1"/>
  <c r="DH1029" i="1" s="1"/>
  <c r="D1030" i="1"/>
  <c r="D1031" i="1"/>
  <c r="D311" i="1"/>
  <c r="D312" i="1"/>
  <c r="D1032" i="1"/>
  <c r="D1033" i="1"/>
  <c r="DH1033" i="1" s="1"/>
  <c r="D1034" i="1"/>
  <c r="DH1034" i="1" s="1"/>
  <c r="D313" i="1"/>
  <c r="D1035" i="1"/>
  <c r="D1036" i="1"/>
  <c r="D314" i="1"/>
  <c r="DH314" i="1" s="1"/>
  <c r="D1038" i="1"/>
  <c r="D1039" i="1"/>
  <c r="D1040" i="1"/>
  <c r="D1041" i="1"/>
  <c r="D315" i="1"/>
  <c r="D316" i="1"/>
  <c r="D317" i="1"/>
  <c r="D318" i="1"/>
  <c r="D1042" i="1"/>
  <c r="D319" i="1"/>
  <c r="D1043" i="1"/>
  <c r="D320" i="1"/>
  <c r="D321" i="1"/>
  <c r="D1044" i="1"/>
  <c r="D322" i="1"/>
  <c r="D1045" i="1"/>
  <c r="D1046" i="1"/>
  <c r="D1047" i="1"/>
  <c r="D323" i="1"/>
  <c r="D1048" i="1"/>
  <c r="D1049" i="1"/>
  <c r="D324" i="1"/>
  <c r="D1050" i="1"/>
  <c r="D325" i="1"/>
  <c r="D326" i="1"/>
  <c r="D327" i="1"/>
  <c r="D328" i="1"/>
  <c r="D1051" i="1"/>
  <c r="D1052" i="1"/>
  <c r="D1053" i="1"/>
  <c r="D1054" i="1"/>
  <c r="D329" i="1"/>
  <c r="D330" i="1"/>
  <c r="D331" i="1"/>
  <c r="D1055" i="1"/>
  <c r="D1056" i="1"/>
  <c r="D1057" i="1"/>
  <c r="D332" i="1"/>
  <c r="D333" i="1"/>
  <c r="D1058" i="1"/>
  <c r="D1059" i="1"/>
  <c r="D1060" i="1"/>
  <c r="D334" i="1"/>
  <c r="D335" i="1"/>
  <c r="D336" i="1"/>
  <c r="D1061" i="1"/>
  <c r="D1062" i="1"/>
  <c r="D1063" i="1"/>
  <c r="D1064" i="1"/>
  <c r="D337" i="1"/>
  <c r="D1065" i="1"/>
  <c r="D338" i="1"/>
  <c r="D339" i="1"/>
  <c r="D1066" i="1"/>
  <c r="D340" i="1"/>
  <c r="D1067" i="1"/>
  <c r="D1068" i="1"/>
  <c r="D341" i="1"/>
  <c r="D1069" i="1"/>
  <c r="D1070" i="1"/>
  <c r="D1071" i="1"/>
  <c r="D342" i="1"/>
  <c r="D343" i="1"/>
  <c r="D344" i="1"/>
  <c r="D345" i="1"/>
  <c r="D1457" i="1"/>
  <c r="D1072" i="1"/>
  <c r="D1073" i="1"/>
  <c r="D1074" i="1"/>
  <c r="D346" i="1"/>
  <c r="D1075" i="1"/>
  <c r="D1076" i="1"/>
  <c r="D350" i="1"/>
  <c r="D351" i="1"/>
  <c r="D352" i="1"/>
  <c r="D1077" i="1"/>
  <c r="D1078" i="1"/>
  <c r="D1079" i="1"/>
  <c r="D353" i="1"/>
  <c r="D1080" i="1"/>
  <c r="D1081" i="1"/>
  <c r="D1082" i="1"/>
  <c r="D354" i="1"/>
  <c r="D355" i="1"/>
  <c r="D356" i="1"/>
  <c r="D1083" i="1"/>
  <c r="D1084" i="1"/>
  <c r="D1458" i="1"/>
  <c r="D357" i="1"/>
  <c r="D1085" i="1"/>
  <c r="D358" i="1"/>
  <c r="D359" i="1"/>
  <c r="DH359" i="1" s="1"/>
  <c r="D1459" i="1"/>
  <c r="D1086" i="1"/>
  <c r="DH1086" i="1" s="1"/>
  <c r="D1090" i="1"/>
  <c r="D362" i="1"/>
  <c r="D1092" i="1"/>
  <c r="D1093" i="1"/>
  <c r="DH1093" i="1" s="1"/>
  <c r="D363" i="1"/>
  <c r="D364" i="1"/>
  <c r="DH364" i="1" s="1"/>
  <c r="D1094" i="1"/>
  <c r="D1095" i="1"/>
  <c r="DH1095" i="1" s="1"/>
  <c r="D367" i="1"/>
  <c r="D368" i="1"/>
  <c r="D370" i="1"/>
  <c r="DH370" i="1" s="1"/>
  <c r="D1097" i="1"/>
  <c r="D371" i="1"/>
  <c r="D372" i="1"/>
  <c r="DH372" i="1" s="1"/>
  <c r="D1098" i="1"/>
  <c r="D1099" i="1"/>
  <c r="D374" i="1"/>
  <c r="D1100" i="1"/>
  <c r="D376" i="1"/>
  <c r="D1104" i="1"/>
  <c r="D1105" i="1"/>
  <c r="DH1105" i="1" s="1"/>
  <c r="D1106" i="1"/>
  <c r="DH1106" i="1" s="1"/>
  <c r="D377" i="1"/>
  <c r="D1107" i="1"/>
  <c r="D1108" i="1"/>
  <c r="DH1108" i="1" s="1"/>
  <c r="D1109" i="1"/>
  <c r="DH1109" i="1" s="1"/>
  <c r="D378" i="1"/>
  <c r="D380" i="1"/>
  <c r="DH380" i="1" s="1"/>
  <c r="D381" i="1"/>
  <c r="DH381" i="1" s="1"/>
  <c r="D1110" i="1"/>
  <c r="D382" i="1"/>
  <c r="D383" i="1"/>
  <c r="DH383" i="1" s="1"/>
  <c r="D384" i="1"/>
  <c r="DH384" i="1" s="1"/>
  <c r="D1111" i="1"/>
  <c r="D1112" i="1"/>
  <c r="DH1112" i="1" s="1"/>
  <c r="D1113" i="1"/>
  <c r="DH1113" i="1" s="1"/>
  <c r="D385" i="1"/>
  <c r="D1114" i="1"/>
  <c r="D1115" i="1"/>
  <c r="DH1115" i="1" s="1"/>
  <c r="D1116" i="1"/>
  <c r="DH1116" i="1" s="1"/>
  <c r="D386" i="1"/>
  <c r="D387" i="1"/>
  <c r="DH387" i="1" s="1"/>
  <c r="D388" i="1"/>
  <c r="DH388" i="1" s="1"/>
  <c r="D389" i="1"/>
  <c r="DH389" i="1" s="1"/>
  <c r="D1117" i="1"/>
  <c r="D390" i="1"/>
  <c r="D1118" i="1"/>
  <c r="D391" i="1"/>
  <c r="D392" i="1"/>
  <c r="DH392" i="1" s="1"/>
  <c r="D393" i="1"/>
  <c r="DH393" i="1" s="1"/>
  <c r="D1119" i="1"/>
  <c r="D394" i="1"/>
  <c r="D1120" i="1"/>
  <c r="D1121" i="1"/>
  <c r="D395" i="1"/>
  <c r="D1122" i="1"/>
  <c r="D1123" i="1"/>
  <c r="D1124" i="1"/>
  <c r="D396" i="1"/>
  <c r="D397" i="1"/>
  <c r="D398" i="1"/>
  <c r="D1125" i="1"/>
  <c r="D399" i="1"/>
  <c r="D400" i="1"/>
  <c r="D1126" i="1"/>
  <c r="D1127" i="1"/>
  <c r="D1128" i="1"/>
  <c r="D401" i="1"/>
  <c r="D1129" i="1"/>
  <c r="D1130" i="1"/>
  <c r="D402" i="1"/>
  <c r="D1131" i="1"/>
  <c r="D403" i="1"/>
  <c r="D1132" i="1"/>
  <c r="D404" i="1"/>
  <c r="D405" i="1"/>
  <c r="D1133" i="1"/>
  <c r="D406" i="1"/>
  <c r="D407" i="1"/>
  <c r="D1134" i="1"/>
  <c r="D408" i="1"/>
  <c r="D1135" i="1"/>
  <c r="D1136" i="1"/>
  <c r="D409" i="1"/>
  <c r="D410" i="1"/>
  <c r="D1137" i="1"/>
  <c r="D411" i="1"/>
  <c r="D412" i="1"/>
  <c r="D1138" i="1"/>
  <c r="D1139" i="1"/>
  <c r="D413" i="1"/>
  <c r="D414" i="1"/>
  <c r="D1140" i="1"/>
  <c r="D1141" i="1"/>
  <c r="D415" i="1"/>
  <c r="D1142" i="1"/>
  <c r="D416" i="1"/>
  <c r="DH416" i="1" s="1"/>
  <c r="D1143" i="1"/>
  <c r="D417" i="1"/>
  <c r="DH417" i="1" s="1"/>
  <c r="D418" i="1"/>
  <c r="DH418" i="1" s="1"/>
  <c r="D1460" i="1"/>
  <c r="D1145" i="1"/>
  <c r="D1146" i="1"/>
  <c r="D419" i="1"/>
  <c r="DH419" i="1" s="1"/>
  <c r="D420" i="1"/>
  <c r="DH420" i="1" s="1"/>
  <c r="D1147" i="1"/>
  <c r="DH1147" i="1" s="1"/>
  <c r="D1149" i="1"/>
  <c r="DH1149" i="1" s="1"/>
  <c r="D421" i="1"/>
  <c r="DH421" i="1" s="1"/>
  <c r="D422" i="1"/>
  <c r="D1150" i="1"/>
  <c r="DH1150" i="1" s="1"/>
  <c r="D1152" i="1"/>
  <c r="DH1152" i="1" s="1"/>
  <c r="D423" i="1"/>
  <c r="DH423" i="1" s="1"/>
  <c r="D1153" i="1"/>
  <c r="DH1153" i="1" s="1"/>
  <c r="D1155" i="1"/>
  <c r="DH1155" i="1" s="1"/>
  <c r="D424" i="1"/>
  <c r="DH424" i="1" s="1"/>
  <c r="D1156" i="1"/>
  <c r="D425" i="1"/>
  <c r="D1158" i="1"/>
  <c r="DH1158" i="1" s="1"/>
  <c r="D1160" i="1"/>
  <c r="DH1160" i="1" s="1"/>
  <c r="D428" i="1"/>
  <c r="D1161" i="1"/>
  <c r="DH1161" i="1" s="1"/>
  <c r="D1162" i="1"/>
  <c r="D429" i="1"/>
  <c r="D1166" i="1"/>
  <c r="DH1166" i="1" s="1"/>
  <c r="D1167" i="1"/>
  <c r="DH1167" i="1" s="1"/>
  <c r="D1168" i="1"/>
  <c r="D1169" i="1"/>
  <c r="DH1169" i="1" s="1"/>
  <c r="D1170" i="1"/>
  <c r="DH1170" i="1" s="1"/>
  <c r="D1171" i="1"/>
  <c r="DH1171" i="1" s="1"/>
  <c r="D1172" i="1"/>
  <c r="DH1172" i="1" s="1"/>
  <c r="D433" i="1"/>
  <c r="DH433" i="1" s="1"/>
  <c r="D1173" i="1"/>
  <c r="D1174" i="1"/>
  <c r="DH1174" i="1" s="1"/>
  <c r="D1175" i="1"/>
  <c r="DH1175" i="1" s="1"/>
  <c r="D434" i="1"/>
  <c r="D1176" i="1"/>
  <c r="DH1176" i="1" s="1"/>
  <c r="D1177" i="1"/>
  <c r="DH1177" i="1" s="1"/>
  <c r="D1178" i="1"/>
  <c r="DH1178" i="1" s="1"/>
  <c r="D435" i="1"/>
  <c r="D1179" i="1"/>
  <c r="D436" i="1"/>
  <c r="D437" i="1"/>
  <c r="D1180" i="1"/>
  <c r="D1181" i="1"/>
  <c r="D438" i="1"/>
  <c r="D439" i="1"/>
  <c r="D1182" i="1"/>
  <c r="D1183" i="1"/>
  <c r="D440" i="1"/>
  <c r="D441" i="1"/>
  <c r="D1184" i="1"/>
  <c r="D1185" i="1"/>
  <c r="D442" i="1"/>
  <c r="D443" i="1"/>
  <c r="D1191" i="1"/>
  <c r="D444" i="1"/>
  <c r="D1192" i="1"/>
  <c r="D445" i="1"/>
  <c r="D446" i="1"/>
  <c r="D1193" i="1"/>
  <c r="D1194" i="1"/>
  <c r="D447" i="1"/>
  <c r="D1199" i="1"/>
  <c r="D448" i="1"/>
  <c r="D1200" i="1"/>
  <c r="D449" i="1"/>
  <c r="D450" i="1"/>
  <c r="D1201" i="1"/>
  <c r="D1202" i="1"/>
  <c r="D451" i="1"/>
  <c r="D452" i="1"/>
  <c r="D1203" i="1"/>
  <c r="D1204" i="1"/>
  <c r="D453" i="1"/>
  <c r="D1205" i="1"/>
  <c r="D1206" i="1"/>
  <c r="D454" i="1"/>
  <c r="D1207" i="1"/>
  <c r="D455" i="1"/>
  <c r="D1208" i="1"/>
  <c r="D456" i="1"/>
  <c r="D1209" i="1"/>
  <c r="D457" i="1"/>
  <c r="D1210" i="1"/>
  <c r="D458" i="1"/>
  <c r="D1211" i="1"/>
  <c r="D459" i="1"/>
  <c r="D1212" i="1"/>
  <c r="D460" i="1"/>
  <c r="D1213" i="1"/>
  <c r="D461" i="1"/>
  <c r="D1214" i="1"/>
  <c r="D1215" i="1"/>
  <c r="D462" i="1"/>
  <c r="D1216" i="1"/>
  <c r="D463" i="1"/>
  <c r="D464" i="1"/>
  <c r="D1217" i="1"/>
  <c r="D465" i="1"/>
  <c r="D1218" i="1"/>
  <c r="D466" i="1"/>
  <c r="D1219" i="1"/>
  <c r="D467" i="1"/>
  <c r="D468" i="1"/>
  <c r="D1220" i="1"/>
  <c r="D1221" i="1"/>
  <c r="D469" i="1"/>
  <c r="D470" i="1"/>
  <c r="D1222" i="1"/>
  <c r="D1223" i="1"/>
  <c r="D478" i="1"/>
  <c r="D479" i="1"/>
  <c r="D480" i="1"/>
  <c r="D1224" i="1"/>
  <c r="D1225" i="1"/>
  <c r="D481" i="1"/>
  <c r="D482" i="1"/>
  <c r="D483" i="1"/>
  <c r="D1226" i="1"/>
  <c r="D1227" i="1"/>
  <c r="D486" i="1"/>
  <c r="D1228" i="1"/>
  <c r="D487" i="1"/>
  <c r="D488" i="1"/>
  <c r="D1229" i="1"/>
  <c r="D489" i="1"/>
  <c r="D1233" i="1"/>
  <c r="D1234" i="1"/>
  <c r="D490" i="1"/>
  <c r="D1235" i="1"/>
  <c r="D491" i="1"/>
  <c r="D1236" i="1"/>
  <c r="D492" i="1"/>
  <c r="D1237" i="1"/>
  <c r="D493" i="1"/>
  <c r="D1238" i="1"/>
  <c r="D494" i="1"/>
  <c r="D1239" i="1"/>
  <c r="D495" i="1"/>
  <c r="D496" i="1"/>
  <c r="D1240" i="1"/>
  <c r="D497" i="1"/>
  <c r="D498" i="1"/>
  <c r="D1241" i="1"/>
  <c r="D499" i="1"/>
  <c r="D1242" i="1"/>
  <c r="D500" i="1"/>
  <c r="D1243" i="1"/>
  <c r="D501" i="1"/>
  <c r="D1244" i="1"/>
  <c r="D502" i="1"/>
  <c r="D1245" i="1"/>
  <c r="D503" i="1"/>
  <c r="D1246" i="1"/>
  <c r="D1247" i="1"/>
  <c r="D504" i="1"/>
  <c r="D1248" i="1"/>
  <c r="D505" i="1"/>
  <c r="D1461" i="1"/>
  <c r="D831" i="1"/>
  <c r="DH831" i="1" s="1"/>
  <c r="D119" i="1"/>
  <c r="DH119" i="1" s="1"/>
  <c r="D120" i="1"/>
  <c r="DH120" i="1" s="1"/>
  <c r="D121" i="1"/>
  <c r="DH121" i="1" s="1"/>
  <c r="D126" i="1"/>
  <c r="DH126" i="1" s="1"/>
  <c r="D1454" i="1"/>
  <c r="DH1454" i="1" s="1"/>
  <c r="D127" i="1"/>
  <c r="DH127" i="1" s="1"/>
  <c r="D1686" i="1"/>
  <c r="DH1686" i="1" s="1"/>
  <c r="D131" i="1"/>
  <c r="DH131" i="1" s="1"/>
  <c r="D839" i="1"/>
  <c r="DH839" i="1" s="1"/>
  <c r="D136" i="1"/>
  <c r="DH136" i="1" s="1"/>
  <c r="D1694" i="1"/>
  <c r="DH1694" i="1" s="1"/>
  <c r="D844" i="1"/>
  <c r="DH844" i="1" s="1"/>
  <c r="D1673" i="1"/>
  <c r="DH1673" i="1" s="1"/>
  <c r="D129" i="1"/>
  <c r="DH129" i="1" s="1"/>
  <c r="D306" i="1"/>
  <c r="DH306" i="1" s="1"/>
  <c r="D758" i="1"/>
  <c r="DH758" i="1" s="1"/>
  <c r="D1510" i="1"/>
  <c r="DH1510" i="1" s="1"/>
  <c r="D743" i="1"/>
  <c r="DH743" i="1" s="1"/>
  <c r="D765" i="1"/>
  <c r="DH765" i="1" s="1"/>
  <c r="D15" i="1"/>
  <c r="DH15" i="1" s="1"/>
  <c r="D16" i="1"/>
  <c r="DH16" i="1" s="1"/>
  <c r="D19" i="1"/>
  <c r="DH19" i="1" s="1"/>
  <c r="D2547" i="1"/>
  <c r="DH2547" i="1" s="1"/>
  <c r="D1451" i="1"/>
  <c r="DH1451" i="1" s="1"/>
  <c r="D1560" i="1"/>
  <c r="DH1560" i="1" s="1"/>
  <c r="D115" i="1"/>
  <c r="DH115" i="1" s="1"/>
  <c r="D47" i="1"/>
  <c r="DH47" i="1" s="1"/>
  <c r="D49" i="1"/>
  <c r="DH49" i="1" s="1"/>
  <c r="D52" i="1"/>
  <c r="DH52" i="1" s="1"/>
  <c r="D53" i="1"/>
  <c r="DH53" i="1" s="1"/>
  <c r="D1579" i="1"/>
  <c r="DH1579" i="1" s="1"/>
  <c r="D786" i="1"/>
  <c r="DH786" i="1" s="1"/>
  <c r="D787" i="1"/>
  <c r="DH787" i="1" s="1"/>
  <c r="D56" i="1"/>
  <c r="DH56" i="1" s="1"/>
  <c r="D57" i="1"/>
  <c r="DH57" i="1" s="1"/>
  <c r="D63" i="1"/>
  <c r="DH63" i="1" s="1"/>
  <c r="D805" i="1"/>
  <c r="DH805" i="1" s="1"/>
  <c r="D113" i="1"/>
  <c r="DH113" i="1" s="1"/>
  <c r="D812" i="1"/>
  <c r="DH812" i="1" s="1"/>
  <c r="D1628" i="1"/>
  <c r="DH1628" i="1" s="1"/>
  <c r="D81" i="1"/>
  <c r="DH81" i="1" s="1"/>
  <c r="D84" i="1"/>
  <c r="DH84" i="1" s="1"/>
  <c r="D85" i="1"/>
  <c r="DH85" i="1" s="1"/>
  <c r="D82" i="1"/>
  <c r="DH82" i="1" s="1"/>
  <c r="D83" i="1"/>
  <c r="DH83" i="1" s="1"/>
  <c r="D87" i="1"/>
  <c r="DH87" i="1" s="1"/>
  <c r="D90" i="1"/>
  <c r="DH90" i="1" s="1"/>
  <c r="D91" i="1"/>
  <c r="DH91" i="1" s="1"/>
  <c r="D1639" i="1"/>
  <c r="DH1639" i="1" s="1"/>
  <c r="D88" i="1"/>
  <c r="DH88" i="1" s="1"/>
  <c r="D114" i="1"/>
  <c r="DH114" i="1" s="1"/>
  <c r="D89" i="1"/>
  <c r="DH89" i="1" s="1"/>
  <c r="D100" i="1"/>
  <c r="DH100" i="1" s="1"/>
  <c r="D101" i="1"/>
  <c r="DH101" i="1" s="1"/>
  <c r="D103" i="1"/>
  <c r="DH103" i="1" s="1"/>
  <c r="D105" i="1"/>
  <c r="DH105" i="1" s="1"/>
  <c r="D106" i="1"/>
  <c r="DH106" i="1" s="1"/>
  <c r="D826" i="1"/>
  <c r="DH826" i="1" s="1"/>
  <c r="D827" i="1"/>
  <c r="DH827" i="1" s="1"/>
  <c r="D1667" i="1"/>
  <c r="DH1667" i="1" s="1"/>
  <c r="D117" i="1"/>
  <c r="DH117" i="1" s="1"/>
  <c r="D118" i="1"/>
  <c r="DH118" i="1" s="1"/>
  <c r="D1677" i="1"/>
  <c r="DH1677" i="1" s="1"/>
  <c r="D116" i="1"/>
  <c r="DH116" i="1" s="1"/>
  <c r="D1466" i="1"/>
  <c r="D1561" i="1"/>
  <c r="D1695" i="1"/>
  <c r="D1696" i="1"/>
  <c r="D1517" i="1"/>
  <c r="D1523" i="1"/>
  <c r="D1674" i="1"/>
  <c r="D832" i="1"/>
  <c r="D1516" i="1"/>
  <c r="D766" i="1"/>
  <c r="D130" i="1"/>
  <c r="D804" i="1"/>
  <c r="D830" i="1"/>
  <c r="D811" i="1"/>
  <c r="D41" i="1"/>
  <c r="D781" i="1"/>
  <c r="D757" i="1"/>
  <c r="D7" i="1"/>
  <c r="D76" i="1"/>
  <c r="D99" i="1"/>
  <c r="D125" i="1"/>
  <c r="D776" i="1"/>
  <c r="D1448" i="1"/>
  <c r="D24" i="1"/>
  <c r="D33" i="1"/>
  <c r="D30" i="1"/>
  <c r="D767" i="1"/>
  <c r="D770" i="1"/>
  <c r="D771" i="1"/>
  <c r="D44" i="1"/>
  <c r="D778" i="1"/>
  <c r="D34" i="1"/>
  <c r="D3" i="1"/>
  <c r="D36" i="1"/>
  <c r="D777" i="1"/>
  <c r="D745" i="1"/>
  <c r="D752" i="1"/>
  <c r="D8" i="1"/>
  <c r="D750" i="1"/>
  <c r="D9" i="1"/>
  <c r="D13" i="1"/>
  <c r="D20" i="1"/>
  <c r="D759" i="1"/>
  <c r="D734" i="1"/>
  <c r="D11" i="1"/>
  <c r="D17" i="1"/>
  <c r="D764" i="1"/>
  <c r="D736" i="1"/>
  <c r="D48" i="1"/>
  <c r="D740" i="1"/>
  <c r="D1449" i="1"/>
  <c r="D735" i="1"/>
  <c r="D45" i="1"/>
  <c r="D50" i="1"/>
  <c r="D54" i="1"/>
  <c r="D58" i="1"/>
  <c r="D61" i="1"/>
  <c r="D783" i="1"/>
  <c r="D788" i="1"/>
  <c r="D62" i="1"/>
  <c r="D739" i="1"/>
  <c r="D64" i="1"/>
  <c r="D65" i="1"/>
  <c r="D794" i="1"/>
  <c r="D25" i="1"/>
  <c r="D31" i="1"/>
  <c r="D768" i="1"/>
  <c r="D772" i="1"/>
  <c r="D793" i="1"/>
  <c r="D66" i="1"/>
  <c r="D796" i="1"/>
  <c r="D4" i="1"/>
  <c r="D37" i="1"/>
  <c r="D67" i="1"/>
  <c r="D68" i="1"/>
  <c r="D746" i="1"/>
  <c r="D751" i="1"/>
  <c r="D753" i="1"/>
  <c r="D798" i="1"/>
  <c r="D70" i="1"/>
  <c r="D72" i="1"/>
  <c r="D800" i="1"/>
  <c r="D806" i="1"/>
  <c r="D35" i="1"/>
  <c r="D77" i="1"/>
  <c r="D808" i="1"/>
  <c r="D810" i="1"/>
  <c r="D14" i="1"/>
  <c r="D10" i="1"/>
  <c r="D18" i="1"/>
  <c r="D21" i="1"/>
  <c r="D78" i="1"/>
  <c r="D12" i="1"/>
  <c r="D22" i="1"/>
  <c r="D760" i="1"/>
  <c r="D813" i="1"/>
  <c r="D79" i="1"/>
  <c r="D737" i="1"/>
  <c r="D1450" i="1"/>
  <c r="D815" i="1"/>
  <c r="D741" i="1"/>
  <c r="D92" i="1"/>
  <c r="D789" i="1"/>
  <c r="D46" i="1"/>
  <c r="D55" i="1"/>
  <c r="D80" i="1"/>
  <c r="D86" i="1"/>
  <c r="D816" i="1"/>
  <c r="D784" i="1"/>
  <c r="D59" i="1"/>
  <c r="D819" i="1"/>
  <c r="D26" i="1"/>
  <c r="D773" i="1"/>
  <c r="D94" i="1"/>
  <c r="D795" i="1"/>
  <c r="D95" i="1"/>
  <c r="D769" i="1"/>
  <c r="D797" i="1"/>
  <c r="D32" i="1"/>
  <c r="D807" i="1"/>
  <c r="D801" i="1"/>
  <c r="D821" i="1"/>
  <c r="D73" i="1"/>
  <c r="D96" i="1"/>
  <c r="D779" i="1"/>
  <c r="D747" i="1"/>
  <c r="D754" i="1"/>
  <c r="D799" i="1"/>
  <c r="D38" i="1"/>
  <c r="D69" i="1"/>
  <c r="D71" i="1"/>
  <c r="D23" i="1"/>
  <c r="D5" i="1"/>
  <c r="D822" i="1"/>
  <c r="D1452" i="1"/>
  <c r="D761" i="1"/>
  <c r="D814" i="1"/>
  <c r="D817" i="1"/>
  <c r="D785" i="1"/>
  <c r="D790" i="1"/>
  <c r="D824" i="1"/>
  <c r="D60" i="1"/>
  <c r="D93" i="1"/>
  <c r="D742" i="1"/>
  <c r="D107" i="1"/>
  <c r="D774" i="1"/>
  <c r="D820" i="1"/>
  <c r="D27" i="1"/>
  <c r="D828" i="1"/>
  <c r="D755" i="1"/>
  <c r="D802" i="1"/>
  <c r="D823" i="1"/>
  <c r="D97" i="1"/>
  <c r="D748" i="1"/>
  <c r="D809" i="1"/>
  <c r="D39" i="1"/>
  <c r="D104" i="1"/>
  <c r="D780" i="1"/>
  <c r="D110" i="1"/>
  <c r="D829" i="1"/>
  <c r="D74" i="1"/>
  <c r="D1453" i="1"/>
  <c r="D762" i="1"/>
  <c r="D102" i="1"/>
  <c r="D112" i="1"/>
  <c r="D791" i="1"/>
  <c r="D825" i="1"/>
  <c r="D51" i="1"/>
  <c r="D818" i="1"/>
  <c r="D775" i="1"/>
  <c r="D28" i="1"/>
  <c r="D122" i="1"/>
  <c r="D833" i="1"/>
  <c r="D835" i="1"/>
  <c r="D108" i="1"/>
  <c r="D123" i="1"/>
  <c r="D756" i="1"/>
  <c r="D6" i="1"/>
  <c r="D40" i="1"/>
  <c r="D75" i="1"/>
  <c r="D749" i="1"/>
  <c r="D98" i="1"/>
  <c r="D836" i="1"/>
  <c r="D111" i="1"/>
  <c r="D803" i="1"/>
  <c r="D124" i="1"/>
  <c r="D763" i="1"/>
  <c r="D837" i="1"/>
  <c r="D128" i="1"/>
  <c r="D792" i="1"/>
  <c r="D838" i="1"/>
  <c r="D834" i="1"/>
  <c r="D109" i="1"/>
  <c r="D29" i="1"/>
  <c r="D843" i="1"/>
  <c r="D135" i="1"/>
  <c r="D738" i="1"/>
  <c r="D2040" i="1"/>
  <c r="D1927" i="1"/>
  <c r="D1949" i="1"/>
  <c r="D2015" i="1"/>
  <c r="D1952" i="1"/>
  <c r="D1906" i="1"/>
  <c r="D1908" i="1"/>
  <c r="D2057" i="1"/>
  <c r="D2067" i="1"/>
  <c r="D2059" i="1"/>
  <c r="D2051" i="1"/>
  <c r="D2053" i="1"/>
  <c r="D2068" i="1"/>
  <c r="D2069" i="1"/>
  <c r="D2076" i="1"/>
  <c r="D2088" i="1"/>
  <c r="D1699" i="1"/>
  <c r="D2070" i="1"/>
  <c r="D2087" i="1"/>
  <c r="D2071" i="1"/>
  <c r="D2072" i="1"/>
  <c r="D2079" i="1"/>
  <c r="D2089" i="1"/>
  <c r="D1700" i="1"/>
  <c r="D1972" i="1"/>
  <c r="D1713" i="1"/>
  <c r="D1737" i="1"/>
  <c r="D2090" i="1"/>
  <c r="D2104" i="1"/>
  <c r="D2099" i="1"/>
  <c r="D1766" i="1"/>
  <c r="D2106" i="1"/>
  <c r="D1974" i="1"/>
  <c r="D2091" i="1"/>
  <c r="D2095" i="1"/>
  <c r="D1987" i="1"/>
  <c r="D1709" i="1"/>
  <c r="D1738" i="1"/>
  <c r="D1788" i="1"/>
  <c r="D1833" i="1"/>
  <c r="D2113" i="1"/>
  <c r="D2121" i="1"/>
  <c r="D1783" i="1"/>
  <c r="D1801" i="1"/>
  <c r="D1838" i="1"/>
  <c r="D1843" i="1"/>
  <c r="D1849" i="1"/>
  <c r="D1998" i="1"/>
  <c r="D2119" i="1"/>
  <c r="D2123" i="1"/>
  <c r="D1859" i="1"/>
  <c r="D1775" i="1"/>
  <c r="D1806" i="1"/>
  <c r="D1856" i="1"/>
  <c r="D2109" i="1"/>
  <c r="D1847" i="1"/>
  <c r="D2125" i="1"/>
  <c r="D1865" i="1"/>
  <c r="D2127" i="1"/>
  <c r="D2128" i="1"/>
  <c r="D1850" i="1"/>
  <c r="D1855" i="1"/>
  <c r="D2122" i="1"/>
  <c r="D2131" i="1"/>
  <c r="D1802" i="1"/>
  <c r="D1872" i="1"/>
  <c r="D2132" i="1"/>
  <c r="D2134" i="1"/>
  <c r="D1807" i="1"/>
  <c r="D1822" i="1"/>
  <c r="D1999" i="1"/>
  <c r="D2004" i="1"/>
  <c r="D2135" i="1"/>
  <c r="D1997" i="1"/>
  <c r="D1866" i="1"/>
  <c r="D1890" i="1"/>
  <c r="D1897" i="1"/>
  <c r="D1928" i="1"/>
  <c r="D1940" i="1"/>
  <c r="D1966" i="1"/>
  <c r="D2033" i="1"/>
  <c r="D2038" i="1"/>
  <c r="D2047" i="1"/>
  <c r="D2060" i="1"/>
  <c r="D2143" i="1"/>
  <c r="D2144" i="1"/>
  <c r="D1882" i="1"/>
  <c r="D1920" i="1"/>
  <c r="D2025" i="1"/>
  <c r="D2041" i="1"/>
  <c r="D2137" i="1"/>
  <c r="D1941" i="1"/>
  <c r="D1955" i="1"/>
  <c r="D2147" i="1"/>
  <c r="D1967" i="1"/>
  <c r="D2017" i="1"/>
  <c r="D2064" i="1"/>
  <c r="D2138" i="1"/>
  <c r="D2146" i="1"/>
  <c r="D1964" i="1"/>
  <c r="D1968" i="1"/>
  <c r="D2011" i="1"/>
  <c r="D2148" i="1"/>
  <c r="D1942" i="1"/>
  <c r="D1954" i="1"/>
  <c r="D2077" i="1"/>
  <c r="D2083" i="1"/>
  <c r="D2153" i="1"/>
  <c r="D2157" i="1"/>
  <c r="D2080" i="1"/>
  <c r="D2150" i="1"/>
  <c r="D2155" i="1"/>
  <c r="D2075" i="1"/>
  <c r="D2084" i="1"/>
  <c r="D2160" i="1"/>
  <c r="D2073" i="1"/>
  <c r="D2156" i="1"/>
  <c r="D2085" i="1"/>
  <c r="D2158" i="1"/>
  <c r="D2161" i="1"/>
  <c r="D1714" i="1"/>
  <c r="D1732" i="1"/>
  <c r="D1975" i="1"/>
  <c r="D2178" i="1"/>
  <c r="D2162" i="1"/>
  <c r="D2171" i="1"/>
  <c r="D2176" i="1"/>
  <c r="D2164" i="1"/>
  <c r="D2174" i="1"/>
  <c r="D2166" i="1"/>
  <c r="D2180" i="1"/>
  <c r="D2181" i="1"/>
  <c r="D2185" i="1"/>
  <c r="D1739" i="1"/>
  <c r="D1755" i="1"/>
  <c r="D2187" i="1"/>
  <c r="D1733" i="1"/>
  <c r="D1982" i="1"/>
  <c r="D2100" i="1"/>
  <c r="D2188" i="1"/>
  <c r="D2184" i="1"/>
  <c r="D1756" i="1"/>
  <c r="D1760" i="1"/>
  <c r="D2186" i="1"/>
  <c r="D2190" i="1"/>
  <c r="D1767" i="1"/>
  <c r="D1979" i="1"/>
  <c r="D2115" i="1"/>
  <c r="D1777" i="1"/>
  <c r="D1834" i="1"/>
  <c r="D2192" i="1"/>
  <c r="D1841" i="1"/>
  <c r="D2005" i="1"/>
  <c r="D2010" i="1"/>
  <c r="D1778" i="1"/>
  <c r="D1784" i="1"/>
  <c r="D2124" i="1"/>
  <c r="D1803" i="1"/>
  <c r="D1835" i="1"/>
  <c r="D1845" i="1"/>
  <c r="D1861" i="1"/>
  <c r="D1991" i="1"/>
  <c r="D2196" i="1"/>
  <c r="D1779" i="1"/>
  <c r="D1798" i="1"/>
  <c r="D1808" i="1"/>
  <c r="D2006" i="1"/>
  <c r="D2193" i="1"/>
  <c r="D1899" i="1"/>
  <c r="D1912" i="1"/>
  <c r="D1930" i="1"/>
  <c r="D2049" i="1"/>
  <c r="D2111" i="1"/>
  <c r="D2200" i="1"/>
  <c r="D2207" i="1"/>
  <c r="D2210" i="1"/>
  <c r="D2220" i="1"/>
  <c r="D1883" i="1"/>
  <c r="D2039" i="1"/>
  <c r="D2042" i="1"/>
  <c r="D2062" i="1"/>
  <c r="D2139" i="1"/>
  <c r="D2203" i="1"/>
  <c r="D2208" i="1"/>
  <c r="D2219" i="1"/>
  <c r="D2222" i="1"/>
  <c r="D1884" i="1"/>
  <c r="D1891" i="1"/>
  <c r="D1931" i="1"/>
  <c r="D2054" i="1"/>
  <c r="D2061" i="1"/>
  <c r="D2221" i="1"/>
  <c r="D2225" i="1"/>
  <c r="D2230" i="1"/>
  <c r="D2043" i="1"/>
  <c r="D2052" i="1"/>
  <c r="D2231" i="1"/>
  <c r="D2065" i="1"/>
  <c r="D2074" i="1"/>
  <c r="D1943" i="1"/>
  <c r="D2232" i="1"/>
  <c r="D2141" i="1"/>
  <c r="D2145" i="1"/>
  <c r="D2235" i="1"/>
  <c r="D2149" i="1"/>
  <c r="D2233" i="1"/>
  <c r="D2234" i="1"/>
  <c r="D2086" i="1"/>
  <c r="D2159" i="1"/>
  <c r="D2152" i="1"/>
  <c r="D2236" i="1"/>
  <c r="D1971" i="1"/>
  <c r="D2082" i="1"/>
  <c r="D1715" i="1"/>
  <c r="D1976" i="1"/>
  <c r="D2238" i="1"/>
  <c r="D2241" i="1"/>
  <c r="D2169" i="1"/>
  <c r="D2092" i="1"/>
  <c r="D2107" i="1"/>
  <c r="D2239" i="1"/>
  <c r="D2242" i="1"/>
  <c r="D2244" i="1"/>
  <c r="D2170" i="1"/>
  <c r="D2101" i="1"/>
  <c r="D1689" i="1"/>
  <c r="D1740" i="1"/>
  <c r="D1763" i="1"/>
  <c r="D2243" i="1"/>
  <c r="D1977" i="1"/>
  <c r="D2102" i="1"/>
  <c r="D1978" i="1"/>
  <c r="D2255" i="1"/>
  <c r="D2258" i="1"/>
  <c r="D1876" i="1"/>
  <c r="D1836" i="1"/>
  <c r="D2000" i="1"/>
  <c r="D2129" i="1"/>
  <c r="D2194" i="1"/>
  <c r="D2261" i="1"/>
  <c r="D1851" i="1"/>
  <c r="D2256" i="1"/>
  <c r="D2263" i="1"/>
  <c r="D2133" i="1"/>
  <c r="D2264" i="1"/>
  <c r="D2001" i="1"/>
  <c r="D2118" i="1"/>
  <c r="D1892" i="1"/>
  <c r="D1901" i="1"/>
  <c r="D1914" i="1"/>
  <c r="D1932" i="1"/>
  <c r="D2013" i="1"/>
  <c r="D2050" i="1"/>
  <c r="D2055" i="1"/>
  <c r="D2066" i="1"/>
  <c r="D2201" i="1"/>
  <c r="D2266" i="1"/>
  <c r="D2272" i="1"/>
  <c r="D2273" i="1"/>
  <c r="D2267" i="1"/>
  <c r="D1885" i="1"/>
  <c r="D2018" i="1"/>
  <c r="D2063" i="1"/>
  <c r="D2198" i="1"/>
  <c r="D2205" i="1"/>
  <c r="D2218" i="1"/>
  <c r="D2223" i="1"/>
  <c r="D2209" i="1"/>
  <c r="D2211" i="1"/>
  <c r="D2271" i="1"/>
  <c r="D2224" i="1"/>
  <c r="D2226" i="1"/>
  <c r="D1717" i="1"/>
  <c r="D1769" i="1"/>
  <c r="D2093" i="1"/>
  <c r="D2179" i="1"/>
  <c r="D2279" i="1"/>
  <c r="D1757" i="1"/>
  <c r="D1764" i="1"/>
  <c r="D2275" i="1"/>
  <c r="D2276" i="1"/>
  <c r="D1741" i="1"/>
  <c r="D2240" i="1"/>
  <c r="D2278" i="1"/>
  <c r="D2167" i="1"/>
  <c r="D2172" i="1"/>
  <c r="D2280" i="1"/>
  <c r="D2281" i="1"/>
  <c r="D1475" i="1"/>
  <c r="D2175" i="1"/>
  <c r="D2182" i="1"/>
  <c r="D2282" i="1"/>
  <c r="D1985" i="1"/>
  <c r="D2105" i="1"/>
  <c r="D1868" i="1"/>
  <c r="D2262" i="1"/>
  <c r="D2287" i="1"/>
  <c r="D2285" i="1"/>
  <c r="D2257" i="1"/>
  <c r="D2259" i="1"/>
  <c r="D2260" i="1"/>
  <c r="D2286" i="1"/>
  <c r="D2283" i="1"/>
  <c r="D1824" i="1"/>
  <c r="D2254" i="1"/>
  <c r="D1852" i="1"/>
  <c r="D1825" i="1"/>
  <c r="D1848" i="1"/>
  <c r="D2195" i="1"/>
  <c r="D2288" i="1"/>
  <c r="D1810" i="1"/>
  <c r="D2246" i="1"/>
  <c r="D2002" i="1"/>
  <c r="D1869" i="1"/>
  <c r="D2284" i="1"/>
  <c r="D1492" i="1"/>
  <c r="D1870" i="1"/>
  <c r="D1874" i="1"/>
  <c r="D1889" i="1"/>
  <c r="D1693" i="1"/>
  <c r="D1701" i="1"/>
  <c r="D1691" i="1"/>
  <c r="D1698" i="1"/>
  <c r="D1702" i="1"/>
  <c r="D1705" i="1"/>
  <c r="D1707" i="1"/>
  <c r="D1706" i="1"/>
  <c r="D1711" i="1"/>
  <c r="D1745" i="1"/>
  <c r="D1754" i="1"/>
  <c r="D1750" i="1"/>
  <c r="D1721" i="1"/>
  <c r="D1729" i="1"/>
  <c r="D1734" i="1"/>
  <c r="D1743" i="1"/>
  <c r="D1747" i="1"/>
  <c r="D1728" i="1"/>
  <c r="D1724" i="1"/>
  <c r="D1765" i="1"/>
  <c r="D1761" i="1"/>
  <c r="D1751" i="1"/>
  <c r="D1758" i="1"/>
  <c r="D1759" i="1"/>
  <c r="D1762" i="1"/>
  <c r="D1771" i="1"/>
  <c r="D1792" i="1"/>
  <c r="D1815" i="1"/>
  <c r="D1794" i="1"/>
  <c r="D1813" i="1"/>
  <c r="D1819" i="1"/>
  <c r="D1828" i="1"/>
  <c r="D1795" i="1"/>
  <c r="D1790" i="1"/>
  <c r="D1826" i="1"/>
  <c r="D1830" i="1"/>
  <c r="D1839" i="1"/>
  <c r="D1842" i="1"/>
  <c r="D1863" i="1"/>
  <c r="D1871" i="1"/>
  <c r="D1477" i="1"/>
  <c r="D1875" i="1"/>
  <c r="D1921" i="1"/>
  <c r="D1922" i="1"/>
  <c r="D1887" i="1"/>
  <c r="D1893" i="1"/>
  <c r="D1907" i="1"/>
  <c r="D1926" i="1"/>
  <c r="D1936" i="1"/>
  <c r="D1878" i="1"/>
  <c r="D1909" i="1"/>
  <c r="D1903" i="1"/>
  <c r="D1916" i="1"/>
  <c r="D1934" i="1"/>
  <c r="D1478" i="1"/>
  <c r="D1877" i="1"/>
  <c r="D1957" i="1"/>
  <c r="D1946" i="1"/>
  <c r="D1960" i="1"/>
  <c r="D1961" i="1"/>
  <c r="D1937" i="1"/>
  <c r="D1945" i="1"/>
  <c r="D1948" i="1"/>
  <c r="D1951" i="1"/>
  <c r="D1965" i="1"/>
  <c r="D1962" i="1"/>
  <c r="D1970" i="1"/>
  <c r="D1703" i="1"/>
  <c r="D1748" i="1"/>
  <c r="D1981" i="1"/>
  <c r="D1723" i="1"/>
  <c r="D1726" i="1"/>
  <c r="D1712" i="1"/>
  <c r="D1719" i="1"/>
  <c r="D1984" i="1"/>
  <c r="D1980" i="1"/>
  <c r="D1752" i="1"/>
  <c r="D1727" i="1"/>
  <c r="D1731" i="1"/>
  <c r="D1736" i="1"/>
  <c r="D1973" i="1"/>
  <c r="D1986" i="1"/>
  <c r="D1988" i="1"/>
  <c r="D1735" i="1"/>
  <c r="D1989" i="1"/>
  <c r="D1820" i="1"/>
  <c r="D1480" i="1"/>
  <c r="D1773" i="1"/>
  <c r="D1786" i="1"/>
  <c r="D1817" i="1"/>
  <c r="D1840" i="1"/>
  <c r="D1846" i="1"/>
  <c r="D1781" i="1"/>
  <c r="D1800" i="1"/>
  <c r="D1829" i="1"/>
  <c r="D1837" i="1"/>
  <c r="D1853" i="1"/>
  <c r="D1793" i="1"/>
  <c r="D1796" i="1"/>
  <c r="D1831" i="1"/>
  <c r="D1811" i="1"/>
  <c r="D1857" i="1"/>
  <c r="D1804" i="1"/>
  <c r="D1993" i="1"/>
  <c r="D2003" i="1"/>
  <c r="D1858" i="1"/>
  <c r="D1864" i="1"/>
  <c r="D1994" i="1"/>
  <c r="D1995" i="1"/>
  <c r="D1996" i="1"/>
  <c r="D1854" i="1"/>
  <c r="D1821" i="1"/>
  <c r="D1827" i="1"/>
  <c r="D2007" i="1"/>
  <c r="D2008" i="1"/>
  <c r="D1938" i="1"/>
  <c r="D2020" i="1"/>
  <c r="D2022" i="1"/>
  <c r="D2027" i="1"/>
  <c r="D1924" i="1"/>
  <c r="D2035" i="1"/>
  <c r="D1880" i="1"/>
  <c r="D1958" i="1"/>
  <c r="D2024" i="1"/>
  <c r="D2029" i="1"/>
  <c r="D1895" i="1"/>
  <c r="D1910" i="1"/>
  <c r="D2031" i="1"/>
  <c r="D2037" i="1"/>
  <c r="D2045" i="1"/>
  <c r="D1918" i="1"/>
  <c r="D1905" i="1"/>
  <c r="D1467" i="1"/>
  <c r="D1468" i="1"/>
  <c r="D1469" i="1"/>
  <c r="D1470" i="1"/>
  <c r="D1471" i="1"/>
  <c r="D1472" i="1"/>
  <c r="D1473" i="1"/>
  <c r="D1474" i="1"/>
  <c r="D1476" i="1"/>
  <c r="D1479" i="1"/>
  <c r="D1481" i="1"/>
  <c r="D1482" i="1"/>
  <c r="D1483" i="1"/>
  <c r="D1484" i="1"/>
  <c r="D1485" i="1"/>
  <c r="D1489" i="1"/>
  <c r="D1490" i="1"/>
  <c r="D2549" i="1"/>
  <c r="D1532" i="1"/>
  <c r="D1542" i="1"/>
  <c r="D1546" i="1"/>
  <c r="D1550" i="1"/>
  <c r="D1551" i="1"/>
  <c r="D1533" i="1"/>
  <c r="D1543" i="1"/>
  <c r="D1547" i="1"/>
  <c r="D1552" i="1"/>
  <c r="D1553" i="1"/>
  <c r="D1569" i="1"/>
  <c r="D1562" i="1"/>
  <c r="D1570" i="1"/>
  <c r="D1563" i="1"/>
  <c r="D1511" i="1"/>
  <c r="D1518" i="1"/>
  <c r="D1519" i="1"/>
  <c r="D1524" i="1"/>
  <c r="D1526" i="1"/>
  <c r="D2543" i="1"/>
  <c r="D1576" i="1"/>
  <c r="D1572" i="1"/>
  <c r="D1580" i="1"/>
  <c r="D1583" i="1"/>
  <c r="D1590" i="1"/>
  <c r="D1593" i="1"/>
  <c r="D2545" i="1"/>
  <c r="D2550" i="1"/>
  <c r="D1573" i="1"/>
  <c r="D1577" i="1"/>
  <c r="D1581" i="1"/>
  <c r="D1584" i="1"/>
  <c r="D1591" i="1"/>
  <c r="D1594" i="1"/>
  <c r="D1601" i="1"/>
  <c r="D2544" i="1"/>
  <c r="D2546" i="1"/>
  <c r="D2551" i="1"/>
  <c r="D1534" i="1"/>
  <c r="D1544" i="1"/>
  <c r="D1548" i="1"/>
  <c r="D1554" i="1"/>
  <c r="D1603" i="1"/>
  <c r="D1605" i="1"/>
  <c r="D1535" i="1"/>
  <c r="D1545" i="1"/>
  <c r="D1549" i="1"/>
  <c r="D1555" i="1"/>
  <c r="D1604" i="1"/>
  <c r="D1606" i="1"/>
  <c r="D1607" i="1"/>
  <c r="D1494" i="1"/>
  <c r="D1499" i="1"/>
  <c r="D1502" i="1"/>
  <c r="D1609" i="1"/>
  <c r="D1610" i="1"/>
  <c r="D1612" i="1"/>
  <c r="D1611" i="1"/>
  <c r="D1500" i="1"/>
  <c r="D1503" i="1"/>
  <c r="D1613" i="1"/>
  <c r="D1616" i="1"/>
  <c r="D1621" i="1"/>
  <c r="D1512" i="1"/>
  <c r="D1514" i="1"/>
  <c r="D1525" i="1"/>
  <c r="D1527" i="1"/>
  <c r="D1529" i="1"/>
  <c r="D1629" i="1"/>
  <c r="D1513" i="1"/>
  <c r="D1515" i="1"/>
  <c r="D1520" i="1"/>
  <c r="D1521" i="1"/>
  <c r="D1528" i="1"/>
  <c r="D1530" i="1"/>
  <c r="D1630" i="1"/>
  <c r="D1574" i="1"/>
  <c r="D1582" i="1"/>
  <c r="D1595" i="1"/>
  <c r="D1631" i="1"/>
  <c r="D1634" i="1"/>
  <c r="D1640" i="1"/>
  <c r="D1536" i="1"/>
  <c r="D1556" i="1"/>
  <c r="D1646" i="1"/>
  <c r="D1537" i="1"/>
  <c r="D1557" i="1"/>
  <c r="D1608" i="1"/>
  <c r="D1647" i="1"/>
  <c r="D1648" i="1"/>
  <c r="D1651" i="1"/>
  <c r="D1571" i="1"/>
  <c r="D1504" i="1"/>
  <c r="D1564" i="1"/>
  <c r="D1614" i="1"/>
  <c r="D1617" i="1"/>
  <c r="D1622" i="1"/>
  <c r="D1624" i="1"/>
  <c r="D1656" i="1"/>
  <c r="D1501" i="1"/>
  <c r="D1505" i="1"/>
  <c r="D1531" i="1"/>
  <c r="D1615" i="1"/>
  <c r="D1618" i="1"/>
  <c r="D1623" i="1"/>
  <c r="D1625" i="1"/>
  <c r="D1652" i="1"/>
  <c r="D1657" i="1"/>
  <c r="D1522" i="1"/>
  <c r="D1659" i="1"/>
  <c r="D1660" i="1"/>
  <c r="D1575" i="1"/>
  <c r="D1585" i="1"/>
  <c r="D1592" i="1"/>
  <c r="D1596" i="1"/>
  <c r="D1602" i="1"/>
  <c r="D1632" i="1"/>
  <c r="D1635" i="1"/>
  <c r="D1641" i="1"/>
  <c r="D1642" i="1"/>
  <c r="D1661" i="1"/>
  <c r="D1662" i="1"/>
  <c r="D1643" i="1"/>
  <c r="D1538" i="1"/>
  <c r="D1558" i="1"/>
  <c r="D1649" i="1"/>
  <c r="D1668" i="1"/>
  <c r="D1539" i="1"/>
  <c r="D1644" i="1"/>
  <c r="D1650" i="1"/>
  <c r="D1669" i="1"/>
  <c r="D1495" i="1"/>
  <c r="D1506" i="1"/>
  <c r="D1565" i="1"/>
  <c r="D1619" i="1"/>
  <c r="D1653" i="1"/>
  <c r="D1496" i="1"/>
  <c r="D1566" i="1"/>
  <c r="D1620" i="1"/>
  <c r="D1627" i="1"/>
  <c r="D1654" i="1"/>
  <c r="D1658" i="1"/>
  <c r="D1675" i="1"/>
  <c r="D1586" i="1"/>
  <c r="D1597" i="1"/>
  <c r="D1636" i="1"/>
  <c r="D1663" i="1"/>
  <c r="D1676" i="1"/>
  <c r="D1587" i="1"/>
  <c r="D1598" i="1"/>
  <c r="D1637" i="1"/>
  <c r="D1645" i="1"/>
  <c r="D1664" i="1"/>
  <c r="D2548" i="1"/>
  <c r="D1678" i="1"/>
  <c r="D1680" i="1"/>
  <c r="D1670" i="1"/>
  <c r="D1681" i="1"/>
  <c r="D1682" i="1"/>
  <c r="D1497" i="1"/>
  <c r="D1507" i="1"/>
  <c r="D1626" i="1"/>
  <c r="D1498" i="1"/>
  <c r="D1508" i="1"/>
  <c r="D1567" i="1"/>
  <c r="D1655" i="1"/>
  <c r="D1672" i="1"/>
  <c r="D1683" i="1"/>
  <c r="D1684" i="1"/>
  <c r="D1685" i="1"/>
  <c r="D1599" i="1"/>
  <c r="D1588" i="1"/>
  <c r="D1600" i="1"/>
  <c r="D1540" i="1"/>
  <c r="D1679" i="1"/>
  <c r="D1541" i="1"/>
  <c r="D1559" i="1"/>
  <c r="D1671" i="1"/>
  <c r="D1509" i="1"/>
  <c r="D1568" i="1"/>
  <c r="D1687" i="1"/>
  <c r="D1665" i="1"/>
  <c r="D1633" i="1"/>
  <c r="D1578" i="1"/>
  <c r="D1589" i="1"/>
  <c r="D1638" i="1"/>
  <c r="D1666" i="1"/>
  <c r="D1688" i="1"/>
  <c r="D1690" i="1"/>
  <c r="D1692" i="1"/>
  <c r="D1697" i="1"/>
  <c r="D1708" i="1"/>
  <c r="D1718" i="1"/>
  <c r="D1722" i="1"/>
  <c r="D1730" i="1"/>
  <c r="D1744" i="1"/>
  <c r="D1746" i="1"/>
  <c r="D1725" i="1"/>
  <c r="D1749" i="1"/>
  <c r="D1809" i="1"/>
  <c r="D1772" i="1"/>
  <c r="D1780" i="1"/>
  <c r="D1785" i="1"/>
  <c r="D1791" i="1"/>
  <c r="D1799" i="1"/>
  <c r="D1814" i="1"/>
  <c r="D1816" i="1"/>
  <c r="D1879" i="1"/>
  <c r="D1888" i="1"/>
  <c r="D1894" i="1"/>
  <c r="D1904" i="1"/>
  <c r="D1917" i="1"/>
  <c r="D1923" i="1"/>
  <c r="D1935" i="1"/>
  <c r="D1720" i="1"/>
  <c r="D1753" i="1"/>
  <c r="D1774" i="1"/>
  <c r="D1782" i="1"/>
  <c r="D1787" i="1"/>
  <c r="D1797" i="1"/>
  <c r="D1805" i="1"/>
  <c r="D1812" i="1"/>
  <c r="D1818" i="1"/>
  <c r="D1832" i="1"/>
  <c r="D1990" i="1"/>
  <c r="D1992" i="1"/>
  <c r="D1881" i="1"/>
  <c r="D1896" i="1"/>
  <c r="D1911" i="1"/>
  <c r="D1919" i="1"/>
  <c r="D1925" i="1"/>
  <c r="D1939" i="1"/>
  <c r="D1947" i="1"/>
  <c r="D1950" i="1"/>
  <c r="D1953" i="1"/>
  <c r="D1959" i="1"/>
  <c r="D1963" i="1"/>
  <c r="D2016" i="1"/>
  <c r="D2021" i="1"/>
  <c r="D2023" i="1"/>
  <c r="D2028" i="1"/>
  <c r="D2030" i="1"/>
  <c r="D2032" i="1"/>
  <c r="D2036" i="1"/>
  <c r="D2046" i="1"/>
  <c r="D1776" i="1"/>
  <c r="D1789" i="1"/>
  <c r="D1844" i="1"/>
  <c r="D1860" i="1"/>
  <c r="D2009" i="1"/>
  <c r="D2110" i="1"/>
  <c r="D2112" i="1"/>
  <c r="D2114" i="1"/>
  <c r="D2120" i="1"/>
  <c r="D1898" i="1"/>
  <c r="D1929" i="1"/>
  <c r="D2026" i="1"/>
  <c r="D2048" i="1"/>
  <c r="D2058" i="1"/>
  <c r="D1704" i="1"/>
  <c r="D2078" i="1"/>
  <c r="D2081" i="1"/>
  <c r="D2151" i="1"/>
  <c r="D2154" i="1"/>
  <c r="D2163" i="1"/>
  <c r="D2168" i="1"/>
  <c r="D1900" i="1"/>
  <c r="D1913" i="1"/>
  <c r="D1969" i="1"/>
  <c r="D2012" i="1"/>
  <c r="D2140" i="1"/>
  <c r="D2197" i="1"/>
  <c r="D2204" i="1"/>
  <c r="D1716" i="1"/>
  <c r="D1768" i="1"/>
  <c r="D2098" i="1"/>
  <c r="D2108" i="1"/>
  <c r="D2165" i="1"/>
  <c r="D2177" i="1"/>
  <c r="D2237" i="1"/>
  <c r="D1823" i="1"/>
  <c r="D1867" i="1"/>
  <c r="D1873" i="1"/>
  <c r="D2245" i="1"/>
  <c r="D1886" i="1"/>
  <c r="D1902" i="1"/>
  <c r="D1915" i="1"/>
  <c r="D1933" i="1"/>
  <c r="D1944" i="1"/>
  <c r="D1956" i="1"/>
  <c r="D2014" i="1"/>
  <c r="D2019" i="1"/>
  <c r="D2034" i="1"/>
  <c r="D2044" i="1"/>
  <c r="D2056" i="1"/>
  <c r="D2136" i="1"/>
  <c r="D2142" i="1"/>
  <c r="D2199" i="1"/>
  <c r="D2202" i="1"/>
  <c r="D2206" i="1"/>
  <c r="D1710" i="1"/>
  <c r="D2173" i="1"/>
  <c r="D1742" i="1"/>
  <c r="D1770" i="1"/>
  <c r="D1983" i="1"/>
  <c r="D2094" i="1"/>
  <c r="D2103" i="1"/>
  <c r="D2189" i="1"/>
  <c r="D2274" i="1"/>
  <c r="D2277" i="1"/>
  <c r="D2183" i="1"/>
  <c r="D1862" i="1"/>
  <c r="D2126" i="1"/>
  <c r="D2130" i="1"/>
  <c r="D2191" i="1"/>
  <c r="D2265" i="1"/>
  <c r="D1447" i="1"/>
  <c r="AT1003" i="1"/>
  <c r="BD363" i="1"/>
  <c r="BC363" i="1" s="1"/>
  <c r="BG363" i="1"/>
  <c r="BJ363" i="1"/>
  <c r="CX363" i="1"/>
  <c r="DA363" i="1"/>
  <c r="CZ363" i="1" s="1"/>
  <c r="DD363" i="1"/>
  <c r="DC363" i="1" s="1"/>
  <c r="AT912" i="1"/>
  <c r="AT363" i="1"/>
  <c r="AT425" i="1"/>
  <c r="AP2287" i="1"/>
  <c r="AP2286" i="1"/>
  <c r="AP2285" i="1"/>
  <c r="AP2266" i="1"/>
  <c r="AP2255" i="1"/>
  <c r="AP2196" i="1"/>
  <c r="AP2192" i="1"/>
  <c r="AP2131" i="1"/>
  <c r="AP2127" i="1"/>
  <c r="AP2003" i="1"/>
  <c r="AP1996" i="1"/>
  <c r="AP1877" i="1"/>
  <c r="AP1870" i="1"/>
  <c r="AP1863" i="1"/>
  <c r="AP1842" i="1"/>
  <c r="AP2284" i="1"/>
  <c r="AP2283" i="1"/>
  <c r="AP2265" i="1"/>
  <c r="AP2263" i="1"/>
  <c r="AP2261" i="1"/>
  <c r="AP2258" i="1"/>
  <c r="AP2195" i="1"/>
  <c r="AP2191" i="1"/>
  <c r="AP2134" i="1"/>
  <c r="AP2130" i="1"/>
  <c r="AP2126" i="1"/>
  <c r="AP2125" i="1"/>
  <c r="AP2123" i="1"/>
  <c r="AP2119" i="1"/>
  <c r="AP2008" i="1"/>
  <c r="AP2002" i="1"/>
  <c r="AP1869" i="1"/>
  <c r="AP1862" i="1"/>
  <c r="AP1825" i="1"/>
  <c r="AP2282" i="1"/>
  <c r="AP2281" i="1"/>
  <c r="AP2278" i="1"/>
  <c r="AP2275" i="1"/>
  <c r="AP2241" i="1"/>
  <c r="AP2190" i="1"/>
  <c r="AP2184" i="1"/>
  <c r="AP2183" i="1"/>
  <c r="AP2176" i="1"/>
  <c r="AP2174" i="1"/>
  <c r="AP2106" i="1"/>
  <c r="AP2104" i="1"/>
  <c r="AP2095" i="1"/>
  <c r="AP1989" i="1"/>
  <c r="AP1988" i="1"/>
  <c r="AP1986" i="1"/>
  <c r="AP1984" i="1"/>
  <c r="AP1771" i="1"/>
  <c r="AP1743" i="1"/>
  <c r="AP1492" i="1"/>
  <c r="AP2280" i="1"/>
  <c r="AP2279" i="1"/>
  <c r="AS2277" i="1"/>
  <c r="AP2277" i="1"/>
  <c r="AR2277" i="1" s="1"/>
  <c r="AP2276" i="1"/>
  <c r="AP2274" i="1"/>
  <c r="AP2189" i="1"/>
  <c r="AP2175" i="1"/>
  <c r="AS2173" i="1"/>
  <c r="AP2105" i="1"/>
  <c r="AP2103" i="1"/>
  <c r="AP2094" i="1"/>
  <c r="AP1985" i="1"/>
  <c r="AP1983" i="1"/>
  <c r="AP1980" i="1"/>
  <c r="AP1770" i="1"/>
  <c r="AP1765" i="1"/>
  <c r="AP1761" i="1"/>
  <c r="AP1758" i="1"/>
  <c r="AP1742" i="1"/>
  <c r="AP2273" i="1"/>
  <c r="AP2272" i="1"/>
  <c r="AP2233" i="1"/>
  <c r="AP2225" i="1"/>
  <c r="AP2210" i="1"/>
  <c r="AP2208" i="1"/>
  <c r="AP2207" i="1"/>
  <c r="AP2203" i="1"/>
  <c r="AP2200" i="1"/>
  <c r="AP2143" i="1"/>
  <c r="AP2137" i="1"/>
  <c r="AP2067" i="1"/>
  <c r="AP2057" i="1"/>
  <c r="AP2053" i="1"/>
  <c r="AP2045" i="1"/>
  <c r="AP2040" i="1"/>
  <c r="AP2035" i="1"/>
  <c r="AP2020" i="1"/>
  <c r="AP2015" i="1"/>
  <c r="AP1957" i="1"/>
  <c r="AP1945" i="1"/>
  <c r="AP1934" i="1"/>
  <c r="AP1916" i="1"/>
  <c r="AP1903" i="1"/>
  <c r="AP1887" i="1"/>
  <c r="AP2271" i="1"/>
  <c r="AP2267" i="1"/>
  <c r="AP2232" i="1"/>
  <c r="AP2224" i="1"/>
  <c r="AP2209" i="1"/>
  <c r="AP2206" i="1"/>
  <c r="AP2202" i="1"/>
  <c r="AP2199" i="1"/>
  <c r="AP2146" i="1"/>
  <c r="AP2142" i="1"/>
  <c r="AP2136" i="1"/>
  <c r="AP2056" i="1"/>
  <c r="AP2044" i="1"/>
  <c r="AP2034" i="1"/>
  <c r="AP2019" i="1"/>
  <c r="AP2014" i="1"/>
  <c r="AP1956" i="1"/>
  <c r="AP1944" i="1"/>
  <c r="AP1933" i="1"/>
  <c r="AP1915" i="1"/>
  <c r="AP1902" i="1"/>
  <c r="AP1893" i="1"/>
  <c r="AP1886" i="1"/>
  <c r="AP2264" i="1"/>
  <c r="AP2262" i="1"/>
  <c r="AP2260" i="1"/>
  <c r="AP2259" i="1"/>
  <c r="AP2257" i="1"/>
  <c r="AP2246" i="1"/>
  <c r="AP2001" i="1"/>
  <c r="AP1874" i="1"/>
  <c r="AP1868" i="1"/>
  <c r="AP1852" i="1"/>
  <c r="AP1848" i="1"/>
  <c r="AP1824" i="1"/>
  <c r="AP2256" i="1"/>
  <c r="AP2254" i="1"/>
  <c r="AP2245" i="1"/>
  <c r="AP2194" i="1"/>
  <c r="AP2133" i="1"/>
  <c r="AP2000" i="1"/>
  <c r="AP1873" i="1"/>
  <c r="AP1867" i="1"/>
  <c r="AP1851" i="1"/>
  <c r="AP1836" i="1"/>
  <c r="AP1823" i="1"/>
  <c r="AP2244" i="1"/>
  <c r="AP2243" i="1"/>
  <c r="AP2242" i="1"/>
  <c r="AP2240" i="1"/>
  <c r="AP2238" i="1"/>
  <c r="AP2182" i="1"/>
  <c r="AP2179" i="1"/>
  <c r="AP2178" i="1"/>
  <c r="AP2171" i="1"/>
  <c r="AP2166" i="1"/>
  <c r="AP2109" i="1"/>
  <c r="AP2102" i="1"/>
  <c r="AP2099" i="1"/>
  <c r="AP2093" i="1"/>
  <c r="AP1978" i="1"/>
  <c r="AP1769" i="1"/>
  <c r="AP1764" i="1"/>
  <c r="AP1757" i="1"/>
  <c r="AP1741" i="1"/>
  <c r="AP1717" i="1"/>
  <c r="AP2239" i="1"/>
  <c r="AP2237" i="1"/>
  <c r="AP2188" i="1"/>
  <c r="AP2187" i="1"/>
  <c r="AP2177" i="1"/>
  <c r="AP2170" i="1"/>
  <c r="AP2165" i="1"/>
  <c r="AP2108" i="1"/>
  <c r="AP2101" i="1"/>
  <c r="AP2098" i="1"/>
  <c r="AP1977" i="1"/>
  <c r="AP1768" i="1"/>
  <c r="AP1740" i="1"/>
  <c r="AP1716" i="1"/>
  <c r="AP2236" i="1"/>
  <c r="AP2235" i="1"/>
  <c r="AP2234" i="1"/>
  <c r="AP2161" i="1"/>
  <c r="AP2160" i="1"/>
  <c r="AP2153" i="1"/>
  <c r="AP2089" i="1"/>
  <c r="AP2087" i="1"/>
  <c r="AP2072" i="1"/>
  <c r="AP2159" i="1"/>
  <c r="AP2086" i="1"/>
  <c r="AP2231" i="1"/>
  <c r="AP2230" i="1"/>
  <c r="AP2226" i="1"/>
  <c r="AP2223" i="1"/>
  <c r="AP2222" i="1"/>
  <c r="AP2218" i="1"/>
  <c r="AP2211" i="1"/>
  <c r="AP2205" i="1"/>
  <c r="AP2201" i="1"/>
  <c r="AP2198" i="1"/>
  <c r="AP2141" i="1"/>
  <c r="AP2066" i="1"/>
  <c r="AP2063" i="1"/>
  <c r="AP2055" i="1"/>
  <c r="DD2050" i="1"/>
  <c r="AS2050" i="1"/>
  <c r="DA2050" i="1"/>
  <c r="CZ2050" i="1" s="1"/>
  <c r="CX2050" i="1"/>
  <c r="CK2050" i="1"/>
  <c r="CJ2050" i="1" s="1"/>
  <c r="CH2050" i="1"/>
  <c r="CG2050" i="1" s="1"/>
  <c r="CE2050" i="1"/>
  <c r="CD2050" i="1" s="1"/>
  <c r="CB2050" i="1"/>
  <c r="CA2050" i="1" s="1"/>
  <c r="BY2050" i="1"/>
  <c r="BX2050" i="1" s="1"/>
  <c r="BV2050" i="1"/>
  <c r="BU2050" i="1" s="1"/>
  <c r="BS2050" i="1"/>
  <c r="BR2050" i="1" s="1"/>
  <c r="BJ2050" i="1"/>
  <c r="BG2050" i="1"/>
  <c r="BF2050" i="1" s="1"/>
  <c r="BD2050" i="1"/>
  <c r="AT2050" i="1"/>
  <c r="AP2050" i="1"/>
  <c r="AR2050" i="1" s="1"/>
  <c r="AG2050" i="1"/>
  <c r="W2050" i="1" s="1"/>
  <c r="M2050" i="1"/>
  <c r="AP2018" i="1"/>
  <c r="AP2013" i="1"/>
  <c r="AP1970" i="1"/>
  <c r="AP1943" i="1"/>
  <c r="AP1932" i="1"/>
  <c r="AP1914" i="1"/>
  <c r="AP1901" i="1"/>
  <c r="AP1892" i="1"/>
  <c r="AP1885" i="1"/>
  <c r="AP2221" i="1"/>
  <c r="AP2220" i="1"/>
  <c r="AP2219" i="1"/>
  <c r="AP2204" i="1"/>
  <c r="AP2197" i="1"/>
  <c r="AP2149" i="1"/>
  <c r="AP2144" i="1"/>
  <c r="AP2140" i="1"/>
  <c r="AP2065" i="1"/>
  <c r="AP2054" i="1"/>
  <c r="AP2043" i="1"/>
  <c r="AP2012" i="1"/>
  <c r="AP1969" i="1"/>
  <c r="AP1931" i="1"/>
  <c r="AP1913" i="1"/>
  <c r="AP1900" i="1"/>
  <c r="AP1884" i="1"/>
  <c r="AP2193" i="1"/>
  <c r="AP2135" i="1"/>
  <c r="AP2124" i="1"/>
  <c r="AP2006" i="1"/>
  <c r="AP1835" i="1"/>
  <c r="AP1808" i="1"/>
  <c r="AP1779" i="1"/>
  <c r="AP2005" i="1"/>
  <c r="AP1778" i="1"/>
  <c r="AP2186" i="1"/>
  <c r="AP2185" i="1"/>
  <c r="AP2181" i="1"/>
  <c r="AP2169" i="1"/>
  <c r="AP2164" i="1"/>
  <c r="AP2162" i="1"/>
  <c r="AP2107" i="1"/>
  <c r="AP1767" i="1"/>
  <c r="AP1756" i="1"/>
  <c r="AP1734" i="1"/>
  <c r="AP1715" i="1"/>
  <c r="AP2180" i="1"/>
  <c r="AP2172" i="1"/>
  <c r="AP2168" i="1"/>
  <c r="AP2167" i="1"/>
  <c r="AP2163" i="1"/>
  <c r="AP2100" i="1"/>
  <c r="AP2092" i="1"/>
  <c r="AP1982" i="1"/>
  <c r="AP1976" i="1"/>
  <c r="AP1739" i="1"/>
  <c r="AP1733" i="1"/>
  <c r="AP2158" i="1"/>
  <c r="AP2157" i="1"/>
  <c r="AP2155" i="1"/>
  <c r="AP2152" i="1"/>
  <c r="AP2085" i="1"/>
  <c r="AP2082" i="1"/>
  <c r="AP2079" i="1"/>
  <c r="AP2074" i="1"/>
  <c r="AP1705" i="1"/>
  <c r="AP1701" i="1"/>
  <c r="AP2156" i="1"/>
  <c r="AP2154" i="1"/>
  <c r="AP2151" i="1"/>
  <c r="AP2150" i="1"/>
  <c r="AP2084" i="1"/>
  <c r="AP2081" i="1"/>
  <c r="AP2078" i="1"/>
  <c r="AP2070" i="1"/>
  <c r="AP1704" i="1"/>
  <c r="AP2148" i="1"/>
  <c r="AP2147" i="1"/>
  <c r="AP2145" i="1"/>
  <c r="AP2139" i="1"/>
  <c r="AP2061" i="1"/>
  <c r="AP2059" i="1"/>
  <c r="AP2049" i="1"/>
  <c r="AP2042" i="1"/>
  <c r="AP2039" i="1"/>
  <c r="AP2027" i="1"/>
  <c r="AP1968" i="1"/>
  <c r="AP1965" i="1"/>
  <c r="AP1942" i="1"/>
  <c r="AP1930" i="1"/>
  <c r="AP1921" i="1"/>
  <c r="AP1899" i="1"/>
  <c r="AP1883" i="1"/>
  <c r="AP2138" i="1"/>
  <c r="AP2064" i="1"/>
  <c r="AP2058" i="1"/>
  <c r="AP2048" i="1"/>
  <c r="AP2026" i="1"/>
  <c r="AP1967" i="1"/>
  <c r="AP1941" i="1"/>
  <c r="AP1929" i="1"/>
  <c r="AP1898" i="1"/>
  <c r="AP1891" i="1"/>
  <c r="AP2132" i="1"/>
  <c r="AP2129" i="1"/>
  <c r="AP2128" i="1"/>
  <c r="AP2121" i="1"/>
  <c r="AP2115" i="1"/>
  <c r="AP2113" i="1"/>
  <c r="AP2111" i="1"/>
  <c r="AP2010" i="1"/>
  <c r="AP1999" i="1"/>
  <c r="AP1866" i="1"/>
  <c r="AP1861" i="1"/>
  <c r="AP1845" i="1"/>
  <c r="AP1834" i="1"/>
  <c r="AP1828" i="1"/>
  <c r="AP1807" i="1"/>
  <c r="AP1803" i="1"/>
  <c r="AP1790" i="1"/>
  <c r="AP1777" i="1"/>
  <c r="AP2122" i="1"/>
  <c r="AP2120" i="1"/>
  <c r="AP2118" i="1"/>
  <c r="AP2114" i="1"/>
  <c r="AP2112" i="1"/>
  <c r="AP2110" i="1"/>
  <c r="AP2009" i="1"/>
  <c r="AP2007" i="1"/>
  <c r="AP1872" i="1"/>
  <c r="AP1860" i="1"/>
  <c r="AP1850" i="1"/>
  <c r="AP1844" i="1"/>
  <c r="AP1839" i="1"/>
  <c r="AP1802" i="1"/>
  <c r="AP1789" i="1"/>
  <c r="AS1784" i="1"/>
  <c r="AP1776" i="1"/>
  <c r="AS2091" i="1"/>
  <c r="AP2091" i="1"/>
  <c r="AR2091" i="1" s="1"/>
  <c r="AP2090" i="1"/>
  <c r="AP1738" i="1"/>
  <c r="AP1732" i="1"/>
  <c r="AP1714" i="1"/>
  <c r="AP2088" i="1"/>
  <c r="AP2083" i="1"/>
  <c r="AP2080" i="1"/>
  <c r="AP2077" i="1"/>
  <c r="AP2076" i="1"/>
  <c r="AP2075" i="1"/>
  <c r="AP2073" i="1"/>
  <c r="AP2071" i="1"/>
  <c r="AP2069" i="1"/>
  <c r="AP1972" i="1"/>
  <c r="AP1971" i="1"/>
  <c r="AP1700" i="1"/>
  <c r="AP2068" i="1"/>
  <c r="AP2062" i="1"/>
  <c r="AP2060" i="1"/>
  <c r="AP2052" i="1"/>
  <c r="AP2047" i="1"/>
  <c r="AP2041" i="1"/>
  <c r="AP2037" i="1"/>
  <c r="AP2033" i="1"/>
  <c r="AP2031" i="1"/>
  <c r="AP2029" i="1"/>
  <c r="AP2022" i="1"/>
  <c r="AP2017" i="1"/>
  <c r="AP2011" i="1"/>
  <c r="AP1964" i="1"/>
  <c r="AP1960" i="1"/>
  <c r="AP1955" i="1"/>
  <c r="AP1954" i="1"/>
  <c r="AP1951" i="1"/>
  <c r="AP1948" i="1"/>
  <c r="AP1940" i="1"/>
  <c r="AP1926" i="1"/>
  <c r="AP1920" i="1"/>
  <c r="AP1912" i="1"/>
  <c r="AP1909" i="1"/>
  <c r="AP1907" i="1"/>
  <c r="AP1897" i="1"/>
  <c r="AP1882" i="1"/>
  <c r="AP2051" i="1"/>
  <c r="AP2046" i="1"/>
  <c r="AP2038" i="1"/>
  <c r="AP2036" i="1"/>
  <c r="AP2032" i="1"/>
  <c r="AP2030" i="1"/>
  <c r="AP2028" i="1"/>
  <c r="AP2025" i="1"/>
  <c r="AP2024" i="1"/>
  <c r="AP2023" i="1"/>
  <c r="AP2021" i="1"/>
  <c r="AP2016" i="1"/>
  <c r="AP1966" i="1"/>
  <c r="AP1963" i="1"/>
  <c r="AP1959" i="1"/>
  <c r="DR1953" i="1"/>
  <c r="AP1953" i="1"/>
  <c r="AP1950" i="1"/>
  <c r="AP1947" i="1"/>
  <c r="AP1939" i="1"/>
  <c r="AP1928" i="1"/>
  <c r="AP1925" i="1"/>
  <c r="AP1919" i="1"/>
  <c r="AP1911" i="1"/>
  <c r="AP1906" i="1"/>
  <c r="AP1896" i="1"/>
  <c r="AP1890" i="1"/>
  <c r="AP1881" i="1"/>
  <c r="AP2004" i="1"/>
  <c r="AP1998" i="1"/>
  <c r="AP1997" i="1"/>
  <c r="AP1995" i="1"/>
  <c r="AP1993" i="1"/>
  <c r="AP1991" i="1"/>
  <c r="AP1876" i="1"/>
  <c r="AP1865" i="1"/>
  <c r="AP1859" i="1"/>
  <c r="AP1856" i="1"/>
  <c r="AP1855" i="1"/>
  <c r="AP1849" i="1"/>
  <c r="AP1847" i="1"/>
  <c r="AP1843" i="1"/>
  <c r="AP1841" i="1"/>
  <c r="AS1833" i="1"/>
  <c r="AP1833" i="1"/>
  <c r="AR1833" i="1" s="1"/>
  <c r="AP1822" i="1"/>
  <c r="AP1819" i="1"/>
  <c r="AP1813" i="1"/>
  <c r="AP1806" i="1"/>
  <c r="AP1801" i="1"/>
  <c r="AP1798" i="1"/>
  <c r="AP1794" i="1"/>
  <c r="AP1788" i="1"/>
  <c r="AP1783" i="1"/>
  <c r="AP1775" i="1"/>
  <c r="AP1994" i="1"/>
  <c r="AP1992" i="1"/>
  <c r="AP1990" i="1"/>
  <c r="AP1875" i="1"/>
  <c r="AS1858" i="1"/>
  <c r="AP1854" i="1"/>
  <c r="AP1838" i="1"/>
  <c r="AP1832" i="1"/>
  <c r="AP1830" i="1"/>
  <c r="AP1821" i="1"/>
  <c r="AP1818" i="1"/>
  <c r="AP1812" i="1"/>
  <c r="AP1805" i="1"/>
  <c r="AP1797" i="1"/>
  <c r="AP1787" i="1"/>
  <c r="AP1782" i="1"/>
  <c r="AP1774" i="1"/>
  <c r="AP1987" i="1"/>
  <c r="AP1981" i="1"/>
  <c r="AP1979" i="1"/>
  <c r="AP1975" i="1"/>
  <c r="AP1974" i="1"/>
  <c r="AP1763" i="1"/>
  <c r="AP1755" i="1"/>
  <c r="AP1754" i="1"/>
  <c r="AP1737" i="1"/>
  <c r="AP1728" i="1"/>
  <c r="AP1721" i="1"/>
  <c r="AP1973" i="1"/>
  <c r="AP1766" i="1"/>
  <c r="AS1759" i="1"/>
  <c r="AP1759" i="1"/>
  <c r="AR1759" i="1" s="1"/>
  <c r="AP1753" i="1"/>
  <c r="AP1727" i="1"/>
  <c r="AP1720" i="1"/>
  <c r="AP1713" i="1"/>
  <c r="AP1962" i="1"/>
  <c r="AP1961" i="1"/>
  <c r="AP1958" i="1"/>
  <c r="AP1952" i="1"/>
  <c r="AP1949" i="1"/>
  <c r="AP1946" i="1"/>
  <c r="AP1938" i="1"/>
  <c r="AP1936" i="1"/>
  <c r="AP1924" i="1"/>
  <c r="AP1922" i="1"/>
  <c r="AP1918" i="1"/>
  <c r="AP1910" i="1"/>
  <c r="AP1905" i="1"/>
  <c r="AP1895" i="1"/>
  <c r="AP1889" i="1"/>
  <c r="AP1880" i="1"/>
  <c r="AP1878" i="1"/>
  <c r="AP1937" i="1"/>
  <c r="AP1935" i="1"/>
  <c r="AP1927" i="1"/>
  <c r="AP1923" i="1"/>
  <c r="AP1917" i="1"/>
  <c r="AP1908" i="1"/>
  <c r="AP1904" i="1"/>
  <c r="AP1894" i="1"/>
  <c r="AP1888" i="1"/>
  <c r="AP1879" i="1"/>
  <c r="AP1871" i="1"/>
  <c r="AP1864" i="1"/>
  <c r="AP1857" i="1"/>
  <c r="AP1853" i="1"/>
  <c r="AP1846" i="1"/>
  <c r="AP1840" i="1"/>
  <c r="AP1837" i="1"/>
  <c r="AP1831" i="1"/>
  <c r="AP1829" i="1"/>
  <c r="AS1827" i="1"/>
  <c r="AP1827" i="1"/>
  <c r="AR1827" i="1" s="1"/>
  <c r="AP1817" i="1"/>
  <c r="AP1815" i="1"/>
  <c r="AP1810" i="1"/>
  <c r="AP1804" i="1"/>
  <c r="AP1800" i="1"/>
  <c r="AP1792" i="1"/>
  <c r="AP1786" i="1"/>
  <c r="AP1781" i="1"/>
  <c r="AP1773" i="1"/>
  <c r="AP1826" i="1"/>
  <c r="AP1820" i="1"/>
  <c r="AP1816" i="1"/>
  <c r="AP1814" i="1"/>
  <c r="AP1811" i="1"/>
  <c r="AP1809" i="1"/>
  <c r="AP1799" i="1"/>
  <c r="AP1796" i="1"/>
  <c r="AP1795" i="1"/>
  <c r="AP1793" i="1"/>
  <c r="AP1791" i="1"/>
  <c r="AP1785" i="1"/>
  <c r="AP1780" i="1"/>
  <c r="AP1772" i="1"/>
  <c r="AP1762" i="1"/>
  <c r="AP1760" i="1"/>
  <c r="AP1752" i="1"/>
  <c r="AP1750" i="1"/>
  <c r="AP1748" i="1"/>
  <c r="AP1747" i="1"/>
  <c r="AP1745" i="1"/>
  <c r="AP1735" i="1"/>
  <c r="AP1731" i="1"/>
  <c r="AP1726" i="1"/>
  <c r="AP1724" i="1"/>
  <c r="AP1723" i="1"/>
  <c r="AP1719" i="1"/>
  <c r="AP1712" i="1"/>
  <c r="AP1751" i="1"/>
  <c r="AS1749" i="1"/>
  <c r="AP1749" i="1"/>
  <c r="AR1749" i="1" s="1"/>
  <c r="AP1746" i="1"/>
  <c r="AP1744" i="1"/>
  <c r="AP1736" i="1"/>
  <c r="AP1730" i="1"/>
  <c r="AP1729" i="1"/>
  <c r="AS1725" i="1"/>
  <c r="AP1725" i="1"/>
  <c r="AR1725" i="1" s="1"/>
  <c r="AP1722" i="1"/>
  <c r="AP1718" i="1"/>
  <c r="AS1706" i="1"/>
  <c r="AP1706" i="1"/>
  <c r="AR1706" i="1" s="1"/>
  <c r="AS1703" i="1"/>
  <c r="AP1703" i="1"/>
  <c r="AR1703" i="1" s="1"/>
  <c r="AS1698" i="1"/>
  <c r="AP1693" i="1"/>
  <c r="AS1691" i="1"/>
  <c r="AP1691" i="1"/>
  <c r="AR1691" i="1" s="1"/>
  <c r="AP1702" i="1"/>
  <c r="AS1699" i="1"/>
  <c r="AS1697" i="1"/>
  <c r="AS1692" i="1"/>
  <c r="AP1692" i="1"/>
  <c r="AR1692" i="1" s="1"/>
  <c r="AS1690" i="1"/>
  <c r="AP1690" i="1"/>
  <c r="AR1690" i="1" s="1"/>
  <c r="CT1633" i="1"/>
  <c r="CS1633" i="1" s="1"/>
  <c r="CC1633" i="1"/>
  <c r="BZ1633" i="1"/>
  <c r="BW1633" i="1"/>
  <c r="BT1633" i="1"/>
  <c r="BM1633" i="1"/>
  <c r="BL1633" i="1" s="1"/>
  <c r="BK1633" i="1"/>
  <c r="BH1633" i="1"/>
  <c r="BE1633" i="1"/>
  <c r="BB1633" i="1"/>
  <c r="AY1633" i="1"/>
  <c r="AP1665" i="1"/>
  <c r="AO1665" i="1"/>
  <c r="CT1686" i="1"/>
  <c r="CS1686" i="1" s="1"/>
  <c r="BZ1686" i="1"/>
  <c r="BW1686" i="1"/>
  <c r="BT1686" i="1"/>
  <c r="BM1686" i="1"/>
  <c r="BL1686" i="1" s="1"/>
  <c r="BK1686" i="1"/>
  <c r="BH1686" i="1"/>
  <c r="BE1686" i="1"/>
  <c r="BB1686" i="1"/>
  <c r="AY1686" i="1"/>
  <c r="AP1686" i="1"/>
  <c r="AO1686" i="1"/>
  <c r="AG1686" i="1"/>
  <c r="W1686" i="1" s="1"/>
  <c r="AP1507" i="1"/>
  <c r="AO1507" i="1"/>
  <c r="AP1660" i="1"/>
  <c r="AO1660" i="1"/>
  <c r="AG1660" i="1"/>
  <c r="W1660" i="1" s="1"/>
  <c r="AP1571" i="1"/>
  <c r="AO1571" i="1"/>
  <c r="AP1651" i="1"/>
  <c r="AO1651" i="1"/>
  <c r="AP1648" i="1"/>
  <c r="AO1648" i="1"/>
  <c r="AP1608" i="1"/>
  <c r="AO1608" i="1"/>
  <c r="AP1629" i="1"/>
  <c r="AO1629" i="1"/>
  <c r="AP1529" i="1"/>
  <c r="AO1529" i="1"/>
  <c r="AP1527" i="1"/>
  <c r="AO1527" i="1"/>
  <c r="AP1525" i="1"/>
  <c r="AO1525" i="1"/>
  <c r="AP1514" i="1"/>
  <c r="AO1514" i="1"/>
  <c r="AP1512" i="1"/>
  <c r="AO1512" i="1"/>
  <c r="AP1621" i="1"/>
  <c r="AO1621" i="1"/>
  <c r="AP1616" i="1"/>
  <c r="AO1616" i="1"/>
  <c r="AP1613" i="1"/>
  <c r="AO1613" i="1"/>
  <c r="AP1611" i="1"/>
  <c r="AO1611" i="1"/>
  <c r="AP1503" i="1"/>
  <c r="AO1503" i="1"/>
  <c r="AP1500" i="1"/>
  <c r="AO1500" i="1"/>
  <c r="AP1612" i="1"/>
  <c r="AO1612" i="1"/>
  <c r="AP1502" i="1"/>
  <c r="AO1502" i="1"/>
  <c r="AP1499" i="1"/>
  <c r="AO1499" i="1"/>
  <c r="AP1494" i="1"/>
  <c r="AO1494" i="1"/>
  <c r="AP1607" i="1"/>
  <c r="AO1607" i="1"/>
  <c r="AP1606" i="1"/>
  <c r="AO1606" i="1"/>
  <c r="AP1555" i="1"/>
  <c r="AO1555" i="1"/>
  <c r="AP1549" i="1"/>
  <c r="AO1549" i="1"/>
  <c r="AP1545" i="1"/>
  <c r="AO1545" i="1"/>
  <c r="AP1535" i="1"/>
  <c r="AO1535" i="1"/>
  <c r="AP1605" i="1"/>
  <c r="AO1605" i="1"/>
  <c r="AP1603" i="1"/>
  <c r="AO1603" i="1"/>
  <c r="AP1554" i="1"/>
  <c r="AO1554" i="1"/>
  <c r="AP1548" i="1"/>
  <c r="AO1548" i="1"/>
  <c r="AP1544" i="1"/>
  <c r="AO1544" i="1"/>
  <c r="AP1534" i="1"/>
  <c r="AO1534" i="1"/>
  <c r="AP2551" i="1"/>
  <c r="AO2551" i="1"/>
  <c r="AP2546" i="1"/>
  <c r="AO2546" i="1"/>
  <c r="AP2544" i="1"/>
  <c r="AO2544" i="1"/>
  <c r="AP1601" i="1"/>
  <c r="AO1601" i="1"/>
  <c r="AP1594" i="1"/>
  <c r="AO1594" i="1"/>
  <c r="AP1591" i="1"/>
  <c r="AO1591" i="1"/>
  <c r="AP1584" i="1"/>
  <c r="AO1584" i="1"/>
  <c r="AP1577" i="1"/>
  <c r="AO1577" i="1"/>
  <c r="AP1573" i="1"/>
  <c r="AO1573" i="1"/>
  <c r="AP2550" i="1"/>
  <c r="AO2550" i="1"/>
  <c r="AP2545" i="1"/>
  <c r="AO2545" i="1"/>
  <c r="AP1590" i="1"/>
  <c r="AO1590" i="1"/>
  <c r="AP1583" i="1"/>
  <c r="AO1583" i="1"/>
  <c r="AP1580" i="1"/>
  <c r="AO1580" i="1"/>
  <c r="AP1576" i="1"/>
  <c r="AO1576" i="1"/>
  <c r="AP1572" i="1"/>
  <c r="AO1572" i="1"/>
  <c r="AP2543" i="1"/>
  <c r="AO2543" i="1"/>
  <c r="AP1526" i="1"/>
  <c r="AO1526" i="1"/>
  <c r="AP1524" i="1"/>
  <c r="AO1524" i="1"/>
  <c r="AP1519" i="1"/>
  <c r="AO1519" i="1"/>
  <c r="AP1518" i="1"/>
  <c r="AO1518" i="1"/>
  <c r="AP1511" i="1"/>
  <c r="AO1511" i="1"/>
  <c r="AP1570" i="1"/>
  <c r="AO1570" i="1"/>
  <c r="AP1563" i="1"/>
  <c r="AO1563" i="1"/>
  <c r="AP1569" i="1"/>
  <c r="AO1569" i="1"/>
  <c r="AP1562" i="1"/>
  <c r="AO1562" i="1"/>
  <c r="AP1553" i="1"/>
  <c r="AO1553" i="1"/>
  <c r="AP1552" i="1"/>
  <c r="AO1552" i="1"/>
  <c r="AP1547" i="1"/>
  <c r="AO1547" i="1"/>
  <c r="AP1543" i="1"/>
  <c r="AO1543" i="1"/>
  <c r="AP1533" i="1"/>
  <c r="AO1533" i="1"/>
  <c r="AP1551" i="1"/>
  <c r="AO1551" i="1"/>
  <c r="AP1550" i="1"/>
  <c r="AO1550" i="1"/>
  <c r="AP1546" i="1"/>
  <c r="AO1546" i="1"/>
  <c r="AP1542" i="1"/>
  <c r="AO1542" i="1"/>
  <c r="AP1532" i="1"/>
  <c r="AO1532" i="1"/>
  <c r="AP1490" i="1"/>
  <c r="AO1490" i="1"/>
  <c r="AG1490" i="1"/>
  <c r="W1490" i="1" s="1"/>
  <c r="AP505" i="1"/>
  <c r="AR505" i="1" s="1"/>
  <c r="AG505" i="1"/>
  <c r="W505" i="1" s="1"/>
  <c r="M505" i="1"/>
  <c r="DD1172" i="1"/>
  <c r="DC1172" i="1" s="1"/>
  <c r="DA1172" i="1"/>
  <c r="CX1172" i="1"/>
  <c r="BJ1172" i="1"/>
  <c r="BI1172" i="1" s="1"/>
  <c r="BG1172" i="1"/>
  <c r="BD1172" i="1"/>
  <c r="AT1172" i="1"/>
  <c r="AP1172" i="1"/>
  <c r="AR1172" i="1" s="1"/>
  <c r="AG1172" i="1"/>
  <c r="W1172" i="1" s="1"/>
  <c r="N1172" i="1"/>
  <c r="M1172" i="1"/>
  <c r="AP232" i="1"/>
  <c r="AR232" i="1" s="1"/>
  <c r="AG232" i="1"/>
  <c r="W232" i="1" s="1"/>
  <c r="M232" i="1"/>
  <c r="AP919" i="1"/>
  <c r="AR919" i="1" s="1"/>
  <c r="AG919" i="1"/>
  <c r="W919" i="1" s="1"/>
  <c r="M919" i="1"/>
  <c r="DD1248" i="1"/>
  <c r="DA1248" i="1"/>
  <c r="CX1248" i="1"/>
  <c r="CW1248" i="1" s="1"/>
  <c r="BJ1248" i="1"/>
  <c r="BG1248" i="1"/>
  <c r="BD1248" i="1"/>
  <c r="AT1248" i="1"/>
  <c r="AP1248" i="1"/>
  <c r="AR1248" i="1" s="1"/>
  <c r="AG1248" i="1"/>
  <c r="W1248" i="1" s="1"/>
  <c r="M1248" i="1"/>
  <c r="DD504" i="1"/>
  <c r="DA504" i="1"/>
  <c r="CX504" i="1"/>
  <c r="BJ504" i="1"/>
  <c r="BI504" i="1" s="1"/>
  <c r="BG504" i="1"/>
  <c r="BD504" i="1"/>
  <c r="AT504" i="1"/>
  <c r="AP504" i="1"/>
  <c r="AR504" i="1" s="1"/>
  <c r="AG504" i="1"/>
  <c r="W504" i="1" s="1"/>
  <c r="N504" i="1"/>
  <c r="M504" i="1"/>
  <c r="AP1247" i="1"/>
  <c r="AG1247" i="1"/>
  <c r="W1247" i="1" s="1"/>
  <c r="M1247" i="1"/>
  <c r="AP1246" i="1"/>
  <c r="AR1246" i="1" s="1"/>
  <c r="W1246" i="1"/>
  <c r="M1246" i="1"/>
  <c r="DD503" i="1"/>
  <c r="DA503" i="1"/>
  <c r="CZ503" i="1" s="1"/>
  <c r="CX503" i="1"/>
  <c r="CW503" i="1" s="1"/>
  <c r="BJ503" i="1"/>
  <c r="BG503" i="1"/>
  <c r="BD503" i="1"/>
  <c r="BC503" i="1" s="1"/>
  <c r="AT503" i="1"/>
  <c r="AP503" i="1"/>
  <c r="AR503" i="1" s="1"/>
  <c r="AG503" i="1"/>
  <c r="W503" i="1" s="1"/>
  <c r="M503" i="1"/>
  <c r="AP470" i="1"/>
  <c r="AR470" i="1" s="1"/>
  <c r="AG470" i="1"/>
  <c r="W470" i="1" s="1"/>
  <c r="M470" i="1"/>
  <c r="AP1221" i="1"/>
  <c r="AR1221" i="1" s="1"/>
  <c r="AG1221" i="1"/>
  <c r="W1221" i="1" s="1"/>
  <c r="M1221" i="1"/>
  <c r="AP393" i="1"/>
  <c r="AR393" i="1" s="1"/>
  <c r="AG393" i="1"/>
  <c r="W393" i="1" s="1"/>
  <c r="M393" i="1"/>
  <c r="DD1029" i="1"/>
  <c r="DA1029" i="1"/>
  <c r="CX1029" i="1"/>
  <c r="BJ1029" i="1"/>
  <c r="BG1029" i="1"/>
  <c r="BD1029" i="1"/>
  <c r="AT1029" i="1"/>
  <c r="AP1029" i="1"/>
  <c r="AR1029" i="1" s="1"/>
  <c r="AG1029" i="1"/>
  <c r="W1029" i="1" s="1"/>
  <c r="M1029" i="1"/>
  <c r="DD304" i="1"/>
  <c r="DC304" i="1" s="1"/>
  <c r="DA304" i="1"/>
  <c r="CX304" i="1"/>
  <c r="BJ304" i="1"/>
  <c r="BG304" i="1"/>
  <c r="BF304" i="1" s="1"/>
  <c r="BD304" i="1"/>
  <c r="AT304" i="1"/>
  <c r="AP304" i="1"/>
  <c r="AR304" i="1" s="1"/>
  <c r="AG304" i="1"/>
  <c r="W304" i="1" s="1"/>
  <c r="M304" i="1"/>
  <c r="AP929" i="1"/>
  <c r="AR929" i="1" s="1"/>
  <c r="AG929" i="1"/>
  <c r="W929" i="1" s="1"/>
  <c r="M929" i="1"/>
  <c r="AP923" i="1"/>
  <c r="AR923" i="1" s="1"/>
  <c r="AG923" i="1"/>
  <c r="W923" i="1" s="1"/>
  <c r="M923" i="1"/>
  <c r="AP192" i="1"/>
  <c r="AR192" i="1" s="1"/>
  <c r="AG192" i="1"/>
  <c r="W192" i="1" s="1"/>
  <c r="M192" i="1"/>
  <c r="DA903" i="1"/>
  <c r="CX903" i="1"/>
  <c r="BJ903" i="1"/>
  <c r="BG903" i="1"/>
  <c r="BD903" i="1"/>
  <c r="AT903" i="1"/>
  <c r="AP903" i="1"/>
  <c r="AR903" i="1" s="1"/>
  <c r="AG903" i="1"/>
  <c r="W903" i="1" s="1"/>
  <c r="M903" i="1"/>
  <c r="DA2" i="1"/>
  <c r="CX2" i="1"/>
  <c r="BJ2" i="1"/>
  <c r="BG2" i="1"/>
  <c r="BD2" i="1"/>
  <c r="AT2" i="1"/>
  <c r="AP2" i="1"/>
  <c r="AR2" i="1" s="1"/>
  <c r="AG2" i="1"/>
  <c r="W2" i="1" s="1"/>
  <c r="M2" i="1"/>
  <c r="AP1245" i="1"/>
  <c r="AR1245" i="1" s="1"/>
  <c r="AG1245" i="1"/>
  <c r="W1245" i="1" s="1"/>
  <c r="M1245" i="1"/>
  <c r="DD502" i="1"/>
  <c r="DA502" i="1"/>
  <c r="CZ502" i="1" s="1"/>
  <c r="CX502" i="1"/>
  <c r="BJ502" i="1"/>
  <c r="BG502" i="1"/>
  <c r="BD502" i="1"/>
  <c r="BC502" i="1" s="1"/>
  <c r="AT502" i="1"/>
  <c r="AP502" i="1"/>
  <c r="AR502" i="1" s="1"/>
  <c r="AG502" i="1"/>
  <c r="W502" i="1" s="1"/>
  <c r="M502" i="1"/>
  <c r="AP1244" i="1"/>
  <c r="AR1244" i="1" s="1"/>
  <c r="AG1244" i="1"/>
  <c r="W1244" i="1" s="1"/>
  <c r="M1244" i="1"/>
  <c r="DD501" i="1"/>
  <c r="DA501" i="1"/>
  <c r="CX501" i="1"/>
  <c r="BJ501" i="1"/>
  <c r="BG501" i="1"/>
  <c r="BD501" i="1"/>
  <c r="AT501" i="1"/>
  <c r="AP501" i="1"/>
  <c r="AR501" i="1" s="1"/>
  <c r="W501" i="1"/>
  <c r="M501" i="1"/>
  <c r="DD1243" i="1"/>
  <c r="DA1243" i="1"/>
  <c r="CX1243" i="1"/>
  <c r="CW1243" i="1" s="1"/>
  <c r="BJ1243" i="1"/>
  <c r="BG1243" i="1"/>
  <c r="BD1243" i="1"/>
  <c r="AT1243" i="1"/>
  <c r="AP1243" i="1"/>
  <c r="AR1243" i="1" s="1"/>
  <c r="AG1243" i="1"/>
  <c r="W1243" i="1" s="1"/>
  <c r="M1243" i="1"/>
  <c r="AT488" i="1"/>
  <c r="AP488" i="1"/>
  <c r="AR488" i="1" s="1"/>
  <c r="AG488" i="1"/>
  <c r="W488" i="1" s="1"/>
  <c r="M488" i="1"/>
  <c r="AP1227" i="1"/>
  <c r="AR1227" i="1" s="1"/>
  <c r="AG1227" i="1"/>
  <c r="W1227" i="1" s="1"/>
  <c r="M1227" i="1"/>
  <c r="DD483" i="1"/>
  <c r="DA483" i="1"/>
  <c r="CX483" i="1"/>
  <c r="CW483" i="1" s="1"/>
  <c r="BJ483" i="1"/>
  <c r="BG483" i="1"/>
  <c r="BD483" i="1"/>
  <c r="AT483" i="1"/>
  <c r="AP483" i="1"/>
  <c r="AR483" i="1" s="1"/>
  <c r="AG483" i="1"/>
  <c r="W483" i="1" s="1"/>
  <c r="M483" i="1"/>
  <c r="DD1225" i="1"/>
  <c r="DA1225" i="1"/>
  <c r="CX1225" i="1"/>
  <c r="BJ1225" i="1"/>
  <c r="BI1225" i="1" s="1"/>
  <c r="BG1225" i="1"/>
  <c r="BD1225" i="1"/>
  <c r="AT1225" i="1"/>
  <c r="AP1225" i="1"/>
  <c r="AR1225" i="1" s="1"/>
  <c r="AG1225" i="1"/>
  <c r="W1225" i="1" s="1"/>
  <c r="M1225" i="1"/>
  <c r="AP480" i="1"/>
  <c r="AR480" i="1" s="1"/>
  <c r="AG480" i="1"/>
  <c r="W480" i="1" s="1"/>
  <c r="M480" i="1"/>
  <c r="DD1223" i="1"/>
  <c r="DA1223" i="1"/>
  <c r="CZ1223" i="1" s="1"/>
  <c r="CX1223" i="1"/>
  <c r="BJ1223" i="1"/>
  <c r="BG1223" i="1"/>
  <c r="BD1223" i="1"/>
  <c r="AT1223" i="1"/>
  <c r="AP1223" i="1"/>
  <c r="AR1223" i="1" s="1"/>
  <c r="AG1223" i="1"/>
  <c r="W1223" i="1" s="1"/>
  <c r="M1223" i="1"/>
  <c r="AP1178" i="1"/>
  <c r="AR1178" i="1" s="1"/>
  <c r="AG1178" i="1"/>
  <c r="W1178" i="1" s="1"/>
  <c r="M1178" i="1"/>
  <c r="AP1175" i="1"/>
  <c r="AR1175" i="1" s="1"/>
  <c r="AG1175" i="1"/>
  <c r="W1175" i="1" s="1"/>
  <c r="M1175" i="1"/>
  <c r="DD1167" i="1"/>
  <c r="DC1167" i="1" s="1"/>
  <c r="DA1167" i="1"/>
  <c r="CX1167" i="1"/>
  <c r="BJ1167" i="1"/>
  <c r="BI1167" i="1" s="1"/>
  <c r="BG1167" i="1"/>
  <c r="BD1167" i="1"/>
  <c r="AT1167" i="1"/>
  <c r="AP1167" i="1"/>
  <c r="AR1167" i="1" s="1"/>
  <c r="AG1167" i="1"/>
  <c r="W1167" i="1" s="1"/>
  <c r="M1167" i="1"/>
  <c r="DD389" i="1"/>
  <c r="DA389" i="1"/>
  <c r="CX389" i="1"/>
  <c r="BJ389" i="1"/>
  <c r="BG389" i="1"/>
  <c r="BF389" i="1" s="1"/>
  <c r="BD389" i="1"/>
  <c r="AT389" i="1"/>
  <c r="AP389" i="1"/>
  <c r="AR389" i="1" s="1"/>
  <c r="AG389" i="1"/>
  <c r="W389" i="1" s="1"/>
  <c r="M389" i="1"/>
  <c r="AP1116" i="1"/>
  <c r="AR1116" i="1" s="1"/>
  <c r="AG1116" i="1"/>
  <c r="W1116" i="1" s="1"/>
  <c r="M1116" i="1"/>
  <c r="AP384" i="1"/>
  <c r="AR384" i="1" s="1"/>
  <c r="AG384" i="1"/>
  <c r="W384" i="1" s="1"/>
  <c r="M384" i="1"/>
  <c r="AP381" i="1"/>
  <c r="AR381" i="1" s="1"/>
  <c r="AG381" i="1"/>
  <c r="W381" i="1" s="1"/>
  <c r="M381" i="1"/>
  <c r="AP1109" i="1"/>
  <c r="AR1109" i="1" s="1"/>
  <c r="AG1109" i="1"/>
  <c r="W1109" i="1" s="1"/>
  <c r="M1109" i="1"/>
  <c r="AP1106" i="1"/>
  <c r="AR1106" i="1" s="1"/>
  <c r="AG1106" i="1"/>
  <c r="W1106" i="1" s="1"/>
  <c r="M1106" i="1"/>
  <c r="AP1034" i="1"/>
  <c r="AR1034" i="1" s="1"/>
  <c r="AG1034" i="1"/>
  <c r="W1034" i="1" s="1"/>
  <c r="M1034" i="1"/>
  <c r="AP1028" i="1"/>
  <c r="AR1028" i="1" s="1"/>
  <c r="AG1028" i="1"/>
  <c r="W1028" i="1" s="1"/>
  <c r="M1028" i="1"/>
  <c r="DD300" i="1"/>
  <c r="DC300" i="1" s="1"/>
  <c r="DA300" i="1"/>
  <c r="CX300" i="1"/>
  <c r="BJ300" i="1"/>
  <c r="BG300" i="1"/>
  <c r="BF300" i="1" s="1"/>
  <c r="BD300" i="1"/>
  <c r="AT300" i="1"/>
  <c r="AP300" i="1"/>
  <c r="AR300" i="1" s="1"/>
  <c r="AG300" i="1"/>
  <c r="W300" i="1" s="1"/>
  <c r="M300" i="1"/>
  <c r="AP239" i="1"/>
  <c r="AR239" i="1" s="1"/>
  <c r="AG239" i="1"/>
  <c r="W239" i="1" s="1"/>
  <c r="M239" i="1"/>
  <c r="AP940" i="1"/>
  <c r="AR940" i="1" s="1"/>
  <c r="AG940" i="1"/>
  <c r="W940" i="1" s="1"/>
  <c r="M940" i="1"/>
  <c r="AP225" i="1"/>
  <c r="AR225" i="1" s="1"/>
  <c r="AG225" i="1"/>
  <c r="W225" i="1" s="1"/>
  <c r="M225" i="1"/>
  <c r="DD216" i="1"/>
  <c r="DC216" i="1" s="1"/>
  <c r="DA216" i="1"/>
  <c r="CX216" i="1"/>
  <c r="BJ216" i="1"/>
  <c r="BG216" i="1"/>
  <c r="BF216" i="1" s="1"/>
  <c r="BD216" i="1"/>
  <c r="AP216" i="1"/>
  <c r="AR216" i="1" s="1"/>
  <c r="AG216" i="1"/>
  <c r="W216" i="1" s="1"/>
  <c r="M216" i="1"/>
  <c r="AS201" i="1"/>
  <c r="AT201" i="1"/>
  <c r="AP201" i="1"/>
  <c r="AR201" i="1" s="1"/>
  <c r="AG201" i="1"/>
  <c r="W201" i="1" s="1"/>
  <c r="M201" i="1"/>
  <c r="DD185" i="1"/>
  <c r="DA185" i="1"/>
  <c r="CX185" i="1"/>
  <c r="CW185" i="1" s="1"/>
  <c r="BJ185" i="1"/>
  <c r="BG185" i="1"/>
  <c r="BD185" i="1"/>
  <c r="AP185" i="1"/>
  <c r="AR185" i="1" s="1"/>
  <c r="AG185" i="1"/>
  <c r="W185" i="1" s="1"/>
  <c r="M185" i="1"/>
  <c r="AP1162" i="1"/>
  <c r="AR1162" i="1" s="1"/>
  <c r="AG1162" i="1"/>
  <c r="W1162" i="1" s="1"/>
  <c r="M1162" i="1"/>
  <c r="AP428" i="1"/>
  <c r="AR428" i="1" s="1"/>
  <c r="AG428" i="1"/>
  <c r="W428" i="1" s="1"/>
  <c r="M428" i="1"/>
  <c r="AP1461" i="1"/>
  <c r="AR1461" i="1" s="1"/>
  <c r="AG1461" i="1"/>
  <c r="W1461" i="1" s="1"/>
  <c r="M1461" i="1"/>
  <c r="AP500" i="1"/>
  <c r="AR500" i="1" s="1"/>
  <c r="AG500" i="1"/>
  <c r="W500" i="1" s="1"/>
  <c r="M500" i="1"/>
  <c r="AP1242" i="1"/>
  <c r="AR1242" i="1" s="1"/>
  <c r="AG1242" i="1"/>
  <c r="W1242" i="1" s="1"/>
  <c r="M1242" i="1"/>
  <c r="AP1155" i="1"/>
  <c r="AR1155" i="1" s="1"/>
  <c r="AG1155" i="1"/>
  <c r="W1155" i="1" s="1"/>
  <c r="M1155" i="1"/>
  <c r="M1460" i="1"/>
  <c r="DD1019" i="1"/>
  <c r="DC1019" i="1" s="1"/>
  <c r="DA1019" i="1"/>
  <c r="CX1019" i="1"/>
  <c r="BJ1019" i="1"/>
  <c r="BI1019" i="1" s="1"/>
  <c r="BG1019" i="1"/>
  <c r="BD1019" i="1"/>
  <c r="AT1019" i="1"/>
  <c r="AP1019" i="1"/>
  <c r="AR1019" i="1" s="1"/>
  <c r="AG1019" i="1"/>
  <c r="W1019" i="1" s="1"/>
  <c r="M1019" i="1"/>
  <c r="AP744" i="1"/>
  <c r="AR744" i="1" s="1"/>
  <c r="W744" i="1"/>
  <c r="M744" i="1"/>
  <c r="DD499" i="1"/>
  <c r="DC499" i="1" s="1"/>
  <c r="DA499" i="1"/>
  <c r="CX499" i="1"/>
  <c r="CW499" i="1" s="1"/>
  <c r="BJ499" i="1"/>
  <c r="BG499" i="1"/>
  <c r="BF499" i="1" s="1"/>
  <c r="BD499" i="1"/>
  <c r="BC499" i="1" s="1"/>
  <c r="AT499" i="1"/>
  <c r="AP499" i="1"/>
  <c r="AR499" i="1" s="1"/>
  <c r="AG499" i="1"/>
  <c r="W499" i="1" s="1"/>
  <c r="M499" i="1"/>
  <c r="AP1241" i="1"/>
  <c r="AR1241" i="1" s="1"/>
  <c r="AG1241" i="1"/>
  <c r="W1241" i="1" s="1"/>
  <c r="M1241" i="1"/>
  <c r="AP498" i="1"/>
  <c r="AR498" i="1" s="1"/>
  <c r="AG498" i="1"/>
  <c r="W498" i="1" s="1"/>
  <c r="M498" i="1"/>
  <c r="AP497" i="1"/>
  <c r="AR497" i="1" s="1"/>
  <c r="AG497" i="1"/>
  <c r="W497" i="1" s="1"/>
  <c r="M497" i="1"/>
  <c r="AS1240" i="1"/>
  <c r="AP1240" i="1"/>
  <c r="AR1240" i="1" s="1"/>
  <c r="AG1240" i="1"/>
  <c r="W1240" i="1" s="1"/>
  <c r="AP496" i="1"/>
  <c r="AR496" i="1" s="1"/>
  <c r="AG496" i="1"/>
  <c r="W496" i="1" s="1"/>
  <c r="M496" i="1"/>
  <c r="AP495" i="1"/>
  <c r="AR495" i="1" s="1"/>
  <c r="AG495" i="1"/>
  <c r="W495" i="1" s="1"/>
  <c r="M495" i="1"/>
  <c r="DD1239" i="1"/>
  <c r="DC1239" i="1" s="1"/>
  <c r="DA1239" i="1"/>
  <c r="CX1239" i="1"/>
  <c r="BJ1239" i="1"/>
  <c r="BG1239" i="1"/>
  <c r="BD1239" i="1"/>
  <c r="AT1239" i="1"/>
  <c r="AP1239" i="1"/>
  <c r="AR1239" i="1" s="1"/>
  <c r="AG1239" i="1"/>
  <c r="W1239" i="1" s="1"/>
  <c r="M1239" i="1"/>
  <c r="AP494" i="1"/>
  <c r="AR494" i="1" s="1"/>
  <c r="AG494" i="1"/>
  <c r="W494" i="1" s="1"/>
  <c r="M494" i="1"/>
  <c r="AP1238" i="1"/>
  <c r="AR1238" i="1" s="1"/>
  <c r="AG1238" i="1"/>
  <c r="W1238" i="1" s="1"/>
  <c r="M1238" i="1"/>
  <c r="AP464" i="1"/>
  <c r="AR464" i="1" s="1"/>
  <c r="AG464" i="1"/>
  <c r="W464" i="1" s="1"/>
  <c r="M464" i="1"/>
  <c r="DD1215" i="1"/>
  <c r="DA1215" i="1"/>
  <c r="CX1215" i="1"/>
  <c r="BJ1215" i="1"/>
  <c r="BI1215" i="1" s="1"/>
  <c r="BG1215" i="1"/>
  <c r="BF1215" i="1" s="1"/>
  <c r="BD1215" i="1"/>
  <c r="BC1215" i="1" s="1"/>
  <c r="AT1215" i="1"/>
  <c r="AP1215" i="1"/>
  <c r="AR1215" i="1" s="1"/>
  <c r="AG1215" i="1"/>
  <c r="W1215" i="1" s="1"/>
  <c r="M1215" i="1"/>
  <c r="DD1160" i="1"/>
  <c r="DA1160" i="1"/>
  <c r="CX1160" i="1"/>
  <c r="BJ1160" i="1"/>
  <c r="BG1160" i="1"/>
  <c r="BF1160" i="1" s="1"/>
  <c r="BD1160" i="1"/>
  <c r="AT1160" i="1"/>
  <c r="AP1160" i="1"/>
  <c r="AR1160" i="1" s="1"/>
  <c r="AG1160" i="1"/>
  <c r="W1160" i="1" s="1"/>
  <c r="M1160" i="1"/>
  <c r="DD1152" i="1"/>
  <c r="DA1152" i="1"/>
  <c r="CX1152" i="1"/>
  <c r="BJ1152" i="1"/>
  <c r="BG1152" i="1"/>
  <c r="BD1152" i="1"/>
  <c r="BC1152" i="1" s="1"/>
  <c r="AT1152" i="1"/>
  <c r="AP1152" i="1"/>
  <c r="AR1152" i="1" s="1"/>
  <c r="AG1152" i="1"/>
  <c r="W1152" i="1" s="1"/>
  <c r="M1152" i="1"/>
  <c r="DD1149" i="1"/>
  <c r="DA1149" i="1"/>
  <c r="CX1149" i="1"/>
  <c r="BJ1149" i="1"/>
  <c r="BG1149" i="1"/>
  <c r="BD1149" i="1"/>
  <c r="AT1149" i="1"/>
  <c r="AP1149" i="1"/>
  <c r="AR1149" i="1" s="1"/>
  <c r="AG1149" i="1"/>
  <c r="W1149" i="1" s="1"/>
  <c r="M1149" i="1"/>
  <c r="DD420" i="1"/>
  <c r="DA420" i="1"/>
  <c r="CX420" i="1"/>
  <c r="BJ420" i="1"/>
  <c r="BI420" i="1" s="1"/>
  <c r="BG420" i="1"/>
  <c r="BD420" i="1"/>
  <c r="AT420" i="1"/>
  <c r="AP420" i="1"/>
  <c r="AR420" i="1" s="1"/>
  <c r="AG420" i="1"/>
  <c r="W420" i="1" s="1"/>
  <c r="M420" i="1"/>
  <c r="AS418" i="1"/>
  <c r="AP418" i="1"/>
  <c r="AR418" i="1" s="1"/>
  <c r="AG418" i="1"/>
  <c r="W418" i="1" s="1"/>
  <c r="DD370" i="1"/>
  <c r="DC370" i="1" s="1"/>
  <c r="DA370" i="1"/>
  <c r="CZ370" i="1" s="1"/>
  <c r="CX370" i="1"/>
  <c r="BJ370" i="1"/>
  <c r="BG370" i="1"/>
  <c r="BF370" i="1" s="1"/>
  <c r="BD370" i="1"/>
  <c r="AT370" i="1"/>
  <c r="AP370" i="1"/>
  <c r="AR370" i="1" s="1"/>
  <c r="AG370" i="1"/>
  <c r="W370" i="1" s="1"/>
  <c r="M370" i="1"/>
  <c r="DD366" i="1"/>
  <c r="DA366" i="1"/>
  <c r="CZ366" i="1" s="1"/>
  <c r="CX366" i="1"/>
  <c r="CW366" i="1" s="1"/>
  <c r="BJ366" i="1"/>
  <c r="BG366" i="1"/>
  <c r="BD366" i="1"/>
  <c r="BC366" i="1" s="1"/>
  <c r="AT366" i="1"/>
  <c r="AP366" i="1"/>
  <c r="AR366" i="1" s="1"/>
  <c r="AG366" i="1"/>
  <c r="W366" i="1" s="1"/>
  <c r="M366" i="1"/>
  <c r="AP1093" i="1"/>
  <c r="AR1093" i="1" s="1"/>
  <c r="AG1093" i="1"/>
  <c r="W1093" i="1" s="1"/>
  <c r="M1093" i="1"/>
  <c r="AP1086" i="1"/>
  <c r="AR1086" i="1" s="1"/>
  <c r="AG1086" i="1"/>
  <c r="W1086" i="1" s="1"/>
  <c r="M1086" i="1"/>
  <c r="DD291" i="1"/>
  <c r="DA291" i="1"/>
  <c r="CZ291" i="1" s="1"/>
  <c r="CX291" i="1"/>
  <c r="BJ291" i="1"/>
  <c r="BG291" i="1"/>
  <c r="BD291" i="1"/>
  <c r="AT291" i="1"/>
  <c r="AP291" i="1"/>
  <c r="AR291" i="1" s="1"/>
  <c r="AG291" i="1"/>
  <c r="W291" i="1" s="1"/>
  <c r="M291" i="1"/>
  <c r="DD286" i="1"/>
  <c r="DA286" i="1"/>
  <c r="CX286" i="1"/>
  <c r="BJ286" i="1"/>
  <c r="BG286" i="1"/>
  <c r="BF286" i="1" s="1"/>
  <c r="BD286" i="1"/>
  <c r="AT286" i="1"/>
  <c r="AP286" i="1"/>
  <c r="AR286" i="1" s="1"/>
  <c r="AG286" i="1"/>
  <c r="W286" i="1" s="1"/>
  <c r="M286" i="1"/>
  <c r="DD1013" i="1"/>
  <c r="DA1013" i="1"/>
  <c r="CX1013" i="1"/>
  <c r="BJ1013" i="1"/>
  <c r="BI1013" i="1" s="1"/>
  <c r="BG1013" i="1"/>
  <c r="BD1013" i="1"/>
  <c r="AT1013" i="1"/>
  <c r="AP1013" i="1"/>
  <c r="AR1013" i="1" s="1"/>
  <c r="AG1013" i="1"/>
  <c r="W1013" i="1" s="1"/>
  <c r="N1013" i="1"/>
  <c r="M1013" i="1"/>
  <c r="DD281" i="1"/>
  <c r="DA281" i="1"/>
  <c r="CZ281" i="1" s="1"/>
  <c r="CX281" i="1"/>
  <c r="CW281" i="1" s="1"/>
  <c r="BJ281" i="1"/>
  <c r="BG281" i="1"/>
  <c r="BD281" i="1"/>
  <c r="AT281" i="1"/>
  <c r="AP281" i="1"/>
  <c r="AR281" i="1" s="1"/>
  <c r="AG281" i="1"/>
  <c r="W281" i="1" s="1"/>
  <c r="M281" i="1"/>
  <c r="AP887" i="1"/>
  <c r="AR887" i="1" s="1"/>
  <c r="AG887" i="1"/>
  <c r="W887" i="1" s="1"/>
  <c r="M887" i="1"/>
  <c r="DD175" i="1"/>
  <c r="DC175" i="1" s="1"/>
  <c r="DA175" i="1"/>
  <c r="CX175" i="1"/>
  <c r="BJ175" i="1"/>
  <c r="BG175" i="1"/>
  <c r="BD175" i="1"/>
  <c r="AT175" i="1"/>
  <c r="AP175" i="1"/>
  <c r="AR175" i="1" s="1"/>
  <c r="AG175" i="1"/>
  <c r="W175" i="1" s="1"/>
  <c r="M175" i="1"/>
  <c r="AP879" i="1"/>
  <c r="AR879" i="1" s="1"/>
  <c r="AG879" i="1"/>
  <c r="W879" i="1" s="1"/>
  <c r="M879" i="1"/>
  <c r="DD169" i="1"/>
  <c r="DA169" i="1"/>
  <c r="CZ169" i="1" s="1"/>
  <c r="CX169" i="1"/>
  <c r="CW169" i="1" s="1"/>
  <c r="BJ169" i="1"/>
  <c r="BI169" i="1" s="1"/>
  <c r="BG169" i="1"/>
  <c r="BD169" i="1"/>
  <c r="AT169" i="1"/>
  <c r="AP169" i="1"/>
  <c r="AR169" i="1" s="1"/>
  <c r="AG169" i="1"/>
  <c r="W169" i="1" s="1"/>
  <c r="M169" i="1"/>
  <c r="DD871" i="1"/>
  <c r="DA871" i="1"/>
  <c r="CX871" i="1"/>
  <c r="CW871" i="1" s="1"/>
  <c r="BJ871" i="1"/>
  <c r="BI871" i="1" s="1"/>
  <c r="BG871" i="1"/>
  <c r="BD871" i="1"/>
  <c r="AT871" i="1"/>
  <c r="AP871" i="1"/>
  <c r="AR871" i="1" s="1"/>
  <c r="AG871" i="1"/>
  <c r="W871" i="1" s="1"/>
  <c r="M871" i="1"/>
  <c r="AP857" i="1"/>
  <c r="AR857" i="1" s="1"/>
  <c r="AG857" i="1"/>
  <c r="W857" i="1" s="1"/>
  <c r="M857" i="1"/>
  <c r="AP149" i="1"/>
  <c r="AR149" i="1" s="1"/>
  <c r="AG149" i="1"/>
  <c r="W149" i="1" s="1"/>
  <c r="M149" i="1"/>
  <c r="AP493" i="1"/>
  <c r="AR493" i="1" s="1"/>
  <c r="AG493" i="1"/>
  <c r="W493" i="1" s="1"/>
  <c r="M493" i="1"/>
  <c r="AP1237" i="1"/>
  <c r="AR1237" i="1" s="1"/>
  <c r="AG1237" i="1"/>
  <c r="W1237" i="1" s="1"/>
  <c r="M1237" i="1"/>
  <c r="AP492" i="1"/>
  <c r="AR492" i="1" s="1"/>
  <c r="AG492" i="1"/>
  <c r="W492" i="1" s="1"/>
  <c r="M492" i="1"/>
  <c r="AP1202" i="1"/>
  <c r="AR1202" i="1" s="1"/>
  <c r="AG1202" i="1"/>
  <c r="W1202" i="1" s="1"/>
  <c r="M1202" i="1"/>
  <c r="AP1194" i="1"/>
  <c r="AR1194" i="1" s="1"/>
  <c r="AG1194" i="1"/>
  <c r="W1194" i="1" s="1"/>
  <c r="M1194" i="1"/>
  <c r="AP1236" i="1"/>
  <c r="AR1236" i="1" s="1"/>
  <c r="AG1236" i="1"/>
  <c r="W1236" i="1" s="1"/>
  <c r="M1236" i="1"/>
  <c r="AP491" i="1"/>
  <c r="AR491" i="1" s="1"/>
  <c r="AG491" i="1"/>
  <c r="W491" i="1" s="1"/>
  <c r="M491" i="1"/>
  <c r="AP1235" i="1"/>
  <c r="AR1235" i="1" s="1"/>
  <c r="AG1235" i="1"/>
  <c r="W1235" i="1" s="1"/>
  <c r="M1235" i="1"/>
  <c r="AP490" i="1"/>
  <c r="AR490" i="1" s="1"/>
  <c r="AG490" i="1"/>
  <c r="W490" i="1" s="1"/>
  <c r="M490" i="1"/>
  <c r="AP1204" i="1"/>
  <c r="AR1204" i="1" s="1"/>
  <c r="AG1204" i="1"/>
  <c r="W1204" i="1" s="1"/>
  <c r="M1204" i="1"/>
  <c r="AS450" i="1"/>
  <c r="AP450" i="1"/>
  <c r="AR450" i="1" s="1"/>
  <c r="AG450" i="1"/>
  <c r="W450" i="1" s="1"/>
  <c r="AP1185" i="1"/>
  <c r="AR1185" i="1" s="1"/>
  <c r="AG1185" i="1"/>
  <c r="W1185" i="1" s="1"/>
  <c r="M1185" i="1"/>
  <c r="AP1234" i="1"/>
  <c r="AR1234" i="1" s="1"/>
  <c r="AG1234" i="1"/>
  <c r="W1234" i="1" s="1"/>
  <c r="M1234" i="1"/>
  <c r="AP1233" i="1"/>
  <c r="AR1233" i="1" s="1"/>
  <c r="AG1233" i="1"/>
  <c r="W1233" i="1" s="1"/>
  <c r="M1233" i="1"/>
  <c r="AP489" i="1"/>
  <c r="AR489" i="1" s="1"/>
  <c r="AG489" i="1"/>
  <c r="W489" i="1" s="1"/>
  <c r="M489" i="1"/>
  <c r="AP1229" i="1"/>
  <c r="AR1229" i="1" s="1"/>
  <c r="AG1229" i="1"/>
  <c r="W1229" i="1" s="1"/>
  <c r="M1229" i="1"/>
  <c r="AP452" i="1"/>
  <c r="AR452" i="1" s="1"/>
  <c r="AG452" i="1"/>
  <c r="W452" i="1" s="1"/>
  <c r="M452" i="1"/>
  <c r="AP446" i="1"/>
  <c r="AR446" i="1" s="1"/>
  <c r="AG446" i="1"/>
  <c r="W446" i="1" s="1"/>
  <c r="M446" i="1"/>
  <c r="AP443" i="1"/>
  <c r="AR443" i="1" s="1"/>
  <c r="AG443" i="1"/>
  <c r="W443" i="1" s="1"/>
  <c r="M443" i="1"/>
  <c r="AP441" i="1"/>
  <c r="AR441" i="1" s="1"/>
  <c r="AG441" i="1"/>
  <c r="W441" i="1" s="1"/>
  <c r="M441" i="1"/>
  <c r="AP1183" i="1"/>
  <c r="AR1183" i="1" s="1"/>
  <c r="AG1183" i="1"/>
  <c r="W1183" i="1" s="1"/>
  <c r="M1183" i="1"/>
  <c r="AP439" i="1"/>
  <c r="AR439" i="1" s="1"/>
  <c r="AG439" i="1"/>
  <c r="W439" i="1" s="1"/>
  <c r="M439" i="1"/>
  <c r="AP1181" i="1"/>
  <c r="AR1181" i="1" s="1"/>
  <c r="AG1181" i="1"/>
  <c r="W1181" i="1" s="1"/>
  <c r="M1181" i="1"/>
  <c r="AP437" i="1"/>
  <c r="AR437" i="1" s="1"/>
  <c r="AG437" i="1"/>
  <c r="W437" i="1" s="1"/>
  <c r="M437" i="1"/>
  <c r="AP1131" i="1"/>
  <c r="AR1131" i="1" s="1"/>
  <c r="AG1131" i="1"/>
  <c r="W1131" i="1" s="1"/>
  <c r="M1131" i="1"/>
  <c r="AP1128" i="1"/>
  <c r="AR1128" i="1" s="1"/>
  <c r="AG1128" i="1"/>
  <c r="W1128" i="1" s="1"/>
  <c r="M1128" i="1"/>
  <c r="AP398" i="1"/>
  <c r="AR398" i="1" s="1"/>
  <c r="AG398" i="1"/>
  <c r="W398" i="1" s="1"/>
  <c r="M398" i="1"/>
  <c r="AP1124" i="1"/>
  <c r="AR1124" i="1" s="1"/>
  <c r="AG1124" i="1"/>
  <c r="W1124" i="1" s="1"/>
  <c r="M1124" i="1"/>
  <c r="AP1064" i="1"/>
  <c r="AR1064" i="1" s="1"/>
  <c r="AG1064" i="1"/>
  <c r="W1064" i="1" s="1"/>
  <c r="M1064" i="1"/>
  <c r="AP336" i="1"/>
  <c r="AR336" i="1" s="1"/>
  <c r="AG336" i="1"/>
  <c r="W336" i="1" s="1"/>
  <c r="M336" i="1"/>
  <c r="AP1057" i="1"/>
  <c r="AR1057" i="1" s="1"/>
  <c r="AG1057" i="1"/>
  <c r="W1057" i="1" s="1"/>
  <c r="M1057" i="1"/>
  <c r="AP331" i="1"/>
  <c r="AR331" i="1" s="1"/>
  <c r="AG331" i="1"/>
  <c r="W331" i="1" s="1"/>
  <c r="M331" i="1"/>
  <c r="AP1054" i="1"/>
  <c r="AR1054" i="1" s="1"/>
  <c r="AG1054" i="1"/>
  <c r="W1054" i="1" s="1"/>
  <c r="M1054" i="1"/>
  <c r="AP328" i="1"/>
  <c r="AR328" i="1" s="1"/>
  <c r="AG328" i="1"/>
  <c r="W328" i="1" s="1"/>
  <c r="M328" i="1"/>
  <c r="AP1050" i="1"/>
  <c r="AR1050" i="1" s="1"/>
  <c r="AG1050" i="1"/>
  <c r="W1050" i="1" s="1"/>
  <c r="M1050" i="1"/>
  <c r="AP1047" i="1"/>
  <c r="AR1047" i="1" s="1"/>
  <c r="AG1047" i="1"/>
  <c r="W1047" i="1" s="1"/>
  <c r="M1047" i="1"/>
  <c r="AP318" i="1"/>
  <c r="AR318" i="1" s="1"/>
  <c r="AG318" i="1"/>
  <c r="W318" i="1" s="1"/>
  <c r="M318" i="1"/>
  <c r="AP1041" i="1"/>
  <c r="AR1041" i="1" s="1"/>
  <c r="AG1041" i="1"/>
  <c r="W1041" i="1" s="1"/>
  <c r="M1041" i="1"/>
  <c r="AP983" i="1"/>
  <c r="AR983" i="1" s="1"/>
  <c r="AG983" i="1"/>
  <c r="W983" i="1" s="1"/>
  <c r="M983" i="1"/>
  <c r="AP975" i="1"/>
  <c r="AR975" i="1" s="1"/>
  <c r="AG975" i="1"/>
  <c r="W975" i="1" s="1"/>
  <c r="M975" i="1"/>
  <c r="AP970" i="1"/>
  <c r="AR970" i="1" s="1"/>
  <c r="AG970" i="1"/>
  <c r="W970" i="1" s="1"/>
  <c r="M970" i="1"/>
  <c r="AP964" i="1"/>
  <c r="AR964" i="1" s="1"/>
  <c r="AG964" i="1"/>
  <c r="W964" i="1" s="1"/>
  <c r="M964" i="1"/>
  <c r="AP958" i="1"/>
  <c r="AR958" i="1" s="1"/>
  <c r="AG958" i="1"/>
  <c r="W958" i="1" s="1"/>
  <c r="M958" i="1"/>
  <c r="AP953" i="1"/>
  <c r="AR953" i="1" s="1"/>
  <c r="AG953" i="1"/>
  <c r="W953" i="1" s="1"/>
  <c r="M953" i="1"/>
  <c r="AP244" i="1"/>
  <c r="AR244" i="1" s="1"/>
  <c r="AG244" i="1"/>
  <c r="W244" i="1" s="1"/>
  <c r="M244" i="1"/>
  <c r="DD487" i="1"/>
  <c r="DA487" i="1"/>
  <c r="CX487" i="1"/>
  <c r="CW487" i="1" s="1"/>
  <c r="BJ487" i="1"/>
  <c r="BG487" i="1"/>
  <c r="BD487" i="1"/>
  <c r="AT487" i="1"/>
  <c r="AP487" i="1"/>
  <c r="AR487" i="1" s="1"/>
  <c r="AG487" i="1"/>
  <c r="W487" i="1" s="1"/>
  <c r="M487" i="1"/>
  <c r="DD1105" i="1"/>
  <c r="DA1105" i="1"/>
  <c r="CX1105" i="1"/>
  <c r="BJ1105" i="1"/>
  <c r="BG1105" i="1"/>
  <c r="BD1105" i="1"/>
  <c r="AT1105" i="1"/>
  <c r="AP1105" i="1"/>
  <c r="AR1105" i="1" s="1"/>
  <c r="AG1105" i="1"/>
  <c r="W1105" i="1" s="1"/>
  <c r="M1105" i="1"/>
  <c r="DA902" i="1"/>
  <c r="CX902" i="1"/>
  <c r="AT902" i="1"/>
  <c r="AP902" i="1"/>
  <c r="AR902" i="1" s="1"/>
  <c r="AG902" i="1"/>
  <c r="W902" i="1" s="1"/>
  <c r="M902" i="1"/>
  <c r="DD1228" i="1"/>
  <c r="DA1228" i="1"/>
  <c r="CX1228" i="1"/>
  <c r="CW1228" i="1" s="1"/>
  <c r="BJ1228" i="1"/>
  <c r="BG1228" i="1"/>
  <c r="BD1228" i="1"/>
  <c r="AT1228" i="1"/>
  <c r="AP1228" i="1"/>
  <c r="AR1228" i="1" s="1"/>
  <c r="AG1228" i="1"/>
  <c r="W1228" i="1" s="1"/>
  <c r="M1228" i="1"/>
  <c r="AP486" i="1"/>
  <c r="AR486" i="1" s="1"/>
  <c r="AG486" i="1"/>
  <c r="W486" i="1" s="1"/>
  <c r="M486" i="1"/>
  <c r="DD1226" i="1"/>
  <c r="DC1226" i="1" s="1"/>
  <c r="DA1226" i="1"/>
  <c r="CX1226" i="1"/>
  <c r="BJ1226" i="1"/>
  <c r="BG1226" i="1"/>
  <c r="BF1226" i="1" s="1"/>
  <c r="BD1226" i="1"/>
  <c r="AT1226" i="1"/>
  <c r="AP1226" i="1"/>
  <c r="AR1226" i="1" s="1"/>
  <c r="AG1226" i="1"/>
  <c r="W1226" i="1" s="1"/>
  <c r="M1226" i="1"/>
  <c r="AP482" i="1"/>
  <c r="AR482" i="1" s="1"/>
  <c r="AG482" i="1"/>
  <c r="W482" i="1" s="1"/>
  <c r="M482" i="1"/>
  <c r="AP481" i="1"/>
  <c r="AR481" i="1" s="1"/>
  <c r="AG481" i="1"/>
  <c r="W481" i="1" s="1"/>
  <c r="M481" i="1"/>
  <c r="AP1177" i="1"/>
  <c r="AR1177" i="1" s="1"/>
  <c r="AG1177" i="1"/>
  <c r="W1177" i="1" s="1"/>
  <c r="M1177" i="1"/>
  <c r="DA1169" i="1"/>
  <c r="CZ1169" i="1" s="1"/>
  <c r="CX1169" i="1"/>
  <c r="BJ1169" i="1"/>
  <c r="BG1169" i="1"/>
  <c r="BD1169" i="1"/>
  <c r="BC1169" i="1" s="1"/>
  <c r="AT1169" i="1"/>
  <c r="AP1169" i="1"/>
  <c r="AR1169" i="1" s="1"/>
  <c r="AG1169" i="1"/>
  <c r="W1169" i="1" s="1"/>
  <c r="N1169" i="1"/>
  <c r="M1169" i="1"/>
  <c r="AP1115" i="1"/>
  <c r="AR1115" i="1" s="1"/>
  <c r="AG1115" i="1"/>
  <c r="W1115" i="1" s="1"/>
  <c r="M1115" i="1"/>
  <c r="DD1113" i="1"/>
  <c r="DC1113" i="1" s="1"/>
  <c r="DA1113" i="1"/>
  <c r="CX1113" i="1"/>
  <c r="BJ1113" i="1"/>
  <c r="BG1113" i="1"/>
  <c r="BD1113" i="1"/>
  <c r="AT1113" i="1"/>
  <c r="AP1113" i="1"/>
  <c r="AR1113" i="1" s="1"/>
  <c r="AG1113" i="1"/>
  <c r="W1113" i="1" s="1"/>
  <c r="M1113" i="1"/>
  <c r="AP383" i="1"/>
  <c r="AR383" i="1" s="1"/>
  <c r="AG383" i="1"/>
  <c r="W383" i="1" s="1"/>
  <c r="M383" i="1"/>
  <c r="AP380" i="1"/>
  <c r="AR380" i="1" s="1"/>
  <c r="AG380" i="1"/>
  <c r="W380" i="1" s="1"/>
  <c r="M380" i="1"/>
  <c r="DD314" i="1"/>
  <c r="DA314" i="1"/>
  <c r="CX314" i="1"/>
  <c r="BJ314" i="1"/>
  <c r="BI314" i="1" s="1"/>
  <c r="BG314" i="1"/>
  <c r="BD314" i="1"/>
  <c r="AT314" i="1"/>
  <c r="AP314" i="1"/>
  <c r="AR314" i="1" s="1"/>
  <c r="AG314" i="1"/>
  <c r="W314" i="1" s="1"/>
  <c r="M314" i="1"/>
  <c r="DD1033" i="1"/>
  <c r="DC1033" i="1" s="1"/>
  <c r="DA1033" i="1"/>
  <c r="CX1033" i="1"/>
  <c r="BJ1033" i="1"/>
  <c r="BG1033" i="1"/>
  <c r="BF1033" i="1" s="1"/>
  <c r="BD1033" i="1"/>
  <c r="AT1033" i="1"/>
  <c r="AP1033" i="1"/>
  <c r="AR1033" i="1" s="1"/>
  <c r="AG1033" i="1"/>
  <c r="W1033" i="1" s="1"/>
  <c r="M1033" i="1"/>
  <c r="AP224" i="1"/>
  <c r="AR224" i="1" s="1"/>
  <c r="AG224" i="1"/>
  <c r="W224" i="1" s="1"/>
  <c r="M224" i="1"/>
  <c r="AP928" i="1"/>
  <c r="AR928" i="1" s="1"/>
  <c r="AG928" i="1"/>
  <c r="W928" i="1" s="1"/>
  <c r="M928" i="1"/>
  <c r="DD1224" i="1"/>
  <c r="DA1224" i="1"/>
  <c r="CZ1224" i="1" s="1"/>
  <c r="CX1224" i="1"/>
  <c r="BJ1224" i="1"/>
  <c r="BG1224" i="1"/>
  <c r="BD1224" i="1"/>
  <c r="AT1224" i="1"/>
  <c r="AP1224" i="1"/>
  <c r="AR1224" i="1" s="1"/>
  <c r="AG1224" i="1"/>
  <c r="W1224" i="1" s="1"/>
  <c r="M1224" i="1"/>
  <c r="AP479" i="1"/>
  <c r="AR479" i="1" s="1"/>
  <c r="AG479" i="1"/>
  <c r="W479" i="1" s="1"/>
  <c r="M479" i="1"/>
  <c r="AP478" i="1"/>
  <c r="AR478" i="1" s="1"/>
  <c r="AG478" i="1"/>
  <c r="W478" i="1" s="1"/>
  <c r="M478" i="1"/>
  <c r="DD1222" i="1"/>
  <c r="DC1222" i="1" s="1"/>
  <c r="DA1222" i="1"/>
  <c r="CX1222" i="1"/>
  <c r="CW1222" i="1" s="1"/>
  <c r="BJ1222" i="1"/>
  <c r="BG1222" i="1"/>
  <c r="BD1222" i="1"/>
  <c r="AT1222" i="1"/>
  <c r="AP1222" i="1"/>
  <c r="AR1222" i="1" s="1"/>
  <c r="AG1222" i="1"/>
  <c r="W1222" i="1" s="1"/>
  <c r="M1222" i="1"/>
  <c r="DD469" i="1"/>
  <c r="DA469" i="1"/>
  <c r="CX469" i="1"/>
  <c r="BJ469" i="1"/>
  <c r="BI469" i="1" s="1"/>
  <c r="BG469" i="1"/>
  <c r="BF469" i="1" s="1"/>
  <c r="BD469" i="1"/>
  <c r="AT469" i="1"/>
  <c r="AP469" i="1"/>
  <c r="AR469" i="1" s="1"/>
  <c r="AG469" i="1"/>
  <c r="W469" i="1" s="1"/>
  <c r="M469" i="1"/>
  <c r="AP1220" i="1"/>
  <c r="AR1220" i="1" s="1"/>
  <c r="AG1220" i="1"/>
  <c r="W1220" i="1" s="1"/>
  <c r="M1220" i="1"/>
  <c r="AP468" i="1"/>
  <c r="AR468" i="1" s="1"/>
  <c r="AG468" i="1"/>
  <c r="W468" i="1" s="1"/>
  <c r="M468" i="1"/>
  <c r="AP1174" i="1"/>
  <c r="AR1174" i="1" s="1"/>
  <c r="AG1174" i="1"/>
  <c r="W1174" i="1" s="1"/>
  <c r="M1174" i="1"/>
  <c r="DD1171" i="1"/>
  <c r="DA1171" i="1"/>
  <c r="CX1171" i="1"/>
  <c r="CW1171" i="1" s="1"/>
  <c r="BJ1171" i="1"/>
  <c r="BG1171" i="1"/>
  <c r="BF1171" i="1" s="1"/>
  <c r="BD1171" i="1"/>
  <c r="AT1171" i="1"/>
  <c r="AP1171" i="1"/>
  <c r="AR1171" i="1" s="1"/>
  <c r="AG1171" i="1"/>
  <c r="W1171" i="1" s="1"/>
  <c r="N1171" i="1"/>
  <c r="M1171" i="1"/>
  <c r="DD1166" i="1"/>
  <c r="DA1166" i="1"/>
  <c r="CX1166" i="1"/>
  <c r="BJ1166" i="1"/>
  <c r="BG1166" i="1"/>
  <c r="BD1166" i="1"/>
  <c r="AT1166" i="1"/>
  <c r="AP1166" i="1"/>
  <c r="AR1166" i="1" s="1"/>
  <c r="AG1166" i="1"/>
  <c r="W1166" i="1" s="1"/>
  <c r="M1166" i="1"/>
  <c r="AP392" i="1"/>
  <c r="AR392" i="1" s="1"/>
  <c r="AG392" i="1"/>
  <c r="W392" i="1" s="1"/>
  <c r="M392" i="1"/>
  <c r="DD388" i="1"/>
  <c r="DC388" i="1" s="1"/>
  <c r="DA388" i="1"/>
  <c r="CX388" i="1"/>
  <c r="BJ388" i="1"/>
  <c r="BG388" i="1"/>
  <c r="BD388" i="1"/>
  <c r="AT388" i="1"/>
  <c r="AP388" i="1"/>
  <c r="AR388" i="1" s="1"/>
  <c r="AG388" i="1"/>
  <c r="W388" i="1" s="1"/>
  <c r="M388" i="1"/>
  <c r="DD310" i="1"/>
  <c r="DA310" i="1"/>
  <c r="CX310" i="1"/>
  <c r="BJ310" i="1"/>
  <c r="BG310" i="1"/>
  <c r="BD310" i="1"/>
  <c r="BC310" i="1" s="1"/>
  <c r="AT310" i="1"/>
  <c r="AP310" i="1"/>
  <c r="AR310" i="1" s="1"/>
  <c r="AG310" i="1"/>
  <c r="W310" i="1" s="1"/>
  <c r="M310" i="1"/>
  <c r="AP1027" i="1"/>
  <c r="AR1027" i="1" s="1"/>
  <c r="AG1027" i="1"/>
  <c r="W1027" i="1" s="1"/>
  <c r="M1027" i="1"/>
  <c r="DD238" i="1"/>
  <c r="DA238" i="1"/>
  <c r="CX238" i="1"/>
  <c r="BJ238" i="1"/>
  <c r="BG238" i="1"/>
  <c r="BD238" i="1"/>
  <c r="AT238" i="1"/>
  <c r="AP238" i="1"/>
  <c r="AR238" i="1" s="1"/>
  <c r="AG238" i="1"/>
  <c r="W238" i="1" s="1"/>
  <c r="M238" i="1"/>
  <c r="AP231" i="1"/>
  <c r="AR231" i="1" s="1"/>
  <c r="AG231" i="1"/>
  <c r="W231" i="1" s="1"/>
  <c r="M231" i="1"/>
  <c r="DD939" i="1"/>
  <c r="DA939" i="1"/>
  <c r="CZ939" i="1" s="1"/>
  <c r="CX939" i="1"/>
  <c r="CW939" i="1" s="1"/>
  <c r="AT939" i="1"/>
  <c r="AP939" i="1"/>
  <c r="AR939" i="1" s="1"/>
  <c r="AG939" i="1"/>
  <c r="W939" i="1" s="1"/>
  <c r="M939" i="1"/>
  <c r="DD215" i="1"/>
  <c r="DA215" i="1"/>
  <c r="CX215" i="1"/>
  <c r="CW215" i="1" s="1"/>
  <c r="BJ215" i="1"/>
  <c r="BG215" i="1"/>
  <c r="BD215" i="1"/>
  <c r="AT215" i="1"/>
  <c r="AP215" i="1"/>
  <c r="AR215" i="1" s="1"/>
  <c r="AG215" i="1"/>
  <c r="W215" i="1" s="1"/>
  <c r="M215" i="1"/>
  <c r="DD918" i="1"/>
  <c r="DA918" i="1"/>
  <c r="CX918" i="1"/>
  <c r="BJ918" i="1"/>
  <c r="BI918" i="1" s="1"/>
  <c r="BG918" i="1"/>
  <c r="BF918" i="1" s="1"/>
  <c r="BD918" i="1"/>
  <c r="AT918" i="1"/>
  <c r="AP918" i="1"/>
  <c r="AR918" i="1" s="1"/>
  <c r="AG918" i="1"/>
  <c r="W918" i="1" s="1"/>
  <c r="M918" i="1"/>
  <c r="DD200" i="1"/>
  <c r="DC200" i="1" s="1"/>
  <c r="DA200" i="1"/>
  <c r="CZ200" i="1" s="1"/>
  <c r="CX200" i="1"/>
  <c r="BJ200" i="1"/>
  <c r="BG200" i="1"/>
  <c r="BF200" i="1" s="1"/>
  <c r="BD200" i="1"/>
  <c r="AT200" i="1"/>
  <c r="AP200" i="1"/>
  <c r="AR200" i="1" s="1"/>
  <c r="AG200" i="1"/>
  <c r="W200" i="1" s="1"/>
  <c r="M200" i="1"/>
  <c r="DD893" i="1"/>
  <c r="DA893" i="1"/>
  <c r="CX893" i="1"/>
  <c r="BJ893" i="1"/>
  <c r="BG893" i="1"/>
  <c r="BD893" i="1"/>
  <c r="BC893" i="1" s="1"/>
  <c r="AT893" i="1"/>
  <c r="AP893" i="1"/>
  <c r="AR893" i="1" s="1"/>
  <c r="AG893" i="1"/>
  <c r="W893" i="1" s="1"/>
  <c r="M893" i="1"/>
  <c r="DD467" i="1"/>
  <c r="DA467" i="1"/>
  <c r="CX467" i="1"/>
  <c r="BJ467" i="1"/>
  <c r="BI467" i="1" s="1"/>
  <c r="BG467" i="1"/>
  <c r="BD467" i="1"/>
  <c r="AT467" i="1"/>
  <c r="AP467" i="1"/>
  <c r="AR467" i="1" s="1"/>
  <c r="AG467" i="1"/>
  <c r="W467" i="1" s="1"/>
  <c r="M467" i="1"/>
  <c r="AP1219" i="1"/>
  <c r="AR1219" i="1" s="1"/>
  <c r="AG1219" i="1"/>
  <c r="W1219" i="1" s="1"/>
  <c r="M1219" i="1"/>
  <c r="DD369" i="1"/>
  <c r="DC369" i="1" s="1"/>
  <c r="DA369" i="1"/>
  <c r="CX369" i="1"/>
  <c r="BJ369" i="1"/>
  <c r="BG369" i="1"/>
  <c r="BF369" i="1" s="1"/>
  <c r="BD369" i="1"/>
  <c r="AT369" i="1"/>
  <c r="AP369" i="1"/>
  <c r="AR369" i="1" s="1"/>
  <c r="AG369" i="1"/>
  <c r="W369" i="1" s="1"/>
  <c r="M369" i="1"/>
  <c r="DD290" i="1"/>
  <c r="DA290" i="1"/>
  <c r="CX290" i="1"/>
  <c r="BJ290" i="1"/>
  <c r="BG290" i="1"/>
  <c r="BD290" i="1"/>
  <c r="AT290" i="1"/>
  <c r="AP290" i="1"/>
  <c r="AR290" i="1" s="1"/>
  <c r="AG290" i="1"/>
  <c r="W290" i="1" s="1"/>
  <c r="M290" i="1"/>
  <c r="DD1012" i="1"/>
  <c r="DA1012" i="1"/>
  <c r="CX1012" i="1"/>
  <c r="BJ1012" i="1"/>
  <c r="BG1012" i="1"/>
  <c r="BD1012" i="1"/>
  <c r="AT1012" i="1"/>
  <c r="AP1012" i="1"/>
  <c r="AR1012" i="1" s="1"/>
  <c r="AG1012" i="1"/>
  <c r="W1012" i="1" s="1"/>
  <c r="N1012" i="1"/>
  <c r="M1012" i="1"/>
  <c r="DD280" i="1"/>
  <c r="DC280" i="1" s="1"/>
  <c r="DA280" i="1"/>
  <c r="CZ280" i="1" s="1"/>
  <c r="CX280" i="1"/>
  <c r="CW280" i="1" s="1"/>
  <c r="BJ280" i="1"/>
  <c r="BG280" i="1"/>
  <c r="BF280" i="1" s="1"/>
  <c r="BD280" i="1"/>
  <c r="AT280" i="1"/>
  <c r="AP280" i="1"/>
  <c r="AR280" i="1" s="1"/>
  <c r="AG280" i="1"/>
  <c r="W280" i="1" s="1"/>
  <c r="M280" i="1"/>
  <c r="AP466" i="1"/>
  <c r="AR466" i="1" s="1"/>
  <c r="AG466" i="1"/>
  <c r="W466" i="1" s="1"/>
  <c r="M466" i="1"/>
  <c r="DD1218" i="1"/>
  <c r="DC1218" i="1" s="1"/>
  <c r="DA1218" i="1"/>
  <c r="CX1218" i="1"/>
  <c r="BJ1218" i="1"/>
  <c r="BG1218" i="1"/>
  <c r="BD1218" i="1"/>
  <c r="AT1218" i="1"/>
  <c r="AP1218" i="1"/>
  <c r="AR1218" i="1" s="1"/>
  <c r="AG1218" i="1"/>
  <c r="W1218" i="1" s="1"/>
  <c r="M1218" i="1"/>
  <c r="DD465" i="1"/>
  <c r="DC465" i="1" s="1"/>
  <c r="DA465" i="1"/>
  <c r="CZ465" i="1" s="1"/>
  <c r="CX465" i="1"/>
  <c r="BJ465" i="1"/>
  <c r="BI465" i="1" s="1"/>
  <c r="BG465" i="1"/>
  <c r="BD465" i="1"/>
  <c r="AT465" i="1"/>
  <c r="AP465" i="1"/>
  <c r="AR465" i="1" s="1"/>
  <c r="AG465" i="1"/>
  <c r="W465" i="1" s="1"/>
  <c r="N465" i="1"/>
  <c r="M465" i="1"/>
  <c r="AP1217" i="1"/>
  <c r="AR1217" i="1" s="1"/>
  <c r="AG1217" i="1"/>
  <c r="W1217" i="1" s="1"/>
  <c r="M1217" i="1"/>
  <c r="AP463" i="1"/>
  <c r="AR463" i="1" s="1"/>
  <c r="AG463" i="1"/>
  <c r="W463" i="1" s="1"/>
  <c r="M463" i="1"/>
  <c r="AP1216" i="1"/>
  <c r="AR1216" i="1" s="1"/>
  <c r="AG1216" i="1"/>
  <c r="W1216" i="1" s="1"/>
  <c r="M1216" i="1"/>
  <c r="DD1164" i="1"/>
  <c r="DC1164" i="1" s="1"/>
  <c r="DA1164" i="1"/>
  <c r="CX1164" i="1"/>
  <c r="BJ1164" i="1"/>
  <c r="BG1164" i="1"/>
  <c r="BF1164" i="1" s="1"/>
  <c r="BD1164" i="1"/>
  <c r="AT1164" i="1"/>
  <c r="AP1164" i="1"/>
  <c r="AR1164" i="1" s="1"/>
  <c r="AG1164" i="1"/>
  <c r="W1164" i="1" s="1"/>
  <c r="M1164" i="1"/>
  <c r="DD1148" i="1"/>
  <c r="DA1148" i="1"/>
  <c r="CZ1148" i="1" s="1"/>
  <c r="CX1148" i="1"/>
  <c r="BJ1148" i="1"/>
  <c r="BG1148" i="1"/>
  <c r="BD1148" i="1"/>
  <c r="AT1148" i="1"/>
  <c r="AP1148" i="1"/>
  <c r="AR1148" i="1" s="1"/>
  <c r="AG1148" i="1"/>
  <c r="W1148" i="1" s="1"/>
  <c r="M1148" i="1"/>
  <c r="DA1096" i="1"/>
  <c r="CX1096" i="1"/>
  <c r="BJ1096" i="1"/>
  <c r="BG1096" i="1"/>
  <c r="BF1096" i="1" s="1"/>
  <c r="BD1096" i="1"/>
  <c r="BC1096" i="1" s="1"/>
  <c r="AT1096" i="1"/>
  <c r="AP1096" i="1"/>
  <c r="AR1096" i="1" s="1"/>
  <c r="AG1096" i="1"/>
  <c r="W1096" i="1" s="1"/>
  <c r="M1096" i="1"/>
  <c r="M1459" i="1"/>
  <c r="DD174" i="1"/>
  <c r="DC174" i="1" s="1"/>
  <c r="DA174" i="1"/>
  <c r="CX174" i="1"/>
  <c r="CW174" i="1" s="1"/>
  <c r="BJ174" i="1"/>
  <c r="BG174" i="1"/>
  <c r="BD174" i="1"/>
  <c r="AT174" i="1"/>
  <c r="AP174" i="1"/>
  <c r="AR174" i="1" s="1"/>
  <c r="AG174" i="1"/>
  <c r="W174" i="1" s="1"/>
  <c r="M174" i="1"/>
  <c r="DD168" i="1"/>
  <c r="DA168" i="1"/>
  <c r="CX168" i="1"/>
  <c r="BJ168" i="1"/>
  <c r="BI168" i="1" s="1"/>
  <c r="BG168" i="1"/>
  <c r="BF168" i="1" s="1"/>
  <c r="BD168" i="1"/>
  <c r="AT168" i="1"/>
  <c r="AP168" i="1"/>
  <c r="AR168" i="1" s="1"/>
  <c r="AG168" i="1"/>
  <c r="W168" i="1" s="1"/>
  <c r="M168" i="1"/>
  <c r="AS43" i="1"/>
  <c r="AT43" i="1"/>
  <c r="AP43" i="1"/>
  <c r="AR43" i="1" s="1"/>
  <c r="AG43" i="1"/>
  <c r="W43" i="1" s="1"/>
  <c r="M43" i="1"/>
  <c r="AP462" i="1"/>
  <c r="AR462" i="1" s="1"/>
  <c r="AG462" i="1"/>
  <c r="W462" i="1" s="1"/>
  <c r="M462" i="1"/>
  <c r="DD1214" i="1"/>
  <c r="DA1214" i="1"/>
  <c r="CX1214" i="1"/>
  <c r="BJ1214" i="1"/>
  <c r="BG1214" i="1"/>
  <c r="BD1214" i="1"/>
  <c r="AP1214" i="1"/>
  <c r="AR1214" i="1" s="1"/>
  <c r="AG1214" i="1"/>
  <c r="W1214" i="1" s="1"/>
  <c r="M1214" i="1"/>
  <c r="AP461" i="1"/>
  <c r="AR461" i="1" s="1"/>
  <c r="AG461" i="1"/>
  <c r="W461" i="1" s="1"/>
  <c r="M461" i="1"/>
  <c r="AP1213" i="1"/>
  <c r="AR1213" i="1" s="1"/>
  <c r="AG1213" i="1"/>
  <c r="W1213" i="1" s="1"/>
  <c r="M1213" i="1"/>
  <c r="DD1159" i="1"/>
  <c r="DA1159" i="1"/>
  <c r="CZ1159" i="1" s="1"/>
  <c r="CX1159" i="1"/>
  <c r="BJ1159" i="1"/>
  <c r="BI1159" i="1" s="1"/>
  <c r="BG1159" i="1"/>
  <c r="BD1159" i="1"/>
  <c r="AT1159" i="1"/>
  <c r="AP1159" i="1"/>
  <c r="AR1159" i="1" s="1"/>
  <c r="AG1159" i="1"/>
  <c r="W1159" i="1" s="1"/>
  <c r="M1159" i="1"/>
  <c r="AP426" i="1"/>
  <c r="AR426" i="1" s="1"/>
  <c r="AG426" i="1"/>
  <c r="W426" i="1" s="1"/>
  <c r="M426" i="1"/>
  <c r="AP1157" i="1"/>
  <c r="AR1157" i="1" s="1"/>
  <c r="AG1157" i="1"/>
  <c r="W1157" i="1" s="1"/>
  <c r="M1157" i="1"/>
  <c r="DD1154" i="1"/>
  <c r="DC1154" i="1" s="1"/>
  <c r="DA1154" i="1"/>
  <c r="CX1154" i="1"/>
  <c r="BJ1154" i="1"/>
  <c r="BG1154" i="1"/>
  <c r="BD1154" i="1"/>
  <c r="AT1154" i="1"/>
  <c r="AP1154" i="1"/>
  <c r="AR1154" i="1" s="1"/>
  <c r="AG1154" i="1"/>
  <c r="W1154" i="1" s="1"/>
  <c r="M1154" i="1"/>
  <c r="DD1151" i="1"/>
  <c r="DA1151" i="1"/>
  <c r="CX1151" i="1"/>
  <c r="BJ1151" i="1"/>
  <c r="BG1151" i="1"/>
  <c r="BD1151" i="1"/>
  <c r="BC1151" i="1" s="1"/>
  <c r="AT1151" i="1"/>
  <c r="AP1151" i="1"/>
  <c r="AR1151" i="1" s="1"/>
  <c r="AG1151" i="1"/>
  <c r="W1151" i="1" s="1"/>
  <c r="M1151" i="1"/>
  <c r="AP422" i="1"/>
  <c r="AR422" i="1" s="1"/>
  <c r="AG422" i="1"/>
  <c r="W422" i="1" s="1"/>
  <c r="M422" i="1"/>
  <c r="DD1146" i="1"/>
  <c r="DA1146" i="1"/>
  <c r="CX1146" i="1"/>
  <c r="BJ1146" i="1"/>
  <c r="BG1146" i="1"/>
  <c r="BF1146" i="1" s="1"/>
  <c r="BD1146" i="1"/>
  <c r="AT1146" i="1"/>
  <c r="AP1146" i="1"/>
  <c r="AR1146" i="1" s="1"/>
  <c r="AG1146" i="1"/>
  <c r="W1146" i="1" s="1"/>
  <c r="M1146" i="1"/>
  <c r="DD1144" i="1"/>
  <c r="DA1144" i="1"/>
  <c r="CZ1144" i="1" s="1"/>
  <c r="CX1144" i="1"/>
  <c r="BJ1144" i="1"/>
  <c r="BG1144" i="1"/>
  <c r="BF1144" i="1" s="1"/>
  <c r="BD1144" i="1"/>
  <c r="BC1144" i="1" s="1"/>
  <c r="AT1144" i="1"/>
  <c r="AP1144" i="1"/>
  <c r="AR1144" i="1" s="1"/>
  <c r="AG1144" i="1"/>
  <c r="W1144" i="1" s="1"/>
  <c r="M1144" i="1"/>
  <c r="DD373" i="1"/>
  <c r="DA373" i="1"/>
  <c r="CZ373" i="1" s="1"/>
  <c r="CX373" i="1"/>
  <c r="CW373" i="1" s="1"/>
  <c r="BJ373" i="1"/>
  <c r="BG373" i="1"/>
  <c r="BD373" i="1"/>
  <c r="BC373" i="1" s="1"/>
  <c r="AT373" i="1"/>
  <c r="AP373" i="1"/>
  <c r="AR373" i="1" s="1"/>
  <c r="AG373" i="1"/>
  <c r="W373" i="1" s="1"/>
  <c r="M373" i="1"/>
  <c r="DD365" i="1"/>
  <c r="DA365" i="1"/>
  <c r="CX365" i="1"/>
  <c r="CW365" i="1" s="1"/>
  <c r="BJ365" i="1"/>
  <c r="BG365" i="1"/>
  <c r="BD365" i="1"/>
  <c r="AT365" i="1"/>
  <c r="AP365" i="1"/>
  <c r="AR365" i="1" s="1"/>
  <c r="AG365" i="1"/>
  <c r="W365" i="1" s="1"/>
  <c r="M365" i="1"/>
  <c r="DD1091" i="1"/>
  <c r="DA1091" i="1"/>
  <c r="CX1091" i="1"/>
  <c r="BJ1091" i="1"/>
  <c r="BI1091" i="1" s="1"/>
  <c r="BG1091" i="1"/>
  <c r="BD1091" i="1"/>
  <c r="AT1091" i="1"/>
  <c r="AP1091" i="1"/>
  <c r="AR1091" i="1" s="1"/>
  <c r="AG1091" i="1"/>
  <c r="W1091" i="1" s="1"/>
  <c r="M1091" i="1"/>
  <c r="AS360" i="1"/>
  <c r="AP360" i="1"/>
  <c r="AR360" i="1" s="1"/>
  <c r="AG360" i="1"/>
  <c r="W360" i="1" s="1"/>
  <c r="DD285" i="1"/>
  <c r="DC285" i="1" s="1"/>
  <c r="DA285" i="1"/>
  <c r="CZ285" i="1" s="1"/>
  <c r="CX285" i="1"/>
  <c r="BJ285" i="1"/>
  <c r="BG285" i="1"/>
  <c r="BF285" i="1" s="1"/>
  <c r="BD285" i="1"/>
  <c r="AT285" i="1"/>
  <c r="AP285" i="1"/>
  <c r="AR285" i="1" s="1"/>
  <c r="AG285" i="1"/>
  <c r="W285" i="1" s="1"/>
  <c r="M285" i="1"/>
  <c r="DD1007" i="1"/>
  <c r="DA1007" i="1"/>
  <c r="CZ1007" i="1" s="1"/>
  <c r="CX1007" i="1"/>
  <c r="BJ1007" i="1"/>
  <c r="BG1007" i="1"/>
  <c r="BD1007" i="1"/>
  <c r="AT1007" i="1"/>
  <c r="AP1007" i="1"/>
  <c r="AR1007" i="1" s="1"/>
  <c r="AG1007" i="1"/>
  <c r="W1007" i="1" s="1"/>
  <c r="M1007" i="1"/>
  <c r="DD886" i="1"/>
  <c r="DA886" i="1"/>
  <c r="CX886" i="1"/>
  <c r="BJ886" i="1"/>
  <c r="BG886" i="1"/>
  <c r="BD886" i="1"/>
  <c r="AT886" i="1"/>
  <c r="AP886" i="1"/>
  <c r="AR886" i="1" s="1"/>
  <c r="AG886" i="1"/>
  <c r="W886" i="1" s="1"/>
  <c r="M886" i="1"/>
  <c r="DD870" i="1"/>
  <c r="DC870" i="1" s="1"/>
  <c r="DA870" i="1"/>
  <c r="CZ870" i="1" s="1"/>
  <c r="CX870" i="1"/>
  <c r="BJ870" i="1"/>
  <c r="BI870" i="1" s="1"/>
  <c r="BG870" i="1"/>
  <c r="BD870" i="1"/>
  <c r="AT870" i="1"/>
  <c r="AP870" i="1"/>
  <c r="AR870" i="1" s="1"/>
  <c r="AG870" i="1"/>
  <c r="W870" i="1" s="1"/>
  <c r="M870" i="1"/>
  <c r="AP856" i="1"/>
  <c r="AR856" i="1" s="1"/>
  <c r="AG856" i="1"/>
  <c r="W856" i="1" s="1"/>
  <c r="M856" i="1"/>
  <c r="AP460" i="1"/>
  <c r="AR460" i="1" s="1"/>
  <c r="AG460" i="1"/>
  <c r="W460" i="1" s="1"/>
  <c r="M460" i="1"/>
  <c r="AP1212" i="1"/>
  <c r="AR1212" i="1" s="1"/>
  <c r="AG1212" i="1"/>
  <c r="W1212" i="1" s="1"/>
  <c r="M1212" i="1"/>
  <c r="AP459" i="1"/>
  <c r="AR459" i="1" s="1"/>
  <c r="AG459" i="1"/>
  <c r="W459" i="1" s="1"/>
  <c r="M459" i="1"/>
  <c r="AS1211" i="1"/>
  <c r="AP1211" i="1"/>
  <c r="AR1211" i="1" s="1"/>
  <c r="AG1211" i="1"/>
  <c r="W1211" i="1" s="1"/>
  <c r="AP1136" i="1"/>
  <c r="AR1136" i="1" s="1"/>
  <c r="AG1136" i="1"/>
  <c r="W1136" i="1" s="1"/>
  <c r="M1136" i="1"/>
  <c r="AP352" i="1"/>
  <c r="AR352" i="1" s="1"/>
  <c r="AG352" i="1"/>
  <c r="W352" i="1" s="1"/>
  <c r="M352" i="1"/>
  <c r="AP270" i="1"/>
  <c r="AR270" i="1" s="1"/>
  <c r="AG270" i="1"/>
  <c r="W270" i="1" s="1"/>
  <c r="M270" i="1"/>
  <c r="AP144" i="1"/>
  <c r="AR144" i="1" s="1"/>
  <c r="AG144" i="1"/>
  <c r="W144" i="1" s="1"/>
  <c r="M144" i="1"/>
  <c r="AP458" i="1"/>
  <c r="AR458" i="1" s="1"/>
  <c r="AG458" i="1"/>
  <c r="W458" i="1" s="1"/>
  <c r="M458" i="1"/>
  <c r="AP1210" i="1"/>
  <c r="AR1210" i="1" s="1"/>
  <c r="AG1210" i="1"/>
  <c r="W1210" i="1" s="1"/>
  <c r="M1210" i="1"/>
  <c r="AP407" i="1"/>
  <c r="AR407" i="1" s="1"/>
  <c r="AG407" i="1"/>
  <c r="W407" i="1" s="1"/>
  <c r="M407" i="1"/>
  <c r="AP1082" i="1"/>
  <c r="AR1082" i="1" s="1"/>
  <c r="AG1082" i="1"/>
  <c r="W1082" i="1" s="1"/>
  <c r="M1082" i="1"/>
  <c r="AP457" i="1"/>
  <c r="AR457" i="1" s="1"/>
  <c r="AG457" i="1"/>
  <c r="W457" i="1" s="1"/>
  <c r="M457" i="1"/>
  <c r="AP1209" i="1"/>
  <c r="AR1209" i="1" s="1"/>
  <c r="AG1209" i="1"/>
  <c r="W1209" i="1" s="1"/>
  <c r="M1209" i="1"/>
  <c r="AP456" i="1"/>
  <c r="AR456" i="1" s="1"/>
  <c r="AG456" i="1"/>
  <c r="W456" i="1" s="1"/>
  <c r="M456" i="1"/>
  <c r="AP1208" i="1"/>
  <c r="AR1208" i="1" s="1"/>
  <c r="AG1208" i="1"/>
  <c r="W1208" i="1" s="1"/>
  <c r="M1208" i="1"/>
  <c r="AP455" i="1"/>
  <c r="AR455" i="1" s="1"/>
  <c r="AG455" i="1"/>
  <c r="W455" i="1" s="1"/>
  <c r="M455" i="1"/>
  <c r="AP1207" i="1"/>
  <c r="AR1207" i="1" s="1"/>
  <c r="AG1207" i="1"/>
  <c r="W1207" i="1" s="1"/>
  <c r="M1207" i="1"/>
  <c r="AP454" i="1"/>
  <c r="AR454" i="1" s="1"/>
  <c r="AG454" i="1"/>
  <c r="W454" i="1" s="1"/>
  <c r="M454" i="1"/>
  <c r="AP1206" i="1"/>
  <c r="AR1206" i="1" s="1"/>
  <c r="AG1206" i="1"/>
  <c r="W1206" i="1" s="1"/>
  <c r="M1206" i="1"/>
  <c r="AP1205" i="1"/>
  <c r="AR1205" i="1" s="1"/>
  <c r="AG1205" i="1"/>
  <c r="W1205" i="1" s="1"/>
  <c r="M1205" i="1"/>
  <c r="AP453" i="1"/>
  <c r="AR453" i="1" s="1"/>
  <c r="AG453" i="1"/>
  <c r="W453" i="1" s="1"/>
  <c r="M453" i="1"/>
  <c r="AP1141" i="1"/>
  <c r="AR1141" i="1" s="1"/>
  <c r="AG1141" i="1"/>
  <c r="W1141" i="1" s="1"/>
  <c r="M1141" i="1"/>
  <c r="AP414" i="1"/>
  <c r="AR414" i="1" s="1"/>
  <c r="AG414" i="1"/>
  <c r="M414" i="1"/>
  <c r="AP1139" i="1"/>
  <c r="AR1139" i="1" s="1"/>
  <c r="AG1139" i="1"/>
  <c r="W1139" i="1" s="1"/>
  <c r="M1139" i="1"/>
  <c r="AP412" i="1"/>
  <c r="AR412" i="1" s="1"/>
  <c r="AG412" i="1"/>
  <c r="W412" i="1" s="1"/>
  <c r="M412" i="1"/>
  <c r="AP410" i="1"/>
  <c r="AR410" i="1" s="1"/>
  <c r="AG410" i="1"/>
  <c r="W410" i="1" s="1"/>
  <c r="M410" i="1"/>
  <c r="AP402" i="1"/>
  <c r="AR402" i="1" s="1"/>
  <c r="AG402" i="1"/>
  <c r="W402" i="1" s="1"/>
  <c r="M402" i="1"/>
  <c r="AP356" i="1"/>
  <c r="AR356" i="1" s="1"/>
  <c r="AG356" i="1"/>
  <c r="W356" i="1" s="1"/>
  <c r="M356" i="1"/>
  <c r="AP1079" i="1"/>
  <c r="AR1079" i="1" s="1"/>
  <c r="AG1079" i="1"/>
  <c r="W1079" i="1" s="1"/>
  <c r="M1079" i="1"/>
  <c r="AS1074" i="1"/>
  <c r="AP1074" i="1"/>
  <c r="AR1074" i="1" s="1"/>
  <c r="AG1074" i="1"/>
  <c r="W1074" i="1" s="1"/>
  <c r="AP1071" i="1"/>
  <c r="AR1071" i="1" s="1"/>
  <c r="AG1071" i="1"/>
  <c r="W1071" i="1" s="1"/>
  <c r="M1071" i="1"/>
  <c r="AP998" i="1"/>
  <c r="AR998" i="1" s="1"/>
  <c r="AG998" i="1"/>
  <c r="W998" i="1" s="1"/>
  <c r="M998" i="1"/>
  <c r="AP1203" i="1"/>
  <c r="AR1203" i="1" s="1"/>
  <c r="AG1203" i="1"/>
  <c r="W1203" i="1" s="1"/>
  <c r="M1203" i="1"/>
  <c r="AP451" i="1"/>
  <c r="AR451" i="1" s="1"/>
  <c r="AG451" i="1"/>
  <c r="W451" i="1" s="1"/>
  <c r="M451" i="1"/>
  <c r="AP1201" i="1"/>
  <c r="AR1201" i="1" s="1"/>
  <c r="AG1201" i="1"/>
  <c r="W1201" i="1" s="1"/>
  <c r="M1201" i="1"/>
  <c r="AP449" i="1"/>
  <c r="AR449" i="1" s="1"/>
  <c r="AG449" i="1"/>
  <c r="W449" i="1" s="1"/>
  <c r="M449" i="1"/>
  <c r="AP1200" i="1"/>
  <c r="AR1200" i="1" s="1"/>
  <c r="AG1200" i="1"/>
  <c r="W1200" i="1" s="1"/>
  <c r="M1200" i="1"/>
  <c r="AP1127" i="1"/>
  <c r="AG1127" i="1"/>
  <c r="W1127" i="1" s="1"/>
  <c r="M1127" i="1"/>
  <c r="AP982" i="1"/>
  <c r="AR982" i="1" s="1"/>
  <c r="AG982" i="1"/>
  <c r="W982" i="1" s="1"/>
  <c r="M982" i="1"/>
  <c r="AP448" i="1"/>
  <c r="AR448" i="1" s="1"/>
  <c r="AG448" i="1"/>
  <c r="W448" i="1" s="1"/>
  <c r="M448" i="1"/>
  <c r="AP1199" i="1"/>
  <c r="AR1199" i="1" s="1"/>
  <c r="AG1199" i="1"/>
  <c r="W1199" i="1" s="1"/>
  <c r="M1199" i="1"/>
  <c r="AP447" i="1"/>
  <c r="AR447" i="1" s="1"/>
  <c r="AG447" i="1"/>
  <c r="W447" i="1" s="1"/>
  <c r="M447" i="1"/>
  <c r="AP1193" i="1"/>
  <c r="AR1193" i="1" s="1"/>
  <c r="AG1193" i="1"/>
  <c r="W1193" i="1" s="1"/>
  <c r="M1193" i="1"/>
  <c r="AP1060" i="1"/>
  <c r="AR1060" i="1" s="1"/>
  <c r="AG1060" i="1"/>
  <c r="W1060" i="1" s="1"/>
  <c r="M1060" i="1"/>
  <c r="AP330" i="1"/>
  <c r="AR330" i="1" s="1"/>
  <c r="AG330" i="1"/>
  <c r="W330" i="1" s="1"/>
  <c r="M330" i="1"/>
  <c r="AP974" i="1"/>
  <c r="AR974" i="1" s="1"/>
  <c r="AG974" i="1"/>
  <c r="W974" i="1" s="1"/>
  <c r="M974" i="1"/>
  <c r="AP952" i="1"/>
  <c r="AR952" i="1" s="1"/>
  <c r="AG952" i="1"/>
  <c r="W952" i="1" s="1"/>
  <c r="M952" i="1"/>
  <c r="AP445" i="1"/>
  <c r="AR445" i="1" s="1"/>
  <c r="AG445" i="1"/>
  <c r="W445" i="1" s="1"/>
  <c r="M445" i="1"/>
  <c r="AP1192" i="1"/>
  <c r="AR1192" i="1" s="1"/>
  <c r="AG1192" i="1"/>
  <c r="W1192" i="1" s="1"/>
  <c r="M1192" i="1"/>
  <c r="AP444" i="1"/>
  <c r="AR444" i="1" s="1"/>
  <c r="AG444" i="1"/>
  <c r="W444" i="1" s="1"/>
  <c r="M444" i="1"/>
  <c r="AP1191" i="1"/>
  <c r="AR1191" i="1" s="1"/>
  <c r="AG1191" i="1"/>
  <c r="W1191" i="1" s="1"/>
  <c r="M1191" i="1"/>
  <c r="AP442" i="1"/>
  <c r="AR442" i="1" s="1"/>
  <c r="AG442" i="1"/>
  <c r="W442" i="1" s="1"/>
  <c r="M442" i="1"/>
  <c r="AP1184" i="1"/>
  <c r="AR1184" i="1" s="1"/>
  <c r="AG1184" i="1"/>
  <c r="W1184" i="1" s="1"/>
  <c r="M1184" i="1"/>
  <c r="AP440" i="1"/>
  <c r="AR440" i="1" s="1"/>
  <c r="AG440" i="1"/>
  <c r="W440" i="1" s="1"/>
  <c r="M440" i="1"/>
  <c r="AP1182" i="1"/>
  <c r="AR1182" i="1" s="1"/>
  <c r="AG1182" i="1"/>
  <c r="W1182" i="1" s="1"/>
  <c r="M1182" i="1"/>
  <c r="AP438" i="1"/>
  <c r="AR438" i="1" s="1"/>
  <c r="AG438" i="1"/>
  <c r="W438" i="1" s="1"/>
  <c r="M438" i="1"/>
  <c r="AP1180" i="1"/>
  <c r="AR1180" i="1" s="1"/>
  <c r="AG1180" i="1"/>
  <c r="W1180" i="1" s="1"/>
  <c r="M1180" i="1"/>
  <c r="AP436" i="1"/>
  <c r="AR436" i="1" s="1"/>
  <c r="AG436" i="1"/>
  <c r="W436" i="1" s="1"/>
  <c r="M436" i="1"/>
  <c r="AP1179" i="1"/>
  <c r="AR1179" i="1" s="1"/>
  <c r="AG1179" i="1"/>
  <c r="W1179" i="1" s="1"/>
  <c r="M1179" i="1"/>
  <c r="AP405" i="1"/>
  <c r="AR405" i="1" s="1"/>
  <c r="AG405" i="1"/>
  <c r="W405" i="1" s="1"/>
  <c r="M405" i="1"/>
  <c r="AP1130" i="1"/>
  <c r="AR1130" i="1" s="1"/>
  <c r="AG1130" i="1"/>
  <c r="W1130" i="1" s="1"/>
  <c r="M1130" i="1"/>
  <c r="AP400" i="1"/>
  <c r="AR400" i="1" s="1"/>
  <c r="AG400" i="1"/>
  <c r="W400" i="1" s="1"/>
  <c r="M400" i="1"/>
  <c r="AP397" i="1"/>
  <c r="AR397" i="1" s="1"/>
  <c r="AG397" i="1"/>
  <c r="W397" i="1" s="1"/>
  <c r="M397" i="1"/>
  <c r="AP1123" i="1"/>
  <c r="AR1123" i="1" s="1"/>
  <c r="AG1123" i="1"/>
  <c r="W1123" i="1" s="1"/>
  <c r="M1123" i="1"/>
  <c r="AP1099" i="1"/>
  <c r="AR1099" i="1" s="1"/>
  <c r="AG1099" i="1"/>
  <c r="W1099" i="1" s="1"/>
  <c r="M1099" i="1"/>
  <c r="AP1063" i="1"/>
  <c r="AR1063" i="1" s="1"/>
  <c r="AG1063" i="1"/>
  <c r="W1063" i="1" s="1"/>
  <c r="M1063" i="1"/>
  <c r="AP335" i="1"/>
  <c r="AR335" i="1" s="1"/>
  <c r="AG335" i="1"/>
  <c r="W335" i="1" s="1"/>
  <c r="M335" i="1"/>
  <c r="AP1056" i="1"/>
  <c r="AR1056" i="1" s="1"/>
  <c r="AG1056" i="1"/>
  <c r="W1056" i="1" s="1"/>
  <c r="M1056" i="1"/>
  <c r="AP1053" i="1"/>
  <c r="AR1053" i="1" s="1"/>
  <c r="AG1053" i="1"/>
  <c r="W1053" i="1" s="1"/>
  <c r="M1053" i="1"/>
  <c r="AP327" i="1"/>
  <c r="AR327" i="1" s="1"/>
  <c r="AG327" i="1"/>
  <c r="W327" i="1" s="1"/>
  <c r="M327" i="1"/>
  <c r="AP324" i="1"/>
  <c r="AR324" i="1" s="1"/>
  <c r="AG324" i="1"/>
  <c r="W324" i="1" s="1"/>
  <c r="M324" i="1"/>
  <c r="AP317" i="1"/>
  <c r="AR317" i="1" s="1"/>
  <c r="AG317" i="1"/>
  <c r="W317" i="1" s="1"/>
  <c r="M317" i="1"/>
  <c r="AP1040" i="1"/>
  <c r="AR1040" i="1" s="1"/>
  <c r="AG1040" i="1"/>
  <c r="W1040" i="1" s="1"/>
  <c r="M1040" i="1"/>
  <c r="AP994" i="1"/>
  <c r="AR994" i="1" s="1"/>
  <c r="AG994" i="1"/>
  <c r="W994" i="1" s="1"/>
  <c r="M994" i="1"/>
  <c r="AP988" i="1"/>
  <c r="AR988" i="1" s="1"/>
  <c r="AG988" i="1"/>
  <c r="W988" i="1" s="1"/>
  <c r="M988" i="1"/>
  <c r="AP969" i="1"/>
  <c r="AR969" i="1" s="1"/>
  <c r="AG969" i="1"/>
  <c r="W969" i="1" s="1"/>
  <c r="M969" i="1"/>
  <c r="AP963" i="1"/>
  <c r="AR963" i="1" s="1"/>
  <c r="AG963" i="1"/>
  <c r="W963" i="1" s="1"/>
  <c r="M963" i="1"/>
  <c r="AP957" i="1"/>
  <c r="AR957" i="1" s="1"/>
  <c r="AG957" i="1"/>
  <c r="W957" i="1" s="1"/>
  <c r="M957" i="1"/>
  <c r="AP243" i="1"/>
  <c r="AR243" i="1" s="1"/>
  <c r="AG243" i="1"/>
  <c r="W243" i="1" s="1"/>
  <c r="M243" i="1"/>
  <c r="AP435" i="1"/>
  <c r="AR435" i="1" s="1"/>
  <c r="AG435" i="1"/>
  <c r="W435" i="1" s="1"/>
  <c r="M435" i="1"/>
  <c r="DD1176" i="1"/>
  <c r="DA1176" i="1"/>
  <c r="CX1176" i="1"/>
  <c r="BJ1176" i="1"/>
  <c r="BG1176" i="1"/>
  <c r="BD1176" i="1"/>
  <c r="AT1176" i="1"/>
  <c r="AP1176" i="1"/>
  <c r="AR1176" i="1" s="1"/>
  <c r="AG1176" i="1"/>
  <c r="W1176" i="1" s="1"/>
  <c r="M1176" i="1"/>
  <c r="AP434" i="1"/>
  <c r="AR434" i="1" s="1"/>
  <c r="AG434" i="1"/>
  <c r="W434" i="1" s="1"/>
  <c r="N434" i="1"/>
  <c r="M434" i="1"/>
  <c r="AP1173" i="1"/>
  <c r="AR1173" i="1" s="1"/>
  <c r="AG1173" i="1"/>
  <c r="W1173" i="1" s="1"/>
  <c r="M1173" i="1"/>
  <c r="AP433" i="1"/>
  <c r="AR433" i="1" s="1"/>
  <c r="AG433" i="1"/>
  <c r="W433" i="1" s="1"/>
  <c r="M433" i="1"/>
  <c r="DD1170" i="1"/>
  <c r="DA1170" i="1"/>
  <c r="CX1170" i="1"/>
  <c r="BJ1170" i="1"/>
  <c r="BG1170" i="1"/>
  <c r="BD1170" i="1"/>
  <c r="AT1170" i="1"/>
  <c r="AP1170" i="1"/>
  <c r="AR1170" i="1" s="1"/>
  <c r="AG1170" i="1"/>
  <c r="W1170" i="1" s="1"/>
  <c r="N1170" i="1"/>
  <c r="M1170" i="1"/>
  <c r="DD387" i="1"/>
  <c r="DA387" i="1"/>
  <c r="CX387" i="1"/>
  <c r="BJ387" i="1"/>
  <c r="BG387" i="1"/>
  <c r="BD387" i="1"/>
  <c r="AT387" i="1"/>
  <c r="AP387" i="1"/>
  <c r="AR387" i="1" s="1"/>
  <c r="AG387" i="1"/>
  <c r="W387" i="1" s="1"/>
  <c r="M387" i="1"/>
  <c r="DD1112" i="1"/>
  <c r="DA1112" i="1"/>
  <c r="CX1112" i="1"/>
  <c r="BJ1112" i="1"/>
  <c r="BK1112" i="1" s="1"/>
  <c r="BG1112" i="1"/>
  <c r="BH1112" i="1" s="1"/>
  <c r="BD1112" i="1"/>
  <c r="AT1112" i="1"/>
  <c r="AP1112" i="1"/>
  <c r="AR1112" i="1" s="1"/>
  <c r="AG1112" i="1"/>
  <c r="W1112" i="1" s="1"/>
  <c r="M1112" i="1"/>
  <c r="DD1108" i="1"/>
  <c r="DA1108" i="1"/>
  <c r="CX1108" i="1"/>
  <c r="BJ1108" i="1"/>
  <c r="BI1108" i="1" s="1"/>
  <c r="BG1108" i="1"/>
  <c r="BD1108" i="1"/>
  <c r="AT1108" i="1"/>
  <c r="AP1108" i="1"/>
  <c r="AR1108" i="1" s="1"/>
  <c r="AG1108" i="1"/>
  <c r="W1108" i="1" s="1"/>
  <c r="M1108" i="1"/>
  <c r="AP296" i="1"/>
  <c r="AR296" i="1" s="1"/>
  <c r="AG296" i="1"/>
  <c r="W296" i="1" s="1"/>
  <c r="M296" i="1"/>
  <c r="AP230" i="1"/>
  <c r="AR230" i="1" s="1"/>
  <c r="AG230" i="1"/>
  <c r="W230" i="1" s="1"/>
  <c r="M230" i="1"/>
  <c r="DD938" i="1"/>
  <c r="DA938" i="1"/>
  <c r="CX938" i="1"/>
  <c r="BJ938" i="1"/>
  <c r="BG938" i="1"/>
  <c r="BD938" i="1"/>
  <c r="AT938" i="1"/>
  <c r="AP938" i="1"/>
  <c r="AR938" i="1" s="1"/>
  <c r="AG938" i="1"/>
  <c r="W938" i="1" s="1"/>
  <c r="M938" i="1"/>
  <c r="AP223" i="1"/>
  <c r="AR223" i="1" s="1"/>
  <c r="AG223" i="1"/>
  <c r="W223" i="1" s="1"/>
  <c r="M223" i="1"/>
  <c r="AP214" i="1"/>
  <c r="AR214" i="1" s="1"/>
  <c r="AG214" i="1"/>
  <c r="W214" i="1" s="1"/>
  <c r="M214" i="1"/>
  <c r="AP927" i="1"/>
  <c r="AR927" i="1" s="1"/>
  <c r="AG927" i="1"/>
  <c r="W927" i="1" s="1"/>
  <c r="M927" i="1"/>
  <c r="AP210" i="1"/>
  <c r="AR210" i="1" s="1"/>
  <c r="AG210" i="1"/>
  <c r="W210" i="1" s="1"/>
  <c r="M210" i="1"/>
  <c r="DD199" i="1"/>
  <c r="DC199" i="1" s="1"/>
  <c r="DA199" i="1"/>
  <c r="CX199" i="1"/>
  <c r="BJ199" i="1"/>
  <c r="BG199" i="1"/>
  <c r="BD199" i="1"/>
  <c r="AT199" i="1"/>
  <c r="AP199" i="1"/>
  <c r="AR199" i="1" s="1"/>
  <c r="AG199" i="1"/>
  <c r="W199" i="1" s="1"/>
  <c r="M199" i="1"/>
  <c r="DD191" i="1"/>
  <c r="DA191" i="1"/>
  <c r="CX191" i="1"/>
  <c r="BJ191" i="1"/>
  <c r="BG191" i="1"/>
  <c r="BD191" i="1"/>
  <c r="AT191" i="1"/>
  <c r="AP191" i="1"/>
  <c r="AR191" i="1" s="1"/>
  <c r="AG191" i="1"/>
  <c r="W191" i="1" s="1"/>
  <c r="M191" i="1"/>
  <c r="DA901" i="1"/>
  <c r="CX901" i="1"/>
  <c r="BJ901" i="1"/>
  <c r="BG901" i="1"/>
  <c r="BD901" i="1"/>
  <c r="AT901" i="1"/>
  <c r="AP901" i="1"/>
  <c r="AR901" i="1" s="1"/>
  <c r="AG901" i="1"/>
  <c r="W901" i="1" s="1"/>
  <c r="M901" i="1"/>
  <c r="DD432" i="1"/>
  <c r="DA432" i="1"/>
  <c r="CX432" i="1"/>
  <c r="BJ432" i="1"/>
  <c r="BG432" i="1"/>
  <c r="BD432" i="1"/>
  <c r="AT432" i="1"/>
  <c r="AP432" i="1"/>
  <c r="AR432" i="1" s="1"/>
  <c r="AG432" i="1"/>
  <c r="W432" i="1" s="1"/>
  <c r="M432" i="1"/>
  <c r="DA1168" i="1"/>
  <c r="CX1168" i="1"/>
  <c r="CW1168" i="1" s="1"/>
  <c r="BJ1168" i="1"/>
  <c r="BG1168" i="1"/>
  <c r="BD1168" i="1"/>
  <c r="AT1168" i="1"/>
  <c r="AP1168" i="1"/>
  <c r="AR1168" i="1" s="1"/>
  <c r="AG1168" i="1"/>
  <c r="W1168" i="1" s="1"/>
  <c r="N1168" i="1"/>
  <c r="M1168" i="1"/>
  <c r="DA431" i="1"/>
  <c r="CX431" i="1"/>
  <c r="BJ431" i="1"/>
  <c r="BG431" i="1"/>
  <c r="BD431" i="1"/>
  <c r="BC431" i="1" s="1"/>
  <c r="AT431" i="1"/>
  <c r="AP431" i="1"/>
  <c r="AR431" i="1" s="1"/>
  <c r="AG431" i="1"/>
  <c r="W431" i="1" s="1"/>
  <c r="M431" i="1"/>
  <c r="DD1165" i="1"/>
  <c r="DA1165" i="1"/>
  <c r="CX1165" i="1"/>
  <c r="BJ1165" i="1"/>
  <c r="BG1165" i="1"/>
  <c r="BD1165" i="1"/>
  <c r="AT1165" i="1"/>
  <c r="AP1165" i="1"/>
  <c r="AR1165" i="1" s="1"/>
  <c r="AG1165" i="1"/>
  <c r="W1165" i="1" s="1"/>
  <c r="M1165" i="1"/>
  <c r="DD1037" i="1"/>
  <c r="DA1037" i="1"/>
  <c r="CX1037" i="1"/>
  <c r="BJ1037" i="1"/>
  <c r="BG1037" i="1"/>
  <c r="BD1037" i="1"/>
  <c r="AT1037" i="1"/>
  <c r="AP1037" i="1"/>
  <c r="AR1037" i="1" s="1"/>
  <c r="AG1037" i="1"/>
  <c r="W1037" i="1" s="1"/>
  <c r="M1037" i="1"/>
  <c r="DD922" i="1"/>
  <c r="DA922" i="1"/>
  <c r="CX922" i="1"/>
  <c r="BJ922" i="1"/>
  <c r="BG922" i="1"/>
  <c r="BF922" i="1" s="1"/>
  <c r="BD922" i="1"/>
  <c r="AT922" i="1"/>
  <c r="AP922" i="1"/>
  <c r="AR922" i="1" s="1"/>
  <c r="AG922" i="1"/>
  <c r="W922" i="1" s="1"/>
  <c r="M922" i="1"/>
  <c r="DD907" i="1"/>
  <c r="DA907" i="1"/>
  <c r="CX907" i="1"/>
  <c r="BJ907" i="1"/>
  <c r="BG907" i="1"/>
  <c r="BD907" i="1"/>
  <c r="AT907" i="1"/>
  <c r="AP907" i="1"/>
  <c r="AR907" i="1" s="1"/>
  <c r="AG907" i="1"/>
  <c r="W907" i="1" s="1"/>
  <c r="M907" i="1"/>
  <c r="DD184" i="1"/>
  <c r="DA184" i="1"/>
  <c r="CX184" i="1"/>
  <c r="BJ184" i="1"/>
  <c r="BG184" i="1"/>
  <c r="BD184" i="1"/>
  <c r="AT184" i="1"/>
  <c r="AP184" i="1"/>
  <c r="AR184" i="1" s="1"/>
  <c r="AG184" i="1"/>
  <c r="W184" i="1" s="1"/>
  <c r="M184" i="1"/>
  <c r="DD430" i="1"/>
  <c r="DA430" i="1"/>
  <c r="CX430" i="1"/>
  <c r="BJ430" i="1"/>
  <c r="BG430" i="1"/>
  <c r="BD430" i="1"/>
  <c r="AT430" i="1"/>
  <c r="AP430" i="1"/>
  <c r="AR430" i="1" s="1"/>
  <c r="AG430" i="1"/>
  <c r="W430" i="1" s="1"/>
  <c r="N430" i="1"/>
  <c r="M430" i="1"/>
  <c r="DD1121" i="1"/>
  <c r="DA1121" i="1"/>
  <c r="CX1121" i="1"/>
  <c r="BJ1121" i="1"/>
  <c r="BG1121" i="1"/>
  <c r="BD1121" i="1"/>
  <c r="AT1121" i="1"/>
  <c r="AP1121" i="1"/>
  <c r="AR1121" i="1" s="1"/>
  <c r="AG1121" i="1"/>
  <c r="W1121" i="1" s="1"/>
  <c r="M1121" i="1"/>
  <c r="AP379" i="1"/>
  <c r="AR379" i="1" s="1"/>
  <c r="AG379" i="1"/>
  <c r="W379" i="1" s="1"/>
  <c r="M379" i="1"/>
  <c r="AP375" i="1"/>
  <c r="AR375" i="1" s="1"/>
  <c r="AG375" i="1"/>
  <c r="W375" i="1" s="1"/>
  <c r="M375" i="1"/>
  <c r="DD309" i="1"/>
  <c r="DA309" i="1"/>
  <c r="CX309" i="1"/>
  <c r="BJ309" i="1"/>
  <c r="BG309" i="1"/>
  <c r="BD309" i="1"/>
  <c r="AT309" i="1"/>
  <c r="AP309" i="1"/>
  <c r="AR309" i="1" s="1"/>
  <c r="AG309" i="1"/>
  <c r="W309" i="1" s="1"/>
  <c r="M309" i="1"/>
  <c r="DD917" i="1"/>
  <c r="DA917" i="1"/>
  <c r="CZ917" i="1" s="1"/>
  <c r="CX917" i="1"/>
  <c r="BJ917" i="1"/>
  <c r="BG917" i="1"/>
  <c r="BD917" i="1"/>
  <c r="AT917" i="1"/>
  <c r="AP917" i="1"/>
  <c r="AR917" i="1" s="1"/>
  <c r="AG917" i="1"/>
  <c r="W917" i="1" s="1"/>
  <c r="M917" i="1"/>
  <c r="DD892" i="1"/>
  <c r="DA892" i="1"/>
  <c r="CX892" i="1"/>
  <c r="BJ892" i="1"/>
  <c r="BG892" i="1"/>
  <c r="BD892" i="1"/>
  <c r="AT892" i="1"/>
  <c r="AP892" i="1"/>
  <c r="AR892" i="1" s="1"/>
  <c r="AG892" i="1"/>
  <c r="W892" i="1" s="1"/>
  <c r="M892" i="1"/>
  <c r="AP1163" i="1"/>
  <c r="AR1163" i="1" s="1"/>
  <c r="AG1163" i="1"/>
  <c r="W1163" i="1" s="1"/>
  <c r="M1163" i="1"/>
  <c r="AP429" i="1"/>
  <c r="AR429" i="1" s="1"/>
  <c r="AG429" i="1"/>
  <c r="W429" i="1" s="1"/>
  <c r="M429" i="1"/>
  <c r="DA1161" i="1"/>
  <c r="CX1161" i="1"/>
  <c r="CW1161" i="1" s="1"/>
  <c r="BJ1161" i="1"/>
  <c r="BG1161" i="1"/>
  <c r="BD1161" i="1"/>
  <c r="AT1161" i="1"/>
  <c r="AP1161" i="1"/>
  <c r="AR1161" i="1" s="1"/>
  <c r="AG1161" i="1"/>
  <c r="W1161" i="1" s="1"/>
  <c r="M1161" i="1"/>
  <c r="DD427" i="1"/>
  <c r="DA427" i="1"/>
  <c r="CX427" i="1"/>
  <c r="BJ427" i="1"/>
  <c r="BG427" i="1"/>
  <c r="BD427" i="1"/>
  <c r="AT427" i="1"/>
  <c r="AP427" i="1"/>
  <c r="AR427" i="1" s="1"/>
  <c r="AG427" i="1"/>
  <c r="W427" i="1" s="1"/>
  <c r="M427" i="1"/>
  <c r="DD289" i="1"/>
  <c r="DC289" i="1" s="1"/>
  <c r="DA289" i="1"/>
  <c r="CX289" i="1"/>
  <c r="BJ289" i="1"/>
  <c r="BG289" i="1"/>
  <c r="BD289" i="1"/>
  <c r="AT289" i="1"/>
  <c r="AP289" i="1"/>
  <c r="AR289" i="1" s="1"/>
  <c r="AG289" i="1"/>
  <c r="W289" i="1" s="1"/>
  <c r="M289" i="1"/>
  <c r="DD279" i="1"/>
  <c r="DA279" i="1"/>
  <c r="CX279" i="1"/>
  <c r="BJ279" i="1"/>
  <c r="BG279" i="1"/>
  <c r="BD279" i="1"/>
  <c r="AT279" i="1"/>
  <c r="AP279" i="1"/>
  <c r="AR279" i="1" s="1"/>
  <c r="AG279" i="1"/>
  <c r="W279" i="1" s="1"/>
  <c r="M279" i="1"/>
  <c r="AP878" i="1"/>
  <c r="AR878" i="1" s="1"/>
  <c r="AG878" i="1"/>
  <c r="W878" i="1" s="1"/>
  <c r="M878" i="1"/>
  <c r="DD1158" i="1"/>
  <c r="DA1158" i="1"/>
  <c r="CX1158" i="1"/>
  <c r="BJ1158" i="1"/>
  <c r="BG1158" i="1"/>
  <c r="BD1158" i="1"/>
  <c r="AT1158" i="1"/>
  <c r="AP1158" i="1"/>
  <c r="AR1158" i="1" s="1"/>
  <c r="AG1158" i="1"/>
  <c r="W1158" i="1" s="1"/>
  <c r="M1158" i="1"/>
  <c r="AP425" i="1"/>
  <c r="AR425" i="1" s="1"/>
  <c r="AG425" i="1"/>
  <c r="W425" i="1" s="1"/>
  <c r="AP1156" i="1"/>
  <c r="AR1156" i="1" s="1"/>
  <c r="AG1156" i="1"/>
  <c r="W1156" i="1" s="1"/>
  <c r="M1156" i="1"/>
  <c r="DD424" i="1"/>
  <c r="DC424" i="1" s="1"/>
  <c r="DA424" i="1"/>
  <c r="CX424" i="1"/>
  <c r="BJ424" i="1"/>
  <c r="BG424" i="1"/>
  <c r="BD424" i="1"/>
  <c r="AP424" i="1"/>
  <c r="AR424" i="1" s="1"/>
  <c r="AG424" i="1"/>
  <c r="W424" i="1" s="1"/>
  <c r="M424" i="1"/>
  <c r="DD1153" i="1"/>
  <c r="DA1153" i="1"/>
  <c r="CX1153" i="1"/>
  <c r="BJ1153" i="1"/>
  <c r="BG1153" i="1"/>
  <c r="BD1153" i="1"/>
  <c r="AT1153" i="1"/>
  <c r="AP1153" i="1"/>
  <c r="AR1153" i="1" s="1"/>
  <c r="AG1153" i="1"/>
  <c r="W1153" i="1" s="1"/>
  <c r="M1153" i="1"/>
  <c r="AP368" i="1"/>
  <c r="AR368" i="1" s="1"/>
  <c r="AG368" i="1"/>
  <c r="W368" i="1" s="1"/>
  <c r="M368" i="1"/>
  <c r="DA1095" i="1"/>
  <c r="CX1095" i="1"/>
  <c r="BJ1095" i="1"/>
  <c r="BG1095" i="1"/>
  <c r="BD1095" i="1"/>
  <c r="AT1095" i="1"/>
  <c r="AP1095" i="1"/>
  <c r="AR1095" i="1" s="1"/>
  <c r="AG1095" i="1"/>
  <c r="W1095" i="1" s="1"/>
  <c r="M1095" i="1"/>
  <c r="DD294" i="1"/>
  <c r="DA294" i="1"/>
  <c r="CX294" i="1"/>
  <c r="BJ294" i="1"/>
  <c r="BG294" i="1"/>
  <c r="BD294" i="1"/>
  <c r="AT294" i="1"/>
  <c r="AP294" i="1"/>
  <c r="AR294" i="1" s="1"/>
  <c r="AG294" i="1"/>
  <c r="W294" i="1" s="1"/>
  <c r="M294" i="1"/>
  <c r="DD180" i="1"/>
  <c r="DA180" i="1"/>
  <c r="CZ180" i="1" s="1"/>
  <c r="CX180" i="1"/>
  <c r="BJ180" i="1"/>
  <c r="BG180" i="1"/>
  <c r="BD180" i="1"/>
  <c r="AT180" i="1"/>
  <c r="AP180" i="1"/>
  <c r="AR180" i="1" s="1"/>
  <c r="AG180" i="1"/>
  <c r="W180" i="1" s="1"/>
  <c r="M180" i="1"/>
  <c r="AP885" i="1"/>
  <c r="AR885" i="1" s="1"/>
  <c r="AG885" i="1"/>
  <c r="W885" i="1" s="1"/>
  <c r="M885" i="1"/>
  <c r="DD167" i="1"/>
  <c r="DA167" i="1"/>
  <c r="CX167" i="1"/>
  <c r="BJ167" i="1"/>
  <c r="BG167" i="1"/>
  <c r="BD167" i="1"/>
  <c r="AT167" i="1"/>
  <c r="AP167" i="1"/>
  <c r="AR167" i="1" s="1"/>
  <c r="AG167" i="1"/>
  <c r="W167" i="1" s="1"/>
  <c r="M167" i="1"/>
  <c r="DD158" i="1"/>
  <c r="DA158" i="1"/>
  <c r="CX158" i="1"/>
  <c r="BJ158" i="1"/>
  <c r="BG158" i="1"/>
  <c r="BF158" i="1" s="1"/>
  <c r="BD158" i="1"/>
  <c r="AT158" i="1"/>
  <c r="AP158" i="1"/>
  <c r="AR158" i="1" s="1"/>
  <c r="AG158" i="1"/>
  <c r="W158" i="1" s="1"/>
  <c r="M158" i="1"/>
  <c r="DD423" i="1"/>
  <c r="DC423" i="1" s="1"/>
  <c r="DA423" i="1"/>
  <c r="CX423" i="1"/>
  <c r="BJ423" i="1"/>
  <c r="BG423" i="1"/>
  <c r="BD423" i="1"/>
  <c r="BC423" i="1" s="1"/>
  <c r="AT423" i="1"/>
  <c r="AP423" i="1"/>
  <c r="AR423" i="1" s="1"/>
  <c r="AG423" i="1"/>
  <c r="W423" i="1" s="1"/>
  <c r="M423" i="1"/>
  <c r="DD1150" i="1"/>
  <c r="DA1150" i="1"/>
  <c r="CX1150" i="1"/>
  <c r="BJ1150" i="1"/>
  <c r="BG1150" i="1"/>
  <c r="BD1150" i="1"/>
  <c r="BC1150" i="1" s="1"/>
  <c r="AT1150" i="1"/>
  <c r="AP1150" i="1"/>
  <c r="AR1150" i="1" s="1"/>
  <c r="AG1150" i="1"/>
  <c r="W1150" i="1" s="1"/>
  <c r="M1150" i="1"/>
  <c r="AP421" i="1"/>
  <c r="AR421" i="1" s="1"/>
  <c r="AG421" i="1"/>
  <c r="W421" i="1" s="1"/>
  <c r="M421" i="1"/>
  <c r="DD1147" i="1"/>
  <c r="DA1147" i="1"/>
  <c r="CX1147" i="1"/>
  <c r="BJ1147" i="1"/>
  <c r="BG1147" i="1"/>
  <c r="BD1147" i="1"/>
  <c r="AT1147" i="1"/>
  <c r="AP1147" i="1"/>
  <c r="AR1147" i="1" s="1"/>
  <c r="AG1147" i="1"/>
  <c r="W1147" i="1" s="1"/>
  <c r="M1147" i="1"/>
  <c r="AP419" i="1"/>
  <c r="AR419" i="1" s="1"/>
  <c r="AG419" i="1"/>
  <c r="W419" i="1" s="1"/>
  <c r="M419" i="1"/>
  <c r="AP1145" i="1"/>
  <c r="AR1145" i="1" s="1"/>
  <c r="AG1145" i="1"/>
  <c r="W1145" i="1" s="1"/>
  <c r="M1145" i="1"/>
  <c r="DD417" i="1"/>
  <c r="DA417" i="1"/>
  <c r="CX417" i="1"/>
  <c r="CW417" i="1" s="1"/>
  <c r="BJ417" i="1"/>
  <c r="BG417" i="1"/>
  <c r="BD417" i="1"/>
  <c r="AT417" i="1"/>
  <c r="AP417" i="1"/>
  <c r="AR417" i="1" s="1"/>
  <c r="AG417" i="1"/>
  <c r="W417" i="1" s="1"/>
  <c r="M417" i="1"/>
  <c r="AP1143" i="1"/>
  <c r="AG1143" i="1"/>
  <c r="W1143" i="1" s="1"/>
  <c r="M1143" i="1"/>
  <c r="DD416" i="1"/>
  <c r="DC416" i="1" s="1"/>
  <c r="DA416" i="1"/>
  <c r="CX416" i="1"/>
  <c r="BJ416" i="1"/>
  <c r="BI416" i="1" s="1"/>
  <c r="BG416" i="1"/>
  <c r="BD416" i="1"/>
  <c r="AT416" i="1"/>
  <c r="AP416" i="1"/>
  <c r="AR416" i="1" s="1"/>
  <c r="AG416" i="1"/>
  <c r="W416" i="1" s="1"/>
  <c r="M416" i="1"/>
  <c r="AP1142" i="1"/>
  <c r="AR1142" i="1" s="1"/>
  <c r="AG1142" i="1"/>
  <c r="W1142" i="1" s="1"/>
  <c r="M1142" i="1"/>
  <c r="AP415" i="1"/>
  <c r="AR415" i="1" s="1"/>
  <c r="AG415" i="1"/>
  <c r="W415" i="1" s="1"/>
  <c r="M415" i="1"/>
  <c r="DD372" i="1"/>
  <c r="DA372" i="1"/>
  <c r="CX372" i="1"/>
  <c r="BJ372" i="1"/>
  <c r="BG372" i="1"/>
  <c r="BD372" i="1"/>
  <c r="AT372" i="1"/>
  <c r="AP372" i="1"/>
  <c r="AR372" i="1" s="1"/>
  <c r="AG372" i="1"/>
  <c r="W372" i="1" s="1"/>
  <c r="M372" i="1"/>
  <c r="AP364" i="1"/>
  <c r="AR364" i="1" s="1"/>
  <c r="AG364" i="1"/>
  <c r="W364" i="1" s="1"/>
  <c r="M364" i="1"/>
  <c r="DD359" i="1"/>
  <c r="DC359" i="1" s="1"/>
  <c r="DA359" i="1"/>
  <c r="CZ359" i="1" s="1"/>
  <c r="CX359" i="1"/>
  <c r="BJ359" i="1"/>
  <c r="BG359" i="1"/>
  <c r="BD359" i="1"/>
  <c r="AT359" i="1"/>
  <c r="AP359" i="1"/>
  <c r="AR359" i="1" s="1"/>
  <c r="AG359" i="1"/>
  <c r="W359" i="1" s="1"/>
  <c r="M359" i="1"/>
  <c r="DD1011" i="1"/>
  <c r="DA1011" i="1"/>
  <c r="CZ1011" i="1" s="1"/>
  <c r="CX1011" i="1"/>
  <c r="BJ1011" i="1"/>
  <c r="BG1011" i="1"/>
  <c r="BD1011" i="1"/>
  <c r="BC1011" i="1" s="1"/>
  <c r="AT1011" i="1"/>
  <c r="AP1011" i="1"/>
  <c r="AR1011" i="1" s="1"/>
  <c r="AG1011" i="1"/>
  <c r="W1011" i="1" s="1"/>
  <c r="N1011" i="1"/>
  <c r="M1011" i="1"/>
  <c r="DD1006" i="1"/>
  <c r="DA1006" i="1"/>
  <c r="CX1006" i="1"/>
  <c r="BJ1006" i="1"/>
  <c r="BG1006" i="1"/>
  <c r="BD1006" i="1"/>
  <c r="AT1006" i="1"/>
  <c r="AP1006" i="1"/>
  <c r="AR1006" i="1" s="1"/>
  <c r="AG1006" i="1"/>
  <c r="W1006" i="1" s="1"/>
  <c r="M1006" i="1"/>
  <c r="DD869" i="1"/>
  <c r="DC869" i="1" s="1"/>
  <c r="DA869" i="1"/>
  <c r="CZ869" i="1" s="1"/>
  <c r="CX869" i="1"/>
  <c r="BJ869" i="1"/>
  <c r="BG869" i="1"/>
  <c r="BD869" i="1"/>
  <c r="AT869" i="1"/>
  <c r="AP869" i="1"/>
  <c r="AR869" i="1" s="1"/>
  <c r="AG869" i="1"/>
  <c r="W869" i="1" s="1"/>
  <c r="M869" i="1"/>
  <c r="AP865" i="1"/>
  <c r="AR865" i="1" s="1"/>
  <c r="AG865" i="1"/>
  <c r="W865" i="1" s="1"/>
  <c r="M865" i="1"/>
  <c r="AP855" i="1"/>
  <c r="AR855" i="1" s="1"/>
  <c r="AG855" i="1"/>
  <c r="W855" i="1" s="1"/>
  <c r="M855" i="1"/>
  <c r="DA782" i="1"/>
  <c r="CX782" i="1"/>
  <c r="BJ782" i="1"/>
  <c r="BG782" i="1"/>
  <c r="BF782" i="1" s="1"/>
  <c r="BD782" i="1"/>
  <c r="BC782" i="1" s="1"/>
  <c r="AT782" i="1"/>
  <c r="AP782" i="1"/>
  <c r="AR782" i="1" s="1"/>
  <c r="AG782" i="1"/>
  <c r="W782" i="1" s="1"/>
  <c r="M782" i="1"/>
  <c r="AP1140" i="1"/>
  <c r="AR1140" i="1" s="1"/>
  <c r="AG1140" i="1"/>
  <c r="W1140" i="1" s="1"/>
  <c r="M1140" i="1"/>
  <c r="AP413" i="1"/>
  <c r="AR413" i="1" s="1"/>
  <c r="AG413" i="1"/>
  <c r="M413" i="1"/>
  <c r="AP355" i="1"/>
  <c r="AR355" i="1" s="1"/>
  <c r="AG355" i="1"/>
  <c r="W355" i="1" s="1"/>
  <c r="M355" i="1"/>
  <c r="AP841" i="1"/>
  <c r="AR841" i="1" s="1"/>
  <c r="AG841" i="1"/>
  <c r="W841" i="1" s="1"/>
  <c r="M841" i="1"/>
  <c r="AP1138" i="1"/>
  <c r="AR1138" i="1" s="1"/>
  <c r="AG1138" i="1"/>
  <c r="W1138" i="1" s="1"/>
  <c r="M1138" i="1"/>
  <c r="AP411" i="1"/>
  <c r="AR411" i="1" s="1"/>
  <c r="AG411" i="1"/>
  <c r="W411" i="1" s="1"/>
  <c r="M411" i="1"/>
  <c r="AP1137" i="1"/>
  <c r="AR1137" i="1" s="1"/>
  <c r="AG1137" i="1"/>
  <c r="W1137" i="1" s="1"/>
  <c r="M1137" i="1"/>
  <c r="AP409" i="1"/>
  <c r="AR409" i="1" s="1"/>
  <c r="AG409" i="1"/>
  <c r="W409" i="1" s="1"/>
  <c r="M409" i="1"/>
  <c r="M1458" i="1"/>
  <c r="AP1081" i="1"/>
  <c r="AR1081" i="1" s="1"/>
  <c r="AG1081" i="1"/>
  <c r="W1081" i="1" s="1"/>
  <c r="M1081" i="1"/>
  <c r="AP1073" i="1"/>
  <c r="AR1073" i="1" s="1"/>
  <c r="AG1073" i="1"/>
  <c r="W1073" i="1" s="1"/>
  <c r="M1073" i="1"/>
  <c r="AP345" i="1"/>
  <c r="AR345" i="1" s="1"/>
  <c r="AG345" i="1"/>
  <c r="W345" i="1" s="1"/>
  <c r="M345" i="1"/>
  <c r="AP1070" i="1"/>
  <c r="AR1070" i="1" s="1"/>
  <c r="AG1070" i="1"/>
  <c r="W1070" i="1" s="1"/>
  <c r="M1070" i="1"/>
  <c r="AP139" i="1"/>
  <c r="AR139" i="1" s="1"/>
  <c r="AG139" i="1"/>
  <c r="W139" i="1" s="1"/>
  <c r="M139" i="1"/>
  <c r="AP1135" i="1"/>
  <c r="AR1135" i="1" s="1"/>
  <c r="AG1135" i="1"/>
  <c r="W1135" i="1" s="1"/>
  <c r="M1135" i="1"/>
  <c r="AP408" i="1"/>
  <c r="AR408" i="1" s="1"/>
  <c r="AG408" i="1"/>
  <c r="W408" i="1" s="1"/>
  <c r="M408" i="1"/>
  <c r="AP1134" i="1"/>
  <c r="AR1134" i="1" s="1"/>
  <c r="AG1134" i="1"/>
  <c r="W1134" i="1" s="1"/>
  <c r="M1134" i="1"/>
  <c r="AP406" i="1"/>
  <c r="AR406" i="1" s="1"/>
  <c r="AG406" i="1"/>
  <c r="W406" i="1" s="1"/>
  <c r="M406" i="1"/>
  <c r="AP1133" i="1"/>
  <c r="AR1133" i="1" s="1"/>
  <c r="AG1133" i="1"/>
  <c r="W1133" i="1" s="1"/>
  <c r="M1133" i="1"/>
  <c r="AS1084" i="1"/>
  <c r="AP1084" i="1"/>
  <c r="AR1084" i="1" s="1"/>
  <c r="AG1084" i="1"/>
  <c r="W1084" i="1" s="1"/>
  <c r="AP1078" i="1"/>
  <c r="AR1078" i="1" s="1"/>
  <c r="AG1078" i="1"/>
  <c r="W1078" i="1" s="1"/>
  <c r="M1078" i="1"/>
  <c r="AP351" i="1"/>
  <c r="AR351" i="1" s="1"/>
  <c r="AG351" i="1"/>
  <c r="W351" i="1" s="1"/>
  <c r="M351" i="1"/>
  <c r="AP1076" i="1"/>
  <c r="AR1076" i="1" s="1"/>
  <c r="AG1076" i="1"/>
  <c r="W1076" i="1" s="1"/>
  <c r="M1076" i="1"/>
  <c r="AP343" i="1"/>
  <c r="AR343" i="1" s="1"/>
  <c r="AG343" i="1"/>
  <c r="W343" i="1" s="1"/>
  <c r="M343" i="1"/>
  <c r="AP1068" i="1"/>
  <c r="AR1068" i="1" s="1"/>
  <c r="AG1068" i="1"/>
  <c r="W1068" i="1" s="1"/>
  <c r="M1068" i="1"/>
  <c r="AP1001" i="1"/>
  <c r="AR1001" i="1" s="1"/>
  <c r="AG1001" i="1"/>
  <c r="W1001" i="1" s="1"/>
  <c r="M1001" i="1"/>
  <c r="AP849" i="1"/>
  <c r="AR849" i="1" s="1"/>
  <c r="AG849" i="1"/>
  <c r="W849" i="1" s="1"/>
  <c r="M849" i="1"/>
  <c r="AP404" i="1"/>
  <c r="AR404" i="1" s="1"/>
  <c r="AG404" i="1"/>
  <c r="W404" i="1" s="1"/>
  <c r="M404" i="1"/>
  <c r="AP1132" i="1"/>
  <c r="AR1132" i="1" s="1"/>
  <c r="AG1132" i="1"/>
  <c r="W1132" i="1" s="1"/>
  <c r="M1132" i="1"/>
  <c r="AP1039" i="1"/>
  <c r="AR1039" i="1" s="1"/>
  <c r="AG1039" i="1"/>
  <c r="W1039" i="1" s="1"/>
  <c r="M1039" i="1"/>
  <c r="AP987" i="1"/>
  <c r="AR987" i="1" s="1"/>
  <c r="AG987" i="1"/>
  <c r="W987" i="1" s="1"/>
  <c r="M987" i="1"/>
  <c r="AP260" i="1"/>
  <c r="AR260" i="1" s="1"/>
  <c r="AG260" i="1"/>
  <c r="W260" i="1" s="1"/>
  <c r="M260" i="1"/>
  <c r="AP403" i="1"/>
  <c r="AR403" i="1" s="1"/>
  <c r="AG403" i="1"/>
  <c r="W403" i="1" s="1"/>
  <c r="M403" i="1"/>
  <c r="AP1129" i="1"/>
  <c r="AR1129" i="1" s="1"/>
  <c r="AG1129" i="1"/>
  <c r="W1129" i="1" s="1"/>
  <c r="M1129" i="1"/>
  <c r="AP401" i="1"/>
  <c r="AR401" i="1" s="1"/>
  <c r="AG401" i="1"/>
  <c r="W401" i="1" s="1"/>
  <c r="M401" i="1"/>
  <c r="AP339" i="1"/>
  <c r="AR339" i="1" s="1"/>
  <c r="AG339" i="1"/>
  <c r="W339" i="1" s="1"/>
  <c r="M339" i="1"/>
  <c r="AP316" i="1"/>
  <c r="AR316" i="1" s="1"/>
  <c r="AG316" i="1"/>
  <c r="W316" i="1" s="1"/>
  <c r="M316" i="1"/>
  <c r="AP267" i="1"/>
  <c r="AR267" i="1" s="1"/>
  <c r="AG267" i="1"/>
  <c r="W267" i="1" s="1"/>
  <c r="M267" i="1"/>
  <c r="AP981" i="1"/>
  <c r="AR981" i="1" s="1"/>
  <c r="AG981" i="1"/>
  <c r="W981" i="1" s="1"/>
  <c r="M981" i="1"/>
  <c r="AP1126" i="1"/>
  <c r="AR1126" i="1" s="1"/>
  <c r="AG1126" i="1"/>
  <c r="W1126" i="1" s="1"/>
  <c r="M1126" i="1"/>
  <c r="AP399" i="1"/>
  <c r="AR399" i="1" s="1"/>
  <c r="AG399" i="1"/>
  <c r="W399" i="1" s="1"/>
  <c r="M399" i="1"/>
  <c r="AP1125" i="1"/>
  <c r="AR1125" i="1" s="1"/>
  <c r="AG1125" i="1"/>
  <c r="W1125" i="1" s="1"/>
  <c r="M1125" i="1"/>
  <c r="AP396" i="1"/>
  <c r="AR396" i="1" s="1"/>
  <c r="AG396" i="1"/>
  <c r="W396" i="1" s="1"/>
  <c r="M396" i="1"/>
  <c r="AP1122" i="1"/>
  <c r="AR1122" i="1" s="1"/>
  <c r="AG1122" i="1"/>
  <c r="W1122" i="1" s="1"/>
  <c r="M1122" i="1"/>
  <c r="AP1062" i="1"/>
  <c r="AR1062" i="1" s="1"/>
  <c r="AG1062" i="1"/>
  <c r="W1062" i="1" s="1"/>
  <c r="M1062" i="1"/>
  <c r="AP1059" i="1"/>
  <c r="AR1059" i="1" s="1"/>
  <c r="AG1059" i="1"/>
  <c r="W1059" i="1" s="1"/>
  <c r="M1059" i="1"/>
  <c r="AP333" i="1"/>
  <c r="AR333" i="1" s="1"/>
  <c r="AG333" i="1"/>
  <c r="W333" i="1" s="1"/>
  <c r="M333" i="1"/>
  <c r="AP1052" i="1"/>
  <c r="AR1052" i="1" s="1"/>
  <c r="AG1052" i="1"/>
  <c r="W1052" i="1" s="1"/>
  <c r="M1052" i="1"/>
  <c r="AP326" i="1"/>
  <c r="AR326" i="1" s="1"/>
  <c r="AG326" i="1"/>
  <c r="W326" i="1" s="1"/>
  <c r="M326" i="1"/>
  <c r="AP1049" i="1"/>
  <c r="AR1049" i="1" s="1"/>
  <c r="AG1049" i="1"/>
  <c r="W1049" i="1" s="1"/>
  <c r="M1049" i="1"/>
  <c r="AP1046" i="1"/>
  <c r="AR1046" i="1" s="1"/>
  <c r="AG1046" i="1"/>
  <c r="W1046" i="1" s="1"/>
  <c r="M1046" i="1"/>
  <c r="AP321" i="1"/>
  <c r="AR321" i="1" s="1"/>
  <c r="AG321" i="1"/>
  <c r="W321" i="1" s="1"/>
  <c r="M321" i="1"/>
  <c r="AP993" i="1"/>
  <c r="AR993" i="1" s="1"/>
  <c r="AG993" i="1"/>
  <c r="W993" i="1" s="1"/>
  <c r="M993" i="1"/>
  <c r="AP973" i="1"/>
  <c r="AR973" i="1" s="1"/>
  <c r="AG973" i="1"/>
  <c r="W973" i="1" s="1"/>
  <c r="M973" i="1"/>
  <c r="AP968" i="1"/>
  <c r="AR968" i="1" s="1"/>
  <c r="AG968" i="1"/>
  <c r="W968" i="1" s="1"/>
  <c r="M968" i="1"/>
  <c r="AP251" i="1"/>
  <c r="AR251" i="1" s="1"/>
  <c r="AG251" i="1"/>
  <c r="W251" i="1" s="1"/>
  <c r="M251" i="1"/>
  <c r="AP956" i="1"/>
  <c r="AR956" i="1" s="1"/>
  <c r="AG956" i="1"/>
  <c r="W956" i="1" s="1"/>
  <c r="M956" i="1"/>
  <c r="AP951" i="1"/>
  <c r="AR951" i="1" s="1"/>
  <c r="AG951" i="1"/>
  <c r="W951" i="1" s="1"/>
  <c r="M951" i="1"/>
  <c r="AP242" i="1"/>
  <c r="AR242" i="1" s="1"/>
  <c r="AG242" i="1"/>
  <c r="W242" i="1" s="1"/>
  <c r="M242" i="1"/>
  <c r="AP395" i="1"/>
  <c r="AR395" i="1" s="1"/>
  <c r="AG395" i="1"/>
  <c r="W395" i="1" s="1"/>
  <c r="M395" i="1"/>
  <c r="DD1120" i="1"/>
  <c r="DA1120" i="1"/>
  <c r="CX1120" i="1"/>
  <c r="BJ1120" i="1"/>
  <c r="BI1120" i="1" s="1"/>
  <c r="BG1120" i="1"/>
  <c r="BD1120" i="1"/>
  <c r="AT1120" i="1"/>
  <c r="AP1120" i="1"/>
  <c r="AR1120" i="1" s="1"/>
  <c r="AG1120" i="1"/>
  <c r="W1120" i="1" s="1"/>
  <c r="M1120" i="1"/>
  <c r="AP394" i="1"/>
  <c r="AR394" i="1" s="1"/>
  <c r="AG394" i="1"/>
  <c r="W394" i="1" s="1"/>
  <c r="M394" i="1"/>
  <c r="DD1119" i="1"/>
  <c r="DA1119" i="1"/>
  <c r="CZ1119" i="1" s="1"/>
  <c r="CX1119" i="1"/>
  <c r="BJ1119" i="1"/>
  <c r="BG1119" i="1"/>
  <c r="BD1119" i="1"/>
  <c r="BC1119" i="1" s="1"/>
  <c r="AT1119" i="1"/>
  <c r="AP1119" i="1"/>
  <c r="AR1119" i="1" s="1"/>
  <c r="AG1119" i="1"/>
  <c r="W1119" i="1" s="1"/>
  <c r="N1119" i="1"/>
  <c r="M1119" i="1"/>
  <c r="DD391" i="1"/>
  <c r="DA391" i="1"/>
  <c r="CX391" i="1"/>
  <c r="BJ391" i="1"/>
  <c r="BI391" i="1" s="1"/>
  <c r="BG391" i="1"/>
  <c r="BD391" i="1"/>
  <c r="BC391" i="1" s="1"/>
  <c r="AT391" i="1"/>
  <c r="AP391" i="1"/>
  <c r="AR391" i="1" s="1"/>
  <c r="AG391" i="1"/>
  <c r="W391" i="1" s="1"/>
  <c r="M391" i="1"/>
  <c r="AP1118" i="1"/>
  <c r="AR1118" i="1" s="1"/>
  <c r="AG1118" i="1"/>
  <c r="W1118" i="1" s="1"/>
  <c r="M1118" i="1"/>
  <c r="DD390" i="1"/>
  <c r="DA390" i="1"/>
  <c r="CZ390" i="1" s="1"/>
  <c r="CX390" i="1"/>
  <c r="BJ390" i="1"/>
  <c r="BG390" i="1"/>
  <c r="BD390" i="1"/>
  <c r="BC390" i="1" s="1"/>
  <c r="AT390" i="1"/>
  <c r="AP390" i="1"/>
  <c r="AR390" i="1" s="1"/>
  <c r="AG390" i="1"/>
  <c r="W390" i="1" s="1"/>
  <c r="M390" i="1"/>
  <c r="AP1117" i="1"/>
  <c r="AR1117" i="1" s="1"/>
  <c r="AG1117" i="1"/>
  <c r="W1117" i="1" s="1"/>
  <c r="M1117" i="1"/>
  <c r="DD308" i="1"/>
  <c r="DA308" i="1"/>
  <c r="CX308" i="1"/>
  <c r="BJ308" i="1"/>
  <c r="BI308" i="1" s="1"/>
  <c r="BG308" i="1"/>
  <c r="BD308" i="1"/>
  <c r="BC308" i="1" s="1"/>
  <c r="AT308" i="1"/>
  <c r="AP308" i="1"/>
  <c r="AR308" i="1" s="1"/>
  <c r="AG308" i="1"/>
  <c r="W308" i="1" s="1"/>
  <c r="M308" i="1"/>
  <c r="DD302" i="1"/>
  <c r="DC302" i="1" s="1"/>
  <c r="DA302" i="1"/>
  <c r="CX302" i="1"/>
  <c r="BJ302" i="1"/>
  <c r="BG302" i="1"/>
  <c r="BF302" i="1" s="1"/>
  <c r="BD302" i="1"/>
  <c r="AT302" i="1"/>
  <c r="AP302" i="1"/>
  <c r="AR302" i="1" s="1"/>
  <c r="AG302" i="1"/>
  <c r="W302" i="1" s="1"/>
  <c r="M302" i="1"/>
  <c r="AP299" i="1"/>
  <c r="AR299" i="1" s="1"/>
  <c r="AG299" i="1"/>
  <c r="W299" i="1" s="1"/>
  <c r="M299" i="1"/>
  <c r="DD947" i="1"/>
  <c r="DC947" i="1" s="1"/>
  <c r="DA947" i="1"/>
  <c r="CX947" i="1"/>
  <c r="CW947" i="1" s="1"/>
  <c r="BJ947" i="1"/>
  <c r="BG947" i="1"/>
  <c r="BD947" i="1"/>
  <c r="AT947" i="1"/>
  <c r="AP947" i="1"/>
  <c r="AR947" i="1" s="1"/>
  <c r="AG947" i="1"/>
  <c r="W947" i="1" s="1"/>
  <c r="M947" i="1"/>
  <c r="AP198" i="1"/>
  <c r="AR198" i="1" s="1"/>
  <c r="AG198" i="1"/>
  <c r="W198" i="1" s="1"/>
  <c r="M198" i="1"/>
  <c r="DD386" i="1"/>
  <c r="DC386" i="1" s="1"/>
  <c r="DA386" i="1"/>
  <c r="CX386" i="1"/>
  <c r="BJ386" i="1"/>
  <c r="BG386" i="1"/>
  <c r="BF386" i="1" s="1"/>
  <c r="BD386" i="1"/>
  <c r="BE386" i="1" s="1"/>
  <c r="AT386" i="1"/>
  <c r="AP386" i="1"/>
  <c r="AR386" i="1" s="1"/>
  <c r="AG386" i="1"/>
  <c r="W386" i="1" s="1"/>
  <c r="M386" i="1"/>
  <c r="DD1114" i="1"/>
  <c r="DA1114" i="1"/>
  <c r="CZ1114" i="1" s="1"/>
  <c r="CX1114" i="1"/>
  <c r="BJ1114" i="1"/>
  <c r="BI1114" i="1" s="1"/>
  <c r="BG1114" i="1"/>
  <c r="BD1114" i="1"/>
  <c r="BC1114" i="1" s="1"/>
  <c r="AT1114" i="1"/>
  <c r="AP1114" i="1"/>
  <c r="AR1114" i="1" s="1"/>
  <c r="AG1114" i="1"/>
  <c r="W1114" i="1" s="1"/>
  <c r="M1114" i="1"/>
  <c r="DD385" i="1"/>
  <c r="DA385" i="1"/>
  <c r="CX385" i="1"/>
  <c r="CW385" i="1" s="1"/>
  <c r="BJ385" i="1"/>
  <c r="BG385" i="1"/>
  <c r="BD385" i="1"/>
  <c r="AT385" i="1"/>
  <c r="AP385" i="1"/>
  <c r="AR385" i="1" s="1"/>
  <c r="AG385" i="1"/>
  <c r="W385" i="1" s="1"/>
  <c r="M385" i="1"/>
  <c r="DD1111" i="1"/>
  <c r="DA1111" i="1"/>
  <c r="CX1111" i="1"/>
  <c r="BJ1111" i="1"/>
  <c r="BI1111" i="1" s="1"/>
  <c r="BG1111" i="1"/>
  <c r="BD1111" i="1"/>
  <c r="AT1111" i="1"/>
  <c r="AP1111" i="1"/>
  <c r="AR1111" i="1" s="1"/>
  <c r="AG1111" i="1"/>
  <c r="W1111" i="1" s="1"/>
  <c r="M1111" i="1"/>
  <c r="DD382" i="1"/>
  <c r="DC382" i="1" s="1"/>
  <c r="DA382" i="1"/>
  <c r="CX382" i="1"/>
  <c r="CW382" i="1" s="1"/>
  <c r="BJ382" i="1"/>
  <c r="BG382" i="1"/>
  <c r="BF382" i="1" s="1"/>
  <c r="BD382" i="1"/>
  <c r="BE382" i="1" s="1"/>
  <c r="AT382" i="1"/>
  <c r="AP382" i="1"/>
  <c r="AR382" i="1" s="1"/>
  <c r="AG382" i="1"/>
  <c r="W382" i="1" s="1"/>
  <c r="M382" i="1"/>
  <c r="DA1031" i="1"/>
  <c r="CX1031" i="1"/>
  <c r="BJ1031" i="1"/>
  <c r="BI1031" i="1" s="1"/>
  <c r="BG1031" i="1"/>
  <c r="BD1031" i="1"/>
  <c r="AT1031" i="1"/>
  <c r="AP1031" i="1"/>
  <c r="AR1031" i="1" s="1"/>
  <c r="AG1031" i="1"/>
  <c r="W1031" i="1" s="1"/>
  <c r="M1031" i="1"/>
  <c r="DD219" i="1"/>
  <c r="DC219" i="1" s="1"/>
  <c r="DA219" i="1"/>
  <c r="CX219" i="1"/>
  <c r="BJ219" i="1"/>
  <c r="BG219" i="1"/>
  <c r="BF219" i="1" s="1"/>
  <c r="BD219" i="1"/>
  <c r="AT219" i="1"/>
  <c r="AP219" i="1"/>
  <c r="AR219" i="1" s="1"/>
  <c r="AG219" i="1"/>
  <c r="W219" i="1" s="1"/>
  <c r="M219" i="1"/>
  <c r="DD913" i="1"/>
  <c r="DA913" i="1"/>
  <c r="CZ913" i="1" s="1"/>
  <c r="CX913" i="1"/>
  <c r="BJ913" i="1"/>
  <c r="BI913" i="1" s="1"/>
  <c r="BG913" i="1"/>
  <c r="BD913" i="1"/>
  <c r="BC913" i="1" s="1"/>
  <c r="AT913" i="1"/>
  <c r="AP913" i="1"/>
  <c r="AR913" i="1" s="1"/>
  <c r="AG913" i="1"/>
  <c r="W913" i="1" s="1"/>
  <c r="M913" i="1"/>
  <c r="AS1110" i="1"/>
  <c r="AP1110" i="1"/>
  <c r="AR1110" i="1" s="1"/>
  <c r="AG1110" i="1"/>
  <c r="W1110" i="1" s="1"/>
  <c r="DD378" i="1"/>
  <c r="DA378" i="1"/>
  <c r="CX378" i="1"/>
  <c r="CW378" i="1" s="1"/>
  <c r="BJ378" i="1"/>
  <c r="BG378" i="1"/>
  <c r="BD378" i="1"/>
  <c r="AT378" i="1"/>
  <c r="AP378" i="1"/>
  <c r="AR378" i="1" s="1"/>
  <c r="AG378" i="1"/>
  <c r="W378" i="1" s="1"/>
  <c r="M378" i="1"/>
  <c r="DD1107" i="1"/>
  <c r="DE1107" i="1" s="1"/>
  <c r="DA1107" i="1"/>
  <c r="DB1107" i="1" s="1"/>
  <c r="CX1107" i="1"/>
  <c r="BJ1107" i="1"/>
  <c r="BI1107" i="1" s="1"/>
  <c r="BG1107" i="1"/>
  <c r="BD1107" i="1"/>
  <c r="AT1107" i="1"/>
  <c r="AP1107" i="1"/>
  <c r="AR1107" i="1" s="1"/>
  <c r="AG1107" i="1"/>
  <c r="W1107" i="1" s="1"/>
  <c r="M1107" i="1"/>
  <c r="DD377" i="1"/>
  <c r="DC377" i="1" s="1"/>
  <c r="DA377" i="1"/>
  <c r="CX377" i="1"/>
  <c r="CW377" i="1" s="1"/>
  <c r="BJ377" i="1"/>
  <c r="BG377" i="1"/>
  <c r="BF377" i="1" s="1"/>
  <c r="BD377" i="1"/>
  <c r="BC377" i="1" s="1"/>
  <c r="AT377" i="1"/>
  <c r="AP377" i="1"/>
  <c r="AR377" i="1" s="1"/>
  <c r="AG377" i="1"/>
  <c r="W377" i="1" s="1"/>
  <c r="M377" i="1"/>
  <c r="AT1104" i="1"/>
  <c r="AP1104" i="1"/>
  <c r="AR1104" i="1" s="1"/>
  <c r="AG1104" i="1"/>
  <c r="W1104" i="1" s="1"/>
  <c r="M1104" i="1"/>
  <c r="DD376" i="1"/>
  <c r="DA376" i="1"/>
  <c r="CX376" i="1"/>
  <c r="CW376" i="1" s="1"/>
  <c r="BJ376" i="1"/>
  <c r="BI376" i="1" s="1"/>
  <c r="BG376" i="1"/>
  <c r="BD376" i="1"/>
  <c r="AT376" i="1"/>
  <c r="AP376" i="1"/>
  <c r="AR376" i="1" s="1"/>
  <c r="AG376" i="1"/>
  <c r="W376" i="1" s="1"/>
  <c r="M376" i="1"/>
  <c r="DD1100" i="1"/>
  <c r="DC1100" i="1" s="1"/>
  <c r="DA1100" i="1"/>
  <c r="CX1100" i="1"/>
  <c r="BJ1100" i="1"/>
  <c r="BI1100" i="1" s="1"/>
  <c r="BG1100" i="1"/>
  <c r="BD1100" i="1"/>
  <c r="BC1100" i="1" s="1"/>
  <c r="AT1100" i="1"/>
  <c r="AP1100" i="1"/>
  <c r="AR1100" i="1" s="1"/>
  <c r="AG1100" i="1"/>
  <c r="W1100" i="1" s="1"/>
  <c r="M1100" i="1"/>
  <c r="AS374" i="1"/>
  <c r="AP374" i="1"/>
  <c r="AR374" i="1" s="1"/>
  <c r="AG374" i="1"/>
  <c r="W374" i="1" s="1"/>
  <c r="M374" i="1"/>
  <c r="DA1098" i="1"/>
  <c r="CX1098" i="1"/>
  <c r="BJ1098" i="1"/>
  <c r="BI1098" i="1" s="1"/>
  <c r="BG1098" i="1"/>
  <c r="BD1098" i="1"/>
  <c r="AT1098" i="1"/>
  <c r="AP1098" i="1"/>
  <c r="AR1098" i="1" s="1"/>
  <c r="AG1098" i="1"/>
  <c r="W1098" i="1" s="1"/>
  <c r="M1098" i="1"/>
  <c r="DD1036" i="1"/>
  <c r="DC1036" i="1" s="1"/>
  <c r="DA1036" i="1"/>
  <c r="CZ1036" i="1" s="1"/>
  <c r="CX1036" i="1"/>
  <c r="BJ1036" i="1"/>
  <c r="BG1036" i="1"/>
  <c r="BF1036" i="1" s="1"/>
  <c r="BD1036" i="1"/>
  <c r="AT1036" i="1"/>
  <c r="AP1036" i="1"/>
  <c r="AR1036" i="1" s="1"/>
  <c r="AG1036" i="1"/>
  <c r="W1036" i="1" s="1"/>
  <c r="M1036" i="1"/>
  <c r="DD312" i="1"/>
  <c r="DA312" i="1"/>
  <c r="CZ312" i="1" s="1"/>
  <c r="CX312" i="1"/>
  <c r="BJ312" i="1"/>
  <c r="BI312" i="1" s="1"/>
  <c r="BG312" i="1"/>
  <c r="BD312" i="1"/>
  <c r="BC312" i="1" s="1"/>
  <c r="AT312" i="1"/>
  <c r="AP312" i="1"/>
  <c r="AR312" i="1" s="1"/>
  <c r="AG312" i="1"/>
  <c r="W312" i="1" s="1"/>
  <c r="M312" i="1"/>
  <c r="DD305" i="1"/>
  <c r="DA305" i="1"/>
  <c r="CX305" i="1"/>
  <c r="CW305" i="1" s="1"/>
  <c r="BJ305" i="1"/>
  <c r="BG305" i="1"/>
  <c r="BD305" i="1"/>
  <c r="AT305" i="1"/>
  <c r="AP305" i="1"/>
  <c r="AR305" i="1" s="1"/>
  <c r="AG305" i="1"/>
  <c r="W305" i="1" s="1"/>
  <c r="M305" i="1"/>
  <c r="DD229" i="1"/>
  <c r="DE229" i="1" s="1"/>
  <c r="DA229" i="1"/>
  <c r="DB229" i="1" s="1"/>
  <c r="CX229" i="1"/>
  <c r="BJ229" i="1"/>
  <c r="BI229" i="1" s="1"/>
  <c r="BG229" i="1"/>
  <c r="BF229" i="1" s="1"/>
  <c r="BD229" i="1"/>
  <c r="AT229" i="1"/>
  <c r="AP229" i="1"/>
  <c r="AG229" i="1"/>
  <c r="W229" i="1" s="1"/>
  <c r="M229" i="1"/>
  <c r="DD937" i="1"/>
  <c r="DC937" i="1" s="1"/>
  <c r="DA937" i="1"/>
  <c r="CX937" i="1"/>
  <c r="CY937" i="1" s="1"/>
  <c r="BJ937" i="1"/>
  <c r="BG937" i="1"/>
  <c r="BF937" i="1" s="1"/>
  <c r="BD937" i="1"/>
  <c r="BE937" i="1" s="1"/>
  <c r="AT937" i="1"/>
  <c r="AP937" i="1"/>
  <c r="AR937" i="1" s="1"/>
  <c r="AG937" i="1"/>
  <c r="W937" i="1" s="1"/>
  <c r="M937" i="1"/>
  <c r="DD222" i="1"/>
  <c r="DA222" i="1"/>
  <c r="CZ222" i="1" s="1"/>
  <c r="CX222" i="1"/>
  <c r="CW222" i="1" s="1"/>
  <c r="BJ222" i="1"/>
  <c r="BG222" i="1"/>
  <c r="BD222" i="1"/>
  <c r="BC222" i="1" s="1"/>
  <c r="AT222" i="1"/>
  <c r="AP222" i="1"/>
  <c r="AR222" i="1" s="1"/>
  <c r="AG222" i="1"/>
  <c r="W222" i="1" s="1"/>
  <c r="N222" i="1"/>
  <c r="M222" i="1"/>
  <c r="DD934" i="1"/>
  <c r="DA934" i="1"/>
  <c r="CX934" i="1"/>
  <c r="BJ934" i="1"/>
  <c r="BI934" i="1" s="1"/>
  <c r="BG934" i="1"/>
  <c r="BF934" i="1" s="1"/>
  <c r="BD934" i="1"/>
  <c r="AT934" i="1"/>
  <c r="AP934" i="1"/>
  <c r="AR934" i="1" s="1"/>
  <c r="AG934" i="1"/>
  <c r="W934" i="1" s="1"/>
  <c r="M934" i="1"/>
  <c r="DD213" i="1"/>
  <c r="DC213" i="1" s="1"/>
  <c r="DA213" i="1"/>
  <c r="CX213" i="1"/>
  <c r="CW213" i="1" s="1"/>
  <c r="BJ213" i="1"/>
  <c r="BG213" i="1"/>
  <c r="BF213" i="1" s="1"/>
  <c r="BD213" i="1"/>
  <c r="AT213" i="1"/>
  <c r="AP213" i="1"/>
  <c r="AR213" i="1" s="1"/>
  <c r="AG213" i="1"/>
  <c r="W213" i="1" s="1"/>
  <c r="M213" i="1"/>
  <c r="AS926" i="1"/>
  <c r="AP926" i="1"/>
  <c r="AR926" i="1" s="1"/>
  <c r="AG926" i="1"/>
  <c r="W926" i="1" s="1"/>
  <c r="DD209" i="1"/>
  <c r="DA209" i="1"/>
  <c r="CZ209" i="1" s="1"/>
  <c r="CX209" i="1"/>
  <c r="BJ209" i="1"/>
  <c r="BG209" i="1"/>
  <c r="BD209" i="1"/>
  <c r="BC209" i="1" s="1"/>
  <c r="AT209" i="1"/>
  <c r="AP209" i="1"/>
  <c r="AR209" i="1" s="1"/>
  <c r="AG209" i="1"/>
  <c r="W209" i="1" s="1"/>
  <c r="M209" i="1"/>
  <c r="DD206" i="1"/>
  <c r="DE206" i="1" s="1"/>
  <c r="DA206" i="1"/>
  <c r="CX206" i="1"/>
  <c r="CW206" i="1" s="1"/>
  <c r="BJ206" i="1"/>
  <c r="BI206" i="1" s="1"/>
  <c r="BG206" i="1"/>
  <c r="BF206" i="1" s="1"/>
  <c r="BD206" i="1"/>
  <c r="AT206" i="1"/>
  <c r="AP206" i="1"/>
  <c r="AR206" i="1" s="1"/>
  <c r="AG206" i="1"/>
  <c r="W206" i="1" s="1"/>
  <c r="M206" i="1"/>
  <c r="DD916" i="1"/>
  <c r="DC916" i="1" s="1"/>
  <c r="DA916" i="1"/>
  <c r="CX916" i="1"/>
  <c r="AT916" i="1"/>
  <c r="AP916" i="1"/>
  <c r="AR916" i="1" s="1"/>
  <c r="AG916" i="1"/>
  <c r="W916" i="1" s="1"/>
  <c r="M916" i="1"/>
  <c r="DD906" i="1"/>
  <c r="DC906" i="1" s="1"/>
  <c r="DA906" i="1"/>
  <c r="DB906" i="1" s="1"/>
  <c r="CX906" i="1"/>
  <c r="CY906" i="1" s="1"/>
  <c r="BJ906" i="1"/>
  <c r="BG906" i="1"/>
  <c r="BF906" i="1" s="1"/>
  <c r="BD906" i="1"/>
  <c r="BC906" i="1" s="1"/>
  <c r="AT906" i="1"/>
  <c r="AP906" i="1"/>
  <c r="AR906" i="1" s="1"/>
  <c r="AG906" i="1"/>
  <c r="W906" i="1" s="1"/>
  <c r="M906" i="1"/>
  <c r="DD190" i="1"/>
  <c r="DA190" i="1"/>
  <c r="CZ190" i="1" s="1"/>
  <c r="CX190" i="1"/>
  <c r="BJ190" i="1"/>
  <c r="BG190" i="1"/>
  <c r="BD190" i="1"/>
  <c r="BC190" i="1" s="1"/>
  <c r="AT190" i="1"/>
  <c r="AP190" i="1"/>
  <c r="AR190" i="1" s="1"/>
  <c r="AG190" i="1"/>
  <c r="W190" i="1" s="1"/>
  <c r="M190" i="1"/>
  <c r="DD896" i="1"/>
  <c r="DA896" i="1"/>
  <c r="CX896" i="1"/>
  <c r="CW896" i="1" s="1"/>
  <c r="BJ896" i="1"/>
  <c r="BI896" i="1" s="1"/>
  <c r="BG896" i="1"/>
  <c r="BD896" i="1"/>
  <c r="AT896" i="1"/>
  <c r="AP896" i="1"/>
  <c r="AR896" i="1" s="1"/>
  <c r="AG896" i="1"/>
  <c r="W896" i="1" s="1"/>
  <c r="M896" i="1"/>
  <c r="DD183" i="1"/>
  <c r="DC183" i="1" s="1"/>
  <c r="DA183" i="1"/>
  <c r="CX183" i="1"/>
  <c r="BJ183" i="1"/>
  <c r="BI183" i="1" s="1"/>
  <c r="BG183" i="1"/>
  <c r="BD183" i="1"/>
  <c r="BC183" i="1" s="1"/>
  <c r="AT183" i="1"/>
  <c r="AP183" i="1"/>
  <c r="AR183" i="1" s="1"/>
  <c r="AG183" i="1"/>
  <c r="W183" i="1" s="1"/>
  <c r="M183" i="1"/>
  <c r="DD891" i="1"/>
  <c r="DA891" i="1"/>
  <c r="CX891" i="1"/>
  <c r="CW891" i="1" s="1"/>
  <c r="BJ891" i="1"/>
  <c r="BG891" i="1"/>
  <c r="BF891" i="1" s="1"/>
  <c r="BD891" i="1"/>
  <c r="AT891" i="1"/>
  <c r="AP891" i="1"/>
  <c r="AR891" i="1" s="1"/>
  <c r="AG891" i="1"/>
  <c r="W891" i="1" s="1"/>
  <c r="M891" i="1"/>
  <c r="DR371" i="1"/>
  <c r="DE371" i="1"/>
  <c r="DB371" i="1"/>
  <c r="CY371" i="1"/>
  <c r="BK371" i="1"/>
  <c r="BH371" i="1"/>
  <c r="BE371" i="1"/>
  <c r="AP371" i="1"/>
  <c r="AR371" i="1" s="1"/>
  <c r="AG371" i="1"/>
  <c r="W371" i="1" s="1"/>
  <c r="M371" i="1"/>
  <c r="DR1097" i="1"/>
  <c r="AP1097" i="1"/>
  <c r="AR1097" i="1" s="1"/>
  <c r="AG1097" i="1"/>
  <c r="W1097" i="1" s="1"/>
  <c r="M1097" i="1"/>
  <c r="DR367" i="1"/>
  <c r="AP367" i="1"/>
  <c r="AR367" i="1" s="1"/>
  <c r="AG367" i="1"/>
  <c r="W367" i="1" s="1"/>
  <c r="M367" i="1"/>
  <c r="DR1094" i="1"/>
  <c r="DA1094" i="1"/>
  <c r="CX1094" i="1"/>
  <c r="BJ1094" i="1"/>
  <c r="BI1094" i="1" s="1"/>
  <c r="BG1094" i="1"/>
  <c r="BD1094" i="1"/>
  <c r="AT1094" i="1"/>
  <c r="AP1094" i="1"/>
  <c r="AR1094" i="1" s="1"/>
  <c r="AG1094" i="1"/>
  <c r="W1094" i="1" s="1"/>
  <c r="M1094" i="1"/>
  <c r="DR363" i="1"/>
  <c r="AP363" i="1"/>
  <c r="AR363" i="1" s="1"/>
  <c r="AG363" i="1"/>
  <c r="W363" i="1" s="1"/>
  <c r="M363" i="1"/>
  <c r="DR1092" i="1"/>
  <c r="DE1092" i="1"/>
  <c r="DA1092" i="1"/>
  <c r="CX1092" i="1"/>
  <c r="CY1092" i="1" s="1"/>
  <c r="BJ1092" i="1"/>
  <c r="BG1092" i="1"/>
  <c r="BF1092" i="1" s="1"/>
  <c r="BD1092" i="1"/>
  <c r="BE1092" i="1" s="1"/>
  <c r="AT1092" i="1"/>
  <c r="AP1092" i="1"/>
  <c r="AR1092" i="1" s="1"/>
  <c r="AG1092" i="1"/>
  <c r="W1092" i="1" s="1"/>
  <c r="M1092" i="1"/>
  <c r="DR362" i="1"/>
  <c r="AP362" i="1"/>
  <c r="AR362" i="1" s="1"/>
  <c r="AG362" i="1"/>
  <c r="W362" i="1" s="1"/>
  <c r="M362" i="1"/>
  <c r="DR1090" i="1"/>
  <c r="AP1090" i="1"/>
  <c r="AR1090" i="1" s="1"/>
  <c r="AG1090" i="1"/>
  <c r="W1090" i="1" s="1"/>
  <c r="M1090" i="1"/>
  <c r="DR1018" i="1"/>
  <c r="DD1018" i="1"/>
  <c r="DA1018" i="1"/>
  <c r="CX1018" i="1"/>
  <c r="BJ1018" i="1"/>
  <c r="BI1018" i="1" s="1"/>
  <c r="BG1018" i="1"/>
  <c r="BF1018" i="1" s="1"/>
  <c r="BD1018" i="1"/>
  <c r="AT1018" i="1"/>
  <c r="AP1018" i="1"/>
  <c r="AR1018" i="1" s="1"/>
  <c r="AG1018" i="1"/>
  <c r="W1018" i="1" s="1"/>
  <c r="M1018" i="1"/>
  <c r="DR288" i="1"/>
  <c r="AP288" i="1"/>
  <c r="AR288" i="1" s="1"/>
  <c r="AG288" i="1"/>
  <c r="W288" i="1" s="1"/>
  <c r="M288" i="1"/>
  <c r="DR1010" i="1"/>
  <c r="DA1010" i="1"/>
  <c r="CX1010" i="1"/>
  <c r="BJ1010" i="1"/>
  <c r="BI1010" i="1" s="1"/>
  <c r="BG1010" i="1"/>
  <c r="BD1010" i="1"/>
  <c r="AT1010" i="1"/>
  <c r="AP1010" i="1"/>
  <c r="AR1010" i="1" s="1"/>
  <c r="AG1010" i="1"/>
  <c r="W1010" i="1" s="1"/>
  <c r="N1010" i="1"/>
  <c r="M1010" i="1"/>
  <c r="DR277" i="1"/>
  <c r="DA277" i="1"/>
  <c r="CZ277" i="1" s="1"/>
  <c r="CX277" i="1"/>
  <c r="BJ277" i="1"/>
  <c r="BI277" i="1" s="1"/>
  <c r="BG277" i="1"/>
  <c r="BD277" i="1"/>
  <c r="AT277" i="1"/>
  <c r="AP277" i="1"/>
  <c r="AR277" i="1" s="1"/>
  <c r="AG277" i="1"/>
  <c r="W277" i="1" s="1"/>
  <c r="M277" i="1"/>
  <c r="DR884" i="1"/>
  <c r="AP884" i="1"/>
  <c r="AR884" i="1" s="1"/>
  <c r="AG884" i="1"/>
  <c r="W884" i="1" s="1"/>
  <c r="M884" i="1"/>
  <c r="DR162" i="1"/>
  <c r="AS162" i="1"/>
  <c r="AP162" i="1"/>
  <c r="AR162" i="1" s="1"/>
  <c r="AG162" i="1"/>
  <c r="W162" i="1" s="1"/>
  <c r="M162" i="1"/>
  <c r="DR148" i="1"/>
  <c r="DA148" i="1"/>
  <c r="CX148" i="1"/>
  <c r="CW148" i="1" s="1"/>
  <c r="BJ148" i="1"/>
  <c r="BG148" i="1"/>
  <c r="BD148" i="1"/>
  <c r="AT148" i="1"/>
  <c r="AP148" i="1"/>
  <c r="AR148" i="1" s="1"/>
  <c r="AG148" i="1"/>
  <c r="W148" i="1" s="1"/>
  <c r="M148" i="1"/>
  <c r="DR358" i="1"/>
  <c r="AP358" i="1"/>
  <c r="AR358" i="1" s="1"/>
  <c r="AG358" i="1"/>
  <c r="W358" i="1" s="1"/>
  <c r="M358" i="1"/>
  <c r="DR1085" i="1"/>
  <c r="AP1085" i="1"/>
  <c r="AR1085" i="1" s="1"/>
  <c r="AG1085" i="1"/>
  <c r="W1085" i="1" s="1"/>
  <c r="M1085" i="1"/>
  <c r="DR357" i="1"/>
  <c r="AP357" i="1"/>
  <c r="AR357" i="1" s="1"/>
  <c r="AG357" i="1"/>
  <c r="W357" i="1" s="1"/>
  <c r="M357" i="1"/>
  <c r="DR284" i="1"/>
  <c r="AP284" i="1"/>
  <c r="AR284" i="1" s="1"/>
  <c r="AG284" i="1"/>
  <c r="W284" i="1" s="1"/>
  <c r="M284" i="1"/>
  <c r="DR868" i="1"/>
  <c r="AP868" i="1"/>
  <c r="AR868" i="1" s="1"/>
  <c r="AG868" i="1"/>
  <c r="W868" i="1" s="1"/>
  <c r="M868" i="1"/>
  <c r="DR864" i="1"/>
  <c r="AP864" i="1"/>
  <c r="AR864" i="1" s="1"/>
  <c r="AG864" i="1"/>
  <c r="W864" i="1" s="1"/>
  <c r="M864" i="1"/>
  <c r="DR152" i="1"/>
  <c r="AP152" i="1"/>
  <c r="AR152" i="1" s="1"/>
  <c r="AG152" i="1"/>
  <c r="W152" i="1" s="1"/>
  <c r="M152" i="1"/>
  <c r="DR854" i="1"/>
  <c r="AP854" i="1"/>
  <c r="AR854" i="1" s="1"/>
  <c r="AG854" i="1"/>
  <c r="W854" i="1" s="1"/>
  <c r="M854" i="1"/>
  <c r="DR1083" i="1"/>
  <c r="AP1083" i="1"/>
  <c r="AR1083" i="1" s="1"/>
  <c r="AG1083" i="1"/>
  <c r="W1083" i="1" s="1"/>
  <c r="M1083" i="1"/>
  <c r="DR354" i="1"/>
  <c r="CZ354" i="1"/>
  <c r="CW354" i="1"/>
  <c r="BI354" i="1"/>
  <c r="BF354" i="1"/>
  <c r="BC354" i="1"/>
  <c r="AP354" i="1"/>
  <c r="AR354" i="1" s="1"/>
  <c r="AG354" i="1"/>
  <c r="W354" i="1" s="1"/>
  <c r="M354" i="1"/>
  <c r="DR272" i="1"/>
  <c r="AS272" i="1"/>
  <c r="AP272" i="1"/>
  <c r="AR272" i="1" s="1"/>
  <c r="AG272" i="1"/>
  <c r="W272" i="1" s="1"/>
  <c r="M272" i="1"/>
  <c r="DR141" i="1"/>
  <c r="AP141" i="1"/>
  <c r="AG141" i="1"/>
  <c r="W141" i="1" s="1"/>
  <c r="M141" i="1"/>
  <c r="DR1080" i="1"/>
  <c r="CZ1080" i="1"/>
  <c r="CW1080" i="1"/>
  <c r="BK1080" i="1"/>
  <c r="BI1080" i="1"/>
  <c r="BF1080" i="1"/>
  <c r="BC1080" i="1"/>
  <c r="AP1080" i="1"/>
  <c r="AR1080" i="1" s="1"/>
  <c r="AG1080" i="1"/>
  <c r="W1080" i="1" s="1"/>
  <c r="M1080" i="1"/>
  <c r="DR353" i="1"/>
  <c r="AP353" i="1"/>
  <c r="AR353" i="1" s="1"/>
  <c r="AG353" i="1"/>
  <c r="W353" i="1" s="1"/>
  <c r="M353" i="1"/>
  <c r="DR1077" i="1"/>
  <c r="BK1077" i="1"/>
  <c r="AP1077" i="1"/>
  <c r="AR1077" i="1" s="1"/>
  <c r="AG1077" i="1"/>
  <c r="W1077" i="1" s="1"/>
  <c r="N1077" i="1"/>
  <c r="M1077" i="1"/>
  <c r="DR350" i="1"/>
  <c r="AS350" i="1"/>
  <c r="AP350" i="1"/>
  <c r="AR350" i="1" s="1"/>
  <c r="AG350" i="1"/>
  <c r="W350" i="1" s="1"/>
  <c r="M350" i="1"/>
  <c r="DR1075" i="1"/>
  <c r="AP1075" i="1"/>
  <c r="AR1075" i="1" s="1"/>
  <c r="AG1075" i="1"/>
  <c r="W1075" i="1" s="1"/>
  <c r="M1075" i="1"/>
  <c r="DR346" i="1"/>
  <c r="CZ346" i="1"/>
  <c r="CW346" i="1"/>
  <c r="BI346" i="1"/>
  <c r="BF346" i="1"/>
  <c r="BC346" i="1"/>
  <c r="AP346" i="1"/>
  <c r="AR346" i="1" s="1"/>
  <c r="AG346" i="1"/>
  <c r="W346" i="1" s="1"/>
  <c r="M346" i="1"/>
  <c r="DR1072" i="1"/>
  <c r="AP1072" i="1"/>
  <c r="AR1072" i="1" s="1"/>
  <c r="AG1072" i="1"/>
  <c r="W1072" i="1" s="1"/>
  <c r="M1072" i="1"/>
  <c r="DR344" i="1"/>
  <c r="AP344" i="1"/>
  <c r="AR344" i="1" s="1"/>
  <c r="AG344" i="1"/>
  <c r="W344" i="1" s="1"/>
  <c r="M344" i="1"/>
  <c r="DR342" i="1"/>
  <c r="AP342" i="1"/>
  <c r="AR342" i="1" s="1"/>
  <c r="AG342" i="1"/>
  <c r="W342" i="1" s="1"/>
  <c r="M342" i="1"/>
  <c r="DR1069" i="1"/>
  <c r="AS1069" i="1"/>
  <c r="AP1069" i="1"/>
  <c r="AR1069" i="1" s="1"/>
  <c r="AG1069" i="1"/>
  <c r="W1069" i="1" s="1"/>
  <c r="M1069" i="1"/>
  <c r="DR341" i="1"/>
  <c r="AP341" i="1"/>
  <c r="AR341" i="1" s="1"/>
  <c r="AG341" i="1"/>
  <c r="W341" i="1" s="1"/>
  <c r="M341" i="1"/>
  <c r="DR1067" i="1"/>
  <c r="CZ1067" i="1"/>
  <c r="CW1067" i="1"/>
  <c r="BI1067" i="1"/>
  <c r="BF1067" i="1"/>
  <c r="BC1067" i="1"/>
  <c r="AP1067" i="1"/>
  <c r="AR1067" i="1" s="1"/>
  <c r="AG1067" i="1"/>
  <c r="W1067" i="1" s="1"/>
  <c r="M1067" i="1"/>
  <c r="DR340" i="1"/>
  <c r="AS340" i="1"/>
  <c r="AP340" i="1"/>
  <c r="AR340" i="1" s="1"/>
  <c r="AG340" i="1"/>
  <c r="W340" i="1" s="1"/>
  <c r="M340" i="1"/>
  <c r="DR1003" i="1"/>
  <c r="AS1003" i="1"/>
  <c r="AP1003" i="1"/>
  <c r="AR1003" i="1" s="1"/>
  <c r="AG1003" i="1"/>
  <c r="W1003" i="1" s="1"/>
  <c r="M1003" i="1"/>
  <c r="AP274" i="1"/>
  <c r="AR274" i="1" s="1"/>
  <c r="AG274" i="1"/>
  <c r="W274" i="1" s="1"/>
  <c r="DR1000" i="1"/>
  <c r="AP1000" i="1"/>
  <c r="AR1000" i="1" s="1"/>
  <c r="AG1000" i="1"/>
  <c r="W1000" i="1" s="1"/>
  <c r="M1000" i="1"/>
  <c r="DR997" i="1"/>
  <c r="AP997" i="1"/>
  <c r="AR997" i="1" s="1"/>
  <c r="AG997" i="1"/>
  <c r="W997" i="1" s="1"/>
  <c r="M997" i="1"/>
  <c r="DR269" i="1"/>
  <c r="AP269" i="1"/>
  <c r="AR269" i="1" s="1"/>
  <c r="AG269" i="1"/>
  <c r="W269" i="1" s="1"/>
  <c r="M269" i="1"/>
  <c r="DR138" i="1"/>
  <c r="AP138" i="1"/>
  <c r="AR138" i="1" s="1"/>
  <c r="AG138" i="1"/>
  <c r="W138" i="1" s="1"/>
  <c r="M138" i="1"/>
  <c r="DR133" i="1"/>
  <c r="AP133" i="1"/>
  <c r="AR133" i="1" s="1"/>
  <c r="AG133" i="1"/>
  <c r="W133" i="1" s="1"/>
  <c r="M133" i="1"/>
  <c r="DR1066" i="1"/>
  <c r="AP1066" i="1"/>
  <c r="AR1066" i="1" s="1"/>
  <c r="AG1066" i="1"/>
  <c r="W1066" i="1" s="1"/>
  <c r="M1066" i="1"/>
  <c r="DR338" i="1"/>
  <c r="AP338" i="1"/>
  <c r="AR338" i="1" s="1"/>
  <c r="AG338" i="1"/>
  <c r="W338" i="1" s="1"/>
  <c r="M338" i="1"/>
  <c r="DR1065" i="1"/>
  <c r="AP1065" i="1"/>
  <c r="AR1065" i="1" s="1"/>
  <c r="AG1065" i="1"/>
  <c r="W1065" i="1" s="1"/>
  <c r="M1065" i="1"/>
  <c r="DR337" i="1"/>
  <c r="AP337" i="1"/>
  <c r="AR337" i="1" s="1"/>
  <c r="AG337" i="1"/>
  <c r="W337" i="1" s="1"/>
  <c r="M337" i="1"/>
  <c r="DR1061" i="1"/>
  <c r="AP1061" i="1"/>
  <c r="AR1061" i="1" s="1"/>
  <c r="AG1061" i="1"/>
  <c r="W1061" i="1" s="1"/>
  <c r="M1061" i="1"/>
  <c r="DR334" i="1"/>
  <c r="AP334" i="1"/>
  <c r="AR334" i="1" s="1"/>
  <c r="AG334" i="1"/>
  <c r="W334" i="1" s="1"/>
  <c r="M334" i="1"/>
  <c r="DR1058" i="1"/>
  <c r="AP1058" i="1"/>
  <c r="AR1058" i="1" s="1"/>
  <c r="AG1058" i="1"/>
  <c r="W1058" i="1" s="1"/>
  <c r="M1058" i="1"/>
  <c r="DR332" i="1"/>
  <c r="AP332" i="1"/>
  <c r="AR332" i="1" s="1"/>
  <c r="AG332" i="1"/>
  <c r="W332" i="1" s="1"/>
  <c r="M332" i="1"/>
  <c r="DR1055" i="1"/>
  <c r="AP1055" i="1"/>
  <c r="AR1055" i="1" s="1"/>
  <c r="AG1055" i="1"/>
  <c r="W1055" i="1" s="1"/>
  <c r="M1055" i="1"/>
  <c r="DR960" i="1"/>
  <c r="AP960" i="1"/>
  <c r="AR960" i="1" s="1"/>
  <c r="AG960" i="1"/>
  <c r="W960" i="1" s="1"/>
  <c r="M960" i="1"/>
  <c r="DR329" i="1"/>
  <c r="BE329" i="1"/>
  <c r="AP329" i="1"/>
  <c r="AR329" i="1" s="1"/>
  <c r="AG329" i="1"/>
  <c r="W329" i="1" s="1"/>
  <c r="M329" i="1"/>
  <c r="DR1051" i="1"/>
  <c r="AP1051" i="1"/>
  <c r="AR1051" i="1" s="1"/>
  <c r="AG1051" i="1"/>
  <c r="W1051" i="1" s="1"/>
  <c r="M1051" i="1"/>
  <c r="DR325" i="1"/>
  <c r="AP325" i="1"/>
  <c r="AR325" i="1" s="1"/>
  <c r="AG325" i="1"/>
  <c r="W325" i="1" s="1"/>
  <c r="M325" i="1"/>
  <c r="DR1048" i="1"/>
  <c r="DB1048" i="1"/>
  <c r="BL1048" i="1"/>
  <c r="AP1048" i="1"/>
  <c r="AR1048" i="1" s="1"/>
  <c r="AG1048" i="1"/>
  <c r="W1048" i="1" s="1"/>
  <c r="M1048" i="1"/>
  <c r="DR323" i="1"/>
  <c r="AP323" i="1"/>
  <c r="AR323" i="1" s="1"/>
  <c r="AG323" i="1"/>
  <c r="W323" i="1" s="1"/>
  <c r="M323" i="1"/>
  <c r="DR1045" i="1"/>
  <c r="AP1045" i="1"/>
  <c r="AR1045" i="1" s="1"/>
  <c r="AG1045" i="1"/>
  <c r="W1045" i="1" s="1"/>
  <c r="M1045" i="1"/>
  <c r="DR322" i="1"/>
  <c r="AP322" i="1"/>
  <c r="AR322" i="1" s="1"/>
  <c r="AG322" i="1"/>
  <c r="W322" i="1" s="1"/>
  <c r="M322" i="1"/>
  <c r="DR1044" i="1"/>
  <c r="AP1044" i="1"/>
  <c r="AR1044" i="1" s="1"/>
  <c r="AG1044" i="1"/>
  <c r="W1044" i="1" s="1"/>
  <c r="M1044" i="1"/>
  <c r="DR320" i="1"/>
  <c r="AP320" i="1"/>
  <c r="AR320" i="1" s="1"/>
  <c r="AG320" i="1"/>
  <c r="W320" i="1" s="1"/>
  <c r="M320" i="1"/>
  <c r="DR1043" i="1"/>
  <c r="AP1043" i="1"/>
  <c r="AR1043" i="1" s="1"/>
  <c r="AG1043" i="1"/>
  <c r="W1043" i="1" s="1"/>
  <c r="M1043" i="1"/>
  <c r="DR319" i="1"/>
  <c r="DE319" i="1"/>
  <c r="AP319" i="1"/>
  <c r="AR319" i="1" s="1"/>
  <c r="AG319" i="1"/>
  <c r="W319" i="1" s="1"/>
  <c r="M319" i="1"/>
  <c r="DR1042" i="1"/>
  <c r="BB1042" i="1"/>
  <c r="AP1042" i="1"/>
  <c r="AR1042" i="1" s="1"/>
  <c r="AG1042" i="1"/>
  <c r="W1042" i="1" s="1"/>
  <c r="M1042" i="1"/>
  <c r="DR315" i="1"/>
  <c r="AP315" i="1"/>
  <c r="AR315" i="1" s="1"/>
  <c r="AG315" i="1"/>
  <c r="W315" i="1" s="1"/>
  <c r="M315" i="1"/>
  <c r="DR1038" i="1"/>
  <c r="AP1038" i="1"/>
  <c r="AR1038" i="1" s="1"/>
  <c r="AG1038" i="1"/>
  <c r="W1038" i="1" s="1"/>
  <c r="M1038" i="1"/>
  <c r="DR992" i="1"/>
  <c r="AP992" i="1"/>
  <c r="AR992" i="1" s="1"/>
  <c r="AG992" i="1"/>
  <c r="W992" i="1" s="1"/>
  <c r="M992" i="1"/>
  <c r="DR986" i="1"/>
  <c r="AP986" i="1"/>
  <c r="AR986" i="1" s="1"/>
  <c r="AG986" i="1"/>
  <c r="W986" i="1" s="1"/>
  <c r="M986" i="1"/>
  <c r="DR262" i="1"/>
  <c r="AP262" i="1"/>
  <c r="AR262" i="1" s="1"/>
  <c r="AG262" i="1"/>
  <c r="W262" i="1" s="1"/>
  <c r="M262" i="1"/>
  <c r="DR980" i="1"/>
  <c r="AP980" i="1"/>
  <c r="AR980" i="1" s="1"/>
  <c r="AG980" i="1"/>
  <c r="W980" i="1" s="1"/>
  <c r="M980" i="1"/>
  <c r="DR259" i="1"/>
  <c r="AS259" i="1"/>
  <c r="AP259" i="1"/>
  <c r="AR259" i="1" s="1"/>
  <c r="AG259" i="1"/>
  <c r="W259" i="1" s="1"/>
  <c r="M259" i="1"/>
  <c r="DR978" i="1"/>
  <c r="BK978" i="1"/>
  <c r="AP978" i="1"/>
  <c r="AR978" i="1" s="1"/>
  <c r="AG978" i="1"/>
  <c r="W978" i="1" s="1"/>
  <c r="M978" i="1"/>
  <c r="DR257" i="1"/>
  <c r="AS257" i="1"/>
  <c r="AP257" i="1"/>
  <c r="AR257" i="1" s="1"/>
  <c r="AG257" i="1"/>
  <c r="W257" i="1" s="1"/>
  <c r="M257" i="1"/>
  <c r="DR972" i="1"/>
  <c r="AP972" i="1"/>
  <c r="AR972" i="1" s="1"/>
  <c r="AG972" i="1"/>
  <c r="W972" i="1" s="1"/>
  <c r="M972" i="1"/>
  <c r="DR967" i="1"/>
  <c r="AP967" i="1"/>
  <c r="AR967" i="1" s="1"/>
  <c r="AG967" i="1"/>
  <c r="W967" i="1" s="1"/>
  <c r="M967" i="1"/>
  <c r="DR253" i="1"/>
  <c r="BB253" i="1"/>
  <c r="AP253" i="1"/>
  <c r="AR253" i="1" s="1"/>
  <c r="AG253" i="1"/>
  <c r="W253" i="1" s="1"/>
  <c r="M253" i="1"/>
  <c r="DR250" i="1"/>
  <c r="BB250" i="1"/>
  <c r="AP250" i="1"/>
  <c r="AR250" i="1" s="1"/>
  <c r="AG250" i="1"/>
  <c r="W250" i="1" s="1"/>
  <c r="M250" i="1"/>
  <c r="DR962" i="1"/>
  <c r="DE962" i="1"/>
  <c r="AP962" i="1"/>
  <c r="AR962" i="1" s="1"/>
  <c r="AG962" i="1"/>
  <c r="W962" i="1" s="1"/>
  <c r="M962" i="1"/>
  <c r="DR247" i="1"/>
  <c r="AP247" i="1"/>
  <c r="AR247" i="1" s="1"/>
  <c r="AG247" i="1"/>
  <c r="W247" i="1" s="1"/>
  <c r="M247" i="1"/>
  <c r="DR955" i="1"/>
  <c r="AP955" i="1"/>
  <c r="AR955" i="1" s="1"/>
  <c r="AG955" i="1"/>
  <c r="W955" i="1" s="1"/>
  <c r="M955" i="1"/>
  <c r="DR950" i="1"/>
  <c r="AP950" i="1"/>
  <c r="AR950" i="1" s="1"/>
  <c r="AG950" i="1"/>
  <c r="W950" i="1" s="1"/>
  <c r="M950" i="1"/>
  <c r="DR241" i="1"/>
  <c r="AP241" i="1"/>
  <c r="AR241" i="1" s="1"/>
  <c r="AG241" i="1"/>
  <c r="W241" i="1" s="1"/>
  <c r="M241" i="1"/>
  <c r="DR1035" i="1"/>
  <c r="AP1035" i="1"/>
  <c r="AR1035" i="1" s="1"/>
  <c r="AG1035" i="1"/>
  <c r="W1035" i="1" s="1"/>
  <c r="M1035" i="1"/>
  <c r="DR313" i="1"/>
  <c r="AP313" i="1"/>
  <c r="AR313" i="1" s="1"/>
  <c r="AG313" i="1"/>
  <c r="W313" i="1" s="1"/>
  <c r="M313" i="1"/>
  <c r="DR1032" i="1"/>
  <c r="AP1032" i="1"/>
  <c r="AR1032" i="1" s="1"/>
  <c r="AG1032" i="1"/>
  <c r="W1032" i="1" s="1"/>
  <c r="M1032" i="1"/>
  <c r="DR311" i="1"/>
  <c r="AP311" i="1"/>
  <c r="AR311" i="1" s="1"/>
  <c r="AG311" i="1"/>
  <c r="W311" i="1" s="1"/>
  <c r="M311" i="1"/>
  <c r="DR1030" i="1"/>
  <c r="DD1030" i="1"/>
  <c r="DA1030" i="1"/>
  <c r="CX1030" i="1"/>
  <c r="BJ1030" i="1"/>
  <c r="BI1030" i="1" s="1"/>
  <c r="BG1030" i="1"/>
  <c r="BF1030" i="1" s="1"/>
  <c r="BD1030" i="1"/>
  <c r="AP1030" i="1"/>
  <c r="AR1030" i="1" s="1"/>
  <c r="AG1030" i="1"/>
  <c r="W1030" i="1" s="1"/>
  <c r="M1030" i="1"/>
  <c r="DR228" i="1"/>
  <c r="BB228" i="1"/>
  <c r="AP228" i="1"/>
  <c r="AR228" i="1" s="1"/>
  <c r="AG228" i="1"/>
  <c r="W228" i="1" s="1"/>
  <c r="M228" i="1"/>
  <c r="DR1456" i="1"/>
  <c r="M1456" i="1"/>
  <c r="DR307" i="1"/>
  <c r="CT307" i="1"/>
  <c r="CS307" i="1" s="1"/>
  <c r="BA307" i="1"/>
  <c r="AP307" i="1"/>
  <c r="AR307" i="1" s="1"/>
  <c r="AG307" i="1"/>
  <c r="W307" i="1" s="1"/>
  <c r="M307" i="1"/>
  <c r="DR1026" i="1"/>
  <c r="CT1026" i="1"/>
  <c r="CS1026" i="1" s="1"/>
  <c r="BA1026" i="1"/>
  <c r="AP1026" i="1"/>
  <c r="AR1026" i="1" s="1"/>
  <c r="AG1026" i="1"/>
  <c r="W1026" i="1" s="1"/>
  <c r="M1026" i="1"/>
  <c r="DR1024" i="1"/>
  <c r="CT1024" i="1"/>
  <c r="CS1024" i="1" s="1"/>
  <c r="BA1024" i="1"/>
  <c r="AZ1024" i="1" s="1"/>
  <c r="AP1024" i="1"/>
  <c r="AR1024" i="1" s="1"/>
  <c r="AG1024" i="1"/>
  <c r="W1024" i="1" s="1"/>
  <c r="N1024" i="1"/>
  <c r="M1024" i="1"/>
  <c r="DR303" i="1"/>
  <c r="CT303" i="1"/>
  <c r="CS303" i="1" s="1"/>
  <c r="BA303" i="1"/>
  <c r="AZ303" i="1" s="1"/>
  <c r="AP303" i="1"/>
  <c r="AR303" i="1" s="1"/>
  <c r="AG303" i="1"/>
  <c r="W303" i="1" s="1"/>
  <c r="M303" i="1"/>
  <c r="DR301" i="1"/>
  <c r="DB301" i="1"/>
  <c r="CT301" i="1"/>
  <c r="CS301" i="1" s="1"/>
  <c r="BA301" i="1"/>
  <c r="AP301" i="1"/>
  <c r="AR301" i="1" s="1"/>
  <c r="AG301" i="1"/>
  <c r="W301" i="1" s="1"/>
  <c r="M301" i="1"/>
  <c r="DR1023" i="1"/>
  <c r="DD1023" i="1"/>
  <c r="DA1023" i="1"/>
  <c r="CX1023" i="1"/>
  <c r="CW1023" i="1" s="1"/>
  <c r="BJ1023" i="1"/>
  <c r="BG1023" i="1"/>
  <c r="BF1023" i="1" s="1"/>
  <c r="BD1023" i="1"/>
  <c r="AP1023" i="1"/>
  <c r="AR1023" i="1" s="1"/>
  <c r="AG1023" i="1"/>
  <c r="W1023" i="1" s="1"/>
  <c r="M1023" i="1"/>
  <c r="DR298" i="1"/>
  <c r="CY298" i="1"/>
  <c r="CT298" i="1"/>
  <c r="CS298" i="1" s="1"/>
  <c r="BA298" i="1"/>
  <c r="AZ298" i="1" s="1"/>
  <c r="AP298" i="1"/>
  <c r="AR298" i="1" s="1"/>
  <c r="AG298" i="1"/>
  <c r="W298" i="1" s="1"/>
  <c r="M298" i="1"/>
  <c r="DR1022" i="1"/>
  <c r="CT1022" i="1"/>
  <c r="CS1022" i="1" s="1"/>
  <c r="BA1022" i="1"/>
  <c r="AZ1022" i="1" s="1"/>
  <c r="AP1022" i="1"/>
  <c r="AR1022" i="1" s="1"/>
  <c r="AG1022" i="1"/>
  <c r="W1022" i="1" s="1"/>
  <c r="M1022" i="1"/>
  <c r="DR235" i="1"/>
  <c r="CT235" i="1"/>
  <c r="CS235" i="1" s="1"/>
  <c r="BA235" i="1"/>
  <c r="AZ235" i="1" s="1"/>
  <c r="AP235" i="1"/>
  <c r="AR235" i="1" s="1"/>
  <c r="AG235" i="1"/>
  <c r="W235" i="1" s="1"/>
  <c r="M235" i="1"/>
  <c r="DR936" i="1"/>
  <c r="CT936" i="1"/>
  <c r="CS936" i="1" s="1"/>
  <c r="BA936" i="1"/>
  <c r="AP936" i="1"/>
  <c r="AR936" i="1" s="1"/>
  <c r="AG936" i="1"/>
  <c r="W936" i="1" s="1"/>
  <c r="M936" i="1"/>
  <c r="DR933" i="1"/>
  <c r="CT933" i="1"/>
  <c r="CS933" i="1" s="1"/>
  <c r="BA933" i="1"/>
  <c r="AZ933" i="1" s="1"/>
  <c r="AP933" i="1"/>
  <c r="AR933" i="1" s="1"/>
  <c r="AG933" i="1"/>
  <c r="W933" i="1" s="1"/>
  <c r="M933" i="1"/>
  <c r="DR931" i="1"/>
  <c r="CT931" i="1"/>
  <c r="BA931" i="1"/>
  <c r="AZ931" i="1" s="1"/>
  <c r="AP931" i="1"/>
  <c r="AR931" i="1" s="1"/>
  <c r="AG931" i="1"/>
  <c r="W931" i="1" s="1"/>
  <c r="M931" i="1"/>
  <c r="DR208" i="1"/>
  <c r="DE208" i="1"/>
  <c r="CT208" i="1"/>
  <c r="CS208" i="1" s="1"/>
  <c r="BA208" i="1"/>
  <c r="AP208" i="1"/>
  <c r="AR208" i="1" s="1"/>
  <c r="AG208" i="1"/>
  <c r="W208" i="1" s="1"/>
  <c r="M208" i="1"/>
  <c r="CT912" i="1"/>
  <c r="CS912" i="1" s="1"/>
  <c r="BA912" i="1"/>
  <c r="AZ912" i="1" s="1"/>
  <c r="AP912" i="1"/>
  <c r="AR912" i="1" s="1"/>
  <c r="AG912" i="1"/>
  <c r="W912" i="1" s="1"/>
  <c r="DR297" i="1"/>
  <c r="AS297" i="1"/>
  <c r="AP297" i="1"/>
  <c r="AR297" i="1" s="1"/>
  <c r="AG297" i="1"/>
  <c r="W297" i="1" s="1"/>
  <c r="M297" i="1"/>
  <c r="DR1021" i="1"/>
  <c r="CT1021" i="1"/>
  <c r="CS1021" i="1" s="1"/>
  <c r="BA1021" i="1"/>
  <c r="AP1021" i="1"/>
  <c r="AR1021" i="1" s="1"/>
  <c r="AG1021" i="1"/>
  <c r="W1021" i="1" s="1"/>
  <c r="M1021" i="1"/>
  <c r="DR295" i="1"/>
  <c r="CZ295" i="1"/>
  <c r="CW295" i="1"/>
  <c r="BI295" i="1"/>
  <c r="BF295" i="1"/>
  <c r="BC295" i="1"/>
  <c r="AP295" i="1"/>
  <c r="AR295" i="1" s="1"/>
  <c r="AG295" i="1"/>
  <c r="W295" i="1" s="1"/>
  <c r="M295" i="1"/>
  <c r="DR237" i="1"/>
  <c r="CT237" i="1"/>
  <c r="CS237" i="1" s="1"/>
  <c r="BA237" i="1"/>
  <c r="AZ237" i="1" s="1"/>
  <c r="AP237" i="1"/>
  <c r="AR237" i="1" s="1"/>
  <c r="AG237" i="1"/>
  <c r="W237" i="1" s="1"/>
  <c r="M237" i="1"/>
  <c r="DR945" i="1"/>
  <c r="CT945" i="1"/>
  <c r="CS945" i="1" s="1"/>
  <c r="BA945" i="1"/>
  <c r="AP945" i="1"/>
  <c r="AR945" i="1" s="1"/>
  <c r="AG945" i="1"/>
  <c r="W945" i="1" s="1"/>
  <c r="M945" i="1"/>
  <c r="DR221" i="1"/>
  <c r="CT221" i="1"/>
  <c r="CS221" i="1" s="1"/>
  <c r="BA221" i="1"/>
  <c r="AZ221" i="1" s="1"/>
  <c r="AP221" i="1"/>
  <c r="AR221" i="1" s="1"/>
  <c r="AG221" i="1"/>
  <c r="W221" i="1" s="1"/>
  <c r="M221" i="1"/>
  <c r="DR218" i="1"/>
  <c r="CT218" i="1"/>
  <c r="CS218" i="1" s="1"/>
  <c r="BA218" i="1"/>
  <c r="AP218" i="1"/>
  <c r="AR218" i="1" s="1"/>
  <c r="AG218" i="1"/>
  <c r="W218" i="1" s="1"/>
  <c r="M218" i="1"/>
  <c r="DR212" i="1"/>
  <c r="AS212" i="1"/>
  <c r="AP212" i="1"/>
  <c r="AR212" i="1" s="1"/>
  <c r="AG212" i="1"/>
  <c r="W212" i="1" s="1"/>
  <c r="M212" i="1"/>
  <c r="DR925" i="1"/>
  <c r="CT925" i="1"/>
  <c r="CS925" i="1" s="1"/>
  <c r="BA925" i="1"/>
  <c r="AZ925" i="1" s="1"/>
  <c r="AP925" i="1"/>
  <c r="AR925" i="1" s="1"/>
  <c r="AG925" i="1"/>
  <c r="W925" i="1" s="1"/>
  <c r="M925" i="1"/>
  <c r="DR921" i="1"/>
  <c r="CT921" i="1"/>
  <c r="CS921" i="1" s="1"/>
  <c r="BA921" i="1"/>
  <c r="AP921" i="1"/>
  <c r="AR921" i="1" s="1"/>
  <c r="AG921" i="1"/>
  <c r="W921" i="1" s="1"/>
  <c r="M921" i="1"/>
  <c r="DR205" i="1"/>
  <c r="CT205" i="1"/>
  <c r="CS205" i="1" s="1"/>
  <c r="BE205" i="1"/>
  <c r="BA205" i="1"/>
  <c r="AZ205" i="1" s="1"/>
  <c r="AP205" i="1"/>
  <c r="AR205" i="1" s="1"/>
  <c r="AG205" i="1"/>
  <c r="W205" i="1" s="1"/>
  <c r="M205" i="1"/>
  <c r="DR915" i="1"/>
  <c r="CT915" i="1"/>
  <c r="CS915" i="1" s="1"/>
  <c r="BA915" i="1"/>
  <c r="AP915" i="1"/>
  <c r="AR915" i="1" s="1"/>
  <c r="AG915" i="1"/>
  <c r="W915" i="1" s="1"/>
  <c r="M915" i="1"/>
  <c r="DR203" i="1"/>
  <c r="CT203" i="1"/>
  <c r="CS203" i="1" s="1"/>
  <c r="BA203" i="1"/>
  <c r="AZ203" i="1" s="1"/>
  <c r="AP203" i="1"/>
  <c r="AR203" i="1" s="1"/>
  <c r="AG203" i="1"/>
  <c r="W203" i="1" s="1"/>
  <c r="M203" i="1"/>
  <c r="DR197" i="1"/>
  <c r="CT197" i="1"/>
  <c r="CS197" i="1" s="1"/>
  <c r="BA197" i="1"/>
  <c r="AP197" i="1"/>
  <c r="AR197" i="1" s="1"/>
  <c r="AG197" i="1"/>
  <c r="W197" i="1" s="1"/>
  <c r="M197" i="1"/>
  <c r="DR910" i="1"/>
  <c r="CT910" i="1"/>
  <c r="CS910" i="1" s="1"/>
  <c r="BA910" i="1"/>
  <c r="AZ910" i="1" s="1"/>
  <c r="AP910" i="1"/>
  <c r="AR910" i="1" s="1"/>
  <c r="AG910" i="1"/>
  <c r="W910" i="1" s="1"/>
  <c r="M910" i="1"/>
  <c r="DR194" i="1"/>
  <c r="CT194" i="1"/>
  <c r="CS194" i="1" s="1"/>
  <c r="BA194" i="1"/>
  <c r="AP194" i="1"/>
  <c r="AR194" i="1" s="1"/>
  <c r="AG194" i="1"/>
  <c r="W194" i="1" s="1"/>
  <c r="M194" i="1"/>
  <c r="DR905" i="1"/>
  <c r="AS905" i="1"/>
  <c r="AP905" i="1"/>
  <c r="AR905" i="1" s="1"/>
  <c r="AG905" i="1"/>
  <c r="W905" i="1" s="1"/>
  <c r="M905" i="1"/>
  <c r="DR189" i="1"/>
  <c r="CT189" i="1"/>
  <c r="CS189" i="1" s="1"/>
  <c r="BK189" i="1"/>
  <c r="BA189" i="1"/>
  <c r="AZ189" i="1" s="1"/>
  <c r="AP189" i="1"/>
  <c r="AR189" i="1" s="1"/>
  <c r="AG189" i="1"/>
  <c r="W189" i="1" s="1"/>
  <c r="M189" i="1"/>
  <c r="DR900" i="1"/>
  <c r="DD900" i="1"/>
  <c r="DE900" i="1" s="1"/>
  <c r="DA900" i="1"/>
  <c r="CZ900" i="1" s="1"/>
  <c r="CX900" i="1"/>
  <c r="BJ900" i="1"/>
  <c r="BG900" i="1"/>
  <c r="BD900" i="1"/>
  <c r="BC900" i="1" s="1"/>
  <c r="AP900" i="1"/>
  <c r="AR900" i="1" s="1"/>
  <c r="AG900" i="1"/>
  <c r="W900" i="1" s="1"/>
  <c r="M900" i="1"/>
  <c r="DR898" i="1"/>
  <c r="DD898" i="1"/>
  <c r="DA898" i="1"/>
  <c r="CZ898" i="1" s="1"/>
  <c r="CX898" i="1"/>
  <c r="BJ898" i="1"/>
  <c r="BI898" i="1" s="1"/>
  <c r="BG898" i="1"/>
  <c r="BD898" i="1"/>
  <c r="BC898" i="1" s="1"/>
  <c r="AP898" i="1"/>
  <c r="AR898" i="1" s="1"/>
  <c r="AG898" i="1"/>
  <c r="W898" i="1" s="1"/>
  <c r="M898" i="1"/>
  <c r="DR895" i="1"/>
  <c r="CT895" i="1"/>
  <c r="CS895" i="1" s="1"/>
  <c r="BA895" i="1"/>
  <c r="AP895" i="1"/>
  <c r="AR895" i="1" s="1"/>
  <c r="AG895" i="1"/>
  <c r="W895" i="1" s="1"/>
  <c r="M895" i="1"/>
  <c r="DR182" i="1"/>
  <c r="CT182" i="1"/>
  <c r="CS182" i="1" s="1"/>
  <c r="BA182" i="1"/>
  <c r="AP182" i="1"/>
  <c r="AR182" i="1" s="1"/>
  <c r="AG182" i="1"/>
  <c r="W182" i="1" s="1"/>
  <c r="M182" i="1"/>
  <c r="DR890" i="1"/>
  <c r="CT890" i="1"/>
  <c r="CS890" i="1" s="1"/>
  <c r="BA890" i="1"/>
  <c r="AZ890" i="1" s="1"/>
  <c r="AP890" i="1"/>
  <c r="AR890" i="1" s="1"/>
  <c r="AG890" i="1"/>
  <c r="W890" i="1" s="1"/>
  <c r="M890" i="1"/>
  <c r="DR1020" i="1"/>
  <c r="CT1020" i="1"/>
  <c r="CS1020" i="1" s="1"/>
  <c r="BL1020" i="1"/>
  <c r="BA1020" i="1"/>
  <c r="AZ1020" i="1" s="1"/>
  <c r="AP1020" i="1"/>
  <c r="AR1020" i="1" s="1"/>
  <c r="AG1020" i="1"/>
  <c r="W1020" i="1" s="1"/>
  <c r="M1020" i="1"/>
  <c r="DR1017" i="1"/>
  <c r="CT1017" i="1"/>
  <c r="CS1017" i="1" s="1"/>
  <c r="BA1017" i="1"/>
  <c r="AP1017" i="1"/>
  <c r="AR1017" i="1" s="1"/>
  <c r="AG1017" i="1"/>
  <c r="W1017" i="1" s="1"/>
  <c r="M1017" i="1"/>
  <c r="DR293" i="1"/>
  <c r="CT293" i="1"/>
  <c r="CS293" i="1" s="1"/>
  <c r="BA293" i="1"/>
  <c r="AZ293" i="1" s="1"/>
  <c r="AP293" i="1"/>
  <c r="AR293" i="1" s="1"/>
  <c r="AG293" i="1"/>
  <c r="W293" i="1" s="1"/>
  <c r="M293" i="1"/>
  <c r="DR1016" i="1"/>
  <c r="CT1016" i="1"/>
  <c r="CS1016" i="1" s="1"/>
  <c r="BA1016" i="1"/>
  <c r="AZ1016" i="1" s="1"/>
  <c r="AP1016" i="1"/>
  <c r="AR1016" i="1" s="1"/>
  <c r="AG1016" i="1"/>
  <c r="W1016" i="1" s="1"/>
  <c r="M1016" i="1"/>
  <c r="DR292" i="1"/>
  <c r="CT292" i="1"/>
  <c r="CS292" i="1" s="1"/>
  <c r="BA292" i="1"/>
  <c r="AP292" i="1"/>
  <c r="AR292" i="1" s="1"/>
  <c r="AG292" i="1"/>
  <c r="W292" i="1" s="1"/>
  <c r="M292" i="1"/>
  <c r="DR1015" i="1"/>
  <c r="CT1015" i="1"/>
  <c r="CS1015" i="1" s="1"/>
  <c r="BA1015" i="1"/>
  <c r="AZ1015" i="1" s="1"/>
  <c r="AP1015" i="1"/>
  <c r="AR1015" i="1" s="1"/>
  <c r="AG1015" i="1"/>
  <c r="W1015" i="1" s="1"/>
  <c r="M1015" i="1"/>
  <c r="DR157" i="1"/>
  <c r="CT157" i="1"/>
  <c r="CS157" i="1" s="1"/>
  <c r="BA157" i="1"/>
  <c r="AP157" i="1"/>
  <c r="AR157" i="1" s="1"/>
  <c r="AG157" i="1"/>
  <c r="W157" i="1" s="1"/>
  <c r="M157" i="1"/>
  <c r="DR287" i="1"/>
  <c r="CT287" i="1"/>
  <c r="CS287" i="1" s="1"/>
  <c r="BA287" i="1"/>
  <c r="AZ287" i="1" s="1"/>
  <c r="AP287" i="1"/>
  <c r="AR287" i="1" s="1"/>
  <c r="AG287" i="1"/>
  <c r="W287" i="1" s="1"/>
  <c r="M287" i="1"/>
  <c r="DR1014" i="1"/>
  <c r="CT1014" i="1"/>
  <c r="CS1014" i="1" s="1"/>
  <c r="BA1014" i="1"/>
  <c r="AP1014" i="1"/>
  <c r="AR1014" i="1" s="1"/>
  <c r="AG1014" i="1"/>
  <c r="W1014" i="1" s="1"/>
  <c r="M1014" i="1"/>
  <c r="DR178" i="1"/>
  <c r="CT178" i="1"/>
  <c r="CS178" i="1" s="1"/>
  <c r="BA178" i="1"/>
  <c r="AZ178" i="1" s="1"/>
  <c r="AP178" i="1"/>
  <c r="AR178" i="1" s="1"/>
  <c r="AG178" i="1"/>
  <c r="W178" i="1" s="1"/>
  <c r="M178" i="1"/>
  <c r="DR881" i="1"/>
  <c r="CT881" i="1"/>
  <c r="CS881" i="1" s="1"/>
  <c r="BA881" i="1"/>
  <c r="AP881" i="1"/>
  <c r="AR881" i="1" s="1"/>
  <c r="AG881" i="1"/>
  <c r="W881" i="1" s="1"/>
  <c r="M881" i="1"/>
  <c r="DR173" i="1"/>
  <c r="DB173" i="1"/>
  <c r="CT173" i="1"/>
  <c r="CS173" i="1" s="1"/>
  <c r="BA173" i="1"/>
  <c r="AP173" i="1"/>
  <c r="AR173" i="1" s="1"/>
  <c r="AG173" i="1"/>
  <c r="W173" i="1" s="1"/>
  <c r="M173" i="1"/>
  <c r="DR867" i="1"/>
  <c r="CT867" i="1"/>
  <c r="CS867" i="1" s="1"/>
  <c r="BH867" i="1"/>
  <c r="BA867" i="1"/>
  <c r="AP867" i="1"/>
  <c r="AR867" i="1" s="1"/>
  <c r="AG867" i="1"/>
  <c r="W867" i="1" s="1"/>
  <c r="M867" i="1"/>
  <c r="DR863" i="1"/>
  <c r="CT863" i="1"/>
  <c r="CS863" i="1" s="1"/>
  <c r="BA863" i="1"/>
  <c r="AZ863" i="1" s="1"/>
  <c r="AP863" i="1"/>
  <c r="AR863" i="1" s="1"/>
  <c r="AG863" i="1"/>
  <c r="W863" i="1" s="1"/>
  <c r="M863" i="1"/>
  <c r="DR283" i="1"/>
  <c r="CT283" i="1"/>
  <c r="CS283" i="1" s="1"/>
  <c r="BA283" i="1"/>
  <c r="AP283" i="1"/>
  <c r="AR283" i="1" s="1"/>
  <c r="AG283" i="1"/>
  <c r="W283" i="1" s="1"/>
  <c r="M283" i="1"/>
  <c r="DR1009" i="1"/>
  <c r="CT1009" i="1"/>
  <c r="CS1009" i="1" s="1"/>
  <c r="BH1009" i="1"/>
  <c r="BA1009" i="1"/>
  <c r="AZ1009" i="1" s="1"/>
  <c r="AP1009" i="1"/>
  <c r="AR1009" i="1" s="1"/>
  <c r="AG1009" i="1"/>
  <c r="W1009" i="1" s="1"/>
  <c r="N1009" i="1"/>
  <c r="M1009" i="1"/>
  <c r="CT282" i="1"/>
  <c r="CS282" i="1" s="1"/>
  <c r="BA282" i="1"/>
  <c r="AP282" i="1"/>
  <c r="AR282" i="1" s="1"/>
  <c r="AG282" i="1"/>
  <c r="W282" i="1" s="1"/>
  <c r="DR1008" i="1"/>
  <c r="CT1008" i="1"/>
  <c r="CS1008" i="1" s="1"/>
  <c r="BA1008" i="1"/>
  <c r="AZ1008" i="1" s="1"/>
  <c r="AP1008" i="1"/>
  <c r="AR1008" i="1" s="1"/>
  <c r="AG1008" i="1"/>
  <c r="W1008" i="1" s="1"/>
  <c r="M1008" i="1"/>
  <c r="DR278" i="1"/>
  <c r="CT278" i="1"/>
  <c r="CS278" i="1" s="1"/>
  <c r="BA278" i="1"/>
  <c r="AP278" i="1"/>
  <c r="AR278" i="1" s="1"/>
  <c r="AG278" i="1"/>
  <c r="W278" i="1" s="1"/>
  <c r="M278" i="1"/>
  <c r="DR1005" i="1"/>
  <c r="CT1005" i="1"/>
  <c r="CS1005" i="1" s="1"/>
  <c r="BA1005" i="1"/>
  <c r="AP1005" i="1"/>
  <c r="AR1005" i="1" s="1"/>
  <c r="AG1005" i="1"/>
  <c r="W1005" i="1" s="1"/>
  <c r="M1005" i="1"/>
  <c r="DR276" i="1"/>
  <c r="CT276" i="1"/>
  <c r="CS276" i="1" s="1"/>
  <c r="BA276" i="1"/>
  <c r="AZ276" i="1" s="1"/>
  <c r="AP276" i="1"/>
  <c r="AR276" i="1" s="1"/>
  <c r="AG276" i="1"/>
  <c r="W276" i="1" s="1"/>
  <c r="M276" i="1"/>
  <c r="DR1004" i="1"/>
  <c r="DB1004" i="1"/>
  <c r="CT1004" i="1"/>
  <c r="CS1004" i="1" s="1"/>
  <c r="BA1004" i="1"/>
  <c r="AZ1004" i="1" s="1"/>
  <c r="AP1004" i="1"/>
  <c r="AR1004" i="1" s="1"/>
  <c r="AG1004" i="1"/>
  <c r="W1004" i="1" s="1"/>
  <c r="M1004" i="1"/>
  <c r="DR883" i="1"/>
  <c r="CT883" i="1"/>
  <c r="CS883" i="1" s="1"/>
  <c r="BA883" i="1"/>
  <c r="AP883" i="1"/>
  <c r="AR883" i="1" s="1"/>
  <c r="AG883" i="1"/>
  <c r="W883" i="1" s="1"/>
  <c r="M883" i="1"/>
  <c r="CT171" i="1"/>
  <c r="CS171" i="1" s="1"/>
  <c r="BA171" i="1"/>
  <c r="AP171" i="1"/>
  <c r="AR171" i="1" s="1"/>
  <c r="AG171" i="1"/>
  <c r="W171" i="1" s="1"/>
  <c r="DR876" i="1"/>
  <c r="CT876" i="1"/>
  <c r="CS876" i="1" s="1"/>
  <c r="BA876" i="1"/>
  <c r="AP876" i="1"/>
  <c r="AR876" i="1" s="1"/>
  <c r="AG876" i="1"/>
  <c r="W876" i="1" s="1"/>
  <c r="M876" i="1"/>
  <c r="DR166" i="1"/>
  <c r="CT166" i="1"/>
  <c r="CS166" i="1" s="1"/>
  <c r="BH166" i="1"/>
  <c r="BA166" i="1"/>
  <c r="AP166" i="1"/>
  <c r="AR166" i="1" s="1"/>
  <c r="AG166" i="1"/>
  <c r="W166" i="1" s="1"/>
  <c r="M166" i="1"/>
  <c r="DR164" i="1"/>
  <c r="CT164" i="1"/>
  <c r="CS164" i="1" s="1"/>
  <c r="BH164" i="1"/>
  <c r="BA164" i="1"/>
  <c r="AZ164" i="1" s="1"/>
  <c r="AP164" i="1"/>
  <c r="AR164" i="1" s="1"/>
  <c r="AG164" i="1"/>
  <c r="W164" i="1" s="1"/>
  <c r="M164" i="1"/>
  <c r="DR161" i="1"/>
  <c r="CT161" i="1"/>
  <c r="CS161" i="1" s="1"/>
  <c r="BA161" i="1"/>
  <c r="AP161" i="1"/>
  <c r="AR161" i="1" s="1"/>
  <c r="AG161" i="1"/>
  <c r="W161" i="1" s="1"/>
  <c r="M161" i="1"/>
  <c r="DR154" i="1"/>
  <c r="CT154" i="1"/>
  <c r="CS154" i="1" s="1"/>
  <c r="AP154" i="1"/>
  <c r="AR154" i="1" s="1"/>
  <c r="AG154" i="1"/>
  <c r="W154" i="1" s="1"/>
  <c r="M154" i="1"/>
  <c r="DR151" i="1"/>
  <c r="CT151" i="1"/>
  <c r="CS151" i="1" s="1"/>
  <c r="BA151" i="1"/>
  <c r="AP151" i="1"/>
  <c r="AR151" i="1" s="1"/>
  <c r="AG151" i="1"/>
  <c r="W151" i="1" s="1"/>
  <c r="M151" i="1"/>
  <c r="DR859" i="1"/>
  <c r="CT859" i="1"/>
  <c r="CS859" i="1" s="1"/>
  <c r="BE859" i="1"/>
  <c r="BA859" i="1"/>
  <c r="AZ859" i="1" s="1"/>
  <c r="AP859" i="1"/>
  <c r="AR859" i="1" s="1"/>
  <c r="AG859" i="1"/>
  <c r="W859" i="1" s="1"/>
  <c r="M859" i="1"/>
  <c r="DR853" i="1"/>
  <c r="CT853" i="1"/>
  <c r="CS853" i="1" s="1"/>
  <c r="BA853" i="1"/>
  <c r="AP853" i="1"/>
  <c r="AR853" i="1" s="1"/>
  <c r="AG853" i="1"/>
  <c r="W853" i="1" s="1"/>
  <c r="M853" i="1"/>
  <c r="DR275" i="1"/>
  <c r="CT275" i="1"/>
  <c r="CS275" i="1" s="1"/>
  <c r="BA275" i="1"/>
  <c r="AP275" i="1"/>
  <c r="AR275" i="1" s="1"/>
  <c r="AG275" i="1"/>
  <c r="W275" i="1" s="1"/>
  <c r="M275" i="1"/>
  <c r="DR1002" i="1"/>
  <c r="CT1002" i="1"/>
  <c r="CS1002" i="1" s="1"/>
  <c r="BA1002" i="1"/>
  <c r="AP1002" i="1"/>
  <c r="AR1002" i="1" s="1"/>
  <c r="AG1002" i="1"/>
  <c r="W1002" i="1" s="1"/>
  <c r="M1002" i="1"/>
  <c r="DR273" i="1"/>
  <c r="CT273" i="1"/>
  <c r="CS273" i="1" s="1"/>
  <c r="BA273" i="1"/>
  <c r="AP273" i="1"/>
  <c r="AR273" i="1" s="1"/>
  <c r="AG273" i="1"/>
  <c r="W273" i="1" s="1"/>
  <c r="M273" i="1"/>
  <c r="DR999" i="1"/>
  <c r="CT999" i="1"/>
  <c r="CS999" i="1" s="1"/>
  <c r="BA999" i="1"/>
  <c r="AP999" i="1"/>
  <c r="AR999" i="1" s="1"/>
  <c r="AG999" i="1"/>
  <c r="W999" i="1" s="1"/>
  <c r="M999" i="1"/>
  <c r="DR271" i="1"/>
  <c r="CT271" i="1"/>
  <c r="CS271" i="1" s="1"/>
  <c r="BA271" i="1"/>
  <c r="AP271" i="1"/>
  <c r="AR271" i="1" s="1"/>
  <c r="AG271" i="1"/>
  <c r="W271" i="1" s="1"/>
  <c r="M271" i="1"/>
  <c r="DR996" i="1"/>
  <c r="CT996" i="1"/>
  <c r="CS996" i="1" s="1"/>
  <c r="BA996" i="1"/>
  <c r="AP996" i="1"/>
  <c r="AR996" i="1" s="1"/>
  <c r="AG996" i="1"/>
  <c r="W996" i="1" s="1"/>
  <c r="M996" i="1"/>
  <c r="DR268" i="1"/>
  <c r="CT268" i="1"/>
  <c r="CS268" i="1" s="1"/>
  <c r="BE268" i="1"/>
  <c r="BA268" i="1"/>
  <c r="AP268" i="1"/>
  <c r="AR268" i="1" s="1"/>
  <c r="AG268" i="1"/>
  <c r="W268" i="1" s="1"/>
  <c r="M268" i="1"/>
  <c r="DR143" i="1"/>
  <c r="CT143" i="1"/>
  <c r="CS143" i="1" s="1"/>
  <c r="BA143" i="1"/>
  <c r="AP143" i="1"/>
  <c r="AR143" i="1" s="1"/>
  <c r="M143" i="1"/>
  <c r="DR847" i="1"/>
  <c r="AS847" i="1"/>
  <c r="AP847" i="1"/>
  <c r="AR847" i="1" s="1"/>
  <c r="M847" i="1"/>
  <c r="DR995" i="1"/>
  <c r="CT995" i="1"/>
  <c r="CS995" i="1" s="1"/>
  <c r="BA995" i="1"/>
  <c r="AZ995" i="1" s="1"/>
  <c r="AP995" i="1"/>
  <c r="AR995" i="1" s="1"/>
  <c r="AG995" i="1"/>
  <c r="W995" i="1" s="1"/>
  <c r="M995" i="1"/>
  <c r="DR145" i="1"/>
  <c r="AS145" i="1"/>
  <c r="AP145" i="1"/>
  <c r="AR145" i="1" s="1"/>
  <c r="M145" i="1"/>
  <c r="DR991" i="1"/>
  <c r="CT991" i="1"/>
  <c r="CS991" i="1" s="1"/>
  <c r="BA991" i="1"/>
  <c r="AZ991" i="1" s="1"/>
  <c r="AP991" i="1"/>
  <c r="AR991" i="1" s="1"/>
  <c r="AG991" i="1"/>
  <c r="W991" i="1" s="1"/>
  <c r="M991" i="1"/>
  <c r="DR266" i="1"/>
  <c r="DB266" i="1"/>
  <c r="CT266" i="1"/>
  <c r="CS266" i="1" s="1"/>
  <c r="BA266" i="1"/>
  <c r="AZ266" i="1" s="1"/>
  <c r="AP266" i="1"/>
  <c r="AR266" i="1" s="1"/>
  <c r="AG266" i="1"/>
  <c r="W266" i="1" s="1"/>
  <c r="M266" i="1"/>
  <c r="DR990" i="1"/>
  <c r="CT990" i="1"/>
  <c r="CS990" i="1" s="1"/>
  <c r="BA990" i="1"/>
  <c r="AP990" i="1"/>
  <c r="AR990" i="1" s="1"/>
  <c r="AG990" i="1"/>
  <c r="W990" i="1" s="1"/>
  <c r="M990" i="1"/>
  <c r="DR265" i="1"/>
  <c r="CT265" i="1"/>
  <c r="CS265" i="1" s="1"/>
  <c r="BA265" i="1"/>
  <c r="AZ265" i="1" s="1"/>
  <c r="AP265" i="1"/>
  <c r="AR265" i="1" s="1"/>
  <c r="AG265" i="1"/>
  <c r="W265" i="1" s="1"/>
  <c r="M265" i="1"/>
  <c r="DR989" i="1"/>
  <c r="CT989" i="1"/>
  <c r="CS989" i="1" s="1"/>
  <c r="BA989" i="1"/>
  <c r="AZ989" i="1" s="1"/>
  <c r="AP989" i="1"/>
  <c r="AR989" i="1" s="1"/>
  <c r="AG989" i="1"/>
  <c r="W989" i="1" s="1"/>
  <c r="M989" i="1"/>
  <c r="DR264" i="1"/>
  <c r="CT264" i="1"/>
  <c r="CS264" i="1" s="1"/>
  <c r="BA264" i="1"/>
  <c r="AZ264" i="1" s="1"/>
  <c r="AP264" i="1"/>
  <c r="AR264" i="1" s="1"/>
  <c r="AG264" i="1"/>
  <c r="W264" i="1" s="1"/>
  <c r="M264" i="1"/>
  <c r="DR985" i="1"/>
  <c r="CT985" i="1"/>
  <c r="CS985" i="1" s="1"/>
  <c r="BA985" i="1"/>
  <c r="AP985" i="1"/>
  <c r="AR985" i="1" s="1"/>
  <c r="AG985" i="1"/>
  <c r="W985" i="1" s="1"/>
  <c r="M985" i="1"/>
  <c r="DR263" i="1"/>
  <c r="CT263" i="1"/>
  <c r="CS263" i="1" s="1"/>
  <c r="BH263" i="1"/>
  <c r="BA263" i="1"/>
  <c r="AZ263" i="1" s="1"/>
  <c r="AP263" i="1"/>
  <c r="AR263" i="1" s="1"/>
  <c r="AG263" i="1"/>
  <c r="W263" i="1" s="1"/>
  <c r="M263" i="1"/>
  <c r="DR984" i="1"/>
  <c r="DB984" i="1"/>
  <c r="CT984" i="1"/>
  <c r="CS984" i="1" s="1"/>
  <c r="BA984" i="1"/>
  <c r="AP984" i="1"/>
  <c r="AR984" i="1" s="1"/>
  <c r="AG984" i="1"/>
  <c r="W984" i="1" s="1"/>
  <c r="M984" i="1"/>
  <c r="DR261" i="1"/>
  <c r="CT261" i="1"/>
  <c r="CS261" i="1" s="1"/>
  <c r="BH261" i="1"/>
  <c r="BA261" i="1"/>
  <c r="AZ261" i="1" s="1"/>
  <c r="AP261" i="1"/>
  <c r="AR261" i="1" s="1"/>
  <c r="AG261" i="1"/>
  <c r="W261" i="1" s="1"/>
  <c r="M261" i="1"/>
  <c r="DR979" i="1"/>
  <c r="CT979" i="1"/>
  <c r="CS979" i="1" s="1"/>
  <c r="BA979" i="1"/>
  <c r="AP979" i="1"/>
  <c r="AR979" i="1" s="1"/>
  <c r="AG979" i="1"/>
  <c r="W979" i="1" s="1"/>
  <c r="M979" i="1"/>
  <c r="DR258" i="1"/>
  <c r="CT258" i="1"/>
  <c r="CS258" i="1" s="1"/>
  <c r="BA258" i="1"/>
  <c r="AP258" i="1"/>
  <c r="AR258" i="1" s="1"/>
  <c r="AG258" i="1"/>
  <c r="W258" i="1" s="1"/>
  <c r="M258" i="1"/>
  <c r="DR977" i="1"/>
  <c r="CT977" i="1"/>
  <c r="CS977" i="1" s="1"/>
  <c r="BA977" i="1"/>
  <c r="AP977" i="1"/>
  <c r="AR977" i="1" s="1"/>
  <c r="AG977" i="1"/>
  <c r="W977" i="1" s="1"/>
  <c r="M977" i="1"/>
  <c r="DR256" i="1"/>
  <c r="CT256" i="1"/>
  <c r="CS256" i="1" s="1"/>
  <c r="BA256" i="1"/>
  <c r="AZ256" i="1" s="1"/>
  <c r="AP256" i="1"/>
  <c r="AR256" i="1" s="1"/>
  <c r="AG256" i="1"/>
  <c r="W256" i="1" s="1"/>
  <c r="M256" i="1"/>
  <c r="DR976" i="1"/>
  <c r="CT976" i="1"/>
  <c r="CS976" i="1" s="1"/>
  <c r="BA976" i="1"/>
  <c r="AP976" i="1"/>
  <c r="AR976" i="1" s="1"/>
  <c r="AG976" i="1"/>
  <c r="W976" i="1" s="1"/>
  <c r="M976" i="1"/>
  <c r="DR255" i="1"/>
  <c r="CT255" i="1"/>
  <c r="CS255" i="1" s="1"/>
  <c r="BA255" i="1"/>
  <c r="AZ255" i="1" s="1"/>
  <c r="AP255" i="1"/>
  <c r="AR255" i="1" s="1"/>
  <c r="AG255" i="1"/>
  <c r="W255" i="1" s="1"/>
  <c r="M255" i="1"/>
  <c r="DR971" i="1"/>
  <c r="CT971" i="1"/>
  <c r="CS971" i="1" s="1"/>
  <c r="BA971" i="1"/>
  <c r="AP971" i="1"/>
  <c r="AR971" i="1" s="1"/>
  <c r="AG971" i="1"/>
  <c r="W971" i="1" s="1"/>
  <c r="M971" i="1"/>
  <c r="DR254" i="1"/>
  <c r="CT254" i="1"/>
  <c r="CS254" i="1" s="1"/>
  <c r="BA254" i="1"/>
  <c r="AZ254" i="1" s="1"/>
  <c r="AP254" i="1"/>
  <c r="AR254" i="1" s="1"/>
  <c r="AG254" i="1"/>
  <c r="W254" i="1" s="1"/>
  <c r="M254" i="1"/>
  <c r="DR966" i="1"/>
  <c r="CT966" i="1"/>
  <c r="CS966" i="1" s="1"/>
  <c r="BA966" i="1"/>
  <c r="AP966" i="1"/>
  <c r="AR966" i="1" s="1"/>
  <c r="AG966" i="1"/>
  <c r="W966" i="1" s="1"/>
  <c r="M966" i="1"/>
  <c r="DR252" i="1"/>
  <c r="CT252" i="1"/>
  <c r="CS252" i="1" s="1"/>
  <c r="BH252" i="1"/>
  <c r="BA252" i="1"/>
  <c r="AZ252" i="1" s="1"/>
  <c r="AP252" i="1"/>
  <c r="AR252" i="1" s="1"/>
  <c r="AG252" i="1"/>
  <c r="W252" i="1" s="1"/>
  <c r="M252" i="1"/>
  <c r="DR965" i="1"/>
  <c r="CT965" i="1"/>
  <c r="CS965" i="1" s="1"/>
  <c r="BA965" i="1"/>
  <c r="AP965" i="1"/>
  <c r="AR965" i="1" s="1"/>
  <c r="AG965" i="1"/>
  <c r="W965" i="1" s="1"/>
  <c r="M965" i="1"/>
  <c r="DR249" i="1"/>
  <c r="CT249" i="1"/>
  <c r="CS249" i="1" s="1"/>
  <c r="BA249" i="1"/>
  <c r="AZ249" i="1" s="1"/>
  <c r="AP249" i="1"/>
  <c r="AR249" i="1" s="1"/>
  <c r="AG249" i="1"/>
  <c r="W249" i="1" s="1"/>
  <c r="M249" i="1"/>
  <c r="DR961" i="1"/>
  <c r="AS961" i="1"/>
  <c r="AP961" i="1"/>
  <c r="AR961" i="1" s="1"/>
  <c r="AG961" i="1"/>
  <c r="W961" i="1" s="1"/>
  <c r="M961" i="1"/>
  <c r="DR248" i="1"/>
  <c r="CT248" i="1"/>
  <c r="CS248" i="1" s="1"/>
  <c r="BA248" i="1"/>
  <c r="AP248" i="1"/>
  <c r="AR248" i="1" s="1"/>
  <c r="AG248" i="1"/>
  <c r="W248" i="1" s="1"/>
  <c r="M248" i="1"/>
  <c r="DR959" i="1"/>
  <c r="CT959" i="1"/>
  <c r="CS959" i="1" s="1"/>
  <c r="BA959" i="1"/>
  <c r="AZ959" i="1" s="1"/>
  <c r="AP959" i="1"/>
  <c r="AR959" i="1" s="1"/>
  <c r="AG959" i="1"/>
  <c r="W959" i="1" s="1"/>
  <c r="M959" i="1"/>
  <c r="DR246" i="1"/>
  <c r="CT246" i="1"/>
  <c r="CS246" i="1" s="1"/>
  <c r="BK246" i="1"/>
  <c r="BA246" i="1"/>
  <c r="AP246" i="1"/>
  <c r="AR246" i="1" s="1"/>
  <c r="AG246" i="1"/>
  <c r="W246" i="1" s="1"/>
  <c r="M246" i="1"/>
  <c r="DR954" i="1"/>
  <c r="DE954" i="1"/>
  <c r="CT954" i="1"/>
  <c r="CS954" i="1" s="1"/>
  <c r="BA954" i="1"/>
  <c r="AZ954" i="1" s="1"/>
  <c r="AP954" i="1"/>
  <c r="AR954" i="1" s="1"/>
  <c r="AG954" i="1"/>
  <c r="W954" i="1" s="1"/>
  <c r="M954" i="1"/>
  <c r="CT245" i="1"/>
  <c r="CS245" i="1" s="1"/>
  <c r="BA245" i="1"/>
  <c r="AZ245" i="1" s="1"/>
  <c r="AP245" i="1"/>
  <c r="AR245" i="1" s="1"/>
  <c r="AG245" i="1"/>
  <c r="W245" i="1" s="1"/>
  <c r="M245" i="1"/>
  <c r="CT949" i="1"/>
  <c r="CS949" i="1" s="1"/>
  <c r="BA949" i="1"/>
  <c r="AZ949" i="1" s="1"/>
  <c r="AP949" i="1"/>
  <c r="AR949" i="1" s="1"/>
  <c r="AG949" i="1"/>
  <c r="W949" i="1" s="1"/>
  <c r="M949" i="1"/>
  <c r="CT240" i="1"/>
  <c r="CS240" i="1" s="1"/>
  <c r="BA240" i="1"/>
  <c r="AZ240" i="1" s="1"/>
  <c r="AP240" i="1"/>
  <c r="AR240" i="1" s="1"/>
  <c r="AG240" i="1"/>
  <c r="W240" i="1" s="1"/>
  <c r="M240" i="1"/>
  <c r="AS948" i="1"/>
  <c r="AP948" i="1"/>
  <c r="AR948" i="1" s="1"/>
  <c r="AG948" i="1"/>
  <c r="W948" i="1" s="1"/>
  <c r="M948" i="1"/>
  <c r="CT236" i="1"/>
  <c r="CS236" i="1" s="1"/>
  <c r="BA236" i="1"/>
  <c r="AZ236" i="1" s="1"/>
  <c r="AP236" i="1"/>
  <c r="AR236" i="1" s="1"/>
  <c r="AG236" i="1"/>
  <c r="W236" i="1" s="1"/>
  <c r="CT946" i="1"/>
  <c r="CS946" i="1" s="1"/>
  <c r="BA946" i="1"/>
  <c r="AZ946" i="1" s="1"/>
  <c r="AP946" i="1"/>
  <c r="AR946" i="1" s="1"/>
  <c r="AG946" i="1"/>
  <c r="W946" i="1" s="1"/>
  <c r="M946" i="1"/>
  <c r="CT944" i="1"/>
  <c r="CS944" i="1" s="1"/>
  <c r="BE944" i="1"/>
  <c r="BA944" i="1"/>
  <c r="AZ944" i="1" s="1"/>
  <c r="AP944" i="1"/>
  <c r="AR944" i="1" s="1"/>
  <c r="AG944" i="1"/>
  <c r="W944" i="1" s="1"/>
  <c r="M944" i="1"/>
  <c r="CT234" i="1"/>
  <c r="CS234" i="1" s="1"/>
  <c r="BA234" i="1"/>
  <c r="AZ234" i="1" s="1"/>
  <c r="AP234" i="1"/>
  <c r="AR234" i="1" s="1"/>
  <c r="AG234" i="1"/>
  <c r="W234" i="1" s="1"/>
  <c r="M234" i="1"/>
  <c r="CT943" i="1"/>
  <c r="CS943" i="1" s="1"/>
  <c r="BA943" i="1"/>
  <c r="AZ943" i="1" s="1"/>
  <c r="AP943" i="1"/>
  <c r="AR943" i="1" s="1"/>
  <c r="AG943" i="1"/>
  <c r="W943" i="1" s="1"/>
  <c r="M943" i="1"/>
  <c r="CT233" i="1"/>
  <c r="CS233" i="1" s="1"/>
  <c r="BA233" i="1"/>
  <c r="AZ233" i="1" s="1"/>
  <c r="AP233" i="1"/>
  <c r="AR233" i="1" s="1"/>
  <c r="AG233" i="1"/>
  <c r="W233" i="1" s="1"/>
  <c r="CT942" i="1"/>
  <c r="CS942" i="1" s="1"/>
  <c r="BH942" i="1"/>
  <c r="BA942" i="1"/>
  <c r="AP942" i="1"/>
  <c r="AR942" i="1" s="1"/>
  <c r="AG942" i="1"/>
  <c r="W942" i="1" s="1"/>
  <c r="M942" i="1"/>
  <c r="CT227" i="1"/>
  <c r="CS227" i="1" s="1"/>
  <c r="BA227" i="1"/>
  <c r="AP227" i="1"/>
  <c r="AR227" i="1" s="1"/>
  <c r="AG227" i="1"/>
  <c r="W227" i="1" s="1"/>
  <c r="M227" i="1"/>
  <c r="CT941" i="1"/>
  <c r="CS941" i="1" s="1"/>
  <c r="BA941" i="1"/>
  <c r="AP941" i="1"/>
  <c r="AR941" i="1" s="1"/>
  <c r="AG941" i="1"/>
  <c r="W941" i="1" s="1"/>
  <c r="M941" i="1"/>
  <c r="DE935" i="1"/>
  <c r="CT935" i="1"/>
  <c r="CS935" i="1" s="1"/>
  <c r="BA935" i="1"/>
  <c r="AP935" i="1"/>
  <c r="AR935" i="1" s="1"/>
  <c r="AG935" i="1"/>
  <c r="W935" i="1" s="1"/>
  <c r="M935" i="1"/>
  <c r="CT226" i="1"/>
  <c r="CS226" i="1" s="1"/>
  <c r="BA226" i="1"/>
  <c r="AP226" i="1"/>
  <c r="AR226" i="1" s="1"/>
  <c r="AG226" i="1"/>
  <c r="W226" i="1" s="1"/>
  <c r="CT220" i="1"/>
  <c r="CS220" i="1" s="1"/>
  <c r="BA220" i="1"/>
  <c r="AZ220" i="1" s="1"/>
  <c r="AP220" i="1"/>
  <c r="AR220" i="1" s="1"/>
  <c r="AG220" i="1"/>
  <c r="W220" i="1" s="1"/>
  <c r="M220" i="1"/>
  <c r="DB932" i="1"/>
  <c r="CT932" i="1"/>
  <c r="CS932" i="1" s="1"/>
  <c r="BA932" i="1"/>
  <c r="AZ932" i="1" s="1"/>
  <c r="AP932" i="1"/>
  <c r="AR932" i="1" s="1"/>
  <c r="AG932" i="1"/>
  <c r="W932" i="1" s="1"/>
  <c r="M932" i="1"/>
  <c r="CT217" i="1"/>
  <c r="CS217" i="1" s="1"/>
  <c r="BA217" i="1"/>
  <c r="AZ217" i="1" s="1"/>
  <c r="AP217" i="1"/>
  <c r="AR217" i="1" s="1"/>
  <c r="AG217" i="1"/>
  <c r="W217" i="1" s="1"/>
  <c r="M217" i="1"/>
  <c r="CT930" i="1"/>
  <c r="CS930" i="1" s="1"/>
  <c r="BA930" i="1"/>
  <c r="AZ930" i="1" s="1"/>
  <c r="AP930" i="1"/>
  <c r="AR930" i="1" s="1"/>
  <c r="AG930" i="1"/>
  <c r="W930" i="1" s="1"/>
  <c r="M930" i="1"/>
  <c r="CT211" i="1"/>
  <c r="CS211" i="1" s="1"/>
  <c r="BA211" i="1"/>
  <c r="AZ211" i="1" s="1"/>
  <c r="AP211" i="1"/>
  <c r="AR211" i="1" s="1"/>
  <c r="AG211" i="1"/>
  <c r="W211" i="1" s="1"/>
  <c r="M211" i="1"/>
  <c r="CT924" i="1"/>
  <c r="CS924" i="1" s="1"/>
  <c r="BA924" i="1"/>
  <c r="AZ924" i="1" s="1"/>
  <c r="AP924" i="1"/>
  <c r="AR924" i="1" s="1"/>
  <c r="AG924" i="1"/>
  <c r="W924" i="1" s="1"/>
  <c r="CT207" i="1"/>
  <c r="CS207" i="1" s="1"/>
  <c r="BA207" i="1"/>
  <c r="AP207" i="1"/>
  <c r="AR207" i="1" s="1"/>
  <c r="AG207" i="1"/>
  <c r="W207" i="1" s="1"/>
  <c r="M207" i="1"/>
  <c r="DB920" i="1"/>
  <c r="CT920" i="1"/>
  <c r="CS920" i="1" s="1"/>
  <c r="BA920" i="1"/>
  <c r="AZ920" i="1" s="1"/>
  <c r="AP920" i="1"/>
  <c r="AR920" i="1" s="1"/>
  <c r="AG920" i="1"/>
  <c r="W920" i="1" s="1"/>
  <c r="M920" i="1"/>
  <c r="AP204" i="1"/>
  <c r="AG204" i="1"/>
  <c r="W204" i="1" s="1"/>
  <c r="M204" i="1"/>
  <c r="CT914" i="1"/>
  <c r="CS914" i="1" s="1"/>
  <c r="BA914" i="1"/>
  <c r="AP914" i="1"/>
  <c r="AR914" i="1" s="1"/>
  <c r="AG914" i="1"/>
  <c r="W914" i="1" s="1"/>
  <c r="M914" i="1"/>
  <c r="CT202" i="1"/>
  <c r="CS202" i="1" s="1"/>
  <c r="BA202" i="1"/>
  <c r="AZ202" i="1" s="1"/>
  <c r="AP202" i="1"/>
  <c r="AR202" i="1" s="1"/>
  <c r="AG202" i="1"/>
  <c r="W202" i="1" s="1"/>
  <c r="M202" i="1"/>
  <c r="CT911" i="1"/>
  <c r="CS911" i="1" s="1"/>
  <c r="BA911" i="1"/>
  <c r="AP911" i="1"/>
  <c r="AR911" i="1" s="1"/>
  <c r="AG911" i="1"/>
  <c r="W911" i="1" s="1"/>
  <c r="M911" i="1"/>
  <c r="CT196" i="1"/>
  <c r="CS196" i="1" s="1"/>
  <c r="BA196" i="1"/>
  <c r="AZ196" i="1" s="1"/>
  <c r="AP196" i="1"/>
  <c r="AR196" i="1" s="1"/>
  <c r="AG196" i="1"/>
  <c r="W196" i="1" s="1"/>
  <c r="M196" i="1"/>
  <c r="CT909" i="1"/>
  <c r="CS909" i="1" s="1"/>
  <c r="BA909" i="1"/>
  <c r="AP909" i="1"/>
  <c r="AR909" i="1" s="1"/>
  <c r="AG909" i="1"/>
  <c r="W909" i="1" s="1"/>
  <c r="M909" i="1"/>
  <c r="DB195" i="1"/>
  <c r="CT195" i="1"/>
  <c r="CS195" i="1" s="1"/>
  <c r="BA195" i="1"/>
  <c r="AZ195" i="1" s="1"/>
  <c r="AP195" i="1"/>
  <c r="AR195" i="1" s="1"/>
  <c r="AG195" i="1"/>
  <c r="W195" i="1" s="1"/>
  <c r="M195" i="1"/>
  <c r="AS193" i="1"/>
  <c r="AP193" i="1"/>
  <c r="AR193" i="1" s="1"/>
  <c r="AG193" i="1"/>
  <c r="W193" i="1" s="1"/>
  <c r="M193" i="1"/>
  <c r="CT908" i="1"/>
  <c r="CS908" i="1" s="1"/>
  <c r="BA908" i="1"/>
  <c r="AZ908" i="1" s="1"/>
  <c r="AP908" i="1"/>
  <c r="AR908" i="1" s="1"/>
  <c r="AG908" i="1"/>
  <c r="W908" i="1" s="1"/>
  <c r="M908" i="1"/>
  <c r="CT904" i="1"/>
  <c r="CS904" i="1" s="1"/>
  <c r="BH904" i="1"/>
  <c r="BA904" i="1"/>
  <c r="AZ904" i="1" s="1"/>
  <c r="AP904" i="1"/>
  <c r="AR904" i="1" s="1"/>
  <c r="AG904" i="1"/>
  <c r="W904" i="1" s="1"/>
  <c r="M904" i="1"/>
  <c r="CT188" i="1"/>
  <c r="CS188" i="1" s="1"/>
  <c r="BA188" i="1"/>
  <c r="AZ188" i="1" s="1"/>
  <c r="AP188" i="1"/>
  <c r="AR188" i="1" s="1"/>
  <c r="AG188" i="1"/>
  <c r="W188" i="1" s="1"/>
  <c r="M188" i="1"/>
  <c r="AS899" i="1"/>
  <c r="AP899" i="1"/>
  <c r="AR899" i="1" s="1"/>
  <c r="AG899" i="1"/>
  <c r="W899" i="1" s="1"/>
  <c r="M899" i="1"/>
  <c r="CT187" i="1"/>
  <c r="CS187" i="1" s="1"/>
  <c r="BA187" i="1"/>
  <c r="AP187" i="1"/>
  <c r="AR187" i="1" s="1"/>
  <c r="AG187" i="1"/>
  <c r="W187" i="1" s="1"/>
  <c r="M187" i="1"/>
  <c r="CZ897" i="1"/>
  <c r="CW897" i="1"/>
  <c r="BI897" i="1"/>
  <c r="BF897" i="1"/>
  <c r="BC897" i="1"/>
  <c r="AP897" i="1"/>
  <c r="AR897" i="1" s="1"/>
  <c r="AG897" i="1"/>
  <c r="W897" i="1" s="1"/>
  <c r="N897" i="1"/>
  <c r="M897" i="1"/>
  <c r="AS186" i="1"/>
  <c r="AP186" i="1"/>
  <c r="AR186" i="1" s="1"/>
  <c r="AG186" i="1"/>
  <c r="W186" i="1" s="1"/>
  <c r="M186" i="1"/>
  <c r="CT894" i="1"/>
  <c r="CS894" i="1" s="1"/>
  <c r="BA894" i="1"/>
  <c r="AZ894" i="1" s="1"/>
  <c r="AP894" i="1"/>
  <c r="AR894" i="1" s="1"/>
  <c r="AG894" i="1"/>
  <c r="W894" i="1" s="1"/>
  <c r="M894" i="1"/>
  <c r="CT181" i="1"/>
  <c r="CS181" i="1" s="1"/>
  <c r="BA181" i="1"/>
  <c r="AZ181" i="1" s="1"/>
  <c r="AP181" i="1"/>
  <c r="AR181" i="1" s="1"/>
  <c r="AG181" i="1"/>
  <c r="W181" i="1" s="1"/>
  <c r="M181" i="1"/>
  <c r="CT889" i="1"/>
  <c r="CS889" i="1" s="1"/>
  <c r="BA889" i="1"/>
  <c r="AZ889" i="1" s="1"/>
  <c r="AP889" i="1"/>
  <c r="AR889" i="1" s="1"/>
  <c r="AG889" i="1"/>
  <c r="W889" i="1" s="1"/>
  <c r="M889" i="1"/>
  <c r="CT179" i="1"/>
  <c r="CS179" i="1" s="1"/>
  <c r="BA179" i="1"/>
  <c r="AZ179" i="1" s="1"/>
  <c r="AP179" i="1"/>
  <c r="AR179" i="1" s="1"/>
  <c r="AG179" i="1"/>
  <c r="W179" i="1" s="1"/>
  <c r="CT888" i="1"/>
  <c r="CS888" i="1" s="1"/>
  <c r="BA888" i="1"/>
  <c r="AP888" i="1"/>
  <c r="AR888" i="1" s="1"/>
  <c r="AG888" i="1"/>
  <c r="W888" i="1" s="1"/>
  <c r="N888" i="1"/>
  <c r="M888" i="1"/>
  <c r="CT177" i="1"/>
  <c r="CS177" i="1" s="1"/>
  <c r="BK177" i="1"/>
  <c r="BA177" i="1"/>
  <c r="AZ177" i="1" s="1"/>
  <c r="AP177" i="1"/>
  <c r="AR177" i="1" s="1"/>
  <c r="AG177" i="1"/>
  <c r="W177" i="1" s="1"/>
  <c r="M177" i="1"/>
  <c r="CT882" i="1"/>
  <c r="CS882" i="1" s="1"/>
  <c r="BA882" i="1"/>
  <c r="AZ882" i="1" s="1"/>
  <c r="AP882" i="1"/>
  <c r="AR882" i="1" s="1"/>
  <c r="AG882" i="1"/>
  <c r="W882" i="1" s="1"/>
  <c r="M882" i="1"/>
  <c r="CT176" i="1"/>
  <c r="CS176" i="1" s="1"/>
  <c r="BA176" i="1"/>
  <c r="AZ176" i="1" s="1"/>
  <c r="AP176" i="1"/>
  <c r="AR176" i="1" s="1"/>
  <c r="AG176" i="1"/>
  <c r="W176" i="1" s="1"/>
  <c r="M176" i="1"/>
  <c r="CT880" i="1"/>
  <c r="CS880" i="1" s="1"/>
  <c r="BA880" i="1"/>
  <c r="AZ880" i="1" s="1"/>
  <c r="AP880" i="1"/>
  <c r="AR880" i="1" s="1"/>
  <c r="AG880" i="1"/>
  <c r="W880" i="1" s="1"/>
  <c r="M880" i="1"/>
  <c r="CT172" i="1"/>
  <c r="CS172" i="1" s="1"/>
  <c r="BA172" i="1"/>
  <c r="AZ172" i="1" s="1"/>
  <c r="AP172" i="1"/>
  <c r="AR172" i="1" s="1"/>
  <c r="AG172" i="1"/>
  <c r="W172" i="1" s="1"/>
  <c r="N172" i="1"/>
  <c r="M172" i="1"/>
  <c r="CT877" i="1"/>
  <c r="CS877" i="1" s="1"/>
  <c r="BA877" i="1"/>
  <c r="AP877" i="1"/>
  <c r="AR877" i="1" s="1"/>
  <c r="AG877" i="1"/>
  <c r="W877" i="1" s="1"/>
  <c r="M877" i="1"/>
  <c r="CT170" i="1"/>
  <c r="CS170" i="1" s="1"/>
  <c r="BE170" i="1"/>
  <c r="BA170" i="1"/>
  <c r="AP170" i="1"/>
  <c r="AR170" i="1" s="1"/>
  <c r="AG170" i="1"/>
  <c r="W170" i="1" s="1"/>
  <c r="M170" i="1"/>
  <c r="AS875" i="1"/>
  <c r="AP875" i="1"/>
  <c r="AR875" i="1" s="1"/>
  <c r="AG875" i="1"/>
  <c r="W875" i="1" s="1"/>
  <c r="M875" i="1"/>
  <c r="CT165" i="1"/>
  <c r="CS165" i="1" s="1"/>
  <c r="BA165" i="1"/>
  <c r="AZ165" i="1" s="1"/>
  <c r="AP165" i="1"/>
  <c r="AR165" i="1" s="1"/>
  <c r="AG165" i="1"/>
  <c r="W165" i="1" s="1"/>
  <c r="M165" i="1"/>
  <c r="DB874" i="1"/>
  <c r="CT874" i="1"/>
  <c r="CS874" i="1" s="1"/>
  <c r="BA874" i="1"/>
  <c r="AZ874" i="1" s="1"/>
  <c r="AP874" i="1"/>
  <c r="AR874" i="1" s="1"/>
  <c r="AG874" i="1"/>
  <c r="W874" i="1" s="1"/>
  <c r="M874" i="1"/>
  <c r="CT163" i="1"/>
  <c r="CS163" i="1" s="1"/>
  <c r="BE163" i="1"/>
  <c r="BA163" i="1"/>
  <c r="AZ163" i="1" s="1"/>
  <c r="AP163" i="1"/>
  <c r="AR163" i="1" s="1"/>
  <c r="AG163" i="1"/>
  <c r="W163" i="1" s="1"/>
  <c r="M163" i="1"/>
  <c r="CT873" i="1"/>
  <c r="CS873" i="1" s="1"/>
  <c r="BA873" i="1"/>
  <c r="AZ873" i="1" s="1"/>
  <c r="AG873" i="1"/>
  <c r="W873" i="1" s="1"/>
  <c r="M873" i="1"/>
  <c r="CT160" i="1"/>
  <c r="CS160" i="1" s="1"/>
  <c r="BA160" i="1"/>
  <c r="AZ160" i="1" s="1"/>
  <c r="AP160" i="1"/>
  <c r="AR160" i="1" s="1"/>
  <c r="AG160" i="1"/>
  <c r="W160" i="1" s="1"/>
  <c r="M160" i="1"/>
  <c r="CT872" i="1"/>
  <c r="CS872" i="1" s="1"/>
  <c r="BA872" i="1"/>
  <c r="AZ872" i="1" s="1"/>
  <c r="AP872" i="1"/>
  <c r="AR872" i="1" s="1"/>
  <c r="AG872" i="1"/>
  <c r="W872" i="1" s="1"/>
  <c r="N872" i="1"/>
  <c r="M872" i="1"/>
  <c r="CT159" i="1"/>
  <c r="CS159" i="1" s="1"/>
  <c r="BA159" i="1"/>
  <c r="AP159" i="1"/>
  <c r="AR159" i="1" s="1"/>
  <c r="AG159" i="1"/>
  <c r="W159" i="1" s="1"/>
  <c r="M159" i="1"/>
  <c r="CT866" i="1"/>
  <c r="CS866" i="1" s="1"/>
  <c r="BA866" i="1"/>
  <c r="AZ866" i="1" s="1"/>
  <c r="AP866" i="1"/>
  <c r="AR866" i="1" s="1"/>
  <c r="AG866" i="1"/>
  <c r="W866" i="1" s="1"/>
  <c r="M866" i="1"/>
  <c r="CT156" i="1"/>
  <c r="CS156" i="1" s="1"/>
  <c r="BA156" i="1"/>
  <c r="AP156" i="1"/>
  <c r="AR156" i="1" s="1"/>
  <c r="AG156" i="1"/>
  <c r="W156" i="1" s="1"/>
  <c r="M156" i="1"/>
  <c r="CT862" i="1"/>
  <c r="CS862" i="1" s="1"/>
  <c r="BA862" i="1"/>
  <c r="AZ862" i="1" s="1"/>
  <c r="AP862" i="1"/>
  <c r="AR862" i="1" s="1"/>
  <c r="AG862" i="1"/>
  <c r="W862" i="1" s="1"/>
  <c r="M862" i="1"/>
  <c r="CT155" i="1"/>
  <c r="CS155" i="1" s="1"/>
  <c r="BA155" i="1"/>
  <c r="AP155" i="1"/>
  <c r="AR155" i="1" s="1"/>
  <c r="AG155" i="1"/>
  <c r="W155" i="1" s="1"/>
  <c r="M155" i="1"/>
  <c r="CT861" i="1"/>
  <c r="CS861" i="1" s="1"/>
  <c r="BA861" i="1"/>
  <c r="AZ861" i="1" s="1"/>
  <c r="AP861" i="1"/>
  <c r="AR861" i="1" s="1"/>
  <c r="AG861" i="1"/>
  <c r="W861" i="1" s="1"/>
  <c r="M861" i="1"/>
  <c r="AS153" i="1"/>
  <c r="AP153" i="1"/>
  <c r="AR153" i="1" s="1"/>
  <c r="AG153" i="1"/>
  <c r="W153" i="1" s="1"/>
  <c r="M153" i="1"/>
  <c r="CT860" i="1"/>
  <c r="CS860" i="1" s="1"/>
  <c r="BM860" i="1"/>
  <c r="BL860" i="1" s="1"/>
  <c r="BA860" i="1"/>
  <c r="AP860" i="1"/>
  <c r="AG860" i="1"/>
  <c r="W860" i="1" s="1"/>
  <c r="M860" i="1"/>
  <c r="CT150" i="1"/>
  <c r="CS150" i="1" s="1"/>
  <c r="BA150" i="1"/>
  <c r="AZ150" i="1" s="1"/>
  <c r="AP150" i="1"/>
  <c r="AR150" i="1" s="1"/>
  <c r="AG150" i="1"/>
  <c r="W150" i="1" s="1"/>
  <c r="M150" i="1"/>
  <c r="CT858" i="1"/>
  <c r="CS858" i="1" s="1"/>
  <c r="BA858" i="1"/>
  <c r="AZ858" i="1" s="1"/>
  <c r="AP858" i="1"/>
  <c r="AR858" i="1" s="1"/>
  <c r="AG858" i="1"/>
  <c r="W858" i="1" s="1"/>
  <c r="M858" i="1"/>
  <c r="DD852" i="1"/>
  <c r="DA852" i="1"/>
  <c r="CX852" i="1"/>
  <c r="CW852" i="1" s="1"/>
  <c r="BJ852" i="1"/>
  <c r="BG852" i="1"/>
  <c r="BF852" i="1" s="1"/>
  <c r="BD852" i="1"/>
  <c r="AP852" i="1"/>
  <c r="AR852" i="1" s="1"/>
  <c r="AG852" i="1"/>
  <c r="W852" i="1" s="1"/>
  <c r="N852" i="1"/>
  <c r="M852" i="1"/>
  <c r="CT147" i="1"/>
  <c r="CS147" i="1" s="1"/>
  <c r="BA147" i="1"/>
  <c r="AZ147" i="1" s="1"/>
  <c r="AP147" i="1"/>
  <c r="AR147" i="1" s="1"/>
  <c r="AG147" i="1"/>
  <c r="W147" i="1" s="1"/>
  <c r="M147" i="1"/>
  <c r="DD42" i="1"/>
  <c r="DA42" i="1"/>
  <c r="CZ42" i="1" s="1"/>
  <c r="CX42" i="1"/>
  <c r="BJ42" i="1"/>
  <c r="BG42" i="1"/>
  <c r="BF42" i="1" s="1"/>
  <c r="BD42" i="1"/>
  <c r="AP42" i="1"/>
  <c r="AR42" i="1" s="1"/>
  <c r="AG42" i="1"/>
  <c r="W42" i="1" s="1"/>
  <c r="M42" i="1"/>
  <c r="AS851" i="1"/>
  <c r="AP851" i="1"/>
  <c r="AR851" i="1" s="1"/>
  <c r="AG851" i="1"/>
  <c r="W851" i="1" s="1"/>
  <c r="M851" i="1"/>
  <c r="CT146" i="1"/>
  <c r="CS146" i="1" s="1"/>
  <c r="BA146" i="1"/>
  <c r="AZ146" i="1" s="1"/>
  <c r="AP146" i="1"/>
  <c r="AR146" i="1" s="1"/>
  <c r="AG146" i="1"/>
  <c r="W146" i="1" s="1"/>
  <c r="M146" i="1"/>
  <c r="DB850" i="1"/>
  <c r="CT850" i="1"/>
  <c r="CS850" i="1" s="1"/>
  <c r="BA850" i="1"/>
  <c r="AZ850" i="1" s="1"/>
  <c r="AP850" i="1"/>
  <c r="AR850" i="1" s="1"/>
  <c r="AG850" i="1"/>
  <c r="W850" i="1" s="1"/>
  <c r="M850" i="1"/>
  <c r="AS142" i="1"/>
  <c r="AP142" i="1"/>
  <c r="AR142" i="1" s="1"/>
  <c r="AG142" i="1"/>
  <c r="W142" i="1" s="1"/>
  <c r="M142" i="1"/>
  <c r="CT848" i="1"/>
  <c r="CS848" i="1" s="1"/>
  <c r="BA848" i="1"/>
  <c r="AP848" i="1"/>
  <c r="AR848" i="1" s="1"/>
  <c r="AG848" i="1"/>
  <c r="W848" i="1" s="1"/>
  <c r="M848" i="1"/>
  <c r="CT140" i="1"/>
  <c r="CS140" i="1" s="1"/>
  <c r="BA140" i="1"/>
  <c r="AP140" i="1"/>
  <c r="AR140" i="1" s="1"/>
  <c r="AG140" i="1"/>
  <c r="W140" i="1" s="1"/>
  <c r="M140" i="1"/>
  <c r="CT846" i="1"/>
  <c r="CS846" i="1" s="1"/>
  <c r="BA846" i="1"/>
  <c r="AP846" i="1"/>
  <c r="AR846" i="1" s="1"/>
  <c r="AG846" i="1"/>
  <c r="W846" i="1" s="1"/>
  <c r="M846" i="1"/>
  <c r="DE137" i="1"/>
  <c r="CT137" i="1"/>
  <c r="CS137" i="1" s="1"/>
  <c r="BA137" i="1"/>
  <c r="AP137" i="1"/>
  <c r="AR137" i="1" s="1"/>
  <c r="AG137" i="1"/>
  <c r="W137" i="1" s="1"/>
  <c r="M137" i="1"/>
  <c r="CT845" i="1"/>
  <c r="CS845" i="1" s="1"/>
  <c r="BA845" i="1"/>
  <c r="AP845" i="1"/>
  <c r="AR845" i="1" s="1"/>
  <c r="AG845" i="1"/>
  <c r="W845" i="1" s="1"/>
  <c r="M845" i="1"/>
  <c r="CT134" i="1"/>
  <c r="CS134" i="1" s="1"/>
  <c r="BA134" i="1"/>
  <c r="AP134" i="1"/>
  <c r="AR134" i="1" s="1"/>
  <c r="AG134" i="1"/>
  <c r="W134" i="1" s="1"/>
  <c r="M134" i="1"/>
  <c r="CT842" i="1"/>
  <c r="CS842" i="1" s="1"/>
  <c r="AP842" i="1"/>
  <c r="AR842" i="1" s="1"/>
  <c r="AG842" i="1"/>
  <c r="W842" i="1" s="1"/>
  <c r="M842" i="1"/>
  <c r="CT132" i="1"/>
  <c r="CS132" i="1" s="1"/>
  <c r="BA132" i="1"/>
  <c r="AP132" i="1"/>
  <c r="AR132" i="1" s="1"/>
  <c r="AG132" i="1"/>
  <c r="W132" i="1" s="1"/>
  <c r="M132" i="1"/>
  <c r="CT840" i="1"/>
  <c r="CS840" i="1" s="1"/>
  <c r="BA840" i="1"/>
  <c r="AP840" i="1"/>
  <c r="AR840" i="1" s="1"/>
  <c r="AG840" i="1"/>
  <c r="W840" i="1" s="1"/>
  <c r="M840" i="1"/>
  <c r="CT839" i="1"/>
  <c r="CS839" i="1" s="1"/>
  <c r="BH839" i="1"/>
  <c r="BE839" i="1"/>
  <c r="AY839" i="1"/>
  <c r="BB839" i="1" s="1"/>
  <c r="AP839" i="1"/>
  <c r="AO839" i="1"/>
  <c r="AG839" i="1"/>
  <c r="W839" i="1" s="1"/>
  <c r="M839" i="1"/>
  <c r="CT121" i="1"/>
  <c r="CS121" i="1" s="1"/>
  <c r="AP121" i="1"/>
  <c r="AO121" i="1"/>
  <c r="AG121" i="1"/>
  <c r="W121" i="1" s="1"/>
  <c r="M121" i="1"/>
  <c r="CT91" i="1"/>
  <c r="CS91" i="1" s="1"/>
  <c r="AY91" i="1"/>
  <c r="AP91" i="1"/>
  <c r="AO91" i="1"/>
  <c r="AG91" i="1"/>
  <c r="W91" i="1" s="1"/>
  <c r="M91" i="1"/>
  <c r="CY118" i="1"/>
  <c r="CV118" i="1"/>
  <c r="CT118" i="1"/>
  <c r="CS118" i="1" s="1"/>
  <c r="AY118" i="1"/>
  <c r="AP118" i="1"/>
  <c r="AO118" i="1"/>
  <c r="AG118" i="1"/>
  <c r="W118" i="1" s="1"/>
  <c r="M118" i="1"/>
  <c r="CT827" i="1"/>
  <c r="CS827" i="1" s="1"/>
  <c r="BH827" i="1"/>
  <c r="AY827" i="1"/>
  <c r="BB827" i="1" s="1"/>
  <c r="AP827" i="1"/>
  <c r="AO827" i="1"/>
  <c r="AG827" i="1"/>
  <c r="W827" i="1" s="1"/>
  <c r="M827" i="1"/>
  <c r="CT85" i="1"/>
  <c r="CS85" i="1" s="1"/>
  <c r="AY85" i="1"/>
  <c r="AP85" i="1"/>
  <c r="AO85" i="1"/>
  <c r="AG85" i="1"/>
  <c r="W85" i="1" s="1"/>
  <c r="M85" i="1"/>
  <c r="CY787" i="1"/>
  <c r="CV787" i="1"/>
  <c r="CT787" i="1"/>
  <c r="CS787" i="1" s="1"/>
  <c r="AY787" i="1"/>
  <c r="AP787" i="1"/>
  <c r="AO787" i="1"/>
  <c r="W787" i="1"/>
  <c r="M787" i="1"/>
  <c r="CT53" i="1"/>
  <c r="CS53" i="1" s="1"/>
  <c r="AY53" i="1"/>
  <c r="AP53" i="1"/>
  <c r="AO53" i="1"/>
  <c r="AG53" i="1"/>
  <c r="W53" i="1" s="1"/>
  <c r="M53" i="1"/>
  <c r="AP131" i="1"/>
  <c r="AO131" i="1"/>
  <c r="AG131" i="1"/>
  <c r="W131" i="1" s="1"/>
  <c r="M131" i="1"/>
  <c r="CT812" i="1"/>
  <c r="CS812" i="1" s="1"/>
  <c r="BK812" i="1"/>
  <c r="BH812" i="1"/>
  <c r="BE812" i="1"/>
  <c r="AY812" i="1"/>
  <c r="BB812" i="1" s="1"/>
  <c r="AQ812" i="1"/>
  <c r="AP812" i="1"/>
  <c r="AO812" i="1"/>
  <c r="AG812" i="1"/>
  <c r="W812" i="1" s="1"/>
  <c r="M812" i="1"/>
  <c r="CT126" i="1"/>
  <c r="CS126" i="1" s="1"/>
  <c r="BK126" i="1"/>
  <c r="BH126" i="1"/>
  <c r="BE126" i="1"/>
  <c r="AY126" i="1"/>
  <c r="BB126" i="1" s="1"/>
  <c r="AP126" i="1"/>
  <c r="AO126" i="1"/>
  <c r="AG126" i="1"/>
  <c r="W126" i="1" s="1"/>
  <c r="N126" i="1"/>
  <c r="M126" i="1"/>
  <c r="CT831" i="1"/>
  <c r="CS831" i="1" s="1"/>
  <c r="BH831" i="1"/>
  <c r="BE831" i="1"/>
  <c r="AY831" i="1"/>
  <c r="BB831" i="1" s="1"/>
  <c r="AP831" i="1"/>
  <c r="AO831" i="1"/>
  <c r="AG831" i="1"/>
  <c r="W831" i="1" s="1"/>
  <c r="M831" i="1"/>
  <c r="CT805" i="1"/>
  <c r="CS805" i="1" s="1"/>
  <c r="BH805" i="1"/>
  <c r="BE805" i="1"/>
  <c r="AY805" i="1"/>
  <c r="BB805" i="1" s="1"/>
  <c r="AQ805" i="1"/>
  <c r="AP805" i="1"/>
  <c r="AO805" i="1"/>
  <c r="AG805" i="1"/>
  <c r="W805" i="1" s="1"/>
  <c r="M805" i="1"/>
  <c r="CT758" i="1"/>
  <c r="CS758" i="1" s="1"/>
  <c r="AP758" i="1"/>
  <c r="AO758" i="1"/>
  <c r="AG758" i="1"/>
  <c r="W758" i="1" s="1"/>
  <c r="M758" i="1"/>
  <c r="CT844" i="1"/>
  <c r="CS844" i="1" s="1"/>
  <c r="BK844" i="1"/>
  <c r="BH844" i="1"/>
  <c r="BE844" i="1"/>
  <c r="AY844" i="1"/>
  <c r="BB844" i="1" s="1"/>
  <c r="AQ844" i="1"/>
  <c r="AP844" i="1"/>
  <c r="AO844" i="1"/>
  <c r="AG844" i="1"/>
  <c r="W844" i="1" s="1"/>
  <c r="M844" i="1"/>
  <c r="CT136" i="1"/>
  <c r="CS136" i="1" s="1"/>
  <c r="AQ136" i="1"/>
  <c r="AP136" i="1"/>
  <c r="AO136" i="1"/>
  <c r="M136" i="1"/>
  <c r="CT1451" i="1"/>
  <c r="CS1451" i="1" s="1"/>
  <c r="BK1451" i="1"/>
  <c r="BH1451" i="1"/>
  <c r="BE1451" i="1"/>
  <c r="AY1451" i="1"/>
  <c r="M1451" i="1"/>
  <c r="AP117" i="1"/>
  <c r="AO117" i="1"/>
  <c r="AG117" i="1"/>
  <c r="W117" i="1" s="1"/>
  <c r="M117" i="1"/>
  <c r="CT90" i="1"/>
  <c r="CS90" i="1" s="1"/>
  <c r="BK90" i="1"/>
  <c r="BH90" i="1"/>
  <c r="BE90" i="1"/>
  <c r="BB90" i="1"/>
  <c r="AY90" i="1"/>
  <c r="AP90" i="1"/>
  <c r="AO90" i="1"/>
  <c r="AG90" i="1"/>
  <c r="W90" i="1" s="1"/>
  <c r="N90" i="1"/>
  <c r="M90" i="1"/>
  <c r="CT84" i="1"/>
  <c r="CS84" i="1" s="1"/>
  <c r="AP84" i="1"/>
  <c r="AO84" i="1"/>
  <c r="AG84" i="1"/>
  <c r="W84" i="1" s="1"/>
  <c r="M84" i="1"/>
  <c r="CT786" i="1"/>
  <c r="CS786" i="1" s="1"/>
  <c r="AP786" i="1"/>
  <c r="AR786" i="1" s="1"/>
  <c r="AO786" i="1"/>
  <c r="AG786" i="1"/>
  <c r="W786" i="1" s="1"/>
  <c r="M786" i="1"/>
  <c r="CT826" i="1"/>
  <c r="CS826" i="1" s="1"/>
  <c r="BK826" i="1"/>
  <c r="BH826" i="1"/>
  <c r="BE826" i="1"/>
  <c r="BB826" i="1"/>
  <c r="AY826" i="1"/>
  <c r="AP826" i="1"/>
  <c r="AO826" i="1"/>
  <c r="AG826" i="1"/>
  <c r="W826" i="1" s="1"/>
  <c r="M826" i="1"/>
  <c r="DB52" i="1"/>
  <c r="CY52" i="1"/>
  <c r="CV52" i="1"/>
  <c r="CT52" i="1"/>
  <c r="CS52" i="1" s="1"/>
  <c r="BK52" i="1"/>
  <c r="BH52" i="1"/>
  <c r="BB52" i="1"/>
  <c r="AY52" i="1"/>
  <c r="AP52" i="1"/>
  <c r="AO52" i="1"/>
  <c r="AG52" i="1"/>
  <c r="W52" i="1" s="1"/>
  <c r="M52" i="1"/>
  <c r="CT129" i="1"/>
  <c r="CS129" i="1" s="1"/>
  <c r="BK129" i="1"/>
  <c r="BH129" i="1"/>
  <c r="BE129" i="1"/>
  <c r="BB129" i="1"/>
  <c r="AY129" i="1"/>
  <c r="AP129" i="1"/>
  <c r="AO129" i="1"/>
  <c r="AG129" i="1"/>
  <c r="W129" i="1" s="1"/>
  <c r="M129" i="1"/>
  <c r="CT115" i="1"/>
  <c r="CS115" i="1" s="1"/>
  <c r="AY115" i="1"/>
  <c r="AP115" i="1"/>
  <c r="AO115" i="1"/>
  <c r="AG115" i="1"/>
  <c r="W115" i="1" s="1"/>
  <c r="M115" i="1"/>
  <c r="CT125" i="1"/>
  <c r="CS125" i="1" s="1"/>
  <c r="AP125" i="1"/>
  <c r="AO125" i="1"/>
  <c r="AG125" i="1"/>
  <c r="W125" i="1" s="1"/>
  <c r="N125" i="1"/>
  <c r="M125" i="1"/>
  <c r="CT99" i="1"/>
  <c r="CS99" i="1" s="1"/>
  <c r="BK99" i="1"/>
  <c r="BH99" i="1"/>
  <c r="BE99" i="1"/>
  <c r="BB99" i="1"/>
  <c r="AY99" i="1"/>
  <c r="AP99" i="1"/>
  <c r="AO99" i="1"/>
  <c r="AG99" i="1"/>
  <c r="W99" i="1" s="1"/>
  <c r="M99" i="1"/>
  <c r="CT76" i="1"/>
  <c r="CS76" i="1" s="1"/>
  <c r="BK76" i="1"/>
  <c r="BH76" i="1"/>
  <c r="BE76" i="1"/>
  <c r="BB76" i="1"/>
  <c r="AY76" i="1"/>
  <c r="AP76" i="1"/>
  <c r="AO76" i="1"/>
  <c r="AG76" i="1"/>
  <c r="W76" i="1" s="1"/>
  <c r="CT830" i="1"/>
  <c r="CS830" i="1" s="1"/>
  <c r="BH830" i="1"/>
  <c r="BE830" i="1"/>
  <c r="BB830" i="1"/>
  <c r="AY830" i="1"/>
  <c r="AP830" i="1"/>
  <c r="AO830" i="1"/>
  <c r="AG830" i="1"/>
  <c r="W830" i="1" s="1"/>
  <c r="M830" i="1"/>
  <c r="CT811" i="1"/>
  <c r="CS811" i="1" s="1"/>
  <c r="BK811" i="1"/>
  <c r="BH811" i="1"/>
  <c r="BE811" i="1"/>
  <c r="BB811" i="1"/>
  <c r="AY811" i="1"/>
  <c r="AP811" i="1"/>
  <c r="AO811" i="1"/>
  <c r="AG811" i="1"/>
  <c r="W811" i="1" s="1"/>
  <c r="M811" i="1"/>
  <c r="CT804" i="1"/>
  <c r="CS804" i="1" s="1"/>
  <c r="BH804" i="1"/>
  <c r="BE804" i="1"/>
  <c r="BB804" i="1"/>
  <c r="AY804" i="1"/>
  <c r="AP804" i="1"/>
  <c r="AO804" i="1"/>
  <c r="AG804" i="1"/>
  <c r="W804" i="1" s="1"/>
  <c r="M804" i="1"/>
  <c r="CT781" i="1"/>
  <c r="CS781" i="1" s="1"/>
  <c r="AY781" i="1"/>
  <c r="AP781" i="1"/>
  <c r="AO781" i="1"/>
  <c r="AG781" i="1"/>
  <c r="W781" i="1" s="1"/>
  <c r="M781" i="1"/>
  <c r="CT41" i="1"/>
  <c r="CS41" i="1" s="1"/>
  <c r="BB41" i="1"/>
  <c r="BH41" i="1" s="1"/>
  <c r="AY41" i="1"/>
  <c r="AP41" i="1"/>
  <c r="AO41" i="1"/>
  <c r="AG41" i="1"/>
  <c r="W41" i="1" s="1"/>
  <c r="M41" i="1"/>
  <c r="CT757" i="1"/>
  <c r="CS757" i="1" s="1"/>
  <c r="BK757" i="1"/>
  <c r="BH757" i="1"/>
  <c r="BE757" i="1"/>
  <c r="BB757" i="1"/>
  <c r="AY757" i="1"/>
  <c r="AP757" i="1"/>
  <c r="AO757" i="1"/>
  <c r="AG757" i="1"/>
  <c r="W757" i="1" s="1"/>
  <c r="M757" i="1"/>
  <c r="CT7" i="1"/>
  <c r="CS7" i="1" s="1"/>
  <c r="BK7" i="1"/>
  <c r="BH7" i="1"/>
  <c r="BE7" i="1"/>
  <c r="BB7" i="1"/>
  <c r="AY7" i="1"/>
  <c r="AP7" i="1"/>
  <c r="AO7" i="1"/>
  <c r="AG7" i="1"/>
  <c r="W7" i="1" s="1"/>
  <c r="CT130" i="1"/>
  <c r="CS130" i="1" s="1"/>
  <c r="BK130" i="1"/>
  <c r="BH130" i="1"/>
  <c r="BE130" i="1"/>
  <c r="AY130" i="1"/>
  <c r="BB130" i="1" s="1"/>
  <c r="AP130" i="1"/>
  <c r="AO130" i="1"/>
  <c r="AG130" i="1"/>
  <c r="W130" i="1" s="1"/>
  <c r="M130" i="1"/>
  <c r="CT843" i="1"/>
  <c r="CS843" i="1" s="1"/>
  <c r="BK843" i="1"/>
  <c r="BH843" i="1"/>
  <c r="BE843" i="1"/>
  <c r="BB843" i="1"/>
  <c r="AY843" i="1"/>
  <c r="AP843" i="1"/>
  <c r="AO843" i="1"/>
  <c r="AG843" i="1"/>
  <c r="W843" i="1" s="1"/>
  <c r="M843" i="1"/>
  <c r="CT135" i="1"/>
  <c r="CS135" i="1" s="1"/>
  <c r="AP135" i="1"/>
  <c r="AO135" i="1"/>
  <c r="AG135" i="1"/>
  <c r="W135" i="1" s="1"/>
  <c r="M135" i="1"/>
  <c r="CT776" i="1"/>
  <c r="CS776" i="1" s="1"/>
  <c r="BK776" i="1"/>
  <c r="BH776" i="1"/>
  <c r="BE776" i="1"/>
  <c r="BB776" i="1"/>
  <c r="AY776" i="1"/>
  <c r="AP776" i="1"/>
  <c r="AO776" i="1"/>
  <c r="AG776" i="1"/>
  <c r="W776" i="1" s="1"/>
  <c r="M776" i="1"/>
  <c r="CT834" i="1"/>
  <c r="CS834" i="1" s="1"/>
  <c r="AP834" i="1"/>
  <c r="AO834" i="1"/>
  <c r="AG834" i="1"/>
  <c r="W834" i="1" s="1"/>
  <c r="N834" i="1"/>
  <c r="M834" i="1"/>
  <c r="CT109" i="1"/>
  <c r="CS109" i="1" s="1"/>
  <c r="AP109" i="1"/>
  <c r="AO109" i="1"/>
  <c r="AG109" i="1"/>
  <c r="W109" i="1" s="1"/>
  <c r="M109" i="1"/>
  <c r="CY29" i="1"/>
  <c r="CV29" i="1"/>
  <c r="CT29" i="1"/>
  <c r="CS29" i="1" s="1"/>
  <c r="AY29" i="1"/>
  <c r="AP29" i="1"/>
  <c r="AO29" i="1"/>
  <c r="AG29" i="1"/>
  <c r="W29" i="1" s="1"/>
  <c r="M29" i="1"/>
  <c r="CY838" i="1"/>
  <c r="CV838" i="1"/>
  <c r="CT838" i="1"/>
  <c r="CS838" i="1" s="1"/>
  <c r="BH838" i="1"/>
  <c r="BE838" i="1"/>
  <c r="BB838" i="1"/>
  <c r="AY838" i="1"/>
  <c r="AP838" i="1"/>
  <c r="AO838" i="1"/>
  <c r="AG838" i="1"/>
  <c r="W838" i="1" s="1"/>
  <c r="M838" i="1"/>
  <c r="CT120" i="1"/>
  <c r="CS120" i="1" s="1"/>
  <c r="BL120" i="1"/>
  <c r="AP120" i="1"/>
  <c r="AO120" i="1"/>
  <c r="AG120" i="1"/>
  <c r="W120" i="1" s="1"/>
  <c r="M120" i="1"/>
  <c r="CT89" i="1"/>
  <c r="CS89" i="1" s="1"/>
  <c r="BK89" i="1"/>
  <c r="BH89" i="1"/>
  <c r="BE89" i="1"/>
  <c r="AY89" i="1"/>
  <c r="BB89" i="1" s="1"/>
  <c r="AP89" i="1"/>
  <c r="AO89" i="1"/>
  <c r="AG89" i="1"/>
  <c r="W89" i="1" s="1"/>
  <c r="N89" i="1"/>
  <c r="M89" i="1"/>
  <c r="CT83" i="1"/>
  <c r="CS83" i="1" s="1"/>
  <c r="BK83" i="1"/>
  <c r="BH83" i="1"/>
  <c r="BE83" i="1"/>
  <c r="BB83" i="1"/>
  <c r="AY83" i="1"/>
  <c r="AP83" i="1"/>
  <c r="AO83" i="1"/>
  <c r="AG83" i="1"/>
  <c r="W83" i="1" s="1"/>
  <c r="M83" i="1"/>
  <c r="CY792" i="1"/>
  <c r="CV792" i="1"/>
  <c r="CT792" i="1"/>
  <c r="CS792" i="1" s="1"/>
  <c r="BH792" i="1"/>
  <c r="BE792" i="1"/>
  <c r="BB792" i="1"/>
  <c r="AY792" i="1"/>
  <c r="AP792" i="1"/>
  <c r="AO792" i="1"/>
  <c r="AG792" i="1"/>
  <c r="W792" i="1" s="1"/>
  <c r="M792" i="1"/>
  <c r="CT57" i="1"/>
  <c r="CS57" i="1" s="1"/>
  <c r="BK57" i="1"/>
  <c r="BH57" i="1"/>
  <c r="BE57" i="1"/>
  <c r="AY57" i="1"/>
  <c r="BB57" i="1" s="1"/>
  <c r="AP57" i="1"/>
  <c r="AO57" i="1"/>
  <c r="AG57" i="1"/>
  <c r="W57" i="1" s="1"/>
  <c r="M57" i="1"/>
  <c r="CT128" i="1"/>
  <c r="CS128" i="1" s="1"/>
  <c r="AP128" i="1"/>
  <c r="AO128" i="1"/>
  <c r="AG128" i="1"/>
  <c r="W128" i="1" s="1"/>
  <c r="M128" i="1"/>
  <c r="CT114" i="1"/>
  <c r="CS114" i="1" s="1"/>
  <c r="AY114" i="1"/>
  <c r="AP114" i="1"/>
  <c r="AO114" i="1"/>
  <c r="AG114" i="1"/>
  <c r="W114" i="1" s="1"/>
  <c r="M114" i="1"/>
  <c r="CT127" i="1"/>
  <c r="CS127" i="1" s="1"/>
  <c r="BH127" i="1"/>
  <c r="BE127" i="1"/>
  <c r="BB127" i="1"/>
  <c r="AY127" i="1"/>
  <c r="AP127" i="1"/>
  <c r="AO127" i="1"/>
  <c r="AG127" i="1"/>
  <c r="W127" i="1" s="1"/>
  <c r="M127" i="1"/>
  <c r="CT837" i="1"/>
  <c r="CS837" i="1" s="1"/>
  <c r="AP837" i="1"/>
  <c r="AO837" i="1"/>
  <c r="AG837" i="1"/>
  <c r="W837" i="1" s="1"/>
  <c r="M837" i="1"/>
  <c r="DB763" i="1"/>
  <c r="CY763" i="1"/>
  <c r="CV763" i="1"/>
  <c r="CT763" i="1"/>
  <c r="CS763" i="1" s="1"/>
  <c r="BK763" i="1"/>
  <c r="BH763" i="1"/>
  <c r="BE763" i="1"/>
  <c r="BB763" i="1"/>
  <c r="AY763" i="1"/>
  <c r="AP763" i="1"/>
  <c r="AO763" i="1"/>
  <c r="AG763" i="1"/>
  <c r="W763" i="1" s="1"/>
  <c r="M763" i="1"/>
  <c r="CT124" i="1"/>
  <c r="CS124" i="1" s="1"/>
  <c r="AP124" i="1"/>
  <c r="AO124" i="1"/>
  <c r="AG124" i="1"/>
  <c r="W124" i="1" s="1"/>
  <c r="M124" i="1"/>
  <c r="CT836" i="1"/>
  <c r="CS836" i="1" s="1"/>
  <c r="BH836" i="1"/>
  <c r="BE836" i="1"/>
  <c r="BB836" i="1"/>
  <c r="AY836" i="1"/>
  <c r="AP836" i="1"/>
  <c r="AO836" i="1"/>
  <c r="AG836" i="1"/>
  <c r="W836" i="1" s="1"/>
  <c r="M836" i="1"/>
  <c r="CT111" i="1"/>
  <c r="CS111" i="1" s="1"/>
  <c r="BH111" i="1"/>
  <c r="BE111" i="1"/>
  <c r="AY111" i="1"/>
  <c r="BB111" i="1" s="1"/>
  <c r="AP111" i="1"/>
  <c r="AO111" i="1"/>
  <c r="AG111" i="1"/>
  <c r="W111" i="1" s="1"/>
  <c r="M111" i="1"/>
  <c r="CT803" i="1"/>
  <c r="CS803" i="1" s="1"/>
  <c r="BH803" i="1"/>
  <c r="BE803" i="1"/>
  <c r="BB803" i="1"/>
  <c r="AY803" i="1"/>
  <c r="AP803" i="1"/>
  <c r="AO803" i="1"/>
  <c r="AG803" i="1"/>
  <c r="W803" i="1" s="1"/>
  <c r="M803" i="1"/>
  <c r="CT98" i="1"/>
  <c r="CS98" i="1" s="1"/>
  <c r="AY98" i="1"/>
  <c r="AP98" i="1"/>
  <c r="AO98" i="1"/>
  <c r="AG98" i="1"/>
  <c r="W98" i="1" s="1"/>
  <c r="M98" i="1"/>
  <c r="CT75" i="1"/>
  <c r="CS75" i="1" s="1"/>
  <c r="BK75" i="1"/>
  <c r="BH75" i="1"/>
  <c r="BE75" i="1"/>
  <c r="BB75" i="1"/>
  <c r="AY75" i="1"/>
  <c r="AP75" i="1"/>
  <c r="AO75" i="1"/>
  <c r="AG75" i="1"/>
  <c r="W75" i="1" s="1"/>
  <c r="M75" i="1"/>
  <c r="CT40" i="1"/>
  <c r="CS40" i="1" s="1"/>
  <c r="BK40" i="1"/>
  <c r="BH40" i="1"/>
  <c r="BE40" i="1"/>
  <c r="BB40" i="1"/>
  <c r="AY40" i="1"/>
  <c r="AP40" i="1"/>
  <c r="AO40" i="1"/>
  <c r="AG40" i="1"/>
  <c r="W40" i="1" s="1"/>
  <c r="M40" i="1"/>
  <c r="CT756" i="1"/>
  <c r="CS756" i="1" s="1"/>
  <c r="BH756" i="1"/>
  <c r="BE756" i="1"/>
  <c r="AY756" i="1"/>
  <c r="BB756" i="1" s="1"/>
  <c r="AG756" i="1"/>
  <c r="W756" i="1" s="1"/>
  <c r="M756" i="1"/>
  <c r="CT6" i="1"/>
  <c r="CS6" i="1" s="1"/>
  <c r="BK6" i="1"/>
  <c r="BH6" i="1"/>
  <c r="BE6" i="1"/>
  <c r="AY6" i="1"/>
  <c r="BB6" i="1" s="1"/>
  <c r="AP6" i="1"/>
  <c r="AO6" i="1"/>
  <c r="AG6" i="1"/>
  <c r="W6" i="1" s="1"/>
  <c r="M6" i="1"/>
  <c r="CT749" i="1"/>
  <c r="CS749" i="1" s="1"/>
  <c r="BH749" i="1"/>
  <c r="BB749" i="1"/>
  <c r="AY749" i="1"/>
  <c r="AP749" i="1"/>
  <c r="AO749" i="1"/>
  <c r="AG749" i="1"/>
  <c r="W749" i="1" s="1"/>
  <c r="M749" i="1"/>
  <c r="CT123" i="1"/>
  <c r="CS123" i="1" s="1"/>
  <c r="BH123" i="1"/>
  <c r="BE123" i="1"/>
  <c r="AY123" i="1"/>
  <c r="BB123" i="1" s="1"/>
  <c r="AP123" i="1"/>
  <c r="AO123" i="1"/>
  <c r="AG123" i="1"/>
  <c r="W123" i="1" s="1"/>
  <c r="M123" i="1"/>
  <c r="CT835" i="1"/>
  <c r="CS835" i="1" s="1"/>
  <c r="AP835" i="1"/>
  <c r="AO835" i="1"/>
  <c r="AG835" i="1"/>
  <c r="W835" i="1" s="1"/>
  <c r="M835" i="1"/>
  <c r="CT108" i="1"/>
  <c r="CS108" i="1" s="1"/>
  <c r="BH108" i="1"/>
  <c r="BE108" i="1"/>
  <c r="BB108" i="1"/>
  <c r="AY108" i="1"/>
  <c r="AP108" i="1"/>
  <c r="AO108" i="1"/>
  <c r="AG108" i="1"/>
  <c r="W108" i="1" s="1"/>
  <c r="M108" i="1"/>
  <c r="CT122" i="1"/>
  <c r="CS122" i="1" s="1"/>
  <c r="AQ122" i="1"/>
  <c r="AP122" i="1"/>
  <c r="AO122" i="1"/>
  <c r="AG122" i="1"/>
  <c r="W122" i="1" s="1"/>
  <c r="M122" i="1"/>
  <c r="CT833" i="1"/>
  <c r="CS833" i="1" s="1"/>
  <c r="BH833" i="1"/>
  <c r="BE833" i="1"/>
  <c r="BB833" i="1"/>
  <c r="AY833" i="1"/>
  <c r="AP833" i="1"/>
  <c r="AO833" i="1"/>
  <c r="AG833" i="1"/>
  <c r="W833" i="1" s="1"/>
  <c r="N833" i="1"/>
  <c r="M833" i="1"/>
  <c r="CT775" i="1"/>
  <c r="CS775" i="1" s="1"/>
  <c r="BH775" i="1"/>
  <c r="BE775" i="1"/>
  <c r="BB775" i="1"/>
  <c r="AY775" i="1"/>
  <c r="AP775" i="1"/>
  <c r="AO775" i="1"/>
  <c r="AG775" i="1"/>
  <c r="W775" i="1" s="1"/>
  <c r="M775" i="1"/>
  <c r="DB28" i="1"/>
  <c r="CY28" i="1"/>
  <c r="CV28" i="1"/>
  <c r="CT28" i="1"/>
  <c r="CS28" i="1" s="1"/>
  <c r="AY28" i="1"/>
  <c r="AP28" i="1"/>
  <c r="AO28" i="1"/>
  <c r="AG28" i="1"/>
  <c r="W28" i="1" s="1"/>
  <c r="M28" i="1"/>
  <c r="CT119" i="1"/>
  <c r="CS119" i="1" s="1"/>
  <c r="BK119" i="1"/>
  <c r="BH119" i="1"/>
  <c r="BE119" i="1"/>
  <c r="AY119" i="1"/>
  <c r="BB119" i="1" s="1"/>
  <c r="AP119" i="1"/>
  <c r="AO119" i="1"/>
  <c r="AG119" i="1"/>
  <c r="W119" i="1" s="1"/>
  <c r="M119" i="1"/>
  <c r="CT82" i="1"/>
  <c r="CS82" i="1" s="1"/>
  <c r="BE82" i="1"/>
  <c r="BB82" i="1"/>
  <c r="AY82" i="1"/>
  <c r="AP82" i="1"/>
  <c r="AO82" i="1"/>
  <c r="AG82" i="1"/>
  <c r="W82" i="1" s="1"/>
  <c r="M82" i="1"/>
  <c r="CT306" i="1"/>
  <c r="CS306" i="1" s="1"/>
  <c r="AP306" i="1"/>
  <c r="AO306" i="1"/>
  <c r="AG306" i="1"/>
  <c r="W306" i="1" s="1"/>
  <c r="M306" i="1"/>
  <c r="CT818" i="1"/>
  <c r="CS818" i="1" s="1"/>
  <c r="BL818" i="1"/>
  <c r="AP818" i="1"/>
  <c r="AO818" i="1"/>
  <c r="AG818" i="1"/>
  <c r="W818" i="1" s="1"/>
  <c r="M818" i="1"/>
  <c r="DB51" i="1"/>
  <c r="CY51" i="1"/>
  <c r="CV51" i="1"/>
  <c r="CT51" i="1"/>
  <c r="CS51" i="1" s="1"/>
  <c r="BH51" i="1"/>
  <c r="BE51" i="1"/>
  <c r="BB51" i="1"/>
  <c r="AY51" i="1"/>
  <c r="AP51" i="1"/>
  <c r="AO51" i="1"/>
  <c r="AG51" i="1"/>
  <c r="W51" i="1" s="1"/>
  <c r="CT743" i="1"/>
  <c r="CS743" i="1" s="1"/>
  <c r="BK743" i="1"/>
  <c r="AY743" i="1"/>
  <c r="BB743" i="1" s="1"/>
  <c r="AP743" i="1"/>
  <c r="AO743" i="1"/>
  <c r="AG743" i="1"/>
  <c r="W743" i="1" s="1"/>
  <c r="M743" i="1"/>
  <c r="CT116" i="1"/>
  <c r="CS116" i="1" s="1"/>
  <c r="AP116" i="1"/>
  <c r="AO116" i="1"/>
  <c r="AG116" i="1"/>
  <c r="W116" i="1" s="1"/>
  <c r="M116" i="1"/>
  <c r="CT825" i="1"/>
  <c r="CS825" i="1" s="1"/>
  <c r="AP825" i="1"/>
  <c r="AO825" i="1"/>
  <c r="AG825" i="1"/>
  <c r="W825" i="1" s="1"/>
  <c r="M825" i="1"/>
  <c r="CT88" i="1"/>
  <c r="CS88" i="1" s="1"/>
  <c r="BH88" i="1"/>
  <c r="BB88" i="1"/>
  <c r="AY88" i="1"/>
  <c r="AP88" i="1"/>
  <c r="AO88" i="1"/>
  <c r="AG88" i="1"/>
  <c r="W88" i="1" s="1"/>
  <c r="M88" i="1"/>
  <c r="CT791" i="1"/>
  <c r="CS791" i="1" s="1"/>
  <c r="AP791" i="1"/>
  <c r="AO791" i="1"/>
  <c r="AG791" i="1"/>
  <c r="W791" i="1" s="1"/>
  <c r="M791" i="1"/>
  <c r="CT56" i="1"/>
  <c r="CS56" i="1" s="1"/>
  <c r="BH56" i="1"/>
  <c r="BB56" i="1"/>
  <c r="AY56" i="1"/>
  <c r="AP56" i="1"/>
  <c r="AO56" i="1"/>
  <c r="AG56" i="1"/>
  <c r="W56" i="1" s="1"/>
  <c r="M56" i="1"/>
  <c r="DB832" i="1"/>
  <c r="CY832" i="1"/>
  <c r="CV832" i="1"/>
  <c r="CT832" i="1"/>
  <c r="CS832" i="1" s="1"/>
  <c r="BH832" i="1"/>
  <c r="BE832" i="1"/>
  <c r="BB832" i="1"/>
  <c r="AY832" i="1"/>
  <c r="AP832" i="1"/>
  <c r="AO832" i="1"/>
  <c r="AG832" i="1"/>
  <c r="W832" i="1" s="1"/>
  <c r="M832" i="1"/>
  <c r="CT113" i="1"/>
  <c r="CS113" i="1" s="1"/>
  <c r="BK113" i="1"/>
  <c r="BH113" i="1"/>
  <c r="BE113" i="1"/>
  <c r="BB113" i="1"/>
  <c r="AY113" i="1"/>
  <c r="AP113" i="1"/>
  <c r="AO113" i="1"/>
  <c r="AG113" i="1"/>
  <c r="W113" i="1" s="1"/>
  <c r="M113" i="1"/>
  <c r="CT112" i="1"/>
  <c r="CS112" i="1" s="1"/>
  <c r="AP112" i="1"/>
  <c r="AO112" i="1"/>
  <c r="AG112" i="1"/>
  <c r="W112" i="1" s="1"/>
  <c r="M112" i="1"/>
  <c r="CT16" i="1"/>
  <c r="CS16" i="1" s="1"/>
  <c r="BH16" i="1"/>
  <c r="BB16" i="1"/>
  <c r="AY16" i="1"/>
  <c r="AP16" i="1"/>
  <c r="AO16" i="1"/>
  <c r="AG16" i="1"/>
  <c r="W16" i="1" s="1"/>
  <c r="M16" i="1"/>
  <c r="CT766" i="1"/>
  <c r="CS766" i="1" s="1"/>
  <c r="AG766" i="1"/>
  <c r="W766" i="1" s="1"/>
  <c r="M766" i="1"/>
  <c r="CT102" i="1"/>
  <c r="CS102" i="1" s="1"/>
  <c r="BK102" i="1"/>
  <c r="BH102" i="1"/>
  <c r="BE102" i="1"/>
  <c r="AY102" i="1"/>
  <c r="BB102" i="1" s="1"/>
  <c r="AP102" i="1"/>
  <c r="AO102" i="1"/>
  <c r="AG102" i="1"/>
  <c r="W102" i="1" s="1"/>
  <c r="M102" i="1"/>
  <c r="DB762" i="1"/>
  <c r="CY762" i="1"/>
  <c r="CV762" i="1"/>
  <c r="CT762" i="1"/>
  <c r="CS762" i="1" s="1"/>
  <c r="BH762" i="1"/>
  <c r="BE762" i="1"/>
  <c r="BB762" i="1"/>
  <c r="AY762" i="1"/>
  <c r="AP762" i="1"/>
  <c r="AO762" i="1"/>
  <c r="AG762" i="1"/>
  <c r="W762" i="1" s="1"/>
  <c r="M762" i="1"/>
  <c r="W1453" i="1"/>
  <c r="M1453" i="1"/>
  <c r="CY829" i="1"/>
  <c r="CV829" i="1"/>
  <c r="CT829" i="1"/>
  <c r="CS829" i="1" s="1"/>
  <c r="BH829" i="1"/>
  <c r="BE829" i="1"/>
  <c r="BB829" i="1"/>
  <c r="AY829" i="1"/>
  <c r="AP829" i="1"/>
  <c r="AO829" i="1"/>
  <c r="W829" i="1"/>
  <c r="M829" i="1"/>
  <c r="CY74" i="1"/>
  <c r="CV74" i="1"/>
  <c r="CT74" i="1"/>
  <c r="CS74" i="1" s="1"/>
  <c r="BH74" i="1"/>
  <c r="BE74" i="1"/>
  <c r="BB74" i="1"/>
  <c r="AY74" i="1"/>
  <c r="AP74" i="1"/>
  <c r="AO74" i="1"/>
  <c r="W74" i="1"/>
  <c r="M74" i="1"/>
  <c r="CT110" i="1"/>
  <c r="CS110" i="1" s="1"/>
  <c r="BH110" i="1"/>
  <c r="BE110" i="1"/>
  <c r="BB110" i="1"/>
  <c r="AY110" i="1"/>
  <c r="CT104" i="1"/>
  <c r="CS104" i="1" s="1"/>
  <c r="AQ104" i="1"/>
  <c r="AP104" i="1"/>
  <c r="AO104" i="1"/>
  <c r="W104" i="1"/>
  <c r="M104" i="1"/>
  <c r="CT823" i="1"/>
  <c r="CS823" i="1" s="1"/>
  <c r="BK823" i="1"/>
  <c r="BH823" i="1"/>
  <c r="BE823" i="1"/>
  <c r="AY823" i="1"/>
  <c r="BB823" i="1" s="1"/>
  <c r="AP823" i="1"/>
  <c r="AO823" i="1"/>
  <c r="W823" i="1"/>
  <c r="M823" i="1"/>
  <c r="CT97" i="1"/>
  <c r="CS97" i="1" s="1"/>
  <c r="AY97" i="1"/>
  <c r="AQ97" i="1"/>
  <c r="AP97" i="1"/>
  <c r="AO97" i="1"/>
  <c r="W97" i="1"/>
  <c r="M97" i="1"/>
  <c r="DB809" i="1"/>
  <c r="CY809" i="1"/>
  <c r="CV809" i="1"/>
  <c r="CT809" i="1"/>
  <c r="CS809" i="1" s="1"/>
  <c r="BK809" i="1"/>
  <c r="BH809" i="1"/>
  <c r="BE809" i="1"/>
  <c r="BB809" i="1"/>
  <c r="AY809" i="1"/>
  <c r="AP809" i="1"/>
  <c r="AO809" i="1"/>
  <c r="AG809" i="1"/>
  <c r="W809" i="1" s="1"/>
  <c r="M809" i="1"/>
  <c r="CT802" i="1"/>
  <c r="CS802" i="1" s="1"/>
  <c r="AP802" i="1"/>
  <c r="AO802" i="1"/>
  <c r="W802" i="1"/>
  <c r="M802" i="1"/>
  <c r="CT780" i="1"/>
  <c r="CS780" i="1" s="1"/>
  <c r="BH780" i="1"/>
  <c r="BE780" i="1"/>
  <c r="BB780" i="1"/>
  <c r="AY780" i="1"/>
  <c r="AP780" i="1"/>
  <c r="AO780" i="1"/>
  <c r="W780" i="1"/>
  <c r="M780" i="1"/>
  <c r="CT39" i="1"/>
  <c r="CS39" i="1" s="1"/>
  <c r="BK39" i="1"/>
  <c r="BH39" i="1"/>
  <c r="BE39" i="1"/>
  <c r="BB39" i="1"/>
  <c r="AY39" i="1"/>
  <c r="AQ39" i="1"/>
  <c r="AP39" i="1"/>
  <c r="AO39" i="1"/>
  <c r="W39" i="1"/>
  <c r="M39" i="1"/>
  <c r="CT755" i="1"/>
  <c r="CS755" i="1" s="1"/>
  <c r="AP755" i="1"/>
  <c r="AO755" i="1"/>
  <c r="W755" i="1"/>
  <c r="M755" i="1"/>
  <c r="CT748" i="1"/>
  <c r="CS748" i="1" s="1"/>
  <c r="BK748" i="1"/>
  <c r="BH748" i="1"/>
  <c r="BE748" i="1"/>
  <c r="BB748" i="1"/>
  <c r="AY748" i="1"/>
  <c r="AQ748" i="1"/>
  <c r="AP748" i="1"/>
  <c r="AO748" i="1"/>
  <c r="W748" i="1"/>
  <c r="M748" i="1"/>
  <c r="CT828" i="1"/>
  <c r="CS828" i="1" s="1"/>
  <c r="BK828" i="1"/>
  <c r="BH828" i="1"/>
  <c r="BB828" i="1"/>
  <c r="AY828" i="1"/>
  <c r="AP828" i="1"/>
  <c r="AO828" i="1"/>
  <c r="AG828" i="1"/>
  <c r="W828" i="1" s="1"/>
  <c r="M828" i="1"/>
  <c r="CT107" i="1"/>
  <c r="CS107" i="1" s="1"/>
  <c r="BH107" i="1"/>
  <c r="BE107" i="1"/>
  <c r="BB107" i="1"/>
  <c r="AY107" i="1"/>
  <c r="AP107" i="1"/>
  <c r="AO107" i="1"/>
  <c r="AG107" i="1"/>
  <c r="W107" i="1" s="1"/>
  <c r="M107" i="1"/>
  <c r="CT820" i="1"/>
  <c r="CS820" i="1" s="1"/>
  <c r="BK820" i="1"/>
  <c r="BH820" i="1"/>
  <c r="BE820" i="1"/>
  <c r="AY820" i="1"/>
  <c r="BB820" i="1" s="1"/>
  <c r="AQ820" i="1"/>
  <c r="AP820" i="1"/>
  <c r="AO820" i="1"/>
  <c r="AG820" i="1"/>
  <c r="W820" i="1" s="1"/>
  <c r="M820" i="1"/>
  <c r="BK774" i="1"/>
  <c r="BH774" i="1"/>
  <c r="BE774" i="1"/>
  <c r="BB774" i="1"/>
  <c r="AY774" i="1"/>
  <c r="AQ774" i="1"/>
  <c r="AP774" i="1"/>
  <c r="AO774" i="1"/>
  <c r="AG774" i="1"/>
  <c r="W774" i="1" s="1"/>
  <c r="M774" i="1"/>
  <c r="DB27" i="1"/>
  <c r="CY27" i="1"/>
  <c r="CV27" i="1"/>
  <c r="CT27" i="1"/>
  <c r="CS27" i="1" s="1"/>
  <c r="BK27" i="1"/>
  <c r="BH27" i="1"/>
  <c r="BE27" i="1"/>
  <c r="BB27" i="1"/>
  <c r="AY27" i="1"/>
  <c r="AP27" i="1"/>
  <c r="AO27" i="1"/>
  <c r="AG27" i="1"/>
  <c r="W27" i="1" s="1"/>
  <c r="M27" i="1"/>
  <c r="AG742" i="1"/>
  <c r="W742" i="1" s="1"/>
  <c r="M742" i="1"/>
  <c r="CT49" i="1"/>
  <c r="CS49" i="1" s="1"/>
  <c r="AP49" i="1"/>
  <c r="AO49" i="1"/>
  <c r="AG49" i="1"/>
  <c r="W49" i="1" s="1"/>
  <c r="M49" i="1"/>
  <c r="CT824" i="1"/>
  <c r="CS824" i="1" s="1"/>
  <c r="BH824" i="1"/>
  <c r="AY824" i="1"/>
  <c r="BB824" i="1" s="1"/>
  <c r="AP824" i="1"/>
  <c r="AO824" i="1"/>
  <c r="AG824" i="1"/>
  <c r="W824" i="1" s="1"/>
  <c r="M824" i="1"/>
  <c r="CT106" i="1"/>
  <c r="CS106" i="1" s="1"/>
  <c r="BK106" i="1"/>
  <c r="BH106" i="1"/>
  <c r="BE106" i="1"/>
  <c r="AY106" i="1"/>
  <c r="BB106" i="1" s="1"/>
  <c r="AP106" i="1"/>
  <c r="AO106" i="1"/>
  <c r="AG106" i="1"/>
  <c r="W106" i="1" s="1"/>
  <c r="M106" i="1"/>
  <c r="DB105" i="1"/>
  <c r="CY105" i="1"/>
  <c r="CT105" i="1"/>
  <c r="CS105" i="1" s="1"/>
  <c r="BK105" i="1"/>
  <c r="BH105" i="1"/>
  <c r="BE105" i="1"/>
  <c r="BB105" i="1"/>
  <c r="AY105" i="1"/>
  <c r="AP105" i="1"/>
  <c r="AO105" i="1"/>
  <c r="AG105" i="1"/>
  <c r="W105" i="1" s="1"/>
  <c r="M105" i="1"/>
  <c r="CT817" i="1"/>
  <c r="CS817" i="1" s="1"/>
  <c r="BH817" i="1"/>
  <c r="BE817" i="1"/>
  <c r="AY817" i="1"/>
  <c r="AP817" i="1"/>
  <c r="AO817" i="1"/>
  <c r="AG817" i="1"/>
  <c r="W817" i="1" s="1"/>
  <c r="M817" i="1"/>
  <c r="CT93" i="1"/>
  <c r="CS93" i="1" s="1"/>
  <c r="BH93" i="1"/>
  <c r="AY93" i="1"/>
  <c r="BB93" i="1" s="1"/>
  <c r="AP93" i="1"/>
  <c r="AO93" i="1"/>
  <c r="AG93" i="1"/>
  <c r="W93" i="1" s="1"/>
  <c r="M93" i="1"/>
  <c r="CT87" i="1"/>
  <c r="CS87" i="1" s="1"/>
  <c r="BK87" i="1"/>
  <c r="BH87" i="1"/>
  <c r="BE87" i="1"/>
  <c r="BB87" i="1"/>
  <c r="AY87" i="1"/>
  <c r="AP87" i="1"/>
  <c r="AO87" i="1"/>
  <c r="AG87" i="1"/>
  <c r="W87" i="1" s="1"/>
  <c r="N87" i="1"/>
  <c r="M87" i="1"/>
  <c r="DB81" i="1"/>
  <c r="CY81" i="1"/>
  <c r="CV81" i="1"/>
  <c r="CT81" i="1"/>
  <c r="CS81" i="1" s="1"/>
  <c r="BK81" i="1"/>
  <c r="BH81" i="1"/>
  <c r="BE81" i="1"/>
  <c r="BB81" i="1"/>
  <c r="AY81" i="1"/>
  <c r="AP81" i="1"/>
  <c r="AO81" i="1"/>
  <c r="AG81" i="1"/>
  <c r="W81" i="1" s="1"/>
  <c r="M81" i="1"/>
  <c r="CT63" i="1"/>
  <c r="CS63" i="1" s="1"/>
  <c r="BK63" i="1"/>
  <c r="BH63" i="1"/>
  <c r="BE63" i="1"/>
  <c r="BB63" i="1"/>
  <c r="AY63" i="1"/>
  <c r="AP63" i="1"/>
  <c r="AO63" i="1"/>
  <c r="AG63" i="1"/>
  <c r="W63" i="1" s="1"/>
  <c r="M63" i="1"/>
  <c r="CT790" i="1"/>
  <c r="CS790" i="1" s="1"/>
  <c r="BE790" i="1"/>
  <c r="AY790" i="1"/>
  <c r="BB790" i="1" s="1"/>
  <c r="AP790" i="1"/>
  <c r="AO790" i="1"/>
  <c r="AG790" i="1"/>
  <c r="W790" i="1" s="1"/>
  <c r="M790" i="1"/>
  <c r="CT60" i="1"/>
  <c r="CS60" i="1" s="1"/>
  <c r="BH60" i="1"/>
  <c r="BE60" i="1"/>
  <c r="AY60" i="1"/>
  <c r="BB60" i="1" s="1"/>
  <c r="AP60" i="1"/>
  <c r="AO60" i="1"/>
  <c r="AG60" i="1"/>
  <c r="W60" i="1" s="1"/>
  <c r="M60" i="1"/>
  <c r="CT785" i="1"/>
  <c r="CS785" i="1" s="1"/>
  <c r="BK785" i="1"/>
  <c r="BH785" i="1"/>
  <c r="BE785" i="1"/>
  <c r="AY785" i="1"/>
  <c r="BB785" i="1" s="1"/>
  <c r="AP785" i="1"/>
  <c r="AO785" i="1"/>
  <c r="AG785" i="1"/>
  <c r="W785" i="1" s="1"/>
  <c r="M785" i="1"/>
  <c r="DB47" i="1"/>
  <c r="CY47" i="1"/>
  <c r="CV47" i="1"/>
  <c r="CT47" i="1"/>
  <c r="CS47" i="1" s="1"/>
  <c r="BH47" i="1"/>
  <c r="BB47" i="1"/>
  <c r="AY47" i="1"/>
  <c r="AP47" i="1"/>
  <c r="AO47" i="1"/>
  <c r="AG47" i="1"/>
  <c r="W47" i="1" s="1"/>
  <c r="M47" i="1"/>
  <c r="CT103" i="1"/>
  <c r="CS103" i="1" s="1"/>
  <c r="AP103" i="1"/>
  <c r="AO103" i="1"/>
  <c r="AG103" i="1"/>
  <c r="W103" i="1" s="1"/>
  <c r="M103" i="1"/>
  <c r="DB814" i="1"/>
  <c r="CY814" i="1"/>
  <c r="CV814" i="1"/>
  <c r="CT814" i="1"/>
  <c r="CS814" i="1" s="1"/>
  <c r="BK814" i="1"/>
  <c r="BH814" i="1"/>
  <c r="BE814" i="1"/>
  <c r="BB814" i="1"/>
  <c r="AY814" i="1"/>
  <c r="AP814" i="1"/>
  <c r="AO814" i="1"/>
  <c r="AG814" i="1"/>
  <c r="W814" i="1" s="1"/>
  <c r="M814" i="1"/>
  <c r="CT19" i="1"/>
  <c r="CS19" i="1" s="1"/>
  <c r="BH19" i="1"/>
  <c r="BB19" i="1"/>
  <c r="AY19" i="1"/>
  <c r="AP19" i="1"/>
  <c r="AO19" i="1"/>
  <c r="AG19" i="1"/>
  <c r="W19" i="1" s="1"/>
  <c r="M19" i="1"/>
  <c r="CT761" i="1"/>
  <c r="CS761" i="1" s="1"/>
  <c r="AP761" i="1"/>
  <c r="AO761" i="1"/>
  <c r="AG761" i="1"/>
  <c r="W761" i="1" s="1"/>
  <c r="M761" i="1"/>
  <c r="CT101" i="1"/>
  <c r="CS101" i="1" s="1"/>
  <c r="AP101" i="1"/>
  <c r="AO101" i="1"/>
  <c r="AG101" i="1"/>
  <c r="W101" i="1" s="1"/>
  <c r="M101" i="1"/>
  <c r="CT100" i="1"/>
  <c r="CS100" i="1" s="1"/>
  <c r="AP100" i="1"/>
  <c r="AO100" i="1"/>
  <c r="AG100" i="1"/>
  <c r="W100" i="1" s="1"/>
  <c r="M100" i="1"/>
  <c r="DB15" i="1"/>
  <c r="CY15" i="1"/>
  <c r="CV15" i="1"/>
  <c r="CT15" i="1"/>
  <c r="CS15" i="1" s="1"/>
  <c r="BK15" i="1"/>
  <c r="BH15" i="1"/>
  <c r="BE15" i="1"/>
  <c r="BB15" i="1"/>
  <c r="AY15" i="1"/>
  <c r="AP15" i="1"/>
  <c r="AO15" i="1"/>
  <c r="AG15" i="1"/>
  <c r="W15" i="1" s="1"/>
  <c r="M15" i="1"/>
  <c r="CT765" i="1"/>
  <c r="CS765" i="1" s="1"/>
  <c r="AY765" i="1"/>
  <c r="AP765" i="1"/>
  <c r="AO765" i="1"/>
  <c r="AG765" i="1"/>
  <c r="W765" i="1" s="1"/>
  <c r="M765" i="1"/>
  <c r="CT822" i="1"/>
  <c r="CS822" i="1" s="1"/>
  <c r="BK822" i="1"/>
  <c r="BH822" i="1"/>
  <c r="BE822" i="1"/>
  <c r="AY822" i="1"/>
  <c r="BB822" i="1" s="1"/>
  <c r="AP822" i="1"/>
  <c r="AO822" i="1"/>
  <c r="AG822" i="1"/>
  <c r="W822" i="1" s="1"/>
  <c r="M822" i="1"/>
  <c r="CT23" i="1"/>
  <c r="CS23" i="1" s="1"/>
  <c r="BH23" i="1"/>
  <c r="BE23" i="1"/>
  <c r="AY23" i="1"/>
  <c r="BB23" i="1" s="1"/>
  <c r="AP23" i="1"/>
  <c r="AO23" i="1"/>
  <c r="AG23" i="1"/>
  <c r="W23" i="1" s="1"/>
  <c r="M23" i="1"/>
  <c r="CT5" i="1"/>
  <c r="CS5" i="1" s="1"/>
  <c r="BK5" i="1"/>
  <c r="BH5" i="1"/>
  <c r="BE5" i="1"/>
  <c r="BB5" i="1"/>
  <c r="AY5" i="1"/>
  <c r="AQ5" i="1"/>
  <c r="AG5" i="1"/>
  <c r="W5" i="1" s="1"/>
  <c r="M5" i="1"/>
  <c r="DB821" i="1"/>
  <c r="CY821" i="1"/>
  <c r="CV821" i="1"/>
  <c r="CT821" i="1"/>
  <c r="CS821" i="1" s="1"/>
  <c r="BH821" i="1"/>
  <c r="BE821" i="1"/>
  <c r="BB821" i="1"/>
  <c r="AY821" i="1"/>
  <c r="AP821" i="1"/>
  <c r="AO821" i="1"/>
  <c r="AG821" i="1"/>
  <c r="W821" i="1" s="1"/>
  <c r="M821" i="1"/>
  <c r="CT96" i="1"/>
  <c r="CS96" i="1" s="1"/>
  <c r="AP96" i="1"/>
  <c r="AO96" i="1"/>
  <c r="AG96" i="1"/>
  <c r="W96" i="1" s="1"/>
  <c r="M96" i="1"/>
  <c r="CT73" i="1"/>
  <c r="CS73" i="1" s="1"/>
  <c r="BK73" i="1"/>
  <c r="BH73" i="1"/>
  <c r="BE73" i="1"/>
  <c r="BB73" i="1"/>
  <c r="AY73" i="1"/>
  <c r="AP73" i="1"/>
  <c r="AO73" i="1"/>
  <c r="AG73" i="1"/>
  <c r="W73" i="1" s="1"/>
  <c r="M73" i="1"/>
  <c r="CT807" i="1"/>
  <c r="CS807" i="1" s="1"/>
  <c r="AP807" i="1"/>
  <c r="AO807" i="1"/>
  <c r="AG807" i="1"/>
  <c r="W807" i="1" s="1"/>
  <c r="M807" i="1"/>
  <c r="CT71" i="1"/>
  <c r="CS71" i="1" s="1"/>
  <c r="AQ71" i="1"/>
  <c r="AP71" i="1"/>
  <c r="AO71" i="1"/>
  <c r="AG71" i="1"/>
  <c r="W71" i="1" s="1"/>
  <c r="CT801" i="1"/>
  <c r="CS801" i="1" s="1"/>
  <c r="BK801" i="1"/>
  <c r="BH801" i="1"/>
  <c r="BE801" i="1"/>
  <c r="BB801" i="1"/>
  <c r="AY801" i="1"/>
  <c r="AP801" i="1"/>
  <c r="AO801" i="1"/>
  <c r="AG801" i="1"/>
  <c r="W801" i="1" s="1"/>
  <c r="M801" i="1"/>
  <c r="DB69" i="1"/>
  <c r="CY69" i="1"/>
  <c r="CV69" i="1"/>
  <c r="CT69" i="1"/>
  <c r="CS69" i="1" s="1"/>
  <c r="BK69" i="1"/>
  <c r="BH69" i="1"/>
  <c r="BE69" i="1"/>
  <c r="BB69" i="1"/>
  <c r="AY69" i="1"/>
  <c r="AP69" i="1"/>
  <c r="AO69" i="1"/>
  <c r="AG69" i="1"/>
  <c r="W69" i="1" s="1"/>
  <c r="M69" i="1"/>
  <c r="CT799" i="1"/>
  <c r="CS799" i="1" s="1"/>
  <c r="AQ799" i="1"/>
  <c r="AP799" i="1"/>
  <c r="AO799" i="1"/>
  <c r="AG799" i="1"/>
  <c r="W799" i="1" s="1"/>
  <c r="M799" i="1"/>
  <c r="CT779" i="1"/>
  <c r="CS779" i="1" s="1"/>
  <c r="AQ779" i="1"/>
  <c r="AP779" i="1"/>
  <c r="AO779" i="1"/>
  <c r="AG779" i="1"/>
  <c r="W779" i="1" s="1"/>
  <c r="M779" i="1"/>
  <c r="DB38" i="1"/>
  <c r="CY38" i="1"/>
  <c r="AY38" i="1"/>
  <c r="CV38" i="1" s="1"/>
  <c r="CT38" i="1"/>
  <c r="CS38" i="1" s="1"/>
  <c r="AP38" i="1"/>
  <c r="AO38" i="1"/>
  <c r="AG38" i="1"/>
  <c r="W38" i="1" s="1"/>
  <c r="M38" i="1"/>
  <c r="CT754" i="1"/>
  <c r="CS754" i="1" s="1"/>
  <c r="BK754" i="1"/>
  <c r="BH754" i="1"/>
  <c r="BE754" i="1"/>
  <c r="BB754" i="1"/>
  <c r="AY754" i="1"/>
  <c r="AQ754" i="1"/>
  <c r="AP754" i="1"/>
  <c r="AO754" i="1"/>
  <c r="AG754" i="1"/>
  <c r="W754" i="1" s="1"/>
  <c r="M754" i="1"/>
  <c r="DB747" i="1"/>
  <c r="CY747" i="1"/>
  <c r="CV747" i="1"/>
  <c r="CT747" i="1"/>
  <c r="CS747" i="1" s="1"/>
  <c r="BK747" i="1"/>
  <c r="BH747" i="1"/>
  <c r="BE747" i="1"/>
  <c r="BB747" i="1"/>
  <c r="AY747" i="1"/>
  <c r="AQ747" i="1"/>
  <c r="AP747" i="1"/>
  <c r="AO747" i="1"/>
  <c r="AG747" i="1"/>
  <c r="W747" i="1" s="1"/>
  <c r="M747" i="1"/>
  <c r="CT797" i="1"/>
  <c r="CS797" i="1" s="1"/>
  <c r="BH797" i="1"/>
  <c r="BB797" i="1"/>
  <c r="AY797" i="1"/>
  <c r="AP797" i="1"/>
  <c r="AO797" i="1"/>
  <c r="AG797" i="1"/>
  <c r="W797" i="1" s="1"/>
  <c r="M797" i="1"/>
  <c r="CT32" i="1"/>
  <c r="CS32" i="1" s="1"/>
  <c r="BH32" i="1"/>
  <c r="BE32" i="1"/>
  <c r="BB32" i="1"/>
  <c r="AY32" i="1"/>
  <c r="AP32" i="1"/>
  <c r="AO32" i="1"/>
  <c r="AG32" i="1"/>
  <c r="W32" i="1" s="1"/>
  <c r="M32" i="1"/>
  <c r="CT769" i="1"/>
  <c r="CS769" i="1" s="1"/>
  <c r="BK769" i="1"/>
  <c r="BH769" i="1"/>
  <c r="BE769" i="1"/>
  <c r="BB769" i="1"/>
  <c r="AY769" i="1"/>
  <c r="AP769" i="1"/>
  <c r="AO769" i="1"/>
  <c r="AG769" i="1"/>
  <c r="W769" i="1" s="1"/>
  <c r="M769" i="1"/>
  <c r="DB95" i="1"/>
  <c r="CY95" i="1"/>
  <c r="CV95" i="1"/>
  <c r="CT95" i="1"/>
  <c r="CS95" i="1" s="1"/>
  <c r="BK95" i="1"/>
  <c r="BH95" i="1"/>
  <c r="BE95" i="1"/>
  <c r="BB95" i="1"/>
  <c r="AY95" i="1"/>
  <c r="AP95" i="1"/>
  <c r="AO95" i="1"/>
  <c r="AG95" i="1"/>
  <c r="W95" i="1" s="1"/>
  <c r="M95" i="1"/>
  <c r="CT795" i="1"/>
  <c r="CS795" i="1" s="1"/>
  <c r="BK795" i="1"/>
  <c r="BH795" i="1"/>
  <c r="BE795" i="1"/>
  <c r="AY795" i="1"/>
  <c r="BB795" i="1" s="1"/>
  <c r="AP795" i="1"/>
  <c r="AO795" i="1"/>
  <c r="AG795" i="1"/>
  <c r="W795" i="1" s="1"/>
  <c r="M795" i="1"/>
  <c r="CT819" i="1"/>
  <c r="CS819" i="1" s="1"/>
  <c r="BK819" i="1"/>
  <c r="BH819" i="1"/>
  <c r="BE819" i="1"/>
  <c r="BB819" i="1"/>
  <c r="AY819" i="1"/>
  <c r="AP819" i="1"/>
  <c r="AO819" i="1"/>
  <c r="AG819" i="1"/>
  <c r="W819" i="1" s="1"/>
  <c r="M819" i="1"/>
  <c r="CT94" i="1"/>
  <c r="CS94" i="1" s="1"/>
  <c r="AY94" i="1"/>
  <c r="AP94" i="1"/>
  <c r="AO94" i="1"/>
  <c r="AG94" i="1"/>
  <c r="W94" i="1" s="1"/>
  <c r="M94" i="1"/>
  <c r="CT773" i="1"/>
  <c r="CS773" i="1" s="1"/>
  <c r="BH773" i="1"/>
  <c r="BE773" i="1"/>
  <c r="BB773" i="1"/>
  <c r="AY773" i="1"/>
  <c r="AP773" i="1"/>
  <c r="AO773" i="1"/>
  <c r="AG773" i="1"/>
  <c r="W773" i="1" s="1"/>
  <c r="M773" i="1"/>
  <c r="CT26" i="1"/>
  <c r="CS26" i="1" s="1"/>
  <c r="BH26" i="1"/>
  <c r="BE26" i="1"/>
  <c r="BB26" i="1"/>
  <c r="AY26" i="1"/>
  <c r="AP26" i="1"/>
  <c r="AO26" i="1"/>
  <c r="AG26" i="1"/>
  <c r="W26" i="1" s="1"/>
  <c r="M26" i="1"/>
  <c r="CT816" i="1"/>
  <c r="CS816" i="1" s="1"/>
  <c r="BH816" i="1"/>
  <c r="BE816" i="1"/>
  <c r="BB816" i="1"/>
  <c r="AY816" i="1"/>
  <c r="AP816" i="1"/>
  <c r="AO816" i="1"/>
  <c r="AG816" i="1"/>
  <c r="W816" i="1" s="1"/>
  <c r="M816" i="1"/>
  <c r="CT59" i="1"/>
  <c r="CS59" i="1" s="1"/>
  <c r="BK59" i="1"/>
  <c r="BH59" i="1"/>
  <c r="BE59" i="1"/>
  <c r="AY59" i="1"/>
  <c r="BB59" i="1" s="1"/>
  <c r="AP59" i="1"/>
  <c r="AO59" i="1"/>
  <c r="AG59" i="1"/>
  <c r="W59" i="1" s="1"/>
  <c r="M59" i="1"/>
  <c r="CY784" i="1"/>
  <c r="CV784" i="1"/>
  <c r="CT784" i="1"/>
  <c r="CS784" i="1" s="1"/>
  <c r="BK784" i="1"/>
  <c r="BH784" i="1"/>
  <c r="BE784" i="1"/>
  <c r="BB784" i="1"/>
  <c r="AY784" i="1"/>
  <c r="AP784" i="1"/>
  <c r="AO784" i="1"/>
  <c r="AG784" i="1"/>
  <c r="W784" i="1" s="1"/>
  <c r="M784" i="1"/>
  <c r="CT92" i="1"/>
  <c r="CS92" i="1" s="1"/>
  <c r="BE92" i="1"/>
  <c r="AP92" i="1"/>
  <c r="AO92" i="1"/>
  <c r="AG92" i="1"/>
  <c r="W92" i="1" s="1"/>
  <c r="M92" i="1"/>
  <c r="CT86" i="1"/>
  <c r="CS86" i="1" s="1"/>
  <c r="BH86" i="1"/>
  <c r="BE86" i="1"/>
  <c r="AY86" i="1"/>
  <c r="BB86" i="1" s="1"/>
  <c r="AQ86" i="1"/>
  <c r="AP86" i="1"/>
  <c r="AO86" i="1"/>
  <c r="AG86" i="1"/>
  <c r="W86" i="1" s="1"/>
  <c r="M86" i="1"/>
  <c r="CT80" i="1"/>
  <c r="CS80" i="1" s="1"/>
  <c r="BK80" i="1"/>
  <c r="BH80" i="1"/>
  <c r="BE80" i="1"/>
  <c r="AY80" i="1"/>
  <c r="BB80" i="1" s="1"/>
  <c r="AQ80" i="1"/>
  <c r="AP80" i="1"/>
  <c r="AO80" i="1"/>
  <c r="AG80" i="1"/>
  <c r="W80" i="1" s="1"/>
  <c r="M80" i="1"/>
  <c r="CT789" i="1"/>
  <c r="CS789" i="1" s="1"/>
  <c r="BK789" i="1"/>
  <c r="BH789" i="1"/>
  <c r="BG789" i="1"/>
  <c r="BE789" i="1"/>
  <c r="AY789" i="1"/>
  <c r="BB789" i="1" s="1"/>
  <c r="AQ789" i="1"/>
  <c r="AP789" i="1"/>
  <c r="AO789" i="1"/>
  <c r="AG789" i="1"/>
  <c r="W789" i="1" s="1"/>
  <c r="M789" i="1"/>
  <c r="CT55" i="1"/>
  <c r="CS55" i="1" s="1"/>
  <c r="BE55" i="1"/>
  <c r="BB55" i="1"/>
  <c r="AY55" i="1"/>
  <c r="AQ55" i="1"/>
  <c r="AP55" i="1"/>
  <c r="AO55" i="1"/>
  <c r="AG55" i="1"/>
  <c r="W55" i="1" s="1"/>
  <c r="M55" i="1"/>
  <c r="DB46" i="1"/>
  <c r="CY46" i="1"/>
  <c r="CV46" i="1"/>
  <c r="CT46" i="1"/>
  <c r="CS46" i="1" s="1"/>
  <c r="AY46" i="1"/>
  <c r="AQ46" i="1"/>
  <c r="AP46" i="1"/>
  <c r="AO46" i="1"/>
  <c r="AG46" i="1"/>
  <c r="W46" i="1" s="1"/>
  <c r="M46" i="1"/>
  <c r="CT741" i="1"/>
  <c r="CS741" i="1" s="1"/>
  <c r="BH741" i="1"/>
  <c r="BE741" i="1"/>
  <c r="AY741" i="1"/>
  <c r="BB741" i="1" s="1"/>
  <c r="AQ741" i="1"/>
  <c r="AP741" i="1"/>
  <c r="AO741" i="1"/>
  <c r="AG741" i="1"/>
  <c r="W741" i="1" s="1"/>
  <c r="M741" i="1"/>
  <c r="CT815" i="1"/>
  <c r="CS815" i="1" s="1"/>
  <c r="BK815" i="1"/>
  <c r="BH815" i="1"/>
  <c r="BE815" i="1"/>
  <c r="BB815" i="1"/>
  <c r="AY815" i="1"/>
  <c r="AP815" i="1"/>
  <c r="AO815" i="1"/>
  <c r="AG815" i="1"/>
  <c r="W815" i="1" s="1"/>
  <c r="M815" i="1"/>
  <c r="CT737" i="1"/>
  <c r="CS737" i="1" s="1"/>
  <c r="BE737" i="1"/>
  <c r="BB737" i="1"/>
  <c r="AY737" i="1"/>
  <c r="AQ737" i="1"/>
  <c r="AP737" i="1"/>
  <c r="AO737" i="1"/>
  <c r="AG737" i="1"/>
  <c r="W737" i="1" s="1"/>
  <c r="M737" i="1"/>
  <c r="CT79" i="1"/>
  <c r="CS79" i="1" s="1"/>
  <c r="BH79" i="1"/>
  <c r="BB79" i="1"/>
  <c r="AY79" i="1"/>
  <c r="AP79" i="1"/>
  <c r="AO79" i="1"/>
  <c r="AG79" i="1"/>
  <c r="W79" i="1" s="1"/>
  <c r="M79" i="1"/>
  <c r="AP1450" i="1"/>
  <c r="AO1450" i="1"/>
  <c r="M1450" i="1"/>
  <c r="CT813" i="1"/>
  <c r="CS813" i="1" s="1"/>
  <c r="BK813" i="1"/>
  <c r="BE813" i="1"/>
  <c r="AQ813" i="1"/>
  <c r="AP813" i="1"/>
  <c r="AO813" i="1"/>
  <c r="AG813" i="1"/>
  <c r="W813" i="1" s="1"/>
  <c r="M813" i="1"/>
  <c r="CT78" i="1"/>
  <c r="CS78" i="1" s="1"/>
  <c r="AP78" i="1"/>
  <c r="AO78" i="1"/>
  <c r="AG78" i="1"/>
  <c r="W78" i="1" s="1"/>
  <c r="M78" i="1"/>
  <c r="DB22" i="1"/>
  <c r="CV22" i="1"/>
  <c r="CT22" i="1"/>
  <c r="CS22" i="1" s="1"/>
  <c r="BH22" i="1"/>
  <c r="BE22" i="1"/>
  <c r="BB22" i="1"/>
  <c r="AY22" i="1"/>
  <c r="AQ22" i="1"/>
  <c r="AP22" i="1"/>
  <c r="AO22" i="1"/>
  <c r="AG22" i="1"/>
  <c r="W22" i="1" s="1"/>
  <c r="M22" i="1"/>
  <c r="CT21" i="1"/>
  <c r="CS21" i="1" s="1"/>
  <c r="BH21" i="1"/>
  <c r="BE21" i="1"/>
  <c r="BB21" i="1"/>
  <c r="AY21" i="1"/>
  <c r="AP21" i="1"/>
  <c r="AO21" i="1"/>
  <c r="AG21" i="1"/>
  <c r="W21" i="1" s="1"/>
  <c r="M21" i="1"/>
  <c r="CT18" i="1"/>
  <c r="CS18" i="1" s="1"/>
  <c r="AP18" i="1"/>
  <c r="AO18" i="1"/>
  <c r="AG18" i="1"/>
  <c r="W18" i="1" s="1"/>
  <c r="M18" i="1"/>
  <c r="DB14" i="1"/>
  <c r="CY14" i="1"/>
  <c r="CV14" i="1"/>
  <c r="CT14" i="1"/>
  <c r="CS14" i="1" s="1"/>
  <c r="AY14" i="1"/>
  <c r="AP14" i="1"/>
  <c r="AO14" i="1"/>
  <c r="AG14" i="1"/>
  <c r="W14" i="1" s="1"/>
  <c r="CT12" i="1"/>
  <c r="CS12" i="1" s="1"/>
  <c r="BK12" i="1"/>
  <c r="BH12" i="1"/>
  <c r="BE12" i="1"/>
  <c r="AY12" i="1"/>
  <c r="BB12" i="1" s="1"/>
  <c r="AP12" i="1"/>
  <c r="AO12" i="1"/>
  <c r="AG12" i="1"/>
  <c r="W12" i="1" s="1"/>
  <c r="M12" i="1"/>
  <c r="CT760" i="1"/>
  <c r="CS760" i="1" s="1"/>
  <c r="BK760" i="1"/>
  <c r="BH760" i="1"/>
  <c r="BE760" i="1"/>
  <c r="AY760" i="1"/>
  <c r="BB760" i="1" s="1"/>
  <c r="AQ760" i="1"/>
  <c r="AP760" i="1"/>
  <c r="AO760" i="1"/>
  <c r="AG760" i="1"/>
  <c r="W760" i="1" s="1"/>
  <c r="M760" i="1"/>
  <c r="CT10" i="1"/>
  <c r="CS10" i="1" s="1"/>
  <c r="BH10" i="1"/>
  <c r="BB10" i="1"/>
  <c r="AY10" i="1"/>
  <c r="AP10" i="1"/>
  <c r="AO10" i="1"/>
  <c r="AG10" i="1"/>
  <c r="W10" i="1" s="1"/>
  <c r="M10" i="1"/>
  <c r="DB810" i="1"/>
  <c r="CY810" i="1"/>
  <c r="CV810" i="1"/>
  <c r="CT810" i="1"/>
  <c r="CS810" i="1" s="1"/>
  <c r="BK810" i="1"/>
  <c r="BH810" i="1"/>
  <c r="BE810" i="1"/>
  <c r="BB810" i="1"/>
  <c r="AY810" i="1"/>
  <c r="AQ810" i="1"/>
  <c r="AP810" i="1"/>
  <c r="AO810" i="1"/>
  <c r="AG810" i="1"/>
  <c r="W810" i="1" s="1"/>
  <c r="M810" i="1"/>
  <c r="CT77" i="1"/>
  <c r="CS77" i="1" s="1"/>
  <c r="BE77" i="1"/>
  <c r="BB77" i="1"/>
  <c r="AY77" i="1"/>
  <c r="AQ77" i="1"/>
  <c r="AP77" i="1"/>
  <c r="AO77" i="1"/>
  <c r="AG77" i="1"/>
  <c r="W77" i="1" s="1"/>
  <c r="M77" i="1"/>
  <c r="CT808" i="1"/>
  <c r="CS808" i="1" s="1"/>
  <c r="BK808" i="1"/>
  <c r="BH808" i="1"/>
  <c r="BE808" i="1"/>
  <c r="BB808" i="1"/>
  <c r="AY808" i="1"/>
  <c r="AQ808" i="1"/>
  <c r="AP808" i="1"/>
  <c r="AO808" i="1"/>
  <c r="AG808" i="1"/>
  <c r="W808" i="1" s="1"/>
  <c r="M808" i="1"/>
  <c r="CT35" i="1"/>
  <c r="CS35" i="1" s="1"/>
  <c r="AY35" i="1"/>
  <c r="AQ35" i="1"/>
  <c r="AP35" i="1"/>
  <c r="AO35" i="1"/>
  <c r="AG35" i="1"/>
  <c r="W35" i="1" s="1"/>
  <c r="M35" i="1"/>
  <c r="CT72" i="1"/>
  <c r="CS72" i="1" s="1"/>
  <c r="BK72" i="1"/>
  <c r="BH72" i="1"/>
  <c r="BE72" i="1"/>
  <c r="BB72" i="1"/>
  <c r="AY72" i="1"/>
  <c r="AQ72" i="1"/>
  <c r="AP72" i="1"/>
  <c r="AO72" i="1"/>
  <c r="AG72" i="1"/>
  <c r="W72" i="1" s="1"/>
  <c r="M72" i="1"/>
  <c r="CT806" i="1"/>
  <c r="CS806" i="1" s="1"/>
  <c r="BH806" i="1"/>
  <c r="BE806" i="1"/>
  <c r="BB806" i="1"/>
  <c r="AY806" i="1"/>
  <c r="AQ806" i="1"/>
  <c r="AP806" i="1"/>
  <c r="AO806" i="1"/>
  <c r="AG806" i="1"/>
  <c r="W806" i="1" s="1"/>
  <c r="M806" i="1"/>
  <c r="CT70" i="1"/>
  <c r="CS70" i="1" s="1"/>
  <c r="AY70" i="1"/>
  <c r="AQ70" i="1"/>
  <c r="AP70" i="1"/>
  <c r="AO70" i="1"/>
  <c r="AG70" i="1"/>
  <c r="W70" i="1" s="1"/>
  <c r="N70" i="1"/>
  <c r="M70" i="1"/>
  <c r="CT800" i="1"/>
  <c r="CS800" i="1" s="1"/>
  <c r="BK800" i="1"/>
  <c r="BH800" i="1"/>
  <c r="BE800" i="1"/>
  <c r="AY800" i="1"/>
  <c r="BB800" i="1" s="1"/>
  <c r="AQ800" i="1"/>
  <c r="AP800" i="1"/>
  <c r="AO800" i="1"/>
  <c r="AG800" i="1"/>
  <c r="W800" i="1" s="1"/>
  <c r="M800" i="1"/>
  <c r="DB68" i="1"/>
  <c r="CY68" i="1"/>
  <c r="CV68" i="1"/>
  <c r="CT68" i="1"/>
  <c r="CS68" i="1" s="1"/>
  <c r="BK68" i="1"/>
  <c r="BH68" i="1"/>
  <c r="BE68" i="1"/>
  <c r="BB68" i="1"/>
  <c r="AY68" i="1"/>
  <c r="AQ68" i="1"/>
  <c r="AP68" i="1"/>
  <c r="AO68" i="1"/>
  <c r="AG68" i="1"/>
  <c r="W68" i="1" s="1"/>
  <c r="M68" i="1"/>
  <c r="CT798" i="1"/>
  <c r="CS798" i="1" s="1"/>
  <c r="AP798" i="1"/>
  <c r="AO798" i="1"/>
  <c r="AG798" i="1"/>
  <c r="W798" i="1" s="1"/>
  <c r="M798" i="1"/>
  <c r="CY67" i="1"/>
  <c r="CT67" i="1"/>
  <c r="CS67" i="1" s="1"/>
  <c r="AY67" i="1"/>
  <c r="AQ67" i="1"/>
  <c r="AP67" i="1"/>
  <c r="AO67" i="1"/>
  <c r="AG67" i="1"/>
  <c r="W67" i="1" s="1"/>
  <c r="M67" i="1"/>
  <c r="CT37" i="1"/>
  <c r="CS37" i="1" s="1"/>
  <c r="BK37" i="1"/>
  <c r="BH37" i="1"/>
  <c r="BE37" i="1"/>
  <c r="AY37" i="1"/>
  <c r="BB37" i="1" s="1"/>
  <c r="AP37" i="1"/>
  <c r="AO37" i="1"/>
  <c r="AG37" i="1"/>
  <c r="W37" i="1" s="1"/>
  <c r="M37" i="1"/>
  <c r="CT753" i="1"/>
  <c r="CS753" i="1" s="1"/>
  <c r="BK753" i="1"/>
  <c r="BH753" i="1"/>
  <c r="BE753" i="1"/>
  <c r="AY753" i="1"/>
  <c r="BB753" i="1" s="1"/>
  <c r="AQ753" i="1"/>
  <c r="AP753" i="1"/>
  <c r="AO753" i="1"/>
  <c r="AG753" i="1"/>
  <c r="W753" i="1" s="1"/>
  <c r="M753" i="1"/>
  <c r="DB751" i="1"/>
  <c r="CY751" i="1"/>
  <c r="CV751" i="1"/>
  <c r="CT751" i="1"/>
  <c r="CS751" i="1" s="1"/>
  <c r="BK751" i="1"/>
  <c r="BH751" i="1"/>
  <c r="BE751" i="1"/>
  <c r="BB751" i="1"/>
  <c r="AY751" i="1"/>
  <c r="AQ751" i="1"/>
  <c r="AG751" i="1"/>
  <c r="W751" i="1" s="1"/>
  <c r="M751" i="1"/>
  <c r="CT4" i="1"/>
  <c r="CS4" i="1" s="1"/>
  <c r="AP4" i="1"/>
  <c r="AO4" i="1"/>
  <c r="AG4" i="1"/>
  <c r="W4" i="1" s="1"/>
  <c r="M4" i="1"/>
  <c r="DB746" i="1"/>
  <c r="CY746" i="1"/>
  <c r="CV746" i="1"/>
  <c r="CT746" i="1"/>
  <c r="CS746" i="1" s="1"/>
  <c r="BK746" i="1"/>
  <c r="BH746" i="1"/>
  <c r="BE746" i="1"/>
  <c r="BB746" i="1"/>
  <c r="AY746" i="1"/>
  <c r="AQ746" i="1"/>
  <c r="AP746" i="1"/>
  <c r="AO746" i="1"/>
  <c r="AG746" i="1"/>
  <c r="W746" i="1" s="1"/>
  <c r="M746" i="1"/>
  <c r="CT796" i="1"/>
  <c r="CS796" i="1" s="1"/>
  <c r="BK796" i="1"/>
  <c r="BH796" i="1"/>
  <c r="BE796" i="1"/>
  <c r="BB796" i="1"/>
  <c r="AY796" i="1"/>
  <c r="AQ796" i="1"/>
  <c r="AP796" i="1"/>
  <c r="AO796" i="1"/>
  <c r="AG796" i="1"/>
  <c r="W796" i="1" s="1"/>
  <c r="M796" i="1"/>
  <c r="CT66" i="1"/>
  <c r="CS66" i="1" s="1"/>
  <c r="AQ66" i="1"/>
  <c r="AP66" i="1"/>
  <c r="AO66" i="1"/>
  <c r="AG66" i="1"/>
  <c r="W66" i="1" s="1"/>
  <c r="M66" i="1"/>
  <c r="CT794" i="1"/>
  <c r="CS794" i="1" s="1"/>
  <c r="BK794" i="1"/>
  <c r="BH794" i="1"/>
  <c r="BE794" i="1"/>
  <c r="BB794" i="1"/>
  <c r="AY794" i="1"/>
  <c r="AP794" i="1"/>
  <c r="AO794" i="1"/>
  <c r="AG794" i="1"/>
  <c r="W794" i="1" s="1"/>
  <c r="M794" i="1"/>
  <c r="DB65" i="1"/>
  <c r="CY65" i="1"/>
  <c r="CV65" i="1"/>
  <c r="CT65" i="1"/>
  <c r="CS65" i="1" s="1"/>
  <c r="AY65" i="1"/>
  <c r="AP65" i="1"/>
  <c r="AO65" i="1"/>
  <c r="AG65" i="1"/>
  <c r="W65" i="1" s="1"/>
  <c r="M65" i="1"/>
  <c r="CT793" i="1"/>
  <c r="CS793" i="1" s="1"/>
  <c r="BK793" i="1"/>
  <c r="BH793" i="1"/>
  <c r="BE793" i="1"/>
  <c r="AY793" i="1"/>
  <c r="BB793" i="1" s="1"/>
  <c r="AQ793" i="1"/>
  <c r="AP793" i="1"/>
  <c r="AO793" i="1"/>
  <c r="AG793" i="1"/>
  <c r="W793" i="1" s="1"/>
  <c r="M793" i="1"/>
  <c r="CT772" i="1"/>
  <c r="CS772" i="1" s="1"/>
  <c r="BH772" i="1"/>
  <c r="BB772" i="1"/>
  <c r="AY772" i="1"/>
  <c r="AQ772" i="1"/>
  <c r="AP772" i="1"/>
  <c r="AO772" i="1"/>
  <c r="AG772" i="1"/>
  <c r="W772" i="1" s="1"/>
  <c r="M772" i="1"/>
  <c r="CT31" i="1"/>
  <c r="CS31" i="1" s="1"/>
  <c r="AY31" i="1"/>
  <c r="AQ31" i="1"/>
  <c r="AP31" i="1"/>
  <c r="AO31" i="1"/>
  <c r="AG31" i="1"/>
  <c r="W31" i="1" s="1"/>
  <c r="M31" i="1"/>
  <c r="CT768" i="1"/>
  <c r="CS768" i="1" s="1"/>
  <c r="BK768" i="1"/>
  <c r="BH768" i="1"/>
  <c r="BE768" i="1"/>
  <c r="AY768" i="1"/>
  <c r="BB768" i="1" s="1"/>
  <c r="AQ768" i="1"/>
  <c r="AP768" i="1"/>
  <c r="AO768" i="1"/>
  <c r="AG768" i="1"/>
  <c r="W768" i="1" s="1"/>
  <c r="M768" i="1"/>
  <c r="DB25" i="1"/>
  <c r="CY25" i="1"/>
  <c r="CV25" i="1"/>
  <c r="CT25" i="1"/>
  <c r="CS25" i="1" s="1"/>
  <c r="BK25" i="1"/>
  <c r="BH25" i="1"/>
  <c r="BE25" i="1"/>
  <c r="BB25" i="1"/>
  <c r="AY25" i="1"/>
  <c r="AQ25" i="1"/>
  <c r="AP25" i="1"/>
  <c r="AO25" i="1"/>
  <c r="AG25" i="1"/>
  <c r="W25" i="1" s="1"/>
  <c r="M25" i="1"/>
  <c r="CT739" i="1"/>
  <c r="CS739" i="1" s="1"/>
  <c r="BK739" i="1"/>
  <c r="BH739" i="1"/>
  <c r="BE739" i="1"/>
  <c r="BB739" i="1"/>
  <c r="AY739" i="1"/>
  <c r="AP739" i="1"/>
  <c r="AO739" i="1"/>
  <c r="AG739" i="1"/>
  <c r="W739" i="1" s="1"/>
  <c r="M739" i="1"/>
  <c r="CT64" i="1"/>
  <c r="CS64" i="1" s="1"/>
  <c r="BK64" i="1"/>
  <c r="BH64" i="1"/>
  <c r="BE64" i="1"/>
  <c r="AY64" i="1"/>
  <c r="BB64" i="1" s="1"/>
  <c r="AQ64" i="1"/>
  <c r="AP64" i="1"/>
  <c r="AO64" i="1"/>
  <c r="AG64" i="1"/>
  <c r="W64" i="1" s="1"/>
  <c r="M64" i="1"/>
  <c r="CT62" i="1"/>
  <c r="CS62" i="1" s="1"/>
  <c r="BH62" i="1"/>
  <c r="BE62" i="1"/>
  <c r="BB62" i="1"/>
  <c r="AY62" i="1"/>
  <c r="AP62" i="1"/>
  <c r="AO62" i="1"/>
  <c r="AG62" i="1"/>
  <c r="W62" i="1" s="1"/>
  <c r="M62" i="1"/>
  <c r="CT1449" i="1"/>
  <c r="CS1449" i="1" s="1"/>
  <c r="AP1449" i="1"/>
  <c r="AO1449" i="1"/>
  <c r="AG1449" i="1"/>
  <c r="W1449" i="1" s="1"/>
  <c r="M1449" i="1"/>
  <c r="DB740" i="1"/>
  <c r="CY740" i="1"/>
  <c r="CV740" i="1"/>
  <c r="CT740" i="1"/>
  <c r="CS740" i="1" s="1"/>
  <c r="BH740" i="1"/>
  <c r="BE740" i="1"/>
  <c r="BB740" i="1"/>
  <c r="AY740" i="1"/>
  <c r="AP740" i="1"/>
  <c r="AO740" i="1"/>
  <c r="AG740" i="1"/>
  <c r="W740" i="1" s="1"/>
  <c r="M740" i="1"/>
  <c r="DB735" i="1"/>
  <c r="CY735" i="1"/>
  <c r="CV735" i="1"/>
  <c r="CT735" i="1"/>
  <c r="CS735" i="1" s="1"/>
  <c r="AY735" i="1"/>
  <c r="AQ735" i="1"/>
  <c r="AP735" i="1"/>
  <c r="AO735" i="1"/>
  <c r="AG735" i="1"/>
  <c r="W735" i="1" s="1"/>
  <c r="M735" i="1"/>
  <c r="CT788" i="1"/>
  <c r="CS788" i="1" s="1"/>
  <c r="BK788" i="1"/>
  <c r="BH788" i="1"/>
  <c r="BE788" i="1"/>
  <c r="BB788" i="1"/>
  <c r="AY788" i="1"/>
  <c r="AQ788" i="1"/>
  <c r="AP788" i="1"/>
  <c r="AO788" i="1"/>
  <c r="AG788" i="1"/>
  <c r="W788" i="1" s="1"/>
  <c r="M788" i="1"/>
  <c r="CT61" i="1"/>
  <c r="CS61" i="1" s="1"/>
  <c r="AY61" i="1"/>
  <c r="AQ61" i="1"/>
  <c r="AP61" i="1"/>
  <c r="AO61" i="1"/>
  <c r="AG61" i="1"/>
  <c r="W61" i="1" s="1"/>
  <c r="M61" i="1"/>
  <c r="CT58" i="1"/>
  <c r="CS58" i="1" s="1"/>
  <c r="AQ58" i="1"/>
  <c r="AP58" i="1"/>
  <c r="AO58" i="1"/>
  <c r="AG58" i="1"/>
  <c r="W58" i="1" s="1"/>
  <c r="M58" i="1"/>
  <c r="CT783" i="1"/>
  <c r="CS783" i="1" s="1"/>
  <c r="BK783" i="1"/>
  <c r="BH783" i="1"/>
  <c r="BE783" i="1"/>
  <c r="AY783" i="1"/>
  <c r="BB783" i="1" s="1"/>
  <c r="AQ783" i="1"/>
  <c r="AP783" i="1"/>
  <c r="AO783" i="1"/>
  <c r="AG783" i="1"/>
  <c r="W783" i="1" s="1"/>
  <c r="M783" i="1"/>
  <c r="CT54" i="1"/>
  <c r="CS54" i="1" s="1"/>
  <c r="BH54" i="1"/>
  <c r="BE54" i="1"/>
  <c r="AY54" i="1"/>
  <c r="BB54" i="1" s="1"/>
  <c r="AQ54" i="1"/>
  <c r="AP54" i="1"/>
  <c r="AO54" i="1"/>
  <c r="AG54" i="1"/>
  <c r="W54" i="1" s="1"/>
  <c r="M54" i="1"/>
  <c r="CT50" i="1"/>
  <c r="CS50" i="1" s="1"/>
  <c r="AQ50" i="1"/>
  <c r="AP50" i="1"/>
  <c r="AO50" i="1"/>
  <c r="AG50" i="1"/>
  <c r="W50" i="1" s="1"/>
  <c r="M50" i="1"/>
  <c r="CT48" i="1"/>
  <c r="CS48" i="1" s="1"/>
  <c r="BH48" i="1"/>
  <c r="BB48" i="1"/>
  <c r="AY48" i="1"/>
  <c r="AP48" i="1"/>
  <c r="AO48" i="1"/>
  <c r="AG48" i="1"/>
  <c r="W48" i="1" s="1"/>
  <c r="M48" i="1"/>
  <c r="DB45" i="1"/>
  <c r="CV45" i="1"/>
  <c r="CT45" i="1"/>
  <c r="CS45" i="1" s="1"/>
  <c r="BK45" i="1"/>
  <c r="BH45" i="1"/>
  <c r="BE45" i="1"/>
  <c r="BB45" i="1"/>
  <c r="AY45" i="1"/>
  <c r="AQ45" i="1"/>
  <c r="AP45" i="1"/>
  <c r="AO45" i="1"/>
  <c r="AG45" i="1"/>
  <c r="W45" i="1" s="1"/>
  <c r="M45" i="1"/>
  <c r="CT736" i="1"/>
  <c r="CS736" i="1" s="1"/>
  <c r="BK736" i="1"/>
  <c r="BB736" i="1"/>
  <c r="AY736" i="1"/>
  <c r="AQ736" i="1"/>
  <c r="AP736" i="1"/>
  <c r="AO736" i="1"/>
  <c r="AG736" i="1"/>
  <c r="W736" i="1" s="1"/>
  <c r="M736" i="1"/>
  <c r="CT734" i="1"/>
  <c r="CS734" i="1" s="1"/>
  <c r="BH734" i="1"/>
  <c r="BB734" i="1"/>
  <c r="AY734" i="1"/>
  <c r="AP734" i="1"/>
  <c r="AO734" i="1"/>
  <c r="AG734" i="1"/>
  <c r="W734" i="1" s="1"/>
  <c r="M734" i="1"/>
  <c r="CT20" i="1"/>
  <c r="CS20" i="1" s="1"/>
  <c r="BK20" i="1"/>
  <c r="BH20" i="1"/>
  <c r="BE20" i="1"/>
  <c r="BB20" i="1"/>
  <c r="AY20" i="1"/>
  <c r="AP20" i="1"/>
  <c r="AO20" i="1"/>
  <c r="AG20" i="1"/>
  <c r="W20" i="1" s="1"/>
  <c r="M20" i="1"/>
  <c r="CT17" i="1"/>
  <c r="CS17" i="1" s="1"/>
  <c r="BK17" i="1"/>
  <c r="BH17" i="1"/>
  <c r="BE17" i="1"/>
  <c r="BB17" i="1"/>
  <c r="AY17" i="1"/>
  <c r="AQ17" i="1"/>
  <c r="AP17" i="1"/>
  <c r="AO17" i="1"/>
  <c r="AG17" i="1"/>
  <c r="W17" i="1" s="1"/>
  <c r="M17" i="1"/>
  <c r="CT13" i="1"/>
  <c r="CS13" i="1" s="1"/>
  <c r="BH13" i="1"/>
  <c r="BE13" i="1"/>
  <c r="BB13" i="1"/>
  <c r="AY13" i="1"/>
  <c r="AP13" i="1"/>
  <c r="AO13" i="1"/>
  <c r="AG13" i="1"/>
  <c r="W13" i="1" s="1"/>
  <c r="M13" i="1"/>
  <c r="CT764" i="1"/>
  <c r="CS764" i="1" s="1"/>
  <c r="BK764" i="1"/>
  <c r="BH764" i="1"/>
  <c r="BE764" i="1"/>
  <c r="BB764" i="1"/>
  <c r="AY764" i="1"/>
  <c r="AQ764" i="1"/>
  <c r="AP764" i="1"/>
  <c r="AO764" i="1"/>
  <c r="AG764" i="1"/>
  <c r="W764" i="1" s="1"/>
  <c r="M764" i="1"/>
  <c r="CT11" i="1"/>
  <c r="CS11" i="1" s="1"/>
  <c r="AY11" i="1"/>
  <c r="AQ11" i="1"/>
  <c r="AP11" i="1"/>
  <c r="AO11" i="1"/>
  <c r="AG11" i="1"/>
  <c r="W11" i="1" s="1"/>
  <c r="M11" i="1"/>
  <c r="CT759" i="1"/>
  <c r="CS759" i="1" s="1"/>
  <c r="BK759" i="1"/>
  <c r="BH759" i="1"/>
  <c r="BE759" i="1"/>
  <c r="BB759" i="1"/>
  <c r="AY759" i="1"/>
  <c r="AP759" i="1"/>
  <c r="AO759" i="1"/>
  <c r="AG759" i="1"/>
  <c r="W759" i="1" s="1"/>
  <c r="M759" i="1"/>
  <c r="CT9" i="1"/>
  <c r="CS9" i="1" s="1"/>
  <c r="BK9" i="1"/>
  <c r="BH9" i="1"/>
  <c r="BE9" i="1"/>
  <c r="BB9" i="1"/>
  <c r="AY9" i="1"/>
  <c r="AP9" i="1"/>
  <c r="AO9" i="1"/>
  <c r="AG9" i="1"/>
  <c r="W9" i="1" s="1"/>
  <c r="M9" i="1"/>
  <c r="CT752" i="1"/>
  <c r="CS752" i="1" s="1"/>
  <c r="AP752" i="1"/>
  <c r="AO752" i="1"/>
  <c r="AG752" i="1"/>
  <c r="W752" i="1" s="1"/>
  <c r="CT8" i="1"/>
  <c r="CS8" i="1" s="1"/>
  <c r="BK8" i="1"/>
  <c r="BH8" i="1"/>
  <c r="BE8" i="1"/>
  <c r="BB8" i="1"/>
  <c r="AY8" i="1"/>
  <c r="AQ8" i="1"/>
  <c r="AP8" i="1"/>
  <c r="AO8" i="1"/>
  <c r="AG8" i="1"/>
  <c r="W8" i="1" s="1"/>
  <c r="M8" i="1"/>
  <c r="CT750" i="1"/>
  <c r="CS750" i="1" s="1"/>
  <c r="BK750" i="1"/>
  <c r="BH750" i="1"/>
  <c r="BE750" i="1"/>
  <c r="BB750" i="1"/>
  <c r="AY750" i="1"/>
  <c r="AQ750" i="1"/>
  <c r="AP750" i="1"/>
  <c r="AO750" i="1"/>
  <c r="AG750" i="1"/>
  <c r="W750" i="1" s="1"/>
  <c r="M750" i="1"/>
  <c r="CT777" i="1"/>
  <c r="CS777" i="1" s="1"/>
  <c r="AP777" i="1"/>
  <c r="AO777" i="1"/>
  <c r="AG777" i="1"/>
  <c r="W777" i="1" s="1"/>
  <c r="M777" i="1"/>
  <c r="CT36" i="1"/>
  <c r="CS36" i="1" s="1"/>
  <c r="AP36" i="1"/>
  <c r="AO36" i="1"/>
  <c r="AG36" i="1"/>
  <c r="W36" i="1" s="1"/>
  <c r="M36" i="1"/>
  <c r="CT3" i="1"/>
  <c r="CS3" i="1" s="1"/>
  <c r="BK3" i="1"/>
  <c r="BH3" i="1"/>
  <c r="AP3" i="1"/>
  <c r="AO3" i="1"/>
  <c r="AG3" i="1"/>
  <c r="W3" i="1" s="1"/>
  <c r="M3" i="1"/>
  <c r="CT745" i="1"/>
  <c r="CS745" i="1" s="1"/>
  <c r="BK745" i="1"/>
  <c r="BH745" i="1"/>
  <c r="AY745" i="1"/>
  <c r="BB745" i="1" s="1"/>
  <c r="AQ745" i="1"/>
  <c r="AP745" i="1"/>
  <c r="AO745" i="1"/>
  <c r="AG745" i="1"/>
  <c r="W745" i="1" s="1"/>
  <c r="M745" i="1"/>
  <c r="CT778" i="1"/>
  <c r="CS778" i="1" s="1"/>
  <c r="AQ778" i="1"/>
  <c r="AP778" i="1"/>
  <c r="AO778" i="1"/>
  <c r="AG778" i="1"/>
  <c r="W778" i="1" s="1"/>
  <c r="M778" i="1"/>
  <c r="CY34" i="1"/>
  <c r="CV34" i="1"/>
  <c r="CT34" i="1"/>
  <c r="CS34" i="1" s="1"/>
  <c r="AY34" i="1"/>
  <c r="AQ34" i="1"/>
  <c r="AP34" i="1"/>
  <c r="AO34" i="1"/>
  <c r="AG34" i="1"/>
  <c r="W34" i="1" s="1"/>
  <c r="M34" i="1"/>
  <c r="CT44" i="1"/>
  <c r="CS44" i="1" s="1"/>
  <c r="AP44" i="1"/>
  <c r="AO44" i="1"/>
  <c r="AG44" i="1"/>
  <c r="W44" i="1" s="1"/>
  <c r="M44" i="1"/>
  <c r="CT771" i="1"/>
  <c r="CS771" i="1" s="1"/>
  <c r="AY771" i="1"/>
  <c r="AQ771" i="1"/>
  <c r="AP771" i="1"/>
  <c r="AO771" i="1"/>
  <c r="M771" i="1"/>
  <c r="CT33" i="1"/>
  <c r="CS33" i="1" s="1"/>
  <c r="AQ33" i="1"/>
  <c r="AP33" i="1"/>
  <c r="AO33" i="1"/>
  <c r="AG33" i="1"/>
  <c r="W33" i="1" s="1"/>
  <c r="M33" i="1"/>
  <c r="CT770" i="1"/>
  <c r="CS770" i="1" s="1"/>
  <c r="AY770" i="1"/>
  <c r="AQ770" i="1"/>
  <c r="AP770" i="1"/>
  <c r="AO770" i="1"/>
  <c r="AG770" i="1"/>
  <c r="W770" i="1" s="1"/>
  <c r="M770" i="1"/>
  <c r="CT30" i="1"/>
  <c r="CS30" i="1" s="1"/>
  <c r="AY30" i="1"/>
  <c r="AQ30" i="1"/>
  <c r="AP30" i="1"/>
  <c r="AO30" i="1"/>
  <c r="AG30" i="1"/>
  <c r="W30" i="1" s="1"/>
  <c r="M30" i="1"/>
  <c r="CT767" i="1"/>
  <c r="CS767" i="1" s="1"/>
  <c r="BK767" i="1"/>
  <c r="BH767" i="1"/>
  <c r="AY767" i="1"/>
  <c r="AQ767" i="1"/>
  <c r="AP767" i="1"/>
  <c r="AO767" i="1"/>
  <c r="AG767" i="1"/>
  <c r="W767" i="1" s="1"/>
  <c r="M767" i="1"/>
  <c r="CT24" i="1"/>
  <c r="CS24" i="1" s="1"/>
  <c r="AP24" i="1"/>
  <c r="AO24" i="1"/>
  <c r="AG24" i="1"/>
  <c r="W24" i="1" s="1"/>
  <c r="M24" i="1"/>
  <c r="CT1448" i="1"/>
  <c r="CS1448" i="1" s="1"/>
  <c r="BH1448" i="1"/>
  <c r="BE1448" i="1"/>
  <c r="AY1448" i="1"/>
  <c r="AQ1448" i="1"/>
  <c r="AP1448" i="1"/>
  <c r="AO1448" i="1"/>
  <c r="AG1448" i="1"/>
  <c r="W1448" i="1" s="1"/>
  <c r="M1448" i="1"/>
  <c r="CT738" i="1"/>
  <c r="CS738" i="1" s="1"/>
  <c r="BH738" i="1"/>
  <c r="AY738" i="1"/>
  <c r="AQ738" i="1"/>
  <c r="AP738" i="1"/>
  <c r="AO738" i="1"/>
  <c r="AG738" i="1"/>
  <c r="W738" i="1" s="1"/>
  <c r="M738" i="1"/>
  <c r="CY1447" i="1"/>
  <c r="CV1447" i="1"/>
  <c r="CT1447" i="1"/>
  <c r="CS1447" i="1" s="1"/>
  <c r="BH1447" i="1"/>
  <c r="BE1447" i="1"/>
  <c r="BB1447" i="1"/>
  <c r="AY1447" i="1"/>
  <c r="AP1447" i="1"/>
  <c r="AO1447" i="1"/>
  <c r="AG1447" i="1"/>
  <c r="W1447" i="1" s="1"/>
  <c r="M1447" i="1"/>
  <c r="AX578" i="1" l="1"/>
  <c r="AX585" i="1"/>
  <c r="AX329" i="1"/>
  <c r="AW329" i="1" s="1"/>
  <c r="BH848" i="1"/>
  <c r="BE861" i="1"/>
  <c r="AX997" i="1"/>
  <c r="AW997" i="1" s="1"/>
  <c r="BE359" i="1"/>
  <c r="BK848" i="1"/>
  <c r="AX319" i="1"/>
  <c r="AW319" i="1" s="1"/>
  <c r="DB861" i="1"/>
  <c r="BL978" i="1"/>
  <c r="DE861" i="1"/>
  <c r="AX361" i="1"/>
  <c r="AX471" i="1"/>
  <c r="DE848" i="1"/>
  <c r="BL311" i="1"/>
  <c r="AX1274" i="1"/>
  <c r="BP361" i="1"/>
  <c r="BO361" i="1" s="1"/>
  <c r="AZ585" i="1"/>
  <c r="AY585" i="1"/>
  <c r="AW585" i="1" s="1"/>
  <c r="AX543" i="1"/>
  <c r="BL1259" i="1"/>
  <c r="AY578" i="1"/>
  <c r="AW578" i="1" s="1"/>
  <c r="BL585" i="1"/>
  <c r="BP585" i="1"/>
  <c r="BO585" i="1" s="1"/>
  <c r="AY557" i="1"/>
  <c r="AW557" i="1" s="1"/>
  <c r="BP1249" i="1"/>
  <c r="BO1249" i="1" s="1"/>
  <c r="AX607" i="1"/>
  <c r="AX554" i="1"/>
  <c r="AX1323" i="1"/>
  <c r="AX592" i="1"/>
  <c r="AX1313" i="1"/>
  <c r="BL154" i="1"/>
  <c r="AX154" i="1"/>
  <c r="AW154" i="1" s="1"/>
  <c r="BL842" i="1"/>
  <c r="AX842" i="1"/>
  <c r="AW842" i="1" s="1"/>
  <c r="BL1323" i="1"/>
  <c r="AX557" i="1"/>
  <c r="AY1266" i="1"/>
  <c r="AW1266" i="1" s="1"/>
  <c r="AX1025" i="1"/>
  <c r="AX1273" i="1"/>
  <c r="AX484" i="1"/>
  <c r="AZ557" i="1"/>
  <c r="AY540" i="1"/>
  <c r="AW540" i="1" s="1"/>
  <c r="AX546" i="1"/>
  <c r="AY601" i="1"/>
  <c r="AW601" i="1" s="1"/>
  <c r="AX1302" i="1"/>
  <c r="AX1305" i="1"/>
  <c r="AY551" i="1"/>
  <c r="AW551" i="1" s="1"/>
  <c r="AX1195" i="1"/>
  <c r="AX1297" i="1"/>
  <c r="BL592" i="1"/>
  <c r="BL1025" i="1"/>
  <c r="BP563" i="1"/>
  <c r="BO563" i="1" s="1"/>
  <c r="AX1249" i="1"/>
  <c r="AX1282" i="1"/>
  <c r="AX1312" i="1"/>
  <c r="AX1309" i="1"/>
  <c r="AX572" i="1"/>
  <c r="AX1252" i="1"/>
  <c r="AY1302" i="1"/>
  <c r="AW1302" i="1" s="1"/>
  <c r="AY1305" i="1"/>
  <c r="AW1305" i="1" s="1"/>
  <c r="BP506" i="1"/>
  <c r="BO506" i="1" s="1"/>
  <c r="AX1272" i="1"/>
  <c r="AX1265" i="1"/>
  <c r="AX564" i="1"/>
  <c r="BL554" i="1"/>
  <c r="BL1312" i="1"/>
  <c r="AY1269" i="1"/>
  <c r="AW1269" i="1" s="1"/>
  <c r="AX598" i="1"/>
  <c r="AX509" i="1"/>
  <c r="AY473" i="1"/>
  <c r="AW473" i="1" s="1"/>
  <c r="BK945" i="1"/>
  <c r="BK156" i="1"/>
  <c r="BE161" i="1"/>
  <c r="DB221" i="1"/>
  <c r="AX1284" i="1"/>
  <c r="AZ1269" i="1"/>
  <c r="AX575" i="1"/>
  <c r="AZ601" i="1"/>
  <c r="BE1111" i="1"/>
  <c r="CY285" i="1"/>
  <c r="BK902" i="1"/>
  <c r="BH902" i="1"/>
  <c r="BE902" i="1"/>
  <c r="AX1263" i="1"/>
  <c r="AX1278" i="1"/>
  <c r="BK862" i="1"/>
  <c r="BE194" i="1"/>
  <c r="BM902" i="1"/>
  <c r="BL902" i="1" s="1"/>
  <c r="BE939" i="1"/>
  <c r="BH939" i="1"/>
  <c r="BK939" i="1"/>
  <c r="AX610" i="1"/>
  <c r="AY1274" i="1"/>
  <c r="AW1274" i="1" s="1"/>
  <c r="AX506" i="1"/>
  <c r="AX473" i="1"/>
  <c r="AY1272" i="1"/>
  <c r="AW1272" i="1" s="1"/>
  <c r="BL580" i="1"/>
  <c r="BH151" i="1"/>
  <c r="BM939" i="1"/>
  <c r="BL939" i="1" s="1"/>
  <c r="AX540" i="1"/>
  <c r="AX1337" i="1"/>
  <c r="AY1267" i="1"/>
  <c r="AW1267" i="1" s="1"/>
  <c r="CY202" i="1"/>
  <c r="AX580" i="1"/>
  <c r="AX527" i="1"/>
  <c r="AX511" i="1"/>
  <c r="AX472" i="1"/>
  <c r="AX537" i="1"/>
  <c r="BL517" i="1"/>
  <c r="BP517" i="1"/>
  <c r="BO517" i="1" s="1"/>
  <c r="BL1186" i="1"/>
  <c r="BP1186" i="1"/>
  <c r="BO1186" i="1" s="1"/>
  <c r="AZ1323" i="1"/>
  <c r="AY1323" i="1"/>
  <c r="AW1323" i="1" s="1"/>
  <c r="BL551" i="1"/>
  <c r="BP551" i="1"/>
  <c r="BO551" i="1" s="1"/>
  <c r="AZ1306" i="1"/>
  <c r="AY1306" i="1"/>
  <c r="AW1306" i="1" s="1"/>
  <c r="BL532" i="1"/>
  <c r="BP532" i="1"/>
  <c r="BO532" i="1" s="1"/>
  <c r="BL547" i="1"/>
  <c r="BP547" i="1"/>
  <c r="BO547" i="1" s="1"/>
  <c r="BL601" i="1"/>
  <c r="BP601" i="1"/>
  <c r="BO601" i="1" s="1"/>
  <c r="AY537" i="1"/>
  <c r="AW537" i="1" s="1"/>
  <c r="AZ537" i="1"/>
  <c r="AY532" i="1"/>
  <c r="AW532" i="1" s="1"/>
  <c r="AZ532" i="1"/>
  <c r="AY523" i="1"/>
  <c r="AW523" i="1" s="1"/>
  <c r="AZ523" i="1"/>
  <c r="AY471" i="1"/>
  <c r="AW471" i="1" s="1"/>
  <c r="BL1042" i="1"/>
  <c r="AY528" i="1"/>
  <c r="AW528" i="1" s="1"/>
  <c r="AZ528" i="1"/>
  <c r="BP507" i="1"/>
  <c r="BO507" i="1" s="1"/>
  <c r="BL507" i="1"/>
  <c r="AY1186" i="1"/>
  <c r="AW1186" i="1" s="1"/>
  <c r="AZ1186" i="1"/>
  <c r="BP1264" i="1"/>
  <c r="BO1264" i="1" s="1"/>
  <c r="BL1264" i="1"/>
  <c r="AX1186" i="1"/>
  <c r="AY1264" i="1"/>
  <c r="AW1264" i="1" s="1"/>
  <c r="AZ1264" i="1"/>
  <c r="BL523" i="1"/>
  <c r="BP523" i="1"/>
  <c r="BO523" i="1" s="1"/>
  <c r="AZ472" i="1"/>
  <c r="AY472" i="1"/>
  <c r="AW472" i="1" s="1"/>
  <c r="AY1309" i="1"/>
  <c r="AW1309" i="1" s="1"/>
  <c r="AZ1309" i="1"/>
  <c r="AY506" i="1"/>
  <c r="AW506" i="1" s="1"/>
  <c r="BP1313" i="1"/>
  <c r="BO1313" i="1" s="1"/>
  <c r="BL1313" i="1"/>
  <c r="AZ538" i="1"/>
  <c r="AY538" i="1"/>
  <c r="AW538" i="1" s="1"/>
  <c r="BP1305" i="1"/>
  <c r="BO1305" i="1" s="1"/>
  <c r="BL1305" i="1"/>
  <c r="BP1298" i="1"/>
  <c r="BO1298" i="1" s="1"/>
  <c r="BL1298" i="1"/>
  <c r="BL1267" i="1"/>
  <c r="BP1267" i="1"/>
  <c r="BO1267" i="1" s="1"/>
  <c r="BK151" i="1"/>
  <c r="BK161" i="1"/>
  <c r="AX325" i="1"/>
  <c r="AW325" i="1" s="1"/>
  <c r="AX269" i="1"/>
  <c r="AW269" i="1" s="1"/>
  <c r="AY598" i="1"/>
  <c r="AW598" i="1" s="1"/>
  <c r="AZ598" i="1"/>
  <c r="AZ580" i="1"/>
  <c r="AY580" i="1"/>
  <c r="AW580" i="1" s="1"/>
  <c r="BP538" i="1"/>
  <c r="BO538" i="1" s="1"/>
  <c r="BL538" i="1"/>
  <c r="AY1265" i="1"/>
  <c r="AW1265" i="1" s="1"/>
  <c r="AZ1265" i="1"/>
  <c r="AY546" i="1"/>
  <c r="AW546" i="1" s="1"/>
  <c r="AY509" i="1"/>
  <c r="AW509" i="1" s="1"/>
  <c r="AZ509" i="1"/>
  <c r="BP1306" i="1"/>
  <c r="BO1306" i="1" s="1"/>
  <c r="BL1306" i="1"/>
  <c r="AZ1250" i="1"/>
  <c r="AY1250" i="1"/>
  <c r="AW1250" i="1" s="1"/>
  <c r="BP607" i="1"/>
  <c r="BO607" i="1" s="1"/>
  <c r="BL607" i="1"/>
  <c r="AY1025" i="1"/>
  <c r="AW1025" i="1" s="1"/>
  <c r="AZ1025" i="1"/>
  <c r="BL1263" i="1"/>
  <c r="BP1263" i="1"/>
  <c r="BO1263" i="1" s="1"/>
  <c r="BL1269" i="1"/>
  <c r="BP1269" i="1"/>
  <c r="BO1269" i="1" s="1"/>
  <c r="AY507" i="1"/>
  <c r="AW507" i="1" s="1"/>
  <c r="BH194" i="1"/>
  <c r="BK194" i="1"/>
  <c r="CY187" i="1"/>
  <c r="BH211" i="1"/>
  <c r="CY151" i="1"/>
  <c r="BL473" i="1"/>
  <c r="BP473" i="1"/>
  <c r="BO473" i="1" s="1"/>
  <c r="AX523" i="1"/>
  <c r="AZ527" i="1"/>
  <c r="AY527" i="1"/>
  <c r="AW527" i="1" s="1"/>
  <c r="AY1284" i="1"/>
  <c r="AW1284" i="1" s="1"/>
  <c r="AZ1284" i="1"/>
  <c r="AY1263" i="1"/>
  <c r="AW1263" i="1" s="1"/>
  <c r="BL598" i="1"/>
  <c r="BP598" i="1"/>
  <c r="BO598" i="1" s="1"/>
  <c r="BP597" i="1"/>
  <c r="BO597" i="1" s="1"/>
  <c r="BL597" i="1"/>
  <c r="AY1252" i="1"/>
  <c r="AW1252" i="1" s="1"/>
  <c r="AZ1252" i="1"/>
  <c r="BP472" i="1"/>
  <c r="BO472" i="1" s="1"/>
  <c r="BL472" i="1"/>
  <c r="BL1195" i="1"/>
  <c r="BP1195" i="1"/>
  <c r="BO1195" i="1" s="1"/>
  <c r="AX1266" i="1"/>
  <c r="AY563" i="1"/>
  <c r="AW563" i="1" s="1"/>
  <c r="DB165" i="1"/>
  <c r="CY220" i="1"/>
  <c r="DB151" i="1"/>
  <c r="DB161" i="1"/>
  <c r="DB1111" i="1"/>
  <c r="AX547" i="1"/>
  <c r="AX1288" i="1"/>
  <c r="AZ484" i="1"/>
  <c r="AY484" i="1"/>
  <c r="AW484" i="1" s="1"/>
  <c r="AY511" i="1"/>
  <c r="AW511" i="1" s="1"/>
  <c r="AZ511" i="1"/>
  <c r="BL1309" i="1"/>
  <c r="BP1309" i="1"/>
  <c r="BO1309" i="1" s="1"/>
  <c r="AX1298" i="1"/>
  <c r="AY517" i="1"/>
  <c r="AW517" i="1" s="1"/>
  <c r="AY1288" i="1"/>
  <c r="AW1288" i="1" s="1"/>
  <c r="AZ1278" i="1"/>
  <c r="AY1278" i="1"/>
  <c r="AW1278" i="1" s="1"/>
  <c r="BP572" i="1"/>
  <c r="BO572" i="1" s="1"/>
  <c r="BL572" i="1"/>
  <c r="AZ575" i="1"/>
  <c r="AY575" i="1"/>
  <c r="AW575" i="1" s="1"/>
  <c r="AZ554" i="1"/>
  <c r="AY554" i="1"/>
  <c r="AW554" i="1" s="1"/>
  <c r="AY607" i="1"/>
  <c r="AW607" i="1" s="1"/>
  <c r="AX1250" i="1"/>
  <c r="AX597" i="1"/>
  <c r="AX508" i="1"/>
  <c r="BL1273" i="1"/>
  <c r="BP1273" i="1"/>
  <c r="BO1273" i="1" s="1"/>
  <c r="BP610" i="1"/>
  <c r="BO610" i="1" s="1"/>
  <c r="BL610" i="1"/>
  <c r="AX538" i="1"/>
  <c r="BP1337" i="1"/>
  <c r="BO1337" i="1" s="1"/>
  <c r="BL1337" i="1"/>
  <c r="BL1266" i="1"/>
  <c r="BP1266" i="1"/>
  <c r="BO1266" i="1" s="1"/>
  <c r="AZ508" i="1"/>
  <c r="AY508" i="1"/>
  <c r="AW508" i="1" s="1"/>
  <c r="CO241" i="1"/>
  <c r="CO889" i="1"/>
  <c r="DB220" i="1"/>
  <c r="DE161" i="1"/>
  <c r="BH378" i="1"/>
  <c r="BP1250" i="1"/>
  <c r="BO1250" i="1" s="1"/>
  <c r="BL1250" i="1"/>
  <c r="AX1264" i="1"/>
  <c r="AZ610" i="1"/>
  <c r="AY610" i="1"/>
  <c r="AW610" i="1" s="1"/>
  <c r="AY572" i="1"/>
  <c r="AW572" i="1" s="1"/>
  <c r="BP557" i="1"/>
  <c r="BO557" i="1" s="1"/>
  <c r="BL557" i="1"/>
  <c r="BP528" i="1"/>
  <c r="BO528" i="1" s="1"/>
  <c r="BL528" i="1"/>
  <c r="AX1230" i="1"/>
  <c r="BP1230" i="1"/>
  <c r="BO1230" i="1" s="1"/>
  <c r="BL1230" i="1"/>
  <c r="AZ592" i="1"/>
  <c r="AY592" i="1"/>
  <c r="AW592" i="1" s="1"/>
  <c r="AY1297" i="1"/>
  <c r="AW1297" i="1" s="1"/>
  <c r="AZ1297" i="1"/>
  <c r="AY361" i="1"/>
  <c r="AW361" i="1" s="1"/>
  <c r="AZ361" i="1"/>
  <c r="BP564" i="1"/>
  <c r="BO564" i="1" s="1"/>
  <c r="BL564" i="1"/>
  <c r="BP537" i="1"/>
  <c r="BO537" i="1" s="1"/>
  <c r="BL537" i="1"/>
  <c r="BP509" i="1"/>
  <c r="BO509" i="1" s="1"/>
  <c r="BL509" i="1"/>
  <c r="BP1297" i="1"/>
  <c r="BO1297" i="1" s="1"/>
  <c r="BL1297" i="1"/>
  <c r="BP1252" i="1"/>
  <c r="BO1252" i="1" s="1"/>
  <c r="BL1252" i="1"/>
  <c r="BP511" i="1"/>
  <c r="BO511" i="1" s="1"/>
  <c r="BL511" i="1"/>
  <c r="AX563" i="1"/>
  <c r="BL540" i="1"/>
  <c r="BP540" i="1"/>
  <c r="BO540" i="1" s="1"/>
  <c r="AY543" i="1"/>
  <c r="AW543" i="1" s="1"/>
  <c r="AY1282" i="1"/>
  <c r="AW1282" i="1" s="1"/>
  <c r="AX601" i="1"/>
  <c r="BH161" i="1"/>
  <c r="DE378" i="1"/>
  <c r="BH1111" i="1"/>
  <c r="CY862" i="1"/>
  <c r="DE220" i="1"/>
  <c r="BH241" i="1"/>
  <c r="BK378" i="1"/>
  <c r="BK372" i="1"/>
  <c r="DE417" i="1"/>
  <c r="DB427" i="1"/>
  <c r="BK483" i="1"/>
  <c r="CR1016" i="1"/>
  <c r="BL578" i="1"/>
  <c r="BP578" i="1"/>
  <c r="BO578" i="1" s="1"/>
  <c r="AZ1273" i="1"/>
  <c r="AY1273" i="1"/>
  <c r="AW1273" i="1" s="1"/>
  <c r="AY597" i="1"/>
  <c r="AW597" i="1" s="1"/>
  <c r="AZ597" i="1"/>
  <c r="BP1284" i="1"/>
  <c r="BO1284" i="1" s="1"/>
  <c r="BL1284" i="1"/>
  <c r="AX551" i="1"/>
  <c r="BP1265" i="1"/>
  <c r="BO1265" i="1" s="1"/>
  <c r="BL1265" i="1"/>
  <c r="AX517" i="1"/>
  <c r="BL1278" i="1"/>
  <c r="BP1278" i="1"/>
  <c r="BO1278" i="1" s="1"/>
  <c r="AY564" i="1"/>
  <c r="AW564" i="1" s="1"/>
  <c r="AZ564" i="1"/>
  <c r="AY1195" i="1"/>
  <c r="AW1195" i="1" s="1"/>
  <c r="BL1302" i="1"/>
  <c r="BP1302" i="1"/>
  <c r="BO1302" i="1" s="1"/>
  <c r="BP527" i="1"/>
  <c r="BO527" i="1" s="1"/>
  <c r="BL527" i="1"/>
  <c r="AX581" i="1"/>
  <c r="AX532" i="1"/>
  <c r="AZ1249" i="1"/>
  <c r="AY1249" i="1"/>
  <c r="AW1249" i="1" s="1"/>
  <c r="AZ1312" i="1"/>
  <c r="AY1312" i="1"/>
  <c r="AW1312" i="1" s="1"/>
  <c r="BL1274" i="1"/>
  <c r="BP1274" i="1"/>
  <c r="BO1274" i="1" s="1"/>
  <c r="AZ1230" i="1"/>
  <c r="AY1230" i="1"/>
  <c r="AW1230" i="1" s="1"/>
  <c r="AZ1313" i="1"/>
  <c r="AY1313" i="1"/>
  <c r="AW1313" i="1" s="1"/>
  <c r="BP543" i="1"/>
  <c r="BO543" i="1" s="1"/>
  <c r="BL543" i="1"/>
  <c r="BE151" i="1"/>
  <c r="BH1005" i="1"/>
  <c r="BH945" i="1"/>
  <c r="CR1002" i="1"/>
  <c r="BL546" i="1"/>
  <c r="BP546" i="1"/>
  <c r="BO546" i="1" s="1"/>
  <c r="AY581" i="1"/>
  <c r="AW581" i="1" s="1"/>
  <c r="AZ581" i="1"/>
  <c r="AZ1298" i="1"/>
  <c r="AY1298" i="1"/>
  <c r="AW1298" i="1" s="1"/>
  <c r="BL1282" i="1"/>
  <c r="BP1282" i="1"/>
  <c r="BO1282" i="1" s="1"/>
  <c r="BL484" i="1"/>
  <c r="BP484" i="1"/>
  <c r="BO484" i="1" s="1"/>
  <c r="AZ547" i="1"/>
  <c r="AY547" i="1"/>
  <c r="AW547" i="1" s="1"/>
  <c r="AX1269" i="1"/>
  <c r="AX507" i="1"/>
  <c r="BL471" i="1"/>
  <c r="BP471" i="1"/>
  <c r="BO471" i="1" s="1"/>
  <c r="AY1337" i="1"/>
  <c r="AW1337" i="1" s="1"/>
  <c r="AZ1337" i="1"/>
  <c r="BP1272" i="1"/>
  <c r="BO1272" i="1" s="1"/>
  <c r="BL1272" i="1"/>
  <c r="BL1288" i="1"/>
  <c r="BP1288" i="1"/>
  <c r="BO1288" i="1" s="1"/>
  <c r="BP581" i="1"/>
  <c r="BO581" i="1" s="1"/>
  <c r="BL581" i="1"/>
  <c r="AX1306" i="1"/>
  <c r="BP508" i="1"/>
  <c r="BO508" i="1" s="1"/>
  <c r="BL508" i="1"/>
  <c r="AZ1259" i="1"/>
  <c r="AY1259" i="1"/>
  <c r="AW1259" i="1" s="1"/>
  <c r="BP575" i="1"/>
  <c r="BO575" i="1" s="1"/>
  <c r="BL575" i="1"/>
  <c r="AX1267" i="1"/>
  <c r="AY1320" i="1"/>
  <c r="AW1320" i="1" s="1"/>
  <c r="AZ1320" i="1"/>
  <c r="DE932" i="1"/>
  <c r="BK166" i="1"/>
  <c r="DE1048" i="1"/>
  <c r="CI867" i="1"/>
  <c r="CI288" i="1"/>
  <c r="CI322" i="1"/>
  <c r="BE954" i="1"/>
  <c r="BH205" i="1"/>
  <c r="DB298" i="1"/>
  <c r="CY311" i="1"/>
  <c r="CY1077" i="1"/>
  <c r="BK170" i="1"/>
  <c r="BK859" i="1"/>
  <c r="CY189" i="1"/>
  <c r="BE992" i="1"/>
  <c r="DB1077" i="1"/>
  <c r="CR984" i="1"/>
  <c r="CY976" i="1"/>
  <c r="BK261" i="1"/>
  <c r="BK263" i="1"/>
  <c r="DE266" i="1"/>
  <c r="BH268" i="1"/>
  <c r="BH954" i="1"/>
  <c r="CY246" i="1"/>
  <c r="DB1017" i="1"/>
  <c r="DB311" i="1"/>
  <c r="BE997" i="1"/>
  <c r="CI252" i="1"/>
  <c r="BT368" i="1"/>
  <c r="BK368" i="1"/>
  <c r="BE368" i="1"/>
  <c r="BW368" i="1"/>
  <c r="CF368" i="1"/>
  <c r="BH368" i="1"/>
  <c r="CV368" i="1"/>
  <c r="CC368" i="1"/>
  <c r="BZ368" i="1"/>
  <c r="CL368" i="1"/>
  <c r="BH137" i="1"/>
  <c r="BH861" i="1"/>
  <c r="BE874" i="1"/>
  <c r="DB177" i="1"/>
  <c r="CY904" i="1"/>
  <c r="BE195" i="1"/>
  <c r="BE920" i="1"/>
  <c r="BE932" i="1"/>
  <c r="BH935" i="1"/>
  <c r="CY942" i="1"/>
  <c r="BK954" i="1"/>
  <c r="DB246" i="1"/>
  <c r="CY252" i="1"/>
  <c r="DE976" i="1"/>
  <c r="DE258" i="1"/>
  <c r="CY261" i="1"/>
  <c r="BE984" i="1"/>
  <c r="CY263" i="1"/>
  <c r="BE266" i="1"/>
  <c r="CY166" i="1"/>
  <c r="BE1004" i="1"/>
  <c r="CY1009" i="1"/>
  <c r="CY867" i="1"/>
  <c r="BE173" i="1"/>
  <c r="DE1015" i="1"/>
  <c r="DE1017" i="1"/>
  <c r="DB189" i="1"/>
  <c r="BH208" i="1"/>
  <c r="BH301" i="1"/>
  <c r="CY228" i="1"/>
  <c r="DE311" i="1"/>
  <c r="BK950" i="1"/>
  <c r="BE962" i="1"/>
  <c r="DB978" i="1"/>
  <c r="BH992" i="1"/>
  <c r="BH319" i="1"/>
  <c r="BK322" i="1"/>
  <c r="BE1048" i="1"/>
  <c r="DB329" i="1"/>
  <c r="BK332" i="1"/>
  <c r="BE1065" i="1"/>
  <c r="BH997" i="1"/>
  <c r="DB1080" i="1"/>
  <c r="AX1083" i="1"/>
  <c r="AW1083" i="1" s="1"/>
  <c r="BK288" i="1"/>
  <c r="CY869" i="1"/>
  <c r="BH1006" i="1"/>
  <c r="CY423" i="1"/>
  <c r="DE1112" i="1"/>
  <c r="CY387" i="1"/>
  <c r="BK503" i="1"/>
  <c r="CO984" i="1"/>
  <c r="CR884" i="1"/>
  <c r="CR1015" i="1"/>
  <c r="CR944" i="1"/>
  <c r="BH163" i="1"/>
  <c r="BH944" i="1"/>
  <c r="BK252" i="1"/>
  <c r="BE288" i="1"/>
  <c r="BK163" i="1"/>
  <c r="DB976" i="1"/>
  <c r="DB258" i="1"/>
  <c r="BK268" i="1"/>
  <c r="DB1015" i="1"/>
  <c r="BK205" i="1"/>
  <c r="BE208" i="1"/>
  <c r="BE301" i="1"/>
  <c r="BH950" i="1"/>
  <c r="CY329" i="1"/>
  <c r="BK137" i="1"/>
  <c r="CY848" i="1"/>
  <c r="CY163" i="1"/>
  <c r="BH874" i="1"/>
  <c r="CY170" i="1"/>
  <c r="DE177" i="1"/>
  <c r="DB904" i="1"/>
  <c r="BH195" i="1"/>
  <c r="BH920" i="1"/>
  <c r="BH932" i="1"/>
  <c r="BK935" i="1"/>
  <c r="DB942" i="1"/>
  <c r="CY944" i="1"/>
  <c r="DE246" i="1"/>
  <c r="DB252" i="1"/>
  <c r="DB261" i="1"/>
  <c r="BH984" i="1"/>
  <c r="DB263" i="1"/>
  <c r="BH266" i="1"/>
  <c r="CY268" i="1"/>
  <c r="CY859" i="1"/>
  <c r="DB166" i="1"/>
  <c r="BH1004" i="1"/>
  <c r="DB1009" i="1"/>
  <c r="DB867" i="1"/>
  <c r="BH173" i="1"/>
  <c r="DE189" i="1"/>
  <c r="CY205" i="1"/>
  <c r="BK208" i="1"/>
  <c r="BE298" i="1"/>
  <c r="BK301" i="1"/>
  <c r="DB228" i="1"/>
  <c r="CY950" i="1"/>
  <c r="BH962" i="1"/>
  <c r="DE978" i="1"/>
  <c r="CY992" i="1"/>
  <c r="BK319" i="1"/>
  <c r="CY322" i="1"/>
  <c r="BH1048" i="1"/>
  <c r="DE329" i="1"/>
  <c r="CY332" i="1"/>
  <c r="BH1065" i="1"/>
  <c r="BE1080" i="1"/>
  <c r="DE1080" i="1"/>
  <c r="AX1085" i="1"/>
  <c r="AW1085" i="1" s="1"/>
  <c r="CY288" i="1"/>
  <c r="BE416" i="1"/>
  <c r="DB423" i="1"/>
  <c r="BH1007" i="1"/>
  <c r="CY238" i="1"/>
  <c r="CO189" i="1"/>
  <c r="CR357" i="1"/>
  <c r="CR1009" i="1"/>
  <c r="CO944" i="1"/>
  <c r="DE874" i="1"/>
  <c r="BK867" i="1"/>
  <c r="DE173" i="1"/>
  <c r="CY1015" i="1"/>
  <c r="CY1017" i="1"/>
  <c r="DE301" i="1"/>
  <c r="BE137" i="1"/>
  <c r="CY177" i="1"/>
  <c r="BE935" i="1"/>
  <c r="BK944" i="1"/>
  <c r="DE298" i="1"/>
  <c r="CY978" i="1"/>
  <c r="BH322" i="1"/>
  <c r="BH332" i="1"/>
  <c r="BH288" i="1"/>
  <c r="DB848" i="1"/>
  <c r="CY861" i="1"/>
  <c r="DB163" i="1"/>
  <c r="BK874" i="1"/>
  <c r="DB170" i="1"/>
  <c r="DE904" i="1"/>
  <c r="BK195" i="1"/>
  <c r="BK920" i="1"/>
  <c r="BK932" i="1"/>
  <c r="DE942" i="1"/>
  <c r="DB944" i="1"/>
  <c r="DE252" i="1"/>
  <c r="BE976" i="1"/>
  <c r="BE258" i="1"/>
  <c r="DE261" i="1"/>
  <c r="BK984" i="1"/>
  <c r="DE263" i="1"/>
  <c r="BK266" i="1"/>
  <c r="DB268" i="1"/>
  <c r="DB859" i="1"/>
  <c r="DE166" i="1"/>
  <c r="BK1004" i="1"/>
  <c r="DE1009" i="1"/>
  <c r="DE867" i="1"/>
  <c r="BK173" i="1"/>
  <c r="BE1015" i="1"/>
  <c r="BE1017" i="1"/>
  <c r="BK900" i="1"/>
  <c r="DB205" i="1"/>
  <c r="BH298" i="1"/>
  <c r="DE228" i="1"/>
  <c r="BE311" i="1"/>
  <c r="DB950" i="1"/>
  <c r="BK962" i="1"/>
  <c r="DB992" i="1"/>
  <c r="BL1043" i="1"/>
  <c r="DB322" i="1"/>
  <c r="BK1048" i="1"/>
  <c r="DB332" i="1"/>
  <c r="BK1065" i="1"/>
  <c r="CY997" i="1"/>
  <c r="BE357" i="1"/>
  <c r="CY884" i="1"/>
  <c r="DB288" i="1"/>
  <c r="BH1165" i="1"/>
  <c r="CR261" i="1"/>
  <c r="BH170" i="1"/>
  <c r="BK904" i="1"/>
  <c r="BK942" i="1"/>
  <c r="BB942" i="1" s="1"/>
  <c r="CY258" i="1"/>
  <c r="CY137" i="1"/>
  <c r="BH976" i="1"/>
  <c r="BH258" i="1"/>
  <c r="DE268" i="1"/>
  <c r="DE205" i="1"/>
  <c r="CY208" i="1"/>
  <c r="BK298" i="1"/>
  <c r="BH311" i="1"/>
  <c r="DE950" i="1"/>
  <c r="CY962" i="1"/>
  <c r="BE978" i="1"/>
  <c r="DE992" i="1"/>
  <c r="CY319" i="1"/>
  <c r="DE322" i="1"/>
  <c r="DE332" i="1"/>
  <c r="DE1065" i="1"/>
  <c r="DB997" i="1"/>
  <c r="BE1077" i="1"/>
  <c r="BH1080" i="1"/>
  <c r="BH357" i="1"/>
  <c r="DB884" i="1"/>
  <c r="DB1006" i="1"/>
  <c r="DE238" i="1"/>
  <c r="BH1166" i="1"/>
  <c r="CR932" i="1"/>
  <c r="CR268" i="1"/>
  <c r="BL368" i="1"/>
  <c r="BP368" i="1"/>
  <c r="BO368" i="1" s="1"/>
  <c r="DE195" i="1"/>
  <c r="DE920" i="1"/>
  <c r="DE984" i="1"/>
  <c r="BH859" i="1"/>
  <c r="DE1004" i="1"/>
  <c r="BK1009" i="1"/>
  <c r="BE950" i="1"/>
  <c r="BE332" i="1"/>
  <c r="DE163" i="1"/>
  <c r="DE170" i="1"/>
  <c r="BE177" i="1"/>
  <c r="CY935" i="1"/>
  <c r="DE944" i="1"/>
  <c r="CY954" i="1"/>
  <c r="BE246" i="1"/>
  <c r="BB246" i="1" s="1"/>
  <c r="DE859" i="1"/>
  <c r="BH1015" i="1"/>
  <c r="BH1017" i="1"/>
  <c r="CY900" i="1"/>
  <c r="BE189" i="1"/>
  <c r="DB137" i="1"/>
  <c r="CY874" i="1"/>
  <c r="BH177" i="1"/>
  <c r="BE904" i="1"/>
  <c r="CY195" i="1"/>
  <c r="CV195" i="1" s="1"/>
  <c r="CY920" i="1"/>
  <c r="CV920" i="1" s="1"/>
  <c r="CY932" i="1"/>
  <c r="DB935" i="1"/>
  <c r="DB954" i="1"/>
  <c r="BE252" i="1"/>
  <c r="BK976" i="1"/>
  <c r="BK258" i="1"/>
  <c r="BE261" i="1"/>
  <c r="CY984" i="1"/>
  <c r="BE263" i="1"/>
  <c r="CY266" i="1"/>
  <c r="BE166" i="1"/>
  <c r="CY1004" i="1"/>
  <c r="BE1009" i="1"/>
  <c r="BE867" i="1"/>
  <c r="CY173" i="1"/>
  <c r="BK1015" i="1"/>
  <c r="BK1017" i="1"/>
  <c r="BH189" i="1"/>
  <c r="DB208" i="1"/>
  <c r="CY301" i="1"/>
  <c r="DB962" i="1"/>
  <c r="BH978" i="1"/>
  <c r="DB319" i="1"/>
  <c r="CY1048" i="1"/>
  <c r="DE997" i="1"/>
  <c r="BH1077" i="1"/>
  <c r="BK357" i="1"/>
  <c r="DE884" i="1"/>
  <c r="DE1006" i="1"/>
  <c r="CY1165" i="1"/>
  <c r="CO332" i="1"/>
  <c r="CR322" i="1"/>
  <c r="CO268" i="1"/>
  <c r="AX368" i="1"/>
  <c r="AW368" i="1" s="1"/>
  <c r="AZ368" i="1"/>
  <c r="BH1020" i="1"/>
  <c r="BK873" i="1"/>
  <c r="BH134" i="1"/>
  <c r="BE283" i="1"/>
  <c r="CY357" i="1"/>
  <c r="BE884" i="1"/>
  <c r="BE387" i="1"/>
  <c r="BH1151" i="1"/>
  <c r="CO932" i="1"/>
  <c r="CR950" i="1"/>
  <c r="CO992" i="1"/>
  <c r="CO1009" i="1"/>
  <c r="CL222" i="1"/>
  <c r="BH283" i="1"/>
  <c r="BK992" i="1"/>
  <c r="BE319" i="1"/>
  <c r="BE322" i="1"/>
  <c r="BH329" i="1"/>
  <c r="CY1065" i="1"/>
  <c r="BK997" i="1"/>
  <c r="DE1077" i="1"/>
  <c r="CY1080" i="1"/>
  <c r="DB357" i="1"/>
  <c r="BH884" i="1"/>
  <c r="BE1097" i="1"/>
  <c r="BK222" i="1"/>
  <c r="BE1036" i="1"/>
  <c r="BK1119" i="1"/>
  <c r="DE1165" i="1"/>
  <c r="BH1168" i="1"/>
  <c r="BK1151" i="1"/>
  <c r="BE238" i="1"/>
  <c r="CO258" i="1"/>
  <c r="CR170" i="1"/>
  <c r="CI178" i="1"/>
  <c r="CR997" i="1"/>
  <c r="CO978" i="1"/>
  <c r="CI1004" i="1"/>
  <c r="CI266" i="1"/>
  <c r="CI920" i="1"/>
  <c r="BK283" i="1"/>
  <c r="BE1020" i="1"/>
  <c r="BK329" i="1"/>
  <c r="DB1065" i="1"/>
  <c r="DE357" i="1"/>
  <c r="BK884" i="1"/>
  <c r="BH1097" i="1"/>
  <c r="CY1119" i="1"/>
  <c r="BE1037" i="1"/>
  <c r="BH432" i="1"/>
  <c r="DB199" i="1"/>
  <c r="BK387" i="1"/>
  <c r="CY1151" i="1"/>
  <c r="BH238" i="1"/>
  <c r="DE1166" i="1"/>
  <c r="CI163" i="1"/>
  <c r="CO170" i="1"/>
  <c r="CR954" i="1"/>
  <c r="CI1065" i="1"/>
  <c r="CR859" i="1"/>
  <c r="CI263" i="1"/>
  <c r="CI195" i="1"/>
  <c r="AX332" i="1"/>
  <c r="AW332" i="1" s="1"/>
  <c r="CR867" i="1"/>
  <c r="CI170" i="1"/>
  <c r="CO954" i="1"/>
  <c r="CR173" i="1"/>
  <c r="CR329" i="1"/>
  <c r="CO1017" i="1"/>
  <c r="CO859" i="1"/>
  <c r="CI976" i="1"/>
  <c r="AX992" i="1"/>
  <c r="AW992" i="1" s="1"/>
  <c r="BE42" i="1"/>
  <c r="BE873" i="1"/>
  <c r="DE1151" i="1"/>
  <c r="CO867" i="1"/>
  <c r="CR189" i="1"/>
  <c r="CO173" i="1"/>
  <c r="CO329" i="1"/>
  <c r="CI1017" i="1"/>
  <c r="CO252" i="1"/>
  <c r="CR177" i="1"/>
  <c r="DE147" i="1"/>
  <c r="DE151" i="1"/>
  <c r="CY161" i="1"/>
  <c r="BK1020" i="1"/>
  <c r="CY1067" i="1"/>
  <c r="AX1072" i="1"/>
  <c r="AW1072" i="1" s="1"/>
  <c r="BE389" i="1"/>
  <c r="CR1097" i="1"/>
  <c r="BH275" i="1"/>
  <c r="BK1037" i="1"/>
  <c r="CY432" i="1"/>
  <c r="CO1097" i="1"/>
  <c r="DB147" i="1"/>
  <c r="DB873" i="1"/>
  <c r="DB432" i="1"/>
  <c r="CR220" i="1"/>
  <c r="BH305" i="1"/>
  <c r="BK1161" i="1"/>
  <c r="BE1019" i="1"/>
  <c r="CI275" i="1"/>
  <c r="CY877" i="1"/>
  <c r="AX228" i="1"/>
  <c r="AW228" i="1" s="1"/>
  <c r="AX950" i="1"/>
  <c r="AW950" i="1" s="1"/>
  <c r="BH896" i="1"/>
  <c r="BK305" i="1"/>
  <c r="DE376" i="1"/>
  <c r="DB219" i="1"/>
  <c r="CR152" i="1"/>
  <c r="BH999" i="1"/>
  <c r="DE1002" i="1"/>
  <c r="BH178" i="1"/>
  <c r="BK182" i="1"/>
  <c r="CY1024" i="1"/>
  <c r="AX241" i="1"/>
  <c r="AW241" i="1" s="1"/>
  <c r="AX322" i="1"/>
  <c r="AW322" i="1" s="1"/>
  <c r="BE152" i="1"/>
  <c r="BL371" i="1"/>
  <c r="BH845" i="1"/>
  <c r="DB188" i="1"/>
  <c r="BE999" i="1"/>
  <c r="BK275" i="1"/>
  <c r="BK925" i="1"/>
  <c r="DB320" i="1"/>
  <c r="CY134" i="1"/>
  <c r="BH877" i="1"/>
  <c r="BK179" i="1"/>
  <c r="DE930" i="1"/>
  <c r="DE234" i="1"/>
  <c r="BK999" i="1"/>
  <c r="BH1055" i="1"/>
  <c r="BK1066" i="1"/>
  <c r="BE344" i="1"/>
  <c r="BH152" i="1"/>
  <c r="DE1090" i="1"/>
  <c r="DE305" i="1"/>
  <c r="BE424" i="1"/>
  <c r="CO1005" i="1"/>
  <c r="BE234" i="1"/>
  <c r="BK240" i="1"/>
  <c r="DE287" i="1"/>
  <c r="DE290" i="1"/>
  <c r="DE134" i="1"/>
  <c r="BE147" i="1"/>
  <c r="BK877" i="1"/>
  <c r="DB196" i="1"/>
  <c r="BK249" i="1"/>
  <c r="BE971" i="1"/>
  <c r="AX962" i="1"/>
  <c r="AW962" i="1" s="1"/>
  <c r="DB262" i="1"/>
  <c r="BE1094" i="1"/>
  <c r="BH376" i="1"/>
  <c r="DB1226" i="1"/>
  <c r="CI203" i="1"/>
  <c r="CL185" i="1"/>
  <c r="AX338" i="1"/>
  <c r="AW338" i="1" s="1"/>
  <c r="CY274" i="1"/>
  <c r="DB922" i="1"/>
  <c r="CR989" i="1"/>
  <c r="DE207" i="1"/>
  <c r="BH264" i="1"/>
  <c r="BH1016" i="1"/>
  <c r="BE233" i="1"/>
  <c r="DE936" i="1"/>
  <c r="CY147" i="1"/>
  <c r="BK155" i="1"/>
  <c r="CY254" i="1"/>
  <c r="BH931" i="1"/>
  <c r="DB1158" i="1"/>
  <c r="BH1161" i="1"/>
  <c r="CR202" i="1"/>
  <c r="CR995" i="1"/>
  <c r="CI323" i="1"/>
  <c r="DB187" i="1"/>
  <c r="BE930" i="1"/>
  <c r="BE1002" i="1"/>
  <c r="BK1005" i="1"/>
  <c r="BH930" i="1"/>
  <c r="BK971" i="1"/>
  <c r="CY275" i="1"/>
  <c r="DB197" i="1"/>
  <c r="CY925" i="1"/>
  <c r="DB1066" i="1"/>
  <c r="BE284" i="1"/>
  <c r="DB202" i="1"/>
  <c r="BE203" i="1"/>
  <c r="DB274" i="1"/>
  <c r="BH344" i="1"/>
  <c r="DB346" i="1"/>
  <c r="CR1090" i="1"/>
  <c r="CI1005" i="1"/>
  <c r="BE196" i="1"/>
  <c r="BH1002" i="1"/>
  <c r="BH287" i="1"/>
  <c r="CY1021" i="1"/>
  <c r="BH936" i="1"/>
  <c r="BE313" i="1"/>
  <c r="CY253" i="1"/>
  <c r="BE315" i="1"/>
  <c r="BK344" i="1"/>
  <c r="BE213" i="1"/>
  <c r="CY312" i="1"/>
  <c r="BE938" i="1"/>
  <c r="BE886" i="1"/>
  <c r="DB483" i="1"/>
  <c r="CO264" i="1"/>
  <c r="CI995" i="1"/>
  <c r="CI1016" i="1"/>
  <c r="CR249" i="1"/>
  <c r="BH147" i="1"/>
  <c r="DB155" i="1"/>
  <c r="BE165" i="1"/>
  <c r="DB877" i="1"/>
  <c r="DE176" i="1"/>
  <c r="DB179" i="1"/>
  <c r="BK889" i="1"/>
  <c r="BE187" i="1"/>
  <c r="BE188" i="1"/>
  <c r="BH196" i="1"/>
  <c r="BH207" i="1"/>
  <c r="BK930" i="1"/>
  <c r="DB217" i="1"/>
  <c r="BK234" i="1"/>
  <c r="CY240" i="1"/>
  <c r="CY249" i="1"/>
  <c r="DB977" i="1"/>
  <c r="DE989" i="1"/>
  <c r="BK265" i="1"/>
  <c r="BK995" i="1"/>
  <c r="CY999" i="1"/>
  <c r="BK1002" i="1"/>
  <c r="DB275" i="1"/>
  <c r="DB876" i="1"/>
  <c r="CY178" i="1"/>
  <c r="BK287" i="1"/>
  <c r="CY182" i="1"/>
  <c r="DE197" i="1"/>
  <c r="BK203" i="1"/>
  <c r="DB925" i="1"/>
  <c r="DB1021" i="1"/>
  <c r="CY931" i="1"/>
  <c r="BK936" i="1"/>
  <c r="BH313" i="1"/>
  <c r="BH955" i="1"/>
  <c r="DB253" i="1"/>
  <c r="BH315" i="1"/>
  <c r="BE323" i="1"/>
  <c r="DB1055" i="1"/>
  <c r="DE1066" i="1"/>
  <c r="CY344" i="1"/>
  <c r="BH346" i="1"/>
  <c r="BK1083" i="1"/>
  <c r="CY152" i="1"/>
  <c r="BH284" i="1"/>
  <c r="BE1090" i="1"/>
  <c r="DE896" i="1"/>
  <c r="CY424" i="1"/>
  <c r="DE430" i="1"/>
  <c r="BH886" i="1"/>
  <c r="BK310" i="1"/>
  <c r="BE1171" i="1"/>
  <c r="BH504" i="1"/>
  <c r="CI264" i="1"/>
  <c r="CI1090" i="1"/>
  <c r="CO254" i="1"/>
  <c r="CI152" i="1"/>
  <c r="CO207" i="1"/>
  <c r="CR265" i="1"/>
  <c r="CO931" i="1"/>
  <c r="CR274" i="1"/>
  <c r="CI1055" i="1"/>
  <c r="CR876" i="1"/>
  <c r="CO977" i="1"/>
  <c r="CO249" i="1"/>
  <c r="CR930" i="1"/>
  <c r="CL1172" i="1"/>
  <c r="BE889" i="1"/>
  <c r="DE188" i="1"/>
  <c r="BH233" i="1"/>
  <c r="DB254" i="1"/>
  <c r="BH971" i="1"/>
  <c r="CY989" i="1"/>
  <c r="BE265" i="1"/>
  <c r="BE995" i="1"/>
  <c r="BE287" i="1"/>
  <c r="DE262" i="1"/>
  <c r="CV262" i="1" s="1"/>
  <c r="DE320" i="1"/>
  <c r="BK1055" i="1"/>
  <c r="BE346" i="1"/>
  <c r="BE1083" i="1"/>
  <c r="CY369" i="1"/>
  <c r="CO995" i="1"/>
  <c r="CI344" i="1"/>
  <c r="CI989" i="1"/>
  <c r="CY155" i="1"/>
  <c r="DB176" i="1"/>
  <c r="DE202" i="1"/>
  <c r="BE207" i="1"/>
  <c r="CY217" i="1"/>
  <c r="BH234" i="1"/>
  <c r="DE254" i="1"/>
  <c r="CY977" i="1"/>
  <c r="BH265" i="1"/>
  <c r="BH995" i="1"/>
  <c r="CY876" i="1"/>
  <c r="BH203" i="1"/>
  <c r="DE1024" i="1"/>
  <c r="BE955" i="1"/>
  <c r="DE274" i="1"/>
  <c r="BH1094" i="1"/>
  <c r="BE289" i="1"/>
  <c r="DB430" i="1"/>
  <c r="BK191" i="1"/>
  <c r="BE465" i="1"/>
  <c r="BE504" i="1"/>
  <c r="CI955" i="1"/>
  <c r="CO1090" i="1"/>
  <c r="CI202" i="1"/>
  <c r="CR207" i="1"/>
  <c r="CR931" i="1"/>
  <c r="CO1055" i="1"/>
  <c r="CO253" i="1"/>
  <c r="CI1002" i="1"/>
  <c r="CR233" i="1"/>
  <c r="BK147" i="1"/>
  <c r="DE155" i="1"/>
  <c r="BH165" i="1"/>
  <c r="DE877" i="1"/>
  <c r="DE179" i="1"/>
  <c r="BH187" i="1"/>
  <c r="BH188" i="1"/>
  <c r="BK196" i="1"/>
  <c r="BE202" i="1"/>
  <c r="BK207" i="1"/>
  <c r="DE217" i="1"/>
  <c r="DB240" i="1"/>
  <c r="DB249" i="1"/>
  <c r="BE254" i="1"/>
  <c r="DE977" i="1"/>
  <c r="CY264" i="1"/>
  <c r="BE989" i="1"/>
  <c r="DB999" i="1"/>
  <c r="DE275" i="1"/>
  <c r="DE876" i="1"/>
  <c r="CY1005" i="1"/>
  <c r="DB178" i="1"/>
  <c r="CY1016" i="1"/>
  <c r="DB182" i="1"/>
  <c r="DE925" i="1"/>
  <c r="DE1021" i="1"/>
  <c r="DB931" i="1"/>
  <c r="BE1024" i="1"/>
  <c r="BK313" i="1"/>
  <c r="BK955" i="1"/>
  <c r="DE253" i="1"/>
  <c r="BE262" i="1"/>
  <c r="BK315" i="1"/>
  <c r="BE320" i="1"/>
  <c r="BH323" i="1"/>
  <c r="DE1055" i="1"/>
  <c r="DB344" i="1"/>
  <c r="DB152" i="1"/>
  <c r="BK284" i="1"/>
  <c r="BH1090" i="1"/>
  <c r="DB1100" i="1"/>
  <c r="CY1011" i="1"/>
  <c r="BK431" i="1"/>
  <c r="BK938" i="1"/>
  <c r="DE373" i="1"/>
  <c r="DB1154" i="1"/>
  <c r="CY1096" i="1"/>
  <c r="BH893" i="1"/>
  <c r="CY310" i="1"/>
  <c r="BK304" i="1"/>
  <c r="CR155" i="1"/>
  <c r="CI254" i="1"/>
  <c r="CI207" i="1"/>
  <c r="CO265" i="1"/>
  <c r="CR234" i="1"/>
  <c r="CI931" i="1"/>
  <c r="CR320" i="1"/>
  <c r="CI925" i="1"/>
  <c r="CO287" i="1"/>
  <c r="CO876" i="1"/>
  <c r="CI977" i="1"/>
  <c r="CR240" i="1"/>
  <c r="CL1158" i="1"/>
  <c r="CL886" i="1"/>
  <c r="CY176" i="1"/>
  <c r="BK1016" i="1"/>
  <c r="CY197" i="1"/>
  <c r="BK931" i="1"/>
  <c r="CR264" i="1"/>
  <c r="CL1222" i="1"/>
  <c r="CY179" i="1"/>
  <c r="BH889" i="1"/>
  <c r="DE187" i="1"/>
  <c r="BK233" i="1"/>
  <c r="DB989" i="1"/>
  <c r="CY1055" i="1"/>
  <c r="DE346" i="1"/>
  <c r="BH1083" i="1"/>
  <c r="BK152" i="1"/>
  <c r="BH310" i="1"/>
  <c r="BE314" i="1"/>
  <c r="BH1019" i="1"/>
  <c r="BE304" i="1"/>
  <c r="CO152" i="1"/>
  <c r="BK165" i="1"/>
  <c r="BE176" i="1"/>
  <c r="CY889" i="1"/>
  <c r="BK187" i="1"/>
  <c r="BK188" i="1"/>
  <c r="BH202" i="1"/>
  <c r="BE217" i="1"/>
  <c r="CY233" i="1"/>
  <c r="CY234" i="1"/>
  <c r="DE240" i="1"/>
  <c r="DE249" i="1"/>
  <c r="BH254" i="1"/>
  <c r="CY971" i="1"/>
  <c r="BE977" i="1"/>
  <c r="DB264" i="1"/>
  <c r="BH989" i="1"/>
  <c r="CY265" i="1"/>
  <c r="CY995" i="1"/>
  <c r="DE999" i="1"/>
  <c r="BE876" i="1"/>
  <c r="DB1005" i="1"/>
  <c r="DE178" i="1"/>
  <c r="DB1016" i="1"/>
  <c r="DE182" i="1"/>
  <c r="BE197" i="1"/>
  <c r="CY203" i="1"/>
  <c r="BE1021" i="1"/>
  <c r="DE931" i="1"/>
  <c r="BH1024" i="1"/>
  <c r="CY313" i="1"/>
  <c r="CY955" i="1"/>
  <c r="BH262" i="1"/>
  <c r="CY315" i="1"/>
  <c r="BH320" i="1"/>
  <c r="DE323" i="1"/>
  <c r="AX1065" i="1"/>
  <c r="AW1065" i="1" s="1"/>
  <c r="BE274" i="1"/>
  <c r="DE344" i="1"/>
  <c r="BK346" i="1"/>
  <c r="CY1083" i="1"/>
  <c r="DE152" i="1"/>
  <c r="CY284" i="1"/>
  <c r="BK1090" i="1"/>
  <c r="DB1094" i="1"/>
  <c r="BH391" i="1"/>
  <c r="BE1158" i="1"/>
  <c r="CY289" i="1"/>
  <c r="CY431" i="1"/>
  <c r="DB1096" i="1"/>
  <c r="CY465" i="1"/>
  <c r="BH290" i="1"/>
  <c r="BK893" i="1"/>
  <c r="DB1215" i="1"/>
  <c r="DB1019" i="1"/>
  <c r="CO155" i="1"/>
  <c r="CR999" i="1"/>
  <c r="CI265" i="1"/>
  <c r="CO234" i="1"/>
  <c r="CR1066" i="1"/>
  <c r="CO320" i="1"/>
  <c r="CI182" i="1"/>
  <c r="CI287" i="1"/>
  <c r="CI876" i="1"/>
  <c r="CO240" i="1"/>
  <c r="CR196" i="1"/>
  <c r="CL2" i="1"/>
  <c r="CL1096" i="1"/>
  <c r="DE165" i="1"/>
  <c r="BK264" i="1"/>
  <c r="BK178" i="1"/>
  <c r="BE936" i="1"/>
  <c r="DB1024" i="1"/>
  <c r="CY1066" i="1"/>
  <c r="CO955" i="1"/>
  <c r="CO202" i="1"/>
  <c r="CR1055" i="1"/>
  <c r="CO1016" i="1"/>
  <c r="CO1002" i="1"/>
  <c r="BE155" i="1"/>
  <c r="BH176" i="1"/>
  <c r="BE179" i="1"/>
  <c r="DB889" i="1"/>
  <c r="BK202" i="1"/>
  <c r="CY207" i="1"/>
  <c r="CY930" i="1"/>
  <c r="BH217" i="1"/>
  <c r="DB233" i="1"/>
  <c r="DB234" i="1"/>
  <c r="BE240" i="1"/>
  <c r="BE249" i="1"/>
  <c r="BK254" i="1"/>
  <c r="DB971" i="1"/>
  <c r="BH977" i="1"/>
  <c r="DE264" i="1"/>
  <c r="DB265" i="1"/>
  <c r="DB995" i="1"/>
  <c r="CY1002" i="1"/>
  <c r="BE275" i="1"/>
  <c r="BH876" i="1"/>
  <c r="DE1005" i="1"/>
  <c r="CY287" i="1"/>
  <c r="DE1016" i="1"/>
  <c r="BE182" i="1"/>
  <c r="BH197" i="1"/>
  <c r="DB203" i="1"/>
  <c r="BE925" i="1"/>
  <c r="BH1021" i="1"/>
  <c r="CY936" i="1"/>
  <c r="BK1024" i="1"/>
  <c r="DB313" i="1"/>
  <c r="DB955" i="1"/>
  <c r="BK262" i="1"/>
  <c r="DB315" i="1"/>
  <c r="BK320" i="1"/>
  <c r="AX1045" i="1"/>
  <c r="AW1045" i="1" s="1"/>
  <c r="BE1066" i="1"/>
  <c r="BH274" i="1"/>
  <c r="DB1083" i="1"/>
  <c r="DB284" i="1"/>
  <c r="CY1090" i="1"/>
  <c r="DB213" i="1"/>
  <c r="DB289" i="1"/>
  <c r="BE430" i="1"/>
  <c r="DB431" i="1"/>
  <c r="DB938" i="1"/>
  <c r="DB886" i="1"/>
  <c r="BK290" i="1"/>
  <c r="BE369" i="1"/>
  <c r="DE310" i="1"/>
  <c r="DB314" i="1"/>
  <c r="BE483" i="1"/>
  <c r="DB304" i="1"/>
  <c r="DB504" i="1"/>
  <c r="CI155" i="1"/>
  <c r="CR188" i="1"/>
  <c r="CR275" i="1"/>
  <c r="CR203" i="1"/>
  <c r="CO999" i="1"/>
  <c r="CR178" i="1"/>
  <c r="CI234" i="1"/>
  <c r="CO1066" i="1"/>
  <c r="CR323" i="1"/>
  <c r="CI320" i="1"/>
  <c r="CR971" i="1"/>
  <c r="CI240" i="1"/>
  <c r="DE196" i="1"/>
  <c r="CY165" i="1"/>
  <c r="BK176" i="1"/>
  <c r="BH179" i="1"/>
  <c r="DE889" i="1"/>
  <c r="CY188" i="1"/>
  <c r="CY196" i="1"/>
  <c r="DB207" i="1"/>
  <c r="DB930" i="1"/>
  <c r="BK217" i="1"/>
  <c r="DE233" i="1"/>
  <c r="BH240" i="1"/>
  <c r="BH249" i="1"/>
  <c r="DE971" i="1"/>
  <c r="BK977" i="1"/>
  <c r="BE264" i="1"/>
  <c r="DE265" i="1"/>
  <c r="DE995" i="1"/>
  <c r="DB1002" i="1"/>
  <c r="BK876" i="1"/>
  <c r="BE1005" i="1"/>
  <c r="BE178" i="1"/>
  <c r="BH182" i="1"/>
  <c r="BK197" i="1"/>
  <c r="DE203" i="1"/>
  <c r="BH925" i="1"/>
  <c r="BK1021" i="1"/>
  <c r="BE931" i="1"/>
  <c r="DB936" i="1"/>
  <c r="DE313" i="1"/>
  <c r="DE955" i="1"/>
  <c r="DE315" i="1"/>
  <c r="CV315" i="1" s="1"/>
  <c r="BE1055" i="1"/>
  <c r="BH1066" i="1"/>
  <c r="BK274" i="1"/>
  <c r="CY346" i="1"/>
  <c r="DE1083" i="1"/>
  <c r="DE284" i="1"/>
  <c r="DB1090" i="1"/>
  <c r="BH372" i="1"/>
  <c r="BK1158" i="1"/>
  <c r="BH430" i="1"/>
  <c r="DE938" i="1"/>
  <c r="DE886" i="1"/>
  <c r="CY290" i="1"/>
  <c r="DB1171" i="1"/>
  <c r="DE504" i="1"/>
  <c r="CO188" i="1"/>
  <c r="CO275" i="1"/>
  <c r="CO203" i="1"/>
  <c r="CO178" i="1"/>
  <c r="CI1083" i="1"/>
  <c r="CI1066" i="1"/>
  <c r="CO323" i="1"/>
  <c r="CI315" i="1"/>
  <c r="CO187" i="1"/>
  <c r="BN36" i="1"/>
  <c r="BK845" i="1"/>
  <c r="BK164" i="1"/>
  <c r="BB164" i="1" s="1"/>
  <c r="CY881" i="1"/>
  <c r="DB1113" i="1"/>
  <c r="CO220" i="1"/>
  <c r="CY972" i="1"/>
  <c r="CR194" i="1"/>
  <c r="DB181" i="1"/>
  <c r="BN85" i="1"/>
  <c r="BN32" i="1"/>
  <c r="BN53" i="1"/>
  <c r="BH895" i="1"/>
  <c r="CY1176" i="1"/>
  <c r="CF221" i="1"/>
  <c r="BK221" i="1"/>
  <c r="CI211" i="1"/>
  <c r="CO211" i="1"/>
  <c r="CC237" i="1"/>
  <c r="CI237" i="1"/>
  <c r="CO237" i="1"/>
  <c r="CR237" i="1"/>
  <c r="BH237" i="1"/>
  <c r="DB894" i="1"/>
  <c r="BK184" i="1"/>
  <c r="CR881" i="1"/>
  <c r="BK881" i="1"/>
  <c r="CY845" i="1"/>
  <c r="BH140" i="1"/>
  <c r="DE852" i="1"/>
  <c r="DB862" i="1"/>
  <c r="CY211" i="1"/>
  <c r="DE881" i="1"/>
  <c r="CY895" i="1"/>
  <c r="BE221" i="1"/>
  <c r="CY945" i="1"/>
  <c r="BK237" i="1"/>
  <c r="BE1061" i="1"/>
  <c r="BE358" i="1"/>
  <c r="DB1098" i="1"/>
  <c r="CY1114" i="1"/>
  <c r="BH308" i="1"/>
  <c r="DE1120" i="1"/>
  <c r="BE1153" i="1"/>
  <c r="DE427" i="1"/>
  <c r="DB309" i="1"/>
  <c r="BE1121" i="1"/>
  <c r="CY184" i="1"/>
  <c r="DB901" i="1"/>
  <c r="CY191" i="1"/>
  <c r="BE1108" i="1"/>
  <c r="DB1176" i="1"/>
  <c r="DB1146" i="1"/>
  <c r="BH1012" i="1"/>
  <c r="DB1033" i="1"/>
  <c r="CR1061" i="1"/>
  <c r="BT972" i="1"/>
  <c r="CR972" i="1"/>
  <c r="DB972" i="1"/>
  <c r="BZ864" i="1"/>
  <c r="CR864" i="1"/>
  <c r="DE864" i="1"/>
  <c r="BK895" i="1"/>
  <c r="BH1031" i="1"/>
  <c r="BK1176" i="1"/>
  <c r="CY309" i="1"/>
  <c r="BZ156" i="1"/>
  <c r="CO156" i="1"/>
  <c r="BE156" i="1"/>
  <c r="BZ945" i="1"/>
  <c r="DB945" i="1"/>
  <c r="BT194" i="1"/>
  <c r="DE194" i="1"/>
  <c r="DB845" i="1"/>
  <c r="DE862" i="1"/>
  <c r="DB211" i="1"/>
  <c r="DB895" i="1"/>
  <c r="CY194" i="1"/>
  <c r="BH221" i="1"/>
  <c r="DE945" i="1"/>
  <c r="AX1032" i="1"/>
  <c r="AW1032" i="1" s="1"/>
  <c r="AX972" i="1"/>
  <c r="AW972" i="1" s="1"/>
  <c r="AX980" i="1"/>
  <c r="AW980" i="1" s="1"/>
  <c r="AX986" i="1"/>
  <c r="AW986" i="1" s="1"/>
  <c r="BH1061" i="1"/>
  <c r="AX854" i="1"/>
  <c r="AW854" i="1" s="1"/>
  <c r="BE864" i="1"/>
  <c r="DB1031" i="1"/>
  <c r="DB158" i="1"/>
  <c r="BK167" i="1"/>
  <c r="BH1153" i="1"/>
  <c r="BK279" i="1"/>
  <c r="DB191" i="1"/>
  <c r="BH1108" i="1"/>
  <c r="DE918" i="1"/>
  <c r="CO862" i="1"/>
  <c r="CI945" i="1"/>
  <c r="CF181" i="1"/>
  <c r="CI181" i="1"/>
  <c r="CO181" i="1"/>
  <c r="CR181" i="1"/>
  <c r="CY181" i="1"/>
  <c r="CF894" i="1"/>
  <c r="CI894" i="1"/>
  <c r="CO894" i="1"/>
  <c r="CR894" i="1"/>
  <c r="BH894" i="1"/>
  <c r="BE1010" i="1"/>
  <c r="BH184" i="1"/>
  <c r="BE237" i="1"/>
  <c r="DB1120" i="1"/>
  <c r="CO358" i="1"/>
  <c r="CR358" i="1"/>
  <c r="DE358" i="1"/>
  <c r="BW241" i="1"/>
  <c r="BE241" i="1"/>
  <c r="DE845" i="1"/>
  <c r="BE150" i="1"/>
  <c r="CY156" i="1"/>
  <c r="BH181" i="1"/>
  <c r="DE211" i="1"/>
  <c r="CY164" i="1"/>
  <c r="DB194" i="1"/>
  <c r="CY241" i="1"/>
  <c r="BE972" i="1"/>
  <c r="AX1051" i="1"/>
  <c r="AW1051" i="1" s="1"/>
  <c r="BH864" i="1"/>
  <c r="BK358" i="1"/>
  <c r="BE1107" i="1"/>
  <c r="CY386" i="1"/>
  <c r="DE391" i="1"/>
  <c r="BK1121" i="1"/>
  <c r="DE184" i="1"/>
  <c r="BE1113" i="1"/>
  <c r="CC895" i="1"/>
  <c r="CI895" i="1"/>
  <c r="CO895" i="1"/>
  <c r="CR895" i="1"/>
  <c r="DB150" i="1"/>
  <c r="DE972" i="1"/>
  <c r="BK901" i="1"/>
  <c r="CO972" i="1"/>
  <c r="BL353" i="1"/>
  <c r="BT220" i="1"/>
  <c r="CI220" i="1"/>
  <c r="BH220" i="1"/>
  <c r="BK150" i="1"/>
  <c r="BE894" i="1"/>
  <c r="BE881" i="1"/>
  <c r="CY237" i="1"/>
  <c r="BK864" i="1"/>
  <c r="BH1100" i="1"/>
  <c r="BH1107" i="1"/>
  <c r="BE1120" i="1"/>
  <c r="BH417" i="1"/>
  <c r="BE427" i="1"/>
  <c r="CY1121" i="1"/>
  <c r="BH1248" i="1"/>
  <c r="CO864" i="1"/>
  <c r="DE181" i="1"/>
  <c r="CY894" i="1"/>
  <c r="BE279" i="1"/>
  <c r="CI1061" i="1"/>
  <c r="BK1061" i="1"/>
  <c r="CY140" i="1"/>
  <c r="BE852" i="1"/>
  <c r="BE862" i="1"/>
  <c r="DB156" i="1"/>
  <c r="BK181" i="1"/>
  <c r="BK220" i="1"/>
  <c r="DB164" i="1"/>
  <c r="DB241" i="1"/>
  <c r="BK972" i="1"/>
  <c r="BB972" i="1" s="1"/>
  <c r="AX960" i="1"/>
  <c r="AW960" i="1" s="1"/>
  <c r="DB1061" i="1"/>
  <c r="AX341" i="1"/>
  <c r="AW341" i="1" s="1"/>
  <c r="CY358" i="1"/>
  <c r="DB382" i="1"/>
  <c r="DB386" i="1"/>
  <c r="DB308" i="1"/>
  <c r="CY1153" i="1"/>
  <c r="BK1164" i="1"/>
  <c r="BE845" i="1"/>
  <c r="DE140" i="1"/>
  <c r="BH862" i="1"/>
  <c r="DE156" i="1"/>
  <c r="BK894" i="1"/>
  <c r="BE211" i="1"/>
  <c r="DE164" i="1"/>
  <c r="BH881" i="1"/>
  <c r="BE895" i="1"/>
  <c r="CY221" i="1"/>
  <c r="BE945" i="1"/>
  <c r="DB237" i="1"/>
  <c r="DE241" i="1"/>
  <c r="BL1044" i="1"/>
  <c r="DE1061" i="1"/>
  <c r="CY864" i="1"/>
  <c r="DB358" i="1"/>
  <c r="CI864" i="1"/>
  <c r="CR241" i="1"/>
  <c r="DB852" i="1"/>
  <c r="BE1098" i="1"/>
  <c r="DB377" i="1"/>
  <c r="DE308" i="1"/>
  <c r="BH1120" i="1"/>
  <c r="DB1153" i="1"/>
  <c r="BH427" i="1"/>
  <c r="BK917" i="1"/>
  <c r="BE309" i="1"/>
  <c r="BE901" i="1"/>
  <c r="DB1108" i="1"/>
  <c r="DB168" i="1"/>
  <c r="CY1164" i="1"/>
  <c r="DE1012" i="1"/>
  <c r="BE1033" i="1"/>
  <c r="BE1223" i="1"/>
  <c r="BK1248" i="1"/>
  <c r="CI189" i="1"/>
  <c r="CO261" i="1"/>
  <c r="CI332" i="1"/>
  <c r="CR137" i="1"/>
  <c r="CO950" i="1"/>
  <c r="CR1065" i="1"/>
  <c r="CI329" i="1"/>
  <c r="CO1015" i="1"/>
  <c r="CR1004" i="1"/>
  <c r="CR266" i="1"/>
  <c r="CR976" i="1"/>
  <c r="CI935" i="1"/>
  <c r="BE1031" i="1"/>
  <c r="BE158" i="1"/>
  <c r="BK427" i="1"/>
  <c r="BH309" i="1"/>
  <c r="BH901" i="1"/>
  <c r="BE191" i="1"/>
  <c r="DE1108" i="1"/>
  <c r="DE168" i="1"/>
  <c r="DE939" i="1"/>
  <c r="CR874" i="1"/>
  <c r="CI261" i="1"/>
  <c r="CO1065" i="1"/>
  <c r="CO1004" i="1"/>
  <c r="CO266" i="1"/>
  <c r="CO976" i="1"/>
  <c r="DE1248" i="1"/>
  <c r="CL1033" i="1"/>
  <c r="CL382" i="1"/>
  <c r="BE219" i="1"/>
  <c r="DE432" i="1"/>
  <c r="BE199" i="1"/>
  <c r="CI1097" i="1"/>
  <c r="AX884" i="1"/>
  <c r="AW884" i="1" s="1"/>
  <c r="BK1097" i="1"/>
  <c r="DB1037" i="1"/>
  <c r="BE850" i="1"/>
  <c r="CY283" i="1"/>
  <c r="CY1020" i="1"/>
  <c r="BE1067" i="1"/>
  <c r="DB1067" i="1"/>
  <c r="CY1097" i="1"/>
  <c r="BK947" i="1"/>
  <c r="BK390" i="1"/>
  <c r="DE1037" i="1"/>
  <c r="CI1067" i="1"/>
  <c r="DB283" i="1"/>
  <c r="DB1020" i="1"/>
  <c r="AX1038" i="1"/>
  <c r="AW1038" i="1" s="1"/>
  <c r="DE1067" i="1"/>
  <c r="DB1097" i="1"/>
  <c r="CY1036" i="1"/>
  <c r="BK385" i="1"/>
  <c r="CY359" i="1"/>
  <c r="DB416" i="1"/>
  <c r="BE1154" i="1"/>
  <c r="CY389" i="1"/>
  <c r="CR1020" i="1"/>
  <c r="BN47" i="1"/>
  <c r="BN737" i="1"/>
  <c r="DE283" i="1"/>
  <c r="DE1020" i="1"/>
  <c r="BH1067" i="1"/>
  <c r="BL342" i="1"/>
  <c r="DE1097" i="1"/>
  <c r="CY219" i="1"/>
  <c r="BE432" i="1"/>
  <c r="CY199" i="1"/>
  <c r="DB365" i="1"/>
  <c r="BK388" i="1"/>
  <c r="DB389" i="1"/>
  <c r="CO1020" i="1"/>
  <c r="CO283" i="1"/>
  <c r="DE389" i="1"/>
  <c r="CI1020" i="1"/>
  <c r="CI283" i="1"/>
  <c r="DE850" i="1"/>
  <c r="BK1067" i="1"/>
  <c r="DE385" i="1"/>
  <c r="CY1150" i="1"/>
  <c r="CY922" i="1"/>
  <c r="BH1037" i="1"/>
  <c r="BZ365" i="1"/>
  <c r="BH850" i="1"/>
  <c r="BL955" i="1"/>
  <c r="AX250" i="1"/>
  <c r="AW250" i="1" s="1"/>
  <c r="BK850" i="1"/>
  <c r="BE897" i="1"/>
  <c r="AX152" i="1"/>
  <c r="AW152" i="1" s="1"/>
  <c r="BK1169" i="1"/>
  <c r="BE216" i="1"/>
  <c r="CY300" i="1"/>
  <c r="BH1225" i="1"/>
  <c r="CY1029" i="1"/>
  <c r="BZ1013" i="1"/>
  <c r="BZ1146" i="1"/>
  <c r="BZ901" i="1"/>
  <c r="BZ309" i="1"/>
  <c r="BZ279" i="1"/>
  <c r="BZ158" i="1"/>
  <c r="BZ1120" i="1"/>
  <c r="DB959" i="1"/>
  <c r="BN63" i="1"/>
  <c r="BN832" i="1"/>
  <c r="DE866" i="1"/>
  <c r="BZ286" i="1"/>
  <c r="BZ386" i="1"/>
  <c r="CY850" i="1"/>
  <c r="BE277" i="1"/>
  <c r="BZ1092" i="1"/>
  <c r="BH1149" i="1"/>
  <c r="DB216" i="1"/>
  <c r="DE1225" i="1"/>
  <c r="BK269" i="1"/>
  <c r="AX1066" i="1"/>
  <c r="AW1066" i="1" s="1"/>
  <c r="BT367" i="1"/>
  <c r="DB367" i="1"/>
  <c r="BE367" i="1"/>
  <c r="CO367" i="1"/>
  <c r="BH367" i="1"/>
  <c r="BK367" i="1"/>
  <c r="DE367" i="1"/>
  <c r="CC354" i="1"/>
  <c r="CY354" i="1"/>
  <c r="BH354" i="1"/>
  <c r="CI354" i="1"/>
  <c r="DE354" i="1"/>
  <c r="BK354" i="1"/>
  <c r="DB354" i="1"/>
  <c r="CI353" i="1"/>
  <c r="DB353" i="1"/>
  <c r="BH353" i="1"/>
  <c r="CR353" i="1"/>
  <c r="BK353" i="1"/>
  <c r="BE353" i="1"/>
  <c r="DE353" i="1"/>
  <c r="CY353" i="1"/>
  <c r="DB342" i="1"/>
  <c r="BH342" i="1"/>
  <c r="CI342" i="1"/>
  <c r="DE342" i="1"/>
  <c r="BE342" i="1"/>
  <c r="BK342" i="1"/>
  <c r="CY342" i="1"/>
  <c r="CF338" i="1"/>
  <c r="DB338" i="1"/>
  <c r="BH338" i="1"/>
  <c r="DE338" i="1"/>
  <c r="BE338" i="1"/>
  <c r="CY338" i="1"/>
  <c r="BK338" i="1"/>
  <c r="CO325" i="1"/>
  <c r="CY325" i="1"/>
  <c r="BE325" i="1"/>
  <c r="DE325" i="1"/>
  <c r="BH325" i="1"/>
  <c r="DB325" i="1"/>
  <c r="BK325" i="1"/>
  <c r="CF1043" i="1"/>
  <c r="CI1043" i="1"/>
  <c r="CY1043" i="1"/>
  <c r="DE1043" i="1"/>
  <c r="BE1043" i="1"/>
  <c r="DB1043" i="1"/>
  <c r="CI986" i="1"/>
  <c r="DB986" i="1"/>
  <c r="BH986" i="1"/>
  <c r="DE986" i="1"/>
  <c r="BE986" i="1"/>
  <c r="CY986" i="1"/>
  <c r="BZ967" i="1"/>
  <c r="DE967" i="1"/>
  <c r="BH967" i="1"/>
  <c r="BE967" i="1"/>
  <c r="CI967" i="1"/>
  <c r="DB967" i="1"/>
  <c r="CY967" i="1"/>
  <c r="BK967" i="1"/>
  <c r="BT1032" i="1"/>
  <c r="CY1032" i="1"/>
  <c r="BE1032" i="1"/>
  <c r="BK1032" i="1"/>
  <c r="DB1032" i="1"/>
  <c r="BH1032" i="1"/>
  <c r="CO293" i="1"/>
  <c r="BE293" i="1"/>
  <c r="DB293" i="1"/>
  <c r="BK293" i="1"/>
  <c r="CY293" i="1"/>
  <c r="BH293" i="1"/>
  <c r="CI282" i="1"/>
  <c r="DB282" i="1"/>
  <c r="BK282" i="1"/>
  <c r="DE282" i="1"/>
  <c r="BH282" i="1"/>
  <c r="BE282" i="1"/>
  <c r="CY282" i="1"/>
  <c r="CI853" i="1"/>
  <c r="BE853" i="1"/>
  <c r="DE853" i="1"/>
  <c r="DB853" i="1"/>
  <c r="BK853" i="1"/>
  <c r="BW990" i="1"/>
  <c r="CY990" i="1"/>
  <c r="BH990" i="1"/>
  <c r="BE990" i="1"/>
  <c r="DE990" i="1"/>
  <c r="CR255" i="1"/>
  <c r="DB255" i="1"/>
  <c r="BK255" i="1"/>
  <c r="CY255" i="1"/>
  <c r="BH255" i="1"/>
  <c r="BE255" i="1"/>
  <c r="CO245" i="1"/>
  <c r="DB245" i="1"/>
  <c r="BK245" i="1"/>
  <c r="CY245" i="1"/>
  <c r="BH245" i="1"/>
  <c r="BE245" i="1"/>
  <c r="CI227" i="1"/>
  <c r="DB227" i="1"/>
  <c r="BK227" i="1"/>
  <c r="CY227" i="1"/>
  <c r="BH227" i="1"/>
  <c r="BE227" i="1"/>
  <c r="CF248" i="1"/>
  <c r="CI248" i="1"/>
  <c r="CY248" i="1"/>
  <c r="BE248" i="1"/>
  <c r="DE248" i="1"/>
  <c r="BK248" i="1"/>
  <c r="CI914" i="1"/>
  <c r="CY914" i="1"/>
  <c r="BE914" i="1"/>
  <c r="DE914" i="1"/>
  <c r="BK914" i="1"/>
  <c r="DE172" i="1"/>
  <c r="DB172" i="1"/>
  <c r="BK172" i="1"/>
  <c r="CY172" i="1"/>
  <c r="BH172" i="1"/>
  <c r="CI160" i="1"/>
  <c r="CY160" i="1"/>
  <c r="BE160" i="1"/>
  <c r="DE160" i="1"/>
  <c r="BK160" i="1"/>
  <c r="CC941" i="1"/>
  <c r="CI941" i="1"/>
  <c r="DB941" i="1"/>
  <c r="BH941" i="1"/>
  <c r="CY941" i="1"/>
  <c r="BE941" i="1"/>
  <c r="BZ132" i="1"/>
  <c r="CI132" i="1"/>
  <c r="CR132" i="1"/>
  <c r="DE132" i="1"/>
  <c r="BK132" i="1"/>
  <c r="DB132" i="1"/>
  <c r="BH132" i="1"/>
  <c r="CY132" i="1"/>
  <c r="BE132" i="1"/>
  <c r="CF271" i="1"/>
  <c r="CO271" i="1"/>
  <c r="DB271" i="1"/>
  <c r="BK271" i="1"/>
  <c r="CY271" i="1"/>
  <c r="BH271" i="1"/>
  <c r="BE271" i="1"/>
  <c r="DE278" i="1"/>
  <c r="BK278" i="1"/>
  <c r="BH278" i="1"/>
  <c r="DB278" i="1"/>
  <c r="BE278" i="1"/>
  <c r="DE872" i="1"/>
  <c r="BE872" i="1"/>
  <c r="BW840" i="1"/>
  <c r="BK840" i="1"/>
  <c r="BL357" i="1"/>
  <c r="AX357" i="1"/>
  <c r="AW357" i="1" s="1"/>
  <c r="AX315" i="1"/>
  <c r="AW315" i="1" s="1"/>
  <c r="BL315" i="1"/>
  <c r="CR1075" i="1"/>
  <c r="BK1075" i="1"/>
  <c r="BH1075" i="1"/>
  <c r="DE1075" i="1"/>
  <c r="CO1075" i="1"/>
  <c r="DB1075" i="1"/>
  <c r="CY1075" i="1"/>
  <c r="CR341" i="1"/>
  <c r="DE341" i="1"/>
  <c r="BK341" i="1"/>
  <c r="CY341" i="1"/>
  <c r="BH341" i="1"/>
  <c r="BE341" i="1"/>
  <c r="CO1058" i="1"/>
  <c r="BK1058" i="1"/>
  <c r="DE1058" i="1"/>
  <c r="BE1058" i="1"/>
  <c r="DB1058" i="1"/>
  <c r="CY1058" i="1"/>
  <c r="BH1058" i="1"/>
  <c r="CR1045" i="1"/>
  <c r="DB1045" i="1"/>
  <c r="BH1045" i="1"/>
  <c r="CY1045" i="1"/>
  <c r="BE1045" i="1"/>
  <c r="BT1042" i="1"/>
  <c r="DE1042" i="1"/>
  <c r="DB1042" i="1"/>
  <c r="CR933" i="1"/>
  <c r="BE933" i="1"/>
  <c r="DB933" i="1"/>
  <c r="BK933" i="1"/>
  <c r="DE933" i="1"/>
  <c r="BH933" i="1"/>
  <c r="CY933" i="1"/>
  <c r="CI295" i="1"/>
  <c r="DB295" i="1"/>
  <c r="BK295" i="1"/>
  <c r="BE295" i="1"/>
  <c r="CY295" i="1"/>
  <c r="BH295" i="1"/>
  <c r="BT921" i="1"/>
  <c r="BE921" i="1"/>
  <c r="DB921" i="1"/>
  <c r="BK921" i="1"/>
  <c r="CY921" i="1"/>
  <c r="BH921" i="1"/>
  <c r="CO910" i="1"/>
  <c r="DE910" i="1"/>
  <c r="CY910" i="1"/>
  <c r="BH910" i="1"/>
  <c r="BE910" i="1"/>
  <c r="BW890" i="1"/>
  <c r="CY890" i="1"/>
  <c r="BH890" i="1"/>
  <c r="DB890" i="1"/>
  <c r="BE890" i="1"/>
  <c r="CI1014" i="1"/>
  <c r="BE1014" i="1"/>
  <c r="CY1014" i="1"/>
  <c r="BH1014" i="1"/>
  <c r="DE1014" i="1"/>
  <c r="CF154" i="1"/>
  <c r="DB154" i="1"/>
  <c r="BK154" i="1"/>
  <c r="CY154" i="1"/>
  <c r="BH154" i="1"/>
  <c r="BE154" i="1"/>
  <c r="CC991" i="1"/>
  <c r="BE991" i="1"/>
  <c r="DE991" i="1"/>
  <c r="DB991" i="1"/>
  <c r="BK991" i="1"/>
  <c r="CI256" i="1"/>
  <c r="BE256" i="1"/>
  <c r="DE256" i="1"/>
  <c r="BK256" i="1"/>
  <c r="DB256" i="1"/>
  <c r="CO965" i="1"/>
  <c r="DB965" i="1"/>
  <c r="BK965" i="1"/>
  <c r="CY965" i="1"/>
  <c r="BH965" i="1"/>
  <c r="BE965" i="1"/>
  <c r="CF943" i="1"/>
  <c r="DE943" i="1"/>
  <c r="DB943" i="1"/>
  <c r="BK943" i="1"/>
  <c r="BH943" i="1"/>
  <c r="CY943" i="1"/>
  <c r="CI226" i="1"/>
  <c r="CY226" i="1"/>
  <c r="BH226" i="1"/>
  <c r="BE226" i="1"/>
  <c r="DE226" i="1"/>
  <c r="BT911" i="1"/>
  <c r="DE911" i="1"/>
  <c r="DB911" i="1"/>
  <c r="BK911" i="1"/>
  <c r="CY911" i="1"/>
  <c r="BH911" i="1"/>
  <c r="CR908" i="1"/>
  <c r="DB908" i="1"/>
  <c r="BK908" i="1"/>
  <c r="CY908" i="1"/>
  <c r="BH908" i="1"/>
  <c r="BE908" i="1"/>
  <c r="CC888" i="1"/>
  <c r="DE888" i="1"/>
  <c r="DB888" i="1"/>
  <c r="BK888" i="1"/>
  <c r="CY888" i="1"/>
  <c r="BH888" i="1"/>
  <c r="CF882" i="1"/>
  <c r="BE882" i="1"/>
  <c r="DE882" i="1"/>
  <c r="DB882" i="1"/>
  <c r="BK882" i="1"/>
  <c r="CF880" i="1"/>
  <c r="DE880" i="1"/>
  <c r="DB880" i="1"/>
  <c r="BK880" i="1"/>
  <c r="BH880" i="1"/>
  <c r="CY880" i="1"/>
  <c r="CC949" i="1"/>
  <c r="CI949" i="1"/>
  <c r="DB949" i="1"/>
  <c r="BK949" i="1"/>
  <c r="CY949" i="1"/>
  <c r="BH949" i="1"/>
  <c r="BE949" i="1"/>
  <c r="BZ1144" i="1"/>
  <c r="CR1051" i="1"/>
  <c r="CY1051" i="1"/>
  <c r="BE1051" i="1"/>
  <c r="BK1051" i="1"/>
  <c r="BH1051" i="1"/>
  <c r="DE1051" i="1"/>
  <c r="BT786" i="1"/>
  <c r="AY786" i="1"/>
  <c r="CO337" i="1"/>
  <c r="DB337" i="1"/>
  <c r="BE337" i="1"/>
  <c r="BK337" i="1"/>
  <c r="DE337" i="1"/>
  <c r="BH337" i="1"/>
  <c r="CY337" i="1"/>
  <c r="BT235" i="1"/>
  <c r="DE235" i="1"/>
  <c r="BK235" i="1"/>
  <c r="DB235" i="1"/>
  <c r="BE235" i="1"/>
  <c r="BH235" i="1"/>
  <c r="BE888" i="1"/>
  <c r="CY256" i="1"/>
  <c r="CY853" i="1"/>
  <c r="DE293" i="1"/>
  <c r="BK910" i="1"/>
  <c r="CY235" i="1"/>
  <c r="DE1032" i="1"/>
  <c r="BK986" i="1"/>
  <c r="DE1045" i="1"/>
  <c r="DB1051" i="1"/>
  <c r="BE1075" i="1"/>
  <c r="CO160" i="1"/>
  <c r="BW846" i="1"/>
  <c r="BH846" i="1"/>
  <c r="BL138" i="1"/>
  <c r="AX138" i="1"/>
  <c r="AW138" i="1" s="1"/>
  <c r="BL1077" i="1"/>
  <c r="AX1077" i="1"/>
  <c r="AW1077" i="1" s="1"/>
  <c r="BL262" i="1"/>
  <c r="AX262" i="1"/>
  <c r="AW262" i="1" s="1"/>
  <c r="BL313" i="1"/>
  <c r="AX313" i="1"/>
  <c r="AW313" i="1" s="1"/>
  <c r="BZ190" i="1"/>
  <c r="CO1072" i="1"/>
  <c r="DB1072" i="1"/>
  <c r="BH1072" i="1"/>
  <c r="DE1072" i="1"/>
  <c r="BE1072" i="1"/>
  <c r="CY1072" i="1"/>
  <c r="CR1000" i="1"/>
  <c r="CY1000" i="1"/>
  <c r="DB1000" i="1"/>
  <c r="BH1000" i="1"/>
  <c r="BE1000" i="1"/>
  <c r="DE1000" i="1"/>
  <c r="CI960" i="1"/>
  <c r="CY960" i="1"/>
  <c r="BE960" i="1"/>
  <c r="DE960" i="1"/>
  <c r="BH960" i="1"/>
  <c r="BK960" i="1"/>
  <c r="DB960" i="1"/>
  <c r="BT1044" i="1"/>
  <c r="DB1044" i="1"/>
  <c r="BE1044" i="1"/>
  <c r="CY1044" i="1"/>
  <c r="CI1038" i="1"/>
  <c r="DB1038" i="1"/>
  <c r="BH1038" i="1"/>
  <c r="CY1038" i="1"/>
  <c r="BK1038" i="1"/>
  <c r="CO980" i="1"/>
  <c r="DB980" i="1"/>
  <c r="BH980" i="1"/>
  <c r="CI980" i="1"/>
  <c r="BK980" i="1"/>
  <c r="DE980" i="1"/>
  <c r="BE980" i="1"/>
  <c r="CY980" i="1"/>
  <c r="CO250" i="1"/>
  <c r="DB250" i="1"/>
  <c r="CI250" i="1"/>
  <c r="DE250" i="1"/>
  <c r="CY250" i="1"/>
  <c r="CO1035" i="1"/>
  <c r="DB1035" i="1"/>
  <c r="BE1035" i="1"/>
  <c r="DE1035" i="1"/>
  <c r="BK1035" i="1"/>
  <c r="CY1035" i="1"/>
  <c r="CI157" i="1"/>
  <c r="DB157" i="1"/>
  <c r="BK157" i="1"/>
  <c r="DE157" i="1"/>
  <c r="BH157" i="1"/>
  <c r="CI883" i="1"/>
  <c r="CY883" i="1"/>
  <c r="BH883" i="1"/>
  <c r="DE883" i="1"/>
  <c r="BK883" i="1"/>
  <c r="DB883" i="1"/>
  <c r="BE883" i="1"/>
  <c r="CI143" i="1"/>
  <c r="BE143" i="1"/>
  <c r="DE143" i="1"/>
  <c r="DB143" i="1"/>
  <c r="BK143" i="1"/>
  <c r="CI979" i="1"/>
  <c r="DB979" i="1"/>
  <c r="BK979" i="1"/>
  <c r="CY979" i="1"/>
  <c r="BH979" i="1"/>
  <c r="BE979" i="1"/>
  <c r="CC959" i="1"/>
  <c r="CR959" i="1"/>
  <c r="CY959" i="1"/>
  <c r="BH959" i="1"/>
  <c r="BE959" i="1"/>
  <c r="DE959" i="1"/>
  <c r="CF247" i="1"/>
  <c r="BK247" i="1"/>
  <c r="CO247" i="1"/>
  <c r="DB247" i="1"/>
  <c r="BE247" i="1"/>
  <c r="DE247" i="1"/>
  <c r="CY247" i="1"/>
  <c r="CI334" i="1"/>
  <c r="DB334" i="1"/>
  <c r="BE334" i="1"/>
  <c r="DE334" i="1"/>
  <c r="CY334" i="1"/>
  <c r="BK334" i="1"/>
  <c r="BT1085" i="1"/>
  <c r="DB1085" i="1"/>
  <c r="BH1085" i="1"/>
  <c r="CO1085" i="1"/>
  <c r="CY1085" i="1"/>
  <c r="BE1085" i="1"/>
  <c r="BK1085" i="1"/>
  <c r="CF138" i="1"/>
  <c r="BK138" i="1"/>
  <c r="DB138" i="1"/>
  <c r="BH138" i="1"/>
  <c r="CY138" i="1"/>
  <c r="BT171" i="1"/>
  <c r="CR171" i="1"/>
  <c r="CY171" i="1"/>
  <c r="BE171" i="1"/>
  <c r="DB171" i="1"/>
  <c r="BK171" i="1"/>
  <c r="CR159" i="1"/>
  <c r="CI159" i="1"/>
  <c r="DE159" i="1"/>
  <c r="DB159" i="1"/>
  <c r="BK159" i="1"/>
  <c r="CY159" i="1"/>
  <c r="BH159" i="1"/>
  <c r="CR133" i="1"/>
  <c r="BK133" i="1"/>
  <c r="CO133" i="1"/>
  <c r="DB133" i="1"/>
  <c r="DE133" i="1"/>
  <c r="BH133" i="1"/>
  <c r="CY133" i="1"/>
  <c r="CR868" i="1"/>
  <c r="BK868" i="1"/>
  <c r="CO868" i="1"/>
  <c r="DB868" i="1"/>
  <c r="DE868" i="1"/>
  <c r="CY868" i="1"/>
  <c r="BH868" i="1"/>
  <c r="CI1008" i="1"/>
  <c r="DB1008" i="1"/>
  <c r="BK1008" i="1"/>
  <c r="CY1008" i="1"/>
  <c r="BE1008" i="1"/>
  <c r="DB840" i="1"/>
  <c r="BH160" i="1"/>
  <c r="BE880" i="1"/>
  <c r="BE911" i="1"/>
  <c r="DB914" i="1"/>
  <c r="DB226" i="1"/>
  <c r="BK941" i="1"/>
  <c r="BH248" i="1"/>
  <c r="DE965" i="1"/>
  <c r="BH256" i="1"/>
  <c r="DE979" i="1"/>
  <c r="DB990" i="1"/>
  <c r="BH853" i="1"/>
  <c r="DE154" i="1"/>
  <c r="CY278" i="1"/>
  <c r="BE157" i="1"/>
  <c r="BH247" i="1"/>
  <c r="DE1038" i="1"/>
  <c r="BH1043" i="1"/>
  <c r="DE138" i="1"/>
  <c r="CY367" i="1"/>
  <c r="BE146" i="1"/>
  <c r="BH146" i="1"/>
  <c r="BL344" i="1"/>
  <c r="AX344" i="1"/>
  <c r="AW344" i="1" s="1"/>
  <c r="BZ854" i="1"/>
  <c r="CI854" i="1"/>
  <c r="CR854" i="1"/>
  <c r="CY854" i="1"/>
  <c r="BE854" i="1"/>
  <c r="DE854" i="1"/>
  <c r="BK854" i="1"/>
  <c r="BH854" i="1"/>
  <c r="CF141" i="1"/>
  <c r="BK141" i="1"/>
  <c r="DE141" i="1"/>
  <c r="BE141" i="1"/>
  <c r="BH141" i="1"/>
  <c r="DB141" i="1"/>
  <c r="BT269" i="1"/>
  <c r="DB269" i="1"/>
  <c r="BH269" i="1"/>
  <c r="CY269" i="1"/>
  <c r="BE269" i="1"/>
  <c r="BE1026" i="1"/>
  <c r="CY1026" i="1"/>
  <c r="BH1026" i="1"/>
  <c r="DB1026" i="1"/>
  <c r="DE1026" i="1"/>
  <c r="BK1026" i="1"/>
  <c r="CR303" i="1"/>
  <c r="CO303" i="1"/>
  <c r="DE303" i="1"/>
  <c r="BK303" i="1"/>
  <c r="DB303" i="1"/>
  <c r="BE303" i="1"/>
  <c r="CY303" i="1"/>
  <c r="CO1022" i="1"/>
  <c r="DB1022" i="1"/>
  <c r="BK1022" i="1"/>
  <c r="DE1022" i="1"/>
  <c r="BH1022" i="1"/>
  <c r="CY1022" i="1"/>
  <c r="BE1022" i="1"/>
  <c r="CC912" i="1"/>
  <c r="DE912" i="1"/>
  <c r="BE912" i="1"/>
  <c r="DB912" i="1"/>
  <c r="BK912" i="1"/>
  <c r="CI915" i="1"/>
  <c r="DB915" i="1"/>
  <c r="BK915" i="1"/>
  <c r="DE915" i="1"/>
  <c r="BH915" i="1"/>
  <c r="CY915" i="1"/>
  <c r="BE915" i="1"/>
  <c r="CC292" i="1"/>
  <c r="DB292" i="1"/>
  <c r="BK292" i="1"/>
  <c r="DE292" i="1"/>
  <c r="BH292" i="1"/>
  <c r="CY292" i="1"/>
  <c r="CR276" i="1"/>
  <c r="BE276" i="1"/>
  <c r="DE276" i="1"/>
  <c r="DB276" i="1"/>
  <c r="BK276" i="1"/>
  <c r="CF996" i="1"/>
  <c r="DE996" i="1"/>
  <c r="DB996" i="1"/>
  <c r="BK996" i="1"/>
  <c r="CY996" i="1"/>
  <c r="BH996" i="1"/>
  <c r="CR985" i="1"/>
  <c r="CI985" i="1"/>
  <c r="BE985" i="1"/>
  <c r="DE985" i="1"/>
  <c r="DB985" i="1"/>
  <c r="BK985" i="1"/>
  <c r="CR966" i="1"/>
  <c r="CO966" i="1"/>
  <c r="BE966" i="1"/>
  <c r="DE966" i="1"/>
  <c r="BK966" i="1"/>
  <c r="DB966" i="1"/>
  <c r="CO946" i="1"/>
  <c r="CY946" i="1"/>
  <c r="BH946" i="1"/>
  <c r="BE946" i="1"/>
  <c r="DE946" i="1"/>
  <c r="CC924" i="1"/>
  <c r="CY924" i="1"/>
  <c r="BH924" i="1"/>
  <c r="BE924" i="1"/>
  <c r="DE924" i="1"/>
  <c r="CI909" i="1"/>
  <c r="DE909" i="1"/>
  <c r="DB909" i="1"/>
  <c r="BK909" i="1"/>
  <c r="BH909" i="1"/>
  <c r="CY909" i="1"/>
  <c r="CC897" i="1"/>
  <c r="CI897" i="1"/>
  <c r="CY897" i="1"/>
  <c r="BH897" i="1"/>
  <c r="DE897" i="1"/>
  <c r="CI218" i="1"/>
  <c r="DB218" i="1"/>
  <c r="BH218" i="1"/>
  <c r="DE218" i="1"/>
  <c r="BE218" i="1"/>
  <c r="CY218" i="1"/>
  <c r="CC273" i="1"/>
  <c r="DB273" i="1"/>
  <c r="BH273" i="1"/>
  <c r="CY273" i="1"/>
  <c r="BE273" i="1"/>
  <c r="CO307" i="1"/>
  <c r="CR307" i="1"/>
  <c r="CY307" i="1"/>
  <c r="BE307" i="1"/>
  <c r="DB307" i="1"/>
  <c r="BK307" i="1"/>
  <c r="CR236" i="1"/>
  <c r="CO236" i="1"/>
  <c r="DB236" i="1"/>
  <c r="BK236" i="1"/>
  <c r="CY236" i="1"/>
  <c r="BH236" i="1"/>
  <c r="BE236" i="1"/>
  <c r="CI863" i="1"/>
  <c r="CO863" i="1"/>
  <c r="CY863" i="1"/>
  <c r="BH863" i="1"/>
  <c r="DE863" i="1"/>
  <c r="BK863" i="1"/>
  <c r="BE172" i="1"/>
  <c r="CY882" i="1"/>
  <c r="BK897" i="1"/>
  <c r="DE908" i="1"/>
  <c r="BE909" i="1"/>
  <c r="BK924" i="1"/>
  <c r="BK226" i="1"/>
  <c r="DE227" i="1"/>
  <c r="BE943" i="1"/>
  <c r="DB946" i="1"/>
  <c r="DE245" i="1"/>
  <c r="CY966" i="1"/>
  <c r="CY985" i="1"/>
  <c r="BK990" i="1"/>
  <c r="CY991" i="1"/>
  <c r="CY143" i="1"/>
  <c r="DE271" i="1"/>
  <c r="DE273" i="1"/>
  <c r="DE171" i="1"/>
  <c r="BH276" i="1"/>
  <c r="DE1008" i="1"/>
  <c r="BE863" i="1"/>
  <c r="DB1014" i="1"/>
  <c r="DE890" i="1"/>
  <c r="BK218" i="1"/>
  <c r="BH912" i="1"/>
  <c r="DE307" i="1"/>
  <c r="BK1044" i="1"/>
  <c r="BK1045" i="1"/>
  <c r="BH334" i="1"/>
  <c r="BK1072" i="1"/>
  <c r="BE354" i="1"/>
  <c r="DE1018" i="1"/>
  <c r="BK180" i="1"/>
  <c r="BK1095" i="1"/>
  <c r="BH1170" i="1"/>
  <c r="DE1170" i="1"/>
  <c r="BH148" i="1"/>
  <c r="BE891" i="1"/>
  <c r="CY913" i="1"/>
  <c r="CY302" i="1"/>
  <c r="BE294" i="1"/>
  <c r="BK1144" i="1"/>
  <c r="BE1167" i="1"/>
  <c r="DB1167" i="1"/>
  <c r="AX292" i="1"/>
  <c r="AW292" i="1" s="1"/>
  <c r="DE1023" i="1"/>
  <c r="DB891" i="1"/>
  <c r="BK209" i="1"/>
  <c r="DB294" i="1"/>
  <c r="BE1091" i="1"/>
  <c r="BE1224" i="1"/>
  <c r="DE898" i="1"/>
  <c r="DE1030" i="1"/>
  <c r="DB183" i="1"/>
  <c r="CY898" i="1"/>
  <c r="DB1030" i="1"/>
  <c r="CY190" i="1"/>
  <c r="DB934" i="1"/>
  <c r="BE302" i="1"/>
  <c r="DB302" i="1"/>
  <c r="DE934" i="1"/>
  <c r="BE1147" i="1"/>
  <c r="DB1147" i="1"/>
  <c r="BE180" i="1"/>
  <c r="BE1095" i="1"/>
  <c r="DB1095" i="1"/>
  <c r="CY907" i="1"/>
  <c r="BH294" i="1"/>
  <c r="DE294" i="1"/>
  <c r="BH892" i="1"/>
  <c r="DE892" i="1"/>
  <c r="BK907" i="1"/>
  <c r="BK1170" i="1"/>
  <c r="DE1091" i="1"/>
  <c r="BH1214" i="1"/>
  <c r="BE1218" i="1"/>
  <c r="BH1224" i="1"/>
  <c r="DE1224" i="1"/>
  <c r="BN93" i="1"/>
  <c r="BN785" i="1"/>
  <c r="DE1159" i="1"/>
  <c r="BE174" i="1"/>
  <c r="BH1218" i="1"/>
  <c r="BE467" i="1"/>
  <c r="DB467" i="1"/>
  <c r="BE215" i="1"/>
  <c r="DB215" i="1"/>
  <c r="DB469" i="1"/>
  <c r="BK1023" i="1"/>
  <c r="BE1018" i="1"/>
  <c r="DB1018" i="1"/>
  <c r="BH183" i="1"/>
  <c r="BH1147" i="1"/>
  <c r="DE1147" i="1"/>
  <c r="CY294" i="1"/>
  <c r="BH1095" i="1"/>
  <c r="CY892" i="1"/>
  <c r="BE907" i="1"/>
  <c r="DB907" i="1"/>
  <c r="BE1170" i="1"/>
  <c r="DB1170" i="1"/>
  <c r="CY1214" i="1"/>
  <c r="BH467" i="1"/>
  <c r="DE467" i="1"/>
  <c r="BH215" i="1"/>
  <c r="DE215" i="1"/>
  <c r="DE469" i="1"/>
  <c r="DB1160" i="1"/>
  <c r="CY846" i="1"/>
  <c r="AX323" i="1"/>
  <c r="AW323" i="1" s="1"/>
  <c r="CY291" i="1"/>
  <c r="BH363" i="1"/>
  <c r="CI1051" i="1"/>
  <c r="CO334" i="1"/>
  <c r="CO914" i="1"/>
  <c r="CO273" i="1"/>
  <c r="CO138" i="1"/>
  <c r="CR941" i="1"/>
  <c r="CR367" i="1"/>
  <c r="CI269" i="1"/>
  <c r="CR338" i="1"/>
  <c r="CI1058" i="1"/>
  <c r="CR960" i="1"/>
  <c r="CR986" i="1"/>
  <c r="CO933" i="1"/>
  <c r="CR915" i="1"/>
  <c r="CI276" i="1"/>
  <c r="CR883" i="1"/>
  <c r="CI154" i="1"/>
  <c r="CR853" i="1"/>
  <c r="CI996" i="1"/>
  <c r="CR143" i="1"/>
  <c r="CI255" i="1"/>
  <c r="CI880" i="1"/>
  <c r="CR248" i="1"/>
  <c r="CO218" i="1"/>
  <c r="CI367" i="1"/>
  <c r="CO854" i="1"/>
  <c r="CI1000" i="1"/>
  <c r="CO1032" i="1"/>
  <c r="CO912" i="1"/>
  <c r="CR890" i="1"/>
  <c r="CI293" i="1"/>
  <c r="CR292" i="1"/>
  <c r="CR991" i="1"/>
  <c r="CI990" i="1"/>
  <c r="CR965" i="1"/>
  <c r="CI245" i="1"/>
  <c r="CR946" i="1"/>
  <c r="DE840" i="1"/>
  <c r="BK846" i="1"/>
  <c r="DB846" i="1"/>
  <c r="BH872" i="1"/>
  <c r="CY872" i="1"/>
  <c r="BH858" i="1"/>
  <c r="DB872" i="1"/>
  <c r="BL334" i="1"/>
  <c r="AX868" i="1"/>
  <c r="AW868" i="1" s="1"/>
  <c r="BL284" i="1"/>
  <c r="AX358" i="1"/>
  <c r="AW358" i="1" s="1"/>
  <c r="AX367" i="1"/>
  <c r="AW367" i="1" s="1"/>
  <c r="BL1097" i="1"/>
  <c r="BE840" i="1"/>
  <c r="DE846" i="1"/>
  <c r="BK872" i="1"/>
  <c r="BH840" i="1"/>
  <c r="CY840" i="1"/>
  <c r="BE846" i="1"/>
  <c r="AX320" i="1"/>
  <c r="AW320" i="1" s="1"/>
  <c r="AX1055" i="1"/>
  <c r="AW1055" i="1" s="1"/>
  <c r="CI1030" i="1"/>
  <c r="CC852" i="1"/>
  <c r="CI937" i="1"/>
  <c r="BH365" i="1"/>
  <c r="DE365" i="1"/>
  <c r="BK1154" i="1"/>
  <c r="CC164" i="1"/>
  <c r="CO164" i="1"/>
  <c r="CY1113" i="1"/>
  <c r="CY1226" i="1"/>
  <c r="BH1105" i="1"/>
  <c r="DE1105" i="1"/>
  <c r="DE871" i="1"/>
  <c r="DB300" i="1"/>
  <c r="BH1223" i="1"/>
  <c r="DE1223" i="1"/>
  <c r="CI247" i="1"/>
  <c r="CR334" i="1"/>
  <c r="CR218" i="1"/>
  <c r="CR914" i="1"/>
  <c r="CI273" i="1"/>
  <c r="CI1085" i="1"/>
  <c r="CR160" i="1"/>
  <c r="CI236" i="1"/>
  <c r="CI271" i="1"/>
  <c r="CR141" i="1"/>
  <c r="CO353" i="1"/>
  <c r="CR1072" i="1"/>
  <c r="CO338" i="1"/>
  <c r="CI1045" i="1"/>
  <c r="CR1044" i="1"/>
  <c r="CR1042" i="1"/>
  <c r="CR1038" i="1"/>
  <c r="CO986" i="1"/>
  <c r="CR1035" i="1"/>
  <c r="CI1032" i="1"/>
  <c r="CI303" i="1"/>
  <c r="CI933" i="1"/>
  <c r="CO915" i="1"/>
  <c r="CO890" i="1"/>
  <c r="CO292" i="1"/>
  <c r="CO883" i="1"/>
  <c r="CO853" i="1"/>
  <c r="CO143" i="1"/>
  <c r="CO991" i="1"/>
  <c r="CI966" i="1"/>
  <c r="CI965" i="1"/>
  <c r="CO959" i="1"/>
  <c r="CI946" i="1"/>
  <c r="CR943" i="1"/>
  <c r="CR227" i="1"/>
  <c r="CR226" i="1"/>
  <c r="CR924" i="1"/>
  <c r="CR911" i="1"/>
  <c r="CR909" i="1"/>
  <c r="CO908" i="1"/>
  <c r="CR882" i="1"/>
  <c r="CL1160" i="1"/>
  <c r="CL469" i="1"/>
  <c r="CI1150" i="1"/>
  <c r="CL1023" i="1"/>
  <c r="CY903" i="1"/>
  <c r="BH1029" i="1"/>
  <c r="DE1029" i="1"/>
  <c r="CR949" i="1"/>
  <c r="CO141" i="1"/>
  <c r="CR269" i="1"/>
  <c r="CI338" i="1"/>
  <c r="CR1058" i="1"/>
  <c r="CI1044" i="1"/>
  <c r="CR1043" i="1"/>
  <c r="CO1042" i="1"/>
  <c r="CR967" i="1"/>
  <c r="CR250" i="1"/>
  <c r="CR1022" i="1"/>
  <c r="CO921" i="1"/>
  <c r="CI910" i="1"/>
  <c r="CI890" i="1"/>
  <c r="CR293" i="1"/>
  <c r="CI292" i="1"/>
  <c r="CR154" i="1"/>
  <c r="CR996" i="1"/>
  <c r="CI991" i="1"/>
  <c r="CR990" i="1"/>
  <c r="CR979" i="1"/>
  <c r="CR256" i="1"/>
  <c r="CI959" i="1"/>
  <c r="CO943" i="1"/>
  <c r="CO227" i="1"/>
  <c r="CO226" i="1"/>
  <c r="CO924" i="1"/>
  <c r="CO911" i="1"/>
  <c r="CO909" i="1"/>
  <c r="CI908" i="1"/>
  <c r="CO888" i="1"/>
  <c r="CO882" i="1"/>
  <c r="BN5" i="1"/>
  <c r="BN91" i="1"/>
  <c r="BN81" i="1"/>
  <c r="BN11" i="1"/>
  <c r="BN771" i="1"/>
  <c r="DB1012" i="1"/>
  <c r="CY1033" i="1"/>
  <c r="BK286" i="1"/>
  <c r="CY216" i="1"/>
  <c r="CY1223" i="1"/>
  <c r="BE903" i="1"/>
  <c r="CO949" i="1"/>
  <c r="CR247" i="1"/>
  <c r="CO248" i="1"/>
  <c r="CR273" i="1"/>
  <c r="CR1085" i="1"/>
  <c r="CR138" i="1"/>
  <c r="CI171" i="1"/>
  <c r="CO941" i="1"/>
  <c r="CO132" i="1"/>
  <c r="CI141" i="1"/>
  <c r="CO269" i="1"/>
  <c r="CO1043" i="1"/>
  <c r="CI1042" i="1"/>
  <c r="CO967" i="1"/>
  <c r="CR1032" i="1"/>
  <c r="CR912" i="1"/>
  <c r="CI921" i="1"/>
  <c r="CO154" i="1"/>
  <c r="CO996" i="1"/>
  <c r="CO990" i="1"/>
  <c r="CO985" i="1"/>
  <c r="CO256" i="1"/>
  <c r="CO255" i="1"/>
  <c r="CI943" i="1"/>
  <c r="CI924" i="1"/>
  <c r="CI911" i="1"/>
  <c r="CI888" i="1"/>
  <c r="CO880" i="1"/>
  <c r="CL907" i="1"/>
  <c r="CL215" i="1"/>
  <c r="BT141" i="1"/>
  <c r="BW1010" i="1"/>
  <c r="BN808" i="1"/>
  <c r="BN826" i="1"/>
  <c r="BN836" i="1"/>
  <c r="BN819" i="1"/>
  <c r="BN843" i="1"/>
  <c r="BN838" i="1"/>
  <c r="BN15" i="1"/>
  <c r="BN751" i="1"/>
  <c r="BN770" i="1"/>
  <c r="CI164" i="1"/>
  <c r="CI896" i="1"/>
  <c r="BN35" i="1"/>
  <c r="BN61" i="1"/>
  <c r="BN833" i="1"/>
  <c r="BN69" i="1"/>
  <c r="BN34" i="1"/>
  <c r="BN114" i="1"/>
  <c r="BN98" i="1"/>
  <c r="BN76" i="1"/>
  <c r="BN810" i="1"/>
  <c r="BN29" i="1"/>
  <c r="BN754" i="1"/>
  <c r="CR164" i="1"/>
  <c r="BK134" i="1"/>
  <c r="DB134" i="1"/>
  <c r="BK140" i="1"/>
  <c r="BB140" i="1" s="1"/>
  <c r="DB140" i="1"/>
  <c r="CY42" i="1"/>
  <c r="DE150" i="1"/>
  <c r="DE873" i="1"/>
  <c r="AX1061" i="1"/>
  <c r="AW1061" i="1" s="1"/>
  <c r="AX288" i="1"/>
  <c r="AW288" i="1" s="1"/>
  <c r="CR211" i="1"/>
  <c r="CO945" i="1"/>
  <c r="CO371" i="1"/>
  <c r="CO357" i="1"/>
  <c r="CO1083" i="1"/>
  <c r="CF846" i="1"/>
  <c r="CI1248" i="1"/>
  <c r="BQ92" i="1"/>
  <c r="BQ65" i="1"/>
  <c r="BQ783" i="1"/>
  <c r="BQ48" i="1"/>
  <c r="BN99" i="1"/>
  <c r="BN781" i="1"/>
  <c r="BN809" i="1"/>
  <c r="BN97" i="1"/>
  <c r="BN788" i="1"/>
  <c r="BN16" i="1"/>
  <c r="BN39" i="1"/>
  <c r="BN811" i="1"/>
  <c r="BN74" i="1"/>
  <c r="CO873" i="1"/>
  <c r="BT181" i="1"/>
  <c r="DE42" i="1"/>
  <c r="BH150" i="1"/>
  <c r="CY150" i="1"/>
  <c r="BH873" i="1"/>
  <c r="CY873" i="1"/>
  <c r="AX133" i="1"/>
  <c r="AW133" i="1" s="1"/>
  <c r="AX864" i="1"/>
  <c r="AW864" i="1" s="1"/>
  <c r="BN60" i="1"/>
  <c r="BN103" i="1"/>
  <c r="CR862" i="1"/>
  <c r="CI156" i="1"/>
  <c r="CI884" i="1"/>
  <c r="CF873" i="1"/>
  <c r="CZ183" i="1"/>
  <c r="CI206" i="1"/>
  <c r="CI363" i="1"/>
  <c r="CC1112" i="1"/>
  <c r="CI1111" i="1"/>
  <c r="BK369" i="1"/>
  <c r="CR179" i="1"/>
  <c r="CR166" i="1"/>
  <c r="CO874" i="1"/>
  <c r="CI138" i="1"/>
  <c r="CR221" i="1"/>
  <c r="CO1061" i="1"/>
  <c r="CI862" i="1"/>
  <c r="CO1008" i="1"/>
  <c r="CI286" i="1"/>
  <c r="CO274" i="1"/>
  <c r="CR319" i="1"/>
  <c r="CI992" i="1"/>
  <c r="CI253" i="1"/>
  <c r="CR962" i="1"/>
  <c r="CR313" i="1"/>
  <c r="CO233" i="1"/>
  <c r="CO930" i="1"/>
  <c r="CO196" i="1"/>
  <c r="CI187" i="1"/>
  <c r="CI889" i="1"/>
  <c r="CO177" i="1"/>
  <c r="CR176" i="1"/>
  <c r="BW873" i="1"/>
  <c r="BW1066" i="1"/>
  <c r="BT338" i="1"/>
  <c r="BW1065" i="1"/>
  <c r="CC1043" i="1"/>
  <c r="BW943" i="1"/>
  <c r="BN796" i="1"/>
  <c r="BT945" i="1"/>
  <c r="BN72" i="1"/>
  <c r="BN95" i="1"/>
  <c r="BN94" i="1"/>
  <c r="BQ826" i="1"/>
  <c r="CY146" i="1"/>
  <c r="CY858" i="1"/>
  <c r="CY1148" i="1"/>
  <c r="CY169" i="1"/>
  <c r="DE1013" i="1"/>
  <c r="CY1152" i="1"/>
  <c r="DB499" i="1"/>
  <c r="BH185" i="1"/>
  <c r="CY501" i="1"/>
  <c r="BH2" i="1"/>
  <c r="BE1172" i="1"/>
  <c r="DB1172" i="1"/>
  <c r="CO179" i="1"/>
  <c r="CR163" i="1"/>
  <c r="CO166" i="1"/>
  <c r="CR955" i="1"/>
  <c r="CI874" i="1"/>
  <c r="CO221" i="1"/>
  <c r="CI430" i="1"/>
  <c r="CR271" i="1"/>
  <c r="CL504" i="1"/>
  <c r="CR344" i="1"/>
  <c r="CI274" i="1"/>
  <c r="CO319" i="1"/>
  <c r="CO962" i="1"/>
  <c r="CI313" i="1"/>
  <c r="CI301" i="1"/>
  <c r="CR197" i="1"/>
  <c r="CR935" i="1"/>
  <c r="CI930" i="1"/>
  <c r="CR920" i="1"/>
  <c r="CI196" i="1"/>
  <c r="CR195" i="1"/>
  <c r="CI177" i="1"/>
  <c r="CO176" i="1"/>
  <c r="CO150" i="1"/>
  <c r="CI304" i="1"/>
  <c r="CC1066" i="1"/>
  <c r="CC338" i="1"/>
  <c r="BZ1065" i="1"/>
  <c r="BZ890" i="1"/>
  <c r="BW1004" i="1"/>
  <c r="BT138" i="1"/>
  <c r="BH158" i="1"/>
  <c r="CZ158" i="1"/>
  <c r="CI217" i="1"/>
  <c r="CI904" i="1"/>
  <c r="CO1048" i="1"/>
  <c r="CO163" i="1"/>
  <c r="CI166" i="1"/>
  <c r="CI346" i="1"/>
  <c r="CO344" i="1"/>
  <c r="CI319" i="1"/>
  <c r="CO315" i="1"/>
  <c r="CR992" i="1"/>
  <c r="CR978" i="1"/>
  <c r="CR1021" i="1"/>
  <c r="CO205" i="1"/>
  <c r="CO157" i="1"/>
  <c r="CO935" i="1"/>
  <c r="CO920" i="1"/>
  <c r="BN113" i="1"/>
  <c r="BN40" i="1"/>
  <c r="BZ138" i="1"/>
  <c r="CC1159" i="1"/>
  <c r="BN41" i="1"/>
  <c r="BN90" i="1"/>
  <c r="BN52" i="1"/>
  <c r="BN31" i="1"/>
  <c r="BN107" i="1"/>
  <c r="DB842" i="1"/>
  <c r="BK842" i="1"/>
  <c r="BL1090" i="1"/>
  <c r="AX1090" i="1"/>
  <c r="AW1090" i="1" s="1"/>
  <c r="AZ182" i="1"/>
  <c r="AX182" i="1"/>
  <c r="AW182" i="1" s="1"/>
  <c r="DB146" i="1"/>
  <c r="DB858" i="1"/>
  <c r="BL337" i="1"/>
  <c r="AX337" i="1"/>
  <c r="AW337" i="1" s="1"/>
  <c r="CJ309" i="1"/>
  <c r="CL309" i="1"/>
  <c r="BK146" i="1"/>
  <c r="BK858" i="1"/>
  <c r="AX258" i="1"/>
  <c r="AW258" i="1" s="1"/>
  <c r="BE842" i="1"/>
  <c r="DE146" i="1"/>
  <c r="DE858" i="1"/>
  <c r="BH866" i="1"/>
  <c r="CY866" i="1"/>
  <c r="AX949" i="1"/>
  <c r="AW949" i="1" s="1"/>
  <c r="BL247" i="1"/>
  <c r="AX247" i="1"/>
  <c r="AW247" i="1" s="1"/>
  <c r="DE842" i="1"/>
  <c r="BE866" i="1"/>
  <c r="BH842" i="1"/>
  <c r="CY842" i="1"/>
  <c r="BK866" i="1"/>
  <c r="DB866" i="1"/>
  <c r="AX268" i="1"/>
  <c r="AW268" i="1" s="1"/>
  <c r="CF311" i="1"/>
  <c r="CC311" i="1"/>
  <c r="CI311" i="1"/>
  <c r="BT936" i="1"/>
  <c r="CO936" i="1"/>
  <c r="BT208" i="1"/>
  <c r="CR208" i="1"/>
  <c r="BZ1014" i="1"/>
  <c r="CO1014" i="1"/>
  <c r="CC282" i="1"/>
  <c r="CR282" i="1"/>
  <c r="BT942" i="1"/>
  <c r="CR942" i="1"/>
  <c r="BZ165" i="1"/>
  <c r="CR165" i="1"/>
  <c r="CC337" i="1"/>
  <c r="BT337" i="1"/>
  <c r="BZ278" i="1"/>
  <c r="CI278" i="1"/>
  <c r="CY902" i="1"/>
  <c r="BE420" i="1"/>
  <c r="DB420" i="1"/>
  <c r="BH502" i="1"/>
  <c r="BK2" i="1"/>
  <c r="CI258" i="1"/>
  <c r="CR284" i="1"/>
  <c r="CI337" i="1"/>
  <c r="CR235" i="1"/>
  <c r="CR151" i="1"/>
  <c r="CL1119" i="1"/>
  <c r="CL1031" i="1"/>
  <c r="CR228" i="1"/>
  <c r="CR298" i="1"/>
  <c r="CI936" i="1"/>
  <c r="CI208" i="1"/>
  <c r="CO1021" i="1"/>
  <c r="CI205" i="1"/>
  <c r="CO197" i="1"/>
  <c r="CI938" i="1"/>
  <c r="CI901" i="1"/>
  <c r="CI1114" i="1"/>
  <c r="CG378" i="1"/>
  <c r="BM378" i="1" s="1"/>
  <c r="BL378" i="1" s="1"/>
  <c r="CI378" i="1"/>
  <c r="CG213" i="1"/>
  <c r="CI213" i="1"/>
  <c r="BT325" i="1"/>
  <c r="CI325" i="1"/>
  <c r="BT137" i="1"/>
  <c r="CO137" i="1"/>
  <c r="BT288" i="1"/>
  <c r="CO288" i="1"/>
  <c r="CC358" i="1"/>
  <c r="CI358" i="1"/>
  <c r="BH1148" i="1"/>
  <c r="DE1148" i="1"/>
  <c r="BH1222" i="1"/>
  <c r="BH314" i="1"/>
  <c r="DE314" i="1"/>
  <c r="BH487" i="1"/>
  <c r="DE487" i="1"/>
  <c r="BH175" i="1"/>
  <c r="DE420" i="1"/>
  <c r="BH1239" i="1"/>
  <c r="BH501" i="1"/>
  <c r="DE501" i="1"/>
  <c r="CY2" i="1"/>
  <c r="CO942" i="1"/>
  <c r="CO284" i="1"/>
  <c r="CI1159" i="1"/>
  <c r="CO235" i="1"/>
  <c r="CR278" i="1"/>
  <c r="CO161" i="1"/>
  <c r="CI377" i="1"/>
  <c r="CR311" i="1"/>
  <c r="CI228" i="1"/>
  <c r="CI1021" i="1"/>
  <c r="BW1075" i="1"/>
  <c r="CI1075" i="1"/>
  <c r="CF1072" i="1"/>
  <c r="CI1072" i="1"/>
  <c r="CO342" i="1"/>
  <c r="CR342" i="1"/>
  <c r="BT341" i="1"/>
  <c r="CI341" i="1"/>
  <c r="BE1013" i="1"/>
  <c r="BK1152" i="1"/>
  <c r="BK1239" i="1"/>
  <c r="BK501" i="1"/>
  <c r="CY502" i="1"/>
  <c r="CO217" i="1"/>
  <c r="CI942" i="1"/>
  <c r="CR904" i="1"/>
  <c r="CO165" i="1"/>
  <c r="CR1048" i="1"/>
  <c r="CR337" i="1"/>
  <c r="CI235" i="1"/>
  <c r="CR1008" i="1"/>
  <c r="CI158" i="1"/>
  <c r="CL305" i="1"/>
  <c r="CO311" i="1"/>
  <c r="CO1024" i="1"/>
  <c r="CO925" i="1"/>
  <c r="CR205" i="1"/>
  <c r="CR157" i="1"/>
  <c r="CR1014" i="1"/>
  <c r="CO282" i="1"/>
  <c r="BT140" i="1"/>
  <c r="CF140" i="1"/>
  <c r="BW989" i="1"/>
  <c r="BT989" i="1"/>
  <c r="CO989" i="1"/>
  <c r="CF971" i="1"/>
  <c r="CI971" i="1"/>
  <c r="BT159" i="1"/>
  <c r="CO159" i="1"/>
  <c r="CC133" i="1"/>
  <c r="CI133" i="1"/>
  <c r="CF307" i="1"/>
  <c r="CI307" i="1"/>
  <c r="BT868" i="1"/>
  <c r="CI868" i="1"/>
  <c r="CC863" i="1"/>
  <c r="CR863" i="1"/>
  <c r="BQ121" i="1"/>
  <c r="BM1067" i="1"/>
  <c r="BL1067" i="1" s="1"/>
  <c r="BT164" i="1"/>
  <c r="CC896" i="1"/>
  <c r="CC1094" i="1"/>
  <c r="CF329" i="1"/>
  <c r="BW240" i="1"/>
  <c r="BZ949" i="1"/>
  <c r="BQ113" i="1"/>
  <c r="BN806" i="1"/>
  <c r="CC388" i="1"/>
  <c r="BN765" i="1"/>
  <c r="BT862" i="1"/>
  <c r="BT941" i="1"/>
  <c r="BN19" i="1"/>
  <c r="BN784" i="1"/>
  <c r="BN70" i="1"/>
  <c r="CC502" i="1"/>
  <c r="BN75" i="1"/>
  <c r="BN830" i="1"/>
  <c r="BN87" i="1"/>
  <c r="CL499" i="1"/>
  <c r="CI866" i="1"/>
  <c r="CI150" i="1"/>
  <c r="BZ1153" i="1"/>
  <c r="CI1153" i="1"/>
  <c r="BA1080" i="1"/>
  <c r="AZ1080" i="1" s="1"/>
  <c r="BA354" i="1"/>
  <c r="AZ354" i="1" s="1"/>
  <c r="CL918" i="1"/>
  <c r="CF150" i="1"/>
  <c r="CJ180" i="1"/>
  <c r="CL180" i="1"/>
  <c r="CT346" i="1"/>
  <c r="CS346" i="1" s="1"/>
  <c r="BE1114" i="1"/>
  <c r="CZ386" i="1"/>
  <c r="CL1006" i="1"/>
  <c r="CL1120" i="1"/>
  <c r="CL378" i="1"/>
  <c r="CC873" i="1"/>
  <c r="BZ873" i="1"/>
  <c r="BT873" i="1"/>
  <c r="CF850" i="1"/>
  <c r="CC150" i="1"/>
  <c r="BZ150" i="1"/>
  <c r="BT150" i="1"/>
  <c r="CG1148" i="1"/>
  <c r="CI1148" i="1"/>
  <c r="CJ1114" i="1"/>
  <c r="CL1114" i="1"/>
  <c r="BN817" i="1"/>
  <c r="BN790" i="1"/>
  <c r="CO171" i="1"/>
  <c r="CI188" i="1"/>
  <c r="CR254" i="1"/>
  <c r="CR332" i="1"/>
  <c r="CI221" i="1"/>
  <c r="CR156" i="1"/>
  <c r="CI194" i="1"/>
  <c r="CI241" i="1"/>
  <c r="CO278" i="1"/>
  <c r="CI357" i="1"/>
  <c r="CR1083" i="1"/>
  <c r="CO341" i="1"/>
  <c r="CR325" i="1"/>
  <c r="CO1044" i="1"/>
  <c r="CI978" i="1"/>
  <c r="CR253" i="1"/>
  <c r="CI912" i="1"/>
  <c r="CR921" i="1"/>
  <c r="CI1009" i="1"/>
  <c r="CR1005" i="1"/>
  <c r="CI249" i="1"/>
  <c r="CR888" i="1"/>
  <c r="CI882" i="1"/>
  <c r="CR880" i="1"/>
  <c r="CF1105" i="1"/>
  <c r="CC1108" i="1"/>
  <c r="BW888" i="1"/>
  <c r="BQ69" i="1"/>
  <c r="BQ821" i="1"/>
  <c r="BQ801" i="1"/>
  <c r="BQ795" i="1"/>
  <c r="BQ22" i="1"/>
  <c r="BQ18" i="1"/>
  <c r="BQ4" i="1"/>
  <c r="BQ1449" i="1"/>
  <c r="BQ736" i="1"/>
  <c r="BQ20" i="1"/>
  <c r="CC971" i="1"/>
  <c r="BT888" i="1"/>
  <c r="BQ61" i="1"/>
  <c r="BQ40" i="1"/>
  <c r="BW138" i="1"/>
  <c r="BQ833" i="1"/>
  <c r="BW863" i="1"/>
  <c r="CC290" i="1"/>
  <c r="CC430" i="1"/>
  <c r="CF1020" i="1"/>
  <c r="BM1080" i="1"/>
  <c r="BL1080" i="1" s="1"/>
  <c r="BM346" i="1"/>
  <c r="BL346" i="1" s="1"/>
  <c r="BT1072" i="1"/>
  <c r="CC978" i="1"/>
  <c r="CF912" i="1"/>
  <c r="BZ888" i="1"/>
  <c r="BT874" i="1"/>
  <c r="BT188" i="1"/>
  <c r="BW358" i="1"/>
  <c r="BW194" i="1"/>
  <c r="BT278" i="1"/>
  <c r="AZ268" i="1"/>
  <c r="CT1067" i="1"/>
  <c r="CS1067" i="1" s="1"/>
  <c r="BE377" i="1"/>
  <c r="CY377" i="1"/>
  <c r="DE947" i="1"/>
  <c r="BH389" i="1"/>
  <c r="CZ389" i="1"/>
  <c r="CI1171" i="1"/>
  <c r="CI1105" i="1"/>
  <c r="CL1007" i="1"/>
  <c r="CF840" i="1"/>
  <c r="BQ1451" i="1"/>
  <c r="CJ1096" i="1"/>
  <c r="BM1096" i="1" s="1"/>
  <c r="BL1096" i="1" s="1"/>
  <c r="BQ761" i="1"/>
  <c r="BQ101" i="1"/>
  <c r="BQ100" i="1"/>
  <c r="BQ23" i="1"/>
  <c r="BQ96" i="1"/>
  <c r="BQ71" i="1"/>
  <c r="BQ799" i="1"/>
  <c r="BQ747" i="1"/>
  <c r="BQ797" i="1"/>
  <c r="BQ773" i="1"/>
  <c r="BQ26" i="1"/>
  <c r="BQ59" i="1"/>
  <c r="BQ86" i="1"/>
  <c r="BQ789" i="1"/>
  <c r="BQ55" i="1"/>
  <c r="BQ46" i="1"/>
  <c r="BQ79" i="1"/>
  <c r="BQ813" i="1"/>
  <c r="BQ21" i="1"/>
  <c r="BQ12" i="1"/>
  <c r="BQ760" i="1"/>
  <c r="BQ10" i="1"/>
  <c r="BQ68" i="1"/>
  <c r="BQ798" i="1"/>
  <c r="BQ67" i="1"/>
  <c r="BQ746" i="1"/>
  <c r="BQ794" i="1"/>
  <c r="BQ793" i="1"/>
  <c r="BQ768" i="1"/>
  <c r="BQ25" i="1"/>
  <c r="BT1007" i="1"/>
  <c r="BZ416" i="1"/>
  <c r="CF367" i="1"/>
  <c r="CC141" i="1"/>
  <c r="CC1072" i="1"/>
  <c r="CC323" i="1"/>
  <c r="BZ912" i="1"/>
  <c r="BZ1004" i="1"/>
  <c r="BW154" i="1"/>
  <c r="BZ943" i="1"/>
  <c r="BW1167" i="1"/>
  <c r="BW949" i="1"/>
  <c r="CC869" i="1"/>
  <c r="CC1171" i="1"/>
  <c r="BZ874" i="1"/>
  <c r="BT1091" i="1"/>
  <c r="BW307" i="1"/>
  <c r="CC188" i="1"/>
  <c r="BZ863" i="1"/>
  <c r="BQ19" i="1"/>
  <c r="BZ337" i="1"/>
  <c r="CF278" i="1"/>
  <c r="AX156" i="1"/>
  <c r="AW156" i="1" s="1"/>
  <c r="CT354" i="1"/>
  <c r="CS354" i="1" s="1"/>
  <c r="BE1096" i="1"/>
  <c r="BF1223" i="1"/>
  <c r="DB1223" i="1"/>
  <c r="CI1226" i="1"/>
  <c r="CL1108" i="1"/>
  <c r="BT842" i="1"/>
  <c r="BQ88" i="1"/>
  <c r="BN739" i="1"/>
  <c r="BQ62" i="1"/>
  <c r="BQ740" i="1"/>
  <c r="BQ54" i="1"/>
  <c r="BQ45" i="1"/>
  <c r="BQ17" i="1"/>
  <c r="BN13" i="1"/>
  <c r="BN759" i="1"/>
  <c r="BQ9" i="1"/>
  <c r="BN752" i="1"/>
  <c r="BQ778" i="1"/>
  <c r="BQ44" i="1"/>
  <c r="BN1448" i="1"/>
  <c r="BQ738" i="1"/>
  <c r="BW322" i="1"/>
  <c r="BT154" i="1"/>
  <c r="BW1002" i="1"/>
  <c r="BW996" i="1"/>
  <c r="BW268" i="1"/>
  <c r="BW911" i="1"/>
  <c r="CC278" i="1"/>
  <c r="AX944" i="1"/>
  <c r="AW944" i="1" s="1"/>
  <c r="AX143" i="1"/>
  <c r="AW143" i="1" s="1"/>
  <c r="AX164" i="1"/>
  <c r="AW164" i="1" s="1"/>
  <c r="AX173" i="1"/>
  <c r="AW173" i="1" s="1"/>
  <c r="BF1019" i="1"/>
  <c r="CL209" i="1"/>
  <c r="BW354" i="1"/>
  <c r="CF1055" i="1"/>
  <c r="CF322" i="1"/>
  <c r="BT311" i="1"/>
  <c r="CC1030" i="1"/>
  <c r="BW912" i="1"/>
  <c r="BZ154" i="1"/>
  <c r="CF1002" i="1"/>
  <c r="CC996" i="1"/>
  <c r="BT268" i="1"/>
  <c r="BZ911" i="1"/>
  <c r="CF888" i="1"/>
  <c r="CC1166" i="1"/>
  <c r="BQ85" i="1"/>
  <c r="BW273" i="1"/>
  <c r="BW874" i="1"/>
  <c r="CF156" i="1"/>
  <c r="CC199" i="1"/>
  <c r="BT1097" i="1"/>
  <c r="BT864" i="1"/>
  <c r="BW278" i="1"/>
  <c r="BE229" i="1"/>
  <c r="BC229" i="1"/>
  <c r="BA229" i="1" s="1"/>
  <c r="AZ229" i="1" s="1"/>
  <c r="AZ273" i="1"/>
  <c r="AX273" i="1"/>
  <c r="AW273" i="1" s="1"/>
  <c r="AX859" i="1"/>
  <c r="AW859" i="1" s="1"/>
  <c r="AX921" i="1"/>
  <c r="AW921" i="1" s="1"/>
  <c r="AZ921" i="1"/>
  <c r="AZ258" i="1"/>
  <c r="BK1218" i="1"/>
  <c r="BI1218" i="1"/>
  <c r="AX155" i="1"/>
  <c r="AW155" i="1" s="1"/>
  <c r="AX159" i="1"/>
  <c r="AW159" i="1" s="1"/>
  <c r="AX888" i="1"/>
  <c r="AW888" i="1" s="1"/>
  <c r="AX911" i="1"/>
  <c r="AW911" i="1" s="1"/>
  <c r="AX959" i="1"/>
  <c r="AW959" i="1" s="1"/>
  <c r="AX984" i="1"/>
  <c r="AW984" i="1" s="1"/>
  <c r="AX263" i="1"/>
  <c r="AW263" i="1" s="1"/>
  <c r="AZ292" i="1"/>
  <c r="AX197" i="1"/>
  <c r="AW197" i="1" s="1"/>
  <c r="AX931" i="1"/>
  <c r="AW931" i="1" s="1"/>
  <c r="BA1067" i="1"/>
  <c r="AZ1067" i="1" s="1"/>
  <c r="BA346" i="1"/>
  <c r="AZ346" i="1" s="1"/>
  <c r="CV371" i="1"/>
  <c r="BE934" i="1"/>
  <c r="BC934" i="1"/>
  <c r="BA934" i="1" s="1"/>
  <c r="BE365" i="1"/>
  <c r="BC365" i="1"/>
  <c r="AX163" i="1"/>
  <c r="AW163" i="1" s="1"/>
  <c r="CT897" i="1"/>
  <c r="CS897" i="1" s="1"/>
  <c r="DC286" i="1"/>
  <c r="DE286" i="1"/>
  <c r="BW146" i="1"/>
  <c r="BT146" i="1"/>
  <c r="CL501" i="1"/>
  <c r="CJ501" i="1"/>
  <c r="CC997" i="1"/>
  <c r="BT997" i="1"/>
  <c r="BW997" i="1"/>
  <c r="CI997" i="1"/>
  <c r="CC1045" i="1"/>
  <c r="CO1045" i="1"/>
  <c r="BT1038" i="1"/>
  <c r="CO1038" i="1"/>
  <c r="CF980" i="1"/>
  <c r="CR980" i="1"/>
  <c r="CF910" i="1"/>
  <c r="CC910" i="1"/>
  <c r="BT910" i="1"/>
  <c r="CR910" i="1"/>
  <c r="BT287" i="1"/>
  <c r="CR287" i="1"/>
  <c r="CL200" i="1"/>
  <c r="CL487" i="1"/>
  <c r="CI1161" i="1"/>
  <c r="CI1094" i="1"/>
  <c r="BW147" i="1"/>
  <c r="CF147" i="1"/>
  <c r="CA185" i="1"/>
  <c r="CC185" i="1"/>
  <c r="BT1035" i="1"/>
  <c r="CI1035" i="1"/>
  <c r="CC1024" i="1"/>
  <c r="CI1024" i="1"/>
  <c r="BT301" i="1"/>
  <c r="CR301" i="1"/>
  <c r="BT298" i="1"/>
  <c r="CO298" i="1"/>
  <c r="CC263" i="1"/>
  <c r="BZ263" i="1"/>
  <c r="BW263" i="1"/>
  <c r="CR263" i="1"/>
  <c r="CY1161" i="1"/>
  <c r="DC1159" i="1"/>
  <c r="BQ759" i="1"/>
  <c r="CL175" i="1"/>
  <c r="CI191" i="1"/>
  <c r="CI308" i="1"/>
  <c r="CI183" i="1"/>
  <c r="BW852" i="1"/>
  <c r="CL199" i="1"/>
  <c r="CJ199" i="1"/>
  <c r="CC1000" i="1"/>
  <c r="CO1000" i="1"/>
  <c r="BT960" i="1"/>
  <c r="CO960" i="1"/>
  <c r="BZ315" i="1"/>
  <c r="BW315" i="1"/>
  <c r="CC315" i="1"/>
  <c r="CF315" i="1"/>
  <c r="CR315" i="1"/>
  <c r="BT197" i="1"/>
  <c r="CC197" i="1"/>
  <c r="CC182" i="1"/>
  <c r="BZ182" i="1"/>
  <c r="BW182" i="1"/>
  <c r="CR182" i="1"/>
  <c r="BW276" i="1"/>
  <c r="CO276" i="1"/>
  <c r="BW245" i="1"/>
  <c r="CR245" i="1"/>
  <c r="BQ93" i="1"/>
  <c r="BQ739" i="1"/>
  <c r="CL892" i="1"/>
  <c r="CI1095" i="1"/>
  <c r="CI902" i="1"/>
  <c r="CI416" i="1"/>
  <c r="CL900" i="1"/>
  <c r="CF146" i="1"/>
  <c r="BT846" i="1"/>
  <c r="BT840" i="1"/>
  <c r="BQ84" i="1"/>
  <c r="BQ57" i="1"/>
  <c r="BQ28" i="1"/>
  <c r="BQ766" i="1"/>
  <c r="BQ829" i="1"/>
  <c r="BQ780" i="1"/>
  <c r="BN736" i="1"/>
  <c r="CC1075" i="1"/>
  <c r="BZ1075" i="1"/>
  <c r="CF1075" i="1"/>
  <c r="BT1075" i="1"/>
  <c r="BZ313" i="1"/>
  <c r="BW313" i="1"/>
  <c r="BZ1022" i="1"/>
  <c r="CF1022" i="1"/>
  <c r="CI1022" i="1"/>
  <c r="BZ979" i="1"/>
  <c r="BW979" i="1"/>
  <c r="CO979" i="1"/>
  <c r="BM897" i="1"/>
  <c r="BL897" i="1" s="1"/>
  <c r="BN96" i="1"/>
  <c r="BN71" i="1"/>
  <c r="BN799" i="1"/>
  <c r="BN797" i="1"/>
  <c r="BW1152" i="1"/>
  <c r="CC367" i="1"/>
  <c r="BT344" i="1"/>
  <c r="CC1055" i="1"/>
  <c r="BW967" i="1"/>
  <c r="BW311" i="1"/>
  <c r="BZ311" i="1"/>
  <c r="CF989" i="1"/>
  <c r="BT165" i="1"/>
  <c r="BT273" i="1"/>
  <c r="BT1090" i="1"/>
  <c r="BQ34" i="1"/>
  <c r="BQ31" i="1"/>
  <c r="BW152" i="1"/>
  <c r="BT358" i="1"/>
  <c r="CC156" i="1"/>
  <c r="BZ1121" i="1"/>
  <c r="BQ808" i="1"/>
  <c r="BQ836" i="1"/>
  <c r="CC1020" i="1"/>
  <c r="BQ751" i="1"/>
  <c r="CF273" i="1"/>
  <c r="BN77" i="1"/>
  <c r="BN115" i="1"/>
  <c r="BN73" i="1"/>
  <c r="CF1090" i="1"/>
  <c r="BT221" i="1"/>
  <c r="CF152" i="1"/>
  <c r="BQ765" i="1"/>
  <c r="BT389" i="1"/>
  <c r="BT203" i="1"/>
  <c r="CF358" i="1"/>
  <c r="CL191" i="1"/>
  <c r="BN100" i="1"/>
  <c r="BN793" i="1"/>
  <c r="BZ1172" i="1"/>
  <c r="CC1119" i="1"/>
  <c r="CF323" i="1"/>
  <c r="BT1043" i="1"/>
  <c r="BT943" i="1"/>
  <c r="CF949" i="1"/>
  <c r="CC1224" i="1"/>
  <c r="BZ273" i="1"/>
  <c r="CC138" i="1"/>
  <c r="CC1090" i="1"/>
  <c r="BT261" i="1"/>
  <c r="CC1147" i="1"/>
  <c r="BT237" i="1"/>
  <c r="CC221" i="1"/>
  <c r="BZ152" i="1"/>
  <c r="BQ53" i="1"/>
  <c r="BZ358" i="1"/>
  <c r="BW467" i="1"/>
  <c r="CC238" i="1"/>
  <c r="BT1020" i="1"/>
  <c r="CL1170" i="1"/>
  <c r="CJ1170" i="1"/>
  <c r="CG1169" i="1"/>
  <c r="CI1169" i="1"/>
  <c r="CG369" i="1"/>
  <c r="BM369" i="1" s="1"/>
  <c r="BL369" i="1" s="1"/>
  <c r="CI369" i="1"/>
  <c r="CJ1161" i="1"/>
  <c r="CL1161" i="1"/>
  <c r="CJ213" i="1"/>
  <c r="CL213" i="1"/>
  <c r="BC279" i="1"/>
  <c r="DE289" i="1"/>
  <c r="CY366" i="1"/>
  <c r="DB370" i="1"/>
  <c r="BH1215" i="1"/>
  <c r="CZ1215" i="1"/>
  <c r="BE499" i="1"/>
  <c r="CY499" i="1"/>
  <c r="BH304" i="1"/>
  <c r="CI1215" i="1"/>
  <c r="CI1223" i="1"/>
  <c r="CL377" i="1"/>
  <c r="CL937" i="1"/>
  <c r="CL1166" i="1"/>
  <c r="CJ1166" i="1"/>
  <c r="CL870" i="1"/>
  <c r="CJ870" i="1"/>
  <c r="CG1150" i="1"/>
  <c r="CG1119" i="1"/>
  <c r="CI1119" i="1"/>
  <c r="CD1172" i="1"/>
  <c r="CF1172" i="1"/>
  <c r="BC216" i="1"/>
  <c r="CI467" i="1"/>
  <c r="CI365" i="1"/>
  <c r="CI1144" i="1"/>
  <c r="CG1144" i="1"/>
  <c r="CG314" i="1"/>
  <c r="BM314" i="1" s="1"/>
  <c r="BL314" i="1" s="1"/>
  <c r="CI314" i="1"/>
  <c r="CJ901" i="1"/>
  <c r="CL901" i="1"/>
  <c r="CJ158" i="1"/>
  <c r="CL158" i="1"/>
  <c r="CG359" i="1"/>
  <c r="CI359" i="1"/>
  <c r="CJ1107" i="1"/>
  <c r="CL1107" i="1"/>
  <c r="CJ1100" i="1"/>
  <c r="CL1100" i="1"/>
  <c r="CJ190" i="1"/>
  <c r="BM190" i="1" s="1"/>
  <c r="BL190" i="1" s="1"/>
  <c r="CL190" i="1"/>
  <c r="CY947" i="1"/>
  <c r="BC886" i="1"/>
  <c r="BF1166" i="1"/>
  <c r="DE1113" i="1"/>
  <c r="BI1248" i="1"/>
  <c r="CI1010" i="1"/>
  <c r="CI893" i="1"/>
  <c r="CL1164" i="1"/>
  <c r="CI886" i="1"/>
  <c r="CL370" i="1"/>
  <c r="CI1222" i="1"/>
  <c r="CI280" i="1"/>
  <c r="CI1112" i="1"/>
  <c r="CL376" i="1"/>
  <c r="CI1023" i="1"/>
  <c r="CL852" i="1"/>
  <c r="CL869" i="1"/>
  <c r="CJ869" i="1"/>
  <c r="CL420" i="1"/>
  <c r="CJ420" i="1"/>
  <c r="CG382" i="1"/>
  <c r="CI382" i="1"/>
  <c r="BT1168" i="1"/>
  <c r="BT1228" i="1"/>
  <c r="BZ1113" i="1"/>
  <c r="CC382" i="1"/>
  <c r="BW430" i="1"/>
  <c r="BZ238" i="1"/>
  <c r="BT363" i="1"/>
  <c r="BT424" i="1"/>
  <c r="CG1031" i="1"/>
  <c r="BM1031" i="1" s="1"/>
  <c r="BL1031" i="1" s="1"/>
  <c r="CI1031" i="1"/>
  <c r="CI184" i="1"/>
  <c r="CA175" i="1"/>
  <c r="CC175" i="1"/>
  <c r="BX1012" i="1"/>
  <c r="BZ1012" i="1"/>
  <c r="BH1018" i="1"/>
  <c r="BC1092" i="1"/>
  <c r="CW190" i="1"/>
  <c r="CW1011" i="1"/>
  <c r="DB180" i="1"/>
  <c r="BF294" i="1"/>
  <c r="BI901" i="1"/>
  <c r="BI290" i="1"/>
  <c r="BF467" i="1"/>
  <c r="DE1019" i="1"/>
  <c r="BF185" i="1"/>
  <c r="BE502" i="1"/>
  <c r="BC903" i="1"/>
  <c r="CZ504" i="1"/>
  <c r="CY1248" i="1"/>
  <c r="CL1018" i="1"/>
  <c r="CL387" i="1"/>
  <c r="CL1091" i="1"/>
  <c r="CI222" i="1"/>
  <c r="CI238" i="1"/>
  <c r="CI1113" i="1"/>
  <c r="CI1033" i="1"/>
  <c r="DE906" i="1"/>
  <c r="CV906" i="1" s="1"/>
  <c r="BK312" i="1"/>
  <c r="CW1036" i="1"/>
  <c r="CT1036" i="1" s="1"/>
  <c r="CS1036" i="1" s="1"/>
  <c r="DB359" i="1"/>
  <c r="DE416" i="1"/>
  <c r="BF1151" i="1"/>
  <c r="DC1148" i="1"/>
  <c r="CW1033" i="1"/>
  <c r="CZ314" i="1"/>
  <c r="BK169" i="1"/>
  <c r="BE1215" i="1"/>
  <c r="BK1225" i="1"/>
  <c r="CW2" i="1"/>
  <c r="CI310" i="1"/>
  <c r="CJ886" i="1"/>
  <c r="CI1154" i="1"/>
  <c r="CG1154" i="1"/>
  <c r="CJ1111" i="1"/>
  <c r="BM1111" i="1" s="1"/>
  <c r="BL1111" i="1" s="1"/>
  <c r="CL1111" i="1"/>
  <c r="CG1107" i="1"/>
  <c r="CI1107" i="1"/>
  <c r="CL898" i="1"/>
  <c r="CJ898" i="1"/>
  <c r="CI376" i="1"/>
  <c r="CC1223" i="1"/>
  <c r="BT1222" i="1"/>
  <c r="CC938" i="1"/>
  <c r="BW308" i="1"/>
  <c r="BT934" i="1"/>
  <c r="CC206" i="1"/>
  <c r="BZ387" i="1"/>
  <c r="BT200" i="1"/>
  <c r="CF1121" i="1"/>
  <c r="BW291" i="1"/>
  <c r="CC184" i="1"/>
  <c r="BW370" i="1"/>
  <c r="BT918" i="1"/>
  <c r="BT1012" i="1"/>
  <c r="CD229" i="1"/>
  <c r="BP229" i="1" s="1"/>
  <c r="BO229" i="1" s="1"/>
  <c r="BT1165" i="1"/>
  <c r="BW1224" i="1"/>
  <c r="BT892" i="1"/>
  <c r="BF416" i="1"/>
  <c r="BH416" i="1"/>
  <c r="BH938" i="1"/>
  <c r="BF938" i="1"/>
  <c r="BC1105" i="1"/>
  <c r="BE1105" i="1"/>
  <c r="BF420" i="1"/>
  <c r="BH420" i="1"/>
  <c r="DE185" i="1"/>
  <c r="DC185" i="1"/>
  <c r="DB424" i="1"/>
  <c r="CZ424" i="1"/>
  <c r="DB1214" i="1"/>
  <c r="CZ1214" i="1"/>
  <c r="BC175" i="1"/>
  <c r="BE175" i="1"/>
  <c r="BI185" i="1"/>
  <c r="BK185" i="1"/>
  <c r="BA897" i="1"/>
  <c r="AZ897" i="1" s="1"/>
  <c r="AX240" i="1"/>
  <c r="AW240" i="1" s="1"/>
  <c r="AX977" i="1"/>
  <c r="AW977" i="1" s="1"/>
  <c r="AX999" i="1"/>
  <c r="AW999" i="1" s="1"/>
  <c r="AX853" i="1"/>
  <c r="AW853" i="1" s="1"/>
  <c r="AX161" i="1"/>
  <c r="AW161" i="1" s="1"/>
  <c r="AX171" i="1"/>
  <c r="AW171" i="1" s="1"/>
  <c r="AX203" i="1"/>
  <c r="AW203" i="1" s="1"/>
  <c r="AX208" i="1"/>
  <c r="AW208" i="1" s="1"/>
  <c r="AX298" i="1"/>
  <c r="AW298" i="1" s="1"/>
  <c r="CT1080" i="1"/>
  <c r="CS1080" i="1" s="1"/>
  <c r="CZ1092" i="1"/>
  <c r="DB1092" i="1"/>
  <c r="CV1092" i="1" s="1"/>
  <c r="CY782" i="1"/>
  <c r="CW782" i="1"/>
  <c r="BE869" i="1"/>
  <c r="BC869" i="1"/>
  <c r="BF424" i="1"/>
  <c r="BH424" i="1"/>
  <c r="BH1158" i="1"/>
  <c r="BF1158" i="1"/>
  <c r="CY279" i="1"/>
  <c r="CW279" i="1"/>
  <c r="CW1225" i="1"/>
  <c r="CY1225" i="1"/>
  <c r="BK190" i="1"/>
  <c r="BI190" i="1"/>
  <c r="AX873" i="1"/>
  <c r="AW873" i="1" s="1"/>
  <c r="AZ155" i="1"/>
  <c r="AZ156" i="1"/>
  <c r="AZ159" i="1"/>
  <c r="AZ888" i="1"/>
  <c r="AX909" i="1"/>
  <c r="AW909" i="1" s="1"/>
  <c r="AX914" i="1"/>
  <c r="AW914" i="1" s="1"/>
  <c r="AX946" i="1"/>
  <c r="AW946" i="1" s="1"/>
  <c r="AX245" i="1"/>
  <c r="AW245" i="1" s="1"/>
  <c r="AX1009" i="1"/>
  <c r="AW1009" i="1" s="1"/>
  <c r="AZ197" i="1"/>
  <c r="AX925" i="1"/>
  <c r="AW925" i="1" s="1"/>
  <c r="AX237" i="1"/>
  <c r="AW237" i="1" s="1"/>
  <c r="CT295" i="1"/>
  <c r="CS295" i="1" s="1"/>
  <c r="AX307" i="1"/>
  <c r="AW307" i="1" s="1"/>
  <c r="BH206" i="1"/>
  <c r="CY222" i="1"/>
  <c r="BE1100" i="1"/>
  <c r="CZ782" i="1"/>
  <c r="DB782" i="1"/>
  <c r="BC1146" i="1"/>
  <c r="BE1146" i="1"/>
  <c r="CZ1013" i="1"/>
  <c r="DB1013" i="1"/>
  <c r="BW848" i="1"/>
  <c r="CF848" i="1"/>
  <c r="BT848" i="1"/>
  <c r="CJ285" i="1"/>
  <c r="CL285" i="1"/>
  <c r="CC1077" i="1"/>
  <c r="CI1077" i="1"/>
  <c r="CO1077" i="1"/>
  <c r="CC262" i="1"/>
  <c r="BT262" i="1"/>
  <c r="CI262" i="1"/>
  <c r="CO262" i="1"/>
  <c r="BT1026" i="1"/>
  <c r="CC1026" i="1"/>
  <c r="CO1026" i="1"/>
  <c r="CR1026" i="1"/>
  <c r="BW246" i="1"/>
  <c r="CI246" i="1"/>
  <c r="CO246" i="1"/>
  <c r="CC172" i="1"/>
  <c r="CR172" i="1"/>
  <c r="CZ1176" i="1"/>
  <c r="BH1167" i="1"/>
  <c r="BH1243" i="1"/>
  <c r="DE1243" i="1"/>
  <c r="BQ13" i="1"/>
  <c r="BQ752" i="1"/>
  <c r="CO172" i="1"/>
  <c r="CI1026" i="1"/>
  <c r="CR246" i="1"/>
  <c r="BW134" i="1"/>
  <c r="CF134" i="1"/>
  <c r="BT134" i="1"/>
  <c r="CG168" i="1"/>
  <c r="BM168" i="1" s="1"/>
  <c r="BL168" i="1" s="1"/>
  <c r="CI168" i="1"/>
  <c r="CG309" i="1"/>
  <c r="CI309" i="1"/>
  <c r="CJ308" i="1"/>
  <c r="BM308" i="1" s="1"/>
  <c r="BL308" i="1" s="1"/>
  <c r="CL308" i="1"/>
  <c r="CG1036" i="1"/>
  <c r="CI1036" i="1"/>
  <c r="CG916" i="1"/>
  <c r="CI916" i="1"/>
  <c r="CJ148" i="1"/>
  <c r="BM148" i="1" s="1"/>
  <c r="BL148" i="1" s="1"/>
  <c r="CL148" i="1"/>
  <c r="BZ151" i="1"/>
  <c r="CC151" i="1"/>
  <c r="CF151" i="1"/>
  <c r="CI151" i="1"/>
  <c r="BR1172" i="1"/>
  <c r="BT1172" i="1"/>
  <c r="BX175" i="1"/>
  <c r="BZ175" i="1"/>
  <c r="DE1167" i="1"/>
  <c r="CL304" i="1"/>
  <c r="CI172" i="1"/>
  <c r="CR262" i="1"/>
  <c r="BZ866" i="1"/>
  <c r="BW866" i="1"/>
  <c r="CF866" i="1"/>
  <c r="CI1147" i="1"/>
  <c r="CG1147" i="1"/>
  <c r="CJ1176" i="1"/>
  <c r="CL1176" i="1"/>
  <c r="CJ430" i="1"/>
  <c r="CL430" i="1"/>
  <c r="CG200" i="1"/>
  <c r="CI200" i="1"/>
  <c r="CJ238" i="1"/>
  <c r="CL238" i="1"/>
  <c r="CG291" i="1"/>
  <c r="CI291" i="1"/>
  <c r="CG1019" i="1"/>
  <c r="CI1019" i="1"/>
  <c r="CL1012" i="1"/>
  <c r="CJ1012" i="1"/>
  <c r="BZ161" i="1"/>
  <c r="CC161" i="1"/>
  <c r="CR161" i="1"/>
  <c r="CF161" i="1"/>
  <c r="BT161" i="1"/>
  <c r="BU420" i="1"/>
  <c r="BW420" i="1"/>
  <c r="BQ60" i="1"/>
  <c r="BQ1448" i="1"/>
  <c r="CL1144" i="1"/>
  <c r="CI1151" i="1"/>
  <c r="CL386" i="1"/>
  <c r="CI1100" i="1"/>
  <c r="CF845" i="1"/>
  <c r="CJ174" i="1"/>
  <c r="CL174" i="1"/>
  <c r="BN86" i="1"/>
  <c r="BN10" i="1"/>
  <c r="CC881" i="1"/>
  <c r="BT881" i="1"/>
  <c r="CI881" i="1"/>
  <c r="CO881" i="1"/>
  <c r="BM354" i="1"/>
  <c r="BL354" i="1" s="1"/>
  <c r="BM295" i="1"/>
  <c r="BL295" i="1" s="1"/>
  <c r="BN789" i="1"/>
  <c r="BN46" i="1"/>
  <c r="BN813" i="1"/>
  <c r="BQ767" i="1"/>
  <c r="CC1148" i="1"/>
  <c r="CF499" i="1"/>
  <c r="CC370" i="1"/>
  <c r="BW286" i="1"/>
  <c r="CC286" i="1"/>
  <c r="BW902" i="1"/>
  <c r="BZ939" i="1"/>
  <c r="CF353" i="1"/>
  <c r="CC353" i="1"/>
  <c r="BT353" i="1"/>
  <c r="CC925" i="1"/>
  <c r="BT925" i="1"/>
  <c r="BZ925" i="1"/>
  <c r="CF925" i="1"/>
  <c r="BW925" i="1"/>
  <c r="CC1016" i="1"/>
  <c r="BW1016" i="1"/>
  <c r="CF1016" i="1"/>
  <c r="BZ1015" i="1"/>
  <c r="BW1015" i="1"/>
  <c r="CC1015" i="1"/>
  <c r="CF1015" i="1"/>
  <c r="BT1015" i="1"/>
  <c r="CC944" i="1"/>
  <c r="BW944" i="1"/>
  <c r="BZ944" i="1"/>
  <c r="BZ909" i="1"/>
  <c r="CF909" i="1"/>
  <c r="CC909" i="1"/>
  <c r="BT909" i="1"/>
  <c r="BN121" i="1"/>
  <c r="BN812" i="1"/>
  <c r="BN758" i="1"/>
  <c r="BN84" i="1"/>
  <c r="BN757" i="1"/>
  <c r="BN776" i="1"/>
  <c r="BN89" i="1"/>
  <c r="BN128" i="1"/>
  <c r="BN124" i="1"/>
  <c r="BN6" i="1"/>
  <c r="BN108" i="1"/>
  <c r="BN119" i="1"/>
  <c r="BN51" i="1"/>
  <c r="BN88" i="1"/>
  <c r="BN766" i="1"/>
  <c r="BN110" i="1"/>
  <c r="BN780" i="1"/>
  <c r="BN820" i="1"/>
  <c r="BN106" i="1"/>
  <c r="CI169" i="1"/>
  <c r="BN26" i="1"/>
  <c r="BN68" i="1"/>
  <c r="BN67" i="1"/>
  <c r="BN746" i="1"/>
  <c r="BN44" i="1"/>
  <c r="BT2" i="1"/>
  <c r="CF501" i="1"/>
  <c r="CF1239" i="1"/>
  <c r="CF965" i="1"/>
  <c r="BW965" i="1"/>
  <c r="BZ965" i="1"/>
  <c r="CC1051" i="1"/>
  <c r="BT1051" i="1"/>
  <c r="BW1051" i="1"/>
  <c r="BZ1051" i="1"/>
  <c r="BT294" i="1"/>
  <c r="BR294" i="1"/>
  <c r="BU294" i="1"/>
  <c r="BW294" i="1"/>
  <c r="CC954" i="1"/>
  <c r="BT954" i="1"/>
  <c r="BQ774" i="1"/>
  <c r="CR873" i="1"/>
  <c r="CR150" i="1"/>
  <c r="BT147" i="1"/>
  <c r="BN839" i="1"/>
  <c r="BN787" i="1"/>
  <c r="BQ812" i="1"/>
  <c r="BN805" i="1"/>
  <c r="BQ758" i="1"/>
  <c r="BN1451" i="1"/>
  <c r="BN804" i="1"/>
  <c r="BQ757" i="1"/>
  <c r="BN135" i="1"/>
  <c r="BN120" i="1"/>
  <c r="BN57" i="1"/>
  <c r="BQ128" i="1"/>
  <c r="BN763" i="1"/>
  <c r="BN756" i="1"/>
  <c r="BN835" i="1"/>
  <c r="BN28" i="1"/>
  <c r="BN818" i="1"/>
  <c r="BN825" i="1"/>
  <c r="BN112" i="1"/>
  <c r="BN829" i="1"/>
  <c r="BN802" i="1"/>
  <c r="BN828" i="1"/>
  <c r="BQ820" i="1"/>
  <c r="BN824" i="1"/>
  <c r="BQ106" i="1"/>
  <c r="CI1167" i="1"/>
  <c r="BN18" i="1"/>
  <c r="BN62" i="1"/>
  <c r="BN740" i="1"/>
  <c r="BN54" i="1"/>
  <c r="CF2" i="1"/>
  <c r="CC1149" i="1"/>
  <c r="BT286" i="1"/>
  <c r="CD1154" i="1"/>
  <c r="BP1154" i="1" s="1"/>
  <c r="BO1154" i="1" s="1"/>
  <c r="CF1154" i="1"/>
  <c r="BT1151" i="1"/>
  <c r="BZ1080" i="1"/>
  <c r="BT1080" i="1"/>
  <c r="CC320" i="1"/>
  <c r="BW320" i="1"/>
  <c r="CF255" i="1"/>
  <c r="BW255" i="1"/>
  <c r="CC255" i="1"/>
  <c r="CC252" i="1"/>
  <c r="BZ252" i="1"/>
  <c r="BT252" i="1"/>
  <c r="BW252" i="1"/>
  <c r="BZ227" i="1"/>
  <c r="BT227" i="1"/>
  <c r="CC227" i="1"/>
  <c r="CF227" i="1"/>
  <c r="CC211" i="1"/>
  <c r="BZ211" i="1"/>
  <c r="BW211" i="1"/>
  <c r="BR467" i="1"/>
  <c r="BT467" i="1"/>
  <c r="BR1121" i="1"/>
  <c r="BT1121" i="1"/>
  <c r="BZ283" i="1"/>
  <c r="CF283" i="1"/>
  <c r="BT283" i="1"/>
  <c r="CF1008" i="1"/>
  <c r="BT1008" i="1"/>
  <c r="CC1012" i="1"/>
  <c r="CC1151" i="1"/>
  <c r="BW1007" i="1"/>
  <c r="CC167" i="1"/>
  <c r="CF1150" i="1"/>
  <c r="CC1006" i="1"/>
  <c r="CF947" i="1"/>
  <c r="BT1107" i="1"/>
  <c r="BT354" i="1"/>
  <c r="CF997" i="1"/>
  <c r="BT967" i="1"/>
  <c r="CF1035" i="1"/>
  <c r="CC1035" i="1"/>
  <c r="CC313" i="1"/>
  <c r="BT313" i="1"/>
  <c r="BZ303" i="1"/>
  <c r="CF303" i="1"/>
  <c r="CC1022" i="1"/>
  <c r="BT1022" i="1"/>
  <c r="CF933" i="1"/>
  <c r="BW933" i="1"/>
  <c r="BW205" i="1"/>
  <c r="CF890" i="1"/>
  <c r="BT890" i="1"/>
  <c r="BW287" i="1"/>
  <c r="CC268" i="1"/>
  <c r="CC976" i="1"/>
  <c r="BW976" i="1"/>
  <c r="BZ971" i="1"/>
  <c r="BW971" i="1"/>
  <c r="CF240" i="1"/>
  <c r="BT924" i="1"/>
  <c r="BT897" i="1"/>
  <c r="BT889" i="1"/>
  <c r="BW889" i="1"/>
  <c r="BT880" i="1"/>
  <c r="CC1165" i="1"/>
  <c r="CF1165" i="1"/>
  <c r="BQ91" i="1"/>
  <c r="BZ284" i="1"/>
  <c r="CC284" i="1"/>
  <c r="BT284" i="1"/>
  <c r="BU891" i="1"/>
  <c r="BW891" i="1"/>
  <c r="BR1243" i="1"/>
  <c r="BT1243" i="1"/>
  <c r="BW1243" i="1"/>
  <c r="BQ77" i="1"/>
  <c r="BZ155" i="1"/>
  <c r="CC155" i="1"/>
  <c r="BT155" i="1"/>
  <c r="CF275" i="1"/>
  <c r="BT275" i="1"/>
  <c r="BQ810" i="1"/>
  <c r="BZ181" i="1"/>
  <c r="BW181" i="1"/>
  <c r="CC181" i="1"/>
  <c r="CC235" i="1"/>
  <c r="BW235" i="1"/>
  <c r="BQ843" i="1"/>
  <c r="BQ830" i="1"/>
  <c r="CF234" i="1"/>
  <c r="CC234" i="1"/>
  <c r="BT234" i="1"/>
  <c r="CC391" i="1"/>
  <c r="BT1100" i="1"/>
  <c r="BW209" i="1"/>
  <c r="CF854" i="1"/>
  <c r="BZ354" i="1"/>
  <c r="CF274" i="1"/>
  <c r="BZ997" i="1"/>
  <c r="BZ1055" i="1"/>
  <c r="BW1055" i="1"/>
  <c r="CC322" i="1"/>
  <c r="BZ322" i="1"/>
  <c r="BT319" i="1"/>
  <c r="CF992" i="1"/>
  <c r="BW980" i="1"/>
  <c r="BW1022" i="1"/>
  <c r="BT912" i="1"/>
  <c r="CF1009" i="1"/>
  <c r="BT1009" i="1"/>
  <c r="CC1004" i="1"/>
  <c r="BT1004" i="1"/>
  <c r="BZ268" i="1"/>
  <c r="CC989" i="1"/>
  <c r="BZ989" i="1"/>
  <c r="CF979" i="1"/>
  <c r="BT979" i="1"/>
  <c r="BT971" i="1"/>
  <c r="BT935" i="1"/>
  <c r="CF177" i="1"/>
  <c r="BZ179" i="1"/>
  <c r="BT179" i="1"/>
  <c r="BQ99" i="1"/>
  <c r="CF904" i="1"/>
  <c r="CC904" i="1"/>
  <c r="BQ811" i="1"/>
  <c r="BQ47" i="1"/>
  <c r="BQ32" i="1"/>
  <c r="BZ868" i="1"/>
  <c r="CC868" i="1"/>
  <c r="CF868" i="1"/>
  <c r="CF254" i="1"/>
  <c r="BT254" i="1"/>
  <c r="BW417" i="1"/>
  <c r="CC132" i="1"/>
  <c r="BT132" i="1"/>
  <c r="BW132" i="1"/>
  <c r="BZ203" i="1"/>
  <c r="BW203" i="1"/>
  <c r="CC203" i="1"/>
  <c r="BZ200" i="1"/>
  <c r="BQ784" i="1"/>
  <c r="BR1248" i="1"/>
  <c r="BP1248" i="1" s="1"/>
  <c r="BO1248" i="1" s="1"/>
  <c r="BT1248" i="1"/>
  <c r="BT168" i="1"/>
  <c r="CF922" i="1"/>
  <c r="BW183" i="1"/>
  <c r="CC967" i="1"/>
  <c r="CF967" i="1"/>
  <c r="BZ1024" i="1"/>
  <c r="BT1024" i="1"/>
  <c r="BW295" i="1"/>
  <c r="CF295" i="1"/>
  <c r="CF292" i="1"/>
  <c r="BW292" i="1"/>
  <c r="CC287" i="1"/>
  <c r="BZ287" i="1"/>
  <c r="CF1014" i="1"/>
  <c r="BW1014" i="1"/>
  <c r="CC876" i="1"/>
  <c r="BW876" i="1"/>
  <c r="CF249" i="1"/>
  <c r="BT249" i="1"/>
  <c r="CC240" i="1"/>
  <c r="BT240" i="1"/>
  <c r="BZ924" i="1"/>
  <c r="CF924" i="1"/>
  <c r="BZ897" i="1"/>
  <c r="CF897" i="1"/>
  <c r="BZ880" i="1"/>
  <c r="BW880" i="1"/>
  <c r="CC880" i="1"/>
  <c r="BZ942" i="1"/>
  <c r="CC942" i="1"/>
  <c r="CF942" i="1"/>
  <c r="CC218" i="1"/>
  <c r="BT218" i="1"/>
  <c r="BQ11" i="1"/>
  <c r="BZ264" i="1"/>
  <c r="BT264" i="1"/>
  <c r="CC283" i="1"/>
  <c r="BP897" i="1"/>
  <c r="BO897" i="1" s="1"/>
  <c r="BQ806" i="1"/>
  <c r="CF389" i="1"/>
  <c r="BW1020" i="1"/>
  <c r="CF864" i="1"/>
  <c r="BT949" i="1"/>
  <c r="BW372" i="1"/>
  <c r="CC431" i="1"/>
  <c r="CC891" i="1"/>
  <c r="BT1159" i="1"/>
  <c r="CF432" i="1"/>
  <c r="BT152" i="1"/>
  <c r="BT156" i="1"/>
  <c r="BQ754" i="1"/>
  <c r="BW337" i="1"/>
  <c r="BW1168" i="1"/>
  <c r="CF917" i="1"/>
  <c r="BQ87" i="1"/>
  <c r="BW886" i="1"/>
  <c r="DE1146" i="1"/>
  <c r="DC1146" i="1"/>
  <c r="DB1121" i="1"/>
  <c r="CZ1121" i="1"/>
  <c r="BE1176" i="1"/>
  <c r="BC1176" i="1"/>
  <c r="BI1148" i="1"/>
  <c r="BK1148" i="1"/>
  <c r="CY388" i="1"/>
  <c r="CW388" i="1"/>
  <c r="BK1222" i="1"/>
  <c r="BI1222" i="1"/>
  <c r="AX850" i="1"/>
  <c r="AW850" i="1" s="1"/>
  <c r="BC852" i="1"/>
  <c r="AX858" i="1"/>
  <c r="AW858" i="1" s="1"/>
  <c r="AX861" i="1"/>
  <c r="AW861" i="1" s="1"/>
  <c r="AX862" i="1"/>
  <c r="AW862" i="1" s="1"/>
  <c r="AX866" i="1"/>
  <c r="AW866" i="1" s="1"/>
  <c r="AX172" i="1"/>
  <c r="AW172" i="1" s="1"/>
  <c r="AX176" i="1"/>
  <c r="AW176" i="1" s="1"/>
  <c r="AX177" i="1"/>
  <c r="AW177" i="1" s="1"/>
  <c r="AX904" i="1"/>
  <c r="AW904" i="1" s="1"/>
  <c r="AZ909" i="1"/>
  <c r="AZ911" i="1"/>
  <c r="AZ914" i="1"/>
  <c r="AX233" i="1"/>
  <c r="AW233" i="1" s="1"/>
  <c r="AX954" i="1"/>
  <c r="AW954" i="1" s="1"/>
  <c r="AX965" i="1"/>
  <c r="AW965" i="1" s="1"/>
  <c r="AZ965" i="1"/>
  <c r="AX252" i="1"/>
  <c r="AW252" i="1" s="1"/>
  <c r="AX989" i="1"/>
  <c r="AW989" i="1" s="1"/>
  <c r="AX995" i="1"/>
  <c r="AW995" i="1" s="1"/>
  <c r="AZ143" i="1"/>
  <c r="AZ853" i="1"/>
  <c r="AZ171" i="1"/>
  <c r="AX1004" i="1"/>
  <c r="AW1004" i="1" s="1"/>
  <c r="AX278" i="1"/>
  <c r="AW278" i="1" s="1"/>
  <c r="AZ278" i="1"/>
  <c r="AX1014" i="1"/>
  <c r="AW1014" i="1" s="1"/>
  <c r="AZ1014" i="1"/>
  <c r="AX287" i="1"/>
  <c r="AW287" i="1" s="1"/>
  <c r="AX218" i="1"/>
  <c r="AW218" i="1" s="1"/>
  <c r="AZ218" i="1"/>
  <c r="AX221" i="1"/>
  <c r="AW221" i="1" s="1"/>
  <c r="AZ307" i="1"/>
  <c r="BI148" i="1"/>
  <c r="BK148" i="1"/>
  <c r="DB1010" i="1"/>
  <c r="CZ1010" i="1"/>
  <c r="BC891" i="1"/>
  <c r="BF896" i="1"/>
  <c r="BI305" i="1"/>
  <c r="BH1098" i="1"/>
  <c r="BF1098" i="1"/>
  <c r="BK376" i="1"/>
  <c r="BH385" i="1"/>
  <c r="BF385" i="1"/>
  <c r="CY390" i="1"/>
  <c r="CW390" i="1"/>
  <c r="BF1120" i="1"/>
  <c r="CZ1147" i="1"/>
  <c r="BH167" i="1"/>
  <c r="BF167" i="1"/>
  <c r="BF1095" i="1"/>
  <c r="BF1153" i="1"/>
  <c r="BH289" i="1"/>
  <c r="BF289" i="1"/>
  <c r="BI1161" i="1"/>
  <c r="CW184" i="1"/>
  <c r="CZ907" i="1"/>
  <c r="BH922" i="1"/>
  <c r="CZ922" i="1"/>
  <c r="BF1037" i="1"/>
  <c r="BH199" i="1"/>
  <c r="BF199" i="1"/>
  <c r="CY1112" i="1"/>
  <c r="CW1112" i="1"/>
  <c r="BK1012" i="1"/>
  <c r="BI1012" i="1"/>
  <c r="BI1105" i="1"/>
  <c r="BK1105" i="1"/>
  <c r="BC169" i="1"/>
  <c r="BE169" i="1"/>
  <c r="CW286" i="1"/>
  <c r="CY286" i="1"/>
  <c r="BC1160" i="1"/>
  <c r="BE1160" i="1"/>
  <c r="DB916" i="1"/>
  <c r="CZ916" i="1"/>
  <c r="DB391" i="1"/>
  <c r="CZ391" i="1"/>
  <c r="AX872" i="1"/>
  <c r="AW872" i="1" s="1"/>
  <c r="AX874" i="1"/>
  <c r="AW874" i="1" s="1"/>
  <c r="AX943" i="1"/>
  <c r="AW943" i="1" s="1"/>
  <c r="AX248" i="1"/>
  <c r="AW248" i="1" s="1"/>
  <c r="AZ248" i="1"/>
  <c r="AX971" i="1"/>
  <c r="AW971" i="1" s="1"/>
  <c r="AZ971" i="1"/>
  <c r="AX255" i="1"/>
  <c r="AW255" i="1" s="1"/>
  <c r="AX271" i="1"/>
  <c r="AW271" i="1" s="1"/>
  <c r="AZ271" i="1"/>
  <c r="AX1024" i="1"/>
  <c r="AW1024" i="1" s="1"/>
  <c r="BE1030" i="1"/>
  <c r="BC1030" i="1"/>
  <c r="BA1030" i="1" s="1"/>
  <c r="BF1010" i="1"/>
  <c r="BH1010" i="1"/>
  <c r="BF1094" i="1"/>
  <c r="CY209" i="1"/>
  <c r="CW209" i="1"/>
  <c r="CZ937" i="1"/>
  <c r="DB937" i="1"/>
  <c r="DE1111" i="1"/>
  <c r="DC1111" i="1"/>
  <c r="DC158" i="1"/>
  <c r="DE158" i="1"/>
  <c r="CZ279" i="1"/>
  <c r="DB279" i="1"/>
  <c r="DE309" i="1"/>
  <c r="DC309" i="1"/>
  <c r="DB1091" i="1"/>
  <c r="CZ1091" i="1"/>
  <c r="CW1154" i="1"/>
  <c r="CY1154" i="1"/>
  <c r="BC1214" i="1"/>
  <c r="BE1214" i="1"/>
  <c r="AX234" i="1"/>
  <c r="AW234" i="1" s="1"/>
  <c r="AX275" i="1"/>
  <c r="AW275" i="1" s="1"/>
  <c r="AZ275" i="1"/>
  <c r="AX876" i="1"/>
  <c r="AW876" i="1" s="1"/>
  <c r="AZ876" i="1"/>
  <c r="AX867" i="1"/>
  <c r="AW867" i="1" s="1"/>
  <c r="AZ867" i="1"/>
  <c r="DB387" i="1"/>
  <c r="CZ387" i="1"/>
  <c r="AX146" i="1"/>
  <c r="AW146" i="1" s="1"/>
  <c r="CW42" i="1"/>
  <c r="CT42" i="1" s="1"/>
  <c r="CS42" i="1" s="1"/>
  <c r="AX150" i="1"/>
  <c r="AW150" i="1" s="1"/>
  <c r="AX160" i="1"/>
  <c r="AW160" i="1" s="1"/>
  <c r="AX165" i="1"/>
  <c r="AW165" i="1" s="1"/>
  <c r="AX880" i="1"/>
  <c r="AW880" i="1" s="1"/>
  <c r="AX882" i="1"/>
  <c r="AW882" i="1" s="1"/>
  <c r="AX188" i="1"/>
  <c r="AW188" i="1" s="1"/>
  <c r="AX908" i="1"/>
  <c r="AW908" i="1" s="1"/>
  <c r="AX920" i="1"/>
  <c r="AW920" i="1" s="1"/>
  <c r="AX207" i="1"/>
  <c r="AW207" i="1" s="1"/>
  <c r="AZ207" i="1"/>
  <c r="AX236" i="1"/>
  <c r="AW236" i="1" s="1"/>
  <c r="AZ977" i="1"/>
  <c r="AZ984" i="1"/>
  <c r="AX265" i="1"/>
  <c r="AW265" i="1" s="1"/>
  <c r="AX991" i="1"/>
  <c r="AW991" i="1" s="1"/>
  <c r="AZ999" i="1"/>
  <c r="AZ161" i="1"/>
  <c r="AX883" i="1"/>
  <c r="AW883" i="1" s="1"/>
  <c r="AZ883" i="1"/>
  <c r="AX276" i="1"/>
  <c r="AW276" i="1" s="1"/>
  <c r="AX1008" i="1"/>
  <c r="AW1008" i="1" s="1"/>
  <c r="AX282" i="1"/>
  <c r="AW282" i="1" s="1"/>
  <c r="AZ282" i="1"/>
  <c r="AZ173" i="1"/>
  <c r="AX293" i="1"/>
  <c r="AW293" i="1" s="1"/>
  <c r="AZ208" i="1"/>
  <c r="AX933" i="1"/>
  <c r="AW933" i="1" s="1"/>
  <c r="BH277" i="1"/>
  <c r="BF277" i="1"/>
  <c r="DC891" i="1"/>
  <c r="DE891" i="1"/>
  <c r="DE382" i="1"/>
  <c r="BH947" i="1"/>
  <c r="BF947" i="1"/>
  <c r="BE308" i="1"/>
  <c r="CW359" i="1"/>
  <c r="CT359" i="1" s="1"/>
  <c r="CS359" i="1" s="1"/>
  <c r="BK1150" i="1"/>
  <c r="BI1150" i="1"/>
  <c r="BE423" i="1"/>
  <c r="CW423" i="1"/>
  <c r="DE1158" i="1"/>
  <c r="DC1158" i="1"/>
  <c r="BK892" i="1"/>
  <c r="BI892" i="1"/>
  <c r="BC1007" i="1"/>
  <c r="BE1007" i="1"/>
  <c r="BF1091" i="1"/>
  <c r="BH1091" i="1"/>
  <c r="CZ290" i="1"/>
  <c r="DB290" i="1"/>
  <c r="BE918" i="1"/>
  <c r="BC918" i="1"/>
  <c r="BA918" i="1" s="1"/>
  <c r="AZ918" i="1" s="1"/>
  <c r="BE469" i="1"/>
  <c r="BC469" i="1"/>
  <c r="BA469" i="1" s="1"/>
  <c r="BH1228" i="1"/>
  <c r="BF1228" i="1"/>
  <c r="BK487" i="1"/>
  <c r="BI487" i="1"/>
  <c r="AX195" i="1"/>
  <c r="AW195" i="1" s="1"/>
  <c r="AX196" i="1"/>
  <c r="AW196" i="1" s="1"/>
  <c r="AX202" i="1"/>
  <c r="AW202" i="1" s="1"/>
  <c r="AX1016" i="1"/>
  <c r="AW1016" i="1" s="1"/>
  <c r="AX890" i="1"/>
  <c r="AW890" i="1" s="1"/>
  <c r="AX910" i="1"/>
  <c r="AW910" i="1" s="1"/>
  <c r="AX205" i="1"/>
  <c r="AW205" i="1" s="1"/>
  <c r="BA295" i="1"/>
  <c r="AZ295" i="1" s="1"/>
  <c r="AX912" i="1"/>
  <c r="AW912" i="1" s="1"/>
  <c r="AX1022" i="1"/>
  <c r="AW1022" i="1" s="1"/>
  <c r="BC1091" i="1"/>
  <c r="DC1091" i="1"/>
  <c r="DC373" i="1"/>
  <c r="CT373" i="1" s="1"/>
  <c r="CS373" i="1" s="1"/>
  <c r="BH1144" i="1"/>
  <c r="DB1144" i="1"/>
  <c r="BI1154" i="1"/>
  <c r="DC168" i="1"/>
  <c r="CW1148" i="1"/>
  <c r="DE1164" i="1"/>
  <c r="BI893" i="1"/>
  <c r="BH200" i="1"/>
  <c r="BF310" i="1"/>
  <c r="DC1166" i="1"/>
  <c r="DC469" i="1"/>
  <c r="BK1149" i="1"/>
  <c r="BI1149" i="1"/>
  <c r="BK1243" i="1"/>
  <c r="BI1243" i="1"/>
  <c r="DB903" i="1"/>
  <c r="CZ903" i="1"/>
  <c r="BH1146" i="1"/>
  <c r="BH1096" i="1"/>
  <c r="CZ1096" i="1"/>
  <c r="CW1164" i="1"/>
  <c r="CW465" i="1"/>
  <c r="CT465" i="1" s="1"/>
  <c r="CS465" i="1" s="1"/>
  <c r="BE893" i="1"/>
  <c r="BK918" i="1"/>
  <c r="BC1171" i="1"/>
  <c r="CZ1226" i="1"/>
  <c r="BI291" i="1"/>
  <c r="BK291" i="1"/>
  <c r="CW1149" i="1"/>
  <c r="CY1149" i="1"/>
  <c r="BC300" i="1"/>
  <c r="BE300" i="1"/>
  <c r="DC502" i="1"/>
  <c r="DE502" i="1"/>
  <c r="BF903" i="1"/>
  <c r="BH903" i="1"/>
  <c r="CW1160" i="1"/>
  <c r="CY1160" i="1"/>
  <c r="CW1239" i="1"/>
  <c r="CY1239" i="1"/>
  <c r="BK1029" i="1"/>
  <c r="BI1029" i="1"/>
  <c r="BF1172" i="1"/>
  <c r="BH1172" i="1"/>
  <c r="CY363" i="1"/>
  <c r="CW363" i="1"/>
  <c r="CT363" i="1" s="1"/>
  <c r="CS363" i="1" s="1"/>
  <c r="CJ229" i="1"/>
  <c r="BQ38" i="1"/>
  <c r="BN747" i="1"/>
  <c r="BQ815" i="1"/>
  <c r="BN79" i="1"/>
  <c r="BQ753" i="1"/>
  <c r="BN4" i="1"/>
  <c r="BQ58" i="1"/>
  <c r="BN783" i="1"/>
  <c r="BQ750" i="1"/>
  <c r="BZ777" i="1"/>
  <c r="BQ745" i="1"/>
  <c r="BN778" i="1"/>
  <c r="BQ24" i="1"/>
  <c r="BW164" i="1"/>
  <c r="BZ164" i="1"/>
  <c r="BW881" i="1"/>
  <c r="BZ881" i="1"/>
  <c r="BZ366" i="1"/>
  <c r="BT366" i="1"/>
  <c r="CD871" i="1"/>
  <c r="CF871" i="1"/>
  <c r="BI1239" i="1"/>
  <c r="CY1243" i="1"/>
  <c r="DB502" i="1"/>
  <c r="BC504" i="1"/>
  <c r="BC1172" i="1"/>
  <c r="BQ6" i="1"/>
  <c r="BQ108" i="1"/>
  <c r="BQ51" i="1"/>
  <c r="BQ110" i="1"/>
  <c r="BQ790" i="1"/>
  <c r="BQ103" i="1"/>
  <c r="BQ105" i="1"/>
  <c r="CI372" i="1"/>
  <c r="CL310" i="1"/>
  <c r="CL168" i="1"/>
  <c r="CL1146" i="1"/>
  <c r="CI1007" i="1"/>
  <c r="CR146" i="1"/>
  <c r="CC146" i="1"/>
  <c r="CR848" i="1"/>
  <c r="CC848" i="1"/>
  <c r="CR846" i="1"/>
  <c r="CC846" i="1"/>
  <c r="CR134" i="1"/>
  <c r="CC134" i="1"/>
  <c r="CR840" i="1"/>
  <c r="CC840" i="1"/>
  <c r="BZ1148" i="1"/>
  <c r="BT1152" i="1"/>
  <c r="BR1152" i="1"/>
  <c r="BM1152" i="1" s="1"/>
  <c r="BL1152" i="1" s="1"/>
  <c r="BN1633" i="1"/>
  <c r="BQ776" i="1"/>
  <c r="BQ89" i="1"/>
  <c r="BQ124" i="1"/>
  <c r="BQ119" i="1"/>
  <c r="BQ785" i="1"/>
  <c r="CL1168" i="1"/>
  <c r="CL1151" i="1"/>
  <c r="CR866" i="1"/>
  <c r="CC866" i="1"/>
  <c r="CI852" i="1"/>
  <c r="CO146" i="1"/>
  <c r="BZ146" i="1"/>
  <c r="CO848" i="1"/>
  <c r="BZ848" i="1"/>
  <c r="CO846" i="1"/>
  <c r="BZ846" i="1"/>
  <c r="CO134" i="1"/>
  <c r="BZ134" i="1"/>
  <c r="CO840" i="1"/>
  <c r="BZ840" i="1"/>
  <c r="BM487" i="1"/>
  <c r="BL487" i="1" s="1"/>
  <c r="CG1114" i="1"/>
  <c r="CJ1023" i="1"/>
  <c r="CF164" i="1"/>
  <c r="CF881" i="1"/>
  <c r="BT501" i="1"/>
  <c r="CD1013" i="1"/>
  <c r="CF1013" i="1"/>
  <c r="CL1165" i="1"/>
  <c r="CL290" i="1"/>
  <c r="CL893" i="1"/>
  <c r="CI312" i="1"/>
  <c r="CI1037" i="1"/>
  <c r="CL1148" i="1"/>
  <c r="CI300" i="1"/>
  <c r="CL314" i="1"/>
  <c r="CI939" i="1"/>
  <c r="CI1108" i="1"/>
  <c r="CI1006" i="1"/>
  <c r="CO866" i="1"/>
  <c r="CF852" i="1"/>
  <c r="CR147" i="1"/>
  <c r="CI146" i="1"/>
  <c r="CI848" i="1"/>
  <c r="CI846" i="1"/>
  <c r="CI134" i="1"/>
  <c r="CI840" i="1"/>
  <c r="CJ215" i="1"/>
  <c r="CJ1172" i="1"/>
  <c r="BM918" i="1"/>
  <c r="BL918" i="1" s="1"/>
  <c r="CG938" i="1"/>
  <c r="CJ191" i="1"/>
  <c r="CG901" i="1"/>
  <c r="BN23" i="1"/>
  <c r="BN801" i="1"/>
  <c r="BN59" i="1"/>
  <c r="BN55" i="1"/>
  <c r="BN12" i="1"/>
  <c r="BN798" i="1"/>
  <c r="BN768" i="1"/>
  <c r="BN1449" i="1"/>
  <c r="BN20" i="1"/>
  <c r="BN9" i="1"/>
  <c r="BT777" i="1"/>
  <c r="BT1148" i="1"/>
  <c r="BT151" i="1"/>
  <c r="BR185" i="1"/>
  <c r="BT185" i="1"/>
  <c r="BZ185" i="1"/>
  <c r="BR1239" i="1"/>
  <c r="BM1239" i="1" s="1"/>
  <c r="BL1239" i="1" s="1"/>
  <c r="BT1239" i="1"/>
  <c r="BT370" i="1"/>
  <c r="BR370" i="1"/>
  <c r="BZ1226" i="1"/>
  <c r="CC934" i="1"/>
  <c r="CC183" i="1"/>
  <c r="BZ884" i="1"/>
  <c r="CF884" i="1"/>
  <c r="BZ962" i="1"/>
  <c r="BW962" i="1"/>
  <c r="CF962" i="1"/>
  <c r="BZ1017" i="1"/>
  <c r="BW1017" i="1"/>
  <c r="CC1017" i="1"/>
  <c r="CF1017" i="1"/>
  <c r="BZ859" i="1"/>
  <c r="BW859" i="1"/>
  <c r="CC859" i="1"/>
  <c r="CF859" i="1"/>
  <c r="BZ977" i="1"/>
  <c r="BW977" i="1"/>
  <c r="CC977" i="1"/>
  <c r="CF977" i="1"/>
  <c r="BZ233" i="1"/>
  <c r="BW233" i="1"/>
  <c r="CC233" i="1"/>
  <c r="CF233" i="1"/>
  <c r="BZ187" i="1"/>
  <c r="BW187" i="1"/>
  <c r="CC187" i="1"/>
  <c r="CF187" i="1"/>
  <c r="BU1159" i="1"/>
  <c r="BW1159" i="1"/>
  <c r="CC236" i="1"/>
  <c r="BZ236" i="1"/>
  <c r="BT236" i="1"/>
  <c r="BW236" i="1"/>
  <c r="BR184" i="1"/>
  <c r="BT184" i="1"/>
  <c r="BZ1239" i="1"/>
  <c r="CC1228" i="1"/>
  <c r="CF1169" i="1"/>
  <c r="CC1113" i="1"/>
  <c r="BT1033" i="1"/>
  <c r="CC939" i="1"/>
  <c r="BW168" i="1"/>
  <c r="CC168" i="1"/>
  <c r="BZ1154" i="1"/>
  <c r="BR1007" i="1"/>
  <c r="BT922" i="1"/>
  <c r="BT1161" i="1"/>
  <c r="BW167" i="1"/>
  <c r="CF782" i="1"/>
  <c r="CF390" i="1"/>
  <c r="BT308" i="1"/>
  <c r="BW378" i="1"/>
  <c r="BW376" i="1"/>
  <c r="BW305" i="1"/>
  <c r="BT209" i="1"/>
  <c r="CF190" i="1"/>
  <c r="BZ367" i="1"/>
  <c r="BW367" i="1"/>
  <c r="CF357" i="1"/>
  <c r="CC357" i="1"/>
  <c r="CF354" i="1"/>
  <c r="BZ1066" i="1"/>
  <c r="CF960" i="1"/>
  <c r="CC960" i="1"/>
  <c r="BZ323" i="1"/>
  <c r="BW323" i="1"/>
  <c r="CF1045" i="1"/>
  <c r="BT1045" i="1"/>
  <c r="BT320" i="1"/>
  <c r="CF262" i="1"/>
  <c r="BZ262" i="1"/>
  <c r="BW262" i="1"/>
  <c r="BT980" i="1"/>
  <c r="CC980" i="1"/>
  <c r="CF253" i="1"/>
  <c r="BQ253" i="1" s="1"/>
  <c r="CF1026" i="1"/>
  <c r="BZ1026" i="1"/>
  <c r="BW1026" i="1"/>
  <c r="CF921" i="1"/>
  <c r="CC921" i="1"/>
  <c r="CC205" i="1"/>
  <c r="BT205" i="1"/>
  <c r="BZ205" i="1"/>
  <c r="BZ908" i="1"/>
  <c r="BT908" i="1"/>
  <c r="BX1160" i="1"/>
  <c r="BZ1160" i="1"/>
  <c r="BZ258" i="1"/>
  <c r="BT258" i="1"/>
  <c r="CC258" i="1"/>
  <c r="CF258" i="1"/>
  <c r="BZ424" i="1"/>
  <c r="BR180" i="1"/>
  <c r="BT180" i="1"/>
  <c r="BU180" i="1"/>
  <c r="BW180" i="1"/>
  <c r="BZ871" i="1"/>
  <c r="BZ1169" i="1"/>
  <c r="BW314" i="1"/>
  <c r="BZ1033" i="1"/>
  <c r="BW369" i="1"/>
  <c r="BW465" i="1"/>
  <c r="BW1096" i="1"/>
  <c r="BW191" i="1"/>
  <c r="BT279" i="1"/>
  <c r="BW391" i="1"/>
  <c r="BW1114" i="1"/>
  <c r="BW1111" i="1"/>
  <c r="CC378" i="1"/>
  <c r="BR1107" i="1"/>
  <c r="CC376" i="1"/>
  <c r="BR1100" i="1"/>
  <c r="CC305" i="1"/>
  <c r="BZ229" i="1"/>
  <c r="BZ209" i="1"/>
  <c r="BT206" i="1"/>
  <c r="BT884" i="1"/>
  <c r="CC854" i="1"/>
  <c r="BT854" i="1"/>
  <c r="CC1080" i="1"/>
  <c r="CF1080" i="1"/>
  <c r="CC344" i="1"/>
  <c r="CF344" i="1"/>
  <c r="BZ274" i="1"/>
  <c r="BW274" i="1"/>
  <c r="CF1000" i="1"/>
  <c r="BT1000" i="1"/>
  <c r="CC329" i="1"/>
  <c r="BT329" i="1"/>
  <c r="CF320" i="1"/>
  <c r="CC319" i="1"/>
  <c r="BZ319" i="1"/>
  <c r="BT962" i="1"/>
  <c r="BX1023" i="1"/>
  <c r="BP1023" i="1" s="1"/>
  <c r="BO1023" i="1" s="1"/>
  <c r="BZ1023" i="1"/>
  <c r="CF936" i="1"/>
  <c r="CC936" i="1"/>
  <c r="CC933" i="1"/>
  <c r="BT933" i="1"/>
  <c r="BZ933" i="1"/>
  <c r="CC293" i="1"/>
  <c r="CF293" i="1"/>
  <c r="CF276" i="1"/>
  <c r="BZ276" i="1"/>
  <c r="CC276" i="1"/>
  <c r="BT276" i="1"/>
  <c r="CC853" i="1"/>
  <c r="CF853" i="1"/>
  <c r="CF990" i="1"/>
  <c r="BZ990" i="1"/>
  <c r="CC990" i="1"/>
  <c r="BT990" i="1"/>
  <c r="CC256" i="1"/>
  <c r="CF256" i="1"/>
  <c r="CF245" i="1"/>
  <c r="BZ245" i="1"/>
  <c r="CC245" i="1"/>
  <c r="BT245" i="1"/>
  <c r="BU907" i="1"/>
  <c r="BW907" i="1"/>
  <c r="BU431" i="1"/>
  <c r="BW431" i="1"/>
  <c r="BZ914" i="1"/>
  <c r="BW914" i="1"/>
  <c r="CF914" i="1"/>
  <c r="CC914" i="1"/>
  <c r="BT914" i="1"/>
  <c r="BZ483" i="1"/>
  <c r="BZ499" i="1"/>
  <c r="CC420" i="1"/>
  <c r="BT487" i="1"/>
  <c r="BZ1105" i="1"/>
  <c r="CF1226" i="1"/>
  <c r="BT1113" i="1"/>
  <c r="CC1033" i="1"/>
  <c r="BT939" i="1"/>
  <c r="CA1012" i="1"/>
  <c r="BT280" i="1"/>
  <c r="BZ168" i="1"/>
  <c r="BW1108" i="1"/>
  <c r="BZ191" i="1"/>
  <c r="BW1161" i="1"/>
  <c r="BT386" i="1"/>
  <c r="CA183" i="1"/>
  <c r="BP183" i="1" s="1"/>
  <c r="BO183" i="1" s="1"/>
  <c r="CC363" i="1"/>
  <c r="CC884" i="1"/>
  <c r="BW854" i="1"/>
  <c r="BW1080" i="1"/>
  <c r="BP1080" i="1"/>
  <c r="BO1080" i="1" s="1"/>
  <c r="BZ353" i="1"/>
  <c r="BW353" i="1"/>
  <c r="CF1077" i="1"/>
  <c r="BT1077" i="1"/>
  <c r="BP346" i="1"/>
  <c r="BO346" i="1" s="1"/>
  <c r="BW344" i="1"/>
  <c r="BT274" i="1"/>
  <c r="BT1066" i="1"/>
  <c r="CC1065" i="1"/>
  <c r="CF1065" i="1"/>
  <c r="BW329" i="1"/>
  <c r="BZ320" i="1"/>
  <c r="BW319" i="1"/>
  <c r="CF1038" i="1"/>
  <c r="CC1038" i="1"/>
  <c r="CC992" i="1"/>
  <c r="BZ992" i="1"/>
  <c r="BT992" i="1"/>
  <c r="CC962" i="1"/>
  <c r="CF1021" i="1"/>
  <c r="CC1021" i="1"/>
  <c r="CC295" i="1"/>
  <c r="BZ295" i="1"/>
  <c r="BT295" i="1"/>
  <c r="BZ197" i="1"/>
  <c r="BW197" i="1"/>
  <c r="CF197" i="1"/>
  <c r="BT1017" i="1"/>
  <c r="CC1005" i="1"/>
  <c r="BZ1005" i="1"/>
  <c r="CF1005" i="1"/>
  <c r="BT1005" i="1"/>
  <c r="BT859" i="1"/>
  <c r="CC266" i="1"/>
  <c r="BZ266" i="1"/>
  <c r="CF266" i="1"/>
  <c r="BT266" i="1"/>
  <c r="BT977" i="1"/>
  <c r="CC246" i="1"/>
  <c r="BZ246" i="1"/>
  <c r="CF246" i="1"/>
  <c r="BT246" i="1"/>
  <c r="BT233" i="1"/>
  <c r="BZ930" i="1"/>
  <c r="BW930" i="1"/>
  <c r="CC930" i="1"/>
  <c r="CF930" i="1"/>
  <c r="BZ196" i="1"/>
  <c r="BW196" i="1"/>
  <c r="CC196" i="1"/>
  <c r="CF196" i="1"/>
  <c r="BT187" i="1"/>
  <c r="BR869" i="1"/>
  <c r="BT869" i="1"/>
  <c r="CA1144" i="1"/>
  <c r="CC1144" i="1"/>
  <c r="BZ1048" i="1"/>
  <c r="BT1048" i="1"/>
  <c r="CC1048" i="1"/>
  <c r="CF1048" i="1"/>
  <c r="CC984" i="1"/>
  <c r="BZ984" i="1"/>
  <c r="BW984" i="1"/>
  <c r="BT984" i="1"/>
  <c r="BZ148" i="1"/>
  <c r="BT978" i="1"/>
  <c r="CF313" i="1"/>
  <c r="CF1024" i="1"/>
  <c r="BT303" i="1"/>
  <c r="BW900" i="1"/>
  <c r="BT182" i="1"/>
  <c r="BZ1016" i="1"/>
  <c r="BZ292" i="1"/>
  <c r="BT1014" i="1"/>
  <c r="BW1009" i="1"/>
  <c r="BZ1009" i="1"/>
  <c r="CF282" i="1"/>
  <c r="BT876" i="1"/>
  <c r="BZ1002" i="1"/>
  <c r="BZ996" i="1"/>
  <c r="CF991" i="1"/>
  <c r="BT263" i="1"/>
  <c r="BZ976" i="1"/>
  <c r="BZ255" i="1"/>
  <c r="BT965" i="1"/>
  <c r="BW249" i="1"/>
  <c r="BZ249" i="1"/>
  <c r="CF959" i="1"/>
  <c r="BT944" i="1"/>
  <c r="BZ889" i="1"/>
  <c r="CC177" i="1"/>
  <c r="BT882" i="1"/>
  <c r="BZ1166" i="1"/>
  <c r="BW1144" i="1"/>
  <c r="BZ1165" i="1"/>
  <c r="BQ781" i="1"/>
  <c r="CF1051" i="1"/>
  <c r="BT247" i="1"/>
  <c r="BW165" i="1"/>
  <c r="BR1160" i="1"/>
  <c r="BT1160" i="1"/>
  <c r="BQ74" i="1"/>
  <c r="BT302" i="1"/>
  <c r="CC163" i="1"/>
  <c r="BZ163" i="1"/>
  <c r="BW163" i="1"/>
  <c r="BT172" i="1"/>
  <c r="CC170" i="1"/>
  <c r="BZ170" i="1"/>
  <c r="BW170" i="1"/>
  <c r="BT133" i="1"/>
  <c r="CC932" i="1"/>
  <c r="BZ932" i="1"/>
  <c r="BT932" i="1"/>
  <c r="BW932" i="1"/>
  <c r="BR1147" i="1"/>
  <c r="BT1147" i="1"/>
  <c r="BU1147" i="1"/>
  <c r="BW1147" i="1"/>
  <c r="BR1010" i="1"/>
  <c r="BT1010" i="1"/>
  <c r="BX1010" i="1"/>
  <c r="BZ1010" i="1"/>
  <c r="CC893" i="1"/>
  <c r="BW893" i="1"/>
  <c r="BX892" i="1"/>
  <c r="BZ892" i="1"/>
  <c r="BX907" i="1"/>
  <c r="BZ907" i="1"/>
  <c r="BR372" i="1"/>
  <c r="BT372" i="1"/>
  <c r="BQ39" i="1"/>
  <c r="CF218" i="1"/>
  <c r="BZ218" i="1"/>
  <c r="BW218" i="1"/>
  <c r="BZ373" i="1"/>
  <c r="BR1224" i="1"/>
  <c r="BT1224" i="1"/>
  <c r="CD483" i="1"/>
  <c r="CF483" i="1"/>
  <c r="CC867" i="1"/>
  <c r="BZ867" i="1"/>
  <c r="BW867" i="1"/>
  <c r="CC189" i="1"/>
  <c r="BZ189" i="1"/>
  <c r="BW189" i="1"/>
  <c r="CA1091" i="1"/>
  <c r="CC1091" i="1"/>
  <c r="BZ917" i="1"/>
  <c r="CF900" i="1"/>
  <c r="BT1016" i="1"/>
  <c r="BT292" i="1"/>
  <c r="BT1002" i="1"/>
  <c r="BT996" i="1"/>
  <c r="BT976" i="1"/>
  <c r="BT255" i="1"/>
  <c r="BT177" i="1"/>
  <c r="BT1166" i="1"/>
  <c r="BQ35" i="1"/>
  <c r="BZ904" i="1"/>
  <c r="BT904" i="1"/>
  <c r="CC1160" i="1"/>
  <c r="BZ786" i="1"/>
  <c r="BW786" i="1"/>
  <c r="CC166" i="1"/>
  <c r="BZ166" i="1"/>
  <c r="BW166" i="1"/>
  <c r="BZ955" i="1"/>
  <c r="CC955" i="1"/>
  <c r="BT955" i="1"/>
  <c r="CF172" i="1"/>
  <c r="BZ172" i="1"/>
  <c r="BW172" i="1"/>
  <c r="BZ133" i="1"/>
  <c r="BW133" i="1"/>
  <c r="CF133" i="1"/>
  <c r="BZ202" i="1"/>
  <c r="BW202" i="1"/>
  <c r="CC202" i="1"/>
  <c r="CF202" i="1"/>
  <c r="BQ107" i="1"/>
  <c r="CC1061" i="1"/>
  <c r="BZ1061" i="1"/>
  <c r="BT1061" i="1"/>
  <c r="BW1061" i="1"/>
  <c r="BU1037" i="1"/>
  <c r="BW1037" i="1"/>
  <c r="CC372" i="1"/>
  <c r="BQ97" i="1"/>
  <c r="CF1171" i="1"/>
  <c r="CF284" i="1"/>
  <c r="BW387" i="1"/>
  <c r="BT304" i="1"/>
  <c r="CC423" i="1"/>
  <c r="CF264" i="1"/>
  <c r="CC294" i="1"/>
  <c r="BQ75" i="1"/>
  <c r="CF155" i="1"/>
  <c r="BZ261" i="1"/>
  <c r="BZ954" i="1"/>
  <c r="BZ307" i="1"/>
  <c r="BW188" i="1"/>
  <c r="BZ188" i="1"/>
  <c r="BW254" i="1"/>
  <c r="BZ254" i="1"/>
  <c r="BZ237" i="1"/>
  <c r="BW221" i="1"/>
  <c r="BZ221" i="1"/>
  <c r="BZ290" i="1"/>
  <c r="BW275" i="1"/>
  <c r="BZ275" i="1"/>
  <c r="BZ432" i="1"/>
  <c r="BZ388" i="1"/>
  <c r="BZ862" i="1"/>
  <c r="BZ941" i="1"/>
  <c r="BZ271" i="1"/>
  <c r="CC271" i="1"/>
  <c r="CC200" i="1"/>
  <c r="BZ310" i="1"/>
  <c r="BZ1158" i="1"/>
  <c r="CC180" i="1"/>
  <c r="BW1091" i="1"/>
  <c r="BQ114" i="1"/>
  <c r="BQ52" i="1"/>
  <c r="BZ1170" i="1"/>
  <c r="BR310" i="1"/>
  <c r="BT310" i="1"/>
  <c r="CC945" i="1"/>
  <c r="CF945" i="1"/>
  <c r="BZ207" i="1"/>
  <c r="CC207" i="1"/>
  <c r="CF207" i="1"/>
  <c r="CC1097" i="1"/>
  <c r="CF1097" i="1"/>
  <c r="BX1019" i="1"/>
  <c r="BZ1019" i="1"/>
  <c r="CF931" i="1"/>
  <c r="BT931" i="1"/>
  <c r="BW931" i="1"/>
  <c r="BZ1008" i="1"/>
  <c r="BW1008" i="1"/>
  <c r="CC1008" i="1"/>
  <c r="BZ1171" i="1"/>
  <c r="BQ796" i="1"/>
  <c r="CC387" i="1"/>
  <c r="BZ304" i="1"/>
  <c r="BQ771" i="1"/>
  <c r="CC503" i="1"/>
  <c r="BW261" i="1"/>
  <c r="BW954" i="1"/>
  <c r="BQ70" i="1"/>
  <c r="BT863" i="1"/>
  <c r="BQ76" i="1"/>
  <c r="BW237" i="1"/>
  <c r="CC1010" i="1"/>
  <c r="BT388" i="1"/>
  <c r="BZ389" i="1"/>
  <c r="BT211" i="1"/>
  <c r="BW862" i="1"/>
  <c r="BW941" i="1"/>
  <c r="BR1170" i="1"/>
  <c r="BT1170" i="1"/>
  <c r="BT271" i="1"/>
  <c r="BW200" i="1"/>
  <c r="BW945" i="1"/>
  <c r="BQ95" i="1"/>
  <c r="CC892" i="1"/>
  <c r="BW1097" i="1"/>
  <c r="BR1019" i="1"/>
  <c r="BT1019" i="1"/>
  <c r="CC894" i="1"/>
  <c r="BT894" i="1"/>
  <c r="CC194" i="1"/>
  <c r="BZ194" i="1"/>
  <c r="CF194" i="1"/>
  <c r="BW156" i="1"/>
  <c r="BQ72" i="1"/>
  <c r="BW238" i="1"/>
  <c r="BZ1248" i="1"/>
  <c r="BQ819" i="1"/>
  <c r="BZ1095" i="1"/>
  <c r="BZ235" i="1"/>
  <c r="BQ36" i="1"/>
  <c r="CC864" i="1"/>
  <c r="CC1037" i="1"/>
  <c r="BZ234" i="1"/>
  <c r="BW283" i="1"/>
  <c r="CC291" i="1"/>
  <c r="CC1019" i="1"/>
  <c r="BZ1037" i="1"/>
  <c r="CF427" i="1"/>
  <c r="BQ838" i="1"/>
  <c r="BE1006" i="1"/>
  <c r="BC1006" i="1"/>
  <c r="CY917" i="1"/>
  <c r="CW917" i="1"/>
  <c r="DC922" i="1"/>
  <c r="DE922" i="1"/>
  <c r="CY1146" i="1"/>
  <c r="CW1146" i="1"/>
  <c r="BF174" i="1"/>
  <c r="BH174" i="1"/>
  <c r="CW1012" i="1"/>
  <c r="CY1012" i="1"/>
  <c r="DB918" i="1"/>
  <c r="CZ918" i="1"/>
  <c r="CZ388" i="1"/>
  <c r="DB388" i="1"/>
  <c r="CY1169" i="1"/>
  <c r="CW1169" i="1"/>
  <c r="CT1169" i="1" s="1"/>
  <c r="CS1169" i="1" s="1"/>
  <c r="BK1228" i="1"/>
  <c r="BI1228" i="1"/>
  <c r="CY870" i="1"/>
  <c r="CW870" i="1"/>
  <c r="CT870" i="1" s="1"/>
  <c r="CS870" i="1" s="1"/>
  <c r="CZ893" i="1"/>
  <c r="DB893" i="1"/>
  <c r="BH42" i="1"/>
  <c r="CY852" i="1"/>
  <c r="DB898" i="1"/>
  <c r="CW900" i="1"/>
  <c r="CT900" i="1" s="1"/>
  <c r="CS900" i="1" s="1"/>
  <c r="BF148" i="1"/>
  <c r="DB277" i="1"/>
  <c r="BC1010" i="1"/>
  <c r="BC1018" i="1"/>
  <c r="BA1018" i="1" s="1"/>
  <c r="DC1018" i="1"/>
  <c r="CW1092" i="1"/>
  <c r="BC1094" i="1"/>
  <c r="CY891" i="1"/>
  <c r="BK183" i="1"/>
  <c r="BE190" i="1"/>
  <c r="BE906" i="1"/>
  <c r="DC934" i="1"/>
  <c r="BI222" i="1"/>
  <c r="CW937" i="1"/>
  <c r="DC305" i="1"/>
  <c r="BE312" i="1"/>
  <c r="BH1036" i="1"/>
  <c r="DE1100" i="1"/>
  <c r="BF376" i="1"/>
  <c r="BI378" i="1"/>
  <c r="DC378" i="1"/>
  <c r="DB913" i="1"/>
  <c r="BC219" i="1"/>
  <c r="CW219" i="1"/>
  <c r="CZ1031" i="1"/>
  <c r="CY382" i="1"/>
  <c r="BK391" i="1"/>
  <c r="CW1119" i="1"/>
  <c r="DC1120" i="1"/>
  <c r="BE782" i="1"/>
  <c r="DB869" i="1"/>
  <c r="DC1006" i="1"/>
  <c r="BF1147" i="1"/>
  <c r="DE167" i="1"/>
  <c r="DC167" i="1"/>
  <c r="DC294" i="1"/>
  <c r="CZ1153" i="1"/>
  <c r="BC917" i="1"/>
  <c r="BE917" i="1"/>
  <c r="DB917" i="1"/>
  <c r="BF309" i="1"/>
  <c r="BE922" i="1"/>
  <c r="BC922" i="1"/>
  <c r="DE199" i="1"/>
  <c r="BC870" i="1"/>
  <c r="BE870" i="1"/>
  <c r="BK1007" i="1"/>
  <c r="BI1007" i="1"/>
  <c r="BK373" i="1"/>
  <c r="BI373" i="1"/>
  <c r="CW1159" i="1"/>
  <c r="CY1159" i="1"/>
  <c r="BI1214" i="1"/>
  <c r="BK1214" i="1"/>
  <c r="CZ238" i="1"/>
  <c r="DB238" i="1"/>
  <c r="BI1166" i="1"/>
  <c r="BK1166" i="1"/>
  <c r="BE1226" i="1"/>
  <c r="BC1226" i="1"/>
  <c r="CZ1105" i="1"/>
  <c r="DB1105" i="1"/>
  <c r="BH852" i="1"/>
  <c r="BK898" i="1"/>
  <c r="CY1023" i="1"/>
  <c r="BK277" i="1"/>
  <c r="BH1092" i="1"/>
  <c r="BH891" i="1"/>
  <c r="BE183" i="1"/>
  <c r="BK896" i="1"/>
  <c r="DC896" i="1"/>
  <c r="CZ906" i="1"/>
  <c r="BK206" i="1"/>
  <c r="BI209" i="1"/>
  <c r="DB209" i="1"/>
  <c r="BC213" i="1"/>
  <c r="DE213" i="1"/>
  <c r="BE222" i="1"/>
  <c r="BH937" i="1"/>
  <c r="BH229" i="1"/>
  <c r="CY305" i="1"/>
  <c r="BC1098" i="1"/>
  <c r="CZ1100" i="1"/>
  <c r="BF1107" i="1"/>
  <c r="BK913" i="1"/>
  <c r="BC1031" i="1"/>
  <c r="BK1031" i="1"/>
  <c r="BH382" i="1"/>
  <c r="BI385" i="1"/>
  <c r="DC385" i="1"/>
  <c r="DB1114" i="1"/>
  <c r="BC386" i="1"/>
  <c r="CW386" i="1"/>
  <c r="CW302" i="1"/>
  <c r="DE302" i="1"/>
  <c r="CZ308" i="1"/>
  <c r="BI390" i="1"/>
  <c r="BE391" i="1"/>
  <c r="BF359" i="1"/>
  <c r="BH359" i="1"/>
  <c r="BK430" i="1"/>
  <c r="BI430" i="1"/>
  <c r="BK1168" i="1"/>
  <c r="BI1168" i="1"/>
  <c r="BK886" i="1"/>
  <c r="BI886" i="1"/>
  <c r="BE1164" i="1"/>
  <c r="BC1164" i="1"/>
  <c r="DB1218" i="1"/>
  <c r="CZ1218" i="1"/>
  <c r="BI1224" i="1"/>
  <c r="BK1224" i="1"/>
  <c r="CZ902" i="1"/>
  <c r="DB902" i="1"/>
  <c r="BC42" i="1"/>
  <c r="DB42" i="1"/>
  <c r="BE898" i="1"/>
  <c r="BI900" i="1"/>
  <c r="BH1023" i="1"/>
  <c r="BH1030" i="1"/>
  <c r="CZ1030" i="1"/>
  <c r="DE183" i="1"/>
  <c r="DE916" i="1"/>
  <c r="CY213" i="1"/>
  <c r="BH934" i="1"/>
  <c r="CZ934" i="1"/>
  <c r="DC229" i="1"/>
  <c r="DB312" i="1"/>
  <c r="BC1036" i="1"/>
  <c r="DB1036" i="1"/>
  <c r="BK1100" i="1"/>
  <c r="DE377" i="1"/>
  <c r="DC1107" i="1"/>
  <c r="BF378" i="1"/>
  <c r="BE913" i="1"/>
  <c r="CZ219" i="1"/>
  <c r="BF1111" i="1"/>
  <c r="BK1114" i="1"/>
  <c r="BH302" i="1"/>
  <c r="BK308" i="1"/>
  <c r="BI1119" i="1"/>
  <c r="BK1011" i="1"/>
  <c r="BI1011" i="1"/>
  <c r="BI372" i="1"/>
  <c r="DE372" i="1"/>
  <c r="DC372" i="1"/>
  <c r="BK417" i="1"/>
  <c r="BI417" i="1"/>
  <c r="BI1147" i="1"/>
  <c r="BK1147" i="1"/>
  <c r="BC180" i="1"/>
  <c r="CY180" i="1"/>
  <c r="CW180" i="1"/>
  <c r="DC1153" i="1"/>
  <c r="DE1153" i="1"/>
  <c r="BC424" i="1"/>
  <c r="DE424" i="1"/>
  <c r="BF427" i="1"/>
  <c r="BK1165" i="1"/>
  <c r="BI1165" i="1"/>
  <c r="BE431" i="1"/>
  <c r="CW431" i="1"/>
  <c r="CY1168" i="1"/>
  <c r="BF432" i="1"/>
  <c r="CZ432" i="1"/>
  <c r="CW191" i="1"/>
  <c r="BK1108" i="1"/>
  <c r="CY1144" i="1"/>
  <c r="CW1144" i="1"/>
  <c r="BH1159" i="1"/>
  <c r="BF1159" i="1"/>
  <c r="BE168" i="1"/>
  <c r="BC168" i="1"/>
  <c r="BA168" i="1" s="1"/>
  <c r="AZ168" i="1" s="1"/>
  <c r="DB174" i="1"/>
  <c r="CZ174" i="1"/>
  <c r="CT174" i="1" s="1"/>
  <c r="CS174" i="1" s="1"/>
  <c r="CY200" i="1"/>
  <c r="CW200" i="1"/>
  <c r="CT200" i="1" s="1"/>
  <c r="CS200" i="1" s="1"/>
  <c r="BE388" i="1"/>
  <c r="BC388" i="1"/>
  <c r="BF1113" i="1"/>
  <c r="BH1113" i="1"/>
  <c r="DE1228" i="1"/>
  <c r="DC1228" i="1"/>
  <c r="BH871" i="1"/>
  <c r="BF871" i="1"/>
  <c r="BI175" i="1"/>
  <c r="BK175" i="1"/>
  <c r="BC281" i="1"/>
  <c r="BE281" i="1"/>
  <c r="BH1013" i="1"/>
  <c r="BF1013" i="1"/>
  <c r="BC291" i="1"/>
  <c r="BE291" i="1"/>
  <c r="BF1170" i="1"/>
  <c r="DB870" i="1"/>
  <c r="DB285" i="1"/>
  <c r="CZ365" i="1"/>
  <c r="CY373" i="1"/>
  <c r="BC1154" i="1"/>
  <c r="DE1154" i="1"/>
  <c r="BK1159" i="1"/>
  <c r="BH168" i="1"/>
  <c r="BC174" i="1"/>
  <c r="DE174" i="1"/>
  <c r="BH1164" i="1"/>
  <c r="BC1218" i="1"/>
  <c r="DE1218" i="1"/>
  <c r="DE280" i="1"/>
  <c r="BH369" i="1"/>
  <c r="DB200" i="1"/>
  <c r="DC918" i="1"/>
  <c r="BC215" i="1"/>
  <c r="DC939" i="1"/>
  <c r="CT939" i="1" s="1"/>
  <c r="CS939" i="1" s="1"/>
  <c r="CW238" i="1"/>
  <c r="CY1171" i="1"/>
  <c r="BF1222" i="1"/>
  <c r="DE1222" i="1"/>
  <c r="BF1224" i="1"/>
  <c r="BH1033" i="1"/>
  <c r="BC314" i="1"/>
  <c r="BK314" i="1"/>
  <c r="CY370" i="1"/>
  <c r="CW370" i="1"/>
  <c r="CT370" i="1" s="1"/>
  <c r="CS370" i="1" s="1"/>
  <c r="DC1149" i="1"/>
  <c r="DE1149" i="1"/>
  <c r="DC1160" i="1"/>
  <c r="DE1160" i="1"/>
  <c r="DB465" i="1"/>
  <c r="CY280" i="1"/>
  <c r="BF1012" i="1"/>
  <c r="DC1012" i="1"/>
  <c r="CW290" i="1"/>
  <c r="BK467" i="1"/>
  <c r="DC467" i="1"/>
  <c r="CZ215" i="1"/>
  <c r="CY939" i="1"/>
  <c r="BF238" i="1"/>
  <c r="BI388" i="1"/>
  <c r="BH1171" i="1"/>
  <c r="BH469" i="1"/>
  <c r="CZ469" i="1"/>
  <c r="CY1222" i="1"/>
  <c r="DB1224" i="1"/>
  <c r="CZ1033" i="1"/>
  <c r="CW1113" i="1"/>
  <c r="BI1169" i="1"/>
  <c r="DB175" i="1"/>
  <c r="CZ175" i="1"/>
  <c r="BK281" i="1"/>
  <c r="BI281" i="1"/>
  <c r="BC370" i="1"/>
  <c r="BE370" i="1"/>
  <c r="CT280" i="1"/>
  <c r="CS280" i="1" s="1"/>
  <c r="BK366" i="1"/>
  <c r="BI366" i="1"/>
  <c r="CZ1152" i="1"/>
  <c r="DB1152" i="1"/>
  <c r="DE1215" i="1"/>
  <c r="DC1215" i="1"/>
  <c r="CI465" i="1"/>
  <c r="CG465" i="1"/>
  <c r="BM465" i="1" s="1"/>
  <c r="BL465" i="1" s="1"/>
  <c r="CI1098" i="1"/>
  <c r="CG1098" i="1"/>
  <c r="BM1098" i="1" s="1"/>
  <c r="BL1098" i="1" s="1"/>
  <c r="CA1172" i="1"/>
  <c r="CC1172" i="1"/>
  <c r="BZ2" i="1"/>
  <c r="BX2" i="1"/>
  <c r="BP2" i="1" s="1"/>
  <c r="BO2" i="1" s="1"/>
  <c r="BW1223" i="1"/>
  <c r="BU1223" i="1"/>
  <c r="BK871" i="1"/>
  <c r="DC871" i="1"/>
  <c r="DE175" i="1"/>
  <c r="CY281" i="1"/>
  <c r="BK1013" i="1"/>
  <c r="BH286" i="1"/>
  <c r="DB291" i="1"/>
  <c r="BC420" i="1"/>
  <c r="DC420" i="1"/>
  <c r="CW1152" i="1"/>
  <c r="DE1239" i="1"/>
  <c r="DE499" i="1"/>
  <c r="DE216" i="1"/>
  <c r="CZ300" i="1"/>
  <c r="BC389" i="1"/>
  <c r="BK1167" i="1"/>
  <c r="CY503" i="1"/>
  <c r="BK504" i="1"/>
  <c r="DE1172" i="1"/>
  <c r="CI1165" i="1"/>
  <c r="CI431" i="1"/>
  <c r="CL891" i="1"/>
  <c r="CL1224" i="1"/>
  <c r="CL281" i="1"/>
  <c r="CI174" i="1"/>
  <c r="CL294" i="1"/>
  <c r="CL913" i="1"/>
  <c r="CL427" i="1"/>
  <c r="CI1239" i="1"/>
  <c r="CL286" i="1"/>
  <c r="CJ907" i="1"/>
  <c r="CJ1160" i="1"/>
  <c r="CJ469" i="1"/>
  <c r="CG304" i="1"/>
  <c r="BM304" i="1" s="1"/>
  <c r="BL304" i="1" s="1"/>
  <c r="CJ222" i="1"/>
  <c r="CJ1158" i="1"/>
  <c r="CJ2" i="1"/>
  <c r="CG169" i="1"/>
  <c r="CJ1033" i="1"/>
  <c r="BM1033" i="1" s="1"/>
  <c r="BL1033" i="1" s="1"/>
  <c r="CI279" i="1"/>
  <c r="CG279" i="1"/>
  <c r="DC389" i="1"/>
  <c r="BF1167" i="1"/>
  <c r="CW1029" i="1"/>
  <c r="CZ1172" i="1"/>
  <c r="DE363" i="1"/>
  <c r="CI1166" i="1"/>
  <c r="CL1243" i="1"/>
  <c r="CI423" i="1"/>
  <c r="CZ216" i="1"/>
  <c r="DE300" i="1"/>
  <c r="BC483" i="1"/>
  <c r="CY483" i="1"/>
  <c r="CW501" i="1"/>
  <c r="BI2" i="1"/>
  <c r="DE304" i="1"/>
  <c r="BI503" i="1"/>
  <c r="CI1214" i="1"/>
  <c r="CL372" i="1"/>
  <c r="CI1018" i="1"/>
  <c r="CI1091" i="1"/>
  <c r="CI290" i="1"/>
  <c r="CI389" i="1"/>
  <c r="CL1019" i="1"/>
  <c r="CL1037" i="1"/>
  <c r="CI871" i="1"/>
  <c r="CI487" i="1"/>
  <c r="CL939" i="1"/>
  <c r="CL369" i="1"/>
  <c r="CG1248" i="1"/>
  <c r="CJ185" i="1"/>
  <c r="CJ1222" i="1"/>
  <c r="BM1222" i="1" s="1"/>
  <c r="BL1222" i="1" s="1"/>
  <c r="BM1146" i="1"/>
  <c r="BL1146" i="1" s="1"/>
  <c r="BW502" i="1"/>
  <c r="BZ501" i="1"/>
  <c r="BX501" i="1"/>
  <c r="BP501" i="1" s="1"/>
  <c r="BO501" i="1" s="1"/>
  <c r="CC1007" i="1"/>
  <c r="CA1007" i="1"/>
  <c r="CJ382" i="1"/>
  <c r="CF1148" i="1"/>
  <c r="BT502" i="1"/>
  <c r="BW185" i="1"/>
  <c r="BZ1152" i="1"/>
  <c r="BZ370" i="1"/>
  <c r="CF366" i="1"/>
  <c r="BR286" i="1"/>
  <c r="BX1105" i="1"/>
  <c r="BP1105" i="1" s="1"/>
  <c r="BO1105" i="1" s="1"/>
  <c r="BT902" i="1"/>
  <c r="BW1228" i="1"/>
  <c r="BX1226" i="1"/>
  <c r="BP1226" i="1" s="1"/>
  <c r="BO1226" i="1" s="1"/>
  <c r="BX1169" i="1"/>
  <c r="BP1169" i="1" s="1"/>
  <c r="BO1169" i="1" s="1"/>
  <c r="BW1113" i="1"/>
  <c r="BT314" i="1"/>
  <c r="BW1033" i="1"/>
  <c r="BW939" i="1"/>
  <c r="BT369" i="1"/>
  <c r="BW1012" i="1"/>
  <c r="BT465" i="1"/>
  <c r="BT1096" i="1"/>
  <c r="CF359" i="1"/>
  <c r="BT300" i="1"/>
  <c r="BT216" i="1"/>
  <c r="BZ420" i="1"/>
  <c r="BW175" i="1"/>
  <c r="BT169" i="1"/>
  <c r="BT1146" i="1"/>
  <c r="BU365" i="1"/>
  <c r="BP365" i="1" s="1"/>
  <c r="BO365" i="1" s="1"/>
  <c r="BW365" i="1"/>
  <c r="BR938" i="1"/>
  <c r="BT938" i="1"/>
  <c r="CD416" i="1"/>
  <c r="BP416" i="1" s="1"/>
  <c r="BO416" i="1" s="1"/>
  <c r="CF416" i="1"/>
  <c r="BT1223" i="1"/>
  <c r="BX499" i="1"/>
  <c r="BP499" i="1" s="1"/>
  <c r="BO499" i="1" s="1"/>
  <c r="BT1013" i="1"/>
  <c r="BX871" i="1"/>
  <c r="BZ1228" i="1"/>
  <c r="CC285" i="1"/>
  <c r="BZ1007" i="1"/>
  <c r="CA191" i="1"/>
  <c r="CC191" i="1"/>
  <c r="BU423" i="1"/>
  <c r="BW423" i="1"/>
  <c r="BR290" i="1"/>
  <c r="BT290" i="1"/>
  <c r="BR430" i="1"/>
  <c r="BT430" i="1"/>
  <c r="CA467" i="1"/>
  <c r="CC467" i="1"/>
  <c r="BU199" i="1"/>
  <c r="BW199" i="1"/>
  <c r="BR1161" i="1"/>
  <c r="BW947" i="1"/>
  <c r="BT1111" i="1"/>
  <c r="BT382" i="1"/>
  <c r="BW1031" i="1"/>
  <c r="CF206" i="1"/>
  <c r="BT190" i="1"/>
  <c r="BT1094" i="1"/>
  <c r="BW363" i="1"/>
  <c r="BT1023" i="1"/>
  <c r="BZ372" i="1"/>
  <c r="BW1160" i="1"/>
  <c r="BT431" i="1"/>
  <c r="BT891" i="1"/>
  <c r="BR1159" i="1"/>
  <c r="CC1243" i="1"/>
  <c r="BT503" i="1"/>
  <c r="BR174" i="1"/>
  <c r="BT174" i="1"/>
  <c r="CC417" i="1"/>
  <c r="BR238" i="1"/>
  <c r="BT238" i="1"/>
  <c r="BZ291" i="1"/>
  <c r="BW892" i="1"/>
  <c r="BT1095" i="1"/>
  <c r="BT1037" i="1"/>
  <c r="BT427" i="1"/>
  <c r="BZ886" i="1"/>
  <c r="BT1120" i="1"/>
  <c r="BZ378" i="1"/>
  <c r="BZ376" i="1"/>
  <c r="BZ305" i="1"/>
  <c r="BZ183" i="1"/>
  <c r="CC1023" i="1"/>
  <c r="BT373" i="1"/>
  <c r="BT423" i="1"/>
  <c r="BR432" i="1"/>
  <c r="BT432" i="1"/>
  <c r="BT1158" i="1"/>
  <c r="BT199" i="1"/>
  <c r="BR917" i="1"/>
  <c r="BT917" i="1"/>
  <c r="BW289" i="1"/>
  <c r="BT359" i="1"/>
  <c r="CA934" i="1"/>
  <c r="BP206" i="1"/>
  <c r="BO206" i="1" s="1"/>
  <c r="BZ363" i="1"/>
  <c r="CF148" i="1"/>
  <c r="BT1030" i="1"/>
  <c r="CC1167" i="1"/>
  <c r="CC907" i="1"/>
  <c r="BW1011" i="1"/>
  <c r="BW302" i="1"/>
  <c r="BT387" i="1"/>
  <c r="BT483" i="1"/>
  <c r="BU503" i="1"/>
  <c r="BW503" i="1"/>
  <c r="BR417" i="1"/>
  <c r="BT417" i="1"/>
  <c r="BT893" i="1"/>
  <c r="BX1158" i="1"/>
  <c r="BP1158" i="1" s="1"/>
  <c r="BO1158" i="1" s="1"/>
  <c r="CA238" i="1"/>
  <c r="BR291" i="1"/>
  <c r="BT291" i="1"/>
  <c r="BW1019" i="1"/>
  <c r="CC289" i="1"/>
  <c r="BZ427" i="1"/>
  <c r="BW504" i="1"/>
  <c r="BM1108" i="1"/>
  <c r="BL1108" i="1" s="1"/>
  <c r="BM167" i="1"/>
  <c r="BL167" i="1" s="1"/>
  <c r="BM209" i="1"/>
  <c r="BL209" i="1" s="1"/>
  <c r="BM1228" i="1"/>
  <c r="BL1228" i="1" s="1"/>
  <c r="BM391" i="1"/>
  <c r="BL391" i="1" s="1"/>
  <c r="BM1151" i="1"/>
  <c r="BL1151" i="1" s="1"/>
  <c r="BM377" i="1"/>
  <c r="BL377" i="1" s="1"/>
  <c r="BP42" i="1"/>
  <c r="BO42" i="1" s="1"/>
  <c r="BP190" i="1"/>
  <c r="BO190" i="1" s="1"/>
  <c r="BT900" i="1"/>
  <c r="BU900" i="1"/>
  <c r="BT1167" i="1"/>
  <c r="CF869" i="1"/>
  <c r="BX1165" i="1"/>
  <c r="BM1165" i="1" s="1"/>
  <c r="BL1165" i="1" s="1"/>
  <c r="BU372" i="1"/>
  <c r="CA1160" i="1"/>
  <c r="BX1171" i="1"/>
  <c r="CA891" i="1"/>
  <c r="CC373" i="1"/>
  <c r="CA1224" i="1"/>
  <c r="BU387" i="1"/>
  <c r="BM387" i="1" s="1"/>
  <c r="BL387" i="1" s="1"/>
  <c r="BX483" i="1"/>
  <c r="CC424" i="1"/>
  <c r="CA1159" i="1"/>
  <c r="BU1243" i="1"/>
  <c r="CA294" i="1"/>
  <c r="CA180" i="1"/>
  <c r="BU1091" i="1"/>
  <c r="CF290" i="1"/>
  <c r="BU417" i="1"/>
  <c r="BU1010" i="1"/>
  <c r="BX432" i="1"/>
  <c r="CF388" i="1"/>
  <c r="BX389" i="1"/>
  <c r="BP389" i="1" s="1"/>
  <c r="BO389" i="1" s="1"/>
  <c r="CC1170" i="1"/>
  <c r="CA200" i="1"/>
  <c r="CC310" i="1"/>
  <c r="BU467" i="1"/>
  <c r="BU238" i="1"/>
  <c r="BX1121" i="1"/>
  <c r="BX917" i="1"/>
  <c r="CL1011" i="1"/>
  <c r="CL1218" i="1"/>
  <c r="CI1224" i="1"/>
  <c r="CI1176" i="1"/>
  <c r="CL467" i="1"/>
  <c r="CI502" i="1"/>
  <c r="CI1152" i="1"/>
  <c r="CI366" i="1"/>
  <c r="CL1228" i="1"/>
  <c r="CL1153" i="1"/>
  <c r="CI947" i="1"/>
  <c r="CI190" i="1"/>
  <c r="CI148" i="1"/>
  <c r="BM1011" i="1"/>
  <c r="BL1011" i="1" s="1"/>
  <c r="BM1113" i="1"/>
  <c r="BL1113" i="1" s="1"/>
  <c r="BM280" i="1"/>
  <c r="BL280" i="1" s="1"/>
  <c r="BM206" i="1"/>
  <c r="BL206" i="1" s="1"/>
  <c r="BZ502" i="1"/>
  <c r="CC499" i="1"/>
  <c r="BP487" i="1"/>
  <c r="BO487" i="1" s="1"/>
  <c r="BP902" i="1"/>
  <c r="BO902" i="1" s="1"/>
  <c r="BP314" i="1"/>
  <c r="BO314" i="1" s="1"/>
  <c r="BP1222" i="1"/>
  <c r="BO1222" i="1" s="1"/>
  <c r="BP918" i="1"/>
  <c r="BO918" i="1" s="1"/>
  <c r="BP369" i="1"/>
  <c r="BO369" i="1" s="1"/>
  <c r="BP280" i="1"/>
  <c r="BO280" i="1" s="1"/>
  <c r="BP465" i="1"/>
  <c r="BO465" i="1" s="1"/>
  <c r="BP1096" i="1"/>
  <c r="BO1096" i="1" s="1"/>
  <c r="BZ1108" i="1"/>
  <c r="CC1161" i="1"/>
  <c r="BZ167" i="1"/>
  <c r="BT1150" i="1"/>
  <c r="BT782" i="1"/>
  <c r="BZ391" i="1"/>
  <c r="BT390" i="1"/>
  <c r="CC308" i="1"/>
  <c r="CC1111" i="1"/>
  <c r="BP1031" i="1"/>
  <c r="BO1031" i="1" s="1"/>
  <c r="CC229" i="1"/>
  <c r="BT937" i="1"/>
  <c r="BW934" i="1"/>
  <c r="BW213" i="1"/>
  <c r="BT896" i="1"/>
  <c r="CZ852" i="1"/>
  <c r="CT852" i="1" s="1"/>
  <c r="CS852" i="1" s="1"/>
  <c r="CW898" i="1"/>
  <c r="CT898" i="1" s="1"/>
  <c r="CS898" i="1" s="1"/>
  <c r="BE900" i="1"/>
  <c r="BI1023" i="1"/>
  <c r="BK1030" i="1"/>
  <c r="BC277" i="1"/>
  <c r="BK1010" i="1"/>
  <c r="CZ1018" i="1"/>
  <c r="CZ1094" i="1"/>
  <c r="CZ891" i="1"/>
  <c r="BF183" i="1"/>
  <c r="BA183" i="1" s="1"/>
  <c r="AZ183" i="1" s="1"/>
  <c r="CY896" i="1"/>
  <c r="BH906" i="1"/>
  <c r="CW906" i="1"/>
  <c r="DC206" i="1"/>
  <c r="BE209" i="1"/>
  <c r="CZ213" i="1"/>
  <c r="CT213" i="1" s="1"/>
  <c r="CS213" i="1" s="1"/>
  <c r="BK934" i="1"/>
  <c r="DB222" i="1"/>
  <c r="BC937" i="1"/>
  <c r="DE937" i="1"/>
  <c r="BK229" i="1"/>
  <c r="CZ229" i="1"/>
  <c r="BF305" i="1"/>
  <c r="CW312" i="1"/>
  <c r="DE1036" i="1"/>
  <c r="CZ1098" i="1"/>
  <c r="BF1100" i="1"/>
  <c r="BA1100" i="1" s="1"/>
  <c r="AZ1100" i="1" s="1"/>
  <c r="DC376" i="1"/>
  <c r="BH377" i="1"/>
  <c r="CZ377" i="1"/>
  <c r="CT377" i="1" s="1"/>
  <c r="CS377" i="1" s="1"/>
  <c r="BC1107" i="1"/>
  <c r="CZ1107" i="1"/>
  <c r="CY378" i="1"/>
  <c r="CW913" i="1"/>
  <c r="BH219" i="1"/>
  <c r="DE219" i="1"/>
  <c r="BC382" i="1"/>
  <c r="CZ382" i="1"/>
  <c r="CT382" i="1" s="1"/>
  <c r="CS382" i="1" s="1"/>
  <c r="BC1111" i="1"/>
  <c r="CZ1111" i="1"/>
  <c r="CY385" i="1"/>
  <c r="CW1114" i="1"/>
  <c r="BH386" i="1"/>
  <c r="DE386" i="1"/>
  <c r="BF308" i="1"/>
  <c r="BA308" i="1" s="1"/>
  <c r="BE390" i="1"/>
  <c r="DB390" i="1"/>
  <c r="BF391" i="1"/>
  <c r="BA391" i="1" s="1"/>
  <c r="BE1119" i="1"/>
  <c r="DB1119" i="1"/>
  <c r="BC1120" i="1"/>
  <c r="CZ1120" i="1"/>
  <c r="CW869" i="1"/>
  <c r="CT869" i="1" s="1"/>
  <c r="CS869" i="1" s="1"/>
  <c r="BF1006" i="1"/>
  <c r="BE1011" i="1"/>
  <c r="BC359" i="1"/>
  <c r="DE359" i="1"/>
  <c r="BF372" i="1"/>
  <c r="BC416" i="1"/>
  <c r="CZ416" i="1"/>
  <c r="DC417" i="1"/>
  <c r="DC1147" i="1"/>
  <c r="CW1150" i="1"/>
  <c r="CZ423" i="1"/>
  <c r="BC158" i="1"/>
  <c r="BI167" i="1"/>
  <c r="CZ294" i="1"/>
  <c r="BI1095" i="1"/>
  <c r="BC1153" i="1"/>
  <c r="BI1158" i="1"/>
  <c r="CZ289" i="1"/>
  <c r="BI427" i="1"/>
  <c r="CW892" i="1"/>
  <c r="BC1121" i="1"/>
  <c r="DC430" i="1"/>
  <c r="BC907" i="1"/>
  <c r="BI1037" i="1"/>
  <c r="CW1165" i="1"/>
  <c r="CZ431" i="1"/>
  <c r="DC432" i="1"/>
  <c r="BC191" i="1"/>
  <c r="CZ191" i="1"/>
  <c r="BC199" i="1"/>
  <c r="CZ199" i="1"/>
  <c r="BI938" i="1"/>
  <c r="BF1108" i="1"/>
  <c r="DC1108" i="1"/>
  <c r="BC387" i="1"/>
  <c r="BI1170" i="1"/>
  <c r="CW1176" i="1"/>
  <c r="DE870" i="1"/>
  <c r="BF886" i="1"/>
  <c r="DC886" i="1"/>
  <c r="DB1007" i="1"/>
  <c r="CW285" i="1"/>
  <c r="CT285" i="1" s="1"/>
  <c r="CS285" i="1" s="1"/>
  <c r="BK1091" i="1"/>
  <c r="BF365" i="1"/>
  <c r="CY365" i="1"/>
  <c r="DC365" i="1"/>
  <c r="BE373" i="1"/>
  <c r="DB373" i="1"/>
  <c r="CZ1146" i="1"/>
  <c r="BE1151" i="1"/>
  <c r="BI1151" i="1"/>
  <c r="CW1151" i="1"/>
  <c r="DC1151" i="1"/>
  <c r="CZ1154" i="1"/>
  <c r="DB1159" i="1"/>
  <c r="BF1214" i="1"/>
  <c r="BK168" i="1"/>
  <c r="CZ168" i="1"/>
  <c r="BF1148" i="1"/>
  <c r="BI1164" i="1"/>
  <c r="BC465" i="1"/>
  <c r="BK465" i="1"/>
  <c r="DE465" i="1"/>
  <c r="BF1218" i="1"/>
  <c r="DB280" i="1"/>
  <c r="BF290" i="1"/>
  <c r="DC290" i="1"/>
  <c r="BC369" i="1"/>
  <c r="CW369" i="1"/>
  <c r="DE369" i="1"/>
  <c r="BC467" i="1"/>
  <c r="BF893" i="1"/>
  <c r="DE200" i="1"/>
  <c r="BF215" i="1"/>
  <c r="CY215" i="1"/>
  <c r="DC215" i="1"/>
  <c r="BC238" i="1"/>
  <c r="DC238" i="1"/>
  <c r="BE310" i="1"/>
  <c r="BI310" i="1"/>
  <c r="CW310" i="1"/>
  <c r="DC310" i="1"/>
  <c r="DE388" i="1"/>
  <c r="CZ1171" i="1"/>
  <c r="BK469" i="1"/>
  <c r="BC1224" i="1"/>
  <c r="DC1224" i="1"/>
  <c r="DE1033" i="1"/>
  <c r="BE1169" i="1"/>
  <c r="DB1169" i="1"/>
  <c r="BH1226" i="1"/>
  <c r="CW1226" i="1"/>
  <c r="CY1228" i="1"/>
  <c r="CW902" i="1"/>
  <c r="BF1105" i="1"/>
  <c r="DC1105" i="1"/>
  <c r="BF487" i="1"/>
  <c r="DC487" i="1"/>
  <c r="CY871" i="1"/>
  <c r="DB169" i="1"/>
  <c r="BF175" i="1"/>
  <c r="DB281" i="1"/>
  <c r="BC1013" i="1"/>
  <c r="DC1013" i="1"/>
  <c r="BI286" i="1"/>
  <c r="CW291" i="1"/>
  <c r="BE366" i="1"/>
  <c r="BH370" i="1"/>
  <c r="CZ420" i="1"/>
  <c r="BF1149" i="1"/>
  <c r="BI1152" i="1"/>
  <c r="CZ1160" i="1"/>
  <c r="BK1215" i="1"/>
  <c r="BF1239" i="1"/>
  <c r="CZ499" i="1"/>
  <c r="CT499" i="1" s="1"/>
  <c r="CS499" i="1" s="1"/>
  <c r="BC1019" i="1"/>
  <c r="CZ1019" i="1"/>
  <c r="CY185" i="1"/>
  <c r="BC1223" i="1"/>
  <c r="DC1223" i="1"/>
  <c r="CZ483" i="1"/>
  <c r="BI501" i="1"/>
  <c r="BF502" i="1"/>
  <c r="BI304" i="1"/>
  <c r="BE503" i="1"/>
  <c r="DB503" i="1"/>
  <c r="BF504" i="1"/>
  <c r="DC504" i="1"/>
  <c r="DB363" i="1"/>
  <c r="CL1214" i="1"/>
  <c r="CI1011" i="1"/>
  <c r="CI1218" i="1"/>
  <c r="CI281" i="1"/>
  <c r="CL483" i="1"/>
  <c r="CL424" i="1"/>
  <c r="CI294" i="1"/>
  <c r="CL417" i="1"/>
  <c r="CI432" i="1"/>
  <c r="CL388" i="1"/>
  <c r="CL389" i="1"/>
  <c r="CI1158" i="1"/>
  <c r="CI913" i="1"/>
  <c r="CL184" i="1"/>
  <c r="CL289" i="1"/>
  <c r="CI216" i="1"/>
  <c r="CI1149" i="1"/>
  <c r="CI1013" i="1"/>
  <c r="CI1228" i="1"/>
  <c r="CI918" i="1"/>
  <c r="CL465" i="1"/>
  <c r="CI1096" i="1"/>
  <c r="CI285" i="1"/>
  <c r="CL938" i="1"/>
  <c r="CL279" i="1"/>
  <c r="CL167" i="1"/>
  <c r="CI782" i="1"/>
  <c r="CI1120" i="1"/>
  <c r="CL391" i="1"/>
  <c r="CI390" i="1"/>
  <c r="CI219" i="1"/>
  <c r="CL1098" i="1"/>
  <c r="CI305" i="1"/>
  <c r="CI934" i="1"/>
  <c r="CI209" i="1"/>
  <c r="CL906" i="1"/>
  <c r="CL896" i="1"/>
  <c r="CL1092" i="1"/>
  <c r="CL1030" i="1"/>
  <c r="CI900" i="1"/>
  <c r="BZ852" i="1"/>
  <c r="CF42" i="1"/>
  <c r="CC2" i="1"/>
  <c r="CA502" i="1"/>
  <c r="CC501" i="1"/>
  <c r="CF185" i="1"/>
  <c r="BW499" i="1"/>
  <c r="CF1152" i="1"/>
  <c r="BT1149" i="1"/>
  <c r="BT420" i="1"/>
  <c r="BT175" i="1"/>
  <c r="BT871" i="1"/>
  <c r="BZ487" i="1"/>
  <c r="BT1105" i="1"/>
  <c r="CC902" i="1"/>
  <c r="BT1226" i="1"/>
  <c r="BT1169" i="1"/>
  <c r="CC314" i="1"/>
  <c r="BZ1222" i="1"/>
  <c r="BZ918" i="1"/>
  <c r="CC369" i="1"/>
  <c r="BZ280" i="1"/>
  <c r="CC465" i="1"/>
  <c r="CC1096" i="1"/>
  <c r="BT1154" i="1"/>
  <c r="BT1112" i="1"/>
  <c r="BT191" i="1"/>
  <c r="BZ922" i="1"/>
  <c r="BZ1161" i="1"/>
  <c r="BT416" i="1"/>
  <c r="BZ359" i="1"/>
  <c r="BT1006" i="1"/>
  <c r="BT1119" i="1"/>
  <c r="BZ308" i="1"/>
  <c r="BT947" i="1"/>
  <c r="BZ1111" i="1"/>
  <c r="BZ382" i="1"/>
  <c r="BT378" i="1"/>
  <c r="BT376" i="1"/>
  <c r="BW1098" i="1"/>
  <c r="BT305" i="1"/>
  <c r="BW229" i="1"/>
  <c r="CF937" i="1"/>
  <c r="BT183" i="1"/>
  <c r="BT148" i="1"/>
  <c r="BW1023" i="1"/>
  <c r="BZ900" i="1"/>
  <c r="CC898" i="1"/>
  <c r="CF1166" i="1"/>
  <c r="BZ1167" i="1"/>
  <c r="BT1144" i="1"/>
  <c r="BT870" i="1"/>
  <c r="BZ1018" i="1"/>
  <c r="BZ431" i="1"/>
  <c r="BT1171" i="1"/>
  <c r="CC302" i="1"/>
  <c r="BX373" i="1"/>
  <c r="BP373" i="1" s="1"/>
  <c r="BO373" i="1" s="1"/>
  <c r="CF304" i="1"/>
  <c r="CC483" i="1"/>
  <c r="BX424" i="1"/>
  <c r="BP424" i="1" s="1"/>
  <c r="BO424" i="1" s="1"/>
  <c r="BZ423" i="1"/>
  <c r="BZ503" i="1"/>
  <c r="BZ1147" i="1"/>
  <c r="CC432" i="1"/>
  <c r="CC389" i="1"/>
  <c r="BX1170" i="1"/>
  <c r="BX310" i="1"/>
  <c r="CF1158" i="1"/>
  <c r="BT913" i="1"/>
  <c r="CF1248" i="1"/>
  <c r="CC1121" i="1"/>
  <c r="BZ199" i="1"/>
  <c r="CA291" i="1"/>
  <c r="CA892" i="1"/>
  <c r="CF1095" i="1"/>
  <c r="CC1168" i="1"/>
  <c r="CC917" i="1"/>
  <c r="CA1019" i="1"/>
  <c r="CF1037" i="1"/>
  <c r="CC886" i="1"/>
  <c r="DB900" i="1"/>
  <c r="CY148" i="1"/>
  <c r="BK1018" i="1"/>
  <c r="BK1094" i="1"/>
  <c r="BB371" i="1"/>
  <c r="DB190" i="1"/>
  <c r="CY206" i="1"/>
  <c r="BH213" i="1"/>
  <c r="BK1098" i="1"/>
  <c r="CY376" i="1"/>
  <c r="BK1107" i="1"/>
  <c r="BF1031" i="1"/>
  <c r="BK1111" i="1"/>
  <c r="BI947" i="1"/>
  <c r="BC302" i="1"/>
  <c r="CZ302" i="1"/>
  <c r="DC308" i="1"/>
  <c r="DC391" i="1"/>
  <c r="BK1120" i="1"/>
  <c r="CZ1006" i="1"/>
  <c r="DB1011" i="1"/>
  <c r="BK416" i="1"/>
  <c r="BF417" i="1"/>
  <c r="BC1147" i="1"/>
  <c r="BC294" i="1"/>
  <c r="BC289" i="1"/>
  <c r="DC427" i="1"/>
  <c r="BC309" i="1"/>
  <c r="CZ309" i="1"/>
  <c r="CW1121" i="1"/>
  <c r="BF430" i="1"/>
  <c r="BI184" i="1"/>
  <c r="CW907" i="1"/>
  <c r="DC1037" i="1"/>
  <c r="BC432" i="1"/>
  <c r="BF901" i="1"/>
  <c r="DC938" i="1"/>
  <c r="BI1112" i="1"/>
  <c r="CW387" i="1"/>
  <c r="DC1170" i="1"/>
  <c r="BF1007" i="1"/>
  <c r="BH285" i="1"/>
  <c r="DE285" i="1"/>
  <c r="BE1144" i="1"/>
  <c r="BI1144" i="1"/>
  <c r="BA1144" i="1" s="1"/>
  <c r="AZ1144" i="1" s="1"/>
  <c r="CW1214" i="1"/>
  <c r="CY174" i="1"/>
  <c r="CW1096" i="1"/>
  <c r="DB1148" i="1"/>
  <c r="BH280" i="1"/>
  <c r="CZ1012" i="1"/>
  <c r="BI369" i="1"/>
  <c r="CZ467" i="1"/>
  <c r="BH918" i="1"/>
  <c r="DB939" i="1"/>
  <c r="BC1033" i="1"/>
  <c r="BF314" i="1"/>
  <c r="DC314" i="1"/>
  <c r="BC1113" i="1"/>
  <c r="CZ1113" i="1"/>
  <c r="DE1226" i="1"/>
  <c r="CY487" i="1"/>
  <c r="DB366" i="1"/>
  <c r="DE370" i="1"/>
  <c r="BK420" i="1"/>
  <c r="BE1152" i="1"/>
  <c r="BH1160" i="1"/>
  <c r="BH499" i="1"/>
  <c r="BK1019" i="1"/>
  <c r="BH216" i="1"/>
  <c r="CW216" i="1"/>
  <c r="BH300" i="1"/>
  <c r="CW300" i="1"/>
  <c r="BF1248" i="1"/>
  <c r="DC1248" i="1"/>
  <c r="BF363" i="1"/>
  <c r="CI302" i="1"/>
  <c r="CL373" i="1"/>
  <c r="CI483" i="1"/>
  <c r="CI424" i="1"/>
  <c r="CI503" i="1"/>
  <c r="CL1010" i="1"/>
  <c r="CL1121" i="1"/>
  <c r="CI917" i="1"/>
  <c r="CI289" i="1"/>
  <c r="CL1223" i="1"/>
  <c r="CL902" i="1"/>
  <c r="CL1113" i="1"/>
  <c r="CL280" i="1"/>
  <c r="CI1146" i="1"/>
  <c r="CL1112" i="1"/>
  <c r="CI922" i="1"/>
  <c r="CI167" i="1"/>
  <c r="CI391" i="1"/>
  <c r="CI385" i="1"/>
  <c r="CL206" i="1"/>
  <c r="CI906" i="1"/>
  <c r="CL1094" i="1"/>
  <c r="CI1092" i="1"/>
  <c r="BM376" i="1"/>
  <c r="BL376" i="1" s="1"/>
  <c r="BM305" i="1"/>
  <c r="BL305" i="1" s="1"/>
  <c r="BN738" i="1"/>
  <c r="BX1148" i="1"/>
  <c r="BX1172" i="1"/>
  <c r="BX185" i="1"/>
  <c r="BT499" i="1"/>
  <c r="BW1239" i="1"/>
  <c r="BT1108" i="1"/>
  <c r="BT167" i="1"/>
  <c r="BZ1150" i="1"/>
  <c r="BZ782" i="1"/>
  <c r="BT391" i="1"/>
  <c r="BZ390" i="1"/>
  <c r="BZ1107" i="1"/>
  <c r="BZ1100" i="1"/>
  <c r="BT229" i="1"/>
  <c r="CF209" i="1"/>
  <c r="CC900" i="1"/>
  <c r="BZ870" i="1"/>
  <c r="BT907" i="1"/>
  <c r="CF373" i="1"/>
  <c r="CC304" i="1"/>
  <c r="CF424" i="1"/>
  <c r="CA423" i="1"/>
  <c r="CA503" i="1"/>
  <c r="CA1147" i="1"/>
  <c r="BX290" i="1"/>
  <c r="BX388" i="1"/>
  <c r="CF1170" i="1"/>
  <c r="CF310" i="1"/>
  <c r="CC1158" i="1"/>
  <c r="CC1248" i="1"/>
  <c r="CA199" i="1"/>
  <c r="CC1095" i="1"/>
  <c r="BP1095" i="1"/>
  <c r="BO1095" i="1" s="1"/>
  <c r="BT1164" i="1"/>
  <c r="BX1037" i="1"/>
  <c r="BW427" i="1"/>
  <c r="AZ979" i="1"/>
  <c r="AX979" i="1"/>
  <c r="AW979" i="1" s="1"/>
  <c r="AZ301" i="1"/>
  <c r="AX301" i="1"/>
  <c r="AW301" i="1" s="1"/>
  <c r="BE148" i="1"/>
  <c r="BC148" i="1"/>
  <c r="BE206" i="1"/>
  <c r="BC206" i="1"/>
  <c r="BA206" i="1" s="1"/>
  <c r="BE305" i="1"/>
  <c r="BC305" i="1"/>
  <c r="DB376" i="1"/>
  <c r="CZ376" i="1"/>
  <c r="AZ990" i="1"/>
  <c r="AX990" i="1"/>
  <c r="AW990" i="1" s="1"/>
  <c r="CY1030" i="1"/>
  <c r="CW1030" i="1"/>
  <c r="DE913" i="1"/>
  <c r="DC913" i="1"/>
  <c r="AZ283" i="1"/>
  <c r="AX283" i="1"/>
  <c r="AW283" i="1" s="1"/>
  <c r="AZ1017" i="1"/>
  <c r="AX1017" i="1"/>
  <c r="AW1017" i="1" s="1"/>
  <c r="BK937" i="1"/>
  <c r="BI937" i="1"/>
  <c r="DB378" i="1"/>
  <c r="CZ378" i="1"/>
  <c r="BK852" i="1"/>
  <c r="BI852" i="1"/>
  <c r="AZ966" i="1"/>
  <c r="AX966" i="1"/>
  <c r="AW966" i="1" s="1"/>
  <c r="AZ157" i="1"/>
  <c r="AX157" i="1"/>
  <c r="AW157" i="1" s="1"/>
  <c r="DE222" i="1"/>
  <c r="DC222" i="1"/>
  <c r="CT222" i="1" s="1"/>
  <c r="CS222" i="1" s="1"/>
  <c r="BK42" i="1"/>
  <c r="BI42" i="1"/>
  <c r="AX179" i="1"/>
  <c r="AW179" i="1" s="1"/>
  <c r="AX181" i="1"/>
  <c r="AW181" i="1" s="1"/>
  <c r="AX924" i="1"/>
  <c r="AW924" i="1" s="1"/>
  <c r="AX930" i="1"/>
  <c r="AW930" i="1" s="1"/>
  <c r="AX932" i="1"/>
  <c r="AW932" i="1" s="1"/>
  <c r="AX249" i="1"/>
  <c r="AW249" i="1" s="1"/>
  <c r="AX256" i="1"/>
  <c r="AW256" i="1" s="1"/>
  <c r="AX264" i="1"/>
  <c r="AW264" i="1" s="1"/>
  <c r="AZ996" i="1"/>
  <c r="AX996" i="1"/>
  <c r="AW996" i="1" s="1"/>
  <c r="AZ151" i="1"/>
  <c r="AX151" i="1"/>
  <c r="AW151" i="1" s="1"/>
  <c r="AZ1005" i="1"/>
  <c r="AX1005" i="1"/>
  <c r="AW1005" i="1" s="1"/>
  <c r="AX178" i="1"/>
  <c r="AW178" i="1" s="1"/>
  <c r="AX189" i="1"/>
  <c r="AW189" i="1" s="1"/>
  <c r="AZ194" i="1"/>
  <c r="AX194" i="1"/>
  <c r="AW194" i="1" s="1"/>
  <c r="AZ945" i="1"/>
  <c r="AX945" i="1"/>
  <c r="AW945" i="1" s="1"/>
  <c r="AX235" i="1"/>
  <c r="AW235" i="1" s="1"/>
  <c r="DB1023" i="1"/>
  <c r="CZ1023" i="1"/>
  <c r="CT1023" i="1" s="1"/>
  <c r="CS1023" i="1" s="1"/>
  <c r="AZ1026" i="1"/>
  <c r="AX1026" i="1"/>
  <c r="AW1026" i="1" s="1"/>
  <c r="DB148" i="1"/>
  <c r="CZ148" i="1"/>
  <c r="CT148" i="1" s="1"/>
  <c r="CS148" i="1" s="1"/>
  <c r="CY1010" i="1"/>
  <c r="CW1010" i="1"/>
  <c r="CY1094" i="1"/>
  <c r="CW1094" i="1"/>
  <c r="CY183" i="1"/>
  <c r="CW183" i="1"/>
  <c r="DB896" i="1"/>
  <c r="CZ896" i="1"/>
  <c r="BH190" i="1"/>
  <c r="BF190" i="1"/>
  <c r="DB206" i="1"/>
  <c r="CZ206" i="1"/>
  <c r="BH209" i="1"/>
  <c r="BF209" i="1"/>
  <c r="DB305" i="1"/>
  <c r="CZ305" i="1"/>
  <c r="BH312" i="1"/>
  <c r="BF312" i="1"/>
  <c r="BA312" i="1" s="1"/>
  <c r="CY1100" i="1"/>
  <c r="CW1100" i="1"/>
  <c r="BE378" i="1"/>
  <c r="BC378" i="1"/>
  <c r="BH913" i="1"/>
  <c r="BF913" i="1"/>
  <c r="BA913" i="1" s="1"/>
  <c r="BK219" i="1"/>
  <c r="BI219" i="1"/>
  <c r="CY1031" i="1"/>
  <c r="CW1031" i="1"/>
  <c r="DB385" i="1"/>
  <c r="CZ385" i="1"/>
  <c r="DE1114" i="1"/>
  <c r="DC1114" i="1"/>
  <c r="BE947" i="1"/>
  <c r="BC947" i="1"/>
  <c r="BK302" i="1"/>
  <c r="BI302" i="1"/>
  <c r="CY308" i="1"/>
  <c r="CW308" i="1"/>
  <c r="DE1119" i="1"/>
  <c r="DC1119" i="1"/>
  <c r="BF869" i="1"/>
  <c r="BH869" i="1"/>
  <c r="BI158" i="1"/>
  <c r="BK158" i="1"/>
  <c r="CW167" i="1"/>
  <c r="CY167" i="1"/>
  <c r="DE907" i="1"/>
  <c r="DC907" i="1"/>
  <c r="DB947" i="1"/>
  <c r="CZ947" i="1"/>
  <c r="CT947" i="1" s="1"/>
  <c r="CS947" i="1" s="1"/>
  <c r="BH390" i="1"/>
  <c r="BF390" i="1"/>
  <c r="CY391" i="1"/>
  <c r="CW391" i="1"/>
  <c r="CW372" i="1"/>
  <c r="CY372" i="1"/>
  <c r="CZ1150" i="1"/>
  <c r="DB1150" i="1"/>
  <c r="CY1158" i="1"/>
  <c r="CW1158" i="1"/>
  <c r="BE892" i="1"/>
  <c r="BC892" i="1"/>
  <c r="DB892" i="1"/>
  <c r="CZ892" i="1"/>
  <c r="BH907" i="1"/>
  <c r="BF907" i="1"/>
  <c r="CY1037" i="1"/>
  <c r="CW1037" i="1"/>
  <c r="BK432" i="1"/>
  <c r="BI432" i="1"/>
  <c r="AZ840" i="1"/>
  <c r="AX840" i="1"/>
  <c r="AW840" i="1" s="1"/>
  <c r="AZ132" i="1"/>
  <c r="AX132" i="1"/>
  <c r="AW132" i="1" s="1"/>
  <c r="AZ134" i="1"/>
  <c r="AX134" i="1"/>
  <c r="AW134" i="1" s="1"/>
  <c r="AZ845" i="1"/>
  <c r="AX845" i="1"/>
  <c r="AW845" i="1" s="1"/>
  <c r="AZ137" i="1"/>
  <c r="AX137" i="1"/>
  <c r="AW137" i="1" s="1"/>
  <c r="AZ846" i="1"/>
  <c r="AX846" i="1"/>
  <c r="AW846" i="1" s="1"/>
  <c r="AZ140" i="1"/>
  <c r="AX140" i="1"/>
  <c r="AW140" i="1" s="1"/>
  <c r="AZ848" i="1"/>
  <c r="AX848" i="1"/>
  <c r="AW848" i="1" s="1"/>
  <c r="AX147" i="1"/>
  <c r="AW147" i="1" s="1"/>
  <c r="AZ860" i="1"/>
  <c r="AX860" i="1"/>
  <c r="AW860" i="1" s="1"/>
  <c r="AZ170" i="1"/>
  <c r="AX170" i="1"/>
  <c r="AW170" i="1" s="1"/>
  <c r="AZ877" i="1"/>
  <c r="AX877" i="1"/>
  <c r="AW877" i="1" s="1"/>
  <c r="AX889" i="1"/>
  <c r="AW889" i="1" s="1"/>
  <c r="AX894" i="1"/>
  <c r="AW894" i="1" s="1"/>
  <c r="AZ187" i="1"/>
  <c r="AX187" i="1"/>
  <c r="AW187" i="1" s="1"/>
  <c r="AX211" i="1"/>
  <c r="AW211" i="1" s="1"/>
  <c r="AX217" i="1"/>
  <c r="AW217" i="1" s="1"/>
  <c r="AX220" i="1"/>
  <c r="AW220" i="1" s="1"/>
  <c r="AZ246" i="1"/>
  <c r="AX246" i="1"/>
  <c r="AW246" i="1" s="1"/>
  <c r="AX254" i="1"/>
  <c r="AW254" i="1" s="1"/>
  <c r="AX261" i="1"/>
  <c r="AW261" i="1" s="1"/>
  <c r="AX266" i="1"/>
  <c r="AW266" i="1" s="1"/>
  <c r="AZ1002" i="1"/>
  <c r="AX1002" i="1"/>
  <c r="AW1002" i="1" s="1"/>
  <c r="AZ166" i="1"/>
  <c r="AX166" i="1"/>
  <c r="AW166" i="1" s="1"/>
  <c r="AX863" i="1"/>
  <c r="AW863" i="1" s="1"/>
  <c r="AX1015" i="1"/>
  <c r="AW1015" i="1" s="1"/>
  <c r="AX1020" i="1"/>
  <c r="AW1020" i="1" s="1"/>
  <c r="BH898" i="1"/>
  <c r="BF898" i="1"/>
  <c r="BA898" i="1" s="1"/>
  <c r="BH900" i="1"/>
  <c r="BF900" i="1"/>
  <c r="AZ915" i="1"/>
  <c r="AX915" i="1"/>
  <c r="AW915" i="1" s="1"/>
  <c r="BE1023" i="1"/>
  <c r="BC1023" i="1"/>
  <c r="AX303" i="1"/>
  <c r="AW303" i="1" s="1"/>
  <c r="BK1092" i="1"/>
  <c r="BI1092" i="1"/>
  <c r="BE896" i="1"/>
  <c r="BC896" i="1"/>
  <c r="DE190" i="1"/>
  <c r="DC190" i="1"/>
  <c r="BK906" i="1"/>
  <c r="BI906" i="1"/>
  <c r="BA906" i="1" s="1"/>
  <c r="DE209" i="1"/>
  <c r="DC209" i="1"/>
  <c r="BK213" i="1"/>
  <c r="BI213" i="1"/>
  <c r="DE312" i="1"/>
  <c r="DC312" i="1"/>
  <c r="BK1036" i="1"/>
  <c r="BI1036" i="1"/>
  <c r="BE376" i="1"/>
  <c r="BC376" i="1"/>
  <c r="CY1111" i="1"/>
  <c r="CW1111" i="1"/>
  <c r="DE390" i="1"/>
  <c r="DC390" i="1"/>
  <c r="CY1120" i="1"/>
  <c r="CW1120" i="1"/>
  <c r="BI1006" i="1"/>
  <c r="BK1006" i="1"/>
  <c r="BH1011" i="1"/>
  <c r="BF1011" i="1"/>
  <c r="BF423" i="1"/>
  <c r="BH423" i="1"/>
  <c r="BK294" i="1"/>
  <c r="BI294" i="1"/>
  <c r="DE1121" i="1"/>
  <c r="DC1121" i="1"/>
  <c r="AZ226" i="1"/>
  <c r="AX226" i="1"/>
  <c r="AW226" i="1" s="1"/>
  <c r="AZ935" i="1"/>
  <c r="AX935" i="1"/>
  <c r="AW935" i="1" s="1"/>
  <c r="AZ941" i="1"/>
  <c r="AX941" i="1"/>
  <c r="AW941" i="1" s="1"/>
  <c r="AZ227" i="1"/>
  <c r="AX227" i="1"/>
  <c r="AW227" i="1" s="1"/>
  <c r="AZ942" i="1"/>
  <c r="AX942" i="1"/>
  <c r="AW942" i="1" s="1"/>
  <c r="AZ976" i="1"/>
  <c r="AX976" i="1"/>
  <c r="AW976" i="1" s="1"/>
  <c r="AZ985" i="1"/>
  <c r="AX985" i="1"/>
  <c r="AW985" i="1" s="1"/>
  <c r="AZ881" i="1"/>
  <c r="AX881" i="1"/>
  <c r="AW881" i="1" s="1"/>
  <c r="AZ895" i="1"/>
  <c r="AX895" i="1"/>
  <c r="AW895" i="1" s="1"/>
  <c r="AZ1021" i="1"/>
  <c r="AX1021" i="1"/>
  <c r="AW1021" i="1" s="1"/>
  <c r="AZ936" i="1"/>
  <c r="AX936" i="1"/>
  <c r="AW936" i="1" s="1"/>
  <c r="CY277" i="1"/>
  <c r="CW277" i="1"/>
  <c r="CT277" i="1" s="1"/>
  <c r="CS277" i="1" s="1"/>
  <c r="CY1018" i="1"/>
  <c r="CW1018" i="1"/>
  <c r="BK891" i="1"/>
  <c r="BI891" i="1"/>
  <c r="CY916" i="1"/>
  <c r="CW916" i="1"/>
  <c r="CY934" i="1"/>
  <c r="CW934" i="1"/>
  <c r="BH222" i="1"/>
  <c r="BF222" i="1"/>
  <c r="CY229" i="1"/>
  <c r="CV229" i="1" s="1"/>
  <c r="CW229" i="1"/>
  <c r="CY1098" i="1"/>
  <c r="CW1098" i="1"/>
  <c r="BK377" i="1"/>
  <c r="BI377" i="1"/>
  <c r="BA377" i="1" s="1"/>
  <c r="CY1107" i="1"/>
  <c r="CV1107" i="1" s="1"/>
  <c r="CW1107" i="1"/>
  <c r="BK382" i="1"/>
  <c r="BI382" i="1"/>
  <c r="BE385" i="1"/>
  <c r="BC385" i="1"/>
  <c r="BH1114" i="1"/>
  <c r="BF1114" i="1"/>
  <c r="BA1114" i="1" s="1"/>
  <c r="BK386" i="1"/>
  <c r="BI386" i="1"/>
  <c r="BH1119" i="1"/>
  <c r="BF1119" i="1"/>
  <c r="BK289" i="1"/>
  <c r="BI289" i="1"/>
  <c r="BE1161" i="1"/>
  <c r="BC1161" i="1"/>
  <c r="BH1121" i="1"/>
  <c r="BF1121" i="1"/>
  <c r="BH191" i="1"/>
  <c r="BF191" i="1"/>
  <c r="DE191" i="1"/>
  <c r="DC191" i="1"/>
  <c r="CY1007" i="1"/>
  <c r="CW1007" i="1"/>
  <c r="DC1144" i="1"/>
  <c r="DE1144" i="1"/>
  <c r="BI1146" i="1"/>
  <c r="BK1146" i="1"/>
  <c r="CZ1151" i="1"/>
  <c r="DB1151" i="1"/>
  <c r="BF1154" i="1"/>
  <c r="BH1154" i="1"/>
  <c r="DE1214" i="1"/>
  <c r="DC1214" i="1"/>
  <c r="CY168" i="1"/>
  <c r="CW168" i="1"/>
  <c r="BI1096" i="1"/>
  <c r="BA1096" i="1" s="1"/>
  <c r="BK1096" i="1"/>
  <c r="BC1148" i="1"/>
  <c r="BE1148" i="1"/>
  <c r="CW1218" i="1"/>
  <c r="CY1218" i="1"/>
  <c r="BK280" i="1"/>
  <c r="BI280" i="1"/>
  <c r="BE1012" i="1"/>
  <c r="BC1012" i="1"/>
  <c r="DE893" i="1"/>
  <c r="DC893" i="1"/>
  <c r="CY918" i="1"/>
  <c r="CW918" i="1"/>
  <c r="DC1171" i="1"/>
  <c r="DE1171" i="1"/>
  <c r="BE1222" i="1"/>
  <c r="BC1222" i="1"/>
  <c r="BH169" i="1"/>
  <c r="BF169" i="1"/>
  <c r="BK502" i="1"/>
  <c r="BI502" i="1"/>
  <c r="BE1248" i="1"/>
  <c r="BC1248" i="1"/>
  <c r="BH782" i="1"/>
  <c r="BK869" i="1"/>
  <c r="BI869" i="1"/>
  <c r="DE869" i="1"/>
  <c r="DB372" i="1"/>
  <c r="CZ372" i="1"/>
  <c r="BE417" i="1"/>
  <c r="BC417" i="1"/>
  <c r="CY417" i="1"/>
  <c r="CY1147" i="1"/>
  <c r="CW1147" i="1"/>
  <c r="BE1150" i="1"/>
  <c r="DE1150" i="1"/>
  <c r="DC1150" i="1"/>
  <c r="BK423" i="1"/>
  <c r="BI423" i="1"/>
  <c r="DE423" i="1"/>
  <c r="DB167" i="1"/>
  <c r="CZ167" i="1"/>
  <c r="BH180" i="1"/>
  <c r="BF180" i="1"/>
  <c r="DE180" i="1"/>
  <c r="DC180" i="1"/>
  <c r="CY1095" i="1"/>
  <c r="CW1095" i="1"/>
  <c r="BH279" i="1"/>
  <c r="BF279" i="1"/>
  <c r="DE279" i="1"/>
  <c r="DC279" i="1"/>
  <c r="CY427" i="1"/>
  <c r="CW427" i="1"/>
  <c r="DB1161" i="1"/>
  <c r="CZ1161" i="1"/>
  <c r="CT1161" i="1" s="1"/>
  <c r="CS1161" i="1" s="1"/>
  <c r="BK309" i="1"/>
  <c r="BI309" i="1"/>
  <c r="BH431" i="1"/>
  <c r="BF431" i="1"/>
  <c r="BE1168" i="1"/>
  <c r="BC1168" i="1"/>
  <c r="DB1168" i="1"/>
  <c r="CZ1168" i="1"/>
  <c r="CT1168" i="1" s="1"/>
  <c r="CS1168" i="1" s="1"/>
  <c r="BE1112" i="1"/>
  <c r="BB1112" i="1" s="1"/>
  <c r="BC1112" i="1"/>
  <c r="DB1112" i="1"/>
  <c r="CZ1112" i="1"/>
  <c r="BH1176" i="1"/>
  <c r="BF1176" i="1"/>
  <c r="DE1176" i="1"/>
  <c r="DC1176" i="1"/>
  <c r="BH870" i="1"/>
  <c r="BF870" i="1"/>
  <c r="CW886" i="1"/>
  <c r="CY886" i="1"/>
  <c r="BK285" i="1"/>
  <c r="BI285" i="1"/>
  <c r="BK365" i="1"/>
  <c r="BI365" i="1"/>
  <c r="BC1159" i="1"/>
  <c r="BE1159" i="1"/>
  <c r="BE280" i="1"/>
  <c r="BC280" i="1"/>
  <c r="CY893" i="1"/>
  <c r="CW893" i="1"/>
  <c r="DB871" i="1"/>
  <c r="CZ871" i="1"/>
  <c r="BK370" i="1"/>
  <c r="BI370" i="1"/>
  <c r="BK2050" i="1"/>
  <c r="BI2050" i="1"/>
  <c r="DE1011" i="1"/>
  <c r="DC1011" i="1"/>
  <c r="BK359" i="1"/>
  <c r="BI359" i="1"/>
  <c r="CY416" i="1"/>
  <c r="CW416" i="1"/>
  <c r="BE167" i="1"/>
  <c r="BC167" i="1"/>
  <c r="BK1153" i="1"/>
  <c r="BI1153" i="1"/>
  <c r="BH917" i="1"/>
  <c r="BF917" i="1"/>
  <c r="DE917" i="1"/>
  <c r="DC917" i="1"/>
  <c r="BE184" i="1"/>
  <c r="BC184" i="1"/>
  <c r="DB184" i="1"/>
  <c r="CZ184" i="1"/>
  <c r="CY901" i="1"/>
  <c r="CW901" i="1"/>
  <c r="CY1108" i="1"/>
  <c r="CW1108" i="1"/>
  <c r="CY1170" i="1"/>
  <c r="CW1170" i="1"/>
  <c r="BE285" i="1"/>
  <c r="BC285" i="1"/>
  <c r="CY1091" i="1"/>
  <c r="CW1091" i="1"/>
  <c r="BH373" i="1"/>
  <c r="BF373" i="1"/>
  <c r="BC290" i="1"/>
  <c r="BE290" i="1"/>
  <c r="DB369" i="1"/>
  <c r="CZ369" i="1"/>
  <c r="CW467" i="1"/>
  <c r="CY467" i="1"/>
  <c r="BK200" i="1"/>
  <c r="BI200" i="1"/>
  <c r="CZ310" i="1"/>
  <c r="DB310" i="1"/>
  <c r="BF388" i="1"/>
  <c r="BH388" i="1"/>
  <c r="DB487" i="1"/>
  <c r="CZ487" i="1"/>
  <c r="CY175" i="1"/>
  <c r="CW175" i="1"/>
  <c r="DE366" i="1"/>
  <c r="DC366" i="1"/>
  <c r="CT366" i="1" s="1"/>
  <c r="CS366" i="1" s="1"/>
  <c r="CY1215" i="1"/>
  <c r="CW1215" i="1"/>
  <c r="BK389" i="1"/>
  <c r="BI389" i="1"/>
  <c r="BE2" i="1"/>
  <c r="BC2" i="1"/>
  <c r="CC2050" i="1"/>
  <c r="DB2050" i="1"/>
  <c r="BH2050" i="1"/>
  <c r="CI2050" i="1"/>
  <c r="BT2050" i="1"/>
  <c r="BK782" i="1"/>
  <c r="BI782" i="1"/>
  <c r="BA782" i="1" s="1"/>
  <c r="CY1006" i="1"/>
  <c r="CW1006" i="1"/>
  <c r="BE372" i="1"/>
  <c r="BC372" i="1"/>
  <c r="DB417" i="1"/>
  <c r="CZ417" i="1"/>
  <c r="BH1150" i="1"/>
  <c r="BF1150" i="1"/>
  <c r="CY158" i="1"/>
  <c r="CW158" i="1"/>
  <c r="BK424" i="1"/>
  <c r="BI424" i="1"/>
  <c r="CY430" i="1"/>
  <c r="CW430" i="1"/>
  <c r="BK922" i="1"/>
  <c r="BI922" i="1"/>
  <c r="BE1165" i="1"/>
  <c r="BC1165" i="1"/>
  <c r="DB1165" i="1"/>
  <c r="CZ1165" i="1"/>
  <c r="BK199" i="1"/>
  <c r="BI199" i="1"/>
  <c r="CY938" i="1"/>
  <c r="CW938" i="1"/>
  <c r="BH387" i="1"/>
  <c r="BF387" i="1"/>
  <c r="DE387" i="1"/>
  <c r="DC387" i="1"/>
  <c r="DE1007" i="1"/>
  <c r="DC1007" i="1"/>
  <c r="BK174" i="1"/>
  <c r="BI174" i="1"/>
  <c r="DB1164" i="1"/>
  <c r="CZ1164" i="1"/>
  <c r="BH465" i="1"/>
  <c r="BF465" i="1"/>
  <c r="BE200" i="1"/>
  <c r="BC200" i="1"/>
  <c r="BK215" i="1"/>
  <c r="BI215" i="1"/>
  <c r="BI238" i="1"/>
  <c r="BK238" i="1"/>
  <c r="CW1166" i="1"/>
  <c r="CY1166" i="1"/>
  <c r="CY469" i="1"/>
  <c r="CW469" i="1"/>
  <c r="DB1222" i="1"/>
  <c r="CZ1222" i="1"/>
  <c r="CT1222" i="1" s="1"/>
  <c r="CS1222" i="1" s="1"/>
  <c r="BK1033" i="1"/>
  <c r="BI1033" i="1"/>
  <c r="CY314" i="1"/>
  <c r="CW314" i="1"/>
  <c r="DB1228" i="1"/>
  <c r="CZ1228" i="1"/>
  <c r="BH281" i="1"/>
  <c r="BF281" i="1"/>
  <c r="DB185" i="1"/>
  <c r="CZ185" i="1"/>
  <c r="DB501" i="1"/>
  <c r="CZ501" i="1"/>
  <c r="BI180" i="1"/>
  <c r="CW294" i="1"/>
  <c r="BC1095" i="1"/>
  <c r="CZ1095" i="1"/>
  <c r="CW1153" i="1"/>
  <c r="CW424" i="1"/>
  <c r="BC1158" i="1"/>
  <c r="CZ1158" i="1"/>
  <c r="BI279" i="1"/>
  <c r="CW289" i="1"/>
  <c r="BC427" i="1"/>
  <c r="CZ427" i="1"/>
  <c r="BF1161" i="1"/>
  <c r="BF892" i="1"/>
  <c r="DC892" i="1"/>
  <c r="BI917" i="1"/>
  <c r="CW309" i="1"/>
  <c r="BI1121" i="1"/>
  <c r="BC430" i="1"/>
  <c r="CZ430" i="1"/>
  <c r="BF184" i="1"/>
  <c r="DC184" i="1"/>
  <c r="BI907" i="1"/>
  <c r="CW922" i="1"/>
  <c r="BC1037" i="1"/>
  <c r="CZ1037" i="1"/>
  <c r="BF1165" i="1"/>
  <c r="DC1165" i="1"/>
  <c r="BI431" i="1"/>
  <c r="BF1168" i="1"/>
  <c r="CW432" i="1"/>
  <c r="BC901" i="1"/>
  <c r="CZ901" i="1"/>
  <c r="BI191" i="1"/>
  <c r="CW199" i="1"/>
  <c r="BC938" i="1"/>
  <c r="CZ938" i="1"/>
  <c r="BC1108" i="1"/>
  <c r="CZ1108" i="1"/>
  <c r="BF1112" i="1"/>
  <c r="DC1112" i="1"/>
  <c r="BI387" i="1"/>
  <c r="BC1170" i="1"/>
  <c r="CZ1170" i="1"/>
  <c r="BI1176" i="1"/>
  <c r="BK870" i="1"/>
  <c r="CZ886" i="1"/>
  <c r="DB1166" i="1"/>
  <c r="CZ1166" i="1"/>
  <c r="BK1113" i="1"/>
  <c r="BI1113" i="1"/>
  <c r="BE286" i="1"/>
  <c r="BC286" i="1"/>
  <c r="DE291" i="1"/>
  <c r="DC291" i="1"/>
  <c r="CY420" i="1"/>
  <c r="CW420" i="1"/>
  <c r="DB1149" i="1"/>
  <c r="CZ1149" i="1"/>
  <c r="BH1152" i="1"/>
  <c r="BF1152" i="1"/>
  <c r="BE1239" i="1"/>
  <c r="BC1239" i="1"/>
  <c r="BK499" i="1"/>
  <c r="BI499" i="1"/>
  <c r="BA499" i="1" s="1"/>
  <c r="CY1019" i="1"/>
  <c r="CW1019" i="1"/>
  <c r="DB2" i="1"/>
  <c r="CZ2" i="1"/>
  <c r="BK903" i="1"/>
  <c r="BI903" i="1"/>
  <c r="CY304" i="1"/>
  <c r="CW304" i="1"/>
  <c r="BE1029" i="1"/>
  <c r="BC1029" i="1"/>
  <c r="DB1248" i="1"/>
  <c r="CZ1248" i="1"/>
  <c r="CF2050" i="1"/>
  <c r="BI363" i="1"/>
  <c r="BK363" i="1"/>
  <c r="BE1166" i="1"/>
  <c r="BC1166" i="1"/>
  <c r="BK1171" i="1"/>
  <c r="BI1171" i="1"/>
  <c r="CY1224" i="1"/>
  <c r="CW1224" i="1"/>
  <c r="CY1105" i="1"/>
  <c r="CW1105" i="1"/>
  <c r="BE871" i="1"/>
  <c r="BC871" i="1"/>
  <c r="DE169" i="1"/>
  <c r="DC169" i="1"/>
  <c r="CT169" i="1" s="1"/>
  <c r="CS169" i="1" s="1"/>
  <c r="DE281" i="1"/>
  <c r="DC281" i="1"/>
  <c r="CT281" i="1" s="1"/>
  <c r="CS281" i="1" s="1"/>
  <c r="BH366" i="1"/>
  <c r="BF366" i="1"/>
  <c r="BK216" i="1"/>
  <c r="BI216" i="1"/>
  <c r="BK300" i="1"/>
  <c r="BI300" i="1"/>
  <c r="BE1225" i="1"/>
  <c r="BC1225" i="1"/>
  <c r="BH483" i="1"/>
  <c r="BF483" i="1"/>
  <c r="BE1243" i="1"/>
  <c r="BC1243" i="1"/>
  <c r="DB1029" i="1"/>
  <c r="CZ1029" i="1"/>
  <c r="BH503" i="1"/>
  <c r="BF503" i="1"/>
  <c r="CY1172" i="1"/>
  <c r="CW1172" i="1"/>
  <c r="BE2050" i="1"/>
  <c r="BC2050" i="1"/>
  <c r="BM2050" i="1"/>
  <c r="BL2050" i="1" s="1"/>
  <c r="CY2050" i="1"/>
  <c r="CW2050" i="1"/>
  <c r="BH1169" i="1"/>
  <c r="BF1169" i="1"/>
  <c r="BK1226" i="1"/>
  <c r="BI1226" i="1"/>
  <c r="BE1228" i="1"/>
  <c r="BC1228" i="1"/>
  <c r="BE487" i="1"/>
  <c r="BC487" i="1"/>
  <c r="CY1013" i="1"/>
  <c r="CW1013" i="1"/>
  <c r="DB286" i="1"/>
  <c r="CZ286" i="1"/>
  <c r="BH291" i="1"/>
  <c r="BF291" i="1"/>
  <c r="BE1149" i="1"/>
  <c r="BC1149" i="1"/>
  <c r="DE1152" i="1"/>
  <c r="DC1152" i="1"/>
  <c r="BK1160" i="1"/>
  <c r="BI1160" i="1"/>
  <c r="BA1215" i="1"/>
  <c r="DB1239" i="1"/>
  <c r="CZ1239" i="1"/>
  <c r="BE185" i="1"/>
  <c r="BC185" i="1"/>
  <c r="CY1167" i="1"/>
  <c r="CW1167" i="1"/>
  <c r="BK1223" i="1"/>
  <c r="BI1223" i="1"/>
  <c r="DB1225" i="1"/>
  <c r="CZ1225" i="1"/>
  <c r="DE483" i="1"/>
  <c r="DC483" i="1"/>
  <c r="DB1243" i="1"/>
  <c r="CZ1243" i="1"/>
  <c r="BE501" i="1"/>
  <c r="BC501" i="1"/>
  <c r="DE503" i="1"/>
  <c r="DC503" i="1"/>
  <c r="CT503" i="1" s="1"/>
  <c r="CS503" i="1" s="1"/>
  <c r="CY504" i="1"/>
  <c r="CW504" i="1"/>
  <c r="BW877" i="1"/>
  <c r="CI877" i="1"/>
  <c r="BZ877" i="1"/>
  <c r="CO877" i="1"/>
  <c r="CC877" i="1"/>
  <c r="CR877" i="1"/>
  <c r="BW872" i="1"/>
  <c r="CI872" i="1"/>
  <c r="BZ872" i="1"/>
  <c r="CO872" i="1"/>
  <c r="CC872" i="1"/>
  <c r="CR872" i="1"/>
  <c r="BW861" i="1"/>
  <c r="CI861" i="1"/>
  <c r="BZ861" i="1"/>
  <c r="CO861" i="1"/>
  <c r="CC861" i="1"/>
  <c r="CR861" i="1"/>
  <c r="BW858" i="1"/>
  <c r="CI858" i="1"/>
  <c r="BZ858" i="1"/>
  <c r="CO858" i="1"/>
  <c r="CC858" i="1"/>
  <c r="CR858" i="1"/>
  <c r="CG870" i="1"/>
  <c r="CI870" i="1"/>
  <c r="CJ1171" i="1"/>
  <c r="CL1171" i="1"/>
  <c r="CG417" i="1"/>
  <c r="CI417" i="1"/>
  <c r="CG1121" i="1"/>
  <c r="CI1121" i="1"/>
  <c r="CJ291" i="1"/>
  <c r="CL291" i="1"/>
  <c r="CG1164" i="1"/>
  <c r="CI1164" i="1"/>
  <c r="CJ903" i="1"/>
  <c r="CL903" i="1"/>
  <c r="CJ1169" i="1"/>
  <c r="CL1169" i="1"/>
  <c r="CJ416" i="1"/>
  <c r="CL416" i="1"/>
  <c r="CJ385" i="1"/>
  <c r="CL385" i="1"/>
  <c r="CJ934" i="1"/>
  <c r="CL934" i="1"/>
  <c r="BN807" i="1"/>
  <c r="BQ807" i="1"/>
  <c r="BN80" i="1"/>
  <c r="BQ80" i="1"/>
  <c r="BN800" i="1"/>
  <c r="BQ800" i="1"/>
  <c r="BN64" i="1"/>
  <c r="BQ64" i="1"/>
  <c r="BN764" i="1"/>
  <c r="BQ764" i="1"/>
  <c r="BZ1225" i="1"/>
  <c r="CI1225" i="1"/>
  <c r="CF1225" i="1"/>
  <c r="CA1225" i="1"/>
  <c r="CC1225" i="1"/>
  <c r="CD1223" i="1"/>
  <c r="CF1223" i="1"/>
  <c r="BU300" i="1"/>
  <c r="BW300" i="1"/>
  <c r="CW389" i="1"/>
  <c r="BC1167" i="1"/>
  <c r="CZ1167" i="1"/>
  <c r="CW1223" i="1"/>
  <c r="BF1225" i="1"/>
  <c r="DC1225" i="1"/>
  <c r="BI483" i="1"/>
  <c r="BF1243" i="1"/>
  <c r="DC1243" i="1"/>
  <c r="BF501" i="1"/>
  <c r="DC501" i="1"/>
  <c r="CW502" i="1"/>
  <c r="BF2" i="1"/>
  <c r="CW903" i="1"/>
  <c r="BC304" i="1"/>
  <c r="CZ304" i="1"/>
  <c r="BF1029" i="1"/>
  <c r="DC1029" i="1"/>
  <c r="BZ2050" i="1"/>
  <c r="DE2050" i="1"/>
  <c r="BQ839" i="1"/>
  <c r="BQ804" i="1"/>
  <c r="BQ763" i="1"/>
  <c r="BQ818" i="1"/>
  <c r="BQ802" i="1"/>
  <c r="BQ817" i="1"/>
  <c r="BN105" i="1"/>
  <c r="CI215" i="1"/>
  <c r="CL503" i="1"/>
  <c r="CI386" i="1"/>
  <c r="CI229" i="1"/>
  <c r="BN827" i="1"/>
  <c r="BQ827" i="1"/>
  <c r="BN831" i="1"/>
  <c r="BQ831" i="1"/>
  <c r="BN136" i="1"/>
  <c r="BQ136" i="1"/>
  <c r="BN125" i="1"/>
  <c r="BQ125" i="1"/>
  <c r="BN130" i="1"/>
  <c r="BQ130" i="1"/>
  <c r="BN109" i="1"/>
  <c r="BQ109" i="1"/>
  <c r="BN792" i="1"/>
  <c r="BQ792" i="1"/>
  <c r="BN837" i="1"/>
  <c r="BQ837" i="1"/>
  <c r="BN803" i="1"/>
  <c r="BQ803" i="1"/>
  <c r="BN123" i="1"/>
  <c r="BQ123" i="1"/>
  <c r="BN775" i="1"/>
  <c r="BQ775" i="1"/>
  <c r="BN306" i="1"/>
  <c r="BQ306" i="1"/>
  <c r="BN116" i="1"/>
  <c r="BQ116" i="1"/>
  <c r="BN56" i="1"/>
  <c r="BQ56" i="1"/>
  <c r="BN762" i="1"/>
  <c r="BQ762" i="1"/>
  <c r="BN823" i="1"/>
  <c r="BQ823" i="1"/>
  <c r="BN748" i="1"/>
  <c r="BQ748" i="1"/>
  <c r="BN49" i="1"/>
  <c r="BQ49" i="1"/>
  <c r="CG907" i="1"/>
  <c r="CI907" i="1"/>
  <c r="CG891" i="1"/>
  <c r="CI891" i="1"/>
  <c r="CJ1248" i="1"/>
  <c r="CL1248" i="1"/>
  <c r="CJ1095" i="1"/>
  <c r="BM1095" i="1" s="1"/>
  <c r="BL1095" i="1" s="1"/>
  <c r="CL1095" i="1"/>
  <c r="CJ312" i="1"/>
  <c r="CL312" i="1"/>
  <c r="CG427" i="1"/>
  <c r="BM427" i="1" s="1"/>
  <c r="BL427" i="1" s="1"/>
  <c r="CI427" i="1"/>
  <c r="CJ300" i="1"/>
  <c r="CL300" i="1"/>
  <c r="CJ365" i="1"/>
  <c r="CL365" i="1"/>
  <c r="CJ359" i="1"/>
  <c r="CL359" i="1"/>
  <c r="CJ219" i="1"/>
  <c r="CL219" i="1"/>
  <c r="CJ916" i="1"/>
  <c r="CL916" i="1"/>
  <c r="BP852" i="1"/>
  <c r="BO852" i="1" s="1"/>
  <c r="BN101" i="1"/>
  <c r="BN779" i="1"/>
  <c r="BQ779" i="1"/>
  <c r="BN38" i="1"/>
  <c r="BN773" i="1"/>
  <c r="BN741" i="1"/>
  <c r="BQ741" i="1"/>
  <c r="BN815" i="1"/>
  <c r="BN21" i="1"/>
  <c r="BN37" i="1"/>
  <c r="BQ37" i="1"/>
  <c r="BN753" i="1"/>
  <c r="BN65" i="1"/>
  <c r="BN735" i="1"/>
  <c r="BQ735" i="1"/>
  <c r="BN58" i="1"/>
  <c r="BN45" i="1"/>
  <c r="BN8" i="1"/>
  <c r="BQ8" i="1"/>
  <c r="BN750" i="1"/>
  <c r="BQ3" i="1"/>
  <c r="BN3" i="1"/>
  <c r="BN745" i="1"/>
  <c r="BN24" i="1"/>
  <c r="BT277" i="1"/>
  <c r="BU277" i="1"/>
  <c r="BW277" i="1"/>
  <c r="BT903" i="1"/>
  <c r="BU903" i="1"/>
  <c r="BW903" i="1"/>
  <c r="CD300" i="1"/>
  <c r="CF300" i="1"/>
  <c r="BK1172" i="1"/>
  <c r="BW2050" i="1"/>
  <c r="BE363" i="1"/>
  <c r="BQ787" i="1"/>
  <c r="BQ135" i="1"/>
  <c r="BQ756" i="1"/>
  <c r="BQ825" i="1"/>
  <c r="BQ828" i="1"/>
  <c r="BQ30" i="1"/>
  <c r="BN774" i="1"/>
  <c r="CI277" i="1"/>
  <c r="CI370" i="1"/>
  <c r="CI1012" i="1"/>
  <c r="BT877" i="1"/>
  <c r="BT872" i="1"/>
  <c r="BT861" i="1"/>
  <c r="BT858" i="1"/>
  <c r="BW42" i="1"/>
  <c r="CI42" i="1"/>
  <c r="BZ42" i="1"/>
  <c r="CL42" i="1"/>
  <c r="CC42" i="1"/>
  <c r="BT42" i="1"/>
  <c r="BW850" i="1"/>
  <c r="CI850" i="1"/>
  <c r="BZ850" i="1"/>
  <c r="CO850" i="1"/>
  <c r="CC850" i="1"/>
  <c r="CR850" i="1"/>
  <c r="BW140" i="1"/>
  <c r="CI140" i="1"/>
  <c r="BZ140" i="1"/>
  <c r="CO140" i="1"/>
  <c r="CC140" i="1"/>
  <c r="CR140" i="1"/>
  <c r="BW845" i="1"/>
  <c r="CI845" i="1"/>
  <c r="BZ845" i="1"/>
  <c r="CO845" i="1"/>
  <c r="CC845" i="1"/>
  <c r="CR845" i="1"/>
  <c r="BW842" i="1"/>
  <c r="CI842" i="1"/>
  <c r="BZ842" i="1"/>
  <c r="CO842" i="1"/>
  <c r="CC842" i="1"/>
  <c r="CR842" i="1"/>
  <c r="BN118" i="1"/>
  <c r="BQ118" i="1"/>
  <c r="BN126" i="1"/>
  <c r="BQ126" i="1"/>
  <c r="BN844" i="1"/>
  <c r="BQ844" i="1"/>
  <c r="BN129" i="1"/>
  <c r="BQ129" i="1"/>
  <c r="BN7" i="1"/>
  <c r="BQ7" i="1"/>
  <c r="BN834" i="1"/>
  <c r="BQ834" i="1"/>
  <c r="BN83" i="1"/>
  <c r="BQ83" i="1"/>
  <c r="BN127" i="1"/>
  <c r="BQ127" i="1"/>
  <c r="BN111" i="1"/>
  <c r="BQ111" i="1"/>
  <c r="BN749" i="1"/>
  <c r="BQ749" i="1"/>
  <c r="BN122" i="1"/>
  <c r="BQ122" i="1"/>
  <c r="BN82" i="1"/>
  <c r="BQ82" i="1"/>
  <c r="BN743" i="1"/>
  <c r="BQ743" i="1"/>
  <c r="BN791" i="1"/>
  <c r="BQ791" i="1"/>
  <c r="BN102" i="1"/>
  <c r="BQ102" i="1"/>
  <c r="BN104" i="1"/>
  <c r="BQ104" i="1"/>
  <c r="BN755" i="1"/>
  <c r="BQ755" i="1"/>
  <c r="BN27" i="1"/>
  <c r="BQ27" i="1"/>
  <c r="CJ302" i="1"/>
  <c r="CL302" i="1"/>
  <c r="CG469" i="1"/>
  <c r="CI469" i="1"/>
  <c r="CJ423" i="1"/>
  <c r="CL423" i="1"/>
  <c r="CJ1225" i="1"/>
  <c r="CL1225" i="1"/>
  <c r="CJ216" i="1"/>
  <c r="CL216" i="1"/>
  <c r="CJ871" i="1"/>
  <c r="CL871" i="1"/>
  <c r="CJ1105" i="1"/>
  <c r="CL1105" i="1"/>
  <c r="CJ1154" i="1"/>
  <c r="CL1154" i="1"/>
  <c r="CJ782" i="1"/>
  <c r="BM782" i="1" s="1"/>
  <c r="BL782" i="1" s="1"/>
  <c r="CL782" i="1"/>
  <c r="CJ390" i="1"/>
  <c r="BM390" i="1" s="1"/>
  <c r="BL390" i="1" s="1"/>
  <c r="CL390" i="1"/>
  <c r="CJ183" i="1"/>
  <c r="CL183" i="1"/>
  <c r="CJ363" i="1"/>
  <c r="BM363" i="1" s="1"/>
  <c r="BL363" i="1" s="1"/>
  <c r="CL363" i="1"/>
  <c r="CG898" i="1"/>
  <c r="CI898" i="1"/>
  <c r="BM42" i="1"/>
  <c r="BL42" i="1" s="1"/>
  <c r="BN814" i="1"/>
  <c r="BQ814" i="1"/>
  <c r="BN761" i="1"/>
  <c r="BN821" i="1"/>
  <c r="BN769" i="1"/>
  <c r="BQ769" i="1"/>
  <c r="BN795" i="1"/>
  <c r="BN92" i="1"/>
  <c r="BN78" i="1"/>
  <c r="BQ78" i="1"/>
  <c r="BN22" i="1"/>
  <c r="BN760" i="1"/>
  <c r="BN66" i="1"/>
  <c r="BQ66" i="1"/>
  <c r="BN794" i="1"/>
  <c r="BN25" i="1"/>
  <c r="BN50" i="1"/>
  <c r="BQ50" i="1"/>
  <c r="BN48" i="1"/>
  <c r="BN17" i="1"/>
  <c r="BQ33" i="1"/>
  <c r="BN33" i="1"/>
  <c r="BN767" i="1"/>
  <c r="BZ277" i="1"/>
  <c r="CL277" i="1"/>
  <c r="CF277" i="1"/>
  <c r="CA277" i="1"/>
  <c r="CC277" i="1"/>
  <c r="BT1029" i="1"/>
  <c r="BU1029" i="1"/>
  <c r="BW1029" i="1"/>
  <c r="BZ903" i="1"/>
  <c r="CI903" i="1"/>
  <c r="CF903" i="1"/>
  <c r="CA903" i="1"/>
  <c r="CC903" i="1"/>
  <c r="BN1686" i="1"/>
  <c r="CL2050" i="1"/>
  <c r="DC2050" i="1"/>
  <c r="BQ805" i="1"/>
  <c r="BQ120" i="1"/>
  <c r="BQ835" i="1"/>
  <c r="BQ112" i="1"/>
  <c r="BQ824" i="1"/>
  <c r="CL431" i="1"/>
  <c r="BN30" i="1"/>
  <c r="CF877" i="1"/>
  <c r="CF872" i="1"/>
  <c r="CF861" i="1"/>
  <c r="CF858" i="1"/>
  <c r="CG869" i="1"/>
  <c r="CI869" i="1"/>
  <c r="CG180" i="1"/>
  <c r="CI180" i="1"/>
  <c r="CG892" i="1"/>
  <c r="CI892" i="1"/>
  <c r="CJ1029" i="1"/>
  <c r="CL1029" i="1"/>
  <c r="CJ1149" i="1"/>
  <c r="BM1149" i="1" s="1"/>
  <c r="BL1149" i="1" s="1"/>
  <c r="CL1149" i="1"/>
  <c r="CJ1226" i="1"/>
  <c r="CL1226" i="1"/>
  <c r="CJ922" i="1"/>
  <c r="BM922" i="1" s="1"/>
  <c r="BL922" i="1" s="1"/>
  <c r="CL922" i="1"/>
  <c r="CJ1150" i="1"/>
  <c r="CL1150" i="1"/>
  <c r="CJ947" i="1"/>
  <c r="CL947" i="1"/>
  <c r="CJ1036" i="1"/>
  <c r="CL1036" i="1"/>
  <c r="BM852" i="1"/>
  <c r="BL852" i="1" s="1"/>
  <c r="BN822" i="1"/>
  <c r="BQ822" i="1"/>
  <c r="BN816" i="1"/>
  <c r="BQ816" i="1"/>
  <c r="BN14" i="1"/>
  <c r="BQ14" i="1"/>
  <c r="BN772" i="1"/>
  <c r="BQ772" i="1"/>
  <c r="BN734" i="1"/>
  <c r="BQ734" i="1"/>
  <c r="BZ1029" i="1"/>
  <c r="CI1029" i="1"/>
  <c r="CF1029" i="1"/>
  <c r="CA1029" i="1"/>
  <c r="CC1029" i="1"/>
  <c r="BT1225" i="1"/>
  <c r="BU1225" i="1"/>
  <c r="BW1225" i="1"/>
  <c r="BX1223" i="1"/>
  <c r="BZ1223" i="1"/>
  <c r="BP1149" i="1"/>
  <c r="BO1149" i="1" s="1"/>
  <c r="BU216" i="1"/>
  <c r="BW216" i="1"/>
  <c r="BU169" i="1"/>
  <c r="BW169" i="1"/>
  <c r="CI373" i="1"/>
  <c r="CI387" i="1"/>
  <c r="CL1159" i="1"/>
  <c r="CI1243" i="1"/>
  <c r="CL432" i="1"/>
  <c r="CI388" i="1"/>
  <c r="CI1170" i="1"/>
  <c r="CL917" i="1"/>
  <c r="CI504" i="1"/>
  <c r="CI1172" i="1"/>
  <c r="CI2" i="1"/>
  <c r="CI501" i="1"/>
  <c r="CI185" i="1"/>
  <c r="CI499" i="1"/>
  <c r="CI420" i="1"/>
  <c r="CI175" i="1"/>
  <c r="CO147" i="1"/>
  <c r="BZ147" i="1"/>
  <c r="CF216" i="1"/>
  <c r="CF1149" i="1"/>
  <c r="BZ169" i="1"/>
  <c r="CF169" i="1"/>
  <c r="CA169" i="1"/>
  <c r="CC169" i="1"/>
  <c r="CL1167" i="1"/>
  <c r="CL1215" i="1"/>
  <c r="CI1160" i="1"/>
  <c r="CL1147" i="1"/>
  <c r="CI199" i="1"/>
  <c r="CI1168" i="1"/>
  <c r="CL502" i="1"/>
  <c r="CL1239" i="1"/>
  <c r="CL1152" i="1"/>
  <c r="CL366" i="1"/>
  <c r="CL1013" i="1"/>
  <c r="CL169" i="1"/>
  <c r="BT852" i="1"/>
  <c r="CI147" i="1"/>
  <c r="BW1148" i="1"/>
  <c r="BW151" i="1"/>
  <c r="BW161" i="1"/>
  <c r="BW1172" i="1"/>
  <c r="BW2" i="1"/>
  <c r="CF502" i="1"/>
  <c r="BW501" i="1"/>
  <c r="CC300" i="1"/>
  <c r="CC216" i="1"/>
  <c r="CC1239" i="1"/>
  <c r="CC1152" i="1"/>
  <c r="CD420" i="1"/>
  <c r="CF420" i="1"/>
  <c r="BU366" i="1"/>
  <c r="BW366" i="1"/>
  <c r="BU1013" i="1"/>
  <c r="BW1013" i="1"/>
  <c r="CD175" i="1"/>
  <c r="CF175" i="1"/>
  <c r="BP1228" i="1"/>
  <c r="BO1228" i="1" s="1"/>
  <c r="BP1113" i="1"/>
  <c r="BO1113" i="1" s="1"/>
  <c r="BP1033" i="1"/>
  <c r="BO1033" i="1" s="1"/>
  <c r="BP939" i="1"/>
  <c r="BO939" i="1" s="1"/>
  <c r="BP168" i="1"/>
  <c r="BO168" i="1" s="1"/>
  <c r="BP1151" i="1"/>
  <c r="BO1151" i="1" s="1"/>
  <c r="BP1146" i="1"/>
  <c r="BO1146" i="1" s="1"/>
  <c r="BZ300" i="1"/>
  <c r="BZ216" i="1"/>
  <c r="BZ1149" i="1"/>
  <c r="CA370" i="1"/>
  <c r="CA366" i="1"/>
  <c r="CC366" i="1"/>
  <c r="CA286" i="1"/>
  <c r="CA1013" i="1"/>
  <c r="CC1013" i="1"/>
  <c r="BZ285" i="1"/>
  <c r="CD938" i="1"/>
  <c r="CF938" i="1"/>
  <c r="BU901" i="1"/>
  <c r="BW901" i="1"/>
  <c r="CA279" i="1"/>
  <c r="CC279" i="1"/>
  <c r="BP167" i="1"/>
  <c r="BO167" i="1" s="1"/>
  <c r="BU158" i="1"/>
  <c r="BW158" i="1"/>
  <c r="CD1006" i="1"/>
  <c r="CF1006" i="1"/>
  <c r="CA1120" i="1"/>
  <c r="CC1120" i="1"/>
  <c r="CD1119" i="1"/>
  <c r="CF1119" i="1"/>
  <c r="BP308" i="1"/>
  <c r="BO308" i="1" s="1"/>
  <c r="BZ385" i="1"/>
  <c r="BX385" i="1"/>
  <c r="BP378" i="1"/>
  <c r="BO378" i="1" s="1"/>
  <c r="BZ377" i="1"/>
  <c r="CF377" i="1"/>
  <c r="CC1036" i="1"/>
  <c r="CF1036" i="1"/>
  <c r="CD934" i="1"/>
  <c r="CF934" i="1"/>
  <c r="BZ342" i="1"/>
  <c r="BW342" i="1"/>
  <c r="CC342" i="1"/>
  <c r="CF342" i="1"/>
  <c r="BT342" i="1"/>
  <c r="BZ228" i="1"/>
  <c r="CC228" i="1"/>
  <c r="CF228" i="1"/>
  <c r="BW228" i="1"/>
  <c r="BZ1218" i="1"/>
  <c r="CF1218" i="1"/>
  <c r="BT1218" i="1"/>
  <c r="BR1176" i="1"/>
  <c r="BT1176" i="1"/>
  <c r="CC871" i="1"/>
  <c r="CF487" i="1"/>
  <c r="CC1105" i="1"/>
  <c r="BZ902" i="1"/>
  <c r="CC1226" i="1"/>
  <c r="CC1169" i="1"/>
  <c r="BZ314" i="1"/>
  <c r="CF1222" i="1"/>
  <c r="CF918" i="1"/>
  <c r="BZ369" i="1"/>
  <c r="CF280" i="1"/>
  <c r="BZ465" i="1"/>
  <c r="BZ1096" i="1"/>
  <c r="CC1154" i="1"/>
  <c r="BW1151" i="1"/>
  <c r="BZ1151" i="1"/>
  <c r="CF1146" i="1"/>
  <c r="BT365" i="1"/>
  <c r="BT285" i="1"/>
  <c r="BU285" i="1"/>
  <c r="BW285" i="1"/>
  <c r="CF1007" i="1"/>
  <c r="BX1112" i="1"/>
  <c r="BZ1112" i="1"/>
  <c r="BU309" i="1"/>
  <c r="BW309" i="1"/>
  <c r="BT1153" i="1"/>
  <c r="CA1153" i="1"/>
  <c r="CC1153" i="1"/>
  <c r="BP359" i="1"/>
  <c r="BO359" i="1" s="1"/>
  <c r="BX947" i="1"/>
  <c r="BZ947" i="1"/>
  <c r="CC386" i="1"/>
  <c r="BP1114" i="1"/>
  <c r="BO1114" i="1" s="1"/>
  <c r="BP1111" i="1"/>
  <c r="BO1111" i="1" s="1"/>
  <c r="BZ1031" i="1"/>
  <c r="CF1031" i="1"/>
  <c r="BZ1036" i="1"/>
  <c r="BX1036" i="1"/>
  <c r="CA937" i="1"/>
  <c r="CC937" i="1"/>
  <c r="CD213" i="1"/>
  <c r="CF213" i="1"/>
  <c r="BZ1058" i="1"/>
  <c r="BW1058" i="1"/>
  <c r="CC1058" i="1"/>
  <c r="CF1058" i="1"/>
  <c r="BT1058" i="1"/>
  <c r="BZ250" i="1"/>
  <c r="CC250" i="1"/>
  <c r="BW250" i="1"/>
  <c r="BZ143" i="1"/>
  <c r="BW143" i="1"/>
  <c r="CC143" i="1"/>
  <c r="CF143" i="1"/>
  <c r="BT143" i="1"/>
  <c r="BX294" i="1"/>
  <c r="BZ294" i="1"/>
  <c r="BW1149" i="1"/>
  <c r="CF370" i="1"/>
  <c r="CF286" i="1"/>
  <c r="BW871" i="1"/>
  <c r="CC487" i="1"/>
  <c r="BW1105" i="1"/>
  <c r="CF1228" i="1"/>
  <c r="BW1226" i="1"/>
  <c r="BW1169" i="1"/>
  <c r="CF1113" i="1"/>
  <c r="CF1033" i="1"/>
  <c r="CC1222" i="1"/>
  <c r="CF939" i="1"/>
  <c r="CC918" i="1"/>
  <c r="CF1012" i="1"/>
  <c r="CC280" i="1"/>
  <c r="CF168" i="1"/>
  <c r="BW1154" i="1"/>
  <c r="CC1146" i="1"/>
  <c r="CF365" i="1"/>
  <c r="CF285" i="1"/>
  <c r="BP1108" i="1"/>
  <c r="BO1108" i="1" s="1"/>
  <c r="BX938" i="1"/>
  <c r="BZ938" i="1"/>
  <c r="BT901" i="1"/>
  <c r="CA901" i="1"/>
  <c r="CC901" i="1"/>
  <c r="BU279" i="1"/>
  <c r="BW279" i="1"/>
  <c r="BT158" i="1"/>
  <c r="CA158" i="1"/>
  <c r="CC158" i="1"/>
  <c r="BX1006" i="1"/>
  <c r="BZ1006" i="1"/>
  <c r="BP782" i="1"/>
  <c r="BO782" i="1" s="1"/>
  <c r="BU1120" i="1"/>
  <c r="BW1120" i="1"/>
  <c r="BX1119" i="1"/>
  <c r="BZ1119" i="1"/>
  <c r="BP390" i="1"/>
  <c r="BO390" i="1" s="1"/>
  <c r="BZ1114" i="1"/>
  <c r="CF1114" i="1"/>
  <c r="CC219" i="1"/>
  <c r="CF219" i="1"/>
  <c r="CC1100" i="1"/>
  <c r="BP1098" i="1"/>
  <c r="BO1098" i="1" s="1"/>
  <c r="BP305" i="1"/>
  <c r="BO305" i="1" s="1"/>
  <c r="BP209" i="1"/>
  <c r="BO209" i="1" s="1"/>
  <c r="CD1094" i="1"/>
  <c r="CF1094" i="1"/>
  <c r="BZ915" i="1"/>
  <c r="BW915" i="1"/>
  <c r="CC915" i="1"/>
  <c r="CF915" i="1"/>
  <c r="BT915" i="1"/>
  <c r="CC217" i="1"/>
  <c r="CF217" i="1"/>
  <c r="BZ217" i="1"/>
  <c r="BT217" i="1"/>
  <c r="BW217" i="1"/>
  <c r="BZ334" i="1"/>
  <c r="BW334" i="1"/>
  <c r="CC334" i="1"/>
  <c r="CF334" i="1"/>
  <c r="BT334" i="1"/>
  <c r="BZ469" i="1"/>
  <c r="CF469" i="1"/>
  <c r="BT469" i="1"/>
  <c r="CA469" i="1"/>
  <c r="CC469" i="1"/>
  <c r="BW487" i="1"/>
  <c r="CF902" i="1"/>
  <c r="CF314" i="1"/>
  <c r="BW1222" i="1"/>
  <c r="BW918" i="1"/>
  <c r="CF369" i="1"/>
  <c r="BW280" i="1"/>
  <c r="CF465" i="1"/>
  <c r="CF1096" i="1"/>
  <c r="CF1151" i="1"/>
  <c r="BW1146" i="1"/>
  <c r="CC365" i="1"/>
  <c r="BX285" i="1"/>
  <c r="CD1112" i="1"/>
  <c r="CF1112" i="1"/>
  <c r="BP922" i="1"/>
  <c r="BO922" i="1" s="1"/>
  <c r="BT309" i="1"/>
  <c r="CA309" i="1"/>
  <c r="CC309" i="1"/>
  <c r="BU1153" i="1"/>
  <c r="BW1153" i="1"/>
  <c r="BP1150" i="1"/>
  <c r="BO1150" i="1" s="1"/>
  <c r="BP391" i="1"/>
  <c r="BO391" i="1" s="1"/>
  <c r="CC385" i="1"/>
  <c r="CF385" i="1"/>
  <c r="BZ219" i="1"/>
  <c r="BX219" i="1"/>
  <c r="CC1107" i="1"/>
  <c r="BW377" i="1"/>
  <c r="BP377" i="1"/>
  <c r="BO377" i="1" s="1"/>
  <c r="BP376" i="1"/>
  <c r="BO376" i="1" s="1"/>
  <c r="BZ1098" i="1"/>
  <c r="CF1098" i="1"/>
  <c r="BX934" i="1"/>
  <c r="BZ934" i="1"/>
  <c r="BZ213" i="1"/>
  <c r="CC213" i="1"/>
  <c r="BZ906" i="1"/>
  <c r="BT906" i="1"/>
  <c r="BZ986" i="1"/>
  <c r="BW986" i="1"/>
  <c r="CC986" i="1"/>
  <c r="CF986" i="1"/>
  <c r="BT986" i="1"/>
  <c r="BZ869" i="1"/>
  <c r="BX869" i="1"/>
  <c r="BX893" i="1"/>
  <c r="BZ893" i="1"/>
  <c r="BW1112" i="1"/>
  <c r="BW938" i="1"/>
  <c r="CF901" i="1"/>
  <c r="CC922" i="1"/>
  <c r="CF309" i="1"/>
  <c r="CF279" i="1"/>
  <c r="CF1153" i="1"/>
  <c r="CF158" i="1"/>
  <c r="CC1150" i="1"/>
  <c r="CC416" i="1"/>
  <c r="CC359" i="1"/>
  <c r="BW1006" i="1"/>
  <c r="CC782" i="1"/>
  <c r="CF1120" i="1"/>
  <c r="BW1119" i="1"/>
  <c r="CC390" i="1"/>
  <c r="CC947" i="1"/>
  <c r="BT1114" i="1"/>
  <c r="BT385" i="1"/>
  <c r="BU385" i="1"/>
  <c r="BW385" i="1"/>
  <c r="CF1111" i="1"/>
  <c r="BT1031" i="1"/>
  <c r="BT219" i="1"/>
  <c r="BU219" i="1"/>
  <c r="BW219" i="1"/>
  <c r="CF378" i="1"/>
  <c r="BT377" i="1"/>
  <c r="CF376" i="1"/>
  <c r="BT1098" i="1"/>
  <c r="BT1036" i="1"/>
  <c r="BU1036" i="1"/>
  <c r="BW1036" i="1"/>
  <c r="CF305" i="1"/>
  <c r="BT213" i="1"/>
  <c r="CC209" i="1"/>
  <c r="CD916" i="1"/>
  <c r="CF916" i="1"/>
  <c r="BU906" i="1"/>
  <c r="BW906" i="1"/>
  <c r="BX896" i="1"/>
  <c r="BZ896" i="1"/>
  <c r="BZ371" i="1"/>
  <c r="BW371" i="1"/>
  <c r="CC371" i="1"/>
  <c r="CF371" i="1"/>
  <c r="BT1092" i="1"/>
  <c r="CA1092" i="1"/>
  <c r="CC1092" i="1"/>
  <c r="BZ1083" i="1"/>
  <c r="BW1083" i="1"/>
  <c r="CC1083" i="1"/>
  <c r="CF1083" i="1"/>
  <c r="BP354" i="1"/>
  <c r="BO354" i="1" s="1"/>
  <c r="BZ346" i="1"/>
  <c r="BW346" i="1"/>
  <c r="CC346" i="1"/>
  <c r="CF346" i="1"/>
  <c r="BZ269" i="1"/>
  <c r="BW269" i="1"/>
  <c r="CC269" i="1"/>
  <c r="CF269" i="1"/>
  <c r="BZ1042" i="1"/>
  <c r="BW1042" i="1"/>
  <c r="CC1042" i="1"/>
  <c r="CF1042" i="1"/>
  <c r="BX1030" i="1"/>
  <c r="BZ1030" i="1"/>
  <c r="BZ301" i="1"/>
  <c r="BW301" i="1"/>
  <c r="CC301" i="1"/>
  <c r="CF301" i="1"/>
  <c r="BZ208" i="1"/>
  <c r="BW208" i="1"/>
  <c r="CC208" i="1"/>
  <c r="CF208" i="1"/>
  <c r="BZ898" i="1"/>
  <c r="BZ883" i="1"/>
  <c r="BW883" i="1"/>
  <c r="CC883" i="1"/>
  <c r="CF883" i="1"/>
  <c r="BT883" i="1"/>
  <c r="BZ946" i="1"/>
  <c r="BW946" i="1"/>
  <c r="CC946" i="1"/>
  <c r="CF946" i="1"/>
  <c r="BT946" i="1"/>
  <c r="CC176" i="1"/>
  <c r="CF176" i="1"/>
  <c r="BZ176" i="1"/>
  <c r="BT176" i="1"/>
  <c r="BW176" i="1"/>
  <c r="BZ1215" i="1"/>
  <c r="BT1215" i="1"/>
  <c r="BZ281" i="1"/>
  <c r="CF281" i="1"/>
  <c r="BT281" i="1"/>
  <c r="CA281" i="1"/>
  <c r="CC281" i="1"/>
  <c r="BZ222" i="1"/>
  <c r="CF222" i="1"/>
  <c r="BT222" i="1"/>
  <c r="CA222" i="1"/>
  <c r="CC222" i="1"/>
  <c r="BR312" i="1"/>
  <c r="BT312" i="1"/>
  <c r="BU1164" i="1"/>
  <c r="BW1164" i="1"/>
  <c r="BZ173" i="1"/>
  <c r="BW173" i="1"/>
  <c r="CC173" i="1"/>
  <c r="CF173" i="1"/>
  <c r="BT173" i="1"/>
  <c r="CF1108" i="1"/>
  <c r="CF191" i="1"/>
  <c r="BW922" i="1"/>
  <c r="CF1161" i="1"/>
  <c r="CF167" i="1"/>
  <c r="BW1150" i="1"/>
  <c r="BW416" i="1"/>
  <c r="BW359" i="1"/>
  <c r="BW782" i="1"/>
  <c r="CF391" i="1"/>
  <c r="BW390" i="1"/>
  <c r="CF308" i="1"/>
  <c r="BW386" i="1"/>
  <c r="CD386" i="1"/>
  <c r="BM386" i="1" s="1"/>
  <c r="BL386" i="1" s="1"/>
  <c r="CF386" i="1"/>
  <c r="BW382" i="1"/>
  <c r="CD382" i="1"/>
  <c r="CF382" i="1"/>
  <c r="BW1107" i="1"/>
  <c r="CD1107" i="1"/>
  <c r="CF1107" i="1"/>
  <c r="BW1100" i="1"/>
  <c r="CD1100" i="1"/>
  <c r="CF1100" i="1"/>
  <c r="BZ937" i="1"/>
  <c r="BZ206" i="1"/>
  <c r="BX1094" i="1"/>
  <c r="BZ1094" i="1"/>
  <c r="BZ341" i="1"/>
  <c r="BW341" i="1"/>
  <c r="CC341" i="1"/>
  <c r="CF341" i="1"/>
  <c r="BZ1044" i="1"/>
  <c r="BW1044" i="1"/>
  <c r="CC1044" i="1"/>
  <c r="CF1044" i="1"/>
  <c r="BZ298" i="1"/>
  <c r="BW298" i="1"/>
  <c r="CC298" i="1"/>
  <c r="CF298" i="1"/>
  <c r="BP295" i="1"/>
  <c r="BO295" i="1" s="1"/>
  <c r="BZ157" i="1"/>
  <c r="BW157" i="1"/>
  <c r="CC157" i="1"/>
  <c r="CF157" i="1"/>
  <c r="BT157" i="1"/>
  <c r="BZ966" i="1"/>
  <c r="BW966" i="1"/>
  <c r="CC966" i="1"/>
  <c r="CF966" i="1"/>
  <c r="BT966" i="1"/>
  <c r="BU1214" i="1"/>
  <c r="BW1214" i="1"/>
  <c r="BP1011" i="1"/>
  <c r="BO1011" i="1" s="1"/>
  <c r="CD1224" i="1"/>
  <c r="CF1224" i="1"/>
  <c r="BU174" i="1"/>
  <c r="BW174" i="1"/>
  <c r="CD180" i="1"/>
  <c r="CF180" i="1"/>
  <c r="BZ950" i="1"/>
  <c r="BW950" i="1"/>
  <c r="CC950" i="1"/>
  <c r="CF950" i="1"/>
  <c r="BT950" i="1"/>
  <c r="BZ999" i="1"/>
  <c r="BW999" i="1"/>
  <c r="CC999" i="1"/>
  <c r="CF999" i="1"/>
  <c r="BT999" i="1"/>
  <c r="BX1168" i="1"/>
  <c r="BZ1168" i="1"/>
  <c r="CD504" i="1"/>
  <c r="CF504" i="1"/>
  <c r="CC1114" i="1"/>
  <c r="CC1031" i="1"/>
  <c r="CC377" i="1"/>
  <c r="CC1098" i="1"/>
  <c r="BU937" i="1"/>
  <c r="BW937" i="1"/>
  <c r="CA906" i="1"/>
  <c r="CC906" i="1"/>
  <c r="CD896" i="1"/>
  <c r="CF896" i="1"/>
  <c r="BP363" i="1"/>
  <c r="BO363" i="1" s="1"/>
  <c r="BU1092" i="1"/>
  <c r="BW1092" i="1"/>
  <c r="BP148" i="1"/>
  <c r="BO148" i="1" s="1"/>
  <c r="BZ325" i="1"/>
  <c r="BW325" i="1"/>
  <c r="CC325" i="1"/>
  <c r="CF325" i="1"/>
  <c r="BZ1032" i="1"/>
  <c r="BW1032" i="1"/>
  <c r="CC1032" i="1"/>
  <c r="CF1032" i="1"/>
  <c r="CD1030" i="1"/>
  <c r="CF1030" i="1"/>
  <c r="BR898" i="1"/>
  <c r="BT898" i="1"/>
  <c r="BZ985" i="1"/>
  <c r="BW985" i="1"/>
  <c r="CC985" i="1"/>
  <c r="CF985" i="1"/>
  <c r="BT985" i="1"/>
  <c r="CC226" i="1"/>
  <c r="CF226" i="1"/>
  <c r="BZ226" i="1"/>
  <c r="BT226" i="1"/>
  <c r="BW226" i="1"/>
  <c r="BZ195" i="1"/>
  <c r="BW195" i="1"/>
  <c r="CC195" i="1"/>
  <c r="CF195" i="1"/>
  <c r="BT195" i="1"/>
  <c r="BZ1214" i="1"/>
  <c r="CF1214" i="1"/>
  <c r="BT1214" i="1"/>
  <c r="BU1215" i="1"/>
  <c r="BW1215" i="1"/>
  <c r="CD907" i="1"/>
  <c r="CF907" i="1"/>
  <c r="BT1011" i="1"/>
  <c r="CA1018" i="1"/>
  <c r="CC1018" i="1"/>
  <c r="BU1218" i="1"/>
  <c r="BW1218" i="1"/>
  <c r="BX891" i="1"/>
  <c r="BZ891" i="1"/>
  <c r="BZ160" i="1"/>
  <c r="BW160" i="1"/>
  <c r="CC160" i="1"/>
  <c r="CF160" i="1"/>
  <c r="BT160" i="1"/>
  <c r="BW206" i="1"/>
  <c r="CF906" i="1"/>
  <c r="CC190" i="1"/>
  <c r="BW896" i="1"/>
  <c r="BW1094" i="1"/>
  <c r="CF1092" i="1"/>
  <c r="BW884" i="1"/>
  <c r="CC148" i="1"/>
  <c r="BW357" i="1"/>
  <c r="BZ357" i="1"/>
  <c r="BW141" i="1"/>
  <c r="BZ141" i="1"/>
  <c r="BW1077" i="1"/>
  <c r="BZ1077" i="1"/>
  <c r="BW1072" i="1"/>
  <c r="BZ1072" i="1"/>
  <c r="BW1000" i="1"/>
  <c r="BZ1000" i="1"/>
  <c r="BW338" i="1"/>
  <c r="BZ338" i="1"/>
  <c r="BW960" i="1"/>
  <c r="BZ960" i="1"/>
  <c r="BW1045" i="1"/>
  <c r="BZ1045" i="1"/>
  <c r="BW1043" i="1"/>
  <c r="BZ1043" i="1"/>
  <c r="BW1038" i="1"/>
  <c r="BZ1038" i="1"/>
  <c r="BW978" i="1"/>
  <c r="BZ978" i="1"/>
  <c r="BW1035" i="1"/>
  <c r="BZ1035" i="1"/>
  <c r="BW1030" i="1"/>
  <c r="BW1024" i="1"/>
  <c r="CC303" i="1"/>
  <c r="BW936" i="1"/>
  <c r="BZ936" i="1"/>
  <c r="BW1021" i="1"/>
  <c r="BZ1021" i="1"/>
  <c r="BW921" i="1"/>
  <c r="BZ921" i="1"/>
  <c r="BW910" i="1"/>
  <c r="BZ910" i="1"/>
  <c r="BW898" i="1"/>
  <c r="CD898" i="1"/>
  <c r="CF898" i="1"/>
  <c r="CF182" i="1"/>
  <c r="CC890" i="1"/>
  <c r="CF287" i="1"/>
  <c r="CC1014" i="1"/>
  <c r="CF876" i="1"/>
  <c r="CC154" i="1"/>
  <c r="CF263" i="1"/>
  <c r="CC979" i="1"/>
  <c r="CF252" i="1"/>
  <c r="CC965" i="1"/>
  <c r="CF944" i="1"/>
  <c r="CC943" i="1"/>
  <c r="BT920" i="1"/>
  <c r="CC911" i="1"/>
  <c r="CF911" i="1"/>
  <c r="BX1166" i="1"/>
  <c r="CD1167" i="1"/>
  <c r="BM1167" i="1" s="1"/>
  <c r="BL1167" i="1" s="1"/>
  <c r="CF1167" i="1"/>
  <c r="CF870" i="1"/>
  <c r="CA1214" i="1"/>
  <c r="CC1214" i="1"/>
  <c r="CC1215" i="1"/>
  <c r="BT248" i="1"/>
  <c r="CC165" i="1"/>
  <c r="CF165" i="1"/>
  <c r="CA372" i="1"/>
  <c r="BZ1011" i="1"/>
  <c r="BQ809" i="1"/>
  <c r="BQ5" i="1"/>
  <c r="BQ16" i="1"/>
  <c r="BT1018" i="1"/>
  <c r="CA431" i="1"/>
  <c r="CA1218" i="1"/>
  <c r="CC1218" i="1"/>
  <c r="CD1171" i="1"/>
  <c r="BX302" i="1"/>
  <c r="BZ302" i="1"/>
  <c r="CD891" i="1"/>
  <c r="CF891" i="1"/>
  <c r="BX1243" i="1"/>
  <c r="BZ1243" i="1"/>
  <c r="BQ115" i="1"/>
  <c r="BT215" i="1"/>
  <c r="BU215" i="1"/>
  <c r="BW215" i="1"/>
  <c r="BQ73" i="1"/>
  <c r="BZ159" i="1"/>
  <c r="BW159" i="1"/>
  <c r="CC159" i="1"/>
  <c r="CF159" i="1"/>
  <c r="BZ174" i="1"/>
  <c r="CF174" i="1"/>
  <c r="CA174" i="1"/>
  <c r="CC174" i="1"/>
  <c r="CD294" i="1"/>
  <c r="CF294" i="1"/>
  <c r="BQ63" i="1"/>
  <c r="BZ332" i="1"/>
  <c r="BW332" i="1"/>
  <c r="CC332" i="1"/>
  <c r="CF332" i="1"/>
  <c r="BQ98" i="1"/>
  <c r="BZ972" i="1"/>
  <c r="BW972" i="1"/>
  <c r="CC972" i="1"/>
  <c r="CF972" i="1"/>
  <c r="CD893" i="1"/>
  <c r="CF893" i="1"/>
  <c r="BZ288" i="1"/>
  <c r="BW288" i="1"/>
  <c r="CC288" i="1"/>
  <c r="CF288" i="1"/>
  <c r="BU913" i="1"/>
  <c r="BW913" i="1"/>
  <c r="BQ94" i="1"/>
  <c r="CD1168" i="1"/>
  <c r="CF1168" i="1"/>
  <c r="BZ220" i="1"/>
  <c r="BW220" i="1"/>
  <c r="CC220" i="1"/>
  <c r="CF220" i="1"/>
  <c r="BZ1164" i="1"/>
  <c r="CF1164" i="1"/>
  <c r="CA1164" i="1"/>
  <c r="CC1164" i="1"/>
  <c r="BZ289" i="1"/>
  <c r="BW190" i="1"/>
  <c r="CF183" i="1"/>
  <c r="CF363" i="1"/>
  <c r="BW148" i="1"/>
  <c r="BW303" i="1"/>
  <c r="CF1023" i="1"/>
  <c r="BZ293" i="1"/>
  <c r="BW293" i="1"/>
  <c r="BZ282" i="1"/>
  <c r="BW282" i="1"/>
  <c r="BZ853" i="1"/>
  <c r="BW853" i="1"/>
  <c r="BZ991" i="1"/>
  <c r="BW991" i="1"/>
  <c r="BZ256" i="1"/>
  <c r="BW256" i="1"/>
  <c r="BZ959" i="1"/>
  <c r="BW959" i="1"/>
  <c r="BZ935" i="1"/>
  <c r="BW935" i="1"/>
  <c r="CC935" i="1"/>
  <c r="CC908" i="1"/>
  <c r="CF908" i="1"/>
  <c r="BZ882" i="1"/>
  <c r="BW882" i="1"/>
  <c r="CC882" i="1"/>
  <c r="CC179" i="1"/>
  <c r="CF179" i="1"/>
  <c r="BU870" i="1"/>
  <c r="BW870" i="1"/>
  <c r="BZ247" i="1"/>
  <c r="BW247" i="1"/>
  <c r="CC247" i="1"/>
  <c r="CD1160" i="1"/>
  <c r="CF1160" i="1"/>
  <c r="CF1018" i="1"/>
  <c r="CD302" i="1"/>
  <c r="CF302" i="1"/>
  <c r="BX1159" i="1"/>
  <c r="BZ1159" i="1"/>
  <c r="CD1243" i="1"/>
  <c r="CF1243" i="1"/>
  <c r="BZ215" i="1"/>
  <c r="CF215" i="1"/>
  <c r="CA215" i="1"/>
  <c r="CC215" i="1"/>
  <c r="BZ171" i="1"/>
  <c r="BW171" i="1"/>
  <c r="CC171" i="1"/>
  <c r="CF171" i="1"/>
  <c r="BX1091" i="1"/>
  <c r="BZ1091" i="1"/>
  <c r="BX417" i="1"/>
  <c r="BZ417" i="1"/>
  <c r="BZ1067" i="1"/>
  <c r="BW1067" i="1"/>
  <c r="CC1067" i="1"/>
  <c r="CF1067" i="1"/>
  <c r="BU1176" i="1"/>
  <c r="BW1176" i="1"/>
  <c r="BX430" i="1"/>
  <c r="BZ430" i="1"/>
  <c r="BX467" i="1"/>
  <c r="BZ467" i="1"/>
  <c r="BZ913" i="1"/>
  <c r="CF913" i="1"/>
  <c r="CA913" i="1"/>
  <c r="CC913" i="1"/>
  <c r="BZ178" i="1"/>
  <c r="BW178" i="1"/>
  <c r="CC178" i="1"/>
  <c r="CF178" i="1"/>
  <c r="BU312" i="1"/>
  <c r="BW312" i="1"/>
  <c r="CF184" i="1"/>
  <c r="BU184" i="1"/>
  <c r="BW184" i="1"/>
  <c r="CC241" i="1"/>
  <c r="BZ241" i="1"/>
  <c r="CF241" i="1"/>
  <c r="BT241" i="1"/>
  <c r="BZ504" i="1"/>
  <c r="CC504" i="1"/>
  <c r="BT504" i="1"/>
  <c r="BR886" i="1"/>
  <c r="BT886" i="1"/>
  <c r="BT293" i="1"/>
  <c r="BT282" i="1"/>
  <c r="BT853" i="1"/>
  <c r="BT991" i="1"/>
  <c r="BT256" i="1"/>
  <c r="BT959" i="1"/>
  <c r="BZ920" i="1"/>
  <c r="BW920" i="1"/>
  <c r="CC920" i="1"/>
  <c r="BW908" i="1"/>
  <c r="CC889" i="1"/>
  <c r="CF889" i="1"/>
  <c r="BW179" i="1"/>
  <c r="CD1144" i="1"/>
  <c r="CF1144" i="1"/>
  <c r="CA870" i="1"/>
  <c r="CC870" i="1"/>
  <c r="BZ248" i="1"/>
  <c r="BW248" i="1"/>
  <c r="CC248" i="1"/>
  <c r="CC1011" i="1"/>
  <c r="BQ788" i="1"/>
  <c r="BU1018" i="1"/>
  <c r="BW1018" i="1"/>
  <c r="BX1224" i="1"/>
  <c r="BZ1224" i="1"/>
  <c r="BQ81" i="1"/>
  <c r="BU281" i="1"/>
  <c r="BW281" i="1"/>
  <c r="BU469" i="1"/>
  <c r="BW469" i="1"/>
  <c r="BP304" i="1"/>
  <c r="BO304" i="1" s="1"/>
  <c r="BZ1085" i="1"/>
  <c r="BW1085" i="1"/>
  <c r="CC1085" i="1"/>
  <c r="CF1085" i="1"/>
  <c r="CD1159" i="1"/>
  <c r="CF1159" i="1"/>
  <c r="BQ41" i="1"/>
  <c r="BQ90" i="1"/>
  <c r="BX180" i="1"/>
  <c r="BZ180" i="1"/>
  <c r="CD1091" i="1"/>
  <c r="CF1091" i="1"/>
  <c r="CD417" i="1"/>
  <c r="CF417" i="1"/>
  <c r="BP1067" i="1"/>
  <c r="BO1067" i="1" s="1"/>
  <c r="BZ1176" i="1"/>
  <c r="CF1176" i="1"/>
  <c r="CA1176" i="1"/>
  <c r="CC1176" i="1"/>
  <c r="CD430" i="1"/>
  <c r="CF430" i="1"/>
  <c r="BZ137" i="1"/>
  <c r="BW137" i="1"/>
  <c r="CC137" i="1"/>
  <c r="CF137" i="1"/>
  <c r="BQ29" i="1"/>
  <c r="BU222" i="1"/>
  <c r="BW222" i="1"/>
  <c r="BQ737" i="1"/>
  <c r="CD467" i="1"/>
  <c r="CF467" i="1"/>
  <c r="BZ995" i="1"/>
  <c r="BW995" i="1"/>
  <c r="CC995" i="1"/>
  <c r="CF995" i="1"/>
  <c r="BZ265" i="1"/>
  <c r="BW265" i="1"/>
  <c r="CC265" i="1"/>
  <c r="CF265" i="1"/>
  <c r="BZ312" i="1"/>
  <c r="CF312" i="1"/>
  <c r="CA312" i="1"/>
  <c r="CC312" i="1"/>
  <c r="BR289" i="1"/>
  <c r="BT289" i="1"/>
  <c r="BQ770" i="1"/>
  <c r="CD289" i="1"/>
  <c r="CF289" i="1"/>
  <c r="BP427" i="1"/>
  <c r="BO427" i="1" s="1"/>
  <c r="BZ895" i="1"/>
  <c r="BW895" i="1"/>
  <c r="BQ15" i="1"/>
  <c r="CD886" i="1"/>
  <c r="CF886" i="1"/>
  <c r="BW227" i="1"/>
  <c r="BW924" i="1"/>
  <c r="BW909" i="1"/>
  <c r="BW897" i="1"/>
  <c r="BW177" i="1"/>
  <c r="BW1166" i="1"/>
  <c r="BW869" i="1"/>
  <c r="BW942" i="1"/>
  <c r="BW1165" i="1"/>
  <c r="BW904" i="1"/>
  <c r="CF1215" i="1"/>
  <c r="CF372" i="1"/>
  <c r="CF1011" i="1"/>
  <c r="BW1048" i="1"/>
  <c r="CF431" i="1"/>
  <c r="BW258" i="1"/>
  <c r="BW1171" i="1"/>
  <c r="BW284" i="1"/>
  <c r="CF163" i="1"/>
  <c r="CF166" i="1"/>
  <c r="BW373" i="1"/>
  <c r="CF387" i="1"/>
  <c r="BW955" i="1"/>
  <c r="BW304" i="1"/>
  <c r="BW483" i="1"/>
  <c r="CF874" i="1"/>
  <c r="BW424" i="1"/>
  <c r="CF867" i="1"/>
  <c r="CF984" i="1"/>
  <c r="CF423" i="1"/>
  <c r="BW264" i="1"/>
  <c r="CF170" i="1"/>
  <c r="CF503" i="1"/>
  <c r="CF189" i="1"/>
  <c r="BW1090" i="1"/>
  <c r="BW155" i="1"/>
  <c r="CF261" i="1"/>
  <c r="CF932" i="1"/>
  <c r="CF954" i="1"/>
  <c r="BT307" i="1"/>
  <c r="CF236" i="1"/>
  <c r="BW868" i="1"/>
  <c r="CF1147" i="1"/>
  <c r="CF863" i="1"/>
  <c r="CF237" i="1"/>
  <c r="BW290" i="1"/>
  <c r="CF1010" i="1"/>
  <c r="BW432" i="1"/>
  <c r="BW388" i="1"/>
  <c r="BW389" i="1"/>
  <c r="CF211" i="1"/>
  <c r="CF1061" i="1"/>
  <c r="CF862" i="1"/>
  <c r="CF941" i="1"/>
  <c r="BW1170" i="1"/>
  <c r="CF132" i="1"/>
  <c r="BW271" i="1"/>
  <c r="CF200" i="1"/>
  <c r="BW310" i="1"/>
  <c r="BW1158" i="1"/>
  <c r="CF238" i="1"/>
  <c r="BW207" i="1"/>
  <c r="BW1248" i="1"/>
  <c r="BW1121" i="1"/>
  <c r="CF199" i="1"/>
  <c r="CF291" i="1"/>
  <c r="CF892" i="1"/>
  <c r="CF337" i="1"/>
  <c r="BW1095" i="1"/>
  <c r="CF235" i="1"/>
  <c r="BW917" i="1"/>
  <c r="BW864" i="1"/>
  <c r="CF1019" i="1"/>
  <c r="BZ184" i="1"/>
  <c r="CC427" i="1"/>
  <c r="BT895" i="1"/>
  <c r="BZ931" i="1"/>
  <c r="BZ894" i="1"/>
  <c r="BW894" i="1"/>
  <c r="CF895" i="1"/>
  <c r="BQ832" i="1"/>
  <c r="CV1055" i="1" l="1"/>
  <c r="CV252" i="1"/>
  <c r="BB189" i="1"/>
  <c r="CV1004" i="1"/>
  <c r="CV874" i="1"/>
  <c r="CV954" i="1"/>
  <c r="BB1077" i="1"/>
  <c r="CV266" i="1"/>
  <c r="BB859" i="1"/>
  <c r="CV861" i="1"/>
  <c r="CV208" i="1"/>
  <c r="BB848" i="1"/>
  <c r="BB861" i="1"/>
  <c r="BB177" i="1"/>
  <c r="CV311" i="1"/>
  <c r="BB263" i="1"/>
  <c r="CV935" i="1"/>
  <c r="BB208" i="1"/>
  <c r="BB211" i="1"/>
  <c r="CV241" i="1"/>
  <c r="CV274" i="1"/>
  <c r="CV962" i="1"/>
  <c r="BB1009" i="1"/>
  <c r="CV329" i="1"/>
  <c r="CV161" i="1"/>
  <c r="CV151" i="1"/>
  <c r="BB310" i="1"/>
  <c r="CV137" i="1"/>
  <c r="CV287" i="1"/>
  <c r="BB268" i="1"/>
  <c r="BB156" i="1"/>
  <c r="CV357" i="1"/>
  <c r="BB867" i="1"/>
  <c r="BB357" i="1"/>
  <c r="BB1048" i="1"/>
  <c r="BB1004" i="1"/>
  <c r="CV904" i="1"/>
  <c r="BB163" i="1"/>
  <c r="BB161" i="1"/>
  <c r="BB151" i="1"/>
  <c r="BB258" i="1"/>
  <c r="BB976" i="1"/>
  <c r="CV859" i="1"/>
  <c r="CV258" i="1"/>
  <c r="CV261" i="1"/>
  <c r="BB202" i="1"/>
  <c r="BA148" i="1"/>
  <c r="BB1111" i="1"/>
  <c r="BN939" i="1"/>
  <c r="BB945" i="1"/>
  <c r="BB950" i="1"/>
  <c r="CV221" i="1"/>
  <c r="CV332" i="1"/>
  <c r="CV997" i="1"/>
  <c r="CV950" i="1"/>
  <c r="CV848" i="1"/>
  <c r="CV177" i="1"/>
  <c r="CV288" i="1"/>
  <c r="CV166" i="1"/>
  <c r="BB301" i="1"/>
  <c r="BB288" i="1"/>
  <c r="BB992" i="1"/>
  <c r="CV189" i="1"/>
  <c r="CV976" i="1"/>
  <c r="BB166" i="1"/>
  <c r="BB194" i="1"/>
  <c r="CV1083" i="1"/>
  <c r="CV182" i="1"/>
  <c r="BB322" i="1"/>
  <c r="CV1048" i="1"/>
  <c r="BB311" i="1"/>
  <c r="CV944" i="1"/>
  <c r="BB252" i="1"/>
  <c r="BB997" i="1"/>
  <c r="CV298" i="1"/>
  <c r="CV313" i="1"/>
  <c r="BB155" i="1"/>
  <c r="CV217" i="1"/>
  <c r="CV155" i="1"/>
  <c r="CV320" i="1"/>
  <c r="CV173" i="1"/>
  <c r="BB261" i="1"/>
  <c r="CV163" i="1"/>
  <c r="CV884" i="1"/>
  <c r="BB170" i="1"/>
  <c r="CV228" i="1"/>
  <c r="CV1009" i="1"/>
  <c r="BB195" i="1"/>
  <c r="BB332" i="1"/>
  <c r="CV301" i="1"/>
  <c r="CV992" i="1"/>
  <c r="CV268" i="1"/>
  <c r="BB944" i="1"/>
  <c r="BB935" i="1"/>
  <c r="CV1077" i="1"/>
  <c r="CV220" i="1"/>
  <c r="CV984" i="1"/>
  <c r="BB1017" i="1"/>
  <c r="CV322" i="1"/>
  <c r="CV867" i="1"/>
  <c r="BB920" i="1"/>
  <c r="CV170" i="1"/>
  <c r="CV978" i="1"/>
  <c r="CV263" i="1"/>
  <c r="CV932" i="1"/>
  <c r="BB884" i="1"/>
  <c r="CV1080" i="1"/>
  <c r="BB874" i="1"/>
  <c r="BB1065" i="1"/>
  <c r="BB962" i="1"/>
  <c r="CV1015" i="1"/>
  <c r="CV246" i="1"/>
  <c r="CV900" i="1"/>
  <c r="BB873" i="1"/>
  <c r="CV253" i="1"/>
  <c r="BB978" i="1"/>
  <c r="BB904" i="1"/>
  <c r="BB298" i="1"/>
  <c r="CV1017" i="1"/>
  <c r="BB1080" i="1"/>
  <c r="BB266" i="1"/>
  <c r="BB173" i="1"/>
  <c r="BB932" i="1"/>
  <c r="BB954" i="1"/>
  <c r="CV238" i="1"/>
  <c r="BB378" i="1"/>
  <c r="BN902" i="1"/>
  <c r="BB1015" i="1"/>
  <c r="BB241" i="1"/>
  <c r="BB319" i="1"/>
  <c r="CV205" i="1"/>
  <c r="BB984" i="1"/>
  <c r="BB205" i="1"/>
  <c r="BB137" i="1"/>
  <c r="CV1065" i="1"/>
  <c r="CV319" i="1"/>
  <c r="CV942" i="1"/>
  <c r="BB387" i="1"/>
  <c r="CV1006" i="1"/>
  <c r="BB886" i="1"/>
  <c r="CV423" i="1"/>
  <c r="BB1019" i="1"/>
  <c r="CV427" i="1"/>
  <c r="CV1165" i="1"/>
  <c r="BB1037" i="1"/>
  <c r="BN368" i="1"/>
  <c r="BQ368" i="1" s="1"/>
  <c r="CV989" i="1"/>
  <c r="CV147" i="1"/>
  <c r="BB368" i="1"/>
  <c r="BB238" i="1"/>
  <c r="BB1151" i="1"/>
  <c r="CV1113" i="1"/>
  <c r="BB895" i="1"/>
  <c r="CV1061" i="1"/>
  <c r="BB197" i="1"/>
  <c r="CV234" i="1"/>
  <c r="CV346" i="1"/>
  <c r="CV876" i="1"/>
  <c r="BB346" i="1"/>
  <c r="BB1005" i="1"/>
  <c r="BB877" i="1"/>
  <c r="BB1020" i="1"/>
  <c r="BB1094" i="1"/>
  <c r="CV134" i="1"/>
  <c r="BB237" i="1"/>
  <c r="CV1090" i="1"/>
  <c r="CV877" i="1"/>
  <c r="BB344" i="1"/>
  <c r="BB283" i="1"/>
  <c r="BB196" i="1"/>
  <c r="BB1090" i="1"/>
  <c r="CV925" i="1"/>
  <c r="BB307" i="1"/>
  <c r="CV854" i="1"/>
  <c r="CV276" i="1"/>
  <c r="BB134" i="1"/>
  <c r="BB262" i="1"/>
  <c r="BB1083" i="1"/>
  <c r="CV181" i="1"/>
  <c r="CV178" i="1"/>
  <c r="CV1042" i="1"/>
  <c r="BB329" i="1"/>
  <c r="BB305" i="1"/>
  <c r="BB184" i="1"/>
  <c r="BB1061" i="1"/>
  <c r="BB178" i="1"/>
  <c r="CV284" i="1"/>
  <c r="BB936" i="1"/>
  <c r="CV955" i="1"/>
  <c r="CV1016" i="1"/>
  <c r="CV264" i="1"/>
  <c r="BB315" i="1"/>
  <c r="BB320" i="1"/>
  <c r="CV977" i="1"/>
  <c r="BB1158" i="1"/>
  <c r="CV881" i="1"/>
  <c r="BB188" i="1"/>
  <c r="CV187" i="1"/>
  <c r="CV265" i="1"/>
  <c r="CV165" i="1"/>
  <c r="CV203" i="1"/>
  <c r="CV901" i="1"/>
  <c r="CV1151" i="1"/>
  <c r="BB1097" i="1"/>
  <c r="BA1151" i="1"/>
  <c r="AZ1151" i="1" s="1"/>
  <c r="BM1150" i="1"/>
  <c r="BL1150" i="1" s="1"/>
  <c r="CV430" i="1"/>
  <c r="CT1011" i="1"/>
  <c r="CS1011" i="1" s="1"/>
  <c r="CV1098" i="1"/>
  <c r="BB165" i="1"/>
  <c r="CT185" i="1"/>
  <c r="CS185" i="1" s="1"/>
  <c r="CV1153" i="1"/>
  <c r="CV188" i="1"/>
  <c r="CV999" i="1"/>
  <c r="CV947" i="1"/>
  <c r="CV432" i="1"/>
  <c r="BB931" i="1"/>
  <c r="BB240" i="1"/>
  <c r="BB179" i="1"/>
  <c r="CV930" i="1"/>
  <c r="CV971" i="1"/>
  <c r="CV176" i="1"/>
  <c r="BB989" i="1"/>
  <c r="BB147" i="1"/>
  <c r="CV254" i="1"/>
  <c r="CV197" i="1"/>
  <c r="CV184" i="1"/>
  <c r="CV1147" i="1"/>
  <c r="BB1008" i="1"/>
  <c r="CV1002" i="1"/>
  <c r="CV233" i="1"/>
  <c r="BB176" i="1"/>
  <c r="CV431" i="1"/>
  <c r="CV207" i="1"/>
  <c r="BB971" i="1"/>
  <c r="CV140" i="1"/>
  <c r="BB846" i="1"/>
  <c r="CV895" i="1"/>
  <c r="CV995" i="1"/>
  <c r="BB217" i="1"/>
  <c r="CV889" i="1"/>
  <c r="BB152" i="1"/>
  <c r="CV1096" i="1"/>
  <c r="BB249" i="1"/>
  <c r="BB234" i="1"/>
  <c r="BB1055" i="1"/>
  <c r="BB925" i="1"/>
  <c r="BB182" i="1"/>
  <c r="BB372" i="1"/>
  <c r="CV275" i="1"/>
  <c r="CV1066" i="1"/>
  <c r="BB365" i="1"/>
  <c r="BB1016" i="1"/>
  <c r="CV196" i="1"/>
  <c r="BB999" i="1"/>
  <c r="BB275" i="1"/>
  <c r="CV1024" i="1"/>
  <c r="CV902" i="1"/>
  <c r="BB323" i="1"/>
  <c r="BB274" i="1"/>
  <c r="BB1024" i="1"/>
  <c r="BB1021" i="1"/>
  <c r="CV504" i="1"/>
  <c r="BB483" i="1"/>
  <c r="CV886" i="1"/>
  <c r="BB504" i="1"/>
  <c r="BB946" i="1"/>
  <c r="BB171" i="1"/>
  <c r="CV157" i="1"/>
  <c r="CV341" i="1"/>
  <c r="BB914" i="1"/>
  <c r="BB995" i="1"/>
  <c r="CV936" i="1"/>
  <c r="BB284" i="1"/>
  <c r="BB180" i="1"/>
  <c r="BB996" i="1"/>
  <c r="BB868" i="1"/>
  <c r="BB845" i="1"/>
  <c r="CV894" i="1"/>
  <c r="BB264" i="1"/>
  <c r="BB265" i="1"/>
  <c r="BB220" i="1"/>
  <c r="BB1066" i="1"/>
  <c r="BB1002" i="1"/>
  <c r="BB930" i="1"/>
  <c r="BB1121" i="1"/>
  <c r="BB150" i="1"/>
  <c r="BB881" i="1"/>
  <c r="CV862" i="1"/>
  <c r="BB977" i="1"/>
  <c r="CV152" i="1"/>
  <c r="BB955" i="1"/>
  <c r="BB254" i="1"/>
  <c r="BB207" i="1"/>
  <c r="BB287" i="1"/>
  <c r="BB203" i="1"/>
  <c r="BB894" i="1"/>
  <c r="BB2" i="1"/>
  <c r="BB1154" i="1"/>
  <c r="BB304" i="1"/>
  <c r="CV1085" i="1"/>
  <c r="CV344" i="1"/>
  <c r="BB313" i="1"/>
  <c r="CV1005" i="1"/>
  <c r="CV179" i="1"/>
  <c r="CV931" i="1"/>
  <c r="CV249" i="1"/>
  <c r="BB187" i="1"/>
  <c r="CV202" i="1"/>
  <c r="BB876" i="1"/>
  <c r="CV845" i="1"/>
  <c r="CV938" i="1"/>
  <c r="BB1161" i="1"/>
  <c r="CV199" i="1"/>
  <c r="BB893" i="1"/>
  <c r="BB1014" i="1"/>
  <c r="CV248" i="1"/>
  <c r="BB233" i="1"/>
  <c r="CV1021" i="1"/>
  <c r="CV240" i="1"/>
  <c r="BB889" i="1"/>
  <c r="BB901" i="1"/>
  <c r="CV386" i="1"/>
  <c r="BB430" i="1"/>
  <c r="BB1095" i="1"/>
  <c r="CV2" i="1"/>
  <c r="CV1214" i="1"/>
  <c r="BB191" i="1"/>
  <c r="CV1094" i="1"/>
  <c r="BB1107" i="1"/>
  <c r="BB938" i="1"/>
  <c r="CV945" i="1"/>
  <c r="CV191" i="1"/>
  <c r="CV314" i="1"/>
  <c r="BB427" i="1"/>
  <c r="CV864" i="1"/>
  <c r="CV365" i="1"/>
  <c r="CV1019" i="1"/>
  <c r="CV1095" i="1"/>
  <c r="CV216" i="1"/>
  <c r="CV290" i="1"/>
  <c r="BB256" i="1"/>
  <c r="BB160" i="1"/>
  <c r="CV868" i="1"/>
  <c r="CV1035" i="1"/>
  <c r="CV1044" i="1"/>
  <c r="CV235" i="1"/>
  <c r="BB921" i="1"/>
  <c r="CV211" i="1"/>
  <c r="CV358" i="1"/>
  <c r="BB432" i="1"/>
  <c r="BM359" i="1"/>
  <c r="BL359" i="1" s="1"/>
  <c r="CV310" i="1"/>
  <c r="BB290" i="1"/>
  <c r="BM1114" i="1"/>
  <c r="BL1114" i="1" s="1"/>
  <c r="CV289" i="1"/>
  <c r="BB273" i="1"/>
  <c r="BB292" i="1"/>
  <c r="CV303" i="1"/>
  <c r="CV416" i="1"/>
  <c r="CV309" i="1"/>
  <c r="CV150" i="1"/>
  <c r="BB358" i="1"/>
  <c r="BB181" i="1"/>
  <c r="CV194" i="1"/>
  <c r="CV972" i="1"/>
  <c r="BA1171" i="1"/>
  <c r="AZ1171" i="1" s="1"/>
  <c r="BQ278" i="1"/>
  <c r="BB853" i="1"/>
  <c r="BB897" i="1"/>
  <c r="CV1020" i="1"/>
  <c r="CV164" i="1"/>
  <c r="BB862" i="1"/>
  <c r="CV237" i="1"/>
  <c r="BB864" i="1"/>
  <c r="CV156" i="1"/>
  <c r="BB221" i="1"/>
  <c r="BB1248" i="1"/>
  <c r="CV1108" i="1"/>
  <c r="CT376" i="1"/>
  <c r="CS376" i="1" s="1"/>
  <c r="BB199" i="1"/>
  <c r="CT390" i="1"/>
  <c r="CS390" i="1" s="1"/>
  <c r="CV852" i="1"/>
  <c r="CV1176" i="1"/>
  <c r="BB279" i="1"/>
  <c r="BB1223" i="1"/>
  <c r="CV1031" i="1"/>
  <c r="BB1031" i="1"/>
  <c r="CV882" i="1"/>
  <c r="BB309" i="1"/>
  <c r="CV1120" i="1"/>
  <c r="CV1226" i="1"/>
  <c r="BB1153" i="1"/>
  <c r="CV892" i="1"/>
  <c r="CV922" i="1"/>
  <c r="CV141" i="1"/>
  <c r="CV943" i="1"/>
  <c r="BB342" i="1"/>
  <c r="BB1067" i="1"/>
  <c r="CV308" i="1"/>
  <c r="BB858" i="1"/>
  <c r="CV294" i="1"/>
  <c r="BB1072" i="1"/>
  <c r="BB226" i="1"/>
  <c r="BB218" i="1"/>
  <c r="BB985" i="1"/>
  <c r="CV915" i="1"/>
  <c r="CV1022" i="1"/>
  <c r="CV269" i="1"/>
  <c r="CV138" i="1"/>
  <c r="BB911" i="1"/>
  <c r="CV159" i="1"/>
  <c r="BB247" i="1"/>
  <c r="BB980" i="1"/>
  <c r="CV1038" i="1"/>
  <c r="CV337" i="1"/>
  <c r="CV949" i="1"/>
  <c r="BB991" i="1"/>
  <c r="BB890" i="1"/>
  <c r="BB1045" i="1"/>
  <c r="CV271" i="1"/>
  <c r="CV132" i="1"/>
  <c r="BB293" i="1"/>
  <c r="CV986" i="1"/>
  <c r="BB325" i="1"/>
  <c r="CV338" i="1"/>
  <c r="CV850" i="1"/>
  <c r="CV389" i="1"/>
  <c r="CV1097" i="1"/>
  <c r="CV283" i="1"/>
  <c r="BN253" i="1"/>
  <c r="BQ840" i="1"/>
  <c r="CV168" i="1"/>
  <c r="BB1120" i="1"/>
  <c r="BB1108" i="1"/>
  <c r="BB866" i="1"/>
  <c r="BB1026" i="1"/>
  <c r="BB133" i="1"/>
  <c r="CV334" i="1"/>
  <c r="BB143" i="1"/>
  <c r="CV888" i="1"/>
  <c r="CV295" i="1"/>
  <c r="BB278" i="1"/>
  <c r="BB227" i="1"/>
  <c r="CV967" i="1"/>
  <c r="CV1067" i="1"/>
  <c r="BB850" i="1"/>
  <c r="BQ138" i="1"/>
  <c r="BB960" i="1"/>
  <c r="CV910" i="1"/>
  <c r="BB1043" i="1"/>
  <c r="BB949" i="1"/>
  <c r="BB908" i="1"/>
  <c r="CV424" i="1"/>
  <c r="BB1147" i="1"/>
  <c r="CV863" i="1"/>
  <c r="BB883" i="1"/>
  <c r="CV933" i="1"/>
  <c r="CV1121" i="1"/>
  <c r="CV42" i="1"/>
  <c r="BB1239" i="1"/>
  <c r="CT183" i="1"/>
  <c r="CS183" i="1" s="1"/>
  <c r="AX1067" i="1"/>
  <c r="AW1067" i="1" s="1"/>
  <c r="CV219" i="1"/>
  <c r="BB1022" i="1"/>
  <c r="BB138" i="1"/>
  <c r="BB341" i="1"/>
  <c r="CV300" i="1"/>
  <c r="CV1037" i="1"/>
  <c r="BB215" i="1"/>
  <c r="CV1018" i="1"/>
  <c r="BA1092" i="1"/>
  <c r="AZ1092" i="1" s="1"/>
  <c r="BA1146" i="1"/>
  <c r="AZ1146" i="1" s="1"/>
  <c r="CV1164" i="1"/>
  <c r="BA1150" i="1"/>
  <c r="AZ1150" i="1" s="1"/>
  <c r="CV1012" i="1"/>
  <c r="BB1222" i="1"/>
  <c r="CT219" i="1"/>
  <c r="CS219" i="1" s="1"/>
  <c r="BB1224" i="1"/>
  <c r="CV1029" i="1"/>
  <c r="CV1170" i="1"/>
  <c r="BB907" i="1"/>
  <c r="CV250" i="1"/>
  <c r="BB1051" i="1"/>
  <c r="BB389" i="1"/>
  <c r="CV934" i="1"/>
  <c r="BB420" i="1"/>
  <c r="BB416" i="1"/>
  <c r="CV966" i="1"/>
  <c r="CV908" i="1"/>
  <c r="CV924" i="1"/>
  <c r="BA939" i="1"/>
  <c r="AZ939" i="1" s="1"/>
  <c r="CV1167" i="1"/>
  <c r="CV420" i="1"/>
  <c r="CV907" i="1"/>
  <c r="CT1033" i="1"/>
  <c r="CS1033" i="1" s="1"/>
  <c r="CT386" i="1"/>
  <c r="CS386" i="1" s="1"/>
  <c r="BA169" i="1"/>
  <c r="AZ169" i="1" s="1"/>
  <c r="CV467" i="1"/>
  <c r="CV858" i="1"/>
  <c r="BB840" i="1"/>
  <c r="BB912" i="1"/>
  <c r="CV946" i="1"/>
  <c r="BB236" i="1"/>
  <c r="CV909" i="1"/>
  <c r="BB141" i="1"/>
  <c r="BB854" i="1"/>
  <c r="CV278" i="1"/>
  <c r="BB941" i="1"/>
  <c r="CV959" i="1"/>
  <c r="CV853" i="1"/>
  <c r="CV880" i="1"/>
  <c r="CV911" i="1"/>
  <c r="BB965" i="1"/>
  <c r="BB154" i="1"/>
  <c r="BB1058" i="1"/>
  <c r="CV172" i="1"/>
  <c r="BB255" i="1"/>
  <c r="CV282" i="1"/>
  <c r="BB1032" i="1"/>
  <c r="CV342" i="1"/>
  <c r="BA1160" i="1"/>
  <c r="AZ1160" i="1" s="1"/>
  <c r="CT2" i="1"/>
  <c r="CS2" i="1" s="1"/>
  <c r="BB1215" i="1"/>
  <c r="CT903" i="1"/>
  <c r="CS903" i="1" s="1"/>
  <c r="CV469" i="1"/>
  <c r="BB369" i="1"/>
  <c r="CT1092" i="1"/>
  <c r="CS1092" i="1" s="1"/>
  <c r="BB1105" i="1"/>
  <c r="BQ912" i="1"/>
  <c r="BB1170" i="1"/>
  <c r="CV143" i="1"/>
  <c r="CV215" i="1"/>
  <c r="BB294" i="1"/>
  <c r="CV1033" i="1"/>
  <c r="CV1030" i="1"/>
  <c r="CV1223" i="1"/>
  <c r="BB1218" i="1"/>
  <c r="CV325" i="1"/>
  <c r="CV501" i="1"/>
  <c r="BB467" i="1"/>
  <c r="CV146" i="1"/>
  <c r="CV255" i="1"/>
  <c r="BB990" i="1"/>
  <c r="BP1152" i="1"/>
  <c r="BO1152" i="1" s="1"/>
  <c r="CV302" i="1"/>
  <c r="BB888" i="1"/>
  <c r="BQ150" i="1"/>
  <c r="BQ873" i="1"/>
  <c r="CV133" i="1"/>
  <c r="BB1225" i="1"/>
  <c r="BQ989" i="1"/>
  <c r="BQ322" i="1"/>
  <c r="BN278" i="1"/>
  <c r="CV873" i="1"/>
  <c r="BN138" i="1"/>
  <c r="CV840" i="1"/>
  <c r="CV226" i="1"/>
  <c r="BB943" i="1"/>
  <c r="CV256" i="1"/>
  <c r="CV991" i="1"/>
  <c r="CV154" i="1"/>
  <c r="CV890" i="1"/>
  <c r="CV1045" i="1"/>
  <c r="CV245" i="1"/>
  <c r="BB967" i="1"/>
  <c r="BB367" i="1"/>
  <c r="BQ311" i="1"/>
  <c r="BN1020" i="1"/>
  <c r="BN358" i="1"/>
  <c r="BN873" i="1"/>
  <c r="BB924" i="1"/>
  <c r="BB1085" i="1"/>
  <c r="CV1000" i="1"/>
  <c r="CT424" i="1"/>
  <c r="CS424" i="1" s="1"/>
  <c r="CV1112" i="1"/>
  <c r="BA416" i="1"/>
  <c r="AZ416" i="1" s="1"/>
  <c r="CV1146" i="1"/>
  <c r="BQ147" i="1"/>
  <c r="BB185" i="1"/>
  <c r="CV1091" i="1"/>
  <c r="CT190" i="1"/>
  <c r="CS190" i="1" s="1"/>
  <c r="CV391" i="1"/>
  <c r="BM200" i="1"/>
  <c r="BL200" i="1" s="1"/>
  <c r="BA420" i="1"/>
  <c r="AZ420" i="1" s="1"/>
  <c r="BB1100" i="1"/>
  <c r="BM229" i="1"/>
  <c r="BL229" i="1" s="1"/>
  <c r="BQ315" i="1"/>
  <c r="BM501" i="1"/>
  <c r="BL501" i="1" s="1"/>
  <c r="BB1176" i="1"/>
  <c r="CV1161" i="1"/>
  <c r="BB1096" i="1"/>
  <c r="AX354" i="1"/>
  <c r="AW354" i="1" s="1"/>
  <c r="BA1019" i="1"/>
  <c r="AZ1019" i="1" s="1"/>
  <c r="CV359" i="1"/>
  <c r="BQ358" i="1"/>
  <c r="BP1012" i="1"/>
  <c r="BO1012" i="1" s="1"/>
  <c r="BQ354" i="1"/>
  <c r="AX346" i="1"/>
  <c r="AW346" i="1" s="1"/>
  <c r="BQ971" i="1"/>
  <c r="BQ268" i="1"/>
  <c r="BQ1022" i="1"/>
  <c r="CV898" i="1"/>
  <c r="BQ846" i="1"/>
  <c r="BQ146" i="1"/>
  <c r="BN874" i="1"/>
  <c r="BB158" i="1"/>
  <c r="CV1148" i="1"/>
  <c r="BA467" i="1"/>
  <c r="AZ467" i="1" s="1"/>
  <c r="BB314" i="1"/>
  <c r="BB175" i="1"/>
  <c r="CV377" i="1"/>
  <c r="BN311" i="1"/>
  <c r="BB959" i="1"/>
  <c r="BB979" i="1"/>
  <c r="BB1000" i="1"/>
  <c r="BB882" i="1"/>
  <c r="BB295" i="1"/>
  <c r="BB245" i="1"/>
  <c r="BB501" i="1"/>
  <c r="CV903" i="1"/>
  <c r="CV842" i="1"/>
  <c r="CV985" i="1"/>
  <c r="CV1058" i="1"/>
  <c r="BN1090" i="1"/>
  <c r="BM213" i="1"/>
  <c r="BL213" i="1" s="1"/>
  <c r="CV1225" i="1"/>
  <c r="BA902" i="1"/>
  <c r="AZ902" i="1" s="1"/>
  <c r="BB1018" i="1"/>
  <c r="BN315" i="1"/>
  <c r="BB902" i="1"/>
  <c r="BA216" i="1"/>
  <c r="AZ216" i="1" s="1"/>
  <c r="BB424" i="1"/>
  <c r="CT782" i="1"/>
  <c r="CS782" i="1" s="1"/>
  <c r="BN888" i="1"/>
  <c r="CV866" i="1"/>
  <c r="BB909" i="1"/>
  <c r="BN1051" i="1"/>
  <c r="BQ273" i="1"/>
  <c r="BN1075" i="1"/>
  <c r="BB842" i="1"/>
  <c r="BB146" i="1"/>
  <c r="CV872" i="1"/>
  <c r="CV846" i="1"/>
  <c r="BB354" i="1"/>
  <c r="BB863" i="1"/>
  <c r="CV236" i="1"/>
  <c r="CV307" i="1"/>
  <c r="CV273" i="1"/>
  <c r="CV218" i="1"/>
  <c r="CV897" i="1"/>
  <c r="BB966" i="1"/>
  <c r="CV996" i="1"/>
  <c r="BB276" i="1"/>
  <c r="CV292" i="1"/>
  <c r="BB915" i="1"/>
  <c r="CV912" i="1"/>
  <c r="BB303" i="1"/>
  <c r="CV1026" i="1"/>
  <c r="BB269" i="1"/>
  <c r="CV367" i="1"/>
  <c r="CV914" i="1"/>
  <c r="CV1008" i="1"/>
  <c r="BB159" i="1"/>
  <c r="CV171" i="1"/>
  <c r="BB334" i="1"/>
  <c r="CV247" i="1"/>
  <c r="CV979" i="1"/>
  <c r="CV883" i="1"/>
  <c r="BB157" i="1"/>
  <c r="BB1035" i="1"/>
  <c r="CV980" i="1"/>
  <c r="BB1038" i="1"/>
  <c r="BB1044" i="1"/>
  <c r="CV960" i="1"/>
  <c r="CV1072" i="1"/>
  <c r="BB910" i="1"/>
  <c r="BB235" i="1"/>
  <c r="BB337" i="1"/>
  <c r="CV1051" i="1"/>
  <c r="BB880" i="1"/>
  <c r="CV965" i="1"/>
  <c r="CV1014" i="1"/>
  <c r="CV921" i="1"/>
  <c r="BB933" i="1"/>
  <c r="CV1075" i="1"/>
  <c r="BB1075" i="1"/>
  <c r="BB872" i="1"/>
  <c r="BB271" i="1"/>
  <c r="BB132" i="1"/>
  <c r="CV941" i="1"/>
  <c r="CV160" i="1"/>
  <c r="BB172" i="1"/>
  <c r="BB248" i="1"/>
  <c r="CV227" i="1"/>
  <c r="CV990" i="1"/>
  <c r="BB282" i="1"/>
  <c r="CV293" i="1"/>
  <c r="CV1032" i="1"/>
  <c r="BB986" i="1"/>
  <c r="BB338" i="1"/>
  <c r="BB353" i="1"/>
  <c r="CV353" i="1"/>
  <c r="CV354" i="1"/>
  <c r="CV387" i="1"/>
  <c r="CV158" i="1"/>
  <c r="BA896" i="1"/>
  <c r="AZ896" i="1" s="1"/>
  <c r="CV1243" i="1"/>
  <c r="CV1248" i="1"/>
  <c r="BB903" i="1"/>
  <c r="BN273" i="1"/>
  <c r="AX295" i="1"/>
  <c r="AW295" i="1" s="1"/>
  <c r="CV286" i="1"/>
  <c r="CV279" i="1"/>
  <c r="BA1105" i="1"/>
  <c r="AZ1105" i="1" s="1"/>
  <c r="CT1159" i="1"/>
  <c r="CS1159" i="1" s="1"/>
  <c r="BN150" i="1"/>
  <c r="BB1172" i="1"/>
  <c r="BB502" i="1"/>
  <c r="CT1226" i="1"/>
  <c r="CS1226" i="1" s="1"/>
  <c r="BM1161" i="1"/>
  <c r="BL1161" i="1" s="1"/>
  <c r="CV499" i="1"/>
  <c r="BQ888" i="1"/>
  <c r="BQ949" i="1"/>
  <c r="BP200" i="1"/>
  <c r="BO200" i="1" s="1"/>
  <c r="BM1121" i="1"/>
  <c r="BL1121" i="1" s="1"/>
  <c r="BN866" i="1"/>
  <c r="BB1149" i="1"/>
  <c r="CT199" i="1"/>
  <c r="CS199" i="1" s="1"/>
  <c r="CT937" i="1"/>
  <c r="CS937" i="1" s="1"/>
  <c r="AX897" i="1"/>
  <c r="AW897" i="1" s="1"/>
  <c r="BA300" i="1"/>
  <c r="AZ300" i="1" s="1"/>
  <c r="BB1168" i="1"/>
  <c r="BA1107" i="1"/>
  <c r="AZ1107" i="1" s="1"/>
  <c r="CT891" i="1"/>
  <c r="CS891" i="1" s="1"/>
  <c r="BB1010" i="1"/>
  <c r="BQ156" i="1"/>
  <c r="BA1167" i="1"/>
  <c r="AZ1167" i="1" s="1"/>
  <c r="BA903" i="1"/>
  <c r="AZ903" i="1" s="1"/>
  <c r="CT175" i="1"/>
  <c r="CS175" i="1" s="1"/>
  <c r="CT1091" i="1"/>
  <c r="CS1091" i="1" s="1"/>
  <c r="BB382" i="1"/>
  <c r="CT1030" i="1"/>
  <c r="CS1030" i="1" s="1"/>
  <c r="CT1096" i="1"/>
  <c r="CS1096" i="1" s="1"/>
  <c r="BA277" i="1"/>
  <c r="AZ277" i="1" s="1"/>
  <c r="CV1168" i="1"/>
  <c r="CT388" i="1"/>
  <c r="CS388" i="1" s="1"/>
  <c r="BQ263" i="1"/>
  <c r="BQ344" i="1"/>
  <c r="BN989" i="1"/>
  <c r="BN1022" i="1"/>
  <c r="BN322" i="1"/>
  <c r="BN997" i="1"/>
  <c r="BN263" i="1"/>
  <c r="CT1013" i="1"/>
  <c r="CS1013" i="1" s="1"/>
  <c r="BB1165" i="1"/>
  <c r="BB1167" i="1"/>
  <c r="CT215" i="1"/>
  <c r="CS215" i="1" s="1"/>
  <c r="BN313" i="1"/>
  <c r="BQ205" i="1"/>
  <c r="BQ262" i="1"/>
  <c r="BN323" i="1"/>
  <c r="BQ859" i="1"/>
  <c r="BN840" i="1"/>
  <c r="BN146" i="1"/>
  <c r="BN846" i="1"/>
  <c r="BQ1015" i="1"/>
  <c r="BQ925" i="1"/>
  <c r="BN881" i="1"/>
  <c r="BQ1026" i="1"/>
  <c r="BN864" i="1"/>
  <c r="BN863" i="1"/>
  <c r="BN307" i="1"/>
  <c r="BQ274" i="1"/>
  <c r="BA291" i="1"/>
  <c r="AZ291" i="1" s="1"/>
  <c r="BA389" i="1"/>
  <c r="BQ1075" i="1"/>
  <c r="BN303" i="1"/>
  <c r="BN252" i="1"/>
  <c r="BN876" i="1"/>
  <c r="BN182" i="1"/>
  <c r="BQ323" i="1"/>
  <c r="BM370" i="1"/>
  <c r="BL370" i="1" s="1"/>
  <c r="BN161" i="1"/>
  <c r="BN205" i="1"/>
  <c r="CV1013" i="1"/>
  <c r="BB1243" i="1"/>
  <c r="CV291" i="1"/>
  <c r="CT279" i="1"/>
  <c r="CS279" i="1" s="1"/>
  <c r="BA190" i="1"/>
  <c r="BB937" i="1"/>
  <c r="BQ313" i="1"/>
  <c r="BQ286" i="1"/>
  <c r="BA1239" i="1"/>
  <c r="AZ1239" i="1" s="1"/>
  <c r="BB898" i="1"/>
  <c r="CT1100" i="1"/>
  <c r="CS1100" i="1" s="1"/>
  <c r="AX1080" i="1"/>
  <c r="AW1080" i="1" s="1"/>
  <c r="BA1031" i="1"/>
  <c r="AZ1031" i="1" s="1"/>
  <c r="BP432" i="1"/>
  <c r="BO432" i="1" s="1"/>
  <c r="BN271" i="1"/>
  <c r="BN236" i="1"/>
  <c r="BN177" i="1"/>
  <c r="BN227" i="1"/>
  <c r="BM1100" i="1"/>
  <c r="BL1100" i="1" s="1"/>
  <c r="BA185" i="1"/>
  <c r="AZ185" i="1" s="1"/>
  <c r="CV871" i="1"/>
  <c r="CT216" i="1"/>
  <c r="CS216" i="1" s="1"/>
  <c r="BN945" i="1"/>
  <c r="BQ1066" i="1"/>
  <c r="BQ978" i="1"/>
  <c r="BQ1043" i="1"/>
  <c r="BA423" i="1"/>
  <c r="AZ423" i="1" s="1"/>
  <c r="BQ196" i="1"/>
  <c r="BQ992" i="1"/>
  <c r="BQ320" i="1"/>
  <c r="BQ329" i="1"/>
  <c r="BN274" i="1"/>
  <c r="CV1169" i="1"/>
  <c r="BN862" i="1"/>
  <c r="BN237" i="1"/>
  <c r="BN261" i="1"/>
  <c r="BN984" i="1"/>
  <c r="BN1024" i="1"/>
  <c r="BQ1077" i="1"/>
  <c r="BN1055" i="1"/>
  <c r="BN155" i="1"/>
  <c r="BN170" i="1"/>
  <c r="BQ848" i="1"/>
  <c r="BQ1065" i="1"/>
  <c r="BN1165" i="1"/>
  <c r="BP907" i="1"/>
  <c r="BO907" i="1" s="1"/>
  <c r="BP1239" i="1"/>
  <c r="BO1239" i="1" s="1"/>
  <c r="BB1228" i="1"/>
  <c r="CV1152" i="1"/>
  <c r="BB291" i="1"/>
  <c r="CT1149" i="1"/>
  <c r="CS1149" i="1" s="1"/>
  <c r="BB1113" i="1"/>
  <c r="BA1149" i="1"/>
  <c r="AZ1149" i="1" s="1"/>
  <c r="BA502" i="1"/>
  <c r="AZ502" i="1" s="1"/>
  <c r="BM1037" i="1"/>
  <c r="BL1037" i="1" s="1"/>
  <c r="BM503" i="1"/>
  <c r="BL503" i="1" s="1"/>
  <c r="CV373" i="1"/>
  <c r="BM1007" i="1"/>
  <c r="BL1007" i="1" s="1"/>
  <c r="BM1012" i="1"/>
  <c r="BL1012" i="1" s="1"/>
  <c r="BM373" i="1"/>
  <c r="BL373" i="1" s="1"/>
  <c r="CT389" i="1"/>
  <c r="CS389" i="1" s="1"/>
  <c r="BA907" i="1"/>
  <c r="AZ907" i="1" s="1"/>
  <c r="CT1164" i="1"/>
  <c r="CS1164" i="1" s="1"/>
  <c r="BA290" i="1"/>
  <c r="AZ290" i="1" s="1"/>
  <c r="BB431" i="1"/>
  <c r="BB1006" i="1"/>
  <c r="BB209" i="1"/>
  <c r="CV1010" i="1"/>
  <c r="BM2" i="1"/>
  <c r="BL2" i="1" s="1"/>
  <c r="CT1029" i="1"/>
  <c r="CS1029" i="1" s="1"/>
  <c r="CT1152" i="1"/>
  <c r="CS1152" i="1" s="1"/>
  <c r="BA871" i="1"/>
  <c r="AZ871" i="1" s="1"/>
  <c r="BA1158" i="1"/>
  <c r="AZ1158" i="1" s="1"/>
  <c r="BA1095" i="1"/>
  <c r="AZ1095" i="1" s="1"/>
  <c r="CV185" i="1"/>
  <c r="BP1170" i="1"/>
  <c r="BO1170" i="1" s="1"/>
  <c r="BB469" i="1"/>
  <c r="CT290" i="1"/>
  <c r="CS290" i="1" s="1"/>
  <c r="BQ234" i="1"/>
  <c r="BQ197" i="1"/>
  <c r="BQ353" i="1"/>
  <c r="BN854" i="1"/>
  <c r="BN262" i="1"/>
  <c r="BN367" i="1"/>
  <c r="BQ233" i="1"/>
  <c r="BQ962" i="1"/>
  <c r="BM1023" i="1"/>
  <c r="BL1023" i="1" s="1"/>
  <c r="BN134" i="1"/>
  <c r="BN164" i="1"/>
  <c r="BQ240" i="1"/>
  <c r="BQ295" i="1"/>
  <c r="BQ967" i="1"/>
  <c r="BQ1004" i="1"/>
  <c r="BN320" i="1"/>
  <c r="BN132" i="1"/>
  <c r="BN1061" i="1"/>
  <c r="BN867" i="1"/>
  <c r="BN166" i="1"/>
  <c r="BN258" i="1"/>
  <c r="BQ960" i="1"/>
  <c r="BQ1000" i="1"/>
  <c r="BQ357" i="1"/>
  <c r="BQ1012" i="1"/>
  <c r="BN1148" i="1"/>
  <c r="BN967" i="1"/>
  <c r="BN848" i="1"/>
  <c r="BB487" i="1"/>
  <c r="CT158" i="1"/>
  <c r="CS158" i="1" s="1"/>
  <c r="BB869" i="1"/>
  <c r="CT916" i="1"/>
  <c r="CS916" i="1" s="1"/>
  <c r="BA376" i="1"/>
  <c r="AZ376" i="1" s="1"/>
  <c r="CT1010" i="1"/>
  <c r="CS1010" i="1" s="1"/>
  <c r="CT906" i="1"/>
  <c r="CS906" i="1" s="1"/>
  <c r="CV382" i="1"/>
  <c r="BQ203" i="1"/>
  <c r="BN1004" i="1"/>
  <c r="BN337" i="1"/>
  <c r="BN211" i="1"/>
  <c r="BN954" i="1"/>
  <c r="BN264" i="1"/>
  <c r="BN163" i="1"/>
  <c r="BN944" i="1"/>
  <c r="BN287" i="1"/>
  <c r="BQ367" i="1"/>
  <c r="BQ1055" i="1"/>
  <c r="BM1154" i="1"/>
  <c r="BL1154" i="1" s="1"/>
  <c r="CT1239" i="1"/>
  <c r="CS1239" i="1" s="1"/>
  <c r="BB167" i="1"/>
  <c r="BB1148" i="1"/>
  <c r="BN1166" i="1"/>
  <c r="CT502" i="1"/>
  <c r="CS502" i="1" s="1"/>
  <c r="BB169" i="1"/>
  <c r="CT1144" i="1"/>
  <c r="CS1144" i="1" s="1"/>
  <c r="BB289" i="1"/>
  <c r="BB385" i="1"/>
  <c r="CV209" i="1"/>
  <c r="BB1098" i="1"/>
  <c r="CT1160" i="1"/>
  <c r="CS1160" i="1" s="1"/>
  <c r="CT1154" i="1"/>
  <c r="CS1154" i="1" s="1"/>
  <c r="BA1120" i="1"/>
  <c r="AZ1120" i="1" s="1"/>
  <c r="BN971" i="1"/>
  <c r="BM1248" i="1"/>
  <c r="BL1248" i="1" s="1"/>
  <c r="CV1105" i="1"/>
  <c r="CV1224" i="1"/>
  <c r="CT487" i="1"/>
  <c r="CS487" i="1" s="1"/>
  <c r="BA373" i="1"/>
  <c r="AZ373" i="1" s="1"/>
  <c r="CT180" i="1"/>
  <c r="CS180" i="1" s="1"/>
  <c r="BB417" i="1"/>
  <c r="CV1100" i="1"/>
  <c r="BM483" i="1"/>
  <c r="BL483" i="1" s="1"/>
  <c r="BN880" i="1"/>
  <c r="CV1239" i="1"/>
  <c r="BA1108" i="1"/>
  <c r="AZ1108" i="1" s="1"/>
  <c r="BB922" i="1"/>
  <c r="CT1006" i="1"/>
  <c r="CS1006" i="1" s="1"/>
  <c r="CV487" i="1"/>
  <c r="CV918" i="1"/>
  <c r="BB891" i="1"/>
  <c r="BA1011" i="1"/>
  <c r="AZ1011" i="1" s="1"/>
  <c r="CT1119" i="1"/>
  <c r="CS1119" i="1" s="1"/>
  <c r="CT385" i="1"/>
  <c r="CS385" i="1" s="1"/>
  <c r="CV222" i="1"/>
  <c r="CV913" i="1"/>
  <c r="BP290" i="1"/>
  <c r="BO290" i="1" s="1"/>
  <c r="CT1012" i="1"/>
  <c r="CS1012" i="1" s="1"/>
  <c r="BQ997" i="1"/>
  <c r="BN949" i="1"/>
  <c r="CV502" i="1"/>
  <c r="BN152" i="1"/>
  <c r="BQ1020" i="1"/>
  <c r="BQ944" i="1"/>
  <c r="BQ287" i="1"/>
  <c r="BQ370" i="1"/>
  <c r="BB1152" i="1"/>
  <c r="BA424" i="1"/>
  <c r="AZ424" i="1" s="1"/>
  <c r="BB917" i="1"/>
  <c r="CV312" i="1"/>
  <c r="CV1119" i="1"/>
  <c r="BB302" i="1"/>
  <c r="CV896" i="1"/>
  <c r="BM871" i="1"/>
  <c r="BL871" i="1" s="1"/>
  <c r="BA42" i="1"/>
  <c r="AX42" i="1" s="1"/>
  <c r="AW42" i="1" s="1"/>
  <c r="BB1007" i="1"/>
  <c r="BQ194" i="1"/>
  <c r="BQ275" i="1"/>
  <c r="BQ188" i="1"/>
  <c r="BQ866" i="1"/>
  <c r="BA1172" i="1"/>
  <c r="AZ1172" i="1" s="1"/>
  <c r="BN912" i="1"/>
  <c r="CV782" i="1"/>
  <c r="BP1037" i="1"/>
  <c r="BO1037" i="1" s="1"/>
  <c r="BP871" i="1"/>
  <c r="BO871" i="1" s="1"/>
  <c r="BN188" i="1"/>
  <c r="CV169" i="1"/>
  <c r="BM1158" i="1"/>
  <c r="BL1158" i="1" s="1"/>
  <c r="CV285" i="1"/>
  <c r="CT302" i="1"/>
  <c r="CS302" i="1" s="1"/>
  <c r="BM1172" i="1"/>
  <c r="BL1172" i="1" s="1"/>
  <c r="BN354" i="1"/>
  <c r="BN925" i="1"/>
  <c r="BP1161" i="1"/>
  <c r="BO1161" i="1" s="1"/>
  <c r="BM1226" i="1"/>
  <c r="BL1226" i="1" s="1"/>
  <c r="BM183" i="1"/>
  <c r="BL183" i="1" s="1"/>
  <c r="BB1171" i="1"/>
  <c r="CV917" i="1"/>
  <c r="CT918" i="1"/>
  <c r="CS918" i="1" s="1"/>
  <c r="BA1098" i="1"/>
  <c r="AZ1098" i="1" s="1"/>
  <c r="BQ218" i="1"/>
  <c r="BQ181" i="1"/>
  <c r="CV483" i="1"/>
  <c r="BA1176" i="1"/>
  <c r="AZ1176" i="1" s="1"/>
  <c r="BA281" i="1"/>
  <c r="AZ281" i="1" s="1"/>
  <c r="CT1113" i="1"/>
  <c r="CS1113" i="1" s="1"/>
  <c r="BA314" i="1"/>
  <c r="AZ314" i="1" s="1"/>
  <c r="CV465" i="1"/>
  <c r="BN283" i="1"/>
  <c r="BQ134" i="1"/>
  <c r="BN268" i="1"/>
  <c r="BQ177" i="1"/>
  <c r="BA427" i="1"/>
  <c r="AZ427" i="1" s="1"/>
  <c r="BB174" i="1"/>
  <c r="BB1023" i="1"/>
  <c r="BP185" i="1"/>
  <c r="BO185" i="1" s="1"/>
  <c r="BA1111" i="1"/>
  <c r="AZ1111" i="1" s="1"/>
  <c r="BN777" i="1"/>
  <c r="BN1015" i="1"/>
  <c r="BN310" i="1"/>
  <c r="BM1119" i="1"/>
  <c r="BL1119" i="1" s="1"/>
  <c r="BM1006" i="1"/>
  <c r="BL1006" i="1" s="1"/>
  <c r="BA1228" i="1"/>
  <c r="AZ1228" i="1" s="1"/>
  <c r="BA1169" i="1"/>
  <c r="AZ1169" i="1" s="1"/>
  <c r="BA1166" i="1"/>
  <c r="AZ1166" i="1" s="1"/>
  <c r="CT1228" i="1"/>
  <c r="CS1228" i="1" s="1"/>
  <c r="BA922" i="1"/>
  <c r="AZ922" i="1" s="1"/>
  <c r="CV1215" i="1"/>
  <c r="BA388" i="1"/>
  <c r="BA1036" i="1"/>
  <c r="AZ1036" i="1" s="1"/>
  <c r="CV1114" i="1"/>
  <c r="CT305" i="1"/>
  <c r="CS305" i="1" s="1"/>
  <c r="BA1218" i="1"/>
  <c r="AZ1218" i="1" s="1"/>
  <c r="BN172" i="1"/>
  <c r="BN1066" i="1"/>
  <c r="AY1066" i="1" s="1"/>
  <c r="BA294" i="1"/>
  <c r="AZ294" i="1" s="1"/>
  <c r="BP483" i="1"/>
  <c r="BO483" i="1" s="1"/>
  <c r="BP1165" i="1"/>
  <c r="BO1165" i="1" s="1"/>
  <c r="BN1152" i="1"/>
  <c r="BB1169" i="1"/>
  <c r="BA279" i="1"/>
  <c r="AZ279" i="1" s="1"/>
  <c r="BB281" i="1"/>
  <c r="BB1033" i="1"/>
  <c r="CT917" i="1"/>
  <c r="CS917" i="1" s="1"/>
  <c r="BA1006" i="1"/>
  <c r="AZ1006" i="1" s="1"/>
  <c r="BA219" i="1"/>
  <c r="AZ219" i="1" s="1"/>
  <c r="BB42" i="1"/>
  <c r="BP310" i="1"/>
  <c r="BO310" i="1" s="1"/>
  <c r="BA504" i="1"/>
  <c r="AZ504" i="1" s="1"/>
  <c r="BB277" i="1"/>
  <c r="BQ249" i="1"/>
  <c r="BN329" i="1"/>
  <c r="BN240" i="1"/>
  <c r="BM416" i="1"/>
  <c r="BL416" i="1" s="1"/>
  <c r="BA191" i="1"/>
  <c r="BA1121" i="1"/>
  <c r="CT467" i="1"/>
  <c r="CS467" i="1" s="1"/>
  <c r="BA886" i="1"/>
  <c r="AZ886" i="1" s="1"/>
  <c r="BP917" i="1"/>
  <c r="BO917" i="1" s="1"/>
  <c r="BA175" i="1"/>
  <c r="AZ175" i="1" s="1"/>
  <c r="BM1170" i="1"/>
  <c r="BL1170" i="1" s="1"/>
  <c r="CT1223" i="1"/>
  <c r="CS1223" i="1" s="1"/>
  <c r="CT1150" i="1"/>
  <c r="CS1150" i="1" s="1"/>
  <c r="BA1154" i="1"/>
  <c r="AZ1154" i="1" s="1"/>
  <c r="CT310" i="1"/>
  <c r="CS310" i="1" s="1"/>
  <c r="BM185" i="1"/>
  <c r="BL185" i="1" s="1"/>
  <c r="BA901" i="1"/>
  <c r="AZ901" i="1" s="1"/>
  <c r="CV1171" i="1"/>
  <c r="CT913" i="1"/>
  <c r="CS913" i="1" s="1"/>
  <c r="BM423" i="1"/>
  <c r="BL423" i="1" s="1"/>
  <c r="BB1164" i="1"/>
  <c r="CT896" i="1"/>
  <c r="CS896" i="1" s="1"/>
  <c r="BA1214" i="1"/>
  <c r="AZ1214" i="1" s="1"/>
  <c r="BA870" i="1"/>
  <c r="AZ870" i="1" s="1"/>
  <c r="BP1147" i="1"/>
  <c r="BO1147" i="1" s="1"/>
  <c r="CV1160" i="1"/>
  <c r="BB308" i="1"/>
  <c r="BB1214" i="1"/>
  <c r="BA1094" i="1"/>
  <c r="AZ1094" i="1" s="1"/>
  <c r="BP1121" i="1"/>
  <c r="BO1121" i="1" s="1"/>
  <c r="BN378" i="1"/>
  <c r="BN1033" i="1"/>
  <c r="BQ420" i="1"/>
  <c r="BM291" i="1"/>
  <c r="BL291" i="1" s="1"/>
  <c r="BA209" i="1"/>
  <c r="AZ209" i="1" s="1"/>
  <c r="BP291" i="1"/>
  <c r="BO291" i="1" s="1"/>
  <c r="BQ432" i="1"/>
  <c r="BM372" i="1"/>
  <c r="BL372" i="1" s="1"/>
  <c r="BM502" i="1"/>
  <c r="BL502" i="1" s="1"/>
  <c r="BP502" i="1"/>
  <c r="BO502" i="1" s="1"/>
  <c r="BM388" i="1"/>
  <c r="BL388" i="1" s="1"/>
  <c r="BP388" i="1"/>
  <c r="BO388" i="1" s="1"/>
  <c r="BM499" i="1"/>
  <c r="BL499" i="1" s="1"/>
  <c r="BA1224" i="1"/>
  <c r="AZ1224" i="1" s="1"/>
  <c r="CT365" i="1"/>
  <c r="CS365" i="1" s="1"/>
  <c r="BM1107" i="1"/>
  <c r="BL1107" i="1" s="1"/>
  <c r="BQ1013" i="1"/>
  <c r="BQ1239" i="1"/>
  <c r="CT1105" i="1"/>
  <c r="CS1105" i="1" s="1"/>
  <c r="BA1152" i="1"/>
  <c r="AZ1152" i="1" s="1"/>
  <c r="CT314" i="1"/>
  <c r="CS314" i="1" s="1"/>
  <c r="BB465" i="1"/>
  <c r="BB373" i="1"/>
  <c r="CT168" i="1"/>
  <c r="CS168" i="1" s="1"/>
  <c r="CT1107" i="1"/>
  <c r="CS1107" i="1" s="1"/>
  <c r="BB222" i="1"/>
  <c r="CT1121" i="1"/>
  <c r="CS1121" i="1" s="1"/>
  <c r="BB213" i="1"/>
  <c r="BB1092" i="1"/>
  <c r="BM290" i="1"/>
  <c r="BL290" i="1" s="1"/>
  <c r="CT238" i="1"/>
  <c r="CS238" i="1" s="1"/>
  <c r="CT423" i="1"/>
  <c r="CS423" i="1" s="1"/>
  <c r="CV937" i="1"/>
  <c r="CV305" i="1"/>
  <c r="BB312" i="1"/>
  <c r="BM938" i="1"/>
  <c r="BL938" i="1" s="1"/>
  <c r="BN168" i="1"/>
  <c r="BN1007" i="1"/>
  <c r="BN1172" i="1"/>
  <c r="BN185" i="1"/>
  <c r="BM1169" i="1"/>
  <c r="BL1169" i="1" s="1"/>
  <c r="BA174" i="1"/>
  <c r="AZ174" i="1" s="1"/>
  <c r="CT1171" i="1"/>
  <c r="CS1171" i="1" s="1"/>
  <c r="CT934" i="1"/>
  <c r="CS934" i="1" s="1"/>
  <c r="BB852" i="1"/>
  <c r="CT902" i="1"/>
  <c r="CS902" i="1" s="1"/>
  <c r="BP199" i="1"/>
  <c r="BO199" i="1" s="1"/>
  <c r="BP423" i="1"/>
  <c r="BO423" i="1" s="1"/>
  <c r="CV891" i="1"/>
  <c r="CV1154" i="1"/>
  <c r="BN431" i="1"/>
  <c r="CT1019" i="1"/>
  <c r="CS1019" i="1" s="1"/>
  <c r="BA286" i="1"/>
  <c r="AZ286" i="1" s="1"/>
  <c r="CT432" i="1"/>
  <c r="CS432" i="1" s="1"/>
  <c r="CT469" i="1"/>
  <c r="CS469" i="1" s="1"/>
  <c r="CV1218" i="1"/>
  <c r="BB1114" i="1"/>
  <c r="BA1023" i="1"/>
  <c r="BB892" i="1"/>
  <c r="BB390" i="1"/>
  <c r="BA158" i="1"/>
  <c r="AZ158" i="1" s="1"/>
  <c r="BA302" i="1"/>
  <c r="AZ302" i="1" s="1"/>
  <c r="CV388" i="1"/>
  <c r="BB1030" i="1"/>
  <c r="CT1148" i="1"/>
  <c r="CS1148" i="1" s="1"/>
  <c r="BB918" i="1"/>
  <c r="CV1159" i="1"/>
  <c r="BA238" i="1"/>
  <c r="AZ238" i="1" s="1"/>
  <c r="BN1248" i="1"/>
  <c r="BQ166" i="1"/>
  <c r="BB216" i="1"/>
  <c r="CV304" i="1"/>
  <c r="CV175" i="1"/>
  <c r="CT871" i="1"/>
  <c r="CS871" i="1" s="1"/>
  <c r="BB1012" i="1"/>
  <c r="CT1218" i="1"/>
  <c r="CS1218" i="1" s="1"/>
  <c r="BA386" i="1"/>
  <c r="BA385" i="1"/>
  <c r="AZ385" i="1" s="1"/>
  <c r="BA891" i="1"/>
  <c r="AZ891" i="1" s="1"/>
  <c r="CT1120" i="1"/>
  <c r="CS1120" i="1" s="1"/>
  <c r="CT1111" i="1"/>
  <c r="CS1111" i="1" s="1"/>
  <c r="CV190" i="1"/>
  <c r="BA378" i="1"/>
  <c r="AZ378" i="1" s="1"/>
  <c r="CV148" i="1"/>
  <c r="BP892" i="1"/>
  <c r="BO892" i="1" s="1"/>
  <c r="BQ483" i="1"/>
  <c r="BQ900" i="1"/>
  <c r="BQ1161" i="1"/>
  <c r="BB1013" i="1"/>
  <c r="BB183" i="1"/>
  <c r="BN194" i="1"/>
  <c r="BN221" i="1"/>
  <c r="BQ283" i="1"/>
  <c r="BN1009" i="1"/>
  <c r="BN295" i="1"/>
  <c r="BN187" i="1"/>
  <c r="BN233" i="1"/>
  <c r="BN977" i="1"/>
  <c r="BN1017" i="1"/>
  <c r="BN962" i="1"/>
  <c r="BN234" i="1"/>
  <c r="BQ152" i="1"/>
  <c r="BN1170" i="1"/>
  <c r="BN1147" i="1"/>
  <c r="BQ252" i="1"/>
  <c r="BN946" i="1"/>
  <c r="BM286" i="1"/>
  <c r="BL286" i="1" s="1"/>
  <c r="BM389" i="1"/>
  <c r="BL389" i="1" s="1"/>
  <c r="CT501" i="1"/>
  <c r="CS501" i="1" s="1"/>
  <c r="CV503" i="1"/>
  <c r="BB1160" i="1"/>
  <c r="BA366" i="1"/>
  <c r="AZ366" i="1" s="1"/>
  <c r="CT1248" i="1"/>
  <c r="CS1248" i="1" s="1"/>
  <c r="CV1149" i="1"/>
  <c r="BB286" i="1"/>
  <c r="BA1037" i="1"/>
  <c r="AZ1037" i="1" s="1"/>
  <c r="CT309" i="1"/>
  <c r="CS309" i="1" s="1"/>
  <c r="CT1153" i="1"/>
  <c r="CS1153" i="1" s="1"/>
  <c r="BB386" i="1"/>
  <c r="CV277" i="1"/>
  <c r="CT209" i="1"/>
  <c r="CS209" i="1" s="1"/>
  <c r="BB900" i="1"/>
  <c r="BA432" i="1"/>
  <c r="AZ432" i="1" s="1"/>
  <c r="BB219" i="1"/>
  <c r="CV183" i="1"/>
  <c r="CV376" i="1"/>
  <c r="BB206" i="1"/>
  <c r="BM199" i="1"/>
  <c r="BL199" i="1" s="1"/>
  <c r="CT300" i="1"/>
  <c r="CS300" i="1" s="1"/>
  <c r="CV939" i="1"/>
  <c r="CT206" i="1"/>
  <c r="CS206" i="1" s="1"/>
  <c r="BQ175" i="1"/>
  <c r="CV213" i="1"/>
  <c r="BN1008" i="1"/>
  <c r="BQ1097" i="1"/>
  <c r="BN275" i="1"/>
  <c r="BN1037" i="1"/>
  <c r="BN202" i="1"/>
  <c r="BN133" i="1"/>
  <c r="BQ786" i="1"/>
  <c r="BN249" i="1"/>
  <c r="BN197" i="1"/>
  <c r="BN1080" i="1"/>
  <c r="BQ1080" i="1"/>
  <c r="BN1026" i="1"/>
  <c r="BQ880" i="1"/>
  <c r="BN1010" i="1"/>
  <c r="BQ876" i="1"/>
  <c r="BN416" i="1"/>
  <c r="BN305" i="1"/>
  <c r="BQ279" i="1"/>
  <c r="BQ894" i="1"/>
  <c r="BQ132" i="1"/>
  <c r="BQ908" i="1"/>
  <c r="BM907" i="1"/>
  <c r="BL907" i="1" s="1"/>
  <c r="BN1019" i="1"/>
  <c r="BN238" i="1"/>
  <c r="BN503" i="1"/>
  <c r="BQ1085" i="1"/>
  <c r="BQ889" i="1"/>
  <c r="BQ1067" i="1"/>
  <c r="BN1023" i="1"/>
  <c r="BQ911" i="1"/>
  <c r="BN921" i="1"/>
  <c r="BN936" i="1"/>
  <c r="BQ1035" i="1"/>
  <c r="BQ1038" i="1"/>
  <c r="BQ1045" i="1"/>
  <c r="BQ338" i="1"/>
  <c r="BQ1072" i="1"/>
  <c r="BQ141" i="1"/>
  <c r="BN1094" i="1"/>
  <c r="BN206" i="1"/>
  <c r="BN160" i="1"/>
  <c r="BQ226" i="1"/>
  <c r="BN950" i="1"/>
  <c r="BN359" i="1"/>
  <c r="BN173" i="1"/>
  <c r="BN209" i="1"/>
  <c r="BM1105" i="1"/>
  <c r="BL1105" i="1" s="1"/>
  <c r="BQ161" i="1"/>
  <c r="BQ877" i="1"/>
  <c r="CT286" i="1"/>
  <c r="CS286" i="1" s="1"/>
  <c r="CV1172" i="1"/>
  <c r="BB1029" i="1"/>
  <c r="BA1170" i="1"/>
  <c r="AZ1170" i="1" s="1"/>
  <c r="CT922" i="1"/>
  <c r="CS922" i="1" s="1"/>
  <c r="CT417" i="1"/>
  <c r="CS417" i="1" s="1"/>
  <c r="CT1215" i="1"/>
  <c r="CS1215" i="1" s="1"/>
  <c r="CV366" i="1"/>
  <c r="BA285" i="1"/>
  <c r="AZ285" i="1" s="1"/>
  <c r="BA370" i="1"/>
  <c r="BA1159" i="1"/>
  <c r="AZ1159" i="1" s="1"/>
  <c r="BB423" i="1"/>
  <c r="BA1248" i="1"/>
  <c r="AZ1248" i="1" s="1"/>
  <c r="BA1148" i="1"/>
  <c r="AZ1148" i="1" s="1"/>
  <c r="CT312" i="1"/>
  <c r="CS312" i="1" s="1"/>
  <c r="BB896" i="1"/>
  <c r="CT1114" i="1"/>
  <c r="CS1114" i="1" s="1"/>
  <c r="BA937" i="1"/>
  <c r="AZ937" i="1" s="1"/>
  <c r="BM1147" i="1"/>
  <c r="BL1147" i="1" s="1"/>
  <c r="CV200" i="1"/>
  <c r="CT369" i="1"/>
  <c r="CS369" i="1" s="1"/>
  <c r="CV280" i="1"/>
  <c r="BA1164" i="1"/>
  <c r="AZ1164" i="1" s="1"/>
  <c r="BA365" i="1"/>
  <c r="AZ365" i="1" s="1"/>
  <c r="CV1036" i="1"/>
  <c r="BB934" i="1"/>
  <c r="BB1036" i="1"/>
  <c r="BB190" i="1"/>
  <c r="BA1010" i="1"/>
  <c r="AZ1010" i="1" s="1"/>
  <c r="BN1097" i="1"/>
  <c r="BQ1008" i="1"/>
  <c r="BQ945" i="1"/>
  <c r="BQ254" i="1"/>
  <c r="BN218" i="1"/>
  <c r="BQ1051" i="1"/>
  <c r="BN196" i="1"/>
  <c r="BN930" i="1"/>
  <c r="BN992" i="1"/>
  <c r="BN319" i="1"/>
  <c r="BN1065" i="1"/>
  <c r="BN344" i="1"/>
  <c r="BN353" i="1"/>
  <c r="BN245" i="1"/>
  <c r="BQ990" i="1"/>
  <c r="BQ854" i="1"/>
  <c r="BN980" i="1"/>
  <c r="BN181" i="1"/>
  <c r="BA1091" i="1"/>
  <c r="AZ1091" i="1" s="1"/>
  <c r="BA852" i="1"/>
  <c r="AX852" i="1" s="1"/>
  <c r="AW852" i="1" s="1"/>
  <c r="BN203" i="1"/>
  <c r="BM191" i="1"/>
  <c r="BL191" i="1" s="1"/>
  <c r="BP191" i="1"/>
  <c r="BO191" i="1" s="1"/>
  <c r="BN908" i="1"/>
  <c r="BQ871" i="1"/>
  <c r="BQ861" i="1"/>
  <c r="BN427" i="1"/>
  <c r="BN424" i="1"/>
  <c r="BN955" i="1"/>
  <c r="BQ955" i="1"/>
  <c r="BP886" i="1"/>
  <c r="BO886" i="1" s="1"/>
  <c r="BM238" i="1"/>
  <c r="BL238" i="1" s="1"/>
  <c r="BP238" i="1"/>
  <c r="BO238" i="1" s="1"/>
  <c r="BP1010" i="1"/>
  <c r="BO1010" i="1" s="1"/>
  <c r="BM1010" i="1"/>
  <c r="BL1010" i="1" s="1"/>
  <c r="BP900" i="1"/>
  <c r="BO900" i="1" s="1"/>
  <c r="BM900" i="1"/>
  <c r="BL900" i="1" s="1"/>
  <c r="CV1222" i="1"/>
  <c r="BB388" i="1"/>
  <c r="BM1148" i="1"/>
  <c r="BL1148" i="1" s="1"/>
  <c r="BP1148" i="1"/>
  <c r="BO1148" i="1" s="1"/>
  <c r="BN178" i="1"/>
  <c r="BM1019" i="1"/>
  <c r="BL1019" i="1" s="1"/>
  <c r="BP1019" i="1"/>
  <c r="BO1019" i="1" s="1"/>
  <c r="BQ292" i="1"/>
  <c r="BN292" i="1"/>
  <c r="BN859" i="1"/>
  <c r="BQ303" i="1"/>
  <c r="BN1045" i="1"/>
  <c r="BQ157" i="1"/>
  <c r="BN1058" i="1"/>
  <c r="BQ216" i="1"/>
  <c r="BP1007" i="1"/>
  <c r="BO1007" i="1" s="1"/>
  <c r="BA917" i="1"/>
  <c r="AZ917" i="1" s="1"/>
  <c r="CV869" i="1"/>
  <c r="CV1144" i="1"/>
  <c r="BB377" i="1"/>
  <c r="CT1098" i="1"/>
  <c r="CS1098" i="1" s="1"/>
  <c r="BA222" i="1"/>
  <c r="AZ222" i="1" s="1"/>
  <c r="CV1111" i="1"/>
  <c r="BA213" i="1"/>
  <c r="BB947" i="1"/>
  <c r="BB148" i="1"/>
  <c r="CV370" i="1"/>
  <c r="BB1144" i="1"/>
  <c r="BA1007" i="1"/>
  <c r="AZ1007" i="1" s="1"/>
  <c r="BA1147" i="1"/>
  <c r="AZ1147" i="1" s="1"/>
  <c r="BQ185" i="1"/>
  <c r="BA893" i="1"/>
  <c r="AZ893" i="1" s="1"/>
  <c r="BB1091" i="1"/>
  <c r="BB229" i="1"/>
  <c r="BQ221" i="1"/>
  <c r="BN254" i="1"/>
  <c r="BQ133" i="1"/>
  <c r="BQ255" i="1"/>
  <c r="BQ996" i="1"/>
  <c r="BN996" i="1"/>
  <c r="BQ1009" i="1"/>
  <c r="BQ1016" i="1"/>
  <c r="BN1016" i="1"/>
  <c r="BQ930" i="1"/>
  <c r="BQ246" i="1"/>
  <c r="BN914" i="1"/>
  <c r="BQ187" i="1"/>
  <c r="BQ977" i="1"/>
  <c r="BQ1017" i="1"/>
  <c r="BN255" i="1"/>
  <c r="BQ164" i="1"/>
  <c r="BN246" i="1"/>
  <c r="BQ972" i="1"/>
  <c r="BN1035" i="1"/>
  <c r="BN1072" i="1"/>
  <c r="BN390" i="1"/>
  <c r="BN782" i="1"/>
  <c r="BQ158" i="1"/>
  <c r="BN250" i="1"/>
  <c r="BQ845" i="1"/>
  <c r="BQ850" i="1"/>
  <c r="BN156" i="1"/>
  <c r="CT1172" i="1"/>
  <c r="CS1172" i="1" s="1"/>
  <c r="BA503" i="1"/>
  <c r="BB366" i="1"/>
  <c r="BA431" i="1"/>
  <c r="AZ431" i="1" s="1"/>
  <c r="CT294" i="1"/>
  <c r="CS294" i="1" s="1"/>
  <c r="CV1228" i="1"/>
  <c r="CT387" i="1"/>
  <c r="CS387" i="1" s="1"/>
  <c r="BB939" i="1"/>
  <c r="BA1119" i="1"/>
  <c r="AZ1119" i="1" s="1"/>
  <c r="CT1031" i="1"/>
  <c r="CS1031" i="1" s="1"/>
  <c r="CT378" i="1"/>
  <c r="CS378" i="1" s="1"/>
  <c r="CV870" i="1"/>
  <c r="BM917" i="1"/>
  <c r="BL917" i="1" s="1"/>
  <c r="BB391" i="1"/>
  <c r="BQ202" i="1"/>
  <c r="BQ976" i="1"/>
  <c r="BQ1002" i="1"/>
  <c r="BN1002" i="1"/>
  <c r="BQ266" i="1"/>
  <c r="BQ914" i="1"/>
  <c r="BQ245" i="1"/>
  <c r="BQ276" i="1"/>
  <c r="BN276" i="1"/>
  <c r="BQ933" i="1"/>
  <c r="BN933" i="1"/>
  <c r="BN990" i="1"/>
  <c r="BQ777" i="1"/>
  <c r="BN976" i="1"/>
  <c r="BN1038" i="1"/>
  <c r="BN338" i="1"/>
  <c r="BN966" i="1"/>
  <c r="BQ182" i="1"/>
  <c r="BN910" i="1"/>
  <c r="BN1021" i="1"/>
  <c r="BN372" i="1"/>
  <c r="BQ1018" i="1"/>
  <c r="BN920" i="1"/>
  <c r="BQ171" i="1"/>
  <c r="BN1160" i="1"/>
  <c r="BQ179" i="1"/>
  <c r="BN935" i="1"/>
  <c r="BQ959" i="1"/>
  <c r="BQ853" i="1"/>
  <c r="BQ864" i="1"/>
  <c r="BP898" i="1"/>
  <c r="BO898" i="1" s="1"/>
  <c r="BQ921" i="1"/>
  <c r="BQ936" i="1"/>
  <c r="BQ325" i="1"/>
  <c r="BN1044" i="1"/>
  <c r="BQ269" i="1"/>
  <c r="BQ346" i="1"/>
  <c r="BN1083" i="1"/>
  <c r="BQ1100" i="1"/>
  <c r="BN1154" i="1"/>
  <c r="BN1228" i="1"/>
  <c r="BP1225" i="1"/>
  <c r="BO1225" i="1" s="1"/>
  <c r="BM365" i="1"/>
  <c r="BL365" i="1" s="1"/>
  <c r="BA1226" i="1"/>
  <c r="BB871" i="1"/>
  <c r="BB1166" i="1"/>
  <c r="BA180" i="1"/>
  <c r="AZ180" i="1" s="1"/>
  <c r="BB359" i="1"/>
  <c r="CT893" i="1"/>
  <c r="CS893" i="1" s="1"/>
  <c r="BA280" i="1"/>
  <c r="AX280" i="1" s="1"/>
  <c r="AW280" i="1" s="1"/>
  <c r="BB1159" i="1"/>
  <c r="CV180" i="1"/>
  <c r="BA1222" i="1"/>
  <c r="AZ1222" i="1" s="1"/>
  <c r="BA1012" i="1"/>
  <c r="BB1146" i="1"/>
  <c r="BA289" i="1"/>
  <c r="AZ289" i="1" s="1"/>
  <c r="BB1119" i="1"/>
  <c r="CT229" i="1"/>
  <c r="CS229" i="1" s="1"/>
  <c r="CV916" i="1"/>
  <c r="CT1018" i="1"/>
  <c r="CS1018" i="1" s="1"/>
  <c r="BB376" i="1"/>
  <c r="BA900" i="1"/>
  <c r="CV1158" i="1"/>
  <c r="BA390" i="1"/>
  <c r="AZ390" i="1" s="1"/>
  <c r="BB913" i="1"/>
  <c r="CV1023" i="1"/>
  <c r="BP1172" i="1"/>
  <c r="BO1172" i="1" s="1"/>
  <c r="CV174" i="1"/>
  <c r="BQ1037" i="1"/>
  <c r="CV363" i="1"/>
  <c r="BA1013" i="1"/>
  <c r="AZ1013" i="1" s="1"/>
  <c r="BA310" i="1"/>
  <c r="AZ310" i="1" s="1"/>
  <c r="BB168" i="1"/>
  <c r="CT1146" i="1"/>
  <c r="CS1146" i="1" s="1"/>
  <c r="CT431" i="1"/>
  <c r="CS431" i="1" s="1"/>
  <c r="BM432" i="1"/>
  <c r="BL432" i="1" s="1"/>
  <c r="BQ172" i="1"/>
  <c r="BN786" i="1"/>
  <c r="BQ1005" i="1"/>
  <c r="BN1005" i="1"/>
  <c r="BQ319" i="1"/>
  <c r="BQ980" i="1"/>
  <c r="BQ881" i="1"/>
  <c r="BN266" i="1"/>
  <c r="BN1121" i="1"/>
  <c r="BN886" i="1"/>
  <c r="BP289" i="1"/>
  <c r="BO289" i="1" s="1"/>
  <c r="BN167" i="1"/>
  <c r="BN191" i="1"/>
  <c r="BN376" i="1"/>
  <c r="BN175" i="1"/>
  <c r="BM1029" i="1"/>
  <c r="BL1029" i="1" s="1"/>
  <c r="BA372" i="1"/>
  <c r="AZ372" i="1" s="1"/>
  <c r="BA1153" i="1"/>
  <c r="AZ1153" i="1" s="1"/>
  <c r="CT416" i="1"/>
  <c r="CS416" i="1" s="1"/>
  <c r="BA359" i="1"/>
  <c r="CV1011" i="1"/>
  <c r="BB370" i="1"/>
  <c r="CT1214" i="1"/>
  <c r="CS1214" i="1" s="1"/>
  <c r="CT391" i="1"/>
  <c r="CS391" i="1" s="1"/>
  <c r="BA947" i="1"/>
  <c r="AZ947" i="1" s="1"/>
  <c r="BA1113" i="1"/>
  <c r="AZ1113" i="1" s="1"/>
  <c r="BN852" i="1"/>
  <c r="BA465" i="1"/>
  <c r="AX465" i="1" s="1"/>
  <c r="AW465" i="1" s="1"/>
  <c r="CT1151" i="1"/>
  <c r="CS1151" i="1" s="1"/>
  <c r="BQ229" i="1"/>
  <c r="BQ499" i="1"/>
  <c r="BB906" i="1"/>
  <c r="BQ386" i="1"/>
  <c r="BN148" i="1"/>
  <c r="BN937" i="1"/>
  <c r="BQ901" i="1"/>
  <c r="BQ1146" i="1"/>
  <c r="BN1226" i="1"/>
  <c r="BM892" i="1"/>
  <c r="BL892" i="1" s="1"/>
  <c r="CT483" i="1"/>
  <c r="CS483" i="1" s="1"/>
  <c r="BA1223" i="1"/>
  <c r="AZ1223" i="1" s="1"/>
  <c r="BB300" i="1"/>
  <c r="BB870" i="1"/>
  <c r="BA199" i="1"/>
  <c r="AZ199" i="1" s="1"/>
  <c r="CT184" i="1"/>
  <c r="CS184" i="1" s="1"/>
  <c r="CT1176" i="1"/>
  <c r="CS1176" i="1" s="1"/>
  <c r="CT1147" i="1"/>
  <c r="CS1147" i="1" s="1"/>
  <c r="BB1011" i="1"/>
  <c r="CV390" i="1"/>
  <c r="CV385" i="1"/>
  <c r="BM310" i="1"/>
  <c r="BL310" i="1" s="1"/>
  <c r="CT1165" i="1"/>
  <c r="CS1165" i="1" s="1"/>
  <c r="BN388" i="1"/>
  <c r="BN483" i="1"/>
  <c r="BN373" i="1"/>
  <c r="BN1171" i="1"/>
  <c r="BN222" i="1"/>
  <c r="BP503" i="1"/>
  <c r="BO503" i="1" s="1"/>
  <c r="BQ190" i="1"/>
  <c r="BN1150" i="1"/>
  <c r="BN918" i="1"/>
  <c r="BQ366" i="1"/>
  <c r="BQ1007" i="1"/>
  <c r="BN300" i="1"/>
  <c r="BA487" i="1"/>
  <c r="AZ487" i="1" s="1"/>
  <c r="BB1226" i="1"/>
  <c r="BA1225" i="1"/>
  <c r="AZ1225" i="1" s="1"/>
  <c r="CV281" i="1"/>
  <c r="CT1224" i="1"/>
  <c r="CS1224" i="1" s="1"/>
  <c r="CT291" i="1"/>
  <c r="CS291" i="1" s="1"/>
  <c r="BB200" i="1"/>
  <c r="BA167" i="1"/>
  <c r="AZ167" i="1" s="1"/>
  <c r="CT907" i="1"/>
  <c r="CS907" i="1" s="1"/>
  <c r="BA869" i="1"/>
  <c r="AZ869" i="1" s="1"/>
  <c r="BA309" i="1"/>
  <c r="AZ309" i="1" s="1"/>
  <c r="CV206" i="1"/>
  <c r="BQ382" i="1"/>
  <c r="AZ308" i="1"/>
  <c r="BQ390" i="1"/>
  <c r="BQ782" i="1"/>
  <c r="BQ385" i="1"/>
  <c r="CT304" i="1"/>
  <c r="CS304" i="1" s="1"/>
  <c r="BQ184" i="1"/>
  <c r="BN1018" i="1"/>
  <c r="BQ870" i="1"/>
  <c r="BN870" i="1"/>
  <c r="BN913" i="1"/>
  <c r="BP1171" i="1"/>
  <c r="BO1171" i="1" s="1"/>
  <c r="BQ1092" i="1"/>
  <c r="BQ1023" i="1"/>
  <c r="BN391" i="1"/>
  <c r="BP896" i="1"/>
  <c r="BO896" i="1" s="1"/>
  <c r="BQ1150" i="1"/>
  <c r="BQ1153" i="1"/>
  <c r="BQ922" i="1"/>
  <c r="BN1112" i="1"/>
  <c r="BN365" i="1"/>
  <c r="BN1012" i="1"/>
  <c r="BQ1222" i="1"/>
  <c r="BN1149" i="1"/>
  <c r="BN1151" i="1"/>
  <c r="BQ1169" i="1"/>
  <c r="BQ1033" i="1"/>
  <c r="BN501" i="1"/>
  <c r="BN169" i="1"/>
  <c r="BQ1148" i="1"/>
  <c r="BA304" i="1"/>
  <c r="AZ304" i="1" s="1"/>
  <c r="CV2050" i="1"/>
  <c r="BA363" i="1"/>
  <c r="AZ363" i="1" s="1"/>
  <c r="BA200" i="1"/>
  <c r="CV369" i="1"/>
  <c r="CV893" i="1"/>
  <c r="BB280" i="1"/>
  <c r="BB1150" i="1"/>
  <c r="CT308" i="1"/>
  <c r="CS308" i="1" s="1"/>
  <c r="BA305" i="1"/>
  <c r="AZ305" i="1" s="1"/>
  <c r="BN900" i="1"/>
  <c r="BN199" i="1"/>
  <c r="BQ1154" i="1"/>
  <c r="BQ1120" i="1"/>
  <c r="BN502" i="1"/>
  <c r="BQ852" i="1"/>
  <c r="BN499" i="1"/>
  <c r="BB363" i="1"/>
  <c r="BN229" i="1"/>
  <c r="CT1225" i="1"/>
  <c r="CS1225" i="1" s="1"/>
  <c r="BB503" i="1"/>
  <c r="BA430" i="1"/>
  <c r="AZ430" i="1" s="1"/>
  <c r="CT289" i="1"/>
  <c r="CS289" i="1" s="1"/>
  <c r="BB285" i="1"/>
  <c r="CT427" i="1"/>
  <c r="CS427" i="1" s="1"/>
  <c r="BA417" i="1"/>
  <c r="AZ417" i="1" s="1"/>
  <c r="BB782" i="1"/>
  <c r="CT191" i="1"/>
  <c r="CS191" i="1" s="1"/>
  <c r="CV1150" i="1"/>
  <c r="CT1094" i="1"/>
  <c r="CS1094" i="1" s="1"/>
  <c r="CV378" i="1"/>
  <c r="BA369" i="1"/>
  <c r="AZ369" i="1" s="1"/>
  <c r="BM424" i="1"/>
  <c r="BL424" i="1" s="1"/>
  <c r="BN1095" i="1"/>
  <c r="BQ503" i="1"/>
  <c r="BQ148" i="1"/>
  <c r="BQ1107" i="1"/>
  <c r="BN386" i="1"/>
  <c r="BN922" i="1"/>
  <c r="BQ1165" i="1"/>
  <c r="BN1119" i="1"/>
  <c r="BN1006" i="1"/>
  <c r="BQ416" i="1"/>
  <c r="BN938" i="1"/>
  <c r="BN1146" i="1"/>
  <c r="BN280" i="1"/>
  <c r="BN487" i="1"/>
  <c r="BN1158" i="1"/>
  <c r="BN432" i="1"/>
  <c r="BN304" i="1"/>
  <c r="BQ1248" i="1"/>
  <c r="BP387" i="1"/>
  <c r="BO387" i="1" s="1"/>
  <c r="BQ1170" i="1"/>
  <c r="BN1218" i="1"/>
  <c r="BN382" i="1"/>
  <c r="BN308" i="1"/>
  <c r="BN1161" i="1"/>
  <c r="BN1108" i="1"/>
  <c r="BQ1160" i="1"/>
  <c r="BQ1030" i="1"/>
  <c r="BQ371" i="1"/>
  <c r="BQ918" i="1"/>
  <c r="BN1105" i="1"/>
  <c r="BQ1105" i="1"/>
  <c r="BP1119" i="1"/>
  <c r="BO1119" i="1" s="1"/>
  <c r="BN2050" i="1"/>
  <c r="BA483" i="1"/>
  <c r="AZ483" i="1" s="1"/>
  <c r="CT504" i="1"/>
  <c r="CS504" i="1" s="1"/>
  <c r="BA2050" i="1"/>
  <c r="AZ2050" i="1" s="1"/>
  <c r="BB499" i="1"/>
  <c r="CT420" i="1"/>
  <c r="CS420" i="1" s="1"/>
  <c r="CT1112" i="1"/>
  <c r="CS1112" i="1" s="1"/>
  <c r="BA938" i="1"/>
  <c r="AZ938" i="1" s="1"/>
  <c r="BA1033" i="1"/>
  <c r="BA215" i="1"/>
  <c r="AZ215" i="1" s="1"/>
  <c r="BA1168" i="1"/>
  <c r="AZ1168" i="1" s="1"/>
  <c r="BA382" i="1"/>
  <c r="AZ382" i="1" s="1"/>
  <c r="AZ782" i="1"/>
  <c r="BN291" i="1"/>
  <c r="BQ291" i="1"/>
  <c r="BN200" i="1"/>
  <c r="BQ200" i="1"/>
  <c r="BN389" i="1"/>
  <c r="BQ389" i="1"/>
  <c r="BN868" i="1"/>
  <c r="BQ868" i="1"/>
  <c r="BN932" i="1"/>
  <c r="BQ932" i="1"/>
  <c r="BN189" i="1"/>
  <c r="BQ189" i="1"/>
  <c r="BN423" i="1"/>
  <c r="BQ423" i="1"/>
  <c r="BN284" i="1"/>
  <c r="BQ284" i="1"/>
  <c r="BP1160" i="1"/>
  <c r="BO1160" i="1" s="1"/>
  <c r="BM1160" i="1"/>
  <c r="BL1160" i="1" s="1"/>
  <c r="BN312" i="1"/>
  <c r="BP1091" i="1"/>
  <c r="BO1091" i="1" s="1"/>
  <c r="BM1091" i="1"/>
  <c r="BN363" i="1"/>
  <c r="BQ363" i="1"/>
  <c r="BP302" i="1"/>
  <c r="BO302" i="1" s="1"/>
  <c r="BM302" i="1"/>
  <c r="BL302" i="1" s="1"/>
  <c r="BM431" i="1"/>
  <c r="BL431" i="1" s="1"/>
  <c r="BP431" i="1"/>
  <c r="BO431" i="1" s="1"/>
  <c r="BN165" i="1"/>
  <c r="BQ165" i="1"/>
  <c r="BP1166" i="1"/>
  <c r="BO1166" i="1" s="1"/>
  <c r="BM1166" i="1"/>
  <c r="BL1166" i="1" s="1"/>
  <c r="BQ943" i="1"/>
  <c r="BN943" i="1"/>
  <c r="BQ979" i="1"/>
  <c r="BN979" i="1"/>
  <c r="BQ1014" i="1"/>
  <c r="BN1014" i="1"/>
  <c r="BQ195" i="1"/>
  <c r="BQ999" i="1"/>
  <c r="BP869" i="1"/>
  <c r="BO869" i="1" s="1"/>
  <c r="BM869" i="1"/>
  <c r="BL869" i="1" s="1"/>
  <c r="BQ219" i="1"/>
  <c r="BQ874" i="1"/>
  <c r="BQ1166" i="1"/>
  <c r="BQ280" i="1"/>
  <c r="BQ939" i="1"/>
  <c r="BN1113" i="1"/>
  <c r="BQ1113" i="1"/>
  <c r="BQ487" i="1"/>
  <c r="BQ143" i="1"/>
  <c r="BM420" i="1"/>
  <c r="BP420" i="1"/>
  <c r="BO420" i="1" s="1"/>
  <c r="BN2" i="1"/>
  <c r="BQ2" i="1"/>
  <c r="BN151" i="1"/>
  <c r="BQ151" i="1"/>
  <c r="BQ1226" i="1"/>
  <c r="BP1223" i="1"/>
  <c r="BO1223" i="1" s="1"/>
  <c r="BM1223" i="1"/>
  <c r="BL1223" i="1" s="1"/>
  <c r="BQ903" i="1"/>
  <c r="BN1029" i="1"/>
  <c r="BP903" i="1"/>
  <c r="BO903" i="1" s="1"/>
  <c r="BM903" i="1"/>
  <c r="BL903" i="1" s="1"/>
  <c r="AX377" i="1"/>
  <c r="AW377" i="1" s="1"/>
  <c r="AZ377" i="1"/>
  <c r="AZ898" i="1"/>
  <c r="CT892" i="1"/>
  <c r="CS892" i="1" s="1"/>
  <c r="CT1158" i="1"/>
  <c r="CS1158" i="1" s="1"/>
  <c r="BP309" i="1"/>
  <c r="BO309" i="1" s="1"/>
  <c r="BM309" i="1"/>
  <c r="BL309" i="1" s="1"/>
  <c r="BQ369" i="1"/>
  <c r="BN369" i="1"/>
  <c r="BQ314" i="1"/>
  <c r="BN314" i="1"/>
  <c r="BM175" i="1"/>
  <c r="BL175" i="1" s="1"/>
  <c r="BP175" i="1"/>
  <c r="BO175" i="1" s="1"/>
  <c r="BN366" i="1"/>
  <c r="AZ1096" i="1"/>
  <c r="AZ906" i="1"/>
  <c r="BP469" i="1"/>
  <c r="BO469" i="1" s="1"/>
  <c r="BM469" i="1"/>
  <c r="BL469" i="1" s="1"/>
  <c r="BQ1224" i="1"/>
  <c r="BN1224" i="1"/>
  <c r="BP1018" i="1"/>
  <c r="BO1018" i="1" s="1"/>
  <c r="BM1018" i="1"/>
  <c r="BL1018" i="1" s="1"/>
  <c r="BQ241" i="1"/>
  <c r="BN241" i="1"/>
  <c r="BP215" i="1"/>
  <c r="BO215" i="1" s="1"/>
  <c r="BM215" i="1"/>
  <c r="BL215" i="1" s="1"/>
  <c r="BP1243" i="1"/>
  <c r="BO1243" i="1" s="1"/>
  <c r="BM1243" i="1"/>
  <c r="BL1243" i="1" s="1"/>
  <c r="BQ985" i="1"/>
  <c r="BN1214" i="1"/>
  <c r="BQ937" i="1"/>
  <c r="BM382" i="1"/>
  <c r="BL382" i="1" s="1"/>
  <c r="BP382" i="1"/>
  <c r="BO382" i="1" s="1"/>
  <c r="BQ213" i="1"/>
  <c r="BN213" i="1"/>
  <c r="BQ1098" i="1"/>
  <c r="BN1098" i="1"/>
  <c r="BM1112" i="1"/>
  <c r="BL1112" i="1" s="1"/>
  <c r="BP1112" i="1"/>
  <c r="BO1112" i="1" s="1"/>
  <c r="BQ277" i="1"/>
  <c r="BN858" i="1"/>
  <c r="BN872" i="1"/>
  <c r="CT1243" i="1"/>
  <c r="CS1243" i="1" s="1"/>
  <c r="BN235" i="1"/>
  <c r="BQ235" i="1"/>
  <c r="BN207" i="1"/>
  <c r="BQ207" i="1"/>
  <c r="BN941" i="1"/>
  <c r="BQ941" i="1"/>
  <c r="BN290" i="1"/>
  <c r="BQ290" i="1"/>
  <c r="BN387" i="1"/>
  <c r="BQ387" i="1"/>
  <c r="BQ1048" i="1"/>
  <c r="BN1048" i="1"/>
  <c r="BN904" i="1"/>
  <c r="BQ904" i="1"/>
  <c r="BN924" i="1"/>
  <c r="BQ924" i="1"/>
  <c r="BQ907" i="1"/>
  <c r="BN907" i="1"/>
  <c r="BP1092" i="1"/>
  <c r="BO1092" i="1" s="1"/>
  <c r="BM1092" i="1"/>
  <c r="BL1092" i="1" s="1"/>
  <c r="BP1164" i="1"/>
  <c r="BO1164" i="1" s="1"/>
  <c r="BM1164" i="1"/>
  <c r="BM504" i="1"/>
  <c r="BL504" i="1" s="1"/>
  <c r="BP504" i="1"/>
  <c r="BO504" i="1" s="1"/>
  <c r="BM1094" i="1"/>
  <c r="BP1094" i="1"/>
  <c r="BO1094" i="1" s="1"/>
  <c r="BP906" i="1"/>
  <c r="BO906" i="1" s="1"/>
  <c r="BM906" i="1"/>
  <c r="BL906" i="1" s="1"/>
  <c r="BN219" i="1"/>
  <c r="BN1111" i="1"/>
  <c r="BQ1111" i="1"/>
  <c r="BQ359" i="1"/>
  <c r="BP893" i="1"/>
  <c r="BO893" i="1" s="1"/>
  <c r="BM893" i="1"/>
  <c r="BQ1024" i="1"/>
  <c r="BQ309" i="1"/>
  <c r="BP1120" i="1"/>
  <c r="BO1120" i="1" s="1"/>
  <c r="BM1120" i="1"/>
  <c r="BL1120" i="1" s="1"/>
  <c r="BN370" i="1"/>
  <c r="BN1239" i="1"/>
  <c r="BQ1225" i="1"/>
  <c r="BA387" i="1"/>
  <c r="AZ499" i="1"/>
  <c r="AZ1114" i="1"/>
  <c r="BN894" i="1"/>
  <c r="BN917" i="1"/>
  <c r="BN892" i="1"/>
  <c r="BN869" i="1"/>
  <c r="BQ909" i="1"/>
  <c r="BN909" i="1"/>
  <c r="BM289" i="1"/>
  <c r="BL289" i="1" s="1"/>
  <c r="BQ1121" i="1"/>
  <c r="BQ310" i="1"/>
  <c r="BQ211" i="1"/>
  <c r="BN1085" i="1"/>
  <c r="BN469" i="1"/>
  <c r="BN179" i="1"/>
  <c r="BP184" i="1"/>
  <c r="BO184" i="1" s="1"/>
  <c r="BM184" i="1"/>
  <c r="BL184" i="1" s="1"/>
  <c r="BQ917" i="1"/>
  <c r="BP467" i="1"/>
  <c r="BO467" i="1" s="1"/>
  <c r="BM467" i="1"/>
  <c r="BP430" i="1"/>
  <c r="BO430" i="1" s="1"/>
  <c r="BM430" i="1"/>
  <c r="BL430" i="1" s="1"/>
  <c r="BQ388" i="1"/>
  <c r="BN1067" i="1"/>
  <c r="BQ1091" i="1"/>
  <c r="BN1091" i="1"/>
  <c r="BN171" i="1"/>
  <c r="BQ163" i="1"/>
  <c r="BQ247" i="1"/>
  <c r="BQ882" i="1"/>
  <c r="BN959" i="1"/>
  <c r="BQ256" i="1"/>
  <c r="BN853" i="1"/>
  <c r="BQ282" i="1"/>
  <c r="BQ289" i="1"/>
  <c r="BN289" i="1"/>
  <c r="BQ1164" i="1"/>
  <c r="BQ220" i="1"/>
  <c r="BQ288" i="1"/>
  <c r="BN972" i="1"/>
  <c r="BQ332" i="1"/>
  <c r="BQ174" i="1"/>
  <c r="BQ159" i="1"/>
  <c r="BN215" i="1"/>
  <c r="BQ1243" i="1"/>
  <c r="BN1243" i="1"/>
  <c r="BQ302" i="1"/>
  <c r="BN302" i="1"/>
  <c r="BQ910" i="1"/>
  <c r="BQ1021" i="1"/>
  <c r="BN141" i="1"/>
  <c r="BQ884" i="1"/>
  <c r="BN884" i="1"/>
  <c r="BN896" i="1"/>
  <c r="BQ271" i="1"/>
  <c r="BP891" i="1"/>
  <c r="BO891" i="1" s="1"/>
  <c r="BM891" i="1"/>
  <c r="BL891" i="1" s="1"/>
  <c r="BP1215" i="1"/>
  <c r="BO1215" i="1" s="1"/>
  <c r="BM1215" i="1"/>
  <c r="BL1215" i="1" s="1"/>
  <c r="BN195" i="1"/>
  <c r="BQ227" i="1"/>
  <c r="BN985" i="1"/>
  <c r="BM898" i="1"/>
  <c r="BL898" i="1" s="1"/>
  <c r="BN325" i="1"/>
  <c r="BN1092" i="1"/>
  <c r="BQ337" i="1"/>
  <c r="BN999" i="1"/>
  <c r="BP174" i="1"/>
  <c r="BO174" i="1" s="1"/>
  <c r="BM174" i="1"/>
  <c r="BL174" i="1" s="1"/>
  <c r="BN157" i="1"/>
  <c r="BQ298" i="1"/>
  <c r="BQ341" i="1"/>
  <c r="BQ1094" i="1"/>
  <c r="BQ206" i="1"/>
  <c r="BN1100" i="1"/>
  <c r="BN1164" i="1"/>
  <c r="BQ222" i="1"/>
  <c r="BQ1215" i="1"/>
  <c r="BN176" i="1"/>
  <c r="BQ883" i="1"/>
  <c r="BN269" i="1"/>
  <c r="BN346" i="1"/>
  <c r="BN371" i="1"/>
  <c r="AY371" i="1" s="1"/>
  <c r="BN906" i="1"/>
  <c r="BP1036" i="1"/>
  <c r="BO1036" i="1" s="1"/>
  <c r="BM1036" i="1"/>
  <c r="BL1036" i="1" s="1"/>
  <c r="BQ893" i="1"/>
  <c r="BN893" i="1"/>
  <c r="BQ307" i="1"/>
  <c r="BQ376" i="1"/>
  <c r="BN217" i="1"/>
  <c r="BP1107" i="1"/>
  <c r="BO1107" i="1" s="1"/>
  <c r="BQ1114" i="1"/>
  <c r="BN1114" i="1"/>
  <c r="BN1120" i="1"/>
  <c r="BN871" i="1"/>
  <c r="BP294" i="1"/>
  <c r="BO294" i="1" s="1"/>
  <c r="BM294" i="1"/>
  <c r="BL294" i="1" s="1"/>
  <c r="BN143" i="1"/>
  <c r="BQ250" i="1"/>
  <c r="BQ209" i="1"/>
  <c r="BP1100" i="1"/>
  <c r="BO1100" i="1" s="1"/>
  <c r="BQ1031" i="1"/>
  <c r="BN1031" i="1"/>
  <c r="BN309" i="1"/>
  <c r="BQ1112" i="1"/>
  <c r="BP285" i="1"/>
  <c r="BO285" i="1" s="1"/>
  <c r="BM285" i="1"/>
  <c r="BL285" i="1" s="1"/>
  <c r="BQ1151" i="1"/>
  <c r="BQ886" i="1"/>
  <c r="BQ1171" i="1"/>
  <c r="BN228" i="1"/>
  <c r="BQ342" i="1"/>
  <c r="BQ377" i="1"/>
  <c r="BP158" i="1"/>
  <c r="BO158" i="1" s="1"/>
  <c r="BM158" i="1"/>
  <c r="BL158" i="1" s="1"/>
  <c r="BP901" i="1"/>
  <c r="BO901" i="1" s="1"/>
  <c r="BM901" i="1"/>
  <c r="BL901" i="1" s="1"/>
  <c r="BQ1149" i="1"/>
  <c r="BP1013" i="1"/>
  <c r="BO1013" i="1" s="1"/>
  <c r="BM1013" i="1"/>
  <c r="BN420" i="1"/>
  <c r="BP1006" i="1"/>
  <c r="BO1006" i="1" s="1"/>
  <c r="BM216" i="1"/>
  <c r="BL216" i="1" s="1"/>
  <c r="BP216" i="1"/>
  <c r="BO216" i="1" s="1"/>
  <c r="BN1223" i="1"/>
  <c r="BQ1223" i="1"/>
  <c r="BQ501" i="1"/>
  <c r="BQ1172" i="1"/>
  <c r="BQ1152" i="1"/>
  <c r="BQ842" i="1"/>
  <c r="BN845" i="1"/>
  <c r="BQ140" i="1"/>
  <c r="BN850" i="1"/>
  <c r="BQ42" i="1"/>
  <c r="BN903" i="1"/>
  <c r="BA501" i="1"/>
  <c r="CT2050" i="1"/>
  <c r="CS2050" i="1" s="1"/>
  <c r="BB2050" i="1"/>
  <c r="CT1166" i="1"/>
  <c r="CS1166" i="1" s="1"/>
  <c r="CT938" i="1"/>
  <c r="CS938" i="1" s="1"/>
  <c r="BA1165" i="1"/>
  <c r="BA1112" i="1"/>
  <c r="CT1095" i="1"/>
  <c r="CS1095" i="1" s="1"/>
  <c r="AZ1018" i="1"/>
  <c r="CT1037" i="1"/>
  <c r="CS1037" i="1" s="1"/>
  <c r="CT372" i="1"/>
  <c r="CS372" i="1" s="1"/>
  <c r="AZ1030" i="1"/>
  <c r="AZ206" i="1"/>
  <c r="BQ931" i="1"/>
  <c r="BN931" i="1"/>
  <c r="BN895" i="1"/>
  <c r="BQ312" i="1"/>
  <c r="BN265" i="1"/>
  <c r="BN995" i="1"/>
  <c r="BP222" i="1"/>
  <c r="BO222" i="1" s="1"/>
  <c r="BM222" i="1"/>
  <c r="BL222" i="1" s="1"/>
  <c r="BN137" i="1"/>
  <c r="BQ1176" i="1"/>
  <c r="BQ863" i="1"/>
  <c r="BQ180" i="1"/>
  <c r="BN180" i="1"/>
  <c r="BQ170" i="1"/>
  <c r="BN281" i="1"/>
  <c r="BP1224" i="1"/>
  <c r="BO1224" i="1" s="1"/>
  <c r="BM1224" i="1"/>
  <c r="BN248" i="1"/>
  <c r="BQ1144" i="1"/>
  <c r="BN1144" i="1"/>
  <c r="BN889" i="1"/>
  <c r="BQ920" i="1"/>
  <c r="BQ504" i="1"/>
  <c r="BN504" i="1"/>
  <c r="BP312" i="1"/>
  <c r="BO312" i="1" s="1"/>
  <c r="BQ178" i="1"/>
  <c r="BQ913" i="1"/>
  <c r="BQ1061" i="1"/>
  <c r="BN1176" i="1"/>
  <c r="BQ417" i="1"/>
  <c r="BN417" i="1"/>
  <c r="BQ1147" i="1"/>
  <c r="BQ155" i="1"/>
  <c r="BQ264" i="1"/>
  <c r="BQ215" i="1"/>
  <c r="BQ1159" i="1"/>
  <c r="BN1159" i="1"/>
  <c r="BQ304" i="1"/>
  <c r="BP870" i="1"/>
  <c r="BO870" i="1" s="1"/>
  <c r="BM870" i="1"/>
  <c r="BL870" i="1" s="1"/>
  <c r="BQ935" i="1"/>
  <c r="BN991" i="1"/>
  <c r="BN293" i="1"/>
  <c r="BN183" i="1"/>
  <c r="BP913" i="1"/>
  <c r="BO913" i="1" s="1"/>
  <c r="BM913" i="1"/>
  <c r="BL913" i="1" s="1"/>
  <c r="BQ261" i="1"/>
  <c r="BQ424" i="1"/>
  <c r="BM1171" i="1"/>
  <c r="BL1171" i="1" s="1"/>
  <c r="BQ1011" i="1"/>
  <c r="BN1011" i="1"/>
  <c r="BN1030" i="1"/>
  <c r="BN978" i="1"/>
  <c r="BN1043" i="1"/>
  <c r="BN960" i="1"/>
  <c r="BN1000" i="1"/>
  <c r="BN1077" i="1"/>
  <c r="BN357" i="1"/>
  <c r="BQ160" i="1"/>
  <c r="BP1218" i="1"/>
  <c r="BO1218" i="1" s="1"/>
  <c r="BM1218" i="1"/>
  <c r="BN1032" i="1"/>
  <c r="BP937" i="1"/>
  <c r="BO937" i="1" s="1"/>
  <c r="BM937" i="1"/>
  <c r="BL937" i="1" s="1"/>
  <c r="BQ1168" i="1"/>
  <c r="BN1168" i="1"/>
  <c r="BQ892" i="1"/>
  <c r="BQ950" i="1"/>
  <c r="BP372" i="1"/>
  <c r="BO372" i="1" s="1"/>
  <c r="BP1214" i="1"/>
  <c r="BO1214" i="1" s="1"/>
  <c r="BM1214" i="1"/>
  <c r="BL1214" i="1" s="1"/>
  <c r="BQ966" i="1"/>
  <c r="BQ1044" i="1"/>
  <c r="BQ173" i="1"/>
  <c r="BQ281" i="1"/>
  <c r="BQ176" i="1"/>
  <c r="BQ946" i="1"/>
  <c r="BQ898" i="1"/>
  <c r="BN208" i="1"/>
  <c r="BN301" i="1"/>
  <c r="BM1030" i="1"/>
  <c r="BL1030" i="1" s="1"/>
  <c r="BN1042" i="1"/>
  <c r="BQ1083" i="1"/>
  <c r="BQ896" i="1"/>
  <c r="BP219" i="1"/>
  <c r="BO219" i="1" s="1"/>
  <c r="BM219" i="1"/>
  <c r="BL219" i="1" s="1"/>
  <c r="BN385" i="1"/>
  <c r="BQ237" i="1"/>
  <c r="BQ869" i="1"/>
  <c r="BP1030" i="1"/>
  <c r="BO1030" i="1" s="1"/>
  <c r="BN986" i="1"/>
  <c r="BQ934" i="1"/>
  <c r="BN934" i="1"/>
  <c r="BN377" i="1"/>
  <c r="BN1153" i="1"/>
  <c r="BQ469" i="1"/>
  <c r="BN334" i="1"/>
  <c r="BQ217" i="1"/>
  <c r="BN915" i="1"/>
  <c r="BQ1119" i="1"/>
  <c r="BQ1006" i="1"/>
  <c r="BN279" i="1"/>
  <c r="BQ938" i="1"/>
  <c r="BN1169" i="1"/>
  <c r="BQ1058" i="1"/>
  <c r="BQ947" i="1"/>
  <c r="BN947" i="1"/>
  <c r="BQ465" i="1"/>
  <c r="BN465" i="1"/>
  <c r="BQ902" i="1"/>
  <c r="BM1176" i="1"/>
  <c r="BL1176" i="1" s="1"/>
  <c r="BP213" i="1"/>
  <c r="BO213" i="1" s="1"/>
  <c r="BP386" i="1"/>
  <c r="BO386" i="1" s="1"/>
  <c r="BQ308" i="1"/>
  <c r="BQ167" i="1"/>
  <c r="BQ191" i="1"/>
  <c r="BQ300" i="1"/>
  <c r="BQ1228" i="1"/>
  <c r="BP366" i="1"/>
  <c r="BO366" i="1" s="1"/>
  <c r="BM366" i="1"/>
  <c r="BL366" i="1" s="1"/>
  <c r="BQ365" i="1"/>
  <c r="BP169" i="1"/>
  <c r="BO169" i="1" s="1"/>
  <c r="BM169" i="1"/>
  <c r="BL169" i="1" s="1"/>
  <c r="BN286" i="1"/>
  <c r="BQ502" i="1"/>
  <c r="BP1029" i="1"/>
  <c r="BO1029" i="1" s="1"/>
  <c r="BN842" i="1"/>
  <c r="BN140" i="1"/>
  <c r="BN42" i="1"/>
  <c r="BP286" i="1"/>
  <c r="BO286" i="1" s="1"/>
  <c r="BN277" i="1"/>
  <c r="BM300" i="1"/>
  <c r="BL300" i="1" s="1"/>
  <c r="BP300" i="1"/>
  <c r="BO300" i="1" s="1"/>
  <c r="CT1167" i="1"/>
  <c r="CS1167" i="1" s="1"/>
  <c r="AZ1215" i="1"/>
  <c r="AZ469" i="1"/>
  <c r="BA2" i="1"/>
  <c r="CT1170" i="1"/>
  <c r="CS1170" i="1" s="1"/>
  <c r="CT901" i="1"/>
  <c r="CS901" i="1" s="1"/>
  <c r="CT886" i="1"/>
  <c r="CS886" i="1" s="1"/>
  <c r="CV417" i="1"/>
  <c r="CT1007" i="1"/>
  <c r="BA1161" i="1"/>
  <c r="AZ312" i="1"/>
  <c r="CV167" i="1"/>
  <c r="BQ942" i="1"/>
  <c r="BN942" i="1"/>
  <c r="BQ897" i="1"/>
  <c r="BN897" i="1"/>
  <c r="BQ895" i="1"/>
  <c r="BQ1095" i="1"/>
  <c r="BQ265" i="1"/>
  <c r="BQ995" i="1"/>
  <c r="BQ238" i="1"/>
  <c r="BQ1158" i="1"/>
  <c r="BQ137" i="1"/>
  <c r="BQ1010" i="1"/>
  <c r="BQ954" i="1"/>
  <c r="BP180" i="1"/>
  <c r="BO180" i="1" s="1"/>
  <c r="BM180" i="1"/>
  <c r="BL180" i="1" s="1"/>
  <c r="BQ867" i="1"/>
  <c r="BP281" i="1"/>
  <c r="BO281" i="1" s="1"/>
  <c r="BM281" i="1"/>
  <c r="BL281" i="1" s="1"/>
  <c r="BQ248" i="1"/>
  <c r="BP1144" i="1"/>
  <c r="BO1144" i="1" s="1"/>
  <c r="BM1144" i="1"/>
  <c r="BM886" i="1"/>
  <c r="BN184" i="1"/>
  <c r="BQ1019" i="1"/>
  <c r="BQ467" i="1"/>
  <c r="BN467" i="1"/>
  <c r="BQ430" i="1"/>
  <c r="BN430" i="1"/>
  <c r="BP1176" i="1"/>
  <c r="BO1176" i="1" s="1"/>
  <c r="BP417" i="1"/>
  <c r="BO417" i="1" s="1"/>
  <c r="BM417" i="1"/>
  <c r="BL417" i="1" s="1"/>
  <c r="BQ236" i="1"/>
  <c r="BQ1090" i="1"/>
  <c r="BQ984" i="1"/>
  <c r="BP1159" i="1"/>
  <c r="BO1159" i="1" s="1"/>
  <c r="BM1159" i="1"/>
  <c r="BL1159" i="1" s="1"/>
  <c r="BQ373" i="1"/>
  <c r="BN247" i="1"/>
  <c r="BN882" i="1"/>
  <c r="BN256" i="1"/>
  <c r="BQ991" i="1"/>
  <c r="BN282" i="1"/>
  <c r="BQ293" i="1"/>
  <c r="BN190" i="1"/>
  <c r="BN220" i="1"/>
  <c r="BQ199" i="1"/>
  <c r="BN288" i="1"/>
  <c r="BQ862" i="1"/>
  <c r="BN332" i="1"/>
  <c r="BN159" i="1"/>
  <c r="BQ1167" i="1"/>
  <c r="BN1167" i="1"/>
  <c r="BN911" i="1"/>
  <c r="BQ965" i="1"/>
  <c r="BN965" i="1"/>
  <c r="BQ154" i="1"/>
  <c r="BN154" i="1"/>
  <c r="BQ890" i="1"/>
  <c r="BN890" i="1"/>
  <c r="BN898" i="1"/>
  <c r="BQ891" i="1"/>
  <c r="BN891" i="1"/>
  <c r="BQ431" i="1"/>
  <c r="BQ372" i="1"/>
  <c r="BN1215" i="1"/>
  <c r="BQ1214" i="1"/>
  <c r="BN226" i="1"/>
  <c r="BQ1032" i="1"/>
  <c r="BP1168" i="1"/>
  <c r="BO1168" i="1" s="1"/>
  <c r="BM1168" i="1"/>
  <c r="BL1168" i="1" s="1"/>
  <c r="BN174" i="1"/>
  <c r="BQ258" i="1"/>
  <c r="BN298" i="1"/>
  <c r="BN341" i="1"/>
  <c r="BQ183" i="1"/>
  <c r="BN1107" i="1"/>
  <c r="BQ427" i="1"/>
  <c r="BM312" i="1"/>
  <c r="BL312" i="1" s="1"/>
  <c r="BP1167" i="1"/>
  <c r="BO1167" i="1" s="1"/>
  <c r="BN883" i="1"/>
  <c r="BQ208" i="1"/>
  <c r="BQ301" i="1"/>
  <c r="BQ1042" i="1"/>
  <c r="BM896" i="1"/>
  <c r="BL896" i="1" s="1"/>
  <c r="BN1036" i="1"/>
  <c r="BP385" i="1"/>
  <c r="BO385" i="1" s="1"/>
  <c r="BM385" i="1"/>
  <c r="BL385" i="1" s="1"/>
  <c r="BQ986" i="1"/>
  <c r="BQ906" i="1"/>
  <c r="BP934" i="1"/>
  <c r="BO934" i="1" s="1"/>
  <c r="BM934" i="1"/>
  <c r="BL934" i="1" s="1"/>
  <c r="BQ391" i="1"/>
  <c r="BP1153" i="1"/>
  <c r="BO1153" i="1" s="1"/>
  <c r="BM1153" i="1"/>
  <c r="BL1153" i="1" s="1"/>
  <c r="BN1222" i="1"/>
  <c r="BQ334" i="1"/>
  <c r="BQ915" i="1"/>
  <c r="BQ305" i="1"/>
  <c r="BP279" i="1"/>
  <c r="BO279" i="1" s="1"/>
  <c r="BM279" i="1"/>
  <c r="BL279" i="1" s="1"/>
  <c r="BQ1108" i="1"/>
  <c r="BQ294" i="1"/>
  <c r="BN294" i="1"/>
  <c r="BQ1036" i="1"/>
  <c r="BP947" i="1"/>
  <c r="BO947" i="1" s="1"/>
  <c r="BM947" i="1"/>
  <c r="BL947" i="1" s="1"/>
  <c r="BN285" i="1"/>
  <c r="BQ1096" i="1"/>
  <c r="BN1096" i="1"/>
  <c r="BQ1218" i="1"/>
  <c r="BQ228" i="1"/>
  <c r="BN342" i="1"/>
  <c r="BQ378" i="1"/>
  <c r="BN158" i="1"/>
  <c r="BN901" i="1"/>
  <c r="BQ285" i="1"/>
  <c r="BP938" i="1"/>
  <c r="BO938" i="1" s="1"/>
  <c r="BQ168" i="1"/>
  <c r="BN1013" i="1"/>
  <c r="BQ169" i="1"/>
  <c r="BN216" i="1"/>
  <c r="BN1225" i="1"/>
  <c r="BQ1029" i="1"/>
  <c r="BN147" i="1"/>
  <c r="BP370" i="1"/>
  <c r="BO370" i="1" s="1"/>
  <c r="BM1225" i="1"/>
  <c r="BL1225" i="1" s="1"/>
  <c r="BP277" i="1"/>
  <c r="BO277" i="1" s="1"/>
  <c r="BM277" i="1"/>
  <c r="BL277" i="1" s="1"/>
  <c r="BQ858" i="1"/>
  <c r="BN861" i="1"/>
  <c r="BQ872" i="1"/>
  <c r="BN877" i="1"/>
  <c r="BA1243" i="1"/>
  <c r="BA1029" i="1"/>
  <c r="CV1166" i="1"/>
  <c r="CT430" i="1"/>
  <c r="CS430" i="1" s="1"/>
  <c r="CT1108" i="1"/>
  <c r="CS1108" i="1" s="1"/>
  <c r="BA184" i="1"/>
  <c r="CV1007" i="1"/>
  <c r="AZ913" i="1"/>
  <c r="AZ934" i="1"/>
  <c r="BA892" i="1"/>
  <c r="CV372" i="1"/>
  <c r="CT167" i="1"/>
  <c r="CS167" i="1" s="1"/>
  <c r="AZ391" i="1"/>
  <c r="AY962" i="1" l="1"/>
  <c r="AY920" i="1"/>
  <c r="AY311" i="1"/>
  <c r="AY266" i="1"/>
  <c r="AY861" i="1"/>
  <c r="AY208" i="1"/>
  <c r="AY1083" i="1"/>
  <c r="AY859" i="1"/>
  <c r="AY163" i="1"/>
  <c r="AY241" i="1"/>
  <c r="AY249" i="1"/>
  <c r="AY161" i="1"/>
  <c r="AY151" i="1"/>
  <c r="AY942" i="1"/>
  <c r="AY332" i="1"/>
  <c r="AY252" i="1"/>
  <c r="AY173" i="1"/>
  <c r="AY867" i="1"/>
  <c r="AY177" i="1"/>
  <c r="AY288" i="1"/>
  <c r="AY301" i="1"/>
  <c r="AY884" i="1"/>
  <c r="AY932" i="1"/>
  <c r="AY1061" i="1"/>
  <c r="AY313" i="1"/>
  <c r="AY197" i="1"/>
  <c r="AY984" i="1"/>
  <c r="AY954" i="1"/>
  <c r="AY234" i="1"/>
  <c r="AY1004" i="1"/>
  <c r="AY261" i="1"/>
  <c r="AY275" i="1"/>
  <c r="AY298" i="1"/>
  <c r="AY357" i="1"/>
  <c r="AY992" i="1"/>
  <c r="AY258" i="1"/>
  <c r="AY268" i="1"/>
  <c r="AY166" i="1"/>
  <c r="AY873" i="1"/>
  <c r="AY1097" i="1"/>
  <c r="AY137" i="1"/>
  <c r="AY944" i="1"/>
  <c r="AY848" i="1"/>
  <c r="AY976" i="1"/>
  <c r="AY319" i="1"/>
  <c r="AY195" i="1"/>
  <c r="AY220" i="1"/>
  <c r="AY320" i="1"/>
  <c r="AY1107" i="1"/>
  <c r="AY238" i="1"/>
  <c r="AZ148" i="1"/>
  <c r="AX148" i="1"/>
  <c r="AW148" i="1" s="1"/>
  <c r="AY152" i="1"/>
  <c r="AY155" i="1"/>
  <c r="AY904" i="1"/>
  <c r="AY205" i="1"/>
  <c r="AY997" i="1"/>
  <c r="AY1048" i="1"/>
  <c r="AY935" i="1"/>
  <c r="AY950" i="1"/>
  <c r="AY322" i="1"/>
  <c r="AY189" i="1"/>
  <c r="AY253" i="1"/>
  <c r="AY1077" i="1"/>
  <c r="AY228" i="1"/>
  <c r="AY178" i="1"/>
  <c r="AY1009" i="1"/>
  <c r="AY874" i="1"/>
  <c r="AY140" i="1"/>
  <c r="AY1017" i="1"/>
  <c r="AY1015" i="1"/>
  <c r="AY170" i="1"/>
  <c r="AY263" i="1"/>
  <c r="AY246" i="1"/>
  <c r="AY978" i="1"/>
  <c r="AY1080" i="1"/>
  <c r="AY427" i="1"/>
  <c r="AY1065" i="1"/>
  <c r="AY1042" i="1"/>
  <c r="AY1151" i="1"/>
  <c r="AY971" i="1"/>
  <c r="AY368" i="1"/>
  <c r="AY877" i="1"/>
  <c r="AY346" i="1"/>
  <c r="AY1090" i="1"/>
  <c r="AY165" i="1"/>
  <c r="AY262" i="1"/>
  <c r="AY315" i="1"/>
  <c r="AY323" i="1"/>
  <c r="AY134" i="1"/>
  <c r="AY329" i="1"/>
  <c r="AY274" i="1"/>
  <c r="AY895" i="1"/>
  <c r="AY290" i="1"/>
  <c r="AY1016" i="1"/>
  <c r="AY930" i="1"/>
  <c r="AY196" i="1"/>
  <c r="AY202" i="1"/>
  <c r="AY188" i="1"/>
  <c r="AY1002" i="1"/>
  <c r="AY955" i="1"/>
  <c r="AY207" i="1"/>
  <c r="AY868" i="1"/>
  <c r="AY344" i="1"/>
  <c r="AY187" i="1"/>
  <c r="AY901" i="1"/>
  <c r="AY1147" i="1"/>
  <c r="AY430" i="1"/>
  <c r="AY184" i="1"/>
  <c r="AY1108" i="1"/>
  <c r="AY1024" i="1"/>
  <c r="AY1005" i="1"/>
  <c r="AY254" i="1"/>
  <c r="AY936" i="1"/>
  <c r="AY240" i="1"/>
  <c r="AY989" i="1"/>
  <c r="AY287" i="1"/>
  <c r="AY182" i="1"/>
  <c r="AY176" i="1"/>
  <c r="AY845" i="1"/>
  <c r="AY876" i="1"/>
  <c r="AY147" i="1"/>
  <c r="AY995" i="1"/>
  <c r="AY217" i="1"/>
  <c r="AY999" i="1"/>
  <c r="AY894" i="1"/>
  <c r="AY946" i="1"/>
  <c r="AY864" i="1"/>
  <c r="AY1022" i="1"/>
  <c r="AY1021" i="1"/>
  <c r="AY233" i="1"/>
  <c r="AY925" i="1"/>
  <c r="AY1055" i="1"/>
  <c r="AX1033" i="1"/>
  <c r="AW1033" i="1" s="1"/>
  <c r="AX359" i="1"/>
  <c r="AW359" i="1" s="1"/>
  <c r="AY432" i="1"/>
  <c r="AY1094" i="1"/>
  <c r="AY310" i="1"/>
  <c r="AY1153" i="1"/>
  <c r="AY365" i="1"/>
  <c r="AY237" i="1"/>
  <c r="AY889" i="1"/>
  <c r="AY862" i="1"/>
  <c r="AY977" i="1"/>
  <c r="AY164" i="1"/>
  <c r="AY194" i="1"/>
  <c r="AY986" i="1"/>
  <c r="AY972" i="1"/>
  <c r="AY203" i="1"/>
  <c r="AY283" i="1"/>
  <c r="AY264" i="1"/>
  <c r="AY886" i="1"/>
  <c r="AY931" i="1"/>
  <c r="AY179" i="1"/>
  <c r="AY284" i="1"/>
  <c r="AY881" i="1"/>
  <c r="AY1020" i="1"/>
  <c r="AY265" i="1"/>
  <c r="AY2" i="1"/>
  <c r="AY938" i="1"/>
  <c r="AY211" i="1"/>
  <c r="AY133" i="1"/>
  <c r="AY504" i="1"/>
  <c r="AY191" i="1"/>
  <c r="AY221" i="1"/>
  <c r="AY250" i="1"/>
  <c r="AY141" i="1"/>
  <c r="AY226" i="1"/>
  <c r="AY325" i="1"/>
  <c r="AY156" i="1"/>
  <c r="AY921" i="1"/>
  <c r="AY1019" i="1"/>
  <c r="AY945" i="1"/>
  <c r="AY150" i="1"/>
  <c r="AY309" i="1"/>
  <c r="AY1095" i="1"/>
  <c r="AY181" i="1"/>
  <c r="AY215" i="1"/>
  <c r="AY1043" i="1"/>
  <c r="AY199" i="1"/>
  <c r="AY358" i="1"/>
  <c r="AY853" i="1"/>
  <c r="AY850" i="1"/>
  <c r="AY996" i="1"/>
  <c r="AY341" i="1"/>
  <c r="AY1072" i="1"/>
  <c r="AY138" i="1"/>
  <c r="AY890" i="1"/>
  <c r="AY154" i="1"/>
  <c r="AY1120" i="1"/>
  <c r="AY854" i="1"/>
  <c r="AY846" i="1"/>
  <c r="AY1121" i="1"/>
  <c r="AY949" i="1"/>
  <c r="AY1067" i="1"/>
  <c r="AY882" i="1"/>
  <c r="AY1031" i="1"/>
  <c r="AY858" i="1"/>
  <c r="AY338" i="1"/>
  <c r="AY840" i="1"/>
  <c r="AY314" i="1"/>
  <c r="AY908" i="1"/>
  <c r="AY991" i="1"/>
  <c r="AY1014" i="1"/>
  <c r="AY1037" i="1"/>
  <c r="AY907" i="1"/>
  <c r="AY1165" i="1"/>
  <c r="AY911" i="1"/>
  <c r="AY342" i="1"/>
  <c r="AY143" i="1"/>
  <c r="AX918" i="1"/>
  <c r="AW918" i="1" s="1"/>
  <c r="AX939" i="1"/>
  <c r="AW939" i="1" s="1"/>
  <c r="AX1011" i="1"/>
  <c r="AW1011" i="1" s="1"/>
  <c r="AY416" i="1"/>
  <c r="AY1170" i="1"/>
  <c r="AY1223" i="1"/>
  <c r="AY382" i="1"/>
  <c r="AY1085" i="1"/>
  <c r="AY892" i="1"/>
  <c r="AY292" i="1"/>
  <c r="AY467" i="1"/>
  <c r="AY1008" i="1"/>
  <c r="AX386" i="1"/>
  <c r="AW386" i="1" s="1"/>
  <c r="AY980" i="1"/>
  <c r="AY1161" i="1"/>
  <c r="AY1096" i="1"/>
  <c r="AY420" i="1"/>
  <c r="AY389" i="1"/>
  <c r="AY255" i="1"/>
  <c r="AY278" i="1"/>
  <c r="AY294" i="1"/>
  <c r="AY1000" i="1"/>
  <c r="AY282" i="1"/>
  <c r="AY985" i="1"/>
  <c r="AY1243" i="1"/>
  <c r="AY959" i="1"/>
  <c r="AY171" i="1"/>
  <c r="AY943" i="1"/>
  <c r="AY888" i="1"/>
  <c r="AY1166" i="1"/>
  <c r="AY883" i="1"/>
  <c r="AY279" i="1"/>
  <c r="AY501" i="1"/>
  <c r="AY1112" i="1"/>
  <c r="AY1225" i="1"/>
  <c r="AZ280" i="1"/>
  <c r="AY924" i="1"/>
  <c r="AY146" i="1"/>
  <c r="AX376" i="1"/>
  <c r="AW376" i="1" s="1"/>
  <c r="AY914" i="1"/>
  <c r="AY1058" i="1"/>
  <c r="AY293" i="1"/>
  <c r="AY909" i="1"/>
  <c r="AX200" i="1"/>
  <c r="AW200" i="1" s="1"/>
  <c r="AY276" i="1"/>
  <c r="AY218" i="1"/>
  <c r="AY132" i="1"/>
  <c r="AY303" i="1"/>
  <c r="AY863" i="1"/>
  <c r="AY256" i="1"/>
  <c r="AY248" i="1"/>
  <c r="AY157" i="1"/>
  <c r="AY235" i="1"/>
  <c r="AY965" i="1"/>
  <c r="AY334" i="1"/>
  <c r="AY1176" i="1"/>
  <c r="AY469" i="1"/>
  <c r="AY1044" i="1"/>
  <c r="AY1045" i="1"/>
  <c r="AY245" i="1"/>
  <c r="AY1091" i="1"/>
  <c r="AY295" i="1"/>
  <c r="AY1248" i="1"/>
  <c r="AY880" i="1"/>
  <c r="AY271" i="1"/>
  <c r="AX190" i="1"/>
  <c r="AW190" i="1" s="1"/>
  <c r="AY423" i="1"/>
  <c r="AY910" i="1"/>
  <c r="AY1038" i="1"/>
  <c r="AY933" i="1"/>
  <c r="AY172" i="1"/>
  <c r="AY912" i="1"/>
  <c r="AZ386" i="1"/>
  <c r="AX1023" i="1"/>
  <c r="AW1023" i="1" s="1"/>
  <c r="AY967" i="1"/>
  <c r="AY367" i="1"/>
  <c r="AY174" i="1"/>
  <c r="AY866" i="1"/>
  <c r="AY871" i="1"/>
  <c r="AY273" i="1"/>
  <c r="AY159" i="1"/>
  <c r="AY915" i="1"/>
  <c r="AY269" i="1"/>
  <c r="AX1096" i="1"/>
  <c r="AW1096" i="1" s="1"/>
  <c r="AY307" i="1"/>
  <c r="AY1075" i="1"/>
  <c r="AZ190" i="1"/>
  <c r="AY842" i="1"/>
  <c r="AY966" i="1"/>
  <c r="AX503" i="1"/>
  <c r="AW503" i="1" s="1"/>
  <c r="AX213" i="1"/>
  <c r="AW213" i="1" s="1"/>
  <c r="AY160" i="1"/>
  <c r="AY158" i="1"/>
  <c r="AY898" i="1"/>
  <c r="AY902" i="1"/>
  <c r="AY979" i="1"/>
  <c r="AY990" i="1"/>
  <c r="AY424" i="1"/>
  <c r="AY1154" i="1"/>
  <c r="AY354" i="1"/>
  <c r="AY1167" i="1"/>
  <c r="AY897" i="1"/>
  <c r="AX1150" i="1"/>
  <c r="AW1150" i="1" s="1"/>
  <c r="AY903" i="1"/>
  <c r="AY917" i="1"/>
  <c r="AY219" i="1"/>
  <c r="AY872" i="1"/>
  <c r="AX199" i="1"/>
  <c r="AW199" i="1" s="1"/>
  <c r="AY1035" i="1"/>
  <c r="AY1026" i="1"/>
  <c r="AY236" i="1"/>
  <c r="AX1019" i="1"/>
  <c r="AW1019" i="1" s="1"/>
  <c r="AY960" i="1"/>
  <c r="AY1164" i="1"/>
  <c r="AX499" i="1"/>
  <c r="AW499" i="1" s="1"/>
  <c r="AY1113" i="1"/>
  <c r="AY308" i="1"/>
  <c r="AY1018" i="1"/>
  <c r="AY168" i="1"/>
  <c r="AY353" i="1"/>
  <c r="AY337" i="1"/>
  <c r="AY247" i="1"/>
  <c r="AY1032" i="1"/>
  <c r="AY387" i="1"/>
  <c r="AY941" i="1"/>
  <c r="AX782" i="1"/>
  <c r="AW782" i="1" s="1"/>
  <c r="AY378" i="1"/>
  <c r="AY431" i="1"/>
  <c r="AY227" i="1"/>
  <c r="AY1051" i="1"/>
  <c r="AY852" i="1"/>
  <c r="AY185" i="1"/>
  <c r="AX423" i="1"/>
  <c r="AW423" i="1" s="1"/>
  <c r="AX389" i="1"/>
  <c r="AW389" i="1" s="1"/>
  <c r="AX1107" i="1"/>
  <c r="AW1107" i="1" s="1"/>
  <c r="AX1119" i="1"/>
  <c r="AW1119" i="1" s="1"/>
  <c r="AY934" i="1"/>
  <c r="AY1092" i="1"/>
  <c r="AY1218" i="1"/>
  <c r="AY1006" i="1"/>
  <c r="AY1222" i="1"/>
  <c r="AX487" i="1"/>
  <c r="AW487" i="1" s="1"/>
  <c r="AY385" i="1"/>
  <c r="AY1159" i="1"/>
  <c r="AZ852" i="1"/>
  <c r="AY302" i="1"/>
  <c r="AY289" i="1"/>
  <c r="AX185" i="1"/>
  <c r="AW185" i="1" s="1"/>
  <c r="AY922" i="1"/>
  <c r="AY483" i="1"/>
  <c r="AY1148" i="1"/>
  <c r="AY1030" i="1"/>
  <c r="AY1100" i="1"/>
  <c r="AZ389" i="1"/>
  <c r="AY1105" i="1"/>
  <c r="AY359" i="1"/>
  <c r="AX370" i="1"/>
  <c r="AW370" i="1" s="1"/>
  <c r="AY305" i="1"/>
  <c r="AY1010" i="1"/>
  <c r="AY175" i="1"/>
  <c r="AY1169" i="1"/>
  <c r="AX206" i="1"/>
  <c r="AW206" i="1" s="1"/>
  <c r="AX1114" i="1"/>
  <c r="AW1114" i="1" s="1"/>
  <c r="AY1214" i="1"/>
  <c r="AX1226" i="1"/>
  <c r="AW1226" i="1" s="1"/>
  <c r="AY1168" i="1"/>
  <c r="AX238" i="1"/>
  <c r="AW238" i="1" s="1"/>
  <c r="AY291" i="1"/>
  <c r="AX1100" i="1"/>
  <c r="AW1100" i="1" s="1"/>
  <c r="AX1248" i="1"/>
  <c r="AW1248" i="1" s="1"/>
  <c r="AZ370" i="1"/>
  <c r="AY1152" i="1"/>
  <c r="AY209" i="1"/>
  <c r="AY286" i="1"/>
  <c r="AZ465" i="1"/>
  <c r="AX1006" i="1"/>
  <c r="AW1006" i="1" s="1"/>
  <c r="AY487" i="1"/>
  <c r="AY502" i="1"/>
  <c r="AX900" i="1"/>
  <c r="AW900" i="1" s="1"/>
  <c r="AY1215" i="1"/>
  <c r="AX286" i="1"/>
  <c r="AW286" i="1" s="1"/>
  <c r="AY1114" i="1"/>
  <c r="AX209" i="1"/>
  <c r="AW209" i="1" s="1"/>
  <c r="AY390" i="1"/>
  <c r="AY148" i="1"/>
  <c r="AY1007" i="1"/>
  <c r="AX1154" i="1"/>
  <c r="AW1154" i="1" s="1"/>
  <c r="AY1013" i="1"/>
  <c r="AY190" i="1"/>
  <c r="AY377" i="1"/>
  <c r="AY1111" i="1"/>
  <c r="AY169" i="1"/>
  <c r="AY1012" i="1"/>
  <c r="AY206" i="1"/>
  <c r="AX1037" i="1"/>
  <c r="AW1037" i="1" s="1"/>
  <c r="AX390" i="1"/>
  <c r="AW390" i="1" s="1"/>
  <c r="AX229" i="1"/>
  <c r="AW229" i="1" s="1"/>
  <c r="AY1146" i="1"/>
  <c r="AY281" i="1"/>
  <c r="AY1228" i="1"/>
  <c r="AX191" i="1"/>
  <c r="AW191" i="1" s="1"/>
  <c r="AX1149" i="1"/>
  <c r="AW1149" i="1" s="1"/>
  <c r="AY1239" i="1"/>
  <c r="AX502" i="1"/>
  <c r="AW502" i="1" s="1"/>
  <c r="AX902" i="1"/>
  <c r="AW902" i="1" s="1"/>
  <c r="AY200" i="1"/>
  <c r="AY386" i="1"/>
  <c r="AY782" i="1"/>
  <c r="AY900" i="1"/>
  <c r="AY1023" i="1"/>
  <c r="AX310" i="1"/>
  <c r="AW310" i="1" s="1"/>
  <c r="AZ191" i="1"/>
  <c r="AY1098" i="1"/>
  <c r="AX922" i="1"/>
  <c r="AW922" i="1" s="1"/>
  <c r="AZ503" i="1"/>
  <c r="AY1029" i="1"/>
  <c r="AY222" i="1"/>
  <c r="AY388" i="1"/>
  <c r="AY1160" i="1"/>
  <c r="AY216" i="1"/>
  <c r="AY891" i="1"/>
  <c r="AX314" i="1"/>
  <c r="AW314" i="1" s="1"/>
  <c r="AY947" i="1"/>
  <c r="AY183" i="1"/>
  <c r="AX290" i="1"/>
  <c r="AW290" i="1" s="1"/>
  <c r="AX1239" i="1"/>
  <c r="AW1239" i="1" s="1"/>
  <c r="AX1169" i="1"/>
  <c r="AW1169" i="1" s="1"/>
  <c r="AX373" i="1"/>
  <c r="AW373" i="1" s="1"/>
  <c r="AX1031" i="1"/>
  <c r="AW1031" i="1" s="1"/>
  <c r="AX363" i="1"/>
  <c r="AW363" i="1" s="1"/>
  <c r="AY167" i="1"/>
  <c r="AY906" i="1"/>
  <c r="AX1151" i="1"/>
  <c r="AW1151" i="1" s="1"/>
  <c r="AY372" i="1"/>
  <c r="AX1148" i="1"/>
  <c r="AW1148" i="1" s="1"/>
  <c r="AY391" i="1"/>
  <c r="AX1098" i="1"/>
  <c r="AW1098" i="1" s="1"/>
  <c r="AZ213" i="1"/>
  <c r="AY366" i="1"/>
  <c r="AX391" i="1"/>
  <c r="AW391" i="1" s="1"/>
  <c r="AY465" i="1"/>
  <c r="AY180" i="1"/>
  <c r="AZ42" i="1"/>
  <c r="AX304" i="1"/>
  <c r="AW304" i="1" s="1"/>
  <c r="AY896" i="1"/>
  <c r="AX183" i="1"/>
  <c r="AW183" i="1" s="1"/>
  <c r="AX1012" i="1"/>
  <c r="AW1012" i="1" s="1"/>
  <c r="AY1224" i="1"/>
  <c r="AX917" i="1"/>
  <c r="AW917" i="1" s="1"/>
  <c r="AY312" i="1"/>
  <c r="AY937" i="1"/>
  <c r="AX1172" i="1"/>
  <c r="AW1172" i="1" s="1"/>
  <c r="AX294" i="1"/>
  <c r="AW294" i="1" s="1"/>
  <c r="AX1152" i="1"/>
  <c r="AW1152" i="1" s="1"/>
  <c r="AY1119" i="1"/>
  <c r="AY1149" i="1"/>
  <c r="AX305" i="1"/>
  <c r="AW305" i="1" s="1"/>
  <c r="AZ200" i="1"/>
  <c r="AY918" i="1"/>
  <c r="AY1172" i="1"/>
  <c r="AY373" i="1"/>
  <c r="AY1171" i="1"/>
  <c r="AX1121" i="1"/>
  <c r="AW1121" i="1" s="1"/>
  <c r="AY1033" i="1"/>
  <c r="AX388" i="1"/>
  <c r="AW388" i="1" s="1"/>
  <c r="AX1228" i="1"/>
  <c r="AW1228" i="1" s="1"/>
  <c r="AX1146" i="1"/>
  <c r="AW1146" i="1" s="1"/>
  <c r="AY277" i="1"/>
  <c r="AY42" i="1"/>
  <c r="AX175" i="1"/>
  <c r="AW175" i="1" s="1"/>
  <c r="AY869" i="1"/>
  <c r="AZ1121" i="1"/>
  <c r="AZ388" i="1"/>
  <c r="AX378" i="1"/>
  <c r="AW378" i="1" s="1"/>
  <c r="AZ1023" i="1"/>
  <c r="AZ1012" i="1"/>
  <c r="AX871" i="1"/>
  <c r="AW871" i="1" s="1"/>
  <c r="AY1036" i="1"/>
  <c r="AX1105" i="1"/>
  <c r="AW1105" i="1" s="1"/>
  <c r="AX1111" i="1"/>
  <c r="AW1111" i="1" s="1"/>
  <c r="AY893" i="1"/>
  <c r="AX168" i="1"/>
  <c r="AW168" i="1" s="1"/>
  <c r="AY213" i="1"/>
  <c r="AX432" i="1"/>
  <c r="AW432" i="1" s="1"/>
  <c r="AY229" i="1"/>
  <c r="AY1144" i="1"/>
  <c r="AX1018" i="1"/>
  <c r="AW1018" i="1" s="1"/>
  <c r="AY363" i="1"/>
  <c r="AX1120" i="1"/>
  <c r="AW1120" i="1" s="1"/>
  <c r="AX1113" i="1"/>
  <c r="AW1113" i="1" s="1"/>
  <c r="AY304" i="1"/>
  <c r="AY376" i="1"/>
  <c r="AX291" i="1"/>
  <c r="AW291" i="1" s="1"/>
  <c r="AY370" i="1"/>
  <c r="AX907" i="1"/>
  <c r="AW907" i="1" s="1"/>
  <c r="AZ359" i="1"/>
  <c r="AZ1033" i="1"/>
  <c r="AX365" i="1"/>
  <c r="AW365" i="1" s="1"/>
  <c r="AX1010" i="1"/>
  <c r="AW1010" i="1" s="1"/>
  <c r="AY939" i="1"/>
  <c r="AY499" i="1"/>
  <c r="AY1158" i="1"/>
  <c r="AY503" i="1"/>
  <c r="AY1226" i="1"/>
  <c r="AX469" i="1"/>
  <c r="AW469" i="1" s="1"/>
  <c r="AX483" i="1"/>
  <c r="AW483" i="1" s="1"/>
  <c r="AX1095" i="1"/>
  <c r="AW1095" i="1" s="1"/>
  <c r="AX1147" i="1"/>
  <c r="AW1147" i="1" s="1"/>
  <c r="AX427" i="1"/>
  <c r="AW427" i="1" s="1"/>
  <c r="AZ900" i="1"/>
  <c r="AX1222" i="1"/>
  <c r="AW1222" i="1" s="1"/>
  <c r="AX216" i="1"/>
  <c r="AW216" i="1" s="1"/>
  <c r="AX416" i="1"/>
  <c r="AW416" i="1" s="1"/>
  <c r="AX869" i="1"/>
  <c r="AW869" i="1" s="1"/>
  <c r="AY870" i="1"/>
  <c r="AY300" i="1"/>
  <c r="AY2050" i="1"/>
  <c r="AZ1226" i="1"/>
  <c r="AX1158" i="1"/>
  <c r="AW1158" i="1" s="1"/>
  <c r="AY1011" i="1"/>
  <c r="AY913" i="1"/>
  <c r="AX281" i="1"/>
  <c r="AW281" i="1" s="1"/>
  <c r="AX1167" i="1"/>
  <c r="AW1167" i="1" s="1"/>
  <c r="AX903" i="1"/>
  <c r="AW903" i="1" s="1"/>
  <c r="AX424" i="1"/>
  <c r="AW424" i="1" s="1"/>
  <c r="AX2050" i="1"/>
  <c r="AW2050" i="1" s="1"/>
  <c r="AX312" i="1"/>
  <c r="AW312" i="1" s="1"/>
  <c r="AX1214" i="1"/>
  <c r="AW1214" i="1" s="1"/>
  <c r="AY369" i="1"/>
  <c r="AX302" i="1"/>
  <c r="AW302" i="1" s="1"/>
  <c r="AX1168" i="1"/>
  <c r="AW1168" i="1" s="1"/>
  <c r="AX938" i="1"/>
  <c r="AW938" i="1" s="1"/>
  <c r="AX417" i="1"/>
  <c r="AW417" i="1" s="1"/>
  <c r="AX937" i="1"/>
  <c r="AW937" i="1" s="1"/>
  <c r="AX369" i="1"/>
  <c r="AW369" i="1" s="1"/>
  <c r="AX504" i="1"/>
  <c r="AW504" i="1" s="1"/>
  <c r="AX947" i="1"/>
  <c r="AW947" i="1" s="1"/>
  <c r="AX372" i="1"/>
  <c r="AW372" i="1" s="1"/>
  <c r="AX1223" i="1"/>
  <c r="AW1223" i="1" s="1"/>
  <c r="AY1150" i="1"/>
  <c r="AY280" i="1"/>
  <c r="AX308" i="1"/>
  <c r="AW308" i="1" s="1"/>
  <c r="AX1159" i="1"/>
  <c r="AW1159" i="1" s="1"/>
  <c r="AX219" i="1"/>
  <c r="AW219" i="1" s="1"/>
  <c r="AX934" i="1"/>
  <c r="AW934" i="1" s="1"/>
  <c r="AX913" i="1"/>
  <c r="AW913" i="1" s="1"/>
  <c r="AY285" i="1"/>
  <c r="AY417" i="1"/>
  <c r="AX1160" i="1"/>
  <c r="AW1160" i="1" s="1"/>
  <c r="AX309" i="1"/>
  <c r="AW309" i="1" s="1"/>
  <c r="AZ1029" i="1"/>
  <c r="AX1029" i="1"/>
  <c r="AW1029" i="1" s="1"/>
  <c r="BL467" i="1"/>
  <c r="AX467" i="1"/>
  <c r="AW467" i="1" s="1"/>
  <c r="AX896" i="1"/>
  <c r="AW896" i="1" s="1"/>
  <c r="AX387" i="1"/>
  <c r="AW387" i="1" s="1"/>
  <c r="AZ387" i="1"/>
  <c r="AX180" i="1"/>
  <c r="AW180" i="1" s="1"/>
  <c r="AZ184" i="1"/>
  <c r="AX184" i="1"/>
  <c r="AW184" i="1" s="1"/>
  <c r="AZ1243" i="1"/>
  <c r="AX1243" i="1"/>
  <c r="AW1243" i="1" s="1"/>
  <c r="AX385" i="1"/>
  <c r="AW385" i="1" s="1"/>
  <c r="AZ1161" i="1"/>
  <c r="AX1161" i="1"/>
  <c r="AW1161" i="1" s="1"/>
  <c r="AX167" i="1"/>
  <c r="AW167" i="1" s="1"/>
  <c r="BL1013" i="1"/>
  <c r="AX1013" i="1"/>
  <c r="AW1013" i="1" s="1"/>
  <c r="AX158" i="1"/>
  <c r="AW158" i="1" s="1"/>
  <c r="AX222" i="1"/>
  <c r="AW222" i="1" s="1"/>
  <c r="AX870" i="1"/>
  <c r="AW870" i="1" s="1"/>
  <c r="BL1094" i="1"/>
  <c r="AX1094" i="1"/>
  <c r="AW1094" i="1" s="1"/>
  <c r="BL1164" i="1"/>
  <c r="AX1164" i="1"/>
  <c r="AW1164" i="1" s="1"/>
  <c r="AX430" i="1"/>
  <c r="AW430" i="1" s="1"/>
  <c r="AX1108" i="1"/>
  <c r="AW1108" i="1" s="1"/>
  <c r="AX906" i="1"/>
  <c r="AW906" i="1" s="1"/>
  <c r="AX215" i="1"/>
  <c r="AW215" i="1" s="1"/>
  <c r="AX1036" i="1"/>
  <c r="AW1036" i="1" s="1"/>
  <c r="AX891" i="1"/>
  <c r="AW891" i="1" s="1"/>
  <c r="AX285" i="1"/>
  <c r="AW285" i="1" s="1"/>
  <c r="AX431" i="1"/>
  <c r="AW431" i="1" s="1"/>
  <c r="AZ892" i="1"/>
  <c r="AX892" i="1"/>
  <c r="AW892" i="1" s="1"/>
  <c r="BL886" i="1"/>
  <c r="AX886" i="1"/>
  <c r="AW886" i="1" s="1"/>
  <c r="AX1215" i="1"/>
  <c r="AW1215" i="1" s="1"/>
  <c r="BL1218" i="1"/>
  <c r="AX1218" i="1"/>
  <c r="AW1218" i="1" s="1"/>
  <c r="BL1224" i="1"/>
  <c r="AX1224" i="1"/>
  <c r="AW1224" i="1" s="1"/>
  <c r="AZ1112" i="1"/>
  <c r="AX1112" i="1"/>
  <c r="AW1112" i="1" s="1"/>
  <c r="AZ1165" i="1"/>
  <c r="AX1165" i="1"/>
  <c r="AW1165" i="1" s="1"/>
  <c r="AZ501" i="1"/>
  <c r="AX501" i="1"/>
  <c r="AW501" i="1" s="1"/>
  <c r="BL893" i="1"/>
  <c r="AX893" i="1"/>
  <c r="AW893" i="1" s="1"/>
  <c r="AX1092" i="1"/>
  <c r="AW1092" i="1" s="1"/>
  <c r="AX898" i="1"/>
  <c r="AW898" i="1" s="1"/>
  <c r="AX289" i="1"/>
  <c r="AW289" i="1" s="1"/>
  <c r="AX300" i="1"/>
  <c r="AW300" i="1" s="1"/>
  <c r="BL1091" i="1"/>
  <c r="AX1091" i="1"/>
  <c r="AW1091" i="1" s="1"/>
  <c r="BL420" i="1"/>
  <c r="AX420" i="1"/>
  <c r="AW420" i="1" s="1"/>
  <c r="BL1144" i="1"/>
  <c r="AX1144" i="1"/>
  <c r="AW1144" i="1" s="1"/>
  <c r="CS1007" i="1"/>
  <c r="AX1007" i="1"/>
  <c r="AW1007" i="1" s="1"/>
  <c r="AZ2" i="1"/>
  <c r="AX2" i="1"/>
  <c r="AW2" i="1" s="1"/>
  <c r="AX1030" i="1"/>
  <c r="AW1030" i="1" s="1"/>
  <c r="AX901" i="1"/>
  <c r="AW901" i="1" s="1"/>
  <c r="AX1170" i="1"/>
  <c r="AW1170" i="1" s="1"/>
  <c r="AX279" i="1"/>
  <c r="AW279" i="1" s="1"/>
  <c r="AX1166" i="1"/>
  <c r="AW1166" i="1" s="1"/>
  <c r="AX366" i="1"/>
  <c r="AW366" i="1" s="1"/>
  <c r="AX277" i="1"/>
  <c r="AW277" i="1" s="1"/>
  <c r="AX1153" i="1"/>
  <c r="AW1153" i="1" s="1"/>
  <c r="AX1176" i="1"/>
  <c r="AW1176" i="1" s="1"/>
  <c r="AX169" i="1"/>
  <c r="AW169" i="1" s="1"/>
  <c r="AX1171" i="1"/>
  <c r="AW1171" i="1" s="1"/>
  <c r="AX1225" i="1"/>
  <c r="AW1225" i="1" s="1"/>
  <c r="AX382" i="1"/>
  <c r="AW382" i="1" s="1"/>
  <c r="AX174" i="1"/>
  <c r="AW174" i="1" s="1"/>
  <c r="BD622" i="1" l="1"/>
  <c r="BY622" i="1"/>
  <c r="BV514" i="1"/>
  <c r="CE1336" i="1"/>
  <c r="BG1277" i="1"/>
  <c r="BY1277" i="1"/>
  <c r="BS636" i="1"/>
  <c r="BS686" i="1"/>
  <c r="CB686" i="1"/>
  <c r="CB1362" i="1"/>
  <c r="CU1362" i="1"/>
  <c r="BS552" i="1"/>
  <c r="CB552" i="1"/>
  <c r="CE704" i="1"/>
  <c r="BG1231" i="1"/>
  <c r="CE1441" i="1"/>
  <c r="BG559" i="1"/>
  <c r="CB576" i="1"/>
  <c r="BD1300" i="1"/>
  <c r="BS1300" i="1"/>
  <c r="CB1254" i="1"/>
  <c r="BS513" i="1"/>
  <c r="CE513" i="1"/>
  <c r="BG664" i="1"/>
  <c r="CB664" i="1"/>
  <c r="BJ566" i="1"/>
  <c r="CB566" i="1"/>
  <c r="CE733" i="1"/>
  <c r="BG1394" i="1"/>
  <c r="BV1394" i="1"/>
  <c r="CK1394" i="1"/>
  <c r="BS577" i="1"/>
  <c r="BG593" i="1"/>
  <c r="CK675" i="1"/>
  <c r="BS1187" i="1"/>
  <c r="CB1187" i="1"/>
  <c r="BD1444" i="1"/>
  <c r="BS1444" i="1"/>
  <c r="BJ603" i="1"/>
  <c r="BG622" i="1"/>
  <c r="BD514" i="1"/>
  <c r="BY514" i="1"/>
  <c r="BD1336" i="1"/>
  <c r="BV1336" i="1"/>
  <c r="CU1277" i="1"/>
  <c r="CU636" i="1"/>
  <c r="CE686" i="1"/>
  <c r="BY661" i="1"/>
  <c r="CK661" i="1"/>
  <c r="BJ1362" i="1"/>
  <c r="BV1386" i="1"/>
  <c r="CU1386" i="1"/>
  <c r="CE552" i="1"/>
  <c r="BY1328" i="1"/>
  <c r="CK1328" i="1"/>
  <c r="BJ1276" i="1"/>
  <c r="CE1276" i="1"/>
  <c r="BD544" i="1"/>
  <c r="BY544" i="1"/>
  <c r="BD704" i="1"/>
  <c r="CB1231" i="1"/>
  <c r="BD1441" i="1"/>
  <c r="BS1441" i="1"/>
  <c r="BJ559" i="1"/>
  <c r="BD656" i="1"/>
  <c r="BV656" i="1"/>
  <c r="CU656" i="1"/>
  <c r="BS576" i="1"/>
  <c r="BV1300" i="1"/>
  <c r="CK1300" i="1"/>
  <c r="BJ1254" i="1"/>
  <c r="BJ664" i="1"/>
  <c r="CE664" i="1"/>
  <c r="BG1430" i="1"/>
  <c r="BV1430" i="1"/>
  <c r="BG623" i="1"/>
  <c r="BV623" i="1"/>
  <c r="CK623" i="1"/>
  <c r="BS733" i="1"/>
  <c r="CK733" i="1"/>
  <c r="CU1394" i="1"/>
  <c r="BV577" i="1"/>
  <c r="CE577" i="1"/>
  <c r="CK587" i="1"/>
  <c r="BJ593" i="1"/>
  <c r="CB593" i="1"/>
  <c r="BD675" i="1"/>
  <c r="BV675" i="1"/>
  <c r="CU675" i="1"/>
  <c r="CK1444" i="1"/>
  <c r="BJ622" i="1"/>
  <c r="CB622" i="1"/>
  <c r="BG514" i="1"/>
  <c r="CK1336" i="1"/>
  <c r="BJ1277" i="1"/>
  <c r="CB1277" i="1"/>
  <c r="BV636" i="1"/>
  <c r="BG661" i="1"/>
  <c r="CU661" i="1"/>
  <c r="CE1362" i="1"/>
  <c r="BD1386" i="1"/>
  <c r="BY1386" i="1"/>
  <c r="BG1328" i="1"/>
  <c r="CU1328" i="1"/>
  <c r="BG544" i="1"/>
  <c r="BV704" i="1"/>
  <c r="CK704" i="1"/>
  <c r="BJ1231" i="1"/>
  <c r="CB559" i="1"/>
  <c r="BG656" i="1"/>
  <c r="BV576" i="1"/>
  <c r="CE576" i="1"/>
  <c r="CE1254" i="1"/>
  <c r="BG513" i="1"/>
  <c r="BS664" i="1"/>
  <c r="CK664" i="1"/>
  <c r="CK1430" i="1"/>
  <c r="BS566" i="1"/>
  <c r="CE566" i="1"/>
  <c r="BY623" i="1"/>
  <c r="BV733" i="1"/>
  <c r="BY1394" i="1"/>
  <c r="CK577" i="1"/>
  <c r="BG587" i="1"/>
  <c r="BV587" i="1"/>
  <c r="BG675" i="1"/>
  <c r="BV1187" i="1"/>
  <c r="CE1187" i="1"/>
  <c r="BV1444" i="1"/>
  <c r="CE622" i="1"/>
  <c r="CB514" i="1"/>
  <c r="BG1336" i="1"/>
  <c r="CU1336" i="1"/>
  <c r="BD636" i="1"/>
  <c r="BY636" i="1"/>
  <c r="BD686" i="1"/>
  <c r="BV686" i="1"/>
  <c r="CK686" i="1"/>
  <c r="BS1362" i="1"/>
  <c r="BD552" i="1"/>
  <c r="BV552" i="1"/>
  <c r="CK552" i="1"/>
  <c r="BS1276" i="1"/>
  <c r="BJ544" i="1"/>
  <c r="CB544" i="1"/>
  <c r="BG704" i="1"/>
  <c r="CU704" i="1"/>
  <c r="BS1231" i="1"/>
  <c r="BV1441" i="1"/>
  <c r="CK1441" i="1"/>
  <c r="CE559" i="1"/>
  <c r="BD576" i="1"/>
  <c r="BG1300" i="1"/>
  <c r="BY1300" i="1"/>
  <c r="BS1254" i="1"/>
  <c r="CK1254" i="1"/>
  <c r="BS622" i="1"/>
  <c r="CK622" i="1"/>
  <c r="BJ514" i="1"/>
  <c r="CE514" i="1"/>
  <c r="BY1336" i="1"/>
  <c r="BS1277" i="1"/>
  <c r="CE1277" i="1"/>
  <c r="BG686" i="1"/>
  <c r="BJ661" i="1"/>
  <c r="CB661" i="1"/>
  <c r="BD1362" i="1"/>
  <c r="BG1386" i="1"/>
  <c r="CB1386" i="1"/>
  <c r="BG552" i="1"/>
  <c r="BJ1328" i="1"/>
  <c r="CB1328" i="1"/>
  <c r="BD1276" i="1"/>
  <c r="CK1276" i="1"/>
  <c r="CE544" i="1"/>
  <c r="BV1231" i="1"/>
  <c r="CE1231" i="1"/>
  <c r="BG1441" i="1"/>
  <c r="BY1441" i="1"/>
  <c r="BS559" i="1"/>
  <c r="CK559" i="1"/>
  <c r="BJ656" i="1"/>
  <c r="BY656" i="1"/>
  <c r="CK576" i="1"/>
  <c r="CU1300" i="1"/>
  <c r="BY513" i="1"/>
  <c r="BJ1430" i="1"/>
  <c r="BY1430" i="1"/>
  <c r="BJ623" i="1"/>
  <c r="BY733" i="1"/>
  <c r="CU733" i="1"/>
  <c r="BY577" i="1"/>
  <c r="CU577" i="1"/>
  <c r="CB587" i="1"/>
  <c r="CU587" i="1"/>
  <c r="BS593" i="1"/>
  <c r="CK593" i="1"/>
  <c r="BJ675" i="1"/>
  <c r="CB675" i="1"/>
  <c r="CK1187" i="1"/>
  <c r="CB1444" i="1"/>
  <c r="BD603" i="1"/>
  <c r="CK514" i="1"/>
  <c r="BJ1336" i="1"/>
  <c r="BD1277" i="1"/>
  <c r="BG636" i="1"/>
  <c r="CB636" i="1"/>
  <c r="CU686" i="1"/>
  <c r="BV1362" i="1"/>
  <c r="CK1362" i="1"/>
  <c r="BJ1386" i="1"/>
  <c r="CU552" i="1"/>
  <c r="BV1276" i="1"/>
  <c r="BS544" i="1"/>
  <c r="CK544" i="1"/>
  <c r="BJ704" i="1"/>
  <c r="BY704" i="1"/>
  <c r="BD1231" i="1"/>
  <c r="CB1441" i="1"/>
  <c r="CU1441" i="1"/>
  <c r="BV559" i="1"/>
  <c r="CB656" i="1"/>
  <c r="BG576" i="1"/>
  <c r="BY576" i="1"/>
  <c r="CU576" i="1"/>
  <c r="CB1300" i="1"/>
  <c r="BV1254" i="1"/>
  <c r="CU1254" i="1"/>
  <c r="BJ513" i="1"/>
  <c r="CB513" i="1"/>
  <c r="CU513" i="1"/>
  <c r="BY664" i="1"/>
  <c r="CU664" i="1"/>
  <c r="CB1430" i="1"/>
  <c r="BD566" i="1"/>
  <c r="BY566" i="1"/>
  <c r="CU566" i="1"/>
  <c r="BD733" i="1"/>
  <c r="BS1394" i="1"/>
  <c r="CE1394" i="1"/>
  <c r="BG577" i="1"/>
  <c r="BJ587" i="1"/>
  <c r="BV593" i="1"/>
  <c r="BG1187" i="1"/>
  <c r="BY1187" i="1"/>
  <c r="CU1187" i="1"/>
  <c r="BG603" i="1"/>
  <c r="BV622" i="1"/>
  <c r="CK1277" i="1"/>
  <c r="BY686" i="1"/>
  <c r="BG1362" i="1"/>
  <c r="CE1386" i="1"/>
  <c r="BS1328" i="1"/>
  <c r="BD1254" i="1"/>
  <c r="CE623" i="1"/>
  <c r="CU593" i="1"/>
  <c r="BG1444" i="1"/>
  <c r="CB603" i="1"/>
  <c r="BG1391" i="1"/>
  <c r="BS586" i="1"/>
  <c r="CE586" i="1"/>
  <c r="BJ1442" i="1"/>
  <c r="CB1442" i="1"/>
  <c r="CK1268" i="1"/>
  <c r="BJ1303" i="1"/>
  <c r="CE1303" i="1"/>
  <c r="BS1336" i="1"/>
  <c r="CK1386" i="1"/>
  <c r="BV1328" i="1"/>
  <c r="CU1276" i="1"/>
  <c r="CB704" i="1"/>
  <c r="BJ1441" i="1"/>
  <c r="CU559" i="1"/>
  <c r="BG1254" i="1"/>
  <c r="BV513" i="1"/>
  <c r="CK566" i="1"/>
  <c r="BD1394" i="1"/>
  <c r="BD577" i="1"/>
  <c r="BD587" i="1"/>
  <c r="BD593" i="1"/>
  <c r="BJ1187" i="1"/>
  <c r="BJ1444" i="1"/>
  <c r="CE603" i="1"/>
  <c r="BJ1391" i="1"/>
  <c r="BY1391" i="1"/>
  <c r="CK1391" i="1"/>
  <c r="CK586" i="1"/>
  <c r="CE1442" i="1"/>
  <c r="BG1268" i="1"/>
  <c r="BY1268" i="1"/>
  <c r="CU1268" i="1"/>
  <c r="BJ1299" i="1"/>
  <c r="CE1299" i="1"/>
  <c r="CK1303" i="1"/>
  <c r="BD1330" i="1"/>
  <c r="BJ1400" i="1"/>
  <c r="BG1343" i="1"/>
  <c r="BY1343" i="1"/>
  <c r="CB1377" i="1"/>
  <c r="BD1331" i="1"/>
  <c r="BJ1342" i="1"/>
  <c r="CE1342" i="1"/>
  <c r="BJ618" i="1"/>
  <c r="BV534" i="1"/>
  <c r="BV539" i="1"/>
  <c r="CB1378" i="1"/>
  <c r="BV630" i="1"/>
  <c r="CU640" i="1"/>
  <c r="CE1360" i="1"/>
  <c r="CE1317" i="1"/>
  <c r="CB1426" i="1"/>
  <c r="BV1419" i="1"/>
  <c r="CB1336" i="1"/>
  <c r="BJ636" i="1"/>
  <c r="BJ552" i="1"/>
  <c r="BS656" i="1"/>
  <c r="BY1254" i="1"/>
  <c r="CE1430" i="1"/>
  <c r="CU623" i="1"/>
  <c r="BJ577" i="1"/>
  <c r="BS675" i="1"/>
  <c r="BS603" i="1"/>
  <c r="CK603" i="1"/>
  <c r="CU1391" i="1"/>
  <c r="BV586" i="1"/>
  <c r="BS1442" i="1"/>
  <c r="BS1299" i="1"/>
  <c r="BS1303" i="1"/>
  <c r="BJ520" i="1"/>
  <c r="CB520" i="1"/>
  <c r="BG1330" i="1"/>
  <c r="BY1330" i="1"/>
  <c r="CU1330" i="1"/>
  <c r="CE1400" i="1"/>
  <c r="BJ1343" i="1"/>
  <c r="BD1377" i="1"/>
  <c r="BS1377" i="1"/>
  <c r="BG1331" i="1"/>
  <c r="BY1331" i="1"/>
  <c r="BS618" i="1"/>
  <c r="CB618" i="1"/>
  <c r="BY534" i="1"/>
  <c r="CK534" i="1"/>
  <c r="BY539" i="1"/>
  <c r="CK539" i="1"/>
  <c r="BJ1378" i="1"/>
  <c r="CE1378" i="1"/>
  <c r="BD630" i="1"/>
  <c r="BY630" i="1"/>
  <c r="BS640" i="1"/>
  <c r="CB640" i="1"/>
  <c r="BS1360" i="1"/>
  <c r="BD1101" i="1"/>
  <c r="BV1101" i="1"/>
  <c r="BS1317" i="1"/>
  <c r="CK1317" i="1"/>
  <c r="BS1426" i="1"/>
  <c r="CU622" i="1"/>
  <c r="BD661" i="1"/>
  <c r="BY1362" i="1"/>
  <c r="CE1328" i="1"/>
  <c r="BV544" i="1"/>
  <c r="CU1430" i="1"/>
  <c r="BD623" i="1"/>
  <c r="BG733" i="1"/>
  <c r="BJ1394" i="1"/>
  <c r="BY1444" i="1"/>
  <c r="BV603" i="1"/>
  <c r="BS1391" i="1"/>
  <c r="CB1391" i="1"/>
  <c r="CK1442" i="1"/>
  <c r="BJ1268" i="1"/>
  <c r="BD1299" i="1"/>
  <c r="CK1299" i="1"/>
  <c r="BV1303" i="1"/>
  <c r="BS1400" i="1"/>
  <c r="CU1331" i="1"/>
  <c r="BS1342" i="1"/>
  <c r="CK1342" i="1"/>
  <c r="CE618" i="1"/>
  <c r="BG534" i="1"/>
  <c r="CU534" i="1"/>
  <c r="BD640" i="1"/>
  <c r="BD1360" i="1"/>
  <c r="BV1360" i="1"/>
  <c r="BG1101" i="1"/>
  <c r="CU1101" i="1"/>
  <c r="CU1317" i="1"/>
  <c r="CE1426" i="1"/>
  <c r="BG1419" i="1"/>
  <c r="BS514" i="1"/>
  <c r="CE636" i="1"/>
  <c r="BS661" i="1"/>
  <c r="BY552" i="1"/>
  <c r="BG1276" i="1"/>
  <c r="BY1231" i="1"/>
  <c r="CE656" i="1"/>
  <c r="BJ1300" i="1"/>
  <c r="CK513" i="1"/>
  <c r="BD1430" i="1"/>
  <c r="BJ733" i="1"/>
  <c r="BS587" i="1"/>
  <c r="BY675" i="1"/>
  <c r="CE1444" i="1"/>
  <c r="BD586" i="1"/>
  <c r="CU586" i="1"/>
  <c r="CB1268" i="1"/>
  <c r="BV1299" i="1"/>
  <c r="CU1299" i="1"/>
  <c r="CU1303" i="1"/>
  <c r="BS520" i="1"/>
  <c r="CE520" i="1"/>
  <c r="BJ1330" i="1"/>
  <c r="CB1330" i="1"/>
  <c r="BD1400" i="1"/>
  <c r="CK1400" i="1"/>
  <c r="BS1343" i="1"/>
  <c r="CB1343" i="1"/>
  <c r="BV1377" i="1"/>
  <c r="CE1377" i="1"/>
  <c r="CB1331" i="1"/>
  <c r="BV618" i="1"/>
  <c r="CK618" i="1"/>
  <c r="BD539" i="1"/>
  <c r="CU539" i="1"/>
  <c r="BS1378" i="1"/>
  <c r="BG630" i="1"/>
  <c r="CK636" i="1"/>
  <c r="BV661" i="1"/>
  <c r="CU544" i="1"/>
  <c r="BD559" i="1"/>
  <c r="CK656" i="1"/>
  <c r="BD513" i="1"/>
  <c r="BG566" i="1"/>
  <c r="BS623" i="1"/>
  <c r="BY587" i="1"/>
  <c r="BY593" i="1"/>
  <c r="CE675" i="1"/>
  <c r="BY603" i="1"/>
  <c r="CU603" i="1"/>
  <c r="BG586" i="1"/>
  <c r="BY586" i="1"/>
  <c r="BD1442" i="1"/>
  <c r="BV1442" i="1"/>
  <c r="CU1442" i="1"/>
  <c r="BS1268" i="1"/>
  <c r="BY1299" i="1"/>
  <c r="BY1303" i="1"/>
  <c r="CE1330" i="1"/>
  <c r="BV1400" i="1"/>
  <c r="CE1343" i="1"/>
  <c r="BG1377" i="1"/>
  <c r="BJ1331" i="1"/>
  <c r="CE1331" i="1"/>
  <c r="BD1342" i="1"/>
  <c r="BV1342" i="1"/>
  <c r="CU1342" i="1"/>
  <c r="BJ534" i="1"/>
  <c r="CB534" i="1"/>
  <c r="BG539" i="1"/>
  <c r="CB539" i="1"/>
  <c r="CK1378" i="1"/>
  <c r="BJ630" i="1"/>
  <c r="CB1101" i="1"/>
  <c r="BD1317" i="1"/>
  <c r="BY1317" i="1"/>
  <c r="BJ1419" i="1"/>
  <c r="CK1231" i="1"/>
  <c r="CE587" i="1"/>
  <c r="CU1444" i="1"/>
  <c r="CE1391" i="1"/>
  <c r="BY1442" i="1"/>
  <c r="BG1299" i="1"/>
  <c r="BD520" i="1"/>
  <c r="BG1400" i="1"/>
  <c r="BV1343" i="1"/>
  <c r="BJ1377" i="1"/>
  <c r="BS1331" i="1"/>
  <c r="BY1342" i="1"/>
  <c r="BD1378" i="1"/>
  <c r="CU1378" i="1"/>
  <c r="BG640" i="1"/>
  <c r="CE640" i="1"/>
  <c r="BY1360" i="1"/>
  <c r="BD1426" i="1"/>
  <c r="CU1419" i="1"/>
  <c r="BV1339" i="1"/>
  <c r="CK1339" i="1"/>
  <c r="BG1384" i="1"/>
  <c r="CB1384" i="1"/>
  <c r="BG1357" i="1"/>
  <c r="BY1357" i="1"/>
  <c r="BD682" i="1"/>
  <c r="BV682" i="1"/>
  <c r="BV1370" i="1"/>
  <c r="CU1370" i="1"/>
  <c r="CU1322" i="1"/>
  <c r="BG1410" i="1"/>
  <c r="BY1410" i="1"/>
  <c r="BD639" i="1"/>
  <c r="BD728" i="1"/>
  <c r="BV728" i="1"/>
  <c r="CU728" i="1"/>
  <c r="BS475" i="1"/>
  <c r="CB475" i="1"/>
  <c r="BD1403" i="1"/>
  <c r="CK644" i="1"/>
  <c r="BV1392" i="1"/>
  <c r="CK1392" i="1"/>
  <c r="BJ1364" i="1"/>
  <c r="BY1364" i="1"/>
  <c r="CK1364" i="1"/>
  <c r="BS1417" i="1"/>
  <c r="CU628" i="1"/>
  <c r="BS1304" i="1"/>
  <c r="BJ1368" i="1"/>
  <c r="BY1368" i="1"/>
  <c r="CU1368" i="1"/>
  <c r="BS588" i="1"/>
  <c r="CE588" i="1"/>
  <c r="CU514" i="1"/>
  <c r="BS1386" i="1"/>
  <c r="CU1231" i="1"/>
  <c r="CB623" i="1"/>
  <c r="BS1330" i="1"/>
  <c r="BY1377" i="1"/>
  <c r="BV1331" i="1"/>
  <c r="CB1342" i="1"/>
  <c r="CU618" i="1"/>
  <c r="CE534" i="1"/>
  <c r="BG1378" i="1"/>
  <c r="BJ640" i="1"/>
  <c r="CK640" i="1"/>
  <c r="CB1360" i="1"/>
  <c r="BJ1101" i="1"/>
  <c r="BG1426" i="1"/>
  <c r="CK1426" i="1"/>
  <c r="BS1419" i="1"/>
  <c r="BD1339" i="1"/>
  <c r="BJ1384" i="1"/>
  <c r="BY682" i="1"/>
  <c r="CK682" i="1"/>
  <c r="BJ729" i="1"/>
  <c r="CE729" i="1"/>
  <c r="BD1370" i="1"/>
  <c r="BY1370" i="1"/>
  <c r="BY1322" i="1"/>
  <c r="BD680" i="1"/>
  <c r="BS680" i="1"/>
  <c r="CE680" i="1"/>
  <c r="BJ1410" i="1"/>
  <c r="BD694" i="1"/>
  <c r="BS694" i="1"/>
  <c r="CE694" i="1"/>
  <c r="BG639" i="1"/>
  <c r="CB639" i="1"/>
  <c r="BG728" i="1"/>
  <c r="BV1403" i="1"/>
  <c r="BJ1415" i="1"/>
  <c r="CB1415" i="1"/>
  <c r="CU1415" i="1"/>
  <c r="BS644" i="1"/>
  <c r="CU644" i="1"/>
  <c r="CU1392" i="1"/>
  <c r="BV1417" i="1"/>
  <c r="CK1417" i="1"/>
  <c r="BJ628" i="1"/>
  <c r="CB628" i="1"/>
  <c r="CK1304" i="1"/>
  <c r="BJ1371" i="1"/>
  <c r="CE1371" i="1"/>
  <c r="BV1277" i="1"/>
  <c r="BD664" i="1"/>
  <c r="CE593" i="1"/>
  <c r="BJ586" i="1"/>
  <c r="CB1299" i="1"/>
  <c r="BG520" i="1"/>
  <c r="BV1330" i="1"/>
  <c r="BY1400" i="1"/>
  <c r="BS630" i="1"/>
  <c r="BG1317" i="1"/>
  <c r="CU1426" i="1"/>
  <c r="BY1419" i="1"/>
  <c r="BG1339" i="1"/>
  <c r="BJ1357" i="1"/>
  <c r="CB1357" i="1"/>
  <c r="CU682" i="1"/>
  <c r="BG1370" i="1"/>
  <c r="CB1370" i="1"/>
  <c r="BD1322" i="1"/>
  <c r="BJ639" i="1"/>
  <c r="CE639" i="1"/>
  <c r="BY728" i="1"/>
  <c r="BD475" i="1"/>
  <c r="BV475" i="1"/>
  <c r="CE475" i="1"/>
  <c r="BG1403" i="1"/>
  <c r="BY1403" i="1"/>
  <c r="CK1403" i="1"/>
  <c r="BD1392" i="1"/>
  <c r="BY1392" i="1"/>
  <c r="BD1364" i="1"/>
  <c r="CU1364" i="1"/>
  <c r="CE628" i="1"/>
  <c r="BD1304" i="1"/>
  <c r="BV1304" i="1"/>
  <c r="CU1304" i="1"/>
  <c r="BD588" i="1"/>
  <c r="BV588" i="1"/>
  <c r="BD1328" i="1"/>
  <c r="BY559" i="1"/>
  <c r="BV664" i="1"/>
  <c r="CB733" i="1"/>
  <c r="BD1268" i="1"/>
  <c r="BV520" i="1"/>
  <c r="CB1400" i="1"/>
  <c r="CK1343" i="1"/>
  <c r="BD534" i="1"/>
  <c r="BJ539" i="1"/>
  <c r="BV1378" i="1"/>
  <c r="BS1101" i="1"/>
  <c r="BJ1317" i="1"/>
  <c r="BJ1426" i="1"/>
  <c r="CB1419" i="1"/>
  <c r="BY1339" i="1"/>
  <c r="CU1339" i="1"/>
  <c r="BS1384" i="1"/>
  <c r="CE1384" i="1"/>
  <c r="BS1357" i="1"/>
  <c r="CE1357" i="1"/>
  <c r="BG682" i="1"/>
  <c r="BS729" i="1"/>
  <c r="BJ1370" i="1"/>
  <c r="CB1322" i="1"/>
  <c r="BG680" i="1"/>
  <c r="CK680" i="1"/>
  <c r="BJ686" i="1"/>
  <c r="BY1276" i="1"/>
  <c r="BS1430" i="1"/>
  <c r="CB1394" i="1"/>
  <c r="BV1268" i="1"/>
  <c r="BD1303" i="1"/>
  <c r="CK1377" i="1"/>
  <c r="CK1331" i="1"/>
  <c r="BD618" i="1"/>
  <c r="BS539" i="1"/>
  <c r="CB630" i="1"/>
  <c r="BV640" i="1"/>
  <c r="CK1360" i="1"/>
  <c r="BY1101" i="1"/>
  <c r="BV1317" i="1"/>
  <c r="BV1426" i="1"/>
  <c r="BD1419" i="1"/>
  <c r="CB682" i="1"/>
  <c r="BV729" i="1"/>
  <c r="CK729" i="1"/>
  <c r="BG1322" i="1"/>
  <c r="BV680" i="1"/>
  <c r="CU680" i="1"/>
  <c r="BG694" i="1"/>
  <c r="BY694" i="1"/>
  <c r="CK694" i="1"/>
  <c r="BS639" i="1"/>
  <c r="CE728" i="1"/>
  <c r="CK475" i="1"/>
  <c r="CB1403" i="1"/>
  <c r="CU1403" i="1"/>
  <c r="BY644" i="1"/>
  <c r="BJ1392" i="1"/>
  <c r="CB1392" i="1"/>
  <c r="BS1364" i="1"/>
  <c r="BD1417" i="1"/>
  <c r="BV628" i="1"/>
  <c r="BG1304" i="1"/>
  <c r="BY1304" i="1"/>
  <c r="CE1368" i="1"/>
  <c r="CB1276" i="1"/>
  <c r="BV566" i="1"/>
  <c r="BD1391" i="1"/>
  <c r="CU1377" i="1"/>
  <c r="BY618" i="1"/>
  <c r="BG1360" i="1"/>
  <c r="CK1101" i="1"/>
  <c r="CB1339" i="1"/>
  <c r="BY1384" i="1"/>
  <c r="CU1357" i="1"/>
  <c r="BD729" i="1"/>
  <c r="CU729" i="1"/>
  <c r="BS1322" i="1"/>
  <c r="CU694" i="1"/>
  <c r="CU639" i="1"/>
  <c r="CK728" i="1"/>
  <c r="BD1415" i="1"/>
  <c r="CK1415" i="1"/>
  <c r="CB644" i="1"/>
  <c r="CE1392" i="1"/>
  <c r="BV1364" i="1"/>
  <c r="BG628" i="1"/>
  <c r="BY1371" i="1"/>
  <c r="CU1371" i="1"/>
  <c r="BS1393" i="1"/>
  <c r="BS1188" i="1"/>
  <c r="CB1188" i="1"/>
  <c r="BD652" i="1"/>
  <c r="CE652" i="1"/>
  <c r="CU582" i="1"/>
  <c r="BJ651" i="1"/>
  <c r="BJ1369" i="1"/>
  <c r="BY1369" i="1"/>
  <c r="CE1196" i="1"/>
  <c r="BJ1390" i="1"/>
  <c r="CE1390" i="1"/>
  <c r="BD1412" i="1"/>
  <c r="CK1412" i="1"/>
  <c r="CE510" i="1"/>
  <c r="CE1367" i="1"/>
  <c r="BD1349" i="1"/>
  <c r="BS663" i="1"/>
  <c r="CB663" i="1"/>
  <c r="BY565" i="1"/>
  <c r="BV633" i="1"/>
  <c r="BY548" i="1"/>
  <c r="CK621" i="1"/>
  <c r="CE661" i="1"/>
  <c r="BV1391" i="1"/>
  <c r="BG1303" i="1"/>
  <c r="BS534" i="1"/>
  <c r="CE1339" i="1"/>
  <c r="CK1384" i="1"/>
  <c r="BG729" i="1"/>
  <c r="BS1370" i="1"/>
  <c r="BV1322" i="1"/>
  <c r="BY680" i="1"/>
  <c r="BJ694" i="1"/>
  <c r="CU1400" i="1"/>
  <c r="CE630" i="1"/>
  <c r="BJ1360" i="1"/>
  <c r="CB1317" i="1"/>
  <c r="CE1419" i="1"/>
  <c r="CU1384" i="1"/>
  <c r="BJ682" i="1"/>
  <c r="CE1322" i="1"/>
  <c r="CB680" i="1"/>
  <c r="CB1410" i="1"/>
  <c r="BV694" i="1"/>
  <c r="BJ728" i="1"/>
  <c r="BS1415" i="1"/>
  <c r="BD644" i="1"/>
  <c r="BG1392" i="1"/>
  <c r="CB1364" i="1"/>
  <c r="BY1417" i="1"/>
  <c r="BS628" i="1"/>
  <c r="CB1368" i="1"/>
  <c r="BY588" i="1"/>
  <c r="BG1371" i="1"/>
  <c r="CB1371" i="1"/>
  <c r="BD1393" i="1"/>
  <c r="CU1393" i="1"/>
  <c r="CE1188" i="1"/>
  <c r="BY652" i="1"/>
  <c r="CK652" i="1"/>
  <c r="BJ582" i="1"/>
  <c r="CE582" i="1"/>
  <c r="BS651" i="1"/>
  <c r="BS1369" i="1"/>
  <c r="CB1369" i="1"/>
  <c r="BY1196" i="1"/>
  <c r="CK1196" i="1"/>
  <c r="BS1390" i="1"/>
  <c r="BG1412" i="1"/>
  <c r="BD510" i="1"/>
  <c r="BV510" i="1"/>
  <c r="BY553" i="1"/>
  <c r="BS1367" i="1"/>
  <c r="BG1349" i="1"/>
  <c r="BV1349" i="1"/>
  <c r="CU1349" i="1"/>
  <c r="CE663" i="1"/>
  <c r="BY633" i="1"/>
  <c r="CU633" i="1"/>
  <c r="BG621" i="1"/>
  <c r="BY621" i="1"/>
  <c r="BG732" i="1"/>
  <c r="BS704" i="1"/>
  <c r="CB577" i="1"/>
  <c r="CB586" i="1"/>
  <c r="CB1303" i="1"/>
  <c r="CK630" i="1"/>
  <c r="CU1360" i="1"/>
  <c r="BD1384" i="1"/>
  <c r="BD1357" i="1"/>
  <c r="BS682" i="1"/>
  <c r="CE1410" i="1"/>
  <c r="BV639" i="1"/>
  <c r="BS728" i="1"/>
  <c r="BG475" i="1"/>
  <c r="BV1415" i="1"/>
  <c r="BG644" i="1"/>
  <c r="BG1364" i="1"/>
  <c r="CB1417" i="1"/>
  <c r="BD1368" i="1"/>
  <c r="CK1368" i="1"/>
  <c r="CB588" i="1"/>
  <c r="BV1393" i="1"/>
  <c r="BD1188" i="1"/>
  <c r="BV1188" i="1"/>
  <c r="CK1188" i="1"/>
  <c r="BG652" i="1"/>
  <c r="BD651" i="1"/>
  <c r="CK651" i="1"/>
  <c r="CU1196" i="1"/>
  <c r="BV1390" i="1"/>
  <c r="CK1390" i="1"/>
  <c r="BY1412" i="1"/>
  <c r="CU510" i="1"/>
  <c r="CU553" i="1"/>
  <c r="BV1367" i="1"/>
  <c r="CK1367" i="1"/>
  <c r="BV663" i="1"/>
  <c r="CK663" i="1"/>
  <c r="BJ565" i="1"/>
  <c r="CE565" i="1"/>
  <c r="BD633" i="1"/>
  <c r="BS548" i="1"/>
  <c r="CE548" i="1"/>
  <c r="BJ621" i="1"/>
  <c r="CU621" i="1"/>
  <c r="CE676" i="1"/>
  <c r="BJ576" i="1"/>
  <c r="BG1442" i="1"/>
  <c r="BY520" i="1"/>
  <c r="BD1343" i="1"/>
  <c r="BG1342" i="1"/>
  <c r="CU630" i="1"/>
  <c r="CK1419" i="1"/>
  <c r="BV1357" i="1"/>
  <c r="BY729" i="1"/>
  <c r="CE1370" i="1"/>
  <c r="CK1322" i="1"/>
  <c r="BD1410" i="1"/>
  <c r="CK1410" i="1"/>
  <c r="CB694" i="1"/>
  <c r="CU475" i="1"/>
  <c r="BS1392" i="1"/>
  <c r="CE1364" i="1"/>
  <c r="BJ1304" i="1"/>
  <c r="BG1393" i="1"/>
  <c r="BY1393" i="1"/>
  <c r="CU652" i="1"/>
  <c r="BS582" i="1"/>
  <c r="BV651" i="1"/>
  <c r="CU651" i="1"/>
  <c r="CE1369" i="1"/>
  <c r="BG1196" i="1"/>
  <c r="BJ1412" i="1"/>
  <c r="CB1412" i="1"/>
  <c r="BG510" i="1"/>
  <c r="BJ553" i="1"/>
  <c r="CB553" i="1"/>
  <c r="BY1349" i="1"/>
  <c r="BD663" i="1"/>
  <c r="BG633" i="1"/>
  <c r="CB633" i="1"/>
  <c r="BD548" i="1"/>
  <c r="BS676" i="1"/>
  <c r="BD1187" i="1"/>
  <c r="CK520" i="1"/>
  <c r="CU1343" i="1"/>
  <c r="BY1426" i="1"/>
  <c r="BJ1339" i="1"/>
  <c r="CB729" i="1"/>
  <c r="CU1410" i="1"/>
  <c r="BY639" i="1"/>
  <c r="BJ475" i="1"/>
  <c r="CE1403" i="1"/>
  <c r="BY1415" i="1"/>
  <c r="BJ644" i="1"/>
  <c r="CE1417" i="1"/>
  <c r="BY628" i="1"/>
  <c r="BG1368" i="1"/>
  <c r="BS1371" i="1"/>
  <c r="CK1371" i="1"/>
  <c r="CB1393" i="1"/>
  <c r="BG1188" i="1"/>
  <c r="BJ652" i="1"/>
  <c r="CB652" i="1"/>
  <c r="BV582" i="1"/>
  <c r="CK582" i="1"/>
  <c r="BD1369" i="1"/>
  <c r="BV1369" i="1"/>
  <c r="CK1369" i="1"/>
  <c r="CB1196" i="1"/>
  <c r="BD1390" i="1"/>
  <c r="BY1390" i="1"/>
  <c r="BJ510" i="1"/>
  <c r="BY510" i="1"/>
  <c r="BD1367" i="1"/>
  <c r="BY1367" i="1"/>
  <c r="BJ1349" i="1"/>
  <c r="CB1349" i="1"/>
  <c r="BG663" i="1"/>
  <c r="CU663" i="1"/>
  <c r="BS565" i="1"/>
  <c r="CE633" i="1"/>
  <c r="CK548" i="1"/>
  <c r="BS621" i="1"/>
  <c r="CB621" i="1"/>
  <c r="BD676" i="1"/>
  <c r="CE1300" i="1"/>
  <c r="CE1101" i="1"/>
  <c r="BJ680" i="1"/>
  <c r="CK639" i="1"/>
  <c r="BV1368" i="1"/>
  <c r="BV1371" i="1"/>
  <c r="CB582" i="1"/>
  <c r="CB651" i="1"/>
  <c r="BG553" i="1"/>
  <c r="BV565" i="1"/>
  <c r="CB548" i="1"/>
  <c r="CE621" i="1"/>
  <c r="CK676" i="1"/>
  <c r="BV732" i="1"/>
  <c r="BJ1361" i="1"/>
  <c r="CB1361" i="1"/>
  <c r="BD1338" i="1"/>
  <c r="BY1338" i="1"/>
  <c r="BS1379" i="1"/>
  <c r="CE1379" i="1"/>
  <c r="CK1357" i="1"/>
  <c r="CE651" i="1"/>
  <c r="CU1369" i="1"/>
  <c r="BG1390" i="1"/>
  <c r="BS510" i="1"/>
  <c r="BS553" i="1"/>
  <c r="BJ1367" i="1"/>
  <c r="BS1349" i="1"/>
  <c r="BY663" i="1"/>
  <c r="CB565" i="1"/>
  <c r="CK633" i="1"/>
  <c r="CU548" i="1"/>
  <c r="CK732" i="1"/>
  <c r="BD1379" i="1"/>
  <c r="BG599" i="1"/>
  <c r="CK666" i="1"/>
  <c r="CB533" i="1"/>
  <c r="BD1325" i="1"/>
  <c r="BG1286" i="1"/>
  <c r="CK1321" i="1"/>
  <c r="CB1316" i="1"/>
  <c r="BD1281" i="1"/>
  <c r="BG1326" i="1"/>
  <c r="BG1358" i="1"/>
  <c r="BD1413" i="1"/>
  <c r="BG699" i="1"/>
  <c r="CU699" i="1"/>
  <c r="BJ1314" i="1"/>
  <c r="CE1424" i="1"/>
  <c r="BG710" i="1"/>
  <c r="BY710" i="1"/>
  <c r="CK710" i="1"/>
  <c r="BG618" i="1"/>
  <c r="BS1410" i="1"/>
  <c r="BJ1403" i="1"/>
  <c r="BV644" i="1"/>
  <c r="CK628" i="1"/>
  <c r="CE1393" i="1"/>
  <c r="CU1188" i="1"/>
  <c r="BD1196" i="1"/>
  <c r="BS1412" i="1"/>
  <c r="CK565" i="1"/>
  <c r="BD621" i="1"/>
  <c r="CU676" i="1"/>
  <c r="BS1361" i="1"/>
  <c r="CE1361" i="1"/>
  <c r="BG1338" i="1"/>
  <c r="BV1379" i="1"/>
  <c r="CB599" i="1"/>
  <c r="BD666" i="1"/>
  <c r="BS533" i="1"/>
  <c r="BV1325" i="1"/>
  <c r="CB1286" i="1"/>
  <c r="BD1321" i="1"/>
  <c r="BS1316" i="1"/>
  <c r="BV1281" i="1"/>
  <c r="CB1326" i="1"/>
  <c r="BD1344" i="1"/>
  <c r="CK1344" i="1"/>
  <c r="BJ1358" i="1"/>
  <c r="CB1358" i="1"/>
  <c r="BV1413" i="1"/>
  <c r="BJ699" i="1"/>
  <c r="CB699" i="1"/>
  <c r="BS653" i="1"/>
  <c r="CK653" i="1"/>
  <c r="CE1314" i="1"/>
  <c r="BS1424" i="1"/>
  <c r="CK1424" i="1"/>
  <c r="CB658" i="1"/>
  <c r="BD677" i="1"/>
  <c r="BJ1397" i="1"/>
  <c r="CE682" i="1"/>
  <c r="BV1410" i="1"/>
  <c r="CB728" i="1"/>
  <c r="BS1403" i="1"/>
  <c r="BG588" i="1"/>
  <c r="CK1393" i="1"/>
  <c r="BD582" i="1"/>
  <c r="BG1369" i="1"/>
  <c r="BJ1196" i="1"/>
  <c r="BV553" i="1"/>
  <c r="CB1367" i="1"/>
  <c r="BG676" i="1"/>
  <c r="BY732" i="1"/>
  <c r="CU732" i="1"/>
  <c r="BJ1338" i="1"/>
  <c r="CB1338" i="1"/>
  <c r="BG1379" i="1"/>
  <c r="CK1379" i="1"/>
  <c r="BJ599" i="1"/>
  <c r="BV666" i="1"/>
  <c r="CU666" i="1"/>
  <c r="CE533" i="1"/>
  <c r="BG1325" i="1"/>
  <c r="CK1325" i="1"/>
  <c r="BJ1286" i="1"/>
  <c r="BV1321" i="1"/>
  <c r="CU1321" i="1"/>
  <c r="CE1316" i="1"/>
  <c r="BG1281" i="1"/>
  <c r="CK1281" i="1"/>
  <c r="BJ1326" i="1"/>
  <c r="BV1344" i="1"/>
  <c r="BS1358" i="1"/>
  <c r="BG1413" i="1"/>
  <c r="CK1413" i="1"/>
  <c r="BS699" i="1"/>
  <c r="BD653" i="1"/>
  <c r="BS1314" i="1"/>
  <c r="CK1314" i="1"/>
  <c r="BJ710" i="1"/>
  <c r="CU710" i="1"/>
  <c r="BJ658" i="1"/>
  <c r="CB677" i="1"/>
  <c r="BS1397" i="1"/>
  <c r="CE539" i="1"/>
  <c r="CE644" i="1"/>
  <c r="BG1417" i="1"/>
  <c r="BJ588" i="1"/>
  <c r="BJ1188" i="1"/>
  <c r="BG582" i="1"/>
  <c r="BG651" i="1"/>
  <c r="BS1196" i="1"/>
  <c r="BV1412" i="1"/>
  <c r="CB510" i="1"/>
  <c r="CE1349" i="1"/>
  <c r="CU565" i="1"/>
  <c r="BG548" i="1"/>
  <c r="BJ676" i="1"/>
  <c r="BD732" i="1"/>
  <c r="CK1361" i="1"/>
  <c r="BS1338" i="1"/>
  <c r="BY1379" i="1"/>
  <c r="CE599" i="1"/>
  <c r="BG666" i="1"/>
  <c r="BV533" i="1"/>
  <c r="CK533" i="1"/>
  <c r="BY1325" i="1"/>
  <c r="CE1286" i="1"/>
  <c r="BG1321" i="1"/>
  <c r="BV1316" i="1"/>
  <c r="CK1316" i="1"/>
  <c r="BY1281" i="1"/>
  <c r="CE1326" i="1"/>
  <c r="BG1344" i="1"/>
  <c r="CE1358" i="1"/>
  <c r="BY1413" i="1"/>
  <c r="BV653" i="1"/>
  <c r="CU653" i="1"/>
  <c r="BV1314" i="1"/>
  <c r="BV1424" i="1"/>
  <c r="CU1424" i="1"/>
  <c r="CB710" i="1"/>
  <c r="CE658" i="1"/>
  <c r="BG677" i="1"/>
  <c r="CE677" i="1"/>
  <c r="CE1397" i="1"/>
  <c r="CE1268" i="1"/>
  <c r="BY1378" i="1"/>
  <c r="BS1339" i="1"/>
  <c r="BJ1417" i="1"/>
  <c r="CB1304" i="1"/>
  <c r="CK588" i="1"/>
  <c r="BV1196" i="1"/>
  <c r="CB1390" i="1"/>
  <c r="CE1412" i="1"/>
  <c r="CK510" i="1"/>
  <c r="CE553" i="1"/>
  <c r="CU1367" i="1"/>
  <c r="CK1349" i="1"/>
  <c r="BD565" i="1"/>
  <c r="BJ633" i="1"/>
  <c r="BJ548" i="1"/>
  <c r="BV621" i="1"/>
  <c r="BV676" i="1"/>
  <c r="BJ732" i="1"/>
  <c r="CB732" i="1"/>
  <c r="BD1361" i="1"/>
  <c r="BV1361" i="1"/>
  <c r="CE1338" i="1"/>
  <c r="CU1379" i="1"/>
  <c r="BS599" i="1"/>
  <c r="BY666" i="1"/>
  <c r="BD533" i="1"/>
  <c r="CU1325" i="1"/>
  <c r="BS1286" i="1"/>
  <c r="BY1321" i="1"/>
  <c r="BD1316" i="1"/>
  <c r="CU1281" i="1"/>
  <c r="BS1326" i="1"/>
  <c r="BY1344" i="1"/>
  <c r="CU1344" i="1"/>
  <c r="BV1358" i="1"/>
  <c r="CK1358" i="1"/>
  <c r="CU1413" i="1"/>
  <c r="BV699" i="1"/>
  <c r="CE699" i="1"/>
  <c r="BG653" i="1"/>
  <c r="CU1314" i="1"/>
  <c r="BS710" i="1"/>
  <c r="BD658" i="1"/>
  <c r="BS658" i="1"/>
  <c r="BJ677" i="1"/>
  <c r="CK677" i="1"/>
  <c r="CU520" i="1"/>
  <c r="CU1417" i="1"/>
  <c r="BD553" i="1"/>
  <c r="BG565" i="1"/>
  <c r="BY676" i="1"/>
  <c r="BJ1379" i="1"/>
  <c r="CB666" i="1"/>
  <c r="CK1286" i="1"/>
  <c r="CU1326" i="1"/>
  <c r="BD1358" i="1"/>
  <c r="BJ1413" i="1"/>
  <c r="BY1314" i="1"/>
  <c r="CB1424" i="1"/>
  <c r="CE710" i="1"/>
  <c r="BY658" i="1"/>
  <c r="BY677" i="1"/>
  <c r="BY1397" i="1"/>
  <c r="BD1285" i="1"/>
  <c r="BV1285" i="1"/>
  <c r="CE1285" i="1"/>
  <c r="BV594" i="1"/>
  <c r="BV672" i="1"/>
  <c r="CU672" i="1"/>
  <c r="BV1385" i="1"/>
  <c r="CB600" i="1"/>
  <c r="CK1345" i="1"/>
  <c r="BS1376" i="1"/>
  <c r="BY1290" i="1"/>
  <c r="CU1290" i="1"/>
  <c r="BJ1347" i="1"/>
  <c r="CB1347" i="1"/>
  <c r="BS613" i="1"/>
  <c r="CE613" i="1"/>
  <c r="BJ1406" i="1"/>
  <c r="CE1261" i="1"/>
  <c r="CK692" i="1"/>
  <c r="BJ1389" i="1"/>
  <c r="BS642" i="1"/>
  <c r="CK1411" i="1"/>
  <c r="BJ645" i="1"/>
  <c r="BD1402" i="1"/>
  <c r="CU1087" i="1"/>
  <c r="BS1087" i="1"/>
  <c r="BG1411" i="1"/>
  <c r="BG1402" i="1"/>
  <c r="CK1087" i="1"/>
  <c r="CE645" i="1"/>
  <c r="BJ1087" i="1"/>
  <c r="CK1330" i="1"/>
  <c r="BD628" i="1"/>
  <c r="BY1188" i="1"/>
  <c r="CB676" i="1"/>
  <c r="BY1361" i="1"/>
  <c r="BY599" i="1"/>
  <c r="CE666" i="1"/>
  <c r="CU533" i="1"/>
  <c r="CE1325" i="1"/>
  <c r="BD1326" i="1"/>
  <c r="BJ1344" i="1"/>
  <c r="BJ653" i="1"/>
  <c r="BD710" i="1"/>
  <c r="CK658" i="1"/>
  <c r="CU677" i="1"/>
  <c r="BG594" i="1"/>
  <c r="CU594" i="1"/>
  <c r="BD1385" i="1"/>
  <c r="CK1385" i="1"/>
  <c r="BJ600" i="1"/>
  <c r="BD1345" i="1"/>
  <c r="BV1345" i="1"/>
  <c r="CE1376" i="1"/>
  <c r="BG1290" i="1"/>
  <c r="BD613" i="1"/>
  <c r="CB1406" i="1"/>
  <c r="BD1261" i="1"/>
  <c r="BV1261" i="1"/>
  <c r="BG692" i="1"/>
  <c r="BY692" i="1"/>
  <c r="CE1389" i="1"/>
  <c r="BG688" i="1"/>
  <c r="BY688" i="1"/>
  <c r="CE642" i="1"/>
  <c r="BY1411" i="1"/>
  <c r="BY1402" i="1"/>
  <c r="CE1087" i="1"/>
  <c r="BY640" i="1"/>
  <c r="CE1304" i="1"/>
  <c r="BS652" i="1"/>
  <c r="CK553" i="1"/>
  <c r="BS633" i="1"/>
  <c r="BS732" i="1"/>
  <c r="CU1361" i="1"/>
  <c r="CB1379" i="1"/>
  <c r="CK599" i="1"/>
  <c r="CU1286" i="1"/>
  <c r="BG1316" i="1"/>
  <c r="BJ1281" i="1"/>
  <c r="BS1413" i="1"/>
  <c r="BY699" i="1"/>
  <c r="BY653" i="1"/>
  <c r="CB1314" i="1"/>
  <c r="BD1397" i="1"/>
  <c r="BY1285" i="1"/>
  <c r="CK1285" i="1"/>
  <c r="BY594" i="1"/>
  <c r="BY672" i="1"/>
  <c r="BG1385" i="1"/>
  <c r="BY1385" i="1"/>
  <c r="CU1385" i="1"/>
  <c r="CE600" i="1"/>
  <c r="BY1345" i="1"/>
  <c r="CU1345" i="1"/>
  <c r="CK1376" i="1"/>
  <c r="BS1347" i="1"/>
  <c r="CE1347" i="1"/>
  <c r="BV613" i="1"/>
  <c r="CK613" i="1"/>
  <c r="BS1406" i="1"/>
  <c r="CK1261" i="1"/>
  <c r="CU692" i="1"/>
  <c r="BS1389" i="1"/>
  <c r="BJ688" i="1"/>
  <c r="BD642" i="1"/>
  <c r="BV642" i="1"/>
  <c r="CU1411" i="1"/>
  <c r="BS645" i="1"/>
  <c r="BJ1402" i="1"/>
  <c r="BY475" i="1"/>
  <c r="BS1368" i="1"/>
  <c r="BV652" i="1"/>
  <c r="BG1367" i="1"/>
  <c r="BD1286" i="1"/>
  <c r="BJ1321" i="1"/>
  <c r="BJ1316" i="1"/>
  <c r="BV1326" i="1"/>
  <c r="BS1344" i="1"/>
  <c r="BY1358" i="1"/>
  <c r="CB1413" i="1"/>
  <c r="CB653" i="1"/>
  <c r="BD1424" i="1"/>
  <c r="CU658" i="1"/>
  <c r="BG1397" i="1"/>
  <c r="CB1397" i="1"/>
  <c r="BG1285" i="1"/>
  <c r="CB594" i="1"/>
  <c r="BD672" i="1"/>
  <c r="BS600" i="1"/>
  <c r="BG1345" i="1"/>
  <c r="CB1345" i="1"/>
  <c r="BV1376" i="1"/>
  <c r="BJ1290" i="1"/>
  <c r="CB1290" i="1"/>
  <c r="BD1347" i="1"/>
  <c r="BV1347" i="1"/>
  <c r="CE1406" i="1"/>
  <c r="BG1261" i="1"/>
  <c r="BY1261" i="1"/>
  <c r="CB692" i="1"/>
  <c r="CK1389" i="1"/>
  <c r="CB688" i="1"/>
  <c r="CK642" i="1"/>
  <c r="CB1411" i="1"/>
  <c r="CB1402" i="1"/>
  <c r="CB1087" i="1"/>
  <c r="BG1087" i="1"/>
  <c r="BJ1325" i="1"/>
  <c r="BY1316" i="1"/>
  <c r="BS1281" i="1"/>
  <c r="BV1384" i="1"/>
  <c r="BG1415" i="1"/>
  <c r="CU588" i="1"/>
  <c r="BV548" i="1"/>
  <c r="BV1338" i="1"/>
  <c r="CE1415" i="1"/>
  <c r="BD1371" i="1"/>
  <c r="BY582" i="1"/>
  <c r="CU1390" i="1"/>
  <c r="CE732" i="1"/>
  <c r="BD599" i="1"/>
  <c r="BJ666" i="1"/>
  <c r="BJ533" i="1"/>
  <c r="BV1286" i="1"/>
  <c r="BS1321" i="1"/>
  <c r="CB1281" i="1"/>
  <c r="BY1326" i="1"/>
  <c r="CU1358" i="1"/>
  <c r="CE1413" i="1"/>
  <c r="CK699" i="1"/>
  <c r="BD1314" i="1"/>
  <c r="BJ1424" i="1"/>
  <c r="BV710" i="1"/>
  <c r="BS677" i="1"/>
  <c r="BJ1285" i="1"/>
  <c r="CB1285" i="1"/>
  <c r="CE594" i="1"/>
  <c r="BG672" i="1"/>
  <c r="CE672" i="1"/>
  <c r="CB1385" i="1"/>
  <c r="CK600" i="1"/>
  <c r="BJ1345" i="1"/>
  <c r="BG1376" i="1"/>
  <c r="BY1376" i="1"/>
  <c r="CU1376" i="1"/>
  <c r="CE1290" i="1"/>
  <c r="BG1347" i="1"/>
  <c r="CK1347" i="1"/>
  <c r="CB613" i="1"/>
  <c r="BV1406" i="1"/>
  <c r="BJ1261" i="1"/>
  <c r="CE692" i="1"/>
  <c r="CU1389" i="1"/>
  <c r="CK688" i="1"/>
  <c r="CE1411" i="1"/>
  <c r="CK1402" i="1"/>
  <c r="CK1370" i="1"/>
  <c r="BJ1393" i="1"/>
  <c r="BJ663" i="1"/>
  <c r="BJ1322" i="1"/>
  <c r="BG1361" i="1"/>
  <c r="BS666" i="1"/>
  <c r="BY1286" i="1"/>
  <c r="CK1326" i="1"/>
  <c r="BG1314" i="1"/>
  <c r="BV658" i="1"/>
  <c r="CK1397" i="1"/>
  <c r="BJ1385" i="1"/>
  <c r="BY1347" i="1"/>
  <c r="BY613" i="1"/>
  <c r="BY1406" i="1"/>
  <c r="CB1261" i="1"/>
  <c r="CB1389" i="1"/>
  <c r="CU642" i="1"/>
  <c r="CU645" i="1"/>
  <c r="BY1087" i="1"/>
  <c r="BD645" i="1"/>
  <c r="CU1261" i="1"/>
  <c r="BD1411" i="1"/>
  <c r="BD688" i="1"/>
  <c r="BD1087" i="1"/>
  <c r="BG1389" i="1"/>
  <c r="BV1402" i="1"/>
  <c r="CE1281" i="1"/>
  <c r="BD600" i="1"/>
  <c r="BS1261" i="1"/>
  <c r="CE688" i="1"/>
  <c r="CU1402" i="1"/>
  <c r="BG533" i="1"/>
  <c r="CB1321" i="1"/>
  <c r="BG1424" i="1"/>
  <c r="CU1397" i="1"/>
  <c r="CU1285" i="1"/>
  <c r="CK594" i="1"/>
  <c r="BS1385" i="1"/>
  <c r="BV600" i="1"/>
  <c r="BS1345" i="1"/>
  <c r="CK1406" i="1"/>
  <c r="CU688" i="1"/>
  <c r="BV1087" i="1"/>
  <c r="BG645" i="1"/>
  <c r="BS1402" i="1"/>
  <c r="BJ642" i="1"/>
  <c r="BD1406" i="1"/>
  <c r="BS1411" i="1"/>
  <c r="CU599" i="1"/>
  <c r="CU600" i="1"/>
  <c r="BV688" i="1"/>
  <c r="BG658" i="1"/>
  <c r="BV1290" i="1"/>
  <c r="CK645" i="1"/>
  <c r="CK1338" i="1"/>
  <c r="BY533" i="1"/>
  <c r="CE1321" i="1"/>
  <c r="CB1344" i="1"/>
  <c r="BD699" i="1"/>
  <c r="BY1424" i="1"/>
  <c r="BD594" i="1"/>
  <c r="BY600" i="1"/>
  <c r="CB1376" i="1"/>
  <c r="CU1406" i="1"/>
  <c r="BG642" i="1"/>
  <c r="BY651" i="1"/>
  <c r="CU1338" i="1"/>
  <c r="CE1344" i="1"/>
  <c r="BV677" i="1"/>
  <c r="BJ672" i="1"/>
  <c r="CE1345" i="1"/>
  <c r="CK1290" i="1"/>
  <c r="CU613" i="1"/>
  <c r="BD1389" i="1"/>
  <c r="BJ1411" i="1"/>
  <c r="BD692" i="1"/>
  <c r="BV645" i="1"/>
  <c r="CE653" i="1"/>
  <c r="CK672" i="1"/>
  <c r="BJ613" i="1"/>
  <c r="BG600" i="1"/>
  <c r="BV692" i="1"/>
  <c r="CU1412" i="1"/>
  <c r="BS1325" i="1"/>
  <c r="CU1316" i="1"/>
  <c r="BJ594" i="1"/>
  <c r="BS672" i="1"/>
  <c r="CU1347" i="1"/>
  <c r="BS688" i="1"/>
  <c r="BV1397" i="1"/>
  <c r="BS1290" i="1"/>
  <c r="BV1389" i="1"/>
  <c r="CB645" i="1"/>
  <c r="CB642" i="1"/>
  <c r="BV599" i="1"/>
  <c r="CB1325" i="1"/>
  <c r="BS1285" i="1"/>
  <c r="BS594" i="1"/>
  <c r="CB672" i="1"/>
  <c r="CE1385" i="1"/>
  <c r="BD1376" i="1"/>
  <c r="BD1290" i="1"/>
  <c r="BG613" i="1"/>
  <c r="BG1406" i="1"/>
  <c r="BJ692" i="1"/>
  <c r="BY642" i="1"/>
  <c r="BV1411" i="1"/>
  <c r="BY645" i="1"/>
  <c r="CE1402" i="1"/>
  <c r="BJ1376" i="1"/>
  <c r="BS692" i="1"/>
  <c r="BY1389" i="1"/>
  <c r="AT1488" i="1"/>
  <c r="BJ668" i="1"/>
  <c r="CB574" i="1"/>
  <c r="BY574" i="1"/>
  <c r="CK625" i="1"/>
  <c r="BV674" i="1"/>
  <c r="CE702" i="1"/>
  <c r="BV702" i="1"/>
  <c r="BS706" i="1"/>
  <c r="BS668" i="1"/>
  <c r="BD574" i="1"/>
  <c r="CU574" i="1"/>
  <c r="CU625" i="1"/>
  <c r="BY674" i="1"/>
  <c r="BD702" i="1"/>
  <c r="CB702" i="1"/>
  <c r="BV706" i="1"/>
  <c r="BV668" i="1"/>
  <c r="CE574" i="1"/>
  <c r="BS625" i="1"/>
  <c r="BG625" i="1"/>
  <c r="CE674" i="1"/>
  <c r="CK702" i="1"/>
  <c r="BD706" i="1"/>
  <c r="BY706" i="1"/>
  <c r="BY668" i="1"/>
  <c r="BG574" i="1"/>
  <c r="BV625" i="1"/>
  <c r="BJ625" i="1"/>
  <c r="BD674" i="1"/>
  <c r="BG702" i="1"/>
  <c r="CE706" i="1"/>
  <c r="CB706" i="1"/>
  <c r="CB668" i="1"/>
  <c r="CK574" i="1"/>
  <c r="BY625" i="1"/>
  <c r="BG674" i="1"/>
  <c r="CB674" i="1"/>
  <c r="CU702" i="1"/>
  <c r="BG706" i="1"/>
  <c r="BD668" i="1"/>
  <c r="BJ574" i="1"/>
  <c r="BD625" i="1"/>
  <c r="CU674" i="1"/>
  <c r="CK674" i="1"/>
  <c r="BJ702" i="1"/>
  <c r="CK706" i="1"/>
  <c r="BG668" i="1"/>
  <c r="CE668" i="1"/>
  <c r="BS574" i="1"/>
  <c r="CB625" i="1"/>
  <c r="BJ674" i="1"/>
  <c r="BS702" i="1"/>
  <c r="BJ706" i="1"/>
  <c r="CU668" i="1"/>
  <c r="CK668" i="1"/>
  <c r="BV574" i="1"/>
  <c r="CE625" i="1"/>
  <c r="BS674" i="1"/>
  <c r="BY702" i="1"/>
  <c r="CU706" i="1"/>
  <c r="BY573" i="1"/>
  <c r="CB940" i="1"/>
  <c r="BY970" i="1"/>
  <c r="BJ970" i="1"/>
  <c r="BS1184" i="1"/>
  <c r="BS413" i="1"/>
  <c r="BV403" i="1"/>
  <c r="BG1346" i="1"/>
  <c r="BS1414" i="1"/>
  <c r="CU474" i="1"/>
  <c r="CB1175" i="1"/>
  <c r="BV1175" i="1"/>
  <c r="CK380" i="1"/>
  <c r="BG957" i="1"/>
  <c r="BJ1140" i="1"/>
  <c r="CU339" i="1"/>
  <c r="CK339" i="1"/>
  <c r="BS667" i="1"/>
  <c r="CE1197" i="1"/>
  <c r="CU1197" i="1"/>
  <c r="CU1380" i="1"/>
  <c r="CK348" i="1"/>
  <c r="CJ348" i="1" s="1"/>
  <c r="CE1311" i="1"/>
  <c r="BD1354" i="1"/>
  <c r="CB1354" i="1"/>
  <c r="CU671" i="1"/>
  <c r="BS1294" i="1"/>
  <c r="BV665" i="1"/>
  <c r="BY1381" i="1"/>
  <c r="BS1381" i="1"/>
  <c r="CU1353" i="1"/>
  <c r="CE611" i="1"/>
  <c r="BG1084" i="1"/>
  <c r="BG232" i="1"/>
  <c r="CE232" i="1"/>
  <c r="BG1116" i="1"/>
  <c r="BY381" i="1"/>
  <c r="CB498" i="1"/>
  <c r="BS464" i="1"/>
  <c r="BJ464" i="1"/>
  <c r="CU328" i="1"/>
  <c r="BD224" i="1"/>
  <c r="BJ1027" i="1"/>
  <c r="BD461" i="1"/>
  <c r="BY461" i="1"/>
  <c r="CK1212" i="1"/>
  <c r="CK1082" i="1"/>
  <c r="BG402" i="1"/>
  <c r="BS1123" i="1"/>
  <c r="BJ1123" i="1"/>
  <c r="BJ317" i="1"/>
  <c r="CK230" i="1"/>
  <c r="BS1163" i="1"/>
  <c r="BV355" i="1"/>
  <c r="CB573" i="1"/>
  <c r="BD940" i="1"/>
  <c r="CB970" i="1"/>
  <c r="BV970" i="1"/>
  <c r="BV1184" i="1"/>
  <c r="BV413" i="1"/>
  <c r="BY403" i="1"/>
  <c r="BJ1346" i="1"/>
  <c r="CK1346" i="1"/>
  <c r="BV1414" i="1"/>
  <c r="BS474" i="1"/>
  <c r="CE1175" i="1"/>
  <c r="BJ380" i="1"/>
  <c r="CU380" i="1"/>
  <c r="BY957" i="1"/>
  <c r="BS1140" i="1"/>
  <c r="BJ339" i="1"/>
  <c r="BV667" i="1"/>
  <c r="BD1197" i="1"/>
  <c r="BD1380" i="1"/>
  <c r="BY1380" i="1"/>
  <c r="BG348" i="1"/>
  <c r="BF348" i="1" s="1"/>
  <c r="BG1311" i="1"/>
  <c r="CK1354" i="1"/>
  <c r="BV671" i="1"/>
  <c r="BJ671" i="1"/>
  <c r="BV1294" i="1"/>
  <c r="CB665" i="1"/>
  <c r="CB1381" i="1"/>
  <c r="BV1381" i="1"/>
  <c r="BJ1353" i="1"/>
  <c r="BD611" i="1"/>
  <c r="CU1084" i="1"/>
  <c r="CU232" i="1"/>
  <c r="CK232" i="1"/>
  <c r="CU1116" i="1"/>
  <c r="CK381" i="1"/>
  <c r="BD498" i="1"/>
  <c r="BV464" i="1"/>
  <c r="BY464" i="1"/>
  <c r="BJ328" i="1"/>
  <c r="CK224" i="1"/>
  <c r="BS1027" i="1"/>
  <c r="CE461" i="1"/>
  <c r="CB461" i="1"/>
  <c r="BJ1212" i="1"/>
  <c r="BJ1082" i="1"/>
  <c r="CU402" i="1"/>
  <c r="BV1123" i="1"/>
  <c r="CB1123" i="1"/>
  <c r="BY317" i="1"/>
  <c r="CU230" i="1"/>
  <c r="BV1163" i="1"/>
  <c r="BY355" i="1"/>
  <c r="BS355" i="1"/>
  <c r="BV1070" i="1"/>
  <c r="CE406" i="1"/>
  <c r="CU1132" i="1"/>
  <c r="BD316" i="1"/>
  <c r="BS316" i="1"/>
  <c r="BY399" i="1"/>
  <c r="CU973" i="1"/>
  <c r="BG1118" i="1"/>
  <c r="CB655" i="1"/>
  <c r="BG655" i="1"/>
  <c r="BG923" i="1"/>
  <c r="BG468" i="1"/>
  <c r="CU969" i="1"/>
  <c r="CB421" i="1"/>
  <c r="BV421" i="1"/>
  <c r="BG1001" i="1"/>
  <c r="CU1046" i="1"/>
  <c r="BG1350" i="1"/>
  <c r="BS439" i="1"/>
  <c r="CB1060" i="1"/>
  <c r="BD419" i="1"/>
  <c r="BY419" i="1"/>
  <c r="BY404" i="1"/>
  <c r="CB394" i="1"/>
  <c r="BY1291" i="1"/>
  <c r="CK573" i="1"/>
  <c r="CK940" i="1"/>
  <c r="CE970" i="1"/>
  <c r="CE1184" i="1"/>
  <c r="BY1184" i="1"/>
  <c r="BG413" i="1"/>
  <c r="CB403" i="1"/>
  <c r="BS1346" i="1"/>
  <c r="CU1346" i="1"/>
  <c r="BJ1414" i="1"/>
  <c r="BV474" i="1"/>
  <c r="BD1175" i="1"/>
  <c r="BV380" i="1"/>
  <c r="BD380" i="1"/>
  <c r="CB957" i="1"/>
  <c r="BV1140" i="1"/>
  <c r="BS339" i="1"/>
  <c r="CB667" i="1"/>
  <c r="CK1197" i="1"/>
  <c r="BG1380" i="1"/>
  <c r="CB1380" i="1"/>
  <c r="CU348" i="1"/>
  <c r="CS348" i="1" s="1"/>
  <c r="CK1311" i="1"/>
  <c r="BG1354" i="1"/>
  <c r="BY671" i="1"/>
  <c r="BS671" i="1"/>
  <c r="BY1294" i="1"/>
  <c r="CE665" i="1"/>
  <c r="CE1381" i="1"/>
  <c r="BV1353" i="1"/>
  <c r="BS1353" i="1"/>
  <c r="BG611" i="1"/>
  <c r="BJ1084" i="1"/>
  <c r="BJ232" i="1"/>
  <c r="BV1116" i="1"/>
  <c r="BS1116" i="1"/>
  <c r="CU381" i="1"/>
  <c r="CK498" i="1"/>
  <c r="CB464" i="1"/>
  <c r="BY328" i="1"/>
  <c r="BS328" i="1"/>
  <c r="BG224" i="1"/>
  <c r="BV1027" i="1"/>
  <c r="BG461" i="1"/>
  <c r="BS1212" i="1"/>
  <c r="CU1212" i="1"/>
  <c r="CU1082" i="1"/>
  <c r="BS402" i="1"/>
  <c r="BY1123" i="1"/>
  <c r="BS317" i="1"/>
  <c r="CK317" i="1"/>
  <c r="BV230" i="1"/>
  <c r="BY1163" i="1"/>
  <c r="CB355" i="1"/>
  <c r="CB1070" i="1"/>
  <c r="BS1070" i="1"/>
  <c r="CU406" i="1"/>
  <c r="BJ1132" i="1"/>
  <c r="CK316" i="1"/>
  <c r="BD399" i="1"/>
  <c r="CB399" i="1"/>
  <c r="BS973" i="1"/>
  <c r="CU1118" i="1"/>
  <c r="CE655" i="1"/>
  <c r="CU655" i="1"/>
  <c r="BV923" i="1"/>
  <c r="CU468" i="1"/>
  <c r="BJ969" i="1"/>
  <c r="CE421" i="1"/>
  <c r="BY421" i="1"/>
  <c r="BY1001" i="1"/>
  <c r="BJ1046" i="1"/>
  <c r="CB1350" i="1"/>
  <c r="BV1350" i="1"/>
  <c r="BV439" i="1"/>
  <c r="CE1060" i="1"/>
  <c r="CE419" i="1"/>
  <c r="BD404" i="1"/>
  <c r="CB404" i="1"/>
  <c r="BD394" i="1"/>
  <c r="CB1291" i="1"/>
  <c r="BD1445" i="1"/>
  <c r="BD573" i="1"/>
  <c r="BG940" i="1"/>
  <c r="BD970" i="1"/>
  <c r="BD1184" i="1"/>
  <c r="CB1184" i="1"/>
  <c r="BY413" i="1"/>
  <c r="CE403" i="1"/>
  <c r="BV1346" i="1"/>
  <c r="CE1414" i="1"/>
  <c r="BY1414" i="1"/>
  <c r="BY474" i="1"/>
  <c r="CK1175" i="1"/>
  <c r="BY380" i="1"/>
  <c r="BD957" i="1"/>
  <c r="CE957" i="1"/>
  <c r="CB1140" i="1"/>
  <c r="BV339" i="1"/>
  <c r="CE667" i="1"/>
  <c r="BJ1197" i="1"/>
  <c r="BJ1380" i="1"/>
  <c r="BV348" i="1"/>
  <c r="BU348" i="1" s="1"/>
  <c r="BJ348" i="1"/>
  <c r="BI348" i="1" s="1"/>
  <c r="BJ1311" i="1"/>
  <c r="CU1354" i="1"/>
  <c r="CB671" i="1"/>
  <c r="BG573" i="1"/>
  <c r="BV573" i="1"/>
  <c r="CU940" i="1"/>
  <c r="CK970" i="1"/>
  <c r="CK1184" i="1"/>
  <c r="CE413" i="1"/>
  <c r="CB413" i="1"/>
  <c r="BD403" i="1"/>
  <c r="BY1346" i="1"/>
  <c r="BD1414" i="1"/>
  <c r="CB1414" i="1"/>
  <c r="BJ474" i="1"/>
  <c r="BG1175" i="1"/>
  <c r="CB380" i="1"/>
  <c r="CK957" i="1"/>
  <c r="CU957" i="1"/>
  <c r="CU1140" i="1"/>
  <c r="CE339" i="1"/>
  <c r="BY667" i="1"/>
  <c r="CK667" i="1"/>
  <c r="BS1197" i="1"/>
  <c r="BS1380" i="1"/>
  <c r="BY348" i="1"/>
  <c r="BX348" i="1" s="1"/>
  <c r="BS348" i="1"/>
  <c r="BR348" i="1" s="1"/>
  <c r="BS1311" i="1"/>
  <c r="BS1354" i="1"/>
  <c r="CE671" i="1"/>
  <c r="BG1294" i="1"/>
  <c r="CB1294" i="1"/>
  <c r="BG665" i="1"/>
  <c r="CU1381" i="1"/>
  <c r="CB1353" i="1"/>
  <c r="BJ611" i="1"/>
  <c r="CK611" i="1"/>
  <c r="BY1084" i="1"/>
  <c r="BV232" i="1"/>
  <c r="CB1116" i="1"/>
  <c r="CB381" i="1"/>
  <c r="BS381" i="1"/>
  <c r="CU498" i="1"/>
  <c r="BD464" i="1"/>
  <c r="CE328" i="1"/>
  <c r="BV224" i="1"/>
  <c r="BJ224" i="1"/>
  <c r="CE1027" i="1"/>
  <c r="CU461" i="1"/>
  <c r="BY1212" i="1"/>
  <c r="CB1082" i="1"/>
  <c r="BS1082" i="1"/>
  <c r="BY402" i="1"/>
  <c r="BD1123" i="1"/>
  <c r="CB317" i="1"/>
  <c r="BD230" i="1"/>
  <c r="BJ230" i="1"/>
  <c r="BD1163" i="1"/>
  <c r="BD355" i="1"/>
  <c r="BD1070" i="1"/>
  <c r="BJ406" i="1"/>
  <c r="BG406" i="1"/>
  <c r="BV1132" i="1"/>
  <c r="CU316" i="1"/>
  <c r="BG399" i="1"/>
  <c r="CE973" i="1"/>
  <c r="BY973" i="1"/>
  <c r="BY1118" i="1"/>
  <c r="CK655" i="1"/>
  <c r="BJ923" i="1"/>
  <c r="CK923" i="1"/>
  <c r="BS468" i="1"/>
  <c r="BD969" i="1"/>
  <c r="CK421" i="1"/>
  <c r="BD1001" i="1"/>
  <c r="CU1001" i="1"/>
  <c r="BV1046" i="1"/>
  <c r="BD1350" i="1"/>
  <c r="BD439" i="1"/>
  <c r="CB439" i="1"/>
  <c r="CK1060" i="1"/>
  <c r="BG419" i="1"/>
  <c r="BG404" i="1"/>
  <c r="CU394" i="1"/>
  <c r="CE394" i="1"/>
  <c r="CU1291" i="1"/>
  <c r="BG1445" i="1"/>
  <c r="CU573" i="1"/>
  <c r="CE573" i="1"/>
  <c r="BS940" i="1"/>
  <c r="BG970" i="1"/>
  <c r="BG1184" i="1"/>
  <c r="BD413" i="1"/>
  <c r="CU413" i="1"/>
  <c r="BG403" i="1"/>
  <c r="CB1346" i="1"/>
  <c r="CK1414" i="1"/>
  <c r="BD474" i="1"/>
  <c r="CB474" i="1"/>
  <c r="CU1175" i="1"/>
  <c r="BG380" i="1"/>
  <c r="BJ957" i="1"/>
  <c r="CE1140" i="1"/>
  <c r="BG1140" i="1"/>
  <c r="BD339" i="1"/>
  <c r="BD667" i="1"/>
  <c r="CU667" i="1"/>
  <c r="BG1197" i="1"/>
  <c r="BV1380" i="1"/>
  <c r="CB348" i="1"/>
  <c r="CA348" i="1" s="1"/>
  <c r="BV1311" i="1"/>
  <c r="CU1311" i="1"/>
  <c r="BV1354" i="1"/>
  <c r="BD671" i="1"/>
  <c r="CK1294" i="1"/>
  <c r="CE1294" i="1"/>
  <c r="BY665" i="1"/>
  <c r="BJ1381" i="1"/>
  <c r="BD1353" i="1"/>
  <c r="BS611" i="1"/>
  <c r="CU611" i="1"/>
  <c r="BS1084" i="1"/>
  <c r="BY232" i="1"/>
  <c r="CE1116" i="1"/>
  <c r="CE381" i="1"/>
  <c r="BV381" i="1"/>
  <c r="BJ498" i="1"/>
  <c r="CK464" i="1"/>
  <c r="BD328" i="1"/>
  <c r="BY224" i="1"/>
  <c r="BS224" i="1"/>
  <c r="BD1027" i="1"/>
  <c r="BJ461" i="1"/>
  <c r="CB1212" i="1"/>
  <c r="BD1082" i="1"/>
  <c r="BY1082" i="1"/>
  <c r="BJ402" i="1"/>
  <c r="CK1123" i="1"/>
  <c r="BD317" i="1"/>
  <c r="BG230" i="1"/>
  <c r="BY230" i="1"/>
  <c r="BJ1163" i="1"/>
  <c r="CK355" i="1"/>
  <c r="CK1070" i="1"/>
  <c r="BS406" i="1"/>
  <c r="CK406" i="1"/>
  <c r="BY1132" i="1"/>
  <c r="BJ316" i="1"/>
  <c r="CU399" i="1"/>
  <c r="BD973" i="1"/>
  <c r="CB973" i="1"/>
  <c r="CE1118" i="1"/>
  <c r="BJ655" i="1"/>
  <c r="BS923" i="1"/>
  <c r="CB468" i="1"/>
  <c r="BV468" i="1"/>
  <c r="BV969" i="1"/>
  <c r="BG421" i="1"/>
  <c r="CK1001" i="1"/>
  <c r="CE1046" i="1"/>
  <c r="BY1046" i="1"/>
  <c r="CK1350" i="1"/>
  <c r="CK439" i="1"/>
  <c r="CE439" i="1"/>
  <c r="BS970" i="1"/>
  <c r="CU403" i="1"/>
  <c r="CE474" i="1"/>
  <c r="BD1140" i="1"/>
  <c r="BJ667" i="1"/>
  <c r="BD348" i="1"/>
  <c r="BC348" i="1" s="1"/>
  <c r="BG671" i="1"/>
  <c r="CK665" i="1"/>
  <c r="CE1353" i="1"/>
  <c r="CE1084" i="1"/>
  <c r="BD381" i="1"/>
  <c r="CE464" i="1"/>
  <c r="CE224" i="1"/>
  <c r="BS461" i="1"/>
  <c r="BV1082" i="1"/>
  <c r="BG1123" i="1"/>
  <c r="BG1163" i="1"/>
  <c r="BG355" i="1"/>
  <c r="CB406" i="1"/>
  <c r="CE316" i="1"/>
  <c r="BV399" i="1"/>
  <c r="CK1118" i="1"/>
  <c r="BD923" i="1"/>
  <c r="BG969" i="1"/>
  <c r="BS421" i="1"/>
  <c r="BG1046" i="1"/>
  <c r="CU1350" i="1"/>
  <c r="BY1060" i="1"/>
  <c r="BJ419" i="1"/>
  <c r="CE404" i="1"/>
  <c r="BS1291" i="1"/>
  <c r="CK1445" i="1"/>
  <c r="CE550" i="1"/>
  <c r="BD1428" i="1"/>
  <c r="CB678" i="1"/>
  <c r="BV678" i="1"/>
  <c r="BD568" i="1"/>
  <c r="BS659" i="1"/>
  <c r="BD1351" i="1"/>
  <c r="BG1351" i="1"/>
  <c r="CU1382" i="1"/>
  <c r="BS662" i="1"/>
  <c r="CK1088" i="1"/>
  <c r="CJ1088" i="1" s="1"/>
  <c r="CU632" i="1"/>
  <c r="CE632" i="1"/>
  <c r="BY617" i="1"/>
  <c r="BG919" i="1"/>
  <c r="BS384" i="1"/>
  <c r="BV1109" i="1"/>
  <c r="BJ1109" i="1"/>
  <c r="BD149" i="1"/>
  <c r="BG1093" i="1"/>
  <c r="CB964" i="1"/>
  <c r="CE1131" i="1"/>
  <c r="BY1131" i="1"/>
  <c r="BG1050" i="1"/>
  <c r="CU928" i="1"/>
  <c r="BS231" i="1"/>
  <c r="CE1213" i="1"/>
  <c r="CB1213" i="1"/>
  <c r="BG356" i="1"/>
  <c r="BJ974" i="1"/>
  <c r="CK1099" i="1"/>
  <c r="CE223" i="1"/>
  <c r="BS223" i="1"/>
  <c r="BG878" i="1"/>
  <c r="BD1138" i="1"/>
  <c r="CU139" i="1"/>
  <c r="BD1133" i="1"/>
  <c r="BY1133" i="1"/>
  <c r="BS1039" i="1"/>
  <c r="CU981" i="1"/>
  <c r="CB396" i="1"/>
  <c r="BV968" i="1"/>
  <c r="BG968" i="1"/>
  <c r="CU1117" i="1"/>
  <c r="BV629" i="1"/>
  <c r="CU629" i="1"/>
  <c r="CU1409" i="1"/>
  <c r="BG1401" i="1"/>
  <c r="CK1283" i="1"/>
  <c r="BD744" i="1"/>
  <c r="CB744" i="1"/>
  <c r="CB1130" i="1"/>
  <c r="BJ573" i="1"/>
  <c r="CU1184" i="1"/>
  <c r="BY1175" i="1"/>
  <c r="CK1140" i="1"/>
  <c r="BY1311" i="1"/>
  <c r="CU665" i="1"/>
  <c r="BY611" i="1"/>
  <c r="BS232" i="1"/>
  <c r="BJ381" i="1"/>
  <c r="CU464" i="1"/>
  <c r="CU224" i="1"/>
  <c r="BV461" i="1"/>
  <c r="BD402" i="1"/>
  <c r="BV317" i="1"/>
  <c r="CU1163" i="1"/>
  <c r="CE1070" i="1"/>
  <c r="BD406" i="1"/>
  <c r="BG316" i="1"/>
  <c r="CE399" i="1"/>
  <c r="BJ1118" i="1"/>
  <c r="BD655" i="1"/>
  <c r="CE923" i="1"/>
  <c r="BS969" i="1"/>
  <c r="CE1001" i="1"/>
  <c r="BS1046" i="1"/>
  <c r="BY1350" i="1"/>
  <c r="BD1060" i="1"/>
  <c r="BV419" i="1"/>
  <c r="BJ394" i="1"/>
  <c r="BV1291" i="1"/>
  <c r="CU1445" i="1"/>
  <c r="BD550" i="1"/>
  <c r="BJ550" i="1"/>
  <c r="BG1428" i="1"/>
  <c r="CE678" i="1"/>
  <c r="BS573" i="1"/>
  <c r="BJ1184" i="1"/>
  <c r="CE1346" i="1"/>
  <c r="BJ1175" i="1"/>
  <c r="BY1140" i="1"/>
  <c r="CB1197" i="1"/>
  <c r="BD1311" i="1"/>
  <c r="BJ1294" i="1"/>
  <c r="BG1381" i="1"/>
  <c r="CB611" i="1"/>
  <c r="CB232" i="1"/>
  <c r="BG381" i="1"/>
  <c r="BG464" i="1"/>
  <c r="BG1027" i="1"/>
  <c r="BV1212" i="1"/>
  <c r="CK402" i="1"/>
  <c r="CE317" i="1"/>
  <c r="CK1163" i="1"/>
  <c r="BG1070" i="1"/>
  <c r="BD1132" i="1"/>
  <c r="BY316" i="1"/>
  <c r="BG973" i="1"/>
  <c r="BV1118" i="1"/>
  <c r="BS655" i="1"/>
  <c r="CE468" i="1"/>
  <c r="BY969" i="1"/>
  <c r="BJ1001" i="1"/>
  <c r="CB1046" i="1"/>
  <c r="BG439" i="1"/>
  <c r="CU1060" i="1"/>
  <c r="BS419" i="1"/>
  <c r="BS394" i="1"/>
  <c r="BG1291" i="1"/>
  <c r="BS1445" i="1"/>
  <c r="CK550" i="1"/>
  <c r="CB550" i="1"/>
  <c r="BJ1428" i="1"/>
  <c r="BD678" i="1"/>
  <c r="CB568" i="1"/>
  <c r="BY568" i="1"/>
  <c r="CB659" i="1"/>
  <c r="BJ1351" i="1"/>
  <c r="BS1382" i="1"/>
  <c r="BY1382" i="1"/>
  <c r="BV662" i="1"/>
  <c r="CU1088" i="1"/>
  <c r="CS1088" i="1" s="1"/>
  <c r="BS632" i="1"/>
  <c r="CU617" i="1"/>
  <c r="BG617" i="1"/>
  <c r="BS919" i="1"/>
  <c r="BY384" i="1"/>
  <c r="CB1109" i="1"/>
  <c r="CB149" i="1"/>
  <c r="BS149" i="1"/>
  <c r="BJ1093" i="1"/>
  <c r="BD964" i="1"/>
  <c r="BG1131" i="1"/>
  <c r="BV1050" i="1"/>
  <c r="CU1050" i="1"/>
  <c r="BS928" i="1"/>
  <c r="BY231" i="1"/>
  <c r="CK1213" i="1"/>
  <c r="BY356" i="1"/>
  <c r="BV356" i="1"/>
  <c r="BY974" i="1"/>
  <c r="BV1099" i="1"/>
  <c r="CK223" i="1"/>
  <c r="CU878" i="1"/>
  <c r="CK878" i="1"/>
  <c r="BG1138" i="1"/>
  <c r="BS139" i="1"/>
  <c r="BG1133" i="1"/>
  <c r="CB1039" i="1"/>
  <c r="CK1039" i="1"/>
  <c r="BY981" i="1"/>
  <c r="BG396" i="1"/>
  <c r="CB968" i="1"/>
  <c r="BV1117" i="1"/>
  <c r="BJ1117" i="1"/>
  <c r="BD629" i="1"/>
  <c r="CE1409" i="1"/>
  <c r="BV1409" i="1"/>
  <c r="BJ1401" i="1"/>
  <c r="CU1283" i="1"/>
  <c r="BG744" i="1"/>
  <c r="CK1130" i="1"/>
  <c r="BS1130" i="1"/>
  <c r="CU1327" i="1"/>
  <c r="CK716" i="1"/>
  <c r="CE1293" i="1"/>
  <c r="BY1293" i="1"/>
  <c r="CU887" i="1"/>
  <c r="BJ462" i="1"/>
  <c r="BV940" i="1"/>
  <c r="CK413" i="1"/>
  <c r="BD1346" i="1"/>
  <c r="BS1175" i="1"/>
  <c r="BG339" i="1"/>
  <c r="BV1197" i="1"/>
  <c r="CB1311" i="1"/>
  <c r="CU1294" i="1"/>
  <c r="CK1381" i="1"/>
  <c r="BV611" i="1"/>
  <c r="BD232" i="1"/>
  <c r="BV498" i="1"/>
  <c r="CB328" i="1"/>
  <c r="CU1027" i="1"/>
  <c r="CE1212" i="1"/>
  <c r="BV402" i="1"/>
  <c r="BG317" i="1"/>
  <c r="CB1163" i="1"/>
  <c r="CU1070" i="1"/>
  <c r="CK1132" i="1"/>
  <c r="BV316" i="1"/>
  <c r="CK973" i="1"/>
  <c r="BS1118" i="1"/>
  <c r="BV655" i="1"/>
  <c r="BD468" i="1"/>
  <c r="CB969" i="1"/>
  <c r="BS1001" i="1"/>
  <c r="CU439" i="1"/>
  <c r="BG1060" i="1"/>
  <c r="CK404" i="1"/>
  <c r="BV394" i="1"/>
  <c r="BD1291" i="1"/>
  <c r="BV1445" i="1"/>
  <c r="BG550" i="1"/>
  <c r="BY1428" i="1"/>
  <c r="CK678" i="1"/>
  <c r="CE568" i="1"/>
  <c r="CK568" i="1"/>
  <c r="BV659" i="1"/>
  <c r="CK1351" i="1"/>
  <c r="BV1382" i="1"/>
  <c r="CB662" i="1"/>
  <c r="BY662" i="1"/>
  <c r="BJ1088" i="1"/>
  <c r="BI1088" i="1" s="1"/>
  <c r="BY632" i="1"/>
  <c r="BV617" i="1"/>
  <c r="BV919" i="1"/>
  <c r="BY919" i="1"/>
  <c r="CB384" i="1"/>
  <c r="CE1109" i="1"/>
  <c r="CE149" i="1"/>
  <c r="BY1093" i="1"/>
  <c r="BV1093" i="1"/>
  <c r="BG964" i="1"/>
  <c r="BY940" i="1"/>
  <c r="BJ413" i="1"/>
  <c r="BG1414" i="1"/>
  <c r="BS380" i="1"/>
  <c r="BY339" i="1"/>
  <c r="BY1197" i="1"/>
  <c r="CE1354" i="1"/>
  <c r="BD1294" i="1"/>
  <c r="BD1381" i="1"/>
  <c r="BD1084" i="1"/>
  <c r="BY1116" i="1"/>
  <c r="BY498" i="1"/>
  <c r="CK328" i="1"/>
  <c r="BY1027" i="1"/>
  <c r="BD1212" i="1"/>
  <c r="CB402" i="1"/>
  <c r="CU317" i="1"/>
  <c r="CE1163" i="1"/>
  <c r="BJ1070" i="1"/>
  <c r="BG1132" i="1"/>
  <c r="CB316" i="1"/>
  <c r="BJ973" i="1"/>
  <c r="BY655" i="1"/>
  <c r="CK468" i="1"/>
  <c r="CK969" i="1"/>
  <c r="BV1001" i="1"/>
  <c r="BJ439" i="1"/>
  <c r="BJ1060" i="1"/>
  <c r="CU404" i="1"/>
  <c r="BY394" i="1"/>
  <c r="BJ1291" i="1"/>
  <c r="BY1445" i="1"/>
  <c r="CU550" i="1"/>
  <c r="BS1428" i="1"/>
  <c r="CK1428" i="1"/>
  <c r="BG678" i="1"/>
  <c r="BG568" i="1"/>
  <c r="CE659" i="1"/>
  <c r="CU1351" i="1"/>
  <c r="CB1382" i="1"/>
  <c r="BD662" i="1"/>
  <c r="BJ662" i="1"/>
  <c r="BS1088" i="1"/>
  <c r="BR1088" i="1" s="1"/>
  <c r="CB632" i="1"/>
  <c r="CB617" i="1"/>
  <c r="CB919" i="1"/>
  <c r="CU919" i="1"/>
  <c r="BD384" i="1"/>
  <c r="BD1109" i="1"/>
  <c r="BG149" i="1"/>
  <c r="CB1093" i="1"/>
  <c r="BS1093" i="1"/>
  <c r="BV964" i="1"/>
  <c r="BJ1131" i="1"/>
  <c r="CB1050" i="1"/>
  <c r="CE928" i="1"/>
  <c r="BV928" i="1"/>
  <c r="BD231" i="1"/>
  <c r="CU1213" i="1"/>
  <c r="CU1414" i="1"/>
  <c r="BG667" i="1"/>
  <c r="BV1084" i="1"/>
  <c r="BG328" i="1"/>
  <c r="BG1082" i="1"/>
  <c r="BJ355" i="1"/>
  <c r="CK399" i="1"/>
  <c r="CU421" i="1"/>
  <c r="BY439" i="1"/>
  <c r="BV404" i="1"/>
  <c r="BJ1445" i="1"/>
  <c r="CB1428" i="1"/>
  <c r="BJ659" i="1"/>
  <c r="CE1351" i="1"/>
  <c r="CK662" i="1"/>
  <c r="BG632" i="1"/>
  <c r="BJ617" i="1"/>
  <c r="BJ384" i="1"/>
  <c r="BG1109" i="1"/>
  <c r="CK1093" i="1"/>
  <c r="CB1131" i="1"/>
  <c r="CE1050" i="1"/>
  <c r="BJ928" i="1"/>
  <c r="CK231" i="1"/>
  <c r="CB356" i="1"/>
  <c r="CK974" i="1"/>
  <c r="BG1099" i="1"/>
  <c r="BG223" i="1"/>
  <c r="BY878" i="1"/>
  <c r="CB1138" i="1"/>
  <c r="BD139" i="1"/>
  <c r="BS1133" i="1"/>
  <c r="BD1039" i="1"/>
  <c r="BV981" i="1"/>
  <c r="BJ396" i="1"/>
  <c r="CK968" i="1"/>
  <c r="BJ629" i="1"/>
  <c r="BY1409" i="1"/>
  <c r="BS1401" i="1"/>
  <c r="BY1283" i="1"/>
  <c r="BY744" i="1"/>
  <c r="BG1327" i="1"/>
  <c r="BJ716" i="1"/>
  <c r="BS1293" i="1"/>
  <c r="CB887" i="1"/>
  <c r="BG462" i="1"/>
  <c r="BV673" i="1"/>
  <c r="BJ673" i="1"/>
  <c r="BV1334" i="1"/>
  <c r="CU1256" i="1"/>
  <c r="CB1421" i="1"/>
  <c r="CU1421" i="1"/>
  <c r="BG700" i="1"/>
  <c r="CE693" i="1"/>
  <c r="CU1348" i="1"/>
  <c r="BG1348" i="1"/>
  <c r="BD1275" i="1"/>
  <c r="BV627" i="1"/>
  <c r="CK1240" i="1"/>
  <c r="BY1221" i="1"/>
  <c r="BJ1221" i="1"/>
  <c r="BG1106" i="1"/>
  <c r="CE1155" i="1"/>
  <c r="BS1241" i="1"/>
  <c r="CU1086" i="1"/>
  <c r="CE1086" i="1"/>
  <c r="BY398" i="1"/>
  <c r="BG1220" i="1"/>
  <c r="CU426" i="1"/>
  <c r="BV1063" i="1"/>
  <c r="CU1063" i="1"/>
  <c r="CE994" i="1"/>
  <c r="BV214" i="1"/>
  <c r="CE364" i="1"/>
  <c r="CE345" i="1"/>
  <c r="CB345" i="1"/>
  <c r="BV408" i="1"/>
  <c r="BS351" i="1"/>
  <c r="CU987" i="1"/>
  <c r="CB1125" i="1"/>
  <c r="BV1125" i="1"/>
  <c r="CE940" i="1"/>
  <c r="CK474" i="1"/>
  <c r="BJ665" i="1"/>
  <c r="CB1084" i="1"/>
  <c r="BV328" i="1"/>
  <c r="CE402" i="1"/>
  <c r="CU355" i="1"/>
  <c r="BJ399" i="1"/>
  <c r="CU923" i="1"/>
  <c r="BJ421" i="1"/>
  <c r="BS1060" i="1"/>
  <c r="BG394" i="1"/>
  <c r="CB1445" i="1"/>
  <c r="CE1428" i="1"/>
  <c r="BJ568" i="1"/>
  <c r="BY659" i="1"/>
  <c r="BJ1382" i="1"/>
  <c r="CU662" i="1"/>
  <c r="BJ632" i="1"/>
  <c r="CK617" i="1"/>
  <c r="BV384" i="1"/>
  <c r="BY149" i="1"/>
  <c r="CU1093" i="1"/>
  <c r="BD1131" i="1"/>
  <c r="BD1050" i="1"/>
  <c r="BY928" i="1"/>
  <c r="BD1213" i="1"/>
  <c r="BD356" i="1"/>
  <c r="BG974" i="1"/>
  <c r="BS1099" i="1"/>
  <c r="CU223" i="1"/>
  <c r="CB878" i="1"/>
  <c r="CE1138" i="1"/>
  <c r="BV139" i="1"/>
  <c r="BV1133" i="1"/>
  <c r="BV1039" i="1"/>
  <c r="CB981" i="1"/>
  <c r="BD396" i="1"/>
  <c r="BS1117" i="1"/>
  <c r="CB629" i="1"/>
  <c r="BG1409" i="1"/>
  <c r="CE1401" i="1"/>
  <c r="CB1283" i="1"/>
  <c r="BD1130" i="1"/>
  <c r="BJ1327" i="1"/>
  <c r="BY1327" i="1"/>
  <c r="BS716" i="1"/>
  <c r="CU1293" i="1"/>
  <c r="CE887" i="1"/>
  <c r="CK462" i="1"/>
  <c r="BY673" i="1"/>
  <c r="BJ1334" i="1"/>
  <c r="BJ1256" i="1"/>
  <c r="CE1421" i="1"/>
  <c r="BG1421" i="1"/>
  <c r="BY700" i="1"/>
  <c r="BD693" i="1"/>
  <c r="BS1348" i="1"/>
  <c r="BG1275" i="1"/>
  <c r="CE1275" i="1"/>
  <c r="BY627" i="1"/>
  <c r="BJ1240" i="1"/>
  <c r="CB1221" i="1"/>
  <c r="BD1106" i="1"/>
  <c r="BV1106" i="1"/>
  <c r="CK1155" i="1"/>
  <c r="BV1241" i="1"/>
  <c r="BJ1086" i="1"/>
  <c r="BD398" i="1"/>
  <c r="CB398" i="1"/>
  <c r="CK1220" i="1"/>
  <c r="BJ426" i="1"/>
  <c r="BY1063" i="1"/>
  <c r="BG994" i="1"/>
  <c r="BD994" i="1"/>
  <c r="BY214" i="1"/>
  <c r="BG364" i="1"/>
  <c r="BG345" i="1"/>
  <c r="BS408" i="1"/>
  <c r="CK408" i="1"/>
  <c r="BD351" i="1"/>
  <c r="BS987" i="1"/>
  <c r="CE1125" i="1"/>
  <c r="BG1062" i="1"/>
  <c r="BJ940" i="1"/>
  <c r="BG474" i="1"/>
  <c r="CE1380" i="1"/>
  <c r="BS665" i="1"/>
  <c r="BD1116" i="1"/>
  <c r="CB224" i="1"/>
  <c r="CE1123" i="1"/>
  <c r="BY1070" i="1"/>
  <c r="BS399" i="1"/>
  <c r="BY923" i="1"/>
  <c r="CB1001" i="1"/>
  <c r="BV1060" i="1"/>
  <c r="CK394" i="1"/>
  <c r="CU1428" i="1"/>
  <c r="CV1428" i="1" s="1"/>
  <c r="CU568" i="1"/>
  <c r="CK659" i="1"/>
  <c r="BD1382" i="1"/>
  <c r="CB1088" i="1"/>
  <c r="CA1088" i="1" s="1"/>
  <c r="CK632" i="1"/>
  <c r="CE919" i="1"/>
  <c r="CE384" i="1"/>
  <c r="CU149" i="1"/>
  <c r="BJ964" i="1"/>
  <c r="CK1131" i="1"/>
  <c r="CK1050" i="1"/>
  <c r="BG231" i="1"/>
  <c r="BG1213" i="1"/>
  <c r="CE356" i="1"/>
  <c r="CU974" i="1"/>
  <c r="BY1099" i="1"/>
  <c r="BV223" i="1"/>
  <c r="BD878" i="1"/>
  <c r="CU1138" i="1"/>
  <c r="BY139" i="1"/>
  <c r="CB1133" i="1"/>
  <c r="CE981" i="1"/>
  <c r="BS396" i="1"/>
  <c r="BS968" i="1"/>
  <c r="BY1117" i="1"/>
  <c r="CK629" i="1"/>
  <c r="BV1401" i="1"/>
  <c r="BD1283" i="1"/>
  <c r="CE744" i="1"/>
  <c r="BG1130" i="1"/>
  <c r="BS1327" i="1"/>
  <c r="BY716" i="1"/>
  <c r="BV716" i="1"/>
  <c r="BG1293" i="1"/>
  <c r="BG887" i="1"/>
  <c r="CU462" i="1"/>
  <c r="CB673" i="1"/>
  <c r="CE1334" i="1"/>
  <c r="BY1334" i="1"/>
  <c r="BV1256" i="1"/>
  <c r="BD1421" i="1"/>
  <c r="CU700" i="1"/>
  <c r="CK693" i="1"/>
  <c r="BV1348" i="1"/>
  <c r="CU1275" i="1"/>
  <c r="CK1275" i="1"/>
  <c r="BD627" i="1"/>
  <c r="BS1240" i="1"/>
  <c r="CE1221" i="1"/>
  <c r="BJ1106" i="1"/>
  <c r="BY1106" i="1"/>
  <c r="CU1155" i="1"/>
  <c r="BY1241" i="1"/>
  <c r="BS1086" i="1"/>
  <c r="CK398" i="1"/>
  <c r="CE398" i="1"/>
  <c r="BJ1220" i="1"/>
  <c r="BV426" i="1"/>
  <c r="CB1063" i="1"/>
  <c r="CK994" i="1"/>
  <c r="CB994" i="1"/>
  <c r="CB214" i="1"/>
  <c r="CK364" i="1"/>
  <c r="CK345" i="1"/>
  <c r="BY408" i="1"/>
  <c r="CE408" i="1"/>
  <c r="BV351" i="1"/>
  <c r="BV987" i="1"/>
  <c r="BD1125" i="1"/>
  <c r="CK1062" i="1"/>
  <c r="CE1062" i="1"/>
  <c r="CU251" i="1"/>
  <c r="CU970" i="1"/>
  <c r="CE380" i="1"/>
  <c r="CK1380" i="1"/>
  <c r="BD665" i="1"/>
  <c r="CK1116" i="1"/>
  <c r="CB1027" i="1"/>
  <c r="CU1123" i="1"/>
  <c r="BV406" i="1"/>
  <c r="BV973" i="1"/>
  <c r="CB923" i="1"/>
  <c r="BD1046" i="1"/>
  <c r="CB419" i="1"/>
  <c r="BS550" i="1"/>
  <c r="BJ403" i="1"/>
  <c r="BS957" i="1"/>
  <c r="CE348" i="1"/>
  <c r="CD348" i="1" s="1"/>
  <c r="BY1353" i="1"/>
  <c r="BJ1116" i="1"/>
  <c r="CK1027" i="1"/>
  <c r="CB230" i="1"/>
  <c r="BY406" i="1"/>
  <c r="CB1118" i="1"/>
  <c r="BJ468" i="1"/>
  <c r="CK1046" i="1"/>
  <c r="CK419" i="1"/>
  <c r="CE1291" i="1"/>
  <c r="BV550" i="1"/>
  <c r="BY678" i="1"/>
  <c r="BV568" i="1"/>
  <c r="BY1351" i="1"/>
  <c r="CK1382" i="1"/>
  <c r="BD1088" i="1"/>
  <c r="BC1088" i="1" s="1"/>
  <c r="BV632" i="1"/>
  <c r="CK919" i="1"/>
  <c r="BS1109" i="1"/>
  <c r="CK149" i="1"/>
  <c r="BY964" i="1"/>
  <c r="BS1131" i="1"/>
  <c r="CB928" i="1"/>
  <c r="BJ231" i="1"/>
  <c r="BS1213" i="1"/>
  <c r="CU356" i="1"/>
  <c r="BV974" i="1"/>
  <c r="CU1099" i="1"/>
  <c r="BJ223" i="1"/>
  <c r="BJ1138" i="1"/>
  <c r="CB139" i="1"/>
  <c r="CE1133" i="1"/>
  <c r="CE1039" i="1"/>
  <c r="BG981" i="1"/>
  <c r="BY396" i="1"/>
  <c r="BD968" i="1"/>
  <c r="CE1117" i="1"/>
  <c r="BS629" i="1"/>
  <c r="BD1409" i="1"/>
  <c r="CB1401" i="1"/>
  <c r="BG1283" i="1"/>
  <c r="CU744" i="1"/>
  <c r="BJ1130" i="1"/>
  <c r="CB1327" i="1"/>
  <c r="CE716" i="1"/>
  <c r="CB1293" i="1"/>
  <c r="BJ887" i="1"/>
  <c r="CK887" i="1"/>
  <c r="BV462" i="1"/>
  <c r="BG673" i="1"/>
  <c r="CK1334" i="1"/>
  <c r="BS1256" i="1"/>
  <c r="BJ1421" i="1"/>
  <c r="BS700" i="1"/>
  <c r="CK700" i="1"/>
  <c r="BJ1354" i="1"/>
  <c r="BS498" i="1"/>
  <c r="BS1132" i="1"/>
  <c r="BD421" i="1"/>
  <c r="CK1291" i="1"/>
  <c r="CU678" i="1"/>
  <c r="BD659" i="1"/>
  <c r="CE1088" i="1"/>
  <c r="CD1088" i="1" s="1"/>
  <c r="BD919" i="1"/>
  <c r="BV149" i="1"/>
  <c r="CU1131" i="1"/>
  <c r="CU231" i="1"/>
  <c r="CK356" i="1"/>
  <c r="CB1099" i="1"/>
  <c r="CE878" i="1"/>
  <c r="CK139" i="1"/>
  <c r="BD981" i="1"/>
  <c r="BY968" i="1"/>
  <c r="BY1401" i="1"/>
  <c r="CK744" i="1"/>
  <c r="CU716" i="1"/>
  <c r="BY887" i="1"/>
  <c r="BS673" i="1"/>
  <c r="CU1334" i="1"/>
  <c r="CB1256" i="1"/>
  <c r="BJ700" i="1"/>
  <c r="BG693" i="1"/>
  <c r="CK1348" i="1"/>
  <c r="CE627" i="1"/>
  <c r="BD1240" i="1"/>
  <c r="BG1221" i="1"/>
  <c r="BJ1155" i="1"/>
  <c r="BJ1241" i="1"/>
  <c r="CB1086" i="1"/>
  <c r="BV398" i="1"/>
  <c r="BD426" i="1"/>
  <c r="CE1063" i="1"/>
  <c r="BV994" i="1"/>
  <c r="CE214" i="1"/>
  <c r="BD345" i="1"/>
  <c r="BD408" i="1"/>
  <c r="BY351" i="1"/>
  <c r="BD987" i="1"/>
  <c r="CU1062" i="1"/>
  <c r="BV251" i="1"/>
  <c r="CE299" i="1"/>
  <c r="BY299" i="1"/>
  <c r="CU1333" i="1"/>
  <c r="BV1333" i="1"/>
  <c r="BY1443" i="1"/>
  <c r="CU1232" i="1"/>
  <c r="CB626" i="1"/>
  <c r="CK626" i="1"/>
  <c r="BS958" i="1"/>
  <c r="BV701" i="1"/>
  <c r="BV705" i="1"/>
  <c r="CK705" i="1"/>
  <c r="CK1422" i="1"/>
  <c r="BD708" i="1"/>
  <c r="BC708" i="1" s="1"/>
  <c r="BV515" i="1"/>
  <c r="BD515" i="1"/>
  <c r="BG703" i="1"/>
  <c r="BG648" i="1"/>
  <c r="BD1089" i="1"/>
  <c r="CB1089" i="1"/>
  <c r="BY1255" i="1"/>
  <c r="CE647" i="1"/>
  <c r="BJ485" i="1"/>
  <c r="BS519" i="1"/>
  <c r="BY519" i="1"/>
  <c r="CE602" i="1"/>
  <c r="CU418" i="1"/>
  <c r="BY1034" i="1"/>
  <c r="CB1034" i="1"/>
  <c r="CK497" i="1"/>
  <c r="BG879" i="1"/>
  <c r="BG1128" i="1"/>
  <c r="CB1124" i="1"/>
  <c r="CE1124" i="1"/>
  <c r="BG392" i="1"/>
  <c r="BG1157" i="1"/>
  <c r="BS456" i="1"/>
  <c r="BY1071" i="1"/>
  <c r="BJ1071" i="1"/>
  <c r="BS963" i="1"/>
  <c r="CE444" i="1"/>
  <c r="CU435" i="1"/>
  <c r="BS403" i="1"/>
  <c r="BY1354" i="1"/>
  <c r="CE498" i="1"/>
  <c r="CE1132" i="1"/>
  <c r="CE1350" i="1"/>
  <c r="BS678" i="1"/>
  <c r="CB1351" i="1"/>
  <c r="BG1088" i="1"/>
  <c r="BF1088" i="1" s="1"/>
  <c r="BJ919" i="1"/>
  <c r="BJ149" i="1"/>
  <c r="BV1131" i="1"/>
  <c r="BV231" i="1"/>
  <c r="BJ356" i="1"/>
  <c r="BJ1099" i="1"/>
  <c r="BS1138" i="1"/>
  <c r="CK1133" i="1"/>
  <c r="CK981" i="1"/>
  <c r="CE968" i="1"/>
  <c r="BY629" i="1"/>
  <c r="BD1401" i="1"/>
  <c r="BJ744" i="1"/>
  <c r="BV1327" i="1"/>
  <c r="BD887" i="1"/>
  <c r="CE673" i="1"/>
  <c r="BS1334" i="1"/>
  <c r="CE1256" i="1"/>
  <c r="BV700" i="1"/>
  <c r="BJ693" i="1"/>
  <c r="BD1348" i="1"/>
  <c r="CK627" i="1"/>
  <c r="BG1240" i="1"/>
  <c r="CU1221" i="1"/>
  <c r="BS1155" i="1"/>
  <c r="CU1241" i="1"/>
  <c r="CK1086" i="1"/>
  <c r="BV1220" i="1"/>
  <c r="CK426" i="1"/>
  <c r="BD1063" i="1"/>
  <c r="BY994" i="1"/>
  <c r="BY364" i="1"/>
  <c r="BJ345" i="1"/>
  <c r="BG408" i="1"/>
  <c r="CK351" i="1"/>
  <c r="BY1125" i="1"/>
  <c r="BS1062" i="1"/>
  <c r="BY251" i="1"/>
  <c r="BG299" i="1"/>
  <c r="BJ1333" i="1"/>
  <c r="CE1443" i="1"/>
  <c r="BD1232" i="1"/>
  <c r="CE626" i="1"/>
  <c r="BG958" i="1"/>
  <c r="CE958" i="1"/>
  <c r="BY701" i="1"/>
  <c r="BY705" i="1"/>
  <c r="CU705" i="1"/>
  <c r="CU1422" i="1"/>
  <c r="CE708" i="1"/>
  <c r="CD708" i="1" s="1"/>
  <c r="CK403" i="1"/>
  <c r="CK671" i="1"/>
  <c r="CK461" i="1"/>
  <c r="CB1132" i="1"/>
  <c r="BJ1350" i="1"/>
  <c r="CE1445" i="1"/>
  <c r="BJ678" i="1"/>
  <c r="BS1351" i="1"/>
  <c r="BY1088" i="1"/>
  <c r="BX1088" i="1" s="1"/>
  <c r="BG384" i="1"/>
  <c r="CE1093" i="1"/>
  <c r="BS1050" i="1"/>
  <c r="CE231" i="1"/>
  <c r="CE974" i="1"/>
  <c r="BY223" i="1"/>
  <c r="BV1138" i="1"/>
  <c r="CU1133" i="1"/>
  <c r="BJ981" i="1"/>
  <c r="BJ968" i="1"/>
  <c r="CE629" i="1"/>
  <c r="CK1401" i="1"/>
  <c r="BS744" i="1"/>
  <c r="CE1327" i="1"/>
  <c r="BD1293" i="1"/>
  <c r="CB462" i="1"/>
  <c r="CU673" i="1"/>
  <c r="CB1334" i="1"/>
  <c r="CB700" i="1"/>
  <c r="CB693" i="1"/>
  <c r="BJ1275" i="1"/>
  <c r="BJ627" i="1"/>
  <c r="BV1240" i="1"/>
  <c r="BS1221" i="1"/>
  <c r="BV1155" i="1"/>
  <c r="CB1241" i="1"/>
  <c r="BD1086" i="1"/>
  <c r="BY1220" i="1"/>
  <c r="BG426" i="1"/>
  <c r="CK1063" i="1"/>
  <c r="BG214" i="1"/>
  <c r="CB364" i="1"/>
  <c r="CU345" i="1"/>
  <c r="BJ408" i="1"/>
  <c r="BG987" i="1"/>
  <c r="CK1125" i="1"/>
  <c r="BV1062" i="1"/>
  <c r="CB251" i="1"/>
  <c r="CK299" i="1"/>
  <c r="BS1333" i="1"/>
  <c r="CB1443" i="1"/>
  <c r="CK1443" i="1"/>
  <c r="BG1232" i="1"/>
  <c r="BG626" i="1"/>
  <c r="CU958" i="1"/>
  <c r="CK958" i="1"/>
  <c r="BD701" i="1"/>
  <c r="BD705" i="1"/>
  <c r="BG1212" i="1"/>
  <c r="BD1118" i="1"/>
  <c r="BS1350" i="1"/>
  <c r="BV1351" i="1"/>
  <c r="BV1088" i="1"/>
  <c r="BU1088" i="1" s="1"/>
  <c r="CU384" i="1"/>
  <c r="BD1093" i="1"/>
  <c r="BY1050" i="1"/>
  <c r="CB231" i="1"/>
  <c r="BD974" i="1"/>
  <c r="BD223" i="1"/>
  <c r="BY1138" i="1"/>
  <c r="BJ1133" i="1"/>
  <c r="BS981" i="1"/>
  <c r="CU968" i="1"/>
  <c r="BG629" i="1"/>
  <c r="CU1401" i="1"/>
  <c r="BV744" i="1"/>
  <c r="CK1327" i="1"/>
  <c r="CK1293" i="1"/>
  <c r="CE462" i="1"/>
  <c r="CK673" i="1"/>
  <c r="CK1421" i="1"/>
  <c r="CE700" i="1"/>
  <c r="CU693" i="1"/>
  <c r="BS1275" i="1"/>
  <c r="CU627" i="1"/>
  <c r="CU1240" i="1"/>
  <c r="BS1106" i="1"/>
  <c r="CB1155" i="1"/>
  <c r="CE1241" i="1"/>
  <c r="BV1086" i="1"/>
  <c r="CB1220" i="1"/>
  <c r="BY426" i="1"/>
  <c r="BG1063" i="1"/>
  <c r="CK214" i="1"/>
  <c r="BD364" i="1"/>
  <c r="BS345" i="1"/>
  <c r="CB351" i="1"/>
  <c r="CK987" i="1"/>
  <c r="BG1125" i="1"/>
  <c r="CB1062" i="1"/>
  <c r="CE251" i="1"/>
  <c r="BJ299" i="1"/>
  <c r="BY1333" i="1"/>
  <c r="BD1443" i="1"/>
  <c r="BV1443" i="1"/>
  <c r="BJ1232" i="1"/>
  <c r="CU626" i="1"/>
  <c r="BJ958" i="1"/>
  <c r="CE701" i="1"/>
  <c r="CB705" i="1"/>
  <c r="BS1422" i="1"/>
  <c r="BJ1422" i="1"/>
  <c r="CK708" i="1"/>
  <c r="CJ708" i="1" s="1"/>
  <c r="CE515" i="1"/>
  <c r="BV703" i="1"/>
  <c r="BS703" i="1"/>
  <c r="BV648" i="1"/>
  <c r="CU1089" i="1"/>
  <c r="CK1255" i="1"/>
  <c r="CE1255" i="1"/>
  <c r="BV647" i="1"/>
  <c r="CB485" i="1"/>
  <c r="BV519" i="1"/>
  <c r="BJ602" i="1"/>
  <c r="BG602" i="1"/>
  <c r="BY418" i="1"/>
  <c r="CK1034" i="1"/>
  <c r="BD497" i="1"/>
  <c r="BY879" i="1"/>
  <c r="BV879" i="1"/>
  <c r="CK1128" i="1"/>
  <c r="BG1124" i="1"/>
  <c r="BY392" i="1"/>
  <c r="BS1157" i="1"/>
  <c r="BJ1157" i="1"/>
  <c r="CE456" i="1"/>
  <c r="CB1071" i="1"/>
  <c r="BD963" i="1"/>
  <c r="BJ444" i="1"/>
  <c r="CK444" i="1"/>
  <c r="BD435" i="1"/>
  <c r="BV957" i="1"/>
  <c r="CK1353" i="1"/>
  <c r="CE1082" i="1"/>
  <c r="CU419" i="1"/>
  <c r="BY550" i="1"/>
  <c r="BS568" i="1"/>
  <c r="CE1382" i="1"/>
  <c r="BD632" i="1"/>
  <c r="CK384" i="1"/>
  <c r="BS964" i="1"/>
  <c r="BJ1050" i="1"/>
  <c r="BJ1213" i="1"/>
  <c r="BS974" i="1"/>
  <c r="CB223" i="1"/>
  <c r="CK1138" i="1"/>
  <c r="BY1039" i="1"/>
  <c r="BV396" i="1"/>
  <c r="CB1117" i="1"/>
  <c r="CB1409" i="1"/>
  <c r="CE1283" i="1"/>
  <c r="CU1130" i="1"/>
  <c r="BD1327" i="1"/>
  <c r="BJ1293" i="1"/>
  <c r="BD462" i="1"/>
  <c r="BD673" i="1"/>
  <c r="BD1256" i="1"/>
  <c r="BS1421" i="1"/>
  <c r="BD700" i="1"/>
  <c r="BJ1348" i="1"/>
  <c r="BV1275" i="1"/>
  <c r="BS627" i="1"/>
  <c r="BY1240" i="1"/>
  <c r="CB1106" i="1"/>
  <c r="BD1155" i="1"/>
  <c r="BD1241" i="1"/>
  <c r="BG398" i="1"/>
  <c r="BD1220" i="1"/>
  <c r="BS426" i="1"/>
  <c r="BJ1063" i="1"/>
  <c r="BJ214" i="1"/>
  <c r="BJ364" i="1"/>
  <c r="BV345" i="1"/>
  <c r="CE351" i="1"/>
  <c r="BJ987" i="1"/>
  <c r="CU1125" i="1"/>
  <c r="BD1062" i="1"/>
  <c r="CK251" i="1"/>
  <c r="BS299" i="1"/>
  <c r="CB1333" i="1"/>
  <c r="BJ1443" i="1"/>
  <c r="BY1232" i="1"/>
  <c r="BJ626" i="1"/>
  <c r="BV958" i="1"/>
  <c r="BG498" i="1"/>
  <c r="BS404" i="1"/>
  <c r="BD617" i="1"/>
  <c r="CK928" i="1"/>
  <c r="BJ878" i="1"/>
  <c r="BJ1039" i="1"/>
  <c r="CK1409" i="1"/>
  <c r="CE1130" i="1"/>
  <c r="BV887" i="1"/>
  <c r="CK1256" i="1"/>
  <c r="BV693" i="1"/>
  <c r="CB627" i="1"/>
  <c r="CU1106" i="1"/>
  <c r="BJ398" i="1"/>
  <c r="BJ994" i="1"/>
  <c r="CU364" i="1"/>
  <c r="CB987" i="1"/>
  <c r="BD251" i="1"/>
  <c r="BG1333" i="1"/>
  <c r="BS626" i="1"/>
  <c r="BS701" i="1"/>
  <c r="BS705" i="1"/>
  <c r="BV708" i="1"/>
  <c r="BU708" i="1" s="1"/>
  <c r="BY515" i="1"/>
  <c r="BY703" i="1"/>
  <c r="BD648" i="1"/>
  <c r="CK1089" i="1"/>
  <c r="BG1255" i="1"/>
  <c r="BY647" i="1"/>
  <c r="BS485" i="1"/>
  <c r="BD519" i="1"/>
  <c r="BY602" i="1"/>
  <c r="BS418" i="1"/>
  <c r="BG1034" i="1"/>
  <c r="CU497" i="1"/>
  <c r="CU879" i="1"/>
  <c r="BS1128" i="1"/>
  <c r="BS1124" i="1"/>
  <c r="CU392" i="1"/>
  <c r="CK1157" i="1"/>
  <c r="BD456" i="1"/>
  <c r="CB963" i="1"/>
  <c r="BS444" i="1"/>
  <c r="CK435" i="1"/>
  <c r="CE927" i="1"/>
  <c r="CB927" i="1"/>
  <c r="CU865" i="1"/>
  <c r="BS411" i="1"/>
  <c r="BS1134" i="1"/>
  <c r="BY343" i="1"/>
  <c r="BD343" i="1"/>
  <c r="BS1129" i="1"/>
  <c r="CE1122" i="1"/>
  <c r="BD1059" i="1"/>
  <c r="BY956" i="1"/>
  <c r="BJ956" i="1"/>
  <c r="BG198" i="1"/>
  <c r="BJ604" i="1"/>
  <c r="BI604" i="1" s="1"/>
  <c r="CE654" i="1"/>
  <c r="BY654" i="1"/>
  <c r="BG1332" i="1"/>
  <c r="BG1178" i="1"/>
  <c r="CB383" i="1"/>
  <c r="BD433" i="1"/>
  <c r="CB433" i="1"/>
  <c r="BS1081" i="1"/>
  <c r="BG993" i="1"/>
  <c r="BJ1340" i="1"/>
  <c r="BY1324" i="1"/>
  <c r="BV1324" i="1"/>
  <c r="BJ492" i="1"/>
  <c r="BV1174" i="1"/>
  <c r="BY324" i="1"/>
  <c r="BJ1073" i="1"/>
  <c r="CK1073" i="1"/>
  <c r="BG321" i="1"/>
  <c r="BJ660" i="1"/>
  <c r="CB1318" i="1"/>
  <c r="CE584" i="1"/>
  <c r="CB1395" i="1"/>
  <c r="BG549" i="1"/>
  <c r="CE549" i="1"/>
  <c r="BS230" i="1"/>
  <c r="BG659" i="1"/>
  <c r="BY1109" i="1"/>
  <c r="BG928" i="1"/>
  <c r="BS878" i="1"/>
  <c r="CE396" i="1"/>
  <c r="BJ1409" i="1"/>
  <c r="BS462" i="1"/>
  <c r="BG1256" i="1"/>
  <c r="BY693" i="1"/>
  <c r="CB1240" i="1"/>
  <c r="BG1155" i="1"/>
  <c r="BS398" i="1"/>
  <c r="CU994" i="1"/>
  <c r="BY345" i="1"/>
  <c r="CE987" i="1"/>
  <c r="BG251" i="1"/>
  <c r="CE1333" i="1"/>
  <c r="BS1232" i="1"/>
  <c r="BV626" i="1"/>
  <c r="CB701" i="1"/>
  <c r="BY708" i="1"/>
  <c r="BX708" i="1" s="1"/>
  <c r="BG515" i="1"/>
  <c r="CB703" i="1"/>
  <c r="CE648" i="1"/>
  <c r="BG1089" i="1"/>
  <c r="CU1255" i="1"/>
  <c r="CB647" i="1"/>
  <c r="BY485" i="1"/>
  <c r="CB519" i="1"/>
  <c r="CB602" i="1"/>
  <c r="BV418" i="1"/>
  <c r="CU1034" i="1"/>
  <c r="BS497" i="1"/>
  <c r="BJ879" i="1"/>
  <c r="CU1128" i="1"/>
  <c r="BV1124" i="1"/>
  <c r="BJ392" i="1"/>
  <c r="BG456" i="1"/>
  <c r="BV1071" i="1"/>
  <c r="CE963" i="1"/>
  <c r="BV444" i="1"/>
  <c r="BS435" i="1"/>
  <c r="BG927" i="1"/>
  <c r="BS865" i="1"/>
  <c r="CK865" i="1"/>
  <c r="BG411" i="1"/>
  <c r="BV1134" i="1"/>
  <c r="CB343" i="1"/>
  <c r="BY1129" i="1"/>
  <c r="CU1129" i="1"/>
  <c r="BD1122" i="1"/>
  <c r="CE1059" i="1"/>
  <c r="CB956" i="1"/>
  <c r="BJ198" i="1"/>
  <c r="BV198" i="1"/>
  <c r="CU604" i="1"/>
  <c r="CS604" i="1" s="1"/>
  <c r="BD654" i="1"/>
  <c r="CE1332" i="1"/>
  <c r="BY1332" i="1"/>
  <c r="CU1178" i="1"/>
  <c r="BG383" i="1"/>
  <c r="CK433" i="1"/>
  <c r="CE1081" i="1"/>
  <c r="BV1081" i="1"/>
  <c r="BS993" i="1"/>
  <c r="BV1340" i="1"/>
  <c r="CB1324" i="1"/>
  <c r="CK1324" i="1"/>
  <c r="BS492" i="1"/>
  <c r="BY1174" i="1"/>
  <c r="CB324" i="1"/>
  <c r="BS1073" i="1"/>
  <c r="CU1073" i="1"/>
  <c r="BY321" i="1"/>
  <c r="BS660" i="1"/>
  <c r="BS1318" i="1"/>
  <c r="BG1318" i="1"/>
  <c r="BG584" i="1"/>
  <c r="BD1395" i="1"/>
  <c r="CU549" i="1"/>
  <c r="CK549" i="1"/>
  <c r="BS637" i="1"/>
  <c r="BG612" i="1"/>
  <c r="BJ1307" i="1"/>
  <c r="BV347" i="1"/>
  <c r="CB347" i="1"/>
  <c r="BG529" i="1"/>
  <c r="BJ1310" i="1"/>
  <c r="BD1289" i="1"/>
  <c r="CB1289" i="1"/>
  <c r="BS393" i="1"/>
  <c r="BG1227" i="1"/>
  <c r="CK1028" i="1"/>
  <c r="CE496" i="1"/>
  <c r="BY496" i="1"/>
  <c r="BS857" i="1"/>
  <c r="BG1236" i="1"/>
  <c r="CE1064" i="1"/>
  <c r="BD1177" i="1"/>
  <c r="BV1177" i="1"/>
  <c r="BJ479" i="1"/>
  <c r="BG144" i="1"/>
  <c r="CU1208" i="1"/>
  <c r="BY448" i="1"/>
  <c r="CU448" i="1"/>
  <c r="BV210" i="1"/>
  <c r="BS885" i="1"/>
  <c r="CE855" i="1"/>
  <c r="CU1137" i="1"/>
  <c r="CK1137" i="1"/>
  <c r="BV1078" i="1"/>
  <c r="CK1068" i="1"/>
  <c r="BD401" i="1"/>
  <c r="BV333" i="1"/>
  <c r="BG333" i="1"/>
  <c r="BV1052" i="1"/>
  <c r="BV951" i="1"/>
  <c r="BG619" i="1"/>
  <c r="BD707" i="1"/>
  <c r="CB707" i="1"/>
  <c r="BJ669" i="1"/>
  <c r="CK1271" i="1"/>
  <c r="BD494" i="1"/>
  <c r="BY412" i="1"/>
  <c r="BS412" i="1"/>
  <c r="BJ375" i="1"/>
  <c r="CU260" i="1"/>
  <c r="BV395" i="1"/>
  <c r="CU1329" i="1"/>
  <c r="CE1365" i="1"/>
  <c r="CB339" i="1"/>
  <c r="CE230" i="1"/>
  <c r="CU659" i="1"/>
  <c r="CK1109" i="1"/>
  <c r="BV1213" i="1"/>
  <c r="BV878" i="1"/>
  <c r="CU396" i="1"/>
  <c r="BS1409" i="1"/>
  <c r="CB716" i="1"/>
  <c r="BY462" i="1"/>
  <c r="BY1256" i="1"/>
  <c r="CB1348" i="1"/>
  <c r="CE1240" i="1"/>
  <c r="BY1155" i="1"/>
  <c r="CE1220" i="1"/>
  <c r="BS994" i="1"/>
  <c r="CB408" i="1"/>
  <c r="BJ1125" i="1"/>
  <c r="CB299" i="1"/>
  <c r="CK1333" i="1"/>
  <c r="BV1232" i="1"/>
  <c r="BY958" i="1"/>
  <c r="CK701" i="1"/>
  <c r="BV1422" i="1"/>
  <c r="CB708" i="1"/>
  <c r="CA708" i="1" s="1"/>
  <c r="BJ515" i="1"/>
  <c r="BD703" i="1"/>
  <c r="BS648" i="1"/>
  <c r="BJ1089" i="1"/>
  <c r="BJ1255" i="1"/>
  <c r="BD647" i="1"/>
  <c r="BD485" i="1"/>
  <c r="BG519" i="1"/>
  <c r="BD602" i="1"/>
  <c r="BD418" i="1"/>
  <c r="BJ1034" i="1"/>
  <c r="BG497" i="1"/>
  <c r="BS879" i="1"/>
  <c r="BV1128" i="1"/>
  <c r="BS392" i="1"/>
  <c r="BV1157" i="1"/>
  <c r="CU456" i="1"/>
  <c r="BG1071" i="1"/>
  <c r="CK963" i="1"/>
  <c r="BY444" i="1"/>
  <c r="BV435" i="1"/>
  <c r="CK927" i="1"/>
  <c r="BV865" i="1"/>
  <c r="BG865" i="1"/>
  <c r="BV411" i="1"/>
  <c r="BY1134" i="1"/>
  <c r="CE343" i="1"/>
  <c r="CB1129" i="1"/>
  <c r="BV1129" i="1"/>
  <c r="BG1122" i="1"/>
  <c r="BJ1059" i="1"/>
  <c r="CE956" i="1"/>
  <c r="CU198" i="1"/>
  <c r="CK198" i="1"/>
  <c r="BS604" i="1"/>
  <c r="BR604" i="1" s="1"/>
  <c r="CK654" i="1"/>
  <c r="BD1332" i="1"/>
  <c r="CB1332" i="1"/>
  <c r="BJ1178" i="1"/>
  <c r="CK383" i="1"/>
  <c r="BG433" i="1"/>
  <c r="BD1081" i="1"/>
  <c r="CB1081" i="1"/>
  <c r="CE993" i="1"/>
  <c r="BY1340" i="1"/>
  <c r="BD1324" i="1"/>
  <c r="BY492" i="1"/>
  <c r="BV492" i="1"/>
  <c r="CB1174" i="1"/>
  <c r="CE324" i="1"/>
  <c r="BY1073" i="1"/>
  <c r="BJ321" i="1"/>
  <c r="CE321" i="1"/>
  <c r="BV660" i="1"/>
  <c r="BV1318" i="1"/>
  <c r="CU1318" i="1"/>
  <c r="BY584" i="1"/>
  <c r="CK1395" i="1"/>
  <c r="BJ549" i="1"/>
  <c r="BY637" i="1"/>
  <c r="BV637" i="1"/>
  <c r="CU612" i="1"/>
  <c r="CU1307" i="1"/>
  <c r="BY347" i="1"/>
  <c r="BJ347" i="1"/>
  <c r="BV529" i="1"/>
  <c r="BV1310" i="1"/>
  <c r="CK1289" i="1"/>
  <c r="BY393" i="1"/>
  <c r="BJ393" i="1"/>
  <c r="CK1227" i="1"/>
  <c r="BG1028" i="1"/>
  <c r="BD496" i="1"/>
  <c r="CB857" i="1"/>
  <c r="BY857" i="1"/>
  <c r="CU1236" i="1"/>
  <c r="BD1064" i="1"/>
  <c r="CE1177" i="1"/>
  <c r="BV479" i="1"/>
  <c r="CE479" i="1"/>
  <c r="CU144" i="1"/>
  <c r="BJ1208" i="1"/>
  <c r="CB448" i="1"/>
  <c r="BY210" i="1"/>
  <c r="CU210" i="1"/>
  <c r="BV885" i="1"/>
  <c r="BD855" i="1"/>
  <c r="BJ1137" i="1"/>
  <c r="CE1078" i="1"/>
  <c r="BY1078" i="1"/>
  <c r="BG1068" i="1"/>
  <c r="CK401" i="1"/>
  <c r="BY333" i="1"/>
  <c r="BD1052" i="1"/>
  <c r="BY1052" i="1"/>
  <c r="BS951" i="1"/>
  <c r="CU619" i="1"/>
  <c r="CK707" i="1"/>
  <c r="CE707" i="1"/>
  <c r="BV669" i="1"/>
  <c r="BG1271" i="1"/>
  <c r="CK494" i="1"/>
  <c r="CB412" i="1"/>
  <c r="BV412" i="1"/>
  <c r="CU375" i="1"/>
  <c r="BJ260" i="1"/>
  <c r="CB395" i="1"/>
  <c r="BD1329" i="1"/>
  <c r="BD1365" i="1"/>
  <c r="CE355" i="1"/>
  <c r="BG1382" i="1"/>
  <c r="CU1109" i="1"/>
  <c r="BY1213" i="1"/>
  <c r="CE139" i="1"/>
  <c r="CK396" i="1"/>
  <c r="BJ1283" i="1"/>
  <c r="BD716" i="1"/>
  <c r="CE1348" i="1"/>
  <c r="BV1221" i="1"/>
  <c r="BG1241" i="1"/>
  <c r="BS1220" i="1"/>
  <c r="CU214" i="1"/>
  <c r="CU408" i="1"/>
  <c r="BS1125" i="1"/>
  <c r="CU299" i="1"/>
  <c r="BD1333" i="1"/>
  <c r="CB1232" i="1"/>
  <c r="CB958" i="1"/>
  <c r="BG701" i="1"/>
  <c r="CB1422" i="1"/>
  <c r="BG708" i="1"/>
  <c r="BF708" i="1" s="1"/>
  <c r="CK515" i="1"/>
  <c r="CK703" i="1"/>
  <c r="CU648" i="1"/>
  <c r="BV1089" i="1"/>
  <c r="BV1255" i="1"/>
  <c r="BG647" i="1"/>
  <c r="BV485" i="1"/>
  <c r="BJ519" i="1"/>
  <c r="CU602" i="1"/>
  <c r="CB418" i="1"/>
  <c r="BS1034" i="1"/>
  <c r="BV497" i="1"/>
  <c r="BY1128" i="1"/>
  <c r="BY1124" i="1"/>
  <c r="BV392" i="1"/>
  <c r="BY1157" i="1"/>
  <c r="BJ456" i="1"/>
  <c r="BS1071" i="1"/>
  <c r="BG963" i="1"/>
  <c r="CB444" i="1"/>
  <c r="CB435" i="1"/>
  <c r="CU927" i="1"/>
  <c r="BY865" i="1"/>
  <c r="CB411" i="1"/>
  <c r="BY411" i="1"/>
  <c r="CB1134" i="1"/>
  <c r="BJ343" i="1"/>
  <c r="BD1129" i="1"/>
  <c r="BJ1122" i="1"/>
  <c r="CK1122" i="1"/>
  <c r="CU1059" i="1"/>
  <c r="BD956" i="1"/>
  <c r="BS198" i="1"/>
  <c r="BV604" i="1"/>
  <c r="BU604" i="1" s="1"/>
  <c r="BG654" i="1"/>
  <c r="CK1332" i="1"/>
  <c r="BY1178" i="1"/>
  <c r="BV1178" i="1"/>
  <c r="CE383" i="1"/>
  <c r="CU433" i="1"/>
  <c r="CK1081" i="1"/>
  <c r="BV993" i="1"/>
  <c r="CK993" i="1"/>
  <c r="CB1340" i="1"/>
  <c r="CE1324" i="1"/>
  <c r="CB492" i="1"/>
  <c r="CE492" i="1"/>
  <c r="BD1174" i="1"/>
  <c r="BD324" i="1"/>
  <c r="CB1073" i="1"/>
  <c r="BS321" i="1"/>
  <c r="CK321" i="1"/>
  <c r="BY660" i="1"/>
  <c r="BY1318" i="1"/>
  <c r="CE662" i="1"/>
  <c r="CE964" i="1"/>
  <c r="BS356" i="1"/>
  <c r="BG139" i="1"/>
  <c r="BD1117" i="1"/>
  <c r="BV1283" i="1"/>
  <c r="BG716" i="1"/>
  <c r="BV1421" i="1"/>
  <c r="BY1348" i="1"/>
  <c r="BD1221" i="1"/>
  <c r="CK1241" i="1"/>
  <c r="CU1220" i="1"/>
  <c r="BS214" i="1"/>
  <c r="BG351" i="1"/>
  <c r="BJ1062" i="1"/>
  <c r="BD299" i="1"/>
  <c r="CE1232" i="1"/>
  <c r="BD958" i="1"/>
  <c r="CE1422" i="1"/>
  <c r="BJ708" i="1"/>
  <c r="BI708" i="1" s="1"/>
  <c r="CB515" i="1"/>
  <c r="CU703" i="1"/>
  <c r="BJ648" i="1"/>
  <c r="BY1089" i="1"/>
  <c r="BS1255" i="1"/>
  <c r="CK647" i="1"/>
  <c r="CE485" i="1"/>
  <c r="CE519" i="1"/>
  <c r="CK602" i="1"/>
  <c r="CE418" i="1"/>
  <c r="BY497" i="1"/>
  <c r="CB879" i="1"/>
  <c r="BD1128" i="1"/>
  <c r="BD1124" i="1"/>
  <c r="CB392" i="1"/>
  <c r="CB1157" i="1"/>
  <c r="BV456" i="1"/>
  <c r="CE1071" i="1"/>
  <c r="CU963" i="1"/>
  <c r="BD444" i="1"/>
  <c r="BG435" i="1"/>
  <c r="BJ927" i="1"/>
  <c r="CB865" i="1"/>
  <c r="CE411" i="1"/>
  <c r="CK411" i="1"/>
  <c r="BD1134" i="1"/>
  <c r="CU343" i="1"/>
  <c r="CE1129" i="1"/>
  <c r="BS1122" i="1"/>
  <c r="CU1122" i="1"/>
  <c r="CK1059" i="1"/>
  <c r="CK956" i="1"/>
  <c r="BY198" i="1"/>
  <c r="BY604" i="1"/>
  <c r="BX604" i="1" s="1"/>
  <c r="CU654" i="1"/>
  <c r="BJ1332" i="1"/>
  <c r="CB1178" i="1"/>
  <c r="BS1178" i="1"/>
  <c r="CU383" i="1"/>
  <c r="BJ433" i="1"/>
  <c r="BG1081" i="1"/>
  <c r="BY993" i="1"/>
  <c r="CU993" i="1"/>
  <c r="BD1340" i="1"/>
  <c r="BG1324" i="1"/>
  <c r="BD492" i="1"/>
  <c r="BG1174" i="1"/>
  <c r="CE1174" i="1"/>
  <c r="CK324" i="1"/>
  <c r="CE1073" i="1"/>
  <c r="BV321" i="1"/>
  <c r="CB660" i="1"/>
  <c r="CE1318" i="1"/>
  <c r="BJ584" i="1"/>
  <c r="CU584" i="1"/>
  <c r="CU1395" i="1"/>
  <c r="BV549" i="1"/>
  <c r="BD637" i="1"/>
  <c r="BV612" i="1"/>
  <c r="BS612" i="1"/>
  <c r="BV1307" i="1"/>
  <c r="BD347" i="1"/>
  <c r="CE969" i="1"/>
  <c r="CB974" i="1"/>
  <c r="BS693" i="1"/>
  <c r="BY1086" i="1"/>
  <c r="CU351" i="1"/>
  <c r="BD626" i="1"/>
  <c r="BS515" i="1"/>
  <c r="BS1089" i="1"/>
  <c r="CU485" i="1"/>
  <c r="CK418" i="1"/>
  <c r="CE879" i="1"/>
  <c r="BJ1124" i="1"/>
  <c r="CB456" i="1"/>
  <c r="BG444" i="1"/>
  <c r="BY927" i="1"/>
  <c r="CU1134" i="1"/>
  <c r="BG1129" i="1"/>
  <c r="CB1059" i="1"/>
  <c r="BD198" i="1"/>
  <c r="BJ654" i="1"/>
  <c r="CK1178" i="1"/>
  <c r="BV433" i="1"/>
  <c r="BS1324" i="1"/>
  <c r="BS324" i="1"/>
  <c r="CB321" i="1"/>
  <c r="CK660" i="1"/>
  <c r="CB584" i="1"/>
  <c r="CE1395" i="1"/>
  <c r="CU637" i="1"/>
  <c r="CE612" i="1"/>
  <c r="CE1307" i="1"/>
  <c r="BD529" i="1"/>
  <c r="BG1310" i="1"/>
  <c r="BG1289" i="1"/>
  <c r="BD393" i="1"/>
  <c r="BD1227" i="1"/>
  <c r="CU1028" i="1"/>
  <c r="CU496" i="1"/>
  <c r="CU857" i="1"/>
  <c r="BJ1236" i="1"/>
  <c r="CU1064" i="1"/>
  <c r="BS1177" i="1"/>
  <c r="BJ404" i="1"/>
  <c r="BD1099" i="1"/>
  <c r="BS1283" i="1"/>
  <c r="BY1275" i="1"/>
  <c r="CU398" i="1"/>
  <c r="BJ351" i="1"/>
  <c r="BD1422" i="1"/>
  <c r="CE1089" i="1"/>
  <c r="CK485" i="1"/>
  <c r="BJ418" i="1"/>
  <c r="BD879" i="1"/>
  <c r="CE392" i="1"/>
  <c r="CK456" i="1"/>
  <c r="CU444" i="1"/>
  <c r="BD865" i="1"/>
  <c r="BJ1134" i="1"/>
  <c r="CK1129" i="1"/>
  <c r="BG1059" i="1"/>
  <c r="CE198" i="1"/>
  <c r="BS654" i="1"/>
  <c r="BS383" i="1"/>
  <c r="BY433" i="1"/>
  <c r="BG1340" i="1"/>
  <c r="CK492" i="1"/>
  <c r="BV324" i="1"/>
  <c r="CU321" i="1"/>
  <c r="CK584" i="1"/>
  <c r="BS549" i="1"/>
  <c r="BJ637" i="1"/>
  <c r="BG662" i="1"/>
  <c r="CE1099" i="1"/>
  <c r="BV1130" i="1"/>
  <c r="BD1334" i="1"/>
  <c r="CB1275" i="1"/>
  <c r="CB426" i="1"/>
  <c r="BY987" i="1"/>
  <c r="BS1443" i="1"/>
  <c r="CU701" i="1"/>
  <c r="BG1422" i="1"/>
  <c r="BJ703" i="1"/>
  <c r="BD1255" i="1"/>
  <c r="CK519" i="1"/>
  <c r="BV1034" i="1"/>
  <c r="CK879" i="1"/>
  <c r="BD392" i="1"/>
  <c r="CK1071" i="1"/>
  <c r="BJ435" i="1"/>
  <c r="CE865" i="1"/>
  <c r="CE1134" i="1"/>
  <c r="BJ1129" i="1"/>
  <c r="BS1059" i="1"/>
  <c r="BD604" i="1"/>
  <c r="BC604" i="1" s="1"/>
  <c r="BV654" i="1"/>
  <c r="BV383" i="1"/>
  <c r="CU1081" i="1"/>
  <c r="CU1340" i="1"/>
  <c r="BG492" i="1"/>
  <c r="BG324" i="1"/>
  <c r="BD321" i="1"/>
  <c r="BD1318" i="1"/>
  <c r="BD584" i="1"/>
  <c r="BY549" i="1"/>
  <c r="CE637" i="1"/>
  <c r="BG1307" i="1"/>
  <c r="CK347" i="1"/>
  <c r="BJ529" i="1"/>
  <c r="BY1310" i="1"/>
  <c r="BJ1289" i="1"/>
  <c r="BG393" i="1"/>
  <c r="BJ1227" i="1"/>
  <c r="BS1028" i="1"/>
  <c r="BS496" i="1"/>
  <c r="BV857" i="1"/>
  <c r="BV1236" i="1"/>
  <c r="BS1064" i="1"/>
  <c r="BY479" i="1"/>
  <c r="BY144" i="1"/>
  <c r="CK1208" i="1"/>
  <c r="CE448" i="1"/>
  <c r="BD210" i="1"/>
  <c r="CU885" i="1"/>
  <c r="CK855" i="1"/>
  <c r="CB1137" i="1"/>
  <c r="BJ1078" i="1"/>
  <c r="BJ1068" i="1"/>
  <c r="BJ401" i="1"/>
  <c r="CK333" i="1"/>
  <c r="CB1052" i="1"/>
  <c r="CE951" i="1"/>
  <c r="BD619" i="1"/>
  <c r="BG707" i="1"/>
  <c r="CE669" i="1"/>
  <c r="CB1271" i="1"/>
  <c r="BG494" i="1"/>
  <c r="BG412" i="1"/>
  <c r="CE375" i="1"/>
  <c r="BS260" i="1"/>
  <c r="CK395" i="1"/>
  <c r="BV1329" i="1"/>
  <c r="CK1365" i="1"/>
  <c r="CE1373" i="1"/>
  <c r="BS225" i="1"/>
  <c r="CK225" i="1"/>
  <c r="CK1054" i="1"/>
  <c r="BS407" i="1"/>
  <c r="BD296" i="1"/>
  <c r="BV1135" i="1"/>
  <c r="CU1135" i="1"/>
  <c r="BG1126" i="1"/>
  <c r="BD362" i="1"/>
  <c r="BG624" i="1"/>
  <c r="BS617" i="1"/>
  <c r="BJ139" i="1"/>
  <c r="BY1130" i="1"/>
  <c r="BG1334" i="1"/>
  <c r="BG627" i="1"/>
  <c r="CE426" i="1"/>
  <c r="BY1062" i="1"/>
  <c r="CU1443" i="1"/>
  <c r="BJ701" i="1"/>
  <c r="BY1422" i="1"/>
  <c r="CE703" i="1"/>
  <c r="CB1255" i="1"/>
  <c r="CU519" i="1"/>
  <c r="CE1034" i="1"/>
  <c r="CB1128" i="1"/>
  <c r="CK392" i="1"/>
  <c r="CU1071" i="1"/>
  <c r="CE435" i="1"/>
  <c r="BJ865" i="1"/>
  <c r="CK1134" i="1"/>
  <c r="BV1122" i="1"/>
  <c r="BV956" i="1"/>
  <c r="CK604" i="1"/>
  <c r="CJ604" i="1" s="1"/>
  <c r="BS1332" i="1"/>
  <c r="BY383" i="1"/>
  <c r="BJ1081" i="1"/>
  <c r="BS1340" i="1"/>
  <c r="CU492" i="1"/>
  <c r="CU324" i="1"/>
  <c r="CK1318" i="1"/>
  <c r="BV1395" i="1"/>
  <c r="CB549" i="1"/>
  <c r="BY612" i="1"/>
  <c r="CK1307" i="1"/>
  <c r="BG347" i="1"/>
  <c r="BS529" i="1"/>
  <c r="BS1310" i="1"/>
  <c r="BS1289" i="1"/>
  <c r="CU393" i="1"/>
  <c r="CB1227" i="1"/>
  <c r="CE617" i="1"/>
  <c r="BG1039" i="1"/>
  <c r="CK1221" i="1"/>
  <c r="BS1063" i="1"/>
  <c r="BJ251" i="1"/>
  <c r="BG1443" i="1"/>
  <c r="CU708" i="1"/>
  <c r="CS708" i="1" s="1"/>
  <c r="BJ647" i="1"/>
  <c r="BD1034" i="1"/>
  <c r="CE1128" i="1"/>
  <c r="CE1157" i="1"/>
  <c r="BD1071" i="1"/>
  <c r="BY435" i="1"/>
  <c r="BD411" i="1"/>
  <c r="BV343" i="1"/>
  <c r="BY1122" i="1"/>
  <c r="BG956" i="1"/>
  <c r="BG604" i="1"/>
  <c r="BF604" i="1" s="1"/>
  <c r="BV1332" i="1"/>
  <c r="BJ383" i="1"/>
  <c r="BY1081" i="1"/>
  <c r="CE1340" i="1"/>
  <c r="CU1174" i="1"/>
  <c r="BJ324" i="1"/>
  <c r="BG660" i="1"/>
  <c r="BJ1318" i="1"/>
  <c r="BY1395" i="1"/>
  <c r="BD549" i="1"/>
  <c r="CB612" i="1"/>
  <c r="BS1307" i="1"/>
  <c r="CU347" i="1"/>
  <c r="BY529" i="1"/>
  <c r="CB1310" i="1"/>
  <c r="BV1289" i="1"/>
  <c r="BV393" i="1"/>
  <c r="CU1227" i="1"/>
  <c r="BY1028" i="1"/>
  <c r="CE857" i="1"/>
  <c r="CB1236" i="1"/>
  <c r="BY1064" i="1"/>
  <c r="BG1353" i="1"/>
  <c r="CK964" i="1"/>
  <c r="CU1039" i="1"/>
  <c r="CE1106" i="1"/>
  <c r="BD214" i="1"/>
  <c r="BS251" i="1"/>
  <c r="BG705" i="1"/>
  <c r="BS708" i="1"/>
  <c r="BR708" i="1" s="1"/>
  <c r="BY648" i="1"/>
  <c r="BS647" i="1"/>
  <c r="BS602" i="1"/>
  <c r="CB497" i="1"/>
  <c r="BJ1128" i="1"/>
  <c r="CU1157" i="1"/>
  <c r="BJ963" i="1"/>
  <c r="BD927" i="1"/>
  <c r="BJ411" i="1"/>
  <c r="BS343" i="1"/>
  <c r="CB1122" i="1"/>
  <c r="CU956" i="1"/>
  <c r="CE604" i="1"/>
  <c r="CD604" i="1" s="1"/>
  <c r="CU1332" i="1"/>
  <c r="BD383" i="1"/>
  <c r="CB993" i="1"/>
  <c r="CK1340" i="1"/>
  <c r="BJ1174" i="1"/>
  <c r="BD1073" i="1"/>
  <c r="CU660" i="1"/>
  <c r="BG1395" i="1"/>
  <c r="CB637" i="1"/>
  <c r="BD612" i="1"/>
  <c r="BY1307" i="1"/>
  <c r="BS347" i="1"/>
  <c r="CU529" i="1"/>
  <c r="CE1310" i="1"/>
  <c r="BY1289" i="1"/>
  <c r="BS1227" i="1"/>
  <c r="CB1028" i="1"/>
  <c r="CB496" i="1"/>
  <c r="BD857" i="1"/>
  <c r="CE1236" i="1"/>
  <c r="CB1064" i="1"/>
  <c r="BG1177" i="1"/>
  <c r="CK479" i="1"/>
  <c r="CK144" i="1"/>
  <c r="BV1208" i="1"/>
  <c r="BJ448" i="1"/>
  <c r="BJ210" i="1"/>
  <c r="CB885" i="1"/>
  <c r="BG855" i="1"/>
  <c r="CE1137" i="1"/>
  <c r="BS1068" i="1"/>
  <c r="BY401" i="1"/>
  <c r="BS333" i="1"/>
  <c r="BG1052" i="1"/>
  <c r="BG951" i="1"/>
  <c r="BV619" i="1"/>
  <c r="BV707" i="1"/>
  <c r="BS669" i="1"/>
  <c r="BJ1271" i="1"/>
  <c r="BS494" i="1"/>
  <c r="CU412" i="1"/>
  <c r="BS375" i="1"/>
  <c r="CB260" i="1"/>
  <c r="CU395" i="1"/>
  <c r="BJ1329" i="1"/>
  <c r="CB1365" i="1"/>
  <c r="BS1373" i="1"/>
  <c r="CB225" i="1"/>
  <c r="CU1054" i="1"/>
  <c r="CE407" i="1"/>
  <c r="BY407" i="1"/>
  <c r="CK296" i="1"/>
  <c r="CE1135" i="1"/>
  <c r="BY1126" i="1"/>
  <c r="BS362" i="1"/>
  <c r="BJ362" i="1"/>
  <c r="BS624" i="1"/>
  <c r="BY1363" i="1"/>
  <c r="BJ525" i="1"/>
  <c r="BI525" i="1" s="1"/>
  <c r="CK525" i="1"/>
  <c r="CJ525" i="1" s="1"/>
  <c r="BY1408" i="1"/>
  <c r="CU685" i="1"/>
  <c r="BY1189" i="1"/>
  <c r="BD928" i="1"/>
  <c r="BS364" i="1"/>
  <c r="CE497" i="1"/>
  <c r="BS927" i="1"/>
  <c r="BS956" i="1"/>
  <c r="BJ993" i="1"/>
  <c r="BV1073" i="1"/>
  <c r="BJ1395" i="1"/>
  <c r="CB1307" i="1"/>
  <c r="CE1227" i="1"/>
  <c r="BV496" i="1"/>
  <c r="BV1064" i="1"/>
  <c r="BY1177" i="1"/>
  <c r="BD144" i="1"/>
  <c r="CB1208" i="1"/>
  <c r="CE210" i="1"/>
  <c r="BY885" i="1"/>
  <c r="BG1137" i="1"/>
  <c r="CU1078" i="1"/>
  <c r="CU1068" i="1"/>
  <c r="CE333" i="1"/>
  <c r="BS1052" i="1"/>
  <c r="BS619" i="1"/>
  <c r="BD669" i="1"/>
  <c r="CU1271" i="1"/>
  <c r="CE494" i="1"/>
  <c r="BD375" i="1"/>
  <c r="BY260" i="1"/>
  <c r="BY1329" i="1"/>
  <c r="BY1365" i="1"/>
  <c r="CU1373" i="1"/>
  <c r="BD225" i="1"/>
  <c r="CB1054" i="1"/>
  <c r="BJ407" i="1"/>
  <c r="BS296" i="1"/>
  <c r="BJ1135" i="1"/>
  <c r="CU1126" i="1"/>
  <c r="CU624" i="1"/>
  <c r="BG1363" i="1"/>
  <c r="BD525" i="1"/>
  <c r="BC525" i="1" s="1"/>
  <c r="BV1408" i="1"/>
  <c r="BJ685" i="1"/>
  <c r="BD1189" i="1"/>
  <c r="CU608" i="1"/>
  <c r="CB545" i="1"/>
  <c r="BV545" i="1"/>
  <c r="CU541" i="1"/>
  <c r="BJ641" i="1"/>
  <c r="CE558" i="1"/>
  <c r="BG558" i="1"/>
  <c r="BG616" i="1"/>
  <c r="BG360" i="1"/>
  <c r="CK929" i="1"/>
  <c r="CB239" i="1"/>
  <c r="BV239" i="1"/>
  <c r="BD495" i="1"/>
  <c r="BJ1229" i="1"/>
  <c r="BG975" i="1"/>
  <c r="BS478" i="1"/>
  <c r="BJ478" i="1"/>
  <c r="CK856" i="1"/>
  <c r="CE1199" i="1"/>
  <c r="CB988" i="1"/>
  <c r="BG1053" i="1"/>
  <c r="CE1053" i="1"/>
  <c r="CU1173" i="1"/>
  <c r="CB379" i="1"/>
  <c r="BD841" i="1"/>
  <c r="BG1076" i="1"/>
  <c r="BD1076" i="1"/>
  <c r="CU849" i="1"/>
  <c r="BG267" i="1"/>
  <c r="BY326" i="1"/>
  <c r="CE242" i="1"/>
  <c r="BV242" i="1"/>
  <c r="BV1246" i="1"/>
  <c r="CK1117" i="1"/>
  <c r="BV364" i="1"/>
  <c r="CB648" i="1"/>
  <c r="BJ497" i="1"/>
  <c r="BV927" i="1"/>
  <c r="CB198" i="1"/>
  <c r="BD993" i="1"/>
  <c r="BS1395" i="1"/>
  <c r="CE347" i="1"/>
  <c r="CE1289" i="1"/>
  <c r="CE1028" i="1"/>
  <c r="CK857" i="1"/>
  <c r="CK1064" i="1"/>
  <c r="CB479" i="1"/>
  <c r="BJ144" i="1"/>
  <c r="CE1208" i="1"/>
  <c r="CK210" i="1"/>
  <c r="CE885" i="1"/>
  <c r="BV1137" i="1"/>
  <c r="BS1078" i="1"/>
  <c r="CB401" i="1"/>
  <c r="BJ333" i="1"/>
  <c r="BD951" i="1"/>
  <c r="CB619" i="1"/>
  <c r="BG669" i="1"/>
  <c r="BS1271" i="1"/>
  <c r="BD412" i="1"/>
  <c r="BG375" i="1"/>
  <c r="BJ395" i="1"/>
  <c r="CB1329" i="1"/>
  <c r="BG1365" i="1"/>
  <c r="CK1373" i="1"/>
  <c r="CU225" i="1"/>
  <c r="BD1054" i="1"/>
  <c r="CB407" i="1"/>
  <c r="CU296" i="1"/>
  <c r="BS1126" i="1"/>
  <c r="CU362" i="1"/>
  <c r="BD624" i="1"/>
  <c r="BJ1363" i="1"/>
  <c r="BG525" i="1"/>
  <c r="BF525" i="1" s="1"/>
  <c r="BS1408" i="1"/>
  <c r="BV685" i="1"/>
  <c r="CK1189" i="1"/>
  <c r="BJ608" i="1"/>
  <c r="CE545" i="1"/>
  <c r="BY545" i="1"/>
  <c r="CE541" i="1"/>
  <c r="CU641" i="1"/>
  <c r="BD558" i="1"/>
  <c r="BJ616" i="1"/>
  <c r="CU360" i="1"/>
  <c r="BG929" i="1"/>
  <c r="BD239" i="1"/>
  <c r="BY239" i="1"/>
  <c r="BG495" i="1"/>
  <c r="BV1229" i="1"/>
  <c r="CU975" i="1"/>
  <c r="BV478" i="1"/>
  <c r="CU478" i="1"/>
  <c r="CU856" i="1"/>
  <c r="BD1199" i="1"/>
  <c r="CE988" i="1"/>
  <c r="CU1053" i="1"/>
  <c r="CK1053" i="1"/>
  <c r="BJ1173" i="1"/>
  <c r="CE379" i="1"/>
  <c r="CE841" i="1"/>
  <c r="CK1076" i="1"/>
  <c r="CE1076" i="1"/>
  <c r="BJ849" i="1"/>
  <c r="CU267" i="1"/>
  <c r="CB326" i="1"/>
  <c r="BD242" i="1"/>
  <c r="CB242" i="1"/>
  <c r="CB1246" i="1"/>
  <c r="BG1117" i="1"/>
  <c r="BV299" i="1"/>
  <c r="CE705" i="1"/>
  <c r="CK648" i="1"/>
  <c r="CK1124" i="1"/>
  <c r="CU411" i="1"/>
  <c r="CB604" i="1"/>
  <c r="CA604" i="1" s="1"/>
  <c r="BD660" i="1"/>
  <c r="CK637" i="1"/>
  <c r="CB529" i="1"/>
  <c r="CU1289" i="1"/>
  <c r="BD1028" i="1"/>
  <c r="BG857" i="1"/>
  <c r="BG1064" i="1"/>
  <c r="BD479" i="1"/>
  <c r="BS144" i="1"/>
  <c r="BV448" i="1"/>
  <c r="BS210" i="1"/>
  <c r="BS855" i="1"/>
  <c r="BY1137" i="1"/>
  <c r="CB1078" i="1"/>
  <c r="CE401" i="1"/>
  <c r="CB333" i="1"/>
  <c r="CK951" i="1"/>
  <c r="CE619" i="1"/>
  <c r="CK669" i="1"/>
  <c r="CE1271" i="1"/>
  <c r="CE412" i="1"/>
  <c r="CK375" i="1"/>
  <c r="BS395" i="1"/>
  <c r="CE1329" i="1"/>
  <c r="BJ1365" i="1"/>
  <c r="BG1373" i="1"/>
  <c r="BG225" i="1"/>
  <c r="CE1054" i="1"/>
  <c r="BV296" i="1"/>
  <c r="BS1135" i="1"/>
  <c r="BV1126" i="1"/>
  <c r="BV362" i="1"/>
  <c r="CB624" i="1"/>
  <c r="BS1363" i="1"/>
  <c r="CU1363" i="1"/>
  <c r="CU525" i="1"/>
  <c r="CS525" i="1" s="1"/>
  <c r="CB1408" i="1"/>
  <c r="CK685" i="1"/>
  <c r="BG1189" i="1"/>
  <c r="BV608" i="1"/>
  <c r="BD545" i="1"/>
  <c r="BD541" i="1"/>
  <c r="BS641" i="1"/>
  <c r="CK558" i="1"/>
  <c r="BS616" i="1"/>
  <c r="CK616" i="1"/>
  <c r="BJ360" i="1"/>
  <c r="CU929" i="1"/>
  <c r="CE239" i="1"/>
  <c r="BJ495" i="1"/>
  <c r="BY495" i="1"/>
  <c r="BY1229" i="1"/>
  <c r="BS975" i="1"/>
  <c r="BY478" i="1"/>
  <c r="BJ856" i="1"/>
  <c r="BD856" i="1"/>
  <c r="CK1199" i="1"/>
  <c r="BD988" i="1"/>
  <c r="BJ1053" i="1"/>
  <c r="BY1173" i="1"/>
  <c r="BS1173" i="1"/>
  <c r="BD379" i="1"/>
  <c r="BG841" i="1"/>
  <c r="BJ1076" i="1"/>
  <c r="BY849" i="1"/>
  <c r="BV849" i="1"/>
  <c r="BV267" i="1"/>
  <c r="BD326" i="1"/>
  <c r="CK242" i="1"/>
  <c r="BD1246" i="1"/>
  <c r="BY1246" i="1"/>
  <c r="BS1115" i="1"/>
  <c r="CK619" i="1"/>
  <c r="CE296" i="1"/>
  <c r="CE362" i="1"/>
  <c r="BY525" i="1"/>
  <c r="BX525" i="1" s="1"/>
  <c r="CB685" i="1"/>
  <c r="CU1189" i="1"/>
  <c r="BS545" i="1"/>
  <c r="CB641" i="1"/>
  <c r="BV558" i="1"/>
  <c r="BY360" i="1"/>
  <c r="BJ239" i="1"/>
  <c r="CK1229" i="1"/>
  <c r="CE975" i="1"/>
  <c r="BV1199" i="1"/>
  <c r="BY1053" i="1"/>
  <c r="CU379" i="1"/>
  <c r="BV1076" i="1"/>
  <c r="BY267" i="1"/>
  <c r="CU1246" i="1"/>
  <c r="BV1293" i="1"/>
  <c r="CU855" i="1"/>
  <c r="CB951" i="1"/>
  <c r="BY1271" i="1"/>
  <c r="BG260" i="1"/>
  <c r="BD1373" i="1"/>
  <c r="CU407" i="1"/>
  <c r="CK1126" i="1"/>
  <c r="BD1363" i="1"/>
  <c r="CE685" i="1"/>
  <c r="BS608" i="1"/>
  <c r="BD641" i="1"/>
  <c r="BD616" i="1"/>
  <c r="BY929" i="1"/>
  <c r="BG1229" i="1"/>
  <c r="CK478" i="1"/>
  <c r="BV988" i="1"/>
  <c r="CK1173" i="1"/>
  <c r="BV841" i="1"/>
  <c r="CE267" i="1"/>
  <c r="BS242" i="1"/>
  <c r="BV1428" i="1"/>
  <c r="BJ705" i="1"/>
  <c r="CU647" i="1"/>
  <c r="CU1124" i="1"/>
  <c r="BG1134" i="1"/>
  <c r="CB654" i="1"/>
  <c r="CU1324" i="1"/>
  <c r="CE660" i="1"/>
  <c r="BG637" i="1"/>
  <c r="CE529" i="1"/>
  <c r="CB393" i="1"/>
  <c r="BJ1028" i="1"/>
  <c r="BJ857" i="1"/>
  <c r="BJ1064" i="1"/>
  <c r="BG479" i="1"/>
  <c r="CE144" i="1"/>
  <c r="BD448" i="1"/>
  <c r="BG210" i="1"/>
  <c r="BV855" i="1"/>
  <c r="BD1137" i="1"/>
  <c r="BV1068" i="1"/>
  <c r="BG401" i="1"/>
  <c r="CU333" i="1"/>
  <c r="CU951" i="1"/>
  <c r="CU707" i="1"/>
  <c r="BY669" i="1"/>
  <c r="BY494" i="1"/>
  <c r="CK412" i="1"/>
  <c r="CE260" i="1"/>
  <c r="CE395" i="1"/>
  <c r="BG1329" i="1"/>
  <c r="CU1365" i="1"/>
  <c r="BV1373" i="1"/>
  <c r="BG1054" i="1"/>
  <c r="BD407" i="1"/>
  <c r="BY296" i="1"/>
  <c r="BY1135" i="1"/>
  <c r="CB1126" i="1"/>
  <c r="BY362" i="1"/>
  <c r="CE624" i="1"/>
  <c r="BV1363" i="1"/>
  <c r="BS525" i="1"/>
  <c r="BR525" i="1" s="1"/>
  <c r="BD1408" i="1"/>
  <c r="CE1408" i="1"/>
  <c r="BD685" i="1"/>
  <c r="BJ1189" i="1"/>
  <c r="BY608" i="1"/>
  <c r="CK545" i="1"/>
  <c r="BY541" i="1"/>
  <c r="BS541" i="1"/>
  <c r="BG641" i="1"/>
  <c r="BJ558" i="1"/>
  <c r="BV616" i="1"/>
  <c r="CU616" i="1"/>
  <c r="BV360" i="1"/>
  <c r="BS929" i="1"/>
  <c r="BG239" i="1"/>
  <c r="BS495" i="1"/>
  <c r="CK495" i="1"/>
  <c r="CE1229" i="1"/>
  <c r="BV975" i="1"/>
  <c r="CB478" i="1"/>
  <c r="BS856" i="1"/>
  <c r="BG856" i="1"/>
  <c r="BG1199" i="1"/>
  <c r="CK988" i="1"/>
  <c r="BS1053" i="1"/>
  <c r="CB1173" i="1"/>
  <c r="BV1173" i="1"/>
  <c r="BG379" i="1"/>
  <c r="CK841" i="1"/>
  <c r="CU1076" i="1"/>
  <c r="CB849" i="1"/>
  <c r="BS849" i="1"/>
  <c r="BJ267" i="1"/>
  <c r="CE326" i="1"/>
  <c r="BG242" i="1"/>
  <c r="CK1246" i="1"/>
  <c r="CE1246" i="1"/>
  <c r="BV1115" i="1"/>
  <c r="BY456" i="1"/>
  <c r="BG343" i="1"/>
  <c r="BD1178" i="1"/>
  <c r="BS1174" i="1"/>
  <c r="BJ612" i="1"/>
  <c r="BD1310" i="1"/>
  <c r="CK393" i="1"/>
  <c r="CK496" i="1"/>
  <c r="BD1236" i="1"/>
  <c r="CK1177" i="1"/>
  <c r="BS479" i="1"/>
  <c r="BG1208" i="1"/>
  <c r="BG448" i="1"/>
  <c r="CK885" i="1"/>
  <c r="BY855" i="1"/>
  <c r="BD1078" i="1"/>
  <c r="CE1068" i="1"/>
  <c r="BV401" i="1"/>
  <c r="CK1052" i="1"/>
  <c r="BY951" i="1"/>
  <c r="BY707" i="1"/>
  <c r="BV1271" i="1"/>
  <c r="CU494" i="1"/>
  <c r="BV375" i="1"/>
  <c r="CK260" i="1"/>
  <c r="BD395" i="1"/>
  <c r="BS1329" i="1"/>
  <c r="CB1373" i="1"/>
  <c r="BV225" i="1"/>
  <c r="BS1054" i="1"/>
  <c r="BG407" i="1"/>
  <c r="BD1135" i="1"/>
  <c r="BD1126" i="1"/>
  <c r="CE1363" i="1"/>
  <c r="BG1408" i="1"/>
  <c r="BS1189" i="1"/>
  <c r="BD608" i="1"/>
  <c r="BG541" i="1"/>
  <c r="BY641" i="1"/>
  <c r="CE360" i="1"/>
  <c r="BJ929" i="1"/>
  <c r="CB1229" i="1"/>
  <c r="BY856" i="1"/>
  <c r="CU1199" i="1"/>
  <c r="CE1173" i="1"/>
  <c r="CU841" i="1"/>
  <c r="BD267" i="1"/>
  <c r="CU242" i="1"/>
  <c r="BD1115" i="1"/>
  <c r="CB1115" i="1"/>
  <c r="BY468" i="1"/>
  <c r="CK1232" i="1"/>
  <c r="BV602" i="1"/>
  <c r="BV1059" i="1"/>
  <c r="CK1174" i="1"/>
  <c r="BS584" i="1"/>
  <c r="BV1227" i="1"/>
  <c r="CK1236" i="1"/>
  <c r="BV144" i="1"/>
  <c r="BS448" i="1"/>
  <c r="CK1078" i="1"/>
  <c r="BS401" i="1"/>
  <c r="BJ619" i="1"/>
  <c r="BJ494" i="1"/>
  <c r="BG395" i="1"/>
  <c r="BY225" i="1"/>
  <c r="BG296" i="1"/>
  <c r="BG362" i="1"/>
  <c r="CB525" i="1"/>
  <c r="CA525" i="1" s="1"/>
  <c r="BV1189" i="1"/>
  <c r="CU545" i="1"/>
  <c r="CK641" i="1"/>
  <c r="BD360" i="1"/>
  <c r="CU239" i="1"/>
  <c r="BD975" i="1"/>
  <c r="CB856" i="1"/>
  <c r="BJ988" i="1"/>
  <c r="BV379" i="1"/>
  <c r="BY1076" i="1"/>
  <c r="BS326" i="1"/>
  <c r="BJ1246" i="1"/>
  <c r="CU964" i="1"/>
  <c r="BG1086" i="1"/>
  <c r="BG418" i="1"/>
  <c r="BY1059" i="1"/>
  <c r="BG1073" i="1"/>
  <c r="BV584" i="1"/>
  <c r="CU1310" i="1"/>
  <c r="BY1421" i="1"/>
  <c r="BG485" i="1"/>
  <c r="BD1157" i="1"/>
  <c r="CK343" i="1"/>
  <c r="CE1178" i="1"/>
  <c r="BJ1324" i="1"/>
  <c r="CK612" i="1"/>
  <c r="CK529" i="1"/>
  <c r="CE393" i="1"/>
  <c r="BV1028" i="1"/>
  <c r="BY1236" i="1"/>
  <c r="CB1177" i="1"/>
  <c r="CU479" i="1"/>
  <c r="BD1208" i="1"/>
  <c r="CK448" i="1"/>
  <c r="BD885" i="1"/>
  <c r="CB855" i="1"/>
  <c r="BS1137" i="1"/>
  <c r="BY1068" i="1"/>
  <c r="CU401" i="1"/>
  <c r="CE1052" i="1"/>
  <c r="BJ951" i="1"/>
  <c r="BJ707" i="1"/>
  <c r="CU669" i="1"/>
  <c r="CB494" i="1"/>
  <c r="BJ412" i="1"/>
  <c r="BD260" i="1"/>
  <c r="BY395" i="1"/>
  <c r="CK1329" i="1"/>
  <c r="BY1373" i="1"/>
  <c r="BJ225" i="1"/>
  <c r="BJ1054" i="1"/>
  <c r="CK407" i="1"/>
  <c r="CB296" i="1"/>
  <c r="CB1135" i="1"/>
  <c r="CE1126" i="1"/>
  <c r="CB362" i="1"/>
  <c r="CK624" i="1"/>
  <c r="CB1363" i="1"/>
  <c r="BV525" i="1"/>
  <c r="BU525" i="1" s="1"/>
  <c r="CK1408" i="1"/>
  <c r="BY685" i="1"/>
  <c r="BS685" i="1"/>
  <c r="CB1189" i="1"/>
  <c r="CE608" i="1"/>
  <c r="BJ545" i="1"/>
  <c r="CB541" i="1"/>
  <c r="BV541" i="1"/>
  <c r="BV641" i="1"/>
  <c r="BS558" i="1"/>
  <c r="BY616" i="1"/>
  <c r="CB360" i="1"/>
  <c r="BS360" i="1"/>
  <c r="BV929" i="1"/>
  <c r="CK239" i="1"/>
  <c r="BV495" i="1"/>
  <c r="BD1229" i="1"/>
  <c r="BS1229" i="1"/>
  <c r="BY975" i="1"/>
  <c r="CE478" i="1"/>
  <c r="BV856" i="1"/>
  <c r="BS1199" i="1"/>
  <c r="BJ1199" i="1"/>
  <c r="BG988" i="1"/>
  <c r="BV1053" i="1"/>
  <c r="BD1173" i="1"/>
  <c r="BJ379" i="1"/>
  <c r="CK379" i="1"/>
  <c r="BJ841" i="1"/>
  <c r="BS1076" i="1"/>
  <c r="CE849" i="1"/>
  <c r="CB267" i="1"/>
  <c r="BS267" i="1"/>
  <c r="CU326" i="1"/>
  <c r="BJ242" i="1"/>
  <c r="BG1246" i="1"/>
  <c r="BY1115" i="1"/>
  <c r="CK1084" i="1"/>
  <c r="BJ624" i="1"/>
  <c r="CB616" i="1"/>
  <c r="CB495" i="1"/>
  <c r="BD478" i="1"/>
  <c r="CU988" i="1"/>
  <c r="BS379" i="1"/>
  <c r="BD849" i="1"/>
  <c r="BG326" i="1"/>
  <c r="CK1106" i="1"/>
  <c r="CU515" i="1"/>
  <c r="BV963" i="1"/>
  <c r="CE433" i="1"/>
  <c r="CK1310" i="1"/>
  <c r="BG496" i="1"/>
  <c r="CU1177" i="1"/>
  <c r="BS1208" i="1"/>
  <c r="BG885" i="1"/>
  <c r="BD1068" i="1"/>
  <c r="BJ1052" i="1"/>
  <c r="BS707" i="1"/>
  <c r="BY375" i="1"/>
  <c r="BS1365" i="1"/>
  <c r="BV1054" i="1"/>
  <c r="CK1135" i="1"/>
  <c r="BV624" i="1"/>
  <c r="CU1408" i="1"/>
  <c r="CK608" i="1"/>
  <c r="CK541" i="1"/>
  <c r="BY558" i="1"/>
  <c r="CE929" i="1"/>
  <c r="CE495" i="1"/>
  <c r="BJ975" i="1"/>
  <c r="BY1199" i="1"/>
  <c r="CB1053" i="1"/>
  <c r="BY841" i="1"/>
  <c r="CK849" i="1"/>
  <c r="BJ326" i="1"/>
  <c r="CK1115" i="1"/>
  <c r="CE1115" i="1"/>
  <c r="BS887" i="1"/>
  <c r="BY626" i="1"/>
  <c r="BY963" i="1"/>
  <c r="BS433" i="1"/>
  <c r="BD1307" i="1"/>
  <c r="BY1227" i="1"/>
  <c r="CB210" i="1"/>
  <c r="BV1365" i="1"/>
  <c r="CK362" i="1"/>
  <c r="CE1189" i="1"/>
  <c r="CU558" i="1"/>
  <c r="CU1229" i="1"/>
  <c r="BD1053" i="1"/>
  <c r="BV326" i="1"/>
  <c r="BJ855" i="1"/>
  <c r="CE225" i="1"/>
  <c r="CE616" i="1"/>
  <c r="BY379" i="1"/>
  <c r="BG1115" i="1"/>
  <c r="BG1078" i="1"/>
  <c r="BY1054" i="1"/>
  <c r="CK360" i="1"/>
  <c r="CB841" i="1"/>
  <c r="CU1115" i="1"/>
  <c r="CB1068" i="1"/>
  <c r="BV407" i="1"/>
  <c r="BD929" i="1"/>
  <c r="CE525" i="1"/>
  <c r="CD525" i="1" s="1"/>
  <c r="CB1199" i="1"/>
  <c r="BJ1408" i="1"/>
  <c r="BJ885" i="1"/>
  <c r="BY619" i="1"/>
  <c r="BJ1373" i="1"/>
  <c r="BG608" i="1"/>
  <c r="CK975" i="1"/>
  <c r="BG1173" i="1"/>
  <c r="CK326" i="1"/>
  <c r="CB669" i="1"/>
  <c r="BY624" i="1"/>
  <c r="CB608" i="1"/>
  <c r="CB975" i="1"/>
  <c r="BY242" i="1"/>
  <c r="BJ496" i="1"/>
  <c r="BD1271" i="1"/>
  <c r="BG545" i="1"/>
  <c r="BG478" i="1"/>
  <c r="BS1246" i="1"/>
  <c r="BS1236" i="1"/>
  <c r="BV494" i="1"/>
  <c r="CK1363" i="1"/>
  <c r="BS841" i="1"/>
  <c r="CU1052" i="1"/>
  <c r="BV260" i="1"/>
  <c r="CE641" i="1"/>
  <c r="BG849" i="1"/>
  <c r="BG685" i="1"/>
  <c r="CU495" i="1"/>
  <c r="CK267" i="1"/>
  <c r="CE856" i="1"/>
  <c r="BJ1115" i="1"/>
  <c r="BJ1177" i="1"/>
  <c r="BD333" i="1"/>
  <c r="CB375" i="1"/>
  <c r="BJ296" i="1"/>
  <c r="BJ541" i="1"/>
  <c r="CB929" i="1"/>
  <c r="CB1076" i="1"/>
  <c r="CB558" i="1"/>
  <c r="BS988" i="1"/>
  <c r="CB144" i="1"/>
  <c r="BG1135" i="1"/>
  <c r="BS239" i="1"/>
  <c r="BY988" i="1"/>
  <c r="BY1208" i="1"/>
  <c r="BJ1126" i="1"/>
  <c r="AT625" i="1"/>
  <c r="AT526" i="1"/>
  <c r="AT2448" i="1"/>
  <c r="AT536" i="1"/>
  <c r="AT2529" i="1"/>
  <c r="AT1257" i="1"/>
  <c r="AT2456" i="1"/>
  <c r="AT1103" i="1"/>
  <c r="AT1301" i="1"/>
  <c r="AT690" i="1"/>
  <c r="AT2482" i="1"/>
  <c r="AT2462" i="1"/>
  <c r="AT731" i="1"/>
  <c r="AT2444" i="1"/>
  <c r="AT638" i="1"/>
  <c r="AT2357" i="1"/>
  <c r="AT1440" i="1"/>
  <c r="AT722" i="1"/>
  <c r="AT2502" i="1"/>
  <c r="AT1262" i="1"/>
  <c r="AT571" i="1"/>
  <c r="AT1405" i="1"/>
  <c r="AT2313" i="1"/>
  <c r="AT679" i="1"/>
  <c r="AT2507" i="1"/>
  <c r="AT2534" i="1"/>
  <c r="AT715" i="1"/>
  <c r="AT2517" i="1"/>
  <c r="AT1396" i="1"/>
  <c r="AT720" i="1"/>
  <c r="AT1433" i="1"/>
  <c r="AT1439" i="1"/>
  <c r="AT1434" i="1"/>
  <c r="AT635" i="1"/>
  <c r="AT631" i="1"/>
  <c r="AT719" i="1"/>
  <c r="AT1308" i="1"/>
  <c r="AT477" i="1"/>
  <c r="AT2455" i="1"/>
  <c r="AT2458" i="1"/>
  <c r="AT2533" i="1"/>
  <c r="AT721" i="1"/>
  <c r="AT620" i="1"/>
  <c r="AT2480" i="1"/>
  <c r="AT1335" i="1"/>
  <c r="AT1296" i="1"/>
  <c r="AT650" i="1"/>
  <c r="AT2318" i="1"/>
  <c r="AT2117" i="1"/>
  <c r="AT1341" i="1"/>
  <c r="AT2368" i="1"/>
  <c r="AT2531" i="1"/>
  <c r="AT709" i="1"/>
  <c r="AT2526" i="1"/>
  <c r="AT2311" i="1"/>
  <c r="AT2539" i="1"/>
  <c r="AT1372" i="1"/>
  <c r="AT615" i="1"/>
  <c r="AT574" i="1"/>
  <c r="AT2524" i="1"/>
  <c r="AT2403" i="1"/>
  <c r="AT706" i="1"/>
  <c r="AT2512" i="1"/>
  <c r="AT2528" i="1"/>
  <c r="AT674" i="1"/>
  <c r="AT516" i="1"/>
  <c r="AT1352" i="1"/>
  <c r="AT1493" i="1"/>
  <c r="AT2459" i="1"/>
  <c r="AT2520" i="1"/>
  <c r="AT2542" i="1"/>
  <c r="AT1375" i="1"/>
  <c r="AT702" i="1"/>
  <c r="AT1427" i="1"/>
  <c r="AT727" i="1"/>
  <c r="AT522" i="1"/>
  <c r="AT725" i="1"/>
  <c r="AT1437" i="1"/>
  <c r="AT1438" i="1"/>
  <c r="AT668" i="1"/>
  <c r="AT1356" i="1"/>
  <c r="AT2530" i="1"/>
  <c r="AT726" i="1"/>
  <c r="AT2409" i="1"/>
  <c r="AT2453" i="1"/>
  <c r="AT684" i="1"/>
  <c r="AT2525" i="1"/>
  <c r="AT2484" i="1"/>
  <c r="AT724" i="1"/>
  <c r="AT713" i="1"/>
  <c r="AT2518" i="1"/>
  <c r="AT562" i="1"/>
  <c r="AT723" i="1"/>
  <c r="AT1435" i="1"/>
  <c r="AT1436" i="1"/>
  <c r="AT1399" i="1"/>
  <c r="AT2509" i="1"/>
  <c r="AT1429" i="1"/>
  <c r="AT687" i="1"/>
  <c r="AT646" i="1"/>
  <c r="AT2417" i="1"/>
  <c r="AT2532" i="1"/>
  <c r="AT698" i="1"/>
  <c r="AT2527" i="1"/>
  <c r="AT590" i="1"/>
  <c r="AT456" i="1"/>
  <c r="AT1135" i="1"/>
  <c r="AT549" i="1"/>
  <c r="AT561" i="1"/>
  <c r="AT689" i="1"/>
  <c r="AT1426" i="1"/>
  <c r="AT1307" i="1"/>
  <c r="AT533" i="1"/>
  <c r="AT192" i="1"/>
  <c r="AT1054" i="1"/>
  <c r="AT957" i="1"/>
  <c r="AT394" i="1"/>
  <c r="AT623" i="1"/>
  <c r="AT665" i="1"/>
  <c r="AT462" i="1"/>
  <c r="AT321" i="1"/>
  <c r="AT1304" i="1"/>
  <c r="AT637" i="1"/>
  <c r="AT1124" i="1"/>
  <c r="AT865" i="1"/>
  <c r="AT1422" i="1"/>
  <c r="AT643" i="1"/>
  <c r="AT703" i="1"/>
  <c r="AT1424" i="1"/>
  <c r="AT624" i="1"/>
  <c r="AT1363" i="1"/>
  <c r="AT670" i="1"/>
  <c r="AT1444" i="1"/>
  <c r="AT663" i="1"/>
  <c r="AT1371" i="1"/>
  <c r="AT1408" i="1"/>
  <c r="AT608" i="1"/>
  <c r="AT548" i="1"/>
  <c r="AT1360" i="1"/>
  <c r="AT558" i="1"/>
  <c r="AT1383" i="1"/>
  <c r="AT1334" i="1"/>
  <c r="AT691" i="1"/>
  <c r="AT1300" i="1"/>
  <c r="AT729" i="1"/>
  <c r="AT1290" i="1"/>
  <c r="AT651" i="1"/>
  <c r="AT627" i="1"/>
  <c r="AT1365" i="1"/>
  <c r="AT1392" i="1"/>
  <c r="AT1326" i="1"/>
  <c r="AT636" i="1"/>
  <c r="AT1292" i="1"/>
  <c r="AT505" i="1"/>
  <c r="AT1241" i="1"/>
  <c r="AT1234" i="1"/>
  <c r="AT1220" i="1"/>
  <c r="AT1209" i="1"/>
  <c r="AT500" i="1"/>
  <c r="AT443" i="1"/>
  <c r="AT1177" i="1"/>
  <c r="AT144" i="1"/>
  <c r="AT448" i="1"/>
  <c r="AT1056" i="1"/>
  <c r="AT855" i="1"/>
  <c r="AT401" i="1"/>
  <c r="AT1271" i="1"/>
  <c r="AT1280" i="1"/>
  <c r="AT384" i="1"/>
  <c r="AT1093" i="1"/>
  <c r="AT1131" i="1"/>
  <c r="AT231" i="1"/>
  <c r="AT1205" i="1"/>
  <c r="AT445" i="1"/>
  <c r="AT223" i="1"/>
  <c r="AT139" i="1"/>
  <c r="AT396" i="1"/>
  <c r="AT451" i="1"/>
  <c r="AT1063" i="1"/>
  <c r="AT364" i="1"/>
  <c r="AT987" i="1"/>
  <c r="AT1071" i="1"/>
  <c r="AT343" i="1"/>
  <c r="AT348" i="1"/>
  <c r="AT657" i="1"/>
  <c r="AT569" i="1"/>
  <c r="AT1393" i="1"/>
  <c r="AT1294" i="1"/>
  <c r="AT1315" i="1"/>
  <c r="AT1175" i="1"/>
  <c r="AT958" i="1"/>
  <c r="AT400" i="1"/>
  <c r="AT1416" i="1"/>
  <c r="AT1364" i="1"/>
  <c r="AT1244" i="1"/>
  <c r="AT454" i="1"/>
  <c r="AT956" i="1"/>
  <c r="AT576" i="1"/>
  <c r="AT475" i="1"/>
  <c r="AT1279" i="1"/>
  <c r="AT482" i="1"/>
  <c r="AT339" i="1"/>
  <c r="AT697" i="1"/>
  <c r="AT1462" i="1"/>
  <c r="AT1287" i="1"/>
  <c r="AT613" i="1"/>
  <c r="AT544" i="1"/>
  <c r="AT1390" i="1"/>
  <c r="AT1445" i="1"/>
  <c r="AT1407" i="1"/>
  <c r="AT568" i="1"/>
  <c r="AT1351" i="1"/>
  <c r="AT732" i="1"/>
  <c r="AT520" i="1"/>
  <c r="AT599" i="1"/>
  <c r="AT632" i="1"/>
  <c r="AT1328" i="1"/>
  <c r="AT349" i="1"/>
  <c r="AT476" i="1"/>
  <c r="AT629" i="1"/>
  <c r="AT514" i="1"/>
  <c r="AT699" i="1"/>
  <c r="AT1370" i="1"/>
  <c r="AT566" i="1"/>
  <c r="AT1369" i="1"/>
  <c r="AT1347" i="1"/>
  <c r="AT1089" i="1"/>
  <c r="AT1255" i="1"/>
  <c r="AT653" i="1"/>
  <c r="AT1349" i="1"/>
  <c r="AT1325" i="1"/>
  <c r="AT923" i="1"/>
  <c r="AT494" i="1"/>
  <c r="AT446" i="1"/>
  <c r="AT468" i="1"/>
  <c r="AT1207" i="1"/>
  <c r="AT919" i="1"/>
  <c r="AT498" i="1"/>
  <c r="AT983" i="1"/>
  <c r="AT224" i="1"/>
  <c r="AT1082" i="1"/>
  <c r="AT330" i="1"/>
  <c r="AT317" i="1"/>
  <c r="AT355" i="1"/>
  <c r="AT316" i="1"/>
  <c r="AT1314" i="1"/>
  <c r="AT480" i="1"/>
  <c r="AT493" i="1"/>
  <c r="AT336" i="1"/>
  <c r="AT1217" i="1"/>
  <c r="AT1139" i="1"/>
  <c r="AT442" i="1"/>
  <c r="AT379" i="1"/>
  <c r="AT1076" i="1"/>
  <c r="AT326" i="1"/>
  <c r="AT447" i="1"/>
  <c r="AT327" i="1"/>
  <c r="AT413" i="1"/>
  <c r="AT403" i="1"/>
  <c r="AT963" i="1"/>
  <c r="AT404" i="1"/>
  <c r="AT347" i="1"/>
  <c r="AT589" i="1"/>
  <c r="AT510" i="1"/>
  <c r="AT672" i="1"/>
  <c r="AT529" i="1"/>
  <c r="AT1331" i="1"/>
  <c r="AT1461" i="1"/>
  <c r="AT380" i="1"/>
  <c r="AT435" i="1"/>
  <c r="AT531" i="1"/>
  <c r="AT639" i="1"/>
  <c r="AT225" i="1"/>
  <c r="AT1200" i="1"/>
  <c r="AT362" i="1"/>
  <c r="AT1362" i="1"/>
  <c r="AT1330" i="1"/>
  <c r="AT1084" i="1"/>
  <c r="AT466" i="1"/>
  <c r="AT1059" i="1"/>
  <c r="AT695" i="1"/>
  <c r="AT708" i="1"/>
  <c r="AT648" i="1"/>
  <c r="AT1417" i="1"/>
  <c r="AT1388" i="1"/>
  <c r="AT1102" i="1"/>
  <c r="AT567" i="1"/>
  <c r="AT582" i="1"/>
  <c r="AT525" i="1"/>
  <c r="AT685" i="1"/>
  <c r="AT1345" i="1"/>
  <c r="AT545" i="1"/>
  <c r="AT1188" i="1"/>
  <c r="AT1431" i="1"/>
  <c r="AT712" i="1"/>
  <c r="AT1256" i="1"/>
  <c r="AT588" i="1"/>
  <c r="AT600" i="1"/>
  <c r="AT1361" i="1"/>
  <c r="AT1442" i="1"/>
  <c r="AT1367" i="1"/>
  <c r="AT642" i="1"/>
  <c r="AT1389" i="1"/>
  <c r="AT1324" i="1"/>
  <c r="AT474" i="1"/>
  <c r="AT1245" i="1"/>
  <c r="AT1086" i="1"/>
  <c r="AT398" i="1"/>
  <c r="AT1219" i="1"/>
  <c r="AT453" i="1"/>
  <c r="AT556" i="1"/>
  <c r="AT393" i="1"/>
  <c r="AT496" i="1"/>
  <c r="AT489" i="1"/>
  <c r="AT479" i="1"/>
  <c r="AT1208" i="1"/>
  <c r="AT397" i="1"/>
  <c r="AT434" i="1"/>
  <c r="AT1137" i="1"/>
  <c r="AT333" i="1"/>
  <c r="AT542" i="1"/>
  <c r="AT1109" i="1"/>
  <c r="AT1194" i="1"/>
  <c r="AT1050" i="1"/>
  <c r="AT1213" i="1"/>
  <c r="AT356" i="1"/>
  <c r="AT438" i="1"/>
  <c r="AT878" i="1"/>
  <c r="AT1133" i="1"/>
  <c r="AT968" i="1"/>
  <c r="AT952" i="1"/>
  <c r="AT994" i="1"/>
  <c r="AT345" i="1"/>
  <c r="AT1125" i="1"/>
  <c r="AT444" i="1"/>
  <c r="AT360" i="1"/>
  <c r="AT1381" i="1"/>
  <c r="AT681" i="1"/>
  <c r="AT1376" i="1"/>
  <c r="AT1400" i="1"/>
  <c r="AT728" i="1"/>
  <c r="AT579" i="1"/>
  <c r="AT887" i="1"/>
  <c r="AT1174" i="1"/>
  <c r="AT296" i="1"/>
  <c r="AT1318" i="1"/>
  <c r="AT1310" i="1"/>
  <c r="AT1238" i="1"/>
  <c r="AT436" i="1"/>
  <c r="AT534" i="1"/>
  <c r="AT470" i="1"/>
  <c r="AT270" i="1"/>
  <c r="AT198" i="1"/>
  <c r="AT1327" i="1"/>
  <c r="AT1340" i="1"/>
  <c r="AT1329" i="1"/>
  <c r="AT675" i="1"/>
  <c r="AT1268" i="1"/>
  <c r="AT1414" i="1"/>
  <c r="AT550" i="1"/>
  <c r="AT521" i="1"/>
  <c r="AT659" i="1"/>
  <c r="AT559" i="1"/>
  <c r="AT658" i="1"/>
  <c r="AT704" i="1"/>
  <c r="AT1403" i="1"/>
  <c r="AT1196" i="1"/>
  <c r="AT652" i="1"/>
  <c r="AT617" i="1"/>
  <c r="AT718" i="1"/>
  <c r="AT535" i="1"/>
  <c r="AT1398" i="1"/>
  <c r="AT644" i="1"/>
  <c r="AT692" i="1"/>
  <c r="AT654" i="1"/>
  <c r="AT1339" i="1"/>
  <c r="AT1344" i="1"/>
  <c r="AT1321" i="1"/>
  <c r="AT1283" i="1"/>
  <c r="AT680" i="1"/>
  <c r="AT1299" i="1"/>
  <c r="AT647" i="1"/>
  <c r="AT519" i="1"/>
  <c r="AT586" i="1"/>
  <c r="AT1178" i="1"/>
  <c r="AT1237" i="1"/>
  <c r="AT1057" i="1"/>
  <c r="AT418" i="1"/>
  <c r="AT324" i="1"/>
  <c r="AT660" i="1"/>
  <c r="AT1377" i="1"/>
  <c r="AT1425" i="1"/>
  <c r="AT1322" i="1"/>
  <c r="AT1353" i="1"/>
  <c r="AT1270" i="1"/>
  <c r="AT879" i="1"/>
  <c r="AT1157" i="1"/>
  <c r="AT1156" i="1"/>
  <c r="AT634" i="1"/>
  <c r="AT666" i="1"/>
  <c r="AT565" i="1"/>
  <c r="AT1204" i="1"/>
  <c r="AT335" i="1"/>
  <c r="AT667" i="1"/>
  <c r="AT1338" i="1"/>
  <c r="AT1034" i="1"/>
  <c r="AT410" i="1"/>
  <c r="AT701" i="1"/>
  <c r="AT714" i="1"/>
  <c r="AT515" i="1"/>
  <c r="AT553" i="1"/>
  <c r="AT656" i="1"/>
  <c r="AT595" i="1"/>
  <c r="AT609" i="1"/>
  <c r="AT583" i="1"/>
  <c r="AT1261" i="1"/>
  <c r="AT1415" i="1"/>
  <c r="AT682" i="1"/>
  <c r="AT664" i="1"/>
  <c r="AT541" i="1"/>
  <c r="AT1254" i="1"/>
  <c r="AT673" i="1"/>
  <c r="AT1366" i="1"/>
  <c r="AT1421" i="1"/>
  <c r="AT621" i="1"/>
  <c r="AT1413" i="1"/>
  <c r="AT693" i="1"/>
  <c r="AT1391" i="1"/>
  <c r="AT1384" i="1"/>
  <c r="AT513" i="1"/>
  <c r="AT1231" i="1"/>
  <c r="AT1350" i="1"/>
  <c r="AT1232" i="1"/>
  <c r="AT1373" i="1"/>
  <c r="AT626" i="1"/>
  <c r="AT524" i="1"/>
  <c r="AT1106" i="1"/>
  <c r="AT490" i="1"/>
  <c r="AT1047" i="1"/>
  <c r="AT426" i="1"/>
  <c r="AT596" i="1"/>
  <c r="AT1227" i="1"/>
  <c r="AT857" i="1"/>
  <c r="AT1064" i="1"/>
  <c r="AT1216" i="1"/>
  <c r="AT414" i="1"/>
  <c r="AT1191" i="1"/>
  <c r="AT210" i="1"/>
  <c r="AT1078" i="1"/>
  <c r="AT1052" i="1"/>
  <c r="AT518" i="1"/>
  <c r="AT428" i="1"/>
  <c r="AT244" i="1"/>
  <c r="AT481" i="1"/>
  <c r="AT459" i="1"/>
  <c r="AT1203" i="1"/>
  <c r="AT1099" i="1"/>
  <c r="AT415" i="1"/>
  <c r="AT1039" i="1"/>
  <c r="AT1117" i="1"/>
  <c r="AT1192" i="1"/>
  <c r="AT214" i="1"/>
  <c r="AT408" i="1"/>
  <c r="AT1073" i="1"/>
  <c r="AT1190" i="1"/>
  <c r="AT1354" i="1"/>
  <c r="AT1128" i="1"/>
  <c r="AT1387" i="1"/>
  <c r="AT1423" i="1"/>
  <c r="AT497" i="1"/>
  <c r="AT1346" i="1"/>
  <c r="AT1276" i="1"/>
  <c r="AT1446" i="1"/>
  <c r="AT1087" i="1"/>
  <c r="AT603" i="1"/>
  <c r="AT1441" i="1"/>
  <c r="AT700" i="1"/>
  <c r="AT1409" i="1"/>
  <c r="AT669" i="1"/>
  <c r="AT587" i="1"/>
  <c r="AT452" i="1"/>
  <c r="AT1210" i="1"/>
  <c r="AT1258" i="1"/>
  <c r="AT441" i="1"/>
  <c r="AT1212" i="1"/>
  <c r="AT1123" i="1"/>
  <c r="AT1132" i="1"/>
  <c r="AT495" i="1"/>
  <c r="AT478" i="1"/>
  <c r="AT988" i="1"/>
  <c r="AT409" i="1"/>
  <c r="AT449" i="1"/>
  <c r="AT421" i="1"/>
  <c r="AT251" i="1"/>
  <c r="AT622" i="1"/>
  <c r="AT662" i="1"/>
  <c r="AT1275" i="1"/>
  <c r="AT381" i="1"/>
  <c r="AT402" i="1"/>
  <c r="AT458" i="1"/>
  <c r="AT1184" i="1"/>
  <c r="AT299" i="1"/>
  <c r="AT1430" i="1"/>
  <c r="AT1141" i="1"/>
  <c r="AT1374" i="1"/>
  <c r="AT1418" i="1"/>
  <c r="AT1358" i="1"/>
  <c r="AT486" i="1"/>
  <c r="AT998" i="1"/>
  <c r="AT1246" i="1"/>
  <c r="AT1180" i="1"/>
  <c r="AT429" i="1"/>
  <c r="AT618" i="1"/>
  <c r="AT1162" i="1"/>
  <c r="AT929" i="1"/>
  <c r="AT1049" i="1"/>
  <c r="AT671" i="1"/>
  <c r="AT716" i="1"/>
  <c r="AT1401" i="1"/>
  <c r="AT555" i="1"/>
  <c r="AT993" i="1"/>
  <c r="AT1122" i="1"/>
  <c r="AT1443" i="1"/>
  <c r="AT619" i="1"/>
  <c r="AT744" i="1"/>
  <c r="AT406" i="1"/>
  <c r="AT375" i="1"/>
  <c r="AT1126" i="1"/>
  <c r="AT686" i="1"/>
  <c r="AT1235" i="1"/>
  <c r="AT1079" i="1"/>
  <c r="AT1134" i="1"/>
  <c r="AT584" i="1"/>
  <c r="AT611" i="1"/>
  <c r="AT439" i="1"/>
  <c r="AT560" i="1"/>
  <c r="AT1233" i="1"/>
  <c r="AT1295" i="1"/>
  <c r="AT492" i="1"/>
  <c r="AT730" i="1"/>
  <c r="AT645" i="1"/>
  <c r="AT1277" i="1"/>
  <c r="AT1286" i="1"/>
  <c r="AT573" i="1"/>
  <c r="AT696" i="1"/>
  <c r="AT630" i="1"/>
  <c r="AT1379" i="1"/>
  <c r="AT1410" i="1"/>
  <c r="AT640" i="1"/>
  <c r="AT1260" i="1"/>
  <c r="AT1181" i="1"/>
  <c r="AT552" i="1"/>
  <c r="AT1116" i="1"/>
  <c r="AT437" i="1"/>
  <c r="AT1206" i="1"/>
  <c r="AT230" i="1"/>
  <c r="AT399" i="1"/>
  <c r="AT491" i="1"/>
  <c r="AT856" i="1"/>
  <c r="AT405" i="1"/>
  <c r="AT849" i="1"/>
  <c r="AT969" i="1"/>
  <c r="AT1081" i="1"/>
  <c r="AT395" i="1"/>
  <c r="AT1397" i="1"/>
  <c r="AT1198" i="1"/>
  <c r="AT707" i="1"/>
  <c r="AT1394" i="1"/>
  <c r="AT970" i="1"/>
  <c r="AT328" i="1"/>
  <c r="AT1163" i="1"/>
  <c r="AT1183" i="1"/>
  <c r="AT1053" i="1"/>
  <c r="AT1001" i="1"/>
  <c r="AT392" i="1"/>
  <c r="AT577" i="1"/>
  <c r="AT1412" i="1"/>
  <c r="AT677" i="1"/>
  <c r="AT602" i="1"/>
  <c r="AT885" i="1"/>
  <c r="AT964" i="1"/>
  <c r="AT981" i="1"/>
  <c r="AT1311" i="1"/>
  <c r="AT711" i="1"/>
  <c r="AT940" i="1"/>
  <c r="AT1142" i="1"/>
  <c r="AT1221" i="1"/>
  <c r="AT1289" i="1"/>
  <c r="AT1088" i="1"/>
  <c r="AT1385" i="1"/>
  <c r="AT1027" i="1"/>
  <c r="AT1201" i="1"/>
  <c r="AT232" i="1"/>
  <c r="AT605" i="1"/>
  <c r="AT1189" i="1"/>
  <c r="AT1386" i="1"/>
  <c r="AT461" i="1"/>
  <c r="AT1199" i="1"/>
  <c r="AT612" i="1"/>
  <c r="AT1419" i="1"/>
  <c r="AT604" i="1"/>
  <c r="AT1136" i="1"/>
  <c r="AT149" i="1"/>
  <c r="AT1046" i="1"/>
  <c r="AT593" i="1"/>
  <c r="AT1197" i="1"/>
  <c r="AT1343" i="1"/>
  <c r="AT352" i="1"/>
  <c r="AT1368" i="1"/>
  <c r="AT318" i="1"/>
  <c r="AT1395" i="1"/>
  <c r="AT331" i="1"/>
  <c r="AT530" i="1"/>
  <c r="AT1291" i="1"/>
  <c r="AT694" i="1"/>
  <c r="AT485" i="1"/>
  <c r="AT591" i="1"/>
  <c r="AT973" i="1"/>
  <c r="AT267" i="1"/>
  <c r="AT1406" i="1"/>
  <c r="AT1060" i="1"/>
  <c r="AT1428" i="1"/>
  <c r="AT1316" i="1"/>
  <c r="AT539" i="1"/>
  <c r="AT655" i="1"/>
  <c r="AT1251" i="1"/>
  <c r="AT1028" i="1"/>
  <c r="AT1041" i="1"/>
  <c r="AT951" i="1"/>
  <c r="AT1040" i="1"/>
  <c r="AT351" i="1"/>
  <c r="AT440" i="1"/>
  <c r="AT594" i="1"/>
  <c r="AT641" i="1"/>
  <c r="AT1357" i="1"/>
  <c r="AT1293" i="1"/>
  <c r="AT953" i="1"/>
  <c r="AT1118" i="1"/>
  <c r="AT1173" i="1"/>
  <c r="AT260" i="1"/>
  <c r="AT1378" i="1"/>
  <c r="AT1140" i="1"/>
  <c r="AT678" i="1"/>
  <c r="AT1404" i="1"/>
  <c r="AT1285" i="1"/>
  <c r="AT464" i="1"/>
  <c r="AT239" i="1"/>
  <c r="AT242" i="1"/>
  <c r="AT407" i="1"/>
  <c r="AT1336" i="1"/>
  <c r="AT1187" i="1"/>
  <c r="AT1202" i="1"/>
  <c r="AT1242" i="1"/>
  <c r="AT412" i="1"/>
  <c r="AT411" i="1"/>
  <c r="AT683" i="1"/>
  <c r="AT1355" i="1"/>
  <c r="AT1303" i="1"/>
  <c r="AT661" i="1"/>
  <c r="AT1179" i="1"/>
  <c r="AT974" i="1"/>
  <c r="AT688" i="1"/>
  <c r="AT457" i="1"/>
  <c r="AT649" i="1"/>
  <c r="AT616" i="1"/>
  <c r="AT982" i="1"/>
  <c r="AT455" i="1"/>
  <c r="AT1130" i="1"/>
  <c r="AT927" i="1"/>
  <c r="AT710" i="1"/>
  <c r="AT628" i="1"/>
  <c r="AT463" i="1"/>
  <c r="AT1070" i="1"/>
  <c r="AT1145" i="1"/>
  <c r="AT1281" i="1"/>
  <c r="AT1129" i="1"/>
  <c r="AT1359" i="1"/>
  <c r="AT1333" i="1"/>
  <c r="AT460" i="1"/>
  <c r="AT1182" i="1"/>
  <c r="AT1115" i="1"/>
  <c r="AT1420" i="1"/>
  <c r="AT1348" i="1"/>
  <c r="AT1253" i="1"/>
  <c r="AT422" i="1"/>
  <c r="AT928" i="1"/>
  <c r="AT368" i="1"/>
  <c r="AT1240" i="1"/>
  <c r="AT1380" i="1"/>
  <c r="AT1193" i="1"/>
  <c r="AT1402" i="1"/>
  <c r="AT614" i="1"/>
  <c r="AT1382" i="1"/>
  <c r="AT1317" i="1"/>
  <c r="AT383" i="1"/>
  <c r="AT1229" i="1"/>
  <c r="AT419" i="1"/>
  <c r="AT570" i="1"/>
  <c r="AT1101" i="1"/>
  <c r="AT733" i="1"/>
  <c r="AT1155" i="1"/>
  <c r="AT243" i="1"/>
  <c r="AT975" i="1"/>
  <c r="AT433" i="1"/>
  <c r="AT676" i="1"/>
  <c r="AT1411" i="1"/>
  <c r="AT1342" i="1"/>
  <c r="AT1332" i="1"/>
  <c r="AT841" i="1"/>
  <c r="AT1062" i="1"/>
  <c r="AT1185" i="1"/>
  <c r="AT705" i="1"/>
  <c r="AT633" i="1"/>
  <c r="AT1236" i="1"/>
  <c r="AT1068" i="1"/>
  <c r="AT1138" i="1"/>
  <c r="BX645" i="1" l="1"/>
  <c r="BZ645" i="1"/>
  <c r="CD1385" i="1"/>
  <c r="CF1385" i="1"/>
  <c r="BU1389" i="1"/>
  <c r="BW1389" i="1"/>
  <c r="BR1325" i="1"/>
  <c r="BT1325" i="1"/>
  <c r="BE692" i="1"/>
  <c r="BC692" i="1"/>
  <c r="CD1344" i="1"/>
  <c r="CF1344" i="1"/>
  <c r="BX1424" i="1"/>
  <c r="BZ1424" i="1"/>
  <c r="BH658" i="1"/>
  <c r="BF658" i="1"/>
  <c r="BH645" i="1"/>
  <c r="BF645" i="1"/>
  <c r="CS1285" i="1"/>
  <c r="CV1285" i="1"/>
  <c r="BC600" i="1"/>
  <c r="BE600" i="1"/>
  <c r="BC645" i="1"/>
  <c r="BE645" i="1"/>
  <c r="BZ1347" i="1"/>
  <c r="BX1347" i="1"/>
  <c r="BF1361" i="1"/>
  <c r="BH1361" i="1"/>
  <c r="CS1389" i="1"/>
  <c r="CV1389" i="1"/>
  <c r="CV1376" i="1"/>
  <c r="CS1376" i="1"/>
  <c r="CD594" i="1"/>
  <c r="CF594" i="1"/>
  <c r="CD1413" i="1"/>
  <c r="CF1413" i="1"/>
  <c r="BC599" i="1"/>
  <c r="BE599" i="1"/>
  <c r="CS588" i="1"/>
  <c r="CV588" i="1"/>
  <c r="CA1402" i="1"/>
  <c r="CC1402" i="1"/>
  <c r="CD1406" i="1"/>
  <c r="CF1406" i="1"/>
  <c r="BR600" i="1"/>
  <c r="BT600" i="1"/>
  <c r="CC653" i="1"/>
  <c r="CA653" i="1"/>
  <c r="BF1367" i="1"/>
  <c r="BH1367" i="1"/>
  <c r="BC642" i="1"/>
  <c r="BE642" i="1"/>
  <c r="CD1347" i="1"/>
  <c r="CF1347" i="1"/>
  <c r="BF1385" i="1"/>
  <c r="BH1385" i="1"/>
  <c r="BX699" i="1"/>
  <c r="BZ699" i="1"/>
  <c r="BR732" i="1"/>
  <c r="BT732" i="1"/>
  <c r="BZ1411" i="1"/>
  <c r="BX1411" i="1"/>
  <c r="BC1261" i="1"/>
  <c r="BE1261" i="1"/>
  <c r="CJ1385" i="1"/>
  <c r="CL1385" i="1"/>
  <c r="BI1344" i="1"/>
  <c r="BK1344" i="1"/>
  <c r="BX1188" i="1"/>
  <c r="BZ1188" i="1"/>
  <c r="BT1087" i="1"/>
  <c r="BR1087" i="1"/>
  <c r="CD1261" i="1"/>
  <c r="CF1261" i="1"/>
  <c r="BR1376" i="1"/>
  <c r="BT1376" i="1"/>
  <c r="BW1285" i="1"/>
  <c r="BU1285" i="1"/>
  <c r="BI1413" i="1"/>
  <c r="BK1413" i="1"/>
  <c r="BC553" i="1"/>
  <c r="BE553" i="1"/>
  <c r="CS1314" i="1"/>
  <c r="CV1314" i="1"/>
  <c r="BX1344" i="1"/>
  <c r="BZ1344" i="1"/>
  <c r="BX666" i="1"/>
  <c r="BZ666" i="1"/>
  <c r="BW676" i="1"/>
  <c r="BU676" i="1"/>
  <c r="CJ510" i="1"/>
  <c r="CL510" i="1"/>
  <c r="BZ1378" i="1"/>
  <c r="BX1378" i="1"/>
  <c r="BU1424" i="1"/>
  <c r="BW1424" i="1"/>
  <c r="BZ1281" i="1"/>
  <c r="BX1281" i="1"/>
  <c r="BF666" i="1"/>
  <c r="BH666" i="1"/>
  <c r="CV565" i="1"/>
  <c r="CS565" i="1"/>
  <c r="BI588" i="1"/>
  <c r="BK588" i="1"/>
  <c r="BI710" i="1"/>
  <c r="BK710" i="1"/>
  <c r="BU1344" i="1"/>
  <c r="BW1344" i="1"/>
  <c r="CJ1325" i="1"/>
  <c r="CL1325" i="1"/>
  <c r="CA1338" i="1"/>
  <c r="CC1338" i="1"/>
  <c r="BH1369" i="1"/>
  <c r="BF1369" i="1"/>
  <c r="BI1397" i="1"/>
  <c r="BK1397" i="1"/>
  <c r="CA699" i="1"/>
  <c r="CC699" i="1"/>
  <c r="BU1281" i="1"/>
  <c r="BW1281" i="1"/>
  <c r="BU1379" i="1"/>
  <c r="BW1379" i="1"/>
  <c r="BC1196" i="1"/>
  <c r="BE1196" i="1"/>
  <c r="CJ710" i="1"/>
  <c r="CL710" i="1"/>
  <c r="BF1358" i="1"/>
  <c r="BH1358" i="1"/>
  <c r="CL666" i="1"/>
  <c r="CJ666" i="1"/>
  <c r="BT1349" i="1"/>
  <c r="BR1349" i="1"/>
  <c r="CD1379" i="1"/>
  <c r="CF1379" i="1"/>
  <c r="CD621" i="1"/>
  <c r="CF621" i="1"/>
  <c r="CJ639" i="1"/>
  <c r="CL639" i="1"/>
  <c r="CD633" i="1"/>
  <c r="CF633" i="1"/>
  <c r="BX510" i="1"/>
  <c r="BZ510" i="1"/>
  <c r="CJ582" i="1"/>
  <c r="CL582" i="1"/>
  <c r="BF1368" i="1"/>
  <c r="BH1368" i="1"/>
  <c r="CS1410" i="1"/>
  <c r="CV1410" i="1"/>
  <c r="BC548" i="1"/>
  <c r="BE548" i="1"/>
  <c r="CA1412" i="1"/>
  <c r="CC1412" i="1"/>
  <c r="BX1393" i="1"/>
  <c r="BZ1393" i="1"/>
  <c r="BC1410" i="1"/>
  <c r="BE1410" i="1"/>
  <c r="BE1343" i="1"/>
  <c r="BC1343" i="1"/>
  <c r="BR548" i="1"/>
  <c r="BT548" i="1"/>
  <c r="CV553" i="1"/>
  <c r="CS553" i="1"/>
  <c r="BF652" i="1"/>
  <c r="BH652" i="1"/>
  <c r="CC1417" i="1"/>
  <c r="CA1417" i="1"/>
  <c r="BT682" i="1"/>
  <c r="BR682" i="1"/>
  <c r="BT704" i="1"/>
  <c r="BR704" i="1"/>
  <c r="BW1349" i="1"/>
  <c r="BU1349" i="1"/>
  <c r="CL1196" i="1"/>
  <c r="CJ1196" i="1"/>
  <c r="BX652" i="1"/>
  <c r="BZ652" i="1"/>
  <c r="BR628" i="1"/>
  <c r="BT628" i="1"/>
  <c r="CA1410" i="1"/>
  <c r="CC1410" i="1"/>
  <c r="CF630" i="1"/>
  <c r="CD630" i="1"/>
  <c r="CD1339" i="1"/>
  <c r="CF1339" i="1"/>
  <c r="BX565" i="1"/>
  <c r="BZ565" i="1"/>
  <c r="CD1390" i="1"/>
  <c r="CF1390" i="1"/>
  <c r="BC652" i="1"/>
  <c r="BE652" i="1"/>
  <c r="CD1392" i="1"/>
  <c r="CF1392" i="1"/>
  <c r="CV729" i="1"/>
  <c r="CS729" i="1"/>
  <c r="CS1377" i="1"/>
  <c r="CV1377" i="1"/>
  <c r="BE1417" i="1"/>
  <c r="BC1417" i="1"/>
  <c r="CD728" i="1"/>
  <c r="CF728" i="1"/>
  <c r="CJ729" i="1"/>
  <c r="CL729" i="1"/>
  <c r="BU640" i="1"/>
  <c r="BW640" i="1"/>
  <c r="CA1394" i="1"/>
  <c r="CC1394" i="1"/>
  <c r="BR729" i="1"/>
  <c r="BT729" i="1"/>
  <c r="CA1419" i="1"/>
  <c r="CC1419" i="1"/>
  <c r="CA1400" i="1"/>
  <c r="CC1400" i="1"/>
  <c r="BC588" i="1"/>
  <c r="BE588" i="1"/>
  <c r="BE1392" i="1"/>
  <c r="BC1392" i="1"/>
  <c r="CF639" i="1"/>
  <c r="CD639" i="1"/>
  <c r="BF1339" i="1"/>
  <c r="BH1339" i="1"/>
  <c r="CA1299" i="1"/>
  <c r="CC1299" i="1"/>
  <c r="CC628" i="1"/>
  <c r="CA628" i="1"/>
  <c r="CC1415" i="1"/>
  <c r="CA1415" i="1"/>
  <c r="BC694" i="1"/>
  <c r="BE694" i="1"/>
  <c r="CD729" i="1"/>
  <c r="CF729" i="1"/>
  <c r="BF1426" i="1"/>
  <c r="BH1426" i="1"/>
  <c r="CC1342" i="1"/>
  <c r="CA1342" i="1"/>
  <c r="CF588" i="1"/>
  <c r="CD588" i="1"/>
  <c r="CJ1364" i="1"/>
  <c r="CL1364" i="1"/>
  <c r="BT475" i="1"/>
  <c r="BR475" i="1"/>
  <c r="CS1370" i="1"/>
  <c r="CV1370" i="1"/>
  <c r="CL1339" i="1"/>
  <c r="CJ1339" i="1"/>
  <c r="BC1378" i="1"/>
  <c r="BE1378" i="1"/>
  <c r="BX1442" i="1"/>
  <c r="BZ1442" i="1"/>
  <c r="CA1101" i="1"/>
  <c r="CC1101" i="1"/>
  <c r="BW1342" i="1"/>
  <c r="BU1342" i="1"/>
  <c r="BX1303" i="1"/>
  <c r="BZ1303" i="1"/>
  <c r="CS603" i="1"/>
  <c r="CV603" i="1"/>
  <c r="CL656" i="1"/>
  <c r="CJ656" i="1"/>
  <c r="BE539" i="1"/>
  <c r="BC539" i="1"/>
  <c r="CL1400" i="1"/>
  <c r="CJ1400" i="1"/>
  <c r="BU1299" i="1"/>
  <c r="BW1299" i="1"/>
  <c r="BC1430" i="1"/>
  <c r="BE1430" i="1"/>
  <c r="CD636" i="1"/>
  <c r="CF636" i="1"/>
  <c r="BC1360" i="1"/>
  <c r="BE1360" i="1"/>
  <c r="BR1400" i="1"/>
  <c r="BT1400" i="1"/>
  <c r="BU603" i="1"/>
  <c r="BW603" i="1"/>
  <c r="BZ1362" i="1"/>
  <c r="BX1362" i="1"/>
  <c r="BT1360" i="1"/>
  <c r="BR1360" i="1"/>
  <c r="BX539" i="1"/>
  <c r="BZ539" i="1"/>
  <c r="BC1377" i="1"/>
  <c r="BE1377" i="1"/>
  <c r="BR1303" i="1"/>
  <c r="BT1303" i="1"/>
  <c r="BI577" i="1"/>
  <c r="BK577" i="1"/>
  <c r="BU1419" i="1"/>
  <c r="BW1419" i="1"/>
  <c r="BW534" i="1"/>
  <c r="BU534" i="1"/>
  <c r="BK1400" i="1"/>
  <c r="BI1400" i="1"/>
  <c r="CD1442" i="1"/>
  <c r="CF1442" i="1"/>
  <c r="BE593" i="1"/>
  <c r="BC593" i="1"/>
  <c r="BK1441" i="1"/>
  <c r="BI1441" i="1"/>
  <c r="CJ1268" i="1"/>
  <c r="CL1268" i="1"/>
  <c r="CV593" i="1"/>
  <c r="CS593" i="1"/>
  <c r="BU622" i="1"/>
  <c r="BW622" i="1"/>
  <c r="CD1394" i="1"/>
  <c r="CF1394" i="1"/>
  <c r="BX664" i="1"/>
  <c r="BZ664" i="1"/>
  <c r="BX576" i="1"/>
  <c r="BZ576" i="1"/>
  <c r="BK704" i="1"/>
  <c r="BI704" i="1"/>
  <c r="CV686" i="1"/>
  <c r="CS686" i="1"/>
  <c r="CJ1187" i="1"/>
  <c r="CL1187" i="1"/>
  <c r="BZ577" i="1"/>
  <c r="BX577" i="1"/>
  <c r="CJ576" i="1"/>
  <c r="CL576" i="1"/>
  <c r="BU1231" i="1"/>
  <c r="BW1231" i="1"/>
  <c r="BH1386" i="1"/>
  <c r="BF1386" i="1"/>
  <c r="CD514" i="1"/>
  <c r="CF514" i="1"/>
  <c r="BC576" i="1"/>
  <c r="BE576" i="1"/>
  <c r="BI544" i="1"/>
  <c r="BK544" i="1"/>
  <c r="BC686" i="1"/>
  <c r="BE686" i="1"/>
  <c r="CD1187" i="1"/>
  <c r="CF1187" i="1"/>
  <c r="BX623" i="1"/>
  <c r="BZ623" i="1"/>
  <c r="CD576" i="1"/>
  <c r="CF576" i="1"/>
  <c r="CS1328" i="1"/>
  <c r="CV1328" i="1"/>
  <c r="CA1277" i="1"/>
  <c r="CC1277" i="1"/>
  <c r="BU675" i="1"/>
  <c r="BW675" i="1"/>
  <c r="CJ733" i="1"/>
  <c r="CL733" i="1"/>
  <c r="BI664" i="1"/>
  <c r="BK664" i="1"/>
  <c r="BI559" i="1"/>
  <c r="BK559" i="1"/>
  <c r="BI1276" i="1"/>
  <c r="BK1276" i="1"/>
  <c r="BX661" i="1"/>
  <c r="BZ661" i="1"/>
  <c r="BF622" i="1"/>
  <c r="BH622" i="1"/>
  <c r="BT577" i="1"/>
  <c r="BR577" i="1"/>
  <c r="BF664" i="1"/>
  <c r="BH664" i="1"/>
  <c r="CF1441" i="1"/>
  <c r="CD1441" i="1"/>
  <c r="BT686" i="1"/>
  <c r="BR686" i="1"/>
  <c r="BU1411" i="1"/>
  <c r="BW1411" i="1"/>
  <c r="CA672" i="1"/>
  <c r="CC672" i="1"/>
  <c r="BT1290" i="1"/>
  <c r="BR1290" i="1"/>
  <c r="CS1412" i="1"/>
  <c r="CV1412" i="1"/>
  <c r="BI1411" i="1"/>
  <c r="BK1411" i="1"/>
  <c r="CS1338" i="1"/>
  <c r="CV1338" i="1"/>
  <c r="BE699" i="1"/>
  <c r="BC699" i="1"/>
  <c r="BW688" i="1"/>
  <c r="BU688" i="1"/>
  <c r="BW1087" i="1"/>
  <c r="BU1087" i="1"/>
  <c r="CV1397" i="1"/>
  <c r="CS1397" i="1"/>
  <c r="CD1281" i="1"/>
  <c r="CF1281" i="1"/>
  <c r="BZ1087" i="1"/>
  <c r="BX1087" i="1"/>
  <c r="BI1385" i="1"/>
  <c r="BK1385" i="1"/>
  <c r="BI1322" i="1"/>
  <c r="BK1322" i="1"/>
  <c r="CD692" i="1"/>
  <c r="CF692" i="1"/>
  <c r="BX1376" i="1"/>
  <c r="BZ1376" i="1"/>
  <c r="CC1285" i="1"/>
  <c r="CA1285" i="1"/>
  <c r="CS1358" i="1"/>
  <c r="CV1358" i="1"/>
  <c r="CF732" i="1"/>
  <c r="CD732" i="1"/>
  <c r="BF1415" i="1"/>
  <c r="BH1415" i="1"/>
  <c r="CA1411" i="1"/>
  <c r="CC1411" i="1"/>
  <c r="BU1347" i="1"/>
  <c r="BW1347" i="1"/>
  <c r="BC672" i="1"/>
  <c r="BE672" i="1"/>
  <c r="CA1413" i="1"/>
  <c r="CC1413" i="1"/>
  <c r="BW652" i="1"/>
  <c r="BU652" i="1"/>
  <c r="BI688" i="1"/>
  <c r="BK688" i="1"/>
  <c r="BR1347" i="1"/>
  <c r="BT1347" i="1"/>
  <c r="BX672" i="1"/>
  <c r="BZ672" i="1"/>
  <c r="BR1413" i="1"/>
  <c r="BT1413" i="1"/>
  <c r="BT633" i="1"/>
  <c r="BR633" i="1"/>
  <c r="CD642" i="1"/>
  <c r="CF642" i="1"/>
  <c r="CA1406" i="1"/>
  <c r="CC1406" i="1"/>
  <c r="BC1385" i="1"/>
  <c r="BE1385" i="1"/>
  <c r="BC1326" i="1"/>
  <c r="BE1326" i="1"/>
  <c r="BE628" i="1"/>
  <c r="BC628" i="1"/>
  <c r="CV1087" i="1"/>
  <c r="CS1087" i="1"/>
  <c r="BI1406" i="1"/>
  <c r="BK1406" i="1"/>
  <c r="CL1345" i="1"/>
  <c r="CJ1345" i="1"/>
  <c r="BE1285" i="1"/>
  <c r="BC1285" i="1"/>
  <c r="BE1358" i="1"/>
  <c r="BC1358" i="1"/>
  <c r="CS1417" i="1"/>
  <c r="CV1417" i="1"/>
  <c r="BF653" i="1"/>
  <c r="BH653" i="1"/>
  <c r="BR1326" i="1"/>
  <c r="BT1326" i="1"/>
  <c r="BR599" i="1"/>
  <c r="BT599" i="1"/>
  <c r="BW621" i="1"/>
  <c r="BU621" i="1"/>
  <c r="CF1412" i="1"/>
  <c r="CD1412" i="1"/>
  <c r="CD1268" i="1"/>
  <c r="CF1268" i="1"/>
  <c r="BU1314" i="1"/>
  <c r="BW1314" i="1"/>
  <c r="CJ1316" i="1"/>
  <c r="CL1316" i="1"/>
  <c r="CF599" i="1"/>
  <c r="CD599" i="1"/>
  <c r="CD1349" i="1"/>
  <c r="CF1349" i="1"/>
  <c r="BF1417" i="1"/>
  <c r="BH1417" i="1"/>
  <c r="CJ1314" i="1"/>
  <c r="CL1314" i="1"/>
  <c r="BI1326" i="1"/>
  <c r="BK1326" i="1"/>
  <c r="BF1325" i="1"/>
  <c r="BH1325" i="1"/>
  <c r="BI1338" i="1"/>
  <c r="BK1338" i="1"/>
  <c r="BE582" i="1"/>
  <c r="BC582" i="1"/>
  <c r="BC677" i="1"/>
  <c r="BE677" i="1"/>
  <c r="BK699" i="1"/>
  <c r="BI699" i="1"/>
  <c r="BT1316" i="1"/>
  <c r="BR1316" i="1"/>
  <c r="BF1338" i="1"/>
  <c r="BH1338" i="1"/>
  <c r="CV1188" i="1"/>
  <c r="CS1188" i="1"/>
  <c r="BZ710" i="1"/>
  <c r="BX710" i="1"/>
  <c r="BH1326" i="1"/>
  <c r="BF1326" i="1"/>
  <c r="BH599" i="1"/>
  <c r="BF599" i="1"/>
  <c r="BK1367" i="1"/>
  <c r="BI1367" i="1"/>
  <c r="BR1379" i="1"/>
  <c r="BT1379" i="1"/>
  <c r="CA548" i="1"/>
  <c r="CC548" i="1"/>
  <c r="BI680" i="1"/>
  <c r="BK680" i="1"/>
  <c r="BT565" i="1"/>
  <c r="BR565" i="1"/>
  <c r="BI510" i="1"/>
  <c r="BK510" i="1"/>
  <c r="BU582" i="1"/>
  <c r="BW582" i="1"/>
  <c r="BZ628" i="1"/>
  <c r="BX628" i="1"/>
  <c r="CC729" i="1"/>
  <c r="CA729" i="1"/>
  <c r="CC633" i="1"/>
  <c r="CA633" i="1"/>
  <c r="BK1412" i="1"/>
  <c r="BI1412" i="1"/>
  <c r="BH1393" i="1"/>
  <c r="BF1393" i="1"/>
  <c r="CJ1322" i="1"/>
  <c r="CL1322" i="1"/>
  <c r="BX520" i="1"/>
  <c r="BZ520" i="1"/>
  <c r="BE633" i="1"/>
  <c r="BC633" i="1"/>
  <c r="CV510" i="1"/>
  <c r="CS510" i="1"/>
  <c r="CJ1188" i="1"/>
  <c r="CL1188" i="1"/>
  <c r="BF1364" i="1"/>
  <c r="BH1364" i="1"/>
  <c r="BC1357" i="1"/>
  <c r="BE1357" i="1"/>
  <c r="BF732" i="1"/>
  <c r="BH732" i="1"/>
  <c r="BF1349" i="1"/>
  <c r="BH1349" i="1"/>
  <c r="BX1196" i="1"/>
  <c r="BZ1196" i="1"/>
  <c r="CD1188" i="1"/>
  <c r="CF1188" i="1"/>
  <c r="BX1417" i="1"/>
  <c r="BZ1417" i="1"/>
  <c r="CA680" i="1"/>
  <c r="CC680" i="1"/>
  <c r="CS1400" i="1"/>
  <c r="CV1400" i="1"/>
  <c r="BT534" i="1"/>
  <c r="BR534" i="1"/>
  <c r="CA663" i="1"/>
  <c r="CC663" i="1"/>
  <c r="BI1390" i="1"/>
  <c r="BK1390" i="1"/>
  <c r="CA1188" i="1"/>
  <c r="CC1188" i="1"/>
  <c r="CA644" i="1"/>
  <c r="CC644" i="1"/>
  <c r="BE729" i="1"/>
  <c r="BC729" i="1"/>
  <c r="BC1391" i="1"/>
  <c r="BE1391" i="1"/>
  <c r="BR1364" i="1"/>
  <c r="BT1364" i="1"/>
  <c r="BR639" i="1"/>
  <c r="BT639" i="1"/>
  <c r="BU729" i="1"/>
  <c r="BW729" i="1"/>
  <c r="CA630" i="1"/>
  <c r="CC630" i="1"/>
  <c r="BR1430" i="1"/>
  <c r="BT1430" i="1"/>
  <c r="BF682" i="1"/>
  <c r="BH682" i="1"/>
  <c r="BI1426" i="1"/>
  <c r="BK1426" i="1"/>
  <c r="BU520" i="1"/>
  <c r="BW520" i="1"/>
  <c r="CS1304" i="1"/>
  <c r="CV1304" i="1"/>
  <c r="CJ1403" i="1"/>
  <c r="CL1403" i="1"/>
  <c r="BI639" i="1"/>
  <c r="BK639" i="1"/>
  <c r="BX1419" i="1"/>
  <c r="BZ1419" i="1"/>
  <c r="BI586" i="1"/>
  <c r="BK586" i="1"/>
  <c r="BI628" i="1"/>
  <c r="BK628" i="1"/>
  <c r="BI1415" i="1"/>
  <c r="BK1415" i="1"/>
  <c r="BI1410" i="1"/>
  <c r="BK1410" i="1"/>
  <c r="BI729" i="1"/>
  <c r="BK729" i="1"/>
  <c r="BI1101" i="1"/>
  <c r="BK1101" i="1"/>
  <c r="BU1331" i="1"/>
  <c r="BW1331" i="1"/>
  <c r="BT588" i="1"/>
  <c r="BR588" i="1"/>
  <c r="BZ1364" i="1"/>
  <c r="BX1364" i="1"/>
  <c r="CV728" i="1"/>
  <c r="CS728" i="1"/>
  <c r="BW1370" i="1"/>
  <c r="BU1370" i="1"/>
  <c r="BU1339" i="1"/>
  <c r="BW1339" i="1"/>
  <c r="BX1342" i="1"/>
  <c r="BZ1342" i="1"/>
  <c r="CD1391" i="1"/>
  <c r="CF1391" i="1"/>
  <c r="BI630" i="1"/>
  <c r="BK630" i="1"/>
  <c r="BC1342" i="1"/>
  <c r="BE1342" i="1"/>
  <c r="BX1299" i="1"/>
  <c r="BZ1299" i="1"/>
  <c r="BX603" i="1"/>
  <c r="BZ603" i="1"/>
  <c r="BE559" i="1"/>
  <c r="BC559" i="1"/>
  <c r="CJ618" i="1"/>
  <c r="CL618" i="1"/>
  <c r="BC1400" i="1"/>
  <c r="BE1400" i="1"/>
  <c r="CA1268" i="1"/>
  <c r="CC1268" i="1"/>
  <c r="CJ513" i="1"/>
  <c r="CL513" i="1"/>
  <c r="BR514" i="1"/>
  <c r="BT514" i="1"/>
  <c r="BE640" i="1"/>
  <c r="BC640" i="1"/>
  <c r="BU1303" i="1"/>
  <c r="BW1303" i="1"/>
  <c r="BZ1444" i="1"/>
  <c r="BX1444" i="1"/>
  <c r="BE661" i="1"/>
  <c r="BC661" i="1"/>
  <c r="CA640" i="1"/>
  <c r="CC640" i="1"/>
  <c r="CL534" i="1"/>
  <c r="CJ534" i="1"/>
  <c r="BI1343" i="1"/>
  <c r="BK1343" i="1"/>
  <c r="BR1299" i="1"/>
  <c r="BT1299" i="1"/>
  <c r="CV623" i="1"/>
  <c r="CS623" i="1"/>
  <c r="CA1426" i="1"/>
  <c r="CC1426" i="1"/>
  <c r="BI618" i="1"/>
  <c r="BK618" i="1"/>
  <c r="BE1330" i="1"/>
  <c r="BC1330" i="1"/>
  <c r="CJ586" i="1"/>
  <c r="CL586" i="1"/>
  <c r="BE587" i="1"/>
  <c r="BC587" i="1"/>
  <c r="CA704" i="1"/>
  <c r="CC704" i="1"/>
  <c r="CA1442" i="1"/>
  <c r="CC1442" i="1"/>
  <c r="CD623" i="1"/>
  <c r="CF623" i="1"/>
  <c r="BF603" i="1"/>
  <c r="BH603" i="1"/>
  <c r="BR1394" i="1"/>
  <c r="BT1394" i="1"/>
  <c r="CV513" i="1"/>
  <c r="CS513" i="1"/>
  <c r="BF576" i="1"/>
  <c r="BH576" i="1"/>
  <c r="CL544" i="1"/>
  <c r="CJ544" i="1"/>
  <c r="CA636" i="1"/>
  <c r="CC636" i="1"/>
  <c r="CA675" i="1"/>
  <c r="CC675" i="1"/>
  <c r="CV733" i="1"/>
  <c r="CS733" i="1"/>
  <c r="BZ656" i="1"/>
  <c r="BX656" i="1"/>
  <c r="CD544" i="1"/>
  <c r="CF544" i="1"/>
  <c r="BC1362" i="1"/>
  <c r="BE1362" i="1"/>
  <c r="BI514" i="1"/>
  <c r="BK514" i="1"/>
  <c r="CD559" i="1"/>
  <c r="CF559" i="1"/>
  <c r="BR1276" i="1"/>
  <c r="BT1276" i="1"/>
  <c r="BX636" i="1"/>
  <c r="BZ636" i="1"/>
  <c r="BU1187" i="1"/>
  <c r="BW1187" i="1"/>
  <c r="CF566" i="1"/>
  <c r="CD566" i="1"/>
  <c r="BU576" i="1"/>
  <c r="BW576" i="1"/>
  <c r="BF1328" i="1"/>
  <c r="BH1328" i="1"/>
  <c r="BI1277" i="1"/>
  <c r="BK1277" i="1"/>
  <c r="BC675" i="1"/>
  <c r="BE675" i="1"/>
  <c r="BT733" i="1"/>
  <c r="BR733" i="1"/>
  <c r="BI1254" i="1"/>
  <c r="BK1254" i="1"/>
  <c r="BR1441" i="1"/>
  <c r="BT1441" i="1"/>
  <c r="CJ1328" i="1"/>
  <c r="CL1328" i="1"/>
  <c r="CD686" i="1"/>
  <c r="CF686" i="1"/>
  <c r="BI603" i="1"/>
  <c r="BK603" i="1"/>
  <c r="CL1394" i="1"/>
  <c r="CJ1394" i="1"/>
  <c r="CF513" i="1"/>
  <c r="CD513" i="1"/>
  <c r="BH1231" i="1"/>
  <c r="BF1231" i="1"/>
  <c r="BT636" i="1"/>
  <c r="BR636" i="1"/>
  <c r="BX642" i="1"/>
  <c r="BZ642" i="1"/>
  <c r="BR594" i="1"/>
  <c r="BT594" i="1"/>
  <c r="BU1397" i="1"/>
  <c r="BW1397" i="1"/>
  <c r="BU692" i="1"/>
  <c r="BW692" i="1"/>
  <c r="BC1389" i="1"/>
  <c r="BE1389" i="1"/>
  <c r="BZ651" i="1"/>
  <c r="BX651" i="1"/>
  <c r="CA1344" i="1"/>
  <c r="CC1344" i="1"/>
  <c r="CS600" i="1"/>
  <c r="CV600" i="1"/>
  <c r="CV688" i="1"/>
  <c r="CS688" i="1"/>
  <c r="BF1424" i="1"/>
  <c r="BH1424" i="1"/>
  <c r="BW1402" i="1"/>
  <c r="BU1402" i="1"/>
  <c r="CS645" i="1"/>
  <c r="CV645" i="1"/>
  <c r="CJ1397" i="1"/>
  <c r="CL1397" i="1"/>
  <c r="BI663" i="1"/>
  <c r="BK663" i="1"/>
  <c r="BI1261" i="1"/>
  <c r="BK1261" i="1"/>
  <c r="BF1376" i="1"/>
  <c r="BH1376" i="1"/>
  <c r="BI1285" i="1"/>
  <c r="BK1285" i="1"/>
  <c r="BX1326" i="1"/>
  <c r="BZ1326" i="1"/>
  <c r="CS1390" i="1"/>
  <c r="CV1390" i="1"/>
  <c r="BU1384" i="1"/>
  <c r="BW1384" i="1"/>
  <c r="CJ642" i="1"/>
  <c r="CL642" i="1"/>
  <c r="BC1347" i="1"/>
  <c r="BE1347" i="1"/>
  <c r="CA594" i="1"/>
  <c r="CC594" i="1"/>
  <c r="BX1358" i="1"/>
  <c r="BZ1358" i="1"/>
  <c r="BR1368" i="1"/>
  <c r="BT1368" i="1"/>
  <c r="BR1389" i="1"/>
  <c r="BT1389" i="1"/>
  <c r="CJ1376" i="1"/>
  <c r="CL1376" i="1"/>
  <c r="BZ594" i="1"/>
  <c r="BX594" i="1"/>
  <c r="BI1281" i="1"/>
  <c r="BK1281" i="1"/>
  <c r="CJ553" i="1"/>
  <c r="CL553" i="1"/>
  <c r="BX688" i="1"/>
  <c r="BZ688" i="1"/>
  <c r="BC613" i="1"/>
  <c r="BE613" i="1"/>
  <c r="CS594" i="1"/>
  <c r="CV594" i="1"/>
  <c r="CD1325" i="1"/>
  <c r="CF1325" i="1"/>
  <c r="CJ1330" i="1"/>
  <c r="CL1330" i="1"/>
  <c r="BC1402" i="1"/>
  <c r="BE1402" i="1"/>
  <c r="CF613" i="1"/>
  <c r="CD613" i="1"/>
  <c r="CC600" i="1"/>
  <c r="CA600" i="1"/>
  <c r="BX1397" i="1"/>
  <c r="BZ1397" i="1"/>
  <c r="CS1326" i="1"/>
  <c r="CV1326" i="1"/>
  <c r="CS520" i="1"/>
  <c r="CV520" i="1"/>
  <c r="CF699" i="1"/>
  <c r="CD699" i="1"/>
  <c r="CS1281" i="1"/>
  <c r="CV1281" i="1"/>
  <c r="CS1379" i="1"/>
  <c r="CV1379" i="1"/>
  <c r="BK548" i="1"/>
  <c r="BI548" i="1"/>
  <c r="CC1390" i="1"/>
  <c r="CA1390" i="1"/>
  <c r="CD1397" i="1"/>
  <c r="CF1397" i="1"/>
  <c r="CV653" i="1"/>
  <c r="CS653" i="1"/>
  <c r="BU1316" i="1"/>
  <c r="BW1316" i="1"/>
  <c r="BZ1379" i="1"/>
  <c r="BX1379" i="1"/>
  <c r="CC510" i="1"/>
  <c r="CA510" i="1"/>
  <c r="CD644" i="1"/>
  <c r="CF644" i="1"/>
  <c r="BT1314" i="1"/>
  <c r="BR1314" i="1"/>
  <c r="CJ1281" i="1"/>
  <c r="CL1281" i="1"/>
  <c r="CD533" i="1"/>
  <c r="CF533" i="1"/>
  <c r="CS732" i="1"/>
  <c r="CV732" i="1"/>
  <c r="CL1393" i="1"/>
  <c r="CJ1393" i="1"/>
  <c r="CA658" i="1"/>
  <c r="CC658" i="1"/>
  <c r="BU1413" i="1"/>
  <c r="BW1413" i="1"/>
  <c r="BC1321" i="1"/>
  <c r="BE1321" i="1"/>
  <c r="CD1361" i="1"/>
  <c r="CF1361" i="1"/>
  <c r="CF1393" i="1"/>
  <c r="CD1393" i="1"/>
  <c r="BH710" i="1"/>
  <c r="BF710" i="1"/>
  <c r="BE1281" i="1"/>
  <c r="BC1281" i="1"/>
  <c r="BC1379" i="1"/>
  <c r="BE1379" i="1"/>
  <c r="BR553" i="1"/>
  <c r="BT553" i="1"/>
  <c r="BX1338" i="1"/>
  <c r="BZ1338" i="1"/>
  <c r="BW565" i="1"/>
  <c r="BU565" i="1"/>
  <c r="CD1101" i="1"/>
  <c r="CF1101" i="1"/>
  <c r="CS663" i="1"/>
  <c r="CV663" i="1"/>
  <c r="BZ1390" i="1"/>
  <c r="BX1390" i="1"/>
  <c r="CA652" i="1"/>
  <c r="CC652" i="1"/>
  <c r="CF1417" i="1"/>
  <c r="CD1417" i="1"/>
  <c r="BI1339" i="1"/>
  <c r="BK1339" i="1"/>
  <c r="BF633" i="1"/>
  <c r="BH633" i="1"/>
  <c r="BF1196" i="1"/>
  <c r="BH1196" i="1"/>
  <c r="BK1304" i="1"/>
  <c r="BI1304" i="1"/>
  <c r="CF1370" i="1"/>
  <c r="CD1370" i="1"/>
  <c r="BF1442" i="1"/>
  <c r="BH1442" i="1"/>
  <c r="CD565" i="1"/>
  <c r="CF565" i="1"/>
  <c r="BX1412" i="1"/>
  <c r="BZ1412" i="1"/>
  <c r="BU1188" i="1"/>
  <c r="BW1188" i="1"/>
  <c r="BF644" i="1"/>
  <c r="BH644" i="1"/>
  <c r="BC1384" i="1"/>
  <c r="BE1384" i="1"/>
  <c r="BZ621" i="1"/>
  <c r="BX621" i="1"/>
  <c r="BT1367" i="1"/>
  <c r="BR1367" i="1"/>
  <c r="CA1369" i="1"/>
  <c r="CC1369" i="1"/>
  <c r="CS1393" i="1"/>
  <c r="CV1393" i="1"/>
  <c r="CA1364" i="1"/>
  <c r="CC1364" i="1"/>
  <c r="CD1322" i="1"/>
  <c r="CF1322" i="1"/>
  <c r="BK694" i="1"/>
  <c r="BI694" i="1"/>
  <c r="BF1303" i="1"/>
  <c r="BH1303" i="1"/>
  <c r="BR663" i="1"/>
  <c r="BT663" i="1"/>
  <c r="CF1196" i="1"/>
  <c r="CD1196" i="1"/>
  <c r="BR1188" i="1"/>
  <c r="BT1188" i="1"/>
  <c r="CJ1415" i="1"/>
  <c r="CL1415" i="1"/>
  <c r="CV1357" i="1"/>
  <c r="CS1357" i="1"/>
  <c r="BU566" i="1"/>
  <c r="BW566" i="1"/>
  <c r="CA1392" i="1"/>
  <c r="CC1392" i="1"/>
  <c r="CJ694" i="1"/>
  <c r="CL694" i="1"/>
  <c r="CA682" i="1"/>
  <c r="CC682" i="1"/>
  <c r="BT539" i="1"/>
  <c r="BR539" i="1"/>
  <c r="BX1276" i="1"/>
  <c r="BZ1276" i="1"/>
  <c r="CD1357" i="1"/>
  <c r="CF1357" i="1"/>
  <c r="BI1317" i="1"/>
  <c r="BK1317" i="1"/>
  <c r="BE1268" i="1"/>
  <c r="BC1268" i="1"/>
  <c r="BU1304" i="1"/>
  <c r="BW1304" i="1"/>
  <c r="BZ1403" i="1"/>
  <c r="BX1403" i="1"/>
  <c r="BC1322" i="1"/>
  <c r="BE1322" i="1"/>
  <c r="CV1426" i="1"/>
  <c r="CS1426" i="1"/>
  <c r="CF593" i="1"/>
  <c r="CD593" i="1"/>
  <c r="CJ1417" i="1"/>
  <c r="CL1417" i="1"/>
  <c r="BW1403" i="1"/>
  <c r="BU1403" i="1"/>
  <c r="CD680" i="1"/>
  <c r="CF680" i="1"/>
  <c r="CL682" i="1"/>
  <c r="CJ682" i="1"/>
  <c r="CA1360" i="1"/>
  <c r="CC1360" i="1"/>
  <c r="BX1377" i="1"/>
  <c r="BZ1377" i="1"/>
  <c r="CV1368" i="1"/>
  <c r="CS1368" i="1"/>
  <c r="BK1364" i="1"/>
  <c r="BI1364" i="1"/>
  <c r="BW728" i="1"/>
  <c r="BU728" i="1"/>
  <c r="BW682" i="1"/>
  <c r="BU682" i="1"/>
  <c r="CS1419" i="1"/>
  <c r="CV1419" i="1"/>
  <c r="BT1331" i="1"/>
  <c r="BR1331" i="1"/>
  <c r="CS1444" i="1"/>
  <c r="CV1444" i="1"/>
  <c r="CJ1378" i="1"/>
  <c r="CL1378" i="1"/>
  <c r="CD1331" i="1"/>
  <c r="CF1331" i="1"/>
  <c r="BT1268" i="1"/>
  <c r="BR1268" i="1"/>
  <c r="CD675" i="1"/>
  <c r="CF675" i="1"/>
  <c r="CV544" i="1"/>
  <c r="CS544" i="1"/>
  <c r="BU618" i="1"/>
  <c r="BW618" i="1"/>
  <c r="CC1330" i="1"/>
  <c r="CA1330" i="1"/>
  <c r="CV586" i="1"/>
  <c r="CS586" i="1"/>
  <c r="BI1300" i="1"/>
  <c r="BK1300" i="1"/>
  <c r="BH1419" i="1"/>
  <c r="BF1419" i="1"/>
  <c r="CS534" i="1"/>
  <c r="CV534" i="1"/>
  <c r="CL1299" i="1"/>
  <c r="CJ1299" i="1"/>
  <c r="BK1394" i="1"/>
  <c r="BI1394" i="1"/>
  <c r="CV622" i="1"/>
  <c r="CS622" i="1"/>
  <c r="BR640" i="1"/>
  <c r="BT640" i="1"/>
  <c r="BX534" i="1"/>
  <c r="BZ534" i="1"/>
  <c r="CF1400" i="1"/>
  <c r="CD1400" i="1"/>
  <c r="BR1442" i="1"/>
  <c r="BT1442" i="1"/>
  <c r="CD1430" i="1"/>
  <c r="CF1430" i="1"/>
  <c r="CD1317" i="1"/>
  <c r="CF1317" i="1"/>
  <c r="CF1342" i="1"/>
  <c r="CD1342" i="1"/>
  <c r="CJ1303" i="1"/>
  <c r="CL1303" i="1"/>
  <c r="CL1391" i="1"/>
  <c r="CJ1391" i="1"/>
  <c r="BC577" i="1"/>
  <c r="BE577" i="1"/>
  <c r="CV1276" i="1"/>
  <c r="CS1276" i="1"/>
  <c r="BK1442" i="1"/>
  <c r="BI1442" i="1"/>
  <c r="BE1254" i="1"/>
  <c r="BC1254" i="1"/>
  <c r="CS1187" i="1"/>
  <c r="CV1187" i="1"/>
  <c r="BE733" i="1"/>
  <c r="BC733" i="1"/>
  <c r="CA513" i="1"/>
  <c r="CC513" i="1"/>
  <c r="CA656" i="1"/>
  <c r="CC656" i="1"/>
  <c r="BR544" i="1"/>
  <c r="BT544" i="1"/>
  <c r="BH636" i="1"/>
  <c r="BF636" i="1"/>
  <c r="BK675" i="1"/>
  <c r="BI675" i="1"/>
  <c r="BX733" i="1"/>
  <c r="BZ733" i="1"/>
  <c r="BK656" i="1"/>
  <c r="BI656" i="1"/>
  <c r="CJ1276" i="1"/>
  <c r="CL1276" i="1"/>
  <c r="CA661" i="1"/>
  <c r="CC661" i="1"/>
  <c r="CJ622" i="1"/>
  <c r="CL622" i="1"/>
  <c r="CJ1441" i="1"/>
  <c r="CL1441" i="1"/>
  <c r="CJ552" i="1"/>
  <c r="CL552" i="1"/>
  <c r="BE636" i="1"/>
  <c r="BC636" i="1"/>
  <c r="BF675" i="1"/>
  <c r="BH675" i="1"/>
  <c r="BR566" i="1"/>
  <c r="BT566" i="1"/>
  <c r="BF656" i="1"/>
  <c r="BH656" i="1"/>
  <c r="BX1386" i="1"/>
  <c r="BZ1386" i="1"/>
  <c r="CJ1336" i="1"/>
  <c r="CL1336" i="1"/>
  <c r="CC593" i="1"/>
  <c r="CA593" i="1"/>
  <c r="CJ623" i="1"/>
  <c r="CL623" i="1"/>
  <c r="CJ1300" i="1"/>
  <c r="CL1300" i="1"/>
  <c r="BC1441" i="1"/>
  <c r="BE1441" i="1"/>
  <c r="BX1328" i="1"/>
  <c r="BZ1328" i="1"/>
  <c r="CS636" i="1"/>
  <c r="CV636" i="1"/>
  <c r="BR1444" i="1"/>
  <c r="BT1444" i="1"/>
  <c r="BW1394" i="1"/>
  <c r="BU1394" i="1"/>
  <c r="BR513" i="1"/>
  <c r="BT513" i="1"/>
  <c r="CD704" i="1"/>
  <c r="CF704" i="1"/>
  <c r="BZ1277" i="1"/>
  <c r="BX1277" i="1"/>
  <c r="BI692" i="1"/>
  <c r="BK692" i="1"/>
  <c r="BT1285" i="1"/>
  <c r="BR1285" i="1"/>
  <c r="BR688" i="1"/>
  <c r="BT688" i="1"/>
  <c r="BF600" i="1"/>
  <c r="BH600" i="1"/>
  <c r="CS613" i="1"/>
  <c r="CV613" i="1"/>
  <c r="BF642" i="1"/>
  <c r="BH642" i="1"/>
  <c r="CD1321" i="1"/>
  <c r="CF1321" i="1"/>
  <c r="CS599" i="1"/>
  <c r="CV599" i="1"/>
  <c r="CJ1406" i="1"/>
  <c r="CL1406" i="1"/>
  <c r="CC1321" i="1"/>
  <c r="CA1321" i="1"/>
  <c r="BH1389" i="1"/>
  <c r="BF1389" i="1"/>
  <c r="CS642" i="1"/>
  <c r="CV642" i="1"/>
  <c r="BU658" i="1"/>
  <c r="BW658" i="1"/>
  <c r="BK1393" i="1"/>
  <c r="BI1393" i="1"/>
  <c r="BU1406" i="1"/>
  <c r="BW1406" i="1"/>
  <c r="BK1345" i="1"/>
  <c r="BI1345" i="1"/>
  <c r="BR677" i="1"/>
  <c r="BT677" i="1"/>
  <c r="CA1281" i="1"/>
  <c r="CC1281" i="1"/>
  <c r="BZ582" i="1"/>
  <c r="BX582" i="1"/>
  <c r="BR1281" i="1"/>
  <c r="BT1281" i="1"/>
  <c r="CA688" i="1"/>
  <c r="CC688" i="1"/>
  <c r="CA1290" i="1"/>
  <c r="CC1290" i="1"/>
  <c r="BF1285" i="1"/>
  <c r="BH1285" i="1"/>
  <c r="BR1344" i="1"/>
  <c r="BT1344" i="1"/>
  <c r="BX475" i="1"/>
  <c r="BZ475" i="1"/>
  <c r="CS692" i="1"/>
  <c r="CV692" i="1"/>
  <c r="CS1345" i="1"/>
  <c r="CV1345" i="1"/>
  <c r="CJ1285" i="1"/>
  <c r="CL1285" i="1"/>
  <c r="BF1316" i="1"/>
  <c r="BH1316" i="1"/>
  <c r="BT652" i="1"/>
  <c r="BR652" i="1"/>
  <c r="BF688" i="1"/>
  <c r="BH688" i="1"/>
  <c r="BF1290" i="1"/>
  <c r="BH1290" i="1"/>
  <c r="BF594" i="1"/>
  <c r="BH594" i="1"/>
  <c r="CS533" i="1"/>
  <c r="CV533" i="1"/>
  <c r="BK1087" i="1"/>
  <c r="BI1087" i="1"/>
  <c r="BK645" i="1"/>
  <c r="BI645" i="1"/>
  <c r="BR613" i="1"/>
  <c r="BT613" i="1"/>
  <c r="BW1385" i="1"/>
  <c r="BU1385" i="1"/>
  <c r="BX677" i="1"/>
  <c r="BZ677" i="1"/>
  <c r="CJ1286" i="1"/>
  <c r="CL1286" i="1"/>
  <c r="CJ677" i="1"/>
  <c r="CL677" i="1"/>
  <c r="BU699" i="1"/>
  <c r="BW699" i="1"/>
  <c r="BC1316" i="1"/>
  <c r="BE1316" i="1"/>
  <c r="CD1338" i="1"/>
  <c r="CF1338" i="1"/>
  <c r="BI633" i="1"/>
  <c r="BK633" i="1"/>
  <c r="BB633" i="1" s="1"/>
  <c r="BW1196" i="1"/>
  <c r="BU1196" i="1"/>
  <c r="CF677" i="1"/>
  <c r="CD677" i="1"/>
  <c r="BU653" i="1"/>
  <c r="BW653" i="1"/>
  <c r="BF1321" i="1"/>
  <c r="BH1321" i="1"/>
  <c r="BT1338" i="1"/>
  <c r="BR1338" i="1"/>
  <c r="BU1412" i="1"/>
  <c r="BW1412" i="1"/>
  <c r="CF539" i="1"/>
  <c r="CD539" i="1"/>
  <c r="BC653" i="1"/>
  <c r="BE653" i="1"/>
  <c r="BF1281" i="1"/>
  <c r="BH1281" i="1"/>
  <c r="CV666" i="1"/>
  <c r="CS666" i="1"/>
  <c r="BX732" i="1"/>
  <c r="BZ732" i="1"/>
  <c r="BF588" i="1"/>
  <c r="BH588" i="1"/>
  <c r="CJ1424" i="1"/>
  <c r="CL1424" i="1"/>
  <c r="CA1358" i="1"/>
  <c r="CC1358" i="1"/>
  <c r="CA1286" i="1"/>
  <c r="CC1286" i="1"/>
  <c r="BR1361" i="1"/>
  <c r="BT1361" i="1"/>
  <c r="CJ628" i="1"/>
  <c r="CL628" i="1"/>
  <c r="CD1424" i="1"/>
  <c r="CF1424" i="1"/>
  <c r="CC1316" i="1"/>
  <c r="CA1316" i="1"/>
  <c r="CJ732" i="1"/>
  <c r="CL732" i="1"/>
  <c r="BR510" i="1"/>
  <c r="BT510" i="1"/>
  <c r="BE1338" i="1"/>
  <c r="BC1338" i="1"/>
  <c r="BF553" i="1"/>
  <c r="BH553" i="1"/>
  <c r="CF1300" i="1"/>
  <c r="CD1300" i="1"/>
  <c r="BH663" i="1"/>
  <c r="BF663" i="1"/>
  <c r="BE1390" i="1"/>
  <c r="BC1390" i="1"/>
  <c r="BI652" i="1"/>
  <c r="BK652" i="1"/>
  <c r="BK644" i="1"/>
  <c r="BI644" i="1"/>
  <c r="BX1426" i="1"/>
  <c r="BZ1426" i="1"/>
  <c r="BC663" i="1"/>
  <c r="BE663" i="1"/>
  <c r="CD1369" i="1"/>
  <c r="CF1369" i="1"/>
  <c r="CD1364" i="1"/>
  <c r="CF1364" i="1"/>
  <c r="BZ729" i="1"/>
  <c r="BX729" i="1"/>
  <c r="BI576" i="1"/>
  <c r="BK576" i="1"/>
  <c r="BI565" i="1"/>
  <c r="BK565" i="1"/>
  <c r="CJ1390" i="1"/>
  <c r="CL1390" i="1"/>
  <c r="BC1188" i="1"/>
  <c r="BE1188" i="1"/>
  <c r="BU1415" i="1"/>
  <c r="BW1415" i="1"/>
  <c r="CS1360" i="1"/>
  <c r="CV1360" i="1"/>
  <c r="BH621" i="1"/>
  <c r="BF621" i="1"/>
  <c r="BX553" i="1"/>
  <c r="BZ553" i="1"/>
  <c r="BR1369" i="1"/>
  <c r="BT1369" i="1"/>
  <c r="BC1393" i="1"/>
  <c r="BE1393" i="1"/>
  <c r="BF1392" i="1"/>
  <c r="BH1392" i="1"/>
  <c r="BI682" i="1"/>
  <c r="BK682" i="1"/>
  <c r="BX680" i="1"/>
  <c r="BZ680" i="1"/>
  <c r="BU1391" i="1"/>
  <c r="BW1391" i="1"/>
  <c r="BC1349" i="1"/>
  <c r="BE1349" i="1"/>
  <c r="BX1369" i="1"/>
  <c r="BZ1369" i="1"/>
  <c r="BT1393" i="1"/>
  <c r="BR1393" i="1"/>
  <c r="BE1415" i="1"/>
  <c r="BC1415" i="1"/>
  <c r="BX1384" i="1"/>
  <c r="BZ1384" i="1"/>
  <c r="CA1276" i="1"/>
  <c r="CC1276" i="1"/>
  <c r="BI1392" i="1"/>
  <c r="BK1392" i="1"/>
  <c r="BZ694" i="1"/>
  <c r="BX694" i="1"/>
  <c r="BE1419" i="1"/>
  <c r="BC1419" i="1"/>
  <c r="BE618" i="1"/>
  <c r="BC618" i="1"/>
  <c r="BK686" i="1"/>
  <c r="BI686" i="1"/>
  <c r="BR1357" i="1"/>
  <c r="BT1357" i="1"/>
  <c r="BR1101" i="1"/>
  <c r="BT1101" i="1"/>
  <c r="CC733" i="1"/>
  <c r="CA733" i="1"/>
  <c r="BC1304" i="1"/>
  <c r="BE1304" i="1"/>
  <c r="BF1403" i="1"/>
  <c r="BH1403" i="1"/>
  <c r="CA1370" i="1"/>
  <c r="CC1370" i="1"/>
  <c r="BF1317" i="1"/>
  <c r="BH1317" i="1"/>
  <c r="BE664" i="1"/>
  <c r="BC664" i="1"/>
  <c r="BU1417" i="1"/>
  <c r="BW1417" i="1"/>
  <c r="BF728" i="1"/>
  <c r="BH728" i="1"/>
  <c r="BR680" i="1"/>
  <c r="BT680" i="1"/>
  <c r="BX682" i="1"/>
  <c r="BZ682" i="1"/>
  <c r="CJ640" i="1"/>
  <c r="CL640" i="1"/>
  <c r="BR1330" i="1"/>
  <c r="BT1330" i="1"/>
  <c r="BZ1368" i="1"/>
  <c r="BX1368" i="1"/>
  <c r="CJ1392" i="1"/>
  <c r="CL1392" i="1"/>
  <c r="BC728" i="1"/>
  <c r="BE728" i="1"/>
  <c r="BE682" i="1"/>
  <c r="BC682" i="1"/>
  <c r="BC1426" i="1"/>
  <c r="BE1426" i="1"/>
  <c r="BK1377" i="1"/>
  <c r="BI1377" i="1"/>
  <c r="CD587" i="1"/>
  <c r="CF587" i="1"/>
  <c r="CA539" i="1"/>
  <c r="CC539" i="1"/>
  <c r="BI1331" i="1"/>
  <c r="BK1331" i="1"/>
  <c r="CV1442" i="1"/>
  <c r="CS1442" i="1"/>
  <c r="BX593" i="1"/>
  <c r="BZ593" i="1"/>
  <c r="BU661" i="1"/>
  <c r="BW661" i="1"/>
  <c r="CC1331" i="1"/>
  <c r="CA1331" i="1"/>
  <c r="BI1330" i="1"/>
  <c r="BK1330" i="1"/>
  <c r="BE586" i="1"/>
  <c r="BC586" i="1"/>
  <c r="CD656" i="1"/>
  <c r="CF656" i="1"/>
  <c r="CD1426" i="1"/>
  <c r="CF1426" i="1"/>
  <c r="BF534" i="1"/>
  <c r="BH534" i="1"/>
  <c r="BC1299" i="1"/>
  <c r="BE1299" i="1"/>
  <c r="BF733" i="1"/>
  <c r="BH733" i="1"/>
  <c r="BR1426" i="1"/>
  <c r="BT1426" i="1"/>
  <c r="BX630" i="1"/>
  <c r="BZ630" i="1"/>
  <c r="CC618" i="1"/>
  <c r="CA618" i="1"/>
  <c r="CS1330" i="1"/>
  <c r="CV1330" i="1"/>
  <c r="BU586" i="1"/>
  <c r="BW586" i="1"/>
  <c r="BX1254" i="1"/>
  <c r="BZ1254" i="1"/>
  <c r="CF1360" i="1"/>
  <c r="CD1360" i="1"/>
  <c r="BK1342" i="1"/>
  <c r="BI1342" i="1"/>
  <c r="CF1299" i="1"/>
  <c r="CD1299" i="1"/>
  <c r="BX1391" i="1"/>
  <c r="BZ1391" i="1"/>
  <c r="BC1394" i="1"/>
  <c r="BE1394" i="1"/>
  <c r="BU1328" i="1"/>
  <c r="BW1328" i="1"/>
  <c r="CD586" i="1"/>
  <c r="CF586" i="1"/>
  <c r="BT1328" i="1"/>
  <c r="BR1328" i="1"/>
  <c r="BX1187" i="1"/>
  <c r="BZ1187" i="1"/>
  <c r="CS566" i="1"/>
  <c r="CV566" i="1"/>
  <c r="BI513" i="1"/>
  <c r="BK513" i="1"/>
  <c r="BU559" i="1"/>
  <c r="BW559" i="1"/>
  <c r="BU1276" i="1"/>
  <c r="BW1276" i="1"/>
  <c r="BC1277" i="1"/>
  <c r="BE1277" i="1"/>
  <c r="CJ593" i="1"/>
  <c r="CL593" i="1"/>
  <c r="BK623" i="1"/>
  <c r="BI623" i="1"/>
  <c r="CJ559" i="1"/>
  <c r="CL559" i="1"/>
  <c r="BC1276" i="1"/>
  <c r="BE1276" i="1"/>
  <c r="BI661" i="1"/>
  <c r="BK661" i="1"/>
  <c r="BR622" i="1"/>
  <c r="BT622" i="1"/>
  <c r="BW1441" i="1"/>
  <c r="BU1441" i="1"/>
  <c r="BU552" i="1"/>
  <c r="BW552" i="1"/>
  <c r="CS1336" i="1"/>
  <c r="CV1336" i="1"/>
  <c r="BW587" i="1"/>
  <c r="BU587" i="1"/>
  <c r="CL1430" i="1"/>
  <c r="CJ1430" i="1"/>
  <c r="CC559" i="1"/>
  <c r="CA559" i="1"/>
  <c r="BC1386" i="1"/>
  <c r="BE1386" i="1"/>
  <c r="BF514" i="1"/>
  <c r="BH514" i="1"/>
  <c r="BI593" i="1"/>
  <c r="BK593" i="1"/>
  <c r="BW623" i="1"/>
  <c r="BU623" i="1"/>
  <c r="BW1300" i="1"/>
  <c r="BU1300" i="1"/>
  <c r="CA1231" i="1"/>
  <c r="CC1231" i="1"/>
  <c r="CD552" i="1"/>
  <c r="CF552" i="1"/>
  <c r="CS1277" i="1"/>
  <c r="CV1277" i="1"/>
  <c r="BE1444" i="1"/>
  <c r="BC1444" i="1"/>
  <c r="BF1394" i="1"/>
  <c r="BH1394" i="1"/>
  <c r="CC1254" i="1"/>
  <c r="CA1254" i="1"/>
  <c r="CA552" i="1"/>
  <c r="CC552" i="1"/>
  <c r="BH1277" i="1"/>
  <c r="BF1277" i="1"/>
  <c r="BX1389" i="1"/>
  <c r="BZ1389" i="1"/>
  <c r="BF1406" i="1"/>
  <c r="BH1406" i="1"/>
  <c r="CA1325" i="1"/>
  <c r="CC1325" i="1"/>
  <c r="CS1347" i="1"/>
  <c r="CV1347" i="1"/>
  <c r="BI613" i="1"/>
  <c r="BK613" i="1"/>
  <c r="CJ1290" i="1"/>
  <c r="CL1290" i="1"/>
  <c r="CV1406" i="1"/>
  <c r="CS1406" i="1"/>
  <c r="BX533" i="1"/>
  <c r="BZ533" i="1"/>
  <c r="BR1411" i="1"/>
  <c r="BT1411" i="1"/>
  <c r="BR1345" i="1"/>
  <c r="BT1345" i="1"/>
  <c r="BF533" i="1"/>
  <c r="BH533" i="1"/>
  <c r="BE1087" i="1"/>
  <c r="BC1087" i="1"/>
  <c r="CA1389" i="1"/>
  <c r="CC1389" i="1"/>
  <c r="BH1314" i="1"/>
  <c r="BF1314" i="1"/>
  <c r="CL1370" i="1"/>
  <c r="CJ1370" i="1"/>
  <c r="CA613" i="1"/>
  <c r="CC613" i="1"/>
  <c r="CJ600" i="1"/>
  <c r="CL600" i="1"/>
  <c r="BW710" i="1"/>
  <c r="BU710" i="1"/>
  <c r="BR1321" i="1"/>
  <c r="BT1321" i="1"/>
  <c r="BE1371" i="1"/>
  <c r="BC1371" i="1"/>
  <c r="BX1316" i="1"/>
  <c r="BZ1316" i="1"/>
  <c r="CJ1389" i="1"/>
  <c r="CL1389" i="1"/>
  <c r="BI1290" i="1"/>
  <c r="BK1290" i="1"/>
  <c r="CC1397" i="1"/>
  <c r="CA1397" i="1"/>
  <c r="BU1326" i="1"/>
  <c r="BW1326" i="1"/>
  <c r="BI1402" i="1"/>
  <c r="BK1402" i="1"/>
  <c r="CJ1261" i="1"/>
  <c r="CL1261" i="1"/>
  <c r="BX1345" i="1"/>
  <c r="BZ1345" i="1"/>
  <c r="BX1285" i="1"/>
  <c r="BZ1285" i="1"/>
  <c r="CS1286" i="1"/>
  <c r="CV1286" i="1"/>
  <c r="CF1304" i="1"/>
  <c r="CD1304" i="1"/>
  <c r="CF1389" i="1"/>
  <c r="CD1389" i="1"/>
  <c r="BM1389" i="1" s="1"/>
  <c r="CD1376" i="1"/>
  <c r="CF1376" i="1"/>
  <c r="CS677" i="1"/>
  <c r="CV677" i="1"/>
  <c r="CD666" i="1"/>
  <c r="CF666" i="1"/>
  <c r="CF645" i="1"/>
  <c r="CD645" i="1"/>
  <c r="CL1411" i="1"/>
  <c r="CJ1411" i="1"/>
  <c r="CC1347" i="1"/>
  <c r="CA1347" i="1"/>
  <c r="CS672" i="1"/>
  <c r="CV672" i="1"/>
  <c r="BZ658" i="1"/>
  <c r="BX658" i="1"/>
  <c r="CA666" i="1"/>
  <c r="CC666" i="1"/>
  <c r="BI677" i="1"/>
  <c r="BK677" i="1"/>
  <c r="CV1413" i="1"/>
  <c r="CS1413" i="1"/>
  <c r="BX1321" i="1"/>
  <c r="BZ1321" i="1"/>
  <c r="BU1361" i="1"/>
  <c r="BW1361" i="1"/>
  <c r="BC565" i="1"/>
  <c r="BE565" i="1"/>
  <c r="CJ588" i="1"/>
  <c r="CL588" i="1"/>
  <c r="BH677" i="1"/>
  <c r="BF677" i="1"/>
  <c r="BZ1413" i="1"/>
  <c r="BX1413" i="1"/>
  <c r="CF1286" i="1"/>
  <c r="CD1286" i="1"/>
  <c r="CJ1361" i="1"/>
  <c r="CL1361" i="1"/>
  <c r="BT1196" i="1"/>
  <c r="BR1196" i="1"/>
  <c r="BR1397" i="1"/>
  <c r="BT1397" i="1"/>
  <c r="BT699" i="1"/>
  <c r="BR699" i="1"/>
  <c r="CD1316" i="1"/>
  <c r="CF1316" i="1"/>
  <c r="BN1316" i="1" s="1"/>
  <c r="BQ1316" i="1" s="1"/>
  <c r="BU666" i="1"/>
  <c r="BW666" i="1"/>
  <c r="BH676" i="1"/>
  <c r="BF676" i="1"/>
  <c r="BR1403" i="1"/>
  <c r="BT1403" i="1"/>
  <c r="BR1424" i="1"/>
  <c r="BT1424" i="1"/>
  <c r="BI1358" i="1"/>
  <c r="BK1358" i="1"/>
  <c r="BU1325" i="1"/>
  <c r="BW1325" i="1"/>
  <c r="CS676" i="1"/>
  <c r="CV676" i="1"/>
  <c r="BU644" i="1"/>
  <c r="BW644" i="1"/>
  <c r="BI1314" i="1"/>
  <c r="BK1314" i="1"/>
  <c r="CL1321" i="1"/>
  <c r="CJ1321" i="1"/>
  <c r="CS548" i="1"/>
  <c r="CV548" i="1"/>
  <c r="BH1390" i="1"/>
  <c r="BF1390" i="1"/>
  <c r="CA1361" i="1"/>
  <c r="CC1361" i="1"/>
  <c r="CA651" i="1"/>
  <c r="CC651" i="1"/>
  <c r="BE676" i="1"/>
  <c r="BC676" i="1"/>
  <c r="CA1349" i="1"/>
  <c r="CC1349" i="1"/>
  <c r="CA1196" i="1"/>
  <c r="CC1196" i="1"/>
  <c r="BF1188" i="1"/>
  <c r="BH1188" i="1"/>
  <c r="BX1415" i="1"/>
  <c r="BZ1415" i="1"/>
  <c r="CV1343" i="1"/>
  <c r="CS1343" i="1"/>
  <c r="BZ1349" i="1"/>
  <c r="BX1349" i="1"/>
  <c r="BM1349" i="1" s="1"/>
  <c r="CV651" i="1"/>
  <c r="CS651" i="1"/>
  <c r="BR1392" i="1"/>
  <c r="BT1392" i="1"/>
  <c r="BU1357" i="1"/>
  <c r="BW1357" i="1"/>
  <c r="CF676" i="1"/>
  <c r="CD676" i="1"/>
  <c r="CJ663" i="1"/>
  <c r="CL663" i="1"/>
  <c r="BU1390" i="1"/>
  <c r="BW1390" i="1"/>
  <c r="BW1393" i="1"/>
  <c r="BU1393" i="1"/>
  <c r="BF475" i="1"/>
  <c r="BH475" i="1"/>
  <c r="CJ630" i="1"/>
  <c r="CL630" i="1"/>
  <c r="CV633" i="1"/>
  <c r="CS633" i="1"/>
  <c r="BW510" i="1"/>
  <c r="BU510" i="1"/>
  <c r="BT651" i="1"/>
  <c r="BR651" i="1"/>
  <c r="CC1371" i="1"/>
  <c r="CA1371" i="1"/>
  <c r="BC644" i="1"/>
  <c r="BE644" i="1"/>
  <c r="CS1384" i="1"/>
  <c r="CV1384" i="1"/>
  <c r="BU1322" i="1"/>
  <c r="BW1322" i="1"/>
  <c r="CF661" i="1"/>
  <c r="CD661" i="1"/>
  <c r="CD1367" i="1"/>
  <c r="CF1367" i="1"/>
  <c r="BI1369" i="1"/>
  <c r="BK1369" i="1"/>
  <c r="CS1371" i="1"/>
  <c r="CV1371" i="1"/>
  <c r="CL728" i="1"/>
  <c r="CJ728" i="1"/>
  <c r="CC1339" i="1"/>
  <c r="CA1339" i="1"/>
  <c r="CD1368" i="1"/>
  <c r="CF1368" i="1"/>
  <c r="BX644" i="1"/>
  <c r="BZ644" i="1"/>
  <c r="BF694" i="1"/>
  <c r="BH694" i="1"/>
  <c r="BU1426" i="1"/>
  <c r="BW1426" i="1"/>
  <c r="CL1331" i="1"/>
  <c r="CJ1331" i="1"/>
  <c r="CL680" i="1"/>
  <c r="CJ680" i="1"/>
  <c r="CF1384" i="1"/>
  <c r="CD1384" i="1"/>
  <c r="BU1378" i="1"/>
  <c r="BW1378" i="1"/>
  <c r="BU664" i="1"/>
  <c r="BW664" i="1"/>
  <c r="CD628" i="1"/>
  <c r="CF628" i="1"/>
  <c r="CD475" i="1"/>
  <c r="CF475" i="1"/>
  <c r="BF1370" i="1"/>
  <c r="BH1370" i="1"/>
  <c r="BR630" i="1"/>
  <c r="BT630" i="1"/>
  <c r="BW1277" i="1"/>
  <c r="BU1277" i="1"/>
  <c r="CS1392" i="1"/>
  <c r="CV1392" i="1"/>
  <c r="CC639" i="1"/>
  <c r="CA639" i="1"/>
  <c r="BE680" i="1"/>
  <c r="BC680" i="1"/>
  <c r="BI1384" i="1"/>
  <c r="BK1384" i="1"/>
  <c r="BI640" i="1"/>
  <c r="BK640" i="1"/>
  <c r="CA623" i="1"/>
  <c r="CC623" i="1"/>
  <c r="BI1368" i="1"/>
  <c r="BK1368" i="1"/>
  <c r="BW1392" i="1"/>
  <c r="BU1392" i="1"/>
  <c r="BE639" i="1"/>
  <c r="BC639" i="1"/>
  <c r="BZ1357" i="1"/>
  <c r="BX1357" i="1"/>
  <c r="BX1360" i="1"/>
  <c r="BZ1360" i="1"/>
  <c r="BU1343" i="1"/>
  <c r="BW1343" i="1"/>
  <c r="CJ1231" i="1"/>
  <c r="CL1231" i="1"/>
  <c r="BF539" i="1"/>
  <c r="BH539" i="1"/>
  <c r="BF1377" i="1"/>
  <c r="BH1377" i="1"/>
  <c r="BB1377" i="1" s="1"/>
  <c r="BW1442" i="1"/>
  <c r="BU1442" i="1"/>
  <c r="BZ587" i="1"/>
  <c r="BX587" i="1"/>
  <c r="CJ636" i="1"/>
  <c r="CL636" i="1"/>
  <c r="CD1377" i="1"/>
  <c r="CF1377" i="1"/>
  <c r="CD520" i="1"/>
  <c r="CF520" i="1"/>
  <c r="CD1444" i="1"/>
  <c r="CF1444" i="1"/>
  <c r="BX1231" i="1"/>
  <c r="BZ1231" i="1"/>
  <c r="CS1317" i="1"/>
  <c r="CV1317" i="1"/>
  <c r="CD618" i="1"/>
  <c r="CF618" i="1"/>
  <c r="BI1268" i="1"/>
  <c r="BK1268" i="1"/>
  <c r="BC623" i="1"/>
  <c r="BE623" i="1"/>
  <c r="CJ1317" i="1"/>
  <c r="CL1317" i="1"/>
  <c r="BC630" i="1"/>
  <c r="BE630" i="1"/>
  <c r="BR618" i="1"/>
  <c r="BT618" i="1"/>
  <c r="BZ1330" i="1"/>
  <c r="BX1330" i="1"/>
  <c r="CS1391" i="1"/>
  <c r="CV1391" i="1"/>
  <c r="BR656" i="1"/>
  <c r="BT656" i="1"/>
  <c r="CV640" i="1"/>
  <c r="CS640" i="1"/>
  <c r="BE1331" i="1"/>
  <c r="BC1331" i="1"/>
  <c r="BK1299" i="1"/>
  <c r="BI1299" i="1"/>
  <c r="BK1391" i="1"/>
  <c r="BI1391" i="1"/>
  <c r="CJ566" i="1"/>
  <c r="CL566" i="1"/>
  <c r="CJ1386" i="1"/>
  <c r="CL1386" i="1"/>
  <c r="BR586" i="1"/>
  <c r="BT586" i="1"/>
  <c r="CF1386" i="1"/>
  <c r="CD1386" i="1"/>
  <c r="BF1187" i="1"/>
  <c r="BH1187" i="1"/>
  <c r="BX566" i="1"/>
  <c r="BZ566" i="1"/>
  <c r="CS1254" i="1"/>
  <c r="CV1254" i="1"/>
  <c r="CS1441" i="1"/>
  <c r="CV1441" i="1"/>
  <c r="CV552" i="1"/>
  <c r="CS552" i="1"/>
  <c r="BI1336" i="1"/>
  <c r="BK1336" i="1"/>
  <c r="BT593" i="1"/>
  <c r="BR593" i="1"/>
  <c r="BZ1430" i="1"/>
  <c r="BX1430" i="1"/>
  <c r="BT559" i="1"/>
  <c r="BR559" i="1"/>
  <c r="CA1328" i="1"/>
  <c r="CC1328" i="1"/>
  <c r="BF686" i="1"/>
  <c r="BH686" i="1"/>
  <c r="CJ1254" i="1"/>
  <c r="CL1254" i="1"/>
  <c r="BR1231" i="1"/>
  <c r="BT1231" i="1"/>
  <c r="BC552" i="1"/>
  <c r="BE552" i="1"/>
  <c r="BF1336" i="1"/>
  <c r="BH1336" i="1"/>
  <c r="BF587" i="1"/>
  <c r="BH587" i="1"/>
  <c r="CJ664" i="1"/>
  <c r="CL664" i="1"/>
  <c r="BI1231" i="1"/>
  <c r="BK1231" i="1"/>
  <c r="CD1362" i="1"/>
  <c r="CF1362" i="1"/>
  <c r="CC622" i="1"/>
  <c r="CA622" i="1"/>
  <c r="CJ587" i="1"/>
  <c r="CL587" i="1"/>
  <c r="BF623" i="1"/>
  <c r="BH623" i="1"/>
  <c r="BT576" i="1"/>
  <c r="BR576" i="1"/>
  <c r="BC704" i="1"/>
  <c r="BE704" i="1"/>
  <c r="CS1386" i="1"/>
  <c r="CV1386" i="1"/>
  <c r="BU1336" i="1"/>
  <c r="BW1336" i="1"/>
  <c r="CC1187" i="1"/>
  <c r="CA1187" i="1"/>
  <c r="CF733" i="1"/>
  <c r="CD733" i="1"/>
  <c r="BT1300" i="1"/>
  <c r="BR1300" i="1"/>
  <c r="BT552" i="1"/>
  <c r="BR552" i="1"/>
  <c r="CD1336" i="1"/>
  <c r="CF1336" i="1"/>
  <c r="BR692" i="1"/>
  <c r="BT692" i="1"/>
  <c r="BH613" i="1"/>
  <c r="BF613" i="1"/>
  <c r="BU599" i="1"/>
  <c r="BW599" i="1"/>
  <c r="BR672" i="1"/>
  <c r="BT672" i="1"/>
  <c r="CJ672" i="1"/>
  <c r="CL672" i="1"/>
  <c r="CF1345" i="1"/>
  <c r="CD1345" i="1"/>
  <c r="CA1376" i="1"/>
  <c r="CC1376" i="1"/>
  <c r="CJ1338" i="1"/>
  <c r="CL1338" i="1"/>
  <c r="BC1406" i="1"/>
  <c r="BA1406" i="1" s="1"/>
  <c r="BE1406" i="1"/>
  <c r="BB1406" i="1" s="1"/>
  <c r="BU600" i="1"/>
  <c r="BW600" i="1"/>
  <c r="CV1402" i="1"/>
  <c r="CS1402" i="1"/>
  <c r="BC688" i="1"/>
  <c r="BE688" i="1"/>
  <c r="CA1261" i="1"/>
  <c r="CC1261" i="1"/>
  <c r="CJ1326" i="1"/>
  <c r="CL1326" i="1"/>
  <c r="CJ1402" i="1"/>
  <c r="CL1402" i="1"/>
  <c r="CJ1347" i="1"/>
  <c r="CL1347" i="1"/>
  <c r="CA1385" i="1"/>
  <c r="CC1385" i="1"/>
  <c r="BI1424" i="1"/>
  <c r="BK1424" i="1"/>
  <c r="BU1286" i="1"/>
  <c r="BW1286" i="1"/>
  <c r="CD1415" i="1"/>
  <c r="CF1415" i="1"/>
  <c r="BI1325" i="1"/>
  <c r="BK1325" i="1"/>
  <c r="CA692" i="1"/>
  <c r="CC692" i="1"/>
  <c r="BU1376" i="1"/>
  <c r="BW1376" i="1"/>
  <c r="BF1397" i="1"/>
  <c r="BH1397" i="1"/>
  <c r="BI1316" i="1"/>
  <c r="BK1316" i="1"/>
  <c r="BR645" i="1"/>
  <c r="BT645" i="1"/>
  <c r="BR1406" i="1"/>
  <c r="BT1406" i="1"/>
  <c r="CD600" i="1"/>
  <c r="CF600" i="1"/>
  <c r="BC1397" i="1"/>
  <c r="BE1397" i="1"/>
  <c r="BB1397" i="1" s="1"/>
  <c r="CJ599" i="1"/>
  <c r="CL599" i="1"/>
  <c r="BX640" i="1"/>
  <c r="BZ640" i="1"/>
  <c r="BZ692" i="1"/>
  <c r="BX692" i="1"/>
  <c r="BU1345" i="1"/>
  <c r="BW1345" i="1"/>
  <c r="CJ658" i="1"/>
  <c r="CL658" i="1"/>
  <c r="BX599" i="1"/>
  <c r="BZ599" i="1"/>
  <c r="CL1087" i="1"/>
  <c r="CJ1087" i="1"/>
  <c r="BT642" i="1"/>
  <c r="BR642" i="1"/>
  <c r="BK1347" i="1"/>
  <c r="BI1347" i="1"/>
  <c r="BU672" i="1"/>
  <c r="BW672" i="1"/>
  <c r="CF710" i="1"/>
  <c r="CD710" i="1"/>
  <c r="BI1379" i="1"/>
  <c r="BK1379" i="1"/>
  <c r="BR658" i="1"/>
  <c r="BT658" i="1"/>
  <c r="CJ1358" i="1"/>
  <c r="CL1358" i="1"/>
  <c r="BR1286" i="1"/>
  <c r="BT1286" i="1"/>
  <c r="BC1361" i="1"/>
  <c r="BE1361" i="1"/>
  <c r="CL1349" i="1"/>
  <c r="CJ1349" i="1"/>
  <c r="CA1304" i="1"/>
  <c r="CC1304" i="1"/>
  <c r="CD658" i="1"/>
  <c r="CF658" i="1"/>
  <c r="CD1358" i="1"/>
  <c r="CF1358" i="1"/>
  <c r="BZ1325" i="1"/>
  <c r="BX1325" i="1"/>
  <c r="BE732" i="1"/>
  <c r="BC732" i="1"/>
  <c r="BH651" i="1"/>
  <c r="BF651" i="1"/>
  <c r="CA677" i="1"/>
  <c r="CC677" i="1"/>
  <c r="CJ1413" i="1"/>
  <c r="CL1413" i="1"/>
  <c r="CV1321" i="1"/>
  <c r="CS1321" i="1"/>
  <c r="BI599" i="1"/>
  <c r="BK599" i="1"/>
  <c r="CC1367" i="1"/>
  <c r="CA1367" i="1"/>
  <c r="CA728" i="1"/>
  <c r="CC728" i="1"/>
  <c r="CF1314" i="1"/>
  <c r="CD1314" i="1"/>
  <c r="CJ1344" i="1"/>
  <c r="CL1344" i="1"/>
  <c r="BT533" i="1"/>
  <c r="BR533" i="1"/>
  <c r="BC621" i="1"/>
  <c r="BE621" i="1"/>
  <c r="BI1403" i="1"/>
  <c r="BK1403" i="1"/>
  <c r="CS699" i="1"/>
  <c r="CV699" i="1"/>
  <c r="BH1286" i="1"/>
  <c r="BF1286" i="1"/>
  <c r="CL633" i="1"/>
  <c r="CJ633" i="1"/>
  <c r="CV1369" i="1"/>
  <c r="CS1369" i="1"/>
  <c r="BK1361" i="1"/>
  <c r="BI1361" i="1"/>
  <c r="CC582" i="1"/>
  <c r="CA582" i="1"/>
  <c r="CA621" i="1"/>
  <c r="CC621" i="1"/>
  <c r="BK1349" i="1"/>
  <c r="BI1349" i="1"/>
  <c r="CJ1369" i="1"/>
  <c r="CL1369" i="1"/>
  <c r="CA1393" i="1"/>
  <c r="CC1393" i="1"/>
  <c r="CF1403" i="1"/>
  <c r="CD1403" i="1"/>
  <c r="CL520" i="1"/>
  <c r="CJ520" i="1"/>
  <c r="CA553" i="1"/>
  <c r="CC553" i="1"/>
  <c r="BU651" i="1"/>
  <c r="BW651" i="1"/>
  <c r="CS475" i="1"/>
  <c r="CV475" i="1"/>
  <c r="CJ1419" i="1"/>
  <c r="CL1419" i="1"/>
  <c r="CS621" i="1"/>
  <c r="CV621" i="1"/>
  <c r="BU663" i="1"/>
  <c r="BW663" i="1"/>
  <c r="CV1196" i="1"/>
  <c r="CS1196" i="1"/>
  <c r="CA588" i="1"/>
  <c r="CC588" i="1"/>
  <c r="BR728" i="1"/>
  <c r="BT728" i="1"/>
  <c r="CC1303" i="1"/>
  <c r="CA1303" i="1"/>
  <c r="BX633" i="1"/>
  <c r="BZ633" i="1"/>
  <c r="BC510" i="1"/>
  <c r="BE510" i="1"/>
  <c r="CD582" i="1"/>
  <c r="CF582" i="1"/>
  <c r="BF1371" i="1"/>
  <c r="BH1371" i="1"/>
  <c r="BR1415" i="1"/>
  <c r="BT1415" i="1"/>
  <c r="CD1419" i="1"/>
  <c r="CF1419" i="1"/>
  <c r="BR1370" i="1"/>
  <c r="BT1370" i="1"/>
  <c r="CJ621" i="1"/>
  <c r="CL621" i="1"/>
  <c r="CD510" i="1"/>
  <c r="CF510" i="1"/>
  <c r="BK651" i="1"/>
  <c r="BI651" i="1"/>
  <c r="BZ1371" i="1"/>
  <c r="BX1371" i="1"/>
  <c r="CS639" i="1"/>
  <c r="CV639" i="1"/>
  <c r="CL1101" i="1"/>
  <c r="CJ1101" i="1"/>
  <c r="BX1304" i="1"/>
  <c r="BZ1304" i="1"/>
  <c r="CS1403" i="1"/>
  <c r="CV1403" i="1"/>
  <c r="CV680" i="1"/>
  <c r="CS680" i="1"/>
  <c r="BW1317" i="1"/>
  <c r="BU1317" i="1"/>
  <c r="CL1377" i="1"/>
  <c r="CJ1377" i="1"/>
  <c r="BF680" i="1"/>
  <c r="BH680" i="1"/>
  <c r="BR1384" i="1"/>
  <c r="BT1384" i="1"/>
  <c r="BK539" i="1"/>
  <c r="BI539" i="1"/>
  <c r="BX559" i="1"/>
  <c r="BZ559" i="1"/>
  <c r="CS1364" i="1"/>
  <c r="CV1364" i="1"/>
  <c r="BU475" i="1"/>
  <c r="BW475" i="1"/>
  <c r="CS682" i="1"/>
  <c r="CV682" i="1"/>
  <c r="BX1400" i="1"/>
  <c r="BZ1400" i="1"/>
  <c r="CD1371" i="1"/>
  <c r="CF1371" i="1"/>
  <c r="CV644" i="1"/>
  <c r="CS644" i="1"/>
  <c r="BH639" i="1"/>
  <c r="BF639" i="1"/>
  <c r="BX1322" i="1"/>
  <c r="BZ1322" i="1"/>
  <c r="BE1339" i="1"/>
  <c r="BB1339" i="1" s="1"/>
  <c r="BC1339" i="1"/>
  <c r="BA1339" i="1" s="1"/>
  <c r="BF1378" i="1"/>
  <c r="BH1378" i="1"/>
  <c r="CS1231" i="1"/>
  <c r="CV1231" i="1"/>
  <c r="BT1304" i="1"/>
  <c r="BR1304" i="1"/>
  <c r="CL644" i="1"/>
  <c r="CJ644" i="1"/>
  <c r="BZ1410" i="1"/>
  <c r="BX1410" i="1"/>
  <c r="BF1357" i="1"/>
  <c r="BH1357" i="1"/>
  <c r="CD640" i="1"/>
  <c r="CF640" i="1"/>
  <c r="BH1400" i="1"/>
  <c r="BF1400" i="1"/>
  <c r="BI1419" i="1"/>
  <c r="BK1419" i="1"/>
  <c r="BB1419" i="1" s="1"/>
  <c r="CA534" i="1"/>
  <c r="CC534" i="1"/>
  <c r="CD1343" i="1"/>
  <c r="CF1343" i="1"/>
  <c r="BC1442" i="1"/>
  <c r="BE1442" i="1"/>
  <c r="BB1442" i="1" s="1"/>
  <c r="BR623" i="1"/>
  <c r="BM623" i="1" s="1"/>
  <c r="BT623" i="1"/>
  <c r="BH630" i="1"/>
  <c r="BF630" i="1"/>
  <c r="BW1377" i="1"/>
  <c r="BU1377" i="1"/>
  <c r="BT520" i="1"/>
  <c r="BR520" i="1"/>
  <c r="BX675" i="1"/>
  <c r="BZ675" i="1"/>
  <c r="BF1276" i="1"/>
  <c r="BH1276" i="1"/>
  <c r="CS1101" i="1"/>
  <c r="CV1101" i="1"/>
  <c r="CL1342" i="1"/>
  <c r="CJ1342" i="1"/>
  <c r="CL1442" i="1"/>
  <c r="CJ1442" i="1"/>
  <c r="CS1430" i="1"/>
  <c r="CV1430" i="1"/>
  <c r="BR1317" i="1"/>
  <c r="BT1317" i="1"/>
  <c r="CD1378" i="1"/>
  <c r="CF1378" i="1"/>
  <c r="BZ1331" i="1"/>
  <c r="BX1331" i="1"/>
  <c r="BF1330" i="1"/>
  <c r="BH1330" i="1"/>
  <c r="CJ603" i="1"/>
  <c r="CL603" i="1"/>
  <c r="BK552" i="1"/>
  <c r="BI552" i="1"/>
  <c r="BU630" i="1"/>
  <c r="BW630" i="1"/>
  <c r="CC1377" i="1"/>
  <c r="CA1377" i="1"/>
  <c r="CS1268" i="1"/>
  <c r="CV1268" i="1"/>
  <c r="CD603" i="1"/>
  <c r="CF603" i="1"/>
  <c r="BW513" i="1"/>
  <c r="BU513" i="1"/>
  <c r="BT1336" i="1"/>
  <c r="BR1336" i="1"/>
  <c r="BF1391" i="1"/>
  <c r="BH1391" i="1"/>
  <c r="BF1362" i="1"/>
  <c r="BH1362" i="1"/>
  <c r="BU593" i="1"/>
  <c r="BW593" i="1"/>
  <c r="BC566" i="1"/>
  <c r="BE566" i="1"/>
  <c r="BU1254" i="1"/>
  <c r="BW1254" i="1"/>
  <c r="CA1441" i="1"/>
  <c r="CC1441" i="1"/>
  <c r="BK1386" i="1"/>
  <c r="BI1386" i="1"/>
  <c r="CJ514" i="1"/>
  <c r="CL514" i="1"/>
  <c r="CV587" i="1"/>
  <c r="CS587" i="1"/>
  <c r="BK1430" i="1"/>
  <c r="BI1430" i="1"/>
  <c r="BX1441" i="1"/>
  <c r="BZ1441" i="1"/>
  <c r="BN1441" i="1" s="1"/>
  <c r="BI1328" i="1"/>
  <c r="BK1328" i="1"/>
  <c r="CD1277" i="1"/>
  <c r="CF1277" i="1"/>
  <c r="BR1254" i="1"/>
  <c r="BT1254" i="1"/>
  <c r="CS704" i="1"/>
  <c r="CV704" i="1"/>
  <c r="BR1362" i="1"/>
  <c r="BT1362" i="1"/>
  <c r="CA514" i="1"/>
  <c r="CC514" i="1"/>
  <c r="CJ577" i="1"/>
  <c r="CL577" i="1"/>
  <c r="BT664" i="1"/>
  <c r="BR664" i="1"/>
  <c r="CL704" i="1"/>
  <c r="CJ704" i="1"/>
  <c r="CS661" i="1"/>
  <c r="CV661" i="1"/>
  <c r="BI622" i="1"/>
  <c r="BK622" i="1"/>
  <c r="CF577" i="1"/>
  <c r="CD577" i="1"/>
  <c r="BU1430" i="1"/>
  <c r="BW1430" i="1"/>
  <c r="CV656" i="1"/>
  <c r="CS656" i="1"/>
  <c r="BX544" i="1"/>
  <c r="BZ544" i="1"/>
  <c r="BU1386" i="1"/>
  <c r="BW1386" i="1"/>
  <c r="BC1336" i="1"/>
  <c r="BE1336" i="1"/>
  <c r="BT1187" i="1"/>
  <c r="BR1187" i="1"/>
  <c r="CC566" i="1"/>
  <c r="CA566" i="1"/>
  <c r="BE1300" i="1"/>
  <c r="BC1300" i="1"/>
  <c r="CV1362" i="1"/>
  <c r="CS1362" i="1"/>
  <c r="BU514" i="1"/>
  <c r="BW514" i="1"/>
  <c r="BI1376" i="1"/>
  <c r="BK1376" i="1"/>
  <c r="BE1290" i="1"/>
  <c r="BC1290" i="1"/>
  <c r="BA1290" i="1" s="1"/>
  <c r="CC642" i="1"/>
  <c r="CA642" i="1"/>
  <c r="BI594" i="1"/>
  <c r="BK594" i="1"/>
  <c r="CD653" i="1"/>
  <c r="CF653" i="1"/>
  <c r="BI672" i="1"/>
  <c r="BK672" i="1"/>
  <c r="BZ600" i="1"/>
  <c r="BX600" i="1"/>
  <c r="CJ645" i="1"/>
  <c r="CL645" i="1"/>
  <c r="BI642" i="1"/>
  <c r="BK642" i="1"/>
  <c r="BT1385" i="1"/>
  <c r="BR1385" i="1"/>
  <c r="CD688" i="1"/>
  <c r="CF688" i="1"/>
  <c r="BE1411" i="1"/>
  <c r="BC1411" i="1"/>
  <c r="BX1406" i="1"/>
  <c r="BZ1406" i="1"/>
  <c r="BX1286" i="1"/>
  <c r="BZ1286" i="1"/>
  <c r="CD1411" i="1"/>
  <c r="CF1411" i="1"/>
  <c r="BF1347" i="1"/>
  <c r="BH1347" i="1"/>
  <c r="CF672" i="1"/>
  <c r="CD672" i="1"/>
  <c r="BC1314" i="1"/>
  <c r="BA1314" i="1" s="1"/>
  <c r="BE1314" i="1"/>
  <c r="BI533" i="1"/>
  <c r="BK533" i="1"/>
  <c r="BU1338" i="1"/>
  <c r="BW1338" i="1"/>
  <c r="BF1087" i="1"/>
  <c r="BH1087" i="1"/>
  <c r="BX1261" i="1"/>
  <c r="BZ1261" i="1"/>
  <c r="CA1345" i="1"/>
  <c r="CC1345" i="1"/>
  <c r="CS658" i="1"/>
  <c r="CV658" i="1"/>
  <c r="BI1321" i="1"/>
  <c r="BK1321" i="1"/>
  <c r="CS1411" i="1"/>
  <c r="CV1411" i="1"/>
  <c r="CJ613" i="1"/>
  <c r="CL613" i="1"/>
  <c r="CS1385" i="1"/>
  <c r="CV1385" i="1"/>
  <c r="CC1314" i="1"/>
  <c r="CA1314" i="1"/>
  <c r="CA1379" i="1"/>
  <c r="CC1379" i="1"/>
  <c r="CD1087" i="1"/>
  <c r="CF1087" i="1"/>
  <c r="BF692" i="1"/>
  <c r="BH692" i="1"/>
  <c r="BC1345" i="1"/>
  <c r="BE1345" i="1"/>
  <c r="BC710" i="1"/>
  <c r="BA710" i="1" s="1"/>
  <c r="BE710" i="1"/>
  <c r="BX1361" i="1"/>
  <c r="BZ1361" i="1"/>
  <c r="BF1402" i="1"/>
  <c r="BH1402" i="1"/>
  <c r="BK1389" i="1"/>
  <c r="BI1389" i="1"/>
  <c r="CS1290" i="1"/>
  <c r="CV1290" i="1"/>
  <c r="BU594" i="1"/>
  <c r="BW594" i="1"/>
  <c r="CC1424" i="1"/>
  <c r="CA1424" i="1"/>
  <c r="BX676" i="1"/>
  <c r="BZ676" i="1"/>
  <c r="BC658" i="1"/>
  <c r="BE658" i="1"/>
  <c r="BU1358" i="1"/>
  <c r="BW1358" i="1"/>
  <c r="CS1325" i="1"/>
  <c r="CV1325" i="1"/>
  <c r="CC732" i="1"/>
  <c r="CA732" i="1"/>
  <c r="CS1367" i="1"/>
  <c r="CV1367" i="1"/>
  <c r="BI1417" i="1"/>
  <c r="BK1417" i="1"/>
  <c r="CA710" i="1"/>
  <c r="CC710" i="1"/>
  <c r="BF1344" i="1"/>
  <c r="BH1344" i="1"/>
  <c r="CJ533" i="1"/>
  <c r="CL533" i="1"/>
  <c r="BI676" i="1"/>
  <c r="BK676" i="1"/>
  <c r="BF582" i="1"/>
  <c r="BH582" i="1"/>
  <c r="BI658" i="1"/>
  <c r="BK658" i="1"/>
  <c r="BF1413" i="1"/>
  <c r="BH1413" i="1"/>
  <c r="BU1321" i="1"/>
  <c r="BW1321" i="1"/>
  <c r="CJ1379" i="1"/>
  <c r="CL1379" i="1"/>
  <c r="BW553" i="1"/>
  <c r="BU553" i="1"/>
  <c r="BU1410" i="1"/>
  <c r="BW1410" i="1"/>
  <c r="CJ653" i="1"/>
  <c r="CL653" i="1"/>
  <c r="BC1344" i="1"/>
  <c r="BE1344" i="1"/>
  <c r="BC666" i="1"/>
  <c r="BE666" i="1"/>
  <c r="CJ565" i="1"/>
  <c r="CL565" i="1"/>
  <c r="BT1410" i="1"/>
  <c r="BR1410" i="1"/>
  <c r="BH699" i="1"/>
  <c r="BF699" i="1"/>
  <c r="BE1325" i="1"/>
  <c r="BC1325" i="1"/>
  <c r="CA565" i="1"/>
  <c r="CC565" i="1"/>
  <c r="CF651" i="1"/>
  <c r="CD651" i="1"/>
  <c r="BU732" i="1"/>
  <c r="BW732" i="1"/>
  <c r="BU1371" i="1"/>
  <c r="BW1371" i="1"/>
  <c r="BR621" i="1"/>
  <c r="BT621" i="1"/>
  <c r="BX1367" i="1"/>
  <c r="BZ1367" i="1"/>
  <c r="BU1369" i="1"/>
  <c r="BW1369" i="1"/>
  <c r="CJ1371" i="1"/>
  <c r="CL1371" i="1"/>
  <c r="BI475" i="1"/>
  <c r="BK475" i="1"/>
  <c r="BC1187" i="1"/>
  <c r="BE1187" i="1"/>
  <c r="BI553" i="1"/>
  <c r="BK553" i="1"/>
  <c r="BB553" i="1" s="1"/>
  <c r="BR582" i="1"/>
  <c r="BT582" i="1"/>
  <c r="CA694" i="1"/>
  <c r="CC694" i="1"/>
  <c r="CS630" i="1"/>
  <c r="CV630" i="1"/>
  <c r="BI621" i="1"/>
  <c r="BK621" i="1"/>
  <c r="CJ1367" i="1"/>
  <c r="CL1367" i="1"/>
  <c r="CL651" i="1"/>
  <c r="CJ651" i="1"/>
  <c r="CJ1368" i="1"/>
  <c r="CL1368" i="1"/>
  <c r="BU639" i="1"/>
  <c r="BW639" i="1"/>
  <c r="CC586" i="1"/>
  <c r="CA586" i="1"/>
  <c r="CF663" i="1"/>
  <c r="CD663" i="1"/>
  <c r="BH1412" i="1"/>
  <c r="BF1412" i="1"/>
  <c r="BK582" i="1"/>
  <c r="BI582" i="1"/>
  <c r="BX588" i="1"/>
  <c r="BZ588" i="1"/>
  <c r="BK728" i="1"/>
  <c r="BI728" i="1"/>
  <c r="CA1317" i="1"/>
  <c r="CC1317" i="1"/>
  <c r="BF729" i="1"/>
  <c r="BH729" i="1"/>
  <c r="BZ548" i="1"/>
  <c r="BX548" i="1"/>
  <c r="CL1412" i="1"/>
  <c r="CJ1412" i="1"/>
  <c r="CS582" i="1"/>
  <c r="CV582" i="1"/>
  <c r="BF628" i="1"/>
  <c r="BH628" i="1"/>
  <c r="CS694" i="1"/>
  <c r="CV694" i="1"/>
  <c r="BF1360" i="1"/>
  <c r="BH1360" i="1"/>
  <c r="BH1304" i="1"/>
  <c r="BF1304" i="1"/>
  <c r="BA1304" i="1" s="1"/>
  <c r="CA1403" i="1"/>
  <c r="CC1403" i="1"/>
  <c r="BU680" i="1"/>
  <c r="BW680" i="1"/>
  <c r="BX1101" i="1"/>
  <c r="BZ1101" i="1"/>
  <c r="BE1303" i="1"/>
  <c r="BC1303" i="1"/>
  <c r="CC1322" i="1"/>
  <c r="CA1322" i="1"/>
  <c r="CS1339" i="1"/>
  <c r="CV1339" i="1"/>
  <c r="BE534" i="1"/>
  <c r="BC534" i="1"/>
  <c r="BE1328" i="1"/>
  <c r="BC1328" i="1"/>
  <c r="BC1364" i="1"/>
  <c r="BE1364" i="1"/>
  <c r="BC475" i="1"/>
  <c r="BE475" i="1"/>
  <c r="CC1357" i="1"/>
  <c r="CA1357" i="1"/>
  <c r="BU1330" i="1"/>
  <c r="BW1330" i="1"/>
  <c r="BI1371" i="1"/>
  <c r="BK1371" i="1"/>
  <c r="BR644" i="1"/>
  <c r="BT644" i="1"/>
  <c r="CD694" i="1"/>
  <c r="CF694" i="1"/>
  <c r="BZ1370" i="1"/>
  <c r="BX1370" i="1"/>
  <c r="BT1419" i="1"/>
  <c r="BR1419" i="1"/>
  <c r="CF534" i="1"/>
  <c r="CD534" i="1"/>
  <c r="BT1386" i="1"/>
  <c r="BR1386" i="1"/>
  <c r="CV628" i="1"/>
  <c r="CS628" i="1"/>
  <c r="BE1403" i="1"/>
  <c r="BC1403" i="1"/>
  <c r="BA1403" i="1" s="1"/>
  <c r="BF1410" i="1"/>
  <c r="BH1410" i="1"/>
  <c r="CA1384" i="1"/>
  <c r="CC1384" i="1"/>
  <c r="BF640" i="1"/>
  <c r="BH640" i="1"/>
  <c r="BC520" i="1"/>
  <c r="BE520" i="1"/>
  <c r="BX1317" i="1"/>
  <c r="BZ1317" i="1"/>
  <c r="BI534" i="1"/>
  <c r="BK534" i="1"/>
  <c r="BW1400" i="1"/>
  <c r="BU1400" i="1"/>
  <c r="BX586" i="1"/>
  <c r="BZ586" i="1"/>
  <c r="BH566" i="1"/>
  <c r="BF566" i="1"/>
  <c r="BR1378" i="1"/>
  <c r="BT1378" i="1"/>
  <c r="CC1343" i="1"/>
  <c r="CA1343" i="1"/>
  <c r="CV1303" i="1"/>
  <c r="CS1303" i="1"/>
  <c r="BR587" i="1"/>
  <c r="BT587" i="1"/>
  <c r="BX552" i="1"/>
  <c r="BZ552" i="1"/>
  <c r="BF1101" i="1"/>
  <c r="BH1101" i="1"/>
  <c r="BR1342" i="1"/>
  <c r="BM1342" i="1" s="1"/>
  <c r="BT1342" i="1"/>
  <c r="CA1391" i="1"/>
  <c r="CC1391" i="1"/>
  <c r="BU544" i="1"/>
  <c r="BW544" i="1"/>
  <c r="BU1101" i="1"/>
  <c r="BW1101" i="1"/>
  <c r="BI1378" i="1"/>
  <c r="BK1378" i="1"/>
  <c r="BF1331" i="1"/>
  <c r="BH1331" i="1"/>
  <c r="CA520" i="1"/>
  <c r="CC520" i="1"/>
  <c r="BT603" i="1"/>
  <c r="BR603" i="1"/>
  <c r="BI636" i="1"/>
  <c r="BK636" i="1"/>
  <c r="CA1378" i="1"/>
  <c r="CC1378" i="1"/>
  <c r="BZ1343" i="1"/>
  <c r="BX1343" i="1"/>
  <c r="BX1268" i="1"/>
  <c r="BZ1268" i="1"/>
  <c r="BI1444" i="1"/>
  <c r="BK1444" i="1"/>
  <c r="BF1254" i="1"/>
  <c r="BH1254" i="1"/>
  <c r="CD1303" i="1"/>
  <c r="CF1303" i="1"/>
  <c r="CC603" i="1"/>
  <c r="CA603" i="1"/>
  <c r="BX686" i="1"/>
  <c r="BZ686" i="1"/>
  <c r="BI587" i="1"/>
  <c r="BK587" i="1"/>
  <c r="CA1430" i="1"/>
  <c r="CC1430" i="1"/>
  <c r="CC1300" i="1"/>
  <c r="CA1300" i="1"/>
  <c r="BC1231" i="1"/>
  <c r="BE1231" i="1"/>
  <c r="CJ1362" i="1"/>
  <c r="CL1362" i="1"/>
  <c r="BE603" i="1"/>
  <c r="BC603" i="1"/>
  <c r="BA603" i="1" s="1"/>
  <c r="CA587" i="1"/>
  <c r="CC587" i="1"/>
  <c r="BX513" i="1"/>
  <c r="BZ513" i="1"/>
  <c r="BF1441" i="1"/>
  <c r="BH1441" i="1"/>
  <c r="BF552" i="1"/>
  <c r="BH552" i="1"/>
  <c r="BR1277" i="1"/>
  <c r="BT1277" i="1"/>
  <c r="BX1300" i="1"/>
  <c r="BZ1300" i="1"/>
  <c r="BF704" i="1"/>
  <c r="BH704" i="1"/>
  <c r="CL686" i="1"/>
  <c r="CJ686" i="1"/>
  <c r="CD622" i="1"/>
  <c r="CF622" i="1"/>
  <c r="BZ1394" i="1"/>
  <c r="BX1394" i="1"/>
  <c r="BF513" i="1"/>
  <c r="BH513" i="1"/>
  <c r="BU704" i="1"/>
  <c r="BW704" i="1"/>
  <c r="BF661" i="1"/>
  <c r="BH661" i="1"/>
  <c r="CJ1444" i="1"/>
  <c r="CL1444" i="1"/>
  <c r="BU577" i="1"/>
  <c r="BW577" i="1"/>
  <c r="BF1430" i="1"/>
  <c r="BH1430" i="1"/>
  <c r="BU656" i="1"/>
  <c r="BW656" i="1"/>
  <c r="BE544" i="1"/>
  <c r="BC544" i="1"/>
  <c r="BI1362" i="1"/>
  <c r="BK1362" i="1"/>
  <c r="BX514" i="1"/>
  <c r="BZ514" i="1"/>
  <c r="CL675" i="1"/>
  <c r="CJ675" i="1"/>
  <c r="BI566" i="1"/>
  <c r="BK566" i="1"/>
  <c r="CC576" i="1"/>
  <c r="CA576" i="1"/>
  <c r="CA1362" i="1"/>
  <c r="CC1362" i="1"/>
  <c r="BX622" i="1"/>
  <c r="BZ622" i="1"/>
  <c r="CD1402" i="1"/>
  <c r="CF1402" i="1"/>
  <c r="BC1376" i="1"/>
  <c r="BE1376" i="1"/>
  <c r="CA645" i="1"/>
  <c r="CC645" i="1"/>
  <c r="CS1316" i="1"/>
  <c r="CV1316" i="1"/>
  <c r="BU645" i="1"/>
  <c r="BW645" i="1"/>
  <c r="BU677" i="1"/>
  <c r="BW677" i="1"/>
  <c r="BC594" i="1"/>
  <c r="BA594" i="1" s="1"/>
  <c r="BE594" i="1"/>
  <c r="BB594" i="1" s="1"/>
  <c r="BU1290" i="1"/>
  <c r="BW1290" i="1"/>
  <c r="BR1402" i="1"/>
  <c r="BT1402" i="1"/>
  <c r="CL594" i="1"/>
  <c r="CJ594" i="1"/>
  <c r="BT1261" i="1"/>
  <c r="BR1261" i="1"/>
  <c r="CS1261" i="1"/>
  <c r="CV1261" i="1"/>
  <c r="BX613" i="1"/>
  <c r="BZ613" i="1"/>
  <c r="BR666" i="1"/>
  <c r="BT666" i="1"/>
  <c r="CJ688" i="1"/>
  <c r="CL688" i="1"/>
  <c r="CD1290" i="1"/>
  <c r="CF1290" i="1"/>
  <c r="BH672" i="1"/>
  <c r="BF672" i="1"/>
  <c r="CJ699" i="1"/>
  <c r="CL699" i="1"/>
  <c r="BI666" i="1"/>
  <c r="BK666" i="1"/>
  <c r="BU548" i="1"/>
  <c r="BW548" i="1"/>
  <c r="CA1087" i="1"/>
  <c r="CC1087" i="1"/>
  <c r="BF1261" i="1"/>
  <c r="BH1261" i="1"/>
  <c r="BH1345" i="1"/>
  <c r="BF1345" i="1"/>
  <c r="BA1345" i="1" s="1"/>
  <c r="BC1424" i="1"/>
  <c r="BA1424" i="1" s="1"/>
  <c r="BE1424" i="1"/>
  <c r="BB1424" i="1" s="1"/>
  <c r="BC1286" i="1"/>
  <c r="BE1286" i="1"/>
  <c r="BU642" i="1"/>
  <c r="BW642" i="1"/>
  <c r="BU613" i="1"/>
  <c r="BW613" i="1"/>
  <c r="BX1385" i="1"/>
  <c r="BZ1385" i="1"/>
  <c r="BZ653" i="1"/>
  <c r="BX653" i="1"/>
  <c r="CV1361" i="1"/>
  <c r="CS1361" i="1"/>
  <c r="BX1402" i="1"/>
  <c r="BZ1402" i="1"/>
  <c r="BU1261" i="1"/>
  <c r="BW1261" i="1"/>
  <c r="BI600" i="1"/>
  <c r="BK600" i="1"/>
  <c r="BK653" i="1"/>
  <c r="BI653" i="1"/>
  <c r="CA676" i="1"/>
  <c r="CC676" i="1"/>
  <c r="BF1411" i="1"/>
  <c r="BH1411" i="1"/>
  <c r="CL692" i="1"/>
  <c r="CJ692" i="1"/>
  <c r="BX1290" i="1"/>
  <c r="BZ1290" i="1"/>
  <c r="CF1285" i="1"/>
  <c r="CD1285" i="1"/>
  <c r="BX1314" i="1"/>
  <c r="BZ1314" i="1"/>
  <c r="BF565" i="1"/>
  <c r="BH565" i="1"/>
  <c r="BT710" i="1"/>
  <c r="BR710" i="1"/>
  <c r="CV1344" i="1"/>
  <c r="CS1344" i="1"/>
  <c r="BC533" i="1"/>
  <c r="BE533" i="1"/>
  <c r="BI732" i="1"/>
  <c r="BA732" i="1" s="1"/>
  <c r="BK732" i="1"/>
  <c r="CF553" i="1"/>
  <c r="CD553" i="1"/>
  <c r="BR1339" i="1"/>
  <c r="BT1339" i="1"/>
  <c r="CV1424" i="1"/>
  <c r="CS1424" i="1"/>
  <c r="CF1326" i="1"/>
  <c r="CD1326" i="1"/>
  <c r="BU533" i="1"/>
  <c r="BW533" i="1"/>
  <c r="BH548" i="1"/>
  <c r="BF548" i="1"/>
  <c r="BA548" i="1" s="1"/>
  <c r="BI1188" i="1"/>
  <c r="BK1188" i="1"/>
  <c r="CS710" i="1"/>
  <c r="CV710" i="1"/>
  <c r="BT1358" i="1"/>
  <c r="BR1358" i="1"/>
  <c r="BI1286" i="1"/>
  <c r="BK1286" i="1"/>
  <c r="BF1379" i="1"/>
  <c r="BH1379" i="1"/>
  <c r="BI1196" i="1"/>
  <c r="BK1196" i="1"/>
  <c r="CF682" i="1"/>
  <c r="CD682" i="1"/>
  <c r="BR653" i="1"/>
  <c r="BT653" i="1"/>
  <c r="BN653" i="1" s="1"/>
  <c r="BQ653" i="1" s="1"/>
  <c r="CA1326" i="1"/>
  <c r="CC1326" i="1"/>
  <c r="CA599" i="1"/>
  <c r="CC599" i="1"/>
  <c r="BR1412" i="1"/>
  <c r="BT1412" i="1"/>
  <c r="BF618" i="1"/>
  <c r="BH618" i="1"/>
  <c r="BB618" i="1" s="1"/>
  <c r="BE1413" i="1"/>
  <c r="BC1413" i="1"/>
  <c r="CC533" i="1"/>
  <c r="CA533" i="1"/>
  <c r="BX663" i="1"/>
  <c r="BZ663" i="1"/>
  <c r="CJ1357" i="1"/>
  <c r="CL1357" i="1"/>
  <c r="CJ676" i="1"/>
  <c r="CL676" i="1"/>
  <c r="BU1368" i="1"/>
  <c r="BW1368" i="1"/>
  <c r="CL548" i="1"/>
  <c r="CJ548" i="1"/>
  <c r="BE1367" i="1"/>
  <c r="BC1367" i="1"/>
  <c r="BC1369" i="1"/>
  <c r="BE1369" i="1"/>
  <c r="BR1371" i="1"/>
  <c r="BT1371" i="1"/>
  <c r="BX639" i="1"/>
  <c r="BZ639" i="1"/>
  <c r="BR676" i="1"/>
  <c r="BT676" i="1"/>
  <c r="BF510" i="1"/>
  <c r="BH510" i="1"/>
  <c r="CS652" i="1"/>
  <c r="CV652" i="1"/>
  <c r="CJ1410" i="1"/>
  <c r="CL1410" i="1"/>
  <c r="BH1342" i="1"/>
  <c r="BF1342" i="1"/>
  <c r="CD548" i="1"/>
  <c r="CF548" i="1"/>
  <c r="BU1367" i="1"/>
  <c r="BW1367" i="1"/>
  <c r="BC651" i="1"/>
  <c r="BE651" i="1"/>
  <c r="BB651" i="1" s="1"/>
  <c r="BC1368" i="1"/>
  <c r="BA1368" i="1" s="1"/>
  <c r="BE1368" i="1"/>
  <c r="CD1410" i="1"/>
  <c r="CF1410" i="1"/>
  <c r="CC577" i="1"/>
  <c r="CA577" i="1"/>
  <c r="CS1349" i="1"/>
  <c r="CV1349" i="1"/>
  <c r="BR1390" i="1"/>
  <c r="BM1390" i="1" s="1"/>
  <c r="BT1390" i="1"/>
  <c r="BN1390" i="1" s="1"/>
  <c r="BQ1390" i="1" s="1"/>
  <c r="CJ652" i="1"/>
  <c r="CL652" i="1"/>
  <c r="CC1368" i="1"/>
  <c r="CA1368" i="1"/>
  <c r="BW694" i="1"/>
  <c r="BU694" i="1"/>
  <c r="BI1360" i="1"/>
  <c r="BK1360" i="1"/>
  <c r="CL1384" i="1"/>
  <c r="CJ1384" i="1"/>
  <c r="BU633" i="1"/>
  <c r="BW633" i="1"/>
  <c r="BC1412" i="1"/>
  <c r="BE1412" i="1"/>
  <c r="BB1412" i="1" s="1"/>
  <c r="CD652" i="1"/>
  <c r="CF652" i="1"/>
  <c r="BW1364" i="1"/>
  <c r="BU1364" i="1"/>
  <c r="BR1322" i="1"/>
  <c r="BT1322" i="1"/>
  <c r="BZ618" i="1"/>
  <c r="BX618" i="1"/>
  <c r="BU628" i="1"/>
  <c r="BW628" i="1"/>
  <c r="CJ475" i="1"/>
  <c r="CL475" i="1"/>
  <c r="BH1322" i="1"/>
  <c r="BF1322" i="1"/>
  <c r="CJ1360" i="1"/>
  <c r="CL1360" i="1"/>
  <c r="BU1268" i="1"/>
  <c r="BW1268" i="1"/>
  <c r="BK1370" i="1"/>
  <c r="BI1370" i="1"/>
  <c r="BZ1339" i="1"/>
  <c r="BX1339" i="1"/>
  <c r="CJ1343" i="1"/>
  <c r="CL1343" i="1"/>
  <c r="BW588" i="1"/>
  <c r="BU588" i="1"/>
  <c r="BX1392" i="1"/>
  <c r="BZ1392" i="1"/>
  <c r="BX728" i="1"/>
  <c r="BZ728" i="1"/>
  <c r="BK1357" i="1"/>
  <c r="BI1357" i="1"/>
  <c r="BF520" i="1"/>
  <c r="BH520" i="1"/>
  <c r="CL1304" i="1"/>
  <c r="CJ1304" i="1"/>
  <c r="CS1415" i="1"/>
  <c r="CV1415" i="1"/>
  <c r="BR694" i="1"/>
  <c r="BT694" i="1"/>
  <c r="BC1370" i="1"/>
  <c r="BE1370" i="1"/>
  <c r="BB1370" i="1" s="1"/>
  <c r="CJ1426" i="1"/>
  <c r="CL1426" i="1"/>
  <c r="CV618" i="1"/>
  <c r="CS618" i="1"/>
  <c r="CV514" i="1"/>
  <c r="CS514" i="1"/>
  <c r="BR1417" i="1"/>
  <c r="BM1417" i="1" s="1"/>
  <c r="BT1417" i="1"/>
  <c r="BN1417" i="1" s="1"/>
  <c r="BQ1417" i="1" s="1"/>
  <c r="CC475" i="1"/>
  <c r="CA475" i="1"/>
  <c r="CV1322" i="1"/>
  <c r="CS1322" i="1"/>
  <c r="BH1384" i="1"/>
  <c r="BF1384" i="1"/>
  <c r="CV1378" i="1"/>
  <c r="CS1378" i="1"/>
  <c r="BF1299" i="1"/>
  <c r="BH1299" i="1"/>
  <c r="BC1317" i="1"/>
  <c r="BE1317" i="1"/>
  <c r="CV1342" i="1"/>
  <c r="CS1342" i="1"/>
  <c r="CD1330" i="1"/>
  <c r="CF1330" i="1"/>
  <c r="BF586" i="1"/>
  <c r="BH586" i="1"/>
  <c r="BB586" i="1" s="1"/>
  <c r="BC513" i="1"/>
  <c r="BE513" i="1"/>
  <c r="CS539" i="1"/>
  <c r="CV539" i="1"/>
  <c r="BR1343" i="1"/>
  <c r="BT1343" i="1"/>
  <c r="CS1299" i="1"/>
  <c r="CV1299" i="1"/>
  <c r="BI733" i="1"/>
  <c r="BK733" i="1"/>
  <c r="BT661" i="1"/>
  <c r="BR661" i="1"/>
  <c r="BM661" i="1" s="1"/>
  <c r="BU1360" i="1"/>
  <c r="BW1360" i="1"/>
  <c r="CS1331" i="1"/>
  <c r="CV1331" i="1"/>
  <c r="BR1391" i="1"/>
  <c r="BT1391" i="1"/>
  <c r="CF1328" i="1"/>
  <c r="CD1328" i="1"/>
  <c r="BC1101" i="1"/>
  <c r="BA1101" i="1" s="1"/>
  <c r="BE1101" i="1"/>
  <c r="BB1101" i="1" s="1"/>
  <c r="CJ539" i="1"/>
  <c r="CL539" i="1"/>
  <c r="BT1377" i="1"/>
  <c r="BR1377" i="1"/>
  <c r="BK520" i="1"/>
  <c r="BI520" i="1"/>
  <c r="BR675" i="1"/>
  <c r="BT675" i="1"/>
  <c r="CA1336" i="1"/>
  <c r="CC1336" i="1"/>
  <c r="BU539" i="1"/>
  <c r="BW539" i="1"/>
  <c r="BF1343" i="1"/>
  <c r="BH1343" i="1"/>
  <c r="BB1343" i="1" s="1"/>
  <c r="BF1268" i="1"/>
  <c r="BH1268" i="1"/>
  <c r="BI1187" i="1"/>
  <c r="BK1187" i="1"/>
  <c r="BB1187" i="1" s="1"/>
  <c r="CV559" i="1"/>
  <c r="CS559" i="1"/>
  <c r="BI1303" i="1"/>
  <c r="BK1303" i="1"/>
  <c r="BF1444" i="1"/>
  <c r="BH1444" i="1"/>
  <c r="CJ1277" i="1"/>
  <c r="CL1277" i="1"/>
  <c r="BH577" i="1"/>
  <c r="BF577" i="1"/>
  <c r="CS664" i="1"/>
  <c r="CV664" i="1"/>
  <c r="CS576" i="1"/>
  <c r="CV576" i="1"/>
  <c r="BX704" i="1"/>
  <c r="BZ704" i="1"/>
  <c r="BU1362" i="1"/>
  <c r="BW1362" i="1"/>
  <c r="CA1444" i="1"/>
  <c r="CC1444" i="1"/>
  <c r="CS577" i="1"/>
  <c r="CV577" i="1"/>
  <c r="CV1300" i="1"/>
  <c r="CS1300" i="1"/>
  <c r="CD1231" i="1"/>
  <c r="CF1231" i="1"/>
  <c r="CC1386" i="1"/>
  <c r="CA1386" i="1"/>
  <c r="BX1336" i="1"/>
  <c r="BZ1336" i="1"/>
  <c r="BF1300" i="1"/>
  <c r="BH1300" i="1"/>
  <c r="CA544" i="1"/>
  <c r="CC544" i="1"/>
  <c r="BU686" i="1"/>
  <c r="BW686" i="1"/>
  <c r="BW1444" i="1"/>
  <c r="BU1444" i="1"/>
  <c r="BM1444" i="1" s="1"/>
  <c r="BU733" i="1"/>
  <c r="BW733" i="1"/>
  <c r="CF1254" i="1"/>
  <c r="CD1254" i="1"/>
  <c r="BF544" i="1"/>
  <c r="BH544" i="1"/>
  <c r="BU636" i="1"/>
  <c r="BW636" i="1"/>
  <c r="BN636" i="1" s="1"/>
  <c r="BQ636" i="1" s="1"/>
  <c r="CV675" i="1"/>
  <c r="CS675" i="1"/>
  <c r="CV1394" i="1"/>
  <c r="CS1394" i="1"/>
  <c r="CD664" i="1"/>
  <c r="CF664" i="1"/>
  <c r="BC656" i="1"/>
  <c r="BE656" i="1"/>
  <c r="BB656" i="1" s="1"/>
  <c r="CD1276" i="1"/>
  <c r="CF1276" i="1"/>
  <c r="CJ661" i="1"/>
  <c r="CL661" i="1"/>
  <c r="BC514" i="1"/>
  <c r="BA514" i="1" s="1"/>
  <c r="BE514" i="1"/>
  <c r="BB514" i="1" s="1"/>
  <c r="BH593" i="1"/>
  <c r="BF593" i="1"/>
  <c r="CC664" i="1"/>
  <c r="CA664" i="1"/>
  <c r="BF559" i="1"/>
  <c r="BH559" i="1"/>
  <c r="CA686" i="1"/>
  <c r="CC686" i="1"/>
  <c r="BE622" i="1"/>
  <c r="BB622" i="1" s="1"/>
  <c r="BC622" i="1"/>
  <c r="BA622" i="1" s="1"/>
  <c r="BA348" i="1"/>
  <c r="BM525" i="1"/>
  <c r="BP525" i="1" s="1"/>
  <c r="BO525" i="1" s="1"/>
  <c r="BA604" i="1"/>
  <c r="BA1088" i="1"/>
  <c r="BA525" i="1"/>
  <c r="AZ525" i="1" s="1"/>
  <c r="BM708" i="1"/>
  <c r="BL708" i="1" s="1"/>
  <c r="CA144" i="1"/>
  <c r="CC144" i="1"/>
  <c r="BC333" i="1"/>
  <c r="BE333" i="1"/>
  <c r="CD641" i="1"/>
  <c r="CF641" i="1"/>
  <c r="BF478" i="1"/>
  <c r="BH478" i="1"/>
  <c r="CC669" i="1"/>
  <c r="CA669" i="1"/>
  <c r="BK1408" i="1"/>
  <c r="BI1408" i="1"/>
  <c r="CJ360" i="1"/>
  <c r="CL360" i="1"/>
  <c r="BU326" i="1"/>
  <c r="BW326" i="1"/>
  <c r="BX1227" i="1"/>
  <c r="BZ1227" i="1"/>
  <c r="BI326" i="1"/>
  <c r="BK326" i="1"/>
  <c r="BX558" i="1"/>
  <c r="BZ558" i="1"/>
  <c r="BX375" i="1"/>
  <c r="BZ375" i="1"/>
  <c r="CL1310" i="1"/>
  <c r="CJ1310" i="1"/>
  <c r="CS988" i="1"/>
  <c r="CV988" i="1"/>
  <c r="BI242" i="1"/>
  <c r="BK242" i="1"/>
  <c r="BI379" i="1"/>
  <c r="BK379" i="1"/>
  <c r="BX975" i="1"/>
  <c r="BZ975" i="1"/>
  <c r="BX616" i="1"/>
  <c r="BZ616" i="1"/>
  <c r="BR685" i="1"/>
  <c r="BT685" i="1"/>
  <c r="CA1135" i="1"/>
  <c r="CC1135" i="1"/>
  <c r="BC260" i="1"/>
  <c r="BE260" i="1"/>
  <c r="BX1068" i="1"/>
  <c r="BZ1068" i="1"/>
  <c r="BX1236" i="1"/>
  <c r="BZ1236" i="1"/>
  <c r="BC1157" i="1"/>
  <c r="BE1157" i="1"/>
  <c r="BF1086" i="1"/>
  <c r="BH1086" i="1"/>
  <c r="BC975" i="1"/>
  <c r="BE975" i="1"/>
  <c r="BF296" i="1"/>
  <c r="BH296" i="1"/>
  <c r="BU144" i="1"/>
  <c r="BW144" i="1"/>
  <c r="BX468" i="1"/>
  <c r="BZ468" i="1"/>
  <c r="BX856" i="1"/>
  <c r="BZ856" i="1"/>
  <c r="BF1408" i="1"/>
  <c r="BH1408" i="1"/>
  <c r="BR1329" i="1"/>
  <c r="BT1329" i="1"/>
  <c r="CJ1052" i="1"/>
  <c r="CL1052" i="1"/>
  <c r="BR479" i="1"/>
  <c r="BT479" i="1"/>
  <c r="BC1178" i="1"/>
  <c r="BE1178" i="1"/>
  <c r="BI267" i="1"/>
  <c r="BK267" i="1"/>
  <c r="BR1053" i="1"/>
  <c r="BT1053" i="1"/>
  <c r="CJ495" i="1"/>
  <c r="CL495" i="1"/>
  <c r="BF641" i="1"/>
  <c r="BH641" i="1"/>
  <c r="BE1408" i="1"/>
  <c r="BC1408" i="1"/>
  <c r="BC407" i="1"/>
  <c r="BE407" i="1"/>
  <c r="BX494" i="1"/>
  <c r="BZ494" i="1"/>
  <c r="BU855" i="1"/>
  <c r="BW855" i="1"/>
  <c r="CA393" i="1"/>
  <c r="CC393" i="1"/>
  <c r="CS647" i="1"/>
  <c r="CV647" i="1"/>
  <c r="CJ478" i="1"/>
  <c r="CL478" i="1"/>
  <c r="CJ1126" i="1"/>
  <c r="CL1126" i="1"/>
  <c r="CS1246" i="1"/>
  <c r="CV1246" i="1"/>
  <c r="BI239" i="1"/>
  <c r="BK239" i="1"/>
  <c r="CD362" i="1"/>
  <c r="CF362" i="1"/>
  <c r="BU267" i="1"/>
  <c r="BW267" i="1"/>
  <c r="BI1053" i="1"/>
  <c r="BK1053" i="1"/>
  <c r="BX495" i="1"/>
  <c r="BZ495" i="1"/>
  <c r="BR641" i="1"/>
  <c r="BT641" i="1"/>
  <c r="CS1363" i="1"/>
  <c r="CV1363" i="1"/>
  <c r="BF225" i="1"/>
  <c r="BH225" i="1"/>
  <c r="CJ669" i="1"/>
  <c r="CL669" i="1"/>
  <c r="BR210" i="1"/>
  <c r="BT210" i="1"/>
  <c r="CC529" i="1"/>
  <c r="CA529" i="1"/>
  <c r="BU299" i="1"/>
  <c r="BW299" i="1"/>
  <c r="CD1076" i="1"/>
  <c r="CF1076" i="1"/>
  <c r="BC1199" i="1"/>
  <c r="BE1199" i="1"/>
  <c r="BC239" i="1"/>
  <c r="BE239" i="1"/>
  <c r="CD545" i="1"/>
  <c r="CF545" i="1"/>
  <c r="CS362" i="1"/>
  <c r="CV362" i="1"/>
  <c r="CC1329" i="1"/>
  <c r="CA1329" i="1"/>
  <c r="BI333" i="1"/>
  <c r="BK333" i="1"/>
  <c r="CA479" i="1"/>
  <c r="CC479" i="1"/>
  <c r="CA198" i="1"/>
  <c r="CC198" i="1"/>
  <c r="CD242" i="1"/>
  <c r="CF242" i="1"/>
  <c r="CS1173" i="1"/>
  <c r="CV1173" i="1"/>
  <c r="BF975" i="1"/>
  <c r="BH975" i="1"/>
  <c r="BH558" i="1"/>
  <c r="BF558" i="1"/>
  <c r="BI685" i="1"/>
  <c r="BK685" i="1"/>
  <c r="BI407" i="1"/>
  <c r="BK407" i="1"/>
  <c r="CD494" i="1"/>
  <c r="CF494" i="1"/>
  <c r="BF1137" i="1"/>
  <c r="BH1137" i="1"/>
  <c r="CD1227" i="1"/>
  <c r="CF1227" i="1"/>
  <c r="BR364" i="1"/>
  <c r="BT364" i="1"/>
  <c r="BR624" i="1"/>
  <c r="BT624" i="1"/>
  <c r="CS1054" i="1"/>
  <c r="CV1054" i="1"/>
  <c r="CS412" i="1"/>
  <c r="CV412" i="1"/>
  <c r="BR333" i="1"/>
  <c r="BT333" i="1"/>
  <c r="BU1208" i="1"/>
  <c r="BW1208" i="1"/>
  <c r="CA1028" i="1"/>
  <c r="CC1028" i="1"/>
  <c r="CC637" i="1"/>
  <c r="CA637" i="1"/>
  <c r="CV1332" i="1"/>
  <c r="CS1332" i="1"/>
  <c r="CS1157" i="1"/>
  <c r="CV1157" i="1"/>
  <c r="BR251" i="1"/>
  <c r="BT251" i="1"/>
  <c r="CD857" i="1"/>
  <c r="CF857" i="1"/>
  <c r="BR1307" i="1"/>
  <c r="BT1307" i="1"/>
  <c r="CF1340" i="1"/>
  <c r="CD1340" i="1"/>
  <c r="BC411" i="1"/>
  <c r="BE411" i="1"/>
  <c r="BF1443" i="1"/>
  <c r="BH1443" i="1"/>
  <c r="BT1289" i="1"/>
  <c r="BR1289" i="1"/>
  <c r="CJ1318" i="1"/>
  <c r="CL1318" i="1"/>
  <c r="BU956" i="1"/>
  <c r="BW956" i="1"/>
  <c r="CD1034" i="1"/>
  <c r="CF1034" i="1"/>
  <c r="CD426" i="1"/>
  <c r="CF426" i="1"/>
  <c r="BF1126" i="1"/>
  <c r="BH1126" i="1"/>
  <c r="CF1373" i="1"/>
  <c r="CD1373" i="1"/>
  <c r="CC1271" i="1"/>
  <c r="CA1271" i="1"/>
  <c r="BI1068" i="1"/>
  <c r="BK1068" i="1"/>
  <c r="BX144" i="1"/>
  <c r="BZ144" i="1"/>
  <c r="BF393" i="1"/>
  <c r="BH393" i="1"/>
  <c r="BC584" i="1"/>
  <c r="BE584" i="1"/>
  <c r="BU654" i="1"/>
  <c r="BW654" i="1"/>
  <c r="BC392" i="1"/>
  <c r="BE392" i="1"/>
  <c r="BR1443" i="1"/>
  <c r="BT1443" i="1"/>
  <c r="BI637" i="1"/>
  <c r="BK637" i="1"/>
  <c r="BR383" i="1"/>
  <c r="BT383" i="1"/>
  <c r="CJ456" i="1"/>
  <c r="CL456" i="1"/>
  <c r="CS398" i="1"/>
  <c r="CV398" i="1"/>
  <c r="CS857" i="1"/>
  <c r="CV857" i="1"/>
  <c r="CD1307" i="1"/>
  <c r="CF1307" i="1"/>
  <c r="BT1324" i="1"/>
  <c r="BR1324" i="1"/>
  <c r="BX927" i="1"/>
  <c r="BZ927" i="1"/>
  <c r="BR515" i="1"/>
  <c r="BT515" i="1"/>
  <c r="BW1307" i="1"/>
  <c r="BU1307" i="1"/>
  <c r="CD1318" i="1"/>
  <c r="CF1318" i="1"/>
  <c r="BF1324" i="1"/>
  <c r="BH1324" i="1"/>
  <c r="CA1178" i="1"/>
  <c r="CC1178" i="1"/>
  <c r="BR1122" i="1"/>
  <c r="BT1122" i="1"/>
  <c r="BF435" i="1"/>
  <c r="BH435" i="1"/>
  <c r="BC1128" i="1"/>
  <c r="BE1128" i="1"/>
  <c r="BR1255" i="1"/>
  <c r="BT1255" i="1"/>
  <c r="CF1232" i="1"/>
  <c r="CD1232" i="1"/>
  <c r="BX1348" i="1"/>
  <c r="BZ1348" i="1"/>
  <c r="CD662" i="1"/>
  <c r="CF662" i="1"/>
  <c r="CD492" i="1"/>
  <c r="CF492" i="1"/>
  <c r="CD383" i="1"/>
  <c r="CF383" i="1"/>
  <c r="CS1059" i="1"/>
  <c r="CV1059" i="1"/>
  <c r="BX865" i="1"/>
  <c r="BZ865" i="1"/>
  <c r="BU392" i="1"/>
  <c r="BW392" i="1"/>
  <c r="BW485" i="1"/>
  <c r="BU485" i="1"/>
  <c r="CC1422" i="1"/>
  <c r="CA1422" i="1"/>
  <c r="CS214" i="1"/>
  <c r="CV214" i="1"/>
  <c r="CD139" i="1"/>
  <c r="CF139" i="1"/>
  <c r="BI260" i="1"/>
  <c r="BK260" i="1"/>
  <c r="CJ707" i="1"/>
  <c r="CL707" i="1"/>
  <c r="BX1078" i="1"/>
  <c r="BZ1078" i="1"/>
  <c r="BI1208" i="1"/>
  <c r="BK1208" i="1"/>
  <c r="CA857" i="1"/>
  <c r="CC857" i="1"/>
  <c r="BU529" i="1"/>
  <c r="BW529" i="1"/>
  <c r="CL1395" i="1"/>
  <c r="CJ1395" i="1"/>
  <c r="CD324" i="1"/>
  <c r="CF324" i="1"/>
  <c r="BC1081" i="1"/>
  <c r="BE1081" i="1"/>
  <c r="CJ198" i="1"/>
  <c r="CL198" i="1"/>
  <c r="BX1134" i="1"/>
  <c r="BZ1134" i="1"/>
  <c r="BF1071" i="1"/>
  <c r="BH1071" i="1"/>
  <c r="BC418" i="1"/>
  <c r="BE418" i="1"/>
  <c r="BE703" i="1"/>
  <c r="BC703" i="1"/>
  <c r="CA299" i="1"/>
  <c r="CC299" i="1"/>
  <c r="BZ1256" i="1"/>
  <c r="BX1256" i="1"/>
  <c r="CV659" i="1"/>
  <c r="CS659" i="1"/>
  <c r="BR412" i="1"/>
  <c r="BT412" i="1"/>
  <c r="BU951" i="1"/>
  <c r="BW951" i="1"/>
  <c r="CS1137" i="1"/>
  <c r="CV1137" i="1"/>
  <c r="BI479" i="1"/>
  <c r="BK479" i="1"/>
  <c r="CJ1028" i="1"/>
  <c r="CL1028" i="1"/>
  <c r="BW347" i="1"/>
  <c r="BU347" i="1"/>
  <c r="BF1318" i="1"/>
  <c r="BH1318" i="1"/>
  <c r="BR492" i="1"/>
  <c r="BT492" i="1"/>
  <c r="BF383" i="1"/>
  <c r="BH383" i="1"/>
  <c r="CA956" i="1"/>
  <c r="CC956" i="1"/>
  <c r="CJ865" i="1"/>
  <c r="CL865" i="1"/>
  <c r="BI392" i="1"/>
  <c r="BK392" i="1"/>
  <c r="CA519" i="1"/>
  <c r="CC519" i="1"/>
  <c r="CS994" i="1"/>
  <c r="CV994" i="1"/>
  <c r="CD396" i="1"/>
  <c r="CF396" i="1"/>
  <c r="CC1395" i="1"/>
  <c r="CA1395" i="1"/>
  <c r="BU1174" i="1"/>
  <c r="BW1174" i="1"/>
  <c r="BC433" i="1"/>
  <c r="BE433" i="1"/>
  <c r="BI956" i="1"/>
  <c r="BK956" i="1"/>
  <c r="BR411" i="1"/>
  <c r="BT411" i="1"/>
  <c r="CJ1157" i="1"/>
  <c r="CL1157" i="1"/>
  <c r="BX602" i="1"/>
  <c r="BZ602" i="1"/>
  <c r="BX515" i="1"/>
  <c r="BZ515" i="1"/>
  <c r="CS364" i="1"/>
  <c r="CV364" i="1"/>
  <c r="CD1130" i="1"/>
  <c r="CF1130" i="1"/>
  <c r="BU958" i="1"/>
  <c r="BW958" i="1"/>
  <c r="CS1125" i="1"/>
  <c r="CV1125" i="1"/>
  <c r="BC1220" i="1"/>
  <c r="BE1220" i="1"/>
  <c r="BI1348" i="1"/>
  <c r="BK1348" i="1"/>
  <c r="CS1130" i="1"/>
  <c r="CV1130" i="1"/>
  <c r="BR974" i="1"/>
  <c r="BT974" i="1"/>
  <c r="BZ550" i="1"/>
  <c r="BX550" i="1"/>
  <c r="BC963" i="1"/>
  <c r="BE963" i="1"/>
  <c r="BU879" i="1"/>
  <c r="BW879" i="1"/>
  <c r="CA485" i="1"/>
  <c r="CC485" i="1"/>
  <c r="CD515" i="1"/>
  <c r="CF515" i="1"/>
  <c r="BK1232" i="1"/>
  <c r="BI1232" i="1"/>
  <c r="CJ987" i="1"/>
  <c r="CL987" i="1"/>
  <c r="BU1086" i="1"/>
  <c r="BW1086" i="1"/>
  <c r="CD700" i="1"/>
  <c r="CF700" i="1"/>
  <c r="BH629" i="1"/>
  <c r="BF629" i="1"/>
  <c r="BX1050" i="1"/>
  <c r="BZ1050" i="1"/>
  <c r="BC705" i="1"/>
  <c r="BE705" i="1"/>
  <c r="BT1333" i="1"/>
  <c r="BR1333" i="1"/>
  <c r="CA364" i="1"/>
  <c r="CC364" i="1"/>
  <c r="BR1221" i="1"/>
  <c r="BT1221" i="1"/>
  <c r="CA462" i="1"/>
  <c r="CC462" i="1"/>
  <c r="CS1133" i="1"/>
  <c r="CV1133" i="1"/>
  <c r="CJ403" i="1"/>
  <c r="CL403" i="1"/>
  <c r="CD626" i="1"/>
  <c r="CF626" i="1"/>
  <c r="CJ351" i="1"/>
  <c r="CL351" i="1"/>
  <c r="CJ1086" i="1"/>
  <c r="CL1086" i="1"/>
  <c r="BU700" i="1"/>
  <c r="BW700" i="1"/>
  <c r="BX629" i="1"/>
  <c r="BZ629" i="1"/>
  <c r="BU1131" i="1"/>
  <c r="BW1131" i="1"/>
  <c r="CD498" i="1"/>
  <c r="CF498" i="1"/>
  <c r="BR456" i="1"/>
  <c r="BT456" i="1"/>
  <c r="CA1034" i="1"/>
  <c r="CC1034" i="1"/>
  <c r="BZ1255" i="1"/>
  <c r="BX1255" i="1"/>
  <c r="CL1422" i="1"/>
  <c r="CJ1422" i="1"/>
  <c r="BX1443" i="1"/>
  <c r="BZ1443" i="1"/>
  <c r="BX351" i="1"/>
  <c r="BZ351" i="1"/>
  <c r="CA1086" i="1"/>
  <c r="CC1086" i="1"/>
  <c r="BK700" i="1"/>
  <c r="BI700" i="1"/>
  <c r="BX968" i="1"/>
  <c r="BZ968" i="1"/>
  <c r="BU149" i="1"/>
  <c r="BW149" i="1"/>
  <c r="BR498" i="1"/>
  <c r="BT498" i="1"/>
  <c r="BU462" i="1"/>
  <c r="BW462" i="1"/>
  <c r="BF1283" i="1"/>
  <c r="BH1283" i="1"/>
  <c r="CD1039" i="1"/>
  <c r="CF1039" i="1"/>
  <c r="BR1213" i="1"/>
  <c r="BT1213" i="1"/>
  <c r="BU632" i="1"/>
  <c r="BW632" i="1"/>
  <c r="CJ419" i="1"/>
  <c r="CL419" i="1"/>
  <c r="BZ1353" i="1"/>
  <c r="BX1353" i="1"/>
  <c r="BU973" i="1"/>
  <c r="BW973" i="1"/>
  <c r="CS970" i="1"/>
  <c r="CV970" i="1"/>
  <c r="BX408" i="1"/>
  <c r="BZ408" i="1"/>
  <c r="BI1220" i="1"/>
  <c r="BK1220" i="1"/>
  <c r="CD1221" i="1"/>
  <c r="CF1221" i="1"/>
  <c r="BE1421" i="1"/>
  <c r="BC1421" i="1"/>
  <c r="BW716" i="1"/>
  <c r="BU716" i="1"/>
  <c r="BX1117" i="1"/>
  <c r="BZ1117" i="1"/>
  <c r="BU223" i="1"/>
  <c r="BW223" i="1"/>
  <c r="BI964" i="1"/>
  <c r="BK964" i="1"/>
  <c r="CV568" i="1"/>
  <c r="CS568" i="1"/>
  <c r="CD1123" i="1"/>
  <c r="CF1123" i="1"/>
  <c r="CD1125" i="1"/>
  <c r="CF1125" i="1"/>
  <c r="BC994" i="1"/>
  <c r="BE994" i="1"/>
  <c r="BU1241" i="1"/>
  <c r="BW1241" i="1"/>
  <c r="BH1275" i="1"/>
  <c r="BF1275" i="1"/>
  <c r="BX673" i="1"/>
  <c r="BZ673" i="1"/>
  <c r="CA1283" i="1"/>
  <c r="CC1283" i="1"/>
  <c r="BU1133" i="1"/>
  <c r="BW1133" i="1"/>
  <c r="BC1213" i="1"/>
  <c r="BE1213" i="1"/>
  <c r="BI632" i="1"/>
  <c r="BK632" i="1"/>
  <c r="BR1060" i="1"/>
  <c r="BT1060" i="1"/>
  <c r="BK665" i="1"/>
  <c r="BI665" i="1"/>
  <c r="CA345" i="1"/>
  <c r="CC345" i="1"/>
  <c r="BF1220" i="1"/>
  <c r="BH1220" i="1"/>
  <c r="BX1221" i="1"/>
  <c r="BZ1221" i="1"/>
  <c r="CV1421" i="1"/>
  <c r="CS1421" i="1"/>
  <c r="BT1293" i="1"/>
  <c r="BR1293" i="1"/>
  <c r="CJ968" i="1"/>
  <c r="CL968" i="1"/>
  <c r="BF223" i="1"/>
  <c r="BH223" i="1"/>
  <c r="CJ1093" i="1"/>
  <c r="CL1093" i="1"/>
  <c r="CC1428" i="1"/>
  <c r="CA1428" i="1"/>
  <c r="BF328" i="1"/>
  <c r="BH328" i="1"/>
  <c r="CA1050" i="1"/>
  <c r="CC1050" i="1"/>
  <c r="CS919" i="1"/>
  <c r="CV919" i="1"/>
  <c r="CS1351" i="1"/>
  <c r="CV1351" i="1"/>
  <c r="BI1291" i="1"/>
  <c r="BK1291" i="1"/>
  <c r="BX655" i="1"/>
  <c r="BZ655" i="1"/>
  <c r="BC1212" i="1"/>
  <c r="BE1212" i="1"/>
  <c r="CF1354" i="1"/>
  <c r="CD1354" i="1"/>
  <c r="BU1093" i="1"/>
  <c r="BW1093" i="1"/>
  <c r="BX632" i="1"/>
  <c r="BZ632" i="1"/>
  <c r="CD568" i="1"/>
  <c r="CF568" i="1"/>
  <c r="BF1060" i="1"/>
  <c r="BH1060" i="1"/>
  <c r="BU316" i="1"/>
  <c r="BW316" i="1"/>
  <c r="CA328" i="1"/>
  <c r="CC328" i="1"/>
  <c r="BF339" i="1"/>
  <c r="BH339" i="1"/>
  <c r="CF1293" i="1"/>
  <c r="CD1293" i="1"/>
  <c r="BU1409" i="1"/>
  <c r="BW1409" i="1"/>
  <c r="CJ1039" i="1"/>
  <c r="CL1039" i="1"/>
  <c r="BU1099" i="1"/>
  <c r="BW1099" i="1"/>
  <c r="BU1050" i="1"/>
  <c r="BW1050" i="1"/>
  <c r="BR919" i="1"/>
  <c r="BT919" i="1"/>
  <c r="BI1351" i="1"/>
  <c r="BK1351" i="1"/>
  <c r="BR1445" i="1"/>
  <c r="BT1445" i="1"/>
  <c r="BX969" i="1"/>
  <c r="BZ969" i="1"/>
  <c r="CJ1163" i="1"/>
  <c r="CL1163" i="1"/>
  <c r="CA611" i="1"/>
  <c r="CC611" i="1"/>
  <c r="BI1184" i="1"/>
  <c r="BK1184" i="1"/>
  <c r="BI394" i="1"/>
  <c r="BK394" i="1"/>
  <c r="BE655" i="1"/>
  <c r="BC655" i="1"/>
  <c r="BC402" i="1"/>
  <c r="BE402" i="1"/>
  <c r="BZ1311" i="1"/>
  <c r="BX1311" i="1"/>
  <c r="CJ1283" i="1"/>
  <c r="CL1283" i="1"/>
  <c r="CA396" i="1"/>
  <c r="CC396" i="1"/>
  <c r="BR223" i="1"/>
  <c r="BT223" i="1"/>
  <c r="CS928" i="1"/>
  <c r="CV928" i="1"/>
  <c r="BU1109" i="1"/>
  <c r="BW1109" i="1"/>
  <c r="CV1382" i="1"/>
  <c r="CS1382" i="1"/>
  <c r="CF550" i="1"/>
  <c r="CD550" i="1"/>
  <c r="BR421" i="1"/>
  <c r="BT421" i="1"/>
  <c r="BF1163" i="1"/>
  <c r="BH1163" i="1"/>
  <c r="CD1353" i="1"/>
  <c r="CF1353" i="1"/>
  <c r="BR970" i="1"/>
  <c r="BT970" i="1"/>
  <c r="BU969" i="1"/>
  <c r="BW969" i="1"/>
  <c r="CS399" i="1"/>
  <c r="CV399" i="1"/>
  <c r="BX230" i="1"/>
  <c r="BZ230" i="1"/>
  <c r="BI461" i="1"/>
  <c r="BK461" i="1"/>
  <c r="CD381" i="1"/>
  <c r="CF381" i="1"/>
  <c r="BX665" i="1"/>
  <c r="BZ665" i="1"/>
  <c r="BU1380" i="1"/>
  <c r="BW1380" i="1"/>
  <c r="BF380" i="1"/>
  <c r="BH380" i="1"/>
  <c r="BC413" i="1"/>
  <c r="BE413" i="1"/>
  <c r="CD394" i="1"/>
  <c r="CF394" i="1"/>
  <c r="BU1046" i="1"/>
  <c r="BW1046" i="1"/>
  <c r="CL655" i="1"/>
  <c r="CJ655" i="1"/>
  <c r="BI406" i="1"/>
  <c r="BK406" i="1"/>
  <c r="BX402" i="1"/>
  <c r="BZ402" i="1"/>
  <c r="CD328" i="1"/>
  <c r="CF328" i="1"/>
  <c r="CJ611" i="1"/>
  <c r="CL611" i="1"/>
  <c r="BR1354" i="1"/>
  <c r="BT1354" i="1"/>
  <c r="CD339" i="1"/>
  <c r="CF339" i="1"/>
  <c r="BC1414" i="1"/>
  <c r="BE1414" i="1"/>
  <c r="BW573" i="1"/>
  <c r="BU573" i="1"/>
  <c r="BI1197" i="1"/>
  <c r="BK1197" i="1"/>
  <c r="BZ474" i="1"/>
  <c r="BX474" i="1"/>
  <c r="BC970" i="1"/>
  <c r="BE970" i="1"/>
  <c r="CD419" i="1"/>
  <c r="CF419" i="1"/>
  <c r="CD421" i="1"/>
  <c r="CF421" i="1"/>
  <c r="CA399" i="1"/>
  <c r="CC399" i="1"/>
  <c r="BX1163" i="1"/>
  <c r="BZ1163" i="1"/>
  <c r="BR1212" i="1"/>
  <c r="BT1212" i="1"/>
  <c r="CS381" i="1"/>
  <c r="CV381" i="1"/>
  <c r="CF1381" i="1"/>
  <c r="CD1381" i="1"/>
  <c r="CA1380" i="1"/>
  <c r="CC1380" i="1"/>
  <c r="BU380" i="1"/>
  <c r="BW380" i="1"/>
  <c r="BX1184" i="1"/>
  <c r="BZ1184" i="1"/>
  <c r="BX419" i="1"/>
  <c r="BZ419" i="1"/>
  <c r="CA421" i="1"/>
  <c r="CC421" i="1"/>
  <c r="BX399" i="1"/>
  <c r="BZ399" i="1"/>
  <c r="BU1163" i="1"/>
  <c r="BW1163" i="1"/>
  <c r="CA461" i="1"/>
  <c r="CC461" i="1"/>
  <c r="CJ381" i="1"/>
  <c r="CL381" i="1"/>
  <c r="CC1381" i="1"/>
  <c r="CA1381" i="1"/>
  <c r="BX1380" i="1"/>
  <c r="BZ1380" i="1"/>
  <c r="BI380" i="1"/>
  <c r="BK380" i="1"/>
  <c r="BU1184" i="1"/>
  <c r="BW1184" i="1"/>
  <c r="BI317" i="1"/>
  <c r="BK317" i="1"/>
  <c r="BI1027" i="1"/>
  <c r="BK1027" i="1"/>
  <c r="CD232" i="1"/>
  <c r="CF232" i="1"/>
  <c r="BR1294" i="1"/>
  <c r="BT1294" i="1"/>
  <c r="CD1197" i="1"/>
  <c r="CF1197" i="1"/>
  <c r="CA1175" i="1"/>
  <c r="CC1175" i="1"/>
  <c r="BX970" i="1"/>
  <c r="BZ970" i="1"/>
  <c r="CF625" i="1"/>
  <c r="CD625" i="1"/>
  <c r="BR702" i="1"/>
  <c r="BT702" i="1"/>
  <c r="BE625" i="1"/>
  <c r="BC625" i="1"/>
  <c r="CV702" i="1"/>
  <c r="CS702" i="1"/>
  <c r="BI625" i="1"/>
  <c r="BK625" i="1"/>
  <c r="BX706" i="1"/>
  <c r="BZ706" i="1"/>
  <c r="BW668" i="1"/>
  <c r="BU668" i="1"/>
  <c r="BZ574" i="1"/>
  <c r="BX574" i="1"/>
  <c r="BR988" i="1"/>
  <c r="BT988" i="1"/>
  <c r="BI1177" i="1"/>
  <c r="BK1177" i="1"/>
  <c r="BU260" i="1"/>
  <c r="BW260" i="1"/>
  <c r="BF545" i="1"/>
  <c r="BH545" i="1"/>
  <c r="CJ326" i="1"/>
  <c r="CL326" i="1"/>
  <c r="CA1199" i="1"/>
  <c r="CC1199" i="1"/>
  <c r="BX1054" i="1"/>
  <c r="BZ1054" i="1"/>
  <c r="BC1053" i="1"/>
  <c r="BE1053" i="1"/>
  <c r="BC1307" i="1"/>
  <c r="BE1307" i="1"/>
  <c r="CJ849" i="1"/>
  <c r="CL849" i="1"/>
  <c r="CL541" i="1"/>
  <c r="CJ541" i="1"/>
  <c r="BR707" i="1"/>
  <c r="BT707" i="1"/>
  <c r="CD433" i="1"/>
  <c r="CF433" i="1"/>
  <c r="BC478" i="1"/>
  <c r="BE478" i="1"/>
  <c r="CS326" i="1"/>
  <c r="CV326" i="1"/>
  <c r="BC1173" i="1"/>
  <c r="BE1173" i="1"/>
  <c r="BR1229" i="1"/>
  <c r="BT1229" i="1"/>
  <c r="BR558" i="1"/>
  <c r="BT558" i="1"/>
  <c r="BX685" i="1"/>
  <c r="BZ685" i="1"/>
  <c r="CA296" i="1"/>
  <c r="CC296" i="1"/>
  <c r="BI412" i="1"/>
  <c r="BK412" i="1"/>
  <c r="BR1137" i="1"/>
  <c r="BT1137" i="1"/>
  <c r="BU1028" i="1"/>
  <c r="BW1028" i="1"/>
  <c r="BH485" i="1"/>
  <c r="BF485" i="1"/>
  <c r="CS964" i="1"/>
  <c r="CV964" i="1"/>
  <c r="CS239" i="1"/>
  <c r="CV239" i="1"/>
  <c r="BX225" i="1"/>
  <c r="BZ225" i="1"/>
  <c r="CJ1236" i="1"/>
  <c r="CL1236" i="1"/>
  <c r="CA1115" i="1"/>
  <c r="CC1115" i="1"/>
  <c r="CA1229" i="1"/>
  <c r="CC1229" i="1"/>
  <c r="CD1363" i="1"/>
  <c r="CF1363" i="1"/>
  <c r="BC395" i="1"/>
  <c r="BE395" i="1"/>
  <c r="BU401" i="1"/>
  <c r="BW401" i="1"/>
  <c r="CJ1177" i="1"/>
  <c r="CL1177" i="1"/>
  <c r="BF343" i="1"/>
  <c r="BH343" i="1"/>
  <c r="BR849" i="1"/>
  <c r="BT849" i="1"/>
  <c r="CJ988" i="1"/>
  <c r="CL988" i="1"/>
  <c r="BR495" i="1"/>
  <c r="BT495" i="1"/>
  <c r="BR541" i="1"/>
  <c r="BT541" i="1"/>
  <c r="BL525" i="1"/>
  <c r="BF1054" i="1"/>
  <c r="BH1054" i="1"/>
  <c r="BX669" i="1"/>
  <c r="BZ669" i="1"/>
  <c r="BF210" i="1"/>
  <c r="BH210" i="1"/>
  <c r="CD529" i="1"/>
  <c r="CF529" i="1"/>
  <c r="BI705" i="1"/>
  <c r="BK705" i="1"/>
  <c r="BF1229" i="1"/>
  <c r="BH1229" i="1"/>
  <c r="CS407" i="1"/>
  <c r="CV407" i="1"/>
  <c r="BX267" i="1"/>
  <c r="BZ267" i="1"/>
  <c r="BX360" i="1"/>
  <c r="BZ360" i="1"/>
  <c r="CD296" i="1"/>
  <c r="CF296" i="1"/>
  <c r="BU849" i="1"/>
  <c r="BW849" i="1"/>
  <c r="BC988" i="1"/>
  <c r="BE988" i="1"/>
  <c r="BI495" i="1"/>
  <c r="BK495" i="1"/>
  <c r="BC541" i="1"/>
  <c r="BE541" i="1"/>
  <c r="BT1363" i="1"/>
  <c r="BR1363" i="1"/>
  <c r="BF1373" i="1"/>
  <c r="BH1373" i="1"/>
  <c r="CD619" i="1"/>
  <c r="CF619" i="1"/>
  <c r="BU448" i="1"/>
  <c r="BW448" i="1"/>
  <c r="CJ637" i="1"/>
  <c r="CL637" i="1"/>
  <c r="BF1117" i="1"/>
  <c r="BH1117" i="1"/>
  <c r="CJ1076" i="1"/>
  <c r="CL1076" i="1"/>
  <c r="CS856" i="1"/>
  <c r="CV856" i="1"/>
  <c r="BF929" i="1"/>
  <c r="BH929" i="1"/>
  <c r="BI608" i="1"/>
  <c r="BK608" i="1"/>
  <c r="BR1126" i="1"/>
  <c r="BT1126" i="1"/>
  <c r="BI395" i="1"/>
  <c r="BK395" i="1"/>
  <c r="CA401" i="1"/>
  <c r="CC401" i="1"/>
  <c r="CJ1064" i="1"/>
  <c r="CL1064" i="1"/>
  <c r="BU927" i="1"/>
  <c r="BW927" i="1"/>
  <c r="BX326" i="1"/>
  <c r="BZ326" i="1"/>
  <c r="CD1053" i="1"/>
  <c r="CF1053" i="1"/>
  <c r="BI1229" i="1"/>
  <c r="BK1229" i="1"/>
  <c r="CD558" i="1"/>
  <c r="CF558" i="1"/>
  <c r="BW1408" i="1"/>
  <c r="BU1408" i="1"/>
  <c r="CA1054" i="1"/>
  <c r="CC1054" i="1"/>
  <c r="CS1271" i="1"/>
  <c r="CV1271" i="1"/>
  <c r="BX885" i="1"/>
  <c r="BZ885" i="1"/>
  <c r="CA1307" i="1"/>
  <c r="CC1307" i="1"/>
  <c r="BC928" i="1"/>
  <c r="BE928" i="1"/>
  <c r="BI362" i="1"/>
  <c r="BK362" i="1"/>
  <c r="CA225" i="1"/>
  <c r="CC225" i="1"/>
  <c r="BR494" i="1"/>
  <c r="BT494" i="1"/>
  <c r="BX401" i="1"/>
  <c r="BZ401" i="1"/>
  <c r="CJ144" i="1"/>
  <c r="CL144" i="1"/>
  <c r="BR1227" i="1"/>
  <c r="BT1227" i="1"/>
  <c r="BF1395" i="1"/>
  <c r="BH1395" i="1"/>
  <c r="BI1128" i="1"/>
  <c r="BK1128" i="1"/>
  <c r="BC214" i="1"/>
  <c r="BE214" i="1"/>
  <c r="BX1028" i="1"/>
  <c r="BZ1028" i="1"/>
  <c r="CA612" i="1"/>
  <c r="CC612" i="1"/>
  <c r="BX1081" i="1"/>
  <c r="BZ1081" i="1"/>
  <c r="BX435" i="1"/>
  <c r="BZ435" i="1"/>
  <c r="BI251" i="1"/>
  <c r="BK251" i="1"/>
  <c r="BT1310" i="1"/>
  <c r="BR1310" i="1"/>
  <c r="CS324" i="1"/>
  <c r="CV324" i="1"/>
  <c r="BU1122" i="1"/>
  <c r="BW1122" i="1"/>
  <c r="CS519" i="1"/>
  <c r="CV519" i="1"/>
  <c r="BF627" i="1"/>
  <c r="BH627" i="1"/>
  <c r="CS1135" i="1"/>
  <c r="CV1135" i="1"/>
  <c r="CL1365" i="1"/>
  <c r="CJ1365" i="1"/>
  <c r="CD669" i="1"/>
  <c r="CF669" i="1"/>
  <c r="BI1078" i="1"/>
  <c r="BK1078" i="1"/>
  <c r="BX479" i="1"/>
  <c r="BZ479" i="1"/>
  <c r="BI1289" i="1"/>
  <c r="BK1289" i="1"/>
  <c r="BE1318" i="1"/>
  <c r="BC1318" i="1"/>
  <c r="AZ604" i="1"/>
  <c r="CJ879" i="1"/>
  <c r="CL879" i="1"/>
  <c r="BX987" i="1"/>
  <c r="BZ987" i="1"/>
  <c r="BR549" i="1"/>
  <c r="BT549" i="1"/>
  <c r="BR654" i="1"/>
  <c r="BT654" i="1"/>
  <c r="CD392" i="1"/>
  <c r="CF392" i="1"/>
  <c r="BZ1275" i="1"/>
  <c r="BX1275" i="1"/>
  <c r="CS496" i="1"/>
  <c r="CV496" i="1"/>
  <c r="CD612" i="1"/>
  <c r="CF612" i="1"/>
  <c r="BU433" i="1"/>
  <c r="BW433" i="1"/>
  <c r="BF444" i="1"/>
  <c r="BH444" i="1"/>
  <c r="BC626" i="1"/>
  <c r="BE626" i="1"/>
  <c r="BT612" i="1"/>
  <c r="BR612" i="1"/>
  <c r="CC660" i="1"/>
  <c r="CA660" i="1"/>
  <c r="BC1340" i="1"/>
  <c r="BE1340" i="1"/>
  <c r="BI1332" i="1"/>
  <c r="BK1332" i="1"/>
  <c r="CD1129" i="1"/>
  <c r="CF1129" i="1"/>
  <c r="BC444" i="1"/>
  <c r="BE444" i="1"/>
  <c r="CA879" i="1"/>
  <c r="CC879" i="1"/>
  <c r="BZ1089" i="1"/>
  <c r="BX1089" i="1"/>
  <c r="BC299" i="1"/>
  <c r="BE299" i="1"/>
  <c r="BU1421" i="1"/>
  <c r="BW1421" i="1"/>
  <c r="BX1318" i="1"/>
  <c r="BZ1318" i="1"/>
  <c r="CA492" i="1"/>
  <c r="CC492" i="1"/>
  <c r="BU1178" i="1"/>
  <c r="BW1178" i="1"/>
  <c r="CJ1122" i="1"/>
  <c r="CL1122" i="1"/>
  <c r="CS927" i="1"/>
  <c r="CV927" i="1"/>
  <c r="BX1124" i="1"/>
  <c r="BZ1124" i="1"/>
  <c r="BH647" i="1"/>
  <c r="BF647" i="1"/>
  <c r="BF701" i="1"/>
  <c r="BH701" i="1"/>
  <c r="BR1220" i="1"/>
  <c r="BT1220" i="1"/>
  <c r="BX1213" i="1"/>
  <c r="BZ1213" i="1"/>
  <c r="CS375" i="1"/>
  <c r="CV375" i="1"/>
  <c r="CV619" i="1"/>
  <c r="CS619" i="1"/>
  <c r="CD1078" i="1"/>
  <c r="CF1078" i="1"/>
  <c r="CS144" i="1"/>
  <c r="CV144" i="1"/>
  <c r="BC496" i="1"/>
  <c r="BE496" i="1"/>
  <c r="BI347" i="1"/>
  <c r="BK347" i="1"/>
  <c r="BX584" i="1"/>
  <c r="BZ584" i="1"/>
  <c r="CA1174" i="1"/>
  <c r="CC1174" i="1"/>
  <c r="BF433" i="1"/>
  <c r="BH433" i="1"/>
  <c r="CS198" i="1"/>
  <c r="CV198" i="1"/>
  <c r="BU411" i="1"/>
  <c r="BW411" i="1"/>
  <c r="CS456" i="1"/>
  <c r="CV456" i="1"/>
  <c r="BE602" i="1"/>
  <c r="BC602" i="1"/>
  <c r="BI515" i="1"/>
  <c r="BK515" i="1"/>
  <c r="BI1125" i="1"/>
  <c r="BK1125" i="1"/>
  <c r="BX462" i="1"/>
  <c r="BZ462" i="1"/>
  <c r="CD230" i="1"/>
  <c r="CF230" i="1"/>
  <c r="BX412" i="1"/>
  <c r="BZ412" i="1"/>
  <c r="BU1052" i="1"/>
  <c r="BW1052" i="1"/>
  <c r="CD855" i="1"/>
  <c r="CF855" i="1"/>
  <c r="BU1177" i="1"/>
  <c r="BW1177" i="1"/>
  <c r="BF1227" i="1"/>
  <c r="BH1227" i="1"/>
  <c r="BI1307" i="1"/>
  <c r="BK1307" i="1"/>
  <c r="BR1318" i="1"/>
  <c r="BT1318" i="1"/>
  <c r="CJ1324" i="1"/>
  <c r="CL1324" i="1"/>
  <c r="CS1178" i="1"/>
  <c r="CV1178" i="1"/>
  <c r="CD1059" i="1"/>
  <c r="CF1059" i="1"/>
  <c r="BR865" i="1"/>
  <c r="BT865" i="1"/>
  <c r="BU1124" i="1"/>
  <c r="BW1124" i="1"/>
  <c r="BX485" i="1"/>
  <c r="BZ485" i="1"/>
  <c r="CA701" i="1"/>
  <c r="CC701" i="1"/>
  <c r="BR398" i="1"/>
  <c r="BT398" i="1"/>
  <c r="BR878" i="1"/>
  <c r="BT878" i="1"/>
  <c r="CD584" i="1"/>
  <c r="CF584" i="1"/>
  <c r="BI492" i="1"/>
  <c r="BK492" i="1"/>
  <c r="CA383" i="1"/>
  <c r="CC383" i="1"/>
  <c r="BX956" i="1"/>
  <c r="BZ956" i="1"/>
  <c r="CS865" i="1"/>
  <c r="CV865" i="1"/>
  <c r="CS392" i="1"/>
  <c r="CV392" i="1"/>
  <c r="BC519" i="1"/>
  <c r="BE519" i="1"/>
  <c r="BI994" i="1"/>
  <c r="BK994" i="1"/>
  <c r="CL1409" i="1"/>
  <c r="CJ1409" i="1"/>
  <c r="BK626" i="1"/>
  <c r="BI626" i="1"/>
  <c r="BI987" i="1"/>
  <c r="BK987" i="1"/>
  <c r="BF398" i="1"/>
  <c r="BH398" i="1"/>
  <c r="BC700" i="1"/>
  <c r="BE700" i="1"/>
  <c r="CF1283" i="1"/>
  <c r="CD1283" i="1"/>
  <c r="BI1213" i="1"/>
  <c r="BK1213" i="1"/>
  <c r="CS419" i="1"/>
  <c r="CV419" i="1"/>
  <c r="CA1071" i="1"/>
  <c r="CC1071" i="1"/>
  <c r="BX879" i="1"/>
  <c r="BZ879" i="1"/>
  <c r="BW647" i="1"/>
  <c r="BU647" i="1"/>
  <c r="BU1443" i="1"/>
  <c r="BW1443" i="1"/>
  <c r="CA351" i="1"/>
  <c r="CC351" i="1"/>
  <c r="CD1241" i="1"/>
  <c r="CF1241" i="1"/>
  <c r="CJ1421" i="1"/>
  <c r="CL1421" i="1"/>
  <c r="CS968" i="1"/>
  <c r="CV968" i="1"/>
  <c r="BC1093" i="1"/>
  <c r="BE1093" i="1"/>
  <c r="BC701" i="1"/>
  <c r="BE701" i="1"/>
  <c r="CJ299" i="1"/>
  <c r="CL299" i="1"/>
  <c r="BF214" i="1"/>
  <c r="BH214" i="1"/>
  <c r="BU1240" i="1"/>
  <c r="BW1240" i="1"/>
  <c r="BE1293" i="1"/>
  <c r="BC1293" i="1"/>
  <c r="BU1138" i="1"/>
  <c r="BW1138" i="1"/>
  <c r="BT1351" i="1"/>
  <c r="BR1351" i="1"/>
  <c r="BC1232" i="1"/>
  <c r="BE1232" i="1"/>
  <c r="BF408" i="1"/>
  <c r="BH408" i="1"/>
  <c r="CS1241" i="1"/>
  <c r="CV1241" i="1"/>
  <c r="CD1256" i="1"/>
  <c r="CF1256" i="1"/>
  <c r="CD968" i="1"/>
  <c r="CF968" i="1"/>
  <c r="BI149" i="1"/>
  <c r="BK149" i="1"/>
  <c r="BX1354" i="1"/>
  <c r="BZ1354" i="1"/>
  <c r="BF1157" i="1"/>
  <c r="BH1157" i="1"/>
  <c r="BX1034" i="1"/>
  <c r="BZ1034" i="1"/>
  <c r="CA1089" i="1"/>
  <c r="CC1089" i="1"/>
  <c r="CL705" i="1"/>
  <c r="CJ705" i="1"/>
  <c r="BW1333" i="1"/>
  <c r="BU1333" i="1"/>
  <c r="BC408" i="1"/>
  <c r="BE408" i="1"/>
  <c r="BI1241" i="1"/>
  <c r="BK1241" i="1"/>
  <c r="CA1256" i="1"/>
  <c r="CC1256" i="1"/>
  <c r="BC981" i="1"/>
  <c r="BE981" i="1"/>
  <c r="BC919" i="1"/>
  <c r="BE919" i="1"/>
  <c r="BI1354" i="1"/>
  <c r="BK1354" i="1"/>
  <c r="CJ887" i="1"/>
  <c r="CL887" i="1"/>
  <c r="CA1401" i="1"/>
  <c r="CC1401" i="1"/>
  <c r="CD1133" i="1"/>
  <c r="CF1133" i="1"/>
  <c r="BI231" i="1"/>
  <c r="BK231" i="1"/>
  <c r="AZ1088" i="1"/>
  <c r="CJ1046" i="1"/>
  <c r="CL1046" i="1"/>
  <c r="BU406" i="1"/>
  <c r="BW406" i="1"/>
  <c r="CS251" i="1"/>
  <c r="CV251" i="1"/>
  <c r="CJ345" i="1"/>
  <c r="CL345" i="1"/>
  <c r="CD398" i="1"/>
  <c r="CF398" i="1"/>
  <c r="BR1240" i="1"/>
  <c r="BT1240" i="1"/>
  <c r="BW1256" i="1"/>
  <c r="BU1256" i="1"/>
  <c r="BX716" i="1"/>
  <c r="BZ716" i="1"/>
  <c r="BR968" i="1"/>
  <c r="BT968" i="1"/>
  <c r="BX1099" i="1"/>
  <c r="BZ1099" i="1"/>
  <c r="CS149" i="1"/>
  <c r="CV149" i="1"/>
  <c r="CS1428" i="1"/>
  <c r="CA224" i="1"/>
  <c r="CC224" i="1"/>
  <c r="BR987" i="1"/>
  <c r="BT987" i="1"/>
  <c r="BF994" i="1"/>
  <c r="BH994" i="1"/>
  <c r="CJ1155" i="1"/>
  <c r="CL1155" i="1"/>
  <c r="BR1348" i="1"/>
  <c r="BT1348" i="1"/>
  <c r="CJ462" i="1"/>
  <c r="CL462" i="1"/>
  <c r="CD1401" i="1"/>
  <c r="CF1401" i="1"/>
  <c r="BU139" i="1"/>
  <c r="BW139" i="1"/>
  <c r="BX928" i="1"/>
  <c r="BZ928" i="1"/>
  <c r="CV662" i="1"/>
  <c r="CS662" i="1"/>
  <c r="BI421" i="1"/>
  <c r="BK421" i="1"/>
  <c r="CJ474" i="1"/>
  <c r="CL474" i="1"/>
  <c r="CD345" i="1"/>
  <c r="CF345" i="1"/>
  <c r="BX398" i="1"/>
  <c r="BZ398" i="1"/>
  <c r="CJ1240" i="1"/>
  <c r="CL1240" i="1"/>
  <c r="CC1421" i="1"/>
  <c r="CA1421" i="1"/>
  <c r="BK716" i="1"/>
  <c r="BI716" i="1"/>
  <c r="BI396" i="1"/>
  <c r="BK396" i="1"/>
  <c r="BF1099" i="1"/>
  <c r="BH1099" i="1"/>
  <c r="BF1109" i="1"/>
  <c r="BH1109" i="1"/>
  <c r="BI1445" i="1"/>
  <c r="BK1445" i="1"/>
  <c r="BU1084" i="1"/>
  <c r="BW1084" i="1"/>
  <c r="BI1131" i="1"/>
  <c r="BK1131" i="1"/>
  <c r="CA919" i="1"/>
  <c r="CC919" i="1"/>
  <c r="CD659" i="1"/>
  <c r="CF659" i="1"/>
  <c r="BX394" i="1"/>
  <c r="BZ394" i="1"/>
  <c r="BI973" i="1"/>
  <c r="BK973" i="1"/>
  <c r="BX1027" i="1"/>
  <c r="BZ1027" i="1"/>
  <c r="BX1197" i="1"/>
  <c r="BZ1197" i="1"/>
  <c r="BX1093" i="1"/>
  <c r="BZ1093" i="1"/>
  <c r="CJ678" i="1"/>
  <c r="CL678" i="1"/>
  <c r="CS439" i="1"/>
  <c r="CV439" i="1"/>
  <c r="CJ1132" i="1"/>
  <c r="CL1132" i="1"/>
  <c r="BU498" i="1"/>
  <c r="BW498" i="1"/>
  <c r="BR1175" i="1"/>
  <c r="BT1175" i="1"/>
  <c r="CL716" i="1"/>
  <c r="CJ716" i="1"/>
  <c r="CD1409" i="1"/>
  <c r="CF1409" i="1"/>
  <c r="CA1039" i="1"/>
  <c r="CC1039" i="1"/>
  <c r="BX974" i="1"/>
  <c r="BZ974" i="1"/>
  <c r="BF1131" i="1"/>
  <c r="BH1131" i="1"/>
  <c r="BH617" i="1"/>
  <c r="BF617" i="1"/>
  <c r="CA659" i="1"/>
  <c r="CC659" i="1"/>
  <c r="BF1291" i="1"/>
  <c r="BH1291" i="1"/>
  <c r="CD468" i="1"/>
  <c r="CF468" i="1"/>
  <c r="CD317" i="1"/>
  <c r="CF317" i="1"/>
  <c r="BH1381" i="1"/>
  <c r="BF1381" i="1"/>
  <c r="BT573" i="1"/>
  <c r="BR573" i="1"/>
  <c r="BU419" i="1"/>
  <c r="BW419" i="1"/>
  <c r="BI1118" i="1"/>
  <c r="BK1118" i="1"/>
  <c r="BU461" i="1"/>
  <c r="BW461" i="1"/>
  <c r="CJ1140" i="1"/>
  <c r="CL1140" i="1"/>
  <c r="BH1401" i="1"/>
  <c r="BF1401" i="1"/>
  <c r="CS981" i="1"/>
  <c r="CV981" i="1"/>
  <c r="CD223" i="1"/>
  <c r="CF223" i="1"/>
  <c r="BF1050" i="1"/>
  <c r="BH1050" i="1"/>
  <c r="BR384" i="1"/>
  <c r="BT384" i="1"/>
  <c r="BH1351" i="1"/>
  <c r="BF1351" i="1"/>
  <c r="CJ1445" i="1"/>
  <c r="CL1445" i="1"/>
  <c r="BF969" i="1"/>
  <c r="BH969" i="1"/>
  <c r="BF1123" i="1"/>
  <c r="BH1123" i="1"/>
  <c r="CL665" i="1"/>
  <c r="CJ665" i="1"/>
  <c r="CD439" i="1"/>
  <c r="CF439" i="1"/>
  <c r="BU468" i="1"/>
  <c r="BW468" i="1"/>
  <c r="BI316" i="1"/>
  <c r="BK316" i="1"/>
  <c r="BF230" i="1"/>
  <c r="BH230" i="1"/>
  <c r="BC1027" i="1"/>
  <c r="BE1027" i="1"/>
  <c r="CD1116" i="1"/>
  <c r="CF1116" i="1"/>
  <c r="CD1294" i="1"/>
  <c r="CF1294" i="1"/>
  <c r="BF1197" i="1"/>
  <c r="BH1197" i="1"/>
  <c r="CS1175" i="1"/>
  <c r="CV1175" i="1"/>
  <c r="BF1184" i="1"/>
  <c r="BH1184" i="1"/>
  <c r="CS394" i="1"/>
  <c r="CV394" i="1"/>
  <c r="CS1001" i="1"/>
  <c r="CV1001" i="1"/>
  <c r="BX1118" i="1"/>
  <c r="BZ1118" i="1"/>
  <c r="BC1070" i="1"/>
  <c r="BE1070" i="1"/>
  <c r="BR1082" i="1"/>
  <c r="BT1082" i="1"/>
  <c r="BC464" i="1"/>
  <c r="BE464" i="1"/>
  <c r="BK611" i="1"/>
  <c r="BI611" i="1"/>
  <c r="BT1311" i="1"/>
  <c r="BR1311" i="1"/>
  <c r="CS1140" i="1"/>
  <c r="CV1140" i="1"/>
  <c r="BX1346" i="1"/>
  <c r="BZ1346" i="1"/>
  <c r="BH573" i="1"/>
  <c r="BF573" i="1"/>
  <c r="CF667" i="1"/>
  <c r="CD667" i="1"/>
  <c r="BZ1414" i="1"/>
  <c r="BX1414" i="1"/>
  <c r="BF940" i="1"/>
  <c r="BH940" i="1"/>
  <c r="CD1060" i="1"/>
  <c r="CF1060" i="1"/>
  <c r="BI969" i="1"/>
  <c r="BK969" i="1"/>
  <c r="BC399" i="1"/>
  <c r="BE399" i="1"/>
  <c r="BU230" i="1"/>
  <c r="BW230" i="1"/>
  <c r="BF461" i="1"/>
  <c r="BH461" i="1"/>
  <c r="BR1116" i="1"/>
  <c r="BT1116" i="1"/>
  <c r="CF665" i="1"/>
  <c r="CD665" i="1"/>
  <c r="BF1380" i="1"/>
  <c r="BH1380" i="1"/>
  <c r="BC1175" i="1"/>
  <c r="BE1175" i="1"/>
  <c r="CD1184" i="1"/>
  <c r="CF1184" i="1"/>
  <c r="BC419" i="1"/>
  <c r="BE419" i="1"/>
  <c r="CS969" i="1"/>
  <c r="CV969" i="1"/>
  <c r="BR316" i="1"/>
  <c r="BT316" i="1"/>
  <c r="CS230" i="1"/>
  <c r="CV230" i="1"/>
  <c r="CD461" i="1"/>
  <c r="CF461" i="1"/>
  <c r="CS1116" i="1"/>
  <c r="CV1116" i="1"/>
  <c r="CA665" i="1"/>
  <c r="CC665" i="1"/>
  <c r="BE1380" i="1"/>
  <c r="BC1380" i="1"/>
  <c r="CD1175" i="1"/>
  <c r="CF1175" i="1"/>
  <c r="BU970" i="1"/>
  <c r="BW970" i="1"/>
  <c r="BI1123" i="1"/>
  <c r="BK1123" i="1"/>
  <c r="BC224" i="1"/>
  <c r="BE224" i="1"/>
  <c r="BF232" i="1"/>
  <c r="BH232" i="1"/>
  <c r="CV671" i="1"/>
  <c r="CS671" i="1"/>
  <c r="BR667" i="1"/>
  <c r="BT667" i="1"/>
  <c r="CS474" i="1"/>
  <c r="CV474" i="1"/>
  <c r="CA940" i="1"/>
  <c r="CC940" i="1"/>
  <c r="BU574" i="1"/>
  <c r="BW574" i="1"/>
  <c r="BK574" i="1"/>
  <c r="BI574" i="1"/>
  <c r="BU625" i="1"/>
  <c r="BW625" i="1"/>
  <c r="BE706" i="1"/>
  <c r="BC706" i="1"/>
  <c r="BX674" i="1"/>
  <c r="BZ674" i="1"/>
  <c r="CA574" i="1"/>
  <c r="CC574" i="1"/>
  <c r="CC558" i="1"/>
  <c r="CA558" i="1"/>
  <c r="BI1115" i="1"/>
  <c r="BK1115" i="1"/>
  <c r="CS1052" i="1"/>
  <c r="CV1052" i="1"/>
  <c r="BE1271" i="1"/>
  <c r="BC1271" i="1"/>
  <c r="BF1173" i="1"/>
  <c r="BH1173" i="1"/>
  <c r="BF1078" i="1"/>
  <c r="BH1078" i="1"/>
  <c r="CS1229" i="1"/>
  <c r="CV1229" i="1"/>
  <c r="BR433" i="1"/>
  <c r="BT433" i="1"/>
  <c r="BX841" i="1"/>
  <c r="BZ841" i="1"/>
  <c r="CL608" i="1"/>
  <c r="CJ608" i="1"/>
  <c r="BI1052" i="1"/>
  <c r="BK1052" i="1"/>
  <c r="BU963" i="1"/>
  <c r="BW963" i="1"/>
  <c r="CA495" i="1"/>
  <c r="CC495" i="1"/>
  <c r="BR267" i="1"/>
  <c r="BT267" i="1"/>
  <c r="BU1053" i="1"/>
  <c r="BW1053" i="1"/>
  <c r="BC1229" i="1"/>
  <c r="BE1229" i="1"/>
  <c r="BW641" i="1"/>
  <c r="BU641" i="1"/>
  <c r="CJ1408" i="1"/>
  <c r="CL1408" i="1"/>
  <c r="CJ407" i="1"/>
  <c r="CL407" i="1"/>
  <c r="CA494" i="1"/>
  <c r="CC494" i="1"/>
  <c r="CA855" i="1"/>
  <c r="CC855" i="1"/>
  <c r="CD393" i="1"/>
  <c r="CF393" i="1"/>
  <c r="BX1421" i="1"/>
  <c r="BZ1421" i="1"/>
  <c r="BI1246" i="1"/>
  <c r="BK1246" i="1"/>
  <c r="BC360" i="1"/>
  <c r="BE360" i="1"/>
  <c r="BF395" i="1"/>
  <c r="BH395" i="1"/>
  <c r="BU1227" i="1"/>
  <c r="BW1227" i="1"/>
  <c r="BC1115" i="1"/>
  <c r="BE1115" i="1"/>
  <c r="BI929" i="1"/>
  <c r="BK929" i="1"/>
  <c r="BC1126" i="1"/>
  <c r="BE1126" i="1"/>
  <c r="CJ260" i="1"/>
  <c r="CL260" i="1"/>
  <c r="CD1068" i="1"/>
  <c r="CF1068" i="1"/>
  <c r="BC1236" i="1"/>
  <c r="BE1236" i="1"/>
  <c r="BX456" i="1"/>
  <c r="BZ456" i="1"/>
  <c r="CA849" i="1"/>
  <c r="CC849" i="1"/>
  <c r="BF1199" i="1"/>
  <c r="BH1199" i="1"/>
  <c r="BF239" i="1"/>
  <c r="BH239" i="1"/>
  <c r="BZ541" i="1"/>
  <c r="BX541" i="1"/>
  <c r="BU1363" i="1"/>
  <c r="BW1363" i="1"/>
  <c r="BU1373" i="1"/>
  <c r="BW1373" i="1"/>
  <c r="CS707" i="1"/>
  <c r="CV707" i="1"/>
  <c r="BC448" i="1"/>
  <c r="BE448" i="1"/>
  <c r="BF637" i="1"/>
  <c r="BH637" i="1"/>
  <c r="BW1428" i="1"/>
  <c r="BU1428" i="1"/>
  <c r="BX929" i="1"/>
  <c r="BZ929" i="1"/>
  <c r="BE1373" i="1"/>
  <c r="BC1373" i="1"/>
  <c r="BU1076" i="1"/>
  <c r="BW1076" i="1"/>
  <c r="BU558" i="1"/>
  <c r="BW558" i="1"/>
  <c r="CL619" i="1"/>
  <c r="CJ619" i="1"/>
  <c r="BX849" i="1"/>
  <c r="BZ849" i="1"/>
  <c r="CJ1199" i="1"/>
  <c r="CL1199" i="1"/>
  <c r="CD239" i="1"/>
  <c r="CF239" i="1"/>
  <c r="BE545" i="1"/>
  <c r="BC545" i="1"/>
  <c r="CA624" i="1"/>
  <c r="CC624" i="1"/>
  <c r="BK1365" i="1"/>
  <c r="BI1365" i="1"/>
  <c r="CJ951" i="1"/>
  <c r="CL951" i="1"/>
  <c r="BR144" i="1"/>
  <c r="BT144" i="1"/>
  <c r="BC660" i="1"/>
  <c r="BE660" i="1"/>
  <c r="CA1246" i="1"/>
  <c r="CC1246" i="1"/>
  <c r="CD841" i="1"/>
  <c r="CF841" i="1"/>
  <c r="CS478" i="1"/>
  <c r="CV478" i="1"/>
  <c r="CS360" i="1"/>
  <c r="CV360" i="1"/>
  <c r="CL1189" i="1"/>
  <c r="CJ1189" i="1"/>
  <c r="CS296" i="1"/>
  <c r="CV296" i="1"/>
  <c r="BF375" i="1"/>
  <c r="BH375" i="1"/>
  <c r="BR1078" i="1"/>
  <c r="BT1078" i="1"/>
  <c r="CJ857" i="1"/>
  <c r="CL857" i="1"/>
  <c r="BI497" i="1"/>
  <c r="BK497" i="1"/>
  <c r="BF267" i="1"/>
  <c r="BH267" i="1"/>
  <c r="BF1053" i="1"/>
  <c r="BH1053" i="1"/>
  <c r="BC495" i="1"/>
  <c r="BE495" i="1"/>
  <c r="BI641" i="1"/>
  <c r="BK641" i="1"/>
  <c r="BC225" i="1"/>
  <c r="BE225" i="1"/>
  <c r="BC669" i="1"/>
  <c r="BE669" i="1"/>
  <c r="CD210" i="1"/>
  <c r="CF210" i="1"/>
  <c r="BK1395" i="1"/>
  <c r="BI1395" i="1"/>
  <c r="BX1189" i="1"/>
  <c r="BZ1189" i="1"/>
  <c r="BR362" i="1"/>
  <c r="BT362" i="1"/>
  <c r="BR1373" i="1"/>
  <c r="BT1373" i="1"/>
  <c r="BI1271" i="1"/>
  <c r="BK1271" i="1"/>
  <c r="BR1068" i="1"/>
  <c r="BT1068" i="1"/>
  <c r="CJ479" i="1"/>
  <c r="CL479" i="1"/>
  <c r="BX1289" i="1"/>
  <c r="BZ1289" i="1"/>
  <c r="CV660" i="1"/>
  <c r="CS660" i="1"/>
  <c r="CS956" i="1"/>
  <c r="CV956" i="1"/>
  <c r="CA497" i="1"/>
  <c r="CC497" i="1"/>
  <c r="CD1106" i="1"/>
  <c r="CF1106" i="1"/>
  <c r="CS1227" i="1"/>
  <c r="CV1227" i="1"/>
  <c r="BE549" i="1"/>
  <c r="BC549" i="1"/>
  <c r="BI383" i="1"/>
  <c r="BK383" i="1"/>
  <c r="BC1071" i="1"/>
  <c r="BE1071" i="1"/>
  <c r="BR1063" i="1"/>
  <c r="BT1063" i="1"/>
  <c r="BT529" i="1"/>
  <c r="BR529" i="1"/>
  <c r="CS492" i="1"/>
  <c r="CV492" i="1"/>
  <c r="CJ1134" i="1"/>
  <c r="CL1134" i="1"/>
  <c r="CA1255" i="1"/>
  <c r="CC1255" i="1"/>
  <c r="BH1334" i="1"/>
  <c r="BF1334" i="1"/>
  <c r="BU1135" i="1"/>
  <c r="BW1135" i="1"/>
  <c r="BU1329" i="1"/>
  <c r="BW1329" i="1"/>
  <c r="BF707" i="1"/>
  <c r="BH707" i="1"/>
  <c r="CA1137" i="1"/>
  <c r="CC1137" i="1"/>
  <c r="BR1064" i="1"/>
  <c r="BT1064" i="1"/>
  <c r="BX1310" i="1"/>
  <c r="BZ1310" i="1"/>
  <c r="BC321" i="1"/>
  <c r="BE321" i="1"/>
  <c r="BR1059" i="1"/>
  <c r="BT1059" i="1"/>
  <c r="BU1034" i="1"/>
  <c r="BW1034" i="1"/>
  <c r="CA426" i="1"/>
  <c r="CC426" i="1"/>
  <c r="CJ584" i="1"/>
  <c r="CL584" i="1"/>
  <c r="CD198" i="1"/>
  <c r="CF198" i="1"/>
  <c r="BC879" i="1"/>
  <c r="BE879" i="1"/>
  <c r="BR1283" i="1"/>
  <c r="BT1283" i="1"/>
  <c r="CS1028" i="1"/>
  <c r="CV1028" i="1"/>
  <c r="CV637" i="1"/>
  <c r="CS637" i="1"/>
  <c r="CJ1178" i="1"/>
  <c r="CL1178" i="1"/>
  <c r="CA456" i="1"/>
  <c r="CC456" i="1"/>
  <c r="CS351" i="1"/>
  <c r="CV351" i="1"/>
  <c r="BW612" i="1"/>
  <c r="BU612" i="1"/>
  <c r="BU321" i="1"/>
  <c r="BW321" i="1"/>
  <c r="CS993" i="1"/>
  <c r="CV993" i="1"/>
  <c r="CS654" i="1"/>
  <c r="CV654" i="1"/>
  <c r="CS343" i="1"/>
  <c r="CV343" i="1"/>
  <c r="CS963" i="1"/>
  <c r="CV963" i="1"/>
  <c r="BX497" i="1"/>
  <c r="BZ497" i="1"/>
  <c r="BI648" i="1"/>
  <c r="BK648" i="1"/>
  <c r="BI1062" i="1"/>
  <c r="BK1062" i="1"/>
  <c r="BF716" i="1"/>
  <c r="BH716" i="1"/>
  <c r="BZ660" i="1"/>
  <c r="BX660" i="1"/>
  <c r="CF1324" i="1"/>
  <c r="CD1324" i="1"/>
  <c r="BX1178" i="1"/>
  <c r="BZ1178" i="1"/>
  <c r="BI1122" i="1"/>
  <c r="BK1122" i="1"/>
  <c r="CA435" i="1"/>
  <c r="CC435" i="1"/>
  <c r="BX1128" i="1"/>
  <c r="BZ1128" i="1"/>
  <c r="BW1255" i="1"/>
  <c r="BU1255" i="1"/>
  <c r="CA958" i="1"/>
  <c r="CC958" i="1"/>
  <c r="BF1241" i="1"/>
  <c r="BH1241" i="1"/>
  <c r="CS1109" i="1"/>
  <c r="CV1109" i="1"/>
  <c r="BU412" i="1"/>
  <c r="BW412" i="1"/>
  <c r="BR951" i="1"/>
  <c r="BT951" i="1"/>
  <c r="BI1137" i="1"/>
  <c r="BK1137" i="1"/>
  <c r="CD479" i="1"/>
  <c r="CF479" i="1"/>
  <c r="BF1028" i="1"/>
  <c r="BH1028" i="1"/>
  <c r="BX347" i="1"/>
  <c r="BZ347" i="1"/>
  <c r="CS1318" i="1"/>
  <c r="CV1318" i="1"/>
  <c r="BU492" i="1"/>
  <c r="BW492" i="1"/>
  <c r="CJ383" i="1"/>
  <c r="CL383" i="1"/>
  <c r="CD956" i="1"/>
  <c r="CF956" i="1"/>
  <c r="BF865" i="1"/>
  <c r="BH865" i="1"/>
  <c r="BU1157" i="1"/>
  <c r="BW1157" i="1"/>
  <c r="BH519" i="1"/>
  <c r="BF519" i="1"/>
  <c r="CA408" i="1"/>
  <c r="CC408" i="1"/>
  <c r="CC716" i="1"/>
  <c r="CA716" i="1"/>
  <c r="CA339" i="1"/>
  <c r="CC339" i="1"/>
  <c r="BC494" i="1"/>
  <c r="BE494" i="1"/>
  <c r="BF333" i="1"/>
  <c r="BH333" i="1"/>
  <c r="BR885" i="1"/>
  <c r="BT885" i="1"/>
  <c r="BC1177" i="1"/>
  <c r="BE1177" i="1"/>
  <c r="BR393" i="1"/>
  <c r="BT393" i="1"/>
  <c r="BF612" i="1"/>
  <c r="BH612" i="1"/>
  <c r="BR660" i="1"/>
  <c r="BT660" i="1"/>
  <c r="CA1324" i="1"/>
  <c r="CC1324" i="1"/>
  <c r="BZ1332" i="1"/>
  <c r="BX1332" i="1"/>
  <c r="BC1122" i="1"/>
  <c r="BE1122" i="1"/>
  <c r="BF927" i="1"/>
  <c r="BH927" i="1"/>
  <c r="CS1128" i="1"/>
  <c r="CV1128" i="1"/>
  <c r="CA647" i="1"/>
  <c r="CC647" i="1"/>
  <c r="BU626" i="1"/>
  <c r="BW626" i="1"/>
  <c r="BF1155" i="1"/>
  <c r="BH1155" i="1"/>
  <c r="BF928" i="1"/>
  <c r="BH928" i="1"/>
  <c r="CA1318" i="1"/>
  <c r="CC1318" i="1"/>
  <c r="BW1324" i="1"/>
  <c r="BU1324" i="1"/>
  <c r="BF1178" i="1"/>
  <c r="BH1178" i="1"/>
  <c r="BC1059" i="1"/>
  <c r="BE1059" i="1"/>
  <c r="CA927" i="1"/>
  <c r="CC927" i="1"/>
  <c r="BR1124" i="1"/>
  <c r="BT1124" i="1"/>
  <c r="BT485" i="1"/>
  <c r="BR485" i="1"/>
  <c r="BR705" i="1"/>
  <c r="BT705" i="1"/>
  <c r="BI398" i="1"/>
  <c r="BK398" i="1"/>
  <c r="BI1039" i="1"/>
  <c r="BK1039" i="1"/>
  <c r="BZ1232" i="1"/>
  <c r="BX1232" i="1"/>
  <c r="CD351" i="1"/>
  <c r="CF351" i="1"/>
  <c r="BC1241" i="1"/>
  <c r="BE1241" i="1"/>
  <c r="BR1421" i="1"/>
  <c r="BT1421" i="1"/>
  <c r="CC1409" i="1"/>
  <c r="CA1409" i="1"/>
  <c r="BI1050" i="1"/>
  <c r="BK1050" i="1"/>
  <c r="CD1082" i="1"/>
  <c r="CF1082" i="1"/>
  <c r="CD456" i="1"/>
  <c r="CF456" i="1"/>
  <c r="BC497" i="1"/>
  <c r="BE497" i="1"/>
  <c r="CD1255" i="1"/>
  <c r="CF1255" i="1"/>
  <c r="BK1422" i="1"/>
  <c r="BI1422" i="1"/>
  <c r="BC1443" i="1"/>
  <c r="BE1443" i="1"/>
  <c r="BR345" i="1"/>
  <c r="BT345" i="1"/>
  <c r="CA1155" i="1"/>
  <c r="CC1155" i="1"/>
  <c r="CJ673" i="1"/>
  <c r="CL673" i="1"/>
  <c r="BR981" i="1"/>
  <c r="BT981" i="1"/>
  <c r="CS384" i="1"/>
  <c r="CV384" i="1"/>
  <c r="CJ958" i="1"/>
  <c r="CL958" i="1"/>
  <c r="CA251" i="1"/>
  <c r="CC251" i="1"/>
  <c r="CJ1063" i="1"/>
  <c r="CL1063" i="1"/>
  <c r="BK627" i="1"/>
  <c r="BI627" i="1"/>
  <c r="CF1327" i="1"/>
  <c r="CD1327" i="1"/>
  <c r="BX223" i="1"/>
  <c r="BZ223" i="1"/>
  <c r="BK678" i="1"/>
  <c r="BI678" i="1"/>
  <c r="CV1422" i="1"/>
  <c r="CS1422" i="1"/>
  <c r="CD1443" i="1"/>
  <c r="CF1443" i="1"/>
  <c r="BI345" i="1"/>
  <c r="BK345" i="1"/>
  <c r="BR1155" i="1"/>
  <c r="BT1155" i="1"/>
  <c r="BR1334" i="1"/>
  <c r="BT1334" i="1"/>
  <c r="CJ981" i="1"/>
  <c r="CL981" i="1"/>
  <c r="BI919" i="1"/>
  <c r="BK919" i="1"/>
  <c r="BR403" i="1"/>
  <c r="BT403" i="1"/>
  <c r="BF392" i="1"/>
  <c r="BH392" i="1"/>
  <c r="CS418" i="1"/>
  <c r="CV418" i="1"/>
  <c r="BC1089" i="1"/>
  <c r="BE1089" i="1"/>
  <c r="BU705" i="1"/>
  <c r="BW705" i="1"/>
  <c r="CS1333" i="1"/>
  <c r="CV1333" i="1"/>
  <c r="BC345" i="1"/>
  <c r="BE345" i="1"/>
  <c r="BI1155" i="1"/>
  <c r="BK1155" i="1"/>
  <c r="CV1334" i="1"/>
  <c r="CS1334" i="1"/>
  <c r="CJ139" i="1"/>
  <c r="CL139" i="1"/>
  <c r="CJ700" i="1"/>
  <c r="CL700" i="1"/>
  <c r="BI887" i="1"/>
  <c r="BK887" i="1"/>
  <c r="BE1409" i="1"/>
  <c r="BC1409" i="1"/>
  <c r="CA139" i="1"/>
  <c r="CC139" i="1"/>
  <c r="CA928" i="1"/>
  <c r="CC928" i="1"/>
  <c r="CJ1382" i="1"/>
  <c r="CL1382" i="1"/>
  <c r="BI468" i="1"/>
  <c r="BK468" i="1"/>
  <c r="BR957" i="1"/>
  <c r="BT957" i="1"/>
  <c r="CS1123" i="1"/>
  <c r="CV1123" i="1"/>
  <c r="CD1062" i="1"/>
  <c r="CF1062" i="1"/>
  <c r="CJ364" i="1"/>
  <c r="CL364" i="1"/>
  <c r="CJ398" i="1"/>
  <c r="CL398" i="1"/>
  <c r="BE627" i="1"/>
  <c r="BC627" i="1"/>
  <c r="BX1334" i="1"/>
  <c r="BZ1334" i="1"/>
  <c r="BR1327" i="1"/>
  <c r="BT1327" i="1"/>
  <c r="BR396" i="1"/>
  <c r="BT396" i="1"/>
  <c r="CS974" i="1"/>
  <c r="CV974" i="1"/>
  <c r="CD384" i="1"/>
  <c r="CF384" i="1"/>
  <c r="CJ394" i="1"/>
  <c r="CL394" i="1"/>
  <c r="BC1116" i="1"/>
  <c r="BE1116" i="1"/>
  <c r="BC351" i="1"/>
  <c r="BE351" i="1"/>
  <c r="BX1063" i="1"/>
  <c r="BZ1063" i="1"/>
  <c r="BU1106" i="1"/>
  <c r="BW1106" i="1"/>
  <c r="BC693" i="1"/>
  <c r="BE693" i="1"/>
  <c r="CD887" i="1"/>
  <c r="CF887" i="1"/>
  <c r="BF1409" i="1"/>
  <c r="BH1409" i="1"/>
  <c r="CD1138" i="1"/>
  <c r="CF1138" i="1"/>
  <c r="BC1050" i="1"/>
  <c r="BE1050" i="1"/>
  <c r="BI1382" i="1"/>
  <c r="BK1382" i="1"/>
  <c r="CS923" i="1"/>
  <c r="CV923" i="1"/>
  <c r="CD940" i="1"/>
  <c r="CF940" i="1"/>
  <c r="CD364" i="1"/>
  <c r="CF364" i="1"/>
  <c r="CD1086" i="1"/>
  <c r="CF1086" i="1"/>
  <c r="BU627" i="1"/>
  <c r="BW627" i="1"/>
  <c r="CV1256" i="1"/>
  <c r="CS1256" i="1"/>
  <c r="BF1327" i="1"/>
  <c r="BH1327" i="1"/>
  <c r="BU981" i="1"/>
  <c r="BW981" i="1"/>
  <c r="CJ974" i="1"/>
  <c r="CL974" i="1"/>
  <c r="BI384" i="1"/>
  <c r="BK384" i="1"/>
  <c r="BU404" i="1"/>
  <c r="BW404" i="1"/>
  <c r="BH667" i="1"/>
  <c r="BF667" i="1"/>
  <c r="BU964" i="1"/>
  <c r="BW964" i="1"/>
  <c r="CC617" i="1"/>
  <c r="CA617" i="1"/>
  <c r="BH568" i="1"/>
  <c r="BF568" i="1"/>
  <c r="CS404" i="1"/>
  <c r="CV404" i="1"/>
  <c r="CA316" i="1"/>
  <c r="CC316" i="1"/>
  <c r="CJ328" i="1"/>
  <c r="CL328" i="1"/>
  <c r="BX339" i="1"/>
  <c r="BZ339" i="1"/>
  <c r="CD149" i="1"/>
  <c r="CF149" i="1"/>
  <c r="BX662" i="1"/>
  <c r="BZ662" i="1"/>
  <c r="BX1428" i="1"/>
  <c r="BZ1428" i="1"/>
  <c r="BR1001" i="1"/>
  <c r="BT1001" i="1"/>
  <c r="CS1070" i="1"/>
  <c r="CV1070" i="1"/>
  <c r="BC232" i="1"/>
  <c r="BE232" i="1"/>
  <c r="BE1346" i="1"/>
  <c r="BC1346" i="1"/>
  <c r="CS1327" i="1"/>
  <c r="CV1327" i="1"/>
  <c r="BC629" i="1"/>
  <c r="BE629" i="1"/>
  <c r="BF1133" i="1"/>
  <c r="BH1133" i="1"/>
  <c r="BU356" i="1"/>
  <c r="BW356" i="1"/>
  <c r="BC964" i="1"/>
  <c r="BE964" i="1"/>
  <c r="CV617" i="1"/>
  <c r="CS617" i="1"/>
  <c r="BZ568" i="1"/>
  <c r="BX568" i="1"/>
  <c r="BR394" i="1"/>
  <c r="BT394" i="1"/>
  <c r="BR655" i="1"/>
  <c r="BT655" i="1"/>
  <c r="CJ402" i="1"/>
  <c r="CL402" i="1"/>
  <c r="BI1294" i="1"/>
  <c r="BK1294" i="1"/>
  <c r="CF678" i="1"/>
  <c r="CD678" i="1"/>
  <c r="BC1060" i="1"/>
  <c r="BE1060" i="1"/>
  <c r="CD399" i="1"/>
  <c r="CF399" i="1"/>
  <c r="CS224" i="1"/>
  <c r="CV224" i="1"/>
  <c r="BX1175" i="1"/>
  <c r="BZ1175" i="1"/>
  <c r="CV1409" i="1"/>
  <c r="CS1409" i="1"/>
  <c r="BR1039" i="1"/>
  <c r="BT1039" i="1"/>
  <c r="CJ1099" i="1"/>
  <c r="CL1099" i="1"/>
  <c r="BX1131" i="1"/>
  <c r="BZ1131" i="1"/>
  <c r="BF919" i="1"/>
  <c r="BH919" i="1"/>
  <c r="BE1351" i="1"/>
  <c r="BC1351" i="1"/>
  <c r="BR1291" i="1"/>
  <c r="BT1291" i="1"/>
  <c r="BC923" i="1"/>
  <c r="BE923" i="1"/>
  <c r="BU1082" i="1"/>
  <c r="BW1082" i="1"/>
  <c r="BF671" i="1"/>
  <c r="BH671" i="1"/>
  <c r="CJ439" i="1"/>
  <c r="CL439" i="1"/>
  <c r="CA468" i="1"/>
  <c r="CC468" i="1"/>
  <c r="BX1132" i="1"/>
  <c r="BZ1132" i="1"/>
  <c r="BC317" i="1"/>
  <c r="BE317" i="1"/>
  <c r="BR224" i="1"/>
  <c r="BT224" i="1"/>
  <c r="BX232" i="1"/>
  <c r="BZ232" i="1"/>
  <c r="CJ1294" i="1"/>
  <c r="CL1294" i="1"/>
  <c r="CS667" i="1"/>
  <c r="CV667" i="1"/>
  <c r="CA474" i="1"/>
  <c r="CC474" i="1"/>
  <c r="BF970" i="1"/>
  <c r="BH970" i="1"/>
  <c r="BF404" i="1"/>
  <c r="BH404" i="1"/>
  <c r="BC1001" i="1"/>
  <c r="BE1001" i="1"/>
  <c r="BX973" i="1"/>
  <c r="BZ973" i="1"/>
  <c r="BC355" i="1"/>
  <c r="BE355" i="1"/>
  <c r="CA1082" i="1"/>
  <c r="CC1082" i="1"/>
  <c r="CS498" i="1"/>
  <c r="CV498" i="1"/>
  <c r="CA1353" i="1"/>
  <c r="CC1353" i="1"/>
  <c r="BM348" i="1"/>
  <c r="CS957" i="1"/>
  <c r="CV957" i="1"/>
  <c r="BC403" i="1"/>
  <c r="BE403" i="1"/>
  <c r="CA671" i="1"/>
  <c r="CC671" i="1"/>
  <c r="BU339" i="1"/>
  <c r="BW339" i="1"/>
  <c r="CF1414" i="1"/>
  <c r="CD1414" i="1"/>
  <c r="BC573" i="1"/>
  <c r="BE573" i="1"/>
  <c r="BU439" i="1"/>
  <c r="BW439" i="1"/>
  <c r="CS468" i="1"/>
  <c r="CV468" i="1"/>
  <c r="CJ316" i="1"/>
  <c r="CL316" i="1"/>
  <c r="CJ317" i="1"/>
  <c r="CL317" i="1"/>
  <c r="BU1027" i="1"/>
  <c r="BW1027" i="1"/>
  <c r="BU1116" i="1"/>
  <c r="BW1116" i="1"/>
  <c r="BX1294" i="1"/>
  <c r="BZ1294" i="1"/>
  <c r="CL1197" i="1"/>
  <c r="CJ1197" i="1"/>
  <c r="BW474" i="1"/>
  <c r="BU474" i="1"/>
  <c r="CD970" i="1"/>
  <c r="CF970" i="1"/>
  <c r="CA1060" i="1"/>
  <c r="CC1060" i="1"/>
  <c r="BF468" i="1"/>
  <c r="BH468" i="1"/>
  <c r="BC316" i="1"/>
  <c r="BE316" i="1"/>
  <c r="BX317" i="1"/>
  <c r="BZ317" i="1"/>
  <c r="BR1027" i="1"/>
  <c r="BT1027" i="1"/>
  <c r="CJ232" i="1"/>
  <c r="CL232" i="1"/>
  <c r="BU1294" i="1"/>
  <c r="BW1294" i="1"/>
  <c r="BC1197" i="1"/>
  <c r="BE1197" i="1"/>
  <c r="BT474" i="1"/>
  <c r="BR474" i="1"/>
  <c r="CA970" i="1"/>
  <c r="CC970" i="1"/>
  <c r="BR1123" i="1"/>
  <c r="BT1123" i="1"/>
  <c r="CS328" i="1"/>
  <c r="CV328" i="1"/>
  <c r="BF1084" i="1"/>
  <c r="BH1084" i="1"/>
  <c r="CA1354" i="1"/>
  <c r="CC1354" i="1"/>
  <c r="CJ339" i="1"/>
  <c r="CL339" i="1"/>
  <c r="BT1414" i="1"/>
  <c r="BR1414" i="1"/>
  <c r="BZ573" i="1"/>
  <c r="BX573" i="1"/>
  <c r="CJ668" i="1"/>
  <c r="CL668" i="1"/>
  <c r="BC668" i="1"/>
  <c r="BE668" i="1"/>
  <c r="CA674" i="1"/>
  <c r="CC674" i="1"/>
  <c r="BF574" i="1"/>
  <c r="BH574" i="1"/>
  <c r="CJ702" i="1"/>
  <c r="CL702" i="1"/>
  <c r="CS625" i="1"/>
  <c r="CV625" i="1"/>
  <c r="BR706" i="1"/>
  <c r="BT706" i="1"/>
  <c r="BI668" i="1"/>
  <c r="BK668" i="1"/>
  <c r="BI1126" i="1"/>
  <c r="BK1126" i="1"/>
  <c r="CA1076" i="1"/>
  <c r="CC1076" i="1"/>
  <c r="CD856" i="1"/>
  <c r="CF856" i="1"/>
  <c r="BR841" i="1"/>
  <c r="BT841" i="1"/>
  <c r="BI496" i="1"/>
  <c r="BK496" i="1"/>
  <c r="CJ975" i="1"/>
  <c r="CL975" i="1"/>
  <c r="BC929" i="1"/>
  <c r="BE929" i="1"/>
  <c r="BF1115" i="1"/>
  <c r="BH1115" i="1"/>
  <c r="CV558" i="1"/>
  <c r="CS558" i="1"/>
  <c r="BX963" i="1"/>
  <c r="BZ963" i="1"/>
  <c r="CA1053" i="1"/>
  <c r="CC1053" i="1"/>
  <c r="CS1408" i="1"/>
  <c r="CV1408" i="1"/>
  <c r="BC1068" i="1"/>
  <c r="BE1068" i="1"/>
  <c r="CS515" i="1"/>
  <c r="CV515" i="1"/>
  <c r="CA616" i="1"/>
  <c r="CC616" i="1"/>
  <c r="CA267" i="1"/>
  <c r="CC267" i="1"/>
  <c r="BF988" i="1"/>
  <c r="BH988" i="1"/>
  <c r="BU495" i="1"/>
  <c r="BW495" i="1"/>
  <c r="BU541" i="1"/>
  <c r="BW541" i="1"/>
  <c r="BI1054" i="1"/>
  <c r="BK1054" i="1"/>
  <c r="CS669" i="1"/>
  <c r="CV669" i="1"/>
  <c r="BC885" i="1"/>
  <c r="BE885" i="1"/>
  <c r="CL529" i="1"/>
  <c r="CJ529" i="1"/>
  <c r="CV1310" i="1"/>
  <c r="CS1310" i="1"/>
  <c r="BR326" i="1"/>
  <c r="BT326" i="1"/>
  <c r="CL641" i="1"/>
  <c r="CJ641" i="1"/>
  <c r="BI494" i="1"/>
  <c r="BK494" i="1"/>
  <c r="BR584" i="1"/>
  <c r="BT584" i="1"/>
  <c r="CS242" i="1"/>
  <c r="CV242" i="1"/>
  <c r="CD360" i="1"/>
  <c r="CF360" i="1"/>
  <c r="BC1135" i="1"/>
  <c r="BE1135" i="1"/>
  <c r="BU375" i="1"/>
  <c r="BW375" i="1"/>
  <c r="BC1078" i="1"/>
  <c r="BE1078" i="1"/>
  <c r="CJ496" i="1"/>
  <c r="CL496" i="1"/>
  <c r="BU1115" i="1"/>
  <c r="BW1115" i="1"/>
  <c r="CS1076" i="1"/>
  <c r="CV1076" i="1"/>
  <c r="BF856" i="1"/>
  <c r="BH856" i="1"/>
  <c r="BR929" i="1"/>
  <c r="BT929" i="1"/>
  <c r="CL545" i="1"/>
  <c r="CJ545" i="1"/>
  <c r="CF624" i="1"/>
  <c r="CD624" i="1"/>
  <c r="CS1365" i="1"/>
  <c r="CV1365" i="1"/>
  <c r="CS951" i="1"/>
  <c r="CV951" i="1"/>
  <c r="CD144" i="1"/>
  <c r="CF144" i="1"/>
  <c r="CF660" i="1"/>
  <c r="CD660" i="1"/>
  <c r="BR242" i="1"/>
  <c r="BT242" i="1"/>
  <c r="BC616" i="1"/>
  <c r="BE616" i="1"/>
  <c r="BF260" i="1"/>
  <c r="BH260" i="1"/>
  <c r="CS379" i="1"/>
  <c r="CV379" i="1"/>
  <c r="CC641" i="1"/>
  <c r="CA641" i="1"/>
  <c r="BR1115" i="1"/>
  <c r="BT1115" i="1"/>
  <c r="BI1076" i="1"/>
  <c r="BK1076" i="1"/>
  <c r="BC856" i="1"/>
  <c r="BE856" i="1"/>
  <c r="CS929" i="1"/>
  <c r="CV929" i="1"/>
  <c r="BU608" i="1"/>
  <c r="BW608" i="1"/>
  <c r="BU362" i="1"/>
  <c r="BW362" i="1"/>
  <c r="CD1329" i="1"/>
  <c r="CF1329" i="1"/>
  <c r="CA333" i="1"/>
  <c r="CC333" i="1"/>
  <c r="BC479" i="1"/>
  <c r="BE479" i="1"/>
  <c r="CA242" i="1"/>
  <c r="CC242" i="1"/>
  <c r="CD379" i="1"/>
  <c r="CF379" i="1"/>
  <c r="BU478" i="1"/>
  <c r="BW478" i="1"/>
  <c r="BI616" i="1"/>
  <c r="BK616" i="1"/>
  <c r="BU685" i="1"/>
  <c r="BW685" i="1"/>
  <c r="CA407" i="1"/>
  <c r="CC407" i="1"/>
  <c r="BC412" i="1"/>
  <c r="BE412" i="1"/>
  <c r="BU1137" i="1"/>
  <c r="BW1137" i="1"/>
  <c r="CD1028" i="1"/>
  <c r="CF1028" i="1"/>
  <c r="CA648" i="1"/>
  <c r="CC648" i="1"/>
  <c r="CS849" i="1"/>
  <c r="CV849" i="1"/>
  <c r="CA988" i="1"/>
  <c r="CC988" i="1"/>
  <c r="BU239" i="1"/>
  <c r="BW239" i="1"/>
  <c r="CV541" i="1"/>
  <c r="CS541" i="1"/>
  <c r="BH1363" i="1"/>
  <c r="BF1363" i="1"/>
  <c r="CS1373" i="1"/>
  <c r="CV1373" i="1"/>
  <c r="BR619" i="1"/>
  <c r="BT619" i="1"/>
  <c r="CA1208" i="1"/>
  <c r="CC1208" i="1"/>
  <c r="BU1073" i="1"/>
  <c r="BW1073" i="1"/>
  <c r="CV685" i="1"/>
  <c r="CS685" i="1"/>
  <c r="BX1126" i="1"/>
  <c r="BZ1126" i="1"/>
  <c r="CA1365" i="1"/>
  <c r="CC1365" i="1"/>
  <c r="BR669" i="1"/>
  <c r="BT669" i="1"/>
  <c r="CD1137" i="1"/>
  <c r="CF1137" i="1"/>
  <c r="BF1177" i="1"/>
  <c r="BH1177" i="1"/>
  <c r="CF1310" i="1"/>
  <c r="CD1310" i="1"/>
  <c r="BC1073" i="1"/>
  <c r="BE1073" i="1"/>
  <c r="CA1122" i="1"/>
  <c r="CC1122" i="1"/>
  <c r="BT602" i="1"/>
  <c r="BR602" i="1"/>
  <c r="CS1039" i="1"/>
  <c r="CV1039" i="1"/>
  <c r="BU393" i="1"/>
  <c r="BW393" i="1"/>
  <c r="BX1395" i="1"/>
  <c r="BZ1395" i="1"/>
  <c r="BU1332" i="1"/>
  <c r="BW1332" i="1"/>
  <c r="CD1157" i="1"/>
  <c r="CF1157" i="1"/>
  <c r="CJ1221" i="1"/>
  <c r="CL1221" i="1"/>
  <c r="BF347" i="1"/>
  <c r="BH347" i="1"/>
  <c r="BT1340" i="1"/>
  <c r="BR1340" i="1"/>
  <c r="BI865" i="1"/>
  <c r="BK865" i="1"/>
  <c r="CD703" i="1"/>
  <c r="CF703" i="1"/>
  <c r="BX1130" i="1"/>
  <c r="BZ1130" i="1"/>
  <c r="BC296" i="1"/>
  <c r="BE296" i="1"/>
  <c r="CJ395" i="1"/>
  <c r="CL395" i="1"/>
  <c r="BC619" i="1"/>
  <c r="BE619" i="1"/>
  <c r="CJ855" i="1"/>
  <c r="CL855" i="1"/>
  <c r="BU1236" i="1"/>
  <c r="BW1236" i="1"/>
  <c r="BI529" i="1"/>
  <c r="BK529" i="1"/>
  <c r="BF324" i="1"/>
  <c r="BH324" i="1"/>
  <c r="BI1129" i="1"/>
  <c r="BK1129" i="1"/>
  <c r="CL519" i="1"/>
  <c r="CJ519" i="1"/>
  <c r="CA1275" i="1"/>
  <c r="CC1275" i="1"/>
  <c r="CS321" i="1"/>
  <c r="CV321" i="1"/>
  <c r="BF1059" i="1"/>
  <c r="BH1059" i="1"/>
  <c r="BI418" i="1"/>
  <c r="BK418" i="1"/>
  <c r="BC1099" i="1"/>
  <c r="BE1099" i="1"/>
  <c r="BC1227" i="1"/>
  <c r="BE1227" i="1"/>
  <c r="CF1395" i="1"/>
  <c r="CD1395" i="1"/>
  <c r="BI654" i="1"/>
  <c r="BK654" i="1"/>
  <c r="BI1124" i="1"/>
  <c r="BK1124" i="1"/>
  <c r="BX1086" i="1"/>
  <c r="BZ1086" i="1"/>
  <c r="BC637" i="1"/>
  <c r="BE637" i="1"/>
  <c r="CD1073" i="1"/>
  <c r="CF1073" i="1"/>
  <c r="BX993" i="1"/>
  <c r="BZ993" i="1"/>
  <c r="BC1134" i="1"/>
  <c r="BE1134" i="1"/>
  <c r="CD1071" i="1"/>
  <c r="CF1071" i="1"/>
  <c r="CD418" i="1"/>
  <c r="CF418" i="1"/>
  <c r="CS703" i="1"/>
  <c r="CV703" i="1"/>
  <c r="BF351" i="1"/>
  <c r="BH351" i="1"/>
  <c r="BU1283" i="1"/>
  <c r="BW1283" i="1"/>
  <c r="CJ321" i="1"/>
  <c r="CL321" i="1"/>
  <c r="CA1340" i="1"/>
  <c r="CC1340" i="1"/>
  <c r="CL1332" i="1"/>
  <c r="CJ1332" i="1"/>
  <c r="BC1129" i="1"/>
  <c r="BE1129" i="1"/>
  <c r="CA444" i="1"/>
  <c r="CC444" i="1"/>
  <c r="BU497" i="1"/>
  <c r="BW497" i="1"/>
  <c r="BU1089" i="1"/>
  <c r="BW1089" i="1"/>
  <c r="CC1232" i="1"/>
  <c r="CA1232" i="1"/>
  <c r="BU1221" i="1"/>
  <c r="BW1221" i="1"/>
  <c r="BH1382" i="1"/>
  <c r="BF1382" i="1"/>
  <c r="CA412" i="1"/>
  <c r="CC412" i="1"/>
  <c r="BX1052" i="1"/>
  <c r="BZ1052" i="1"/>
  <c r="BC855" i="1"/>
  <c r="BE855" i="1"/>
  <c r="BU479" i="1"/>
  <c r="BW479" i="1"/>
  <c r="CJ1227" i="1"/>
  <c r="CL1227" i="1"/>
  <c r="CS1307" i="1"/>
  <c r="CV1307" i="1"/>
  <c r="BU1318" i="1"/>
  <c r="BW1318" i="1"/>
  <c r="BX492" i="1"/>
  <c r="BZ492" i="1"/>
  <c r="BI1178" i="1"/>
  <c r="BK1178" i="1"/>
  <c r="BI1059" i="1"/>
  <c r="BK1059" i="1"/>
  <c r="BU865" i="1"/>
  <c r="BW865" i="1"/>
  <c r="BR392" i="1"/>
  <c r="BT392" i="1"/>
  <c r="BC485" i="1"/>
  <c r="BE485" i="1"/>
  <c r="BW1422" i="1"/>
  <c r="BU1422" i="1"/>
  <c r="BR994" i="1"/>
  <c r="BT994" i="1"/>
  <c r="BT1409" i="1"/>
  <c r="BR1409" i="1"/>
  <c r="CD1365" i="1"/>
  <c r="CF1365" i="1"/>
  <c r="CJ1271" i="1"/>
  <c r="CL1271" i="1"/>
  <c r="BU333" i="1"/>
  <c r="BW333" i="1"/>
  <c r="BU210" i="1"/>
  <c r="BW210" i="1"/>
  <c r="CD1064" i="1"/>
  <c r="CF1064" i="1"/>
  <c r="CA1289" i="1"/>
  <c r="CC1289" i="1"/>
  <c r="BR637" i="1"/>
  <c r="BT637" i="1"/>
  <c r="BX321" i="1"/>
  <c r="BZ321" i="1"/>
  <c r="BU1340" i="1"/>
  <c r="BW1340" i="1"/>
  <c r="CD1332" i="1"/>
  <c r="CF1332" i="1"/>
  <c r="CS1129" i="1"/>
  <c r="CV1129" i="1"/>
  <c r="BR435" i="1"/>
  <c r="BT435" i="1"/>
  <c r="BI879" i="1"/>
  <c r="BK879" i="1"/>
  <c r="CS1255" i="1"/>
  <c r="CV1255" i="1"/>
  <c r="BR1232" i="1"/>
  <c r="BT1232" i="1"/>
  <c r="CA1240" i="1"/>
  <c r="CC1240" i="1"/>
  <c r="BX1109" i="1"/>
  <c r="BZ1109" i="1"/>
  <c r="BK660" i="1"/>
  <c r="BI660" i="1"/>
  <c r="BX1324" i="1"/>
  <c r="BZ1324" i="1"/>
  <c r="BF1332" i="1"/>
  <c r="BH1332" i="1"/>
  <c r="CD1122" i="1"/>
  <c r="CF1122" i="1"/>
  <c r="CD927" i="1"/>
  <c r="CF927" i="1"/>
  <c r="BR1128" i="1"/>
  <c r="BT1128" i="1"/>
  <c r="BZ647" i="1"/>
  <c r="BX647" i="1"/>
  <c r="BT701" i="1"/>
  <c r="BR701" i="1"/>
  <c r="CS1106" i="1"/>
  <c r="CV1106" i="1"/>
  <c r="BI878" i="1"/>
  <c r="BK878" i="1"/>
  <c r="BI1443" i="1"/>
  <c r="BK1443" i="1"/>
  <c r="BU345" i="1"/>
  <c r="BW345" i="1"/>
  <c r="BC1155" i="1"/>
  <c r="BE1155" i="1"/>
  <c r="BC1256" i="1"/>
  <c r="BE1256" i="1"/>
  <c r="CA1117" i="1"/>
  <c r="CC1117" i="1"/>
  <c r="BR964" i="1"/>
  <c r="BT964" i="1"/>
  <c r="CL1353" i="1"/>
  <c r="CJ1353" i="1"/>
  <c r="BI1157" i="1"/>
  <c r="BK1157" i="1"/>
  <c r="CJ1034" i="1"/>
  <c r="CL1034" i="1"/>
  <c r="CJ1255" i="1"/>
  <c r="CL1255" i="1"/>
  <c r="BR1422" i="1"/>
  <c r="BT1422" i="1"/>
  <c r="BX1333" i="1"/>
  <c r="BZ1333" i="1"/>
  <c r="BC364" i="1"/>
  <c r="BE364" i="1"/>
  <c r="BR1106" i="1"/>
  <c r="BT1106" i="1"/>
  <c r="CD462" i="1"/>
  <c r="CF462" i="1"/>
  <c r="BI1133" i="1"/>
  <c r="BK1133" i="1"/>
  <c r="CS958" i="1"/>
  <c r="CV958" i="1"/>
  <c r="BU1062" i="1"/>
  <c r="BW1062" i="1"/>
  <c r="BF426" i="1"/>
  <c r="BH426" i="1"/>
  <c r="BK1275" i="1"/>
  <c r="BI1275" i="1"/>
  <c r="BR744" i="1"/>
  <c r="BT744" i="1"/>
  <c r="CD974" i="1"/>
  <c r="CF974" i="1"/>
  <c r="CF1445" i="1"/>
  <c r="CD1445" i="1"/>
  <c r="CS705" i="1"/>
  <c r="CV705" i="1"/>
  <c r="BI1333" i="1"/>
  <c r="BK1333" i="1"/>
  <c r="BX364" i="1"/>
  <c r="BZ364" i="1"/>
  <c r="CS1221" i="1"/>
  <c r="CV1221" i="1"/>
  <c r="CD673" i="1"/>
  <c r="CF673" i="1"/>
  <c r="CJ1133" i="1"/>
  <c r="CL1133" i="1"/>
  <c r="CS435" i="1"/>
  <c r="CV435" i="1"/>
  <c r="CD1124" i="1"/>
  <c r="CF1124" i="1"/>
  <c r="CF602" i="1"/>
  <c r="CD602" i="1"/>
  <c r="BH648" i="1"/>
  <c r="BF648" i="1"/>
  <c r="BU701" i="1"/>
  <c r="BW701" i="1"/>
  <c r="BX299" i="1"/>
  <c r="BZ299" i="1"/>
  <c r="CD214" i="1"/>
  <c r="CF214" i="1"/>
  <c r="BF1221" i="1"/>
  <c r="BH1221" i="1"/>
  <c r="BT673" i="1"/>
  <c r="BR673" i="1"/>
  <c r="CD878" i="1"/>
  <c r="CF878" i="1"/>
  <c r="BC659" i="1"/>
  <c r="BE659" i="1"/>
  <c r="BR700" i="1"/>
  <c r="BT700" i="1"/>
  <c r="CC1293" i="1"/>
  <c r="CA1293" i="1"/>
  <c r="BT629" i="1"/>
  <c r="BR629" i="1"/>
  <c r="BI1138" i="1"/>
  <c r="BK1138" i="1"/>
  <c r="BR1131" i="1"/>
  <c r="BT1131" i="1"/>
  <c r="BX1351" i="1"/>
  <c r="BZ1351" i="1"/>
  <c r="CA1118" i="1"/>
  <c r="CC1118" i="1"/>
  <c r="BI403" i="1"/>
  <c r="BK403" i="1"/>
  <c r="CA1027" i="1"/>
  <c r="CC1027" i="1"/>
  <c r="CJ1062" i="1"/>
  <c r="CL1062" i="1"/>
  <c r="CA214" i="1"/>
  <c r="CC214" i="1"/>
  <c r="BR1086" i="1"/>
  <c r="BT1086" i="1"/>
  <c r="CJ1275" i="1"/>
  <c r="CL1275" i="1"/>
  <c r="CD1334" i="1"/>
  <c r="CF1334" i="1"/>
  <c r="BF1130" i="1"/>
  <c r="BH1130" i="1"/>
  <c r="CD981" i="1"/>
  <c r="CF981" i="1"/>
  <c r="CD356" i="1"/>
  <c r="CF356" i="1"/>
  <c r="CD919" i="1"/>
  <c r="CF919" i="1"/>
  <c r="BU1060" i="1"/>
  <c r="BW1060" i="1"/>
  <c r="BR665" i="1"/>
  <c r="BT665" i="1"/>
  <c r="CJ408" i="1"/>
  <c r="CL408" i="1"/>
  <c r="BI426" i="1"/>
  <c r="BK426" i="1"/>
  <c r="BC1106" i="1"/>
  <c r="BE1106" i="1"/>
  <c r="BX700" i="1"/>
  <c r="BZ700" i="1"/>
  <c r="CS1293" i="1"/>
  <c r="CV1293" i="1"/>
  <c r="CA629" i="1"/>
  <c r="CC629" i="1"/>
  <c r="CA878" i="1"/>
  <c r="CC878" i="1"/>
  <c r="BC1131" i="1"/>
  <c r="BE1131" i="1"/>
  <c r="BX659" i="1"/>
  <c r="BZ659" i="1"/>
  <c r="BI399" i="1"/>
  <c r="BK399" i="1"/>
  <c r="BU1125" i="1"/>
  <c r="BW1125" i="1"/>
  <c r="BU214" i="1"/>
  <c r="BW214" i="1"/>
  <c r="CS1086" i="1"/>
  <c r="CV1086" i="1"/>
  <c r="BC1275" i="1"/>
  <c r="BE1275" i="1"/>
  <c r="BW1334" i="1"/>
  <c r="BU1334" i="1"/>
  <c r="BX744" i="1"/>
  <c r="BZ744" i="1"/>
  <c r="BC1039" i="1"/>
  <c r="BE1039" i="1"/>
  <c r="CA356" i="1"/>
  <c r="CC356" i="1"/>
  <c r="BI617" i="1"/>
  <c r="BK617" i="1"/>
  <c r="BX439" i="1"/>
  <c r="BZ439" i="1"/>
  <c r="CS1414" i="1"/>
  <c r="CV1414" i="1"/>
  <c r="BR1093" i="1"/>
  <c r="BT1093" i="1"/>
  <c r="CA632" i="1"/>
  <c r="CC632" i="1"/>
  <c r="BH678" i="1"/>
  <c r="BF678" i="1"/>
  <c r="BI1060" i="1"/>
  <c r="BK1060" i="1"/>
  <c r="BF1132" i="1"/>
  <c r="BH1132" i="1"/>
  <c r="BX498" i="1"/>
  <c r="BZ498" i="1"/>
  <c r="BR380" i="1"/>
  <c r="BT380" i="1"/>
  <c r="CD1109" i="1"/>
  <c r="CF1109" i="1"/>
  <c r="CC662" i="1"/>
  <c r="CA662" i="1"/>
  <c r="BH550" i="1"/>
  <c r="BF550" i="1"/>
  <c r="CA969" i="1"/>
  <c r="CC969" i="1"/>
  <c r="CA1163" i="1"/>
  <c r="CC1163" i="1"/>
  <c r="BW611" i="1"/>
  <c r="BU611" i="1"/>
  <c r="CJ413" i="1"/>
  <c r="CL413" i="1"/>
  <c r="BR1130" i="1"/>
  <c r="BT1130" i="1"/>
  <c r="BI1117" i="1"/>
  <c r="BK1117" i="1"/>
  <c r="BR139" i="1"/>
  <c r="BT139" i="1"/>
  <c r="BX356" i="1"/>
  <c r="BZ356" i="1"/>
  <c r="BI1093" i="1"/>
  <c r="BK1093" i="1"/>
  <c r="BR632" i="1"/>
  <c r="BT632" i="1"/>
  <c r="CA568" i="1"/>
  <c r="CC568" i="1"/>
  <c r="BR419" i="1"/>
  <c r="BT419" i="1"/>
  <c r="BU1118" i="1"/>
  <c r="BW1118" i="1"/>
  <c r="BU1212" i="1"/>
  <c r="BW1212" i="1"/>
  <c r="BE1311" i="1"/>
  <c r="BC1311" i="1"/>
  <c r="BF1428" i="1"/>
  <c r="BH1428" i="1"/>
  <c r="BZ1350" i="1"/>
  <c r="BX1350" i="1"/>
  <c r="BF316" i="1"/>
  <c r="BH316" i="1"/>
  <c r="CS464" i="1"/>
  <c r="CV464" i="1"/>
  <c r="CS1184" i="1"/>
  <c r="CV1184" i="1"/>
  <c r="CS629" i="1"/>
  <c r="CV629" i="1"/>
  <c r="BX1133" i="1"/>
  <c r="BZ1133" i="1"/>
  <c r="BI974" i="1"/>
  <c r="BK974" i="1"/>
  <c r="CD1131" i="1"/>
  <c r="CF1131" i="1"/>
  <c r="BX617" i="1"/>
  <c r="BZ617" i="1"/>
  <c r="BR659" i="1"/>
  <c r="BT659" i="1"/>
  <c r="CD404" i="1"/>
  <c r="CF404" i="1"/>
  <c r="CJ1118" i="1"/>
  <c r="CL1118" i="1"/>
  <c r="BR461" i="1"/>
  <c r="BT461" i="1"/>
  <c r="AZ348" i="1"/>
  <c r="AX348" i="1"/>
  <c r="AW348" i="1" s="1"/>
  <c r="CL1350" i="1"/>
  <c r="CJ1350" i="1"/>
  <c r="BR923" i="1"/>
  <c r="BT923" i="1"/>
  <c r="CJ406" i="1"/>
  <c r="CL406" i="1"/>
  <c r="CJ1123" i="1"/>
  <c r="CL1123" i="1"/>
  <c r="BX224" i="1"/>
  <c r="BZ224" i="1"/>
  <c r="BR1084" i="1"/>
  <c r="BT1084" i="1"/>
  <c r="BC671" i="1"/>
  <c r="BE671" i="1"/>
  <c r="BE667" i="1"/>
  <c r="BC667" i="1"/>
  <c r="BE474" i="1"/>
  <c r="BC474" i="1"/>
  <c r="BR940" i="1"/>
  <c r="BT940" i="1"/>
  <c r="BF419" i="1"/>
  <c r="BH419" i="1"/>
  <c r="CJ421" i="1"/>
  <c r="CL421" i="1"/>
  <c r="CD973" i="1"/>
  <c r="CF973" i="1"/>
  <c r="BC1163" i="1"/>
  <c r="BE1163" i="1"/>
  <c r="BX1212" i="1"/>
  <c r="BZ1212" i="1"/>
  <c r="BR381" i="1"/>
  <c r="BT381" i="1"/>
  <c r="CS1381" i="1"/>
  <c r="CV1381" i="1"/>
  <c r="CJ957" i="1"/>
  <c r="CL957" i="1"/>
  <c r="CA413" i="1"/>
  <c r="CC413" i="1"/>
  <c r="CS1354" i="1"/>
  <c r="CV1354" i="1"/>
  <c r="CA1140" i="1"/>
  <c r="CC1140" i="1"/>
  <c r="BU1346" i="1"/>
  <c r="BW1346" i="1"/>
  <c r="BC1445" i="1"/>
  <c r="BE1445" i="1"/>
  <c r="BW1350" i="1"/>
  <c r="BU1350" i="1"/>
  <c r="BU923" i="1"/>
  <c r="BW923" i="1"/>
  <c r="BI1132" i="1"/>
  <c r="BK1132" i="1"/>
  <c r="BR317" i="1"/>
  <c r="BT317" i="1"/>
  <c r="BF224" i="1"/>
  <c r="BH224" i="1"/>
  <c r="BI232" i="1"/>
  <c r="BK232" i="1"/>
  <c r="BT671" i="1"/>
  <c r="BR671" i="1"/>
  <c r="CA667" i="1"/>
  <c r="CC667" i="1"/>
  <c r="BI1414" i="1"/>
  <c r="BK1414" i="1"/>
  <c r="CJ940" i="1"/>
  <c r="CL940" i="1"/>
  <c r="BR439" i="1"/>
  <c r="BT439" i="1"/>
  <c r="BF923" i="1"/>
  <c r="BH923" i="1"/>
  <c r="CS1132" i="1"/>
  <c r="CV1132" i="1"/>
  <c r="CA1123" i="1"/>
  <c r="CC1123" i="1"/>
  <c r="CJ224" i="1"/>
  <c r="CL224" i="1"/>
  <c r="CS232" i="1"/>
  <c r="CV232" i="1"/>
  <c r="BI671" i="1"/>
  <c r="BK671" i="1"/>
  <c r="BW667" i="1"/>
  <c r="BU667" i="1"/>
  <c r="BW1414" i="1"/>
  <c r="BU1414" i="1"/>
  <c r="BC940" i="1"/>
  <c r="BE940" i="1"/>
  <c r="BF402" i="1"/>
  <c r="BH402" i="1"/>
  <c r="BI464" i="1"/>
  <c r="BK464" i="1"/>
  <c r="CF611" i="1"/>
  <c r="CD611" i="1"/>
  <c r="BC1354" i="1"/>
  <c r="BE1354" i="1"/>
  <c r="CS339" i="1"/>
  <c r="CV339" i="1"/>
  <c r="BH1346" i="1"/>
  <c r="BF1346" i="1"/>
  <c r="CV706" i="1"/>
  <c r="CS706" i="1"/>
  <c r="CS668" i="1"/>
  <c r="CV668" i="1"/>
  <c r="BI674" i="1"/>
  <c r="BK674" i="1"/>
  <c r="CJ706" i="1"/>
  <c r="CL706" i="1"/>
  <c r="BF674" i="1"/>
  <c r="BH674" i="1"/>
  <c r="CC706" i="1"/>
  <c r="CA706" i="1"/>
  <c r="BX668" i="1"/>
  <c r="BZ668" i="1"/>
  <c r="CV574" i="1"/>
  <c r="CS574" i="1"/>
  <c r="BW702" i="1"/>
  <c r="BU702" i="1"/>
  <c r="BX1208" i="1"/>
  <c r="BZ1208" i="1"/>
  <c r="CA929" i="1"/>
  <c r="CC929" i="1"/>
  <c r="CJ267" i="1"/>
  <c r="CL267" i="1"/>
  <c r="CL1363" i="1"/>
  <c r="CJ1363" i="1"/>
  <c r="BX242" i="1"/>
  <c r="BZ242" i="1"/>
  <c r="BF608" i="1"/>
  <c r="BH608" i="1"/>
  <c r="BU407" i="1"/>
  <c r="BW407" i="1"/>
  <c r="BX379" i="1"/>
  <c r="BZ379" i="1"/>
  <c r="CD1189" i="1"/>
  <c r="CF1189" i="1"/>
  <c r="BX626" i="1"/>
  <c r="BZ626" i="1"/>
  <c r="BX1199" i="1"/>
  <c r="BZ1199" i="1"/>
  <c r="BW624" i="1"/>
  <c r="BU624" i="1"/>
  <c r="BF885" i="1"/>
  <c r="BH885" i="1"/>
  <c r="CJ1106" i="1"/>
  <c r="CL1106" i="1"/>
  <c r="BK624" i="1"/>
  <c r="BI624" i="1"/>
  <c r="CD849" i="1"/>
  <c r="CF849" i="1"/>
  <c r="BI1199" i="1"/>
  <c r="BK1199" i="1"/>
  <c r="CJ239" i="1"/>
  <c r="CL239" i="1"/>
  <c r="CC541" i="1"/>
  <c r="CA541" i="1"/>
  <c r="CA1363" i="1"/>
  <c r="CC1363" i="1"/>
  <c r="BI225" i="1"/>
  <c r="BK225" i="1"/>
  <c r="BK707" i="1"/>
  <c r="BI707" i="1"/>
  <c r="CJ448" i="1"/>
  <c r="CL448" i="1"/>
  <c r="CJ612" i="1"/>
  <c r="CL612" i="1"/>
  <c r="BW584" i="1"/>
  <c r="BU584" i="1"/>
  <c r="BX1076" i="1"/>
  <c r="BZ1076" i="1"/>
  <c r="CV545" i="1"/>
  <c r="CS545" i="1"/>
  <c r="BI619" i="1"/>
  <c r="BK619" i="1"/>
  <c r="CJ1174" i="1"/>
  <c r="CL1174" i="1"/>
  <c r="BC267" i="1"/>
  <c r="BE267" i="1"/>
  <c r="BX641" i="1"/>
  <c r="BZ641" i="1"/>
  <c r="BF407" i="1"/>
  <c r="BH407" i="1"/>
  <c r="CS494" i="1"/>
  <c r="CV494" i="1"/>
  <c r="BX855" i="1"/>
  <c r="BZ855" i="1"/>
  <c r="CJ393" i="1"/>
  <c r="CL393" i="1"/>
  <c r="CD1246" i="1"/>
  <c r="CF1246" i="1"/>
  <c r="CJ841" i="1"/>
  <c r="CL841" i="1"/>
  <c r="BR856" i="1"/>
  <c r="BT856" i="1"/>
  <c r="BU360" i="1"/>
  <c r="BW360" i="1"/>
  <c r="BX608" i="1"/>
  <c r="BZ608" i="1"/>
  <c r="BX362" i="1"/>
  <c r="BZ362" i="1"/>
  <c r="BF1329" i="1"/>
  <c r="BH1329" i="1"/>
  <c r="CS333" i="1"/>
  <c r="CV333" i="1"/>
  <c r="BF479" i="1"/>
  <c r="BH479" i="1"/>
  <c r="CS1324" i="1"/>
  <c r="CV1324" i="1"/>
  <c r="CD267" i="1"/>
  <c r="CF267" i="1"/>
  <c r="BC641" i="1"/>
  <c r="BE641" i="1"/>
  <c r="BX1271" i="1"/>
  <c r="BZ1271" i="1"/>
  <c r="BX1053" i="1"/>
  <c r="BZ1053" i="1"/>
  <c r="BR545" i="1"/>
  <c r="BT545" i="1"/>
  <c r="BX1246" i="1"/>
  <c r="BZ1246" i="1"/>
  <c r="BF841" i="1"/>
  <c r="BH841" i="1"/>
  <c r="BI856" i="1"/>
  <c r="BK856" i="1"/>
  <c r="BI360" i="1"/>
  <c r="BK360" i="1"/>
  <c r="BF1189" i="1"/>
  <c r="BH1189" i="1"/>
  <c r="BU1126" i="1"/>
  <c r="BW1126" i="1"/>
  <c r="BR395" i="1"/>
  <c r="BT395" i="1"/>
  <c r="CD401" i="1"/>
  <c r="CF401" i="1"/>
  <c r="BF1064" i="1"/>
  <c r="BH1064" i="1"/>
  <c r="CS411" i="1"/>
  <c r="CV411" i="1"/>
  <c r="BC242" i="1"/>
  <c r="BE242" i="1"/>
  <c r="BI1173" i="1"/>
  <c r="BK1173" i="1"/>
  <c r="CS975" i="1"/>
  <c r="CV975" i="1"/>
  <c r="BE558" i="1"/>
  <c r="BC558" i="1"/>
  <c r="BT1408" i="1"/>
  <c r="BR1408" i="1"/>
  <c r="BC1054" i="1"/>
  <c r="BE1054" i="1"/>
  <c r="BR1271" i="1"/>
  <c r="BT1271" i="1"/>
  <c r="CD885" i="1"/>
  <c r="CF885" i="1"/>
  <c r="CF1289" i="1"/>
  <c r="CD1289" i="1"/>
  <c r="BU364" i="1"/>
  <c r="BW364" i="1"/>
  <c r="BC1076" i="1"/>
  <c r="BE1076" i="1"/>
  <c r="CD1199" i="1"/>
  <c r="CF1199" i="1"/>
  <c r="CA239" i="1"/>
  <c r="CC239" i="1"/>
  <c r="BW545" i="1"/>
  <c r="BU545" i="1"/>
  <c r="CS624" i="1"/>
  <c r="CV624" i="1"/>
  <c r="BX1365" i="1"/>
  <c r="BZ1365" i="1"/>
  <c r="BR1052" i="1"/>
  <c r="BT1052" i="1"/>
  <c r="BC144" i="1"/>
  <c r="BE144" i="1"/>
  <c r="BI993" i="1"/>
  <c r="BK993" i="1"/>
  <c r="BX1408" i="1"/>
  <c r="BZ1408" i="1"/>
  <c r="CD1135" i="1"/>
  <c r="CF1135" i="1"/>
  <c r="BI1329" i="1"/>
  <c r="BK1329" i="1"/>
  <c r="BW707" i="1"/>
  <c r="BU707" i="1"/>
  <c r="BF855" i="1"/>
  <c r="BH855" i="1"/>
  <c r="CA1064" i="1"/>
  <c r="CC1064" i="1"/>
  <c r="CS529" i="1"/>
  <c r="CV529" i="1"/>
  <c r="BI1174" i="1"/>
  <c r="BK1174" i="1"/>
  <c r="BR343" i="1"/>
  <c r="BT343" i="1"/>
  <c r="BT647" i="1"/>
  <c r="BR647" i="1"/>
  <c r="CJ964" i="1"/>
  <c r="CL964" i="1"/>
  <c r="BW1289" i="1"/>
  <c r="BU1289" i="1"/>
  <c r="BI1318" i="1"/>
  <c r="BK1318" i="1"/>
  <c r="CD1128" i="1"/>
  <c r="CF1128" i="1"/>
  <c r="BF1039" i="1"/>
  <c r="BH1039" i="1"/>
  <c r="CL1307" i="1"/>
  <c r="CJ1307" i="1"/>
  <c r="BI1081" i="1"/>
  <c r="BK1081" i="1"/>
  <c r="CD435" i="1"/>
  <c r="CF435" i="1"/>
  <c r="BZ1422" i="1"/>
  <c r="BX1422" i="1"/>
  <c r="BI139" i="1"/>
  <c r="BK139" i="1"/>
  <c r="BR407" i="1"/>
  <c r="BT407" i="1"/>
  <c r="BR260" i="1"/>
  <c r="BT260" i="1"/>
  <c r="CD951" i="1"/>
  <c r="CF951" i="1"/>
  <c r="CS885" i="1"/>
  <c r="CV885" i="1"/>
  <c r="BU857" i="1"/>
  <c r="BW857" i="1"/>
  <c r="CJ347" i="1"/>
  <c r="CL347" i="1"/>
  <c r="BF492" i="1"/>
  <c r="BH492" i="1"/>
  <c r="CD1134" i="1"/>
  <c r="CF1134" i="1"/>
  <c r="BC1255" i="1"/>
  <c r="BE1255" i="1"/>
  <c r="BE1334" i="1"/>
  <c r="BC1334" i="1"/>
  <c r="BU324" i="1"/>
  <c r="BW324" i="1"/>
  <c r="CJ1129" i="1"/>
  <c r="CL1129" i="1"/>
  <c r="CJ485" i="1"/>
  <c r="CL485" i="1"/>
  <c r="BI404" i="1"/>
  <c r="BK404" i="1"/>
  <c r="BC393" i="1"/>
  <c r="BE393" i="1"/>
  <c r="CC584" i="1"/>
  <c r="CA584" i="1"/>
  <c r="BC198" i="1"/>
  <c r="BE198" i="1"/>
  <c r="CD879" i="1"/>
  <c r="CF879" i="1"/>
  <c r="BT693" i="1"/>
  <c r="BR693" i="1"/>
  <c r="BW549" i="1"/>
  <c r="BU549" i="1"/>
  <c r="CJ324" i="1"/>
  <c r="CL324" i="1"/>
  <c r="BF1081" i="1"/>
  <c r="BH1081" i="1"/>
  <c r="BX198" i="1"/>
  <c r="BZ198" i="1"/>
  <c r="CJ411" i="1"/>
  <c r="CL411" i="1"/>
  <c r="BU456" i="1"/>
  <c r="BW456" i="1"/>
  <c r="CJ602" i="1"/>
  <c r="CL602" i="1"/>
  <c r="CC515" i="1"/>
  <c r="CA515" i="1"/>
  <c r="BR214" i="1"/>
  <c r="BT214" i="1"/>
  <c r="BC1117" i="1"/>
  <c r="BE1117" i="1"/>
  <c r="BR321" i="1"/>
  <c r="BT321" i="1"/>
  <c r="CJ993" i="1"/>
  <c r="CL993" i="1"/>
  <c r="BH654" i="1"/>
  <c r="BF654" i="1"/>
  <c r="BI343" i="1"/>
  <c r="BK343" i="1"/>
  <c r="BF963" i="1"/>
  <c r="BH963" i="1"/>
  <c r="BR1034" i="1"/>
  <c r="BT1034" i="1"/>
  <c r="CS648" i="1"/>
  <c r="CV648" i="1"/>
  <c r="BC1333" i="1"/>
  <c r="BE1333" i="1"/>
  <c r="CF1348" i="1"/>
  <c r="CD1348" i="1"/>
  <c r="CD355" i="1"/>
  <c r="CF355" i="1"/>
  <c r="CJ494" i="1"/>
  <c r="CL494" i="1"/>
  <c r="BC1052" i="1"/>
  <c r="BE1052" i="1"/>
  <c r="BU885" i="1"/>
  <c r="BW885" i="1"/>
  <c r="CD1177" i="1"/>
  <c r="CF1177" i="1"/>
  <c r="BI393" i="1"/>
  <c r="BK393" i="1"/>
  <c r="CS612" i="1"/>
  <c r="CV612" i="1"/>
  <c r="BW660" i="1"/>
  <c r="BU660" i="1"/>
  <c r="BE1324" i="1"/>
  <c r="BC1324" i="1"/>
  <c r="CA1332" i="1"/>
  <c r="CC1332" i="1"/>
  <c r="BF1122" i="1"/>
  <c r="BH1122" i="1"/>
  <c r="CJ927" i="1"/>
  <c r="CL927" i="1"/>
  <c r="BU1128" i="1"/>
  <c r="BW1128" i="1"/>
  <c r="BC647" i="1"/>
  <c r="BE647" i="1"/>
  <c r="CJ701" i="1"/>
  <c r="CL701" i="1"/>
  <c r="CD1220" i="1"/>
  <c r="CF1220" i="1"/>
  <c r="CS396" i="1"/>
  <c r="CV396" i="1"/>
  <c r="CV1329" i="1"/>
  <c r="CS1329" i="1"/>
  <c r="BK669" i="1"/>
  <c r="BI669" i="1"/>
  <c r="BC401" i="1"/>
  <c r="BE401" i="1"/>
  <c r="CS448" i="1"/>
  <c r="CV448" i="1"/>
  <c r="BF1236" i="1"/>
  <c r="BH1236" i="1"/>
  <c r="BE1289" i="1"/>
  <c r="BC1289" i="1"/>
  <c r="CL549" i="1"/>
  <c r="CJ549" i="1"/>
  <c r="CS1073" i="1"/>
  <c r="CV1073" i="1"/>
  <c r="BR993" i="1"/>
  <c r="BT993" i="1"/>
  <c r="BC654" i="1"/>
  <c r="BE654" i="1"/>
  <c r="BX1129" i="1"/>
  <c r="BZ1129" i="1"/>
  <c r="BU444" i="1"/>
  <c r="BW444" i="1"/>
  <c r="BR497" i="1"/>
  <c r="BT497" i="1"/>
  <c r="BF1089" i="1"/>
  <c r="BH1089" i="1"/>
  <c r="CF1333" i="1"/>
  <c r="CD1333" i="1"/>
  <c r="BX693" i="1"/>
  <c r="BZ693" i="1"/>
  <c r="BF659" i="1"/>
  <c r="BH659" i="1"/>
  <c r="BF321" i="1"/>
  <c r="BH321" i="1"/>
  <c r="BK1340" i="1"/>
  <c r="BI1340" i="1"/>
  <c r="BZ654" i="1"/>
  <c r="BX654" i="1"/>
  <c r="BR1129" i="1"/>
  <c r="BT1129" i="1"/>
  <c r="CJ435" i="1"/>
  <c r="CL435" i="1"/>
  <c r="CS879" i="1"/>
  <c r="CV879" i="1"/>
  <c r="BH1255" i="1"/>
  <c r="BF1255" i="1"/>
  <c r="BT626" i="1"/>
  <c r="BR626" i="1"/>
  <c r="CA627" i="1"/>
  <c r="CC627" i="1"/>
  <c r="CJ928" i="1"/>
  <c r="CL928" i="1"/>
  <c r="CC1333" i="1"/>
  <c r="CA1333" i="1"/>
  <c r="BI364" i="1"/>
  <c r="BK364" i="1"/>
  <c r="CA1106" i="1"/>
  <c r="CC1106" i="1"/>
  <c r="BE673" i="1"/>
  <c r="BC673" i="1"/>
  <c r="BU396" i="1"/>
  <c r="BW396" i="1"/>
  <c r="CJ384" i="1"/>
  <c r="CL384" i="1"/>
  <c r="BU957" i="1"/>
  <c r="BW957" i="1"/>
  <c r="BR1157" i="1"/>
  <c r="BT1157" i="1"/>
  <c r="BX418" i="1"/>
  <c r="BZ418" i="1"/>
  <c r="CV1089" i="1"/>
  <c r="CS1089" i="1"/>
  <c r="CA705" i="1"/>
  <c r="CC705" i="1"/>
  <c r="BI299" i="1"/>
  <c r="BK299" i="1"/>
  <c r="CJ214" i="1"/>
  <c r="CL214" i="1"/>
  <c r="CS1240" i="1"/>
  <c r="CV1240" i="1"/>
  <c r="CL1293" i="1"/>
  <c r="CJ1293" i="1"/>
  <c r="BX1138" i="1"/>
  <c r="BZ1138" i="1"/>
  <c r="BU1351" i="1"/>
  <c r="BW1351" i="1"/>
  <c r="BF626" i="1"/>
  <c r="BH626" i="1"/>
  <c r="CJ1125" i="1"/>
  <c r="CL1125" i="1"/>
  <c r="BX1220" i="1"/>
  <c r="BZ1220" i="1"/>
  <c r="CA693" i="1"/>
  <c r="CC693" i="1"/>
  <c r="CL1401" i="1"/>
  <c r="CJ1401" i="1"/>
  <c r="CD231" i="1"/>
  <c r="CF231" i="1"/>
  <c r="BI1350" i="1"/>
  <c r="BK1350" i="1"/>
  <c r="BZ705" i="1"/>
  <c r="BX705" i="1"/>
  <c r="BF299" i="1"/>
  <c r="BH299" i="1"/>
  <c r="BX994" i="1"/>
  <c r="BZ994" i="1"/>
  <c r="BF1240" i="1"/>
  <c r="BH1240" i="1"/>
  <c r="BC887" i="1"/>
  <c r="BE887" i="1"/>
  <c r="BR1138" i="1"/>
  <c r="BT1138" i="1"/>
  <c r="CC1351" i="1"/>
  <c r="CA1351" i="1"/>
  <c r="CD444" i="1"/>
  <c r="CF444" i="1"/>
  <c r="CA1124" i="1"/>
  <c r="CC1124" i="1"/>
  <c r="BZ519" i="1"/>
  <c r="BX519" i="1"/>
  <c r="BH703" i="1"/>
  <c r="BF703" i="1"/>
  <c r="BR958" i="1"/>
  <c r="BT958" i="1"/>
  <c r="CD299" i="1"/>
  <c r="CF299" i="1"/>
  <c r="BU994" i="1"/>
  <c r="BW994" i="1"/>
  <c r="BC1240" i="1"/>
  <c r="BE1240" i="1"/>
  <c r="BX887" i="1"/>
  <c r="BZ887" i="1"/>
  <c r="CA1099" i="1"/>
  <c r="CC1099" i="1"/>
  <c r="CV678" i="1"/>
  <c r="CS678" i="1"/>
  <c r="BK1421" i="1"/>
  <c r="BI1421" i="1"/>
  <c r="CF716" i="1"/>
  <c r="CD716" i="1"/>
  <c r="CD1117" i="1"/>
  <c r="CF1117" i="1"/>
  <c r="BI223" i="1"/>
  <c r="BK223" i="1"/>
  <c r="BX964" i="1"/>
  <c r="BZ964" i="1"/>
  <c r="BU568" i="1"/>
  <c r="BW568" i="1"/>
  <c r="BX406" i="1"/>
  <c r="BZ406" i="1"/>
  <c r="BR550" i="1"/>
  <c r="BT550" i="1"/>
  <c r="CJ1116" i="1"/>
  <c r="CL1116" i="1"/>
  <c r="BC1125" i="1"/>
  <c r="BE1125" i="1"/>
  <c r="CA994" i="1"/>
  <c r="CC994" i="1"/>
  <c r="BX1241" i="1"/>
  <c r="BZ1241" i="1"/>
  <c r="CV1275" i="1"/>
  <c r="CS1275" i="1"/>
  <c r="CC673" i="1"/>
  <c r="CA673" i="1"/>
  <c r="CD744" i="1"/>
  <c r="CF744" i="1"/>
  <c r="CA1133" i="1"/>
  <c r="CC1133" i="1"/>
  <c r="BF1213" i="1"/>
  <c r="BH1213" i="1"/>
  <c r="CJ632" i="1"/>
  <c r="CL632" i="1"/>
  <c r="CA1001" i="1"/>
  <c r="CC1001" i="1"/>
  <c r="CF1380" i="1"/>
  <c r="CD1380" i="1"/>
  <c r="BR408" i="1"/>
  <c r="BT408" i="1"/>
  <c r="CJ1220" i="1"/>
  <c r="CL1220" i="1"/>
  <c r="CA1221" i="1"/>
  <c r="CC1221" i="1"/>
  <c r="BF1421" i="1"/>
  <c r="BH1421" i="1"/>
  <c r="BT716" i="1"/>
  <c r="BR716" i="1"/>
  <c r="BR1117" i="1"/>
  <c r="BT1117" i="1"/>
  <c r="CS223" i="1"/>
  <c r="CV223" i="1"/>
  <c r="CS1093" i="1"/>
  <c r="CV1093" i="1"/>
  <c r="BK568" i="1"/>
  <c r="BI568" i="1"/>
  <c r="CS355" i="1"/>
  <c r="CV355" i="1"/>
  <c r="CA1125" i="1"/>
  <c r="CC1125" i="1"/>
  <c r="CD994" i="1"/>
  <c r="CF994" i="1"/>
  <c r="BR1241" i="1"/>
  <c r="BT1241" i="1"/>
  <c r="BF1348" i="1"/>
  <c r="BH1348" i="1"/>
  <c r="BI673" i="1"/>
  <c r="BK673" i="1"/>
  <c r="BX1283" i="1"/>
  <c r="BZ1283" i="1"/>
  <c r="BR1133" i="1"/>
  <c r="BT1133" i="1"/>
  <c r="CJ231" i="1"/>
  <c r="CL231" i="1"/>
  <c r="BF632" i="1"/>
  <c r="BH632" i="1"/>
  <c r="CS421" i="1"/>
  <c r="CV421" i="1"/>
  <c r="CS1213" i="1"/>
  <c r="CV1213" i="1"/>
  <c r="CA1093" i="1"/>
  <c r="CC1093" i="1"/>
  <c r="BM1088" i="1"/>
  <c r="AX1088" i="1" s="1"/>
  <c r="AW1088" i="1" s="1"/>
  <c r="CL1428" i="1"/>
  <c r="CJ1428" i="1"/>
  <c r="BI439" i="1"/>
  <c r="BK439" i="1"/>
  <c r="BI1070" i="1"/>
  <c r="BK1070" i="1"/>
  <c r="BX1116" i="1"/>
  <c r="BZ1116" i="1"/>
  <c r="BH1414" i="1"/>
  <c r="BF1414" i="1"/>
  <c r="CA384" i="1"/>
  <c r="CC384" i="1"/>
  <c r="BW1382" i="1"/>
  <c r="BU1382" i="1"/>
  <c r="BW1445" i="1"/>
  <c r="BU1445" i="1"/>
  <c r="BC468" i="1"/>
  <c r="BE468" i="1"/>
  <c r="BF317" i="1"/>
  <c r="BH317" i="1"/>
  <c r="CJ1381" i="1"/>
  <c r="CL1381" i="1"/>
  <c r="BU940" i="1"/>
  <c r="BW940" i="1"/>
  <c r="CJ1130" i="1"/>
  <c r="CL1130" i="1"/>
  <c r="BU1117" i="1"/>
  <c r="BW1117" i="1"/>
  <c r="BF1138" i="1"/>
  <c r="BH1138" i="1"/>
  <c r="CJ1213" i="1"/>
  <c r="CL1213" i="1"/>
  <c r="BR149" i="1"/>
  <c r="BT149" i="1"/>
  <c r="BC678" i="1"/>
  <c r="BE678" i="1"/>
  <c r="CS1060" i="1"/>
  <c r="CV1060" i="1"/>
  <c r="BF973" i="1"/>
  <c r="BH973" i="1"/>
  <c r="BF1027" i="1"/>
  <c r="BH1027" i="1"/>
  <c r="CC1197" i="1"/>
  <c r="CA1197" i="1"/>
  <c r="BI550" i="1"/>
  <c r="BK550" i="1"/>
  <c r="BR1046" i="1"/>
  <c r="BT1046" i="1"/>
  <c r="BC406" i="1"/>
  <c r="BE406" i="1"/>
  <c r="BI381" i="1"/>
  <c r="BK381" i="1"/>
  <c r="BI573" i="1"/>
  <c r="BK573" i="1"/>
  <c r="BU629" i="1"/>
  <c r="BW629" i="1"/>
  <c r="BC1133" i="1"/>
  <c r="BE1133" i="1"/>
  <c r="BF356" i="1"/>
  <c r="BH356" i="1"/>
  <c r="CA964" i="1"/>
  <c r="CC964" i="1"/>
  <c r="CF632" i="1"/>
  <c r="CD632" i="1"/>
  <c r="BC568" i="1"/>
  <c r="BE568" i="1"/>
  <c r="BI419" i="1"/>
  <c r="BK419" i="1"/>
  <c r="BU399" i="1"/>
  <c r="BW399" i="1"/>
  <c r="CD224" i="1"/>
  <c r="CF224" i="1"/>
  <c r="BI667" i="1"/>
  <c r="BK667" i="1"/>
  <c r="BX1046" i="1"/>
  <c r="BZ1046" i="1"/>
  <c r="BI655" i="1"/>
  <c r="BK655" i="1"/>
  <c r="BR406" i="1"/>
  <c r="BT406" i="1"/>
  <c r="BI402" i="1"/>
  <c r="BK402" i="1"/>
  <c r="BC328" i="1"/>
  <c r="BE328" i="1"/>
  <c r="CV611" i="1"/>
  <c r="CS611" i="1"/>
  <c r="BW1354" i="1"/>
  <c r="BU1354" i="1"/>
  <c r="BC339" i="1"/>
  <c r="BE339" i="1"/>
  <c r="CJ1414" i="1"/>
  <c r="CL1414" i="1"/>
  <c r="CF573" i="1"/>
  <c r="CD573" i="1"/>
  <c r="CJ1060" i="1"/>
  <c r="CL1060" i="1"/>
  <c r="BC969" i="1"/>
  <c r="BE969" i="1"/>
  <c r="BF399" i="1"/>
  <c r="BH399" i="1"/>
  <c r="BI230" i="1"/>
  <c r="BK230" i="1"/>
  <c r="CS461" i="1"/>
  <c r="CV461" i="1"/>
  <c r="CA381" i="1"/>
  <c r="CC381" i="1"/>
  <c r="BH665" i="1"/>
  <c r="BF665" i="1"/>
  <c r="BT1380" i="1"/>
  <c r="BR1380" i="1"/>
  <c r="CA380" i="1"/>
  <c r="CC380" i="1"/>
  <c r="CD413" i="1"/>
  <c r="CF413" i="1"/>
  <c r="BK1311" i="1"/>
  <c r="BI1311" i="1"/>
  <c r="CD957" i="1"/>
  <c r="CF957" i="1"/>
  <c r="CD403" i="1"/>
  <c r="CF403" i="1"/>
  <c r="CA1291" i="1"/>
  <c r="CC1291" i="1"/>
  <c r="CA1350" i="1"/>
  <c r="CC1350" i="1"/>
  <c r="CV655" i="1"/>
  <c r="CS655" i="1"/>
  <c r="CS406" i="1"/>
  <c r="CV406" i="1"/>
  <c r="BX1123" i="1"/>
  <c r="BZ1123" i="1"/>
  <c r="BR328" i="1"/>
  <c r="BT328" i="1"/>
  <c r="BI1084" i="1"/>
  <c r="BK1084" i="1"/>
  <c r="BX671" i="1"/>
  <c r="BZ671" i="1"/>
  <c r="BR339" i="1"/>
  <c r="BT339" i="1"/>
  <c r="CS1346" i="1"/>
  <c r="CV1346" i="1"/>
  <c r="CJ573" i="1"/>
  <c r="CL573" i="1"/>
  <c r="BF1350" i="1"/>
  <c r="BH1350" i="1"/>
  <c r="BF655" i="1"/>
  <c r="BH655" i="1"/>
  <c r="CD406" i="1"/>
  <c r="CF406" i="1"/>
  <c r="BU1123" i="1"/>
  <c r="BW1123" i="1"/>
  <c r="BI328" i="1"/>
  <c r="BK328" i="1"/>
  <c r="CS1084" i="1"/>
  <c r="CV1084" i="1"/>
  <c r="BU671" i="1"/>
  <c r="BW671" i="1"/>
  <c r="BI339" i="1"/>
  <c r="BK339" i="1"/>
  <c r="CL1346" i="1"/>
  <c r="CJ1346" i="1"/>
  <c r="CC573" i="1"/>
  <c r="CA573" i="1"/>
  <c r="CJ1082" i="1"/>
  <c r="CL1082" i="1"/>
  <c r="BR464" i="1"/>
  <c r="BT464" i="1"/>
  <c r="CS1353" i="1"/>
  <c r="CV1353" i="1"/>
  <c r="CD1311" i="1"/>
  <c r="CF1311" i="1"/>
  <c r="BI1140" i="1"/>
  <c r="BK1140" i="1"/>
  <c r="BU403" i="1"/>
  <c r="BW403" i="1"/>
  <c r="BX702" i="1"/>
  <c r="BZ702" i="1"/>
  <c r="CC625" i="1"/>
  <c r="CA625" i="1"/>
  <c r="BI702" i="1"/>
  <c r="BK702" i="1"/>
  <c r="BX625" i="1"/>
  <c r="BZ625" i="1"/>
  <c r="CF706" i="1"/>
  <c r="CD706" i="1"/>
  <c r="CD674" i="1"/>
  <c r="CF674" i="1"/>
  <c r="BC574" i="1"/>
  <c r="BE574" i="1"/>
  <c r="CD702" i="1"/>
  <c r="CF702" i="1"/>
  <c r="BX988" i="1"/>
  <c r="BZ988" i="1"/>
  <c r="BK541" i="1"/>
  <c r="BI541" i="1"/>
  <c r="CS495" i="1"/>
  <c r="CV495" i="1"/>
  <c r="BU494" i="1"/>
  <c r="BW494" i="1"/>
  <c r="CA975" i="1"/>
  <c r="CC975" i="1"/>
  <c r="BI1373" i="1"/>
  <c r="BK1373" i="1"/>
  <c r="CA1068" i="1"/>
  <c r="CC1068" i="1"/>
  <c r="CF616" i="1"/>
  <c r="CD616" i="1"/>
  <c r="CJ362" i="1"/>
  <c r="CL362" i="1"/>
  <c r="BR887" i="1"/>
  <c r="BT887" i="1"/>
  <c r="BI975" i="1"/>
  <c r="BK975" i="1"/>
  <c r="CJ1135" i="1"/>
  <c r="CL1135" i="1"/>
  <c r="BR1208" i="1"/>
  <c r="BT1208" i="1"/>
  <c r="BF326" i="1"/>
  <c r="BH326" i="1"/>
  <c r="CJ1084" i="1"/>
  <c r="CL1084" i="1"/>
  <c r="BR1076" i="1"/>
  <c r="BT1076" i="1"/>
  <c r="BR1199" i="1"/>
  <c r="BT1199" i="1"/>
  <c r="BU929" i="1"/>
  <c r="BW929" i="1"/>
  <c r="BK545" i="1"/>
  <c r="BI545" i="1"/>
  <c r="CL624" i="1"/>
  <c r="CJ624" i="1"/>
  <c r="BZ1373" i="1"/>
  <c r="BX1373" i="1"/>
  <c r="BI951" i="1"/>
  <c r="BK951" i="1"/>
  <c r="BC1208" i="1"/>
  <c r="BE1208" i="1"/>
  <c r="BI1324" i="1"/>
  <c r="BK1324" i="1"/>
  <c r="BF1073" i="1"/>
  <c r="BH1073" i="1"/>
  <c r="BU379" i="1"/>
  <c r="BW379" i="1"/>
  <c r="BW1189" i="1"/>
  <c r="BU1189" i="1"/>
  <c r="BR401" i="1"/>
  <c r="BT401" i="1"/>
  <c r="BU1059" i="1"/>
  <c r="BW1059" i="1"/>
  <c r="CS841" i="1"/>
  <c r="CV841" i="1"/>
  <c r="BF541" i="1"/>
  <c r="BH541" i="1"/>
  <c r="BR1054" i="1"/>
  <c r="BT1054" i="1"/>
  <c r="BU1271" i="1"/>
  <c r="BW1271" i="1"/>
  <c r="CJ885" i="1"/>
  <c r="CL885" i="1"/>
  <c r="BE1310" i="1"/>
  <c r="BC1310" i="1"/>
  <c r="CJ1246" i="1"/>
  <c r="CL1246" i="1"/>
  <c r="BF379" i="1"/>
  <c r="BH379" i="1"/>
  <c r="CA478" i="1"/>
  <c r="CC478" i="1"/>
  <c r="CS616" i="1"/>
  <c r="CV616" i="1"/>
  <c r="BK1189" i="1"/>
  <c r="BI1189" i="1"/>
  <c r="CA1126" i="1"/>
  <c r="CC1126" i="1"/>
  <c r="CD395" i="1"/>
  <c r="CF395" i="1"/>
  <c r="BF401" i="1"/>
  <c r="BH401" i="1"/>
  <c r="BI1064" i="1"/>
  <c r="BK1064" i="1"/>
  <c r="CA654" i="1"/>
  <c r="CC654" i="1"/>
  <c r="BU841" i="1"/>
  <c r="BW841" i="1"/>
  <c r="BT608" i="1"/>
  <c r="BR608" i="1"/>
  <c r="CA951" i="1"/>
  <c r="CC951" i="1"/>
  <c r="BU1199" i="1"/>
  <c r="BW1199" i="1"/>
  <c r="CV1189" i="1"/>
  <c r="CS1189" i="1"/>
  <c r="BC1246" i="1"/>
  <c r="BE1246" i="1"/>
  <c r="BC379" i="1"/>
  <c r="BE379" i="1"/>
  <c r="BX478" i="1"/>
  <c r="BZ478" i="1"/>
  <c r="CJ616" i="1"/>
  <c r="CL616" i="1"/>
  <c r="CJ685" i="1"/>
  <c r="CL685" i="1"/>
  <c r="BR1135" i="1"/>
  <c r="BT1135" i="1"/>
  <c r="CJ375" i="1"/>
  <c r="CL375" i="1"/>
  <c r="CA1078" i="1"/>
  <c r="CC1078" i="1"/>
  <c r="BF857" i="1"/>
  <c r="BH857" i="1"/>
  <c r="CJ1124" i="1"/>
  <c r="CL1124" i="1"/>
  <c r="CA326" i="1"/>
  <c r="CC326" i="1"/>
  <c r="CJ1053" i="1"/>
  <c r="CL1053" i="1"/>
  <c r="BU1229" i="1"/>
  <c r="BW1229" i="1"/>
  <c r="CV641" i="1"/>
  <c r="CS641" i="1"/>
  <c r="CS225" i="1"/>
  <c r="CV225" i="1"/>
  <c r="BH669" i="1"/>
  <c r="BF669" i="1"/>
  <c r="CJ210" i="1"/>
  <c r="CL210" i="1"/>
  <c r="CD347" i="1"/>
  <c r="CF347" i="1"/>
  <c r="CJ1117" i="1"/>
  <c r="CL1117" i="1"/>
  <c r="BF1076" i="1"/>
  <c r="BH1076" i="1"/>
  <c r="CJ856" i="1"/>
  <c r="CL856" i="1"/>
  <c r="CJ929" i="1"/>
  <c r="CL929" i="1"/>
  <c r="CC545" i="1"/>
  <c r="CA545" i="1"/>
  <c r="CS1126" i="1"/>
  <c r="CV1126" i="1"/>
  <c r="BX1329" i="1"/>
  <c r="BZ1329" i="1"/>
  <c r="CD333" i="1"/>
  <c r="CF333" i="1"/>
  <c r="BX1177" i="1"/>
  <c r="BZ1177" i="1"/>
  <c r="BR956" i="1"/>
  <c r="BT956" i="1"/>
  <c r="CJ296" i="1"/>
  <c r="CL296" i="1"/>
  <c r="CS395" i="1"/>
  <c r="CV395" i="1"/>
  <c r="BW619" i="1"/>
  <c r="BU619" i="1"/>
  <c r="CA885" i="1"/>
  <c r="CC885" i="1"/>
  <c r="CD1236" i="1"/>
  <c r="CF1236" i="1"/>
  <c r="BR347" i="1"/>
  <c r="BT347" i="1"/>
  <c r="CJ1340" i="1"/>
  <c r="CL1340" i="1"/>
  <c r="BI411" i="1"/>
  <c r="BK411" i="1"/>
  <c r="BX648" i="1"/>
  <c r="BZ648" i="1"/>
  <c r="BH1353" i="1"/>
  <c r="BF1353" i="1"/>
  <c r="CA1310" i="1"/>
  <c r="CC1310" i="1"/>
  <c r="BF660" i="1"/>
  <c r="BH660" i="1"/>
  <c r="BF956" i="1"/>
  <c r="BH956" i="1"/>
  <c r="BC1034" i="1"/>
  <c r="BE1034" i="1"/>
  <c r="CD617" i="1"/>
  <c r="CF617" i="1"/>
  <c r="BZ612" i="1"/>
  <c r="BX612" i="1"/>
  <c r="BX383" i="1"/>
  <c r="BZ383" i="1"/>
  <c r="CS1071" i="1"/>
  <c r="CV1071" i="1"/>
  <c r="BI701" i="1"/>
  <c r="BK701" i="1"/>
  <c r="BT617" i="1"/>
  <c r="BR617" i="1"/>
  <c r="CJ1054" i="1"/>
  <c r="CL1054" i="1"/>
  <c r="CD375" i="1"/>
  <c r="CF375" i="1"/>
  <c r="CA1052" i="1"/>
  <c r="CC1052" i="1"/>
  <c r="BC210" i="1"/>
  <c r="BE210" i="1"/>
  <c r="BR496" i="1"/>
  <c r="BT496" i="1"/>
  <c r="BH1307" i="1"/>
  <c r="BF1307" i="1"/>
  <c r="CS1340" i="1"/>
  <c r="CV1340" i="1"/>
  <c r="CD865" i="1"/>
  <c r="CF865" i="1"/>
  <c r="BI703" i="1"/>
  <c r="BK703" i="1"/>
  <c r="BU1130" i="1"/>
  <c r="BW1130" i="1"/>
  <c r="CJ492" i="1"/>
  <c r="CL492" i="1"/>
  <c r="BI1134" i="1"/>
  <c r="BK1134" i="1"/>
  <c r="CD1089" i="1"/>
  <c r="CF1089" i="1"/>
  <c r="BR1177" i="1"/>
  <c r="BT1177" i="1"/>
  <c r="BH1289" i="1"/>
  <c r="BF1289" i="1"/>
  <c r="CJ660" i="1"/>
  <c r="CL660" i="1"/>
  <c r="CA1059" i="1"/>
  <c r="CC1059" i="1"/>
  <c r="CJ418" i="1"/>
  <c r="CL418" i="1"/>
  <c r="CA974" i="1"/>
  <c r="CC974" i="1"/>
  <c r="CV1395" i="1"/>
  <c r="CS1395" i="1"/>
  <c r="CD1174" i="1"/>
  <c r="CF1174" i="1"/>
  <c r="BI433" i="1"/>
  <c r="BK433" i="1"/>
  <c r="CJ956" i="1"/>
  <c r="CL956" i="1"/>
  <c r="CD411" i="1"/>
  <c r="CF411" i="1"/>
  <c r="CA1157" i="1"/>
  <c r="CC1157" i="1"/>
  <c r="CF519" i="1"/>
  <c r="CD519" i="1"/>
  <c r="CS1220" i="1"/>
  <c r="CV1220" i="1"/>
  <c r="BF139" i="1"/>
  <c r="BH139" i="1"/>
  <c r="CA1073" i="1"/>
  <c r="CC1073" i="1"/>
  <c r="BU993" i="1"/>
  <c r="BW993" i="1"/>
  <c r="CA1134" i="1"/>
  <c r="CC1134" i="1"/>
  <c r="BR1071" i="1"/>
  <c r="BT1071" i="1"/>
  <c r="CA418" i="1"/>
  <c r="CC418" i="1"/>
  <c r="CL703" i="1"/>
  <c r="CJ703" i="1"/>
  <c r="CS299" i="1"/>
  <c r="CV299" i="1"/>
  <c r="BE716" i="1"/>
  <c r="BC716" i="1"/>
  <c r="BC1365" i="1"/>
  <c r="BE1365" i="1"/>
  <c r="BF1271" i="1"/>
  <c r="BH1271" i="1"/>
  <c r="BX333" i="1"/>
  <c r="BZ333" i="1"/>
  <c r="CS210" i="1"/>
  <c r="CV210" i="1"/>
  <c r="BC1064" i="1"/>
  <c r="BE1064" i="1"/>
  <c r="BX393" i="1"/>
  <c r="BZ393" i="1"/>
  <c r="BU637" i="1"/>
  <c r="BW637" i="1"/>
  <c r="CD321" i="1"/>
  <c r="CF321" i="1"/>
  <c r="BX1340" i="1"/>
  <c r="BZ1340" i="1"/>
  <c r="BE1332" i="1"/>
  <c r="BC1332" i="1"/>
  <c r="BU1129" i="1"/>
  <c r="BW1129" i="1"/>
  <c r="BU435" i="1"/>
  <c r="BW435" i="1"/>
  <c r="BR879" i="1"/>
  <c r="BT879" i="1"/>
  <c r="BI1255" i="1"/>
  <c r="BK1255" i="1"/>
  <c r="BX958" i="1"/>
  <c r="BZ958" i="1"/>
  <c r="BX1155" i="1"/>
  <c r="BZ1155" i="1"/>
  <c r="BU878" i="1"/>
  <c r="BW878" i="1"/>
  <c r="BU395" i="1"/>
  <c r="BW395" i="1"/>
  <c r="CC707" i="1"/>
  <c r="CA707" i="1"/>
  <c r="CJ1068" i="1"/>
  <c r="CL1068" i="1"/>
  <c r="BX448" i="1"/>
  <c r="BZ448" i="1"/>
  <c r="BR857" i="1"/>
  <c r="BT857" i="1"/>
  <c r="BK1310" i="1"/>
  <c r="BI1310" i="1"/>
  <c r="CS549" i="1"/>
  <c r="CV549" i="1"/>
  <c r="BR1073" i="1"/>
  <c r="BT1073" i="1"/>
  <c r="BU1081" i="1"/>
  <c r="BW1081" i="1"/>
  <c r="CA343" i="1"/>
  <c r="CC343" i="1"/>
  <c r="CD963" i="1"/>
  <c r="CF963" i="1"/>
  <c r="CS1034" i="1"/>
  <c r="CV1034" i="1"/>
  <c r="CD648" i="1"/>
  <c r="CF648" i="1"/>
  <c r="BF251" i="1"/>
  <c r="BH251" i="1"/>
  <c r="BF1256" i="1"/>
  <c r="BH1256" i="1"/>
  <c r="BR230" i="1"/>
  <c r="BT230" i="1"/>
  <c r="CJ1073" i="1"/>
  <c r="CL1073" i="1"/>
  <c r="BF993" i="1"/>
  <c r="BH993" i="1"/>
  <c r="CF654" i="1"/>
  <c r="CD654" i="1"/>
  <c r="BC343" i="1"/>
  <c r="BE343" i="1"/>
  <c r="BR444" i="1"/>
  <c r="BT444" i="1"/>
  <c r="CS497" i="1"/>
  <c r="CV497" i="1"/>
  <c r="CJ1089" i="1"/>
  <c r="CL1089" i="1"/>
  <c r="BF1333" i="1"/>
  <c r="BH1333" i="1"/>
  <c r="BU693" i="1"/>
  <c r="BW693" i="1"/>
  <c r="BE617" i="1"/>
  <c r="BC617" i="1"/>
  <c r="BR299" i="1"/>
  <c r="BT299" i="1"/>
  <c r="BI214" i="1"/>
  <c r="BK214" i="1"/>
  <c r="BX1240" i="1"/>
  <c r="BZ1240" i="1"/>
  <c r="BC462" i="1"/>
  <c r="BE462" i="1"/>
  <c r="BX1039" i="1"/>
  <c r="BZ1039" i="1"/>
  <c r="BC632" i="1"/>
  <c r="BE632" i="1"/>
  <c r="BC435" i="1"/>
  <c r="BE435" i="1"/>
  <c r="BX392" i="1"/>
  <c r="BZ392" i="1"/>
  <c r="BH602" i="1"/>
  <c r="BF602" i="1"/>
  <c r="BU648" i="1"/>
  <c r="BW648" i="1"/>
  <c r="CD701" i="1"/>
  <c r="CF701" i="1"/>
  <c r="CD251" i="1"/>
  <c r="CF251" i="1"/>
  <c r="BF1063" i="1"/>
  <c r="BH1063" i="1"/>
  <c r="CV627" i="1"/>
  <c r="CS627" i="1"/>
  <c r="CJ1327" i="1"/>
  <c r="CL1327" i="1"/>
  <c r="BC223" i="1"/>
  <c r="BE223" i="1"/>
  <c r="BT1350" i="1"/>
  <c r="BR1350" i="1"/>
  <c r="BF1232" i="1"/>
  <c r="BH1232" i="1"/>
  <c r="BF987" i="1"/>
  <c r="BH987" i="1"/>
  <c r="BC1086" i="1"/>
  <c r="BE1086" i="1"/>
  <c r="CC700" i="1"/>
  <c r="CA700" i="1"/>
  <c r="CF629" i="1"/>
  <c r="CD629" i="1"/>
  <c r="BR1050" i="1"/>
  <c r="BT1050" i="1"/>
  <c r="CA1132" i="1"/>
  <c r="CC1132" i="1"/>
  <c r="BZ701" i="1"/>
  <c r="BX701" i="1"/>
  <c r="BX251" i="1"/>
  <c r="BZ251" i="1"/>
  <c r="BC1063" i="1"/>
  <c r="BE1063" i="1"/>
  <c r="CL627" i="1"/>
  <c r="CJ627" i="1"/>
  <c r="BW1327" i="1"/>
  <c r="BU1327" i="1"/>
  <c r="BI1099" i="1"/>
  <c r="BK1099" i="1"/>
  <c r="BT678" i="1"/>
  <c r="BR678" i="1"/>
  <c r="BR963" i="1"/>
  <c r="BT963" i="1"/>
  <c r="BF1128" i="1"/>
  <c r="BH1128" i="1"/>
  <c r="BT519" i="1"/>
  <c r="BR519" i="1"/>
  <c r="BC515" i="1"/>
  <c r="BE515" i="1"/>
  <c r="CL626" i="1"/>
  <c r="CJ626" i="1"/>
  <c r="BU251" i="1"/>
  <c r="BW251" i="1"/>
  <c r="CD1063" i="1"/>
  <c r="CF1063" i="1"/>
  <c r="CD627" i="1"/>
  <c r="CF627" i="1"/>
  <c r="CS716" i="1"/>
  <c r="CV716" i="1"/>
  <c r="CJ356" i="1"/>
  <c r="CL356" i="1"/>
  <c r="CL1291" i="1"/>
  <c r="CJ1291" i="1"/>
  <c r="BR1256" i="1"/>
  <c r="BT1256" i="1"/>
  <c r="CA1327" i="1"/>
  <c r="CC1327" i="1"/>
  <c r="BC968" i="1"/>
  <c r="BE968" i="1"/>
  <c r="CS1099" i="1"/>
  <c r="CV1099" i="1"/>
  <c r="CJ149" i="1"/>
  <c r="CL149" i="1"/>
  <c r="BX678" i="1"/>
  <c r="BZ678" i="1"/>
  <c r="CA230" i="1"/>
  <c r="CC230" i="1"/>
  <c r="CA419" i="1"/>
  <c r="CC419" i="1"/>
  <c r="BE665" i="1"/>
  <c r="BC665" i="1"/>
  <c r="BU987" i="1"/>
  <c r="BW987" i="1"/>
  <c r="CJ994" i="1"/>
  <c r="CL994" i="1"/>
  <c r="CS1155" i="1"/>
  <c r="CV1155" i="1"/>
  <c r="BU1348" i="1"/>
  <c r="BW1348" i="1"/>
  <c r="CS462" i="1"/>
  <c r="CV462" i="1"/>
  <c r="BE1283" i="1"/>
  <c r="BC1283" i="1"/>
  <c r="BX139" i="1"/>
  <c r="BZ139" i="1"/>
  <c r="BF231" i="1"/>
  <c r="BH231" i="1"/>
  <c r="BX923" i="1"/>
  <c r="BZ923" i="1"/>
  <c r="BH474" i="1"/>
  <c r="BF474" i="1"/>
  <c r="BF345" i="1"/>
  <c r="BH345" i="1"/>
  <c r="CA398" i="1"/>
  <c r="CC398" i="1"/>
  <c r="BI1240" i="1"/>
  <c r="BK1240" i="1"/>
  <c r="CD1421" i="1"/>
  <c r="CF1421" i="1"/>
  <c r="BZ1327" i="1"/>
  <c r="BX1327" i="1"/>
  <c r="BC396" i="1"/>
  <c r="BE396" i="1"/>
  <c r="BR1099" i="1"/>
  <c r="BT1099" i="1"/>
  <c r="BX149" i="1"/>
  <c r="BZ149" i="1"/>
  <c r="CF1428" i="1"/>
  <c r="CD1428" i="1"/>
  <c r="CD402" i="1"/>
  <c r="CF402" i="1"/>
  <c r="CS987" i="1"/>
  <c r="CV987" i="1"/>
  <c r="CS1063" i="1"/>
  <c r="CV1063" i="1"/>
  <c r="CD1155" i="1"/>
  <c r="CF1155" i="1"/>
  <c r="CS1348" i="1"/>
  <c r="CV1348" i="1"/>
  <c r="BU673" i="1"/>
  <c r="BW673" i="1"/>
  <c r="BT1401" i="1"/>
  <c r="BR1401" i="1"/>
  <c r="BC139" i="1"/>
  <c r="BE139" i="1"/>
  <c r="BI928" i="1"/>
  <c r="BK928" i="1"/>
  <c r="CJ662" i="1"/>
  <c r="CL662" i="1"/>
  <c r="CJ399" i="1"/>
  <c r="CL399" i="1"/>
  <c r="BC231" i="1"/>
  <c r="BE231" i="1"/>
  <c r="BF149" i="1"/>
  <c r="BH149" i="1"/>
  <c r="BI662" i="1"/>
  <c r="BK662" i="1"/>
  <c r="BR1428" i="1"/>
  <c r="BT1428" i="1"/>
  <c r="BU1001" i="1"/>
  <c r="BW1001" i="1"/>
  <c r="CD1163" i="1"/>
  <c r="CF1163" i="1"/>
  <c r="BC1084" i="1"/>
  <c r="BE1084" i="1"/>
  <c r="BI413" i="1"/>
  <c r="BK413" i="1"/>
  <c r="BX919" i="1"/>
  <c r="BZ919" i="1"/>
  <c r="CJ1351" i="1"/>
  <c r="CL1351" i="1"/>
  <c r="BE1291" i="1"/>
  <c r="BC1291" i="1"/>
  <c r="BW655" i="1"/>
  <c r="BU655" i="1"/>
  <c r="BU402" i="1"/>
  <c r="BW402" i="1"/>
  <c r="CS1294" i="1"/>
  <c r="CV1294" i="1"/>
  <c r="BI462" i="1"/>
  <c r="BK462" i="1"/>
  <c r="BF744" i="1"/>
  <c r="BH744" i="1"/>
  <c r="CA968" i="1"/>
  <c r="CC968" i="1"/>
  <c r="CJ878" i="1"/>
  <c r="CL878" i="1"/>
  <c r="BX231" i="1"/>
  <c r="BZ231" i="1"/>
  <c r="CA149" i="1"/>
  <c r="CC149" i="1"/>
  <c r="BU662" i="1"/>
  <c r="BW662" i="1"/>
  <c r="BI1428" i="1"/>
  <c r="BK1428" i="1"/>
  <c r="BF439" i="1"/>
  <c r="BH439" i="1"/>
  <c r="BX316" i="1"/>
  <c r="BZ316" i="1"/>
  <c r="BF464" i="1"/>
  <c r="BH464" i="1"/>
  <c r="BX1140" i="1"/>
  <c r="BZ1140" i="1"/>
  <c r="BE550" i="1"/>
  <c r="BC550" i="1"/>
  <c r="CD1001" i="1"/>
  <c r="CF1001" i="1"/>
  <c r="CD1070" i="1"/>
  <c r="CF1070" i="1"/>
  <c r="BR232" i="1"/>
  <c r="BT232" i="1"/>
  <c r="CA1130" i="1"/>
  <c r="CC1130" i="1"/>
  <c r="CS1117" i="1"/>
  <c r="CV1117" i="1"/>
  <c r="CS139" i="1"/>
  <c r="CV139" i="1"/>
  <c r="CA1213" i="1"/>
  <c r="CC1213" i="1"/>
  <c r="BF1093" i="1"/>
  <c r="BH1093" i="1"/>
  <c r="CV632" i="1"/>
  <c r="CS632" i="1"/>
  <c r="BW678" i="1"/>
  <c r="BU678" i="1"/>
  <c r="BX1060" i="1"/>
  <c r="BZ1060" i="1"/>
  <c r="CD316" i="1"/>
  <c r="CF316" i="1"/>
  <c r="CD464" i="1"/>
  <c r="CF464" i="1"/>
  <c r="BC1140" i="1"/>
  <c r="BE1140" i="1"/>
  <c r="CD1046" i="1"/>
  <c r="CF1046" i="1"/>
  <c r="CD1118" i="1"/>
  <c r="CF1118" i="1"/>
  <c r="CJ1070" i="1"/>
  <c r="CL1070" i="1"/>
  <c r="BX1082" i="1"/>
  <c r="BZ1082" i="1"/>
  <c r="CJ464" i="1"/>
  <c r="CL464" i="1"/>
  <c r="BR611" i="1"/>
  <c r="BT611" i="1"/>
  <c r="CS1311" i="1"/>
  <c r="CV1311" i="1"/>
  <c r="BF1140" i="1"/>
  <c r="BH1140" i="1"/>
  <c r="CC1346" i="1"/>
  <c r="CA1346" i="1"/>
  <c r="CS573" i="1"/>
  <c r="CV573" i="1"/>
  <c r="CA439" i="1"/>
  <c r="CC439" i="1"/>
  <c r="BR468" i="1"/>
  <c r="BT468" i="1"/>
  <c r="CS316" i="1"/>
  <c r="CV316" i="1"/>
  <c r="BC230" i="1"/>
  <c r="BE230" i="1"/>
  <c r="CD1027" i="1"/>
  <c r="CF1027" i="1"/>
  <c r="CA1116" i="1"/>
  <c r="CC1116" i="1"/>
  <c r="CC1294" i="1"/>
  <c r="CA1294" i="1"/>
  <c r="BT1197" i="1"/>
  <c r="BR1197" i="1"/>
  <c r="BF1175" i="1"/>
  <c r="BH1175" i="1"/>
  <c r="CJ1184" i="1"/>
  <c r="CL1184" i="1"/>
  <c r="BC957" i="1"/>
  <c r="BE957" i="1"/>
  <c r="BX413" i="1"/>
  <c r="BZ413" i="1"/>
  <c r="BC394" i="1"/>
  <c r="BE394" i="1"/>
  <c r="BI1046" i="1"/>
  <c r="BK1046" i="1"/>
  <c r="CD655" i="1"/>
  <c r="CF655" i="1"/>
  <c r="BR1070" i="1"/>
  <c r="BT1070" i="1"/>
  <c r="BR402" i="1"/>
  <c r="BT402" i="1"/>
  <c r="BX328" i="1"/>
  <c r="BZ328" i="1"/>
  <c r="BF611" i="1"/>
  <c r="BH611" i="1"/>
  <c r="BF1354" i="1"/>
  <c r="BH1354" i="1"/>
  <c r="BU1140" i="1"/>
  <c r="BW1140" i="1"/>
  <c r="BT1346" i="1"/>
  <c r="BR1346" i="1"/>
  <c r="BX1291" i="1"/>
  <c r="BZ1291" i="1"/>
  <c r="CS1046" i="1"/>
  <c r="CV1046" i="1"/>
  <c r="CA655" i="1"/>
  <c r="CC655" i="1"/>
  <c r="BU1070" i="1"/>
  <c r="BW1070" i="1"/>
  <c r="CS402" i="1"/>
  <c r="CV402" i="1"/>
  <c r="BX464" i="1"/>
  <c r="BZ464" i="1"/>
  <c r="BC611" i="1"/>
  <c r="BE611" i="1"/>
  <c r="CJ1354" i="1"/>
  <c r="CL1354" i="1"/>
  <c r="BR1140" i="1"/>
  <c r="BT1140" i="1"/>
  <c r="BK1346" i="1"/>
  <c r="BI1346" i="1"/>
  <c r="BU355" i="1"/>
  <c r="BW355" i="1"/>
  <c r="CJ1212" i="1"/>
  <c r="CL1212" i="1"/>
  <c r="CA498" i="1"/>
  <c r="CC498" i="1"/>
  <c r="BR1381" i="1"/>
  <c r="BT1381" i="1"/>
  <c r="BF957" i="1"/>
  <c r="BH957" i="1"/>
  <c r="BR413" i="1"/>
  <c r="BT413" i="1"/>
  <c r="BR574" i="1"/>
  <c r="BT574" i="1"/>
  <c r="CL574" i="1"/>
  <c r="CJ574" i="1"/>
  <c r="BH702" i="1"/>
  <c r="BF702" i="1"/>
  <c r="BH625" i="1"/>
  <c r="BF625" i="1"/>
  <c r="BW706" i="1"/>
  <c r="BU706" i="1"/>
  <c r="BT668" i="1"/>
  <c r="BR668" i="1"/>
  <c r="BR239" i="1"/>
  <c r="BT239" i="1"/>
  <c r="BI296" i="1"/>
  <c r="BK296" i="1"/>
  <c r="BH685" i="1"/>
  <c r="BF685" i="1"/>
  <c r="BR1236" i="1"/>
  <c r="BT1236" i="1"/>
  <c r="CC608" i="1"/>
  <c r="CA608" i="1"/>
  <c r="BX619" i="1"/>
  <c r="BZ619" i="1"/>
  <c r="CS1115" i="1"/>
  <c r="CV1115" i="1"/>
  <c r="CD225" i="1"/>
  <c r="CF225" i="1"/>
  <c r="BW1365" i="1"/>
  <c r="BU1365" i="1"/>
  <c r="CD1115" i="1"/>
  <c r="CF1115" i="1"/>
  <c r="CD495" i="1"/>
  <c r="CF495" i="1"/>
  <c r="BU1054" i="1"/>
  <c r="BW1054" i="1"/>
  <c r="CS1177" i="1"/>
  <c r="CV1177" i="1"/>
  <c r="BC849" i="1"/>
  <c r="BE849" i="1"/>
  <c r="BX1115" i="1"/>
  <c r="BZ1115" i="1"/>
  <c r="BI841" i="1"/>
  <c r="BK841" i="1"/>
  <c r="BU856" i="1"/>
  <c r="BW856" i="1"/>
  <c r="BR360" i="1"/>
  <c r="BT360" i="1"/>
  <c r="CD608" i="1"/>
  <c r="CF608" i="1"/>
  <c r="CA362" i="1"/>
  <c r="CC362" i="1"/>
  <c r="CJ1329" i="1"/>
  <c r="CL1329" i="1"/>
  <c r="CD1052" i="1"/>
  <c r="CF1052" i="1"/>
  <c r="CS479" i="1"/>
  <c r="CV479" i="1"/>
  <c r="CD1178" i="1"/>
  <c r="CF1178" i="1"/>
  <c r="BX1059" i="1"/>
  <c r="BZ1059" i="1"/>
  <c r="BI988" i="1"/>
  <c r="BK988" i="1"/>
  <c r="CJ1078" i="1"/>
  <c r="CL1078" i="1"/>
  <c r="BU602" i="1"/>
  <c r="BW602" i="1"/>
  <c r="CD1173" i="1"/>
  <c r="CF1173" i="1"/>
  <c r="BC608" i="1"/>
  <c r="BE608" i="1"/>
  <c r="BU225" i="1"/>
  <c r="BW225" i="1"/>
  <c r="BX707" i="1"/>
  <c r="BZ707" i="1"/>
  <c r="BF448" i="1"/>
  <c r="BH448" i="1"/>
  <c r="BI612" i="1"/>
  <c r="BK612" i="1"/>
  <c r="BF242" i="1"/>
  <c r="BH242" i="1"/>
  <c r="BU1173" i="1"/>
  <c r="BW1173" i="1"/>
  <c r="BU975" i="1"/>
  <c r="BW975" i="1"/>
  <c r="BU616" i="1"/>
  <c r="BW616" i="1"/>
  <c r="BE685" i="1"/>
  <c r="BC685" i="1"/>
  <c r="BX1135" i="1"/>
  <c r="BZ1135" i="1"/>
  <c r="CD260" i="1"/>
  <c r="CF260" i="1"/>
  <c r="BU1068" i="1"/>
  <c r="BW1068" i="1"/>
  <c r="BI857" i="1"/>
  <c r="BK857" i="1"/>
  <c r="BF1134" i="1"/>
  <c r="BH1134" i="1"/>
  <c r="CJ1173" i="1"/>
  <c r="CL1173" i="1"/>
  <c r="CD685" i="1"/>
  <c r="CF685" i="1"/>
  <c r="CS855" i="1"/>
  <c r="CV855" i="1"/>
  <c r="CD975" i="1"/>
  <c r="CF975" i="1"/>
  <c r="CC685" i="1"/>
  <c r="CA685" i="1"/>
  <c r="CJ242" i="1"/>
  <c r="CL242" i="1"/>
  <c r="BR1173" i="1"/>
  <c r="BT1173" i="1"/>
  <c r="BR975" i="1"/>
  <c r="BT975" i="1"/>
  <c r="BR616" i="1"/>
  <c r="BT616" i="1"/>
  <c r="CC1408" i="1"/>
  <c r="CA1408" i="1"/>
  <c r="BU296" i="1"/>
  <c r="BW296" i="1"/>
  <c r="CD412" i="1"/>
  <c r="CF412" i="1"/>
  <c r="BX1137" i="1"/>
  <c r="BZ1137" i="1"/>
  <c r="BC1028" i="1"/>
  <c r="BE1028" i="1"/>
  <c r="CL648" i="1"/>
  <c r="CJ648" i="1"/>
  <c r="CS267" i="1"/>
  <c r="CV267" i="1"/>
  <c r="CS1053" i="1"/>
  <c r="CV1053" i="1"/>
  <c r="BF495" i="1"/>
  <c r="BH495" i="1"/>
  <c r="CF541" i="1"/>
  <c r="CD541" i="1"/>
  <c r="BK1363" i="1"/>
  <c r="BI1363" i="1"/>
  <c r="CJ1373" i="1"/>
  <c r="CL1373" i="1"/>
  <c r="CA619" i="1"/>
  <c r="CC619" i="1"/>
  <c r="CD1208" i="1"/>
  <c r="CF1208" i="1"/>
  <c r="BT1395" i="1"/>
  <c r="BR1395" i="1"/>
  <c r="BU1246" i="1"/>
  <c r="BW1246" i="1"/>
  <c r="BC841" i="1"/>
  <c r="BE841" i="1"/>
  <c r="BI478" i="1"/>
  <c r="BK478" i="1"/>
  <c r="BF360" i="1"/>
  <c r="BH360" i="1"/>
  <c r="CS608" i="1"/>
  <c r="CV608" i="1"/>
  <c r="BI1135" i="1"/>
  <c r="BK1135" i="1"/>
  <c r="BX260" i="1"/>
  <c r="BZ260" i="1"/>
  <c r="CS1068" i="1"/>
  <c r="CV1068" i="1"/>
  <c r="BU1064" i="1"/>
  <c r="BW1064" i="1"/>
  <c r="BR927" i="1"/>
  <c r="BT927" i="1"/>
  <c r="BX407" i="1"/>
  <c r="BZ407" i="1"/>
  <c r="CA260" i="1"/>
  <c r="CC260" i="1"/>
  <c r="BF951" i="1"/>
  <c r="BH951" i="1"/>
  <c r="BI210" i="1"/>
  <c r="BK210" i="1"/>
  <c r="BC857" i="1"/>
  <c r="BE857" i="1"/>
  <c r="BZ1307" i="1"/>
  <c r="BX1307" i="1"/>
  <c r="CA993" i="1"/>
  <c r="CC993" i="1"/>
  <c r="BC927" i="1"/>
  <c r="BE927" i="1"/>
  <c r="BX1064" i="1"/>
  <c r="BZ1064" i="1"/>
  <c r="BX529" i="1"/>
  <c r="BZ529" i="1"/>
  <c r="BI324" i="1"/>
  <c r="BK324" i="1"/>
  <c r="BX1122" i="1"/>
  <c r="BZ1122" i="1"/>
  <c r="BK647" i="1"/>
  <c r="BI647" i="1"/>
  <c r="CA1227" i="1"/>
  <c r="CC1227" i="1"/>
  <c r="CA549" i="1"/>
  <c r="CC549" i="1"/>
  <c r="BT1332" i="1"/>
  <c r="BR1332" i="1"/>
  <c r="CJ392" i="1"/>
  <c r="CL392" i="1"/>
  <c r="CV1443" i="1"/>
  <c r="CS1443" i="1"/>
  <c r="BF624" i="1"/>
  <c r="BH624" i="1"/>
  <c r="CJ225" i="1"/>
  <c r="CL225" i="1"/>
  <c r="BF412" i="1"/>
  <c r="BH412" i="1"/>
  <c r="CJ333" i="1"/>
  <c r="CL333" i="1"/>
  <c r="CD448" i="1"/>
  <c r="CF448" i="1"/>
  <c r="BR1028" i="1"/>
  <c r="BT1028" i="1"/>
  <c r="CD637" i="1"/>
  <c r="CF637" i="1"/>
  <c r="CS1081" i="1"/>
  <c r="CV1081" i="1"/>
  <c r="BI435" i="1"/>
  <c r="BK435" i="1"/>
  <c r="BF1422" i="1"/>
  <c r="BH1422" i="1"/>
  <c r="CD1099" i="1"/>
  <c r="CF1099" i="1"/>
  <c r="BF1340" i="1"/>
  <c r="BH1340" i="1"/>
  <c r="BC865" i="1"/>
  <c r="BE865" i="1"/>
  <c r="BC1422" i="1"/>
  <c r="BE1422" i="1"/>
  <c r="CS1064" i="1"/>
  <c r="CV1064" i="1"/>
  <c r="BF1310" i="1"/>
  <c r="BH1310" i="1"/>
  <c r="CA321" i="1"/>
  <c r="CC321" i="1"/>
  <c r="BF1129" i="1"/>
  <c r="BH1129" i="1"/>
  <c r="CV485" i="1"/>
  <c r="CS485" i="1"/>
  <c r="CD969" i="1"/>
  <c r="CF969" i="1"/>
  <c r="CS584" i="1"/>
  <c r="CV584" i="1"/>
  <c r="BF1174" i="1"/>
  <c r="BH1174" i="1"/>
  <c r="CS383" i="1"/>
  <c r="CV383" i="1"/>
  <c r="CJ1059" i="1"/>
  <c r="CL1059" i="1"/>
  <c r="CA865" i="1"/>
  <c r="CC865" i="1"/>
  <c r="CA392" i="1"/>
  <c r="CC392" i="1"/>
  <c r="CD485" i="1"/>
  <c r="CF485" i="1"/>
  <c r="CD1422" i="1"/>
  <c r="CF1422" i="1"/>
  <c r="CJ1241" i="1"/>
  <c r="CL1241" i="1"/>
  <c r="BR356" i="1"/>
  <c r="BT356" i="1"/>
  <c r="BC324" i="1"/>
  <c r="BE324" i="1"/>
  <c r="CJ1081" i="1"/>
  <c r="CL1081" i="1"/>
  <c r="BR198" i="1"/>
  <c r="BT198" i="1"/>
  <c r="BX411" i="1"/>
  <c r="BZ411" i="1"/>
  <c r="BI456" i="1"/>
  <c r="BK456" i="1"/>
  <c r="CS602" i="1"/>
  <c r="CV602" i="1"/>
  <c r="CJ515" i="1"/>
  <c r="CL515" i="1"/>
  <c r="BR1125" i="1"/>
  <c r="BT1125" i="1"/>
  <c r="BI1283" i="1"/>
  <c r="BK1283" i="1"/>
  <c r="BE1329" i="1"/>
  <c r="BC1329" i="1"/>
  <c r="BW669" i="1"/>
  <c r="BU669" i="1"/>
  <c r="CJ401" i="1"/>
  <c r="CL401" i="1"/>
  <c r="BX210" i="1"/>
  <c r="BZ210" i="1"/>
  <c r="CS1236" i="1"/>
  <c r="CV1236" i="1"/>
  <c r="CJ1289" i="1"/>
  <c r="CL1289" i="1"/>
  <c r="BZ637" i="1"/>
  <c r="BX637" i="1"/>
  <c r="BI321" i="1"/>
  <c r="BK321" i="1"/>
  <c r="CD993" i="1"/>
  <c r="CF993" i="1"/>
  <c r="CJ654" i="1"/>
  <c r="CL654" i="1"/>
  <c r="CA1129" i="1"/>
  <c r="CC1129" i="1"/>
  <c r="BX444" i="1"/>
  <c r="BZ444" i="1"/>
  <c r="BF497" i="1"/>
  <c r="BH497" i="1"/>
  <c r="BK1089" i="1"/>
  <c r="BI1089" i="1"/>
  <c r="BW1232" i="1"/>
  <c r="BU1232" i="1"/>
  <c r="CD1240" i="1"/>
  <c r="CF1240" i="1"/>
  <c r="BU1213" i="1"/>
  <c r="BW1213" i="1"/>
  <c r="CS260" i="1"/>
  <c r="CV260" i="1"/>
  <c r="BE707" i="1"/>
  <c r="BC707" i="1"/>
  <c r="BU1078" i="1"/>
  <c r="BW1078" i="1"/>
  <c r="CS1208" i="1"/>
  <c r="CV1208" i="1"/>
  <c r="BX496" i="1"/>
  <c r="BZ496" i="1"/>
  <c r="BF529" i="1"/>
  <c r="BH529" i="1"/>
  <c r="BE1395" i="1"/>
  <c r="BC1395" i="1"/>
  <c r="CA324" i="1"/>
  <c r="CC324" i="1"/>
  <c r="CD1081" i="1"/>
  <c r="CF1081" i="1"/>
  <c r="BU198" i="1"/>
  <c r="BW198" i="1"/>
  <c r="BU1134" i="1"/>
  <c r="BW1134" i="1"/>
  <c r="BU1071" i="1"/>
  <c r="BW1071" i="1"/>
  <c r="BU418" i="1"/>
  <c r="BW418" i="1"/>
  <c r="CC703" i="1"/>
  <c r="CA703" i="1"/>
  <c r="CD987" i="1"/>
  <c r="CF987" i="1"/>
  <c r="BR462" i="1"/>
  <c r="BT462" i="1"/>
  <c r="CD549" i="1"/>
  <c r="CF549" i="1"/>
  <c r="BI1073" i="1"/>
  <c r="BK1073" i="1"/>
  <c r="BR1081" i="1"/>
  <c r="BT1081" i="1"/>
  <c r="BX343" i="1"/>
  <c r="BZ343" i="1"/>
  <c r="CA963" i="1"/>
  <c r="CC963" i="1"/>
  <c r="BF1034" i="1"/>
  <c r="BH1034" i="1"/>
  <c r="BC648" i="1"/>
  <c r="BE648" i="1"/>
  <c r="BC251" i="1"/>
  <c r="BE251" i="1"/>
  <c r="CJ1256" i="1"/>
  <c r="CL1256" i="1"/>
  <c r="BR404" i="1"/>
  <c r="BT404" i="1"/>
  <c r="CJ251" i="1"/>
  <c r="CL251" i="1"/>
  <c r="BI1063" i="1"/>
  <c r="BK1063" i="1"/>
  <c r="BT627" i="1"/>
  <c r="BR627" i="1"/>
  <c r="BI1293" i="1"/>
  <c r="BK1293" i="1"/>
  <c r="CJ1138" i="1"/>
  <c r="CL1138" i="1"/>
  <c r="CF1382" i="1"/>
  <c r="CD1382" i="1"/>
  <c r="CJ444" i="1"/>
  <c r="CL444" i="1"/>
  <c r="BF1124" i="1"/>
  <c r="BH1124" i="1"/>
  <c r="BK602" i="1"/>
  <c r="BI602" i="1"/>
  <c r="BR703" i="1"/>
  <c r="BT703" i="1"/>
  <c r="BI958" i="1"/>
  <c r="BK958" i="1"/>
  <c r="CA1062" i="1"/>
  <c r="CC1062" i="1"/>
  <c r="BX426" i="1"/>
  <c r="BZ426" i="1"/>
  <c r="BT1275" i="1"/>
  <c r="BR1275" i="1"/>
  <c r="BU744" i="1"/>
  <c r="BW744" i="1"/>
  <c r="BC974" i="1"/>
  <c r="BE974" i="1"/>
  <c r="BC1118" i="1"/>
  <c r="BE1118" i="1"/>
  <c r="CJ1443" i="1"/>
  <c r="CL1443" i="1"/>
  <c r="BI408" i="1"/>
  <c r="BK408" i="1"/>
  <c r="CA1241" i="1"/>
  <c r="CC1241" i="1"/>
  <c r="CA1334" i="1"/>
  <c r="CC1334" i="1"/>
  <c r="BI968" i="1"/>
  <c r="BK968" i="1"/>
  <c r="CD1093" i="1"/>
  <c r="CF1093" i="1"/>
  <c r="CJ461" i="1"/>
  <c r="CL461" i="1"/>
  <c r="CD958" i="1"/>
  <c r="CF958" i="1"/>
  <c r="BR1062" i="1"/>
  <c r="BT1062" i="1"/>
  <c r="CJ426" i="1"/>
  <c r="CL426" i="1"/>
  <c r="BC1348" i="1"/>
  <c r="BE1348" i="1"/>
  <c r="BI744" i="1"/>
  <c r="BK744" i="1"/>
  <c r="BI356" i="1"/>
  <c r="BK356" i="1"/>
  <c r="CD1350" i="1"/>
  <c r="CF1350" i="1"/>
  <c r="BI1071" i="1"/>
  <c r="BK1071" i="1"/>
  <c r="BF879" i="1"/>
  <c r="BH879" i="1"/>
  <c r="BI485" i="1"/>
  <c r="BK485" i="1"/>
  <c r="BU515" i="1"/>
  <c r="BW515" i="1"/>
  <c r="CA626" i="1"/>
  <c r="CC626" i="1"/>
  <c r="CS1062" i="1"/>
  <c r="CV1062" i="1"/>
  <c r="BC426" i="1"/>
  <c r="BE426" i="1"/>
  <c r="CJ1348" i="1"/>
  <c r="CL1348" i="1"/>
  <c r="CJ744" i="1"/>
  <c r="CL744" i="1"/>
  <c r="CS231" i="1"/>
  <c r="CV231" i="1"/>
  <c r="BC421" i="1"/>
  <c r="BE421" i="1"/>
  <c r="CJ1334" i="1"/>
  <c r="CL1334" i="1"/>
  <c r="BI1130" i="1"/>
  <c r="BK1130" i="1"/>
  <c r="BX396" i="1"/>
  <c r="BZ396" i="1"/>
  <c r="BU974" i="1"/>
  <c r="BW974" i="1"/>
  <c r="BR1109" i="1"/>
  <c r="BT1109" i="1"/>
  <c r="BU550" i="1"/>
  <c r="BW550" i="1"/>
  <c r="CJ1027" i="1"/>
  <c r="CL1027" i="1"/>
  <c r="BC1046" i="1"/>
  <c r="BE1046" i="1"/>
  <c r="CJ1380" i="1"/>
  <c r="CL1380" i="1"/>
  <c r="BU351" i="1"/>
  <c r="BW351" i="1"/>
  <c r="CA1063" i="1"/>
  <c r="CC1063" i="1"/>
  <c r="BX1106" i="1"/>
  <c r="BZ1106" i="1"/>
  <c r="CL693" i="1"/>
  <c r="CJ693" i="1"/>
  <c r="BF887" i="1"/>
  <c r="BH887" i="1"/>
  <c r="BW1401" i="1"/>
  <c r="BU1401" i="1"/>
  <c r="CS1138" i="1"/>
  <c r="CV1138" i="1"/>
  <c r="CJ1050" i="1"/>
  <c r="CL1050" i="1"/>
  <c r="BE1382" i="1"/>
  <c r="BC1382" i="1"/>
  <c r="BR399" i="1"/>
  <c r="BT399" i="1"/>
  <c r="BI940" i="1"/>
  <c r="BK940" i="1"/>
  <c r="BF364" i="1"/>
  <c r="BH364" i="1"/>
  <c r="BC398" i="1"/>
  <c r="BE398" i="1"/>
  <c r="BX627" i="1"/>
  <c r="BZ627" i="1"/>
  <c r="BI1256" i="1"/>
  <c r="BK1256" i="1"/>
  <c r="BK1327" i="1"/>
  <c r="BI1327" i="1"/>
  <c r="CA981" i="1"/>
  <c r="CC981" i="1"/>
  <c r="BF974" i="1"/>
  <c r="BH974" i="1"/>
  <c r="BU384" i="1"/>
  <c r="BW384" i="1"/>
  <c r="CC1445" i="1"/>
  <c r="CA1445" i="1"/>
  <c r="BU328" i="1"/>
  <c r="BW328" i="1"/>
  <c r="BR351" i="1"/>
  <c r="BT351" i="1"/>
  <c r="BU1063" i="1"/>
  <c r="BW1063" i="1"/>
  <c r="BF1106" i="1"/>
  <c r="BH1106" i="1"/>
  <c r="CD693" i="1"/>
  <c r="CF693" i="1"/>
  <c r="BF462" i="1"/>
  <c r="BH462" i="1"/>
  <c r="BX1409" i="1"/>
  <c r="BZ1409" i="1"/>
  <c r="CA1138" i="1"/>
  <c r="CC1138" i="1"/>
  <c r="CD1050" i="1"/>
  <c r="CF1050" i="1"/>
  <c r="CF1351" i="1"/>
  <c r="CD1351" i="1"/>
  <c r="BI355" i="1"/>
  <c r="BK355" i="1"/>
  <c r="BU928" i="1"/>
  <c r="BW928" i="1"/>
  <c r="BC1109" i="1"/>
  <c r="BE1109" i="1"/>
  <c r="BE662" i="1"/>
  <c r="BC662" i="1"/>
  <c r="CS550" i="1"/>
  <c r="CV550" i="1"/>
  <c r="CJ969" i="1"/>
  <c r="CL969" i="1"/>
  <c r="CS317" i="1"/>
  <c r="CV317" i="1"/>
  <c r="BE1381" i="1"/>
  <c r="BC1381" i="1"/>
  <c r="BX940" i="1"/>
  <c r="BZ940" i="1"/>
  <c r="BU919" i="1"/>
  <c r="BW919" i="1"/>
  <c r="BW659" i="1"/>
  <c r="BU659" i="1"/>
  <c r="BU394" i="1"/>
  <c r="BW394" i="1"/>
  <c r="BR1118" i="1"/>
  <c r="BT1118" i="1"/>
  <c r="CD1212" i="1"/>
  <c r="CF1212" i="1"/>
  <c r="CA1311" i="1"/>
  <c r="CC1311" i="1"/>
  <c r="CS887" i="1"/>
  <c r="CV887" i="1"/>
  <c r="CS1283" i="1"/>
  <c r="CV1283" i="1"/>
  <c r="BF396" i="1"/>
  <c r="BH396" i="1"/>
  <c r="CS878" i="1"/>
  <c r="CV878" i="1"/>
  <c r="BR928" i="1"/>
  <c r="BT928" i="1"/>
  <c r="CA1109" i="1"/>
  <c r="CC1109" i="1"/>
  <c r="BZ1382" i="1"/>
  <c r="BX1382" i="1"/>
  <c r="CA550" i="1"/>
  <c r="CC550" i="1"/>
  <c r="CA1046" i="1"/>
  <c r="CC1046" i="1"/>
  <c r="BC1132" i="1"/>
  <c r="BE1132" i="1"/>
  <c r="BF381" i="1"/>
  <c r="BH381" i="1"/>
  <c r="BI1175" i="1"/>
  <c r="BK1175" i="1"/>
  <c r="CV1445" i="1"/>
  <c r="CS1445" i="1"/>
  <c r="BR969" i="1"/>
  <c r="BT969" i="1"/>
  <c r="CS1163" i="1"/>
  <c r="CV1163" i="1"/>
  <c r="BZ611" i="1"/>
  <c r="BX611" i="1"/>
  <c r="CA744" i="1"/>
  <c r="CC744" i="1"/>
  <c r="BF968" i="1"/>
  <c r="BH968" i="1"/>
  <c r="BC1138" i="1"/>
  <c r="BE1138" i="1"/>
  <c r="CD1213" i="1"/>
  <c r="CF1213" i="1"/>
  <c r="BC149" i="1"/>
  <c r="BE149" i="1"/>
  <c r="CC678" i="1"/>
  <c r="CA678" i="1"/>
  <c r="CS1350" i="1"/>
  <c r="CV1350" i="1"/>
  <c r="CA406" i="1"/>
  <c r="CC406" i="1"/>
  <c r="BC381" i="1"/>
  <c r="BE381" i="1"/>
  <c r="CF474" i="1"/>
  <c r="CD474" i="1"/>
  <c r="CJ1001" i="1"/>
  <c r="CL1001" i="1"/>
  <c r="CA973" i="1"/>
  <c r="CC973" i="1"/>
  <c r="CJ355" i="1"/>
  <c r="CL355" i="1"/>
  <c r="BC1082" i="1"/>
  <c r="BE1082" i="1"/>
  <c r="BI498" i="1"/>
  <c r="BK498" i="1"/>
  <c r="BC1353" i="1"/>
  <c r="BE1353" i="1"/>
  <c r="BW1311" i="1"/>
  <c r="BU1311" i="1"/>
  <c r="CD1140" i="1"/>
  <c r="CF1140" i="1"/>
  <c r="BF403" i="1"/>
  <c r="BH403" i="1"/>
  <c r="BH1445" i="1"/>
  <c r="BF1445" i="1"/>
  <c r="BC439" i="1"/>
  <c r="BE439" i="1"/>
  <c r="CJ923" i="1"/>
  <c r="CL923" i="1"/>
  <c r="BU1132" i="1"/>
  <c r="BW1132" i="1"/>
  <c r="CA317" i="1"/>
  <c r="CC317" i="1"/>
  <c r="BI224" i="1"/>
  <c r="BK224" i="1"/>
  <c r="BU232" i="1"/>
  <c r="BW232" i="1"/>
  <c r="BH1294" i="1"/>
  <c r="BF1294" i="1"/>
  <c r="CL667" i="1"/>
  <c r="CJ667" i="1"/>
  <c r="BK474" i="1"/>
  <c r="BI474" i="1"/>
  <c r="CJ970" i="1"/>
  <c r="CL970" i="1"/>
  <c r="BX380" i="1"/>
  <c r="BZ380" i="1"/>
  <c r="CA1184" i="1"/>
  <c r="CC1184" i="1"/>
  <c r="CA404" i="1"/>
  <c r="CC404" i="1"/>
  <c r="BX1001" i="1"/>
  <c r="BZ1001" i="1"/>
  <c r="CS1118" i="1"/>
  <c r="CV1118" i="1"/>
  <c r="CA1070" i="1"/>
  <c r="CC1070" i="1"/>
  <c r="CS1082" i="1"/>
  <c r="CV1082" i="1"/>
  <c r="CA464" i="1"/>
  <c r="CC464" i="1"/>
  <c r="BT1353" i="1"/>
  <c r="BR1353" i="1"/>
  <c r="CJ1311" i="1"/>
  <c r="CL1311" i="1"/>
  <c r="CA957" i="1"/>
  <c r="CC957" i="1"/>
  <c r="CA403" i="1"/>
  <c r="CC403" i="1"/>
  <c r="CA394" i="1"/>
  <c r="CC394" i="1"/>
  <c r="BF1001" i="1"/>
  <c r="BH1001" i="1"/>
  <c r="BF1118" i="1"/>
  <c r="BH1118" i="1"/>
  <c r="BR355" i="1"/>
  <c r="BT355" i="1"/>
  <c r="BI1082" i="1"/>
  <c r="BK1082" i="1"/>
  <c r="BU464" i="1"/>
  <c r="BW464" i="1"/>
  <c r="BI1353" i="1"/>
  <c r="BK1353" i="1"/>
  <c r="BH1311" i="1"/>
  <c r="BF1311" i="1"/>
  <c r="BX957" i="1"/>
  <c r="BZ957" i="1"/>
  <c r="BX403" i="1"/>
  <c r="BZ403" i="1"/>
  <c r="BR1163" i="1"/>
  <c r="BT1163" i="1"/>
  <c r="BX461" i="1"/>
  <c r="BZ461" i="1"/>
  <c r="BX381" i="1"/>
  <c r="BZ381" i="1"/>
  <c r="BX1381" i="1"/>
  <c r="BZ1381" i="1"/>
  <c r="CS1380" i="1"/>
  <c r="CV1380" i="1"/>
  <c r="CJ380" i="1"/>
  <c r="CL380" i="1"/>
  <c r="BR1184" i="1"/>
  <c r="BT1184" i="1"/>
  <c r="CF668" i="1"/>
  <c r="CD668" i="1"/>
  <c r="CL674" i="1"/>
  <c r="CJ674" i="1"/>
  <c r="CA668" i="1"/>
  <c r="CC668" i="1"/>
  <c r="BT625" i="1"/>
  <c r="BR625" i="1"/>
  <c r="CA702" i="1"/>
  <c r="CC702" i="1"/>
  <c r="BU674" i="1"/>
  <c r="BW674" i="1"/>
  <c r="BF1135" i="1"/>
  <c r="BH1135" i="1"/>
  <c r="CA375" i="1"/>
  <c r="CC375" i="1"/>
  <c r="BF849" i="1"/>
  <c r="BH849" i="1"/>
  <c r="BR1246" i="1"/>
  <c r="BT1246" i="1"/>
  <c r="BZ624" i="1"/>
  <c r="BX624" i="1"/>
  <c r="BI885" i="1"/>
  <c r="BK885" i="1"/>
  <c r="CA841" i="1"/>
  <c r="CC841" i="1"/>
  <c r="BI855" i="1"/>
  <c r="BK855" i="1"/>
  <c r="CA210" i="1"/>
  <c r="CC210" i="1"/>
  <c r="CJ1115" i="1"/>
  <c r="CL1115" i="1"/>
  <c r="CD929" i="1"/>
  <c r="CF929" i="1"/>
  <c r="BT1365" i="1"/>
  <c r="BR1365" i="1"/>
  <c r="BF496" i="1"/>
  <c r="BH496" i="1"/>
  <c r="BR379" i="1"/>
  <c r="BT379" i="1"/>
  <c r="BF1246" i="1"/>
  <c r="BH1246" i="1"/>
  <c r="CJ379" i="1"/>
  <c r="CL379" i="1"/>
  <c r="CD478" i="1"/>
  <c r="CF478" i="1"/>
  <c r="CA360" i="1"/>
  <c r="CC360" i="1"/>
  <c r="CA1189" i="1"/>
  <c r="CC1189" i="1"/>
  <c r="CD1126" i="1"/>
  <c r="CF1126" i="1"/>
  <c r="BX395" i="1"/>
  <c r="BZ395" i="1"/>
  <c r="CS401" i="1"/>
  <c r="CV401" i="1"/>
  <c r="CA1177" i="1"/>
  <c r="CC1177" i="1"/>
  <c r="CJ343" i="1"/>
  <c r="CL343" i="1"/>
  <c r="BF418" i="1"/>
  <c r="BH418" i="1"/>
  <c r="CA856" i="1"/>
  <c r="CC856" i="1"/>
  <c r="BF362" i="1"/>
  <c r="BH362" i="1"/>
  <c r="BR448" i="1"/>
  <c r="BT448" i="1"/>
  <c r="CL1232" i="1"/>
  <c r="CJ1232" i="1"/>
  <c r="CS1199" i="1"/>
  <c r="CV1199" i="1"/>
  <c r="BT1189" i="1"/>
  <c r="BR1189" i="1"/>
  <c r="CC1373" i="1"/>
  <c r="CA1373" i="1"/>
  <c r="BX951" i="1"/>
  <c r="BZ951" i="1"/>
  <c r="BF1208" i="1"/>
  <c r="BH1208" i="1"/>
  <c r="BR1174" i="1"/>
  <c r="BT1174" i="1"/>
  <c r="CD326" i="1"/>
  <c r="CF326" i="1"/>
  <c r="CA1173" i="1"/>
  <c r="CC1173" i="1"/>
  <c r="CD1229" i="1"/>
  <c r="CF1229" i="1"/>
  <c r="BK558" i="1"/>
  <c r="BI558" i="1"/>
  <c r="CD1408" i="1"/>
  <c r="CF1408" i="1"/>
  <c r="BX296" i="1"/>
  <c r="BZ296" i="1"/>
  <c r="CJ412" i="1"/>
  <c r="CL412" i="1"/>
  <c r="BC1137" i="1"/>
  <c r="BE1137" i="1"/>
  <c r="BI1028" i="1"/>
  <c r="BK1028" i="1"/>
  <c r="CS1124" i="1"/>
  <c r="CV1124" i="1"/>
  <c r="BU988" i="1"/>
  <c r="BW988" i="1"/>
  <c r="BE1363" i="1"/>
  <c r="BC1363" i="1"/>
  <c r="BW1293" i="1"/>
  <c r="BU1293" i="1"/>
  <c r="CJ1229" i="1"/>
  <c r="CL1229" i="1"/>
  <c r="BC326" i="1"/>
  <c r="BE326" i="1"/>
  <c r="BX1173" i="1"/>
  <c r="BZ1173" i="1"/>
  <c r="BX1229" i="1"/>
  <c r="BZ1229" i="1"/>
  <c r="CJ558" i="1"/>
  <c r="CL558" i="1"/>
  <c r="CD1054" i="1"/>
  <c r="CF1054" i="1"/>
  <c r="CD1271" i="1"/>
  <c r="CF1271" i="1"/>
  <c r="BR855" i="1"/>
  <c r="BT855" i="1"/>
  <c r="CV1289" i="1"/>
  <c r="CS1289" i="1"/>
  <c r="CD705" i="1"/>
  <c r="CF705" i="1"/>
  <c r="BI849" i="1"/>
  <c r="BK849" i="1"/>
  <c r="CD988" i="1"/>
  <c r="CF988" i="1"/>
  <c r="BX239" i="1"/>
  <c r="BZ239" i="1"/>
  <c r="BX545" i="1"/>
  <c r="BZ545" i="1"/>
  <c r="BC624" i="1"/>
  <c r="BE624" i="1"/>
  <c r="BF1365" i="1"/>
  <c r="BH1365" i="1"/>
  <c r="BC951" i="1"/>
  <c r="BE951" i="1"/>
  <c r="BI144" i="1"/>
  <c r="BK144" i="1"/>
  <c r="BC993" i="1"/>
  <c r="BE993" i="1"/>
  <c r="BU242" i="1"/>
  <c r="BW242" i="1"/>
  <c r="CA379" i="1"/>
  <c r="CC379" i="1"/>
  <c r="BR478" i="1"/>
  <c r="BT478" i="1"/>
  <c r="BH616" i="1"/>
  <c r="BF616" i="1"/>
  <c r="BC1189" i="1"/>
  <c r="BE1189" i="1"/>
  <c r="BR296" i="1"/>
  <c r="BT296" i="1"/>
  <c r="BC375" i="1"/>
  <c r="BE375" i="1"/>
  <c r="CS1078" i="1"/>
  <c r="CV1078" i="1"/>
  <c r="BU496" i="1"/>
  <c r="BW496" i="1"/>
  <c r="CD497" i="1"/>
  <c r="CF497" i="1"/>
  <c r="BZ1363" i="1"/>
  <c r="BX1363" i="1"/>
  <c r="CD407" i="1"/>
  <c r="CF407" i="1"/>
  <c r="BR375" i="1"/>
  <c r="BT375" i="1"/>
  <c r="BF1052" i="1"/>
  <c r="BH1052" i="1"/>
  <c r="BI448" i="1"/>
  <c r="BK448" i="1"/>
  <c r="CA496" i="1"/>
  <c r="CC496" i="1"/>
  <c r="BE612" i="1"/>
  <c r="BC612" i="1"/>
  <c r="BC383" i="1"/>
  <c r="BE383" i="1"/>
  <c r="BI963" i="1"/>
  <c r="BK963" i="1"/>
  <c r="BF705" i="1"/>
  <c r="BH705" i="1"/>
  <c r="CA1236" i="1"/>
  <c r="CC1236" i="1"/>
  <c r="CS347" i="1"/>
  <c r="CV347" i="1"/>
  <c r="CS1174" i="1"/>
  <c r="CV1174" i="1"/>
  <c r="BU343" i="1"/>
  <c r="BW343" i="1"/>
  <c r="CS393" i="1"/>
  <c r="CV393" i="1"/>
  <c r="BU1395" i="1"/>
  <c r="BW1395" i="1"/>
  <c r="CA1128" i="1"/>
  <c r="CC1128" i="1"/>
  <c r="BX1062" i="1"/>
  <c r="BZ1062" i="1"/>
  <c r="BC362" i="1"/>
  <c r="BE362" i="1"/>
  <c r="BR225" i="1"/>
  <c r="BT225" i="1"/>
  <c r="BF494" i="1"/>
  <c r="BH494" i="1"/>
  <c r="BI401" i="1"/>
  <c r="BK401" i="1"/>
  <c r="CJ1208" i="1"/>
  <c r="CL1208" i="1"/>
  <c r="BI1227" i="1"/>
  <c r="BK1227" i="1"/>
  <c r="BZ549" i="1"/>
  <c r="BX549" i="1"/>
  <c r="BU383" i="1"/>
  <c r="BW383" i="1"/>
  <c r="CJ1071" i="1"/>
  <c r="CL1071" i="1"/>
  <c r="CS701" i="1"/>
  <c r="CV701" i="1"/>
  <c r="BF662" i="1"/>
  <c r="BH662" i="1"/>
  <c r="BX433" i="1"/>
  <c r="BZ433" i="1"/>
  <c r="CS444" i="1"/>
  <c r="CV444" i="1"/>
  <c r="BI351" i="1"/>
  <c r="BK351" i="1"/>
  <c r="BI1236" i="1"/>
  <c r="BK1236" i="1"/>
  <c r="BC529" i="1"/>
  <c r="BE529" i="1"/>
  <c r="BR324" i="1"/>
  <c r="BT324" i="1"/>
  <c r="CS1134" i="1"/>
  <c r="CV1134" i="1"/>
  <c r="BT1089" i="1"/>
  <c r="BR1089" i="1"/>
  <c r="BE347" i="1"/>
  <c r="BC347" i="1"/>
  <c r="BK584" i="1"/>
  <c r="BI584" i="1"/>
  <c r="BC492" i="1"/>
  <c r="BE492" i="1"/>
  <c r="BR1178" i="1"/>
  <c r="BT1178" i="1"/>
  <c r="CS1122" i="1"/>
  <c r="CV1122" i="1"/>
  <c r="BI927" i="1"/>
  <c r="BK927" i="1"/>
  <c r="BC1124" i="1"/>
  <c r="BE1124" i="1"/>
  <c r="CL647" i="1"/>
  <c r="CJ647" i="1"/>
  <c r="BC958" i="1"/>
  <c r="BE958" i="1"/>
  <c r="BC1221" i="1"/>
  <c r="BE1221" i="1"/>
  <c r="CD964" i="1"/>
  <c r="CF964" i="1"/>
  <c r="BC1174" i="1"/>
  <c r="BE1174" i="1"/>
  <c r="CS433" i="1"/>
  <c r="CV433" i="1"/>
  <c r="BC956" i="1"/>
  <c r="BE956" i="1"/>
  <c r="CA411" i="1"/>
  <c r="CC411" i="1"/>
  <c r="BX1157" i="1"/>
  <c r="BZ1157" i="1"/>
  <c r="BK519" i="1"/>
  <c r="BI519" i="1"/>
  <c r="CS408" i="1"/>
  <c r="CV408" i="1"/>
  <c r="CJ396" i="1"/>
  <c r="CL396" i="1"/>
  <c r="CA395" i="1"/>
  <c r="CC395" i="1"/>
  <c r="CD707" i="1"/>
  <c r="CF707" i="1"/>
  <c r="BF1068" i="1"/>
  <c r="BH1068" i="1"/>
  <c r="CA448" i="1"/>
  <c r="CC448" i="1"/>
  <c r="BX857" i="1"/>
  <c r="BZ857" i="1"/>
  <c r="BU1310" i="1"/>
  <c r="BW1310" i="1"/>
  <c r="BI549" i="1"/>
  <c r="BK549" i="1"/>
  <c r="BX1073" i="1"/>
  <c r="BZ1073" i="1"/>
  <c r="CA1081" i="1"/>
  <c r="CC1081" i="1"/>
  <c r="BM604" i="1"/>
  <c r="AX604" i="1" s="1"/>
  <c r="AW604" i="1" s="1"/>
  <c r="CD343" i="1"/>
  <c r="CF343" i="1"/>
  <c r="CJ963" i="1"/>
  <c r="CL963" i="1"/>
  <c r="BI1034" i="1"/>
  <c r="BK1034" i="1"/>
  <c r="BR648" i="1"/>
  <c r="BT648" i="1"/>
  <c r="CJ1333" i="1"/>
  <c r="CL1333" i="1"/>
  <c r="CA1348" i="1"/>
  <c r="CC1348" i="1"/>
  <c r="CJ1109" i="1"/>
  <c r="CL1109" i="1"/>
  <c r="BI375" i="1"/>
  <c r="BK375" i="1"/>
  <c r="BH619" i="1"/>
  <c r="BF619" i="1"/>
  <c r="CJ1137" i="1"/>
  <c r="CL1137" i="1"/>
  <c r="BF144" i="1"/>
  <c r="BH144" i="1"/>
  <c r="CD496" i="1"/>
  <c r="CF496" i="1"/>
  <c r="CA347" i="1"/>
  <c r="CC347" i="1"/>
  <c r="BH584" i="1"/>
  <c r="BF584" i="1"/>
  <c r="BX1174" i="1"/>
  <c r="BZ1174" i="1"/>
  <c r="CJ433" i="1"/>
  <c r="CL433" i="1"/>
  <c r="BI198" i="1"/>
  <c r="BK198" i="1"/>
  <c r="BF411" i="1"/>
  <c r="BH411" i="1"/>
  <c r="BF456" i="1"/>
  <c r="BH456" i="1"/>
  <c r="CA602" i="1"/>
  <c r="CC602" i="1"/>
  <c r="BH515" i="1"/>
  <c r="BF515" i="1"/>
  <c r="BX345" i="1"/>
  <c r="BZ345" i="1"/>
  <c r="BK1409" i="1"/>
  <c r="BI1409" i="1"/>
  <c r="BF549" i="1"/>
  <c r="BH549" i="1"/>
  <c r="BX324" i="1"/>
  <c r="BZ324" i="1"/>
  <c r="CA433" i="1"/>
  <c r="CC433" i="1"/>
  <c r="BF198" i="1"/>
  <c r="BH198" i="1"/>
  <c r="BR1134" i="1"/>
  <c r="BT1134" i="1"/>
  <c r="BC456" i="1"/>
  <c r="BE456" i="1"/>
  <c r="BR418" i="1"/>
  <c r="BT418" i="1"/>
  <c r="BZ703" i="1"/>
  <c r="BX703" i="1"/>
  <c r="CA987" i="1"/>
  <c r="CC987" i="1"/>
  <c r="BU887" i="1"/>
  <c r="BW887" i="1"/>
  <c r="BF498" i="1"/>
  <c r="BH498" i="1"/>
  <c r="BC1062" i="1"/>
  <c r="BE1062" i="1"/>
  <c r="BR426" i="1"/>
  <c r="BT426" i="1"/>
  <c r="BU1275" i="1"/>
  <c r="BW1275" i="1"/>
  <c r="BC1327" i="1"/>
  <c r="BE1327" i="1"/>
  <c r="CA223" i="1"/>
  <c r="CC223" i="1"/>
  <c r="BT568" i="1"/>
  <c r="BR568" i="1"/>
  <c r="BI444" i="1"/>
  <c r="BK444" i="1"/>
  <c r="CJ1128" i="1"/>
  <c r="CL1128" i="1"/>
  <c r="BU519" i="1"/>
  <c r="BW519" i="1"/>
  <c r="BW703" i="1"/>
  <c r="BU703" i="1"/>
  <c r="CS626" i="1"/>
  <c r="CV626" i="1"/>
  <c r="BF1125" i="1"/>
  <c r="BH1125" i="1"/>
  <c r="CA1220" i="1"/>
  <c r="CC1220" i="1"/>
  <c r="CS693" i="1"/>
  <c r="CV693" i="1"/>
  <c r="CS1401" i="1"/>
  <c r="CV1401" i="1"/>
  <c r="CA231" i="1"/>
  <c r="CC231" i="1"/>
  <c r="BF1212" i="1"/>
  <c r="BH1212" i="1"/>
  <c r="CC1443" i="1"/>
  <c r="CA1443" i="1"/>
  <c r="CS345" i="1"/>
  <c r="CV345" i="1"/>
  <c r="BU1155" i="1"/>
  <c r="BW1155" i="1"/>
  <c r="CS673" i="1"/>
  <c r="CV673" i="1"/>
  <c r="BI981" i="1"/>
  <c r="BK981" i="1"/>
  <c r="BF384" i="1"/>
  <c r="BH384" i="1"/>
  <c r="CJ671" i="1"/>
  <c r="CL671" i="1"/>
  <c r="BF958" i="1"/>
  <c r="BH958" i="1"/>
  <c r="BX1125" i="1"/>
  <c r="BZ1125" i="1"/>
  <c r="BU1220" i="1"/>
  <c r="BW1220" i="1"/>
  <c r="BK693" i="1"/>
  <c r="BI693" i="1"/>
  <c r="BC1401" i="1"/>
  <c r="BE1401" i="1"/>
  <c r="BU231" i="1"/>
  <c r="BW231" i="1"/>
  <c r="CD1132" i="1"/>
  <c r="CF1132" i="1"/>
  <c r="BX1071" i="1"/>
  <c r="BZ1071" i="1"/>
  <c r="CJ497" i="1"/>
  <c r="CL497" i="1"/>
  <c r="CD647" i="1"/>
  <c r="CF647" i="1"/>
  <c r="BA708" i="1"/>
  <c r="CV1232" i="1"/>
  <c r="CS1232" i="1"/>
  <c r="BC987" i="1"/>
  <c r="BE987" i="1"/>
  <c r="BU398" i="1"/>
  <c r="BW398" i="1"/>
  <c r="BF693" i="1"/>
  <c r="BH693" i="1"/>
  <c r="BZ1401" i="1"/>
  <c r="BX1401" i="1"/>
  <c r="CS1131" i="1"/>
  <c r="CV1131" i="1"/>
  <c r="BR1132" i="1"/>
  <c r="BT1132" i="1"/>
  <c r="BF673" i="1"/>
  <c r="BH673" i="1"/>
  <c r="CS744" i="1"/>
  <c r="CV744" i="1"/>
  <c r="BF981" i="1"/>
  <c r="BH981" i="1"/>
  <c r="CS356" i="1"/>
  <c r="CV356" i="1"/>
  <c r="CJ919" i="1"/>
  <c r="CL919" i="1"/>
  <c r="CF1291" i="1"/>
  <c r="CD1291" i="1"/>
  <c r="BI1116" i="1"/>
  <c r="BK1116" i="1"/>
  <c r="CA923" i="1"/>
  <c r="CC923" i="1"/>
  <c r="CD380" i="1"/>
  <c r="CF380" i="1"/>
  <c r="CD408" i="1"/>
  <c r="CF408" i="1"/>
  <c r="BU426" i="1"/>
  <c r="BW426" i="1"/>
  <c r="BI1106" i="1"/>
  <c r="BK1106" i="1"/>
  <c r="CS700" i="1"/>
  <c r="CV700" i="1"/>
  <c r="BH1293" i="1"/>
  <c r="BF1293" i="1"/>
  <c r="CJ629" i="1"/>
  <c r="CL629" i="1"/>
  <c r="BC878" i="1"/>
  <c r="BE878" i="1"/>
  <c r="CJ1131" i="1"/>
  <c r="CL1131" i="1"/>
  <c r="CL659" i="1"/>
  <c r="CJ659" i="1"/>
  <c r="BX1070" i="1"/>
  <c r="BZ1070" i="1"/>
  <c r="BF1062" i="1"/>
  <c r="BH1062" i="1"/>
  <c r="BX214" i="1"/>
  <c r="BZ214" i="1"/>
  <c r="BI1086" i="1"/>
  <c r="BK1086" i="1"/>
  <c r="CF1275" i="1"/>
  <c r="CD1275" i="1"/>
  <c r="BI1334" i="1"/>
  <c r="BK1334" i="1"/>
  <c r="BC1130" i="1"/>
  <c r="BE1130" i="1"/>
  <c r="BU1039" i="1"/>
  <c r="BW1039" i="1"/>
  <c r="BC356" i="1"/>
  <c r="BE356" i="1"/>
  <c r="CJ617" i="1"/>
  <c r="CL617" i="1"/>
  <c r="BF394" i="1"/>
  <c r="BH394" i="1"/>
  <c r="CA1084" i="1"/>
  <c r="CC1084" i="1"/>
  <c r="BU408" i="1"/>
  <c r="BW408" i="1"/>
  <c r="CS426" i="1"/>
  <c r="CV426" i="1"/>
  <c r="BI1221" i="1"/>
  <c r="BK1221" i="1"/>
  <c r="BH700" i="1"/>
  <c r="BF700" i="1"/>
  <c r="CA887" i="1"/>
  <c r="CC887" i="1"/>
  <c r="BK629" i="1"/>
  <c r="BI629" i="1"/>
  <c r="BX878" i="1"/>
  <c r="BZ878" i="1"/>
  <c r="CA1131" i="1"/>
  <c r="CC1131" i="1"/>
  <c r="BK659" i="1"/>
  <c r="BI659" i="1"/>
  <c r="BF1082" i="1"/>
  <c r="BH1082" i="1"/>
  <c r="CD928" i="1"/>
  <c r="CF928" i="1"/>
  <c r="BC384" i="1"/>
  <c r="BE384" i="1"/>
  <c r="CA1382" i="1"/>
  <c r="CC1382" i="1"/>
  <c r="BX1445" i="1"/>
  <c r="BZ1445" i="1"/>
  <c r="CJ468" i="1"/>
  <c r="CL468" i="1"/>
  <c r="CA402" i="1"/>
  <c r="CC402" i="1"/>
  <c r="BC1294" i="1"/>
  <c r="BE1294" i="1"/>
  <c r="BF964" i="1"/>
  <c r="BH964" i="1"/>
  <c r="BU617" i="1"/>
  <c r="BW617" i="1"/>
  <c r="CL568" i="1"/>
  <c r="CJ568" i="1"/>
  <c r="CJ404" i="1"/>
  <c r="CL404" i="1"/>
  <c r="CJ973" i="1"/>
  <c r="CL973" i="1"/>
  <c r="CS1027" i="1"/>
  <c r="CV1027" i="1"/>
  <c r="BW1197" i="1"/>
  <c r="BU1197" i="1"/>
  <c r="BX1293" i="1"/>
  <c r="BZ1293" i="1"/>
  <c r="BK1401" i="1"/>
  <c r="BI1401" i="1"/>
  <c r="BX981" i="1"/>
  <c r="BZ981" i="1"/>
  <c r="CJ223" i="1"/>
  <c r="CL223" i="1"/>
  <c r="CS1050" i="1"/>
  <c r="CV1050" i="1"/>
  <c r="BX384" i="1"/>
  <c r="BZ384" i="1"/>
  <c r="BR1382" i="1"/>
  <c r="BT1382" i="1"/>
  <c r="CJ550" i="1"/>
  <c r="CL550" i="1"/>
  <c r="BI1001" i="1"/>
  <c r="BK1001" i="1"/>
  <c r="BF1070" i="1"/>
  <c r="BH1070" i="1"/>
  <c r="CA232" i="1"/>
  <c r="CC232" i="1"/>
  <c r="CF1346" i="1"/>
  <c r="CD1346" i="1"/>
  <c r="BU1291" i="1"/>
  <c r="BW1291" i="1"/>
  <c r="CD923" i="1"/>
  <c r="CF923" i="1"/>
  <c r="BU317" i="1"/>
  <c r="BW317" i="1"/>
  <c r="CS665" i="1"/>
  <c r="CV665" i="1"/>
  <c r="BC744" i="1"/>
  <c r="BE744" i="1"/>
  <c r="BU968" i="1"/>
  <c r="BW968" i="1"/>
  <c r="BF878" i="1"/>
  <c r="BH878" i="1"/>
  <c r="BR231" i="1"/>
  <c r="BT231" i="1"/>
  <c r="BI1109" i="1"/>
  <c r="BK1109" i="1"/>
  <c r="BR662" i="1"/>
  <c r="BT662" i="1"/>
  <c r="BE1428" i="1"/>
  <c r="BC1428" i="1"/>
  <c r="BF1046" i="1"/>
  <c r="BH1046" i="1"/>
  <c r="BF355" i="1"/>
  <c r="BH355" i="1"/>
  <c r="CD1084" i="1"/>
  <c r="CF1084" i="1"/>
  <c r="CS403" i="1"/>
  <c r="CV403" i="1"/>
  <c r="BF421" i="1"/>
  <c r="BH421" i="1"/>
  <c r="BC973" i="1"/>
  <c r="BE973" i="1"/>
  <c r="BI1163" i="1"/>
  <c r="BK1163" i="1"/>
  <c r="CA1212" i="1"/>
  <c r="CC1212" i="1"/>
  <c r="BU381" i="1"/>
  <c r="BW381" i="1"/>
  <c r="BI1381" i="1"/>
  <c r="BK1381" i="1"/>
  <c r="BI957" i="1"/>
  <c r="BK957" i="1"/>
  <c r="CS413" i="1"/>
  <c r="CV413" i="1"/>
  <c r="CV1291" i="1"/>
  <c r="CS1291" i="1"/>
  <c r="BC1350" i="1"/>
  <c r="BE1350" i="1"/>
  <c r="BI923" i="1"/>
  <c r="BK923" i="1"/>
  <c r="BF406" i="1"/>
  <c r="BH406" i="1"/>
  <c r="BC1123" i="1"/>
  <c r="BE1123" i="1"/>
  <c r="BU224" i="1"/>
  <c r="BW224" i="1"/>
  <c r="BX1084" i="1"/>
  <c r="BZ1084" i="1"/>
  <c r="CD671" i="1"/>
  <c r="CF671" i="1"/>
  <c r="BZ667" i="1"/>
  <c r="BX667" i="1"/>
  <c r="CA1414" i="1"/>
  <c r="CC1414" i="1"/>
  <c r="CS940" i="1"/>
  <c r="CV940" i="1"/>
  <c r="BK1380" i="1"/>
  <c r="BI1380" i="1"/>
  <c r="CJ1175" i="1"/>
  <c r="CL1175" i="1"/>
  <c r="BC1184" i="1"/>
  <c r="BE1184" i="1"/>
  <c r="BC404" i="1"/>
  <c r="BE404" i="1"/>
  <c r="BX421" i="1"/>
  <c r="BZ421" i="1"/>
  <c r="BR973" i="1"/>
  <c r="BT973" i="1"/>
  <c r="CA355" i="1"/>
  <c r="CC355" i="1"/>
  <c r="CS1212" i="1"/>
  <c r="CV1212" i="1"/>
  <c r="CJ498" i="1"/>
  <c r="CL498" i="1"/>
  <c r="BU1353" i="1"/>
  <c r="BW1353" i="1"/>
  <c r="BC380" i="1"/>
  <c r="BE380" i="1"/>
  <c r="BF413" i="1"/>
  <c r="BH413" i="1"/>
  <c r="BX404" i="1"/>
  <c r="BZ404" i="1"/>
  <c r="BU421" i="1"/>
  <c r="BW421" i="1"/>
  <c r="CS973" i="1"/>
  <c r="CV973" i="1"/>
  <c r="BX355" i="1"/>
  <c r="BZ355" i="1"/>
  <c r="BI1212" i="1"/>
  <c r="BK1212" i="1"/>
  <c r="BC498" i="1"/>
  <c r="BE498" i="1"/>
  <c r="BU1381" i="1"/>
  <c r="BW1381" i="1"/>
  <c r="CS380" i="1"/>
  <c r="CV380" i="1"/>
  <c r="BU413" i="1"/>
  <c r="BW413" i="1"/>
  <c r="CJ230" i="1"/>
  <c r="CL230" i="1"/>
  <c r="BC461" i="1"/>
  <c r="BE461" i="1"/>
  <c r="BF1116" i="1"/>
  <c r="BH1116" i="1"/>
  <c r="BW665" i="1"/>
  <c r="BU665" i="1"/>
  <c r="CS1197" i="1"/>
  <c r="CV1197" i="1"/>
  <c r="BU1175" i="1"/>
  <c r="BW1175" i="1"/>
  <c r="BI970" i="1"/>
  <c r="BK970" i="1"/>
  <c r="BT674" i="1"/>
  <c r="BR674" i="1"/>
  <c r="BI706" i="1"/>
  <c r="BK706" i="1"/>
  <c r="BH668" i="1"/>
  <c r="BF668" i="1"/>
  <c r="CS674" i="1"/>
  <c r="CV674" i="1"/>
  <c r="BH706" i="1"/>
  <c r="BF706" i="1"/>
  <c r="BC674" i="1"/>
  <c r="BE674" i="1"/>
  <c r="CD574" i="1"/>
  <c r="CF574" i="1"/>
  <c r="BC702" i="1"/>
  <c r="BE702" i="1"/>
  <c r="CJ625" i="1"/>
  <c r="CL625" i="1"/>
  <c r="BQ1441" i="1" l="1"/>
  <c r="BM621" i="1"/>
  <c r="BN1378" i="1"/>
  <c r="BQ1378" i="1" s="1"/>
  <c r="BM710" i="1"/>
  <c r="BL710" i="1" s="1"/>
  <c r="BB1364" i="1"/>
  <c r="BN623" i="1"/>
  <c r="BQ623" i="1" s="1"/>
  <c r="BM1377" i="1"/>
  <c r="BL1377" i="1" s="1"/>
  <c r="BA1329" i="1"/>
  <c r="AZ1329" i="1" s="1"/>
  <c r="BA969" i="1"/>
  <c r="AZ969" i="1" s="1"/>
  <c r="BN1339" i="1"/>
  <c r="BQ1339" i="1" s="1"/>
  <c r="BN1101" i="1"/>
  <c r="BQ1101" i="1" s="1"/>
  <c r="BM1261" i="1"/>
  <c r="BL1261" i="1" s="1"/>
  <c r="BA534" i="1"/>
  <c r="AZ534" i="1" s="1"/>
  <c r="BA677" i="1"/>
  <c r="AZ677" i="1" s="1"/>
  <c r="BM1196" i="1"/>
  <c r="BL1196" i="1" s="1"/>
  <c r="BN1188" i="1"/>
  <c r="BQ1188" i="1" s="1"/>
  <c r="BN621" i="1"/>
  <c r="BQ621" i="1" s="1"/>
  <c r="BB857" i="1"/>
  <c r="BM1188" i="1"/>
  <c r="BL1188" i="1" s="1"/>
  <c r="BA1426" i="1"/>
  <c r="AZ1426" i="1" s="1"/>
  <c r="BA1415" i="1"/>
  <c r="AZ1415" i="1" s="1"/>
  <c r="BM1364" i="1"/>
  <c r="BL1364" i="1" s="1"/>
  <c r="BA533" i="1"/>
  <c r="AZ533" i="1" s="1"/>
  <c r="BN1343" i="1"/>
  <c r="BQ1343" i="1" s="1"/>
  <c r="BB1360" i="1"/>
  <c r="BA857" i="1"/>
  <c r="AZ857" i="1" s="1"/>
  <c r="BB956" i="1"/>
  <c r="BN675" i="1"/>
  <c r="BQ675" i="1" s="1"/>
  <c r="BN630" i="1"/>
  <c r="BQ630" i="1" s="1"/>
  <c r="BA1367" i="1"/>
  <c r="AZ1367" i="1" s="1"/>
  <c r="BB658" i="1"/>
  <c r="BM1386" i="1"/>
  <c r="BP1386" i="1" s="1"/>
  <c r="BO1386" i="1" s="1"/>
  <c r="BM663" i="1"/>
  <c r="BP663" i="1" s="1"/>
  <c r="BO663" i="1" s="1"/>
  <c r="BM1385" i="1"/>
  <c r="BL1385" i="1" s="1"/>
  <c r="BB672" i="1"/>
  <c r="BN1386" i="1"/>
  <c r="BQ1386" i="1" s="1"/>
  <c r="BM533" i="1"/>
  <c r="BL533" i="1" s="1"/>
  <c r="BB1361" i="1"/>
  <c r="BM642" i="1"/>
  <c r="BL642" i="1" s="1"/>
  <c r="BB630" i="1"/>
  <c r="BM658" i="1"/>
  <c r="BL658" i="1" s="1"/>
  <c r="BB682" i="1"/>
  <c r="BA1351" i="1"/>
  <c r="AZ1351" i="1" s="1"/>
  <c r="BM664" i="1"/>
  <c r="BL664" i="1" s="1"/>
  <c r="BM622" i="1"/>
  <c r="AX622" i="1" s="1"/>
  <c r="AW622" i="1" s="1"/>
  <c r="BN656" i="1"/>
  <c r="BQ656" i="1" s="1"/>
  <c r="BM1277" i="1"/>
  <c r="BP1277" i="1" s="1"/>
  <c r="BO1277" i="1" s="1"/>
  <c r="BA1087" i="1"/>
  <c r="AZ1087" i="1" s="1"/>
  <c r="BB661" i="1"/>
  <c r="BB1188" i="1"/>
  <c r="BN510" i="1"/>
  <c r="BQ510" i="1" s="1"/>
  <c r="BM1338" i="1"/>
  <c r="BP1338" i="1" s="1"/>
  <c r="BO1338" i="1" s="1"/>
  <c r="BN566" i="1"/>
  <c r="BQ566" i="1" s="1"/>
  <c r="BB577" i="1"/>
  <c r="BB1402" i="1"/>
  <c r="BB613" i="1"/>
  <c r="BM594" i="1"/>
  <c r="BL594" i="1" s="1"/>
  <c r="BA1330" i="1"/>
  <c r="AZ1330" i="1" s="1"/>
  <c r="BM633" i="1"/>
  <c r="BL633" i="1" s="1"/>
  <c r="BA1392" i="1"/>
  <c r="AZ1392" i="1" s="1"/>
  <c r="BB645" i="1"/>
  <c r="BM1378" i="1"/>
  <c r="BL1378" i="1" s="1"/>
  <c r="BA1397" i="1"/>
  <c r="AZ1397" i="1" s="1"/>
  <c r="BB1344" i="1"/>
  <c r="BM732" i="1"/>
  <c r="AX732" i="1" s="1"/>
  <c r="AW732" i="1" s="1"/>
  <c r="BA1371" i="1"/>
  <c r="AZ1371" i="1" s="1"/>
  <c r="BA1281" i="1"/>
  <c r="AZ1281" i="1" s="1"/>
  <c r="BA1444" i="1"/>
  <c r="AX1444" i="1" s="1"/>
  <c r="AW1444" i="1" s="1"/>
  <c r="BB1386" i="1"/>
  <c r="BA618" i="1"/>
  <c r="AZ618" i="1" s="1"/>
  <c r="BM652" i="1"/>
  <c r="BL652" i="1" s="1"/>
  <c r="BA656" i="1"/>
  <c r="AZ656" i="1" s="1"/>
  <c r="BB1321" i="1"/>
  <c r="BB1254" i="1"/>
  <c r="BB1362" i="1"/>
  <c r="BN1442" i="1"/>
  <c r="BQ1442" i="1" s="1"/>
  <c r="BN1299" i="1"/>
  <c r="BQ1299" i="1" s="1"/>
  <c r="BA661" i="1"/>
  <c r="AZ661" i="1" s="1"/>
  <c r="BB1342" i="1"/>
  <c r="BB1391" i="1"/>
  <c r="BB677" i="1"/>
  <c r="BM475" i="1"/>
  <c r="BL475" i="1" s="1"/>
  <c r="BN729" i="1"/>
  <c r="BQ729" i="1" s="1"/>
  <c r="BB588" i="1"/>
  <c r="BN1325" i="1"/>
  <c r="BQ1325" i="1" s="1"/>
  <c r="BB1403" i="1"/>
  <c r="BB685" i="1"/>
  <c r="BN1426" i="1"/>
  <c r="BQ1426" i="1" s="1"/>
  <c r="BN692" i="1"/>
  <c r="BQ692" i="1" s="1"/>
  <c r="BN710" i="1"/>
  <c r="BQ710" i="1" s="1"/>
  <c r="BA398" i="1"/>
  <c r="AZ398" i="1" s="1"/>
  <c r="BM1391" i="1"/>
  <c r="BL1391" i="1" s="1"/>
  <c r="BB1426" i="1"/>
  <c r="BB510" i="1"/>
  <c r="BA510" i="1"/>
  <c r="AZ510" i="1" s="1"/>
  <c r="BM682" i="1"/>
  <c r="BL682" i="1" s="1"/>
  <c r="BB1261" i="1"/>
  <c r="BM1339" i="1"/>
  <c r="BP1339" i="1" s="1"/>
  <c r="BO1339" i="1" s="1"/>
  <c r="BB1300" i="1"/>
  <c r="BM656" i="1"/>
  <c r="BP656" i="1" s="1"/>
  <c r="BO656" i="1" s="1"/>
  <c r="BA630" i="1"/>
  <c r="AZ630" i="1" s="1"/>
  <c r="BM1426" i="1"/>
  <c r="BP1426" i="1" s="1"/>
  <c r="BO1426" i="1" s="1"/>
  <c r="BM680" i="1"/>
  <c r="BL680" i="1" s="1"/>
  <c r="BA1317" i="1"/>
  <c r="AZ1317" i="1" s="1"/>
  <c r="BA1188" i="1"/>
  <c r="BA577" i="1"/>
  <c r="AZ577" i="1" s="1"/>
  <c r="BA1321" i="1"/>
  <c r="AZ1321" i="1" s="1"/>
  <c r="BA1402" i="1"/>
  <c r="AZ1402" i="1" s="1"/>
  <c r="BA613" i="1"/>
  <c r="AZ613" i="1" s="1"/>
  <c r="BA1362" i="1"/>
  <c r="AZ1362" i="1" s="1"/>
  <c r="BB1330" i="1"/>
  <c r="BA1349" i="1"/>
  <c r="AX1349" i="1" s="1"/>
  <c r="AW1349" i="1" s="1"/>
  <c r="BN633" i="1"/>
  <c r="BQ633" i="1" s="1"/>
  <c r="BA576" i="1"/>
  <c r="AZ576" i="1" s="1"/>
  <c r="BA588" i="1"/>
  <c r="AZ588" i="1" s="1"/>
  <c r="BA1261" i="1"/>
  <c r="AZ1261" i="1" s="1"/>
  <c r="BM1325" i="1"/>
  <c r="BL1325" i="1" s="1"/>
  <c r="BN603" i="1"/>
  <c r="BQ603" i="1" s="1"/>
  <c r="BN1370" i="1"/>
  <c r="BQ1370" i="1" s="1"/>
  <c r="BA680" i="1"/>
  <c r="AZ680" i="1" s="1"/>
  <c r="BM1304" i="1"/>
  <c r="BL1304" i="1" s="1"/>
  <c r="BN1254" i="1"/>
  <c r="BM1371" i="1"/>
  <c r="BB533" i="1"/>
  <c r="BN661" i="1"/>
  <c r="BQ661" i="1" s="1"/>
  <c r="BN640" i="1"/>
  <c r="BQ640" i="1" s="1"/>
  <c r="BA694" i="1"/>
  <c r="AZ694" i="1" s="1"/>
  <c r="BN576" i="1"/>
  <c r="BQ576" i="1" s="1"/>
  <c r="BN1394" i="1"/>
  <c r="BQ1394" i="1" s="1"/>
  <c r="BA559" i="1"/>
  <c r="AZ559" i="1" s="1"/>
  <c r="BA729" i="1"/>
  <c r="AZ729" i="1" s="1"/>
  <c r="BB732" i="1"/>
  <c r="BA582" i="1"/>
  <c r="AZ582" i="1" s="1"/>
  <c r="BA1417" i="1"/>
  <c r="AZ1417" i="1" s="1"/>
  <c r="BA1343" i="1"/>
  <c r="AZ1343" i="1" s="1"/>
  <c r="BM1411" i="1"/>
  <c r="BP1411" i="1" s="1"/>
  <c r="BO1411" i="1" s="1"/>
  <c r="BB600" i="1"/>
  <c r="BN586" i="1"/>
  <c r="BQ586" i="1" s="1"/>
  <c r="BA1344" i="1"/>
  <c r="AZ1344" i="1" s="1"/>
  <c r="BB1392" i="1"/>
  <c r="BN1314" i="1"/>
  <c r="BQ1314" i="1" s="1"/>
  <c r="BM600" i="1"/>
  <c r="BP600" i="1" s="1"/>
  <c r="BO600" i="1" s="1"/>
  <c r="BM1413" i="1"/>
  <c r="BL1413" i="1" s="1"/>
  <c r="BA1338" i="1"/>
  <c r="BA1336" i="1"/>
  <c r="AZ1336" i="1" s="1"/>
  <c r="BA1361" i="1"/>
  <c r="AZ1361" i="1" s="1"/>
  <c r="BN642" i="1"/>
  <c r="BQ642" i="1" s="1"/>
  <c r="BM566" i="1"/>
  <c r="BP566" i="1" s="1"/>
  <c r="BO566" i="1" s="1"/>
  <c r="BM587" i="1"/>
  <c r="BP587" i="1" s="1"/>
  <c r="BO587" i="1" s="1"/>
  <c r="BB1394" i="1"/>
  <c r="AZ603" i="1"/>
  <c r="AZ1101" i="1"/>
  <c r="BM1343" i="1"/>
  <c r="BL1417" i="1"/>
  <c r="BP1417" i="1"/>
  <c r="BO1417" i="1" s="1"/>
  <c r="BL1390" i="1"/>
  <c r="BP1390" i="1"/>
  <c r="BO1390" i="1" s="1"/>
  <c r="AZ1368" i="1"/>
  <c r="BM653" i="1"/>
  <c r="BN1261" i="1"/>
  <c r="BQ1261" i="1" s="1"/>
  <c r="AZ594" i="1"/>
  <c r="BB603" i="1"/>
  <c r="BB534" i="1"/>
  <c r="BL621" i="1"/>
  <c r="BP621" i="1"/>
  <c r="BO621" i="1" s="1"/>
  <c r="BM565" i="1"/>
  <c r="BA658" i="1"/>
  <c r="AZ710" i="1"/>
  <c r="AZ1314" i="1"/>
  <c r="BN1385" i="1"/>
  <c r="BQ1385" i="1" s="1"/>
  <c r="BM675" i="1"/>
  <c r="BL675" i="1" s="1"/>
  <c r="BP623" i="1"/>
  <c r="BO623" i="1" s="1"/>
  <c r="BL623" i="1"/>
  <c r="BN533" i="1"/>
  <c r="BQ533" i="1" s="1"/>
  <c r="AZ1406" i="1"/>
  <c r="BA704" i="1"/>
  <c r="BN622" i="1"/>
  <c r="BQ622" i="1" s="1"/>
  <c r="BN651" i="1"/>
  <c r="BQ651" i="1" s="1"/>
  <c r="BN1196" i="1"/>
  <c r="BQ1196" i="1" s="1"/>
  <c r="BB1371" i="1"/>
  <c r="BB1444" i="1"/>
  <c r="BA1386" i="1"/>
  <c r="BN1338" i="1"/>
  <c r="BQ1338" i="1" s="1"/>
  <c r="BN652" i="1"/>
  <c r="BQ652" i="1" s="1"/>
  <c r="BN1285" i="1"/>
  <c r="BQ1285" i="1" s="1"/>
  <c r="BM513" i="1"/>
  <c r="BA1384" i="1"/>
  <c r="BB1281" i="1"/>
  <c r="BM1384" i="1"/>
  <c r="BM1299" i="1"/>
  <c r="BM514" i="1"/>
  <c r="BA1342" i="1"/>
  <c r="BN588" i="1"/>
  <c r="BQ588" i="1" s="1"/>
  <c r="BA1391" i="1"/>
  <c r="BA1326" i="1"/>
  <c r="BB704" i="1"/>
  <c r="BB593" i="1"/>
  <c r="BM729" i="1"/>
  <c r="BM548" i="1"/>
  <c r="BA1358" i="1"/>
  <c r="BN676" i="1"/>
  <c r="BQ676" i="1" s="1"/>
  <c r="BB1314" i="1"/>
  <c r="BM1358" i="1"/>
  <c r="BB1410" i="1"/>
  <c r="BB666" i="1"/>
  <c r="BB1345" i="1"/>
  <c r="AZ1339" i="1"/>
  <c r="BN1321" i="1"/>
  <c r="BQ1321" i="1" s="1"/>
  <c r="BB1277" i="1"/>
  <c r="BB1316" i="1"/>
  <c r="AY1316" i="1" s="1"/>
  <c r="BN677" i="1"/>
  <c r="BQ677" i="1" s="1"/>
  <c r="BB1441" i="1"/>
  <c r="AY1441" i="1" s="1"/>
  <c r="BA1254" i="1"/>
  <c r="BM1331" i="1"/>
  <c r="BM510" i="1"/>
  <c r="BN1397" i="1"/>
  <c r="BQ1397" i="1" s="1"/>
  <c r="BM733" i="1"/>
  <c r="BN1276" i="1"/>
  <c r="BQ1276" i="1" s="1"/>
  <c r="BN544" i="1"/>
  <c r="BQ544" i="1" s="1"/>
  <c r="BA1393" i="1"/>
  <c r="BB1385" i="1"/>
  <c r="BN1413" i="1"/>
  <c r="BQ1413" i="1" s="1"/>
  <c r="BM577" i="1"/>
  <c r="BM1360" i="1"/>
  <c r="BB1378" i="1"/>
  <c r="BM630" i="1"/>
  <c r="BB548" i="1"/>
  <c r="BL1444" i="1"/>
  <c r="BP1444" i="1"/>
  <c r="BO1444" i="1" s="1"/>
  <c r="BN694" i="1"/>
  <c r="BQ694" i="1" s="1"/>
  <c r="BA1325" i="1"/>
  <c r="BB653" i="1"/>
  <c r="AY653" i="1" s="1"/>
  <c r="AZ514" i="1"/>
  <c r="BB520" i="1"/>
  <c r="BM694" i="1"/>
  <c r="BA651" i="1"/>
  <c r="BN1358" i="1"/>
  <c r="BQ1358" i="1" s="1"/>
  <c r="BA1376" i="1"/>
  <c r="BM644" i="1"/>
  <c r="BA475" i="1"/>
  <c r="BM582" i="1"/>
  <c r="BB1325" i="1"/>
  <c r="BA666" i="1"/>
  <c r="BN520" i="1"/>
  <c r="BQ520" i="1" s="1"/>
  <c r="BM1370" i="1"/>
  <c r="BA688" i="1"/>
  <c r="BM672" i="1"/>
  <c r="BM586" i="1"/>
  <c r="BB680" i="1"/>
  <c r="BM1321" i="1"/>
  <c r="BA1276" i="1"/>
  <c r="BA1277" i="1"/>
  <c r="BA733" i="1"/>
  <c r="BM1330" i="1"/>
  <c r="BM1101" i="1"/>
  <c r="BM1361" i="1"/>
  <c r="BA653" i="1"/>
  <c r="BM613" i="1"/>
  <c r="BM688" i="1"/>
  <c r="BM677" i="1"/>
  <c r="BA1441" i="1"/>
  <c r="BM640" i="1"/>
  <c r="BN1268" i="1"/>
  <c r="BQ1268" i="1" s="1"/>
  <c r="BN1331" i="1"/>
  <c r="BQ1331" i="1" s="1"/>
  <c r="BN733" i="1"/>
  <c r="BQ733" i="1" s="1"/>
  <c r="BM1276" i="1"/>
  <c r="BM636" i="1"/>
  <c r="BB729" i="1"/>
  <c r="BB1393" i="1"/>
  <c r="BB582" i="1"/>
  <c r="BA1385" i="1"/>
  <c r="BN577" i="1"/>
  <c r="BQ577" i="1" s="1"/>
  <c r="BN1360" i="1"/>
  <c r="BQ1360" i="1" s="1"/>
  <c r="BA1360" i="1"/>
  <c r="BA1378" i="1"/>
  <c r="BB1417" i="1"/>
  <c r="AY1417" i="1" s="1"/>
  <c r="BA652" i="1"/>
  <c r="BA599" i="1"/>
  <c r="AZ622" i="1"/>
  <c r="AZ548" i="1"/>
  <c r="BP1389" i="1"/>
  <c r="BO1389" i="1" s="1"/>
  <c r="BL1389" i="1"/>
  <c r="BM520" i="1"/>
  <c r="BN1286" i="1"/>
  <c r="BQ1286" i="1" s="1"/>
  <c r="BN644" i="1"/>
  <c r="BQ644" i="1" s="1"/>
  <c r="BN1328" i="1"/>
  <c r="BQ1328" i="1" s="1"/>
  <c r="BN1330" i="1"/>
  <c r="BQ1330" i="1" s="1"/>
  <c r="BA1419" i="1"/>
  <c r="BB599" i="1"/>
  <c r="BB559" i="1"/>
  <c r="BN1362" i="1"/>
  <c r="BQ1362" i="1" s="1"/>
  <c r="BN539" i="1"/>
  <c r="BQ539" i="1" s="1"/>
  <c r="BN1391" i="1"/>
  <c r="BQ1391" i="1" s="1"/>
  <c r="BB513" i="1"/>
  <c r="BB1317" i="1"/>
  <c r="BN728" i="1"/>
  <c r="BQ728" i="1" s="1"/>
  <c r="BN1322" i="1"/>
  <c r="BQ1322" i="1" s="1"/>
  <c r="BN1371" i="1"/>
  <c r="BQ1371" i="1" s="1"/>
  <c r="BB1196" i="1"/>
  <c r="BB1286" i="1"/>
  <c r="BN613" i="1"/>
  <c r="BQ613" i="1" s="1"/>
  <c r="BA544" i="1"/>
  <c r="BM1394" i="1"/>
  <c r="BN513" i="1"/>
  <c r="BQ513" i="1" s="1"/>
  <c r="AZ1403" i="1"/>
  <c r="BM1419" i="1"/>
  <c r="BM1322" i="1"/>
  <c r="BM1424" i="1"/>
  <c r="AX1424" i="1" s="1"/>
  <c r="AW1424" i="1" s="1"/>
  <c r="BA1411" i="1"/>
  <c r="BM1187" i="1"/>
  <c r="BN1400" i="1"/>
  <c r="BQ1400" i="1" s="1"/>
  <c r="BN1304" i="1"/>
  <c r="BQ1304" i="1" s="1"/>
  <c r="BM1314" i="1"/>
  <c r="AX1314" i="1" s="1"/>
  <c r="AW1314" i="1" s="1"/>
  <c r="BM552" i="1"/>
  <c r="BN1336" i="1"/>
  <c r="BQ1336" i="1" s="1"/>
  <c r="BB1231" i="1"/>
  <c r="BB552" i="1"/>
  <c r="BA1331" i="1"/>
  <c r="BB623" i="1"/>
  <c r="BB644" i="1"/>
  <c r="BA676" i="1"/>
  <c r="BN1403" i="1"/>
  <c r="BQ1403" i="1" s="1"/>
  <c r="BM699" i="1"/>
  <c r="BM1286" i="1"/>
  <c r="BB565" i="1"/>
  <c r="BN1345" i="1"/>
  <c r="BQ1345" i="1" s="1"/>
  <c r="BM1441" i="1"/>
  <c r="BB1299" i="1"/>
  <c r="BA586" i="1"/>
  <c r="BN593" i="1"/>
  <c r="BQ593" i="1" s="1"/>
  <c r="BB728" i="1"/>
  <c r="BN1357" i="1"/>
  <c r="BQ1357" i="1" s="1"/>
  <c r="BN1369" i="1"/>
  <c r="BQ1369" i="1" s="1"/>
  <c r="BB652" i="1"/>
  <c r="BN1281" i="1"/>
  <c r="BQ1281" i="1" s="1"/>
  <c r="BA636" i="1"/>
  <c r="BA675" i="1"/>
  <c r="BA1442" i="1"/>
  <c r="BA1268" i="1"/>
  <c r="BM539" i="1"/>
  <c r="BM1367" i="1"/>
  <c r="BN553" i="1"/>
  <c r="BQ553" i="1" s="1"/>
  <c r="BM1393" i="1"/>
  <c r="BN1389" i="1"/>
  <c r="BQ1389" i="1" s="1"/>
  <c r="BB1347" i="1"/>
  <c r="BM651" i="1"/>
  <c r="BB675" i="1"/>
  <c r="BN559" i="1"/>
  <c r="BQ559" i="1" s="1"/>
  <c r="BA587" i="1"/>
  <c r="AZ587" i="1" s="1"/>
  <c r="BN639" i="1"/>
  <c r="BQ639" i="1" s="1"/>
  <c r="BM534" i="1"/>
  <c r="BB1357" i="1"/>
  <c r="BA633" i="1"/>
  <c r="BM1316" i="1"/>
  <c r="BN599" i="1"/>
  <c r="BQ599" i="1" s="1"/>
  <c r="BB1415" i="1"/>
  <c r="BM1087" i="1"/>
  <c r="BM686" i="1"/>
  <c r="BB686" i="1"/>
  <c r="BN1303" i="1"/>
  <c r="BQ1303" i="1" s="1"/>
  <c r="BA539" i="1"/>
  <c r="BB694" i="1"/>
  <c r="BN1376" i="1"/>
  <c r="BQ1376" i="1" s="1"/>
  <c r="BN732" i="1"/>
  <c r="BQ732" i="1" s="1"/>
  <c r="BB642" i="1"/>
  <c r="BN1406" i="1"/>
  <c r="BQ1406" i="1" s="1"/>
  <c r="BN1344" i="1"/>
  <c r="BQ1344" i="1" s="1"/>
  <c r="BA520" i="1"/>
  <c r="BB475" i="1"/>
  <c r="BB1087" i="1"/>
  <c r="BM593" i="1"/>
  <c r="BB1276" i="1"/>
  <c r="BB1349" i="1"/>
  <c r="BN1392" i="1"/>
  <c r="BQ1392" i="1" s="1"/>
  <c r="BN600" i="1"/>
  <c r="BQ600" i="1" s="1"/>
  <c r="BM544" i="1"/>
  <c r="BN1377" i="1"/>
  <c r="BQ1377" i="1" s="1"/>
  <c r="BA513" i="1"/>
  <c r="BM728" i="1"/>
  <c r="BA1196" i="1"/>
  <c r="AZ732" i="1"/>
  <c r="BA1286" i="1"/>
  <c r="BM1402" i="1"/>
  <c r="BB544" i="1"/>
  <c r="BA1231" i="1"/>
  <c r="BP1342" i="1"/>
  <c r="BO1342" i="1" s="1"/>
  <c r="BL1342" i="1"/>
  <c r="BA1364" i="1"/>
  <c r="BN1187" i="1"/>
  <c r="BQ1187" i="1" s="1"/>
  <c r="BM1254" i="1"/>
  <c r="BM1406" i="1"/>
  <c r="AX1406" i="1" s="1"/>
  <c r="AW1406" i="1" s="1"/>
  <c r="BA552" i="1"/>
  <c r="BB1331" i="1"/>
  <c r="BA623" i="1"/>
  <c r="BA644" i="1"/>
  <c r="BM1392" i="1"/>
  <c r="BB676" i="1"/>
  <c r="BN699" i="1"/>
  <c r="BQ699" i="1" s="1"/>
  <c r="BA565" i="1"/>
  <c r="BM1345" i="1"/>
  <c r="AX1345" i="1" s="1"/>
  <c r="AW1345" i="1" s="1"/>
  <c r="BA593" i="1"/>
  <c r="BA1394" i="1"/>
  <c r="BA1299" i="1"/>
  <c r="BA728" i="1"/>
  <c r="BM1357" i="1"/>
  <c r="BM1344" i="1"/>
  <c r="BM1281" i="1"/>
  <c r="BA600" i="1"/>
  <c r="BB636" i="1"/>
  <c r="AY636" i="1" s="1"/>
  <c r="BM1442" i="1"/>
  <c r="BM553" i="1"/>
  <c r="BA1347" i="1"/>
  <c r="BB587" i="1"/>
  <c r="BM639" i="1"/>
  <c r="BN534" i="1"/>
  <c r="BQ534" i="1" s="1"/>
  <c r="BA1357" i="1"/>
  <c r="BM599" i="1"/>
  <c r="BN686" i="1"/>
  <c r="BQ686" i="1" s="1"/>
  <c r="BA686" i="1"/>
  <c r="BM1303" i="1"/>
  <c r="BB539" i="1"/>
  <c r="BN1342" i="1"/>
  <c r="BQ1342" i="1" s="1"/>
  <c r="BA1410" i="1"/>
  <c r="BN1349" i="1"/>
  <c r="BQ1349" i="1" s="1"/>
  <c r="BM1376" i="1"/>
  <c r="BA642" i="1"/>
  <c r="AZ1290" i="1"/>
  <c r="BP1349" i="1"/>
  <c r="BO1349" i="1" s="1"/>
  <c r="BL1349" i="1"/>
  <c r="BN514" i="1"/>
  <c r="BQ514" i="1" s="1"/>
  <c r="BM588" i="1"/>
  <c r="BB1326" i="1"/>
  <c r="BN1419" i="1"/>
  <c r="BQ1419" i="1" s="1"/>
  <c r="BB1358" i="1"/>
  <c r="BA702" i="1"/>
  <c r="AZ702" i="1" s="1"/>
  <c r="BN664" i="1"/>
  <c r="BQ664" i="1" s="1"/>
  <c r="BB1376" i="1"/>
  <c r="BN658" i="1"/>
  <c r="BQ658" i="1" s="1"/>
  <c r="BN672" i="1"/>
  <c r="BQ672" i="1" s="1"/>
  <c r="BN1424" i="1"/>
  <c r="BQ1424" i="1" s="1"/>
  <c r="BN552" i="1"/>
  <c r="BQ552" i="1" s="1"/>
  <c r="BA682" i="1"/>
  <c r="BN475" i="1"/>
  <c r="BQ475" i="1" s="1"/>
  <c r="BM1268" i="1"/>
  <c r="BA1370" i="1"/>
  <c r="BN548" i="1"/>
  <c r="BQ548" i="1" s="1"/>
  <c r="BB1369" i="1"/>
  <c r="BA1413" i="1"/>
  <c r="BB1411" i="1"/>
  <c r="BN1277" i="1"/>
  <c r="BQ1277" i="1" s="1"/>
  <c r="BN587" i="1"/>
  <c r="BQ587" i="1" s="1"/>
  <c r="BM603" i="1"/>
  <c r="BM1400" i="1"/>
  <c r="BA1328" i="1"/>
  <c r="BA1303" i="1"/>
  <c r="AZ1304" i="1"/>
  <c r="BA1412" i="1"/>
  <c r="BN1367" i="1"/>
  <c r="BQ1367" i="1" s="1"/>
  <c r="BM1410" i="1"/>
  <c r="BN1087" i="1"/>
  <c r="BQ1087" i="1" s="1"/>
  <c r="BB1336" i="1"/>
  <c r="BB566" i="1"/>
  <c r="BM1336" i="1"/>
  <c r="BM1317" i="1"/>
  <c r="BN1415" i="1"/>
  <c r="BQ1415" i="1" s="1"/>
  <c r="BB621" i="1"/>
  <c r="BM1300" i="1"/>
  <c r="BN1231" i="1"/>
  <c r="BQ1231" i="1" s="1"/>
  <c r="BM559" i="1"/>
  <c r="BN618" i="1"/>
  <c r="BQ618" i="1" s="1"/>
  <c r="BB1268" i="1"/>
  <c r="BA639" i="1"/>
  <c r="AZ639" i="1" s="1"/>
  <c r="BN1411" i="1"/>
  <c r="BQ1411" i="1" s="1"/>
  <c r="BM1328" i="1"/>
  <c r="BA1377" i="1"/>
  <c r="BN682" i="1"/>
  <c r="BQ682" i="1" s="1"/>
  <c r="BA664" i="1"/>
  <c r="BB1304" i="1"/>
  <c r="BN680" i="1"/>
  <c r="BQ680" i="1" s="1"/>
  <c r="BB663" i="1"/>
  <c r="BA1390" i="1"/>
  <c r="BB688" i="1"/>
  <c r="BA1389" i="1"/>
  <c r="BN688" i="1"/>
  <c r="BQ688" i="1" s="1"/>
  <c r="BM1403" i="1"/>
  <c r="AX1403" i="1" s="1"/>
  <c r="AW1403" i="1" s="1"/>
  <c r="BB1322" i="1"/>
  <c r="BN663" i="1"/>
  <c r="BQ663" i="1" s="1"/>
  <c r="BN1412" i="1"/>
  <c r="BQ1412" i="1" s="1"/>
  <c r="BB1379" i="1"/>
  <c r="BN1361" i="1"/>
  <c r="BQ1361" i="1" s="1"/>
  <c r="BN1368" i="1"/>
  <c r="BQ1368" i="1" s="1"/>
  <c r="BB1285" i="1"/>
  <c r="BB1389" i="1"/>
  <c r="BB576" i="1"/>
  <c r="BA640" i="1"/>
  <c r="BB1400" i="1"/>
  <c r="BN1430" i="1"/>
  <c r="BQ1430" i="1" s="1"/>
  <c r="BN1364" i="1"/>
  <c r="BQ1364" i="1" s="1"/>
  <c r="BN1379" i="1"/>
  <c r="BQ1379" i="1" s="1"/>
  <c r="BN1326" i="1"/>
  <c r="BQ1326" i="1" s="1"/>
  <c r="BA1285" i="1"/>
  <c r="BA628" i="1"/>
  <c r="BN1347" i="1"/>
  <c r="BQ1347" i="1" s="1"/>
  <c r="BA699" i="1"/>
  <c r="BM1290" i="1"/>
  <c r="AX1290" i="1" s="1"/>
  <c r="AW1290" i="1" s="1"/>
  <c r="BB1430" i="1"/>
  <c r="BM1415" i="1"/>
  <c r="BN565" i="1"/>
  <c r="BQ565" i="1" s="1"/>
  <c r="BN628" i="1"/>
  <c r="BQ628" i="1" s="1"/>
  <c r="BM704" i="1"/>
  <c r="BN1393" i="1"/>
  <c r="BQ1393" i="1" s="1"/>
  <c r="BB1368" i="1"/>
  <c r="BA1369" i="1"/>
  <c r="BB710" i="1"/>
  <c r="BM676" i="1"/>
  <c r="BB1367" i="1"/>
  <c r="BN1402" i="1"/>
  <c r="BQ1402" i="1" s="1"/>
  <c r="BN594" i="1"/>
  <c r="BQ594" i="1" s="1"/>
  <c r="BA645" i="1"/>
  <c r="BA692" i="1"/>
  <c r="BN645" i="1"/>
  <c r="BQ645" i="1" s="1"/>
  <c r="AZ1345" i="1"/>
  <c r="BM1285" i="1"/>
  <c r="BB1384" i="1"/>
  <c r="BN666" i="1"/>
  <c r="BQ666" i="1" s="1"/>
  <c r="BN1444" i="1"/>
  <c r="BQ1444" i="1" s="1"/>
  <c r="BL661" i="1"/>
  <c r="BP661" i="1"/>
  <c r="BO661" i="1" s="1"/>
  <c r="BN582" i="1"/>
  <c r="BQ582" i="1" s="1"/>
  <c r="BM692" i="1"/>
  <c r="BM576" i="1"/>
  <c r="BB1290" i="1"/>
  <c r="BN1384" i="1"/>
  <c r="BQ1384" i="1" s="1"/>
  <c r="BB1413" i="1"/>
  <c r="BA1379" i="1"/>
  <c r="AZ1379" i="1" s="1"/>
  <c r="AZ1424" i="1"/>
  <c r="BB1328" i="1"/>
  <c r="BB1303" i="1"/>
  <c r="BA1187" i="1"/>
  <c r="BN1410" i="1"/>
  <c r="BQ1410" i="1" s="1"/>
  <c r="BM1362" i="1"/>
  <c r="BA566" i="1"/>
  <c r="BN1317" i="1"/>
  <c r="BQ1317" i="1" s="1"/>
  <c r="BA621" i="1"/>
  <c r="BM645" i="1"/>
  <c r="BN1300" i="1"/>
  <c r="BQ1300" i="1" s="1"/>
  <c r="BM1231" i="1"/>
  <c r="BM618" i="1"/>
  <c r="BB639" i="1"/>
  <c r="BM1397" i="1"/>
  <c r="BM666" i="1"/>
  <c r="BB664" i="1"/>
  <c r="BM1369" i="1"/>
  <c r="BA663" i="1"/>
  <c r="BB1390" i="1"/>
  <c r="AY1390" i="1" s="1"/>
  <c r="BB1338" i="1"/>
  <c r="BA1316" i="1"/>
  <c r="BB733" i="1"/>
  <c r="BA1300" i="1"/>
  <c r="BA1322" i="1"/>
  <c r="BM1412" i="1"/>
  <c r="BM1368" i="1"/>
  <c r="BB640" i="1"/>
  <c r="BA1400" i="1"/>
  <c r="BM1430" i="1"/>
  <c r="BM1379" i="1"/>
  <c r="BM1326" i="1"/>
  <c r="BB628" i="1"/>
  <c r="BM1347" i="1"/>
  <c r="BA672" i="1"/>
  <c r="BB699" i="1"/>
  <c r="BN1290" i="1"/>
  <c r="BQ1290" i="1" s="1"/>
  <c r="BA1430" i="1"/>
  <c r="BM628" i="1"/>
  <c r="BN704" i="1"/>
  <c r="BQ704" i="1" s="1"/>
  <c r="BA553" i="1"/>
  <c r="BB692" i="1"/>
  <c r="BB1291" i="1"/>
  <c r="BA624" i="1"/>
  <c r="AZ624" i="1" s="1"/>
  <c r="BA973" i="1"/>
  <c r="AZ973" i="1" s="1"/>
  <c r="BA343" i="1"/>
  <c r="AZ343" i="1" s="1"/>
  <c r="BA716" i="1"/>
  <c r="AZ716" i="1" s="1"/>
  <c r="AX525" i="1"/>
  <c r="AW525" i="1" s="1"/>
  <c r="BN1332" i="1"/>
  <c r="BQ1332" i="1" s="1"/>
  <c r="BA1428" i="1"/>
  <c r="AZ1428" i="1" s="1"/>
  <c r="BA1291" i="1"/>
  <c r="AZ1291" i="1" s="1"/>
  <c r="BB969" i="1"/>
  <c r="BA1275" i="1"/>
  <c r="AZ1275" i="1" s="1"/>
  <c r="BB404" i="1"/>
  <c r="BB251" i="1"/>
  <c r="BB1329" i="1"/>
  <c r="BB973" i="1"/>
  <c r="BB987" i="1"/>
  <c r="BB149" i="1"/>
  <c r="BM1134" i="1"/>
  <c r="BL1134" i="1" s="1"/>
  <c r="BB1350" i="1"/>
  <c r="BA384" i="1"/>
  <c r="AZ384" i="1" s="1"/>
  <c r="BB1348" i="1"/>
  <c r="BP708" i="1"/>
  <c r="BO708" i="1" s="1"/>
  <c r="BA223" i="1"/>
  <c r="AZ223" i="1" s="1"/>
  <c r="BA1332" i="1"/>
  <c r="AZ1332" i="1" s="1"/>
  <c r="BA987" i="1"/>
  <c r="AZ987" i="1" s="1"/>
  <c r="BA492" i="1"/>
  <c r="BA149" i="1"/>
  <c r="BB1131" i="1"/>
  <c r="BA380" i="1"/>
  <c r="AZ380" i="1" s="1"/>
  <c r="BN1028" i="1"/>
  <c r="BQ1028" i="1" s="1"/>
  <c r="BA685" i="1"/>
  <c r="AZ685" i="1" s="1"/>
  <c r="BN468" i="1"/>
  <c r="BQ468" i="1" s="1"/>
  <c r="BB632" i="1"/>
  <c r="BN879" i="1"/>
  <c r="BQ879" i="1" s="1"/>
  <c r="BA251" i="1"/>
  <c r="AZ251" i="1" s="1"/>
  <c r="BB492" i="1"/>
  <c r="BB1123" i="1"/>
  <c r="BB456" i="1"/>
  <c r="BA956" i="1"/>
  <c r="AZ956" i="1" s="1"/>
  <c r="BA1221" i="1"/>
  <c r="AZ1221" i="1" s="1"/>
  <c r="BM324" i="1"/>
  <c r="BL324" i="1" s="1"/>
  <c r="BA362" i="1"/>
  <c r="AZ362" i="1" s="1"/>
  <c r="BB612" i="1"/>
  <c r="BM375" i="1"/>
  <c r="BP375" i="1" s="1"/>
  <c r="BO375" i="1" s="1"/>
  <c r="BM855" i="1"/>
  <c r="BL855" i="1" s="1"/>
  <c r="BN1365" i="1"/>
  <c r="BQ1365" i="1" s="1"/>
  <c r="BM1246" i="1"/>
  <c r="BL1246" i="1" s="1"/>
  <c r="BN625" i="1"/>
  <c r="BQ625" i="1" s="1"/>
  <c r="BA1353" i="1"/>
  <c r="AZ1353" i="1" s="1"/>
  <c r="BA1109" i="1"/>
  <c r="AZ1109" i="1" s="1"/>
  <c r="BB1382" i="1"/>
  <c r="BA974" i="1"/>
  <c r="BM404" i="1"/>
  <c r="BP404" i="1" s="1"/>
  <c r="BO404" i="1" s="1"/>
  <c r="BB707" i="1"/>
  <c r="BM356" i="1"/>
  <c r="BP356" i="1" s="1"/>
  <c r="BO356" i="1" s="1"/>
  <c r="BM1173" i="1"/>
  <c r="BL1173" i="1" s="1"/>
  <c r="BM468" i="1"/>
  <c r="BP468" i="1" s="1"/>
  <c r="BO468" i="1" s="1"/>
  <c r="BA231" i="1"/>
  <c r="AZ231" i="1" s="1"/>
  <c r="BA139" i="1"/>
  <c r="AZ139" i="1" s="1"/>
  <c r="BA632" i="1"/>
  <c r="AZ632" i="1" s="1"/>
  <c r="BM230" i="1"/>
  <c r="BL230" i="1" s="1"/>
  <c r="BA1064" i="1"/>
  <c r="AZ1064" i="1" s="1"/>
  <c r="BA1246" i="1"/>
  <c r="AZ1246" i="1" s="1"/>
  <c r="BB1310" i="1"/>
  <c r="BA1208" i="1"/>
  <c r="AZ1208" i="1" s="1"/>
  <c r="BB1240" i="1"/>
  <c r="BB654" i="1"/>
  <c r="BA1289" i="1"/>
  <c r="AZ1289" i="1" s="1"/>
  <c r="BB1052" i="1"/>
  <c r="BB1117" i="1"/>
  <c r="BB1255" i="1"/>
  <c r="BA558" i="1"/>
  <c r="AZ558" i="1" s="1"/>
  <c r="BM671" i="1"/>
  <c r="BP671" i="1" s="1"/>
  <c r="BO671" i="1" s="1"/>
  <c r="BB1163" i="1"/>
  <c r="BN940" i="1"/>
  <c r="BQ940" i="1" s="1"/>
  <c r="BN923" i="1"/>
  <c r="BQ923" i="1" s="1"/>
  <c r="BB1106" i="1"/>
  <c r="BN1422" i="1"/>
  <c r="BQ1422" i="1" s="1"/>
  <c r="BB637" i="1"/>
  <c r="BB616" i="1"/>
  <c r="BN929" i="1"/>
  <c r="BQ929" i="1" s="1"/>
  <c r="BB885" i="1"/>
  <c r="BB316" i="1"/>
  <c r="BM224" i="1"/>
  <c r="BP224" i="1" s="1"/>
  <c r="BO224" i="1" s="1"/>
  <c r="BA232" i="1"/>
  <c r="AZ232" i="1" s="1"/>
  <c r="BA1089" i="1"/>
  <c r="AZ1089" i="1" s="1"/>
  <c r="BA1241" i="1"/>
  <c r="AZ1241" i="1" s="1"/>
  <c r="BM393" i="1"/>
  <c r="BL393" i="1" s="1"/>
  <c r="BM1078" i="1"/>
  <c r="BP1078" i="1" s="1"/>
  <c r="BO1078" i="1" s="1"/>
  <c r="BB1373" i="1"/>
  <c r="BA448" i="1"/>
  <c r="AZ448" i="1" s="1"/>
  <c r="BA1126" i="1"/>
  <c r="AZ1126" i="1" s="1"/>
  <c r="BM267" i="1"/>
  <c r="BP267" i="1" s="1"/>
  <c r="BO267" i="1" s="1"/>
  <c r="BA1027" i="1"/>
  <c r="AZ1027" i="1" s="1"/>
  <c r="BA396" i="1"/>
  <c r="AZ396" i="1" s="1"/>
  <c r="BM987" i="1"/>
  <c r="BP987" i="1" s="1"/>
  <c r="BO987" i="1" s="1"/>
  <c r="BM1240" i="1"/>
  <c r="BL1240" i="1" s="1"/>
  <c r="BB981" i="1"/>
  <c r="BB496" i="1"/>
  <c r="BB299" i="1"/>
  <c r="BN654" i="1"/>
  <c r="BQ654" i="1" s="1"/>
  <c r="BM1310" i="1"/>
  <c r="BL1310" i="1" s="1"/>
  <c r="BB402" i="1"/>
  <c r="BB1220" i="1"/>
  <c r="BA456" i="1"/>
  <c r="AZ456" i="1" s="1"/>
  <c r="BB958" i="1"/>
  <c r="BB993" i="1"/>
  <c r="BB624" i="1"/>
  <c r="BA1363" i="1"/>
  <c r="AZ1363" i="1" s="1"/>
  <c r="BB1137" i="1"/>
  <c r="BN1109" i="1"/>
  <c r="BQ1109" i="1" s="1"/>
  <c r="BB865" i="1"/>
  <c r="BB608" i="1"/>
  <c r="BM668" i="1"/>
  <c r="BL668" i="1" s="1"/>
  <c r="BB968" i="1"/>
  <c r="BM1350" i="1"/>
  <c r="BL1350" i="1" s="1"/>
  <c r="BB574" i="1"/>
  <c r="BB328" i="1"/>
  <c r="BB1289" i="1"/>
  <c r="BA1052" i="1"/>
  <c r="AZ1052" i="1" s="1"/>
  <c r="BA1117" i="1"/>
  <c r="AZ1117" i="1" s="1"/>
  <c r="BA1255" i="1"/>
  <c r="AZ1255" i="1" s="1"/>
  <c r="BB558" i="1"/>
  <c r="BA1163" i="1"/>
  <c r="AZ1163" i="1" s="1"/>
  <c r="BM940" i="1"/>
  <c r="BP940" i="1" s="1"/>
  <c r="BO940" i="1" s="1"/>
  <c r="BM923" i="1"/>
  <c r="BL923" i="1" s="1"/>
  <c r="BA1106" i="1"/>
  <c r="AZ1106" i="1" s="1"/>
  <c r="BA637" i="1"/>
  <c r="AZ637" i="1" s="1"/>
  <c r="BM929" i="1"/>
  <c r="BL929" i="1" s="1"/>
  <c r="BA316" i="1"/>
  <c r="AZ316" i="1" s="1"/>
  <c r="BB351" i="1"/>
  <c r="BA627" i="1"/>
  <c r="AZ627" i="1" s="1"/>
  <c r="BB1177" i="1"/>
  <c r="BB1236" i="1"/>
  <c r="BB360" i="1"/>
  <c r="BA1220" i="1"/>
  <c r="AZ1220" i="1" s="1"/>
  <c r="BA468" i="1"/>
  <c r="AZ468" i="1" s="1"/>
  <c r="BB674" i="1"/>
  <c r="BA1054" i="1"/>
  <c r="AZ1054" i="1" s="1"/>
  <c r="BM973" i="1"/>
  <c r="BL973" i="1" s="1"/>
  <c r="BA1123" i="1"/>
  <c r="AZ1123" i="1" s="1"/>
  <c r="BN1134" i="1"/>
  <c r="BQ1134" i="1" s="1"/>
  <c r="BA993" i="1"/>
  <c r="AZ993" i="1" s="1"/>
  <c r="BB1363" i="1"/>
  <c r="BA1137" i="1"/>
  <c r="AZ1137" i="1" s="1"/>
  <c r="BM1109" i="1"/>
  <c r="BP1109" i="1" s="1"/>
  <c r="BO1109" i="1" s="1"/>
  <c r="BA865" i="1"/>
  <c r="AZ865" i="1" s="1"/>
  <c r="BA608" i="1"/>
  <c r="AZ608" i="1" s="1"/>
  <c r="BB716" i="1"/>
  <c r="BA328" i="1"/>
  <c r="AZ328" i="1" s="1"/>
  <c r="BA678" i="1"/>
  <c r="AZ678" i="1" s="1"/>
  <c r="BN956" i="1"/>
  <c r="BQ956" i="1" s="1"/>
  <c r="BM478" i="1"/>
  <c r="BP478" i="1" s="1"/>
  <c r="BO478" i="1" s="1"/>
  <c r="BA326" i="1"/>
  <c r="BM956" i="1"/>
  <c r="BP956" i="1" s="1"/>
  <c r="BO956" i="1" s="1"/>
  <c r="BA744" i="1"/>
  <c r="AZ744" i="1" s="1"/>
  <c r="BA356" i="1"/>
  <c r="AZ356" i="1" s="1"/>
  <c r="BB1327" i="1"/>
  <c r="BA951" i="1"/>
  <c r="AZ951" i="1" s="1"/>
  <c r="BA439" i="1"/>
  <c r="BM448" i="1"/>
  <c r="BP448" i="1" s="1"/>
  <c r="BO448" i="1" s="1"/>
  <c r="BB702" i="1"/>
  <c r="BB498" i="1"/>
  <c r="BN973" i="1"/>
  <c r="BQ973" i="1" s="1"/>
  <c r="BN231" i="1"/>
  <c r="BQ231" i="1" s="1"/>
  <c r="BB384" i="1"/>
  <c r="BA1327" i="1"/>
  <c r="AZ1327" i="1" s="1"/>
  <c r="BM418" i="1"/>
  <c r="BP418" i="1" s="1"/>
  <c r="BO418" i="1" s="1"/>
  <c r="BB1221" i="1"/>
  <c r="BN324" i="1"/>
  <c r="BQ324" i="1" s="1"/>
  <c r="BB362" i="1"/>
  <c r="BA612" i="1"/>
  <c r="AZ612" i="1" s="1"/>
  <c r="BN375" i="1"/>
  <c r="BQ375" i="1" s="1"/>
  <c r="BB1189" i="1"/>
  <c r="BN855" i="1"/>
  <c r="BQ855" i="1" s="1"/>
  <c r="BN448" i="1"/>
  <c r="BQ448" i="1" s="1"/>
  <c r="BM1365" i="1"/>
  <c r="BL1365" i="1" s="1"/>
  <c r="BN1246" i="1"/>
  <c r="BQ1246" i="1" s="1"/>
  <c r="BM625" i="1"/>
  <c r="BL625" i="1" s="1"/>
  <c r="BB1353" i="1"/>
  <c r="BB1109" i="1"/>
  <c r="BB398" i="1"/>
  <c r="BA1382" i="1"/>
  <c r="AZ1382" i="1" s="1"/>
  <c r="BN558" i="1"/>
  <c r="BQ558" i="1" s="1"/>
  <c r="BB418" i="1"/>
  <c r="BN333" i="1"/>
  <c r="BQ333" i="1" s="1"/>
  <c r="BB1178" i="1"/>
  <c r="BB468" i="1"/>
  <c r="BA641" i="1"/>
  <c r="AZ641" i="1" s="1"/>
  <c r="BB1054" i="1"/>
  <c r="BA1229" i="1"/>
  <c r="AZ1229" i="1" s="1"/>
  <c r="BA648" i="1"/>
  <c r="AZ648" i="1" s="1"/>
  <c r="BM975" i="1"/>
  <c r="BL975" i="1" s="1"/>
  <c r="BM1256" i="1"/>
  <c r="BL1256" i="1" s="1"/>
  <c r="BB1332" i="1"/>
  <c r="BB408" i="1"/>
  <c r="BB1093" i="1"/>
  <c r="BB700" i="1"/>
  <c r="BB444" i="1"/>
  <c r="BB928" i="1"/>
  <c r="BM1363" i="1"/>
  <c r="BN541" i="1"/>
  <c r="BQ541" i="1" s="1"/>
  <c r="BN1354" i="1"/>
  <c r="BQ1354" i="1" s="1"/>
  <c r="BB413" i="1"/>
  <c r="BN1445" i="1"/>
  <c r="BQ1445" i="1" s="1"/>
  <c r="BB1212" i="1"/>
  <c r="BB963" i="1"/>
  <c r="BA703" i="1"/>
  <c r="AZ703" i="1" s="1"/>
  <c r="BB392" i="1"/>
  <c r="BA1408" i="1"/>
  <c r="AZ1408" i="1" s="1"/>
  <c r="BB1157" i="1"/>
  <c r="BB974" i="1"/>
  <c r="BN404" i="1"/>
  <c r="BQ404" i="1" s="1"/>
  <c r="BA707" i="1"/>
  <c r="AZ707" i="1" s="1"/>
  <c r="BN1125" i="1"/>
  <c r="BQ1125" i="1" s="1"/>
  <c r="BN356" i="1"/>
  <c r="BQ356" i="1" s="1"/>
  <c r="BB1422" i="1"/>
  <c r="BM1332" i="1"/>
  <c r="BL1332" i="1" s="1"/>
  <c r="BN1173" i="1"/>
  <c r="BQ1173" i="1" s="1"/>
  <c r="BN413" i="1"/>
  <c r="BQ413" i="1" s="1"/>
  <c r="BB231" i="1"/>
  <c r="BB139" i="1"/>
  <c r="BM519" i="1"/>
  <c r="BL519" i="1" s="1"/>
  <c r="BB343" i="1"/>
  <c r="BN230" i="1"/>
  <c r="BQ230" i="1" s="1"/>
  <c r="BN1073" i="1"/>
  <c r="BQ1073" i="1" s="1"/>
  <c r="BB1064" i="1"/>
  <c r="BB1246" i="1"/>
  <c r="BM608" i="1"/>
  <c r="BP608" i="1" s="1"/>
  <c r="BO608" i="1" s="1"/>
  <c r="BA1310" i="1"/>
  <c r="AZ1310" i="1" s="1"/>
  <c r="BB1208" i="1"/>
  <c r="BA545" i="1"/>
  <c r="AZ545" i="1" s="1"/>
  <c r="BM1380" i="1"/>
  <c r="BL1380" i="1" s="1"/>
  <c r="BM1117" i="1"/>
  <c r="BP1117" i="1" s="1"/>
  <c r="BO1117" i="1" s="1"/>
  <c r="BM958" i="1"/>
  <c r="BL958" i="1" s="1"/>
  <c r="BM1157" i="1"/>
  <c r="BL1157" i="1" s="1"/>
  <c r="BB673" i="1"/>
  <c r="BA401" i="1"/>
  <c r="AZ401" i="1" s="1"/>
  <c r="BM321" i="1"/>
  <c r="BL321" i="1" s="1"/>
  <c r="BB1334" i="1"/>
  <c r="BM260" i="1"/>
  <c r="BP260" i="1" s="1"/>
  <c r="BO260" i="1" s="1"/>
  <c r="BN647" i="1"/>
  <c r="BQ647" i="1" s="1"/>
  <c r="BM1052" i="1"/>
  <c r="BA242" i="1"/>
  <c r="AZ242" i="1" s="1"/>
  <c r="BM395" i="1"/>
  <c r="BL395" i="1" s="1"/>
  <c r="BA1354" i="1"/>
  <c r="AZ1354" i="1" s="1"/>
  <c r="BA940" i="1"/>
  <c r="AZ940" i="1" s="1"/>
  <c r="BM317" i="1"/>
  <c r="BP317" i="1" s="1"/>
  <c r="BO317" i="1" s="1"/>
  <c r="BA671" i="1"/>
  <c r="AZ671" i="1" s="1"/>
  <c r="BM461" i="1"/>
  <c r="BP461" i="1" s="1"/>
  <c r="BO461" i="1" s="1"/>
  <c r="BM1130" i="1"/>
  <c r="BP1130" i="1" s="1"/>
  <c r="BO1130" i="1" s="1"/>
  <c r="BM380" i="1"/>
  <c r="BP380" i="1" s="1"/>
  <c r="BO380" i="1" s="1"/>
  <c r="BM665" i="1"/>
  <c r="BL665" i="1" s="1"/>
  <c r="BM1086" i="1"/>
  <c r="BL1086" i="1" s="1"/>
  <c r="BA659" i="1"/>
  <c r="AZ659" i="1" s="1"/>
  <c r="BA1256" i="1"/>
  <c r="AZ1256" i="1" s="1"/>
  <c r="BM994" i="1"/>
  <c r="BL994" i="1" s="1"/>
  <c r="BA855" i="1"/>
  <c r="AZ855" i="1" s="1"/>
  <c r="BA296" i="1"/>
  <c r="AZ296" i="1" s="1"/>
  <c r="BA1177" i="1"/>
  <c r="AZ1177" i="1" s="1"/>
  <c r="BM619" i="1"/>
  <c r="BL619" i="1" s="1"/>
  <c r="BA1135" i="1"/>
  <c r="AZ1135" i="1" s="1"/>
  <c r="BA929" i="1"/>
  <c r="AZ929" i="1" s="1"/>
  <c r="BM706" i="1"/>
  <c r="BP706" i="1" s="1"/>
  <c r="BO706" i="1" s="1"/>
  <c r="BN1414" i="1"/>
  <c r="BQ1414" i="1" s="1"/>
  <c r="BA1197" i="1"/>
  <c r="AZ1197" i="1" s="1"/>
  <c r="BN224" i="1"/>
  <c r="BQ224" i="1" s="1"/>
  <c r="BN1291" i="1"/>
  <c r="BQ1291" i="1" s="1"/>
  <c r="BB232" i="1"/>
  <c r="BB1089" i="1"/>
  <c r="BB1241" i="1"/>
  <c r="BN393" i="1"/>
  <c r="BQ393" i="1" s="1"/>
  <c r="BB494" i="1"/>
  <c r="BM529" i="1"/>
  <c r="BP529" i="1" s="1"/>
  <c r="BO529" i="1" s="1"/>
  <c r="BA549" i="1"/>
  <c r="AZ549" i="1" s="1"/>
  <c r="BB225" i="1"/>
  <c r="BN1078" i="1"/>
  <c r="BQ1078" i="1" s="1"/>
  <c r="BB660" i="1"/>
  <c r="BA1373" i="1"/>
  <c r="BB448" i="1"/>
  <c r="BB1126" i="1"/>
  <c r="BN267" i="1"/>
  <c r="BQ267" i="1" s="1"/>
  <c r="BN667" i="1"/>
  <c r="BQ667" i="1" s="1"/>
  <c r="BB1027" i="1"/>
  <c r="BN987" i="1"/>
  <c r="BQ987" i="1" s="1"/>
  <c r="BA408" i="1"/>
  <c r="AZ408" i="1" s="1"/>
  <c r="BA444" i="1"/>
  <c r="AZ444" i="1" s="1"/>
  <c r="BA928" i="1"/>
  <c r="AZ928" i="1" s="1"/>
  <c r="BM1354" i="1"/>
  <c r="BL1354" i="1" s="1"/>
  <c r="BA413" i="1"/>
  <c r="AZ413" i="1" s="1"/>
  <c r="BA1212" i="1"/>
  <c r="AZ1212" i="1" s="1"/>
  <c r="BN1324" i="1"/>
  <c r="BQ1324" i="1" s="1"/>
  <c r="BA392" i="1"/>
  <c r="AZ392" i="1" s="1"/>
  <c r="BB1408" i="1"/>
  <c r="BN407" i="1"/>
  <c r="BQ407" i="1" s="1"/>
  <c r="BN1115" i="1"/>
  <c r="BQ1115" i="1" s="1"/>
  <c r="BA963" i="1"/>
  <c r="BB529" i="1"/>
  <c r="BM1189" i="1"/>
  <c r="BN402" i="1"/>
  <c r="BQ402" i="1" s="1"/>
  <c r="BM617" i="1"/>
  <c r="BN464" i="1"/>
  <c r="BQ464" i="1" s="1"/>
  <c r="BM1128" i="1"/>
  <c r="BN1340" i="1"/>
  <c r="BQ1340" i="1" s="1"/>
  <c r="BN1068" i="1"/>
  <c r="BQ1068" i="1" s="1"/>
  <c r="BB1232" i="1"/>
  <c r="BM629" i="1"/>
  <c r="BB1155" i="1"/>
  <c r="BB479" i="1"/>
  <c r="BN1123" i="1"/>
  <c r="BQ1123" i="1" s="1"/>
  <c r="BB549" i="1"/>
  <c r="BA660" i="1"/>
  <c r="BM421" i="1"/>
  <c r="BB703" i="1"/>
  <c r="BM1329" i="1"/>
  <c r="BA347" i="1"/>
  <c r="BN1184" i="1"/>
  <c r="BQ1184" i="1" s="1"/>
  <c r="BN198" i="1"/>
  <c r="BQ198" i="1" s="1"/>
  <c r="BB841" i="1"/>
  <c r="BB611" i="1"/>
  <c r="BM1401" i="1"/>
  <c r="BN328" i="1"/>
  <c r="BQ328" i="1" s="1"/>
  <c r="BB678" i="1"/>
  <c r="BM408" i="1"/>
  <c r="BM1123" i="1"/>
  <c r="BB1001" i="1"/>
  <c r="BM1351" i="1"/>
  <c r="BN878" i="1"/>
  <c r="BQ878" i="1" s="1"/>
  <c r="BN495" i="1"/>
  <c r="BQ495" i="1" s="1"/>
  <c r="BN1137" i="1"/>
  <c r="BQ1137" i="1" s="1"/>
  <c r="BN970" i="1"/>
  <c r="BQ970" i="1" s="1"/>
  <c r="BN223" i="1"/>
  <c r="BQ223" i="1" s="1"/>
  <c r="BM1333" i="1"/>
  <c r="BN674" i="1"/>
  <c r="BQ674" i="1" s="1"/>
  <c r="BB1428" i="1"/>
  <c r="BM1382" i="1"/>
  <c r="BA1130" i="1"/>
  <c r="BM568" i="1"/>
  <c r="BN426" i="1"/>
  <c r="BQ426" i="1" s="1"/>
  <c r="BN648" i="1"/>
  <c r="BQ648" i="1" s="1"/>
  <c r="BP604" i="1"/>
  <c r="BO604" i="1" s="1"/>
  <c r="BL604" i="1"/>
  <c r="BA958" i="1"/>
  <c r="AZ958" i="1" s="1"/>
  <c r="BB347" i="1"/>
  <c r="BA529" i="1"/>
  <c r="BM1174" i="1"/>
  <c r="BN1189" i="1"/>
  <c r="BQ1189" i="1" s="1"/>
  <c r="BM1184" i="1"/>
  <c r="BN1353" i="1"/>
  <c r="BQ1353" i="1" s="1"/>
  <c r="BA1138" i="1"/>
  <c r="BN627" i="1"/>
  <c r="BQ627" i="1" s="1"/>
  <c r="BM198" i="1"/>
  <c r="BA927" i="1"/>
  <c r="BM927" i="1"/>
  <c r="BA841" i="1"/>
  <c r="BA1028" i="1"/>
  <c r="BM360" i="1"/>
  <c r="BA849" i="1"/>
  <c r="BN668" i="1"/>
  <c r="BQ668" i="1" s="1"/>
  <c r="BM574" i="1"/>
  <c r="BA611" i="1"/>
  <c r="BM402" i="1"/>
  <c r="BA394" i="1"/>
  <c r="BM1428" i="1"/>
  <c r="BN1401" i="1"/>
  <c r="BQ1401" i="1" s="1"/>
  <c r="BB1283" i="1"/>
  <c r="BA968" i="1"/>
  <c r="BN1350" i="1"/>
  <c r="BQ1350" i="1" s="1"/>
  <c r="BM299" i="1"/>
  <c r="BM1071" i="1"/>
  <c r="BA210" i="1"/>
  <c r="BN617" i="1"/>
  <c r="BQ617" i="1" s="1"/>
  <c r="BM887" i="1"/>
  <c r="BA574" i="1"/>
  <c r="BM328" i="1"/>
  <c r="BN550" i="1"/>
  <c r="BQ550" i="1" s="1"/>
  <c r="BN1138" i="1"/>
  <c r="BQ1138" i="1" s="1"/>
  <c r="BM626" i="1"/>
  <c r="BN1129" i="1"/>
  <c r="BQ1129" i="1" s="1"/>
  <c r="BN497" i="1"/>
  <c r="BQ497" i="1" s="1"/>
  <c r="BN993" i="1"/>
  <c r="BQ993" i="1" s="1"/>
  <c r="BB647" i="1"/>
  <c r="BN214" i="1"/>
  <c r="BQ214" i="1" s="1"/>
  <c r="BB1076" i="1"/>
  <c r="BN1271" i="1"/>
  <c r="BQ1271" i="1" s="1"/>
  <c r="BB641" i="1"/>
  <c r="BA474" i="1"/>
  <c r="BA1311" i="1"/>
  <c r="BN139" i="1"/>
  <c r="BQ139" i="1" s="1"/>
  <c r="BN1093" i="1"/>
  <c r="BQ1093" i="1" s="1"/>
  <c r="BB1275" i="1"/>
  <c r="BM673" i="1"/>
  <c r="BN1106" i="1"/>
  <c r="BQ1106" i="1" s="1"/>
  <c r="BN964" i="1"/>
  <c r="BQ964" i="1" s="1"/>
  <c r="BM701" i="1"/>
  <c r="BB485" i="1"/>
  <c r="BB1134" i="1"/>
  <c r="BB1227" i="1"/>
  <c r="BB619" i="1"/>
  <c r="BB1073" i="1"/>
  <c r="BN669" i="1"/>
  <c r="BQ669" i="1" s="1"/>
  <c r="BB412" i="1"/>
  <c r="BN242" i="1"/>
  <c r="BQ242" i="1" s="1"/>
  <c r="BB1078" i="1"/>
  <c r="BN326" i="1"/>
  <c r="BQ326" i="1" s="1"/>
  <c r="BB1068" i="1"/>
  <c r="BB573" i="1"/>
  <c r="BB403" i="1"/>
  <c r="BA1001" i="1"/>
  <c r="BA317" i="1"/>
  <c r="BB1351" i="1"/>
  <c r="BM1039" i="1"/>
  <c r="BA629" i="1"/>
  <c r="BA351" i="1"/>
  <c r="BB627" i="1"/>
  <c r="BA345" i="1"/>
  <c r="BM705" i="1"/>
  <c r="BA1059" i="1"/>
  <c r="BA321" i="1"/>
  <c r="AZ321" i="1" s="1"/>
  <c r="BM1063" i="1"/>
  <c r="BM144" i="1"/>
  <c r="BB545" i="1"/>
  <c r="BA1236" i="1"/>
  <c r="BA360" i="1"/>
  <c r="BA464" i="1"/>
  <c r="BM1348" i="1"/>
  <c r="BM968" i="1"/>
  <c r="BA981" i="1"/>
  <c r="BN1351" i="1"/>
  <c r="BQ1351" i="1" s="1"/>
  <c r="BM878" i="1"/>
  <c r="BB602" i="1"/>
  <c r="BA496" i="1"/>
  <c r="BA299" i="1"/>
  <c r="AZ299" i="1" s="1"/>
  <c r="BN612" i="1"/>
  <c r="BQ612" i="1" s="1"/>
  <c r="BM654" i="1"/>
  <c r="BN1310" i="1"/>
  <c r="BQ1310" i="1" s="1"/>
  <c r="BM494" i="1"/>
  <c r="BA541" i="1"/>
  <c r="BM495" i="1"/>
  <c r="BM1137" i="1"/>
  <c r="BM558" i="1"/>
  <c r="BA478" i="1"/>
  <c r="BM702" i="1"/>
  <c r="BM1212" i="1"/>
  <c r="BM970" i="1"/>
  <c r="BM223" i="1"/>
  <c r="BA402" i="1"/>
  <c r="BM1060" i="1"/>
  <c r="BA994" i="1"/>
  <c r="BB1421" i="1"/>
  <c r="BN1333" i="1"/>
  <c r="BQ1333" i="1" s="1"/>
  <c r="BM411" i="1"/>
  <c r="BM492" i="1"/>
  <c r="BA418" i="1"/>
  <c r="BA1081" i="1"/>
  <c r="BM1122" i="1"/>
  <c r="BM383" i="1"/>
  <c r="BN1289" i="1"/>
  <c r="BQ1289" i="1" s="1"/>
  <c r="BM1307" i="1"/>
  <c r="BM364" i="1"/>
  <c r="BA239" i="1"/>
  <c r="BA1178" i="1"/>
  <c r="BM685" i="1"/>
  <c r="BM1346" i="1"/>
  <c r="BN496" i="1"/>
  <c r="BQ496" i="1" s="1"/>
  <c r="BA1125" i="1"/>
  <c r="BA1445" i="1"/>
  <c r="BM637" i="1"/>
  <c r="BB198" i="1"/>
  <c r="BN343" i="1"/>
  <c r="BQ343" i="1" s="1"/>
  <c r="BN439" i="1"/>
  <c r="BQ439" i="1" s="1"/>
  <c r="BN419" i="1"/>
  <c r="BQ419" i="1" s="1"/>
  <c r="BB1129" i="1"/>
  <c r="BA494" i="1"/>
  <c r="BA225" i="1"/>
  <c r="BA700" i="1"/>
  <c r="BN1174" i="1"/>
  <c r="BQ1174" i="1" s="1"/>
  <c r="BB927" i="1"/>
  <c r="BN360" i="1"/>
  <c r="BQ360" i="1" s="1"/>
  <c r="BN1428" i="1"/>
  <c r="BQ1428" i="1" s="1"/>
  <c r="BA1283" i="1"/>
  <c r="BN716" i="1"/>
  <c r="BQ716" i="1" s="1"/>
  <c r="BM407" i="1"/>
  <c r="BM439" i="1"/>
  <c r="BM419" i="1"/>
  <c r="BN629" i="1"/>
  <c r="BQ629" i="1" s="1"/>
  <c r="BA1129" i="1"/>
  <c r="BM1115" i="1"/>
  <c r="BA885" i="1"/>
  <c r="AZ885" i="1" s="1"/>
  <c r="BB1059" i="1"/>
  <c r="BA602" i="1"/>
  <c r="BN1212" i="1"/>
  <c r="BQ1212" i="1" s="1"/>
  <c r="BB994" i="1"/>
  <c r="BN411" i="1"/>
  <c r="BQ411" i="1" s="1"/>
  <c r="BN1122" i="1"/>
  <c r="BQ1122" i="1" s="1"/>
  <c r="BM1289" i="1"/>
  <c r="BB239" i="1"/>
  <c r="BN662" i="1"/>
  <c r="BQ662" i="1" s="1"/>
  <c r="BB878" i="1"/>
  <c r="BN1132" i="1"/>
  <c r="BQ1132" i="1" s="1"/>
  <c r="BM1125" i="1"/>
  <c r="BN568" i="1"/>
  <c r="BQ568" i="1" s="1"/>
  <c r="BM426" i="1"/>
  <c r="BM648" i="1"/>
  <c r="BB1174" i="1"/>
  <c r="BN1178" i="1"/>
  <c r="BQ1178" i="1" s="1"/>
  <c r="BM1089" i="1"/>
  <c r="BB375" i="1"/>
  <c r="BN478" i="1"/>
  <c r="BQ478" i="1" s="1"/>
  <c r="BB326" i="1"/>
  <c r="BN379" i="1"/>
  <c r="BQ379" i="1" s="1"/>
  <c r="BN355" i="1"/>
  <c r="BQ355" i="1" s="1"/>
  <c r="BB1082" i="1"/>
  <c r="BN969" i="1"/>
  <c r="BQ969" i="1" s="1"/>
  <c r="BB1132" i="1"/>
  <c r="BN1118" i="1"/>
  <c r="BQ1118" i="1" s="1"/>
  <c r="BB1046" i="1"/>
  <c r="BB421" i="1"/>
  <c r="BB426" i="1"/>
  <c r="BN1062" i="1"/>
  <c r="BQ1062" i="1" s="1"/>
  <c r="BM1275" i="1"/>
  <c r="BN703" i="1"/>
  <c r="BQ703" i="1" s="1"/>
  <c r="BN462" i="1"/>
  <c r="BQ462" i="1" s="1"/>
  <c r="BN616" i="1"/>
  <c r="BQ616" i="1" s="1"/>
  <c r="BN239" i="1"/>
  <c r="BQ239" i="1" s="1"/>
  <c r="BN1381" i="1"/>
  <c r="BQ1381" i="1" s="1"/>
  <c r="BN1070" i="1"/>
  <c r="BQ1070" i="1" s="1"/>
  <c r="BM1197" i="1"/>
  <c r="BB230" i="1"/>
  <c r="BN611" i="1"/>
  <c r="BQ611" i="1" s="1"/>
  <c r="BA550" i="1"/>
  <c r="BB1084" i="1"/>
  <c r="BN1099" i="1"/>
  <c r="BQ1099" i="1" s="1"/>
  <c r="BN963" i="1"/>
  <c r="BQ963" i="1" s="1"/>
  <c r="BB1086" i="1"/>
  <c r="BB223" i="1"/>
  <c r="BB462" i="1"/>
  <c r="BA617" i="1"/>
  <c r="BN1199" i="1"/>
  <c r="BQ1199" i="1" s="1"/>
  <c r="BN1208" i="1"/>
  <c r="BQ1208" i="1" s="1"/>
  <c r="BN339" i="1"/>
  <c r="BQ339" i="1" s="1"/>
  <c r="BB339" i="1"/>
  <c r="BB568" i="1"/>
  <c r="BB1133" i="1"/>
  <c r="BB406" i="1"/>
  <c r="BN149" i="1"/>
  <c r="BQ149" i="1" s="1"/>
  <c r="BM550" i="1"/>
  <c r="BM1138" i="1"/>
  <c r="BN626" i="1"/>
  <c r="BQ626" i="1" s="1"/>
  <c r="BM1129" i="1"/>
  <c r="BM497" i="1"/>
  <c r="BM993" i="1"/>
  <c r="BA647" i="1"/>
  <c r="BM214" i="1"/>
  <c r="BA1076" i="1"/>
  <c r="BM1271" i="1"/>
  <c r="BB474" i="1"/>
  <c r="BB1311" i="1"/>
  <c r="BM139" i="1"/>
  <c r="BM1093" i="1"/>
  <c r="BN673" i="1"/>
  <c r="BQ673" i="1" s="1"/>
  <c r="BM1106" i="1"/>
  <c r="BM964" i="1"/>
  <c r="BN701" i="1"/>
  <c r="BQ701" i="1" s="1"/>
  <c r="BA485" i="1"/>
  <c r="BA1134" i="1"/>
  <c r="BA1227" i="1"/>
  <c r="BA1073" i="1"/>
  <c r="BM669" i="1"/>
  <c r="BA412" i="1"/>
  <c r="BM242" i="1"/>
  <c r="BA1078" i="1"/>
  <c r="BM326" i="1"/>
  <c r="BA1068" i="1"/>
  <c r="BA573" i="1"/>
  <c r="AZ573" i="1" s="1"/>
  <c r="BA403" i="1"/>
  <c r="BB1060" i="1"/>
  <c r="BN655" i="1"/>
  <c r="BQ655" i="1" s="1"/>
  <c r="BB964" i="1"/>
  <c r="BN1001" i="1"/>
  <c r="BQ1001" i="1" s="1"/>
  <c r="BB1050" i="1"/>
  <c r="BB693" i="1"/>
  <c r="BB1116" i="1"/>
  <c r="BN396" i="1"/>
  <c r="BQ396" i="1" s="1"/>
  <c r="BN957" i="1"/>
  <c r="BQ957" i="1" s="1"/>
  <c r="BN1334" i="1"/>
  <c r="BQ1334" i="1" s="1"/>
  <c r="BN345" i="1"/>
  <c r="BQ345" i="1" s="1"/>
  <c r="BB497" i="1"/>
  <c r="BM485" i="1"/>
  <c r="BN660" i="1"/>
  <c r="BQ660" i="1" s="1"/>
  <c r="BN885" i="1"/>
  <c r="BQ885" i="1" s="1"/>
  <c r="BN1283" i="1"/>
  <c r="BQ1283" i="1" s="1"/>
  <c r="BB1071" i="1"/>
  <c r="BN1373" i="1"/>
  <c r="BQ1373" i="1" s="1"/>
  <c r="BB1115" i="1"/>
  <c r="BB1229" i="1"/>
  <c r="BN433" i="1"/>
  <c r="BQ433" i="1" s="1"/>
  <c r="BA1271" i="1"/>
  <c r="BA706" i="1"/>
  <c r="BB419" i="1"/>
  <c r="BB399" i="1"/>
  <c r="BN1082" i="1"/>
  <c r="BQ1082" i="1" s="1"/>
  <c r="BN384" i="1"/>
  <c r="BQ384" i="1" s="1"/>
  <c r="BB519" i="1"/>
  <c r="BN398" i="1"/>
  <c r="BQ398" i="1" s="1"/>
  <c r="BN865" i="1"/>
  <c r="BQ865" i="1" s="1"/>
  <c r="BN1318" i="1"/>
  <c r="BQ1318" i="1" s="1"/>
  <c r="BB626" i="1"/>
  <c r="BN549" i="1"/>
  <c r="BQ549" i="1" s="1"/>
  <c r="BA1318" i="1"/>
  <c r="BN1227" i="1"/>
  <c r="BQ1227" i="1" s="1"/>
  <c r="BN1126" i="1"/>
  <c r="BQ1126" i="1" s="1"/>
  <c r="BN1229" i="1"/>
  <c r="BQ1229" i="1" s="1"/>
  <c r="BB1307" i="1"/>
  <c r="BN988" i="1"/>
  <c r="BQ988" i="1" s="1"/>
  <c r="BN1294" i="1"/>
  <c r="BQ1294" i="1" s="1"/>
  <c r="BB970" i="1"/>
  <c r="BB1414" i="1"/>
  <c r="BA655" i="1"/>
  <c r="BN919" i="1"/>
  <c r="BQ919" i="1" s="1"/>
  <c r="BN1213" i="1"/>
  <c r="BQ1213" i="1" s="1"/>
  <c r="BN498" i="1"/>
  <c r="BQ498" i="1" s="1"/>
  <c r="BB705" i="1"/>
  <c r="BN974" i="1"/>
  <c r="BQ974" i="1" s="1"/>
  <c r="BN1255" i="1"/>
  <c r="BQ1255" i="1" s="1"/>
  <c r="BN515" i="1"/>
  <c r="BQ515" i="1" s="1"/>
  <c r="BB584" i="1"/>
  <c r="BB1199" i="1"/>
  <c r="BN210" i="1"/>
  <c r="BQ210" i="1" s="1"/>
  <c r="BN641" i="1"/>
  <c r="BQ641" i="1" s="1"/>
  <c r="BN479" i="1"/>
  <c r="BQ479" i="1" s="1"/>
  <c r="BB975" i="1"/>
  <c r="BB333" i="1"/>
  <c r="BN1408" i="1"/>
  <c r="BQ1408" i="1" s="1"/>
  <c r="BN529" i="1"/>
  <c r="BQ529" i="1" s="1"/>
  <c r="BM316" i="1"/>
  <c r="BA1232" i="1"/>
  <c r="BM456" i="1"/>
  <c r="BM412" i="1"/>
  <c r="BM624" i="1"/>
  <c r="BN1382" i="1"/>
  <c r="BQ1382" i="1" s="1"/>
  <c r="BB1130" i="1"/>
  <c r="AX708" i="1"/>
  <c r="AW708" i="1" s="1"/>
  <c r="AZ708" i="1"/>
  <c r="BB1028" i="1"/>
  <c r="BB849" i="1"/>
  <c r="BA654" i="1"/>
  <c r="BA198" i="1"/>
  <c r="BM343" i="1"/>
  <c r="BN671" i="1"/>
  <c r="BQ671" i="1" s="1"/>
  <c r="BM1422" i="1"/>
  <c r="BB629" i="1"/>
  <c r="BN705" i="1"/>
  <c r="BQ705" i="1" s="1"/>
  <c r="BB321" i="1"/>
  <c r="BN144" i="1"/>
  <c r="BQ144" i="1" s="1"/>
  <c r="BN968" i="1"/>
  <c r="BQ968" i="1" s="1"/>
  <c r="BM612" i="1"/>
  <c r="BN494" i="1"/>
  <c r="BQ494" i="1" s="1"/>
  <c r="BB478" i="1"/>
  <c r="BA1421" i="1"/>
  <c r="BB1081" i="1"/>
  <c r="BN1307" i="1"/>
  <c r="BQ1307" i="1" s="1"/>
  <c r="BA404" i="1"/>
  <c r="BM662" i="1"/>
  <c r="BA878" i="1"/>
  <c r="BM1132" i="1"/>
  <c r="BB1401" i="1"/>
  <c r="BB1062" i="1"/>
  <c r="BA1409" i="1"/>
  <c r="BA1174" i="1"/>
  <c r="BM1178" i="1"/>
  <c r="BN1089" i="1"/>
  <c r="BQ1089" i="1" s="1"/>
  <c r="BA375" i="1"/>
  <c r="BM379" i="1"/>
  <c r="BM355" i="1"/>
  <c r="BA1082" i="1"/>
  <c r="BM969" i="1"/>
  <c r="BA1132" i="1"/>
  <c r="BM1118" i="1"/>
  <c r="BA1046" i="1"/>
  <c r="BA421" i="1"/>
  <c r="BA426" i="1"/>
  <c r="BM1062" i="1"/>
  <c r="BN1275" i="1"/>
  <c r="BQ1275" i="1" s="1"/>
  <c r="BM703" i="1"/>
  <c r="BM462" i="1"/>
  <c r="BM616" i="1"/>
  <c r="BM239" i="1"/>
  <c r="BM1381" i="1"/>
  <c r="BM1070" i="1"/>
  <c r="BN1197" i="1"/>
  <c r="BQ1197" i="1" s="1"/>
  <c r="BA230" i="1"/>
  <c r="AZ230" i="1" s="1"/>
  <c r="BM611" i="1"/>
  <c r="BB550" i="1"/>
  <c r="BA1084" i="1"/>
  <c r="BM1099" i="1"/>
  <c r="BM963" i="1"/>
  <c r="BA1086" i="1"/>
  <c r="AZ1086" i="1" s="1"/>
  <c r="BA462" i="1"/>
  <c r="BB617" i="1"/>
  <c r="BM974" i="1"/>
  <c r="BM1199" i="1"/>
  <c r="BM1208" i="1"/>
  <c r="BM339" i="1"/>
  <c r="BA339" i="1"/>
  <c r="BA568" i="1"/>
  <c r="BA1133" i="1"/>
  <c r="BA406" i="1"/>
  <c r="BM149" i="1"/>
  <c r="BB887" i="1"/>
  <c r="BA1324" i="1"/>
  <c r="BN1034" i="1"/>
  <c r="BQ1034" i="1" s="1"/>
  <c r="BM693" i="1"/>
  <c r="BB393" i="1"/>
  <c r="BB144" i="1"/>
  <c r="BN545" i="1"/>
  <c r="BQ545" i="1" s="1"/>
  <c r="BN856" i="1"/>
  <c r="BQ856" i="1" s="1"/>
  <c r="BB267" i="1"/>
  <c r="BN381" i="1"/>
  <c r="BQ381" i="1" s="1"/>
  <c r="BA667" i="1"/>
  <c r="BN659" i="1"/>
  <c r="BQ659" i="1" s="1"/>
  <c r="BN632" i="1"/>
  <c r="BQ632" i="1" s="1"/>
  <c r="BB1039" i="1"/>
  <c r="BN1131" i="1"/>
  <c r="BQ1131" i="1" s="1"/>
  <c r="BN700" i="1"/>
  <c r="BQ700" i="1" s="1"/>
  <c r="BN744" i="1"/>
  <c r="BQ744" i="1" s="1"/>
  <c r="BB364" i="1"/>
  <c r="BN435" i="1"/>
  <c r="BQ435" i="1" s="1"/>
  <c r="BM1409" i="1"/>
  <c r="BN392" i="1"/>
  <c r="BQ392" i="1" s="1"/>
  <c r="BB1124" i="1"/>
  <c r="BB1099" i="1"/>
  <c r="BB856" i="1"/>
  <c r="BN584" i="1"/>
  <c r="BQ584" i="1" s="1"/>
  <c r="BN841" i="1"/>
  <c r="BQ841" i="1" s="1"/>
  <c r="BB668" i="1"/>
  <c r="BM474" i="1"/>
  <c r="BN1027" i="1"/>
  <c r="BQ1027" i="1" s="1"/>
  <c r="BA1060" i="1"/>
  <c r="BM655" i="1"/>
  <c r="BA964" i="1"/>
  <c r="BM1001" i="1"/>
  <c r="BA1050" i="1"/>
  <c r="BA693" i="1"/>
  <c r="BA1116" i="1"/>
  <c r="BM396" i="1"/>
  <c r="BM957" i="1"/>
  <c r="BM1334" i="1"/>
  <c r="BM345" i="1"/>
  <c r="BA497" i="1"/>
  <c r="BN485" i="1"/>
  <c r="BQ485" i="1" s="1"/>
  <c r="BM660" i="1"/>
  <c r="BM885" i="1"/>
  <c r="BM1283" i="1"/>
  <c r="BA1071" i="1"/>
  <c r="AZ1071" i="1" s="1"/>
  <c r="BM1373" i="1"/>
  <c r="BA1115" i="1"/>
  <c r="BM433" i="1"/>
  <c r="BB1271" i="1"/>
  <c r="BB706" i="1"/>
  <c r="BA419" i="1"/>
  <c r="BA399" i="1"/>
  <c r="BM1082" i="1"/>
  <c r="BM384" i="1"/>
  <c r="BA519" i="1"/>
  <c r="BM398" i="1"/>
  <c r="BM865" i="1"/>
  <c r="BM1318" i="1"/>
  <c r="BA626" i="1"/>
  <c r="BM549" i="1"/>
  <c r="BB1318" i="1"/>
  <c r="BM1227" i="1"/>
  <c r="BM1126" i="1"/>
  <c r="BM1229" i="1"/>
  <c r="BA1307" i="1"/>
  <c r="BM988" i="1"/>
  <c r="BM1294" i="1"/>
  <c r="BA970" i="1"/>
  <c r="BA1414" i="1"/>
  <c r="BB655" i="1"/>
  <c r="BM919" i="1"/>
  <c r="BM1213" i="1"/>
  <c r="BM498" i="1"/>
  <c r="BA705" i="1"/>
  <c r="BM1255" i="1"/>
  <c r="BM515" i="1"/>
  <c r="BA584" i="1"/>
  <c r="BA1199" i="1"/>
  <c r="BM210" i="1"/>
  <c r="BM641" i="1"/>
  <c r="BM479" i="1"/>
  <c r="BA975" i="1"/>
  <c r="BA333" i="1"/>
  <c r="BB1365" i="1"/>
  <c r="BN602" i="1"/>
  <c r="BQ602" i="1" s="1"/>
  <c r="BN316" i="1"/>
  <c r="BQ316" i="1" s="1"/>
  <c r="BN1240" i="1"/>
  <c r="BQ1240" i="1" s="1"/>
  <c r="BN421" i="1"/>
  <c r="BN412" i="1"/>
  <c r="BQ412" i="1" s="1"/>
  <c r="BM1324" i="1"/>
  <c r="BA1348" i="1"/>
  <c r="BN1346" i="1"/>
  <c r="BQ1346" i="1" s="1"/>
  <c r="BN519" i="1"/>
  <c r="BQ519" i="1" s="1"/>
  <c r="BM1073" i="1"/>
  <c r="BA1365" i="1"/>
  <c r="BM464" i="1"/>
  <c r="BN1380" i="1"/>
  <c r="BQ1380" i="1" s="1"/>
  <c r="BN1241" i="1"/>
  <c r="BQ1241" i="1" s="1"/>
  <c r="BN408" i="1"/>
  <c r="BQ408" i="1" s="1"/>
  <c r="BN1084" i="1"/>
  <c r="BQ1084" i="1" s="1"/>
  <c r="BM1059" i="1"/>
  <c r="BA919" i="1"/>
  <c r="AZ919" i="1" s="1"/>
  <c r="BN1363" i="1"/>
  <c r="BQ1363" i="1" s="1"/>
  <c r="BM1445" i="1"/>
  <c r="BA1157" i="1"/>
  <c r="BM674" i="1"/>
  <c r="BM1353" i="1"/>
  <c r="BB1138" i="1"/>
  <c r="BN927" i="1"/>
  <c r="BQ927" i="1" s="1"/>
  <c r="BN299" i="1"/>
  <c r="BQ299" i="1" s="1"/>
  <c r="BB210" i="1"/>
  <c r="BN887" i="1"/>
  <c r="BQ887" i="1" s="1"/>
  <c r="BM1133" i="1"/>
  <c r="BA616" i="1"/>
  <c r="BB317" i="1"/>
  <c r="BB345" i="1"/>
  <c r="BB541" i="1"/>
  <c r="BN1060" i="1"/>
  <c r="BQ1060" i="1" s="1"/>
  <c r="BN492" i="1"/>
  <c r="BQ492" i="1" s="1"/>
  <c r="BN685" i="1"/>
  <c r="BQ685" i="1" s="1"/>
  <c r="BB380" i="1"/>
  <c r="BB1184" i="1"/>
  <c r="BB744" i="1"/>
  <c r="BB1294" i="1"/>
  <c r="BB356" i="1"/>
  <c r="BA1401" i="1"/>
  <c r="BA1062" i="1"/>
  <c r="BN225" i="1"/>
  <c r="BQ225" i="1" s="1"/>
  <c r="BB383" i="1"/>
  <c r="BN296" i="1"/>
  <c r="BQ296" i="1" s="1"/>
  <c r="BB951" i="1"/>
  <c r="BN1163" i="1"/>
  <c r="BQ1163" i="1" s="1"/>
  <c r="BB439" i="1"/>
  <c r="BB381" i="1"/>
  <c r="BN928" i="1"/>
  <c r="BQ928" i="1" s="1"/>
  <c r="BA1381" i="1"/>
  <c r="BA662" i="1"/>
  <c r="BN351" i="1"/>
  <c r="BQ351" i="1" s="1"/>
  <c r="BN399" i="1"/>
  <c r="BQ399" i="1" s="1"/>
  <c r="BB1118" i="1"/>
  <c r="BB648" i="1"/>
  <c r="BN1081" i="1"/>
  <c r="BQ1081" i="1" s="1"/>
  <c r="BA1395" i="1"/>
  <c r="BB324" i="1"/>
  <c r="BM1395" i="1"/>
  <c r="BN975" i="1"/>
  <c r="BQ975" i="1" s="1"/>
  <c r="BN1236" i="1"/>
  <c r="BQ1236" i="1" s="1"/>
  <c r="BN1140" i="1"/>
  <c r="BQ1140" i="1" s="1"/>
  <c r="BB957" i="1"/>
  <c r="BN232" i="1"/>
  <c r="BQ232" i="1" s="1"/>
  <c r="BB396" i="1"/>
  <c r="BA665" i="1"/>
  <c r="BN1256" i="1"/>
  <c r="BQ1256" i="1" s="1"/>
  <c r="BB515" i="1"/>
  <c r="BM678" i="1"/>
  <c r="BB1063" i="1"/>
  <c r="BN1050" i="1"/>
  <c r="BQ1050" i="1" s="1"/>
  <c r="BB435" i="1"/>
  <c r="BN444" i="1"/>
  <c r="BQ444" i="1" s="1"/>
  <c r="BN857" i="1"/>
  <c r="BQ857" i="1" s="1"/>
  <c r="BN1177" i="1"/>
  <c r="BQ1177" i="1" s="1"/>
  <c r="BB1034" i="1"/>
  <c r="BN347" i="1"/>
  <c r="BQ347" i="1" s="1"/>
  <c r="BN1135" i="1"/>
  <c r="BQ1135" i="1" s="1"/>
  <c r="BB379" i="1"/>
  <c r="BA1189" i="1"/>
  <c r="BN1054" i="1"/>
  <c r="BQ1054" i="1" s="1"/>
  <c r="BN401" i="1"/>
  <c r="BQ401" i="1" s="1"/>
  <c r="BN1076" i="1"/>
  <c r="BQ1076" i="1" s="1"/>
  <c r="BN406" i="1"/>
  <c r="BQ406" i="1" s="1"/>
  <c r="BN1046" i="1"/>
  <c r="BQ1046" i="1" s="1"/>
  <c r="BP1088" i="1"/>
  <c r="BO1088" i="1" s="1"/>
  <c r="BL1088" i="1"/>
  <c r="BA887" i="1"/>
  <c r="BB1324" i="1"/>
  <c r="BM1034" i="1"/>
  <c r="BN693" i="1"/>
  <c r="BQ693" i="1" s="1"/>
  <c r="BA393" i="1"/>
  <c r="BA144" i="1"/>
  <c r="BM545" i="1"/>
  <c r="BM856" i="1"/>
  <c r="BA267" i="1"/>
  <c r="BM381" i="1"/>
  <c r="BB667" i="1"/>
  <c r="BM659" i="1"/>
  <c r="BM632" i="1"/>
  <c r="BA1039" i="1"/>
  <c r="BM1131" i="1"/>
  <c r="BM700" i="1"/>
  <c r="BM744" i="1"/>
  <c r="BA364" i="1"/>
  <c r="BM435" i="1"/>
  <c r="BN1409" i="1"/>
  <c r="BQ1409" i="1" s="1"/>
  <c r="BM392" i="1"/>
  <c r="BA1099" i="1"/>
  <c r="BA856" i="1"/>
  <c r="BM584" i="1"/>
  <c r="BM841" i="1"/>
  <c r="BA668" i="1"/>
  <c r="BN474" i="1"/>
  <c r="BQ474" i="1" s="1"/>
  <c r="BM1027" i="1"/>
  <c r="BB355" i="1"/>
  <c r="BB923" i="1"/>
  <c r="BN394" i="1"/>
  <c r="BQ394" i="1" s="1"/>
  <c r="BA1346" i="1"/>
  <c r="BN1327" i="1"/>
  <c r="BQ1327" i="1" s="1"/>
  <c r="BN403" i="1"/>
  <c r="BQ403" i="1" s="1"/>
  <c r="BN1155" i="1"/>
  <c r="BQ1155" i="1" s="1"/>
  <c r="BN981" i="1"/>
  <c r="BQ981" i="1" s="1"/>
  <c r="BB1443" i="1"/>
  <c r="BN1421" i="1"/>
  <c r="BQ1421" i="1" s="1"/>
  <c r="BN1124" i="1"/>
  <c r="BQ1124" i="1" s="1"/>
  <c r="BB1122" i="1"/>
  <c r="BN951" i="1"/>
  <c r="BQ951" i="1" s="1"/>
  <c r="BB879" i="1"/>
  <c r="BN1064" i="1"/>
  <c r="BQ1064" i="1" s="1"/>
  <c r="BN362" i="1"/>
  <c r="BQ362" i="1" s="1"/>
  <c r="BB669" i="1"/>
  <c r="BB495" i="1"/>
  <c r="BB224" i="1"/>
  <c r="BA1380" i="1"/>
  <c r="BN1116" i="1"/>
  <c r="BQ1116" i="1" s="1"/>
  <c r="BM1311" i="1"/>
  <c r="BB1070" i="1"/>
  <c r="BM573" i="1"/>
  <c r="BN1175" i="1"/>
  <c r="BQ1175" i="1" s="1"/>
  <c r="BA1293" i="1"/>
  <c r="BB701" i="1"/>
  <c r="BN1220" i="1"/>
  <c r="BQ1220" i="1" s="1"/>
  <c r="BB1340" i="1"/>
  <c r="BB214" i="1"/>
  <c r="BB988" i="1"/>
  <c r="BN849" i="1"/>
  <c r="BQ849" i="1" s="1"/>
  <c r="BB395" i="1"/>
  <c r="BB1173" i="1"/>
  <c r="BN707" i="1"/>
  <c r="BQ707" i="1" s="1"/>
  <c r="BB1053" i="1"/>
  <c r="BA625" i="1"/>
  <c r="BM1293" i="1"/>
  <c r="BB1213" i="1"/>
  <c r="BN1221" i="1"/>
  <c r="BQ1221" i="1" s="1"/>
  <c r="BB433" i="1"/>
  <c r="BB1128" i="1"/>
  <c r="BN1443" i="1"/>
  <c r="BQ1443" i="1" s="1"/>
  <c r="BB411" i="1"/>
  <c r="BN251" i="1"/>
  <c r="BQ251" i="1" s="1"/>
  <c r="BB407" i="1"/>
  <c r="BN1053" i="1"/>
  <c r="BQ1053" i="1" s="1"/>
  <c r="BB260" i="1"/>
  <c r="BB1140" i="1"/>
  <c r="BM1232" i="1"/>
  <c r="BN1059" i="1"/>
  <c r="BQ1059" i="1" s="1"/>
  <c r="BB1175" i="1"/>
  <c r="BB919" i="1"/>
  <c r="BN456" i="1"/>
  <c r="BQ456" i="1" s="1"/>
  <c r="BN624" i="1"/>
  <c r="BQ624" i="1" s="1"/>
  <c r="BN1329" i="1"/>
  <c r="BQ1329" i="1" s="1"/>
  <c r="BA498" i="1"/>
  <c r="BM231" i="1"/>
  <c r="BA1422" i="1"/>
  <c r="BM1028" i="1"/>
  <c r="BM413" i="1"/>
  <c r="BA1140" i="1"/>
  <c r="BM879" i="1"/>
  <c r="BM496" i="1"/>
  <c r="BN608" i="1"/>
  <c r="BQ608" i="1" s="1"/>
  <c r="BN1133" i="1"/>
  <c r="BQ1133" i="1" s="1"/>
  <c r="BM716" i="1"/>
  <c r="BB1333" i="1"/>
  <c r="BM1291" i="1"/>
  <c r="BM1068" i="1"/>
  <c r="BM667" i="1"/>
  <c r="BA1175" i="1"/>
  <c r="BA1093" i="1"/>
  <c r="BM541" i="1"/>
  <c r="BM627" i="1"/>
  <c r="BN574" i="1"/>
  <c r="BQ574" i="1" s="1"/>
  <c r="BB394" i="1"/>
  <c r="BN1071" i="1"/>
  <c r="BQ1071" i="1" s="1"/>
  <c r="BM1241" i="1"/>
  <c r="BA1240" i="1"/>
  <c r="BA1333" i="1"/>
  <c r="BA619" i="1"/>
  <c r="AZ619" i="1" s="1"/>
  <c r="BM1084" i="1"/>
  <c r="BA1155" i="1"/>
  <c r="BA479" i="1"/>
  <c r="BN1039" i="1"/>
  <c r="BQ1039" i="1" s="1"/>
  <c r="BN1063" i="1"/>
  <c r="BQ1063" i="1" s="1"/>
  <c r="BB464" i="1"/>
  <c r="BN1348" i="1"/>
  <c r="BQ1348" i="1" s="1"/>
  <c r="BN702" i="1"/>
  <c r="BQ702" i="1" s="1"/>
  <c r="BN383" i="1"/>
  <c r="BQ383" i="1" s="1"/>
  <c r="BN364" i="1"/>
  <c r="BQ364" i="1" s="1"/>
  <c r="BB461" i="1"/>
  <c r="BA674" i="1"/>
  <c r="BA461" i="1"/>
  <c r="BA1184" i="1"/>
  <c r="BA1350" i="1"/>
  <c r="BA1294" i="1"/>
  <c r="BN418" i="1"/>
  <c r="BQ418" i="1" s="1"/>
  <c r="BA1124" i="1"/>
  <c r="BM225" i="1"/>
  <c r="BM296" i="1"/>
  <c r="BM1163" i="1"/>
  <c r="BA381" i="1"/>
  <c r="BM928" i="1"/>
  <c r="BB1381" i="1"/>
  <c r="BB662" i="1"/>
  <c r="BM351" i="1"/>
  <c r="BM399" i="1"/>
  <c r="BA1118" i="1"/>
  <c r="BM1081" i="1"/>
  <c r="BB1395" i="1"/>
  <c r="BA324" i="1"/>
  <c r="BN1395" i="1"/>
  <c r="BQ1395" i="1" s="1"/>
  <c r="BM1236" i="1"/>
  <c r="BM1140" i="1"/>
  <c r="BA957" i="1"/>
  <c r="BM232" i="1"/>
  <c r="BB665" i="1"/>
  <c r="BA515" i="1"/>
  <c r="BN678" i="1"/>
  <c r="BQ678" i="1" s="1"/>
  <c r="BA1063" i="1"/>
  <c r="BM1050" i="1"/>
  <c r="BA435" i="1"/>
  <c r="BM444" i="1"/>
  <c r="BM857" i="1"/>
  <c r="BM1177" i="1"/>
  <c r="BA1034" i="1"/>
  <c r="BM347" i="1"/>
  <c r="BM333" i="1"/>
  <c r="BM1135" i="1"/>
  <c r="BA379" i="1"/>
  <c r="BM1054" i="1"/>
  <c r="BM401" i="1"/>
  <c r="BM1076" i="1"/>
  <c r="BM406" i="1"/>
  <c r="BM1046" i="1"/>
  <c r="BN1117" i="1"/>
  <c r="BQ1117" i="1" s="1"/>
  <c r="BB1125" i="1"/>
  <c r="BN958" i="1"/>
  <c r="BQ958" i="1" s="1"/>
  <c r="BN1157" i="1"/>
  <c r="BQ1157" i="1" s="1"/>
  <c r="BA673" i="1"/>
  <c r="BB401" i="1"/>
  <c r="BN321" i="1"/>
  <c r="BQ321" i="1" s="1"/>
  <c r="BA1334" i="1"/>
  <c r="BN260" i="1"/>
  <c r="BQ260" i="1" s="1"/>
  <c r="BM647" i="1"/>
  <c r="BN1052" i="1"/>
  <c r="BQ1052" i="1" s="1"/>
  <c r="BM1408" i="1"/>
  <c r="BB242" i="1"/>
  <c r="BN395" i="1"/>
  <c r="BQ395" i="1" s="1"/>
  <c r="BB1354" i="1"/>
  <c r="BB940" i="1"/>
  <c r="BN317" i="1"/>
  <c r="BQ317" i="1" s="1"/>
  <c r="BB1445" i="1"/>
  <c r="BB671" i="1"/>
  <c r="BN461" i="1"/>
  <c r="BQ461" i="1" s="1"/>
  <c r="BN1130" i="1"/>
  <c r="BQ1130" i="1" s="1"/>
  <c r="BN380" i="1"/>
  <c r="BQ380" i="1" s="1"/>
  <c r="BN665" i="1"/>
  <c r="BQ665" i="1" s="1"/>
  <c r="BN1086" i="1"/>
  <c r="BQ1086" i="1" s="1"/>
  <c r="BB659" i="1"/>
  <c r="BB1256" i="1"/>
  <c r="BN1128" i="1"/>
  <c r="BQ1128" i="1" s="1"/>
  <c r="BN1232" i="1"/>
  <c r="BQ1232" i="1" s="1"/>
  <c r="BN637" i="1"/>
  <c r="BQ637" i="1" s="1"/>
  <c r="BN994" i="1"/>
  <c r="BQ994" i="1" s="1"/>
  <c r="BB855" i="1"/>
  <c r="BB296" i="1"/>
  <c r="BM1340" i="1"/>
  <c r="BM602" i="1"/>
  <c r="BN619" i="1"/>
  <c r="BQ619" i="1" s="1"/>
  <c r="BB1135" i="1"/>
  <c r="BB929" i="1"/>
  <c r="BN706" i="1"/>
  <c r="BQ706" i="1" s="1"/>
  <c r="BM1414" i="1"/>
  <c r="BB1197" i="1"/>
  <c r="BL348" i="1"/>
  <c r="BP348" i="1"/>
  <c r="BO348" i="1" s="1"/>
  <c r="BA355" i="1"/>
  <c r="BA923" i="1"/>
  <c r="BM394" i="1"/>
  <c r="BB1346" i="1"/>
  <c r="BM1327" i="1"/>
  <c r="BB1409" i="1"/>
  <c r="BM403" i="1"/>
  <c r="BM1155" i="1"/>
  <c r="BM981" i="1"/>
  <c r="BA1443" i="1"/>
  <c r="BM1421" i="1"/>
  <c r="BM1124" i="1"/>
  <c r="BA1122" i="1"/>
  <c r="BM951" i="1"/>
  <c r="BA879" i="1"/>
  <c r="BM1064" i="1"/>
  <c r="BA383" i="1"/>
  <c r="BM362" i="1"/>
  <c r="BA669" i="1"/>
  <c r="BA495" i="1"/>
  <c r="BA224" i="1"/>
  <c r="BB1380" i="1"/>
  <c r="BM1116" i="1"/>
  <c r="BN1311" i="1"/>
  <c r="BQ1311" i="1" s="1"/>
  <c r="BA1070" i="1"/>
  <c r="BN573" i="1"/>
  <c r="BQ573" i="1" s="1"/>
  <c r="BM1175" i="1"/>
  <c r="BA1131" i="1"/>
  <c r="BB1293" i="1"/>
  <c r="BA701" i="1"/>
  <c r="BM1220" i="1"/>
  <c r="BA1340" i="1"/>
  <c r="BA214" i="1"/>
  <c r="BA988" i="1"/>
  <c r="BM849" i="1"/>
  <c r="BA395" i="1"/>
  <c r="BA1173" i="1"/>
  <c r="BM707" i="1"/>
  <c r="BA1053" i="1"/>
  <c r="BB625" i="1"/>
  <c r="BN1293" i="1"/>
  <c r="BQ1293" i="1" s="1"/>
  <c r="BA1213" i="1"/>
  <c r="BM1221" i="1"/>
  <c r="BA433" i="1"/>
  <c r="BA1128" i="1"/>
  <c r="BM1443" i="1"/>
  <c r="BA411" i="1"/>
  <c r="BM251" i="1"/>
  <c r="BA407" i="1"/>
  <c r="BM1053" i="1"/>
  <c r="BA260" i="1"/>
  <c r="AY1378" i="1" l="1"/>
  <c r="AY623" i="1"/>
  <c r="BP1377" i="1"/>
  <c r="BO1377" i="1" s="1"/>
  <c r="AX710" i="1"/>
  <c r="AW710" i="1" s="1"/>
  <c r="AX1329" i="1"/>
  <c r="AW1329" i="1" s="1"/>
  <c r="BP710" i="1"/>
  <c r="BO710" i="1" s="1"/>
  <c r="BP1261" i="1"/>
  <c r="BO1261" i="1" s="1"/>
  <c r="AY1339" i="1"/>
  <c r="AX677" i="1"/>
  <c r="AW677" i="1" s="1"/>
  <c r="AY1101" i="1"/>
  <c r="BP1196" i="1"/>
  <c r="BO1196" i="1" s="1"/>
  <c r="AX534" i="1"/>
  <c r="AW534" i="1" s="1"/>
  <c r="AY1188" i="1"/>
  <c r="BP1188" i="1"/>
  <c r="BO1188" i="1" s="1"/>
  <c r="AY621" i="1"/>
  <c r="BP1364" i="1"/>
  <c r="BO1364" i="1" s="1"/>
  <c r="AX1188" i="1"/>
  <c r="AW1188" i="1" s="1"/>
  <c r="AX1415" i="1"/>
  <c r="AW1415" i="1" s="1"/>
  <c r="AY1343" i="1"/>
  <c r="BL1386" i="1"/>
  <c r="BP1378" i="1"/>
  <c r="BO1378" i="1" s="1"/>
  <c r="AX857" i="1"/>
  <c r="AW857" i="1" s="1"/>
  <c r="BL663" i="1"/>
  <c r="AY675" i="1"/>
  <c r="AX1367" i="1"/>
  <c r="AW1367" i="1" s="1"/>
  <c r="AY630" i="1"/>
  <c r="BP658" i="1"/>
  <c r="BO658" i="1" s="1"/>
  <c r="AY1386" i="1"/>
  <c r="BP1385" i="1"/>
  <c r="BO1385" i="1" s="1"/>
  <c r="BP664" i="1"/>
  <c r="BO664" i="1" s="1"/>
  <c r="AX533" i="1"/>
  <c r="AW533" i="1" s="1"/>
  <c r="AX1392" i="1"/>
  <c r="AW1392" i="1" s="1"/>
  <c r="AX661" i="1"/>
  <c r="AW661" i="1" s="1"/>
  <c r="BP642" i="1"/>
  <c r="BO642" i="1" s="1"/>
  <c r="BP533" i="1"/>
  <c r="BO533" i="1" s="1"/>
  <c r="BL1338" i="1"/>
  <c r="BL622" i="1"/>
  <c r="BP622" i="1"/>
  <c r="BO622" i="1" s="1"/>
  <c r="AX1338" i="1"/>
  <c r="AW1338" i="1" s="1"/>
  <c r="AY566" i="1"/>
  <c r="BL1277" i="1"/>
  <c r="BP633" i="1"/>
  <c r="BO633" i="1" s="1"/>
  <c r="AX1087" i="1"/>
  <c r="AW1087" i="1" s="1"/>
  <c r="BL732" i="1"/>
  <c r="BP732" i="1"/>
  <c r="BO732" i="1" s="1"/>
  <c r="AY656" i="1"/>
  <c r="AX1330" i="1"/>
  <c r="AW1330" i="1" s="1"/>
  <c r="AY510" i="1"/>
  <c r="BP594" i="1"/>
  <c r="BO594" i="1" s="1"/>
  <c r="AX594" i="1"/>
  <c r="AW594" i="1" s="1"/>
  <c r="AX1371" i="1"/>
  <c r="AW1371" i="1" s="1"/>
  <c r="AX1281" i="1"/>
  <c r="AW1281" i="1" s="1"/>
  <c r="AY1299" i="1"/>
  <c r="AY1325" i="1"/>
  <c r="AZ1444" i="1"/>
  <c r="AY1442" i="1"/>
  <c r="BP652" i="1"/>
  <c r="BO652" i="1" s="1"/>
  <c r="AY1254" i="1"/>
  <c r="BP475" i="1"/>
  <c r="BO475" i="1" s="1"/>
  <c r="AZ1349" i="1"/>
  <c r="AY1426" i="1"/>
  <c r="AY692" i="1"/>
  <c r="AY729" i="1"/>
  <c r="AX398" i="1"/>
  <c r="AW398" i="1" s="1"/>
  <c r="AY710" i="1"/>
  <c r="BP1391" i="1"/>
  <c r="BO1391" i="1" s="1"/>
  <c r="AX1317" i="1"/>
  <c r="AW1317" i="1" s="1"/>
  <c r="AZ1188" i="1"/>
  <c r="AX1304" i="1"/>
  <c r="AW1304" i="1" s="1"/>
  <c r="AY1285" i="1"/>
  <c r="BL600" i="1"/>
  <c r="BP682" i="1"/>
  <c r="BO682" i="1" s="1"/>
  <c r="AX510" i="1"/>
  <c r="AW510" i="1" s="1"/>
  <c r="AY613" i="1"/>
  <c r="AY1391" i="1"/>
  <c r="AX577" i="1"/>
  <c r="AW577" i="1" s="1"/>
  <c r="AY586" i="1"/>
  <c r="AX1339" i="1"/>
  <c r="AW1339" i="1" s="1"/>
  <c r="AY1286" i="1"/>
  <c r="BP1325" i="1"/>
  <c r="BO1325" i="1" s="1"/>
  <c r="BP1413" i="1"/>
  <c r="BO1413" i="1" s="1"/>
  <c r="BP1304" i="1"/>
  <c r="BO1304" i="1" s="1"/>
  <c r="AY1362" i="1"/>
  <c r="AY633" i="1"/>
  <c r="AY1342" i="1"/>
  <c r="AX1261" i="1"/>
  <c r="AW1261" i="1" s="1"/>
  <c r="BQ1254" i="1"/>
  <c r="AX1343" i="1"/>
  <c r="AW1343" i="1" s="1"/>
  <c r="AY599" i="1"/>
  <c r="AX694" i="1"/>
  <c r="AW694" i="1" s="1"/>
  <c r="AY1314" i="1"/>
  <c r="AX702" i="1"/>
  <c r="AW702" i="1" s="1"/>
  <c r="AX1402" i="1"/>
  <c r="AW1402" i="1" s="1"/>
  <c r="AX680" i="1"/>
  <c r="AW680" i="1" s="1"/>
  <c r="BP680" i="1"/>
  <c r="BO680" i="1" s="1"/>
  <c r="AY1403" i="1"/>
  <c r="AY644" i="1"/>
  <c r="AX1426" i="1"/>
  <c r="AW1426" i="1" s="1"/>
  <c r="AY661" i="1"/>
  <c r="AY497" i="1"/>
  <c r="AY603" i="1"/>
  <c r="AX685" i="1"/>
  <c r="AW685" i="1" s="1"/>
  <c r="AY1336" i="1"/>
  <c r="AX1417" i="1"/>
  <c r="AW1417" i="1" s="1"/>
  <c r="BP1246" i="1"/>
  <c r="BO1246" i="1" s="1"/>
  <c r="AX582" i="1"/>
  <c r="AW582" i="1" s="1"/>
  <c r="BL1426" i="1"/>
  <c r="BL656" i="1"/>
  <c r="AY1370" i="1"/>
  <c r="BL356" i="1"/>
  <c r="BP1371" i="1"/>
  <c r="BO1371" i="1" s="1"/>
  <c r="AX656" i="1"/>
  <c r="AW656" i="1" s="1"/>
  <c r="AX729" i="1"/>
  <c r="AW729" i="1" s="1"/>
  <c r="BL1339" i="1"/>
  <c r="AY640" i="1"/>
  <c r="BL1371" i="1"/>
  <c r="AX588" i="1"/>
  <c r="AW588" i="1" s="1"/>
  <c r="AY1385" i="1"/>
  <c r="BL566" i="1"/>
  <c r="AY642" i="1"/>
  <c r="BL1411" i="1"/>
  <c r="AY1394" i="1"/>
  <c r="AY1196" i="1"/>
  <c r="AY576" i="1"/>
  <c r="AY1389" i="1"/>
  <c r="AY1303" i="1"/>
  <c r="AY677" i="1"/>
  <c r="AY658" i="1"/>
  <c r="AY1419" i="1"/>
  <c r="AY1344" i="1"/>
  <c r="BP324" i="1"/>
  <c r="BO324" i="1" s="1"/>
  <c r="AY588" i="1"/>
  <c r="AY628" i="1"/>
  <c r="AY1358" i="1"/>
  <c r="BL987" i="1"/>
  <c r="AX624" i="1"/>
  <c r="AW624" i="1" s="1"/>
  <c r="AY468" i="1"/>
  <c r="AZ1338" i="1"/>
  <c r="AY694" i="1"/>
  <c r="BL587" i="1"/>
  <c r="AY733" i="1"/>
  <c r="AY1410" i="1"/>
  <c r="AX1336" i="1"/>
  <c r="AW1336" i="1" s="1"/>
  <c r="AY1187" i="1"/>
  <c r="AY520" i="1"/>
  <c r="AY1300" i="1"/>
  <c r="AY1360" i="1"/>
  <c r="AY1384" i="1"/>
  <c r="AY1322" i="1"/>
  <c r="AY1364" i="1"/>
  <c r="AY1397" i="1"/>
  <c r="AY1367" i="1"/>
  <c r="AY1377" i="1"/>
  <c r="AY495" i="1"/>
  <c r="BL940" i="1"/>
  <c r="BL267" i="1"/>
  <c r="AX1275" i="1"/>
  <c r="AW1275" i="1" s="1"/>
  <c r="AY699" i="1"/>
  <c r="BP675" i="1"/>
  <c r="BO675" i="1" s="1"/>
  <c r="AY1087" i="1"/>
  <c r="AY728" i="1"/>
  <c r="AY1281" i="1"/>
  <c r="AY533" i="1"/>
  <c r="AY639" i="1"/>
  <c r="AY1415" i="1"/>
  <c r="AY1268" i="1"/>
  <c r="AY1379" i="1"/>
  <c r="AY1261" i="1"/>
  <c r="AY1331" i="1"/>
  <c r="AY1328" i="1"/>
  <c r="AY663" i="1"/>
  <c r="BP230" i="1"/>
  <c r="BO230" i="1" s="1"/>
  <c r="AX343" i="1"/>
  <c r="AW343" i="1" s="1"/>
  <c r="AY1413" i="1"/>
  <c r="AY1321" i="1"/>
  <c r="AY1368" i="1"/>
  <c r="AY1400" i="1"/>
  <c r="AY1411" i="1"/>
  <c r="AY1361" i="1"/>
  <c r="AY1357" i="1"/>
  <c r="AY553" i="1"/>
  <c r="AY680" i="1"/>
  <c r="AZ692" i="1"/>
  <c r="AX692" i="1"/>
  <c r="AW692" i="1" s="1"/>
  <c r="BL613" i="1"/>
  <c r="BP613" i="1"/>
  <c r="BO613" i="1" s="1"/>
  <c r="BP630" i="1"/>
  <c r="BO630" i="1" s="1"/>
  <c r="BL630" i="1"/>
  <c r="BP548" i="1"/>
  <c r="BO548" i="1" s="1"/>
  <c r="BL548" i="1"/>
  <c r="BP565" i="1"/>
  <c r="BO565" i="1" s="1"/>
  <c r="BL565" i="1"/>
  <c r="BP1397" i="1"/>
  <c r="BO1397" i="1" s="1"/>
  <c r="BL1397" i="1"/>
  <c r="AZ600" i="1"/>
  <c r="AX600" i="1"/>
  <c r="AW600" i="1" s="1"/>
  <c r="BL1358" i="1"/>
  <c r="BP1358" i="1"/>
  <c r="BO1358" i="1" s="1"/>
  <c r="BP1384" i="1"/>
  <c r="BO1384" i="1" s="1"/>
  <c r="BL1384" i="1"/>
  <c r="AZ1384" i="1"/>
  <c r="AX1384" i="1"/>
  <c r="AW1384" i="1" s="1"/>
  <c r="AX1430" i="1"/>
  <c r="AW1430" i="1" s="1"/>
  <c r="AZ1430" i="1"/>
  <c r="BL1430" i="1"/>
  <c r="BP1430" i="1"/>
  <c r="BO1430" i="1" s="1"/>
  <c r="AX1316" i="1"/>
  <c r="AW1316" i="1" s="1"/>
  <c r="AZ1316" i="1"/>
  <c r="BP1362" i="1"/>
  <c r="BO1362" i="1" s="1"/>
  <c r="BL1362" i="1"/>
  <c r="AY1290" i="1"/>
  <c r="BL1285" i="1"/>
  <c r="BP1285" i="1"/>
  <c r="BO1285" i="1" s="1"/>
  <c r="AX640" i="1"/>
  <c r="AW640" i="1" s="1"/>
  <c r="AZ640" i="1"/>
  <c r="AZ1390" i="1"/>
  <c r="AX1390" i="1"/>
  <c r="AW1390" i="1" s="1"/>
  <c r="BL1300" i="1"/>
  <c r="BP1300" i="1"/>
  <c r="BO1300" i="1" s="1"/>
  <c r="AX1303" i="1"/>
  <c r="AW1303" i="1" s="1"/>
  <c r="AZ1303" i="1"/>
  <c r="AY1424" i="1"/>
  <c r="AX1410" i="1"/>
  <c r="AW1410" i="1" s="1"/>
  <c r="AZ1410" i="1"/>
  <c r="BP1281" i="1"/>
  <c r="BO1281" i="1" s="1"/>
  <c r="BL1281" i="1"/>
  <c r="AZ565" i="1"/>
  <c r="AX565" i="1"/>
  <c r="AW565" i="1" s="1"/>
  <c r="BP1406" i="1"/>
  <c r="BO1406" i="1" s="1"/>
  <c r="BL1406" i="1"/>
  <c r="BP728" i="1"/>
  <c r="BO728" i="1" s="1"/>
  <c r="BL728" i="1"/>
  <c r="AY1349" i="1"/>
  <c r="AY475" i="1"/>
  <c r="AY1406" i="1"/>
  <c r="AZ1268" i="1"/>
  <c r="AX1268" i="1"/>
  <c r="AW1268" i="1" s="1"/>
  <c r="AZ1331" i="1"/>
  <c r="AX1331" i="1"/>
  <c r="AW1331" i="1" s="1"/>
  <c r="AY559" i="1"/>
  <c r="AX599" i="1"/>
  <c r="AW599" i="1" s="1"/>
  <c r="AZ599" i="1"/>
  <c r="AY582" i="1"/>
  <c r="BP1361" i="1"/>
  <c r="BO1361" i="1" s="1"/>
  <c r="BL1361" i="1"/>
  <c r="BL586" i="1"/>
  <c r="BP586" i="1"/>
  <c r="BO586" i="1" s="1"/>
  <c r="BP582" i="1"/>
  <c r="BO582" i="1" s="1"/>
  <c r="BL582" i="1"/>
  <c r="AZ1325" i="1"/>
  <c r="AX1325" i="1"/>
  <c r="AW1325" i="1" s="1"/>
  <c r="AZ1393" i="1"/>
  <c r="AX1393" i="1"/>
  <c r="AW1393" i="1" s="1"/>
  <c r="BP733" i="1"/>
  <c r="BO733" i="1" s="1"/>
  <c r="BL733" i="1"/>
  <c r="AY1277" i="1"/>
  <c r="AY593" i="1"/>
  <c r="AX613" i="1"/>
  <c r="AW613" i="1" s="1"/>
  <c r="AX1397" i="1"/>
  <c r="AW1397" i="1" s="1"/>
  <c r="AY672" i="1"/>
  <c r="BL1268" i="1"/>
  <c r="BP1268" i="1"/>
  <c r="BO1268" i="1" s="1"/>
  <c r="BP599" i="1"/>
  <c r="BO599" i="1" s="1"/>
  <c r="BL599" i="1"/>
  <c r="AZ645" i="1"/>
  <c r="AX645" i="1"/>
  <c r="AW645" i="1" s="1"/>
  <c r="BP1328" i="1"/>
  <c r="BO1328" i="1" s="1"/>
  <c r="BL1328" i="1"/>
  <c r="BP539" i="1"/>
  <c r="BO539" i="1" s="1"/>
  <c r="BL539" i="1"/>
  <c r="AZ1400" i="1"/>
  <c r="AX1400" i="1"/>
  <c r="AW1400" i="1" s="1"/>
  <c r="AY1338" i="1"/>
  <c r="BP618" i="1"/>
  <c r="BO618" i="1" s="1"/>
  <c r="BL618" i="1"/>
  <c r="BL576" i="1"/>
  <c r="BP576" i="1"/>
  <c r="BO576" i="1" s="1"/>
  <c r="BL704" i="1"/>
  <c r="BP704" i="1"/>
  <c r="BO704" i="1" s="1"/>
  <c r="AX628" i="1"/>
  <c r="AW628" i="1" s="1"/>
  <c r="AZ628" i="1"/>
  <c r="AZ1328" i="1"/>
  <c r="AX1328" i="1"/>
  <c r="AW1328" i="1" s="1"/>
  <c r="AX1370" i="1"/>
  <c r="AW1370" i="1" s="1"/>
  <c r="AZ1370" i="1"/>
  <c r="AY1392" i="1"/>
  <c r="AY1376" i="1"/>
  <c r="AY1402" i="1"/>
  <c r="AX639" i="1"/>
  <c r="AW639" i="1" s="1"/>
  <c r="BP639" i="1"/>
  <c r="BO639" i="1" s="1"/>
  <c r="BL639" i="1"/>
  <c r="BP1344" i="1"/>
  <c r="BO1344" i="1" s="1"/>
  <c r="BL1344" i="1"/>
  <c r="BP1254" i="1"/>
  <c r="BO1254" i="1" s="1"/>
  <c r="BL1254" i="1"/>
  <c r="AZ1231" i="1"/>
  <c r="AX1231" i="1"/>
  <c r="AW1231" i="1" s="1"/>
  <c r="AZ513" i="1"/>
  <c r="AX513" i="1"/>
  <c r="AW513" i="1" s="1"/>
  <c r="AY1276" i="1"/>
  <c r="AZ520" i="1"/>
  <c r="AX520" i="1"/>
  <c r="AW520" i="1" s="1"/>
  <c r="AY594" i="1"/>
  <c r="AX539" i="1"/>
  <c r="AW539" i="1" s="1"/>
  <c r="AZ539" i="1"/>
  <c r="BL1316" i="1"/>
  <c r="BP1316" i="1"/>
  <c r="BO1316" i="1" s="1"/>
  <c r="BP651" i="1"/>
  <c r="BO651" i="1" s="1"/>
  <c r="BL651" i="1"/>
  <c r="AX1442" i="1"/>
  <c r="AW1442" i="1" s="1"/>
  <c r="AZ1442" i="1"/>
  <c r="AY565" i="1"/>
  <c r="AY552" i="1"/>
  <c r="BL1187" i="1"/>
  <c r="BP1187" i="1"/>
  <c r="BO1187" i="1" s="1"/>
  <c r="AZ652" i="1"/>
  <c r="AX652" i="1"/>
  <c r="AW652" i="1" s="1"/>
  <c r="AY1393" i="1"/>
  <c r="BL1101" i="1"/>
  <c r="BP1101" i="1"/>
  <c r="BO1101" i="1" s="1"/>
  <c r="BL672" i="1"/>
  <c r="BP672" i="1"/>
  <c r="BO672" i="1" s="1"/>
  <c r="AX475" i="1"/>
  <c r="AW475" i="1" s="1"/>
  <c r="AZ475" i="1"/>
  <c r="AZ651" i="1"/>
  <c r="AX651" i="1"/>
  <c r="AW651" i="1" s="1"/>
  <c r="AY732" i="1"/>
  <c r="AY704" i="1"/>
  <c r="AZ1342" i="1"/>
  <c r="AX1342" i="1"/>
  <c r="AW1342" i="1" s="1"/>
  <c r="AY534" i="1"/>
  <c r="BP1343" i="1"/>
  <c r="BO1343" i="1" s="1"/>
  <c r="BL1343" i="1"/>
  <c r="BP1326" i="1"/>
  <c r="BO1326" i="1" s="1"/>
  <c r="BL1326" i="1"/>
  <c r="AX1196" i="1"/>
  <c r="AW1196" i="1" s="1"/>
  <c r="AZ1196" i="1"/>
  <c r="BP1441" i="1"/>
  <c r="BO1441" i="1" s="1"/>
  <c r="BL1441" i="1"/>
  <c r="BL1231" i="1"/>
  <c r="BP1231" i="1"/>
  <c r="BO1231" i="1" s="1"/>
  <c r="BL692" i="1"/>
  <c r="BP692" i="1"/>
  <c r="BO692" i="1" s="1"/>
  <c r="AY1412" i="1"/>
  <c r="AZ1285" i="1"/>
  <c r="AX1285" i="1"/>
  <c r="AW1285" i="1" s="1"/>
  <c r="BP1403" i="1"/>
  <c r="BO1403" i="1" s="1"/>
  <c r="BL1403" i="1"/>
  <c r="BL1400" i="1"/>
  <c r="BP1400" i="1"/>
  <c r="BO1400" i="1" s="1"/>
  <c r="AZ682" i="1"/>
  <c r="AX682" i="1"/>
  <c r="AW682" i="1" s="1"/>
  <c r="AY651" i="1"/>
  <c r="AY1326" i="1"/>
  <c r="AY539" i="1"/>
  <c r="AY587" i="1"/>
  <c r="BP1357" i="1"/>
  <c r="BO1357" i="1" s="1"/>
  <c r="BL1357" i="1"/>
  <c r="AY676" i="1"/>
  <c r="AY544" i="1"/>
  <c r="AZ633" i="1"/>
  <c r="AX633" i="1"/>
  <c r="AW633" i="1" s="1"/>
  <c r="AY1347" i="1"/>
  <c r="AX675" i="1"/>
  <c r="AW675" i="1" s="1"/>
  <c r="AZ675" i="1"/>
  <c r="BP1286" i="1"/>
  <c r="BO1286" i="1" s="1"/>
  <c r="BL1286" i="1"/>
  <c r="AY1231" i="1"/>
  <c r="AZ1411" i="1"/>
  <c r="AX1411" i="1"/>
  <c r="AW1411" i="1" s="1"/>
  <c r="BL520" i="1"/>
  <c r="BP520" i="1"/>
  <c r="BO520" i="1" s="1"/>
  <c r="BP640" i="1"/>
  <c r="BO640" i="1" s="1"/>
  <c r="BL640" i="1"/>
  <c r="BL1330" i="1"/>
  <c r="BP1330" i="1"/>
  <c r="BO1330" i="1" s="1"/>
  <c r="AZ688" i="1"/>
  <c r="AX688" i="1"/>
  <c r="AW688" i="1" s="1"/>
  <c r="BL644" i="1"/>
  <c r="BP644" i="1"/>
  <c r="BO644" i="1" s="1"/>
  <c r="BP694" i="1"/>
  <c r="BO694" i="1" s="1"/>
  <c r="BL694" i="1"/>
  <c r="AY514" i="1"/>
  <c r="BL1360" i="1"/>
  <c r="BP1360" i="1"/>
  <c r="BO1360" i="1" s="1"/>
  <c r="BP510" i="1"/>
  <c r="BO510" i="1" s="1"/>
  <c r="BL510" i="1"/>
  <c r="BP514" i="1"/>
  <c r="BO514" i="1" s="1"/>
  <c r="BL514" i="1"/>
  <c r="AZ1386" i="1"/>
  <c r="AX1386" i="1"/>
  <c r="AW1386" i="1" s="1"/>
  <c r="AX1361" i="1"/>
  <c r="AW1361" i="1" s="1"/>
  <c r="BL653" i="1"/>
  <c r="BP653" i="1"/>
  <c r="BO653" i="1" s="1"/>
  <c r="AX1101" i="1"/>
  <c r="AW1101" i="1" s="1"/>
  <c r="BP666" i="1"/>
  <c r="BO666" i="1" s="1"/>
  <c r="BL666" i="1"/>
  <c r="BL1290" i="1"/>
  <c r="BP1290" i="1"/>
  <c r="BO1290" i="1" s="1"/>
  <c r="BL1367" i="1"/>
  <c r="BP1367" i="1"/>
  <c r="BO1367" i="1" s="1"/>
  <c r="AX666" i="1"/>
  <c r="AW666" i="1" s="1"/>
  <c r="AZ666" i="1"/>
  <c r="AX1379" i="1"/>
  <c r="AW1379" i="1" s="1"/>
  <c r="BL1379" i="1"/>
  <c r="BP1379" i="1"/>
  <c r="BO1379" i="1" s="1"/>
  <c r="AX552" i="1"/>
  <c r="AW552" i="1" s="1"/>
  <c r="AZ552" i="1"/>
  <c r="AZ672" i="1"/>
  <c r="AX672" i="1"/>
  <c r="AW672" i="1" s="1"/>
  <c r="BP1368" i="1"/>
  <c r="BO1368" i="1" s="1"/>
  <c r="BL1368" i="1"/>
  <c r="AZ663" i="1"/>
  <c r="AX663" i="1"/>
  <c r="AW663" i="1" s="1"/>
  <c r="AY1304" i="1"/>
  <c r="BP1317" i="1"/>
  <c r="BO1317" i="1" s="1"/>
  <c r="BL1317" i="1"/>
  <c r="BL1410" i="1"/>
  <c r="BP1410" i="1"/>
  <c r="BO1410" i="1" s="1"/>
  <c r="BL603" i="1"/>
  <c r="BP603" i="1"/>
  <c r="BO603" i="1" s="1"/>
  <c r="AZ1413" i="1"/>
  <c r="AX1413" i="1"/>
  <c r="AW1413" i="1" s="1"/>
  <c r="BP1303" i="1"/>
  <c r="BO1303" i="1" s="1"/>
  <c r="BL1303" i="1"/>
  <c r="AX1347" i="1"/>
  <c r="AW1347" i="1" s="1"/>
  <c r="AZ1347" i="1"/>
  <c r="AX728" i="1"/>
  <c r="AW728" i="1" s="1"/>
  <c r="AZ728" i="1"/>
  <c r="BP1392" i="1"/>
  <c r="BO1392" i="1" s="1"/>
  <c r="BL1392" i="1"/>
  <c r="BL1402" i="1"/>
  <c r="BP1402" i="1"/>
  <c r="BO1402" i="1" s="1"/>
  <c r="AX618" i="1"/>
  <c r="AW618" i="1" s="1"/>
  <c r="AX636" i="1"/>
  <c r="AW636" i="1" s="1"/>
  <c r="AZ636" i="1"/>
  <c r="BP699" i="1"/>
  <c r="BO699" i="1" s="1"/>
  <c r="BL699" i="1"/>
  <c r="BL1424" i="1"/>
  <c r="BP1424" i="1"/>
  <c r="BO1424" i="1" s="1"/>
  <c r="BP1394" i="1"/>
  <c r="BO1394" i="1" s="1"/>
  <c r="BL1394" i="1"/>
  <c r="AY1317" i="1"/>
  <c r="AX548" i="1"/>
  <c r="AW548" i="1" s="1"/>
  <c r="AX1378" i="1"/>
  <c r="AW1378" i="1" s="1"/>
  <c r="AZ1378" i="1"/>
  <c r="BP636" i="1"/>
  <c r="BO636" i="1" s="1"/>
  <c r="BL636" i="1"/>
  <c r="AZ1441" i="1"/>
  <c r="AX1441" i="1"/>
  <c r="AW1441" i="1" s="1"/>
  <c r="AX733" i="1"/>
  <c r="AW733" i="1" s="1"/>
  <c r="AZ733" i="1"/>
  <c r="BL1370" i="1"/>
  <c r="BP1370" i="1"/>
  <c r="BO1370" i="1" s="1"/>
  <c r="AY548" i="1"/>
  <c r="BP577" i="1"/>
  <c r="BO577" i="1" s="1"/>
  <c r="BL577" i="1"/>
  <c r="BL1331" i="1"/>
  <c r="BP1331" i="1"/>
  <c r="BO1331" i="1" s="1"/>
  <c r="AX576" i="1"/>
  <c r="AW576" i="1" s="1"/>
  <c r="BP1299" i="1"/>
  <c r="BO1299" i="1" s="1"/>
  <c r="BL1299" i="1"/>
  <c r="AY1444" i="1"/>
  <c r="AX603" i="1"/>
  <c r="AW603" i="1" s="1"/>
  <c r="BP559" i="1"/>
  <c r="BO559" i="1" s="1"/>
  <c r="BL559" i="1"/>
  <c r="BP1376" i="1"/>
  <c r="BO1376" i="1" s="1"/>
  <c r="BL1376" i="1"/>
  <c r="BP1087" i="1"/>
  <c r="BO1087" i="1" s="1"/>
  <c r="BL1087" i="1"/>
  <c r="BP1321" i="1"/>
  <c r="BO1321" i="1" s="1"/>
  <c r="BL1321" i="1"/>
  <c r="BL628" i="1"/>
  <c r="BP628" i="1"/>
  <c r="BO628" i="1" s="1"/>
  <c r="AZ699" i="1"/>
  <c r="AX699" i="1"/>
  <c r="AW699" i="1" s="1"/>
  <c r="AX1357" i="1"/>
  <c r="AW1357" i="1" s="1"/>
  <c r="AZ1357" i="1"/>
  <c r="BL1419" i="1"/>
  <c r="BP1419" i="1"/>
  <c r="BO1419" i="1" s="1"/>
  <c r="AZ1385" i="1"/>
  <c r="AX1385" i="1"/>
  <c r="AW1385" i="1" s="1"/>
  <c r="AY1137" i="1"/>
  <c r="BP1347" i="1"/>
  <c r="BO1347" i="1" s="1"/>
  <c r="BL1347" i="1"/>
  <c r="BP1412" i="1"/>
  <c r="BO1412" i="1" s="1"/>
  <c r="BL1412" i="1"/>
  <c r="BP1369" i="1"/>
  <c r="BO1369" i="1" s="1"/>
  <c r="BL1369" i="1"/>
  <c r="BL645" i="1"/>
  <c r="BP645" i="1"/>
  <c r="BO645" i="1" s="1"/>
  <c r="AZ1187" i="1"/>
  <c r="AX1187" i="1"/>
  <c r="AW1187" i="1" s="1"/>
  <c r="BP676" i="1"/>
  <c r="BO676" i="1" s="1"/>
  <c r="BL676" i="1"/>
  <c r="BL1415" i="1"/>
  <c r="BP1415" i="1"/>
  <c r="BO1415" i="1" s="1"/>
  <c r="AZ1389" i="1"/>
  <c r="AX1389" i="1"/>
  <c r="AW1389" i="1" s="1"/>
  <c r="AX664" i="1"/>
  <c r="AW664" i="1" s="1"/>
  <c r="AZ664" i="1"/>
  <c r="AY1430" i="1"/>
  <c r="AY1369" i="1"/>
  <c r="AY600" i="1"/>
  <c r="BL588" i="1"/>
  <c r="BP588" i="1"/>
  <c r="BO588" i="1" s="1"/>
  <c r="AZ686" i="1"/>
  <c r="AX686" i="1"/>
  <c r="AW686" i="1" s="1"/>
  <c r="BP553" i="1"/>
  <c r="BO553" i="1" s="1"/>
  <c r="BL553" i="1"/>
  <c r="AZ1299" i="1"/>
  <c r="AX1299" i="1"/>
  <c r="AW1299" i="1" s="1"/>
  <c r="AX644" i="1"/>
  <c r="AW644" i="1" s="1"/>
  <c r="AZ644" i="1"/>
  <c r="AX1344" i="1"/>
  <c r="AW1344" i="1" s="1"/>
  <c r="AZ1286" i="1"/>
  <c r="AX1286" i="1"/>
  <c r="AW1286" i="1" s="1"/>
  <c r="BL593" i="1"/>
  <c r="BP593" i="1"/>
  <c r="BO593" i="1" s="1"/>
  <c r="AY686" i="1"/>
  <c r="BP534" i="1"/>
  <c r="BO534" i="1" s="1"/>
  <c r="BL534" i="1"/>
  <c r="BL1393" i="1"/>
  <c r="BP1393" i="1"/>
  <c r="BO1393" i="1" s="1"/>
  <c r="AX586" i="1"/>
  <c r="AW586" i="1" s="1"/>
  <c r="AZ586" i="1"/>
  <c r="BL552" i="1"/>
  <c r="BP552" i="1"/>
  <c r="BO552" i="1" s="1"/>
  <c r="AZ544" i="1"/>
  <c r="AX544" i="1"/>
  <c r="AW544" i="1" s="1"/>
  <c r="AY513" i="1"/>
  <c r="AX1419" i="1"/>
  <c r="AW1419" i="1" s="1"/>
  <c r="AZ1419" i="1"/>
  <c r="AX1360" i="1"/>
  <c r="AW1360" i="1" s="1"/>
  <c r="AZ1360" i="1"/>
  <c r="BP1276" i="1"/>
  <c r="BO1276" i="1" s="1"/>
  <c r="BL1276" i="1"/>
  <c r="BP677" i="1"/>
  <c r="BO677" i="1" s="1"/>
  <c r="BL677" i="1"/>
  <c r="AZ1277" i="1"/>
  <c r="AX1277" i="1"/>
  <c r="AW1277" i="1" s="1"/>
  <c r="AZ1254" i="1"/>
  <c r="AX1254" i="1"/>
  <c r="AW1254" i="1" s="1"/>
  <c r="AY1345" i="1"/>
  <c r="AZ1326" i="1"/>
  <c r="AX1326" i="1"/>
  <c r="AW1326" i="1" s="1"/>
  <c r="AY1330" i="1"/>
  <c r="BP513" i="1"/>
  <c r="BO513" i="1" s="1"/>
  <c r="BL513" i="1"/>
  <c r="AY1371" i="1"/>
  <c r="AX704" i="1"/>
  <c r="AW704" i="1" s="1"/>
  <c r="AZ704" i="1"/>
  <c r="AX1368" i="1"/>
  <c r="AW1368" i="1" s="1"/>
  <c r="AY622" i="1"/>
  <c r="AZ1300" i="1"/>
  <c r="AX1300" i="1"/>
  <c r="AW1300" i="1" s="1"/>
  <c r="AX1369" i="1"/>
  <c r="AW1369" i="1" s="1"/>
  <c r="AZ1369" i="1"/>
  <c r="AX1377" i="1"/>
  <c r="AW1377" i="1" s="1"/>
  <c r="AZ1377" i="1"/>
  <c r="AZ593" i="1"/>
  <c r="AX593" i="1"/>
  <c r="AW593" i="1" s="1"/>
  <c r="AZ1376" i="1"/>
  <c r="AX1376" i="1"/>
  <c r="AW1376" i="1" s="1"/>
  <c r="AX566" i="1"/>
  <c r="AW566" i="1" s="1"/>
  <c r="AZ566" i="1"/>
  <c r="AY577" i="1"/>
  <c r="BL1345" i="1"/>
  <c r="BP1345" i="1"/>
  <c r="BO1345" i="1" s="1"/>
  <c r="AZ653" i="1"/>
  <c r="AX653" i="1"/>
  <c r="AW653" i="1" s="1"/>
  <c r="BP729" i="1"/>
  <c r="BO729" i="1" s="1"/>
  <c r="BL729" i="1"/>
  <c r="AZ1391" i="1"/>
  <c r="AX1391" i="1"/>
  <c r="AW1391" i="1" s="1"/>
  <c r="AX630" i="1"/>
  <c r="AW630" i="1" s="1"/>
  <c r="AX553" i="1"/>
  <c r="AW553" i="1" s="1"/>
  <c r="AZ553" i="1"/>
  <c r="AZ1322" i="1"/>
  <c r="AX1322" i="1"/>
  <c r="AW1322" i="1" s="1"/>
  <c r="AY664" i="1"/>
  <c r="AZ621" i="1"/>
  <c r="AX621" i="1"/>
  <c r="AW621" i="1" s="1"/>
  <c r="AY688" i="1"/>
  <c r="BL1336" i="1"/>
  <c r="BP1336" i="1"/>
  <c r="BO1336" i="1" s="1"/>
  <c r="AX1412" i="1"/>
  <c r="AW1412" i="1" s="1"/>
  <c r="AZ1412" i="1"/>
  <c r="AY645" i="1"/>
  <c r="AX642" i="1"/>
  <c r="AW642" i="1" s="1"/>
  <c r="AZ642" i="1"/>
  <c r="BP1442" i="1"/>
  <c r="BO1442" i="1" s="1"/>
  <c r="BL1442" i="1"/>
  <c r="AX1394" i="1"/>
  <c r="AW1394" i="1" s="1"/>
  <c r="AZ1394" i="1"/>
  <c r="AX623" i="1"/>
  <c r="AW623" i="1" s="1"/>
  <c r="AZ623" i="1"/>
  <c r="AX1364" i="1"/>
  <c r="AW1364" i="1" s="1"/>
  <c r="AZ1364" i="1"/>
  <c r="BP544" i="1"/>
  <c r="BO544" i="1" s="1"/>
  <c r="BL544" i="1"/>
  <c r="BP686" i="1"/>
  <c r="BO686" i="1" s="1"/>
  <c r="BL686" i="1"/>
  <c r="AY652" i="1"/>
  <c r="AZ676" i="1"/>
  <c r="AX676" i="1"/>
  <c r="AW676" i="1" s="1"/>
  <c r="BL1314" i="1"/>
  <c r="BP1314" i="1"/>
  <c r="BO1314" i="1" s="1"/>
  <c r="BP1322" i="1"/>
  <c r="BO1322" i="1" s="1"/>
  <c r="BL1322" i="1"/>
  <c r="BP688" i="1"/>
  <c r="BO688" i="1" s="1"/>
  <c r="BL688" i="1"/>
  <c r="AX1276" i="1"/>
  <c r="AW1276" i="1" s="1"/>
  <c r="AZ1276" i="1"/>
  <c r="AX587" i="1"/>
  <c r="AW587" i="1" s="1"/>
  <c r="AX514" i="1"/>
  <c r="AW514" i="1" s="1"/>
  <c r="AX559" i="1"/>
  <c r="AW559" i="1" s="1"/>
  <c r="AY666" i="1"/>
  <c r="AX1358" i="1"/>
  <c r="AW1358" i="1" s="1"/>
  <c r="AZ1358" i="1"/>
  <c r="AX1362" i="1"/>
  <c r="AW1362" i="1" s="1"/>
  <c r="AX1321" i="1"/>
  <c r="AW1321" i="1" s="1"/>
  <c r="AZ658" i="1"/>
  <c r="AX658" i="1"/>
  <c r="AW658" i="1" s="1"/>
  <c r="AY682" i="1"/>
  <c r="AY618" i="1"/>
  <c r="AX328" i="1"/>
  <c r="AW328" i="1" s="1"/>
  <c r="AX232" i="1"/>
  <c r="AW232" i="1" s="1"/>
  <c r="AX1027" i="1"/>
  <c r="AW1027" i="1" s="1"/>
  <c r="AX1089" i="1"/>
  <c r="AW1089" i="1" s="1"/>
  <c r="AX223" i="1"/>
  <c r="AW223" i="1" s="1"/>
  <c r="BP923" i="1"/>
  <c r="BO923" i="1" s="1"/>
  <c r="AX1123" i="1"/>
  <c r="AW1123" i="1" s="1"/>
  <c r="BL461" i="1"/>
  <c r="AY956" i="1"/>
  <c r="AY1365" i="1"/>
  <c r="AX1064" i="1"/>
  <c r="AW1064" i="1" s="1"/>
  <c r="AY224" i="1"/>
  <c r="AX384" i="1"/>
  <c r="AW384" i="1" s="1"/>
  <c r="AY856" i="1"/>
  <c r="AY1333" i="1"/>
  <c r="AY1332" i="1"/>
  <c r="AX973" i="1"/>
  <c r="AW973" i="1" s="1"/>
  <c r="AX545" i="1"/>
  <c r="AW545" i="1" s="1"/>
  <c r="AY462" i="1"/>
  <c r="BP1350" i="1"/>
  <c r="BO1350" i="1" s="1"/>
  <c r="AX149" i="1"/>
  <c r="AW149" i="1" s="1"/>
  <c r="AY1350" i="1"/>
  <c r="AX139" i="1"/>
  <c r="AW139" i="1" s="1"/>
  <c r="AX439" i="1"/>
  <c r="AW439" i="1" s="1"/>
  <c r="AY1310" i="1"/>
  <c r="BP975" i="1"/>
  <c r="BO975" i="1" s="1"/>
  <c r="AY669" i="1"/>
  <c r="AX956" i="1"/>
  <c r="AW956" i="1" s="1"/>
  <c r="BL404" i="1"/>
  <c r="AX627" i="1"/>
  <c r="AW627" i="1" s="1"/>
  <c r="AY379" i="1"/>
  <c r="BL706" i="1"/>
  <c r="AY1138" i="1"/>
  <c r="AY1271" i="1"/>
  <c r="AY396" i="1"/>
  <c r="AY1106" i="1"/>
  <c r="BP619" i="1"/>
  <c r="BO619" i="1" s="1"/>
  <c r="AY381" i="1"/>
  <c r="AY1174" i="1"/>
  <c r="AY673" i="1"/>
  <c r="AY957" i="1"/>
  <c r="BP1157" i="1"/>
  <c r="BO1157" i="1" s="1"/>
  <c r="AY1134" i="1"/>
  <c r="AX1327" i="1"/>
  <c r="AW1327" i="1" s="1"/>
  <c r="AY1291" i="1"/>
  <c r="BP665" i="1"/>
  <c r="BO665" i="1" s="1"/>
  <c r="AX1106" i="1"/>
  <c r="AW1106" i="1" s="1"/>
  <c r="BL671" i="1"/>
  <c r="AY1109" i="1"/>
  <c r="AX492" i="1"/>
  <c r="AW492" i="1" s="1"/>
  <c r="AX558" i="1"/>
  <c r="AW558" i="1" s="1"/>
  <c r="AX1246" i="1"/>
  <c r="AW1246" i="1" s="1"/>
  <c r="AX468" i="1"/>
  <c r="AW468" i="1" s="1"/>
  <c r="AY343" i="1"/>
  <c r="AX242" i="1"/>
  <c r="AW242" i="1" s="1"/>
  <c r="BL380" i="1"/>
  <c r="AZ492" i="1"/>
  <c r="AY1213" i="1"/>
  <c r="BL1078" i="1"/>
  <c r="AY855" i="1"/>
  <c r="AY1135" i="1"/>
  <c r="AZ439" i="1"/>
  <c r="AY879" i="1"/>
  <c r="AY1324" i="1"/>
  <c r="AX1382" i="1"/>
  <c r="AW1382" i="1" s="1"/>
  <c r="BP929" i="1"/>
  <c r="BO929" i="1" s="1"/>
  <c r="BP1134" i="1"/>
  <c r="BO1134" i="1" s="1"/>
  <c r="AY625" i="1"/>
  <c r="AX230" i="1"/>
  <c r="AW230" i="1" s="1"/>
  <c r="AX396" i="1"/>
  <c r="AW396" i="1" s="1"/>
  <c r="BP393" i="1"/>
  <c r="BO393" i="1" s="1"/>
  <c r="AY1073" i="1"/>
  <c r="AX1373" i="1"/>
  <c r="AW1373" i="1" s="1"/>
  <c r="AY1422" i="1"/>
  <c r="AX1363" i="1"/>
  <c r="AW1363" i="1" s="1"/>
  <c r="AX326" i="1"/>
  <c r="AW326" i="1" s="1"/>
  <c r="AY674" i="1"/>
  <c r="AY1373" i="1"/>
  <c r="AY1240" i="1"/>
  <c r="AY1382" i="1"/>
  <c r="AY612" i="1"/>
  <c r="AY1131" i="1"/>
  <c r="AX703" i="1"/>
  <c r="AW703" i="1" s="1"/>
  <c r="BP519" i="1"/>
  <c r="BO519" i="1" s="1"/>
  <c r="AX1109" i="1"/>
  <c r="AW1109" i="1" s="1"/>
  <c r="AX1255" i="1"/>
  <c r="AW1255" i="1" s="1"/>
  <c r="BP1365" i="1"/>
  <c r="BO1365" i="1" s="1"/>
  <c r="AX637" i="1"/>
  <c r="AW637" i="1" s="1"/>
  <c r="AX987" i="1"/>
  <c r="AW987" i="1" s="1"/>
  <c r="BL468" i="1"/>
  <c r="BP1173" i="1"/>
  <c r="BO1173" i="1" s="1"/>
  <c r="AZ326" i="1"/>
  <c r="AX316" i="1"/>
  <c r="AW316" i="1" s="1"/>
  <c r="BP321" i="1"/>
  <c r="BO321" i="1" s="1"/>
  <c r="BP1086" i="1"/>
  <c r="BO1086" i="1" s="1"/>
  <c r="BL1109" i="1"/>
  <c r="AY407" i="1"/>
  <c r="AY929" i="1"/>
  <c r="AX401" i="1"/>
  <c r="AW401" i="1" s="1"/>
  <c r="AY701" i="1"/>
  <c r="AY1256" i="1"/>
  <c r="AZ149" i="1"/>
  <c r="AX231" i="1"/>
  <c r="AW231" i="1" s="1"/>
  <c r="BP395" i="1"/>
  <c r="BO395" i="1" s="1"/>
  <c r="AY1118" i="1"/>
  <c r="AY987" i="1"/>
  <c r="BL448" i="1"/>
  <c r="AY668" i="1"/>
  <c r="AY419" i="1"/>
  <c r="AX1137" i="1"/>
  <c r="AW1137" i="1" s="1"/>
  <c r="AY665" i="1"/>
  <c r="AY1197" i="1"/>
  <c r="AY919" i="1"/>
  <c r="AY1123" i="1"/>
  <c r="AY433" i="1"/>
  <c r="AY356" i="1"/>
  <c r="BP1363" i="1"/>
  <c r="BO1363" i="1" s="1"/>
  <c r="BL478" i="1"/>
  <c r="AY402" i="1"/>
  <c r="AX929" i="1"/>
  <c r="AW929" i="1" s="1"/>
  <c r="BL608" i="1"/>
  <c r="BP1240" i="1"/>
  <c r="BO1240" i="1" s="1"/>
  <c r="BP1310" i="1"/>
  <c r="BO1310" i="1" s="1"/>
  <c r="AY1126" i="1"/>
  <c r="AX1208" i="1"/>
  <c r="AW1208" i="1" s="1"/>
  <c r="AY296" i="1"/>
  <c r="AY1125" i="1"/>
  <c r="AX659" i="1"/>
  <c r="AW659" i="1" s="1"/>
  <c r="AY515" i="1"/>
  <c r="BL1363" i="1"/>
  <c r="AZ1373" i="1"/>
  <c r="AX940" i="1"/>
  <c r="AW940" i="1" s="1"/>
  <c r="AX408" i="1"/>
  <c r="AW408" i="1" s="1"/>
  <c r="AY448" i="1"/>
  <c r="AX1332" i="1"/>
  <c r="AW1332" i="1" s="1"/>
  <c r="AY496" i="1"/>
  <c r="AY654" i="1"/>
  <c r="AX974" i="1"/>
  <c r="AW974" i="1" s="1"/>
  <c r="BP1256" i="1"/>
  <c r="BO1256" i="1" s="1"/>
  <c r="AY478" i="1"/>
  <c r="BP1332" i="1"/>
  <c r="BO1332" i="1" s="1"/>
  <c r="AY198" i="1"/>
  <c r="BL956" i="1"/>
  <c r="AY242" i="1"/>
  <c r="AY671" i="1"/>
  <c r="AX1054" i="1"/>
  <c r="AW1054" i="1" s="1"/>
  <c r="AZ974" i="1"/>
  <c r="BL375" i="1"/>
  <c r="AY616" i="1"/>
  <c r="AY660" i="1"/>
  <c r="AY398" i="1"/>
  <c r="AY1199" i="1"/>
  <c r="AY568" i="1"/>
  <c r="AX608" i="1"/>
  <c r="AW608" i="1" s="1"/>
  <c r="BP668" i="1"/>
  <c r="BO668" i="1" s="1"/>
  <c r="BP973" i="1"/>
  <c r="BO973" i="1" s="1"/>
  <c r="BP994" i="1"/>
  <c r="BO994" i="1" s="1"/>
  <c r="AY964" i="1"/>
  <c r="BL224" i="1"/>
  <c r="AX448" i="1"/>
  <c r="AW448" i="1" s="1"/>
  <c r="BP625" i="1"/>
  <c r="BO625" i="1" s="1"/>
  <c r="BP855" i="1"/>
  <c r="BO855" i="1" s="1"/>
  <c r="AY1246" i="1"/>
  <c r="AX380" i="1"/>
  <c r="AW380" i="1" s="1"/>
  <c r="AX1354" i="1"/>
  <c r="AW1354" i="1" s="1"/>
  <c r="AY411" i="1"/>
  <c r="AY1122" i="1"/>
  <c r="AY324" i="1"/>
  <c r="AY541" i="1"/>
  <c r="AY700" i="1"/>
  <c r="AX1256" i="1"/>
  <c r="AW1256" i="1" s="1"/>
  <c r="AX321" i="1"/>
  <c r="AW321" i="1" s="1"/>
  <c r="AY545" i="1"/>
  <c r="BL418" i="1"/>
  <c r="AY1346" i="1"/>
  <c r="AY940" i="1"/>
  <c r="AX1289" i="1"/>
  <c r="AW1289" i="1" s="1"/>
  <c r="AY685" i="1"/>
  <c r="AY973" i="1"/>
  <c r="AY393" i="1"/>
  <c r="AY1028" i="1"/>
  <c r="AY333" i="1"/>
  <c r="AY1129" i="1"/>
  <c r="BL317" i="1"/>
  <c r="AX1052" i="1"/>
  <c r="AW1052" i="1" s="1"/>
  <c r="AY1409" i="1"/>
  <c r="AY1173" i="1"/>
  <c r="AY923" i="1"/>
  <c r="AY149" i="1"/>
  <c r="BL260" i="1"/>
  <c r="AY865" i="1"/>
  <c r="AY1078" i="1"/>
  <c r="AX855" i="1"/>
  <c r="AW855" i="1" s="1"/>
  <c r="AY413" i="1"/>
  <c r="AY408" i="1"/>
  <c r="AY1353" i="1"/>
  <c r="AX1197" i="1"/>
  <c r="AW1197" i="1" s="1"/>
  <c r="AY1068" i="1"/>
  <c r="AX1117" i="1"/>
  <c r="AW1117" i="1" s="1"/>
  <c r="AY360" i="1"/>
  <c r="AY394" i="1"/>
  <c r="AY1212" i="1"/>
  <c r="BP1052" i="1"/>
  <c r="BO1052" i="1" s="1"/>
  <c r="AY1034" i="1"/>
  <c r="AY439" i="1"/>
  <c r="BL1130" i="1"/>
  <c r="AY550" i="1"/>
  <c r="AX1212" i="1"/>
  <c r="AW1212" i="1" s="1"/>
  <c r="AY426" i="1"/>
  <c r="AY404" i="1"/>
  <c r="BP958" i="1"/>
  <c r="BO958" i="1" s="1"/>
  <c r="AX549" i="1"/>
  <c r="AW549" i="1" s="1"/>
  <c r="AY703" i="1"/>
  <c r="AY1443" i="1"/>
  <c r="AY1445" i="1"/>
  <c r="AY1381" i="1"/>
  <c r="BL1052" i="1"/>
  <c r="AY988" i="1"/>
  <c r="AY1070" i="1"/>
  <c r="AY667" i="1"/>
  <c r="AY267" i="1"/>
  <c r="AY321" i="1"/>
  <c r="AY1229" i="1"/>
  <c r="AY1133" i="1"/>
  <c r="AY878" i="1"/>
  <c r="AY647" i="1"/>
  <c r="AY1380" i="1"/>
  <c r="AY1177" i="1"/>
  <c r="AY928" i="1"/>
  <c r="AY231" i="1"/>
  <c r="AY214" i="1"/>
  <c r="AY963" i="1"/>
  <c r="AX671" i="1"/>
  <c r="AW671" i="1" s="1"/>
  <c r="BP1354" i="1"/>
  <c r="BO1354" i="1" s="1"/>
  <c r="AY584" i="1"/>
  <c r="AY1115" i="1"/>
  <c r="AY474" i="1"/>
  <c r="AY885" i="1"/>
  <c r="BL529" i="1"/>
  <c r="BP1380" i="1"/>
  <c r="BO1380" i="1" s="1"/>
  <c r="AX413" i="1"/>
  <c r="AW413" i="1" s="1"/>
  <c r="AY648" i="1"/>
  <c r="AX356" i="1"/>
  <c r="AW356" i="1" s="1"/>
  <c r="AY418" i="1"/>
  <c r="BL1117" i="1"/>
  <c r="AY1140" i="1"/>
  <c r="AY1340" i="1"/>
  <c r="AY1294" i="1"/>
  <c r="AY1027" i="1"/>
  <c r="AY1318" i="1"/>
  <c r="AY1099" i="1"/>
  <c r="AY629" i="1"/>
  <c r="AY498" i="1"/>
  <c r="AY1414" i="1"/>
  <c r="AY339" i="1"/>
  <c r="AY223" i="1"/>
  <c r="AY230" i="1"/>
  <c r="AY375" i="1"/>
  <c r="AY857" i="1"/>
  <c r="AY558" i="1"/>
  <c r="AY1241" i="1"/>
  <c r="AY1354" i="1"/>
  <c r="AY392" i="1"/>
  <c r="AY1175" i="1"/>
  <c r="AY1348" i="1"/>
  <c r="AY1053" i="1"/>
  <c r="AY744" i="1"/>
  <c r="AY210" i="1"/>
  <c r="AY144" i="1"/>
  <c r="AX612" i="1"/>
  <c r="AW612" i="1" s="1"/>
  <c r="AY969" i="1"/>
  <c r="AY1132" i="1"/>
  <c r="AX1310" i="1"/>
  <c r="AW1310" i="1" s="1"/>
  <c r="AY328" i="1"/>
  <c r="AY993" i="1"/>
  <c r="AZ879" i="1"/>
  <c r="AX879" i="1"/>
  <c r="AW879" i="1" s="1"/>
  <c r="BP1408" i="1"/>
  <c r="BO1408" i="1" s="1"/>
  <c r="BL1408" i="1"/>
  <c r="BL1034" i="1"/>
  <c r="BP1034" i="1"/>
  <c r="BO1034" i="1" s="1"/>
  <c r="BL498" i="1"/>
  <c r="BP498" i="1"/>
  <c r="BO498" i="1" s="1"/>
  <c r="BP1132" i="1"/>
  <c r="BO1132" i="1" s="1"/>
  <c r="BL1132" i="1"/>
  <c r="AZ700" i="1"/>
  <c r="AX700" i="1"/>
  <c r="AW700" i="1" s="1"/>
  <c r="AZ660" i="1"/>
  <c r="AX660" i="1"/>
  <c r="AW660" i="1" s="1"/>
  <c r="BL1443" i="1"/>
  <c r="BP1443" i="1"/>
  <c r="BO1443" i="1" s="1"/>
  <c r="BL444" i="1"/>
  <c r="BP444" i="1"/>
  <c r="BO444" i="1" s="1"/>
  <c r="AX324" i="1"/>
  <c r="AW324" i="1" s="1"/>
  <c r="AZ324" i="1"/>
  <c r="BL1163" i="1"/>
  <c r="BP1163" i="1"/>
  <c r="BO1163" i="1" s="1"/>
  <c r="BL1028" i="1"/>
  <c r="BP1028" i="1"/>
  <c r="BO1028" i="1" s="1"/>
  <c r="AX1380" i="1"/>
  <c r="AW1380" i="1" s="1"/>
  <c r="AZ1380" i="1"/>
  <c r="AX1346" i="1"/>
  <c r="AW1346" i="1" s="1"/>
  <c r="AZ1346" i="1"/>
  <c r="BP700" i="1"/>
  <c r="BO700" i="1" s="1"/>
  <c r="BL700" i="1"/>
  <c r="BP1395" i="1"/>
  <c r="BO1395" i="1" s="1"/>
  <c r="BL1395" i="1"/>
  <c r="AZ662" i="1"/>
  <c r="AX662" i="1"/>
  <c r="AW662" i="1" s="1"/>
  <c r="BL1133" i="1"/>
  <c r="BP1133" i="1"/>
  <c r="BO1133" i="1" s="1"/>
  <c r="BP1353" i="1"/>
  <c r="BO1353" i="1" s="1"/>
  <c r="BL1353" i="1"/>
  <c r="BL641" i="1"/>
  <c r="BP641" i="1"/>
  <c r="BO641" i="1" s="1"/>
  <c r="BP1213" i="1"/>
  <c r="BO1213" i="1" s="1"/>
  <c r="BL1213" i="1"/>
  <c r="BL1229" i="1"/>
  <c r="BP1229" i="1"/>
  <c r="BO1229" i="1" s="1"/>
  <c r="BL398" i="1"/>
  <c r="BP398" i="1"/>
  <c r="BO398" i="1" s="1"/>
  <c r="BP433" i="1"/>
  <c r="BO433" i="1" s="1"/>
  <c r="BL433" i="1"/>
  <c r="BP660" i="1"/>
  <c r="BO660" i="1" s="1"/>
  <c r="BL660" i="1"/>
  <c r="AZ693" i="1"/>
  <c r="AX693" i="1"/>
  <c r="AW693" i="1" s="1"/>
  <c r="AZ667" i="1"/>
  <c r="AX667" i="1"/>
  <c r="AW667" i="1" s="1"/>
  <c r="BP693" i="1"/>
  <c r="BO693" i="1" s="1"/>
  <c r="BL693" i="1"/>
  <c r="AX1133" i="1"/>
  <c r="AW1133" i="1" s="1"/>
  <c r="AZ1133" i="1"/>
  <c r="BL1199" i="1"/>
  <c r="BP1199" i="1"/>
  <c r="BO1199" i="1" s="1"/>
  <c r="BP1099" i="1"/>
  <c r="BO1099" i="1" s="1"/>
  <c r="BL1099" i="1"/>
  <c r="BL1381" i="1"/>
  <c r="BP1381" i="1"/>
  <c r="BO1381" i="1" s="1"/>
  <c r="BP703" i="1"/>
  <c r="BO703" i="1" s="1"/>
  <c r="BL703" i="1"/>
  <c r="BP969" i="1"/>
  <c r="BO969" i="1" s="1"/>
  <c r="BL969" i="1"/>
  <c r="AZ375" i="1"/>
  <c r="AX375" i="1"/>
  <c r="AW375" i="1" s="1"/>
  <c r="AZ878" i="1"/>
  <c r="AX878" i="1"/>
  <c r="AW878" i="1" s="1"/>
  <c r="AZ1318" i="1"/>
  <c r="AX1318" i="1"/>
  <c r="AW1318" i="1" s="1"/>
  <c r="AZ412" i="1"/>
  <c r="AX412" i="1"/>
  <c r="AW412" i="1" s="1"/>
  <c r="BL1106" i="1"/>
  <c r="BP1106" i="1"/>
  <c r="BO1106" i="1" s="1"/>
  <c r="AX641" i="1"/>
  <c r="AW641" i="1" s="1"/>
  <c r="BP1129" i="1"/>
  <c r="BO1129" i="1" s="1"/>
  <c r="BL1129" i="1"/>
  <c r="AZ550" i="1"/>
  <c r="AX550" i="1"/>
  <c r="AW550" i="1" s="1"/>
  <c r="AY1059" i="1"/>
  <c r="BP439" i="1"/>
  <c r="BO439" i="1" s="1"/>
  <c r="BL439" i="1"/>
  <c r="AY1334" i="1"/>
  <c r="AY1189" i="1"/>
  <c r="BP1212" i="1"/>
  <c r="BO1212" i="1" s="1"/>
  <c r="BL1212" i="1"/>
  <c r="AZ981" i="1"/>
  <c r="AX981" i="1"/>
  <c r="AW981" i="1" s="1"/>
  <c r="BP144" i="1"/>
  <c r="BO144" i="1" s="1"/>
  <c r="BL144" i="1"/>
  <c r="AZ629" i="1"/>
  <c r="AX629" i="1"/>
  <c r="AW629" i="1" s="1"/>
  <c r="AZ210" i="1"/>
  <c r="AX210" i="1"/>
  <c r="AW210" i="1" s="1"/>
  <c r="BP1428" i="1"/>
  <c r="BO1428" i="1" s="1"/>
  <c r="BL1428" i="1"/>
  <c r="BP198" i="1"/>
  <c r="BO198" i="1" s="1"/>
  <c r="BL198" i="1"/>
  <c r="BL1174" i="1"/>
  <c r="BP1174" i="1"/>
  <c r="BO1174" i="1" s="1"/>
  <c r="AX529" i="1"/>
  <c r="AW529" i="1" s="1"/>
  <c r="AZ529" i="1"/>
  <c r="AZ1130" i="1"/>
  <c r="AX1130" i="1"/>
  <c r="AW1130" i="1" s="1"/>
  <c r="AY981" i="1"/>
  <c r="AY678" i="1"/>
  <c r="BL421" i="1"/>
  <c r="BP421" i="1"/>
  <c r="BO421" i="1" s="1"/>
  <c r="AY549" i="1"/>
  <c r="AY1208" i="1"/>
  <c r="BL617" i="1"/>
  <c r="BP617" i="1"/>
  <c r="BO617" i="1" s="1"/>
  <c r="AY529" i="1"/>
  <c r="BL1220" i="1"/>
  <c r="BP1220" i="1"/>
  <c r="BO1220" i="1" s="1"/>
  <c r="BP602" i="1"/>
  <c r="BO602" i="1" s="1"/>
  <c r="BL602" i="1"/>
  <c r="BL857" i="1"/>
  <c r="BP857" i="1"/>
  <c r="BO857" i="1" s="1"/>
  <c r="AZ625" i="1"/>
  <c r="AX625" i="1"/>
  <c r="AW625" i="1" s="1"/>
  <c r="BP744" i="1"/>
  <c r="BO744" i="1" s="1"/>
  <c r="BL744" i="1"/>
  <c r="BL865" i="1"/>
  <c r="BP865" i="1"/>
  <c r="BO865" i="1" s="1"/>
  <c r="AZ1116" i="1"/>
  <c r="AX1116" i="1"/>
  <c r="AW1116" i="1" s="1"/>
  <c r="BL1208" i="1"/>
  <c r="BP1208" i="1"/>
  <c r="BO1208" i="1" s="1"/>
  <c r="BP964" i="1"/>
  <c r="BO964" i="1" s="1"/>
  <c r="BL964" i="1"/>
  <c r="AX617" i="1"/>
  <c r="AW617" i="1" s="1"/>
  <c r="AZ617" i="1"/>
  <c r="BP1307" i="1"/>
  <c r="BO1307" i="1" s="1"/>
  <c r="BL1307" i="1"/>
  <c r="BP1351" i="1"/>
  <c r="BO1351" i="1" s="1"/>
  <c r="BL1351" i="1"/>
  <c r="BP707" i="1"/>
  <c r="BO707" i="1" s="1"/>
  <c r="BL707" i="1"/>
  <c r="BL1340" i="1"/>
  <c r="BP1340" i="1"/>
  <c r="BO1340" i="1" s="1"/>
  <c r="AY662" i="1"/>
  <c r="AZ1124" i="1"/>
  <c r="AX1124" i="1"/>
  <c r="AW1124" i="1" s="1"/>
  <c r="AZ461" i="1"/>
  <c r="AX461" i="1"/>
  <c r="AW461" i="1" s="1"/>
  <c r="AZ1240" i="1"/>
  <c r="AX1240" i="1"/>
  <c r="AW1240" i="1" s="1"/>
  <c r="BP1068" i="1"/>
  <c r="BO1068" i="1" s="1"/>
  <c r="BL1068" i="1"/>
  <c r="AZ498" i="1"/>
  <c r="AX498" i="1"/>
  <c r="AW498" i="1" s="1"/>
  <c r="BL584" i="1"/>
  <c r="BP584" i="1"/>
  <c r="BO584" i="1" s="1"/>
  <c r="BP856" i="1"/>
  <c r="BO856" i="1" s="1"/>
  <c r="BL856" i="1"/>
  <c r="AY951" i="1"/>
  <c r="AZ1128" i="1"/>
  <c r="AX1128" i="1"/>
  <c r="AW1128" i="1" s="1"/>
  <c r="AZ1173" i="1"/>
  <c r="AX1173" i="1"/>
  <c r="AW1173" i="1" s="1"/>
  <c r="AY1293" i="1"/>
  <c r="AZ224" i="1"/>
  <c r="AX224" i="1"/>
  <c r="AW224" i="1" s="1"/>
  <c r="AX1122" i="1"/>
  <c r="AW1122" i="1" s="1"/>
  <c r="AZ1122" i="1"/>
  <c r="BL1327" i="1"/>
  <c r="BP1327" i="1"/>
  <c r="BO1327" i="1" s="1"/>
  <c r="BP1414" i="1"/>
  <c r="BO1414" i="1" s="1"/>
  <c r="BL1414" i="1"/>
  <c r="BP647" i="1"/>
  <c r="BO647" i="1" s="1"/>
  <c r="BL647" i="1"/>
  <c r="BL1135" i="1"/>
  <c r="BP1135" i="1"/>
  <c r="BO1135" i="1" s="1"/>
  <c r="AZ435" i="1"/>
  <c r="AX435" i="1"/>
  <c r="AW435" i="1" s="1"/>
  <c r="BP232" i="1"/>
  <c r="BO232" i="1" s="1"/>
  <c r="BL232" i="1"/>
  <c r="AY1395" i="1"/>
  <c r="AX744" i="1"/>
  <c r="AW744" i="1" s="1"/>
  <c r="AX674" i="1"/>
  <c r="AW674" i="1" s="1"/>
  <c r="AZ674" i="1"/>
  <c r="AZ479" i="1"/>
  <c r="AX479" i="1"/>
  <c r="AW479" i="1" s="1"/>
  <c r="BP1241" i="1"/>
  <c r="BO1241" i="1" s="1"/>
  <c r="BL1241" i="1"/>
  <c r="AX444" i="1"/>
  <c r="AW444" i="1" s="1"/>
  <c r="AX1422" i="1"/>
  <c r="AW1422" i="1" s="1"/>
  <c r="AZ1422" i="1"/>
  <c r="AZ856" i="1"/>
  <c r="AX856" i="1"/>
  <c r="AW856" i="1" s="1"/>
  <c r="BL1131" i="1"/>
  <c r="BP1131" i="1"/>
  <c r="BO1131" i="1" s="1"/>
  <c r="BP545" i="1"/>
  <c r="BO545" i="1" s="1"/>
  <c r="BL545" i="1"/>
  <c r="AZ887" i="1"/>
  <c r="AX887" i="1"/>
  <c r="AW887" i="1" s="1"/>
  <c r="AZ1189" i="1"/>
  <c r="AX1189" i="1"/>
  <c r="AW1189" i="1" s="1"/>
  <c r="AX665" i="1"/>
  <c r="AW665" i="1" s="1"/>
  <c r="AZ665" i="1"/>
  <c r="AX1381" i="1"/>
  <c r="AW1381" i="1" s="1"/>
  <c r="AZ1381" i="1"/>
  <c r="BL674" i="1"/>
  <c r="BP674" i="1"/>
  <c r="BO674" i="1" s="1"/>
  <c r="AX1353" i="1"/>
  <c r="AW1353" i="1" s="1"/>
  <c r="BP210" i="1"/>
  <c r="BO210" i="1" s="1"/>
  <c r="BL210" i="1"/>
  <c r="AX919" i="1"/>
  <c r="AW919" i="1" s="1"/>
  <c r="BL919" i="1"/>
  <c r="BP919" i="1"/>
  <c r="BO919" i="1" s="1"/>
  <c r="BP1126" i="1"/>
  <c r="BO1126" i="1" s="1"/>
  <c r="BL1126" i="1"/>
  <c r="AZ519" i="1"/>
  <c r="AX519" i="1"/>
  <c r="AW519" i="1" s="1"/>
  <c r="AX1229" i="1"/>
  <c r="AW1229" i="1" s="1"/>
  <c r="AZ1050" i="1"/>
  <c r="AX1050" i="1"/>
  <c r="AW1050" i="1" s="1"/>
  <c r="AY364" i="1"/>
  <c r="AZ568" i="1"/>
  <c r="AX568" i="1"/>
  <c r="AW568" i="1" s="1"/>
  <c r="BL974" i="1"/>
  <c r="BP974" i="1"/>
  <c r="BO974" i="1" s="1"/>
  <c r="AZ1084" i="1"/>
  <c r="AX1084" i="1"/>
  <c r="AW1084" i="1" s="1"/>
  <c r="AZ1082" i="1"/>
  <c r="AX1082" i="1"/>
  <c r="AW1082" i="1" s="1"/>
  <c r="BL662" i="1"/>
  <c r="BP662" i="1"/>
  <c r="BO662" i="1" s="1"/>
  <c r="AY351" i="1"/>
  <c r="BL343" i="1"/>
  <c r="BP343" i="1"/>
  <c r="BO343" i="1" s="1"/>
  <c r="AY494" i="1"/>
  <c r="AY1064" i="1"/>
  <c r="AY970" i="1"/>
  <c r="AY399" i="1"/>
  <c r="AY1071" i="1"/>
  <c r="AY1060" i="1"/>
  <c r="BP669" i="1"/>
  <c r="BO669" i="1" s="1"/>
  <c r="BL669" i="1"/>
  <c r="AY326" i="1"/>
  <c r="AY239" i="1"/>
  <c r="AX1351" i="1"/>
  <c r="AW1351" i="1" s="1"/>
  <c r="BP407" i="1"/>
  <c r="BO407" i="1" s="1"/>
  <c r="BL407" i="1"/>
  <c r="AY927" i="1"/>
  <c r="BP637" i="1"/>
  <c r="BO637" i="1" s="1"/>
  <c r="BL637" i="1"/>
  <c r="AY362" i="1"/>
  <c r="BP383" i="1"/>
  <c r="BO383" i="1" s="1"/>
  <c r="BL383" i="1"/>
  <c r="BL702" i="1"/>
  <c r="BP702" i="1"/>
  <c r="BO702" i="1" s="1"/>
  <c r="BL654" i="1"/>
  <c r="BP654" i="1"/>
  <c r="BO654" i="1" s="1"/>
  <c r="BL968" i="1"/>
  <c r="BP968" i="1"/>
  <c r="BO968" i="1" s="1"/>
  <c r="BP1063" i="1"/>
  <c r="BO1063" i="1" s="1"/>
  <c r="BL1063" i="1"/>
  <c r="BP1039" i="1"/>
  <c r="BO1039" i="1" s="1"/>
  <c r="BL1039" i="1"/>
  <c r="AY485" i="1"/>
  <c r="AX1311" i="1"/>
  <c r="AW1311" i="1" s="1"/>
  <c r="AZ1311" i="1"/>
  <c r="AX1071" i="1"/>
  <c r="AW1071" i="1" s="1"/>
  <c r="BL1071" i="1"/>
  <c r="BP1071" i="1"/>
  <c r="BO1071" i="1" s="1"/>
  <c r="AZ394" i="1"/>
  <c r="AX394" i="1"/>
  <c r="AW394" i="1" s="1"/>
  <c r="AY347" i="1"/>
  <c r="BL1382" i="1"/>
  <c r="BP1382" i="1"/>
  <c r="BO1382" i="1" s="1"/>
  <c r="AY1236" i="1"/>
  <c r="AX1163" i="1"/>
  <c r="AW1163" i="1" s="1"/>
  <c r="AX1241" i="1"/>
  <c r="AW1241" i="1" s="1"/>
  <c r="AY1255" i="1"/>
  <c r="BP1128" i="1"/>
  <c r="BO1128" i="1" s="1"/>
  <c r="BL1128" i="1"/>
  <c r="AY1408" i="1"/>
  <c r="AZ411" i="1"/>
  <c r="AX411" i="1"/>
  <c r="AW411" i="1" s="1"/>
  <c r="BL541" i="1"/>
  <c r="BP541" i="1"/>
  <c r="BO541" i="1" s="1"/>
  <c r="AZ267" i="1"/>
  <c r="AX267" i="1"/>
  <c r="AW267" i="1" s="1"/>
  <c r="AX885" i="1"/>
  <c r="AW885" i="1" s="1"/>
  <c r="BL885" i="1"/>
  <c r="BP885" i="1"/>
  <c r="BO885" i="1" s="1"/>
  <c r="AZ406" i="1"/>
  <c r="AX406" i="1"/>
  <c r="AW406" i="1" s="1"/>
  <c r="AZ1132" i="1"/>
  <c r="AX1132" i="1"/>
  <c r="AW1132" i="1" s="1"/>
  <c r="BL497" i="1"/>
  <c r="BP497" i="1"/>
  <c r="BO497" i="1" s="1"/>
  <c r="BP648" i="1"/>
  <c r="BO648" i="1" s="1"/>
  <c r="BL648" i="1"/>
  <c r="BP629" i="1"/>
  <c r="BO629" i="1" s="1"/>
  <c r="BL629" i="1"/>
  <c r="BP951" i="1"/>
  <c r="BO951" i="1" s="1"/>
  <c r="BL951" i="1"/>
  <c r="AX379" i="1"/>
  <c r="AW379" i="1" s="1"/>
  <c r="AZ379" i="1"/>
  <c r="AZ433" i="1"/>
  <c r="AX433" i="1"/>
  <c r="AW433" i="1" s="1"/>
  <c r="AX395" i="1"/>
  <c r="AW395" i="1" s="1"/>
  <c r="AZ395" i="1"/>
  <c r="AZ1131" i="1"/>
  <c r="AX1131" i="1"/>
  <c r="AW1131" i="1" s="1"/>
  <c r="AZ495" i="1"/>
  <c r="AX495" i="1"/>
  <c r="AW495" i="1" s="1"/>
  <c r="BL1124" i="1"/>
  <c r="BP1124" i="1"/>
  <c r="BO1124" i="1" s="1"/>
  <c r="BL333" i="1"/>
  <c r="BP333" i="1"/>
  <c r="BO333" i="1" s="1"/>
  <c r="BL1050" i="1"/>
  <c r="BP1050" i="1"/>
  <c r="BO1050" i="1" s="1"/>
  <c r="AX957" i="1"/>
  <c r="AW957" i="1" s="1"/>
  <c r="AZ957" i="1"/>
  <c r="BL1081" i="1"/>
  <c r="BP1081" i="1"/>
  <c r="BO1081" i="1" s="1"/>
  <c r="BP928" i="1"/>
  <c r="BO928" i="1" s="1"/>
  <c r="BL928" i="1"/>
  <c r="AX951" i="1"/>
  <c r="AW951" i="1" s="1"/>
  <c r="AY1327" i="1"/>
  <c r="AY461" i="1"/>
  <c r="AY464" i="1"/>
  <c r="AX1155" i="1"/>
  <c r="AW1155" i="1" s="1"/>
  <c r="AZ1155" i="1"/>
  <c r="AZ1093" i="1"/>
  <c r="AX1093" i="1"/>
  <c r="AW1093" i="1" s="1"/>
  <c r="BP496" i="1"/>
  <c r="BO496" i="1" s="1"/>
  <c r="BL496" i="1"/>
  <c r="AY1128" i="1"/>
  <c r="AZ1293" i="1"/>
  <c r="AX1293" i="1"/>
  <c r="AW1293" i="1" s="1"/>
  <c r="AZ1099" i="1"/>
  <c r="AX1099" i="1"/>
  <c r="AW1099" i="1" s="1"/>
  <c r="AZ1039" i="1"/>
  <c r="AX1039" i="1"/>
  <c r="AW1039" i="1" s="1"/>
  <c r="AX1395" i="1"/>
  <c r="AW1395" i="1" s="1"/>
  <c r="AZ1395" i="1"/>
  <c r="AY383" i="1"/>
  <c r="AZ1157" i="1"/>
  <c r="AX1157" i="1"/>
  <c r="AW1157" i="1" s="1"/>
  <c r="BL1059" i="1"/>
  <c r="BP1059" i="1"/>
  <c r="BO1059" i="1" s="1"/>
  <c r="AY1117" i="1"/>
  <c r="AY707" i="1"/>
  <c r="AY421" i="1"/>
  <c r="BQ421" i="1"/>
  <c r="AZ1199" i="1"/>
  <c r="AX1199" i="1"/>
  <c r="AW1199" i="1" s="1"/>
  <c r="AY655" i="1"/>
  <c r="BP1227" i="1"/>
  <c r="BO1227" i="1" s="1"/>
  <c r="BL1227" i="1"/>
  <c r="BL384" i="1"/>
  <c r="BP384" i="1"/>
  <c r="BO384" i="1" s="1"/>
  <c r="AZ497" i="1"/>
  <c r="AX497" i="1"/>
  <c r="AW497" i="1" s="1"/>
  <c r="BP1001" i="1"/>
  <c r="BO1001" i="1" s="1"/>
  <c r="BL1001" i="1"/>
  <c r="AZ1324" i="1"/>
  <c r="AX1324" i="1"/>
  <c r="AW1324" i="1" s="1"/>
  <c r="AX339" i="1"/>
  <c r="AW339" i="1" s="1"/>
  <c r="AZ339" i="1"/>
  <c r="AY617" i="1"/>
  <c r="BL239" i="1"/>
  <c r="BP239" i="1"/>
  <c r="BO239" i="1" s="1"/>
  <c r="BL1062" i="1"/>
  <c r="BP1062" i="1"/>
  <c r="BO1062" i="1" s="1"/>
  <c r="BP355" i="1"/>
  <c r="BO355" i="1" s="1"/>
  <c r="BL355" i="1"/>
  <c r="BL1178" i="1"/>
  <c r="BP1178" i="1"/>
  <c r="BO1178" i="1" s="1"/>
  <c r="AZ404" i="1"/>
  <c r="AX404" i="1"/>
  <c r="AW404" i="1" s="1"/>
  <c r="BL612" i="1"/>
  <c r="BP612" i="1"/>
  <c r="BO612" i="1" s="1"/>
  <c r="AZ198" i="1"/>
  <c r="AX198" i="1"/>
  <c r="AW198" i="1" s="1"/>
  <c r="AY975" i="1"/>
  <c r="AY626" i="1"/>
  <c r="AZ403" i="1"/>
  <c r="AX403" i="1"/>
  <c r="AW403" i="1" s="1"/>
  <c r="AZ1073" i="1"/>
  <c r="AX1073" i="1"/>
  <c r="AW1073" i="1" s="1"/>
  <c r="BL1271" i="1"/>
  <c r="BP1271" i="1"/>
  <c r="BO1271" i="1" s="1"/>
  <c r="BL1138" i="1"/>
  <c r="BP1138" i="1"/>
  <c r="BO1138" i="1" s="1"/>
  <c r="AY1086" i="1"/>
  <c r="AY1046" i="1"/>
  <c r="BL426" i="1"/>
  <c r="BP426" i="1"/>
  <c r="BO426" i="1" s="1"/>
  <c r="BP1289" i="1"/>
  <c r="BO1289" i="1" s="1"/>
  <c r="BL1289" i="1"/>
  <c r="AZ225" i="1"/>
  <c r="AX225" i="1"/>
  <c r="AW225" i="1" s="1"/>
  <c r="AY1163" i="1"/>
  <c r="AY384" i="1"/>
  <c r="BP1122" i="1"/>
  <c r="BO1122" i="1" s="1"/>
  <c r="BL1122" i="1"/>
  <c r="AY1421" i="1"/>
  <c r="AZ478" i="1"/>
  <c r="AX478" i="1"/>
  <c r="AW478" i="1" s="1"/>
  <c r="BL1348" i="1"/>
  <c r="BP1348" i="1"/>
  <c r="BO1348" i="1" s="1"/>
  <c r="AY1351" i="1"/>
  <c r="BL701" i="1"/>
  <c r="BP701" i="1"/>
  <c r="BO701" i="1" s="1"/>
  <c r="AZ474" i="1"/>
  <c r="AX474" i="1"/>
  <c r="AW474" i="1" s="1"/>
  <c r="BL328" i="1"/>
  <c r="BP328" i="1"/>
  <c r="BO328" i="1" s="1"/>
  <c r="AY716" i="1"/>
  <c r="BL402" i="1"/>
  <c r="BP402" i="1"/>
  <c r="BO402" i="1" s="1"/>
  <c r="AZ1028" i="1"/>
  <c r="AX1028" i="1"/>
  <c r="AW1028" i="1" s="1"/>
  <c r="AY1428" i="1"/>
  <c r="BL1401" i="1"/>
  <c r="BP1401" i="1"/>
  <c r="BO1401" i="1" s="1"/>
  <c r="AY624" i="1"/>
  <c r="AX928" i="1"/>
  <c r="AW928" i="1" s="1"/>
  <c r="AY1232" i="1"/>
  <c r="AY139" i="1"/>
  <c r="AZ963" i="1"/>
  <c r="AX963" i="1"/>
  <c r="AW963" i="1" s="1"/>
  <c r="BP403" i="1"/>
  <c r="BO403" i="1" s="1"/>
  <c r="BL403" i="1"/>
  <c r="BL1054" i="1"/>
  <c r="BP1054" i="1"/>
  <c r="BO1054" i="1" s="1"/>
  <c r="BL231" i="1"/>
  <c r="BP231" i="1"/>
  <c r="BO231" i="1" s="1"/>
  <c r="AZ1307" i="1"/>
  <c r="AX1307" i="1"/>
  <c r="AW1307" i="1" s="1"/>
  <c r="BL1409" i="1"/>
  <c r="BP1409" i="1"/>
  <c r="BO1409" i="1" s="1"/>
  <c r="BP456" i="1"/>
  <c r="BO456" i="1" s="1"/>
  <c r="BL456" i="1"/>
  <c r="BL419" i="1"/>
  <c r="BP419" i="1"/>
  <c r="BO419" i="1" s="1"/>
  <c r="AY1227" i="1"/>
  <c r="BL568" i="1"/>
  <c r="BP568" i="1"/>
  <c r="BO568" i="1" s="1"/>
  <c r="AZ701" i="1"/>
  <c r="AX701" i="1"/>
  <c r="AW701" i="1" s="1"/>
  <c r="AY659" i="1"/>
  <c r="AX260" i="1"/>
  <c r="AW260" i="1" s="1"/>
  <c r="AZ260" i="1"/>
  <c r="BL1221" i="1"/>
  <c r="BP1221" i="1"/>
  <c r="BO1221" i="1" s="1"/>
  <c r="BL849" i="1"/>
  <c r="BP849" i="1"/>
  <c r="BO849" i="1" s="1"/>
  <c r="BP1175" i="1"/>
  <c r="BO1175" i="1" s="1"/>
  <c r="BL1175" i="1"/>
  <c r="AZ669" i="1"/>
  <c r="AX669" i="1"/>
  <c r="AW669" i="1" s="1"/>
  <c r="BP1421" i="1"/>
  <c r="BO1421" i="1" s="1"/>
  <c r="BL1421" i="1"/>
  <c r="BL394" i="1"/>
  <c r="BP394" i="1"/>
  <c r="BO394" i="1" s="1"/>
  <c r="AX1334" i="1"/>
  <c r="AW1334" i="1" s="1"/>
  <c r="AZ1334" i="1"/>
  <c r="BL1046" i="1"/>
  <c r="BP1046" i="1"/>
  <c r="BO1046" i="1" s="1"/>
  <c r="BL347" i="1"/>
  <c r="BP347" i="1"/>
  <c r="BO347" i="1" s="1"/>
  <c r="AZ1063" i="1"/>
  <c r="AX1063" i="1"/>
  <c r="AW1063" i="1" s="1"/>
  <c r="BL1140" i="1"/>
  <c r="BP1140" i="1"/>
  <c r="BO1140" i="1" s="1"/>
  <c r="AX648" i="1"/>
  <c r="AW648" i="1" s="1"/>
  <c r="BP1291" i="1"/>
  <c r="BO1291" i="1" s="1"/>
  <c r="BL1291" i="1"/>
  <c r="AZ1140" i="1"/>
  <c r="AX1140" i="1"/>
  <c r="AW1140" i="1" s="1"/>
  <c r="BP1232" i="1"/>
  <c r="BO1232" i="1" s="1"/>
  <c r="BL1232" i="1"/>
  <c r="AY702" i="1"/>
  <c r="AY395" i="1"/>
  <c r="AY355" i="1"/>
  <c r="AX392" i="1"/>
  <c r="AW392" i="1" s="1"/>
  <c r="BL392" i="1"/>
  <c r="BP392" i="1"/>
  <c r="BO392" i="1" s="1"/>
  <c r="AX632" i="1"/>
  <c r="AW632" i="1" s="1"/>
  <c r="BL632" i="1"/>
  <c r="BP632" i="1"/>
  <c r="BO632" i="1" s="1"/>
  <c r="AY435" i="1"/>
  <c r="AY345" i="1"/>
  <c r="BP1445" i="1"/>
  <c r="BO1445" i="1" s="1"/>
  <c r="BL1445" i="1"/>
  <c r="AX584" i="1"/>
  <c r="AW584" i="1" s="1"/>
  <c r="AZ584" i="1"/>
  <c r="AZ1414" i="1"/>
  <c r="AX1414" i="1"/>
  <c r="AW1414" i="1" s="1"/>
  <c r="BL1082" i="1"/>
  <c r="BP1082" i="1"/>
  <c r="BO1082" i="1" s="1"/>
  <c r="AX1115" i="1"/>
  <c r="AW1115" i="1" s="1"/>
  <c r="AZ1115" i="1"/>
  <c r="BL345" i="1"/>
  <c r="BP345" i="1"/>
  <c r="BO345" i="1" s="1"/>
  <c r="AZ964" i="1"/>
  <c r="AX964" i="1"/>
  <c r="AW964" i="1" s="1"/>
  <c r="AY887" i="1"/>
  <c r="AX969" i="1"/>
  <c r="AW969" i="1" s="1"/>
  <c r="AZ462" i="1"/>
  <c r="AX462" i="1"/>
  <c r="AW462" i="1" s="1"/>
  <c r="BL616" i="1"/>
  <c r="BP616" i="1"/>
  <c r="BO616" i="1" s="1"/>
  <c r="AZ426" i="1"/>
  <c r="AX426" i="1"/>
  <c r="AW426" i="1" s="1"/>
  <c r="BL379" i="1"/>
  <c r="BP379" i="1"/>
  <c r="BO379" i="1" s="1"/>
  <c r="AX1174" i="1"/>
  <c r="AW1174" i="1" s="1"/>
  <c r="AZ1174" i="1"/>
  <c r="AZ654" i="1"/>
  <c r="AX654" i="1"/>
  <c r="AW654" i="1" s="1"/>
  <c r="AY1130" i="1"/>
  <c r="AY705" i="1"/>
  <c r="AZ706" i="1"/>
  <c r="AX706" i="1"/>
  <c r="AW706" i="1" s="1"/>
  <c r="AY1116" i="1"/>
  <c r="AZ1227" i="1"/>
  <c r="AX1227" i="1"/>
  <c r="AW1227" i="1" s="1"/>
  <c r="AZ1076" i="1"/>
  <c r="AX1076" i="1"/>
  <c r="AW1076" i="1" s="1"/>
  <c r="BL550" i="1"/>
  <c r="BP550" i="1"/>
  <c r="BO550" i="1" s="1"/>
  <c r="BP1197" i="1"/>
  <c r="BO1197" i="1" s="1"/>
  <c r="BL1197" i="1"/>
  <c r="AX456" i="1"/>
  <c r="AW456" i="1" s="1"/>
  <c r="AX494" i="1"/>
  <c r="AW494" i="1" s="1"/>
  <c r="AZ494" i="1"/>
  <c r="AY232" i="1"/>
  <c r="AZ1125" i="1"/>
  <c r="AX1125" i="1"/>
  <c r="AW1125" i="1" s="1"/>
  <c r="BP685" i="1"/>
  <c r="BO685" i="1" s="1"/>
  <c r="BL685" i="1"/>
  <c r="AZ1081" i="1"/>
  <c r="AX1081" i="1"/>
  <c r="AW1081" i="1" s="1"/>
  <c r="AZ994" i="1"/>
  <c r="AX994" i="1"/>
  <c r="AW994" i="1" s="1"/>
  <c r="BL558" i="1"/>
  <c r="BP558" i="1"/>
  <c r="BO558" i="1" s="1"/>
  <c r="AZ464" i="1"/>
  <c r="AX464" i="1"/>
  <c r="AW464" i="1" s="1"/>
  <c r="AX1059" i="1"/>
  <c r="AW1059" i="1" s="1"/>
  <c r="AZ1059" i="1"/>
  <c r="AZ317" i="1"/>
  <c r="AX317" i="1"/>
  <c r="AW317" i="1" s="1"/>
  <c r="AY412" i="1"/>
  <c r="AY641" i="1"/>
  <c r="BL626" i="1"/>
  <c r="BP626" i="1"/>
  <c r="BO626" i="1" s="1"/>
  <c r="AZ574" i="1"/>
  <c r="AX574" i="1"/>
  <c r="AW574" i="1" s="1"/>
  <c r="AX299" i="1"/>
  <c r="AW299" i="1" s="1"/>
  <c r="BP299" i="1"/>
  <c r="BO299" i="1" s="1"/>
  <c r="BL299" i="1"/>
  <c r="AZ611" i="1"/>
  <c r="AX611" i="1"/>
  <c r="AW611" i="1" s="1"/>
  <c r="AX841" i="1"/>
  <c r="AW841" i="1" s="1"/>
  <c r="AZ841" i="1"/>
  <c r="AY1363" i="1"/>
  <c r="AY611" i="1"/>
  <c r="AZ347" i="1"/>
  <c r="AX347" i="1"/>
  <c r="AW347" i="1" s="1"/>
  <c r="AY1221" i="1"/>
  <c r="AX1126" i="1"/>
  <c r="AW1126" i="1" s="1"/>
  <c r="AZ1053" i="1"/>
  <c r="AX1053" i="1"/>
  <c r="AW1053" i="1" s="1"/>
  <c r="AZ1294" i="1"/>
  <c r="AX1294" i="1"/>
  <c r="AW1294" i="1" s="1"/>
  <c r="BP716" i="1"/>
  <c r="BO716" i="1" s="1"/>
  <c r="BL716" i="1"/>
  <c r="BL841" i="1"/>
  <c r="BP841" i="1"/>
  <c r="BO841" i="1" s="1"/>
  <c r="BP464" i="1"/>
  <c r="BO464" i="1" s="1"/>
  <c r="BL464" i="1"/>
  <c r="BL963" i="1"/>
  <c r="BP963" i="1"/>
  <c r="BO963" i="1" s="1"/>
  <c r="AX602" i="1"/>
  <c r="AW602" i="1" s="1"/>
  <c r="AZ602" i="1"/>
  <c r="BP970" i="1"/>
  <c r="BO970" i="1" s="1"/>
  <c r="BL970" i="1"/>
  <c r="AZ351" i="1"/>
  <c r="AX351" i="1"/>
  <c r="AW351" i="1" s="1"/>
  <c r="BP360" i="1"/>
  <c r="BO360" i="1" s="1"/>
  <c r="BL360" i="1"/>
  <c r="BP408" i="1"/>
  <c r="BO408" i="1" s="1"/>
  <c r="BL408" i="1"/>
  <c r="AX1213" i="1"/>
  <c r="AW1213" i="1" s="1"/>
  <c r="AZ1213" i="1"/>
  <c r="AX1443" i="1"/>
  <c r="AW1443" i="1" s="1"/>
  <c r="AZ1443" i="1"/>
  <c r="BL406" i="1"/>
  <c r="BP406" i="1"/>
  <c r="BO406" i="1" s="1"/>
  <c r="AZ1034" i="1"/>
  <c r="AX1034" i="1"/>
  <c r="AW1034" i="1" s="1"/>
  <c r="BL1236" i="1"/>
  <c r="BP1236" i="1"/>
  <c r="BO1236" i="1" s="1"/>
  <c r="BP296" i="1"/>
  <c r="BO296" i="1" s="1"/>
  <c r="BL296" i="1"/>
  <c r="AZ1350" i="1"/>
  <c r="AX1350" i="1"/>
  <c r="AW1350" i="1" s="1"/>
  <c r="AY456" i="1"/>
  <c r="AY1093" i="1"/>
  <c r="AY260" i="1"/>
  <c r="AX573" i="1"/>
  <c r="AW573" i="1" s="1"/>
  <c r="BP573" i="1"/>
  <c r="BO573" i="1" s="1"/>
  <c r="BL573" i="1"/>
  <c r="BL1027" i="1"/>
  <c r="BP1027" i="1"/>
  <c r="BO1027" i="1" s="1"/>
  <c r="BP659" i="1"/>
  <c r="BO659" i="1" s="1"/>
  <c r="BL659" i="1"/>
  <c r="AZ144" i="1"/>
  <c r="AX144" i="1"/>
  <c r="AW144" i="1" s="1"/>
  <c r="AY492" i="1"/>
  <c r="AY317" i="1"/>
  <c r="AX716" i="1"/>
  <c r="AW716" i="1" s="1"/>
  <c r="AX1408" i="1"/>
  <c r="AW1408" i="1" s="1"/>
  <c r="BL515" i="1"/>
  <c r="BP515" i="1"/>
  <c r="BO515" i="1" s="1"/>
  <c r="AX970" i="1"/>
  <c r="AW970" i="1" s="1"/>
  <c r="AZ970" i="1"/>
  <c r="BL549" i="1"/>
  <c r="BP549" i="1"/>
  <c r="BO549" i="1" s="1"/>
  <c r="AZ399" i="1"/>
  <c r="AX399" i="1"/>
  <c r="AW399" i="1" s="1"/>
  <c r="BP1373" i="1"/>
  <c r="BO1373" i="1" s="1"/>
  <c r="BL1373" i="1"/>
  <c r="BL1334" i="1"/>
  <c r="BP1334" i="1"/>
  <c r="BO1334" i="1" s="1"/>
  <c r="BL655" i="1"/>
  <c r="BP655" i="1"/>
  <c r="BO655" i="1" s="1"/>
  <c r="BP611" i="1"/>
  <c r="BO611" i="1" s="1"/>
  <c r="BL611" i="1"/>
  <c r="AY1329" i="1"/>
  <c r="AZ421" i="1"/>
  <c r="AX421" i="1"/>
  <c r="AW421" i="1" s="1"/>
  <c r="AZ1409" i="1"/>
  <c r="AX1409" i="1"/>
  <c r="AW1409" i="1" s="1"/>
  <c r="AY1081" i="1"/>
  <c r="AY968" i="1"/>
  <c r="AX1232" i="1"/>
  <c r="AW1232" i="1" s="1"/>
  <c r="AZ1232" i="1"/>
  <c r="AY1307" i="1"/>
  <c r="AZ1271" i="1"/>
  <c r="AX1271" i="1"/>
  <c r="AW1271" i="1" s="1"/>
  <c r="AY693" i="1"/>
  <c r="AZ1068" i="1"/>
  <c r="AX1068" i="1"/>
  <c r="AW1068" i="1" s="1"/>
  <c r="AZ1134" i="1"/>
  <c r="AX1134" i="1"/>
  <c r="AW1134" i="1" s="1"/>
  <c r="BP1093" i="1"/>
  <c r="BO1093" i="1" s="1"/>
  <c r="BL1093" i="1"/>
  <c r="BL214" i="1"/>
  <c r="BP214" i="1"/>
  <c r="BO214" i="1" s="1"/>
  <c r="AY251" i="1"/>
  <c r="BP1089" i="1"/>
  <c r="BO1089" i="1" s="1"/>
  <c r="BL1089" i="1"/>
  <c r="BL1125" i="1"/>
  <c r="BP1125" i="1"/>
  <c r="BO1125" i="1" s="1"/>
  <c r="BL1115" i="1"/>
  <c r="BP1115" i="1"/>
  <c r="BO1115" i="1" s="1"/>
  <c r="AX1086" i="1"/>
  <c r="AW1086" i="1" s="1"/>
  <c r="AZ1178" i="1"/>
  <c r="AX1178" i="1"/>
  <c r="AW1178" i="1" s="1"/>
  <c r="AZ418" i="1"/>
  <c r="AX418" i="1"/>
  <c r="AW418" i="1" s="1"/>
  <c r="BP1060" i="1"/>
  <c r="BO1060" i="1" s="1"/>
  <c r="BL1060" i="1"/>
  <c r="BL1137" i="1"/>
  <c r="BP1137" i="1"/>
  <c r="BO1137" i="1" s="1"/>
  <c r="AZ496" i="1"/>
  <c r="AX496" i="1"/>
  <c r="AW496" i="1" s="1"/>
  <c r="BL705" i="1"/>
  <c r="BP705" i="1"/>
  <c r="BO705" i="1" s="1"/>
  <c r="AZ1001" i="1"/>
  <c r="AX1001" i="1"/>
  <c r="AW1001" i="1" s="1"/>
  <c r="BP887" i="1"/>
  <c r="BO887" i="1" s="1"/>
  <c r="BL887" i="1"/>
  <c r="BP574" i="1"/>
  <c r="BO574" i="1" s="1"/>
  <c r="BL574" i="1"/>
  <c r="BP927" i="1"/>
  <c r="BO927" i="1" s="1"/>
  <c r="BL927" i="1"/>
  <c r="AZ1138" i="1"/>
  <c r="AX1138" i="1"/>
  <c r="AW1138" i="1" s="1"/>
  <c r="AY1178" i="1"/>
  <c r="AY1001" i="1"/>
  <c r="AY608" i="1"/>
  <c r="AX1428" i="1"/>
  <c r="AW1428" i="1" s="1"/>
  <c r="AY479" i="1"/>
  <c r="AX958" i="1"/>
  <c r="AW958" i="1" s="1"/>
  <c r="AX707" i="1"/>
  <c r="AW707" i="1" s="1"/>
  <c r="BL351" i="1"/>
  <c r="BP351" i="1"/>
  <c r="BO351" i="1" s="1"/>
  <c r="AZ1333" i="1"/>
  <c r="AX1333" i="1"/>
  <c r="AW1333" i="1" s="1"/>
  <c r="BL479" i="1"/>
  <c r="BP479" i="1"/>
  <c r="BO479" i="1" s="1"/>
  <c r="BL474" i="1"/>
  <c r="BP474" i="1"/>
  <c r="BO474" i="1" s="1"/>
  <c r="BP1070" i="1"/>
  <c r="BO1070" i="1" s="1"/>
  <c r="BL1070" i="1"/>
  <c r="AY1157" i="1"/>
  <c r="AZ655" i="1"/>
  <c r="AX655" i="1"/>
  <c r="AW655" i="1" s="1"/>
  <c r="BL242" i="1"/>
  <c r="BP242" i="1"/>
  <c r="BO242" i="1" s="1"/>
  <c r="AX1220" i="1"/>
  <c r="AW1220" i="1" s="1"/>
  <c r="BP1053" i="1"/>
  <c r="BO1053" i="1" s="1"/>
  <c r="BL1053" i="1"/>
  <c r="AX988" i="1"/>
  <c r="AW988" i="1" s="1"/>
  <c r="AZ988" i="1"/>
  <c r="BP362" i="1"/>
  <c r="BO362" i="1" s="1"/>
  <c r="BL362" i="1"/>
  <c r="AX923" i="1"/>
  <c r="AW923" i="1" s="1"/>
  <c r="AZ923" i="1"/>
  <c r="AZ407" i="1"/>
  <c r="AX407" i="1"/>
  <c r="AW407" i="1" s="1"/>
  <c r="AZ214" i="1"/>
  <c r="AX214" i="1"/>
  <c r="AW214" i="1" s="1"/>
  <c r="AZ1070" i="1"/>
  <c r="AX1070" i="1"/>
  <c r="AW1070" i="1" s="1"/>
  <c r="AX383" i="1"/>
  <c r="AW383" i="1" s="1"/>
  <c r="AZ383" i="1"/>
  <c r="BL981" i="1"/>
  <c r="BP981" i="1"/>
  <c r="BO981" i="1" s="1"/>
  <c r="AZ355" i="1"/>
  <c r="AX355" i="1"/>
  <c r="AW355" i="1" s="1"/>
  <c r="AY401" i="1"/>
  <c r="BP1076" i="1"/>
  <c r="BO1076" i="1" s="1"/>
  <c r="BL1076" i="1"/>
  <c r="AX1177" i="1"/>
  <c r="AW1177" i="1" s="1"/>
  <c r="BP1177" i="1"/>
  <c r="BO1177" i="1" s="1"/>
  <c r="BL1177" i="1"/>
  <c r="AZ515" i="1"/>
  <c r="AX515" i="1"/>
  <c r="AW515" i="1" s="1"/>
  <c r="AZ1118" i="1"/>
  <c r="AX1118" i="1"/>
  <c r="AW1118" i="1" s="1"/>
  <c r="AZ381" i="1"/>
  <c r="AX381" i="1"/>
  <c r="AW381" i="1" s="1"/>
  <c r="BP225" i="1"/>
  <c r="BO225" i="1" s="1"/>
  <c r="BL225" i="1"/>
  <c r="AZ1184" i="1"/>
  <c r="AX1184" i="1"/>
  <c r="AW1184" i="1" s="1"/>
  <c r="BL1084" i="1"/>
  <c r="BP1084" i="1"/>
  <c r="BO1084" i="1" s="1"/>
  <c r="BP627" i="1"/>
  <c r="BO627" i="1" s="1"/>
  <c r="BL627" i="1"/>
  <c r="AZ1175" i="1"/>
  <c r="AX1175" i="1"/>
  <c r="AW1175" i="1" s="1"/>
  <c r="BL879" i="1"/>
  <c r="BP879" i="1"/>
  <c r="BO879" i="1" s="1"/>
  <c r="BP435" i="1"/>
  <c r="BO435" i="1" s="1"/>
  <c r="BL435" i="1"/>
  <c r="AZ393" i="1"/>
  <c r="AX393" i="1"/>
  <c r="AW393" i="1" s="1"/>
  <c r="AY1063" i="1"/>
  <c r="AZ1062" i="1"/>
  <c r="AX1062" i="1"/>
  <c r="AW1062" i="1" s="1"/>
  <c r="AY1184" i="1"/>
  <c r="AX616" i="1"/>
  <c r="AW616" i="1" s="1"/>
  <c r="AZ616" i="1"/>
  <c r="AZ1365" i="1"/>
  <c r="AX1365" i="1"/>
  <c r="AW1365" i="1" s="1"/>
  <c r="AZ1348" i="1"/>
  <c r="AX1348" i="1"/>
  <c r="AW1348" i="1" s="1"/>
  <c r="AY225" i="1"/>
  <c r="AZ333" i="1"/>
  <c r="AX333" i="1"/>
  <c r="AW333" i="1" s="1"/>
  <c r="BP1255" i="1"/>
  <c r="BO1255" i="1" s="1"/>
  <c r="BL1255" i="1"/>
  <c r="BP1294" i="1"/>
  <c r="BO1294" i="1" s="1"/>
  <c r="BL1294" i="1"/>
  <c r="AX626" i="1"/>
  <c r="AW626" i="1" s="1"/>
  <c r="AZ626" i="1"/>
  <c r="AZ419" i="1"/>
  <c r="AX419" i="1"/>
  <c r="AW419" i="1" s="1"/>
  <c r="BP957" i="1"/>
  <c r="BO957" i="1" s="1"/>
  <c r="BL957" i="1"/>
  <c r="AX1060" i="1"/>
  <c r="AW1060" i="1" s="1"/>
  <c r="AZ1060" i="1"/>
  <c r="AY1124" i="1"/>
  <c r="AY1039" i="1"/>
  <c r="AY1054" i="1"/>
  <c r="BL339" i="1"/>
  <c r="BP339" i="1"/>
  <c r="BO339" i="1" s="1"/>
  <c r="BL462" i="1"/>
  <c r="BP462" i="1"/>
  <c r="BO462" i="1" s="1"/>
  <c r="AX1046" i="1"/>
  <c r="AW1046" i="1" s="1"/>
  <c r="AZ1046" i="1"/>
  <c r="AY1062" i="1"/>
  <c r="AY1220" i="1"/>
  <c r="BL1422" i="1"/>
  <c r="BP1422" i="1"/>
  <c r="BO1422" i="1" s="1"/>
  <c r="AY849" i="1"/>
  <c r="BP624" i="1"/>
  <c r="BO624" i="1" s="1"/>
  <c r="BL624" i="1"/>
  <c r="BL316" i="1"/>
  <c r="BP316" i="1"/>
  <c r="BO316" i="1" s="1"/>
  <c r="BL485" i="1"/>
  <c r="BP485" i="1"/>
  <c r="BO485" i="1" s="1"/>
  <c r="AY1050" i="1"/>
  <c r="BP326" i="1"/>
  <c r="BO326" i="1" s="1"/>
  <c r="BL326" i="1"/>
  <c r="AZ485" i="1"/>
  <c r="AX485" i="1"/>
  <c r="AW485" i="1" s="1"/>
  <c r="BL139" i="1"/>
  <c r="BP139" i="1"/>
  <c r="BO139" i="1" s="1"/>
  <c r="AZ647" i="1"/>
  <c r="AX647" i="1"/>
  <c r="AW647" i="1" s="1"/>
  <c r="AY1084" i="1"/>
  <c r="AY994" i="1"/>
  <c r="AZ1129" i="1"/>
  <c r="AX1129" i="1"/>
  <c r="AW1129" i="1" s="1"/>
  <c r="AY574" i="1"/>
  <c r="AX296" i="1"/>
  <c r="AW296" i="1" s="1"/>
  <c r="AZ1445" i="1"/>
  <c r="AX1445" i="1"/>
  <c r="AW1445" i="1" s="1"/>
  <c r="AY632" i="1"/>
  <c r="AZ239" i="1"/>
  <c r="AX239" i="1"/>
  <c r="AW239" i="1" s="1"/>
  <c r="BL492" i="1"/>
  <c r="BP492" i="1"/>
  <c r="BO492" i="1" s="1"/>
  <c r="AX402" i="1"/>
  <c r="AW402" i="1" s="1"/>
  <c r="AZ402" i="1"/>
  <c r="BP495" i="1"/>
  <c r="BO495" i="1" s="1"/>
  <c r="BL495" i="1"/>
  <c r="AY602" i="1"/>
  <c r="AZ360" i="1"/>
  <c r="AX360" i="1"/>
  <c r="AW360" i="1" s="1"/>
  <c r="AX345" i="1"/>
  <c r="AW345" i="1" s="1"/>
  <c r="AZ345" i="1"/>
  <c r="AY403" i="1"/>
  <c r="BP673" i="1"/>
  <c r="BO673" i="1" s="1"/>
  <c r="BL673" i="1"/>
  <c r="AY1076" i="1"/>
  <c r="AZ968" i="1"/>
  <c r="AX968" i="1"/>
  <c r="AW968" i="1" s="1"/>
  <c r="AZ927" i="1"/>
  <c r="AX927" i="1"/>
  <c r="AW927" i="1" s="1"/>
  <c r="BL1333" i="1"/>
  <c r="BP1333" i="1"/>
  <c r="BO1333" i="1" s="1"/>
  <c r="AY299" i="1"/>
  <c r="BP1123" i="1"/>
  <c r="BO1123" i="1" s="1"/>
  <c r="BL1123" i="1"/>
  <c r="AY841" i="1"/>
  <c r="AY637" i="1"/>
  <c r="AY1089" i="1"/>
  <c r="BL1116" i="1"/>
  <c r="BP1116" i="1"/>
  <c r="BO1116" i="1" s="1"/>
  <c r="BL494" i="1"/>
  <c r="BP494" i="1"/>
  <c r="BO494" i="1" s="1"/>
  <c r="BP251" i="1"/>
  <c r="BO251" i="1" s="1"/>
  <c r="BL251" i="1"/>
  <c r="AX1340" i="1"/>
  <c r="AW1340" i="1" s="1"/>
  <c r="AZ1340" i="1"/>
  <c r="BL1064" i="1"/>
  <c r="BP1064" i="1"/>
  <c r="BO1064" i="1" s="1"/>
  <c r="BP1155" i="1"/>
  <c r="BO1155" i="1" s="1"/>
  <c r="BL1155" i="1"/>
  <c r="AX673" i="1"/>
  <c r="AW673" i="1" s="1"/>
  <c r="AZ673" i="1"/>
  <c r="BL401" i="1"/>
  <c r="BP401" i="1"/>
  <c r="BO401" i="1" s="1"/>
  <c r="BP399" i="1"/>
  <c r="BO399" i="1" s="1"/>
  <c r="BL399" i="1"/>
  <c r="AY958" i="1"/>
  <c r="BP667" i="1"/>
  <c r="BO667" i="1" s="1"/>
  <c r="BL667" i="1"/>
  <c r="BP413" i="1"/>
  <c r="BO413" i="1" s="1"/>
  <c r="BL413" i="1"/>
  <c r="AX362" i="1"/>
  <c r="AW362" i="1" s="1"/>
  <c r="BP1293" i="1"/>
  <c r="BO1293" i="1" s="1"/>
  <c r="BL1293" i="1"/>
  <c r="BL1311" i="1"/>
  <c r="BP1311" i="1"/>
  <c r="BO1311" i="1" s="1"/>
  <c r="AX668" i="1"/>
  <c r="AW668" i="1" s="1"/>
  <c r="AZ668" i="1"/>
  <c r="AX364" i="1"/>
  <c r="AW364" i="1" s="1"/>
  <c r="AZ364" i="1"/>
  <c r="BP381" i="1"/>
  <c r="BO381" i="1" s="1"/>
  <c r="BL381" i="1"/>
  <c r="BL678" i="1"/>
  <c r="BP678" i="1"/>
  <c r="BO678" i="1" s="1"/>
  <c r="AZ1401" i="1"/>
  <c r="AX1401" i="1"/>
  <c r="AW1401" i="1" s="1"/>
  <c r="AY380" i="1"/>
  <c r="BP1073" i="1"/>
  <c r="BO1073" i="1" s="1"/>
  <c r="BL1073" i="1"/>
  <c r="AX1221" i="1"/>
  <c r="AW1221" i="1" s="1"/>
  <c r="BP1324" i="1"/>
  <c r="BO1324" i="1" s="1"/>
  <c r="BL1324" i="1"/>
  <c r="AY444" i="1"/>
  <c r="AZ975" i="1"/>
  <c r="AX975" i="1"/>
  <c r="AW975" i="1" s="1"/>
  <c r="AZ705" i="1"/>
  <c r="AX705" i="1"/>
  <c r="AW705" i="1" s="1"/>
  <c r="BL988" i="1"/>
  <c r="BP988" i="1"/>
  <c r="BO988" i="1" s="1"/>
  <c r="BL1318" i="1"/>
  <c r="BP1318" i="1"/>
  <c r="BO1318" i="1" s="1"/>
  <c r="AY706" i="1"/>
  <c r="BP1283" i="1"/>
  <c r="BO1283" i="1" s="1"/>
  <c r="BL1283" i="1"/>
  <c r="BL396" i="1"/>
  <c r="BP396" i="1"/>
  <c r="BO396" i="1" s="1"/>
  <c r="BL149" i="1"/>
  <c r="BP149" i="1"/>
  <c r="BO149" i="1" s="1"/>
  <c r="AX251" i="1"/>
  <c r="AW251" i="1" s="1"/>
  <c r="BP1118" i="1"/>
  <c r="BO1118" i="1" s="1"/>
  <c r="BL1118" i="1"/>
  <c r="AY1401" i="1"/>
  <c r="AX1421" i="1"/>
  <c r="AW1421" i="1" s="1"/>
  <c r="AZ1421" i="1"/>
  <c r="BL412" i="1"/>
  <c r="BP412" i="1"/>
  <c r="BO412" i="1" s="1"/>
  <c r="AX619" i="1"/>
  <c r="AW619" i="1" s="1"/>
  <c r="AY519" i="1"/>
  <c r="AZ1078" i="1"/>
  <c r="AX1078" i="1"/>
  <c r="AW1078" i="1" s="1"/>
  <c r="AY1311" i="1"/>
  <c r="BP993" i="1"/>
  <c r="BO993" i="1" s="1"/>
  <c r="BL993" i="1"/>
  <c r="AY406" i="1"/>
  <c r="AX1291" i="1"/>
  <c r="AW1291" i="1" s="1"/>
  <c r="BL1275" i="1"/>
  <c r="BP1275" i="1"/>
  <c r="BO1275" i="1" s="1"/>
  <c r="AY1082" i="1"/>
  <c r="AZ1283" i="1"/>
  <c r="AX1283" i="1"/>
  <c r="AW1283" i="1" s="1"/>
  <c r="AY316" i="1"/>
  <c r="AY1052" i="1"/>
  <c r="BL1346" i="1"/>
  <c r="BP1346" i="1"/>
  <c r="BO1346" i="1" s="1"/>
  <c r="BP364" i="1"/>
  <c r="BO364" i="1" s="1"/>
  <c r="BL364" i="1"/>
  <c r="BP411" i="1"/>
  <c r="BO411" i="1" s="1"/>
  <c r="BL411" i="1"/>
  <c r="BL223" i="1"/>
  <c r="BP223" i="1"/>
  <c r="BO223" i="1" s="1"/>
  <c r="AZ541" i="1"/>
  <c r="AX541" i="1"/>
  <c r="AW541" i="1" s="1"/>
  <c r="BP878" i="1"/>
  <c r="BO878" i="1" s="1"/>
  <c r="BL878" i="1"/>
  <c r="AZ1236" i="1"/>
  <c r="AX1236" i="1"/>
  <c r="AW1236" i="1" s="1"/>
  <c r="AY627" i="1"/>
  <c r="AY573" i="1"/>
  <c r="AY619" i="1"/>
  <c r="AY1275" i="1"/>
  <c r="AX678" i="1"/>
  <c r="AW678" i="1" s="1"/>
  <c r="AY1283" i="1"/>
  <c r="AX849" i="1"/>
  <c r="AW849" i="1" s="1"/>
  <c r="AZ849" i="1"/>
  <c r="AX865" i="1"/>
  <c r="AW865" i="1" s="1"/>
  <c r="BP1184" i="1"/>
  <c r="BO1184" i="1" s="1"/>
  <c r="BL1184" i="1"/>
  <c r="AX993" i="1"/>
  <c r="AW993" i="1" s="1"/>
  <c r="BL1329" i="1"/>
  <c r="BP1329" i="1"/>
  <c r="BO1329" i="1" s="1"/>
  <c r="AY1155" i="1"/>
  <c r="AX1135" i="1"/>
  <c r="AW1135" i="1" s="1"/>
  <c r="AY974" i="1"/>
  <c r="AY1289" i="1"/>
  <c r="BP1189" i="1"/>
  <c r="BO1189" i="1" s="1"/>
  <c r="BL118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Sarah Budischak</author>
    <author>tc={ECD801A0-DCD0-6443-AEF7-CAFCECE19B0D}</author>
    <author>tc={888C6CC7-7F11-2141-846A-DFF5E9FDBF9F}</author>
    <author>tc={920916B8-B3E1-AA46-A3CB-CFA3FB62A4AB}</author>
    <author>tc={AF19757F-4AB4-D648-A6FD-296FF9CC8150}</author>
    <author>tc={035308AF-0776-1440-AB34-A1DD665E5808}</author>
    <author>tc={10A632A4-9EE4-FC43-9612-15D6757E1D9E}</author>
    <author>tc={4F0BEE5E-E4E8-E849-BD4F-3F8E58A24CE8}</author>
    <author>tc={83E9F026-AAC7-564E-A532-4ED6AA27D70D}</author>
    <author>tc={02EF7D56-02F5-1B44-A712-9BED31E7C82B}</author>
    <author>tc={BC90623F-3901-444A-8DC1-68AB10547D0A}</author>
    <author>tc={D109737F-7779-9A4D-8173-21D7D73B9FA7}</author>
    <author>tc={35974687-1C30-AF4D-B83D-255E13A367D3}</author>
    <author>tc={1890FAE5-8104-4848-8636-B2D77BFBEFC4}</author>
    <author>tc={25CE1730-AF46-0B40-8314-C930B69D5427}</author>
    <author>tc={D508300D-0B03-C049-A36D-96A29DBF95CC}</author>
    <author>tc={11D9BC9A-D5CE-6740-BFFA-DD360E3D443B}</author>
    <author>tc={CF714319-E30C-EC4A-8FBD-58C1EC5D1D00}</author>
    <author>tc={22E20EEC-EEB0-4248-A44C-4309E68DE709}</author>
    <author>tc={CF78FED3-9006-5745-BBB7-A59A851DA99B}</author>
  </authors>
  <commentList>
    <comment ref="J2" authorId="0" shapeId="0" xr:uid="{00000000-0006-0000-0000-000047000000}">
      <text>
        <r>
          <rPr>
            <b/>
            <sz val="9"/>
            <color indexed="81"/>
            <rFont val="Calibri"/>
            <family val="2"/>
          </rPr>
          <t>Sarah Budischak:</t>
        </r>
        <r>
          <rPr>
            <sz val="9"/>
            <color indexed="81"/>
            <rFont val="Calibri"/>
            <family val="2"/>
          </rPr>
          <t xml:space="preserve">
Marcella's mouse tag</t>
        </r>
      </text>
    </comment>
    <comment ref="AM5" authorId="0" shapeId="0" xr:uid="{00000000-0006-0000-0000-000056000000}">
      <text>
        <r>
          <rPr>
            <b/>
            <sz val="9"/>
            <color rgb="FF000000"/>
            <rFont val="Calibri"/>
            <family val="2"/>
          </rPr>
          <t>Sarah Budischak "?" listed on datasheet</t>
        </r>
      </text>
    </comment>
    <comment ref="V7" authorId="0" shapeId="0" xr:uid="{00000000-0006-0000-0000-00005D000000}">
      <text>
        <r>
          <rPr>
            <b/>
            <sz val="9"/>
            <color indexed="81"/>
            <rFont val="Calibri"/>
            <family val="2"/>
          </rPr>
          <t>Sarah Budischak:</t>
        </r>
        <r>
          <rPr>
            <sz val="9"/>
            <color indexed="81"/>
            <rFont val="Calibri"/>
            <family val="2"/>
          </rPr>
          <t xml:space="preserve">
corrected from PM
</t>
        </r>
      </text>
    </comment>
    <comment ref="V48" authorId="0" shapeId="0" xr:uid="{00000000-0006-0000-0000-000051000000}">
      <text>
        <r>
          <rPr>
            <b/>
            <sz val="9"/>
            <color indexed="81"/>
            <rFont val="Calibri"/>
            <family val="2"/>
          </rPr>
          <t>Sarah Budischak:</t>
        </r>
        <r>
          <rPr>
            <sz val="9"/>
            <color indexed="81"/>
            <rFont val="Calibri"/>
            <family val="2"/>
          </rPr>
          <t xml:space="preserve">
changed to PM
</t>
        </r>
      </text>
    </comment>
    <comment ref="BD92" authorId="0" shapeId="0" xr:uid="{00000000-0006-0000-0000-000054000000}">
      <text>
        <r>
          <rPr>
            <b/>
            <sz val="9"/>
            <color rgb="FF000000"/>
            <rFont val="Calibri"/>
            <family val="2"/>
          </rPr>
          <t>Sarah Budischak:</t>
        </r>
        <r>
          <rPr>
            <sz val="9"/>
            <color rgb="FF000000"/>
            <rFont val="Calibri"/>
            <family val="2"/>
          </rPr>
          <t xml:space="preserve">
</t>
        </r>
        <r>
          <rPr>
            <sz val="9"/>
            <color rgb="FF000000"/>
            <rFont val="Calibri"/>
            <family val="2"/>
          </rPr>
          <t xml:space="preserve">check data sheet and calcs that rely upon this and Eariz B counts
</t>
        </r>
      </text>
    </comment>
    <comment ref="BG92" authorId="0" shapeId="0" xr:uid="{00000000-0006-0000-0000-000055000000}">
      <text>
        <r>
          <rPr>
            <b/>
            <sz val="9"/>
            <color rgb="FF000000"/>
            <rFont val="Calibri"/>
            <family val="2"/>
          </rPr>
          <t>Sarah Budischak:</t>
        </r>
        <r>
          <rPr>
            <sz val="9"/>
            <color rgb="FF000000"/>
            <rFont val="Calibri"/>
            <family val="2"/>
          </rPr>
          <t xml:space="preserve">
</t>
        </r>
        <r>
          <rPr>
            <sz val="9"/>
            <color rgb="FF000000"/>
            <rFont val="Calibri"/>
            <family val="2"/>
          </rPr>
          <t>data sheet says 24366, but I don't trust it</t>
        </r>
      </text>
    </comment>
    <comment ref="V105" authorId="0" shapeId="0" xr:uid="{00000000-0006-0000-0000-000057000000}">
      <text>
        <r>
          <rPr>
            <b/>
            <sz val="9"/>
            <color indexed="81"/>
            <rFont val="Calibri"/>
            <family val="2"/>
          </rPr>
          <t>Sarah Budischak:</t>
        </r>
        <r>
          <rPr>
            <sz val="9"/>
            <color indexed="81"/>
            <rFont val="Calibri"/>
            <family val="2"/>
          </rPr>
          <t xml:space="preserve">
species not distinguishable</t>
        </r>
      </text>
    </comment>
    <comment ref="BD105" authorId="0" shapeId="0" xr:uid="{00000000-0006-0000-0000-000058000000}">
      <text>
        <r>
          <rPr>
            <b/>
            <sz val="9"/>
            <color indexed="81"/>
            <rFont val="Calibri"/>
            <family val="2"/>
          </rPr>
          <t>Sarah Budischak:</t>
        </r>
        <r>
          <rPr>
            <sz val="9"/>
            <color indexed="81"/>
            <rFont val="Calibri"/>
            <family val="2"/>
          </rPr>
          <t xml:space="preserve">
FIXED
</t>
        </r>
      </text>
    </comment>
    <comment ref="V118" authorId="0" shapeId="0" xr:uid="{00000000-0006-0000-0000-000065000000}">
      <text>
        <r>
          <rPr>
            <b/>
            <sz val="9"/>
            <color indexed="81"/>
            <rFont val="Calibri"/>
            <family val="2"/>
          </rPr>
          <t>Sarah Budischak:</t>
        </r>
        <r>
          <rPr>
            <sz val="9"/>
            <color indexed="81"/>
            <rFont val="Calibri"/>
            <family val="2"/>
          </rPr>
          <t xml:space="preserve">
fixed based on CT and tail to body</t>
        </r>
      </text>
    </comment>
    <comment ref="V119" authorId="0" shapeId="0" xr:uid="{00000000-0006-0000-0000-00005B000000}">
      <text>
        <r>
          <rPr>
            <b/>
            <sz val="9"/>
            <color indexed="81"/>
            <rFont val="Calibri"/>
            <family val="2"/>
          </rPr>
          <t>Sarah Budischak:</t>
        </r>
        <r>
          <rPr>
            <sz val="9"/>
            <color indexed="81"/>
            <rFont val="Calibri"/>
            <family val="2"/>
          </rPr>
          <t xml:space="preserve">
fixed based on CT and tail to body</t>
        </r>
      </text>
    </comment>
    <comment ref="V120" authorId="0" shapeId="0" xr:uid="{00000000-0006-0000-0000-00005C000000}">
      <text>
        <r>
          <rPr>
            <b/>
            <sz val="9"/>
            <color indexed="81"/>
            <rFont val="Calibri"/>
            <family val="2"/>
          </rPr>
          <t>Sarah Budischak:</t>
        </r>
        <r>
          <rPr>
            <sz val="9"/>
            <color indexed="81"/>
            <rFont val="Calibri"/>
            <family val="2"/>
          </rPr>
          <t xml:space="preserve">
fixed based on CT and tail to body</t>
        </r>
      </text>
    </comment>
    <comment ref="V121" authorId="0" shapeId="0" xr:uid="{00000000-0006-0000-0000-000066000000}">
      <text>
        <r>
          <rPr>
            <b/>
            <sz val="9"/>
            <color indexed="81"/>
            <rFont val="Calibri"/>
            <family val="2"/>
          </rPr>
          <t>Sarah Budischak:</t>
        </r>
        <r>
          <rPr>
            <sz val="9"/>
            <color indexed="81"/>
            <rFont val="Calibri"/>
            <family val="2"/>
          </rPr>
          <t xml:space="preserve">
changed to PM based on CT and tail to body
</t>
        </r>
      </text>
    </comment>
    <comment ref="Y121" authorId="0" shapeId="0" xr:uid="{00000000-0006-0000-0000-000067000000}">
      <text>
        <r>
          <rPr>
            <b/>
            <sz val="9"/>
            <color indexed="81"/>
            <rFont val="Calibri"/>
            <family val="2"/>
          </rPr>
          <t>Sarah Budischak:</t>
        </r>
        <r>
          <rPr>
            <sz val="9"/>
            <color indexed="81"/>
            <rFont val="Calibri"/>
            <family val="2"/>
          </rPr>
          <t xml:space="preserve">
chagned from SA based on prior captures (and SB just in training)</t>
        </r>
      </text>
    </comment>
    <comment ref="Z121" authorId="0" shapeId="0" xr:uid="{00000000-0006-0000-0000-000068000000}">
      <text>
        <r>
          <rPr>
            <b/>
            <sz val="9"/>
            <color indexed="81"/>
            <rFont val="Calibri"/>
            <family val="2"/>
          </rPr>
          <t>Sarah Budischak:</t>
        </r>
        <r>
          <rPr>
            <sz val="9"/>
            <color indexed="81"/>
            <rFont val="Calibri"/>
            <family val="2"/>
          </rPr>
          <t xml:space="preserve">
chagned from 2.6 based on prior captures (and SB just in training)</t>
        </r>
      </text>
    </comment>
    <comment ref="AT132" authorId="0" shapeId="0" xr:uid="{00000000-0006-0000-0000-00001B000000}">
      <text>
        <r>
          <rPr>
            <b/>
            <sz val="9"/>
            <color indexed="81"/>
            <rFont val="Calibri"/>
            <family val="2"/>
          </rPr>
          <t>Sarah Budischak:</t>
        </r>
        <r>
          <rPr>
            <sz val="9"/>
            <color indexed="81"/>
            <rFont val="Calibri"/>
            <family val="2"/>
          </rPr>
          <t xml:space="preserve">
sb entered</t>
        </r>
      </text>
    </comment>
    <comment ref="AT141" authorId="0" shapeId="0" xr:uid="{00000000-0006-0000-0000-00002F000000}">
      <text>
        <r>
          <rPr>
            <b/>
            <sz val="9"/>
            <color indexed="81"/>
            <rFont val="Calibri"/>
            <family val="2"/>
          </rPr>
          <t>Sarah Budischak:</t>
        </r>
        <r>
          <rPr>
            <sz val="9"/>
            <color indexed="81"/>
            <rFont val="Calibri"/>
            <family val="2"/>
          </rPr>
          <t xml:space="preserve">
SB ENTERED
</t>
        </r>
      </text>
    </comment>
    <comment ref="V147" authorId="0" shapeId="0" xr:uid="{00000000-0006-0000-0000-00001C000000}">
      <text>
        <r>
          <rPr>
            <b/>
            <sz val="9"/>
            <color indexed="81"/>
            <rFont val="Calibri"/>
            <family val="2"/>
          </rPr>
          <t>Sarah Budischak:</t>
        </r>
        <r>
          <rPr>
            <sz val="9"/>
            <color indexed="81"/>
            <rFont val="Calibri"/>
            <family val="2"/>
          </rPr>
          <t xml:space="preserve">
changed to PM</t>
        </r>
      </text>
    </comment>
    <comment ref="AT153" authorId="0" shapeId="0" xr:uid="{00000000-0006-0000-0000-00001D000000}">
      <text>
        <r>
          <rPr>
            <sz val="9"/>
            <color indexed="81"/>
            <rFont val="Calibri"/>
            <family val="2"/>
          </rPr>
          <t>DATA FROM C 6/1 SP1 G|| WAS ENTERED HERE, I DELETED IT SINCE IT DIDN'T MATCH "F4"</t>
        </r>
      </text>
    </comment>
    <comment ref="AR162" authorId="0" shapeId="0" xr:uid="{A66F66AC-D7B9-1948-82C4-ADB31351C9E8}">
      <text>
        <r>
          <rPr>
            <b/>
            <sz val="9"/>
            <color indexed="81"/>
            <rFont val="Calibri"/>
            <family val="2"/>
          </rPr>
          <t>Sarah Budischak:</t>
        </r>
        <r>
          <rPr>
            <sz val="9"/>
            <color indexed="81"/>
            <rFont val="Calibri"/>
            <family val="2"/>
          </rPr>
          <t xml:space="preserve">
sample missing</t>
        </r>
      </text>
    </comment>
    <comment ref="AS162" authorId="0" shapeId="0" xr:uid="{00000000-0006-0000-0000-000031000000}">
      <text>
        <r>
          <rPr>
            <b/>
            <sz val="9"/>
            <color indexed="81"/>
            <rFont val="Calibri"/>
            <family val="2"/>
          </rPr>
          <t>Sarah Budischak:</t>
        </r>
        <r>
          <rPr>
            <sz val="9"/>
            <color indexed="81"/>
            <rFont val="Calibri"/>
            <family val="2"/>
          </rPr>
          <t xml:space="preserve">
sample missing</t>
        </r>
      </text>
    </comment>
    <comment ref="AT179" authorId="0" shapeId="0" xr:uid="{00000000-0006-0000-0000-000022000000}">
      <text>
        <r>
          <rPr>
            <b/>
            <sz val="9"/>
            <color indexed="81"/>
            <rFont val="Calibri"/>
            <family val="2"/>
          </rPr>
          <t>Sarah Budischak:</t>
        </r>
        <r>
          <rPr>
            <sz val="9"/>
            <color indexed="81"/>
            <rFont val="Calibri"/>
            <family val="2"/>
          </rPr>
          <t xml:space="preserve">
FIXED BY SB "DIFFERENT CAPILLARIA"
</t>
        </r>
      </text>
    </comment>
    <comment ref="AT186" authorId="0" shapeId="0" xr:uid="{00000000-0006-0000-0000-000025000000}">
      <text>
        <r>
          <rPr>
            <sz val="9"/>
            <color indexed="81"/>
            <rFont val="Calibri"/>
            <family val="2"/>
          </rPr>
          <t xml:space="preserve">2X PO2 C4
</t>
        </r>
      </text>
    </comment>
    <comment ref="AI192" authorId="0" shapeId="0" xr:uid="{00000000-0006-0000-0000-000048000000}">
      <text>
        <r>
          <rPr>
            <b/>
            <sz val="9"/>
            <color indexed="81"/>
            <rFont val="Calibri"/>
            <family val="2"/>
          </rPr>
          <t>Sarah Budischak:</t>
        </r>
        <r>
          <rPr>
            <sz val="9"/>
            <color indexed="81"/>
            <rFont val="Calibri"/>
            <family val="2"/>
          </rPr>
          <t xml:space="preserve">
switched body and tail, now correct
</t>
        </r>
      </text>
    </comment>
    <comment ref="AT193" authorId="0" shapeId="0" xr:uid="{00000000-0006-0000-0000-000024000000}">
      <text>
        <r>
          <rPr>
            <sz val="9"/>
            <color indexed="81"/>
            <rFont val="Calibri"/>
            <family val="2"/>
          </rPr>
          <t xml:space="preserve">PO1 C4 MISSING, HA AND TA REPORT FOR PO2 C4. THIS IS HA DATA. PROBABLY SHOULD DROP
</t>
        </r>
      </text>
    </comment>
    <comment ref="AI232" authorId="0" shapeId="0" xr:uid="{00000000-0006-0000-0000-00004B000000}">
      <text>
        <r>
          <rPr>
            <b/>
            <sz val="9"/>
            <color indexed="81"/>
            <rFont val="Calibri"/>
            <family val="2"/>
          </rPr>
          <t>Sarah Budischak:</t>
        </r>
        <r>
          <rPr>
            <sz val="9"/>
            <color indexed="81"/>
            <rFont val="Calibri"/>
            <family val="2"/>
          </rPr>
          <t xml:space="preserve">
stumpy tail</t>
        </r>
      </text>
    </comment>
    <comment ref="AT250" authorId="0" shapeId="0" xr:uid="{00000000-0006-0000-0000-000027000000}">
      <text>
        <r>
          <rPr>
            <b/>
            <sz val="9"/>
            <color indexed="81"/>
            <rFont val="Calibri"/>
            <family val="2"/>
          </rPr>
          <t>Sarah Budischak:</t>
        </r>
        <r>
          <rPr>
            <sz val="9"/>
            <color indexed="81"/>
            <rFont val="Calibri"/>
            <family val="2"/>
          </rPr>
          <t xml:space="preserve">
FEC by both CJ and TA, but both get same count so data is usable</t>
        </r>
      </text>
    </comment>
    <comment ref="AI304" authorId="0" shapeId="0" xr:uid="{00000000-0006-0000-0000-000049000000}">
      <text>
        <r>
          <rPr>
            <b/>
            <sz val="9"/>
            <color indexed="81"/>
            <rFont val="Calibri"/>
            <family val="2"/>
          </rPr>
          <t>Sarah Budischak:</t>
        </r>
        <r>
          <rPr>
            <sz val="9"/>
            <color indexed="81"/>
            <rFont val="Calibri"/>
            <family val="2"/>
          </rPr>
          <t xml:space="preserve">
switched tail ant body, now correct
</t>
        </r>
      </text>
    </comment>
    <comment ref="P305" authorId="0" shapeId="0" xr:uid="{00000000-0006-0000-0000-000032000000}">
      <text>
        <r>
          <rPr>
            <b/>
            <sz val="9"/>
            <color indexed="81"/>
            <rFont val="Calibri"/>
            <family val="2"/>
          </rPr>
          <t>Sarah Budischak:</t>
        </r>
        <r>
          <rPr>
            <sz val="9"/>
            <color indexed="81"/>
            <rFont val="Calibri"/>
            <family val="2"/>
          </rPr>
          <t xml:space="preserve">
capture data sheet says C, but should have been A</t>
        </r>
      </text>
    </comment>
    <comment ref="V306" authorId="0" shapeId="0" xr:uid="{00000000-0006-0000-0000-00005A000000}">
      <text>
        <r>
          <rPr>
            <b/>
            <sz val="9"/>
            <color indexed="81"/>
            <rFont val="Calibri"/>
            <family val="2"/>
          </rPr>
          <t>Sarah Budischak:</t>
        </r>
        <r>
          <rPr>
            <sz val="9"/>
            <color indexed="81"/>
            <rFont val="Calibri"/>
            <family val="2"/>
          </rPr>
          <t xml:space="preserve">
corrected from PM
</t>
        </r>
      </text>
    </comment>
    <comment ref="AT344" authorId="0" shapeId="0" xr:uid="{00000000-0006-0000-0000-00002D000000}">
      <text>
        <r>
          <rPr>
            <b/>
            <sz val="9"/>
            <color indexed="81"/>
            <rFont val="Calibri"/>
            <family val="2"/>
          </rPr>
          <t>Sarah Budischak:</t>
        </r>
        <r>
          <rPr>
            <sz val="9"/>
            <color indexed="81"/>
            <rFont val="Calibri"/>
            <family val="2"/>
          </rPr>
          <t xml:space="preserve">
USING DATA FROM BC1 G3</t>
        </r>
      </text>
    </comment>
    <comment ref="AT346" authorId="0" shapeId="0" xr:uid="{00000000-0006-0000-0000-00002E000000}">
      <text>
        <r>
          <rPr>
            <b/>
            <sz val="9"/>
            <color indexed="81"/>
            <rFont val="Calibri"/>
            <family val="2"/>
          </rPr>
          <t>Sarah Budischak:</t>
        </r>
        <r>
          <rPr>
            <sz val="9"/>
            <color indexed="81"/>
            <rFont val="Calibri"/>
            <family val="2"/>
          </rPr>
          <t xml:space="preserve">
SB ETNERED
</t>
        </r>
      </text>
    </comment>
    <comment ref="AT350" authorId="0" shapeId="0" xr:uid="{00000000-0006-0000-0000-00002B000000}">
      <text>
        <r>
          <rPr>
            <sz val="9"/>
            <color indexed="81"/>
            <rFont val="Calibri"/>
            <family val="2"/>
          </rPr>
          <t xml:space="preserve">CJ SAYS FEC IS ZERO
</t>
        </r>
      </text>
    </comment>
    <comment ref="AT354" authorId="0" shapeId="0" xr:uid="{00000000-0006-0000-0000-000030000000}">
      <text>
        <r>
          <rPr>
            <sz val="9"/>
            <color indexed="81"/>
            <rFont val="Calibri"/>
            <family val="2"/>
          </rPr>
          <t xml:space="preserve">SB entered
</t>
        </r>
      </text>
    </comment>
    <comment ref="V361" authorId="0" shapeId="0" xr:uid="{00000000-0006-0000-0000-000011000000}">
      <text>
        <r>
          <rPr>
            <b/>
            <sz val="9"/>
            <color indexed="81"/>
            <rFont val="Calibri"/>
            <family val="2"/>
          </rPr>
          <t>Sarah Budischak:</t>
        </r>
        <r>
          <rPr>
            <sz val="9"/>
            <color indexed="81"/>
            <rFont val="Calibri"/>
            <family val="2"/>
          </rPr>
          <t xml:space="preserve">
CORRECTED FROM PL</t>
        </r>
      </text>
    </comment>
    <comment ref="AI381" authorId="0" shapeId="0" xr:uid="{00000000-0006-0000-0000-000041000000}">
      <text>
        <r>
          <rPr>
            <b/>
            <sz val="9"/>
            <color indexed="81"/>
            <rFont val="Calibri"/>
            <family val="2"/>
          </rPr>
          <t>Sarah Budischak:</t>
        </r>
        <r>
          <rPr>
            <sz val="9"/>
            <color indexed="81"/>
            <rFont val="Calibri"/>
            <family val="2"/>
          </rPr>
          <t xml:space="preserve">
swithced tail and body, now correct
</t>
        </r>
      </text>
    </comment>
    <comment ref="AI389" authorId="0" shapeId="0" xr:uid="{00000000-0006-0000-0000-000042000000}">
      <text>
        <r>
          <rPr>
            <b/>
            <sz val="9"/>
            <color indexed="81"/>
            <rFont val="Calibri"/>
            <family val="2"/>
          </rPr>
          <t>Sarah Budischak:</t>
        </r>
        <r>
          <rPr>
            <sz val="9"/>
            <color indexed="81"/>
            <rFont val="Calibri"/>
            <family val="2"/>
          </rPr>
          <t xml:space="preserve">
switched tial and body -  now correct
</t>
        </r>
      </text>
    </comment>
    <comment ref="AI413" authorId="0" shapeId="0" xr:uid="{00000000-0006-0000-0000-000033000000}">
      <text>
        <r>
          <rPr>
            <b/>
            <sz val="9"/>
            <color indexed="81"/>
            <rFont val="Calibri"/>
            <family val="2"/>
          </rPr>
          <t>Sarah Budischak: physically has no tail</t>
        </r>
      </text>
    </comment>
    <comment ref="AI414" authorId="0" shapeId="0" xr:uid="{00000000-0006-0000-0000-000037000000}">
      <text>
        <r>
          <rPr>
            <b/>
            <sz val="9"/>
            <color indexed="81"/>
            <rFont val="Calibri"/>
            <family val="2"/>
          </rPr>
          <t>Sarah Budischak:</t>
        </r>
        <r>
          <rPr>
            <sz val="9"/>
            <color indexed="81"/>
            <rFont val="Calibri"/>
            <family val="2"/>
          </rPr>
          <t xml:space="preserve">
physically has no tail</t>
        </r>
      </text>
    </comment>
    <comment ref="Y421" authorId="0" shapeId="0" xr:uid="{00000000-0006-0000-0000-000034000000}">
      <text>
        <r>
          <rPr>
            <b/>
            <sz val="9"/>
            <color indexed="81"/>
            <rFont val="Calibri"/>
            <family val="2"/>
          </rPr>
          <t>Sarah Budischak:</t>
        </r>
        <r>
          <rPr>
            <sz val="9"/>
            <color indexed="81"/>
            <rFont val="Calibri"/>
            <family val="2"/>
          </rPr>
          <t xml:space="preserve">
changed from adult based on size and recapture info, datasheet says A</t>
        </r>
      </text>
    </comment>
    <comment ref="Z421" authorId="0" shapeId="0" xr:uid="{00000000-0006-0000-0000-000035000000}">
      <text>
        <r>
          <rPr>
            <b/>
            <sz val="9"/>
            <color indexed="81"/>
            <rFont val="Calibri"/>
            <family val="2"/>
          </rPr>
          <t>Sarah Budischak:</t>
        </r>
        <r>
          <rPr>
            <sz val="9"/>
            <color indexed="81"/>
            <rFont val="Calibri"/>
            <family val="2"/>
          </rPr>
          <t xml:space="preserve">
changed from 3 to 2.3 based on size and recapture, datasheet says 3</t>
        </r>
      </text>
    </comment>
    <comment ref="Q479" authorId="0" shapeId="0" xr:uid="{00000000-0006-0000-0000-000038000000}">
      <text>
        <r>
          <rPr>
            <b/>
            <sz val="9"/>
            <color indexed="81"/>
            <rFont val="Calibri"/>
            <family val="2"/>
          </rPr>
          <t>Sarah Budischak:</t>
        </r>
        <r>
          <rPr>
            <sz val="9"/>
            <color indexed="81"/>
            <rFont val="Calibri"/>
            <family val="2"/>
          </rPr>
          <t xml:space="preserve">
don't know if previously treated</t>
        </r>
      </text>
    </comment>
    <comment ref="Q482" authorId="0" shapeId="0" xr:uid="{00000000-0006-0000-0000-000039000000}">
      <text>
        <r>
          <rPr>
            <b/>
            <sz val="9"/>
            <color rgb="FF000000"/>
            <rFont val="Calibri"/>
            <family val="2"/>
          </rPr>
          <t>Sarah Budischak:</t>
        </r>
        <r>
          <rPr>
            <sz val="9"/>
            <color rgb="FF000000"/>
            <rFont val="Calibri"/>
            <family val="2"/>
          </rPr>
          <t xml:space="preserve">
</t>
        </r>
        <r>
          <rPr>
            <sz val="9"/>
            <color rgb="FF000000"/>
            <rFont val="Calibri"/>
            <family val="2"/>
          </rPr>
          <t>don't know if previously treated</t>
        </r>
      </text>
    </comment>
    <comment ref="Q489" authorId="0" shapeId="0" xr:uid="{00000000-0006-0000-0000-00003A000000}">
      <text>
        <r>
          <rPr>
            <b/>
            <sz val="9"/>
            <color indexed="81"/>
            <rFont val="Calibri"/>
            <family val="2"/>
          </rPr>
          <t>Sarah Budischak:</t>
        </r>
        <r>
          <rPr>
            <sz val="9"/>
            <color indexed="81"/>
            <rFont val="Calibri"/>
            <family val="2"/>
          </rPr>
          <t xml:space="preserve">
don't know if previously treated</t>
        </r>
      </text>
    </comment>
    <comment ref="Q496" authorId="0" shapeId="0" xr:uid="{00000000-0006-0000-0000-00003B000000}">
      <text>
        <r>
          <rPr>
            <b/>
            <sz val="9"/>
            <color indexed="81"/>
            <rFont val="Calibri"/>
            <family val="2"/>
          </rPr>
          <t>Sarah Budischak:</t>
        </r>
        <r>
          <rPr>
            <sz val="9"/>
            <color indexed="81"/>
            <rFont val="Calibri"/>
            <family val="2"/>
          </rPr>
          <t xml:space="preserve">
don't know if previously treated
</t>
        </r>
      </text>
    </comment>
    <comment ref="AI500" authorId="0" shapeId="0" xr:uid="{00000000-0006-0000-0000-00003D000000}">
      <text>
        <r>
          <rPr>
            <b/>
            <sz val="9"/>
            <color indexed="81"/>
            <rFont val="Calibri"/>
            <family val="2"/>
          </rPr>
          <t>Sarah Budischak:</t>
        </r>
        <r>
          <rPr>
            <sz val="9"/>
            <color indexed="81"/>
            <rFont val="Calibri"/>
            <family val="2"/>
          </rPr>
          <t xml:space="preserve">
switched tail and body, now correct</t>
        </r>
      </text>
    </comment>
    <comment ref="AI505" authorId="0" shapeId="0" xr:uid="{00000000-0006-0000-0000-00004D000000}">
      <text>
        <r>
          <rPr>
            <b/>
            <sz val="9"/>
            <color indexed="81"/>
            <rFont val="Calibri"/>
            <family val="2"/>
          </rPr>
          <t>Sarah Budischak:</t>
        </r>
        <r>
          <rPr>
            <sz val="9"/>
            <color indexed="81"/>
            <rFont val="Calibri"/>
            <family val="2"/>
          </rPr>
          <t xml:space="preserve">
switched tail and body, now correct
</t>
        </r>
      </text>
    </comment>
    <comment ref="AH511" authorId="0" shapeId="0" xr:uid="{00000000-0006-0000-0000-000001000000}">
      <text>
        <r>
          <rPr>
            <b/>
            <sz val="9"/>
            <color indexed="81"/>
            <rFont val="Calibri"/>
            <family val="2"/>
          </rPr>
          <t>Sarah Budischak:</t>
        </r>
        <r>
          <rPr>
            <sz val="9"/>
            <color indexed="81"/>
            <rFont val="Calibri"/>
            <family val="2"/>
          </rPr>
          <t xml:space="preserve">
check with Julian: 6 or 0?</t>
        </r>
      </text>
    </comment>
    <comment ref="V520" authorId="0" shapeId="0" xr:uid="{00000000-0006-0000-0000-00000F000000}">
      <text>
        <r>
          <rPr>
            <b/>
            <sz val="9"/>
            <color indexed="81"/>
            <rFont val="Calibri"/>
            <family val="2"/>
          </rPr>
          <t>Sarah Budischak:</t>
        </r>
        <r>
          <rPr>
            <sz val="9"/>
            <color indexed="81"/>
            <rFont val="Calibri"/>
            <family val="2"/>
          </rPr>
          <t xml:space="preserve">
PL on previous 2 captures</t>
        </r>
      </text>
    </comment>
    <comment ref="V523" authorId="0" shapeId="0" xr:uid="{00000000-0006-0000-0000-000018000000}">
      <text>
        <r>
          <rPr>
            <b/>
            <sz val="9"/>
            <color indexed="81"/>
            <rFont val="Calibri"/>
            <family val="2"/>
          </rPr>
          <t>Sarah Budischak:</t>
        </r>
        <r>
          <rPr>
            <sz val="9"/>
            <color indexed="81"/>
            <rFont val="Calibri"/>
            <family val="2"/>
          </rPr>
          <t xml:space="preserve">
PM on next capture</t>
        </r>
      </text>
    </comment>
    <comment ref="V524" authorId="0" shapeId="0" xr:uid="{00000000-0006-0000-0000-000006000000}">
      <text>
        <r>
          <rPr>
            <b/>
            <sz val="9"/>
            <color indexed="81"/>
            <rFont val="Calibri"/>
            <family val="2"/>
          </rPr>
          <t>Sarah Budischak:</t>
        </r>
        <r>
          <rPr>
            <sz val="9"/>
            <color indexed="81"/>
            <rFont val="Calibri"/>
            <family val="2"/>
          </rPr>
          <t xml:space="preserve">
PL on prevous capture</t>
        </r>
      </text>
    </comment>
    <comment ref="V532" authorId="0" shapeId="0" xr:uid="{00000000-0006-0000-0000-000015000000}">
      <text>
        <r>
          <rPr>
            <b/>
            <sz val="9"/>
            <color indexed="81"/>
            <rFont val="Calibri"/>
            <family val="2"/>
          </rPr>
          <t>Sarah Budischak:</t>
        </r>
        <r>
          <rPr>
            <sz val="9"/>
            <color indexed="81"/>
            <rFont val="Calibri"/>
            <family val="2"/>
          </rPr>
          <t xml:space="preserve">
PM on next two caps</t>
        </r>
      </text>
    </comment>
    <comment ref="V533" authorId="0" shapeId="0" xr:uid="{00000000-0006-0000-0000-000007000000}">
      <text>
        <r>
          <rPr>
            <b/>
            <sz val="9"/>
            <color indexed="81"/>
            <rFont val="Calibri"/>
            <family val="2"/>
          </rPr>
          <t>Sarah Budischak:</t>
        </r>
        <r>
          <rPr>
            <sz val="9"/>
            <color indexed="81"/>
            <rFont val="Calibri"/>
            <family val="2"/>
          </rPr>
          <t xml:space="preserve">
PM on next and PL on prevous captures</t>
        </r>
      </text>
    </comment>
    <comment ref="V534" authorId="0" shapeId="0" xr:uid="{00000000-0006-0000-0000-00000A000000}">
      <text>
        <r>
          <rPr>
            <b/>
            <sz val="9"/>
            <color indexed="81"/>
            <rFont val="Calibri"/>
            <family val="2"/>
          </rPr>
          <t>Sarah Budischak:</t>
        </r>
        <r>
          <rPr>
            <sz val="9"/>
            <color indexed="81"/>
            <rFont val="Calibri"/>
            <family val="2"/>
          </rPr>
          <t xml:space="preserve">
PL, PM, then this PM</t>
        </r>
      </text>
    </comment>
    <comment ref="AN536" authorId="1" shapeId="0" xr:uid="{ECD801A0-DCD0-6443-AEF7-CAFCECE19B0D}">
      <text>
        <t>[Threaded comment]
Your version of Excel allows you to read this threaded comment; however, any edits to it will get removed if the file is opened in a newer version of Excel. Learn more: https://go.microsoft.com/fwlink/?linkid=870924
Comment:
    scar from previous infection</t>
      </text>
    </comment>
    <comment ref="AI537" authorId="0" shapeId="0" xr:uid="{00000000-0006-0000-0000-000016000000}">
      <text>
        <r>
          <rPr>
            <b/>
            <sz val="9"/>
            <color indexed="81"/>
            <rFont val="Calibri"/>
            <family val="2"/>
          </rPr>
          <t>Sarah Budischak:</t>
        </r>
        <r>
          <rPr>
            <sz val="9"/>
            <color indexed="81"/>
            <rFont val="Calibri"/>
            <family val="2"/>
          </rPr>
          <t xml:space="preserve">
JULIAN - 70 OR 76
</t>
        </r>
      </text>
    </comment>
    <comment ref="V555" authorId="0" shapeId="0" xr:uid="{00000000-0006-0000-0000-000003000000}">
      <text>
        <r>
          <rPr>
            <b/>
            <sz val="9"/>
            <color indexed="81"/>
            <rFont val="Calibri"/>
            <family val="2"/>
          </rPr>
          <t>Sarah Budischak:</t>
        </r>
        <r>
          <rPr>
            <sz val="9"/>
            <color indexed="81"/>
            <rFont val="Calibri"/>
            <family val="2"/>
          </rPr>
          <t xml:space="preserve">
why isn't this PL?</t>
        </r>
      </text>
    </comment>
    <comment ref="V575" authorId="0" shapeId="0" xr:uid="{00000000-0006-0000-0000-000014000000}">
      <text>
        <r>
          <rPr>
            <b/>
            <sz val="9"/>
            <color indexed="81"/>
            <rFont val="Calibri"/>
            <family val="2"/>
          </rPr>
          <t>Sarah Budischak:</t>
        </r>
        <r>
          <rPr>
            <sz val="9"/>
            <color indexed="81"/>
            <rFont val="Calibri"/>
            <family val="2"/>
          </rPr>
          <t xml:space="preserve">
PL and PM on next caps</t>
        </r>
      </text>
    </comment>
    <comment ref="V576" authorId="0" shapeId="0" xr:uid="{00000000-0006-0000-0000-000017000000}">
      <text>
        <r>
          <rPr>
            <b/>
            <sz val="9"/>
            <color indexed="81"/>
            <rFont val="Calibri"/>
            <family val="2"/>
          </rPr>
          <t>Sarah Budischak:</t>
        </r>
        <r>
          <rPr>
            <sz val="9"/>
            <color indexed="81"/>
            <rFont val="Calibri"/>
            <family val="2"/>
          </rPr>
          <t xml:space="preserve">
PL and PM on other caps</t>
        </r>
      </text>
    </comment>
    <comment ref="V577" authorId="0" shapeId="0" xr:uid="{00000000-0006-0000-0000-000013000000}">
      <text>
        <r>
          <rPr>
            <b/>
            <sz val="9"/>
            <color indexed="81"/>
            <rFont val="Calibri"/>
            <family val="2"/>
          </rPr>
          <t>Sarah Budischak:</t>
        </r>
        <r>
          <rPr>
            <sz val="9"/>
            <color indexed="81"/>
            <rFont val="Calibri"/>
            <family val="2"/>
          </rPr>
          <t xml:space="preserve">
PL on 2 prev caps</t>
        </r>
      </text>
    </comment>
    <comment ref="J579" authorId="0" shapeId="0" xr:uid="{00000000-0006-0000-0000-000005000000}">
      <text>
        <r>
          <rPr>
            <b/>
            <sz val="9"/>
            <color indexed="81"/>
            <rFont val="Calibri"/>
            <family val="2"/>
          </rPr>
          <t>Sarah Budischak:</t>
        </r>
        <r>
          <rPr>
            <sz val="9"/>
            <color indexed="81"/>
            <rFont val="Calibri"/>
            <family val="2"/>
          </rPr>
          <t xml:space="preserve">
there is no eartag 1449</t>
        </r>
      </text>
    </comment>
    <comment ref="U585" authorId="2" shapeId="0" xr:uid="{888C6CC7-7F11-2141-846A-DFF5E9FDBF9F}">
      <text>
        <t>[Threaded comment]
Your version of Excel allows you to read this threaded comment; however, any edits to it will get removed if the file is opened in a newer version of Excel. Learn more: https://go.microsoft.com/fwlink/?linkid=870924
Comment:
    changed from E8 to F8</t>
      </text>
    </comment>
    <comment ref="U622" authorId="3" shapeId="0" xr:uid="{920916B8-B3E1-AA46-A3CB-CFA3FB62A4AB}">
      <text>
        <t>[Threaded comment]
Your version of Excel allows you to read this threaded comment; however, any edits to it will get removed if the file is opened in a newer version of Excel. Learn more: https://go.microsoft.com/fwlink/?linkid=870924
Comment:
    changed to F3 from F7</t>
      </text>
    </comment>
    <comment ref="V652" authorId="0" shapeId="0" xr:uid="{00000000-0006-0000-0000-00000B000000}">
      <text>
        <r>
          <rPr>
            <b/>
            <sz val="9"/>
            <color indexed="81"/>
            <rFont val="Calibri"/>
            <family val="2"/>
          </rPr>
          <t>Sarah Budischak:</t>
        </r>
        <r>
          <rPr>
            <sz val="9"/>
            <color indexed="81"/>
            <rFont val="Calibri"/>
            <family val="2"/>
          </rPr>
          <t xml:space="preserve">
why is this PM?
</t>
        </r>
      </text>
    </comment>
    <comment ref="AK669" authorId="0" shapeId="0" xr:uid="{00000000-0006-0000-0000-00000E000000}">
      <text>
        <r>
          <rPr>
            <b/>
            <sz val="9"/>
            <color indexed="81"/>
            <rFont val="Calibri"/>
            <family val="2"/>
          </rPr>
          <t>Sarah Budischak:</t>
        </r>
        <r>
          <rPr>
            <sz val="9"/>
            <color indexed="81"/>
            <rFont val="Calibri"/>
            <family val="2"/>
          </rPr>
          <t xml:space="preserve">
NO WEIGHT ON DATA SHEET</t>
        </r>
      </text>
    </comment>
    <comment ref="AS680" authorId="4" shapeId="0" xr:uid="{AF19757F-4AB4-D648-A6FD-296FF9CC8150}">
      <text>
        <t>[Threaded comment]
Your version of Excel allows you to read this threaded comment; however, any edits to it will get removed if the file is opened in a newer version of Excel. Learn more: https://go.microsoft.com/fwlink/?linkid=870924
Comment:
    changed from -0.007 to 0.001</t>
      </text>
    </comment>
    <comment ref="AS682" authorId="5" shapeId="0" xr:uid="{035308AF-0776-1440-AB34-A1DD665E5808}">
      <text>
        <t>[Threaded comment]
Your version of Excel allows you to read this threaded comment; however, any edits to it will get removed if the file is opened in a newer version of Excel. Learn more: https://go.microsoft.com/fwlink/?linkid=870924
Comment:
    changed from -0.014 to 0.001</t>
      </text>
    </comment>
    <comment ref="AS694" authorId="6" shapeId="0" xr:uid="{10A632A4-9EE4-FC43-9612-15D6757E1D9E}">
      <text>
        <t>[Threaded comment]
Your version of Excel allows you to read this threaded comment; however, any edits to it will get removed if the file is opened in a newer version of Excel. Learn more: https://go.microsoft.com/fwlink/?linkid=870924
Comment:
    changed from -0.024 to 0.001</t>
      </text>
    </comment>
    <comment ref="U711" authorId="7" shapeId="0" xr:uid="{4F0BEE5E-E4E8-E849-BD4F-3F8E58A24CE8}">
      <text>
        <t>[Threaded comment]
Your version of Excel allows you to read this threaded comment; however, any edits to it will get removed if the file is opened in a newer version of Excel. Learn more: https://go.microsoft.com/fwlink/?linkid=870924
Comment:
    changed to D5 from B5</t>
      </text>
    </comment>
    <comment ref="AN724" authorId="8" shapeId="0" xr:uid="{83E9F026-AAC7-564E-A532-4ED6AA27D70D}">
      <text>
        <t>[Threaded comment]
Your version of Excel allows you to read this threaded comment; however, any edits to it will get removed if the file is opened in a newer version of Excel. Learn more: https://go.microsoft.com/fwlink/?linkid=870924
Comment:
    scar from previous infection</t>
      </text>
    </comment>
    <comment ref="AS729" authorId="9" shapeId="0" xr:uid="{02EF7D56-02F5-1B44-A712-9BED31E7C82B}">
      <text>
        <t>[Threaded comment]
Your version of Excel allows you to read this threaded comment; however, any edits to it will get removed if the file is opened in a newer version of Excel. Learn more: https://go.microsoft.com/fwlink/?linkid=870924
Comment:
    changed from -0.003 to 0.001</t>
      </text>
    </comment>
    <comment ref="AN731" authorId="10" shapeId="0" xr:uid="{BC90623F-3901-444A-8DC1-68AB10547D0A}">
      <text>
        <t>[Threaded comment]
Your version of Excel allows you to read this threaded comment; however, any edits to it will get removed if the file is opened in a newer version of Excel. Learn more: https://go.microsoft.com/fwlink/?linkid=870924
Comment:
    scar from previous infection</t>
      </text>
    </comment>
    <comment ref="AG740" authorId="0" shapeId="0" xr:uid="{00000000-0006-0000-0000-000050000000}">
      <text>
        <r>
          <rPr>
            <b/>
            <sz val="9"/>
            <color indexed="81"/>
            <rFont val="Calibri"/>
            <family val="2"/>
          </rPr>
          <t>Sarah Budischak:</t>
        </r>
        <r>
          <rPr>
            <sz val="9"/>
            <color indexed="81"/>
            <rFont val="Calibri"/>
            <family val="2"/>
          </rPr>
          <t xml:space="preserve">
check data sheet</t>
        </r>
      </text>
    </comment>
    <comment ref="V752" authorId="0" shapeId="0" xr:uid="{00000000-0006-0000-0000-00004F000000}">
      <text>
        <r>
          <rPr>
            <b/>
            <sz val="9"/>
            <color indexed="81"/>
            <rFont val="Calibri"/>
            <family val="2"/>
          </rPr>
          <t>Sarah Budischak:</t>
        </r>
        <r>
          <rPr>
            <sz val="9"/>
            <color indexed="81"/>
            <rFont val="Calibri"/>
            <family val="2"/>
          </rPr>
          <t xml:space="preserve">
corrected to PM</t>
        </r>
      </text>
    </comment>
    <comment ref="V778" authorId="0" shapeId="0" xr:uid="{00000000-0006-0000-0000-00004E000000}">
      <text>
        <r>
          <rPr>
            <b/>
            <sz val="9"/>
            <color indexed="81"/>
            <rFont val="Calibri"/>
            <family val="2"/>
          </rPr>
          <t>Sarah Budischak:</t>
        </r>
        <r>
          <rPr>
            <sz val="9"/>
            <color indexed="81"/>
            <rFont val="Calibri"/>
            <family val="2"/>
          </rPr>
          <t xml:space="preserve">
</t>
        </r>
      </text>
    </comment>
    <comment ref="V780" authorId="0" shapeId="0" xr:uid="{00000000-0006-0000-0000-000059000000}">
      <text>
        <r>
          <rPr>
            <b/>
            <sz val="9"/>
            <color indexed="81"/>
            <rFont val="Calibri"/>
            <family val="2"/>
          </rPr>
          <t>Sarah Budischak:</t>
        </r>
        <r>
          <rPr>
            <sz val="9"/>
            <color indexed="81"/>
            <rFont val="Calibri"/>
            <family val="2"/>
          </rPr>
          <t xml:space="preserve">
changed to PM
</t>
        </r>
      </text>
    </comment>
    <comment ref="V781" authorId="0" shapeId="0" xr:uid="{00000000-0006-0000-0000-00005E000000}">
      <text>
        <r>
          <rPr>
            <b/>
            <sz val="9"/>
            <color indexed="81"/>
            <rFont val="Calibri"/>
            <family val="2"/>
          </rPr>
          <t>Sarah Budischak:</t>
        </r>
        <r>
          <rPr>
            <sz val="9"/>
            <color indexed="81"/>
            <rFont val="Calibri"/>
            <family val="2"/>
          </rPr>
          <t xml:space="preserve">
changed to PM
</t>
        </r>
      </text>
    </comment>
    <comment ref="AI787" authorId="0" shapeId="0" xr:uid="{00000000-0006-0000-0000-000063000000}">
      <text>
        <r>
          <rPr>
            <b/>
            <sz val="9"/>
            <color indexed="81"/>
            <rFont val="Calibri"/>
            <family val="2"/>
          </rPr>
          <t>Sarah Budischak:</t>
        </r>
        <r>
          <rPr>
            <sz val="9"/>
            <color indexed="81"/>
            <rFont val="Calibri"/>
            <family val="2"/>
          </rPr>
          <t xml:space="preserve">
swapped tail and body - now correct</t>
        </r>
      </text>
    </comment>
    <comment ref="AR787" authorId="0" shapeId="0" xr:uid="{15FE4B89-3C7F-8949-976F-012AE050999B}">
      <text>
        <r>
          <rPr>
            <b/>
            <sz val="9"/>
            <color indexed="81"/>
            <rFont val="Calibri"/>
            <family val="2"/>
          </rPr>
          <t>Sarah Budischak:</t>
        </r>
        <r>
          <rPr>
            <sz val="9"/>
            <color indexed="81"/>
            <rFont val="Calibri"/>
            <family val="2"/>
          </rPr>
          <t xml:space="preserve">
matches datasheet, but suspect bad weighting/taring/heavy tube?</t>
        </r>
      </text>
    </comment>
    <comment ref="AS787" authorId="0" shapeId="0" xr:uid="{00000000-0006-0000-0000-000064000000}">
      <text>
        <r>
          <rPr>
            <b/>
            <sz val="9"/>
            <color indexed="81"/>
            <rFont val="Calibri"/>
            <family val="2"/>
          </rPr>
          <t>Sarah Budischak:</t>
        </r>
        <r>
          <rPr>
            <sz val="9"/>
            <color indexed="81"/>
            <rFont val="Calibri"/>
            <family val="2"/>
          </rPr>
          <t xml:space="preserve">
matches datasheet, but suspect bad weighting/taring/heavy tube?</t>
        </r>
      </text>
    </comment>
    <comment ref="Y804" authorId="0" shapeId="0" xr:uid="{00000000-0006-0000-0000-00005F000000}">
      <text>
        <r>
          <rPr>
            <b/>
            <sz val="9"/>
            <color indexed="81"/>
            <rFont val="Calibri"/>
            <family val="2"/>
          </rPr>
          <t>Sarah Budischak:</t>
        </r>
        <r>
          <rPr>
            <sz val="9"/>
            <color indexed="81"/>
            <rFont val="Calibri"/>
            <family val="2"/>
          </rPr>
          <t xml:space="preserve">
chagned from SA based on prior captures (and SB just in training)</t>
        </r>
      </text>
    </comment>
    <comment ref="Z804" authorId="0" shapeId="0" xr:uid="{00000000-0006-0000-0000-000060000000}">
      <text>
        <r>
          <rPr>
            <b/>
            <sz val="9"/>
            <color indexed="81"/>
            <rFont val="Calibri"/>
            <family val="2"/>
          </rPr>
          <t>Sarah Budischak:</t>
        </r>
        <r>
          <rPr>
            <sz val="9"/>
            <color indexed="81"/>
            <rFont val="Calibri"/>
            <family val="2"/>
          </rPr>
          <t xml:space="preserve">
chagned from 2.9 based on prior captures (and SB just in training)</t>
        </r>
      </text>
    </comment>
    <comment ref="Y805" authorId="0" shapeId="0" xr:uid="{00000000-0006-0000-0000-000061000000}">
      <text>
        <r>
          <rPr>
            <b/>
            <sz val="9"/>
            <color indexed="81"/>
            <rFont val="Calibri"/>
            <family val="2"/>
          </rPr>
          <t>Sarah Budischak:</t>
        </r>
        <r>
          <rPr>
            <sz val="9"/>
            <color indexed="81"/>
            <rFont val="Calibri"/>
            <family val="2"/>
          </rPr>
          <t xml:space="preserve">
chagned from SA based on prior captures (and SB just in training)</t>
        </r>
      </text>
    </comment>
    <comment ref="Z805" authorId="0" shapeId="0" xr:uid="{00000000-0006-0000-0000-000062000000}">
      <text>
        <r>
          <rPr>
            <b/>
            <sz val="9"/>
            <color indexed="81"/>
            <rFont val="Calibri"/>
            <family val="2"/>
          </rPr>
          <t>Sarah Budischak:</t>
        </r>
        <r>
          <rPr>
            <sz val="9"/>
            <color indexed="81"/>
            <rFont val="Calibri"/>
            <family val="2"/>
          </rPr>
          <t xml:space="preserve">
chagned from 2.9 based on prior captures (and SB just in training)</t>
        </r>
      </text>
    </comment>
    <comment ref="AT813" authorId="0" shapeId="0" xr:uid="{00000000-0006-0000-0000-000052000000}">
      <text>
        <r>
          <rPr>
            <b/>
            <sz val="9"/>
            <color indexed="81"/>
            <rFont val="Calibri"/>
            <family val="2"/>
          </rPr>
          <t>Sarah Budischak:</t>
        </r>
        <r>
          <rPr>
            <sz val="9"/>
            <color indexed="81"/>
            <rFont val="Calibri"/>
            <family val="2"/>
          </rPr>
          <t xml:space="preserve">
Eimeria A count is not correct, I deleted the data</t>
        </r>
      </text>
    </comment>
    <comment ref="BG813" authorId="0" shapeId="0" xr:uid="{00000000-0006-0000-0000-000053000000}">
      <text>
        <r>
          <rPr>
            <b/>
            <sz val="9"/>
            <color indexed="81"/>
            <rFont val="Calibri"/>
            <family val="2"/>
          </rPr>
          <t>Sarah Budischak:</t>
        </r>
        <r>
          <rPr>
            <sz val="9"/>
            <color indexed="81"/>
            <rFont val="Calibri"/>
            <family val="2"/>
          </rPr>
          <t xml:space="preserve">
COUNT NOT DONE CORRECTLY
"??"
</t>
        </r>
      </text>
    </comment>
    <comment ref="AA840" authorId="0" shapeId="0" xr:uid="{00000000-0006-0000-0000-00001A000000}">
      <text>
        <r>
          <rPr>
            <b/>
            <sz val="9"/>
            <color indexed="81"/>
            <rFont val="Calibri"/>
            <family val="2"/>
          </rPr>
          <t>Sarah Budischak:</t>
        </r>
        <r>
          <rPr>
            <sz val="9"/>
            <color indexed="81"/>
            <rFont val="Calibri"/>
            <family val="2"/>
          </rPr>
          <t xml:space="preserve">
unknown "?"
</t>
        </r>
      </text>
    </comment>
    <comment ref="V852" authorId="0" shapeId="0" xr:uid="{00000000-0006-0000-0000-00001E000000}">
      <text>
        <r>
          <rPr>
            <b/>
            <sz val="9"/>
            <color indexed="81"/>
            <rFont val="Calibri"/>
            <family val="2"/>
          </rPr>
          <t>Sarah Budischak:</t>
        </r>
        <r>
          <rPr>
            <sz val="9"/>
            <color indexed="81"/>
            <rFont val="Calibri"/>
            <family val="2"/>
          </rPr>
          <t xml:space="preserve">
Corrected from PM
</t>
        </r>
      </text>
    </comment>
    <comment ref="AT866" authorId="0" shapeId="0" xr:uid="{00000000-0006-0000-0000-00001F000000}">
      <text>
        <r>
          <rPr>
            <b/>
            <sz val="9"/>
            <color indexed="81"/>
            <rFont val="Calibri"/>
            <family val="2"/>
          </rPr>
          <t>Sarah Budischak:</t>
        </r>
        <r>
          <rPr>
            <sz val="9"/>
            <color indexed="81"/>
            <rFont val="Calibri"/>
            <family val="2"/>
          </rPr>
          <t xml:space="preserve">
DATA FROM "SP2 G3" BUT WAS PROB WRONG ON DATASHEET</t>
        </r>
      </text>
    </comment>
    <comment ref="Z880" authorId="0" shapeId="0" xr:uid="{00000000-0006-0000-0000-000020000000}">
      <text>
        <r>
          <rPr>
            <b/>
            <sz val="9"/>
            <color indexed="81"/>
            <rFont val="Calibri"/>
            <family val="2"/>
          </rPr>
          <t>Sarah Budischak:</t>
        </r>
        <r>
          <rPr>
            <sz val="9"/>
            <color indexed="81"/>
            <rFont val="Calibri"/>
            <family val="2"/>
          </rPr>
          <t xml:space="preserve">
Is it A3 or SA 2.3? It could be eigher based on weight and body length. Datahseet has this contradictory coding</t>
        </r>
      </text>
    </comment>
    <comment ref="AT888" authorId="0" shapeId="0" xr:uid="{00000000-0006-0000-0000-000021000000}">
      <text>
        <r>
          <rPr>
            <b/>
            <sz val="9"/>
            <color indexed="81"/>
            <rFont val="Calibri"/>
            <family val="2"/>
          </rPr>
          <t>Sarah Budischak:</t>
        </r>
        <r>
          <rPr>
            <sz val="9"/>
            <color indexed="81"/>
            <rFont val="Calibri"/>
            <family val="2"/>
          </rPr>
          <t xml:space="preserve">
FIXED BY SB, CAP FOR NEXT SAMPLE
</t>
        </r>
      </text>
    </comment>
    <comment ref="AT904" authorId="0" shapeId="0" xr:uid="{00000000-0006-0000-0000-000023000000}">
      <text>
        <r>
          <rPr>
            <b/>
            <sz val="9"/>
            <color indexed="81"/>
            <rFont val="Calibri"/>
            <family val="2"/>
          </rPr>
          <t>Sarah Budischak:</t>
        </r>
        <r>
          <rPr>
            <sz val="9"/>
            <color indexed="81"/>
            <rFont val="Calibri"/>
            <family val="2"/>
          </rPr>
          <t xml:space="preserve">
"PO2 G3" DATA ENTERED HERE</t>
        </r>
      </text>
    </comment>
    <comment ref="AI940" authorId="0" shapeId="0" xr:uid="{00000000-0006-0000-0000-00003E000000}">
      <text>
        <r>
          <rPr>
            <b/>
            <sz val="9"/>
            <color indexed="81"/>
            <rFont val="Calibri"/>
            <family val="2"/>
          </rPr>
          <t>Sarah Budischak:</t>
        </r>
        <r>
          <rPr>
            <sz val="9"/>
            <color indexed="81"/>
            <rFont val="Calibri"/>
            <family val="2"/>
          </rPr>
          <t xml:space="preserve">
swapped tail and body
- now correct</t>
        </r>
      </text>
    </comment>
    <comment ref="J1020" authorId="0" shapeId="0" xr:uid="{00000000-0006-0000-0000-000026000000}">
      <text>
        <r>
          <rPr>
            <b/>
            <sz val="9"/>
            <color indexed="81"/>
            <rFont val="Calibri"/>
            <family val="2"/>
          </rPr>
          <t>Sarah Budischak:</t>
        </r>
        <r>
          <rPr>
            <sz val="9"/>
            <color indexed="81"/>
            <rFont val="Calibri"/>
            <family val="2"/>
          </rPr>
          <t xml:space="preserve">
corrected from 1054</t>
        </r>
      </text>
    </comment>
    <comment ref="AI1028" authorId="0" shapeId="0" xr:uid="{00000000-0006-0000-0000-00003F000000}">
      <text>
        <r>
          <rPr>
            <b/>
            <sz val="9"/>
            <color indexed="81"/>
            <rFont val="Calibri"/>
            <family val="2"/>
          </rPr>
          <t>Sarah Budischak:</t>
        </r>
        <r>
          <rPr>
            <sz val="9"/>
            <color indexed="81"/>
            <rFont val="Calibri"/>
            <family val="2"/>
          </rPr>
          <t xml:space="preserve">
switched tail and tot - now correct
</t>
        </r>
      </text>
    </comment>
    <comment ref="P1029" authorId="0" shapeId="0" xr:uid="{00000000-0006-0000-0000-00004A000000}">
      <text>
        <r>
          <rPr>
            <b/>
            <sz val="9"/>
            <color indexed="81"/>
            <rFont val="Calibri"/>
            <family val="2"/>
          </rPr>
          <t>Sarah Budischak:</t>
        </r>
        <r>
          <rPr>
            <sz val="9"/>
            <color indexed="81"/>
            <rFont val="Calibri"/>
            <family val="2"/>
          </rPr>
          <t xml:space="preserve">
SHOULD HAVE BEEN C
</t>
        </r>
      </text>
    </comment>
    <comment ref="AI1034" authorId="0" shapeId="0" xr:uid="{00000000-0006-0000-0000-000040000000}">
      <text>
        <r>
          <rPr>
            <b/>
            <sz val="9"/>
            <color indexed="81"/>
            <rFont val="Calibri"/>
            <family val="2"/>
          </rPr>
          <t>Sarah Budischak:</t>
        </r>
        <r>
          <rPr>
            <sz val="9"/>
            <color indexed="81"/>
            <rFont val="Calibri"/>
            <family val="2"/>
          </rPr>
          <t xml:space="preserve">
swtiched tail and body, now correct
</t>
        </r>
      </text>
    </comment>
    <comment ref="AT1055" authorId="0" shapeId="0" xr:uid="{00000000-0006-0000-0000-000029000000}">
      <text>
        <r>
          <rPr>
            <b/>
            <sz val="9"/>
            <color indexed="81"/>
            <rFont val="Calibri"/>
            <family val="2"/>
          </rPr>
          <t>Sarah Budischak:</t>
        </r>
        <r>
          <rPr>
            <sz val="9"/>
            <color indexed="81"/>
            <rFont val="Calibri"/>
            <family val="2"/>
          </rPr>
          <t xml:space="preserve">
ENTERED BY SB
</t>
        </r>
      </text>
    </comment>
    <comment ref="AT1058" authorId="0" shapeId="0" xr:uid="{00000000-0006-0000-0000-000028000000}">
      <text>
        <r>
          <rPr>
            <b/>
            <sz val="9"/>
            <color indexed="81"/>
            <rFont val="Calibri"/>
            <family val="2"/>
          </rPr>
          <t>Sarah Budischak:</t>
        </r>
        <r>
          <rPr>
            <sz val="9"/>
            <color indexed="81"/>
            <rFont val="Calibri"/>
            <family val="2"/>
          </rPr>
          <t xml:space="preserve">
SB ENTERED
</t>
        </r>
      </text>
    </comment>
    <comment ref="AT1067" authorId="0" shapeId="0" xr:uid="{00000000-0006-0000-0000-00002C000000}">
      <text>
        <r>
          <rPr>
            <b/>
            <sz val="9"/>
            <color indexed="81"/>
            <rFont val="Calibri"/>
            <family val="2"/>
          </rPr>
          <t>Sarah Budischak:</t>
        </r>
        <r>
          <rPr>
            <sz val="9"/>
            <color indexed="81"/>
            <rFont val="Calibri"/>
            <family val="2"/>
          </rPr>
          <t xml:space="preserve">
SB ENTERED
</t>
        </r>
      </text>
    </comment>
    <comment ref="AT1080" authorId="0" shapeId="0" xr:uid="{00000000-0006-0000-0000-00002A000000}">
      <text>
        <r>
          <rPr>
            <sz val="9"/>
            <color indexed="81"/>
            <rFont val="Calibri"/>
            <family val="2"/>
          </rPr>
          <t xml:space="preserve">SB entered
</t>
        </r>
      </text>
    </comment>
    <comment ref="AQ1143" authorId="0" shapeId="0" xr:uid="{00000000-0006-0000-0000-000036000000}">
      <text>
        <r>
          <rPr>
            <b/>
            <sz val="9"/>
            <color indexed="81"/>
            <rFont val="Calibri"/>
            <family val="2"/>
          </rPr>
          <t>Sarah Budischak:</t>
        </r>
        <r>
          <rPr>
            <sz val="9"/>
            <color indexed="81"/>
            <rFont val="Calibri"/>
            <family val="2"/>
          </rPr>
          <t xml:space="preserve">
no fecal sample weight</t>
        </r>
      </text>
    </comment>
    <comment ref="P1172" authorId="0" shapeId="0" xr:uid="{00000000-0006-0000-0000-00004C000000}">
      <text>
        <r>
          <rPr>
            <b/>
            <sz val="9"/>
            <color indexed="81"/>
            <rFont val="Calibri"/>
            <family val="2"/>
          </rPr>
          <t>Sarah Budischak:</t>
        </r>
        <r>
          <rPr>
            <sz val="9"/>
            <color indexed="81"/>
            <rFont val="Calibri"/>
            <family val="2"/>
          </rPr>
          <t xml:space="preserve">
treatment not given, but effective from previous
</t>
        </r>
      </text>
    </comment>
    <comment ref="Q1186" authorId="11" shapeId="0" xr:uid="{D109737F-7779-9A4D-8173-21D7D73B9FA7}">
      <text>
        <t>[Threaded comment]
Your version of Excel allows you to read this threaded comment; however, any edits to it will get removed if the file is opened in a newer version of Excel. Learn more: https://go.microsoft.com/fwlink/?linkid=870924
Comment:
    Year since previous treatment - not quite same as treated or control so intentionally left blank</t>
      </text>
    </comment>
    <comment ref="Q1195" authorId="12" shapeId="0" xr:uid="{35974687-1C30-AF4D-B83D-255E13A367D3}">
      <text>
        <t>[Threaded comment]
Your version of Excel allows you to read this threaded comment; however, any edits to it will get removed if the file is opened in a newer version of Excel. Learn more: https://go.microsoft.com/fwlink/?linkid=870924
Comment:
    Year since previous treatment - not quite same as treated or control so intentionally left blank</t>
      </text>
    </comment>
    <comment ref="AI1223" authorId="0" shapeId="0" xr:uid="{00000000-0006-0000-0000-000043000000}">
      <text>
        <r>
          <rPr>
            <b/>
            <sz val="9"/>
            <color indexed="81"/>
            <rFont val="Calibri"/>
            <family val="2"/>
          </rPr>
          <t>Sarah Budischak:</t>
        </r>
        <r>
          <rPr>
            <sz val="9"/>
            <color indexed="81"/>
            <rFont val="Calibri"/>
            <family val="2"/>
          </rPr>
          <t xml:space="preserve">
switched tail and body, now correct
</t>
        </r>
      </text>
    </comment>
    <comment ref="AI1227" authorId="0" shapeId="0" xr:uid="{00000000-0006-0000-0000-000044000000}">
      <text>
        <r>
          <rPr>
            <b/>
            <sz val="9"/>
            <color indexed="81"/>
            <rFont val="Calibri"/>
            <family val="2"/>
          </rPr>
          <t>Sarah Budischak:</t>
        </r>
        <r>
          <rPr>
            <sz val="9"/>
            <color indexed="81"/>
            <rFont val="Calibri"/>
            <family val="2"/>
          </rPr>
          <t xml:space="preserve">
switched tial and body, now correct
</t>
        </r>
      </text>
    </comment>
    <comment ref="Q1230" authorId="13" shapeId="0" xr:uid="{1890FAE5-8104-4848-8636-B2D77BFBEFC4}">
      <text>
        <t>[Threaded comment]
Your version of Excel allows you to read this threaded comment; however, any edits to it will get removed if the file is opened in a newer version of Excel. Learn more: https://go.microsoft.com/fwlink/?linkid=870924
Comment:
    Year since previous treatment - not quite same as treated or control so intentionally left blank</t>
      </text>
    </comment>
    <comment ref="V1230" authorId="0" shapeId="0" xr:uid="{00000000-0006-0000-0000-000010000000}">
      <text>
        <r>
          <rPr>
            <b/>
            <sz val="9"/>
            <color indexed="81"/>
            <rFont val="Calibri"/>
            <family val="2"/>
          </rPr>
          <t>Sarah Budischak:</t>
        </r>
        <r>
          <rPr>
            <sz val="9"/>
            <color indexed="81"/>
            <rFont val="Calibri"/>
            <family val="2"/>
          </rPr>
          <t xml:space="preserve">
PM on next capture</t>
        </r>
      </text>
    </comment>
    <comment ref="V1231" authorId="0" shapeId="0" xr:uid="{00000000-0006-0000-0000-000009000000}">
      <text>
        <r>
          <rPr>
            <b/>
            <sz val="9"/>
            <color indexed="81"/>
            <rFont val="Calibri"/>
            <family val="2"/>
          </rPr>
          <t>Sarah Budischak:</t>
        </r>
        <r>
          <rPr>
            <sz val="9"/>
            <color indexed="81"/>
            <rFont val="Calibri"/>
            <family val="2"/>
          </rPr>
          <t xml:space="preserve">
PL on previous capture</t>
        </r>
      </text>
    </comment>
    <comment ref="AI1242" authorId="0" shapeId="0" xr:uid="{00000000-0006-0000-0000-00003C000000}">
      <text>
        <r>
          <rPr>
            <b/>
            <sz val="9"/>
            <color indexed="81"/>
            <rFont val="Calibri"/>
            <family val="2"/>
          </rPr>
          <t>Sarah Budischak:</t>
        </r>
        <r>
          <rPr>
            <sz val="9"/>
            <color indexed="81"/>
            <rFont val="Calibri"/>
            <family val="2"/>
          </rPr>
          <t xml:space="preserve">
switched tail and body, now correct</t>
        </r>
      </text>
    </comment>
    <comment ref="AI1243" authorId="0" shapeId="0" xr:uid="{00000000-0006-0000-0000-000045000000}">
      <text>
        <r>
          <rPr>
            <b/>
            <sz val="9"/>
            <color indexed="81"/>
            <rFont val="Calibri"/>
            <family val="2"/>
          </rPr>
          <t>Sarah Budischak:</t>
        </r>
        <r>
          <rPr>
            <sz val="9"/>
            <color indexed="81"/>
            <rFont val="Calibri"/>
            <family val="2"/>
          </rPr>
          <t xml:space="preserve">
switched tail and body, now correct</t>
        </r>
      </text>
    </comment>
    <comment ref="AI1245" authorId="0" shapeId="0" xr:uid="{00000000-0006-0000-0000-000046000000}">
      <text>
        <r>
          <rPr>
            <b/>
            <sz val="9"/>
            <color indexed="81"/>
            <rFont val="Calibri"/>
            <family val="2"/>
          </rPr>
          <t>Sarah Budischak:</t>
        </r>
        <r>
          <rPr>
            <sz val="9"/>
            <color indexed="81"/>
            <rFont val="Calibri"/>
            <family val="2"/>
          </rPr>
          <t xml:space="preserve">
switched tail and body, now correct
</t>
        </r>
      </text>
    </comment>
    <comment ref="AS1260" authorId="14" shapeId="0" xr:uid="{25CE1730-AF46-0B40-8314-C930B69D5427}">
      <text>
        <t>[Threaded comment]
Your version of Excel allows you to read this threaded comment; however, any edits to it will get removed if the file is opened in a newer version of Excel. Learn more: https://go.microsoft.com/fwlink/?linkid=870924
Comment:
    changed from -0.011 to 0.001</t>
      </text>
    </comment>
    <comment ref="U1263" authorId="0" shapeId="0" xr:uid="{00000000-0006-0000-0000-000019000000}">
      <text>
        <r>
          <rPr>
            <b/>
            <sz val="9"/>
            <color indexed="81"/>
            <rFont val="Calibri"/>
            <family val="2"/>
          </rPr>
          <t>Sarah Budischak:</t>
        </r>
        <r>
          <rPr>
            <sz val="9"/>
            <color indexed="81"/>
            <rFont val="Calibri"/>
            <family val="2"/>
          </rPr>
          <t xml:space="preserve">
CHECK NUMBER WITH JULIAN
</t>
        </r>
      </text>
    </comment>
    <comment ref="V1280" authorId="0" shapeId="0" xr:uid="{00000000-0006-0000-0000-000002000000}">
      <text>
        <r>
          <rPr>
            <b/>
            <sz val="9"/>
            <color indexed="81"/>
            <rFont val="Calibri"/>
            <family val="2"/>
          </rPr>
          <t>Sarah Budischak:</t>
        </r>
        <r>
          <rPr>
            <sz val="9"/>
            <color indexed="81"/>
            <rFont val="Calibri"/>
            <family val="2"/>
          </rPr>
          <t xml:space="preserve">
PM on next cap</t>
        </r>
      </text>
    </comment>
    <comment ref="V1281" authorId="0" shapeId="0" xr:uid="{00000000-0006-0000-0000-000008000000}">
      <text>
        <r>
          <rPr>
            <b/>
            <sz val="9"/>
            <color indexed="81"/>
            <rFont val="Calibri"/>
            <family val="2"/>
          </rPr>
          <t>Sarah Budischak:</t>
        </r>
        <r>
          <rPr>
            <sz val="9"/>
            <color indexed="81"/>
            <rFont val="Calibri"/>
            <family val="2"/>
          </rPr>
          <t xml:space="preserve">
PL on previous cap</t>
        </r>
      </text>
    </comment>
    <comment ref="K1297" authorId="0" shapeId="0" xr:uid="{00000000-0006-0000-0000-000012000000}">
      <text>
        <r>
          <rPr>
            <b/>
            <sz val="9"/>
            <color indexed="81"/>
            <rFont val="Calibri"/>
            <family val="2"/>
          </rPr>
          <t>Sarah Budischak:</t>
        </r>
        <r>
          <rPr>
            <sz val="9"/>
            <color indexed="81"/>
            <rFont val="Calibri"/>
            <family val="2"/>
          </rPr>
          <t xml:space="preserve">
blood number out of order (ok)
</t>
        </r>
      </text>
    </comment>
    <comment ref="V1298" authorId="0" shapeId="0" xr:uid="{00000000-0006-0000-0000-000004000000}">
      <text>
        <r>
          <rPr>
            <b/>
            <sz val="9"/>
            <color indexed="81"/>
            <rFont val="Calibri"/>
            <family val="2"/>
          </rPr>
          <t>Sarah Budischak:</t>
        </r>
        <r>
          <rPr>
            <sz val="9"/>
            <color indexed="81"/>
            <rFont val="Calibri"/>
            <family val="2"/>
          </rPr>
          <t xml:space="preserve">
PM on next cap and measures as PM</t>
        </r>
      </text>
    </comment>
    <comment ref="V1299" authorId="0" shapeId="0" xr:uid="{00000000-0006-0000-0000-00000D000000}">
      <text>
        <r>
          <rPr>
            <b/>
            <sz val="9"/>
            <color indexed="81"/>
            <rFont val="Calibri"/>
            <family val="2"/>
          </rPr>
          <t>Sarah Budischak:</t>
        </r>
        <r>
          <rPr>
            <sz val="9"/>
            <color indexed="81"/>
            <rFont val="Calibri"/>
            <family val="2"/>
          </rPr>
          <t xml:space="preserve">
PL on previous cap, but measured as PM</t>
        </r>
      </text>
    </comment>
    <comment ref="AS1304" authorId="15" shapeId="0" xr:uid="{D508300D-0B03-C049-A36D-96A29DBF95CC}">
      <text>
        <t>[Threaded comment]
Your version of Excel allows you to read this threaded comment; however, any edits to it will get removed if the file is opened in a newer version of Excel. Learn more: https://go.microsoft.com/fwlink/?linkid=870924
Comment:
    changed from -0.008 to 0.001</t>
      </text>
    </comment>
    <comment ref="AS1322" authorId="16" shapeId="0" xr:uid="{11D9BC9A-D5CE-6740-BFFA-DD360E3D443B}">
      <text>
        <t>[Threaded comment]
Your version of Excel allows you to read this threaded comment; however, any edits to it will get removed if the file is opened in a newer version of Excel. Learn more: https://go.microsoft.com/fwlink/?linkid=870924
Comment:
    changed from -0.009 to 0.001</t>
      </text>
    </comment>
    <comment ref="AS1357" authorId="17" shapeId="0" xr:uid="{CF714319-E30C-EC4A-8FBD-58C1EC5D1D00}">
      <text>
        <t>[Threaded comment]
Your version of Excel allows you to read this threaded comment; however, any edits to it will get removed if the file is opened in a newer version of Excel. Learn more: https://go.microsoft.com/fwlink/?linkid=870924
Comment:
    changed from -0.034 to 0.001</t>
      </text>
    </comment>
    <comment ref="AS1370" authorId="18" shapeId="0" xr:uid="{22E20EEC-EEB0-4248-A44C-4309E68DE709}">
      <text>
        <t>[Threaded comment]
Your version of Excel allows you to read this threaded comment; however, any edits to it will get removed if the file is opened in a newer version of Excel. Learn more: https://go.microsoft.com/fwlink/?linkid=870924
Comment:
    changed from -0.027 to 0.001</t>
      </text>
    </comment>
    <comment ref="AS1410" authorId="19" shapeId="0" xr:uid="{CF78FED3-9006-5745-BBB7-A59A851DA99B}">
      <text>
        <t>[Threaded comment]
Your version of Excel allows you to read this threaded comment; however, any edits to it will get removed if the file is opened in a newer version of Excel. Learn more: https://go.microsoft.com/fwlink/?linkid=870924
Comment:
    changed from -0.009 to 0.001</t>
      </text>
    </comment>
    <comment ref="V1442" authorId="0" shapeId="0" xr:uid="{00000000-0006-0000-0000-00000C000000}">
      <text>
        <r>
          <rPr>
            <b/>
            <sz val="9"/>
            <color indexed="81"/>
            <rFont val="Calibri"/>
            <family val="2"/>
          </rPr>
          <t>Sarah Budischak:</t>
        </r>
        <r>
          <rPr>
            <sz val="9"/>
            <color indexed="81"/>
            <rFont val="Calibri"/>
            <family val="2"/>
          </rPr>
          <t xml:space="preserve">
Corrected to PL from PM</t>
        </r>
      </text>
    </comment>
    <comment ref="G1491" authorId="0" shapeId="0" xr:uid="{00000000-0006-0000-0000-000069000000}">
      <text>
        <r>
          <rPr>
            <b/>
            <sz val="9"/>
            <color indexed="81"/>
            <rFont val="Calibri"/>
            <family val="2"/>
          </rPr>
          <t>Sarah Budischak:</t>
        </r>
        <r>
          <rPr>
            <sz val="9"/>
            <color indexed="81"/>
            <rFont val="Calibri"/>
            <family val="2"/>
          </rPr>
          <t xml:space="preserve">
given treatment because missed on first capture
</t>
        </r>
      </text>
    </comment>
    <comment ref="V1514" authorId="0" shapeId="0" xr:uid="{00000000-0006-0000-0000-00006E000000}">
      <text>
        <r>
          <rPr>
            <b/>
            <sz val="9"/>
            <color indexed="81"/>
            <rFont val="Calibri"/>
            <family val="2"/>
          </rPr>
          <t>Sarah Budischak:</t>
        </r>
        <r>
          <rPr>
            <sz val="9"/>
            <color indexed="81"/>
            <rFont val="Calibri"/>
            <family val="2"/>
          </rPr>
          <t xml:space="preserve">
corrected to PL</t>
        </r>
      </text>
    </comment>
    <comment ref="V1515" authorId="0" shapeId="0" xr:uid="{00000000-0006-0000-0000-00006F000000}">
      <text>
        <r>
          <rPr>
            <b/>
            <sz val="9"/>
            <color indexed="81"/>
            <rFont val="Calibri"/>
            <family val="2"/>
          </rPr>
          <t>Sarah Budischak:</t>
        </r>
        <r>
          <rPr>
            <sz val="9"/>
            <color indexed="81"/>
            <rFont val="Calibri"/>
            <family val="2"/>
          </rPr>
          <t xml:space="preserve">
Corrected to PL
</t>
        </r>
      </text>
    </comment>
    <comment ref="V1569" authorId="0" shapeId="0" xr:uid="{00000000-0006-0000-0000-00006A000000}">
      <text>
        <r>
          <rPr>
            <b/>
            <sz val="9"/>
            <color indexed="81"/>
            <rFont val="Calibri"/>
            <family val="2"/>
          </rPr>
          <t>Sarah Budischak:</t>
        </r>
        <r>
          <rPr>
            <sz val="9"/>
            <color indexed="81"/>
            <rFont val="Calibri"/>
            <family val="2"/>
          </rPr>
          <t xml:space="preserve">
species was left blank, calling PM based on body/tail</t>
        </r>
      </text>
    </comment>
    <comment ref="V1570" authorId="0" shapeId="0" xr:uid="{00000000-0006-0000-0000-00006B000000}">
      <text>
        <r>
          <rPr>
            <b/>
            <sz val="9"/>
            <color indexed="81"/>
            <rFont val="Calibri"/>
            <family val="2"/>
          </rPr>
          <t>Sarah Budischak:</t>
        </r>
        <r>
          <rPr>
            <sz val="9"/>
            <color indexed="81"/>
            <rFont val="Calibri"/>
            <family val="2"/>
          </rPr>
          <t xml:space="preserve">
changed to PM
</t>
        </r>
      </text>
    </comment>
    <comment ref="V1611" authorId="0" shapeId="0" xr:uid="{00000000-0006-0000-0000-00006C000000}">
      <text>
        <r>
          <rPr>
            <b/>
            <sz val="9"/>
            <color indexed="81"/>
            <rFont val="Calibri"/>
            <family val="2"/>
          </rPr>
          <t>Sarah Budischak:</t>
        </r>
        <r>
          <rPr>
            <sz val="9"/>
            <color indexed="81"/>
            <rFont val="Calibri"/>
            <family val="2"/>
          </rPr>
          <t xml:space="preserve">
Corrected to PM
</t>
        </r>
      </text>
    </comment>
    <comment ref="V1616" authorId="0" shapeId="0" xr:uid="{00000000-0006-0000-0000-00006D000000}">
      <text>
        <r>
          <rPr>
            <b/>
            <sz val="9"/>
            <color indexed="81"/>
            <rFont val="Calibri"/>
            <family val="2"/>
          </rPr>
          <t>Sarah Budischak:</t>
        </r>
        <r>
          <rPr>
            <sz val="9"/>
            <color indexed="81"/>
            <rFont val="Calibri"/>
            <family val="2"/>
          </rPr>
          <t xml:space="preserve">
Corrected to PM
</t>
        </r>
      </text>
    </comment>
    <comment ref="V1677" authorId="0" shapeId="0" xr:uid="{00000000-0006-0000-0000-000070000000}">
      <text>
        <r>
          <rPr>
            <b/>
            <sz val="9"/>
            <color indexed="81"/>
            <rFont val="Calibri"/>
            <family val="2"/>
          </rPr>
          <t>Sarah Budischak:</t>
        </r>
        <r>
          <rPr>
            <sz val="9"/>
            <color indexed="81"/>
            <rFont val="Calibri"/>
            <family val="2"/>
          </rPr>
          <t xml:space="preserve">
fixed based on CT and tail to body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Sarah Budischak</author>
  </authors>
  <commentList>
    <comment ref="I16" authorId="0" shapeId="0" xr:uid="{00000000-0006-0000-0100-000001000000}">
      <text>
        <r>
          <rPr>
            <b/>
            <sz val="9"/>
            <color indexed="81"/>
            <rFont val="Calibri"/>
            <family val="2"/>
          </rPr>
          <t>Sarah Budischak:</t>
        </r>
        <r>
          <rPr>
            <sz val="9"/>
            <color indexed="81"/>
            <rFont val="Calibri"/>
            <family val="2"/>
          </rPr>
          <t xml:space="preserve">
</t>
        </r>
      </text>
    </comment>
  </commentList>
</comments>
</file>

<file path=xl/sharedStrings.xml><?xml version="1.0" encoding="utf-8"?>
<sst xmlns="http://schemas.openxmlformats.org/spreadsheetml/2006/main" count="26037" uniqueCount="1297">
  <si>
    <t>Year</t>
  </si>
  <si>
    <t>Day</t>
  </si>
  <si>
    <t>Handler</t>
  </si>
  <si>
    <t>obs?</t>
  </si>
  <si>
    <t>drop</t>
  </si>
  <si>
    <t>Tag #</t>
  </si>
  <si>
    <t>Blood #</t>
  </si>
  <si>
    <t>SNV pos</t>
  </si>
  <si>
    <t>SNV titer</t>
  </si>
  <si>
    <t>Treatment</t>
  </si>
  <si>
    <t>Effective treatment</t>
  </si>
  <si>
    <t>days since previous treatment/ctl</t>
  </si>
  <si>
    <t>Grid</t>
  </si>
  <si>
    <t>Trap Location</t>
  </si>
  <si>
    <t>Species</t>
  </si>
  <si>
    <t>Tail to body</t>
  </si>
  <si>
    <t>Sex</t>
  </si>
  <si>
    <t>Age</t>
  </si>
  <si>
    <t>Class</t>
  </si>
  <si>
    <t>Vagina</t>
  </si>
  <si>
    <t>Nipples</t>
  </si>
  <si>
    <t>Pregnant</t>
  </si>
  <si>
    <t>F-Repro?</t>
  </si>
  <si>
    <t>Testes</t>
  </si>
  <si>
    <t>M-Repro?</t>
  </si>
  <si>
    <t>Body</t>
  </si>
  <si>
    <t>Total length</t>
  </si>
  <si>
    <t>Tail</t>
  </si>
  <si>
    <t>Weight (g)</t>
  </si>
  <si>
    <t>Fleas</t>
  </si>
  <si>
    <t>Ticks</t>
  </si>
  <si>
    <t>Botflies</t>
  </si>
  <si>
    <t>Ecto PA</t>
  </si>
  <si>
    <t>Ecto Spp Rich</t>
  </si>
  <si>
    <t>Fecal Sample Weight</t>
  </si>
  <si>
    <t>Poo Weight</t>
  </si>
  <si>
    <t>FEC done by</t>
  </si>
  <si>
    <t>FEC 0's</t>
  </si>
  <si>
    <t>Endo PA</t>
  </si>
  <si>
    <t>Endo Spp Rich</t>
  </si>
  <si>
    <t>Endo Total Egg/g</t>
  </si>
  <si>
    <t>Coccidia PA</t>
  </si>
  <si>
    <t>Coccidia Spp Rich</t>
  </si>
  <si>
    <t>Cocc Egg/g</t>
  </si>
  <si>
    <t>Edel PA</t>
  </si>
  <si>
    <t>Edel Egg Count</t>
  </si>
  <si>
    <t>Edel Egg/g</t>
  </si>
  <si>
    <t>EarizA PA</t>
  </si>
  <si>
    <t>EarizA Egg Count</t>
  </si>
  <si>
    <t>EarizA Egg/g</t>
  </si>
  <si>
    <t>EarizB PA</t>
  </si>
  <si>
    <t>EarizB Egg Count</t>
  </si>
  <si>
    <t>EarizB Egg/g</t>
  </si>
  <si>
    <t>Nem PA</t>
  </si>
  <si>
    <t>Nem Spp Rich</t>
  </si>
  <si>
    <t>Nem Egg/g</t>
  </si>
  <si>
    <t>Aamer PA</t>
  </si>
  <si>
    <t>Aamer Egg Count</t>
  </si>
  <si>
    <t>Aamer Egg/g</t>
  </si>
  <si>
    <t>Spero PA</t>
  </si>
  <si>
    <t>SperoEgg Count</t>
  </si>
  <si>
    <t>SperoEgg/g</t>
  </si>
  <si>
    <t>Camer PA</t>
  </si>
  <si>
    <t>Camer Egg Count</t>
  </si>
  <si>
    <t>Camer Egg/g</t>
  </si>
  <si>
    <t>NemA PA</t>
  </si>
  <si>
    <t>NemA Egg Count</t>
  </si>
  <si>
    <t>NemA Egg/g</t>
  </si>
  <si>
    <t>NemB PA</t>
  </si>
  <si>
    <t>NemB Egg Count</t>
  </si>
  <si>
    <t>NemB Egg/g</t>
  </si>
  <si>
    <t>CapBub PA</t>
  </si>
  <si>
    <t>CapBub Egg Count</t>
  </si>
  <si>
    <t>CapBub Egg/g</t>
  </si>
  <si>
    <t>Nem Larvae PA</t>
  </si>
  <si>
    <t>Nem Larvae Count</t>
  </si>
  <si>
    <t>Nem Larvae/g</t>
  </si>
  <si>
    <t>CapWorm PA</t>
  </si>
  <si>
    <t>CapWorm Egg Count</t>
  </si>
  <si>
    <t>CapWorm Egg/g</t>
  </si>
  <si>
    <t>Strongy PA</t>
  </si>
  <si>
    <t>Strongy Egg Count</t>
  </si>
  <si>
    <t>Strongy Egg/g</t>
  </si>
  <si>
    <t>Cestode PA</t>
  </si>
  <si>
    <t>Cestode Spp Rich</t>
  </si>
  <si>
    <t>Cestode Egg/g</t>
  </si>
  <si>
    <t>Hdim PA</t>
  </si>
  <si>
    <t>Hdim Egg Count</t>
  </si>
  <si>
    <t>Hdim Egg/g</t>
  </si>
  <si>
    <t>Hcit PA</t>
  </si>
  <si>
    <t>Hcit Egg Count</t>
  </si>
  <si>
    <t>Hcit Egg/g</t>
  </si>
  <si>
    <t>CestC PA</t>
  </si>
  <si>
    <t>CestC Egg Count</t>
  </si>
  <si>
    <t>CestC Egg/g</t>
  </si>
  <si>
    <t>Lympho</t>
  </si>
  <si>
    <t>%L</t>
  </si>
  <si>
    <t>Neutro</t>
  </si>
  <si>
    <t>%N</t>
  </si>
  <si>
    <t>Mono</t>
  </si>
  <si>
    <t>%M</t>
  </si>
  <si>
    <t>Baso</t>
  </si>
  <si>
    <t>%B</t>
  </si>
  <si>
    <t>Eosino</t>
  </si>
  <si>
    <t>%E</t>
  </si>
  <si>
    <t>Total WBC</t>
  </si>
  <si>
    <t>CT</t>
  </si>
  <si>
    <t>cap</t>
  </si>
  <si>
    <t>switches sex, ONLY I</t>
  </si>
  <si>
    <t>937-P</t>
  </si>
  <si>
    <t>A</t>
  </si>
  <si>
    <t/>
  </si>
  <si>
    <t>PO1</t>
  </si>
  <si>
    <t>B1</t>
  </si>
  <si>
    <t>PL</t>
  </si>
  <si>
    <t>M</t>
  </si>
  <si>
    <t>Y</t>
  </si>
  <si>
    <t>AT2016</t>
  </si>
  <si>
    <t>938-P</t>
  </si>
  <si>
    <t>C</t>
  </si>
  <si>
    <t>A7</t>
  </si>
  <si>
    <t>F</t>
  </si>
  <si>
    <t>SA</t>
  </si>
  <si>
    <t>N</t>
  </si>
  <si>
    <t>IN</t>
  </si>
  <si>
    <t>only I treatment</t>
  </si>
  <si>
    <t>939-2</t>
  </si>
  <si>
    <t>PO2</t>
  </si>
  <si>
    <t>G2</t>
  </si>
  <si>
    <t>HW2</t>
  </si>
  <si>
    <t>B2</t>
  </si>
  <si>
    <t>B3</t>
  </si>
  <si>
    <t>B6</t>
  </si>
  <si>
    <t>HW1</t>
  </si>
  <si>
    <t>A4</t>
  </si>
  <si>
    <t>E7</t>
  </si>
  <si>
    <t>E2</t>
  </si>
  <si>
    <t>SP2</t>
  </si>
  <si>
    <t>F8</t>
  </si>
  <si>
    <t>switches species (fixed), only I treatment</t>
  </si>
  <si>
    <t>SP1</t>
  </si>
  <si>
    <t>H6</t>
  </si>
  <si>
    <t>PM</t>
  </si>
  <si>
    <t>can't use, mixed up with 926, only I treatment</t>
  </si>
  <si>
    <t>B4</t>
  </si>
  <si>
    <t>J</t>
  </si>
  <si>
    <t>can't use, mixed up with 925</t>
  </si>
  <si>
    <t>A6</t>
  </si>
  <si>
    <t>listed as F when M</t>
  </si>
  <si>
    <t>D3</t>
  </si>
  <si>
    <t>C1</t>
  </si>
  <si>
    <t>H4</t>
  </si>
  <si>
    <t>H8</t>
  </si>
  <si>
    <t>NO BLOOD</t>
  </si>
  <si>
    <t>BC2</t>
  </si>
  <si>
    <t>G1</t>
  </si>
  <si>
    <t>G7</t>
  </si>
  <si>
    <t>D1</t>
  </si>
  <si>
    <t>E5</t>
  </si>
  <si>
    <t>BC1</t>
  </si>
  <si>
    <t>B5</t>
  </si>
  <si>
    <t>O</t>
  </si>
  <si>
    <t>C2</t>
  </si>
  <si>
    <t>937-B</t>
  </si>
  <si>
    <t>AT2017</t>
  </si>
  <si>
    <t>damaged tail?</t>
  </si>
  <si>
    <t>938-B</t>
  </si>
  <si>
    <t>A5</t>
  </si>
  <si>
    <t>B7</t>
  </si>
  <si>
    <t>switches species, fixed</t>
  </si>
  <si>
    <t>F6</t>
  </si>
  <si>
    <t>A2</t>
  </si>
  <si>
    <t>C5</t>
  </si>
  <si>
    <t>G4</t>
  </si>
  <si>
    <t>H3</t>
  </si>
  <si>
    <t>switches sex</t>
  </si>
  <si>
    <t>939-1</t>
  </si>
  <si>
    <t>D7</t>
  </si>
  <si>
    <t>D8</t>
  </si>
  <si>
    <t>G3</t>
  </si>
  <si>
    <t>H5</t>
  </si>
  <si>
    <t>E8</t>
  </si>
  <si>
    <t>F3</t>
  </si>
  <si>
    <t>D5</t>
  </si>
  <si>
    <t>F4</t>
  </si>
  <si>
    <t>F5</t>
  </si>
  <si>
    <t>D6</t>
  </si>
  <si>
    <t>F2</t>
  </si>
  <si>
    <t>C8</t>
  </si>
  <si>
    <t>F7</t>
  </si>
  <si>
    <t>H2</t>
  </si>
  <si>
    <t>H1</t>
  </si>
  <si>
    <t>blood at recap</t>
  </si>
  <si>
    <t>1402 recap with blood</t>
  </si>
  <si>
    <t>A8</t>
  </si>
  <si>
    <t>really recap with blood</t>
  </si>
  <si>
    <t>?</t>
  </si>
  <si>
    <t>unable to get accurate count of specific species of coccidia, bubbles clustered them all together</t>
  </si>
  <si>
    <t>D2</t>
  </si>
  <si>
    <t>1/.072</t>
  </si>
  <si>
    <t>G5</t>
  </si>
  <si>
    <t>A3</t>
  </si>
  <si>
    <t>H7</t>
  </si>
  <si>
    <t>PM? damaged tail?</t>
  </si>
  <si>
    <t>NO FEC</t>
  </si>
  <si>
    <t>JH</t>
  </si>
  <si>
    <t>E4</t>
  </si>
  <si>
    <t>C7</t>
  </si>
  <si>
    <t>species not clear, damaged tail?</t>
  </si>
  <si>
    <t>B8</t>
  </si>
  <si>
    <t>A1</t>
  </si>
  <si>
    <t>n</t>
  </si>
  <si>
    <t>TA</t>
  </si>
  <si>
    <t>C6</t>
  </si>
  <si>
    <t>T</t>
  </si>
  <si>
    <t>1488 recap with blood</t>
  </si>
  <si>
    <t>G8</t>
  </si>
  <si>
    <t>F1</t>
  </si>
  <si>
    <t>G6</t>
  </si>
  <si>
    <t>dup blood tube #, can’t use for RNA seq</t>
  </si>
  <si>
    <t>corrected species to PL</t>
  </si>
  <si>
    <t>D4</t>
  </si>
  <si>
    <t>E1</t>
  </si>
  <si>
    <t>eye crust</t>
  </si>
  <si>
    <t>CTSB</t>
  </si>
  <si>
    <t>E3</t>
  </si>
  <si>
    <t>broken tail</t>
  </si>
  <si>
    <t>SB</t>
  </si>
  <si>
    <t>dup blood tube #, can’t use for RNA seq, was actually PL</t>
  </si>
  <si>
    <t>C4</t>
  </si>
  <si>
    <t>switches species (fixed), EC</t>
  </si>
  <si>
    <t>died during blood draw</t>
  </si>
  <si>
    <t>E6</t>
  </si>
  <si>
    <t>CJ</t>
  </si>
  <si>
    <t>HA</t>
  </si>
  <si>
    <t>NO FEC DATA</t>
  </si>
  <si>
    <t>switches species (fixed)</t>
  </si>
  <si>
    <t>C3</t>
  </si>
  <si>
    <t>fecal sample not weighed - only presence absence data</t>
  </si>
  <si>
    <t>S</t>
  </si>
  <si>
    <t>L</t>
  </si>
  <si>
    <t>SWITCHES SEX</t>
  </si>
  <si>
    <t>NO FEC - HA &amp; AT - DATA DELETED</t>
  </si>
  <si>
    <t>match FEC later</t>
  </si>
  <si>
    <t>(DEAD)</t>
  </si>
  <si>
    <t>NO FEC - CJ and AT - DATA DELETED</t>
  </si>
  <si>
    <t>1763 recap with blood</t>
  </si>
  <si>
    <t>check</t>
  </si>
  <si>
    <t>FEC by CJ and TA, but both get same count</t>
  </si>
  <si>
    <t>NO FEC DATA - HA and C - DATA DELETED</t>
  </si>
  <si>
    <t>NO FEC DATA - CJ and C - DATA DELETED</t>
  </si>
  <si>
    <t>missing  fecal sample</t>
  </si>
  <si>
    <t>no fecal sample</t>
  </si>
  <si>
    <t>damaged tail</t>
  </si>
  <si>
    <t xml:space="preserve">(DIED) </t>
  </si>
  <si>
    <t>1949 recap with blood</t>
  </si>
  <si>
    <t>switches species (fixed), is treat effective after 346 days?</t>
  </si>
  <si>
    <t>JB</t>
  </si>
  <si>
    <t xml:space="preserve"> (DEAD)</t>
  </si>
  <si>
    <t>no blood or feces</t>
  </si>
  <si>
    <t>blood at recap, lost blood 2125 in centrifuge</t>
  </si>
  <si>
    <t>2136 recap with blood</t>
  </si>
  <si>
    <t xml:space="preserve"> (lost previous tag)</t>
  </si>
  <si>
    <t>2261 recap with blood</t>
  </si>
  <si>
    <t>corrected body-tail</t>
  </si>
  <si>
    <t>(injured, euthanized)</t>
  </si>
  <si>
    <t>switches sex, body-tail switched</t>
  </si>
  <si>
    <t>not very good length measurements</t>
  </si>
  <si>
    <t>maybe switch tail and body, but no evidence so keeping as written</t>
  </si>
  <si>
    <t>don't use tail/body length - might be switched</t>
  </si>
  <si>
    <t>Y?</t>
  </si>
  <si>
    <t>damaged tail, corrected body-tail</t>
  </si>
  <si>
    <t>dead</t>
  </si>
  <si>
    <t>escape</t>
  </si>
  <si>
    <t>P01</t>
  </si>
  <si>
    <t>no info</t>
  </si>
  <si>
    <t>not in study</t>
  </si>
  <si>
    <t>Butch's Cabin</t>
  </si>
  <si>
    <t>recap</t>
  </si>
  <si>
    <t>corrected to PM</t>
  </si>
  <si>
    <t>different grid</t>
  </si>
  <si>
    <t>moved grid, 5d post bleed</t>
  </si>
  <si>
    <t>JH, recap</t>
  </si>
  <si>
    <t>found dead</t>
  </si>
  <si>
    <t>recAT - do count?</t>
  </si>
  <si>
    <t>recAT</t>
  </si>
  <si>
    <t xml:space="preserve">HW2 </t>
  </si>
  <si>
    <t>(INJURED LEFT EYE)</t>
  </si>
  <si>
    <t>recap don't do FEC</t>
  </si>
  <si>
    <t>recap - don't do FEC</t>
  </si>
  <si>
    <t>extra blood sample</t>
  </si>
  <si>
    <t>Variable name</t>
  </si>
  <si>
    <t>Explination</t>
  </si>
  <si>
    <t>this line needs further attention - see obs? For more info</t>
  </si>
  <si>
    <t>Year of capture</t>
  </si>
  <si>
    <t>date of capture</t>
  </si>
  <si>
    <t>who measured and bled the mouse (CT= Courtney, SB = Sarah, CTSB means both were handling mice that day)</t>
  </si>
  <si>
    <t>capture info</t>
  </si>
  <si>
    <t>cap = first time caught during sampling period (full data collection) with the exception that if no blood was collected on cap but had a recap with blood - also denoted "cap" (see obs), recap = recapture (so full data not collected), dead in trap, or escaped before all data could be collected</t>
  </si>
  <si>
    <t>SB or datasheet notes about many different things</t>
  </si>
  <si>
    <t>eartag number</t>
  </si>
  <si>
    <t>1 = positive via serology, 0 = negative</t>
  </si>
  <si>
    <t>1 = data is unusable (e.g. switches sex so eartag was probably read incorrectly) (also red)</t>
  </si>
  <si>
    <t>Treated or Control</t>
  </si>
  <si>
    <t>at this capture the mouse received: A = albendazole &amp; ivermectin, I = ivermectin only,  C = control, no dewormer</t>
  </si>
  <si>
    <t>at this capture: T = treated with dewormer, C = control, no dewormer</t>
  </si>
  <si>
    <t>Treated or control</t>
  </si>
  <si>
    <t>eye crust, should have been treatment on PO2, but was given control when caught on PO1</t>
  </si>
  <si>
    <t>I</t>
  </si>
  <si>
    <t>how many days prior was a mouse most recently, previously captured and sampled</t>
  </si>
  <si>
    <t>Grid (site) of capture</t>
  </si>
  <si>
    <t>Trap location within grid</t>
  </si>
  <si>
    <t>PL= Peromyscus leucopus, PM = Peromyscus maniculatus</t>
  </si>
  <si>
    <t>tail length/total body length. Generally over 1 for PM, under 1 for PL</t>
  </si>
  <si>
    <t>Male or Female</t>
  </si>
  <si>
    <t>A = adult, SA = subadult, J = juvenile</t>
  </si>
  <si>
    <t>3= adult; 2.9, 2.6, 2.3 are the 3 levels of subadult based on coat color (see lab notebook), 1 = juvenile</t>
  </si>
  <si>
    <t>Females only, O = open (ie receptive), C = closed</t>
  </si>
  <si>
    <t>Females only, L = large and likely lactating, S = small and not likely lactating, M = medium and unsure of lactating status</t>
  </si>
  <si>
    <t>Length code</t>
  </si>
  <si>
    <t>Broken tail</t>
  </si>
  <si>
    <t>bad length measurements</t>
  </si>
  <si>
    <t>Inspect</t>
  </si>
  <si>
    <t>Pregnancy detected via palpation (Y), or not (N)</t>
  </si>
  <si>
    <t>If open vagina, large nipples, or pregnant (Y), otherwise N</t>
  </si>
  <si>
    <t>does male have decended testes (Yes or No)</t>
  </si>
  <si>
    <t>if testes decended (Y), if not (N)</t>
  </si>
  <si>
    <t>Total length - tail (mm)</t>
  </si>
  <si>
    <t>snout to tail tip length (mm)</t>
  </si>
  <si>
    <t>length from end of body to tail tip (mm)</t>
  </si>
  <si>
    <t>Weight (g) using spring scale - bag weight</t>
  </si>
  <si>
    <t>present (1) or not (0)</t>
  </si>
  <si>
    <t>Ectoparasite presence (1) or absence (0) - reflects fleas, ticks and botflies</t>
  </si>
  <si>
    <t>Ectoparasite species richness</t>
  </si>
  <si>
    <t>Fecal sample weight minus average tube weight = poo weight (g)</t>
  </si>
  <si>
    <t>Fecal sample weight including tube (g)</t>
  </si>
  <si>
    <t>Endoparasite presence/absence</t>
  </si>
  <si>
    <t>True 0 FEC (not 0 while just waiting for data to be added)</t>
  </si>
  <si>
    <t>endoparasite species richness</t>
  </si>
  <si>
    <t>total endoparasite eggs per gram of feces</t>
  </si>
  <si>
    <t># coccidia species detected</t>
  </si>
  <si>
    <t>total coccidia oocysts per gram of feces</t>
  </si>
  <si>
    <t>not sure what this is</t>
  </si>
  <si>
    <t>percent lymphocytes</t>
  </si>
  <si>
    <t># neutrophils counted</t>
  </si>
  <si>
    <t># lymphocytes counted</t>
  </si>
  <si>
    <t>% neutrophils</t>
  </si>
  <si>
    <t># monocytes counted</t>
  </si>
  <si>
    <t>% monocytes</t>
  </si>
  <si>
    <t># Basophils counted</t>
  </si>
  <si>
    <t>% basophils</t>
  </si>
  <si>
    <t># eosinophils counted</t>
  </si>
  <si>
    <t>% eosinophils</t>
  </si>
  <si>
    <t>Total # white blood cells counted</t>
  </si>
  <si>
    <t>Colors</t>
  </si>
  <si>
    <t>Red</t>
  </si>
  <si>
    <t>drop, the data cannot be used</t>
  </si>
  <si>
    <t>dark purple</t>
  </si>
  <si>
    <t>SNV+ with high titer</t>
  </si>
  <si>
    <t xml:space="preserve">light purple </t>
  </si>
  <si>
    <t>SNV+ with low titer</t>
  </si>
  <si>
    <t>orange</t>
  </si>
  <si>
    <t>pink</t>
  </si>
  <si>
    <t>no blood so can't use blood tube number to look up FEC, must add manually later</t>
  </si>
  <si>
    <t>needs further attention (odd data, given wrong treatment, etc)</t>
  </si>
  <si>
    <t>blood sample number - unique to capture and mouse; if blood collected upon recapture, that's noted here too</t>
  </si>
  <si>
    <t>Password is "mice"</t>
  </si>
  <si>
    <t>comments</t>
  </si>
  <si>
    <t>used to make notes about things, e.g. data corrections</t>
  </si>
  <si>
    <t>Initials of who did FEC (and year if same initials). If "0", then it hasn't yet been done and entered</t>
  </si>
  <si>
    <t>tag-date code</t>
  </si>
  <si>
    <t>Zymo feces</t>
  </si>
  <si>
    <t>tag - date (excel number), used for matching among sheets</t>
  </si>
  <si>
    <t>Feces DNA label</t>
  </si>
  <si>
    <t>1 is feces processed for diet metabarcoding</t>
  </si>
  <si>
    <t>name of fecal sample for diet metabarcoding on DNA spreadsheet</t>
  </si>
  <si>
    <t>RNA Seq</t>
  </si>
  <si>
    <t>Poo weight too low, inflating FEC</t>
  </si>
  <si>
    <t>Age and class don't match, not sure which is right</t>
  </si>
  <si>
    <t>pct lympho</t>
  </si>
  <si>
    <t>pct neutro</t>
  </si>
  <si>
    <t>pct mono</t>
  </si>
  <si>
    <t>pct baso</t>
  </si>
  <si>
    <t>pct eosin</t>
  </si>
  <si>
    <t>Nem PA no larvae</t>
  </si>
  <si>
    <t>Nem rich no larvae</t>
  </si>
  <si>
    <t>Nem egg/g no larvae</t>
  </si>
  <si>
    <t>goes from A to SA2.3</t>
  </si>
  <si>
    <t>given prior capture data, was a treatment in effect or not (i.e. dewormer not effective for the first capture of treated mice because no time for it to work)</t>
  </si>
  <si>
    <t>5/20-BC2-H8</t>
  </si>
  <si>
    <t>6/27-HW2-F2</t>
  </si>
  <si>
    <t>7/3-PO1-D1</t>
  </si>
  <si>
    <t>5/10-PO2-B7</t>
  </si>
  <si>
    <t>5/10-PO2-E2</t>
  </si>
  <si>
    <t>5/10-PO2-G6</t>
  </si>
  <si>
    <t>5/10-PO2-H4</t>
  </si>
  <si>
    <t>5/10-PO1-F1</t>
  </si>
  <si>
    <t>5/11-PO2-A8</t>
  </si>
  <si>
    <t>5/11-PO2-F4</t>
  </si>
  <si>
    <t>5/11-PO2-G3</t>
  </si>
  <si>
    <t>5/11-PO2-G8</t>
  </si>
  <si>
    <t>5/11-PO2-H6</t>
  </si>
  <si>
    <t>5/11-PO2-H7</t>
  </si>
  <si>
    <t>5/11-PO1-A2</t>
  </si>
  <si>
    <t>5/11-PO1-A5</t>
  </si>
  <si>
    <t>5/11-PO1-E2</t>
  </si>
  <si>
    <t>5/11-PO1-F7</t>
  </si>
  <si>
    <t>5/11-PO1-G2</t>
  </si>
  <si>
    <t>5/11-PO1-H3</t>
  </si>
  <si>
    <t>5/13-SP2-A2</t>
  </si>
  <si>
    <t>5/13-SP1-G6</t>
  </si>
  <si>
    <t>5/13-SP1-A7</t>
  </si>
  <si>
    <t>5/20-BC2-C2</t>
  </si>
  <si>
    <t>5/20-BC1-H5</t>
  </si>
  <si>
    <t>5/20-BC2-B3</t>
  </si>
  <si>
    <t>5/21-BC2-A3</t>
  </si>
  <si>
    <t>5/21-BC2-A8</t>
  </si>
  <si>
    <t>5/21-BC2-B3</t>
  </si>
  <si>
    <t>5/21-BC2-E1</t>
  </si>
  <si>
    <t>5/21-BC2-G2</t>
  </si>
  <si>
    <t>5/21-BC2-H5</t>
  </si>
  <si>
    <t>5/21-BC1-B3</t>
  </si>
  <si>
    <t>5/21-BC1-C8</t>
  </si>
  <si>
    <t>5/23-HW1-B6</t>
  </si>
  <si>
    <t>5/23-HW1-D6</t>
  </si>
  <si>
    <t>5/23-HW2-G2</t>
  </si>
  <si>
    <t>5/23-HW2-A3</t>
  </si>
  <si>
    <t>5/23-HW2-C2</t>
  </si>
  <si>
    <t>5/23-HW2-F7</t>
  </si>
  <si>
    <t>5/23-HW2-F8</t>
  </si>
  <si>
    <t>5/23-HW2-E4</t>
  </si>
  <si>
    <t>5/23-HW2-H7</t>
  </si>
  <si>
    <t>5/24-HW2-B1</t>
  </si>
  <si>
    <t>5/24-HW2-B3</t>
  </si>
  <si>
    <t>5/24-HW2-F3</t>
  </si>
  <si>
    <t>5/24-HW2-F5</t>
  </si>
  <si>
    <t>5/24-HW2-F6</t>
  </si>
  <si>
    <t>5/24-HW2-H4</t>
  </si>
  <si>
    <t>5/24-HW2-H7</t>
  </si>
  <si>
    <t>5/24-HW2-H8</t>
  </si>
  <si>
    <t>5/24-HW2-G2</t>
  </si>
  <si>
    <t>5/24-HW1-B5</t>
  </si>
  <si>
    <t>5/24-HW1-B6</t>
  </si>
  <si>
    <t>5/24-HW1-E1</t>
  </si>
  <si>
    <t>5/24-HW1-G1</t>
  </si>
  <si>
    <t>5/29-PO2-A5</t>
  </si>
  <si>
    <t>5/29-PO1-H2</t>
  </si>
  <si>
    <t>5/29-PO1-H4</t>
  </si>
  <si>
    <t>5/29-PO1-H5</t>
  </si>
  <si>
    <t>5/30-PO2-A5</t>
  </si>
  <si>
    <t>5/30-PO2-F2</t>
  </si>
  <si>
    <t>5/30-PO2-G6</t>
  </si>
  <si>
    <t>5/30-PO2-G7</t>
  </si>
  <si>
    <t>5/30-PO2-G8</t>
  </si>
  <si>
    <t>5/30-PO2-H6</t>
  </si>
  <si>
    <t>5/30-PO1-H1</t>
  </si>
  <si>
    <t>5/30-PO1-H2</t>
  </si>
  <si>
    <t>5/30-PO1-H6</t>
  </si>
  <si>
    <t>6/1-SP1-H2</t>
  </si>
  <si>
    <t>6/2-SP2-E1</t>
  </si>
  <si>
    <t>6/2-SP2-G5</t>
  </si>
  <si>
    <t>6/2-SP1-E7</t>
  </si>
  <si>
    <t>6/2-SP1-G4</t>
  </si>
  <si>
    <t>6/7-BC2-B1</t>
  </si>
  <si>
    <t>6/7-BC1-E2</t>
  </si>
  <si>
    <t>6/7-BC1-H6</t>
  </si>
  <si>
    <t>6/8-BC2-F5</t>
  </si>
  <si>
    <t>6/8-BC2-B1</t>
  </si>
  <si>
    <t>6/8-BC1-B2</t>
  </si>
  <si>
    <t>6/8-BC1-E1</t>
  </si>
  <si>
    <t>6/8-BC1-H2</t>
  </si>
  <si>
    <t>6/8-BC1-H6</t>
  </si>
  <si>
    <t>6/8-BC1-H8</t>
  </si>
  <si>
    <t>6/10-HW1-B2</t>
  </si>
  <si>
    <t>6/10-HW1-A5</t>
  </si>
  <si>
    <t>6/10-HW1-D7</t>
  </si>
  <si>
    <t>6/10-HW1-E6</t>
  </si>
  <si>
    <t>6/10-HW2-A3</t>
  </si>
  <si>
    <t>6/10-HW2-B3</t>
  </si>
  <si>
    <t>6/10-HW2-C8</t>
  </si>
  <si>
    <t>6/10-HW2-G8</t>
  </si>
  <si>
    <t>6/10-HW2-H5</t>
  </si>
  <si>
    <t>6/11-HW1-C3</t>
  </si>
  <si>
    <t>6/11-HW1-D8</t>
  </si>
  <si>
    <t>6/11-HW1-E7</t>
  </si>
  <si>
    <t>6/11-HW2-A2</t>
  </si>
  <si>
    <t>6/11-HW2-A7</t>
  </si>
  <si>
    <t>6/11-HW2-E4</t>
  </si>
  <si>
    <t>6/11-HW2-F8</t>
  </si>
  <si>
    <t>6/11-HW2-G2</t>
  </si>
  <si>
    <t>6/11-HW2-H3</t>
  </si>
  <si>
    <t>6/11-HW2-H6</t>
  </si>
  <si>
    <t>6/11-HW2-H7</t>
  </si>
  <si>
    <t>6/16-PO2-E1</t>
  </si>
  <si>
    <t>6/16-PO2-F5</t>
  </si>
  <si>
    <t>6/16-PO2-G6</t>
  </si>
  <si>
    <t>6/16-PO2-H5</t>
  </si>
  <si>
    <t>6/16-PO1-C1</t>
  </si>
  <si>
    <t>6/16-PO1-C6</t>
  </si>
  <si>
    <t>6/16-PO1-F3</t>
  </si>
  <si>
    <t>6/16-PO1-H7</t>
  </si>
  <si>
    <t>6/16-PO1-H3</t>
  </si>
  <si>
    <t>6/17-PO2-H8</t>
  </si>
  <si>
    <t>6/17-PO2-B6</t>
  </si>
  <si>
    <t>6/17-PO2-G2</t>
  </si>
  <si>
    <t>6/17-PO2-G5</t>
  </si>
  <si>
    <t>6/17-PO2-F6</t>
  </si>
  <si>
    <t>6/17-PO2-E6</t>
  </si>
  <si>
    <t>6/17-PO2-E5</t>
  </si>
  <si>
    <t>6/17-PO1-A8</t>
  </si>
  <si>
    <t>6/17-PO1-B4</t>
  </si>
  <si>
    <t>6/17-PO1-D3</t>
  </si>
  <si>
    <t>6/17-PO1-E6</t>
  </si>
  <si>
    <t>6/17-PO1-F4</t>
  </si>
  <si>
    <t>6/17-PO1-H3</t>
  </si>
  <si>
    <t>6/19-SP2-A7</t>
  </si>
  <si>
    <t>6/19-SP2-B7</t>
  </si>
  <si>
    <t>6/19-SP2-F2</t>
  </si>
  <si>
    <t>6/19-SP2-F4</t>
  </si>
  <si>
    <t>6/19-SP2-F5</t>
  </si>
  <si>
    <t>6/19-SP2-F7</t>
  </si>
  <si>
    <t>6/19-SP2-H6</t>
  </si>
  <si>
    <t>6/19-SP1-C6</t>
  </si>
  <si>
    <t>6/19-SP1-G4</t>
  </si>
  <si>
    <t>6/19-SP1-H2</t>
  </si>
  <si>
    <t>6/20-SP2-B6</t>
  </si>
  <si>
    <t>6/20-SP2-G3</t>
  </si>
  <si>
    <t>6/20-SP2-G7</t>
  </si>
  <si>
    <t>6/20-SP1-G4</t>
  </si>
  <si>
    <t>6/20-SP1-G7</t>
  </si>
  <si>
    <t>6/20-SP1-E3</t>
  </si>
  <si>
    <t>6/20-SP1-B2</t>
  </si>
  <si>
    <t>6/20-SP1-C6</t>
  </si>
  <si>
    <t>6/24-BC1-B7</t>
  </si>
  <si>
    <t>6/24-BC1-C3</t>
  </si>
  <si>
    <t>6/24-BC1-D5</t>
  </si>
  <si>
    <t>6/24-BC1-E5</t>
  </si>
  <si>
    <t>6/24-BC1-G3</t>
  </si>
  <si>
    <t>6/24-BC2-D3</t>
  </si>
  <si>
    <t>6/24-BC2-A2</t>
  </si>
  <si>
    <t>6/24-BC2-A5</t>
  </si>
  <si>
    <t>6/25-BC2-A4</t>
  </si>
  <si>
    <t>6/25-BC2-D4</t>
  </si>
  <si>
    <t>6/25-BC2-E4</t>
  </si>
  <si>
    <t>6/25-BC2-D7</t>
  </si>
  <si>
    <t>6/25-BC2-H1</t>
  </si>
  <si>
    <t>6/25-BC1-A7</t>
  </si>
  <si>
    <t>6/25-BC1-C4</t>
  </si>
  <si>
    <t>6/25-BC1-D3</t>
  </si>
  <si>
    <t>6/25-BC1-E1</t>
  </si>
  <si>
    <t>6/25-BC1-E5</t>
  </si>
  <si>
    <t>6/25-BC1-H7</t>
  </si>
  <si>
    <t>6/27-HW2-G4</t>
  </si>
  <si>
    <t>6/27-HW1-A2</t>
  </si>
  <si>
    <t>6/27-HW1-A6</t>
  </si>
  <si>
    <t>6/27-HW1-F7</t>
  </si>
  <si>
    <t>6/27-HW1-G1</t>
  </si>
  <si>
    <t>6/27-HW1-G4</t>
  </si>
  <si>
    <t>6/27-HW1-D8</t>
  </si>
  <si>
    <t>6/27-HW2-B3</t>
  </si>
  <si>
    <t>6/27-HW2-D5</t>
  </si>
  <si>
    <t>6/27-HW2-H1</t>
  </si>
  <si>
    <t>6/27-HW2-H2</t>
  </si>
  <si>
    <t>6/27-HW2-H5</t>
  </si>
  <si>
    <t>6/27-HW2-H7</t>
  </si>
  <si>
    <t>6/28-HW2-B7</t>
  </si>
  <si>
    <t>6/28-HW2-B2</t>
  </si>
  <si>
    <t>6/28-HW2-C1</t>
  </si>
  <si>
    <t>6/28-HW2-D5</t>
  </si>
  <si>
    <t>6/28-HW2-D4</t>
  </si>
  <si>
    <t>6/28-HW2-H6</t>
  </si>
  <si>
    <t>6/28-HW2-H7</t>
  </si>
  <si>
    <t>6/28-HW2-H8</t>
  </si>
  <si>
    <t>6/28-HW2-G4</t>
  </si>
  <si>
    <t>6/28-HW1-B4</t>
  </si>
  <si>
    <t>6/28-HW1-B5</t>
  </si>
  <si>
    <t>6/28-HW1-D7</t>
  </si>
  <si>
    <t>6/28-HW1-F6</t>
  </si>
  <si>
    <t>6/28-HW1-G2</t>
  </si>
  <si>
    <t>7/3-PO2-A6</t>
  </si>
  <si>
    <t>7/3-PO2-D8</t>
  </si>
  <si>
    <t>7/3-PO2-F5</t>
  </si>
  <si>
    <t>7/3-PO2-F7</t>
  </si>
  <si>
    <t>7/3-PO2-G7</t>
  </si>
  <si>
    <t>7/3-PO2-G8</t>
  </si>
  <si>
    <t>7/3-PO1-A7</t>
  </si>
  <si>
    <t>7/3-PO1-G4</t>
  </si>
  <si>
    <t>7/3-PO1-H4</t>
  </si>
  <si>
    <t>7/3-PO1-H8</t>
  </si>
  <si>
    <t>7/4-PO2-A7</t>
  </si>
  <si>
    <t>7/4-PO2-A8</t>
  </si>
  <si>
    <t>7/4-PO2-E8</t>
  </si>
  <si>
    <t>7/4-PO2-F2</t>
  </si>
  <si>
    <t>7/4-PO2-F3</t>
  </si>
  <si>
    <t>7/4-PO2-F7</t>
  </si>
  <si>
    <t>7/4-PO2-G4</t>
  </si>
  <si>
    <t>7/4-PO2-G7</t>
  </si>
  <si>
    <t>7/4-PO2-G8</t>
  </si>
  <si>
    <t>7/4-PO2-H5</t>
  </si>
  <si>
    <t>7/4-PO1-A8</t>
  </si>
  <si>
    <t>7/4-PO1-E8</t>
  </si>
  <si>
    <t>7/4-PO1-G2</t>
  </si>
  <si>
    <t>7/4-PO1-G8</t>
  </si>
  <si>
    <t>7/4-PO1-H2</t>
  </si>
  <si>
    <t>7/4-PO1-G4</t>
  </si>
  <si>
    <t>7/6-SP2-A2</t>
  </si>
  <si>
    <t>7/6-SP2-B3</t>
  </si>
  <si>
    <t>7/6-SP2-B5</t>
  </si>
  <si>
    <t>7/6-SP2-C5</t>
  </si>
  <si>
    <t>7/6-SP2-F7</t>
  </si>
  <si>
    <t>7/6-SP2-G5</t>
  </si>
  <si>
    <t>7/6-SP1-A8</t>
  </si>
  <si>
    <t>7/7-SP2-A3</t>
  </si>
  <si>
    <t>7/7-SP2-A8</t>
  </si>
  <si>
    <t>7/7-SP2-F5</t>
  </si>
  <si>
    <t>7/7-SP2-G6</t>
  </si>
  <si>
    <t>7/7-SP2-G8</t>
  </si>
  <si>
    <t>7/7-SP1-A5</t>
  </si>
  <si>
    <t>7/7-SP1-B1</t>
  </si>
  <si>
    <t>7/7-SP1-F2</t>
  </si>
  <si>
    <t>7/12-BC1-E8</t>
  </si>
  <si>
    <t>7/12-BC1-C6</t>
  </si>
  <si>
    <t>7/12-BC1-C8</t>
  </si>
  <si>
    <t>7/12-BC1-H7</t>
  </si>
  <si>
    <t>7/12-BC2-A6</t>
  </si>
  <si>
    <t>7/12-BC2-A8</t>
  </si>
  <si>
    <t>7/12-BC2-B7</t>
  </si>
  <si>
    <t>7/12-BC2-C1</t>
  </si>
  <si>
    <t>7/12-BC2-G1</t>
  </si>
  <si>
    <t>7/14-HW2-A2</t>
  </si>
  <si>
    <t>7/14-HW2-C4</t>
  </si>
  <si>
    <t>7/14-HW2-C8</t>
  </si>
  <si>
    <t>7/14-HW2-D4</t>
  </si>
  <si>
    <t>7/14-HW2-E7</t>
  </si>
  <si>
    <t>7/14-HW2-F1</t>
  </si>
  <si>
    <t>7/14-HW2-G7</t>
  </si>
  <si>
    <t>7/14-HW1-A4</t>
  </si>
  <si>
    <t>7/14-HW1-B1</t>
  </si>
  <si>
    <t>7/14-HW1-C6</t>
  </si>
  <si>
    <t>7/14-HW1-F3</t>
  </si>
  <si>
    <t>7/14-HW1-H7</t>
  </si>
  <si>
    <t>7/14-PO2-H8</t>
  </si>
  <si>
    <t>7/16-PO2-A7</t>
  </si>
  <si>
    <t>7/16-PO2-A3</t>
  </si>
  <si>
    <t>7/16-PO2-C7</t>
  </si>
  <si>
    <t>7/16-PO2-C8</t>
  </si>
  <si>
    <t>7/16-PO2-D7</t>
  </si>
  <si>
    <t>7/16-PO2-F2</t>
  </si>
  <si>
    <t>7/16-PO2-G2</t>
  </si>
  <si>
    <t>7/16-PO2-G5</t>
  </si>
  <si>
    <t>7/16-PO2-G7</t>
  </si>
  <si>
    <t>7/16-PO1-E3</t>
  </si>
  <si>
    <t>7/16-PO1-G1</t>
  </si>
  <si>
    <t>7/16-PO1-H1</t>
  </si>
  <si>
    <t>7/16-PO1-H2</t>
  </si>
  <si>
    <t>7/16-PO1-H7</t>
  </si>
  <si>
    <t>7/21-SP2-A4</t>
  </si>
  <si>
    <t>7/21-SP2-A7</t>
  </si>
  <si>
    <t>7/21-SP2-B5</t>
  </si>
  <si>
    <t>7/21-SP2-E1</t>
  </si>
  <si>
    <t>7/21-SP2-E7</t>
  </si>
  <si>
    <t>7/21-SP2-G2</t>
  </si>
  <si>
    <t>7/21-SP2-H8</t>
  </si>
  <si>
    <t>7/21-SP1-A2</t>
  </si>
  <si>
    <t>7/21-SP1-A5</t>
  </si>
  <si>
    <t>7/21-SP1-A8</t>
  </si>
  <si>
    <t>7/21-SP1-B7</t>
  </si>
  <si>
    <t>7/21-SP1-D1</t>
  </si>
  <si>
    <t>7/21-SP1-D7</t>
  </si>
  <si>
    <t>7/21-SP1-E8</t>
  </si>
  <si>
    <t>7/21-SP1-F5</t>
  </si>
  <si>
    <t>7/21-SP1-H2</t>
  </si>
  <si>
    <t>7/21-SP1-A6</t>
  </si>
  <si>
    <t>7/23-BC1-A1</t>
  </si>
  <si>
    <t>7/23-BC1-A7</t>
  </si>
  <si>
    <t>7/23-BC1-G8</t>
  </si>
  <si>
    <t>7/23-BC2-A5</t>
  </si>
  <si>
    <t>7/23-BC2-A7</t>
  </si>
  <si>
    <t>7/23-BC2-C6</t>
  </si>
  <si>
    <t>5/9-PO1-H1</t>
  </si>
  <si>
    <t>5/9-PO2-G5</t>
  </si>
  <si>
    <t>5/9-PO1-E3</t>
  </si>
  <si>
    <t>5/9-PO2-D5</t>
  </si>
  <si>
    <t>5/9-PO2-H7</t>
  </si>
  <si>
    <t>5/9-PO2-A7</t>
  </si>
  <si>
    <t>5/9-PO2-H3</t>
  </si>
  <si>
    <t>5/9-PO2-G4</t>
  </si>
  <si>
    <t>5/9-PO2-D7</t>
  </si>
  <si>
    <t>5/9-PO2-B6</t>
  </si>
  <si>
    <t>5/9-PO1-G4</t>
  </si>
  <si>
    <t>5/10-PO1-A5</t>
  </si>
  <si>
    <t>5/10-PO1-A1</t>
  </si>
  <si>
    <t>5/10-PO1-C1</t>
  </si>
  <si>
    <t>5/10-PO1-C2</t>
  </si>
  <si>
    <t>5/10-PO2-C1</t>
  </si>
  <si>
    <t>5/10-PO2-H3</t>
  </si>
  <si>
    <t>5/10-PO1-D2</t>
  </si>
  <si>
    <t>5/10-PO2-E1</t>
  </si>
  <si>
    <t>5/11-PO1-H4</t>
  </si>
  <si>
    <t>5/11-PO1-G4</t>
  </si>
  <si>
    <t>5/11-PO1-F1</t>
  </si>
  <si>
    <t>5/11-PO2-A3</t>
  </si>
  <si>
    <t>5/12-SP2-A2</t>
  </si>
  <si>
    <t>5/12-SP1-B2</t>
  </si>
  <si>
    <t>5/12-SP1-D7</t>
  </si>
  <si>
    <t>5/12-SP2-G3</t>
  </si>
  <si>
    <t>5/12-SP1-G6</t>
  </si>
  <si>
    <t>5/13-SP1-B2</t>
  </si>
  <si>
    <t>5/13-SP2-C2</t>
  </si>
  <si>
    <t>5/13-SP2-B8</t>
  </si>
  <si>
    <t>5/13-SP1-H8</t>
  </si>
  <si>
    <t>5/13-SP2-G8</t>
  </si>
  <si>
    <t>5/19-BC1-G4</t>
  </si>
  <si>
    <t>5/19-BC2-G4</t>
  </si>
  <si>
    <t>5/19-BC2-E1</t>
  </si>
  <si>
    <t>5/19-BC2-H6</t>
  </si>
  <si>
    <t>5/19-BC2-D7</t>
  </si>
  <si>
    <t>5/19-BC2-D1</t>
  </si>
  <si>
    <t>5/19-BC2-E4</t>
  </si>
  <si>
    <t>5/19-BC2-D8</t>
  </si>
  <si>
    <t>5/19-BC1-F3</t>
  </si>
  <si>
    <t>5/20-BC1-H7</t>
  </si>
  <si>
    <t>5/21-BC1-A1</t>
  </si>
  <si>
    <t>5/22-HW1-E1</t>
  </si>
  <si>
    <t>5/22-HW1-H5</t>
  </si>
  <si>
    <t>5/22-HW1-D6</t>
  </si>
  <si>
    <t>5/22-HW2-F8</t>
  </si>
  <si>
    <t>5/22-HW2-D3</t>
  </si>
  <si>
    <t>5/22-HW2-B4</t>
  </si>
  <si>
    <t>5/22-HW2-F5</t>
  </si>
  <si>
    <t>5/22-HW2-C1</t>
  </si>
  <si>
    <t>5/22-HW1-D3</t>
  </si>
  <si>
    <t>5/22-HW2-H3</t>
  </si>
  <si>
    <t>5/23-HW2-F5</t>
  </si>
  <si>
    <t>5/23-HW1-G1</t>
  </si>
  <si>
    <t>5/23-HW1-F1</t>
  </si>
  <si>
    <t>5/23-HW2-G8</t>
  </si>
  <si>
    <t>5/23-HW2-G1</t>
  </si>
  <si>
    <t>5/24-HW2-F7</t>
  </si>
  <si>
    <t>5/24-HW2-H2</t>
  </si>
  <si>
    <t>5/24-HW2-A3</t>
  </si>
  <si>
    <t>5/24-HW1-A3</t>
  </si>
  <si>
    <t>5/28-PO1-C2</t>
  </si>
  <si>
    <t>5/28-PO1-H6</t>
  </si>
  <si>
    <t>5/28-PO2-H4</t>
  </si>
  <si>
    <t>5/28-PO1-H3</t>
  </si>
  <si>
    <t>5/28-PO2-H5</t>
  </si>
  <si>
    <t>5/28-PO1-H7</t>
  </si>
  <si>
    <t>5/28-PO2-F2</t>
  </si>
  <si>
    <t>5/28-PO2-G7</t>
  </si>
  <si>
    <t>5/28-PO2-E8</t>
  </si>
  <si>
    <t>5/28-PO2-A1</t>
  </si>
  <si>
    <t>5/29-PO2-H6</t>
  </si>
  <si>
    <t>5/30-PO2-C8</t>
  </si>
  <si>
    <t>5/30-PO2-A6</t>
  </si>
  <si>
    <t>5/30-PO1-A4</t>
  </si>
  <si>
    <t>5/30-PO2-H3</t>
  </si>
  <si>
    <t>5/31-SP1-G6</t>
  </si>
  <si>
    <t>6/1-SP2-F1</t>
  </si>
  <si>
    <t>6/1-SP1-C2</t>
  </si>
  <si>
    <t>6/1-SP2-G5</t>
  </si>
  <si>
    <t>6/1-SP2-E1</t>
  </si>
  <si>
    <t>6/2-SP2-F8</t>
  </si>
  <si>
    <t>6/2-SP1-D6</t>
  </si>
  <si>
    <t>6/2-SP1-G5</t>
  </si>
  <si>
    <t>6/2-SP2-H8</t>
  </si>
  <si>
    <t>6/6-BC1-E4</t>
  </si>
  <si>
    <t>6/6-BC2-A2</t>
  </si>
  <si>
    <t>6/6-BC1-G5</t>
  </si>
  <si>
    <t>6/6-BC1-H6</t>
  </si>
  <si>
    <t>6/6-BC2-E1</t>
  </si>
  <si>
    <t>6/6-BC1-F4</t>
  </si>
  <si>
    <t>6/6-BC1-C1</t>
  </si>
  <si>
    <t>6/7-BC1-F8</t>
  </si>
  <si>
    <t>6/7-BC1-C1</t>
  </si>
  <si>
    <t>6/7-BC1-H5</t>
  </si>
  <si>
    <t>6/7-BC1-H7</t>
  </si>
  <si>
    <t>6/8-BC2-E7</t>
  </si>
  <si>
    <t>6/9-HW2-D3</t>
  </si>
  <si>
    <t>6/9-HW1-E5</t>
  </si>
  <si>
    <t>6/9-HW2-B1</t>
  </si>
  <si>
    <t>6/9-HW2-D2</t>
  </si>
  <si>
    <t>6/9-HW1-C3</t>
  </si>
  <si>
    <t>6/9-HW2-H2</t>
  </si>
  <si>
    <t>6/9-HW2-C5</t>
  </si>
  <si>
    <t>6/9-HW2-H6</t>
  </si>
  <si>
    <t>6/9-HW1-F1</t>
  </si>
  <si>
    <t>6/9-HW2-B4</t>
  </si>
  <si>
    <t>6/9-HW2-G7</t>
  </si>
  <si>
    <t>6/9-HW2-A3</t>
  </si>
  <si>
    <t>6/9-HW1-D7</t>
  </si>
  <si>
    <t>6/10-HW2-H2</t>
  </si>
  <si>
    <t>6/10-HW2-F8</t>
  </si>
  <si>
    <t>6/11-HW1-F2</t>
  </si>
  <si>
    <t>6/11-HW2-G8</t>
  </si>
  <si>
    <t>6/11-HW1-E8</t>
  </si>
  <si>
    <t>6/15-PO2-E3</t>
  </si>
  <si>
    <t>6/15-PO1-E2</t>
  </si>
  <si>
    <t>6/15-PO2-G7</t>
  </si>
  <si>
    <t>6/15-PO2-D1</t>
  </si>
  <si>
    <t>6/15-PO1-E4</t>
  </si>
  <si>
    <t>6/15-PO1-H7</t>
  </si>
  <si>
    <t>6/15-PO2-G6</t>
  </si>
  <si>
    <t>6/15-PO2-D8</t>
  </si>
  <si>
    <t>6/15-PO2-G1</t>
  </si>
  <si>
    <t>6/15-PO1-G8</t>
  </si>
  <si>
    <t>6/15-PO1-D3</t>
  </si>
  <si>
    <t>6/16-PO1-A4</t>
  </si>
  <si>
    <t>6/16-PO2-F1</t>
  </si>
  <si>
    <t>6/16-PO2-A2</t>
  </si>
  <si>
    <t>6/16-PO2-H4</t>
  </si>
  <si>
    <t>6/16-PO1-B5</t>
  </si>
  <si>
    <t>6/16-PO2-F8</t>
  </si>
  <si>
    <t>6/16-PO2-B6</t>
  </si>
  <si>
    <t>6/16-PO2-A4</t>
  </si>
  <si>
    <t>6/16-PO1-A7</t>
  </si>
  <si>
    <t>6/17-PO2-A4</t>
  </si>
  <si>
    <t>6/17-PO1-H7</t>
  </si>
  <si>
    <t>6/17-PO1-A4</t>
  </si>
  <si>
    <t>6/17-PO1-H2</t>
  </si>
  <si>
    <t>6/18-SP2-H7</t>
  </si>
  <si>
    <t>6/18-SP1-G1</t>
  </si>
  <si>
    <t>6/18-SP2-C8</t>
  </si>
  <si>
    <t>6/18-SP1-B8</t>
  </si>
  <si>
    <t>6/18-SP2-H5</t>
  </si>
  <si>
    <t>6/18-SP1-G8</t>
  </si>
  <si>
    <t>6/18-SP2-B5</t>
  </si>
  <si>
    <t>6/18-SP2-G7</t>
  </si>
  <si>
    <t>6/18-SP1-H3</t>
  </si>
  <si>
    <t>6/18-SP2-H2</t>
  </si>
  <si>
    <t>6/18-SP2-A8</t>
  </si>
  <si>
    <t>6/18-SP2-F4</t>
  </si>
  <si>
    <t>6/18-SP1-G7</t>
  </si>
  <si>
    <t>6/18-SP1-H4</t>
  </si>
  <si>
    <t>6/19-SP2-B3</t>
  </si>
  <si>
    <t>6/19-SP1-F2</t>
  </si>
  <si>
    <t>6/19-SP1-C1</t>
  </si>
  <si>
    <t>6/19-SP2-G1</t>
  </si>
  <si>
    <t>6/19-SP2-A8</t>
  </si>
  <si>
    <t>6/19-SP1-B1</t>
  </si>
  <si>
    <t>6/20-SP1-B7</t>
  </si>
  <si>
    <t>6/20-SP1-D3</t>
  </si>
  <si>
    <t>6/23-BC2-D1</t>
  </si>
  <si>
    <t>6/23-BC1-D2</t>
  </si>
  <si>
    <t>6/23-BC2-A4</t>
  </si>
  <si>
    <t>6/23-BC1-B3</t>
  </si>
  <si>
    <t>6/23-BC1-A7</t>
  </si>
  <si>
    <t>6/23-BC2-A5</t>
  </si>
  <si>
    <t>6/23-BC1-H5</t>
  </si>
  <si>
    <t>6/23-BC1-H6</t>
  </si>
  <si>
    <t>6/23-BC1-C8</t>
  </si>
  <si>
    <t>6/24-BC2-H7</t>
  </si>
  <si>
    <t>6/24-BC2-A1</t>
  </si>
  <si>
    <t>6/24-BC2-F2</t>
  </si>
  <si>
    <t>6/24-BC2-H2</t>
  </si>
  <si>
    <t>6/24-BC1-C6</t>
  </si>
  <si>
    <t>6/24-BC2-B7</t>
  </si>
  <si>
    <t>6/24-BC2-H8</t>
  </si>
  <si>
    <t>6/25-BC2-A1</t>
  </si>
  <si>
    <t>6/25-BC1-H5</t>
  </si>
  <si>
    <t>6/26-HW2-A3</t>
  </si>
  <si>
    <t>6/26-HW2-F6</t>
  </si>
  <si>
    <t>6/26-HW1-H7</t>
  </si>
  <si>
    <t>6/26-HW1-E4</t>
  </si>
  <si>
    <t>6/26-HW1-F1</t>
  </si>
  <si>
    <t>6/26-HW2-G2</t>
  </si>
  <si>
    <t>6/26-HW2-B4</t>
  </si>
  <si>
    <t>6/26-HW1-H5</t>
  </si>
  <si>
    <t>6/26-HW1-E1</t>
  </si>
  <si>
    <t>6/26-HW2-G4</t>
  </si>
  <si>
    <t>6/26-HW1-B3</t>
  </si>
  <si>
    <t>6/26-HW2-G7</t>
  </si>
  <si>
    <t>6/26-HW2-A4</t>
  </si>
  <si>
    <t>6/26-HW2-H7</t>
  </si>
  <si>
    <t>6/26-HW2-D8</t>
  </si>
  <si>
    <t>6/26-HW2-F2</t>
  </si>
  <si>
    <t>6/26-HW1-E6</t>
  </si>
  <si>
    <t>6/26-HW2-H5</t>
  </si>
  <si>
    <t>6/26-HW2-E1</t>
  </si>
  <si>
    <t>6/27-HW2-A1</t>
  </si>
  <si>
    <t>6/27-HW2-G8</t>
  </si>
  <si>
    <t>6/27-HW2-H8</t>
  </si>
  <si>
    <t>6/28-HW2-H2</t>
  </si>
  <si>
    <t>6/28-HW1-G1</t>
  </si>
  <si>
    <t>7/2-PO1-F6</t>
  </si>
  <si>
    <t>7/2-PO1-H4</t>
  </si>
  <si>
    <t>7/2-PO2-B5</t>
  </si>
  <si>
    <t>7/2-PO1-E1</t>
  </si>
  <si>
    <t>7/2-PO2-A8</t>
  </si>
  <si>
    <t>7/2-PO2-H7</t>
  </si>
  <si>
    <t>7/2-PO1-F1</t>
  </si>
  <si>
    <t>7/2-PO1-C1</t>
  </si>
  <si>
    <t>7/2-PO2-D8</t>
  </si>
  <si>
    <t>7/2-PO2-A1</t>
  </si>
  <si>
    <t>7/2-PO2-E7</t>
  </si>
  <si>
    <t>7/2-PO2-G8</t>
  </si>
  <si>
    <t>7/2-PO2-G6</t>
  </si>
  <si>
    <t>7/2-PO2-H3</t>
  </si>
  <si>
    <t>7/2-PO1-B5</t>
  </si>
  <si>
    <t>7/2-PO2-A2</t>
  </si>
  <si>
    <t>7/2-PO2-D1</t>
  </si>
  <si>
    <t>7/2-PO2-A7</t>
  </si>
  <si>
    <t>7/3-PO1-A4</t>
  </si>
  <si>
    <t>7/3-PO1-D8</t>
  </si>
  <si>
    <t>7/3-PO1-B8</t>
  </si>
  <si>
    <t>7/3-PO1-C8</t>
  </si>
  <si>
    <t>7/3-PO2-H2</t>
  </si>
  <si>
    <t>7/3-PO1-F1</t>
  </si>
  <si>
    <t>7/4-PO2-A4</t>
  </si>
  <si>
    <t>7/4-PO2-F1</t>
  </si>
  <si>
    <t>7/4-PO2-C8</t>
  </si>
  <si>
    <t>7/5-SP2-A2</t>
  </si>
  <si>
    <t>7/5-SP1-B4</t>
  </si>
  <si>
    <t>7/5-SP2-A4</t>
  </si>
  <si>
    <t>7/5-SP2-E3</t>
  </si>
  <si>
    <t>7/5-SP1-G4</t>
  </si>
  <si>
    <t>7/5-SP1-D8</t>
  </si>
  <si>
    <t>7/5-SP1-A3</t>
  </si>
  <si>
    <t>7/5-SP2-H7</t>
  </si>
  <si>
    <t>7/5-SP2-G1</t>
  </si>
  <si>
    <t>7/5-SP1-E1</t>
  </si>
  <si>
    <t>7/5-SP1-F3</t>
  </si>
  <si>
    <t>7/5-SP2-G2</t>
  </si>
  <si>
    <t>7/5-SP2-F8</t>
  </si>
  <si>
    <t>7/5-SP2-F3</t>
  </si>
  <si>
    <t>7/5-SP2-E7</t>
  </si>
  <si>
    <t>7/5-SP1-B8</t>
  </si>
  <si>
    <t>7/5-SP2-B5</t>
  </si>
  <si>
    <t>7/5-SP2-H8</t>
  </si>
  <si>
    <t>7/5-SP2-B8</t>
  </si>
  <si>
    <t>7/6-SP2-G8</t>
  </si>
  <si>
    <t>7/7-SP1-B7</t>
  </si>
  <si>
    <t>7/7-SP2-E3</t>
  </si>
  <si>
    <t>7/7-SP1-A7</t>
  </si>
  <si>
    <t>7/7-SP1-A2</t>
  </si>
  <si>
    <t>7/11-BC1-A8</t>
  </si>
  <si>
    <t>7/11-BC2-B6</t>
  </si>
  <si>
    <t>7/11-BC2-E1</t>
  </si>
  <si>
    <t>7/11-BC1-A7</t>
  </si>
  <si>
    <t>7/11-BC2-G1</t>
  </si>
  <si>
    <t>7/11-BC2-A3</t>
  </si>
  <si>
    <t>7/11-BC1-E8</t>
  </si>
  <si>
    <t>7/11-BC1-G7</t>
  </si>
  <si>
    <t>7/11-BC2-E5</t>
  </si>
  <si>
    <t>7/11-BC2-H3</t>
  </si>
  <si>
    <t>7/11-BC2-B3</t>
  </si>
  <si>
    <t>7/11-BC1-G8</t>
  </si>
  <si>
    <t>7/11-BC1-C8</t>
  </si>
  <si>
    <t>7/11-BC1-C7</t>
  </si>
  <si>
    <t>7/12-BC1-G7</t>
  </si>
  <si>
    <t>7/12-BC2-C8</t>
  </si>
  <si>
    <t>7/12-BC2-G7</t>
  </si>
  <si>
    <t>7/12-BC2-H2</t>
  </si>
  <si>
    <t>7/13-HW1-H7</t>
  </si>
  <si>
    <t>7/13-HW1-A6</t>
  </si>
  <si>
    <t>7/13-HW1-A5</t>
  </si>
  <si>
    <t>7/13-HW1-H1</t>
  </si>
  <si>
    <t>7/13-HW1-C4</t>
  </si>
  <si>
    <t>7/13-HW1-G3</t>
  </si>
  <si>
    <t>7/13-HW1-A1</t>
  </si>
  <si>
    <t>7/13-HW2-B2</t>
  </si>
  <si>
    <t>7/13-HW2-F8</t>
  </si>
  <si>
    <t>7/13-HW2-D5</t>
  </si>
  <si>
    <t>7/13-HW2-E1</t>
  </si>
  <si>
    <t>7/13-HW2-D4</t>
  </si>
  <si>
    <t>7/13-HW2-C5</t>
  </si>
  <si>
    <t>7/13-HW2-C8</t>
  </si>
  <si>
    <t>7/13-HW2-H8</t>
  </si>
  <si>
    <t>7/13-HW2-E2</t>
  </si>
  <si>
    <t>7/13-HW2-F1</t>
  </si>
  <si>
    <t>7/13-HW2-B4</t>
  </si>
  <si>
    <t>7/14-HW2-H8</t>
  </si>
  <si>
    <t>7/14-HW1-H3</t>
  </si>
  <si>
    <t>7/14-HW1-A2</t>
  </si>
  <si>
    <t>7/14-HW2-F3</t>
  </si>
  <si>
    <t>7/14-HW2-C7</t>
  </si>
  <si>
    <t>7/14-HW2-A4</t>
  </si>
  <si>
    <t>7/14-HW1-A7</t>
  </si>
  <si>
    <t>7/14-HW2-H5</t>
  </si>
  <si>
    <t>7/14-HW2-C2</t>
  </si>
  <si>
    <t>7/15-PO2-D1</t>
  </si>
  <si>
    <t>7/15-PO2-D7</t>
  </si>
  <si>
    <t>7/15-PO2-A4</t>
  </si>
  <si>
    <t>7/15-PO2-B2</t>
  </si>
  <si>
    <t>7/15-PO1-A3</t>
  </si>
  <si>
    <t>7/15-PO2-A6</t>
  </si>
  <si>
    <t>7/15-PO1-D8</t>
  </si>
  <si>
    <t>7/15-PO1-F8</t>
  </si>
  <si>
    <t>7/15-PO1-H1</t>
  </si>
  <si>
    <t>7/15-PO1-G4</t>
  </si>
  <si>
    <t>7/15-PO1-E8</t>
  </si>
  <si>
    <t>7/15-PO1-A4</t>
  </si>
  <si>
    <t>7/15-PO2-F2</t>
  </si>
  <si>
    <t>7/15-PO1-G2</t>
  </si>
  <si>
    <t>7/15-PO2-A3</t>
  </si>
  <si>
    <t>7/15-PO2-G7</t>
  </si>
  <si>
    <t>7/15-PO2-G6</t>
  </si>
  <si>
    <t>7/15-PO2-H3</t>
  </si>
  <si>
    <t>7/15-PO1-H8</t>
  </si>
  <si>
    <t>7/15-PO1-G1</t>
  </si>
  <si>
    <t>7/15-PO2-E7</t>
  </si>
  <si>
    <t>7/15-PO2-C7</t>
  </si>
  <si>
    <t>7/15-PO1-E3</t>
  </si>
  <si>
    <t>7/15-PO1-C4</t>
  </si>
  <si>
    <t>7/16-PO2-D8</t>
  </si>
  <si>
    <t>7/16-PO1-D1</t>
  </si>
  <si>
    <t>7/16-PO2-F1</t>
  </si>
  <si>
    <t>7/16-PO1-A8</t>
  </si>
  <si>
    <t>7/20-SP2-G8</t>
  </si>
  <si>
    <t>7/20-SP1-C7</t>
  </si>
  <si>
    <t>7/20-SP1-A6</t>
  </si>
  <si>
    <t>7/20-SP1-E6</t>
  </si>
  <si>
    <t>7/20-SP2-H3</t>
  </si>
  <si>
    <t>7/20-SP1-G6</t>
  </si>
  <si>
    <t>7/20-SP2-B3</t>
  </si>
  <si>
    <t>7/20-SP1-A8</t>
  </si>
  <si>
    <t>7/20-SP1-H2</t>
  </si>
  <si>
    <t>7/20-SP2-D4</t>
  </si>
  <si>
    <t>7/20-SP1-D1</t>
  </si>
  <si>
    <t>7/20-SP2-F1</t>
  </si>
  <si>
    <t>7/20-SP2-H6</t>
  </si>
  <si>
    <t>7/20-SP1-A5</t>
  </si>
  <si>
    <t>7/20-SP1-A2</t>
  </si>
  <si>
    <t>7/20-SP1-C8</t>
  </si>
  <si>
    <t>7/20-SP2-A4</t>
  </si>
  <si>
    <t>7/20-SP2-A7</t>
  </si>
  <si>
    <t>7/21-SP2-B2</t>
  </si>
  <si>
    <t>7/21-SP2-G3</t>
  </si>
  <si>
    <t>7/21-SP2-E2</t>
  </si>
  <si>
    <t>7/21-SP2-H2</t>
  </si>
  <si>
    <t>7/21-SP2-A8</t>
  </si>
  <si>
    <t>7/22-BC2-D1</t>
  </si>
  <si>
    <t>7/22-BC2-B5</t>
  </si>
  <si>
    <t>7/22-BC1-A7</t>
  </si>
  <si>
    <t>7/22-BC2-D3</t>
  </si>
  <si>
    <t>7/22-BC2-H6</t>
  </si>
  <si>
    <t>7/22-BC1-C1</t>
  </si>
  <si>
    <t>7/22-BC2-H2</t>
  </si>
  <si>
    <t>7/22-BC1-H6</t>
  </si>
  <si>
    <t>7/22-BC1-A1</t>
  </si>
  <si>
    <t>7/22-BC1-H8</t>
  </si>
  <si>
    <t>7/22-BC1-B7</t>
  </si>
  <si>
    <t>7/23-BC1-D2</t>
  </si>
  <si>
    <t>7/23-BC2-E8</t>
  </si>
  <si>
    <t>7/23-BC2-D1</t>
  </si>
  <si>
    <t>7/24-HW1-B2</t>
  </si>
  <si>
    <t>7/24-HW2-A1</t>
  </si>
  <si>
    <t>7/24-HW1-G2</t>
  </si>
  <si>
    <t>7/24-HW1-B7</t>
  </si>
  <si>
    <t>7/24-HW1-F5</t>
  </si>
  <si>
    <t>7/24-HW1-B8</t>
  </si>
  <si>
    <t>7/24-HW2-G2</t>
  </si>
  <si>
    <t>7/24-HW1-G4</t>
  </si>
  <si>
    <t>7/24-HW1-F8</t>
  </si>
  <si>
    <t>7/24-HW2-E8</t>
  </si>
  <si>
    <t>7/24-HW2-C3</t>
  </si>
  <si>
    <t>7/24-HW2-H7</t>
  </si>
  <si>
    <t>7/24-HW2-C8</t>
  </si>
  <si>
    <t>7/24-HW1-H3</t>
  </si>
  <si>
    <t>7/24-HW2-H5</t>
  </si>
  <si>
    <t>7/24-HW1-H7</t>
  </si>
  <si>
    <t>7/24-HW1-C4</t>
  </si>
  <si>
    <t>7/24-HW1-C1</t>
  </si>
  <si>
    <t>7/24-HW2-A7</t>
  </si>
  <si>
    <t>7/24-HW2-E4</t>
  </si>
  <si>
    <t>7/24-HW2-B2</t>
  </si>
  <si>
    <t>7/24-HW2-B6</t>
  </si>
  <si>
    <t xml:space="preserve">recap </t>
  </si>
  <si>
    <t>1476&amp;1558</t>
  </si>
  <si>
    <t>1533&amp;1534</t>
  </si>
  <si>
    <t>1545&amp;1546</t>
  </si>
  <si>
    <t>1498&amp;1499</t>
  </si>
  <si>
    <t>2418N</t>
  </si>
  <si>
    <t>1561&amp;1562</t>
  </si>
  <si>
    <t>ESCAPED</t>
  </si>
  <si>
    <t>DEAD</t>
  </si>
  <si>
    <t>1558&amp;1476</t>
  </si>
  <si>
    <t>unknown</t>
  </si>
  <si>
    <t>UNK</t>
  </si>
  <si>
    <t>UNKNOWN</t>
  </si>
  <si>
    <t>*</t>
  </si>
  <si>
    <t>died in trap</t>
  </si>
  <si>
    <t>collected real blood sample</t>
  </si>
  <si>
    <t>2 mice same trap - no feces</t>
  </si>
  <si>
    <t>tick found, noted above</t>
  </si>
  <si>
    <t>tail tuft and line, jumpy</t>
  </si>
  <si>
    <t>tail tuft and line</t>
  </si>
  <si>
    <t>tail line, no tuft</t>
  </si>
  <si>
    <t>torn left ear, not from tag</t>
  </si>
  <si>
    <t>red vagina</t>
  </si>
  <si>
    <t>torn right ear</t>
  </si>
  <si>
    <t>blood number out of order (ok)</t>
  </si>
  <si>
    <t>died during anesthesia</t>
  </si>
  <si>
    <t>left ear torn off, small blood sample</t>
  </si>
  <si>
    <t>lost eartag, given new one</t>
  </si>
  <si>
    <t>bloody vagina</t>
  </si>
  <si>
    <t>testes not recorded</t>
  </si>
  <si>
    <t>PL?</t>
  </si>
  <si>
    <t>large tick</t>
  </si>
  <si>
    <t>PM?</t>
  </si>
  <si>
    <t>blood on 6/10</t>
  </si>
  <si>
    <t>hernia on stomach</t>
  </si>
  <si>
    <t>right eye damaged, picture on India's phone</t>
  </si>
  <si>
    <t>large tick, wound on side</t>
  </si>
  <si>
    <t>tag almost ripped off, torn ear, damaged right eye</t>
  </si>
  <si>
    <t>could not get blood after several attempts</t>
  </si>
  <si>
    <t>def PM - tail tuft</t>
  </si>
  <si>
    <t>2 eartags, small blood sample</t>
  </si>
  <si>
    <t>very pregnant</t>
  </si>
  <si>
    <t>2 large ticks</t>
  </si>
  <si>
    <t>def PM - tail line, white face</t>
  </si>
  <si>
    <t>small tick</t>
  </si>
  <si>
    <t>not jumpy, no tail line</t>
  </si>
  <si>
    <t>tail tuft and PM behavior</t>
  </si>
  <si>
    <t>has gray on back, has tail line</t>
  </si>
  <si>
    <t>Tail caught in trap, wet mouse</t>
  </si>
  <si>
    <t>can't read 2nd digit of tag</t>
  </si>
  <si>
    <t>no blood tube but yes blood smear, edited ear tag number as it got a second one later</t>
  </si>
  <si>
    <t>lost eartag, given control</t>
  </si>
  <si>
    <t>may be pregnant, 2 mice same trap - no feces</t>
  </si>
  <si>
    <t>really no zymo?</t>
  </si>
  <si>
    <t>NEON mouse</t>
  </si>
  <si>
    <t>tail line, jumpy</t>
  </si>
  <si>
    <t>tail tuft, tail line</t>
  </si>
  <si>
    <t>tick found on recap</t>
  </si>
  <si>
    <t>tail tuft, jumpy</t>
  </si>
  <si>
    <t>bad right eye</t>
  </si>
  <si>
    <t>behaves like PL, no tail line</t>
  </si>
  <si>
    <t xml:space="preserve">mouse with this same eartag was proccessed a few mins later. Either this mouse's ear tag was read incorrectly, or it was swapped with the one supposed to be measured from H8 and was processed twice instead. </t>
  </si>
  <si>
    <t>no tail tuft or line</t>
  </si>
  <si>
    <t>tail line, scar tissue around ear tag</t>
  </si>
  <si>
    <t>given 2nd eartag because 1533 was already sampled. Either 1533 sampled twice (more likely given measurements) or the previous one listed as 1533 has the wrong ear tag number (not read correctly in the field). Don't use this mouse's feces because it might not have been the mouse in the trap - use the feces fro the 1533 above instead.</t>
  </si>
  <si>
    <t>2 eartags (1545 not good)</t>
  </si>
  <si>
    <t>tons of fleas</t>
  </si>
  <si>
    <t>no tail tuft, yes tail line</t>
  </si>
  <si>
    <t>checked - it is a SA</t>
  </si>
  <si>
    <t>no tail line, yes tail tuft</t>
  </si>
  <si>
    <t>not sure that it has testes</t>
  </si>
  <si>
    <t>2 eartags</t>
  </si>
  <si>
    <t>tail tuft, no tail line</t>
  </si>
  <si>
    <t>pregnant? Tail line, but no tail tuft</t>
  </si>
  <si>
    <t>escaped</t>
  </si>
  <si>
    <t>tail line, tail tuft</t>
  </si>
  <si>
    <t xml:space="preserve">pregnant?  </t>
  </si>
  <si>
    <t>back half stuck in trap, front half eaten</t>
  </si>
  <si>
    <t>loose stool</t>
  </si>
  <si>
    <t>2 eartags, 2 botflies, cannot tell if reproductive because of bot flies</t>
  </si>
  <si>
    <t>tail tuft and line, 2 botflies, can not if reproductive because of bot flies</t>
  </si>
  <si>
    <t>no line, no tuft</t>
  </si>
  <si>
    <t>tail tuft and line, PM?</t>
  </si>
  <si>
    <t xml:space="preserve">tail tuft and line, PM?, mottled tail </t>
  </si>
  <si>
    <t>Tail line</t>
  </si>
  <si>
    <t>Bot fly emerged and was 1g</t>
  </si>
  <si>
    <t>no blood, cold and wet</t>
  </si>
  <si>
    <t>tail line</t>
  </si>
  <si>
    <t>tail line, measure again might be PM</t>
  </si>
  <si>
    <t>RNA seq</t>
  </si>
  <si>
    <t>grid-trap-date code</t>
  </si>
  <si>
    <t>new FEC 2019</t>
  </si>
  <si>
    <t>HW2 B3 data without match on FEC list</t>
  </si>
  <si>
    <t>HW1 D1 on FEC list, same?</t>
  </si>
  <si>
    <t>there is a HW1 G8 on FEC list</t>
  </si>
  <si>
    <t>Eye spots</t>
  </si>
  <si>
    <t>lost eartag, got new one. Therefore now control</t>
  </si>
  <si>
    <t>jumpy mouse</t>
  </si>
  <si>
    <t>no tail line</t>
  </si>
  <si>
    <t>no tail tuft, may have tail line</t>
  </si>
  <si>
    <t>died in kitchen mouse trap</t>
  </si>
  <si>
    <t>n/a</t>
  </si>
  <si>
    <t>7/23-BC2-C7</t>
  </si>
  <si>
    <t>7/23-BC2-C10</t>
  </si>
  <si>
    <t>7/23-BC2-C13</t>
  </si>
  <si>
    <t>7/23-BC2-C15</t>
  </si>
  <si>
    <t>7/23-BC2-C17</t>
  </si>
  <si>
    <t>7/23-BC2-C18</t>
  </si>
  <si>
    <t>7/23-BC2-C19</t>
  </si>
  <si>
    <t>7/23-BC2-C23</t>
  </si>
  <si>
    <t>7/23-BC2-C24</t>
  </si>
  <si>
    <t>7/23-BC2-C26</t>
  </si>
  <si>
    <t>7/23-BC2-C27</t>
  </si>
  <si>
    <t>7/23-BC2-C29</t>
  </si>
  <si>
    <t>7/23-BC2-C31</t>
  </si>
  <si>
    <t>7/23-BC2-C32</t>
  </si>
  <si>
    <t>7/23-BC2-C33</t>
  </si>
  <si>
    <t>7/23-BC2-C34</t>
  </si>
  <si>
    <t>7/23-BC2-C35</t>
  </si>
  <si>
    <t>7/23-BC2-C36</t>
  </si>
  <si>
    <t>7/23-BC2-C37</t>
  </si>
  <si>
    <t>7/23-BC2-C38</t>
  </si>
  <si>
    <t>7/23-BC2-C39</t>
  </si>
  <si>
    <t>7/23-BC2-C40</t>
  </si>
  <si>
    <t>7/23-BC2-C41</t>
  </si>
  <si>
    <t>7/23-BC2-C42</t>
  </si>
  <si>
    <t>7/23-BC2-C43</t>
  </si>
  <si>
    <t>7/23-BC2-C44</t>
  </si>
  <si>
    <t>7/23-BC2-C45</t>
  </si>
  <si>
    <t>7/23-BC2-C46</t>
  </si>
  <si>
    <t>7/23-BC2-C47</t>
  </si>
  <si>
    <t>7/23-BC2-C48</t>
  </si>
  <si>
    <t>7/23-BC2-C49</t>
  </si>
  <si>
    <t>7/23-BC2-C50</t>
  </si>
  <si>
    <t>7/23-BC2-C51</t>
  </si>
  <si>
    <t>7/23-BC2-C52</t>
  </si>
  <si>
    <t>7/23-BC2-C53</t>
  </si>
  <si>
    <t>7/23-BC2-C54</t>
  </si>
  <si>
    <t>7/23-BC2-C55</t>
  </si>
  <si>
    <t>7/23-BC2-C56</t>
  </si>
  <si>
    <t>7/23-BC2-C57</t>
  </si>
  <si>
    <t>7/23-BC2-C58</t>
  </si>
  <si>
    <t>7/23-BC2-C59</t>
  </si>
  <si>
    <t>7/23-BC2-C60</t>
  </si>
  <si>
    <t>7/23-BC2-C61</t>
  </si>
  <si>
    <t>7/23-BC2-C62</t>
  </si>
  <si>
    <t>7/23-BC2-C63</t>
  </si>
  <si>
    <t>7/23-BC2-C64</t>
  </si>
  <si>
    <t>7/23-BC2-C65</t>
  </si>
  <si>
    <t>7/23-BC2-C66</t>
  </si>
  <si>
    <t>7/23-BC2-C67</t>
  </si>
  <si>
    <t>7/23-BC2-C68</t>
  </si>
  <si>
    <t>7/23-BC2-C69</t>
  </si>
  <si>
    <t>7/23-BC2-C70</t>
  </si>
  <si>
    <t>7/23-BC2-C71</t>
  </si>
  <si>
    <t>7/23-BC2-C72</t>
  </si>
  <si>
    <t>7/23-BC2-C73</t>
  </si>
  <si>
    <t>7/23-BC2-C74</t>
  </si>
  <si>
    <t>7/23-BC2-C75</t>
  </si>
  <si>
    <t>7/23-BC2-C76</t>
  </si>
  <si>
    <t>7/23-BC2-C77</t>
  </si>
  <si>
    <t>7/23-BC2-C78</t>
  </si>
  <si>
    <t>7/23-BC2-C79</t>
  </si>
  <si>
    <t>7/23-BC2-C80</t>
  </si>
  <si>
    <t>7/23-BC2-C81</t>
  </si>
  <si>
    <t>7/23-BC2-C82</t>
  </si>
  <si>
    <t>7/23-BC2-C83</t>
  </si>
  <si>
    <t>7/23-BC2-C84</t>
  </si>
  <si>
    <t>7/23-BC2-C85</t>
  </si>
  <si>
    <t>7/23-BC2-C86</t>
  </si>
  <si>
    <t>7/23-BC2-C87</t>
  </si>
  <si>
    <t>7/23-BC2-C88</t>
  </si>
  <si>
    <t>7/23-BC2-C89</t>
  </si>
  <si>
    <t>7/23-BC2-C90</t>
  </si>
  <si>
    <t>7/23-BC2-C91</t>
  </si>
  <si>
    <t>7/23-BC2-C92</t>
  </si>
  <si>
    <t>7/23-BC2-C93</t>
  </si>
  <si>
    <t>7/23-BC2-C94</t>
  </si>
  <si>
    <t>7/23-BC2-C95</t>
  </si>
  <si>
    <t>7/23-BC2-C96</t>
  </si>
  <si>
    <t>7/23-BC2-C97</t>
  </si>
  <si>
    <t>7/23-BC2-C98</t>
  </si>
  <si>
    <t>7/23-BC2-C99</t>
  </si>
  <si>
    <t>7/23-BC2-C100</t>
  </si>
  <si>
    <t>7/23-BC2-C101</t>
  </si>
  <si>
    <t>7/23-BC2-C102</t>
  </si>
  <si>
    <t>7/23-BC2-C103</t>
  </si>
  <si>
    <t>7/23-BC2-C104</t>
  </si>
  <si>
    <t>7/23-BC2-C105</t>
  </si>
  <si>
    <t>7/23-BC2-C106</t>
  </si>
  <si>
    <t>7/23-BC2-C107</t>
  </si>
  <si>
    <t>7/23-BC2-C108</t>
  </si>
  <si>
    <t>7/23-BC2-C109</t>
  </si>
  <si>
    <t>7/23-BC2-C110</t>
  </si>
  <si>
    <t>7/23-BC2-C111</t>
  </si>
  <si>
    <t>7/23-BC2-C112</t>
  </si>
  <si>
    <t>7/23-BC2-C113</t>
  </si>
  <si>
    <t>7/23-BC2-C114</t>
  </si>
  <si>
    <t>7/23-BC2-C115</t>
  </si>
  <si>
    <t>7/23-BC2-C116</t>
  </si>
  <si>
    <t>7/23-BC2-C117</t>
  </si>
  <si>
    <t>7/23-BC2-C118</t>
  </si>
  <si>
    <t>7/23-BC2-C119</t>
  </si>
  <si>
    <t>7/23-BC2-C120</t>
  </si>
  <si>
    <t>7/23-BC2-C121</t>
  </si>
  <si>
    <t>7/23-BC2-C122</t>
  </si>
  <si>
    <t>7/23-BC2-C123</t>
  </si>
  <si>
    <t>7/23-BC2-C124</t>
  </si>
  <si>
    <t>7/23-BC2-C125</t>
  </si>
  <si>
    <t>7/23-BC2-C126</t>
  </si>
  <si>
    <t>Poo Weight 2</t>
  </si>
  <si>
    <t>none</t>
  </si>
  <si>
    <t>7/20-SP2-D5</t>
  </si>
  <si>
    <t>6/26-HW1-F3</t>
  </si>
  <si>
    <t>not accurate</t>
  </si>
  <si>
    <t>6/2-SP2-B4</t>
  </si>
  <si>
    <t>5/31-SP1-F8</t>
  </si>
  <si>
    <t>negative</t>
  </si>
  <si>
    <t>missing from fecal weight sheet</t>
  </si>
  <si>
    <t xml:space="preserve">none </t>
  </si>
  <si>
    <t>‰</t>
  </si>
  <si>
    <t>entered 3-13-19</t>
  </si>
  <si>
    <t>entered 3-14-19</t>
  </si>
  <si>
    <t>entered from MLBS 2018 - FECs - LV_072418 for master</t>
  </si>
  <si>
    <t>Cestode egg count</t>
  </si>
  <si>
    <t>day-grid-trap code</t>
  </si>
  <si>
    <t>entered from SNV positives 2016-2017 and remaing FECs</t>
  </si>
  <si>
    <t>5/28-PO1-B1</t>
  </si>
  <si>
    <t>don't know, but on 2017 master</t>
  </si>
  <si>
    <t>overwinter survivor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</si>
</sst>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
  </numFmts>
  <fonts count="20" x14ac:knownFonts="1">
    <font>
      <sz val="12"/>
      <color theme="1"/>
      <name val="Calibri"/>
      <family val="2"/>
      <scheme val="minor"/>
    </font>
    <font>
      <sz val="12"/>
      <color rgb="FF9C6500"/>
      <name val="Calibri"/>
      <family val="2"/>
      <scheme val="minor"/>
    </font>
    <font>
      <sz val="11"/>
      <color theme="1"/>
      <name val="Calibri"/>
      <family val="2"/>
      <scheme val="minor"/>
    </font>
    <font>
      <b/>
      <sz val="10"/>
      <name val="Arial"/>
      <family val="2"/>
    </font>
    <font>
      <sz val="11"/>
      <name val="Calibri"/>
      <family val="2"/>
      <scheme val="minor"/>
    </font>
    <font>
      <sz val="11"/>
      <color rgb="FF000000"/>
      <name val="Calibri"/>
      <family val="2"/>
      <scheme val="minor"/>
    </font>
    <font>
      <u/>
      <sz val="11"/>
      <color theme="10"/>
      <name val="Calibri"/>
      <family val="2"/>
      <scheme val="minor"/>
    </font>
    <font>
      <b/>
      <sz val="9"/>
      <color indexed="81"/>
      <name val="Calibri"/>
      <family val="2"/>
    </font>
    <font>
      <sz val="9"/>
      <color indexed="81"/>
      <name val="Calibri"/>
      <family val="2"/>
    </font>
    <font>
      <u/>
      <sz val="12"/>
      <color theme="11"/>
      <name val="Calibri"/>
      <family val="2"/>
      <scheme val="minor"/>
    </font>
    <font>
      <b/>
      <sz val="12"/>
      <color theme="1"/>
      <name val="Calibri"/>
      <family val="2"/>
      <scheme val="minor"/>
    </font>
    <font>
      <sz val="10"/>
      <name val="Arial"/>
      <family val="2"/>
    </font>
    <font>
      <sz val="9"/>
      <color theme="1"/>
      <name val="Calibri"/>
      <family val="2"/>
      <scheme val="minor"/>
    </font>
    <font>
      <sz val="9"/>
      <color rgb="FF000000"/>
      <name val="Calibri"/>
      <family val="2"/>
      <scheme val="minor"/>
    </font>
    <font>
      <sz val="12"/>
      <color theme="1"/>
      <name val="Calibri"/>
      <family val="2"/>
      <scheme val="minor"/>
    </font>
    <font>
      <b/>
      <sz val="9"/>
      <color theme="1"/>
      <name val="Calibri"/>
      <family val="2"/>
      <scheme val="minor"/>
    </font>
    <font>
      <b/>
      <sz val="9"/>
      <color rgb="FF000000"/>
      <name val="Calibri"/>
      <family val="2"/>
    </font>
    <font>
      <sz val="9"/>
      <color rgb="FF000000"/>
      <name val="Calibri"/>
      <family val="2"/>
    </font>
    <font>
      <sz val="10"/>
      <color rgb="FF000000"/>
      <name val="Tahoma"/>
      <family val="2"/>
    </font>
    <font>
      <b/>
      <sz val="11"/>
      <color theme="1"/>
      <name val="Calibri"/>
      <family val="2"/>
      <scheme val="minor"/>
    </font>
  </fonts>
  <fills count="23">
    <fill>
      <patternFill patternType="none"/>
    </fill>
    <fill>
      <patternFill patternType="gray125"/>
    </fill>
    <fill>
      <patternFill patternType="solid">
        <fgColor rgb="FFFFEB9C"/>
      </patternFill>
    </fill>
    <fill>
      <patternFill patternType="solid">
        <fgColor theme="9"/>
        <bgColor indexed="64"/>
      </patternFill>
    </fill>
    <fill>
      <patternFill patternType="solid">
        <fgColor theme="6"/>
        <bgColor indexed="64"/>
      </patternFill>
    </fill>
    <fill>
      <patternFill patternType="solid">
        <fgColor rgb="FFFF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F660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8" tint="0.39997558519241921"/>
        <bgColor indexed="64"/>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top/>
      <bottom/>
      <diagonal/>
    </border>
    <border>
      <left/>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s>
  <cellStyleXfs count="48">
    <xf numFmtId="0" fontId="0" fillId="0" borderId="0"/>
    <xf numFmtId="0" fontId="1" fillId="2" borderId="0" applyNumberFormat="0" applyBorder="0" applyAlignment="0" applyProtection="0"/>
    <xf numFmtId="0" fontId="2" fillId="0" borderId="0"/>
    <xf numFmtId="0" fontId="6"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cellStyleXfs>
  <cellXfs count="197">
    <xf numFmtId="0" fontId="0" fillId="0" borderId="0" xfId="0"/>
    <xf numFmtId="0" fontId="2" fillId="0" borderId="0" xfId="2" applyFill="1" applyAlignment="1">
      <alignment wrapText="1"/>
    </xf>
    <xf numFmtId="0" fontId="2" fillId="0" borderId="0" xfId="2" applyAlignment="1">
      <alignment wrapText="1"/>
    </xf>
    <xf numFmtId="0" fontId="3" fillId="0" borderId="1" xfId="2" applyFont="1" applyBorder="1" applyAlignment="1">
      <alignment wrapText="1"/>
    </xf>
    <xf numFmtId="0" fontId="3" fillId="0" borderId="2" xfId="2" applyFont="1" applyBorder="1" applyAlignment="1">
      <alignment wrapText="1"/>
    </xf>
    <xf numFmtId="0" fontId="3" fillId="0" borderId="1" xfId="2" applyFont="1" applyBorder="1" applyAlignment="1">
      <alignment horizontal="center" wrapText="1"/>
    </xf>
    <xf numFmtId="0" fontId="3" fillId="0" borderId="3" xfId="2" applyFont="1" applyBorder="1" applyAlignment="1">
      <alignment wrapText="1"/>
    </xf>
    <xf numFmtId="0" fontId="3" fillId="0" borderId="3" xfId="2" applyNumberFormat="1" applyFont="1" applyBorder="1" applyAlignment="1">
      <alignment wrapText="1"/>
    </xf>
    <xf numFmtId="0" fontId="3" fillId="0" borderId="1" xfId="2" applyNumberFormat="1" applyFont="1" applyBorder="1" applyAlignment="1">
      <alignment wrapText="1"/>
    </xf>
    <xf numFmtId="0" fontId="3" fillId="0" borderId="1" xfId="2" applyFont="1" applyFill="1" applyBorder="1" applyAlignment="1">
      <alignment wrapText="1"/>
    </xf>
    <xf numFmtId="0" fontId="1" fillId="2" borderId="2" xfId="1" applyBorder="1" applyAlignment="1">
      <alignment wrapText="1"/>
    </xf>
    <xf numFmtId="0" fontId="1" fillId="2" borderId="1" xfId="1" applyBorder="1" applyAlignment="1">
      <alignment wrapText="1"/>
    </xf>
    <xf numFmtId="0" fontId="4" fillId="5" borderId="0" xfId="2" applyFont="1" applyFill="1"/>
    <xf numFmtId="16" fontId="4" fillId="5" borderId="0" xfId="2" applyNumberFormat="1" applyFont="1" applyFill="1"/>
    <xf numFmtId="0" fontId="4" fillId="5" borderId="0" xfId="2" applyFont="1" applyFill="1" applyAlignment="1">
      <alignment horizontal="center"/>
    </xf>
    <xf numFmtId="0" fontId="2" fillId="0" borderId="0" xfId="2" applyBorder="1" applyAlignment="1">
      <alignment horizontal="center"/>
    </xf>
    <xf numFmtId="0" fontId="2" fillId="0" borderId="0" xfId="2"/>
    <xf numFmtId="0" fontId="4" fillId="5" borderId="0" xfId="2" applyFont="1" applyFill="1" applyBorder="1"/>
    <xf numFmtId="0" fontId="2" fillId="0" borderId="0" xfId="2" applyFill="1"/>
    <xf numFmtId="0" fontId="2" fillId="6" borderId="0" xfId="2" applyFill="1"/>
    <xf numFmtId="16" fontId="2" fillId="0" borderId="0" xfId="2" applyNumberFormat="1"/>
    <xf numFmtId="0" fontId="2" fillId="0" borderId="0" xfId="2" applyAlignment="1">
      <alignment horizontal="center"/>
    </xf>
    <xf numFmtId="0" fontId="5" fillId="0" borderId="0" xfId="2" applyFont="1"/>
    <xf numFmtId="0" fontId="2" fillId="0" borderId="0" xfId="2" applyBorder="1"/>
    <xf numFmtId="0" fontId="5" fillId="0" borderId="0" xfId="2" applyFont="1" applyFill="1"/>
    <xf numFmtId="0" fontId="2" fillId="0" borderId="0" xfId="2" applyFill="1" applyBorder="1"/>
    <xf numFmtId="0" fontId="2" fillId="7" borderId="0" xfId="2" applyFill="1"/>
    <xf numFmtId="0" fontId="2" fillId="8" borderId="0" xfId="2" applyFill="1"/>
    <xf numFmtId="0" fontId="2" fillId="3" borderId="0" xfId="2" applyFill="1" applyBorder="1"/>
    <xf numFmtId="0" fontId="2" fillId="4" borderId="0" xfId="2" applyFill="1"/>
    <xf numFmtId="0" fontId="2" fillId="5" borderId="0" xfId="2" applyFill="1"/>
    <xf numFmtId="16" fontId="2" fillId="5" borderId="0" xfId="2" applyNumberFormat="1" applyFill="1"/>
    <xf numFmtId="0" fontId="2" fillId="5" borderId="0" xfId="2" applyFill="1" applyAlignment="1">
      <alignment horizontal="center"/>
    </xf>
    <xf numFmtId="0" fontId="5" fillId="5" borderId="0" xfId="2" applyFont="1" applyFill="1"/>
    <xf numFmtId="0" fontId="2" fillId="5" borderId="0" xfId="2" applyFill="1" applyBorder="1"/>
    <xf numFmtId="0" fontId="2" fillId="5" borderId="0" xfId="2" applyFill="1" applyBorder="1" applyAlignment="1">
      <alignment horizontal="center"/>
    </xf>
    <xf numFmtId="0" fontId="2" fillId="0" borderId="0" xfId="2" applyFill="1" applyAlignment="1">
      <alignment horizontal="center"/>
    </xf>
    <xf numFmtId="16" fontId="2" fillId="0" borderId="0" xfId="2" applyNumberFormat="1" applyFill="1"/>
    <xf numFmtId="0" fontId="2" fillId="9" borderId="0" xfId="2" applyFill="1"/>
    <xf numFmtId="0" fontId="2" fillId="10" borderId="0" xfId="2" applyFill="1"/>
    <xf numFmtId="0" fontId="5" fillId="0" borderId="0" xfId="0" applyFont="1"/>
    <xf numFmtId="0" fontId="2" fillId="3" borderId="0" xfId="2" applyFill="1"/>
    <xf numFmtId="0" fontId="2" fillId="0" borderId="0" xfId="2" applyFill="1" applyBorder="1" applyAlignment="1">
      <alignment horizontal="center"/>
    </xf>
    <xf numFmtId="16" fontId="2" fillId="0" borderId="0" xfId="2" applyNumberFormat="1" applyBorder="1"/>
    <xf numFmtId="16" fontId="2" fillId="7" borderId="0" xfId="2" applyNumberFormat="1" applyFill="1"/>
    <xf numFmtId="0" fontId="2" fillId="7" borderId="0" xfId="2" applyFill="1" applyAlignment="1">
      <alignment horizontal="center"/>
    </xf>
    <xf numFmtId="0" fontId="2" fillId="7" borderId="0" xfId="2" applyFill="1" applyBorder="1" applyAlignment="1">
      <alignment horizontal="center"/>
    </xf>
    <xf numFmtId="0" fontId="5" fillId="7" borderId="0" xfId="2" applyFont="1" applyFill="1"/>
    <xf numFmtId="0" fontId="2" fillId="7" borderId="0" xfId="2" applyFill="1" applyBorder="1"/>
    <xf numFmtId="0" fontId="2" fillId="11" borderId="0" xfId="2" applyFill="1"/>
    <xf numFmtId="0" fontId="5" fillId="0" borderId="0" xfId="2" applyFont="1" applyBorder="1"/>
    <xf numFmtId="0" fontId="2" fillId="12" borderId="0" xfId="2" applyFill="1"/>
    <xf numFmtId="0" fontId="2" fillId="0" borderId="0" xfId="2" applyFill="1" applyAlignment="1">
      <alignment horizontal="left"/>
    </xf>
    <xf numFmtId="0" fontId="5" fillId="0" borderId="0" xfId="2" applyFont="1" applyFill="1" applyBorder="1"/>
    <xf numFmtId="16" fontId="2" fillId="4" borderId="0" xfId="2" applyNumberFormat="1" applyFill="1"/>
    <xf numFmtId="0" fontId="2" fillId="4" borderId="0" xfId="2" applyFill="1" applyAlignment="1">
      <alignment horizontal="center"/>
    </xf>
    <xf numFmtId="0" fontId="2" fillId="4" borderId="0" xfId="2" applyFill="1" applyBorder="1" applyAlignment="1">
      <alignment horizontal="center"/>
    </xf>
    <xf numFmtId="0" fontId="5" fillId="4" borderId="0" xfId="2" applyFont="1" applyFill="1"/>
    <xf numFmtId="0" fontId="2" fillId="4" borderId="0" xfId="2" applyFill="1" applyBorder="1"/>
    <xf numFmtId="0" fontId="2" fillId="0" borderId="0" xfId="2" applyFont="1"/>
    <xf numFmtId="0" fontId="2" fillId="13" borderId="0" xfId="2" applyFill="1"/>
    <xf numFmtId="0" fontId="4" fillId="0" borderId="0" xfId="3" applyFont="1"/>
    <xf numFmtId="0" fontId="2" fillId="14" borderId="0" xfId="2" applyFill="1"/>
    <xf numFmtId="164" fontId="2" fillId="0" borderId="0" xfId="2" applyNumberFormat="1"/>
    <xf numFmtId="165" fontId="2" fillId="0" borderId="0" xfId="2" applyNumberFormat="1"/>
    <xf numFmtId="16" fontId="2" fillId="0" borderId="0" xfId="2" applyNumberFormat="1" applyFill="1" applyBorder="1"/>
    <xf numFmtId="16" fontId="5" fillId="0" borderId="0" xfId="2" applyNumberFormat="1" applyFont="1"/>
    <xf numFmtId="16" fontId="5" fillId="6" borderId="0" xfId="2" applyNumberFormat="1" applyFont="1" applyFill="1"/>
    <xf numFmtId="16" fontId="2" fillId="6" borderId="0" xfId="2" applyNumberFormat="1" applyFill="1"/>
    <xf numFmtId="0" fontId="2" fillId="6" borderId="0" xfId="2" applyFill="1" applyAlignment="1">
      <alignment horizontal="center"/>
    </xf>
    <xf numFmtId="0" fontId="2" fillId="6" borderId="0" xfId="2" applyFill="1" applyBorder="1"/>
    <xf numFmtId="16" fontId="5" fillId="0" borderId="0" xfId="2" applyNumberFormat="1" applyFont="1" applyFill="1"/>
    <xf numFmtId="16" fontId="5" fillId="7" borderId="0" xfId="2" applyNumberFormat="1" applyFont="1" applyFill="1"/>
    <xf numFmtId="16" fontId="5" fillId="0" borderId="0" xfId="2" applyNumberFormat="1" applyFont="1" applyBorder="1"/>
    <xf numFmtId="16" fontId="5" fillId="5" borderId="0" xfId="2" applyNumberFormat="1" applyFont="1" applyFill="1"/>
    <xf numFmtId="0" fontId="5" fillId="0" borderId="0" xfId="0" applyFont="1" applyBorder="1"/>
    <xf numFmtId="0" fontId="2" fillId="0" borderId="0" xfId="2" applyAlignment="1">
      <alignment horizontal="left"/>
    </xf>
    <xf numFmtId="0" fontId="2" fillId="0" borderId="6" xfId="2" applyBorder="1"/>
    <xf numFmtId="0" fontId="2" fillId="0" borderId="6" xfId="2" applyFill="1" applyBorder="1"/>
    <xf numFmtId="0" fontId="5" fillId="0" borderId="6" xfId="0" applyFont="1" applyBorder="1"/>
    <xf numFmtId="0" fontId="2" fillId="6" borderId="6" xfId="2" applyFill="1" applyBorder="1"/>
    <xf numFmtId="0" fontId="5" fillId="0" borderId="0" xfId="0" applyFont="1" applyFill="1"/>
    <xf numFmtId="0" fontId="2" fillId="7" borderId="6" xfId="2" applyFill="1" applyBorder="1"/>
    <xf numFmtId="0" fontId="2" fillId="0" borderId="0" xfId="2" applyBorder="1" applyAlignment="1">
      <alignment horizontal="left"/>
    </xf>
    <xf numFmtId="0" fontId="2" fillId="3" borderId="6" xfId="2" applyFill="1" applyBorder="1"/>
    <xf numFmtId="16" fontId="2" fillId="5" borderId="0" xfId="2" applyNumberFormat="1" applyFill="1" applyBorder="1"/>
    <xf numFmtId="0" fontId="2" fillId="5" borderId="6" xfId="2" applyFill="1" applyBorder="1"/>
    <xf numFmtId="0" fontId="2" fillId="0" borderId="7" xfId="2" applyBorder="1"/>
    <xf numFmtId="0" fontId="2" fillId="0" borderId="7" xfId="2" applyBorder="1" applyAlignment="1">
      <alignment horizontal="center"/>
    </xf>
    <xf numFmtId="0" fontId="2" fillId="0" borderId="7" xfId="2" applyFill="1" applyBorder="1"/>
    <xf numFmtId="16" fontId="5" fillId="0" borderId="0" xfId="0" applyNumberFormat="1" applyFont="1"/>
    <xf numFmtId="16" fontId="5" fillId="0" borderId="0" xfId="0" applyNumberFormat="1" applyFont="1" applyBorder="1"/>
    <xf numFmtId="0" fontId="5" fillId="0" borderId="6" xfId="2" applyFont="1" applyFill="1" applyBorder="1"/>
    <xf numFmtId="16" fontId="5" fillId="0" borderId="0" xfId="0" applyNumberFormat="1" applyFont="1" applyFill="1"/>
    <xf numFmtId="16" fontId="2" fillId="7" borderId="0" xfId="2" applyNumberFormat="1" applyFill="1" applyBorder="1"/>
    <xf numFmtId="0" fontId="4" fillId="0" borderId="0" xfId="2" applyFont="1" applyFill="1"/>
    <xf numFmtId="16" fontId="5" fillId="7" borderId="0" xfId="2" applyNumberFormat="1" applyFont="1" applyFill="1" applyBorder="1"/>
    <xf numFmtId="0" fontId="2" fillId="0" borderId="0" xfId="2" applyFill="1" applyBorder="1" applyAlignment="1"/>
    <xf numFmtId="0" fontId="4" fillId="0" borderId="0" xfId="2" applyFont="1" applyAlignment="1">
      <alignment horizontal="center"/>
    </xf>
    <xf numFmtId="0" fontId="0" fillId="0" borderId="0" xfId="0" applyFont="1" applyBorder="1" applyAlignment="1">
      <alignment horizontal="left"/>
    </xf>
    <xf numFmtId="0" fontId="2" fillId="0" borderId="0" xfId="2" applyFont="1" applyFill="1" applyBorder="1" applyAlignment="1">
      <alignment horizontal="left" wrapText="1"/>
    </xf>
    <xf numFmtId="0" fontId="2" fillId="0" borderId="0" xfId="2" applyFont="1" applyBorder="1" applyAlignment="1">
      <alignment horizontal="left" wrapText="1"/>
    </xf>
    <xf numFmtId="0" fontId="11" fillId="0" borderId="0" xfId="2" applyFont="1" applyBorder="1" applyAlignment="1">
      <alignment horizontal="left" wrapText="1"/>
    </xf>
    <xf numFmtId="0" fontId="11" fillId="0" borderId="0" xfId="2" applyNumberFormat="1" applyFont="1" applyBorder="1" applyAlignment="1">
      <alignment horizontal="left" wrapText="1"/>
    </xf>
    <xf numFmtId="0" fontId="11" fillId="0" borderId="0" xfId="2" applyFont="1" applyFill="1" applyBorder="1" applyAlignment="1">
      <alignment horizontal="left" wrapText="1"/>
    </xf>
    <xf numFmtId="0" fontId="1" fillId="2" borderId="0" xfId="1" applyFont="1" applyBorder="1" applyAlignment="1">
      <alignment horizontal="left" wrapText="1"/>
    </xf>
    <xf numFmtId="0" fontId="0" fillId="5" borderId="0" xfId="0" applyFill="1"/>
    <xf numFmtId="0" fontId="0" fillId="7" borderId="0" xfId="0" applyFill="1"/>
    <xf numFmtId="0" fontId="0" fillId="6" borderId="0" xfId="0" applyFill="1"/>
    <xf numFmtId="0" fontId="0" fillId="3" borderId="0" xfId="0" applyFill="1"/>
    <xf numFmtId="0" fontId="0" fillId="12" borderId="0" xfId="0" applyFill="1"/>
    <xf numFmtId="0" fontId="10" fillId="0" borderId="7" xfId="0" applyFont="1" applyBorder="1"/>
    <xf numFmtId="0" fontId="10" fillId="0" borderId="7" xfId="0" applyFont="1" applyBorder="1" applyAlignment="1">
      <alignment horizontal="left"/>
    </xf>
    <xf numFmtId="0" fontId="3" fillId="0" borderId="2" xfId="2" applyFont="1" applyFill="1" applyBorder="1" applyAlignment="1">
      <alignment wrapText="1"/>
    </xf>
    <xf numFmtId="16" fontId="5" fillId="0" borderId="0" xfId="2" applyNumberFormat="1" applyFont="1" applyFill="1" applyBorder="1"/>
    <xf numFmtId="0" fontId="0" fillId="0" borderId="0" xfId="0" applyAlignment="1">
      <alignment wrapText="1"/>
    </xf>
    <xf numFmtId="0" fontId="2" fillId="0" borderId="8" xfId="2" applyBorder="1"/>
    <xf numFmtId="0" fontId="2" fillId="9" borderId="0" xfId="2" applyFill="1" applyBorder="1"/>
    <xf numFmtId="0" fontId="2" fillId="15" borderId="0" xfId="2" applyFill="1"/>
    <xf numFmtId="16" fontId="2" fillId="15" borderId="0" xfId="2" applyNumberFormat="1" applyFill="1"/>
    <xf numFmtId="0" fontId="2" fillId="15" borderId="0" xfId="2" applyFill="1" applyAlignment="1">
      <alignment horizontal="center"/>
    </xf>
    <xf numFmtId="0" fontId="2" fillId="15" borderId="0" xfId="2" applyFill="1" applyBorder="1" applyAlignment="1">
      <alignment horizontal="center"/>
    </xf>
    <xf numFmtId="0" fontId="2" fillId="15" borderId="0" xfId="2" applyFill="1" applyBorder="1"/>
    <xf numFmtId="0" fontId="5" fillId="15" borderId="0" xfId="2" applyFont="1" applyFill="1"/>
    <xf numFmtId="14" fontId="12" fillId="0" borderId="0" xfId="0" applyNumberFormat="1" applyFont="1" applyBorder="1"/>
    <xf numFmtId="0" fontId="12" fillId="0" borderId="0" xfId="0" applyFont="1" applyFill="1" applyBorder="1"/>
    <xf numFmtId="0" fontId="12" fillId="0" borderId="0" xfId="0" applyFont="1" applyBorder="1"/>
    <xf numFmtId="0" fontId="12" fillId="14" borderId="0" xfId="0" applyFont="1" applyFill="1" applyBorder="1"/>
    <xf numFmtId="0" fontId="2" fillId="16" borderId="0" xfId="2" applyFill="1"/>
    <xf numFmtId="14" fontId="12" fillId="16" borderId="0" xfId="0" applyNumberFormat="1" applyFont="1" applyFill="1" applyBorder="1"/>
    <xf numFmtId="0" fontId="0" fillId="16" borderId="0" xfId="0" applyFill="1"/>
    <xf numFmtId="0" fontId="12" fillId="16" borderId="0" xfId="0" applyFont="1" applyFill="1" applyBorder="1"/>
    <xf numFmtId="0" fontId="2" fillId="16" borderId="0" xfId="2" applyFill="1" applyAlignment="1">
      <alignment horizontal="center"/>
    </xf>
    <xf numFmtId="0" fontId="12" fillId="4" borderId="0" xfId="0" applyFont="1" applyFill="1" applyBorder="1"/>
    <xf numFmtId="0" fontId="12" fillId="15" borderId="0" xfId="0" applyFont="1" applyFill="1" applyBorder="1"/>
    <xf numFmtId="0" fontId="12" fillId="17" borderId="0" xfId="0" applyFont="1" applyFill="1" applyBorder="1"/>
    <xf numFmtId="0" fontId="13" fillId="0" borderId="0" xfId="0" applyFont="1"/>
    <xf numFmtId="0" fontId="2" fillId="16" borderId="6" xfId="2" applyFill="1" applyBorder="1"/>
    <xf numFmtId="0" fontId="1" fillId="0" borderId="2" xfId="1" applyFill="1" applyBorder="1" applyAlignment="1">
      <alignment wrapText="1"/>
    </xf>
    <xf numFmtId="0" fontId="1" fillId="0" borderId="1" xfId="1" applyFill="1" applyBorder="1" applyAlignment="1">
      <alignment wrapText="1"/>
    </xf>
    <xf numFmtId="0" fontId="14" fillId="0" borderId="0" xfId="1" applyFont="1" applyFill="1" applyBorder="1" applyAlignment="1">
      <alignment wrapText="1"/>
    </xf>
    <xf numFmtId="0" fontId="2" fillId="10" borderId="0" xfId="2" applyFill="1" applyBorder="1"/>
    <xf numFmtId="16" fontId="2" fillId="9" borderId="0" xfId="2" applyNumberFormat="1" applyFill="1"/>
    <xf numFmtId="0" fontId="5" fillId="0" borderId="0" xfId="0" applyFont="1" applyFill="1" applyBorder="1"/>
    <xf numFmtId="0" fontId="2" fillId="8" borderId="0" xfId="2" applyFill="1" applyBorder="1"/>
    <xf numFmtId="0" fontId="12" fillId="0" borderId="0" xfId="0" applyFont="1"/>
    <xf numFmtId="0" fontId="15" fillId="0" borderId="9" xfId="0" applyFont="1" applyBorder="1"/>
    <xf numFmtId="14" fontId="12" fillId="0" borderId="0" xfId="0" applyNumberFormat="1" applyFont="1"/>
    <xf numFmtId="14" fontId="12" fillId="0" borderId="0" xfId="0" applyNumberFormat="1" applyFont="1" applyFill="1"/>
    <xf numFmtId="0" fontId="0" fillId="0" borderId="0" xfId="0" applyFill="1"/>
    <xf numFmtId="0" fontId="12" fillId="0" borderId="0" xfId="0" applyFont="1" applyFill="1"/>
    <xf numFmtId="0" fontId="12" fillId="18" borderId="0" xfId="0" applyFont="1" applyFill="1" applyBorder="1"/>
    <xf numFmtId="0" fontId="2" fillId="19" borderId="0" xfId="2" applyFill="1"/>
    <xf numFmtId="0" fontId="3" fillId="20" borderId="2" xfId="2" applyFont="1" applyFill="1" applyBorder="1" applyAlignment="1">
      <alignment wrapText="1"/>
    </xf>
    <xf numFmtId="0" fontId="3" fillId="20" borderId="1" xfId="2" applyFont="1" applyFill="1" applyBorder="1" applyAlignment="1">
      <alignment wrapText="1"/>
    </xf>
    <xf numFmtId="0" fontId="3" fillId="19" borderId="2" xfId="2" applyFont="1" applyFill="1" applyBorder="1" applyAlignment="1">
      <alignment wrapText="1"/>
    </xf>
    <xf numFmtId="0" fontId="3" fillId="19" borderId="1" xfId="2" applyFont="1" applyFill="1" applyBorder="1" applyAlignment="1">
      <alignment wrapText="1"/>
    </xf>
    <xf numFmtId="0" fontId="3" fillId="19" borderId="4" xfId="2" applyFont="1" applyFill="1" applyBorder="1" applyAlignment="1">
      <alignment wrapText="1"/>
    </xf>
    <xf numFmtId="0" fontId="3" fillId="12" borderId="1" xfId="2" applyFont="1" applyFill="1" applyBorder="1" applyAlignment="1">
      <alignment wrapText="1"/>
    </xf>
    <xf numFmtId="0" fontId="3" fillId="21" borderId="2" xfId="2" applyFont="1" applyFill="1" applyBorder="1" applyAlignment="1">
      <alignment wrapText="1"/>
    </xf>
    <xf numFmtId="0" fontId="3" fillId="21" borderId="1" xfId="2" applyFont="1" applyFill="1" applyBorder="1" applyAlignment="1">
      <alignment wrapText="1"/>
    </xf>
    <xf numFmtId="0" fontId="3" fillId="18" borderId="2" xfId="2" applyFont="1" applyFill="1" applyBorder="1" applyAlignment="1">
      <alignment wrapText="1"/>
    </xf>
    <xf numFmtId="0" fontId="3" fillId="18" borderId="5" xfId="2" applyFont="1" applyFill="1" applyBorder="1" applyAlignment="1">
      <alignment wrapText="1"/>
    </xf>
    <xf numFmtId="0" fontId="3" fillId="18" borderId="1" xfId="2" applyFont="1" applyFill="1" applyBorder="1" applyAlignment="1">
      <alignment wrapText="1"/>
    </xf>
    <xf numFmtId="0" fontId="3" fillId="22" borderId="2" xfId="2" applyFont="1" applyFill="1" applyBorder="1" applyAlignment="1">
      <alignment wrapText="1"/>
    </xf>
    <xf numFmtId="0" fontId="3" fillId="22" borderId="1" xfId="2" applyFont="1" applyFill="1" applyBorder="1" applyAlignment="1">
      <alignment wrapText="1"/>
    </xf>
    <xf numFmtId="0" fontId="5" fillId="0" borderId="6" xfId="2" applyFont="1" applyBorder="1"/>
    <xf numFmtId="0" fontId="2" fillId="15" borderId="6" xfId="2" applyFill="1" applyBorder="1"/>
    <xf numFmtId="0" fontId="4" fillId="5" borderId="6" xfId="2" applyFont="1" applyFill="1" applyBorder="1"/>
    <xf numFmtId="0" fontId="2" fillId="0" borderId="0" xfId="2" applyFont="1" applyFill="1" applyBorder="1"/>
    <xf numFmtId="0" fontId="2" fillId="9" borderId="7" xfId="2" applyFill="1" applyBorder="1"/>
    <xf numFmtId="14" fontId="12" fillId="0" borderId="7" xfId="0" applyNumberFormat="1" applyFont="1" applyBorder="1"/>
    <xf numFmtId="0" fontId="12" fillId="0" borderId="7" xfId="0" applyFont="1" applyBorder="1"/>
    <xf numFmtId="0" fontId="5" fillId="7" borderId="0" xfId="2" applyFont="1" applyFill="1" applyBorder="1"/>
    <xf numFmtId="0" fontId="0" fillId="16" borderId="6" xfId="0" applyFill="1" applyBorder="1"/>
    <xf numFmtId="0" fontId="2" fillId="16" borderId="0" xfId="2" applyFill="1" applyBorder="1"/>
    <xf numFmtId="0" fontId="0" fillId="16" borderId="0" xfId="0" applyFill="1" applyBorder="1"/>
    <xf numFmtId="0" fontId="2" fillId="22" borderId="0" xfId="2" applyFill="1"/>
    <xf numFmtId="0" fontId="0" fillId="22" borderId="0" xfId="0" applyFill="1"/>
    <xf numFmtId="0" fontId="2" fillId="22" borderId="6" xfId="2" applyFill="1" applyBorder="1"/>
    <xf numFmtId="0" fontId="0" fillId="22" borderId="6" xfId="0" applyFill="1" applyBorder="1"/>
    <xf numFmtId="0" fontId="12" fillId="22" borderId="0" xfId="0" applyFont="1" applyFill="1" applyBorder="1"/>
    <xf numFmtId="0" fontId="0" fillId="0" borderId="7" xfId="0" applyBorder="1"/>
    <xf numFmtId="0" fontId="0" fillId="0" borderId="0" xfId="0" applyBorder="1"/>
    <xf numFmtId="16" fontId="2" fillId="0" borderId="7" xfId="2" applyNumberFormat="1" applyFill="1" applyBorder="1"/>
    <xf numFmtId="0" fontId="2" fillId="22" borderId="0" xfId="2" applyFill="1" applyBorder="1"/>
    <xf numFmtId="0" fontId="0" fillId="22" borderId="0" xfId="0" applyFill="1" applyBorder="1"/>
    <xf numFmtId="0" fontId="0" fillId="0" borderId="6" xfId="0" applyFill="1" applyBorder="1"/>
    <xf numFmtId="0" fontId="2" fillId="0" borderId="7" xfId="2" applyFill="1" applyBorder="1" applyAlignment="1">
      <alignment horizontal="center"/>
    </xf>
    <xf numFmtId="14" fontId="12" fillId="7" borderId="0" xfId="0" applyNumberFormat="1" applyFont="1" applyFill="1" applyBorder="1"/>
    <xf numFmtId="0" fontId="12" fillId="7" borderId="0" xfId="0" applyFont="1" applyFill="1" applyBorder="1"/>
    <xf numFmtId="14" fontId="12" fillId="7" borderId="0" xfId="0" applyNumberFormat="1" applyFont="1" applyFill="1"/>
    <xf numFmtId="0" fontId="12" fillId="7" borderId="0" xfId="0" applyFont="1" applyFill="1"/>
    <xf numFmtId="14" fontId="12" fillId="0" borderId="0" xfId="0" applyNumberFormat="1" applyFont="1" applyFill="1" applyBorder="1"/>
    <xf numFmtId="0" fontId="15" fillId="0" borderId="0" xfId="0" applyFont="1" applyBorder="1"/>
    <xf numFmtId="0" fontId="19" fillId="0" borderId="0" xfId="2" applyFont="1"/>
    <xf numFmtId="0" fontId="13" fillId="4" borderId="0" xfId="0" applyFont="1" applyFill="1" applyBorder="1"/>
  </cellXfs>
  <cellStyles count="48">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Hyperlink" xfId="3" builtinId="8"/>
    <cellStyle name="Neutral" xfId="1" builtinId="28"/>
    <cellStyle name="Normal" xfId="0" builtinId="0"/>
    <cellStyle name="Normal 2" xfId="2" xr:uid="{00000000-0005-0000-0000-00002F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styles" Target="styles.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microsoft.com/office/2017/10/relationships/person" Target="persons/person.xml"/><Relationship Id="rId10" Type="http://schemas.openxmlformats.org/officeDocument/2006/relationships/externalLink" Target="externalLinks/externalLink8.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rah/Dropbox/Princeton/MLBS%20-%20DARPA%20project/MLBS%202018%20to%20share/Data%20entry/FEC%20weights/MLBS%202018%20-%20Feces%20weight%20-%20JB_08051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arah/Dropbox/Princeton/MLBS%20-%20DARPA%20project/Remaining%20FECs%20in%202018/MLBS%202018%20-%20FECs%20-%202018%20and%20last%202017%20-%20TE020719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arah/Dropbox/Princeton/MLBS%20-%20DARPA%20project/MLBS%202017/Sarah%20data%20analysis/MLBS%202016%20and%202017%20SB%20RNA%20seq%20master%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arah/Dropbox/Princeton/MLBS%20-%20DARPA%20project/MLBS%202017/Remaining%20egg%20counts/MLBS%20SNV-nem%20Co-infection%20Data%202017_CT_CH_083017-from%20Tina2-2017%20dat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sarah/Dropbox/Princeton/MLBS%20-%20DARPA%20project/MLBS%202017/Remaining%20egg%20counts/SNV%20positives%202016-2017%20and%20remaining%20FEC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sarah/Dropbox/Princeton/MLBS%20-%20DARPA%20project/MLBS%202017/Data%20Files/MLBS%20Zymo%20Tube%20List%202017%20040318%20TH.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arah/Dropbox/Princeton/MLBS%20-%20DARPA%20project/MLBS%202017/Sarah%20data%20analysis/MLBS%202016%20SNV-nem%20Coinfection%20data%20CH_CT_041117_from%20Tina_SB.csv"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sarah/Dropbox/Princeton/MLBS%20-%20DARPA%20project/MLBS%202016/Justine/data,%20R%20code,%20useful%20papers/Data_withduplicates%20to%20match%20master%20041018%20SB.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sarah/Dropbox/Princeton/MLBS%20-%20DARPA%20project/MLBS%202018%20to%20share/Data%20entry/End%20of%20summer%20master/MLBS%202018%20-%20FECs%20-%20LV_072418%20for%20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ces weights"/>
      <sheetName val="Sarah's Extra Samples "/>
    </sheetNames>
    <sheetDataSet>
      <sheetData sheetId="0">
        <row r="1">
          <cell r="D1" t="str">
            <v>grid-trap-date code</v>
          </cell>
          <cell r="E1" t="str">
            <v>on master</v>
          </cell>
          <cell r="F1" t="str">
            <v>Weight (g)</v>
          </cell>
          <cell r="G1" t="str">
            <v>poo weight</v>
          </cell>
          <cell r="H1" t="str">
            <v>poo weight light blank = poo2</v>
          </cell>
        </row>
        <row r="2">
          <cell r="D2" t="str">
            <v>PO2-A4-43268</v>
          </cell>
          <cell r="E2" t="str">
            <v>PO2-A4-43268</v>
          </cell>
          <cell r="G2">
            <v>2E-3</v>
          </cell>
          <cell r="H2">
            <v>2E-3</v>
          </cell>
        </row>
        <row r="3">
          <cell r="D3" t="str">
            <v>PO1-E3-43229</v>
          </cell>
          <cell r="E3" t="str">
            <v>PO1-E3-43229</v>
          </cell>
          <cell r="F3">
            <v>1.6140000000000001</v>
          </cell>
          <cell r="G3">
            <v>8.2000000000000073E-2</v>
          </cell>
          <cell r="H3">
            <v>0.10700000000000021</v>
          </cell>
        </row>
        <row r="4">
          <cell r="D4" t="str">
            <v>PO1-G4-43229</v>
          </cell>
          <cell r="E4" t="str">
            <v>PO1-G4-43229</v>
          </cell>
          <cell r="F4">
            <v>1.8959999999999999</v>
          </cell>
          <cell r="G4">
            <v>0.36399999999999988</v>
          </cell>
          <cell r="H4">
            <v>0.38900000000000001</v>
          </cell>
        </row>
        <row r="5">
          <cell r="D5" t="str">
            <v>PO1-H1-43229</v>
          </cell>
          <cell r="E5" t="str">
            <v>PO1-H1-43229</v>
          </cell>
          <cell r="F5">
            <v>1.56</v>
          </cell>
          <cell r="G5">
            <v>2.8000000000000025E-2</v>
          </cell>
          <cell r="H5">
            <v>5.3000000000000158E-2</v>
          </cell>
        </row>
        <row r="6">
          <cell r="D6" t="str">
            <v>PO2-A7-43229</v>
          </cell>
          <cell r="E6" t="str">
            <v>PO2-A7-43229</v>
          </cell>
          <cell r="F6">
            <v>1.7050000000000001</v>
          </cell>
          <cell r="G6">
            <v>0.17300000000000004</v>
          </cell>
          <cell r="H6">
            <v>0.19800000000000018</v>
          </cell>
        </row>
        <row r="7">
          <cell r="D7" t="str">
            <v>PO2-B6-43229</v>
          </cell>
          <cell r="E7" t="str">
            <v>PO2-B6-43229</v>
          </cell>
          <cell r="F7">
            <v>1.81</v>
          </cell>
          <cell r="G7">
            <v>0.27800000000000002</v>
          </cell>
          <cell r="H7">
            <v>0.30300000000000016</v>
          </cell>
        </row>
        <row r="8">
          <cell r="D8" t="str">
            <v>PO2-D5-43229</v>
          </cell>
          <cell r="E8" t="str">
            <v>PO2-D5-43229</v>
          </cell>
          <cell r="F8">
            <v>1.6319999999999999</v>
          </cell>
          <cell r="G8">
            <v>9.9999999999999867E-2</v>
          </cell>
          <cell r="H8">
            <v>0.125</v>
          </cell>
        </row>
        <row r="9">
          <cell r="D9" t="str">
            <v>PO2-D7-43229</v>
          </cell>
          <cell r="E9" t="str">
            <v>PO2-D7-43229</v>
          </cell>
          <cell r="F9">
            <v>1.778</v>
          </cell>
          <cell r="G9">
            <v>0.246</v>
          </cell>
          <cell r="H9">
            <v>0.27100000000000013</v>
          </cell>
        </row>
        <row r="10">
          <cell r="D10" t="str">
            <v>PO2-G4-43229</v>
          </cell>
          <cell r="E10" t="str">
            <v>PO2-G4-43229</v>
          </cell>
          <cell r="F10">
            <v>1.7589999999999999</v>
          </cell>
          <cell r="G10">
            <v>0.22699999999999987</v>
          </cell>
          <cell r="H10">
            <v>0.252</v>
          </cell>
        </row>
        <row r="11">
          <cell r="D11" t="str">
            <v>PO2-G5-43229</v>
          </cell>
          <cell r="E11" t="str">
            <v>PO2-G5-43229</v>
          </cell>
          <cell r="F11">
            <v>1.607</v>
          </cell>
          <cell r="G11">
            <v>7.4999999999999956E-2</v>
          </cell>
          <cell r="H11">
            <v>0.10000000000000009</v>
          </cell>
        </row>
        <row r="12">
          <cell r="D12" t="str">
            <v>PO2-H3-43229</v>
          </cell>
          <cell r="E12" t="str">
            <v>PO2-H3-43229</v>
          </cell>
          <cell r="F12">
            <v>1.732</v>
          </cell>
          <cell r="G12">
            <v>0.19999999999999996</v>
          </cell>
          <cell r="H12">
            <v>0.22500000000000009</v>
          </cell>
        </row>
        <row r="13">
          <cell r="D13" t="str">
            <v>PO2-H7-43229</v>
          </cell>
          <cell r="E13" t="str">
            <v>PO2-H7-43229</v>
          </cell>
          <cell r="F13">
            <v>1.6539999999999999</v>
          </cell>
          <cell r="G13">
            <v>0.12199999999999989</v>
          </cell>
          <cell r="H13">
            <v>0.14700000000000002</v>
          </cell>
        </row>
        <row r="14">
          <cell r="D14" t="str">
            <v>PO1-A1-43230</v>
          </cell>
          <cell r="E14" t="str">
            <v>PO1-A1-43230</v>
          </cell>
          <cell r="F14">
            <v>1.579</v>
          </cell>
          <cell r="G14">
            <v>4.6999999999999931E-2</v>
          </cell>
          <cell r="H14">
            <v>7.2000000000000064E-2</v>
          </cell>
        </row>
        <row r="15">
          <cell r="D15" t="str">
            <v>PO1-A5-43230</v>
          </cell>
          <cell r="E15" t="str">
            <v>PO1-A5-43230</v>
          </cell>
          <cell r="F15">
            <v>1.496</v>
          </cell>
          <cell r="G15">
            <v>-3.6000000000000032E-2</v>
          </cell>
          <cell r="H15">
            <v>-1.0999999999999899E-2</v>
          </cell>
        </row>
        <row r="16">
          <cell r="D16" t="str">
            <v>PO1-C1-43230</v>
          </cell>
          <cell r="E16" t="str">
            <v>PO1-C1-43230</v>
          </cell>
          <cell r="F16">
            <v>1.595</v>
          </cell>
          <cell r="G16">
            <v>6.2999999999999945E-2</v>
          </cell>
          <cell r="H16">
            <v>8.8000000000000078E-2</v>
          </cell>
        </row>
        <row r="17">
          <cell r="D17" t="str">
            <v>PO1-C2-43230</v>
          </cell>
          <cell r="E17" t="str">
            <v>PO1-C2-43230</v>
          </cell>
          <cell r="F17">
            <v>1.619</v>
          </cell>
          <cell r="G17">
            <v>8.6999999999999966E-2</v>
          </cell>
          <cell r="H17">
            <v>0.1120000000000001</v>
          </cell>
        </row>
        <row r="18">
          <cell r="D18" t="str">
            <v>PO1-D2-43230</v>
          </cell>
          <cell r="E18" t="str">
            <v>PO1-D2-43230</v>
          </cell>
          <cell r="F18">
            <v>1.7430000000000001</v>
          </cell>
          <cell r="G18">
            <v>0.21100000000000008</v>
          </cell>
          <cell r="H18">
            <v>0.23600000000000021</v>
          </cell>
        </row>
        <row r="19">
          <cell r="D19" t="str">
            <v>PO2-C1-43230</v>
          </cell>
          <cell r="E19" t="str">
            <v>PO2-C1-43230</v>
          </cell>
          <cell r="F19">
            <v>1.6319999999999999</v>
          </cell>
          <cell r="G19">
            <v>9.9999999999999867E-2</v>
          </cell>
          <cell r="H19">
            <v>0.125</v>
          </cell>
        </row>
        <row r="20">
          <cell r="D20" t="str">
            <v>PO2-E1-43230</v>
          </cell>
          <cell r="E20" t="str">
            <v>PO2-E1-43230</v>
          </cell>
          <cell r="F20">
            <v>1.823</v>
          </cell>
          <cell r="G20">
            <v>0.29099999999999993</v>
          </cell>
          <cell r="H20">
            <v>0.31600000000000006</v>
          </cell>
        </row>
        <row r="21">
          <cell r="D21" t="str">
            <v>PO2-H3-43230</v>
          </cell>
          <cell r="E21" t="str">
            <v>PO2-H3-43230</v>
          </cell>
          <cell r="F21">
            <v>1.67</v>
          </cell>
          <cell r="G21">
            <v>0.1379999999999999</v>
          </cell>
          <cell r="H21">
            <v>0.16300000000000003</v>
          </cell>
        </row>
        <row r="22">
          <cell r="D22" t="str">
            <v>PO1-F1-43231</v>
          </cell>
          <cell r="E22" t="str">
            <v>PO1-F1-43231</v>
          </cell>
          <cell r="F22">
            <v>1.8109999999999999</v>
          </cell>
          <cell r="G22">
            <v>0.27899999999999991</v>
          </cell>
          <cell r="H22">
            <v>0.30400000000000005</v>
          </cell>
        </row>
        <row r="23">
          <cell r="D23" t="str">
            <v>PO1-G4-43231</v>
          </cell>
          <cell r="E23" t="str">
            <v>PO1-G4-43231</v>
          </cell>
          <cell r="F23">
            <v>1.629</v>
          </cell>
          <cell r="G23">
            <v>9.6999999999999975E-2</v>
          </cell>
          <cell r="H23">
            <v>0.12200000000000011</v>
          </cell>
        </row>
        <row r="24">
          <cell r="D24" t="str">
            <v>PO1-H4-43231</v>
          </cell>
          <cell r="E24" t="str">
            <v>PO1-H4-43231</v>
          </cell>
          <cell r="F24">
            <v>1.552</v>
          </cell>
          <cell r="G24">
            <v>2.0000000000000018E-2</v>
          </cell>
          <cell r="H24">
            <v>4.5000000000000151E-2</v>
          </cell>
        </row>
        <row r="25">
          <cell r="D25" t="str">
            <v>PO2-A3-43231</v>
          </cell>
          <cell r="E25" t="str">
            <v>PO2-A3-43231</v>
          </cell>
          <cell r="F25">
            <v>1.867</v>
          </cell>
          <cell r="G25">
            <v>0.33499999999999996</v>
          </cell>
          <cell r="H25">
            <v>0.3600000000000001</v>
          </cell>
        </row>
        <row r="26">
          <cell r="D26" t="str">
            <v>SP1-B2-43232</v>
          </cell>
          <cell r="E26" t="str">
            <v>SP1-B2-43232</v>
          </cell>
          <cell r="F26">
            <v>1.5469999999999999</v>
          </cell>
          <cell r="G26">
            <v>1.4999999999999902E-2</v>
          </cell>
          <cell r="H26">
            <v>4.0000000000000036E-2</v>
          </cell>
        </row>
        <row r="27">
          <cell r="D27" t="str">
            <v>SP1-D7-43232</v>
          </cell>
          <cell r="E27" t="str">
            <v>SP1-D7-43232</v>
          </cell>
          <cell r="F27">
            <v>1.5609999999999999</v>
          </cell>
          <cell r="G27">
            <v>2.8999999999999915E-2</v>
          </cell>
          <cell r="H27">
            <v>5.4000000000000048E-2</v>
          </cell>
        </row>
        <row r="28">
          <cell r="D28" t="str">
            <v>SP1-G6-43232</v>
          </cell>
          <cell r="E28" t="str">
            <v>SP1-G6-43232</v>
          </cell>
          <cell r="F28">
            <v>1.8420000000000001</v>
          </cell>
          <cell r="G28">
            <v>0.31000000000000005</v>
          </cell>
          <cell r="H28">
            <v>0.33500000000000019</v>
          </cell>
        </row>
        <row r="29">
          <cell r="D29" t="str">
            <v>SP1-H8-43232</v>
          </cell>
          <cell r="E29" t="e">
            <v>#N/A</v>
          </cell>
          <cell r="F29">
            <v>1.6839999999999999</v>
          </cell>
          <cell r="G29">
            <v>0.15199999999999991</v>
          </cell>
          <cell r="H29">
            <v>0.17700000000000005</v>
          </cell>
        </row>
        <row r="30">
          <cell r="D30" t="str">
            <v>SP2-A2-43232</v>
          </cell>
          <cell r="E30" t="str">
            <v>SP2-A2-43232</v>
          </cell>
          <cell r="F30">
            <v>1.5329999999999999</v>
          </cell>
          <cell r="G30">
            <v>9.9999999999988987E-4</v>
          </cell>
          <cell r="H30">
            <v>2.6000000000000023E-2</v>
          </cell>
        </row>
        <row r="31">
          <cell r="D31" t="str">
            <v>SP2-G3-43232</v>
          </cell>
          <cell r="E31" t="str">
            <v>SP2-G3-43232</v>
          </cell>
          <cell r="F31">
            <v>1.6659999999999999</v>
          </cell>
          <cell r="G31">
            <v>0.1339999999999999</v>
          </cell>
          <cell r="H31">
            <v>0.15900000000000003</v>
          </cell>
        </row>
        <row r="32">
          <cell r="D32" t="str">
            <v>SP1-B2-43233</v>
          </cell>
          <cell r="E32" t="str">
            <v>SP1-B2-43233</v>
          </cell>
          <cell r="F32">
            <v>1.5209999999999999</v>
          </cell>
          <cell r="G32">
            <v>-1.1000000000000121E-2</v>
          </cell>
          <cell r="H32">
            <v>1.4000000000000012E-2</v>
          </cell>
        </row>
        <row r="33">
          <cell r="D33" t="str">
            <v>SP2-B8-43233</v>
          </cell>
          <cell r="E33" t="str">
            <v>SP2-B8-43233</v>
          </cell>
          <cell r="F33">
            <v>1.6739999999999999</v>
          </cell>
          <cell r="G33">
            <v>0.1419999999999999</v>
          </cell>
          <cell r="H33">
            <v>0.16700000000000004</v>
          </cell>
        </row>
        <row r="34">
          <cell r="D34" t="str">
            <v>SP2-C2-43233</v>
          </cell>
          <cell r="E34" t="str">
            <v>SP2-C2-43233</v>
          </cell>
          <cell r="F34">
            <v>1.635</v>
          </cell>
          <cell r="G34">
            <v>0.10299999999999998</v>
          </cell>
          <cell r="H34">
            <v>0.12800000000000011</v>
          </cell>
        </row>
        <row r="35">
          <cell r="D35" t="str">
            <v>SP2-G8-43233</v>
          </cell>
          <cell r="E35" t="str">
            <v>SP2-G8-43233</v>
          </cell>
          <cell r="F35">
            <v>1.744</v>
          </cell>
          <cell r="G35">
            <v>0.21199999999999997</v>
          </cell>
          <cell r="H35">
            <v>0.2370000000000001</v>
          </cell>
        </row>
        <row r="36">
          <cell r="D36" t="str">
            <v>BC1-F3-43239</v>
          </cell>
          <cell r="E36" t="str">
            <v>BC1-F3-43239</v>
          </cell>
          <cell r="F36">
            <v>2.7090000000000001</v>
          </cell>
          <cell r="G36">
            <v>1.177</v>
          </cell>
          <cell r="H36">
            <v>1.2020000000000002</v>
          </cell>
        </row>
        <row r="37">
          <cell r="D37" t="str">
            <v>BC1-G4-43239</v>
          </cell>
          <cell r="E37" t="str">
            <v>BC1-G4-43239</v>
          </cell>
          <cell r="F37">
            <v>1.8160000000000001</v>
          </cell>
          <cell r="G37">
            <v>0.28400000000000003</v>
          </cell>
          <cell r="H37">
            <v>0.30900000000000016</v>
          </cell>
        </row>
        <row r="38">
          <cell r="D38" t="str">
            <v>BC2-D1-43239</v>
          </cell>
          <cell r="E38" t="str">
            <v>BC2-D1-43239</v>
          </cell>
          <cell r="F38">
            <v>2.0550000000000002</v>
          </cell>
          <cell r="G38">
            <v>0.52300000000000013</v>
          </cell>
          <cell r="H38">
            <v>0.54800000000000026</v>
          </cell>
        </row>
        <row r="39">
          <cell r="D39" t="str">
            <v>BC2-D7-43239</v>
          </cell>
          <cell r="E39" t="str">
            <v>BC2-D7-43239</v>
          </cell>
          <cell r="F39">
            <v>2.0419999999999998</v>
          </cell>
          <cell r="G39">
            <v>0.50999999999999979</v>
          </cell>
          <cell r="H39">
            <v>0.53499999999999992</v>
          </cell>
        </row>
        <row r="40">
          <cell r="D40" t="str">
            <v>BC2-D8-43239</v>
          </cell>
          <cell r="E40" t="str">
            <v>BC2-D8-43239</v>
          </cell>
          <cell r="F40">
            <v>2.4159999999999999</v>
          </cell>
          <cell r="G40">
            <v>0.8839999999999999</v>
          </cell>
          <cell r="H40">
            <v>0.90900000000000003</v>
          </cell>
        </row>
        <row r="41">
          <cell r="D41" t="str">
            <v>BC2-E1-43239</v>
          </cell>
          <cell r="E41" t="str">
            <v>BC2-E1-43239</v>
          </cell>
          <cell r="F41">
            <v>1.944</v>
          </cell>
          <cell r="G41">
            <v>0.41199999999999992</v>
          </cell>
          <cell r="H41">
            <v>0.43700000000000006</v>
          </cell>
        </row>
        <row r="42">
          <cell r="D42" t="str">
            <v>BC2-E4-43239</v>
          </cell>
          <cell r="E42" t="str">
            <v>BC2-E4-43239</v>
          </cell>
          <cell r="F42">
            <v>2.274</v>
          </cell>
          <cell r="G42">
            <v>0.74199999999999999</v>
          </cell>
          <cell r="H42">
            <v>0.76700000000000013</v>
          </cell>
        </row>
        <row r="43">
          <cell r="D43" t="str">
            <v>BC2-G4-43239</v>
          </cell>
          <cell r="E43" t="str">
            <v>BC2-G4-43239</v>
          </cell>
          <cell r="F43">
            <v>1.8580000000000001</v>
          </cell>
          <cell r="G43">
            <v>0.32600000000000007</v>
          </cell>
          <cell r="H43">
            <v>0.3510000000000002</v>
          </cell>
        </row>
        <row r="44">
          <cell r="D44" t="str">
            <v>BC2-H6-43239</v>
          </cell>
          <cell r="E44" t="str">
            <v>BC2-H6-43239</v>
          </cell>
          <cell r="F44">
            <v>1.9790000000000001</v>
          </cell>
          <cell r="G44">
            <v>0.44700000000000006</v>
          </cell>
          <cell r="H44">
            <v>0.4720000000000002</v>
          </cell>
        </row>
        <row r="45">
          <cell r="D45" t="str">
            <v>BC1-A1-43240</v>
          </cell>
          <cell r="E45" t="str">
            <v>not a mouse</v>
          </cell>
          <cell r="F45">
            <v>1.651</v>
          </cell>
          <cell r="G45">
            <v>0.11899999999999999</v>
          </cell>
          <cell r="H45">
            <v>0.14400000000000013</v>
          </cell>
        </row>
        <row r="46">
          <cell r="D46" t="str">
            <v>BC1-H5-43240</v>
          </cell>
          <cell r="E46" t="str">
            <v>BC1-H5-43240</v>
          </cell>
          <cell r="F46">
            <v>2.0070000000000001</v>
          </cell>
          <cell r="G46">
            <v>0.47500000000000009</v>
          </cell>
          <cell r="H46">
            <v>0.50000000000000022</v>
          </cell>
        </row>
        <row r="47">
          <cell r="D47" t="str">
            <v>BC1-H7-43240</v>
          </cell>
          <cell r="E47" t="str">
            <v>BC1-H7-43240</v>
          </cell>
          <cell r="F47">
            <v>1.7130000000000001</v>
          </cell>
          <cell r="G47">
            <v>0.18100000000000005</v>
          </cell>
          <cell r="H47">
            <v>0.20600000000000018</v>
          </cell>
        </row>
        <row r="48">
          <cell r="D48" t="str">
            <v>BC2-B3-43240</v>
          </cell>
          <cell r="E48" t="str">
            <v>BC2-B3-43240</v>
          </cell>
          <cell r="F48">
            <v>2.2149999999999999</v>
          </cell>
          <cell r="G48">
            <v>0.68299999999999983</v>
          </cell>
          <cell r="H48">
            <v>0.70799999999999996</v>
          </cell>
        </row>
        <row r="49">
          <cell r="D49" t="str">
            <v>BC2-C2-43240</v>
          </cell>
          <cell r="E49" t="str">
            <v>BC2-C2-43240</v>
          </cell>
          <cell r="F49">
            <v>1.984</v>
          </cell>
          <cell r="G49">
            <v>0.45199999999999996</v>
          </cell>
          <cell r="H49">
            <v>0.47700000000000009</v>
          </cell>
        </row>
        <row r="50">
          <cell r="D50" t="str">
            <v>BC2-H8-43240</v>
          </cell>
          <cell r="E50" t="str">
            <v>BC2-H8-43240</v>
          </cell>
          <cell r="F50">
            <v>2.1120000000000001</v>
          </cell>
          <cell r="G50">
            <v>0.58000000000000007</v>
          </cell>
          <cell r="H50">
            <v>0.6050000000000002</v>
          </cell>
        </row>
        <row r="51">
          <cell r="D51" t="str">
            <v>BC1-A1-43241</v>
          </cell>
          <cell r="E51" t="str">
            <v>BC1-A1-43241</v>
          </cell>
          <cell r="F51">
            <v>1.722</v>
          </cell>
          <cell r="G51">
            <v>0.18999999999999995</v>
          </cell>
          <cell r="H51">
            <v>0.21500000000000008</v>
          </cell>
        </row>
        <row r="52">
          <cell r="D52" t="str">
            <v>HW1-D3-43242</v>
          </cell>
          <cell r="E52" t="str">
            <v>HW1-D3-43242</v>
          </cell>
          <cell r="F52">
            <v>2.65</v>
          </cell>
          <cell r="G52">
            <v>1.1179999999999999</v>
          </cell>
          <cell r="H52">
            <v>1.143</v>
          </cell>
        </row>
        <row r="53">
          <cell r="D53" t="str">
            <v>HW1-D6-43242</v>
          </cell>
          <cell r="E53" t="str">
            <v>HW1-D6-43242</v>
          </cell>
          <cell r="F53">
            <v>1.911</v>
          </cell>
          <cell r="G53">
            <v>0.379</v>
          </cell>
          <cell r="H53">
            <v>0.40400000000000014</v>
          </cell>
        </row>
        <row r="54">
          <cell r="D54" t="str">
            <v>HW1-E1-43242</v>
          </cell>
          <cell r="E54" t="str">
            <v>HW1-E1-43242</v>
          </cell>
          <cell r="F54">
            <v>1.732</v>
          </cell>
          <cell r="G54">
            <v>0.19999999999999996</v>
          </cell>
          <cell r="H54">
            <v>0.22500000000000009</v>
          </cell>
        </row>
        <row r="55">
          <cell r="D55" t="str">
            <v>HW1-H5-43242</v>
          </cell>
          <cell r="E55" t="str">
            <v>HW1-H5-43242</v>
          </cell>
          <cell r="F55">
            <v>1.754</v>
          </cell>
          <cell r="G55">
            <v>0.22199999999999998</v>
          </cell>
          <cell r="H55">
            <v>0.24700000000000011</v>
          </cell>
        </row>
        <row r="56">
          <cell r="D56" t="str">
            <v>HW2-B4-43242</v>
          </cell>
          <cell r="E56" t="str">
            <v>HW2-B4-43242</v>
          </cell>
          <cell r="F56">
            <v>2.0449999999999999</v>
          </cell>
          <cell r="G56">
            <v>0.5129999999999999</v>
          </cell>
          <cell r="H56">
            <v>0.53800000000000003</v>
          </cell>
        </row>
        <row r="57">
          <cell r="D57" t="str">
            <v>HW2-C1-43242</v>
          </cell>
          <cell r="E57" t="str">
            <v>HW2-C1-43242</v>
          </cell>
          <cell r="F57">
            <v>2.4039999999999999</v>
          </cell>
          <cell r="G57">
            <v>0.87199999999999989</v>
          </cell>
          <cell r="H57">
            <v>0.89700000000000002</v>
          </cell>
        </row>
        <row r="58">
          <cell r="D58" t="str">
            <v>HW2-D3-43242</v>
          </cell>
          <cell r="E58" t="str">
            <v>HW2-D3-43242</v>
          </cell>
          <cell r="F58">
            <v>1.988</v>
          </cell>
          <cell r="G58">
            <v>0.45599999999999996</v>
          </cell>
          <cell r="H58">
            <v>0.48100000000000009</v>
          </cell>
        </row>
        <row r="59">
          <cell r="D59" t="str">
            <v>HW2-D4-43242</v>
          </cell>
          <cell r="E59" t="e">
            <v>#N/A</v>
          </cell>
        </row>
        <row r="60">
          <cell r="D60" t="str">
            <v>HW2-F5-43242</v>
          </cell>
          <cell r="E60" t="str">
            <v>HW2-F5-43242</v>
          </cell>
          <cell r="F60">
            <v>2.2869999999999999</v>
          </cell>
          <cell r="G60">
            <v>0.75499999999999989</v>
          </cell>
          <cell r="H60">
            <v>0.78</v>
          </cell>
        </row>
        <row r="61">
          <cell r="D61" t="str">
            <v>HW2-F8-43242</v>
          </cell>
          <cell r="E61" t="str">
            <v>HW2-F8-43242</v>
          </cell>
          <cell r="F61">
            <v>1.913</v>
          </cell>
          <cell r="G61">
            <v>0.38100000000000001</v>
          </cell>
          <cell r="H61">
            <v>0.40600000000000014</v>
          </cell>
        </row>
        <row r="62">
          <cell r="D62" t="str">
            <v>HW1-F1-43243</v>
          </cell>
          <cell r="E62" t="str">
            <v>HW1-F1-43243</v>
          </cell>
          <cell r="F62">
            <v>1.8220000000000001</v>
          </cell>
          <cell r="G62">
            <v>0.29000000000000004</v>
          </cell>
          <cell r="H62">
            <v>0.31500000000000017</v>
          </cell>
        </row>
        <row r="63">
          <cell r="D63" t="str">
            <v>HW1-G1-43243</v>
          </cell>
          <cell r="E63" t="str">
            <v>HW1-G1-43243</v>
          </cell>
          <cell r="F63">
            <v>1.7070000000000001</v>
          </cell>
          <cell r="G63">
            <v>0.17500000000000004</v>
          </cell>
          <cell r="H63">
            <v>0.20000000000000018</v>
          </cell>
        </row>
        <row r="64">
          <cell r="D64" t="str">
            <v>HW2-F5-43243</v>
          </cell>
          <cell r="E64" t="str">
            <v>HW2-F5-43243</v>
          </cell>
          <cell r="F64">
            <v>1.698</v>
          </cell>
          <cell r="G64">
            <v>0.16599999999999993</v>
          </cell>
          <cell r="H64">
            <v>0.19100000000000006</v>
          </cell>
        </row>
        <row r="65">
          <cell r="D65" t="str">
            <v>HW2-G1-43243</v>
          </cell>
          <cell r="E65" t="str">
            <v>HW2-G1-43243</v>
          </cell>
          <cell r="F65">
            <v>1.881</v>
          </cell>
          <cell r="G65">
            <v>0.34899999999999998</v>
          </cell>
          <cell r="H65">
            <v>0.37400000000000011</v>
          </cell>
        </row>
        <row r="66">
          <cell r="D66" t="str">
            <v>HW2-G8-43243</v>
          </cell>
          <cell r="E66" t="str">
            <v>HW2-G8-43243</v>
          </cell>
          <cell r="F66">
            <v>1.833</v>
          </cell>
          <cell r="G66">
            <v>0.30099999999999993</v>
          </cell>
          <cell r="H66">
            <v>0.32600000000000007</v>
          </cell>
        </row>
        <row r="67">
          <cell r="D67" t="str">
            <v>HW1-A3-43244</v>
          </cell>
          <cell r="E67" t="str">
            <v>HW1-A3-43244</v>
          </cell>
          <cell r="F67">
            <v>1.7190000000000001</v>
          </cell>
          <cell r="G67">
            <v>0.18700000000000006</v>
          </cell>
          <cell r="H67">
            <v>0.21200000000000019</v>
          </cell>
        </row>
        <row r="68">
          <cell r="D68" t="str">
            <v>HW2-A3-43244</v>
          </cell>
          <cell r="E68" t="str">
            <v>HW2-A3-43244</v>
          </cell>
          <cell r="F68">
            <v>1.6339999999999999</v>
          </cell>
          <cell r="G68">
            <v>0.10199999999999987</v>
          </cell>
          <cell r="H68">
            <v>0.127</v>
          </cell>
        </row>
        <row r="69">
          <cell r="D69" t="str">
            <v>HW2-F7-43244</v>
          </cell>
          <cell r="E69" t="str">
            <v>HW2-F7-43244</v>
          </cell>
          <cell r="F69">
            <v>1.58</v>
          </cell>
          <cell r="G69">
            <v>4.8000000000000043E-2</v>
          </cell>
          <cell r="H69">
            <v>7.3000000000000176E-2</v>
          </cell>
        </row>
        <row r="70">
          <cell r="D70" t="str">
            <v>HW2-H2-43244</v>
          </cell>
          <cell r="E70" t="str">
            <v>HW2-H2-43244</v>
          </cell>
          <cell r="F70">
            <v>1.597</v>
          </cell>
          <cell r="G70">
            <v>6.4999999999999947E-2</v>
          </cell>
          <cell r="H70">
            <v>9.000000000000008E-2</v>
          </cell>
        </row>
        <row r="71">
          <cell r="D71" t="str">
            <v>PO1-B1-43248</v>
          </cell>
          <cell r="E71" t="str">
            <v>PO1-B1-43248</v>
          </cell>
          <cell r="F71">
            <v>2.3889999999999998</v>
          </cell>
          <cell r="G71">
            <v>0.85699999999999976</v>
          </cell>
          <cell r="H71">
            <v>0.8819999999999999</v>
          </cell>
        </row>
        <row r="72">
          <cell r="D72" t="str">
            <v>PO1-C2-43248</v>
          </cell>
          <cell r="E72" t="str">
            <v>PO1-C2-43248</v>
          </cell>
          <cell r="F72">
            <v>1.865</v>
          </cell>
          <cell r="G72">
            <v>0.33299999999999996</v>
          </cell>
          <cell r="H72">
            <v>0.3580000000000001</v>
          </cell>
        </row>
        <row r="73">
          <cell r="D73" t="str">
            <v>PO1-H3-43248</v>
          </cell>
          <cell r="E73" t="str">
            <v>PO1-H3-43248</v>
          </cell>
          <cell r="F73">
            <v>1.966</v>
          </cell>
          <cell r="G73">
            <v>0.43399999999999994</v>
          </cell>
          <cell r="H73">
            <v>0.45900000000000007</v>
          </cell>
        </row>
        <row r="74">
          <cell r="D74" t="str">
            <v>PO1-H6-43248</v>
          </cell>
          <cell r="E74" t="str">
            <v>PO1-H6-43248</v>
          </cell>
          <cell r="F74">
            <v>1.9</v>
          </cell>
          <cell r="G74">
            <v>0.36799999999999988</v>
          </cell>
          <cell r="H74">
            <v>0.39300000000000002</v>
          </cell>
        </row>
        <row r="75">
          <cell r="D75" t="str">
            <v>PO1-H7-43248</v>
          </cell>
          <cell r="E75" t="str">
            <v>PO1-H7-43248</v>
          </cell>
          <cell r="F75">
            <v>2.145</v>
          </cell>
          <cell r="G75">
            <v>0.61299999999999999</v>
          </cell>
          <cell r="H75">
            <v>0.63800000000000012</v>
          </cell>
        </row>
        <row r="76">
          <cell r="D76" t="str">
            <v>PO2-A1-43248</v>
          </cell>
          <cell r="E76" t="str">
            <v>PO2-A1-43248</v>
          </cell>
          <cell r="F76">
            <v>2.5550000000000002</v>
          </cell>
          <cell r="G76">
            <v>1.0230000000000001</v>
          </cell>
          <cell r="H76">
            <v>1.0480000000000003</v>
          </cell>
        </row>
        <row r="77">
          <cell r="D77" t="str">
            <v>PO2-E8-43248</v>
          </cell>
          <cell r="E77" t="str">
            <v>PO2-E8-43248</v>
          </cell>
          <cell r="F77">
            <v>2.4289999999999998</v>
          </cell>
          <cell r="G77">
            <v>0.8969999999999998</v>
          </cell>
          <cell r="H77">
            <v>0.92199999999999993</v>
          </cell>
        </row>
        <row r="78">
          <cell r="D78" t="str">
            <v>PO2-F2-43248</v>
          </cell>
          <cell r="E78" t="str">
            <v>PO2-F2-43248</v>
          </cell>
          <cell r="F78">
            <v>2.2930000000000001</v>
          </cell>
          <cell r="G78">
            <v>0.76100000000000012</v>
          </cell>
          <cell r="H78">
            <v>0.78600000000000025</v>
          </cell>
        </row>
        <row r="79">
          <cell r="D79" t="str">
            <v>PO2-G7-43248</v>
          </cell>
          <cell r="E79" t="str">
            <v>PO2-G7-43248</v>
          </cell>
          <cell r="F79">
            <v>2.3210000000000002</v>
          </cell>
          <cell r="G79">
            <v>0.78900000000000015</v>
          </cell>
          <cell r="H79">
            <v>0.81400000000000028</v>
          </cell>
        </row>
        <row r="80">
          <cell r="D80" t="str">
            <v>PO2-H4-43248</v>
          </cell>
          <cell r="E80" t="str">
            <v>PO2-H4-43248</v>
          </cell>
          <cell r="F80">
            <v>1.921</v>
          </cell>
          <cell r="G80">
            <v>0.38900000000000001</v>
          </cell>
          <cell r="H80">
            <v>0.41400000000000015</v>
          </cell>
        </row>
        <row r="81">
          <cell r="D81" t="str">
            <v>PO2-H5-43248</v>
          </cell>
          <cell r="E81" t="str">
            <v>PO2-H5-43248</v>
          </cell>
          <cell r="F81">
            <v>1.978</v>
          </cell>
          <cell r="G81">
            <v>0.44599999999999995</v>
          </cell>
          <cell r="H81">
            <v>0.47100000000000009</v>
          </cell>
        </row>
        <row r="82">
          <cell r="D82" t="str">
            <v>PO2-H6-43249</v>
          </cell>
          <cell r="E82" t="str">
            <v>PO2-H6-43249</v>
          </cell>
          <cell r="F82">
            <v>2.0030000000000001</v>
          </cell>
          <cell r="G82">
            <v>0.47100000000000009</v>
          </cell>
          <cell r="H82">
            <v>0.49600000000000022</v>
          </cell>
        </row>
        <row r="83">
          <cell r="D83" t="str">
            <v>PO1-A4-43250</v>
          </cell>
          <cell r="E83" t="str">
            <v>PO1-A4-43250</v>
          </cell>
          <cell r="F83">
            <v>1.9550000000000001</v>
          </cell>
          <cell r="G83">
            <v>0.42300000000000004</v>
          </cell>
          <cell r="H83">
            <v>0.44800000000000018</v>
          </cell>
        </row>
        <row r="84">
          <cell r="D84" t="str">
            <v>PO2-A6-43250</v>
          </cell>
          <cell r="E84" t="str">
            <v>PO2-A6-43250</v>
          </cell>
          <cell r="F84">
            <v>1.925</v>
          </cell>
          <cell r="G84">
            <v>0.39300000000000002</v>
          </cell>
          <cell r="H84">
            <v>0.41800000000000015</v>
          </cell>
        </row>
        <row r="85">
          <cell r="D85" t="str">
            <v>PO2-C8-43250</v>
          </cell>
          <cell r="E85" t="str">
            <v>PO2-C8-43250</v>
          </cell>
          <cell r="F85">
            <v>1.8320000000000001</v>
          </cell>
          <cell r="G85">
            <v>0.30000000000000004</v>
          </cell>
          <cell r="H85">
            <v>0.32500000000000018</v>
          </cell>
        </row>
        <row r="86">
          <cell r="D86" t="str">
            <v>PO2-H3-43250</v>
          </cell>
          <cell r="E86" t="str">
            <v>PO2-H3-43250</v>
          </cell>
          <cell r="F86">
            <v>2.0739999999999998</v>
          </cell>
          <cell r="G86">
            <v>0.54199999999999982</v>
          </cell>
          <cell r="H86">
            <v>0.56699999999999995</v>
          </cell>
        </row>
        <row r="87">
          <cell r="D87" t="str">
            <v>SP1-F8-43251</v>
          </cell>
          <cell r="E87" t="str">
            <v>SP1-F8-43251</v>
          </cell>
          <cell r="F87">
            <v>1.7669999999999999</v>
          </cell>
          <cell r="G87">
            <v>0.23499999999999988</v>
          </cell>
          <cell r="H87">
            <v>0.26</v>
          </cell>
        </row>
        <row r="88">
          <cell r="D88" t="str">
            <v>SP1-G6-43251</v>
          </cell>
          <cell r="E88" t="str">
            <v>SP1-G6-43251</v>
          </cell>
          <cell r="F88">
            <v>1.835</v>
          </cell>
          <cell r="G88">
            <v>0.30299999999999994</v>
          </cell>
          <cell r="H88">
            <v>0.32800000000000007</v>
          </cell>
        </row>
        <row r="89">
          <cell r="D89" t="str">
            <v>SP1-C2-43252</v>
          </cell>
          <cell r="E89" t="str">
            <v>SP1-C2-43252</v>
          </cell>
          <cell r="F89">
            <v>1.6910000000000001</v>
          </cell>
          <cell r="G89">
            <v>0.15900000000000003</v>
          </cell>
          <cell r="H89">
            <v>0.18400000000000016</v>
          </cell>
        </row>
        <row r="90">
          <cell r="D90" t="str">
            <v>SP2-E1-43252</v>
          </cell>
          <cell r="E90" t="str">
            <v>SP2-E1-43252</v>
          </cell>
          <cell r="F90">
            <v>1.84</v>
          </cell>
          <cell r="G90">
            <v>0.30800000000000005</v>
          </cell>
          <cell r="H90">
            <v>0.33300000000000018</v>
          </cell>
        </row>
        <row r="91">
          <cell r="D91" t="str">
            <v>SP2-F1-43252</v>
          </cell>
          <cell r="E91" t="str">
            <v>SP2-F1-43252</v>
          </cell>
          <cell r="F91">
            <v>1.6180000000000001</v>
          </cell>
          <cell r="G91">
            <v>8.6000000000000076E-2</v>
          </cell>
          <cell r="H91">
            <v>0.11100000000000021</v>
          </cell>
        </row>
        <row r="92">
          <cell r="D92" t="str">
            <v>SP2-G5-43252</v>
          </cell>
          <cell r="E92" t="str">
            <v>SP2-G5-43252</v>
          </cell>
          <cell r="F92">
            <v>1.704</v>
          </cell>
          <cell r="G92">
            <v>0.17199999999999993</v>
          </cell>
          <cell r="H92">
            <v>0.19700000000000006</v>
          </cell>
        </row>
        <row r="93">
          <cell r="D93" t="str">
            <v>SP1-D6-43253</v>
          </cell>
          <cell r="E93" t="str">
            <v>SP1-D6-43253</v>
          </cell>
          <cell r="F93">
            <v>1.756</v>
          </cell>
          <cell r="G93">
            <v>0.22399999999999998</v>
          </cell>
          <cell r="H93">
            <v>0.24900000000000011</v>
          </cell>
        </row>
        <row r="94">
          <cell r="D94" t="str">
            <v>SP1-G5-43253</v>
          </cell>
          <cell r="E94" t="str">
            <v>SP1-G5-43253</v>
          </cell>
          <cell r="F94">
            <v>1.853</v>
          </cell>
          <cell r="G94">
            <v>0.32099999999999995</v>
          </cell>
          <cell r="H94">
            <v>0.34600000000000009</v>
          </cell>
        </row>
        <row r="95">
          <cell r="D95" t="str">
            <v>SP2-B4-43253</v>
          </cell>
          <cell r="E95" t="str">
            <v>SP2-b4-43253</v>
          </cell>
          <cell r="F95">
            <v>2.0449999999999999</v>
          </cell>
          <cell r="G95">
            <v>0.5129999999999999</v>
          </cell>
          <cell r="H95">
            <v>0.53800000000000003</v>
          </cell>
        </row>
        <row r="96">
          <cell r="D96" t="str">
            <v>SP2-F8-43253</v>
          </cell>
          <cell r="E96" t="str">
            <v>SP2-F8-43253</v>
          </cell>
          <cell r="F96">
            <v>1.746</v>
          </cell>
          <cell r="G96">
            <v>0.21399999999999997</v>
          </cell>
          <cell r="H96">
            <v>0.2390000000000001</v>
          </cell>
        </row>
        <row r="97">
          <cell r="D97" t="str">
            <v>SP2-H8-43253</v>
          </cell>
          <cell r="E97" t="str">
            <v>SP2-H8-43253</v>
          </cell>
          <cell r="F97">
            <v>2.9009999999999998</v>
          </cell>
          <cell r="G97">
            <v>1.3689999999999998</v>
          </cell>
          <cell r="H97">
            <v>1.3939999999999999</v>
          </cell>
        </row>
        <row r="98">
          <cell r="D98" t="str">
            <v>BC1-C1-43257</v>
          </cell>
          <cell r="E98" t="str">
            <v>BC1-C1-43257</v>
          </cell>
          <cell r="F98">
            <v>1.6970000000000001</v>
          </cell>
          <cell r="G98">
            <v>0.16500000000000004</v>
          </cell>
          <cell r="H98">
            <v>0.19000000000000017</v>
          </cell>
        </row>
        <row r="99">
          <cell r="D99" t="str">
            <v>BC1-E4-43257</v>
          </cell>
          <cell r="E99" t="str">
            <v>BC1-E4-43257</v>
          </cell>
          <cell r="F99">
            <v>1.496</v>
          </cell>
          <cell r="G99">
            <v>-3.6000000000000032E-2</v>
          </cell>
          <cell r="H99">
            <v>-1.0999999999999899E-2</v>
          </cell>
        </row>
        <row r="100">
          <cell r="D100" t="str">
            <v>BC1-F4-43257</v>
          </cell>
          <cell r="E100" t="str">
            <v>BC1-F4-43257</v>
          </cell>
          <cell r="F100">
            <v>1.6850000000000001</v>
          </cell>
          <cell r="G100">
            <v>0.15300000000000002</v>
          </cell>
          <cell r="H100">
            <v>0.17800000000000016</v>
          </cell>
        </row>
        <row r="101">
          <cell r="D101" t="str">
            <v>BC1-G5-43257</v>
          </cell>
          <cell r="E101" t="str">
            <v>BC1-G5-43257</v>
          </cell>
          <cell r="F101">
            <v>1.607</v>
          </cell>
          <cell r="G101">
            <v>7.4999999999999956E-2</v>
          </cell>
          <cell r="H101">
            <v>0.10000000000000009</v>
          </cell>
        </row>
        <row r="102">
          <cell r="D102" t="str">
            <v>BC1-H6-43257</v>
          </cell>
          <cell r="E102" t="str">
            <v>BC1-H6-43257</v>
          </cell>
          <cell r="F102">
            <v>1.6220000000000001</v>
          </cell>
          <cell r="G102">
            <v>9.000000000000008E-2</v>
          </cell>
          <cell r="H102">
            <v>0.11500000000000021</v>
          </cell>
        </row>
        <row r="103">
          <cell r="D103" t="str">
            <v>BC2-A2-43257</v>
          </cell>
          <cell r="E103" t="str">
            <v>BC2-A2-43257</v>
          </cell>
          <cell r="F103">
            <v>1.58</v>
          </cell>
          <cell r="G103">
            <v>4.8000000000000043E-2</v>
          </cell>
          <cell r="H103">
            <v>7.3000000000000176E-2</v>
          </cell>
        </row>
        <row r="104">
          <cell r="D104" t="str">
            <v>BC2-E1-43257</v>
          </cell>
          <cell r="E104" t="str">
            <v>BC2-E1-43257</v>
          </cell>
          <cell r="F104">
            <v>1.6759999999999999</v>
          </cell>
          <cell r="G104">
            <v>0.14399999999999991</v>
          </cell>
          <cell r="H104">
            <v>0.16900000000000004</v>
          </cell>
        </row>
        <row r="105">
          <cell r="D105" t="str">
            <v>BC1-C1-43258</v>
          </cell>
          <cell r="E105" t="str">
            <v>BC1-C1-43258</v>
          </cell>
          <cell r="F105">
            <v>1.534</v>
          </cell>
          <cell r="G105">
            <v>2.0000000000000018E-3</v>
          </cell>
          <cell r="H105">
            <v>2.7000000000000135E-2</v>
          </cell>
        </row>
        <row r="106">
          <cell r="D106" t="str">
            <v>BC1-F8-43258</v>
          </cell>
          <cell r="E106" t="str">
            <v>BC1-F8-43258</v>
          </cell>
          <cell r="F106">
            <v>1.5229999999999999</v>
          </cell>
          <cell r="G106">
            <v>-9.000000000000119E-3</v>
          </cell>
          <cell r="H106">
            <v>1.6000000000000014E-2</v>
          </cell>
        </row>
        <row r="107">
          <cell r="D107" t="str">
            <v>BC1-H5-43258</v>
          </cell>
          <cell r="E107" t="str">
            <v>BC1-H5-43258</v>
          </cell>
          <cell r="F107">
            <v>1.5449999999999999</v>
          </cell>
          <cell r="G107">
            <v>1.2999999999999901E-2</v>
          </cell>
          <cell r="H107">
            <v>3.8000000000000034E-2</v>
          </cell>
        </row>
        <row r="108">
          <cell r="D108" t="str">
            <v>BC1-H7-43258</v>
          </cell>
          <cell r="E108" t="str">
            <v>BC1-H7-43258</v>
          </cell>
          <cell r="F108">
            <v>1.8089999999999999</v>
          </cell>
          <cell r="G108">
            <v>0.27699999999999991</v>
          </cell>
          <cell r="H108">
            <v>0.30200000000000005</v>
          </cell>
        </row>
        <row r="109">
          <cell r="D109" t="str">
            <v>BC2-E7-43259</v>
          </cell>
          <cell r="E109" t="str">
            <v>BC2-E7-43259</v>
          </cell>
          <cell r="F109">
            <v>1.6439999999999999</v>
          </cell>
          <cell r="G109">
            <v>0.11199999999999988</v>
          </cell>
          <cell r="H109">
            <v>0.13700000000000001</v>
          </cell>
        </row>
        <row r="110">
          <cell r="D110" t="str">
            <v>HW1-C3-43260</v>
          </cell>
          <cell r="E110" t="str">
            <v>HW1-C3-43260</v>
          </cell>
          <cell r="F110">
            <v>1.7230000000000001</v>
          </cell>
          <cell r="G110">
            <v>0.19100000000000006</v>
          </cell>
          <cell r="H110">
            <v>0.21600000000000019</v>
          </cell>
        </row>
        <row r="111">
          <cell r="D111" t="str">
            <v>HW1-D7-43260</v>
          </cell>
          <cell r="E111" t="str">
            <v>HW1-D7-43260</v>
          </cell>
          <cell r="F111">
            <v>2.2400000000000002</v>
          </cell>
          <cell r="G111">
            <v>0.70800000000000018</v>
          </cell>
          <cell r="H111">
            <v>0.73300000000000032</v>
          </cell>
        </row>
        <row r="112">
          <cell r="D112" t="str">
            <v>HW1-E5-43260</v>
          </cell>
          <cell r="E112" t="str">
            <v>HW1-E5-43260</v>
          </cell>
          <cell r="F112">
            <v>1.6220000000000001</v>
          </cell>
          <cell r="G112">
            <v>9.000000000000008E-2</v>
          </cell>
          <cell r="H112">
            <v>0.11500000000000021</v>
          </cell>
        </row>
        <row r="113">
          <cell r="D113" t="str">
            <v>HW1-F1-43260</v>
          </cell>
          <cell r="E113" t="str">
            <v>HW1-F1-43260</v>
          </cell>
          <cell r="F113">
            <v>1.837</v>
          </cell>
          <cell r="G113">
            <v>0.30499999999999994</v>
          </cell>
          <cell r="H113">
            <v>0.33000000000000007</v>
          </cell>
        </row>
        <row r="114">
          <cell r="D114" t="str">
            <v>HW2-A3-43260</v>
          </cell>
          <cell r="E114" t="str">
            <v>HW2-A3-43260</v>
          </cell>
          <cell r="F114">
            <v>2.1659999999999999</v>
          </cell>
          <cell r="G114">
            <v>0.6339999999999999</v>
          </cell>
          <cell r="H114">
            <v>0.65900000000000003</v>
          </cell>
        </row>
        <row r="115">
          <cell r="D115" t="str">
            <v>HW2-B1-43260</v>
          </cell>
          <cell r="E115" t="str">
            <v>HW2-B1-43260</v>
          </cell>
          <cell r="F115">
            <v>1.6220000000000001</v>
          </cell>
          <cell r="G115">
            <v>9.000000000000008E-2</v>
          </cell>
          <cell r="H115">
            <v>0.11500000000000021</v>
          </cell>
        </row>
        <row r="116">
          <cell r="D116" t="str">
            <v>HW2-B4-43260</v>
          </cell>
          <cell r="E116" t="str">
            <v>HW2-B4-43260</v>
          </cell>
          <cell r="F116">
            <v>1.843</v>
          </cell>
          <cell r="G116">
            <v>0.31099999999999994</v>
          </cell>
          <cell r="H116">
            <v>0.33600000000000008</v>
          </cell>
        </row>
        <row r="117">
          <cell r="D117" t="str">
            <v>HW2-C5-43260</v>
          </cell>
          <cell r="E117" t="str">
            <v>HW2-C5-43260</v>
          </cell>
          <cell r="F117">
            <v>1.7549999999999999</v>
          </cell>
          <cell r="G117">
            <v>0.22299999999999986</v>
          </cell>
          <cell r="H117">
            <v>0.248</v>
          </cell>
        </row>
        <row r="118">
          <cell r="D118" t="str">
            <v>HW2-D2-43260</v>
          </cell>
          <cell r="E118" t="str">
            <v>HW2-D2-43260</v>
          </cell>
          <cell r="F118">
            <v>1.655</v>
          </cell>
          <cell r="G118">
            <v>0.123</v>
          </cell>
          <cell r="H118">
            <v>0.14800000000000013</v>
          </cell>
        </row>
        <row r="119">
          <cell r="D119" t="str">
            <v>HW2-D3-43260</v>
          </cell>
          <cell r="E119" t="str">
            <v>HW2-D3-43260</v>
          </cell>
          <cell r="F119">
            <v>1.607</v>
          </cell>
          <cell r="G119">
            <v>7.4999999999999956E-2</v>
          </cell>
          <cell r="H119">
            <v>0.10000000000000009</v>
          </cell>
        </row>
        <row r="120">
          <cell r="D120" t="str">
            <v>HW2-G7-43260</v>
          </cell>
          <cell r="E120" t="str">
            <v>HW2-G7-43260</v>
          </cell>
          <cell r="F120">
            <v>2.028</v>
          </cell>
          <cell r="G120">
            <v>0.496</v>
          </cell>
          <cell r="H120">
            <v>0.52100000000000013</v>
          </cell>
        </row>
        <row r="121">
          <cell r="D121" t="str">
            <v>HW2-H2-43260</v>
          </cell>
          <cell r="E121" t="str">
            <v>HW2-H2-43260</v>
          </cell>
          <cell r="F121">
            <v>1.7290000000000001</v>
          </cell>
          <cell r="G121">
            <v>0.19700000000000006</v>
          </cell>
          <cell r="H121">
            <v>0.2220000000000002</v>
          </cell>
        </row>
        <row r="122">
          <cell r="D122" t="str">
            <v>HW2-H6-43260</v>
          </cell>
          <cell r="E122" t="str">
            <v>HW2-H6-43260</v>
          </cell>
          <cell r="F122">
            <v>1.798</v>
          </cell>
          <cell r="G122">
            <v>0.26600000000000001</v>
          </cell>
          <cell r="H122">
            <v>0.29100000000000015</v>
          </cell>
        </row>
        <row r="123">
          <cell r="D123" t="str">
            <v>HW2-F8-43261</v>
          </cell>
          <cell r="E123" t="str">
            <v>HW2-F8-43261</v>
          </cell>
          <cell r="F123">
            <v>1.927</v>
          </cell>
          <cell r="G123">
            <v>0.39500000000000002</v>
          </cell>
          <cell r="H123">
            <v>0.42000000000000015</v>
          </cell>
        </row>
        <row r="124">
          <cell r="D124" t="str">
            <v>HW2-H2-43261</v>
          </cell>
          <cell r="E124" t="str">
            <v>HW2-H2-43261</v>
          </cell>
          <cell r="F124">
            <v>1.629</v>
          </cell>
          <cell r="G124">
            <v>9.6999999999999975E-2</v>
          </cell>
          <cell r="H124">
            <v>0.12200000000000011</v>
          </cell>
        </row>
        <row r="125">
          <cell r="D125" t="str">
            <v>HW1-E8-43262</v>
          </cell>
          <cell r="E125" t="str">
            <v>HW1-E8-43262</v>
          </cell>
          <cell r="F125">
            <v>1.6919999999999999</v>
          </cell>
          <cell r="G125">
            <v>0.15999999999999992</v>
          </cell>
          <cell r="H125">
            <v>0.18500000000000005</v>
          </cell>
        </row>
        <row r="126">
          <cell r="D126" t="str">
            <v>HW1-F2-43262</v>
          </cell>
          <cell r="E126" t="str">
            <v>HW1-F2-43262</v>
          </cell>
          <cell r="F126">
            <v>1.6359999999999999</v>
          </cell>
          <cell r="G126">
            <v>0.10399999999999987</v>
          </cell>
          <cell r="H126">
            <v>0.129</v>
          </cell>
        </row>
        <row r="127">
          <cell r="D127" t="str">
            <v>HW2-G8-43262</v>
          </cell>
          <cell r="E127" t="str">
            <v>HW2-G8-43262</v>
          </cell>
          <cell r="F127">
            <v>1.6459999999999999</v>
          </cell>
          <cell r="G127">
            <v>0.11399999999999988</v>
          </cell>
          <cell r="H127">
            <v>0.13900000000000001</v>
          </cell>
        </row>
        <row r="128">
          <cell r="D128" t="str">
            <v>PO1-D3-43266</v>
          </cell>
          <cell r="E128" t="str">
            <v>PO1-D3-43266</v>
          </cell>
          <cell r="F128">
            <v>1.8939999999999999</v>
          </cell>
          <cell r="G128">
            <v>0.36199999999999988</v>
          </cell>
          <cell r="H128">
            <v>0.38700000000000001</v>
          </cell>
        </row>
        <row r="129">
          <cell r="D129" t="str">
            <v>PO1-E2-43266</v>
          </cell>
          <cell r="E129" t="str">
            <v>PO1-E2-43266</v>
          </cell>
          <cell r="F129">
            <v>1.5549999999999999</v>
          </cell>
          <cell r="G129">
            <v>2.2999999999999909E-2</v>
          </cell>
          <cell r="H129">
            <v>4.8000000000000043E-2</v>
          </cell>
        </row>
        <row r="130">
          <cell r="D130" t="str">
            <v>PO1-E4-43266</v>
          </cell>
          <cell r="E130" t="str">
            <v>PO1-E4-43266</v>
          </cell>
          <cell r="F130">
            <v>1.58</v>
          </cell>
          <cell r="G130">
            <v>4.8000000000000043E-2</v>
          </cell>
          <cell r="H130">
            <v>7.3000000000000176E-2</v>
          </cell>
        </row>
        <row r="131">
          <cell r="D131" t="str">
            <v>PO1-G8-43266</v>
          </cell>
          <cell r="E131" t="str">
            <v>PO1-G8-43266</v>
          </cell>
          <cell r="F131">
            <v>1.802</v>
          </cell>
          <cell r="G131">
            <v>0.27</v>
          </cell>
          <cell r="H131">
            <v>0.29500000000000015</v>
          </cell>
        </row>
        <row r="132">
          <cell r="D132" t="str">
            <v>PO1-H7-43266</v>
          </cell>
          <cell r="E132" t="str">
            <v>PO1-H7-43266</v>
          </cell>
          <cell r="F132">
            <v>1.6559999999999999</v>
          </cell>
          <cell r="G132">
            <v>0.12399999999999989</v>
          </cell>
          <cell r="H132">
            <v>0.14900000000000002</v>
          </cell>
        </row>
        <row r="133">
          <cell r="D133" t="str">
            <v>PO2-D1-43266</v>
          </cell>
          <cell r="E133" t="str">
            <v>PO2-D1-43266</v>
          </cell>
          <cell r="F133">
            <v>1.579</v>
          </cell>
          <cell r="G133">
            <v>4.6999999999999931E-2</v>
          </cell>
          <cell r="H133">
            <v>7.2000000000000064E-2</v>
          </cell>
        </row>
        <row r="134">
          <cell r="D134" t="str">
            <v>PO2-D8-43266</v>
          </cell>
          <cell r="E134" t="str">
            <v>PO2-D8-43266</v>
          </cell>
          <cell r="F134">
            <v>1.722</v>
          </cell>
          <cell r="G134">
            <v>0.18999999999999995</v>
          </cell>
          <cell r="H134">
            <v>0.21500000000000008</v>
          </cell>
        </row>
        <row r="135">
          <cell r="D135" t="str">
            <v>PO2-E3-43266</v>
          </cell>
          <cell r="E135" t="str">
            <v>PO2-E3-43266</v>
          </cell>
          <cell r="F135">
            <v>1.526</v>
          </cell>
          <cell r="G135">
            <v>-6.0000000000000053E-3</v>
          </cell>
          <cell r="H135">
            <v>1.9000000000000128E-2</v>
          </cell>
        </row>
        <row r="136">
          <cell r="D136" t="str">
            <v>PO2-G1-43266</v>
          </cell>
          <cell r="E136" t="str">
            <v>PO2-G1-43266</v>
          </cell>
          <cell r="F136">
            <v>1.744</v>
          </cell>
          <cell r="G136">
            <v>0.21199999999999997</v>
          </cell>
          <cell r="H136">
            <v>0.2370000000000001</v>
          </cell>
        </row>
        <row r="137">
          <cell r="D137" t="str">
            <v>PO2-G6-43266</v>
          </cell>
          <cell r="E137" t="str">
            <v>PO2-G6-43266</v>
          </cell>
          <cell r="F137">
            <v>1.6579999999999999</v>
          </cell>
          <cell r="G137">
            <v>0.12599999999999989</v>
          </cell>
          <cell r="H137">
            <v>0.15100000000000002</v>
          </cell>
        </row>
        <row r="138">
          <cell r="D138" t="str">
            <v>PO2-G7-43266</v>
          </cell>
          <cell r="E138" t="str">
            <v>PO2-G7-43266</v>
          </cell>
          <cell r="F138">
            <v>1.5649999999999999</v>
          </cell>
          <cell r="G138">
            <v>3.2999999999999918E-2</v>
          </cell>
          <cell r="H138">
            <v>5.8000000000000052E-2</v>
          </cell>
        </row>
        <row r="139">
          <cell r="D139" t="str">
            <v>PO1-A4-43267</v>
          </cell>
          <cell r="E139" t="str">
            <v>PO1-A4-43267</v>
          </cell>
          <cell r="F139">
            <v>1.4730000000000001</v>
          </cell>
          <cell r="G139">
            <v>-5.8999999999999941E-2</v>
          </cell>
          <cell r="H139">
            <v>-3.3999999999999808E-2</v>
          </cell>
        </row>
        <row r="140">
          <cell r="D140" t="str">
            <v>PO1-A7-43267</v>
          </cell>
          <cell r="E140" t="str">
            <v>PO1-A7-43267</v>
          </cell>
          <cell r="F140">
            <v>1.917</v>
          </cell>
          <cell r="G140">
            <v>0.38500000000000001</v>
          </cell>
          <cell r="H140">
            <v>0.41000000000000014</v>
          </cell>
        </row>
        <row r="141">
          <cell r="D141" t="str">
            <v>PO1-B5-43267</v>
          </cell>
          <cell r="E141" t="str">
            <v>PO1-B5-43267</v>
          </cell>
          <cell r="F141">
            <v>1.603</v>
          </cell>
          <cell r="G141">
            <v>7.0999999999999952E-2</v>
          </cell>
          <cell r="H141">
            <v>9.6000000000000085E-2</v>
          </cell>
        </row>
        <row r="142">
          <cell r="D142" t="str">
            <v>PO2-A2-43267</v>
          </cell>
          <cell r="E142" t="str">
            <v>PO2-A2-43267</v>
          </cell>
          <cell r="F142">
            <v>1.595</v>
          </cell>
          <cell r="G142">
            <v>6.2999999999999945E-2</v>
          </cell>
          <cell r="H142">
            <v>8.8000000000000078E-2</v>
          </cell>
        </row>
        <row r="143">
          <cell r="D143" t="str">
            <v>PO2-A4-43267</v>
          </cell>
          <cell r="E143" t="str">
            <v>PO2-A4-43267</v>
          </cell>
          <cell r="F143">
            <v>1.669</v>
          </cell>
          <cell r="G143">
            <v>0.13700000000000001</v>
          </cell>
          <cell r="H143">
            <v>0.16200000000000014</v>
          </cell>
        </row>
        <row r="144">
          <cell r="D144" t="str">
            <v>PO2-B6-43267</v>
          </cell>
          <cell r="E144" t="str">
            <v>PO2-B6-43267</v>
          </cell>
          <cell r="F144">
            <v>1.657</v>
          </cell>
          <cell r="G144">
            <v>0.125</v>
          </cell>
          <cell r="H144">
            <v>0.15000000000000013</v>
          </cell>
        </row>
        <row r="145">
          <cell r="D145" t="str">
            <v>PO2-F1-43267</v>
          </cell>
          <cell r="E145" t="str">
            <v>PO2-F1-43267</v>
          </cell>
          <cell r="F145">
            <v>1.538</v>
          </cell>
          <cell r="G145">
            <v>6.0000000000000053E-3</v>
          </cell>
          <cell r="H145">
            <v>3.1000000000000139E-2</v>
          </cell>
        </row>
        <row r="146">
          <cell r="D146" t="str">
            <v>PO2-F8-43267</v>
          </cell>
          <cell r="E146" t="str">
            <v>PO2-F8-43267</v>
          </cell>
          <cell r="F146">
            <v>1.6379999999999999</v>
          </cell>
          <cell r="G146">
            <v>0.10599999999999987</v>
          </cell>
          <cell r="H146">
            <v>0.13100000000000001</v>
          </cell>
        </row>
        <row r="147">
          <cell r="D147" t="str">
            <v>PO2-H4-43267</v>
          </cell>
          <cell r="E147" t="str">
            <v>PO2-H4-43267</v>
          </cell>
          <cell r="F147">
            <v>1.599</v>
          </cell>
          <cell r="G147">
            <v>6.6999999999999948E-2</v>
          </cell>
          <cell r="H147">
            <v>9.2000000000000082E-2</v>
          </cell>
        </row>
        <row r="148">
          <cell r="D148" t="str">
            <v>PO1-A4-43268</v>
          </cell>
          <cell r="E148" t="str">
            <v>PO1-A4-43268</v>
          </cell>
          <cell r="F148">
            <v>1.8120000000000001</v>
          </cell>
          <cell r="G148">
            <v>0.28000000000000003</v>
          </cell>
          <cell r="H148">
            <v>0.30500000000000016</v>
          </cell>
        </row>
        <row r="149">
          <cell r="D149" t="str">
            <v>PO1-H2-43268</v>
          </cell>
          <cell r="E149" t="str">
            <v>PO1-H2-43268</v>
          </cell>
          <cell r="F149">
            <v>1.8680000000000001</v>
          </cell>
          <cell r="G149">
            <v>0.33600000000000008</v>
          </cell>
          <cell r="H149">
            <v>0.36100000000000021</v>
          </cell>
        </row>
        <row r="150">
          <cell r="D150" t="str">
            <v>PO1-H7-43268</v>
          </cell>
          <cell r="E150" t="str">
            <v>PO1-H7-43268</v>
          </cell>
          <cell r="F150">
            <v>1.639</v>
          </cell>
          <cell r="G150">
            <v>0.10699999999999998</v>
          </cell>
          <cell r="H150">
            <v>0.13200000000000012</v>
          </cell>
        </row>
        <row r="151">
          <cell r="D151" t="str">
            <v>SP1-B8-43269</v>
          </cell>
          <cell r="E151" t="str">
            <v>SP1-B8-43269</v>
          </cell>
          <cell r="F151">
            <v>1.5249999999999999</v>
          </cell>
          <cell r="G151">
            <v>-7.0000000000001172E-3</v>
          </cell>
          <cell r="H151">
            <v>1.8000000000000016E-2</v>
          </cell>
        </row>
        <row r="152">
          <cell r="D152" t="str">
            <v>SP1-G1-43269</v>
          </cell>
          <cell r="E152" t="str">
            <v>SP1-G1-43269</v>
          </cell>
          <cell r="F152">
            <v>1.5069999999999999</v>
          </cell>
          <cell r="G152">
            <v>-2.5000000000000133E-2</v>
          </cell>
          <cell r="H152">
            <v>0</v>
          </cell>
        </row>
        <row r="153">
          <cell r="D153" t="str">
            <v>SP1-G7-43269</v>
          </cell>
          <cell r="E153" t="str">
            <v>SP1-G7-43269</v>
          </cell>
          <cell r="F153">
            <v>1.671</v>
          </cell>
          <cell r="G153">
            <v>0.13900000000000001</v>
          </cell>
          <cell r="H153">
            <v>0.16400000000000015</v>
          </cell>
        </row>
        <row r="154">
          <cell r="D154" t="str">
            <v>SP1-G8-43269</v>
          </cell>
          <cell r="E154" t="str">
            <v>SP1-G8-43269</v>
          </cell>
          <cell r="F154">
            <v>1.5289999999999999</v>
          </cell>
          <cell r="G154">
            <v>-3.0000000000001137E-3</v>
          </cell>
          <cell r="H154">
            <v>2.200000000000002E-2</v>
          </cell>
        </row>
        <row r="155">
          <cell r="D155" t="str">
            <v>SP1-H3-43269</v>
          </cell>
          <cell r="E155" t="str">
            <v>SP1-H3-43269</v>
          </cell>
          <cell r="F155">
            <v>1.554</v>
          </cell>
          <cell r="G155">
            <v>2.200000000000002E-2</v>
          </cell>
          <cell r="H155">
            <v>4.7000000000000153E-2</v>
          </cell>
        </row>
        <row r="156">
          <cell r="D156" t="str">
            <v>SP1-H4-43269</v>
          </cell>
          <cell r="E156" t="str">
            <v>SP1-H4-43269</v>
          </cell>
          <cell r="F156">
            <v>1.7070000000000001</v>
          </cell>
          <cell r="G156">
            <v>0.17500000000000004</v>
          </cell>
          <cell r="H156">
            <v>0.20000000000000018</v>
          </cell>
        </row>
        <row r="157">
          <cell r="D157" t="str">
            <v>SP2-A8-43269</v>
          </cell>
          <cell r="E157" t="str">
            <v>SP2-A8-43269</v>
          </cell>
          <cell r="F157">
            <v>1.615</v>
          </cell>
          <cell r="G157">
            <v>8.2999999999999963E-2</v>
          </cell>
          <cell r="H157">
            <v>0.1080000000000001</v>
          </cell>
        </row>
        <row r="158">
          <cell r="D158" t="str">
            <v>SP2-B5-43269</v>
          </cell>
          <cell r="E158" t="str">
            <v>SP2-B5-43269</v>
          </cell>
          <cell r="F158">
            <v>1.54</v>
          </cell>
          <cell r="G158">
            <v>8.0000000000000071E-3</v>
          </cell>
          <cell r="H158">
            <v>3.300000000000014E-2</v>
          </cell>
        </row>
        <row r="159">
          <cell r="D159" t="str">
            <v>SP2-C8-43269</v>
          </cell>
          <cell r="E159" t="str">
            <v>SP2-C8-43269</v>
          </cell>
          <cell r="F159">
            <v>1.5189999999999999</v>
          </cell>
          <cell r="G159">
            <v>-1.3000000000000123E-2</v>
          </cell>
          <cell r="H159">
            <v>1.2000000000000011E-2</v>
          </cell>
        </row>
        <row r="160">
          <cell r="D160" t="str">
            <v>SP2-F4-43269</v>
          </cell>
          <cell r="E160" t="str">
            <v>SP2-F4-43269</v>
          </cell>
          <cell r="F160">
            <v>1.62</v>
          </cell>
          <cell r="G160">
            <v>8.8000000000000078E-2</v>
          </cell>
          <cell r="H160">
            <v>0.11300000000000021</v>
          </cell>
        </row>
        <row r="161">
          <cell r="D161" t="str">
            <v>SP2-G7-43269</v>
          </cell>
          <cell r="E161" t="str">
            <v>SP2-G7-43269</v>
          </cell>
          <cell r="F161">
            <v>1.5409999999999999</v>
          </cell>
          <cell r="G161">
            <v>8.999999999999897E-3</v>
          </cell>
          <cell r="H161">
            <v>3.400000000000003E-2</v>
          </cell>
        </row>
        <row r="162">
          <cell r="D162" t="str">
            <v>SP2-H2-43269</v>
          </cell>
          <cell r="E162" t="str">
            <v>SP2-H2-43269</v>
          </cell>
          <cell r="F162">
            <v>1.56</v>
          </cell>
          <cell r="G162">
            <v>2.8000000000000025E-2</v>
          </cell>
          <cell r="H162">
            <v>5.3000000000000158E-2</v>
          </cell>
        </row>
        <row r="163">
          <cell r="D163" t="str">
            <v>SP2-H5-43269</v>
          </cell>
          <cell r="E163" t="str">
            <v>SP2-H5-43269</v>
          </cell>
          <cell r="F163">
            <v>1.526</v>
          </cell>
          <cell r="G163">
            <v>-6.0000000000000053E-3</v>
          </cell>
          <cell r="H163">
            <v>1.9000000000000128E-2</v>
          </cell>
        </row>
        <row r="164">
          <cell r="D164" t="str">
            <v>SP2-H7-43269</v>
          </cell>
          <cell r="E164" t="str">
            <v>SP2-H7-43269</v>
          </cell>
        </row>
        <row r="165">
          <cell r="D165" t="str">
            <v>SP1-B1-43270</v>
          </cell>
          <cell r="E165" t="str">
            <v>SP1-B1-43270</v>
          </cell>
          <cell r="F165">
            <v>1.8220000000000001</v>
          </cell>
          <cell r="G165">
            <v>0.29000000000000004</v>
          </cell>
          <cell r="H165">
            <v>0.31500000000000017</v>
          </cell>
        </row>
        <row r="166">
          <cell r="D166" t="str">
            <v>SP1-C1-43270</v>
          </cell>
          <cell r="E166" t="str">
            <v>SP1-C1-43270</v>
          </cell>
          <cell r="F166">
            <v>1.581</v>
          </cell>
          <cell r="G166">
            <v>4.8999999999999932E-2</v>
          </cell>
          <cell r="H166">
            <v>7.4000000000000066E-2</v>
          </cell>
        </row>
        <row r="167">
          <cell r="D167" t="str">
            <v>SP1-F2-43270</v>
          </cell>
          <cell r="E167" t="str">
            <v>SP1-F2-43270</v>
          </cell>
          <cell r="F167">
            <v>1.579</v>
          </cell>
          <cell r="G167">
            <v>4.6999999999999931E-2</v>
          </cell>
          <cell r="H167">
            <v>7.2000000000000064E-2</v>
          </cell>
        </row>
        <row r="168">
          <cell r="D168" t="str">
            <v>SP2-A8-43270</v>
          </cell>
          <cell r="E168" t="str">
            <v>SP2-A8-43270</v>
          </cell>
          <cell r="F168">
            <v>1.8080000000000001</v>
          </cell>
          <cell r="G168">
            <v>0.27600000000000002</v>
          </cell>
          <cell r="H168">
            <v>0.30100000000000016</v>
          </cell>
        </row>
        <row r="169">
          <cell r="D169" t="str">
            <v>SP2-B3-43270</v>
          </cell>
          <cell r="E169" t="str">
            <v>SP2-B3-43270</v>
          </cell>
          <cell r="F169">
            <v>1.579</v>
          </cell>
          <cell r="G169">
            <v>4.6999999999999931E-2</v>
          </cell>
          <cell r="H169">
            <v>7.2000000000000064E-2</v>
          </cell>
        </row>
        <row r="170">
          <cell r="D170" t="str">
            <v>SP2-G1-43270</v>
          </cell>
          <cell r="E170" t="str">
            <v>SP2-G1-43270</v>
          </cell>
          <cell r="F170">
            <v>1.6870000000000001</v>
          </cell>
          <cell r="G170">
            <v>0.15500000000000003</v>
          </cell>
          <cell r="H170">
            <v>0.18000000000000016</v>
          </cell>
        </row>
        <row r="171">
          <cell r="D171" t="str">
            <v>SP1-B7-43271</v>
          </cell>
          <cell r="E171" t="str">
            <v>SP1-B7-43271</v>
          </cell>
          <cell r="F171">
            <v>1.5740000000000001</v>
          </cell>
          <cell r="G171">
            <v>4.2000000000000037E-2</v>
          </cell>
          <cell r="H171">
            <v>6.7000000000000171E-2</v>
          </cell>
        </row>
        <row r="172">
          <cell r="D172" t="str">
            <v>SP1-D3-43271</v>
          </cell>
          <cell r="E172" t="str">
            <v>SP1-D3-43271</v>
          </cell>
          <cell r="F172">
            <v>1.8580000000000001</v>
          </cell>
          <cell r="G172">
            <v>0.32600000000000007</v>
          </cell>
          <cell r="H172">
            <v>0.3510000000000002</v>
          </cell>
        </row>
        <row r="173">
          <cell r="D173" t="str">
            <v>BC1-A7-43274</v>
          </cell>
          <cell r="E173" t="str">
            <v>BC1-A7-43274</v>
          </cell>
          <cell r="F173">
            <v>1.7170000000000001</v>
          </cell>
          <cell r="G173">
            <v>0.18500000000000005</v>
          </cell>
          <cell r="H173">
            <v>0.21000000000000019</v>
          </cell>
        </row>
        <row r="174">
          <cell r="D174" t="str">
            <v>BC1-B3-43274</v>
          </cell>
          <cell r="E174" t="str">
            <v>BC1-B3-43274</v>
          </cell>
          <cell r="F174">
            <v>1.7030000000000001</v>
          </cell>
          <cell r="G174">
            <v>0.17100000000000004</v>
          </cell>
          <cell r="H174">
            <v>0.19600000000000017</v>
          </cell>
        </row>
        <row r="175">
          <cell r="D175" t="str">
            <v>BC1-C8-43274</v>
          </cell>
          <cell r="E175" t="str">
            <v>BC1-C8-43274</v>
          </cell>
          <cell r="F175">
            <v>2.085</v>
          </cell>
          <cell r="G175">
            <v>0.55299999999999994</v>
          </cell>
          <cell r="H175">
            <v>0.57800000000000007</v>
          </cell>
        </row>
        <row r="176">
          <cell r="D176" t="str">
            <v>BC1-D2-43274</v>
          </cell>
          <cell r="E176" t="str">
            <v>BC1-D2-43274</v>
          </cell>
          <cell r="F176">
            <v>1.6439999999999999</v>
          </cell>
          <cell r="G176">
            <v>0.11199999999999988</v>
          </cell>
          <cell r="H176">
            <v>0.13700000000000001</v>
          </cell>
        </row>
        <row r="177">
          <cell r="D177" t="str">
            <v>BC1-H5-43274</v>
          </cell>
          <cell r="E177" t="str">
            <v>BC1-H5-43274</v>
          </cell>
          <cell r="F177">
            <v>1.9239999999999999</v>
          </cell>
          <cell r="G177">
            <v>0.3919999999999999</v>
          </cell>
          <cell r="H177">
            <v>0.41700000000000004</v>
          </cell>
        </row>
        <row r="178">
          <cell r="D178" t="str">
            <v>BC1-H6-43274</v>
          </cell>
          <cell r="E178" t="str">
            <v>BC1-H6-43274</v>
          </cell>
          <cell r="F178">
            <v>1.9570000000000001</v>
          </cell>
          <cell r="G178">
            <v>0.42500000000000004</v>
          </cell>
          <cell r="H178">
            <v>0.45000000000000018</v>
          </cell>
        </row>
        <row r="179">
          <cell r="D179" t="str">
            <v>BC2-A4-43274</v>
          </cell>
          <cell r="E179" t="str">
            <v>BC2-A4-43274</v>
          </cell>
          <cell r="F179">
            <v>1.677</v>
          </cell>
          <cell r="G179">
            <v>0.14500000000000002</v>
          </cell>
          <cell r="H179">
            <v>0.17000000000000015</v>
          </cell>
        </row>
        <row r="180">
          <cell r="D180" t="str">
            <v>BC2-A5-43274</v>
          </cell>
          <cell r="E180" t="str">
            <v>BC2-A5-43274</v>
          </cell>
          <cell r="F180">
            <v>1.91</v>
          </cell>
          <cell r="G180">
            <v>0.37799999999999989</v>
          </cell>
          <cell r="H180">
            <v>0.40300000000000002</v>
          </cell>
        </row>
        <row r="181">
          <cell r="D181" t="str">
            <v>BC2-D1-43274</v>
          </cell>
          <cell r="E181" t="str">
            <v>BC2-D1-43274</v>
          </cell>
          <cell r="F181">
            <v>1.5620000000000001</v>
          </cell>
          <cell r="G181">
            <v>3.0000000000000027E-2</v>
          </cell>
          <cell r="H181">
            <v>5.500000000000016E-2</v>
          </cell>
        </row>
        <row r="182">
          <cell r="D182" t="str">
            <v>BC1-C6-43275</v>
          </cell>
          <cell r="E182" t="str">
            <v>BC1-C6-43275</v>
          </cell>
          <cell r="F182">
            <v>1.74</v>
          </cell>
          <cell r="G182">
            <v>0.20799999999999996</v>
          </cell>
          <cell r="H182">
            <v>0.2330000000000001</v>
          </cell>
        </row>
        <row r="183">
          <cell r="D183" t="str">
            <v>BC2-A1-43275</v>
          </cell>
          <cell r="E183" t="str">
            <v>BC2-A1-43275</v>
          </cell>
          <cell r="F183">
            <v>1.554</v>
          </cell>
          <cell r="G183">
            <v>2.200000000000002E-2</v>
          </cell>
          <cell r="H183">
            <v>4.7000000000000153E-2</v>
          </cell>
        </row>
        <row r="184">
          <cell r="D184" t="str">
            <v>BC2-B7-43275</v>
          </cell>
          <cell r="E184" t="str">
            <v>BC2-B7-43275</v>
          </cell>
          <cell r="F184">
            <v>1.7569999999999999</v>
          </cell>
          <cell r="G184">
            <v>0.22499999999999987</v>
          </cell>
          <cell r="H184">
            <v>0.25</v>
          </cell>
        </row>
        <row r="185">
          <cell r="D185" t="str">
            <v>BC2-F2-43275</v>
          </cell>
          <cell r="E185" t="str">
            <v>BC2-F2-43275</v>
          </cell>
          <cell r="F185">
            <v>1.5569999999999999</v>
          </cell>
          <cell r="G185">
            <v>2.4999999999999911E-2</v>
          </cell>
          <cell r="H185">
            <v>5.0000000000000044E-2</v>
          </cell>
        </row>
        <row r="186">
          <cell r="D186" t="str">
            <v>BC2-H2-43275</v>
          </cell>
          <cell r="E186" t="str">
            <v>BC2-H2-43275</v>
          </cell>
          <cell r="F186">
            <v>1.7010000000000001</v>
          </cell>
          <cell r="G186">
            <v>0.16900000000000004</v>
          </cell>
          <cell r="H186">
            <v>0.19400000000000017</v>
          </cell>
        </row>
        <row r="187">
          <cell r="D187" t="str">
            <v>BC2-H7-43275</v>
          </cell>
          <cell r="E187" t="str">
            <v>BC2-H7-43275</v>
          </cell>
          <cell r="F187">
            <v>1.538</v>
          </cell>
          <cell r="G187">
            <v>6.0000000000000053E-3</v>
          </cell>
          <cell r="H187">
            <v>3.1000000000000139E-2</v>
          </cell>
        </row>
        <row r="188">
          <cell r="D188" t="str">
            <v>BC2-H8-43275</v>
          </cell>
          <cell r="E188" t="str">
            <v>BC2-H8-43275</v>
          </cell>
          <cell r="F188">
            <v>1.847</v>
          </cell>
          <cell r="G188">
            <v>0.31499999999999995</v>
          </cell>
          <cell r="H188">
            <v>0.34000000000000008</v>
          </cell>
        </row>
        <row r="189">
          <cell r="D189" t="str">
            <v>BC1-H5-43276</v>
          </cell>
          <cell r="E189" t="str">
            <v>BC1-H5-43276</v>
          </cell>
          <cell r="F189">
            <v>1.64</v>
          </cell>
          <cell r="G189">
            <v>0.10799999999999987</v>
          </cell>
          <cell r="H189">
            <v>0.13300000000000001</v>
          </cell>
        </row>
        <row r="190">
          <cell r="D190" t="str">
            <v>BC2-A1-43276</v>
          </cell>
          <cell r="E190" t="str">
            <v>BC2-A1-43276</v>
          </cell>
          <cell r="F190">
            <v>1.5269999999999999</v>
          </cell>
          <cell r="G190">
            <v>-5.0000000000001155E-3</v>
          </cell>
          <cell r="H190">
            <v>2.0000000000000018E-2</v>
          </cell>
        </row>
        <row r="191">
          <cell r="D191" t="str">
            <v>HW1-B3-43277</v>
          </cell>
          <cell r="E191" t="str">
            <v>HW1-B3-43277</v>
          </cell>
          <cell r="F191">
            <v>1.84</v>
          </cell>
          <cell r="G191">
            <v>0.30800000000000005</v>
          </cell>
          <cell r="H191">
            <v>0.33300000000000018</v>
          </cell>
        </row>
        <row r="192">
          <cell r="D192" t="str">
            <v>HW1-E1-43277</v>
          </cell>
          <cell r="E192" t="str">
            <v>HW1-E1-43277</v>
          </cell>
          <cell r="F192">
            <v>1.8149999999999999</v>
          </cell>
          <cell r="G192">
            <v>0.28299999999999992</v>
          </cell>
          <cell r="H192">
            <v>0.30800000000000005</v>
          </cell>
        </row>
        <row r="193">
          <cell r="D193" t="str">
            <v>HW1-E4-43277</v>
          </cell>
          <cell r="E193" t="str">
            <v>HW1-E4-43277</v>
          </cell>
          <cell r="F193">
            <v>1.6850000000000001</v>
          </cell>
          <cell r="G193">
            <v>0.15300000000000002</v>
          </cell>
          <cell r="H193">
            <v>0.17800000000000016</v>
          </cell>
        </row>
        <row r="194">
          <cell r="D194" t="str">
            <v>HW1-E6-43277</v>
          </cell>
          <cell r="E194" t="str">
            <v>HW1-E6-43277</v>
          </cell>
          <cell r="F194">
            <v>2.2320000000000002</v>
          </cell>
          <cell r="G194">
            <v>0.70000000000000018</v>
          </cell>
          <cell r="H194">
            <v>0.72500000000000031</v>
          </cell>
        </row>
        <row r="195">
          <cell r="D195" t="str">
            <v>HW1-F1-43277</v>
          </cell>
          <cell r="E195" t="str">
            <v>HW1-F1-43277</v>
          </cell>
          <cell r="F195">
            <v>1.7130000000000001</v>
          </cell>
          <cell r="G195">
            <v>0.18100000000000005</v>
          </cell>
          <cell r="H195">
            <v>0.20600000000000018</v>
          </cell>
        </row>
        <row r="196">
          <cell r="D196" t="str">
            <v>HW1-F3-43277</v>
          </cell>
          <cell r="E196" t="str">
            <v>HW1-F3-43277</v>
          </cell>
          <cell r="F196">
            <v>1.865</v>
          </cell>
          <cell r="G196">
            <v>0.33299999999999996</v>
          </cell>
          <cell r="H196">
            <v>0.3580000000000001</v>
          </cell>
        </row>
        <row r="197">
          <cell r="D197" t="str">
            <v>HW1-H5-43277</v>
          </cell>
          <cell r="E197" t="str">
            <v>HW1-H5-43277</v>
          </cell>
          <cell r="F197">
            <v>1.8109999999999999</v>
          </cell>
          <cell r="G197">
            <v>0.27899999999999991</v>
          </cell>
          <cell r="H197">
            <v>0.30400000000000005</v>
          </cell>
        </row>
        <row r="198">
          <cell r="D198" t="str">
            <v>HW1-H7-43277</v>
          </cell>
          <cell r="E198" t="str">
            <v>HW1-H7-43277</v>
          </cell>
          <cell r="F198">
            <v>1.671</v>
          </cell>
          <cell r="G198">
            <v>0.13900000000000001</v>
          </cell>
          <cell r="H198">
            <v>0.16400000000000015</v>
          </cell>
        </row>
        <row r="199">
          <cell r="D199" t="str">
            <v>HW2-A3-43277</v>
          </cell>
          <cell r="E199" t="str">
            <v>HW2-A3-43277</v>
          </cell>
          <cell r="F199">
            <v>1.4990000000000001</v>
          </cell>
          <cell r="G199">
            <v>-3.2999999999999918E-2</v>
          </cell>
          <cell r="H199">
            <v>-7.9999999999997851E-3</v>
          </cell>
        </row>
        <row r="200">
          <cell r="D200" t="str">
            <v>HW2-A4-43277</v>
          </cell>
          <cell r="E200" t="str">
            <v>HW2-A4-43277</v>
          </cell>
          <cell r="F200">
            <v>1.86</v>
          </cell>
          <cell r="G200">
            <v>0.32800000000000007</v>
          </cell>
          <cell r="H200">
            <v>0.3530000000000002</v>
          </cell>
        </row>
        <row r="201">
          <cell r="D201" t="str">
            <v>HW2-B4-43277</v>
          </cell>
          <cell r="E201" t="str">
            <v>HW2-B4-43277</v>
          </cell>
          <cell r="F201">
            <v>1.77</v>
          </cell>
          <cell r="G201">
            <v>0.23799999999999999</v>
          </cell>
          <cell r="H201">
            <v>0.26300000000000012</v>
          </cell>
        </row>
        <row r="202">
          <cell r="D202" t="str">
            <v>HW2-D8-43277</v>
          </cell>
          <cell r="E202" t="str">
            <v>HW2-D8-43277</v>
          </cell>
          <cell r="F202">
            <v>2.056</v>
          </cell>
          <cell r="G202">
            <v>0.52400000000000002</v>
          </cell>
          <cell r="H202">
            <v>0.54900000000000015</v>
          </cell>
        </row>
        <row r="203">
          <cell r="D203" t="str">
            <v>HW2-E1-43277</v>
          </cell>
          <cell r="E203" t="str">
            <v>HW2-E1-43277</v>
          </cell>
          <cell r="F203">
            <v>2.532</v>
          </cell>
          <cell r="G203">
            <v>1</v>
          </cell>
          <cell r="H203">
            <v>1.0250000000000001</v>
          </cell>
        </row>
        <row r="204">
          <cell r="D204" t="str">
            <v>HW2-F2-43277</v>
          </cell>
          <cell r="E204" t="str">
            <v>HW2-F2-43277</v>
          </cell>
          <cell r="F204">
            <v>2.117</v>
          </cell>
          <cell r="G204">
            <v>0.58499999999999996</v>
          </cell>
          <cell r="H204">
            <v>0.6100000000000001</v>
          </cell>
        </row>
        <row r="205">
          <cell r="D205" t="str">
            <v>HW2-F6-43277</v>
          </cell>
          <cell r="E205" t="str">
            <v>HW2-F6-43277</v>
          </cell>
          <cell r="F205">
            <v>1.61</v>
          </cell>
          <cell r="G205">
            <v>7.8000000000000069E-2</v>
          </cell>
          <cell r="H205">
            <v>0.1030000000000002</v>
          </cell>
        </row>
        <row r="206">
          <cell r="D206" t="str">
            <v>HW2-G2-43277</v>
          </cell>
          <cell r="E206" t="str">
            <v>HW2-G2-43277</v>
          </cell>
          <cell r="F206">
            <v>1.7270000000000001</v>
          </cell>
          <cell r="G206">
            <v>0.19500000000000006</v>
          </cell>
          <cell r="H206">
            <v>0.2200000000000002</v>
          </cell>
        </row>
        <row r="207">
          <cell r="D207" t="str">
            <v>HW2-G4-43277</v>
          </cell>
          <cell r="E207" t="str">
            <v>HW2-G4-43277</v>
          </cell>
          <cell r="F207">
            <v>1.829</v>
          </cell>
          <cell r="G207">
            <v>0.29699999999999993</v>
          </cell>
          <cell r="H207">
            <v>0.32200000000000006</v>
          </cell>
        </row>
        <row r="208">
          <cell r="D208" t="str">
            <v>HW2-G7-43277</v>
          </cell>
          <cell r="E208" t="str">
            <v>HW2-G7-43277</v>
          </cell>
          <cell r="F208">
            <v>1.845</v>
          </cell>
          <cell r="G208">
            <v>0.31299999999999994</v>
          </cell>
          <cell r="H208">
            <v>0.33800000000000008</v>
          </cell>
        </row>
        <row r="209">
          <cell r="D209" t="str">
            <v>HW2-H5-43277</v>
          </cell>
          <cell r="E209" t="str">
            <v>HW2-H5-43277</v>
          </cell>
          <cell r="F209">
            <v>2.4780000000000002</v>
          </cell>
          <cell r="G209">
            <v>0.94600000000000017</v>
          </cell>
          <cell r="H209">
            <v>0.97100000000000031</v>
          </cell>
        </row>
        <row r="210">
          <cell r="D210" t="str">
            <v>HW2-H7-43277</v>
          </cell>
          <cell r="E210" t="str">
            <v>HW2-H7-43277</v>
          </cell>
          <cell r="F210">
            <v>1.99</v>
          </cell>
          <cell r="G210">
            <v>0.45799999999999996</v>
          </cell>
          <cell r="H210">
            <v>0.4830000000000001</v>
          </cell>
        </row>
        <row r="211">
          <cell r="D211" t="str">
            <v>HW2-A1-43278</v>
          </cell>
          <cell r="E211" t="str">
            <v>HW2-A1-43278</v>
          </cell>
          <cell r="F211">
            <v>1.6619999999999999</v>
          </cell>
          <cell r="G211">
            <v>0.12999999999999989</v>
          </cell>
          <cell r="H211">
            <v>0.15500000000000003</v>
          </cell>
        </row>
        <row r="212">
          <cell r="D212" t="str">
            <v>HW2-G4-43278</v>
          </cell>
          <cell r="E212" t="str">
            <v>HW2-G4-43278</v>
          </cell>
          <cell r="F212">
            <v>1.528</v>
          </cell>
          <cell r="G212">
            <v>-4.0000000000000036E-3</v>
          </cell>
          <cell r="H212">
            <v>2.100000000000013E-2</v>
          </cell>
        </row>
        <row r="213">
          <cell r="D213" t="str">
            <v>HW2-G8-43278</v>
          </cell>
          <cell r="E213" t="str">
            <v>HW2-G8-43278</v>
          </cell>
          <cell r="F213">
            <v>1.6779999999999999</v>
          </cell>
          <cell r="G213">
            <v>0.14599999999999991</v>
          </cell>
          <cell r="H213">
            <v>0.17100000000000004</v>
          </cell>
        </row>
        <row r="214">
          <cell r="D214" t="str">
            <v>HW2-H8-43278</v>
          </cell>
          <cell r="E214" t="str">
            <v>HW2-H8-43278</v>
          </cell>
          <cell r="F214">
            <v>1.746</v>
          </cell>
          <cell r="G214">
            <v>0.21399999999999997</v>
          </cell>
          <cell r="H214">
            <v>0.2390000000000001</v>
          </cell>
        </row>
        <row r="215">
          <cell r="D215" t="str">
            <v>HW1-G1-43279</v>
          </cell>
          <cell r="E215" t="str">
            <v>HW1-G1-43279</v>
          </cell>
          <cell r="F215">
            <v>1.607</v>
          </cell>
          <cell r="G215">
            <v>7.4999999999999956E-2</v>
          </cell>
          <cell r="H215">
            <v>0.10000000000000009</v>
          </cell>
        </row>
        <row r="216">
          <cell r="D216" t="str">
            <v>HW2-H2-43279</v>
          </cell>
          <cell r="E216" t="str">
            <v>HW2-H2-43279</v>
          </cell>
          <cell r="F216">
            <v>1.6020000000000001</v>
          </cell>
          <cell r="G216">
            <v>7.0000000000000062E-2</v>
          </cell>
          <cell r="H216">
            <v>9.5000000000000195E-2</v>
          </cell>
        </row>
        <row r="217">
          <cell r="D217" t="str">
            <v>PO2-A1-43283</v>
          </cell>
          <cell r="E217" t="str">
            <v>PO2-A1-43283</v>
          </cell>
          <cell r="F217">
            <v>1.548</v>
          </cell>
          <cell r="G217">
            <v>1.6000000000000014E-2</v>
          </cell>
          <cell r="H217">
            <v>4.1000000000000147E-2</v>
          </cell>
        </row>
        <row r="218">
          <cell r="D218" t="str">
            <v>PO1-B5-43283</v>
          </cell>
          <cell r="E218" t="str">
            <v>PO1-B5-43283</v>
          </cell>
          <cell r="F218">
            <v>1.627</v>
          </cell>
          <cell r="G218">
            <v>9.4999999999999973E-2</v>
          </cell>
          <cell r="H218">
            <v>0.12000000000000011</v>
          </cell>
        </row>
        <row r="219">
          <cell r="D219" t="str">
            <v>PO1-C1-43283</v>
          </cell>
          <cell r="E219" t="str">
            <v>PO1-C1-43283</v>
          </cell>
          <cell r="F219">
            <v>1.5349999999999999</v>
          </cell>
          <cell r="G219">
            <v>2.9999999999998916E-3</v>
          </cell>
          <cell r="H219">
            <v>2.8000000000000025E-2</v>
          </cell>
        </row>
        <row r="220">
          <cell r="D220" t="str">
            <v>PO1-E1-43283</v>
          </cell>
          <cell r="E220" t="str">
            <v>PO1-E1-43283</v>
          </cell>
          <cell r="F220">
            <v>1.52</v>
          </cell>
          <cell r="G220">
            <v>-1.2000000000000011E-2</v>
          </cell>
          <cell r="H220">
            <v>1.3000000000000123E-2</v>
          </cell>
        </row>
        <row r="221">
          <cell r="D221" t="str">
            <v>PO1-F1-43283</v>
          </cell>
          <cell r="E221" t="str">
            <v>PO1-F1-43283</v>
          </cell>
          <cell r="F221">
            <v>1.532</v>
          </cell>
          <cell r="G221">
            <v>0</v>
          </cell>
          <cell r="H221">
            <v>2.5000000000000133E-2</v>
          </cell>
        </row>
        <row r="222">
          <cell r="D222" t="str">
            <v>PO1-F6-43283</v>
          </cell>
          <cell r="E222" t="str">
            <v>PO1-F6-43283</v>
          </cell>
          <cell r="F222">
            <v>1.5069999999999999</v>
          </cell>
          <cell r="G222">
            <v>-2.5000000000000133E-2</v>
          </cell>
          <cell r="H222">
            <v>0</v>
          </cell>
        </row>
        <row r="223">
          <cell r="D223" t="str">
            <v>PO1-H4-43283</v>
          </cell>
          <cell r="E223" t="str">
            <v>PO1-H4-43283</v>
          </cell>
          <cell r="F223">
            <v>1.512</v>
          </cell>
          <cell r="G223">
            <v>-2.0000000000000018E-2</v>
          </cell>
          <cell r="H223">
            <v>5.0000000000001155E-3</v>
          </cell>
        </row>
        <row r="224">
          <cell r="D224" t="str">
            <v>PO2-A2-43283</v>
          </cell>
          <cell r="E224" t="str">
            <v>PO2-A2-43283</v>
          </cell>
          <cell r="F224">
            <v>1.641</v>
          </cell>
          <cell r="G224">
            <v>0.10899999999999999</v>
          </cell>
          <cell r="H224">
            <v>0.13400000000000012</v>
          </cell>
        </row>
        <row r="225">
          <cell r="D225" t="str">
            <v>PO2-A7-43283</v>
          </cell>
          <cell r="E225" t="str">
            <v>PO2-A7-43283</v>
          </cell>
          <cell r="F225">
            <v>1.7070000000000001</v>
          </cell>
          <cell r="G225">
            <v>0.17500000000000004</v>
          </cell>
          <cell r="H225">
            <v>0.20000000000000018</v>
          </cell>
        </row>
        <row r="226">
          <cell r="D226" t="str">
            <v>PO2-A8-43283</v>
          </cell>
          <cell r="E226" t="str">
            <v>PO2-A8-43283</v>
          </cell>
          <cell r="F226">
            <v>1.522</v>
          </cell>
          <cell r="G226">
            <v>-1.0000000000000009E-2</v>
          </cell>
          <cell r="H226">
            <v>1.5000000000000124E-2</v>
          </cell>
        </row>
        <row r="227">
          <cell r="D227" t="str">
            <v>PO2-B5-43283</v>
          </cell>
          <cell r="E227" t="str">
            <v>PO2-B5-43283</v>
          </cell>
          <cell r="F227">
            <v>1.52</v>
          </cell>
          <cell r="G227">
            <v>-1.2000000000000011E-2</v>
          </cell>
          <cell r="H227">
            <v>1.3000000000000123E-2</v>
          </cell>
        </row>
        <row r="228">
          <cell r="D228" t="str">
            <v>PO2-D1-43283</v>
          </cell>
          <cell r="E228" t="str">
            <v>PO2-D1-43283</v>
          </cell>
          <cell r="F228">
            <v>1.66</v>
          </cell>
          <cell r="G228">
            <v>0.12799999999999989</v>
          </cell>
          <cell r="H228">
            <v>0.15300000000000002</v>
          </cell>
        </row>
        <row r="229">
          <cell r="D229" t="str">
            <v>PO2-D8-43283</v>
          </cell>
          <cell r="E229" t="str">
            <v>PO2-D8-43283</v>
          </cell>
          <cell r="F229">
            <v>1.5389999999999999</v>
          </cell>
          <cell r="G229">
            <v>6.9999999999998952E-3</v>
          </cell>
          <cell r="H229">
            <v>3.2000000000000028E-2</v>
          </cell>
        </row>
        <row r="230">
          <cell r="D230" t="str">
            <v>PO2-E7-43283</v>
          </cell>
          <cell r="E230" t="str">
            <v>PO2-E7-43283</v>
          </cell>
          <cell r="F230">
            <v>1.556</v>
          </cell>
          <cell r="G230">
            <v>2.4000000000000021E-2</v>
          </cell>
          <cell r="H230">
            <v>4.9000000000000155E-2</v>
          </cell>
        </row>
        <row r="231">
          <cell r="D231" t="str">
            <v>PO2-G6-43283</v>
          </cell>
          <cell r="E231" t="str">
            <v>PO2-G6-43283</v>
          </cell>
          <cell r="F231">
            <v>1.603</v>
          </cell>
          <cell r="G231">
            <v>7.0999999999999952E-2</v>
          </cell>
          <cell r="H231">
            <v>9.6000000000000085E-2</v>
          </cell>
        </row>
        <row r="232">
          <cell r="D232" t="str">
            <v>PO2-G8-43283</v>
          </cell>
          <cell r="E232" t="str">
            <v>PO2-G8-43283</v>
          </cell>
          <cell r="F232">
            <v>1.597</v>
          </cell>
          <cell r="G232">
            <v>6.4999999999999947E-2</v>
          </cell>
          <cell r="H232">
            <v>9.000000000000008E-2</v>
          </cell>
        </row>
        <row r="233">
          <cell r="D233" t="str">
            <v>PO2-H3-43283</v>
          </cell>
          <cell r="E233" t="str">
            <v>PO2-H3-43283</v>
          </cell>
          <cell r="F233">
            <v>1.611</v>
          </cell>
          <cell r="G233">
            <v>7.8999999999999959E-2</v>
          </cell>
          <cell r="H233">
            <v>0.10400000000000009</v>
          </cell>
        </row>
        <row r="234">
          <cell r="D234" t="str">
            <v>PO2-H7-43283</v>
          </cell>
          <cell r="E234" t="str">
            <v>PO2-H7-43283</v>
          </cell>
          <cell r="F234">
            <v>1.5229999999999999</v>
          </cell>
          <cell r="G234">
            <v>-9.000000000000119E-3</v>
          </cell>
          <cell r="H234">
            <v>1.6000000000000014E-2</v>
          </cell>
        </row>
        <row r="235">
          <cell r="D235" t="str">
            <v>PO1-A4-43284</v>
          </cell>
          <cell r="E235" t="str">
            <v>PO1-A4-43284</v>
          </cell>
          <cell r="F235">
            <v>1.6419999999999999</v>
          </cell>
          <cell r="G235">
            <v>0.10999999999999988</v>
          </cell>
          <cell r="H235">
            <v>0.13500000000000001</v>
          </cell>
        </row>
        <row r="236">
          <cell r="D236" t="str">
            <v>PO1-B8-43284</v>
          </cell>
          <cell r="E236" t="str">
            <v>PO1-B8-43284</v>
          </cell>
          <cell r="F236">
            <v>1.732</v>
          </cell>
          <cell r="G236">
            <v>0.19999999999999996</v>
          </cell>
          <cell r="H236">
            <v>0.22500000000000009</v>
          </cell>
        </row>
        <row r="237">
          <cell r="D237" t="str">
            <v>PO1-C8-43284</v>
          </cell>
          <cell r="E237" t="str">
            <v>PO1-C8-43284</v>
          </cell>
          <cell r="F237">
            <v>1.7529999999999999</v>
          </cell>
          <cell r="G237">
            <v>0.22099999999999986</v>
          </cell>
          <cell r="H237">
            <v>0.246</v>
          </cell>
        </row>
        <row r="238">
          <cell r="D238" t="str">
            <v>PO1-D8-43284</v>
          </cell>
          <cell r="E238" t="str">
            <v>PO1-D8-43284</v>
          </cell>
          <cell r="F238">
            <v>1.694</v>
          </cell>
          <cell r="G238">
            <v>0.16199999999999992</v>
          </cell>
          <cell r="H238">
            <v>0.18700000000000006</v>
          </cell>
        </row>
        <row r="239">
          <cell r="D239" t="str">
            <v>PO1-F1-43284</v>
          </cell>
          <cell r="E239" t="str">
            <v>PO1-F1-43284</v>
          </cell>
          <cell r="F239">
            <v>1.8280000000000001</v>
          </cell>
          <cell r="G239">
            <v>0.29600000000000004</v>
          </cell>
          <cell r="H239">
            <v>0.32100000000000017</v>
          </cell>
        </row>
        <row r="240">
          <cell r="D240" t="str">
            <v>PO2-H2-43284</v>
          </cell>
          <cell r="E240" t="str">
            <v>PO2-H2-43284</v>
          </cell>
          <cell r="F240">
            <v>1.8280000000000001</v>
          </cell>
          <cell r="G240">
            <v>0.29600000000000004</v>
          </cell>
          <cell r="H240">
            <v>0.32100000000000017</v>
          </cell>
        </row>
        <row r="241">
          <cell r="D241" t="str">
            <v>PO2-A4-43285</v>
          </cell>
          <cell r="E241" t="str">
            <v>PO2-A4-43285</v>
          </cell>
          <cell r="F241">
            <v>1.518</v>
          </cell>
          <cell r="G241">
            <v>-1.4000000000000012E-2</v>
          </cell>
          <cell r="H241">
            <v>1.1000000000000121E-2</v>
          </cell>
        </row>
        <row r="242">
          <cell r="D242" t="str">
            <v>PO2-C8-43285</v>
          </cell>
          <cell r="E242" t="str">
            <v>PO2-C8-43285</v>
          </cell>
          <cell r="F242">
            <v>1.647</v>
          </cell>
          <cell r="G242">
            <v>0.11499999999999999</v>
          </cell>
          <cell r="H242">
            <v>0.14000000000000012</v>
          </cell>
        </row>
        <row r="243">
          <cell r="D243" t="str">
            <v>PO2-F1-43285</v>
          </cell>
          <cell r="E243" t="str">
            <v>PO2-F1-43285</v>
          </cell>
          <cell r="F243">
            <v>1.5449999999999999</v>
          </cell>
          <cell r="G243">
            <v>1.2999999999999901E-2</v>
          </cell>
          <cell r="H243">
            <v>3.8000000000000034E-2</v>
          </cell>
        </row>
        <row r="244">
          <cell r="D244" t="str">
            <v>SP1-A3-43286</v>
          </cell>
          <cell r="E244" t="str">
            <v>SP1-A3-43286</v>
          </cell>
          <cell r="F244">
            <v>1.51</v>
          </cell>
          <cell r="G244">
            <v>-2.200000000000002E-2</v>
          </cell>
          <cell r="H244">
            <v>3.0000000000001137E-3</v>
          </cell>
        </row>
        <row r="245">
          <cell r="D245" t="str">
            <v>SP1-B4-43286</v>
          </cell>
          <cell r="E245" t="str">
            <v>SP1-B4-43286</v>
          </cell>
          <cell r="F245">
            <v>1.4930000000000001</v>
          </cell>
          <cell r="G245">
            <v>-3.8999999999999924E-2</v>
          </cell>
          <cell r="H245">
            <v>-1.399999999999979E-2</v>
          </cell>
        </row>
        <row r="246">
          <cell r="D246" t="str">
            <v>SP1-B8-43286</v>
          </cell>
          <cell r="E246" t="str">
            <v>SP1-B8-43286</v>
          </cell>
          <cell r="F246">
            <v>1.5960000000000001</v>
          </cell>
          <cell r="G246">
            <v>6.4000000000000057E-2</v>
          </cell>
          <cell r="H246">
            <v>8.900000000000019E-2</v>
          </cell>
        </row>
        <row r="247">
          <cell r="D247" t="str">
            <v>SP1-D8-43286</v>
          </cell>
          <cell r="E247" t="str">
            <v>SP1-D8-43286</v>
          </cell>
          <cell r="F247">
            <v>1.5069999999999999</v>
          </cell>
          <cell r="G247">
            <v>-2.5000000000000133E-2</v>
          </cell>
          <cell r="H247">
            <v>0</v>
          </cell>
        </row>
        <row r="248">
          <cell r="D248" t="str">
            <v>SP1-E1-43286</v>
          </cell>
          <cell r="E248" t="str">
            <v>SP1-E1-43286</v>
          </cell>
          <cell r="F248">
            <v>1.522</v>
          </cell>
          <cell r="G248">
            <v>-1.0000000000000009E-2</v>
          </cell>
          <cell r="H248">
            <v>1.5000000000000124E-2</v>
          </cell>
        </row>
        <row r="249">
          <cell r="D249" t="str">
            <v>SP1-F3-43286</v>
          </cell>
          <cell r="E249" t="str">
            <v>SP1-F3-43286</v>
          </cell>
          <cell r="F249">
            <v>1.528</v>
          </cell>
          <cell r="G249">
            <v>-4.0000000000000036E-3</v>
          </cell>
          <cell r="H249">
            <v>2.100000000000013E-2</v>
          </cell>
        </row>
        <row r="250">
          <cell r="D250" t="str">
            <v>SP1-G4-43286</v>
          </cell>
          <cell r="E250" t="str">
            <v>SP1-G4-43286</v>
          </cell>
          <cell r="F250">
            <v>1.504</v>
          </cell>
          <cell r="G250">
            <v>-2.8000000000000025E-2</v>
          </cell>
          <cell r="H250">
            <v>-2.9999999999998916E-3</v>
          </cell>
        </row>
        <row r="251">
          <cell r="D251" t="str">
            <v>SP2-A2-43286</v>
          </cell>
          <cell r="E251" t="str">
            <v>SP2-A2-43286</v>
          </cell>
          <cell r="F251">
            <v>1.48</v>
          </cell>
          <cell r="G251">
            <v>-5.2000000000000046E-2</v>
          </cell>
          <cell r="H251">
            <v>-2.6999999999999913E-2</v>
          </cell>
        </row>
        <row r="252">
          <cell r="D252" t="str">
            <v>SP2-A4-43286</v>
          </cell>
          <cell r="E252" t="str">
            <v>SP2-A4-43286</v>
          </cell>
          <cell r="F252">
            <v>1.498</v>
          </cell>
          <cell r="G252">
            <v>-3.400000000000003E-2</v>
          </cell>
          <cell r="H252">
            <v>-8.999999999999897E-3</v>
          </cell>
        </row>
        <row r="253">
          <cell r="D253" t="str">
            <v>SP2-B5-43286</v>
          </cell>
          <cell r="E253" t="str">
            <v>SP2-B5-43286</v>
          </cell>
          <cell r="F253">
            <v>1.641</v>
          </cell>
          <cell r="G253">
            <v>0.10899999999999999</v>
          </cell>
          <cell r="H253">
            <v>0.13400000000000012</v>
          </cell>
        </row>
        <row r="254">
          <cell r="D254" t="str">
            <v>SP2-B8-43286</v>
          </cell>
          <cell r="E254" t="str">
            <v>SP2-B8-43286</v>
          </cell>
          <cell r="F254">
            <v>1.6890000000000001</v>
          </cell>
          <cell r="G254">
            <v>0.15700000000000003</v>
          </cell>
          <cell r="H254">
            <v>0.18200000000000016</v>
          </cell>
        </row>
        <row r="255">
          <cell r="D255" t="str">
            <v>SP2-E3-43286</v>
          </cell>
          <cell r="E255" t="str">
            <v>SP2-E3-43286</v>
          </cell>
          <cell r="F255">
            <v>1.5</v>
          </cell>
          <cell r="G255">
            <v>-3.2000000000000028E-2</v>
          </cell>
          <cell r="H255">
            <v>-6.9999999999998952E-3</v>
          </cell>
        </row>
        <row r="256">
          <cell r="D256" t="str">
            <v>SP2-E7-43286</v>
          </cell>
          <cell r="E256" t="str">
            <v>SP2-E7-43286</v>
          </cell>
          <cell r="F256">
            <v>1.5880000000000001</v>
          </cell>
          <cell r="G256">
            <v>5.600000000000005E-2</v>
          </cell>
          <cell r="H256">
            <v>8.1000000000000183E-2</v>
          </cell>
        </row>
        <row r="257">
          <cell r="D257" t="str">
            <v>SP2-F3-43286</v>
          </cell>
          <cell r="E257" t="str">
            <v>SP2-F3-43286</v>
          </cell>
          <cell r="F257">
            <v>1.571</v>
          </cell>
          <cell r="G257">
            <v>3.8999999999999924E-2</v>
          </cell>
          <cell r="H257">
            <v>6.4000000000000057E-2</v>
          </cell>
        </row>
        <row r="258">
          <cell r="D258" t="str">
            <v>SP2-F8-43286</v>
          </cell>
          <cell r="E258" t="str">
            <v>SP2-F8-43286</v>
          </cell>
          <cell r="F258">
            <v>1.544</v>
          </cell>
          <cell r="G258">
            <v>1.2000000000000011E-2</v>
          </cell>
          <cell r="H258">
            <v>3.7000000000000144E-2</v>
          </cell>
        </row>
        <row r="259">
          <cell r="D259" t="str">
            <v>SP2-G1-43286</v>
          </cell>
          <cell r="E259" t="str">
            <v>SP2-G1-43286</v>
          </cell>
          <cell r="F259">
            <v>1.5169999999999999</v>
          </cell>
          <cell r="G259">
            <v>-1.5000000000000124E-2</v>
          </cell>
          <cell r="H259">
            <v>1.0000000000000009E-2</v>
          </cell>
        </row>
        <row r="260">
          <cell r="D260" t="str">
            <v>SP2-G2-43286</v>
          </cell>
          <cell r="E260" t="str">
            <v>SP2-G2-43286</v>
          </cell>
          <cell r="F260">
            <v>1.5389999999999999</v>
          </cell>
          <cell r="G260">
            <v>6.9999999999998952E-3</v>
          </cell>
          <cell r="H260">
            <v>3.2000000000000028E-2</v>
          </cell>
        </row>
        <row r="261">
          <cell r="D261" t="str">
            <v>SP2-H7-43286</v>
          </cell>
          <cell r="E261" t="str">
            <v>SP2-H7-43286</v>
          </cell>
          <cell r="F261">
            <v>1.514</v>
          </cell>
          <cell r="G261">
            <v>-1.8000000000000016E-2</v>
          </cell>
          <cell r="H261">
            <v>7.0000000000001172E-3</v>
          </cell>
        </row>
        <row r="262">
          <cell r="D262" t="str">
            <v>SP2-H8-43286</v>
          </cell>
          <cell r="E262" t="str">
            <v>SP2-H8-43286</v>
          </cell>
          <cell r="F262">
            <v>1.6879999999999999</v>
          </cell>
          <cell r="G262">
            <v>0.15599999999999992</v>
          </cell>
          <cell r="H262">
            <v>0.18100000000000005</v>
          </cell>
        </row>
        <row r="263">
          <cell r="D263" t="str">
            <v>SP2-G8-43287</v>
          </cell>
          <cell r="E263" t="str">
            <v>SP2-G8-43287</v>
          </cell>
          <cell r="F263">
            <v>1.6719999999999999</v>
          </cell>
          <cell r="G263">
            <v>0.1399999999999999</v>
          </cell>
          <cell r="H263">
            <v>0.16500000000000004</v>
          </cell>
        </row>
        <row r="264">
          <cell r="D264" t="str">
            <v>SP1-A2-43288</v>
          </cell>
          <cell r="E264" t="str">
            <v>SP1-A2-43288</v>
          </cell>
          <cell r="F264">
            <v>1.976</v>
          </cell>
          <cell r="G264">
            <v>0.44399999999999995</v>
          </cell>
          <cell r="H264">
            <v>0.46900000000000008</v>
          </cell>
        </row>
        <row r="265">
          <cell r="D265" t="str">
            <v>SP1-A7-43288</v>
          </cell>
          <cell r="E265" t="str">
            <v>SP1-A7-43288</v>
          </cell>
          <cell r="F265">
            <v>1.726</v>
          </cell>
          <cell r="G265">
            <v>0.19399999999999995</v>
          </cell>
          <cell r="H265">
            <v>0.21900000000000008</v>
          </cell>
        </row>
        <row r="266">
          <cell r="D266" t="str">
            <v>SP1-B7-43288</v>
          </cell>
          <cell r="E266" t="str">
            <v>SP1-B7-43288</v>
          </cell>
          <cell r="F266">
            <v>1.621</v>
          </cell>
          <cell r="G266">
            <v>8.8999999999999968E-2</v>
          </cell>
          <cell r="H266">
            <v>0.1140000000000001</v>
          </cell>
        </row>
        <row r="267">
          <cell r="D267" t="str">
            <v>SP2-E3-43288</v>
          </cell>
          <cell r="E267" t="str">
            <v>SP2-E3-43288</v>
          </cell>
          <cell r="F267">
            <v>1.706</v>
          </cell>
          <cell r="G267">
            <v>0.17399999999999993</v>
          </cell>
          <cell r="H267">
            <v>0.19900000000000007</v>
          </cell>
        </row>
        <row r="268">
          <cell r="D268" t="str">
            <v>BC1-A7-43292</v>
          </cell>
          <cell r="E268" t="str">
            <v>BC1-A7-43292</v>
          </cell>
        </row>
        <row r="269">
          <cell r="D269" t="str">
            <v>BC1-A7-43292</v>
          </cell>
          <cell r="E269" t="str">
            <v>BC1-A7-43292</v>
          </cell>
        </row>
        <row r="270">
          <cell r="D270" t="str">
            <v>BC1-A8-43292</v>
          </cell>
          <cell r="E270" t="str">
            <v>BC1-A8-43292</v>
          </cell>
          <cell r="F270">
            <v>1.488</v>
          </cell>
          <cell r="G270">
            <v>-4.4000000000000039E-2</v>
          </cell>
          <cell r="H270">
            <v>-1.8999999999999906E-2</v>
          </cell>
        </row>
        <row r="271">
          <cell r="D271" t="str">
            <v>BC1-C8-43292</v>
          </cell>
          <cell r="E271" t="str">
            <v>BC1-C8-43292</v>
          </cell>
          <cell r="F271">
            <v>1.9750000000000001</v>
          </cell>
          <cell r="G271">
            <v>0.44300000000000006</v>
          </cell>
          <cell r="H271">
            <v>0.46800000000000019</v>
          </cell>
        </row>
        <row r="272">
          <cell r="D272" t="str">
            <v>BC1-E8-43292</v>
          </cell>
          <cell r="E272" t="str">
            <v>BC1-E8-43292</v>
          </cell>
          <cell r="F272">
            <v>1.6120000000000001</v>
          </cell>
          <cell r="G272">
            <v>8.0000000000000071E-2</v>
          </cell>
          <cell r="H272">
            <v>0.1050000000000002</v>
          </cell>
        </row>
        <row r="273">
          <cell r="D273" t="str">
            <v>BC1-G7-43292</v>
          </cell>
          <cell r="E273" t="str">
            <v>BC1-G7-43292</v>
          </cell>
          <cell r="F273">
            <v>1.6559999999999999</v>
          </cell>
          <cell r="G273">
            <v>0.12399999999999989</v>
          </cell>
          <cell r="H273">
            <v>0.14900000000000002</v>
          </cell>
        </row>
        <row r="274">
          <cell r="D274" t="str">
            <v>BC1-G8-43292</v>
          </cell>
          <cell r="E274" t="str">
            <v>BC1-G8-43292</v>
          </cell>
          <cell r="F274">
            <v>1.853</v>
          </cell>
          <cell r="G274">
            <v>0.32099999999999995</v>
          </cell>
          <cell r="H274">
            <v>0.34600000000000009</v>
          </cell>
        </row>
        <row r="275">
          <cell r="D275" t="str">
            <v>BC2-A3-43292</v>
          </cell>
          <cell r="E275" t="str">
            <v>BC2-A3-43292</v>
          </cell>
          <cell r="F275">
            <v>1.61</v>
          </cell>
          <cell r="G275">
            <v>7.8000000000000069E-2</v>
          </cell>
          <cell r="H275">
            <v>0.1030000000000002</v>
          </cell>
        </row>
        <row r="276">
          <cell r="D276" t="str">
            <v>BC2-B3-43292</v>
          </cell>
          <cell r="E276" t="str">
            <v>BC2-B3-43292</v>
          </cell>
          <cell r="F276">
            <v>1.702</v>
          </cell>
          <cell r="G276">
            <v>0.16999999999999993</v>
          </cell>
          <cell r="H276">
            <v>0.19500000000000006</v>
          </cell>
        </row>
        <row r="277">
          <cell r="D277" t="str">
            <v>BC2-B6-43292</v>
          </cell>
          <cell r="E277" t="str">
            <v>BC2-B6-43292</v>
          </cell>
          <cell r="F277">
            <v>1.538</v>
          </cell>
          <cell r="G277">
            <v>6.0000000000000053E-3</v>
          </cell>
          <cell r="H277">
            <v>3.1000000000000139E-2</v>
          </cell>
        </row>
        <row r="278">
          <cell r="D278" t="str">
            <v>BC2-E1-43292</v>
          </cell>
          <cell r="E278" t="str">
            <v>BC2-E1-43292</v>
          </cell>
          <cell r="F278">
            <v>1.5409999999999999</v>
          </cell>
          <cell r="G278">
            <v>8.999999999999897E-3</v>
          </cell>
          <cell r="H278">
            <v>3.400000000000003E-2</v>
          </cell>
        </row>
        <row r="279">
          <cell r="D279" t="str">
            <v>BC2-E5-43292</v>
          </cell>
          <cell r="E279" t="str">
            <v>BC2-E5-43292</v>
          </cell>
          <cell r="F279">
            <v>1.667</v>
          </cell>
          <cell r="G279">
            <v>0.13500000000000001</v>
          </cell>
          <cell r="H279">
            <v>0.16000000000000014</v>
          </cell>
        </row>
        <row r="280">
          <cell r="D280" t="str">
            <v>BC2-G1-43292</v>
          </cell>
          <cell r="E280" t="str">
            <v>BC2-G1-43292</v>
          </cell>
          <cell r="F280">
            <v>1.575</v>
          </cell>
          <cell r="G280">
            <v>4.2999999999999927E-2</v>
          </cell>
          <cell r="H280">
            <v>6.800000000000006E-2</v>
          </cell>
        </row>
        <row r="281">
          <cell r="D281" t="str">
            <v>BC2-H3-43292</v>
          </cell>
          <cell r="E281" t="str">
            <v>BC2-H3-43292</v>
          </cell>
          <cell r="F281">
            <v>1.6859999999999999</v>
          </cell>
          <cell r="G281">
            <v>0.15399999999999991</v>
          </cell>
          <cell r="H281">
            <v>0.17900000000000005</v>
          </cell>
        </row>
        <row r="282">
          <cell r="D282" t="str">
            <v>BC1-C7-43292</v>
          </cell>
        </row>
        <row r="283">
          <cell r="D283" t="str">
            <v>BC2-H2-43293</v>
          </cell>
          <cell r="E283" t="str">
            <v>BC2-H2-43293</v>
          </cell>
          <cell r="F283">
            <v>1.6240000000000001</v>
          </cell>
          <cell r="G283">
            <v>9.2000000000000082E-2</v>
          </cell>
          <cell r="H283">
            <v>0.11700000000000021</v>
          </cell>
        </row>
        <row r="284">
          <cell r="D284" t="str">
            <v>BC1-G7-43293</v>
          </cell>
          <cell r="E284" t="str">
            <v>BC1-G7-43293</v>
          </cell>
          <cell r="F284">
            <v>1.4830000000000001</v>
          </cell>
          <cell r="G284">
            <v>-4.8999999999999932E-2</v>
          </cell>
          <cell r="H284">
            <v>-2.3999999999999799E-2</v>
          </cell>
        </row>
        <row r="285">
          <cell r="D285" t="str">
            <v>BC2-C8-43293</v>
          </cell>
          <cell r="E285" t="str">
            <v>BC2-C8-43293</v>
          </cell>
          <cell r="F285">
            <v>1.5349999999999999</v>
          </cell>
          <cell r="G285">
            <v>2.9999999999998916E-3</v>
          </cell>
          <cell r="H285">
            <v>2.8000000000000025E-2</v>
          </cell>
        </row>
        <row r="286">
          <cell r="D286" t="str">
            <v>BC2-G7-43293</v>
          </cell>
          <cell r="E286" t="str">
            <v>BC2-G7-43293</v>
          </cell>
          <cell r="F286">
            <v>1.6479999999999999</v>
          </cell>
          <cell r="G286">
            <v>0.11599999999999988</v>
          </cell>
          <cell r="H286">
            <v>0.14100000000000001</v>
          </cell>
        </row>
        <row r="287">
          <cell r="D287" t="str">
            <v>HW1-A1-43294</v>
          </cell>
          <cell r="E287" t="str">
            <v>HW1-A1-43294</v>
          </cell>
          <cell r="F287">
            <v>1.72</v>
          </cell>
          <cell r="G287">
            <v>0.18799999999999994</v>
          </cell>
          <cell r="H287">
            <v>0.21300000000000008</v>
          </cell>
        </row>
        <row r="288">
          <cell r="D288" t="str">
            <v>HW1-A5-43294</v>
          </cell>
          <cell r="E288" t="str">
            <v>HW1-A5-43294</v>
          </cell>
          <cell r="F288">
            <v>1.5780000000000001</v>
          </cell>
          <cell r="G288">
            <v>4.6000000000000041E-2</v>
          </cell>
          <cell r="H288">
            <v>7.1000000000000174E-2</v>
          </cell>
        </row>
        <row r="289">
          <cell r="D289" t="str">
            <v>HW1-A6-43294</v>
          </cell>
          <cell r="E289" t="str">
            <v>HW1-A6-43294</v>
          </cell>
          <cell r="F289">
            <v>1.5589999999999999</v>
          </cell>
          <cell r="G289">
            <v>2.6999999999999913E-2</v>
          </cell>
          <cell r="H289">
            <v>5.2000000000000046E-2</v>
          </cell>
        </row>
        <row r="290">
          <cell r="D290" t="str">
            <v>HW1-C4-43294</v>
          </cell>
          <cell r="E290" t="str">
            <v>HW1-C4-43294</v>
          </cell>
          <cell r="F290">
            <v>1.635</v>
          </cell>
          <cell r="G290">
            <v>0.10299999999999998</v>
          </cell>
          <cell r="H290">
            <v>0.12800000000000011</v>
          </cell>
        </row>
        <row r="291">
          <cell r="D291" t="str">
            <v>HW1-G3-43294</v>
          </cell>
          <cell r="E291" t="str">
            <v>HW1-G3-43294</v>
          </cell>
          <cell r="F291">
            <v>1.6910000000000001</v>
          </cell>
          <cell r="G291">
            <v>0.15900000000000003</v>
          </cell>
          <cell r="H291">
            <v>0.18400000000000016</v>
          </cell>
        </row>
        <row r="292">
          <cell r="D292" t="str">
            <v>HW1-H1-43294</v>
          </cell>
          <cell r="E292" t="str">
            <v>HW1-H1-43294</v>
          </cell>
          <cell r="F292">
            <v>1.6</v>
          </cell>
          <cell r="G292">
            <v>6.800000000000006E-2</v>
          </cell>
          <cell r="H292">
            <v>9.3000000000000194E-2</v>
          </cell>
        </row>
        <row r="293">
          <cell r="D293" t="str">
            <v>HW1-H7-43294</v>
          </cell>
          <cell r="E293" t="str">
            <v>HW1-H7-43294</v>
          </cell>
          <cell r="F293">
            <v>1.5489999999999999</v>
          </cell>
          <cell r="G293">
            <v>1.6999999999999904E-2</v>
          </cell>
          <cell r="H293">
            <v>4.2000000000000037E-2</v>
          </cell>
        </row>
        <row r="294">
          <cell r="D294" t="str">
            <v>HW2-B2-43294</v>
          </cell>
          <cell r="E294" t="str">
            <v>HW2-B2-43294</v>
          </cell>
          <cell r="F294">
            <v>1.897</v>
          </cell>
          <cell r="G294">
            <v>0.36499999999999999</v>
          </cell>
          <cell r="H294">
            <v>0.39000000000000012</v>
          </cell>
        </row>
        <row r="295">
          <cell r="D295" t="str">
            <v>HW2-B4-43294</v>
          </cell>
          <cell r="E295" t="str">
            <v>HW2-B4-43294</v>
          </cell>
        </row>
        <row r="296">
          <cell r="D296" t="str">
            <v>HW2-C5-43294</v>
          </cell>
          <cell r="E296" t="str">
            <v>HW2-C5-43294</v>
          </cell>
          <cell r="F296">
            <v>1.67</v>
          </cell>
          <cell r="G296">
            <v>0.1379999999999999</v>
          </cell>
          <cell r="H296">
            <v>0.16300000000000003</v>
          </cell>
        </row>
        <row r="297">
          <cell r="D297" t="str">
            <v>HW2-C8-43294</v>
          </cell>
          <cell r="E297" t="str">
            <v>HW2-C8-43294</v>
          </cell>
          <cell r="F297">
            <v>1.7050000000000001</v>
          </cell>
          <cell r="G297">
            <v>0.17300000000000004</v>
          </cell>
          <cell r="H297">
            <v>0.19800000000000018</v>
          </cell>
        </row>
        <row r="298">
          <cell r="D298" t="str">
            <v>HW2-D4-43294</v>
          </cell>
          <cell r="E298" t="str">
            <v>HW2-D4-43294</v>
          </cell>
          <cell r="F298">
            <v>1.6279999999999999</v>
          </cell>
          <cell r="G298">
            <v>9.5999999999999863E-2</v>
          </cell>
          <cell r="H298">
            <v>0.121</v>
          </cell>
        </row>
        <row r="299">
          <cell r="D299" t="str">
            <v>HW2-D5-43294</v>
          </cell>
          <cell r="E299" t="str">
            <v>HW2-D5-43294</v>
          </cell>
          <cell r="F299">
            <v>1.613</v>
          </cell>
          <cell r="G299">
            <v>8.0999999999999961E-2</v>
          </cell>
          <cell r="H299">
            <v>0.10600000000000009</v>
          </cell>
        </row>
        <row r="300">
          <cell r="D300" t="str">
            <v>HW2-E1-43294</v>
          </cell>
          <cell r="E300" t="str">
            <v>HW2-E1-43294</v>
          </cell>
          <cell r="F300">
            <v>1.6140000000000001</v>
          </cell>
          <cell r="G300">
            <v>8.2000000000000073E-2</v>
          </cell>
          <cell r="H300">
            <v>0.10700000000000021</v>
          </cell>
        </row>
        <row r="301">
          <cell r="D301" t="str">
            <v>HW2-E2-43294</v>
          </cell>
          <cell r="E301" t="str">
            <v>HW2-E2-43294</v>
          </cell>
          <cell r="F301">
            <v>1.819</v>
          </cell>
          <cell r="G301">
            <v>0.28699999999999992</v>
          </cell>
          <cell r="H301">
            <v>0.31200000000000006</v>
          </cell>
        </row>
        <row r="302">
          <cell r="D302" t="str">
            <v>HW2-F1-43294</v>
          </cell>
          <cell r="E302" t="str">
            <v>HW2-F1-43294</v>
          </cell>
          <cell r="F302">
            <v>1.9319999999999999</v>
          </cell>
          <cell r="G302">
            <v>0.39999999999999991</v>
          </cell>
          <cell r="H302">
            <v>0.42500000000000004</v>
          </cell>
        </row>
        <row r="303">
          <cell r="D303" t="str">
            <v>HW2-F8-43294</v>
          </cell>
          <cell r="E303" t="str">
            <v>HW2-F8-43294</v>
          </cell>
          <cell r="F303">
            <v>1.6120000000000001</v>
          </cell>
          <cell r="G303">
            <v>8.0000000000000071E-2</v>
          </cell>
          <cell r="H303">
            <v>0.1050000000000002</v>
          </cell>
        </row>
        <row r="304">
          <cell r="D304" t="str">
            <v>HW2-H8-43294</v>
          </cell>
          <cell r="E304" t="str">
            <v>HW2-H8-43294</v>
          </cell>
          <cell r="F304">
            <v>1.7130000000000001</v>
          </cell>
          <cell r="G304">
            <v>0.18100000000000005</v>
          </cell>
          <cell r="H304">
            <v>0.20600000000000018</v>
          </cell>
        </row>
        <row r="305">
          <cell r="D305" t="str">
            <v>HW1-A2-43295</v>
          </cell>
          <cell r="E305" t="str">
            <v>HW1-A2-43295</v>
          </cell>
          <cell r="F305">
            <v>1.577</v>
          </cell>
          <cell r="G305">
            <v>4.4999999999999929E-2</v>
          </cell>
          <cell r="H305">
            <v>7.0000000000000062E-2</v>
          </cell>
        </row>
        <row r="306">
          <cell r="D306" t="str">
            <v>HW1-A7-43295</v>
          </cell>
          <cell r="E306" t="str">
            <v>HW1-A7-43295</v>
          </cell>
          <cell r="F306">
            <v>1.754</v>
          </cell>
          <cell r="G306">
            <v>0.22199999999999998</v>
          </cell>
          <cell r="H306">
            <v>0.24700000000000011</v>
          </cell>
        </row>
        <row r="307">
          <cell r="D307" t="str">
            <v>HW1-H3-43295</v>
          </cell>
          <cell r="E307" t="str">
            <v>HW1-H3-43295</v>
          </cell>
          <cell r="F307">
            <v>1.534</v>
          </cell>
          <cell r="G307">
            <v>2.0000000000000018E-3</v>
          </cell>
          <cell r="H307">
            <v>2.7000000000000135E-2</v>
          </cell>
        </row>
        <row r="308">
          <cell r="D308" t="str">
            <v>HW2-A4-43295</v>
          </cell>
          <cell r="E308" t="str">
            <v>HW2-A4-43295</v>
          </cell>
          <cell r="F308">
            <v>1.68</v>
          </cell>
          <cell r="G308">
            <v>0.14799999999999991</v>
          </cell>
          <cell r="H308">
            <v>0.17300000000000004</v>
          </cell>
        </row>
        <row r="309">
          <cell r="D309" t="str">
            <v>HW2-C7-43295</v>
          </cell>
          <cell r="E309" t="str">
            <v>HW2-C7-43295</v>
          </cell>
          <cell r="F309">
            <v>1.621</v>
          </cell>
          <cell r="G309">
            <v>8.8999999999999968E-2</v>
          </cell>
          <cell r="H309">
            <v>0.1140000000000001</v>
          </cell>
        </row>
        <row r="310">
          <cell r="D310" t="str">
            <v>HW2-F3-43295</v>
          </cell>
          <cell r="E310" t="str">
            <v>HW2-F3-43295</v>
          </cell>
          <cell r="F310">
            <v>1.6180000000000001</v>
          </cell>
          <cell r="G310">
            <v>8.6000000000000076E-2</v>
          </cell>
          <cell r="H310">
            <v>0.11100000000000021</v>
          </cell>
        </row>
        <row r="311">
          <cell r="D311" t="str">
            <v>HW2-H5-43295</v>
          </cell>
          <cell r="E311" t="str">
            <v>HW2-H5-43295</v>
          </cell>
          <cell r="F311">
            <v>1.827</v>
          </cell>
          <cell r="G311">
            <v>0.29499999999999993</v>
          </cell>
          <cell r="H311">
            <v>0.32000000000000006</v>
          </cell>
        </row>
        <row r="312">
          <cell r="D312" t="str">
            <v>HW2-H8-43295</v>
          </cell>
          <cell r="E312" t="str">
            <v>HW2-H8-43295</v>
          </cell>
          <cell r="F312">
            <v>1.5149999999999999</v>
          </cell>
          <cell r="G312">
            <v>-1.7000000000000126E-2</v>
          </cell>
          <cell r="H312">
            <v>8.0000000000000071E-3</v>
          </cell>
        </row>
        <row r="313">
          <cell r="D313" t="str">
            <v>HW2-C2-43295</v>
          </cell>
        </row>
        <row r="314">
          <cell r="D314" t="str">
            <v>PO1-A3-43296</v>
          </cell>
          <cell r="E314" t="str">
            <v>PO1-A3-43296</v>
          </cell>
        </row>
        <row r="315">
          <cell r="D315" t="str">
            <v>PO1-A3-43296</v>
          </cell>
          <cell r="E315" t="str">
            <v>PO1-A3-43296</v>
          </cell>
        </row>
        <row r="316">
          <cell r="D316" t="str">
            <v>PO1-A4-43296</v>
          </cell>
          <cell r="E316" t="str">
            <v>PO1-A4-43296</v>
          </cell>
          <cell r="F316">
            <v>1.6559999999999999</v>
          </cell>
          <cell r="G316">
            <v>0.12399999999999989</v>
          </cell>
          <cell r="H316">
            <v>0.14900000000000002</v>
          </cell>
        </row>
        <row r="317">
          <cell r="D317" t="str">
            <v>PO1-D8-43296</v>
          </cell>
          <cell r="E317" t="str">
            <v>PO1-D8-43296</v>
          </cell>
          <cell r="F317">
            <v>1.6220000000000001</v>
          </cell>
          <cell r="G317">
            <v>9.000000000000008E-2</v>
          </cell>
          <cell r="H317">
            <v>0.11500000000000021</v>
          </cell>
        </row>
        <row r="318">
          <cell r="D318" t="str">
            <v>PO1-E8-43296</v>
          </cell>
          <cell r="E318" t="str">
            <v>PO1-E8-43296</v>
          </cell>
          <cell r="F318">
            <v>1.649</v>
          </cell>
          <cell r="G318">
            <v>0.11699999999999999</v>
          </cell>
          <cell r="H318">
            <v>0.14200000000000013</v>
          </cell>
        </row>
        <row r="319">
          <cell r="D319" t="str">
            <v>PO1-F8-43296</v>
          </cell>
          <cell r="E319" t="str">
            <v>PO1-F8-43296</v>
          </cell>
          <cell r="F319">
            <v>1.6319999999999999</v>
          </cell>
          <cell r="G319">
            <v>9.9999999999999867E-2</v>
          </cell>
          <cell r="H319">
            <v>0.125</v>
          </cell>
        </row>
        <row r="320">
          <cell r="D320" t="str">
            <v>PO1-G1-43296</v>
          </cell>
          <cell r="E320" t="str">
            <v>PO1-G1-43296</v>
          </cell>
          <cell r="F320">
            <v>1.8</v>
          </cell>
          <cell r="G320">
            <v>0.26800000000000002</v>
          </cell>
          <cell r="H320">
            <v>0.29300000000000015</v>
          </cell>
        </row>
        <row r="321">
          <cell r="D321" t="str">
            <v>PO1-G2-43296</v>
          </cell>
          <cell r="E321" t="str">
            <v>PO1-G2-43296</v>
          </cell>
          <cell r="F321">
            <v>1.673</v>
          </cell>
          <cell r="G321">
            <v>0.14100000000000001</v>
          </cell>
          <cell r="H321">
            <v>0.16600000000000015</v>
          </cell>
        </row>
        <row r="322">
          <cell r="D322" t="str">
            <v>PO1-G4-43296</v>
          </cell>
          <cell r="E322" t="str">
            <v>PO1-G4-43296</v>
          </cell>
          <cell r="F322">
            <v>1.641</v>
          </cell>
          <cell r="G322">
            <v>0.10899999999999999</v>
          </cell>
          <cell r="H322">
            <v>0.13400000000000012</v>
          </cell>
        </row>
        <row r="323">
          <cell r="D323" t="str">
            <v>PO1-H1-43296</v>
          </cell>
          <cell r="E323" t="str">
            <v>PO1-H1-43296</v>
          </cell>
          <cell r="F323">
            <v>1.635</v>
          </cell>
          <cell r="G323">
            <v>0.10299999999999998</v>
          </cell>
          <cell r="H323">
            <v>0.12800000000000011</v>
          </cell>
        </row>
        <row r="324">
          <cell r="D324" t="str">
            <v>PO1-H8-43296</v>
          </cell>
          <cell r="E324" t="str">
            <v>PO1-H8-43296</v>
          </cell>
          <cell r="F324">
            <v>1.7410000000000001</v>
          </cell>
          <cell r="G324">
            <v>0.20900000000000007</v>
          </cell>
          <cell r="H324">
            <v>0.23400000000000021</v>
          </cell>
        </row>
        <row r="325">
          <cell r="D325" t="str">
            <v>PO2-A3-43296</v>
          </cell>
          <cell r="E325" t="str">
            <v>PO2-A3-43296</v>
          </cell>
          <cell r="F325">
            <v>1.6819999999999999</v>
          </cell>
          <cell r="G325">
            <v>0.14999999999999991</v>
          </cell>
          <cell r="H325">
            <v>0.17500000000000004</v>
          </cell>
        </row>
        <row r="326">
          <cell r="D326" t="str">
            <v>PO2-A4-43296</v>
          </cell>
          <cell r="E326" t="str">
            <v>PO2-A4-43296</v>
          </cell>
          <cell r="F326">
            <v>1.59</v>
          </cell>
          <cell r="G326">
            <v>5.8000000000000052E-2</v>
          </cell>
          <cell r="H326">
            <v>8.3000000000000185E-2</v>
          </cell>
        </row>
        <row r="327">
          <cell r="D327" t="str">
            <v>PO2-A6-43296</v>
          </cell>
          <cell r="E327" t="str">
            <v>PO2-A6-43296</v>
          </cell>
          <cell r="F327">
            <v>1.619</v>
          </cell>
          <cell r="G327">
            <v>8.6999999999999966E-2</v>
          </cell>
          <cell r="H327">
            <v>0.1120000000000001</v>
          </cell>
        </row>
        <row r="328">
          <cell r="D328" t="str">
            <v>PO2-B2-43296</v>
          </cell>
          <cell r="E328" t="str">
            <v>PO2-B2-43296</v>
          </cell>
          <cell r="F328">
            <v>1.61</v>
          </cell>
          <cell r="G328">
            <v>7.8000000000000069E-2</v>
          </cell>
          <cell r="H328">
            <v>0.1030000000000002</v>
          </cell>
        </row>
        <row r="329">
          <cell r="D329" t="str">
            <v>PO2-C7-43296</v>
          </cell>
          <cell r="E329" t="str">
            <v>PO2-C7-43296</v>
          </cell>
          <cell r="F329">
            <v>1.861</v>
          </cell>
          <cell r="G329">
            <v>0.32899999999999996</v>
          </cell>
          <cell r="H329">
            <v>0.35400000000000009</v>
          </cell>
        </row>
        <row r="330">
          <cell r="D330" t="str">
            <v>PO2-D1-43296</v>
          </cell>
          <cell r="E330" t="str">
            <v>PO2-D1-43296</v>
          </cell>
          <cell r="F330">
            <v>1.5620000000000001</v>
          </cell>
          <cell r="G330">
            <v>3.0000000000000027E-2</v>
          </cell>
          <cell r="H330">
            <v>5.500000000000016E-2</v>
          </cell>
        </row>
        <row r="331">
          <cell r="D331" t="str">
            <v>PO2-D7-43296</v>
          </cell>
          <cell r="E331" t="str">
            <v>PO2-D7-43296</v>
          </cell>
          <cell r="F331">
            <v>1.5860000000000001</v>
          </cell>
          <cell r="G331">
            <v>5.4000000000000048E-2</v>
          </cell>
          <cell r="H331">
            <v>7.9000000000000181E-2</v>
          </cell>
        </row>
        <row r="332">
          <cell r="D332" t="str">
            <v>PO2-E7-43296</v>
          </cell>
          <cell r="E332" t="str">
            <v>PO2-E7-43296</v>
          </cell>
          <cell r="F332">
            <v>1.8420000000000001</v>
          </cell>
          <cell r="G332">
            <v>0.31000000000000005</v>
          </cell>
          <cell r="H332">
            <v>0.33500000000000019</v>
          </cell>
        </row>
        <row r="333">
          <cell r="D333" t="str">
            <v>PO2-F2-43296</v>
          </cell>
          <cell r="E333" t="str">
            <v>PO2-F2-43296</v>
          </cell>
          <cell r="F333">
            <v>1.6719999999999999</v>
          </cell>
          <cell r="G333">
            <v>0.1399999999999999</v>
          </cell>
          <cell r="H333">
            <v>0.16500000000000004</v>
          </cell>
        </row>
        <row r="334">
          <cell r="D334" t="str">
            <v>PO2-G6-43296</v>
          </cell>
          <cell r="E334" t="str">
            <v>PO2-G6-43296</v>
          </cell>
          <cell r="F334">
            <v>1.714</v>
          </cell>
          <cell r="G334">
            <v>0.18199999999999994</v>
          </cell>
          <cell r="H334">
            <v>0.20700000000000007</v>
          </cell>
        </row>
        <row r="335">
          <cell r="D335" t="str">
            <v>PO2-G7-43296</v>
          </cell>
          <cell r="E335" t="str">
            <v>PO2-G7-43296</v>
          </cell>
          <cell r="F335">
            <v>1.7130000000000001</v>
          </cell>
          <cell r="G335">
            <v>0.18100000000000005</v>
          </cell>
          <cell r="H335">
            <v>0.20600000000000018</v>
          </cell>
        </row>
        <row r="336">
          <cell r="D336" t="str">
            <v>PO2-H3-43296</v>
          </cell>
          <cell r="E336" t="str">
            <v>PO2-H3-43296</v>
          </cell>
          <cell r="F336">
            <v>1.716</v>
          </cell>
          <cell r="G336">
            <v>0.18399999999999994</v>
          </cell>
          <cell r="H336">
            <v>0.20900000000000007</v>
          </cell>
        </row>
        <row r="337">
          <cell r="D337" t="str">
            <v>PO1-E3-43296</v>
          </cell>
        </row>
        <row r="338">
          <cell r="D338" t="str">
            <v>PO1-C4-43296</v>
          </cell>
        </row>
        <row r="339">
          <cell r="D339" t="str">
            <v>PO1-A8-43297</v>
          </cell>
          <cell r="E339" t="str">
            <v>PO1-A8-43297</v>
          </cell>
          <cell r="F339">
            <v>1.73</v>
          </cell>
          <cell r="G339">
            <v>0.19799999999999995</v>
          </cell>
          <cell r="H339">
            <v>0.22300000000000009</v>
          </cell>
        </row>
        <row r="340">
          <cell r="D340" t="str">
            <v>PO1-D1-43297</v>
          </cell>
          <cell r="E340" t="str">
            <v>PO1-D1-43297</v>
          </cell>
          <cell r="F340">
            <v>1.677</v>
          </cell>
          <cell r="G340">
            <v>0.14500000000000002</v>
          </cell>
          <cell r="H340">
            <v>0.17000000000000015</v>
          </cell>
        </row>
        <row r="341">
          <cell r="D341" t="str">
            <v>PO2-D8-43297</v>
          </cell>
          <cell r="E341" t="str">
            <v>PO2-D8-43297</v>
          </cell>
          <cell r="F341">
            <v>1.675</v>
          </cell>
          <cell r="G341">
            <v>0.14300000000000002</v>
          </cell>
          <cell r="H341">
            <v>0.16800000000000015</v>
          </cell>
        </row>
        <row r="342">
          <cell r="D342" t="str">
            <v>PO2-F1-43297</v>
          </cell>
          <cell r="E342" t="str">
            <v>PO2-F1-43297</v>
          </cell>
          <cell r="F342">
            <v>1.6970000000000001</v>
          </cell>
          <cell r="G342">
            <v>0.16500000000000004</v>
          </cell>
          <cell r="H342">
            <v>0.19000000000000017</v>
          </cell>
        </row>
        <row r="343">
          <cell r="D343" t="str">
            <v>SP1-A2-43301</v>
          </cell>
          <cell r="E343" t="str">
            <v>SP1-A2-43301</v>
          </cell>
          <cell r="F343">
            <v>1.986</v>
          </cell>
          <cell r="G343">
            <v>0.45399999999999996</v>
          </cell>
          <cell r="H343">
            <v>0.47900000000000009</v>
          </cell>
        </row>
        <row r="344">
          <cell r="D344" t="str">
            <v>SP1-A5-43301</v>
          </cell>
          <cell r="E344" t="str">
            <v>SP1-A5-43301</v>
          </cell>
          <cell r="F344">
            <v>1.901</v>
          </cell>
          <cell r="G344">
            <v>0.36899999999999999</v>
          </cell>
          <cell r="H344">
            <v>0.39400000000000013</v>
          </cell>
        </row>
        <row r="345">
          <cell r="D345" t="str">
            <v>SP1-A6-43301</v>
          </cell>
          <cell r="E345" t="str">
            <v>SP1-A6-43301</v>
          </cell>
          <cell r="F345">
            <v>1.637</v>
          </cell>
          <cell r="G345">
            <v>0.10499999999999998</v>
          </cell>
          <cell r="H345">
            <v>0.13000000000000012</v>
          </cell>
        </row>
        <row r="346">
          <cell r="D346" t="str">
            <v>SP1-A8-43301</v>
          </cell>
          <cell r="E346" t="str">
            <v>SP1-A8-43301</v>
          </cell>
          <cell r="F346">
            <v>1.6970000000000001</v>
          </cell>
          <cell r="G346">
            <v>0.16500000000000004</v>
          </cell>
          <cell r="H346">
            <v>0.19000000000000017</v>
          </cell>
        </row>
        <row r="347">
          <cell r="D347" t="str">
            <v>SP1-C7-43301</v>
          </cell>
          <cell r="E347" t="str">
            <v>SP1-C7-43301</v>
          </cell>
          <cell r="F347">
            <v>1.623</v>
          </cell>
          <cell r="G347">
            <v>9.099999999999997E-2</v>
          </cell>
          <cell r="H347">
            <v>0.1160000000000001</v>
          </cell>
        </row>
        <row r="348">
          <cell r="D348" t="str">
            <v>SP1-C8-43301</v>
          </cell>
          <cell r="E348" t="str">
            <v>SP1-C8-43301</v>
          </cell>
          <cell r="F348">
            <v>2.0979999999999999</v>
          </cell>
          <cell r="G348">
            <v>0.56599999999999984</v>
          </cell>
          <cell r="H348">
            <v>0.59099999999999997</v>
          </cell>
        </row>
        <row r="349">
          <cell r="D349" t="str">
            <v>SP1-D1-43301</v>
          </cell>
          <cell r="E349" t="str">
            <v>SP1-D1-43301</v>
          </cell>
          <cell r="F349">
            <v>1.726</v>
          </cell>
          <cell r="G349">
            <v>0.19399999999999995</v>
          </cell>
          <cell r="H349">
            <v>0.21900000000000008</v>
          </cell>
        </row>
        <row r="350">
          <cell r="D350" t="str">
            <v>SP1-E6-43301</v>
          </cell>
          <cell r="E350" t="str">
            <v>SP1-E6-43301</v>
          </cell>
          <cell r="F350">
            <v>1.649</v>
          </cell>
          <cell r="G350">
            <v>0.11699999999999999</v>
          </cell>
          <cell r="H350">
            <v>0.14200000000000013</v>
          </cell>
        </row>
        <row r="351">
          <cell r="D351" t="str">
            <v>SP1-G6-43301</v>
          </cell>
          <cell r="E351" t="str">
            <v>SP1-G6-43301</v>
          </cell>
          <cell r="F351">
            <v>1.6559999999999999</v>
          </cell>
          <cell r="G351">
            <v>0.12399999999999989</v>
          </cell>
          <cell r="H351">
            <v>0.14900000000000002</v>
          </cell>
        </row>
        <row r="352">
          <cell r="D352" t="str">
            <v>SP1-H2-43301</v>
          </cell>
          <cell r="E352" t="str">
            <v>SP1-H2-43301</v>
          </cell>
          <cell r="F352">
            <v>1.708</v>
          </cell>
          <cell r="G352">
            <v>0.17599999999999993</v>
          </cell>
          <cell r="H352">
            <v>0.20100000000000007</v>
          </cell>
        </row>
        <row r="353">
          <cell r="D353" t="str">
            <v>SP2-A7-43301</v>
          </cell>
          <cell r="E353" t="str">
            <v>SP2-A7-43301</v>
          </cell>
          <cell r="F353">
            <v>1.927</v>
          </cell>
          <cell r="G353">
            <v>0.39500000000000002</v>
          </cell>
          <cell r="H353">
            <v>0.42000000000000015</v>
          </cell>
        </row>
        <row r="354">
          <cell r="D354" t="str">
            <v>SP2-A4-43301</v>
          </cell>
          <cell r="E354" t="str">
            <v>SP2-A4-43301</v>
          </cell>
          <cell r="F354">
            <v>2.1080000000000001</v>
          </cell>
          <cell r="G354">
            <v>0.57600000000000007</v>
          </cell>
          <cell r="H354">
            <v>0.6010000000000002</v>
          </cell>
        </row>
        <row r="355">
          <cell r="D355" t="str">
            <v>SP2-B3-43301</v>
          </cell>
          <cell r="E355" t="str">
            <v>SP2-B3-43301</v>
          </cell>
          <cell r="F355">
            <v>1.679</v>
          </cell>
          <cell r="G355">
            <v>0.14700000000000002</v>
          </cell>
          <cell r="H355">
            <v>0.17200000000000015</v>
          </cell>
        </row>
        <row r="356">
          <cell r="D356" t="str">
            <v>SP2-D4-43301</v>
          </cell>
          <cell r="E356" t="str">
            <v>SP2-D4-43301</v>
          </cell>
          <cell r="F356">
            <v>1.7230000000000001</v>
          </cell>
          <cell r="G356">
            <v>0.19100000000000006</v>
          </cell>
          <cell r="H356">
            <v>0.21600000000000019</v>
          </cell>
        </row>
        <row r="357">
          <cell r="D357" t="str">
            <v>SP2-D5-43301</v>
          </cell>
          <cell r="E357" t="str">
            <v>SP2-D5-43301</v>
          </cell>
          <cell r="F357">
            <v>1.573</v>
          </cell>
          <cell r="G357">
            <v>4.0999999999999925E-2</v>
          </cell>
          <cell r="H357">
            <v>6.6000000000000059E-2</v>
          </cell>
        </row>
        <row r="358">
          <cell r="D358" t="str">
            <v>SP2-F1-43301</v>
          </cell>
          <cell r="E358" t="str">
            <v>SP2-F1-43301</v>
          </cell>
          <cell r="F358">
            <v>1.827</v>
          </cell>
          <cell r="G358">
            <v>0.29499999999999993</v>
          </cell>
          <cell r="H358">
            <v>0.32000000000000006</v>
          </cell>
        </row>
        <row r="359">
          <cell r="D359" t="str">
            <v>SP2-G8-43301</v>
          </cell>
          <cell r="E359" t="str">
            <v>SP2-G8-43301</v>
          </cell>
          <cell r="F359">
            <v>1.605</v>
          </cell>
          <cell r="G359">
            <v>7.2999999999999954E-2</v>
          </cell>
          <cell r="H359">
            <v>9.8000000000000087E-2</v>
          </cell>
        </row>
        <row r="360">
          <cell r="D360" t="str">
            <v>SP2-H3-43301</v>
          </cell>
          <cell r="E360" t="str">
            <v>SP2-H3-43301</v>
          </cell>
          <cell r="F360">
            <v>1.65</v>
          </cell>
          <cell r="G360">
            <v>0.11799999999999988</v>
          </cell>
          <cell r="H360">
            <v>0.14300000000000002</v>
          </cell>
        </row>
        <row r="361">
          <cell r="D361" t="str">
            <v>SP2-H6-43301</v>
          </cell>
          <cell r="E361" t="str">
            <v>SP2-H6-43301</v>
          </cell>
          <cell r="F361">
            <v>1.8320000000000001</v>
          </cell>
          <cell r="G361">
            <v>0.30000000000000004</v>
          </cell>
          <cell r="H361">
            <v>0.32500000000000018</v>
          </cell>
        </row>
        <row r="362">
          <cell r="D362" t="str">
            <v>SP2-A8-43302</v>
          </cell>
          <cell r="E362" t="str">
            <v>SP2-A8-43302</v>
          </cell>
          <cell r="F362">
            <v>1.849</v>
          </cell>
          <cell r="G362">
            <v>0.31699999999999995</v>
          </cell>
          <cell r="H362">
            <v>0.34200000000000008</v>
          </cell>
        </row>
        <row r="363">
          <cell r="D363" t="str">
            <v>SP2-B2-43302</v>
          </cell>
          <cell r="E363" t="str">
            <v>SP2-B2-43302</v>
          </cell>
          <cell r="F363">
            <v>1.736</v>
          </cell>
          <cell r="G363">
            <v>0.20399999999999996</v>
          </cell>
          <cell r="H363">
            <v>0.22900000000000009</v>
          </cell>
        </row>
        <row r="364">
          <cell r="D364" t="str">
            <v>SP2-E2-43302</v>
          </cell>
          <cell r="E364" t="str">
            <v>SP2-E2-43302</v>
          </cell>
          <cell r="F364">
            <v>1.7789999999999999</v>
          </cell>
          <cell r="G364">
            <v>0.24699999999999989</v>
          </cell>
          <cell r="H364">
            <v>0.27200000000000002</v>
          </cell>
        </row>
        <row r="365">
          <cell r="D365" t="str">
            <v>SP2-G3-43302</v>
          </cell>
          <cell r="E365" t="str">
            <v>SP2-G3-43302</v>
          </cell>
          <cell r="F365">
            <v>1.7549999999999999</v>
          </cell>
          <cell r="G365">
            <v>0.22299999999999986</v>
          </cell>
          <cell r="H365">
            <v>0.248</v>
          </cell>
        </row>
        <row r="366">
          <cell r="D366" t="str">
            <v>SP2-H2-43302</v>
          </cell>
          <cell r="E366" t="str">
            <v>SP2-H2-43302</v>
          </cell>
          <cell r="F366">
            <v>1.827</v>
          </cell>
          <cell r="G366">
            <v>0.29499999999999993</v>
          </cell>
          <cell r="H366">
            <v>0.32000000000000006</v>
          </cell>
        </row>
        <row r="367">
          <cell r="D367" t="str">
            <v>BC1-A1-43303</v>
          </cell>
          <cell r="E367" t="str">
            <v>BC1-A1-43303</v>
          </cell>
          <cell r="F367">
            <v>1.9930000000000001</v>
          </cell>
          <cell r="G367">
            <v>0.46100000000000008</v>
          </cell>
          <cell r="H367">
            <v>0.48600000000000021</v>
          </cell>
        </row>
        <row r="368">
          <cell r="D368" t="str">
            <v>BC1-A7-43303</v>
          </cell>
          <cell r="E368" t="str">
            <v>BC1-A7-43303</v>
          </cell>
          <cell r="F368">
            <v>1.7390000000000001</v>
          </cell>
          <cell r="G368">
            <v>0.20700000000000007</v>
          </cell>
          <cell r="H368">
            <v>0.23200000000000021</v>
          </cell>
        </row>
        <row r="369">
          <cell r="D369" t="str">
            <v>BC1-B7-43303</v>
          </cell>
          <cell r="E369" t="str">
            <v>BC1-B7-43303</v>
          </cell>
          <cell r="F369">
            <v>2.3239999999999998</v>
          </cell>
          <cell r="G369">
            <v>0.79199999999999982</v>
          </cell>
          <cell r="H369">
            <v>0.81699999999999995</v>
          </cell>
        </row>
        <row r="370">
          <cell r="D370" t="str">
            <v>BC1-C1-43303</v>
          </cell>
          <cell r="E370" t="str">
            <v>BC1-C1-43303</v>
          </cell>
          <cell r="F370">
            <v>1.917</v>
          </cell>
          <cell r="G370">
            <v>0.38500000000000001</v>
          </cell>
          <cell r="H370">
            <v>0.41000000000000014</v>
          </cell>
        </row>
        <row r="371">
          <cell r="D371" t="str">
            <v>BC1-H6-43303</v>
          </cell>
          <cell r="E371" t="str">
            <v>BC1-H6-43303</v>
          </cell>
          <cell r="F371">
            <v>1.9510000000000001</v>
          </cell>
          <cell r="G371">
            <v>0.41900000000000004</v>
          </cell>
          <cell r="H371">
            <v>0.44400000000000017</v>
          </cell>
        </row>
        <row r="372">
          <cell r="D372" t="str">
            <v>BC1-H8-43303</v>
          </cell>
          <cell r="E372" t="str">
            <v>BC1-H8-43303</v>
          </cell>
          <cell r="F372">
            <v>2.0870000000000002</v>
          </cell>
          <cell r="G372">
            <v>0.55500000000000016</v>
          </cell>
          <cell r="H372">
            <v>0.58000000000000029</v>
          </cell>
        </row>
        <row r="373">
          <cell r="D373" t="str">
            <v>BC2-B5-43303</v>
          </cell>
          <cell r="E373" t="str">
            <v>BC2-B5-43303</v>
          </cell>
          <cell r="F373">
            <v>1.7110000000000001</v>
          </cell>
          <cell r="G373">
            <v>0.17900000000000005</v>
          </cell>
          <cell r="H373">
            <v>0.20400000000000018</v>
          </cell>
        </row>
        <row r="374">
          <cell r="D374" t="str">
            <v>BC2-D1-43303</v>
          </cell>
          <cell r="E374" t="str">
            <v>BC2-D1-43303</v>
          </cell>
          <cell r="F374">
            <v>1.702</v>
          </cell>
          <cell r="G374">
            <v>0.16999999999999993</v>
          </cell>
          <cell r="H374">
            <v>0.19500000000000006</v>
          </cell>
        </row>
        <row r="375">
          <cell r="D375" t="str">
            <v>BC2-D3-43303</v>
          </cell>
          <cell r="E375" t="str">
            <v>BC2-D3-43303</v>
          </cell>
          <cell r="F375">
            <v>1.744</v>
          </cell>
          <cell r="G375">
            <v>0.21199999999999997</v>
          </cell>
          <cell r="H375">
            <v>0.2370000000000001</v>
          </cell>
        </row>
        <row r="376">
          <cell r="D376" t="str">
            <v>BC2-H2-43303</v>
          </cell>
          <cell r="E376" t="str">
            <v>BC2-H2-43303</v>
          </cell>
          <cell r="F376">
            <v>1.931</v>
          </cell>
          <cell r="G376">
            <v>0.39900000000000002</v>
          </cell>
          <cell r="H376">
            <v>0.42400000000000015</v>
          </cell>
        </row>
        <row r="377">
          <cell r="D377" t="str">
            <v>BC2-H6-43303</v>
          </cell>
          <cell r="E377" t="str">
            <v>BC2-H6-43303</v>
          </cell>
          <cell r="F377">
            <v>1.855</v>
          </cell>
          <cell r="G377">
            <v>0.32299999999999995</v>
          </cell>
          <cell r="H377">
            <v>0.34800000000000009</v>
          </cell>
        </row>
        <row r="378">
          <cell r="D378" t="str">
            <v>BC1-D2-43304</v>
          </cell>
          <cell r="E378" t="str">
            <v>BC1-D2-43304</v>
          </cell>
          <cell r="F378">
            <v>1.7789999999999999</v>
          </cell>
          <cell r="G378">
            <v>0.24699999999999989</v>
          </cell>
          <cell r="H378">
            <v>0.27200000000000002</v>
          </cell>
        </row>
        <row r="379">
          <cell r="D379" t="str">
            <v>BC2-D1-43304</v>
          </cell>
          <cell r="E379" t="str">
            <v>BC2-D1-43304</v>
          </cell>
          <cell r="F379">
            <v>2.0579999999999998</v>
          </cell>
          <cell r="G379">
            <v>0.5259999999999998</v>
          </cell>
          <cell r="H379">
            <v>0.55099999999999993</v>
          </cell>
        </row>
        <row r="380">
          <cell r="D380" t="str">
            <v>BC2-E8-43304</v>
          </cell>
          <cell r="E380" t="str">
            <v>BC2-E8-43304</v>
          </cell>
          <cell r="F380">
            <v>1.8180000000000001</v>
          </cell>
          <cell r="G380">
            <v>0.28600000000000003</v>
          </cell>
          <cell r="H380">
            <v>0.31100000000000017</v>
          </cell>
        </row>
        <row r="381">
          <cell r="D381" t="str">
            <v>HW1-B2-43305</v>
          </cell>
          <cell r="E381" t="str">
            <v>HW1-B2-43305</v>
          </cell>
          <cell r="F381">
            <v>1.68</v>
          </cell>
          <cell r="G381">
            <v>0.14799999999999991</v>
          </cell>
          <cell r="H381">
            <v>0.17300000000000004</v>
          </cell>
        </row>
        <row r="382">
          <cell r="D382" t="str">
            <v>HW1-B7-43305</v>
          </cell>
          <cell r="E382" t="str">
            <v>HW1-B7-43305</v>
          </cell>
          <cell r="F382">
            <v>1.7030000000000001</v>
          </cell>
          <cell r="G382">
            <v>0.17100000000000004</v>
          </cell>
          <cell r="H382">
            <v>0.19600000000000017</v>
          </cell>
        </row>
        <row r="383">
          <cell r="D383" t="str">
            <v>HW1-B8-43305</v>
          </cell>
          <cell r="E383" t="str">
            <v>HW1-B8-43305</v>
          </cell>
          <cell r="F383">
            <v>1.77</v>
          </cell>
          <cell r="G383">
            <v>0.23799999999999999</v>
          </cell>
          <cell r="H383">
            <v>0.26300000000000012</v>
          </cell>
        </row>
        <row r="384">
          <cell r="D384" t="str">
            <v>HW1-C1-43305</v>
          </cell>
          <cell r="E384" t="str">
            <v>HW1-C1-43305</v>
          </cell>
          <cell r="F384">
            <v>2.101</v>
          </cell>
          <cell r="G384">
            <v>0.56899999999999995</v>
          </cell>
          <cell r="H384">
            <v>0.59400000000000008</v>
          </cell>
        </row>
        <row r="385">
          <cell r="D385" t="str">
            <v>HW1-C4-43305</v>
          </cell>
          <cell r="E385" t="str">
            <v>HW1-C4-43305</v>
          </cell>
          <cell r="F385">
            <v>2.032</v>
          </cell>
          <cell r="G385">
            <v>0.5</v>
          </cell>
          <cell r="H385">
            <v>0.52500000000000013</v>
          </cell>
        </row>
        <row r="386">
          <cell r="D386" t="str">
            <v>HW1-F5-43305</v>
          </cell>
          <cell r="E386" t="str">
            <v>HW1-F5-43305</v>
          </cell>
          <cell r="F386">
            <v>1.7589999999999999</v>
          </cell>
          <cell r="G386">
            <v>0.22699999999999987</v>
          </cell>
          <cell r="H386">
            <v>0.252</v>
          </cell>
        </row>
        <row r="387">
          <cell r="D387" t="str">
            <v>HW1-F8-43305</v>
          </cell>
          <cell r="E387" t="str">
            <v>HW1-F8-43305</v>
          </cell>
          <cell r="F387">
            <v>1.8180000000000001</v>
          </cell>
          <cell r="G387">
            <v>0.28600000000000003</v>
          </cell>
          <cell r="H387">
            <v>0.31100000000000017</v>
          </cell>
        </row>
        <row r="388">
          <cell r="D388" t="str">
            <v>HW1-G2-43305</v>
          </cell>
          <cell r="E388" t="str">
            <v>HW1-G2-43305</v>
          </cell>
          <cell r="F388">
            <v>1.6950000000000001</v>
          </cell>
          <cell r="G388">
            <v>0.16300000000000003</v>
          </cell>
          <cell r="H388">
            <v>0.18800000000000017</v>
          </cell>
        </row>
        <row r="389">
          <cell r="D389" t="str">
            <v>HW1-G4-43305</v>
          </cell>
          <cell r="E389" t="str">
            <v>HW1-G4-43305</v>
          </cell>
          <cell r="F389">
            <v>1.8120000000000001</v>
          </cell>
          <cell r="G389">
            <v>0.28000000000000003</v>
          </cell>
          <cell r="H389">
            <v>0.30500000000000016</v>
          </cell>
        </row>
        <row r="390">
          <cell r="D390" t="str">
            <v>HW1-H3-43305</v>
          </cell>
          <cell r="E390" t="str">
            <v>HW1-H3-43305</v>
          </cell>
          <cell r="F390">
            <v>1.946</v>
          </cell>
          <cell r="G390">
            <v>0.41399999999999992</v>
          </cell>
          <cell r="H390">
            <v>0.43900000000000006</v>
          </cell>
        </row>
        <row r="391">
          <cell r="D391" t="str">
            <v>HW1-H7-43305</v>
          </cell>
          <cell r="E391" t="str">
            <v>HW1-H7-43305</v>
          </cell>
          <cell r="F391">
            <v>2.0249999999999999</v>
          </cell>
          <cell r="G391">
            <v>0.49299999999999988</v>
          </cell>
          <cell r="H391">
            <v>0.51800000000000002</v>
          </cell>
        </row>
        <row r="392">
          <cell r="D392" t="str">
            <v>HW2-A1-43305</v>
          </cell>
          <cell r="E392" t="str">
            <v>HW2-A1-43305</v>
          </cell>
          <cell r="F392">
            <v>1.69</v>
          </cell>
          <cell r="G392">
            <v>0.15799999999999992</v>
          </cell>
          <cell r="H392">
            <v>0.18300000000000005</v>
          </cell>
        </row>
        <row r="393">
          <cell r="D393" t="str">
            <v>HW2-A7-43305</v>
          </cell>
          <cell r="E393" t="str">
            <v>HW2-A7-43305</v>
          </cell>
          <cell r="F393">
            <v>2.133</v>
          </cell>
          <cell r="G393">
            <v>0.60099999999999998</v>
          </cell>
          <cell r="H393">
            <v>0.62600000000000011</v>
          </cell>
        </row>
        <row r="394">
          <cell r="D394" t="str">
            <v>HW2-B2-43305</v>
          </cell>
          <cell r="E394" t="str">
            <v>HW2-B2-43305</v>
          </cell>
          <cell r="F394">
            <v>2.343</v>
          </cell>
          <cell r="G394">
            <v>0.81099999999999994</v>
          </cell>
          <cell r="H394">
            <v>0.83600000000000008</v>
          </cell>
        </row>
        <row r="395">
          <cell r="D395" t="str">
            <v>HW2-B6-43305</v>
          </cell>
          <cell r="E395" t="str">
            <v>HW2-B6-43305</v>
          </cell>
          <cell r="F395">
            <v>2.407</v>
          </cell>
          <cell r="G395">
            <v>0.875</v>
          </cell>
          <cell r="H395">
            <v>0.90000000000000013</v>
          </cell>
        </row>
        <row r="396">
          <cell r="D396" t="str">
            <v>HW2-C3-43305</v>
          </cell>
          <cell r="E396" t="str">
            <v>HW2-C3-43305</v>
          </cell>
          <cell r="F396">
            <v>1.8580000000000001</v>
          </cell>
          <cell r="G396">
            <v>0.32600000000000007</v>
          </cell>
          <cell r="H396">
            <v>0.3510000000000002</v>
          </cell>
        </row>
        <row r="397">
          <cell r="D397" t="str">
            <v>HW2-C8-43305</v>
          </cell>
          <cell r="E397" t="str">
            <v>HW2-C8-43305</v>
          </cell>
          <cell r="F397">
            <v>1.8939999999999999</v>
          </cell>
          <cell r="G397">
            <v>0.36199999999999988</v>
          </cell>
          <cell r="H397">
            <v>0.38700000000000001</v>
          </cell>
        </row>
        <row r="398">
          <cell r="D398" t="str">
            <v>HW2-E4-43305</v>
          </cell>
          <cell r="E398" t="str">
            <v>HW2-E4-43305</v>
          </cell>
          <cell r="F398">
            <v>2.29</v>
          </cell>
          <cell r="G398">
            <v>0.75800000000000001</v>
          </cell>
          <cell r="H398">
            <v>0.78300000000000014</v>
          </cell>
        </row>
        <row r="399">
          <cell r="D399" t="str">
            <v>HW2-E8-43305</v>
          </cell>
          <cell r="E399" t="str">
            <v>HW2-E8-43305</v>
          </cell>
          <cell r="F399">
            <v>1.82</v>
          </cell>
          <cell r="G399">
            <v>0.28800000000000003</v>
          </cell>
          <cell r="H399">
            <v>0.31300000000000017</v>
          </cell>
        </row>
        <row r="400">
          <cell r="D400" t="str">
            <v>HW2-G2-43305</v>
          </cell>
          <cell r="E400" t="str">
            <v>HW2-G2-43305</v>
          </cell>
          <cell r="F400">
            <v>1.776</v>
          </cell>
          <cell r="G400">
            <v>0.24399999999999999</v>
          </cell>
          <cell r="H400">
            <v>0.26900000000000013</v>
          </cell>
        </row>
        <row r="401">
          <cell r="D401" t="str">
            <v>HW2-H5-43305</v>
          </cell>
          <cell r="E401" t="str">
            <v>HW2-H5-43305</v>
          </cell>
          <cell r="F401">
            <v>2.0049999999999999</v>
          </cell>
          <cell r="G401">
            <v>0.47299999999999986</v>
          </cell>
          <cell r="H401">
            <v>0.498</v>
          </cell>
        </row>
        <row r="402">
          <cell r="D402" t="str">
            <v>HW2-H7-43305</v>
          </cell>
          <cell r="E402" t="str">
            <v>HW2-H7-43305</v>
          </cell>
          <cell r="F402">
            <v>1.88</v>
          </cell>
          <cell r="G402">
            <v>0.34799999999999986</v>
          </cell>
          <cell r="H402">
            <v>0.373</v>
          </cell>
        </row>
        <row r="403">
          <cell r="D403" t="str">
            <v>HW1-H7-43306</v>
          </cell>
          <cell r="E403" t="str">
            <v>HW1-H7-43306</v>
          </cell>
          <cell r="F403">
            <v>1.9159999999999999</v>
          </cell>
          <cell r="G403">
            <v>0.3839999999999999</v>
          </cell>
          <cell r="H403">
            <v>0.40900000000000003</v>
          </cell>
        </row>
        <row r="404">
          <cell r="D404" t="str">
            <v>HW2-F1-43306</v>
          </cell>
          <cell r="E404" t="str">
            <v>HW2-F1-43306</v>
          </cell>
          <cell r="F404">
            <v>1.784</v>
          </cell>
          <cell r="G404">
            <v>0.252</v>
          </cell>
          <cell r="H404">
            <v>0.27700000000000014</v>
          </cell>
        </row>
        <row r="405">
          <cell r="D405" t="str">
            <v>HW2-G2-43306</v>
          </cell>
          <cell r="E405" t="str">
            <v>HW2-G2-43306</v>
          </cell>
          <cell r="F405">
            <v>1.881</v>
          </cell>
          <cell r="G405">
            <v>0.34899999999999998</v>
          </cell>
          <cell r="H405">
            <v>0.37400000000000011</v>
          </cell>
        </row>
        <row r="406">
          <cell r="D406" t="str">
            <v>HW2-G4-43306</v>
          </cell>
          <cell r="E406" t="str">
            <v>HW2-G4-43306</v>
          </cell>
          <cell r="F406">
            <v>1.7</v>
          </cell>
          <cell r="G406">
            <v>0.16799999999999993</v>
          </cell>
          <cell r="H406">
            <v>0.19300000000000006</v>
          </cell>
        </row>
        <row r="407">
          <cell r="D407" t="str">
            <v>HW2-G6-43306</v>
          </cell>
          <cell r="E407" t="str">
            <v>HW2-G6-43306</v>
          </cell>
          <cell r="F407">
            <v>1.706</v>
          </cell>
          <cell r="G407">
            <v>0.17399999999999993</v>
          </cell>
          <cell r="H407">
            <v>0.19900000000000007</v>
          </cell>
        </row>
        <row r="408">
          <cell r="D408" t="str">
            <v>HW2-H5-43306</v>
          </cell>
          <cell r="E408" t="str">
            <v>HW2-H5-43306</v>
          </cell>
          <cell r="F408">
            <v>2.1150000000000002</v>
          </cell>
          <cell r="G408">
            <v>0.58300000000000018</v>
          </cell>
          <cell r="H408">
            <v>0.60800000000000032</v>
          </cell>
        </row>
        <row r="409">
          <cell r="D409" t="str">
            <v>HW2-H6-43306</v>
          </cell>
          <cell r="E409" t="str">
            <v>HW2-H6-43306</v>
          </cell>
          <cell r="F409">
            <v>1.61</v>
          </cell>
          <cell r="G409">
            <v>7.8000000000000069E-2</v>
          </cell>
          <cell r="H409">
            <v>0.1030000000000002</v>
          </cell>
        </row>
        <row r="410">
          <cell r="D410" t="str">
            <v>SP1-A1-43313</v>
          </cell>
          <cell r="E410" t="str">
            <v>SP1-A1-43313</v>
          </cell>
          <cell r="F410">
            <v>1.6819999999999999</v>
          </cell>
          <cell r="G410">
            <v>0.14999999999999991</v>
          </cell>
          <cell r="H410">
            <v>0.17500000000000004</v>
          </cell>
        </row>
        <row r="411">
          <cell r="D411" t="str">
            <v>SP1-A5-43313</v>
          </cell>
          <cell r="E411" t="str">
            <v>SP1-A5-43313</v>
          </cell>
          <cell r="F411">
            <v>1.7889999999999999</v>
          </cell>
          <cell r="G411">
            <v>0.2569999999999999</v>
          </cell>
          <cell r="H411">
            <v>0.28200000000000003</v>
          </cell>
        </row>
        <row r="412">
          <cell r="D412" t="str">
            <v>SP1-B4-43313</v>
          </cell>
          <cell r="E412" t="str">
            <v>SP1-B4-43313</v>
          </cell>
          <cell r="F412">
            <v>1.633</v>
          </cell>
          <cell r="G412">
            <v>0.10099999999999998</v>
          </cell>
          <cell r="H412">
            <v>0.12600000000000011</v>
          </cell>
        </row>
        <row r="413">
          <cell r="D413" t="str">
            <v>SP1-B8-43313</v>
          </cell>
          <cell r="E413" t="str">
            <v>SP1-B8-43313</v>
          </cell>
          <cell r="F413">
            <v>1.913</v>
          </cell>
          <cell r="G413">
            <v>0.38100000000000001</v>
          </cell>
          <cell r="H413">
            <v>0.40600000000000014</v>
          </cell>
        </row>
        <row r="414">
          <cell r="D414" t="str">
            <v>SP1-C1-43313</v>
          </cell>
          <cell r="E414" t="str">
            <v>SP1-C1-43313</v>
          </cell>
          <cell r="F414">
            <v>1.8240000000000001</v>
          </cell>
          <cell r="G414">
            <v>0.29200000000000004</v>
          </cell>
          <cell r="H414">
            <v>0.31700000000000017</v>
          </cell>
        </row>
        <row r="415">
          <cell r="D415" t="str">
            <v>SP1-C2-43313</v>
          </cell>
          <cell r="E415" t="str">
            <v>SP1-C2-43313</v>
          </cell>
          <cell r="F415">
            <v>1.8260000000000001</v>
          </cell>
          <cell r="G415">
            <v>0.29400000000000004</v>
          </cell>
          <cell r="H415">
            <v>0.31900000000000017</v>
          </cell>
        </row>
        <row r="416">
          <cell r="D416" t="str">
            <v>SP1-C8-43313</v>
          </cell>
          <cell r="E416" t="str">
            <v>SP1-C8-43313</v>
          </cell>
          <cell r="F416">
            <v>1.84</v>
          </cell>
          <cell r="G416">
            <v>0.30800000000000005</v>
          </cell>
          <cell r="H416">
            <v>0.33300000000000018</v>
          </cell>
        </row>
        <row r="417">
          <cell r="D417" t="str">
            <v>SP1-F2-43313</v>
          </cell>
          <cell r="E417" t="str">
            <v>SP1-F2-43313</v>
          </cell>
          <cell r="F417">
            <v>1.6339999999999999</v>
          </cell>
          <cell r="G417">
            <v>0.10199999999999987</v>
          </cell>
          <cell r="H417">
            <v>0.127</v>
          </cell>
        </row>
        <row r="418">
          <cell r="D418" t="str">
            <v>SP1-F8-43313</v>
          </cell>
          <cell r="E418" t="str">
            <v>SP1-F8-43313</v>
          </cell>
          <cell r="F418">
            <v>1.8380000000000001</v>
          </cell>
          <cell r="G418">
            <v>0.30600000000000005</v>
          </cell>
          <cell r="H418">
            <v>0.33100000000000018</v>
          </cell>
        </row>
        <row r="419">
          <cell r="D419" t="str">
            <v>SP1-G8-43313</v>
          </cell>
          <cell r="E419" t="str">
            <v>SP1-G8-43313</v>
          </cell>
        </row>
        <row r="420">
          <cell r="D420" t="str">
            <v>SP1-G8-43313</v>
          </cell>
          <cell r="E420" t="str">
            <v>SP1-G8-43313</v>
          </cell>
        </row>
        <row r="421">
          <cell r="D421" t="str">
            <v>SP2-A2-43313</v>
          </cell>
          <cell r="E421" t="str">
            <v>SP2-A2-43313</v>
          </cell>
          <cell r="F421">
            <v>1.7929999999999999</v>
          </cell>
          <cell r="G421">
            <v>0.2609999999999999</v>
          </cell>
          <cell r="H421">
            <v>0.28600000000000003</v>
          </cell>
        </row>
        <row r="422">
          <cell r="D422" t="str">
            <v>SP2-A5-43313</v>
          </cell>
          <cell r="E422" t="str">
            <v>SP2-A5-43313</v>
          </cell>
          <cell r="F422">
            <v>1.867</v>
          </cell>
          <cell r="G422">
            <v>0.33499999999999996</v>
          </cell>
          <cell r="H422">
            <v>0.3600000000000001</v>
          </cell>
        </row>
        <row r="423">
          <cell r="D423" t="str">
            <v>SP2-A7-43313</v>
          </cell>
          <cell r="E423" t="str">
            <v>SP2-A7-43313</v>
          </cell>
          <cell r="F423">
            <v>1.9239999999999999</v>
          </cell>
          <cell r="G423">
            <v>0.3919999999999999</v>
          </cell>
          <cell r="H423">
            <v>0.41700000000000004</v>
          </cell>
        </row>
        <row r="424">
          <cell r="D424" t="str">
            <v>SP2-B2-43313</v>
          </cell>
          <cell r="E424" t="str">
            <v>SP2-B2-43313</v>
          </cell>
          <cell r="F424">
            <v>1.7569999999999999</v>
          </cell>
          <cell r="G424">
            <v>0.22499999999999987</v>
          </cell>
          <cell r="H424">
            <v>0.25</v>
          </cell>
        </row>
        <row r="425">
          <cell r="D425" t="str">
            <v>SP2-B5-43313</v>
          </cell>
          <cell r="E425" t="str">
            <v>SP2-B5-43313</v>
          </cell>
          <cell r="F425">
            <v>1.7929999999999999</v>
          </cell>
          <cell r="G425">
            <v>0.2609999999999999</v>
          </cell>
          <cell r="H425">
            <v>0.28600000000000003</v>
          </cell>
        </row>
        <row r="426">
          <cell r="D426" t="str">
            <v>SP2-E2-43313</v>
          </cell>
          <cell r="E426" t="str">
            <v>SP2-E2-43313</v>
          </cell>
          <cell r="F426">
            <v>1.8819999999999999</v>
          </cell>
          <cell r="G426">
            <v>0.34999999999999987</v>
          </cell>
          <cell r="H426">
            <v>0.375</v>
          </cell>
        </row>
        <row r="427">
          <cell r="D427" t="str">
            <v>SP2-E5-43313</v>
          </cell>
          <cell r="E427" t="str">
            <v>SP2-E5-43313</v>
          </cell>
          <cell r="F427">
            <v>1.63</v>
          </cell>
          <cell r="G427">
            <v>9.7999999999999865E-2</v>
          </cell>
          <cell r="H427">
            <v>0.123</v>
          </cell>
        </row>
        <row r="428">
          <cell r="D428" t="str">
            <v>SP2-G1-43313</v>
          </cell>
          <cell r="E428" t="str">
            <v>SP2-G1-43313</v>
          </cell>
          <cell r="F428">
            <v>1.9930000000000001</v>
          </cell>
          <cell r="G428">
            <v>0.46100000000000008</v>
          </cell>
          <cell r="H428">
            <v>0.48600000000000021</v>
          </cell>
        </row>
        <row r="429">
          <cell r="D429" t="str">
            <v>SP2-G4-43313</v>
          </cell>
          <cell r="E429" t="str">
            <v>SP2-G4-43313</v>
          </cell>
          <cell r="F429">
            <v>1.742</v>
          </cell>
          <cell r="G429">
            <v>0.20999999999999996</v>
          </cell>
          <cell r="H429">
            <v>0.2350000000000001</v>
          </cell>
        </row>
        <row r="430">
          <cell r="D430" t="str">
            <v>SP1-G1-43313</v>
          </cell>
        </row>
        <row r="431">
          <cell r="D431" t="str">
            <v>SP1-A7-43314</v>
          </cell>
          <cell r="E431" t="str">
            <v>SP1-A7-43314</v>
          </cell>
          <cell r="F431">
            <v>1.8859999999999999</v>
          </cell>
          <cell r="G431">
            <v>0.35399999999999987</v>
          </cell>
          <cell r="H431">
            <v>0.379</v>
          </cell>
        </row>
        <row r="432">
          <cell r="D432" t="str">
            <v>SP1-C1-43314</v>
          </cell>
          <cell r="E432" t="str">
            <v>SP1-C1-43314</v>
          </cell>
          <cell r="F432">
            <v>1.9430000000000001</v>
          </cell>
          <cell r="G432">
            <v>0.41100000000000003</v>
          </cell>
          <cell r="H432">
            <v>0.43600000000000017</v>
          </cell>
        </row>
        <row r="433">
          <cell r="D433" t="str">
            <v>SP1-G7-43314</v>
          </cell>
          <cell r="E433" t="str">
            <v>SP1-G7-43314</v>
          </cell>
          <cell r="F433">
            <v>1.7350000000000001</v>
          </cell>
          <cell r="G433">
            <v>0.20300000000000007</v>
          </cell>
          <cell r="H433">
            <v>0.2280000000000002</v>
          </cell>
        </row>
        <row r="434">
          <cell r="D434" t="str">
            <v>SP2-A1-43314</v>
          </cell>
          <cell r="E434" t="str">
            <v>SP2-A1-43314</v>
          </cell>
          <cell r="F434">
            <v>2.153</v>
          </cell>
          <cell r="G434">
            <v>0.621</v>
          </cell>
          <cell r="H434">
            <v>0.64600000000000013</v>
          </cell>
        </row>
        <row r="435">
          <cell r="D435" t="str">
            <v>SP2-B8-43314</v>
          </cell>
          <cell r="E435" t="str">
            <v>SP2-B8-43314</v>
          </cell>
          <cell r="F435">
            <v>1.9590000000000001</v>
          </cell>
          <cell r="G435">
            <v>0.42700000000000005</v>
          </cell>
          <cell r="H435">
            <v>0.45200000000000018</v>
          </cell>
        </row>
        <row r="436">
          <cell r="D436" t="str">
            <v>SP2-D2-43314</v>
          </cell>
          <cell r="E436" t="str">
            <v>SP2-D2-43314</v>
          </cell>
          <cell r="F436">
            <v>1.7370000000000001</v>
          </cell>
          <cell r="G436">
            <v>0.20500000000000007</v>
          </cell>
          <cell r="H436">
            <v>0.2300000000000002</v>
          </cell>
        </row>
        <row r="437">
          <cell r="D437" t="str">
            <v>PO1-A2-43315</v>
          </cell>
          <cell r="E437" t="str">
            <v>PO1-A2-43315</v>
          </cell>
          <cell r="F437">
            <v>1.8540000000000001</v>
          </cell>
          <cell r="G437">
            <v>0.32200000000000006</v>
          </cell>
          <cell r="H437">
            <v>0.3470000000000002</v>
          </cell>
        </row>
        <row r="438">
          <cell r="D438" t="str">
            <v>PO1-A4-43315</v>
          </cell>
          <cell r="E438" t="str">
            <v>PO1-A4-43315</v>
          </cell>
          <cell r="F438">
            <v>2.1520000000000001</v>
          </cell>
          <cell r="G438">
            <v>0.62000000000000011</v>
          </cell>
          <cell r="H438">
            <v>0.64500000000000024</v>
          </cell>
        </row>
        <row r="439">
          <cell r="D439" t="str">
            <v>PO1-B3-43315</v>
          </cell>
          <cell r="E439" t="str">
            <v>PO1-B3-43315</v>
          </cell>
          <cell r="F439">
            <v>1.915</v>
          </cell>
          <cell r="G439">
            <v>0.38300000000000001</v>
          </cell>
          <cell r="H439">
            <v>0.40800000000000014</v>
          </cell>
        </row>
        <row r="440">
          <cell r="D440" t="str">
            <v>PO1-B4-43315</v>
          </cell>
          <cell r="E440" t="str">
            <v>PO1-B4-43315</v>
          </cell>
          <cell r="F440">
            <v>2.0249999999999999</v>
          </cell>
          <cell r="G440">
            <v>0.49299999999999988</v>
          </cell>
          <cell r="H440">
            <v>0.51800000000000002</v>
          </cell>
        </row>
        <row r="441">
          <cell r="D441" t="str">
            <v>PO1-C7-43315</v>
          </cell>
          <cell r="E441" t="str">
            <v>PO1-C7-43315</v>
          </cell>
          <cell r="F441">
            <v>1.9530000000000001</v>
          </cell>
          <cell r="G441">
            <v>0.42100000000000004</v>
          </cell>
          <cell r="H441">
            <v>0.44600000000000017</v>
          </cell>
        </row>
        <row r="442">
          <cell r="D442" t="str">
            <v>PO1-F4-43315</v>
          </cell>
          <cell r="E442" t="str">
            <v>PO1-F4-43315</v>
          </cell>
          <cell r="F442">
            <v>1.885</v>
          </cell>
          <cell r="G442">
            <v>0.35299999999999998</v>
          </cell>
          <cell r="H442">
            <v>0.37800000000000011</v>
          </cell>
        </row>
        <row r="443">
          <cell r="D443" t="str">
            <v>PO1-F6-43315</v>
          </cell>
          <cell r="E443" t="str">
            <v>PO1-F6-43315</v>
          </cell>
          <cell r="F443">
            <v>1.9590000000000001</v>
          </cell>
          <cell r="G443">
            <v>0.42700000000000005</v>
          </cell>
          <cell r="H443">
            <v>0.45200000000000018</v>
          </cell>
        </row>
        <row r="444">
          <cell r="D444" t="str">
            <v>PO1-H2-43315</v>
          </cell>
          <cell r="E444" t="str">
            <v>PO1-H2-43315</v>
          </cell>
          <cell r="F444">
            <v>1.9279999999999999</v>
          </cell>
          <cell r="G444">
            <v>0.39599999999999991</v>
          </cell>
          <cell r="H444">
            <v>0.42100000000000004</v>
          </cell>
        </row>
        <row r="445">
          <cell r="D445" t="str">
            <v>PO1-H6-43315</v>
          </cell>
          <cell r="E445" t="str">
            <v>PO1-H6-43315</v>
          </cell>
          <cell r="F445">
            <v>1.86</v>
          </cell>
          <cell r="G445">
            <v>0.32800000000000007</v>
          </cell>
          <cell r="H445">
            <v>0.3530000000000002</v>
          </cell>
        </row>
        <row r="446">
          <cell r="D446" t="str">
            <v>PO1-H8-43315</v>
          </cell>
          <cell r="E446" t="str">
            <v>PO1-H8-43315</v>
          </cell>
          <cell r="F446">
            <v>1.925</v>
          </cell>
          <cell r="G446">
            <v>0.39300000000000002</v>
          </cell>
          <cell r="H446">
            <v>0.41800000000000015</v>
          </cell>
        </row>
        <row r="447">
          <cell r="D447" t="str">
            <v>PO2-A7-43315</v>
          </cell>
          <cell r="E447" t="str">
            <v>PO2-A7-43315</v>
          </cell>
          <cell r="F447">
            <v>1.677</v>
          </cell>
          <cell r="G447">
            <v>0.14500000000000002</v>
          </cell>
          <cell r="H447">
            <v>0.17000000000000015</v>
          </cell>
        </row>
        <row r="448">
          <cell r="D448" t="str">
            <v>PO2-B3-43315</v>
          </cell>
          <cell r="E448" t="str">
            <v>PO2-B3-43315</v>
          </cell>
          <cell r="F448">
            <v>2.0369999999999999</v>
          </cell>
          <cell r="G448">
            <v>0.50499999999999989</v>
          </cell>
          <cell r="H448">
            <v>0.53</v>
          </cell>
        </row>
        <row r="449">
          <cell r="D449" t="str">
            <v>PO1-D7-43315</v>
          </cell>
          <cell r="E449" t="str">
            <v>PO1-D7-43315</v>
          </cell>
          <cell r="F449">
            <v>1.8420000000000001</v>
          </cell>
          <cell r="G449">
            <v>0.31000000000000005</v>
          </cell>
          <cell r="H449">
            <v>0.33500000000000019</v>
          </cell>
        </row>
        <row r="450">
          <cell r="D450" t="str">
            <v>PO2-E3-43315</v>
          </cell>
          <cell r="E450" t="str">
            <v>PO2-E3-43315</v>
          </cell>
          <cell r="F450">
            <v>2.492</v>
          </cell>
          <cell r="G450">
            <v>0.96</v>
          </cell>
          <cell r="H450">
            <v>0.9850000000000001</v>
          </cell>
        </row>
        <row r="451">
          <cell r="D451" t="str">
            <v>PO2-E4-43315</v>
          </cell>
          <cell r="E451" t="str">
            <v>PO2-E4-43315</v>
          </cell>
          <cell r="F451">
            <v>2.1829999999999998</v>
          </cell>
          <cell r="G451">
            <v>0.6509999999999998</v>
          </cell>
          <cell r="H451">
            <v>0.67599999999999993</v>
          </cell>
        </row>
        <row r="452">
          <cell r="D452" t="str">
            <v>PO2-E8-43315</v>
          </cell>
          <cell r="E452" t="str">
            <v>PO2-E8-43315</v>
          </cell>
          <cell r="F452">
            <v>1.7989999999999999</v>
          </cell>
          <cell r="G452">
            <v>0.2669999999999999</v>
          </cell>
          <cell r="H452">
            <v>0.29200000000000004</v>
          </cell>
        </row>
        <row r="453">
          <cell r="D453" t="str">
            <v>PO2-F8-43315</v>
          </cell>
          <cell r="E453" t="str">
            <v>PO2-F8-43315</v>
          </cell>
          <cell r="F453">
            <v>2.3370000000000002</v>
          </cell>
          <cell r="G453">
            <v>0.80500000000000016</v>
          </cell>
          <cell r="H453">
            <v>0.83000000000000029</v>
          </cell>
        </row>
        <row r="454">
          <cell r="D454" t="str">
            <v>PO2-G3-43315</v>
          </cell>
          <cell r="E454" t="str">
            <v>PO2-G3-43315</v>
          </cell>
          <cell r="F454">
            <v>2.4300000000000002</v>
          </cell>
          <cell r="G454">
            <v>0.89800000000000013</v>
          </cell>
          <cell r="H454">
            <v>0.92300000000000026</v>
          </cell>
        </row>
        <row r="455">
          <cell r="D455" t="str">
            <v>PO2-H4-43315</v>
          </cell>
          <cell r="E455" t="str">
            <v>PO2-H4-43315</v>
          </cell>
          <cell r="F455">
            <v>1.8160000000000001</v>
          </cell>
          <cell r="G455">
            <v>0.28400000000000003</v>
          </cell>
          <cell r="H455">
            <v>0.30900000000000016</v>
          </cell>
        </row>
        <row r="456">
          <cell r="D456" t="str">
            <v>PO1-A3-43316</v>
          </cell>
          <cell r="E456" t="str">
            <v>PO1-A3-43316</v>
          </cell>
          <cell r="F456">
            <v>1.712</v>
          </cell>
          <cell r="G456">
            <v>0.17999999999999994</v>
          </cell>
          <cell r="H456">
            <v>0.20500000000000007</v>
          </cell>
        </row>
        <row r="457">
          <cell r="D457" t="str">
            <v>PO1-A8-43316</v>
          </cell>
          <cell r="E457" t="str">
            <v>PO1-A8-43316</v>
          </cell>
          <cell r="F457">
            <v>1.9870000000000001</v>
          </cell>
          <cell r="G457">
            <v>0.45500000000000007</v>
          </cell>
          <cell r="H457">
            <v>0.4800000000000002</v>
          </cell>
        </row>
        <row r="458">
          <cell r="D458" t="str">
            <v>PO1-C1-43316</v>
          </cell>
          <cell r="E458" t="str">
            <v>PO1-C1-43316</v>
          </cell>
          <cell r="F458">
            <v>1.8160000000000001</v>
          </cell>
          <cell r="G458">
            <v>0.28400000000000003</v>
          </cell>
          <cell r="H458">
            <v>0.30900000000000016</v>
          </cell>
        </row>
        <row r="459">
          <cell r="D459" t="str">
            <v>PO1-D6-43316</v>
          </cell>
          <cell r="E459" t="str">
            <v>PO1-D6-43316</v>
          </cell>
          <cell r="F459">
            <v>1.748</v>
          </cell>
          <cell r="G459">
            <v>0.21599999999999997</v>
          </cell>
          <cell r="H459">
            <v>0.2410000000000001</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sheetName val="Current-pre error checking"/>
      <sheetName val="Current_explanation"/>
      <sheetName val="Old"/>
      <sheetName val="Old_explanation"/>
    </sheetNames>
    <sheetDataSet>
      <sheetData sheetId="0">
        <row r="1">
          <cell r="A1" t="str">
            <v>grid trap date code</v>
          </cell>
          <cell r="B1" t="str">
            <v>on master</v>
          </cell>
          <cell r="C1" t="str">
            <v>Cap date</v>
          </cell>
          <cell r="D1" t="str">
            <v>Grid</v>
          </cell>
          <cell r="E1" t="str">
            <v>Trap</v>
          </cell>
          <cell r="F1" t="str">
            <v>FEC date</v>
          </cell>
          <cell r="G1" t="str">
            <v>Initials</v>
          </cell>
          <cell r="H1" t="str">
            <v>E. del</v>
          </cell>
          <cell r="I1" t="str">
            <v>E. ariz A</v>
          </cell>
          <cell r="J1" t="str">
            <v>E. ariz B</v>
          </cell>
          <cell r="K1" t="str">
            <v>total E. sp</v>
          </cell>
          <cell r="L1" t="str">
            <v>A. amer</v>
          </cell>
          <cell r="M1" t="str">
            <v>S. pero</v>
          </cell>
          <cell r="N1" t="str">
            <v>C. amer</v>
          </cell>
          <cell r="O1" t="str">
            <v>Nem A</v>
          </cell>
          <cell r="P1" t="str">
            <v>Nem B</v>
          </cell>
          <cell r="Q1" t="str">
            <v>H. sp.</v>
          </cell>
          <cell r="R1" t="str">
            <v>Nem larvae</v>
          </cell>
          <cell r="S1" t="str">
            <v>Followed protocol</v>
          </cell>
          <cell r="T1" t="str">
            <v>% Slide Counted for Coccidia</v>
          </cell>
          <cell r="V1" t="str">
            <v>Reported coccidia count to the left represents ___ pct</v>
          </cell>
          <cell r="W1" t="str">
            <v>Notes</v>
          </cell>
          <cell r="X1" t="str">
            <v>Entered by</v>
          </cell>
          <cell r="Y1" t="str">
            <v>Checked by</v>
          </cell>
          <cell r="Z1" t="str">
            <v>E. del for 100 pct ct</v>
          </cell>
          <cell r="AA1" t="str">
            <v>E ariz A for 100 pct ct</v>
          </cell>
          <cell r="AB1" t="str">
            <v>E ariz B for 100 pct ct</v>
          </cell>
          <cell r="AC1" t="str">
            <v>feces (poo) weight</v>
          </cell>
        </row>
        <row r="2">
          <cell r="A2" t="str">
            <v>SP1-C4-42923</v>
          </cell>
          <cell r="B2" t="str">
            <v>SP1-C4-42923</v>
          </cell>
          <cell r="C2">
            <v>42923</v>
          </cell>
          <cell r="D2" t="str">
            <v>SP1</v>
          </cell>
          <cell r="E2" t="str">
            <v>C4</v>
          </cell>
          <cell r="F2">
            <v>43224</v>
          </cell>
          <cell r="G2" t="str">
            <v>NB</v>
          </cell>
          <cell r="I2">
            <v>2311</v>
          </cell>
          <cell r="K2">
            <v>2311</v>
          </cell>
          <cell r="Q2">
            <v>2</v>
          </cell>
          <cell r="S2" t="str">
            <v>Y?</v>
          </cell>
          <cell r="T2">
            <v>100</v>
          </cell>
          <cell r="V2">
            <v>100</v>
          </cell>
          <cell r="X2" t="str">
            <v>LV</v>
          </cell>
          <cell r="Y2" t="str">
            <v>TE</v>
          </cell>
          <cell r="Z2">
            <v>0</v>
          </cell>
          <cell r="AA2">
            <v>2311</v>
          </cell>
          <cell r="AB2">
            <v>0</v>
          </cell>
          <cell r="AC2">
            <v>-1.472</v>
          </cell>
        </row>
        <row r="3">
          <cell r="A3" t="str">
            <v>PO2-F7-42929</v>
          </cell>
          <cell r="B3" t="str">
            <v>PO2-F7-42929</v>
          </cell>
          <cell r="C3">
            <v>42929</v>
          </cell>
          <cell r="D3" t="str">
            <v>PO2</v>
          </cell>
          <cell r="E3" t="str">
            <v>F7</v>
          </cell>
          <cell r="F3">
            <v>43210</v>
          </cell>
          <cell r="G3" t="str">
            <v>NB</v>
          </cell>
          <cell r="I3">
            <v>91</v>
          </cell>
          <cell r="K3">
            <v>91</v>
          </cell>
          <cell r="S3" t="str">
            <v>Y?</v>
          </cell>
          <cell r="T3">
            <v>100</v>
          </cell>
          <cell r="V3">
            <v>100</v>
          </cell>
          <cell r="X3" t="str">
            <v>LV</v>
          </cell>
          <cell r="Y3" t="str">
            <v>TE</v>
          </cell>
          <cell r="Z3">
            <v>0</v>
          </cell>
          <cell r="AA3">
            <v>91</v>
          </cell>
          <cell r="AB3">
            <v>0</v>
          </cell>
          <cell r="AC3">
            <v>-1.472</v>
          </cell>
        </row>
        <row r="4">
          <cell r="A4" t="str">
            <v>PO1-C3-42929</v>
          </cell>
          <cell r="B4" t="str">
            <v>PO1-C3-42929</v>
          </cell>
          <cell r="C4">
            <v>42929</v>
          </cell>
          <cell r="D4" t="str">
            <v>PO1</v>
          </cell>
          <cell r="E4" t="str">
            <v>C3</v>
          </cell>
          <cell r="F4">
            <v>43210</v>
          </cell>
          <cell r="G4" t="str">
            <v>TE</v>
          </cell>
          <cell r="H4">
            <v>62</v>
          </cell>
          <cell r="I4">
            <v>576</v>
          </cell>
          <cell r="K4">
            <v>638</v>
          </cell>
          <cell r="S4" t="str">
            <v>Y?</v>
          </cell>
          <cell r="T4">
            <v>100</v>
          </cell>
          <cell r="V4">
            <v>100</v>
          </cell>
          <cell r="X4" t="str">
            <v>LV</v>
          </cell>
          <cell r="Y4" t="str">
            <v>TE</v>
          </cell>
          <cell r="Z4">
            <v>62</v>
          </cell>
          <cell r="AA4">
            <v>576</v>
          </cell>
          <cell r="AB4">
            <v>0</v>
          </cell>
          <cell r="AC4">
            <v>-1.472</v>
          </cell>
        </row>
        <row r="5">
          <cell r="A5" t="str">
            <v>PO2-H3-42929</v>
          </cell>
          <cell r="B5" t="str">
            <v>PO2-H3-42929</v>
          </cell>
          <cell r="C5">
            <v>42929</v>
          </cell>
          <cell r="D5" t="str">
            <v>PO2</v>
          </cell>
          <cell r="E5" t="str">
            <v>H3</v>
          </cell>
          <cell r="F5">
            <v>43210</v>
          </cell>
          <cell r="G5" t="str">
            <v>LV</v>
          </cell>
          <cell r="H5">
            <v>0</v>
          </cell>
          <cell r="I5">
            <v>0</v>
          </cell>
          <cell r="J5">
            <v>0</v>
          </cell>
          <cell r="K5">
            <v>0</v>
          </cell>
          <cell r="L5">
            <v>0</v>
          </cell>
          <cell r="M5">
            <v>0</v>
          </cell>
          <cell r="N5">
            <v>0</v>
          </cell>
          <cell r="O5">
            <v>0</v>
          </cell>
          <cell r="P5">
            <v>0</v>
          </cell>
          <cell r="Q5">
            <v>0</v>
          </cell>
          <cell r="S5" t="str">
            <v>Y?</v>
          </cell>
          <cell r="T5">
            <v>100</v>
          </cell>
          <cell r="V5">
            <v>100</v>
          </cell>
          <cell r="X5" t="str">
            <v>LV</v>
          </cell>
          <cell r="Y5" t="str">
            <v>TE</v>
          </cell>
          <cell r="Z5">
            <v>0</v>
          </cell>
          <cell r="AA5">
            <v>0</v>
          </cell>
          <cell r="AB5">
            <v>0</v>
          </cell>
          <cell r="AC5">
            <v>-0.47199999999999998</v>
          </cell>
        </row>
        <row r="6">
          <cell r="A6" t="str">
            <v>PO1-H6-42929</v>
          </cell>
          <cell r="B6" t="str">
            <v>PO1-H6-42929</v>
          </cell>
          <cell r="C6">
            <v>42929</v>
          </cell>
          <cell r="D6" t="str">
            <v>PO1</v>
          </cell>
          <cell r="E6" t="str">
            <v>H6</v>
          </cell>
          <cell r="F6">
            <v>43210</v>
          </cell>
          <cell r="G6" t="str">
            <v>NB</v>
          </cell>
          <cell r="I6">
            <v>34</v>
          </cell>
          <cell r="J6">
            <v>2</v>
          </cell>
          <cell r="K6">
            <v>36</v>
          </cell>
          <cell r="S6" t="str">
            <v>Y?</v>
          </cell>
          <cell r="T6">
            <v>100</v>
          </cell>
          <cell r="V6">
            <v>100</v>
          </cell>
          <cell r="X6" t="str">
            <v>LV</v>
          </cell>
          <cell r="Y6" t="str">
            <v>TE</v>
          </cell>
          <cell r="Z6">
            <v>0</v>
          </cell>
          <cell r="AA6">
            <v>34</v>
          </cell>
          <cell r="AB6">
            <v>2</v>
          </cell>
          <cell r="AC6">
            <v>-1.472</v>
          </cell>
        </row>
        <row r="7">
          <cell r="A7" t="str">
            <v>PO2-G4-42929</v>
          </cell>
          <cell r="B7" t="str">
            <v>PO2-G4-42929</v>
          </cell>
          <cell r="C7">
            <v>42929</v>
          </cell>
          <cell r="D7" t="str">
            <v>PO2</v>
          </cell>
          <cell r="E7" t="str">
            <v>G4</v>
          </cell>
          <cell r="F7">
            <v>43210</v>
          </cell>
          <cell r="G7" t="str">
            <v>NB</v>
          </cell>
          <cell r="H7">
            <v>0</v>
          </cell>
          <cell r="I7">
            <v>0</v>
          </cell>
          <cell r="J7">
            <v>0</v>
          </cell>
          <cell r="K7">
            <v>0</v>
          </cell>
          <cell r="L7">
            <v>0</v>
          </cell>
          <cell r="M7">
            <v>0</v>
          </cell>
          <cell r="N7">
            <v>0</v>
          </cell>
          <cell r="O7">
            <v>0</v>
          </cell>
          <cell r="P7">
            <v>0</v>
          </cell>
          <cell r="Q7">
            <v>0</v>
          </cell>
          <cell r="S7" t="str">
            <v>Y?</v>
          </cell>
          <cell r="T7">
            <v>100</v>
          </cell>
          <cell r="V7">
            <v>100</v>
          </cell>
          <cell r="X7" t="str">
            <v>LV</v>
          </cell>
          <cell r="Y7" t="str">
            <v>TE</v>
          </cell>
          <cell r="Z7">
            <v>0</v>
          </cell>
          <cell r="AA7">
            <v>0</v>
          </cell>
          <cell r="AB7">
            <v>0</v>
          </cell>
          <cell r="AC7">
            <v>-1.472</v>
          </cell>
        </row>
        <row r="8">
          <cell r="A8" t="str">
            <v>PO1-A2-42929</v>
          </cell>
          <cell r="B8" t="str">
            <v>PO1-A2-42929</v>
          </cell>
          <cell r="C8">
            <v>42929</v>
          </cell>
          <cell r="D8" t="str">
            <v>PO1</v>
          </cell>
          <cell r="E8" t="str">
            <v>A2</v>
          </cell>
          <cell r="F8">
            <v>43210</v>
          </cell>
          <cell r="G8" t="str">
            <v>TE</v>
          </cell>
          <cell r="H8">
            <v>0</v>
          </cell>
          <cell r="I8">
            <v>0</v>
          </cell>
          <cell r="J8">
            <v>0</v>
          </cell>
          <cell r="K8">
            <v>0</v>
          </cell>
          <cell r="L8">
            <v>0</v>
          </cell>
          <cell r="M8">
            <v>0</v>
          </cell>
          <cell r="N8">
            <v>0</v>
          </cell>
          <cell r="O8">
            <v>0</v>
          </cell>
          <cell r="P8">
            <v>0</v>
          </cell>
          <cell r="Q8">
            <v>0</v>
          </cell>
          <cell r="S8" t="str">
            <v>Y?</v>
          </cell>
          <cell r="T8">
            <v>100</v>
          </cell>
          <cell r="V8">
            <v>100</v>
          </cell>
          <cell r="X8" t="str">
            <v>LV</v>
          </cell>
          <cell r="Y8" t="str">
            <v>TE</v>
          </cell>
          <cell r="Z8">
            <v>0</v>
          </cell>
          <cell r="AA8">
            <v>0</v>
          </cell>
          <cell r="AB8">
            <v>0</v>
          </cell>
          <cell r="AC8">
            <v>-1.472</v>
          </cell>
        </row>
        <row r="9">
          <cell r="A9" t="str">
            <v>HW1-E6-42930</v>
          </cell>
          <cell r="B9" t="str">
            <v>HW1-E6-42930</v>
          </cell>
          <cell r="C9">
            <v>42930</v>
          </cell>
          <cell r="D9" t="str">
            <v>HW1</v>
          </cell>
          <cell r="E9" t="str">
            <v>E6</v>
          </cell>
          <cell r="F9">
            <v>43210</v>
          </cell>
          <cell r="G9" t="str">
            <v>NB</v>
          </cell>
          <cell r="I9">
            <v>2</v>
          </cell>
          <cell r="J9">
            <v>2</v>
          </cell>
          <cell r="K9">
            <v>4</v>
          </cell>
          <cell r="R9">
            <v>1</v>
          </cell>
          <cell r="S9" t="str">
            <v>Y?</v>
          </cell>
          <cell r="T9">
            <v>100</v>
          </cell>
          <cell r="V9">
            <v>100</v>
          </cell>
          <cell r="X9" t="str">
            <v>LV</v>
          </cell>
          <cell r="Y9" t="str">
            <v>TE</v>
          </cell>
          <cell r="Z9">
            <v>0</v>
          </cell>
          <cell r="AA9">
            <v>2</v>
          </cell>
          <cell r="AB9">
            <v>2</v>
          </cell>
          <cell r="AC9">
            <v>-1.472</v>
          </cell>
        </row>
        <row r="10">
          <cell r="A10" t="str">
            <v>HW1-G1-42930</v>
          </cell>
          <cell r="B10" t="str">
            <v>HW1-G1-42930</v>
          </cell>
          <cell r="C10">
            <v>42930</v>
          </cell>
          <cell r="D10" t="str">
            <v>HW1</v>
          </cell>
          <cell r="E10" t="str">
            <v>G1</v>
          </cell>
          <cell r="F10">
            <v>43213</v>
          </cell>
          <cell r="G10" t="str">
            <v>JY</v>
          </cell>
          <cell r="I10">
            <v>97</v>
          </cell>
          <cell r="K10">
            <v>97</v>
          </cell>
          <cell r="S10" t="str">
            <v>Y?</v>
          </cell>
          <cell r="T10">
            <v>100</v>
          </cell>
          <cell r="V10">
            <v>100</v>
          </cell>
          <cell r="X10" t="str">
            <v>LV</v>
          </cell>
          <cell r="Y10" t="str">
            <v>TE</v>
          </cell>
          <cell r="Z10">
            <v>0</v>
          </cell>
          <cell r="AA10">
            <v>97</v>
          </cell>
          <cell r="AB10">
            <v>0</v>
          </cell>
          <cell r="AC10">
            <v>-1.472</v>
          </cell>
        </row>
        <row r="11">
          <cell r="A11" t="str">
            <v>HW1-A3-42930</v>
          </cell>
          <cell r="B11" t="str">
            <v>HW1-A3-42930</v>
          </cell>
          <cell r="C11">
            <v>42930</v>
          </cell>
          <cell r="D11" t="str">
            <v>HW1</v>
          </cell>
          <cell r="E11" t="str">
            <v>A3</v>
          </cell>
          <cell r="F11">
            <v>43214</v>
          </cell>
          <cell r="G11" t="str">
            <v>JB</v>
          </cell>
          <cell r="I11">
            <v>8</v>
          </cell>
          <cell r="J11">
            <v>1</v>
          </cell>
          <cell r="K11">
            <v>9</v>
          </cell>
          <cell r="S11" t="str">
            <v>Y?</v>
          </cell>
          <cell r="T11">
            <v>100</v>
          </cell>
          <cell r="V11">
            <v>100</v>
          </cell>
          <cell r="X11" t="str">
            <v>LV</v>
          </cell>
          <cell r="Y11" t="str">
            <v>TE</v>
          </cell>
          <cell r="Z11">
            <v>0</v>
          </cell>
          <cell r="AA11">
            <v>8</v>
          </cell>
          <cell r="AB11">
            <v>1</v>
          </cell>
          <cell r="AC11">
            <v>-0.47199999999999998</v>
          </cell>
        </row>
        <row r="12">
          <cell r="A12" t="str">
            <v>HW1-G7-42930</v>
          </cell>
          <cell r="B12" t="str">
            <v>HW1-G7-42930</v>
          </cell>
          <cell r="C12">
            <v>42930</v>
          </cell>
          <cell r="D12" t="str">
            <v>HW1</v>
          </cell>
          <cell r="E12" t="str">
            <v>G7</v>
          </cell>
          <cell r="F12">
            <v>43213</v>
          </cell>
          <cell r="G12" t="str">
            <v>JY</v>
          </cell>
          <cell r="I12">
            <v>1260</v>
          </cell>
          <cell r="K12">
            <v>1260</v>
          </cell>
          <cell r="S12" t="str">
            <v>Y?</v>
          </cell>
          <cell r="T12">
            <v>100</v>
          </cell>
          <cell r="V12">
            <v>100</v>
          </cell>
          <cell r="X12" t="str">
            <v>LV</v>
          </cell>
          <cell r="Y12" t="str">
            <v>TE</v>
          </cell>
          <cell r="Z12">
            <v>0</v>
          </cell>
          <cell r="AA12">
            <v>1260</v>
          </cell>
          <cell r="AB12">
            <v>0</v>
          </cell>
          <cell r="AC12">
            <v>-1.472</v>
          </cell>
        </row>
        <row r="13">
          <cell r="A13" t="str">
            <v>HW2-C1-42930</v>
          </cell>
          <cell r="B13" t="str">
            <v>HW2-C1-42930</v>
          </cell>
          <cell r="C13">
            <v>42930</v>
          </cell>
          <cell r="D13" t="str">
            <v>HW2</v>
          </cell>
          <cell r="E13" t="str">
            <v>C1</v>
          </cell>
          <cell r="F13">
            <v>43217</v>
          </cell>
          <cell r="G13" t="str">
            <v>TE</v>
          </cell>
          <cell r="I13">
            <v>12</v>
          </cell>
          <cell r="J13">
            <v>8</v>
          </cell>
          <cell r="K13">
            <v>20</v>
          </cell>
          <cell r="O13">
            <v>6</v>
          </cell>
          <cell r="S13" t="str">
            <v>Y?</v>
          </cell>
          <cell r="T13">
            <v>100</v>
          </cell>
          <cell r="V13">
            <v>100</v>
          </cell>
          <cell r="X13" t="str">
            <v>LV</v>
          </cell>
          <cell r="Y13" t="str">
            <v>TE</v>
          </cell>
          <cell r="Z13">
            <v>0</v>
          </cell>
          <cell r="AA13">
            <v>12</v>
          </cell>
          <cell r="AB13">
            <v>8</v>
          </cell>
          <cell r="AC13">
            <v>-0.47199999999999998</v>
          </cell>
        </row>
        <row r="14">
          <cell r="A14" t="str">
            <v>HW2-D3-42930</v>
          </cell>
          <cell r="B14" t="str">
            <v>HW2-D3-42930</v>
          </cell>
          <cell r="C14">
            <v>42930</v>
          </cell>
          <cell r="D14" t="str">
            <v>HW2</v>
          </cell>
          <cell r="E14" t="str">
            <v>D3</v>
          </cell>
          <cell r="F14">
            <v>43210</v>
          </cell>
          <cell r="G14" t="str">
            <v>JB</v>
          </cell>
          <cell r="H14">
            <v>51</v>
          </cell>
          <cell r="I14">
            <v>1328</v>
          </cell>
          <cell r="J14">
            <v>99</v>
          </cell>
          <cell r="K14">
            <v>1478</v>
          </cell>
          <cell r="L14">
            <v>1</v>
          </cell>
          <cell r="R14">
            <v>4</v>
          </cell>
          <cell r="S14" t="str">
            <v>Y?</v>
          </cell>
          <cell r="T14">
            <v>100</v>
          </cell>
          <cell r="V14">
            <v>100</v>
          </cell>
          <cell r="X14" t="str">
            <v>LV</v>
          </cell>
          <cell r="Y14" t="str">
            <v>TE</v>
          </cell>
          <cell r="Z14">
            <v>51</v>
          </cell>
          <cell r="AA14">
            <v>1328</v>
          </cell>
          <cell r="AB14">
            <v>99</v>
          </cell>
          <cell r="AC14">
            <v>-0.47199999999999998</v>
          </cell>
        </row>
        <row r="15">
          <cell r="A15" t="str">
            <v>HW1-F8-42930</v>
          </cell>
          <cell r="B15" t="str">
            <v>HW1-F8-42930</v>
          </cell>
          <cell r="C15">
            <v>42930</v>
          </cell>
          <cell r="D15" t="str">
            <v>HW1</v>
          </cell>
          <cell r="E15" t="str">
            <v>F8</v>
          </cell>
          <cell r="F15">
            <v>43213</v>
          </cell>
          <cell r="G15" t="str">
            <v>JB</v>
          </cell>
          <cell r="H15">
            <v>87</v>
          </cell>
          <cell r="I15">
            <v>1325</v>
          </cell>
          <cell r="J15">
            <v>56</v>
          </cell>
          <cell r="K15">
            <v>1468</v>
          </cell>
          <cell r="L15">
            <v>4</v>
          </cell>
          <cell r="S15" t="str">
            <v>Y?</v>
          </cell>
          <cell r="T15">
            <v>100</v>
          </cell>
          <cell r="V15">
            <v>100</v>
          </cell>
          <cell r="X15" t="str">
            <v>LV</v>
          </cell>
          <cell r="Y15" t="str">
            <v>TE</v>
          </cell>
          <cell r="Z15">
            <v>87</v>
          </cell>
          <cell r="AA15">
            <v>1325</v>
          </cell>
          <cell r="AB15">
            <v>56</v>
          </cell>
          <cell r="AC15">
            <v>-1.472</v>
          </cell>
        </row>
        <row r="16">
          <cell r="A16" t="str">
            <v>HW2-H3-42930</v>
          </cell>
          <cell r="B16" t="str">
            <v>HW2-H3-42930</v>
          </cell>
          <cell r="C16">
            <v>42930</v>
          </cell>
          <cell r="D16" t="str">
            <v>HW2</v>
          </cell>
          <cell r="E16" t="str">
            <v>H3</v>
          </cell>
          <cell r="F16">
            <v>43210</v>
          </cell>
          <cell r="G16" t="str">
            <v>LV</v>
          </cell>
          <cell r="H16">
            <v>33</v>
          </cell>
          <cell r="I16">
            <v>453</v>
          </cell>
          <cell r="K16">
            <v>486</v>
          </cell>
          <cell r="S16" t="str">
            <v>Y?</v>
          </cell>
          <cell r="T16">
            <v>100</v>
          </cell>
          <cell r="V16">
            <v>100</v>
          </cell>
          <cell r="X16" t="str">
            <v>LV</v>
          </cell>
          <cell r="Y16" t="str">
            <v>TE</v>
          </cell>
          <cell r="Z16">
            <v>33</v>
          </cell>
          <cell r="AA16">
            <v>453</v>
          </cell>
          <cell r="AB16">
            <v>0</v>
          </cell>
          <cell r="AC16">
            <v>-1.472</v>
          </cell>
        </row>
        <row r="17">
          <cell r="A17" t="str">
            <v>HW2-G6-42930</v>
          </cell>
          <cell r="B17" t="str">
            <v>HW2-G6-42930</v>
          </cell>
          <cell r="C17">
            <v>42930</v>
          </cell>
          <cell r="D17" t="str">
            <v>HW2</v>
          </cell>
          <cell r="E17" t="str">
            <v>G6</v>
          </cell>
          <cell r="F17">
            <v>43214</v>
          </cell>
          <cell r="G17" t="str">
            <v>JY</v>
          </cell>
          <cell r="I17">
            <v>2943</v>
          </cell>
          <cell r="K17">
            <v>2943</v>
          </cell>
          <cell r="S17" t="str">
            <v>Y?</v>
          </cell>
          <cell r="T17">
            <v>100</v>
          </cell>
          <cell r="V17">
            <v>100</v>
          </cell>
          <cell r="X17" t="str">
            <v>LV</v>
          </cell>
          <cell r="Y17" t="str">
            <v>TE</v>
          </cell>
          <cell r="Z17">
            <v>0</v>
          </cell>
          <cell r="AA17">
            <v>2943</v>
          </cell>
          <cell r="AB17">
            <v>0</v>
          </cell>
          <cell r="AC17">
            <v>-1.472</v>
          </cell>
        </row>
        <row r="18">
          <cell r="A18" t="str">
            <v>HW1-C8-42930</v>
          </cell>
          <cell r="B18" t="str">
            <v>HW1-C8-42930</v>
          </cell>
          <cell r="C18">
            <v>42930</v>
          </cell>
          <cell r="D18" t="str">
            <v>HW1</v>
          </cell>
          <cell r="E18" t="str">
            <v>C8</v>
          </cell>
          <cell r="F18">
            <v>43210</v>
          </cell>
          <cell r="G18" t="str">
            <v>NB</v>
          </cell>
          <cell r="H18">
            <v>1</v>
          </cell>
          <cell r="J18">
            <v>3</v>
          </cell>
          <cell r="K18">
            <v>4</v>
          </cell>
          <cell r="N18">
            <v>1</v>
          </cell>
          <cell r="R18">
            <v>5</v>
          </cell>
          <cell r="S18" t="str">
            <v>Y?</v>
          </cell>
          <cell r="T18">
            <v>100</v>
          </cell>
          <cell r="V18">
            <v>100</v>
          </cell>
          <cell r="X18" t="str">
            <v>LV</v>
          </cell>
          <cell r="Y18" t="str">
            <v>TE</v>
          </cell>
          <cell r="Z18">
            <v>1</v>
          </cell>
          <cell r="AA18">
            <v>0</v>
          </cell>
          <cell r="AB18">
            <v>3</v>
          </cell>
          <cell r="AC18">
            <v>-1.472</v>
          </cell>
        </row>
        <row r="19">
          <cell r="A19" t="str">
            <v>HW2-H1-42930</v>
          </cell>
          <cell r="B19" t="str">
            <v>HW2-H1-42930</v>
          </cell>
          <cell r="C19">
            <v>42930</v>
          </cell>
          <cell r="D19" t="str">
            <v>HW2</v>
          </cell>
          <cell r="E19" t="str">
            <v>H1</v>
          </cell>
          <cell r="F19">
            <v>43213</v>
          </cell>
          <cell r="G19" t="str">
            <v>JB</v>
          </cell>
          <cell r="I19">
            <v>28</v>
          </cell>
          <cell r="J19">
            <v>40</v>
          </cell>
          <cell r="K19">
            <v>68</v>
          </cell>
          <cell r="R19">
            <v>1</v>
          </cell>
          <cell r="S19" t="str">
            <v>Y?</v>
          </cell>
          <cell r="T19">
            <v>100</v>
          </cell>
          <cell r="V19">
            <v>100</v>
          </cell>
          <cell r="X19" t="str">
            <v>LV</v>
          </cell>
          <cell r="Y19" t="str">
            <v>TE</v>
          </cell>
          <cell r="Z19">
            <v>0</v>
          </cell>
          <cell r="AA19">
            <v>28</v>
          </cell>
          <cell r="AB19">
            <v>40</v>
          </cell>
          <cell r="AC19">
            <v>-1.472</v>
          </cell>
        </row>
        <row r="20">
          <cell r="A20" t="str">
            <v>HW2-H5-42930</v>
          </cell>
          <cell r="B20" t="str">
            <v>HW2-H5-42930</v>
          </cell>
          <cell r="C20">
            <v>42930</v>
          </cell>
          <cell r="D20" t="str">
            <v>HW2</v>
          </cell>
          <cell r="E20" t="str">
            <v>H5</v>
          </cell>
          <cell r="F20">
            <v>43215</v>
          </cell>
          <cell r="G20" t="str">
            <v>JY</v>
          </cell>
          <cell r="I20">
            <v>3201</v>
          </cell>
          <cell r="J20">
            <v>5</v>
          </cell>
          <cell r="K20">
            <v>3206</v>
          </cell>
          <cell r="L20">
            <v>5</v>
          </cell>
          <cell r="S20" t="str">
            <v>Y?</v>
          </cell>
          <cell r="T20">
            <v>100</v>
          </cell>
          <cell r="V20">
            <v>100</v>
          </cell>
          <cell r="W20" t="str">
            <v>lots of blasto - pics ~200</v>
          </cell>
          <cell r="X20" t="str">
            <v>LV</v>
          </cell>
          <cell r="Y20" t="str">
            <v>TE</v>
          </cell>
          <cell r="Z20">
            <v>0</v>
          </cell>
          <cell r="AA20">
            <v>3201</v>
          </cell>
          <cell r="AB20">
            <v>5</v>
          </cell>
          <cell r="AC20">
            <v>-1.472</v>
          </cell>
        </row>
        <row r="21">
          <cell r="A21" t="str">
            <v>HW2-D8-42930</v>
          </cell>
          <cell r="B21" t="str">
            <v>HW2-D8-42930</v>
          </cell>
          <cell r="C21">
            <v>42930</v>
          </cell>
          <cell r="D21" t="str">
            <v>HW2</v>
          </cell>
          <cell r="E21" t="str">
            <v>D8</v>
          </cell>
          <cell r="F21">
            <v>43210</v>
          </cell>
          <cell r="G21" t="str">
            <v>NB</v>
          </cell>
          <cell r="I21">
            <v>25</v>
          </cell>
          <cell r="K21">
            <v>25</v>
          </cell>
          <cell r="O21">
            <v>1</v>
          </cell>
          <cell r="Q21">
            <v>1</v>
          </cell>
          <cell r="S21" t="str">
            <v>Y?</v>
          </cell>
          <cell r="T21">
            <v>100</v>
          </cell>
          <cell r="V21">
            <v>100</v>
          </cell>
          <cell r="X21" t="str">
            <v>LV</v>
          </cell>
          <cell r="Y21" t="str">
            <v>TE</v>
          </cell>
          <cell r="Z21">
            <v>0</v>
          </cell>
          <cell r="AA21">
            <v>25</v>
          </cell>
          <cell r="AB21">
            <v>0</v>
          </cell>
          <cell r="AC21">
            <v>-1.472</v>
          </cell>
        </row>
        <row r="22">
          <cell r="A22" t="str">
            <v>HW2-H4-42930</v>
          </cell>
          <cell r="B22" t="str">
            <v>HW2-H4-42930</v>
          </cell>
          <cell r="C22">
            <v>42930</v>
          </cell>
          <cell r="D22" t="str">
            <v>HW2</v>
          </cell>
          <cell r="E22" t="str">
            <v>H4</v>
          </cell>
          <cell r="F22">
            <v>43213</v>
          </cell>
          <cell r="G22" t="str">
            <v>JB</v>
          </cell>
          <cell r="I22">
            <v>15874</v>
          </cell>
          <cell r="K22">
            <v>15874</v>
          </cell>
          <cell r="S22" t="str">
            <v>Y?</v>
          </cell>
          <cell r="T22">
            <v>35</v>
          </cell>
          <cell r="V22">
            <v>100</v>
          </cell>
          <cell r="W22" t="str">
            <v>counted only part of slide, 35% -&gt; 5556</v>
          </cell>
          <cell r="X22" t="str">
            <v>LV</v>
          </cell>
          <cell r="Y22" t="str">
            <v>TE</v>
          </cell>
          <cell r="Z22">
            <v>0</v>
          </cell>
          <cell r="AA22">
            <v>15874</v>
          </cell>
          <cell r="AB22">
            <v>0</v>
          </cell>
          <cell r="AC22">
            <v>-1.472</v>
          </cell>
        </row>
        <row r="23">
          <cell r="A23" t="str">
            <v>HW1-H5-42930</v>
          </cell>
          <cell r="B23" t="str">
            <v>HW1-H5-42930</v>
          </cell>
          <cell r="C23">
            <v>42930</v>
          </cell>
          <cell r="D23" t="str">
            <v>HW1</v>
          </cell>
          <cell r="E23" t="str">
            <v>H5</v>
          </cell>
          <cell r="F23">
            <v>43215</v>
          </cell>
          <cell r="G23" t="str">
            <v>JY</v>
          </cell>
          <cell r="I23">
            <v>104</v>
          </cell>
          <cell r="K23">
            <v>104</v>
          </cell>
          <cell r="S23" t="str">
            <v>Y?</v>
          </cell>
          <cell r="T23">
            <v>100</v>
          </cell>
          <cell r="V23">
            <v>100</v>
          </cell>
          <cell r="X23" t="str">
            <v>LV</v>
          </cell>
          <cell r="Y23" t="str">
            <v>TE</v>
          </cell>
          <cell r="Z23">
            <v>0</v>
          </cell>
          <cell r="AA23">
            <v>104</v>
          </cell>
          <cell r="AB23">
            <v>0</v>
          </cell>
          <cell r="AC23">
            <v>-0.47199999999999998</v>
          </cell>
        </row>
        <row r="24">
          <cell r="A24" t="str">
            <v>HW1-F5-42930</v>
          </cell>
          <cell r="B24" t="str">
            <v>HW1-F5-42930</v>
          </cell>
          <cell r="C24">
            <v>42930</v>
          </cell>
          <cell r="D24" t="str">
            <v>HW1</v>
          </cell>
          <cell r="E24" t="str">
            <v>F5</v>
          </cell>
          <cell r="F24">
            <v>43213</v>
          </cell>
          <cell r="G24" t="str">
            <v>JY</v>
          </cell>
          <cell r="H24">
            <v>0</v>
          </cell>
          <cell r="I24">
            <v>0</v>
          </cell>
          <cell r="J24">
            <v>0</v>
          </cell>
          <cell r="K24">
            <v>0</v>
          </cell>
          <cell r="L24">
            <v>0</v>
          </cell>
          <cell r="M24">
            <v>0</v>
          </cell>
          <cell r="N24">
            <v>0</v>
          </cell>
          <cell r="O24">
            <v>0</v>
          </cell>
          <cell r="P24">
            <v>0</v>
          </cell>
          <cell r="Q24">
            <v>0</v>
          </cell>
          <cell r="S24" t="str">
            <v>Y?</v>
          </cell>
          <cell r="T24">
            <v>100</v>
          </cell>
          <cell r="V24">
            <v>100</v>
          </cell>
          <cell r="X24" t="str">
            <v>LV</v>
          </cell>
          <cell r="Y24" t="str">
            <v>TE</v>
          </cell>
          <cell r="Z24">
            <v>0</v>
          </cell>
          <cell r="AA24">
            <v>0</v>
          </cell>
          <cell r="AB24">
            <v>0</v>
          </cell>
          <cell r="AC24">
            <v>-1.472</v>
          </cell>
        </row>
        <row r="25">
          <cell r="A25" t="str">
            <v>HW1-H8-42930</v>
          </cell>
          <cell r="B25" t="str">
            <v>HW1-H8-42930</v>
          </cell>
          <cell r="C25">
            <v>42930</v>
          </cell>
          <cell r="D25" t="str">
            <v>HW1</v>
          </cell>
          <cell r="E25" t="str">
            <v>H8</v>
          </cell>
          <cell r="F25">
            <v>43216</v>
          </cell>
          <cell r="G25" t="str">
            <v>LV</v>
          </cell>
          <cell r="H25">
            <v>88</v>
          </cell>
          <cell r="I25">
            <v>6439</v>
          </cell>
          <cell r="K25">
            <v>6527</v>
          </cell>
          <cell r="R25">
            <v>2</v>
          </cell>
          <cell r="S25" t="str">
            <v>Y?</v>
          </cell>
          <cell r="T25">
            <v>100</v>
          </cell>
          <cell r="V25">
            <v>100</v>
          </cell>
          <cell r="X25" t="str">
            <v>LV</v>
          </cell>
          <cell r="Y25" t="str">
            <v>TE</v>
          </cell>
          <cell r="Z25">
            <v>88</v>
          </cell>
          <cell r="AA25">
            <v>6439</v>
          </cell>
          <cell r="AB25">
            <v>0</v>
          </cell>
          <cell r="AC25">
            <v>-1.472</v>
          </cell>
        </row>
        <row r="26">
          <cell r="A26" t="str">
            <v>HW1-C5-42930</v>
          </cell>
          <cell r="B26" t="str">
            <v>HW1-C5-42930</v>
          </cell>
          <cell r="C26">
            <v>42930</v>
          </cell>
          <cell r="D26" t="str">
            <v>HW1</v>
          </cell>
          <cell r="E26" t="str">
            <v>C5</v>
          </cell>
          <cell r="F26">
            <v>43214</v>
          </cell>
          <cell r="G26" t="str">
            <v>JB</v>
          </cell>
          <cell r="I26">
            <v>176</v>
          </cell>
          <cell r="J26">
            <v>14</v>
          </cell>
          <cell r="K26">
            <v>190</v>
          </cell>
          <cell r="S26" t="str">
            <v>Y?</v>
          </cell>
          <cell r="T26">
            <v>100</v>
          </cell>
          <cell r="V26">
            <v>100</v>
          </cell>
          <cell r="W26" t="str">
            <v xml:space="preserve">extremely high amount of fecal matter, maybe not all eggs out </v>
          </cell>
          <cell r="X26" t="str">
            <v>LV</v>
          </cell>
          <cell r="Y26" t="str">
            <v>TE</v>
          </cell>
          <cell r="Z26">
            <v>0</v>
          </cell>
          <cell r="AA26">
            <v>176</v>
          </cell>
          <cell r="AB26">
            <v>14</v>
          </cell>
          <cell r="AC26">
            <v>-1.472</v>
          </cell>
        </row>
        <row r="27">
          <cell r="A27" t="str">
            <v>HW2-C7-42930</v>
          </cell>
          <cell r="B27" t="str">
            <v>HW2-C7-42930</v>
          </cell>
          <cell r="C27">
            <v>42930</v>
          </cell>
          <cell r="D27" t="str">
            <v>HW2</v>
          </cell>
          <cell r="E27" t="str">
            <v>C7</v>
          </cell>
          <cell r="F27">
            <v>43216</v>
          </cell>
          <cell r="G27" t="str">
            <v>LV</v>
          </cell>
          <cell r="I27">
            <v>1</v>
          </cell>
          <cell r="K27">
            <v>1</v>
          </cell>
          <cell r="S27" t="str">
            <v>Y?</v>
          </cell>
          <cell r="T27">
            <v>100</v>
          </cell>
          <cell r="V27">
            <v>100</v>
          </cell>
          <cell r="W27" t="str">
            <v>1396 BLASTO</v>
          </cell>
          <cell r="X27" t="str">
            <v>LV</v>
          </cell>
          <cell r="Y27" t="str">
            <v>TE</v>
          </cell>
          <cell r="Z27">
            <v>0</v>
          </cell>
          <cell r="AA27">
            <v>1</v>
          </cell>
          <cell r="AB27">
            <v>0</v>
          </cell>
          <cell r="AC27">
            <v>-1.472</v>
          </cell>
        </row>
        <row r="28">
          <cell r="A28" t="str">
            <v>HW1-C8-42931</v>
          </cell>
          <cell r="B28" t="str">
            <v>HW1-C8-42931</v>
          </cell>
          <cell r="C28">
            <v>42931</v>
          </cell>
          <cell r="D28" t="str">
            <v>HW1</v>
          </cell>
          <cell r="E28" t="str">
            <v>C8</v>
          </cell>
          <cell r="F28">
            <v>43220</v>
          </cell>
          <cell r="G28" t="str">
            <v>JB</v>
          </cell>
          <cell r="H28">
            <v>0</v>
          </cell>
          <cell r="I28">
            <v>0</v>
          </cell>
          <cell r="J28">
            <v>0</v>
          </cell>
          <cell r="K28">
            <v>0</v>
          </cell>
          <cell r="L28">
            <v>0</v>
          </cell>
          <cell r="M28">
            <v>0</v>
          </cell>
          <cell r="N28">
            <v>0</v>
          </cell>
          <cell r="O28">
            <v>0</v>
          </cell>
          <cell r="P28">
            <v>0</v>
          </cell>
          <cell r="Q28">
            <v>0</v>
          </cell>
          <cell r="S28" t="str">
            <v>Y?</v>
          </cell>
          <cell r="T28">
            <v>100</v>
          </cell>
          <cell r="V28">
            <v>100</v>
          </cell>
          <cell r="X28" t="str">
            <v>LV</v>
          </cell>
          <cell r="Y28" t="str">
            <v>TE</v>
          </cell>
          <cell r="Z28">
            <v>0</v>
          </cell>
          <cell r="AA28">
            <v>0</v>
          </cell>
          <cell r="AB28">
            <v>0</v>
          </cell>
          <cell r="AC28">
            <v>-2.7149999999999999</v>
          </cell>
        </row>
        <row r="29">
          <cell r="A29" t="str">
            <v>HW1-F1-42931</v>
          </cell>
          <cell r="B29" t="str">
            <v>HW1-F1-42931</v>
          </cell>
          <cell r="C29">
            <v>42931</v>
          </cell>
          <cell r="D29" t="str">
            <v>HW1</v>
          </cell>
          <cell r="E29" t="str">
            <v>F1</v>
          </cell>
          <cell r="F29">
            <v>43217</v>
          </cell>
          <cell r="G29" t="str">
            <v>TE</v>
          </cell>
          <cell r="I29">
            <v>8</v>
          </cell>
          <cell r="J29">
            <v>13</v>
          </cell>
          <cell r="K29">
            <v>21</v>
          </cell>
          <cell r="S29" t="str">
            <v>Y?</v>
          </cell>
          <cell r="T29">
            <v>100</v>
          </cell>
          <cell r="V29">
            <v>100</v>
          </cell>
          <cell r="X29" t="str">
            <v>LV</v>
          </cell>
          <cell r="Y29" t="str">
            <v>TE</v>
          </cell>
          <cell r="Z29">
            <v>0</v>
          </cell>
          <cell r="AA29">
            <v>8</v>
          </cell>
          <cell r="AB29">
            <v>13</v>
          </cell>
          <cell r="AC29">
            <v>-1.7150000000000001</v>
          </cell>
        </row>
        <row r="30">
          <cell r="A30" t="str">
            <v>HW2-H8-42931</v>
          </cell>
          <cell r="B30" t="str">
            <v>HW2-H8-42931</v>
          </cell>
          <cell r="C30">
            <v>42931</v>
          </cell>
          <cell r="D30" t="str">
            <v>HW2</v>
          </cell>
          <cell r="E30" t="str">
            <v>H8</v>
          </cell>
          <cell r="F30">
            <v>43217</v>
          </cell>
          <cell r="G30" t="str">
            <v>JB</v>
          </cell>
          <cell r="H30">
            <v>0</v>
          </cell>
          <cell r="I30">
            <v>0</v>
          </cell>
          <cell r="J30">
            <v>0</v>
          </cell>
          <cell r="K30">
            <v>0</v>
          </cell>
          <cell r="L30">
            <v>0</v>
          </cell>
          <cell r="M30">
            <v>0</v>
          </cell>
          <cell r="N30">
            <v>0</v>
          </cell>
          <cell r="O30">
            <v>0</v>
          </cell>
          <cell r="P30">
            <v>0</v>
          </cell>
          <cell r="Q30">
            <v>0</v>
          </cell>
          <cell r="S30" t="str">
            <v>Y?</v>
          </cell>
          <cell r="T30">
            <v>100</v>
          </cell>
          <cell r="V30">
            <v>100</v>
          </cell>
          <cell r="W30" t="str">
            <v xml:space="preserve">sample had more dirt than fecal matter </v>
          </cell>
          <cell r="X30" t="str">
            <v>LV</v>
          </cell>
          <cell r="Y30" t="str">
            <v>TE</v>
          </cell>
          <cell r="Z30">
            <v>0</v>
          </cell>
          <cell r="AA30">
            <v>0</v>
          </cell>
          <cell r="AB30">
            <v>0</v>
          </cell>
          <cell r="AC30">
            <v>-2.7149999999999999</v>
          </cell>
        </row>
        <row r="31">
          <cell r="A31" t="str">
            <v>HW2-B6-42931</v>
          </cell>
          <cell r="B31" t="str">
            <v>HW2-B6-42931</v>
          </cell>
          <cell r="C31">
            <v>42931</v>
          </cell>
          <cell r="D31" t="str">
            <v>HW2</v>
          </cell>
          <cell r="E31" t="str">
            <v>B6</v>
          </cell>
          <cell r="F31">
            <v>43217</v>
          </cell>
          <cell r="G31" t="str">
            <v>LV</v>
          </cell>
          <cell r="I31">
            <v>1432</v>
          </cell>
          <cell r="K31">
            <v>1432</v>
          </cell>
          <cell r="L31">
            <v>5</v>
          </cell>
          <cell r="O31">
            <v>2</v>
          </cell>
          <cell r="P31">
            <v>4</v>
          </cell>
          <cell r="R31">
            <v>7</v>
          </cell>
          <cell r="S31" t="str">
            <v>Y?</v>
          </cell>
          <cell r="T31">
            <v>100</v>
          </cell>
          <cell r="V31">
            <v>100</v>
          </cell>
          <cell r="X31" t="str">
            <v>LV</v>
          </cell>
          <cell r="Y31" t="str">
            <v>TE</v>
          </cell>
          <cell r="Z31">
            <v>0</v>
          </cell>
          <cell r="AA31">
            <v>1432</v>
          </cell>
          <cell r="AB31">
            <v>0</v>
          </cell>
          <cell r="AC31">
            <v>-2.7149999999999999</v>
          </cell>
        </row>
        <row r="32">
          <cell r="A32" t="str">
            <v>HW2-B4-42931</v>
          </cell>
          <cell r="B32" t="str">
            <v>HW2-B4-42931</v>
          </cell>
          <cell r="C32">
            <v>42931</v>
          </cell>
          <cell r="D32" t="str">
            <v>HW2</v>
          </cell>
          <cell r="E32" t="str">
            <v>B4</v>
          </cell>
          <cell r="F32">
            <v>43217</v>
          </cell>
          <cell r="G32" t="str">
            <v>LV</v>
          </cell>
          <cell r="H32">
            <v>316</v>
          </cell>
          <cell r="I32">
            <v>510</v>
          </cell>
          <cell r="J32">
            <v>3</v>
          </cell>
          <cell r="K32">
            <v>829</v>
          </cell>
          <cell r="S32" t="str">
            <v>Y?</v>
          </cell>
          <cell r="T32">
            <v>100</v>
          </cell>
          <cell r="V32">
            <v>100</v>
          </cell>
          <cell r="W32" t="str">
            <v>1 BLASTO? PICTURE</v>
          </cell>
          <cell r="X32" t="str">
            <v>LV</v>
          </cell>
          <cell r="Y32" t="str">
            <v>TE</v>
          </cell>
          <cell r="Z32">
            <v>316</v>
          </cell>
          <cell r="AA32">
            <v>510</v>
          </cell>
          <cell r="AB32">
            <v>3</v>
          </cell>
          <cell r="AC32">
            <v>-1.7150000000000001</v>
          </cell>
        </row>
        <row r="33">
          <cell r="A33" t="str">
            <v>HW2-B7-42931</v>
          </cell>
          <cell r="B33" t="str">
            <v>HW2-B7-42931</v>
          </cell>
          <cell r="C33">
            <v>42931</v>
          </cell>
          <cell r="D33" t="str">
            <v>HW2</v>
          </cell>
          <cell r="E33" t="str">
            <v>B7</v>
          </cell>
          <cell r="F33">
            <v>43220</v>
          </cell>
          <cell r="G33" t="str">
            <v>JB</v>
          </cell>
          <cell r="H33">
            <v>0</v>
          </cell>
          <cell r="I33">
            <v>0</v>
          </cell>
          <cell r="J33">
            <v>0</v>
          </cell>
          <cell r="K33">
            <v>0</v>
          </cell>
          <cell r="L33">
            <v>0</v>
          </cell>
          <cell r="M33">
            <v>0</v>
          </cell>
          <cell r="N33">
            <v>0</v>
          </cell>
          <cell r="O33">
            <v>0</v>
          </cell>
          <cell r="P33">
            <v>0</v>
          </cell>
          <cell r="Q33">
            <v>0</v>
          </cell>
          <cell r="S33" t="str">
            <v>Y?</v>
          </cell>
          <cell r="T33">
            <v>100</v>
          </cell>
          <cell r="V33">
            <v>100</v>
          </cell>
          <cell r="X33" t="str">
            <v>LV</v>
          </cell>
          <cell r="Y33" t="str">
            <v>TE</v>
          </cell>
          <cell r="Z33">
            <v>0</v>
          </cell>
          <cell r="AA33">
            <v>0</v>
          </cell>
          <cell r="AB33">
            <v>0</v>
          </cell>
          <cell r="AC33">
            <v>-1.7150000000000001</v>
          </cell>
        </row>
        <row r="34">
          <cell r="A34" t="str">
            <v>HW2-H7-42931</v>
          </cell>
          <cell r="B34" t="str">
            <v>HW2-H7-42931</v>
          </cell>
          <cell r="C34">
            <v>42931</v>
          </cell>
          <cell r="D34" t="str">
            <v>HW2</v>
          </cell>
          <cell r="E34" t="str">
            <v>H7</v>
          </cell>
          <cell r="F34">
            <v>43221</v>
          </cell>
          <cell r="G34" t="str">
            <v>JB</v>
          </cell>
          <cell r="H34">
            <v>37</v>
          </cell>
          <cell r="I34">
            <v>9031</v>
          </cell>
          <cell r="J34">
            <v>102</v>
          </cell>
          <cell r="K34">
            <v>9170</v>
          </cell>
          <cell r="L34">
            <v>32</v>
          </cell>
          <cell r="M34">
            <v>20</v>
          </cell>
          <cell r="S34" t="str">
            <v>Y?</v>
          </cell>
          <cell r="T34">
            <v>27.5</v>
          </cell>
          <cell r="V34">
            <v>100</v>
          </cell>
          <cell r="W34" t="str">
            <v>partial count was 5578 -&gt; 27.5%</v>
          </cell>
          <cell r="X34" t="str">
            <v>LV</v>
          </cell>
          <cell r="Y34" t="str">
            <v>TE</v>
          </cell>
          <cell r="Z34">
            <v>37</v>
          </cell>
          <cell r="AA34">
            <v>9031</v>
          </cell>
          <cell r="AB34">
            <v>102</v>
          </cell>
          <cell r="AC34">
            <v>-2.7149999999999999</v>
          </cell>
        </row>
        <row r="35">
          <cell r="A35" t="str">
            <v>HW1-B2-42932</v>
          </cell>
          <cell r="B35" t="str">
            <v>HW1-B2-42932</v>
          </cell>
          <cell r="C35">
            <v>42932</v>
          </cell>
          <cell r="D35" t="str">
            <v>HW1</v>
          </cell>
          <cell r="E35" t="str">
            <v>B2</v>
          </cell>
          <cell r="F35">
            <v>43221</v>
          </cell>
          <cell r="G35" t="str">
            <v>JY</v>
          </cell>
          <cell r="I35">
            <v>144</v>
          </cell>
          <cell r="K35">
            <v>144</v>
          </cell>
          <cell r="S35" t="str">
            <v>Y?</v>
          </cell>
          <cell r="T35">
            <v>100</v>
          </cell>
          <cell r="V35">
            <v>100</v>
          </cell>
          <cell r="W35" t="str">
            <v>watery and yellow dots</v>
          </cell>
          <cell r="X35" t="str">
            <v>LV</v>
          </cell>
          <cell r="Y35" t="str">
            <v>TE</v>
          </cell>
          <cell r="Z35">
            <v>0</v>
          </cell>
          <cell r="AA35">
            <v>144</v>
          </cell>
          <cell r="AB35">
            <v>0</v>
          </cell>
          <cell r="AC35">
            <v>-1.472</v>
          </cell>
        </row>
        <row r="36">
          <cell r="A36" t="str">
            <v>HW1-E3-42932</v>
          </cell>
          <cell r="B36" t="str">
            <v>HW1-E3-42932</v>
          </cell>
          <cell r="C36">
            <v>42932</v>
          </cell>
          <cell r="D36" t="str">
            <v>HW1</v>
          </cell>
          <cell r="E36" t="str">
            <v>E3</v>
          </cell>
          <cell r="F36">
            <v>43222</v>
          </cell>
          <cell r="G36" t="str">
            <v>JY</v>
          </cell>
          <cell r="H36">
            <v>1</v>
          </cell>
          <cell r="I36">
            <v>742</v>
          </cell>
          <cell r="K36">
            <v>743</v>
          </cell>
          <cell r="S36" t="str">
            <v>Y?</v>
          </cell>
          <cell r="T36">
            <v>100</v>
          </cell>
          <cell r="V36">
            <v>100</v>
          </cell>
          <cell r="X36" t="str">
            <v>LV</v>
          </cell>
          <cell r="Y36" t="str">
            <v>TE</v>
          </cell>
          <cell r="Z36">
            <v>1</v>
          </cell>
          <cell r="AA36">
            <v>742</v>
          </cell>
          <cell r="AB36">
            <v>0</v>
          </cell>
          <cell r="AC36">
            <v>-1.472</v>
          </cell>
        </row>
        <row r="37">
          <cell r="A37" t="str">
            <v>HW2-E8-42932</v>
          </cell>
          <cell r="B37" t="str">
            <v>HW2-E8-42932</v>
          </cell>
          <cell r="C37">
            <v>42932</v>
          </cell>
          <cell r="D37" t="str">
            <v>HW2</v>
          </cell>
          <cell r="E37" t="str">
            <v>E8</v>
          </cell>
          <cell r="F37">
            <v>43222</v>
          </cell>
          <cell r="G37" t="str">
            <v>JB</v>
          </cell>
          <cell r="K37">
            <v>0</v>
          </cell>
          <cell r="M37">
            <v>1</v>
          </cell>
          <cell r="S37" t="str">
            <v>Y?</v>
          </cell>
          <cell r="T37">
            <v>100</v>
          </cell>
          <cell r="V37">
            <v>100</v>
          </cell>
          <cell r="X37" t="str">
            <v>LV</v>
          </cell>
          <cell r="Y37" t="str">
            <v>TE</v>
          </cell>
          <cell r="Z37">
            <v>0</v>
          </cell>
          <cell r="AA37">
            <v>0</v>
          </cell>
          <cell r="AB37">
            <v>0</v>
          </cell>
          <cell r="AC37">
            <v>-1.472</v>
          </cell>
        </row>
        <row r="38">
          <cell r="A38" t="str">
            <v>HW1-D4-42932</v>
          </cell>
          <cell r="B38" t="str">
            <v>HW1-D4-42932</v>
          </cell>
          <cell r="C38">
            <v>42932</v>
          </cell>
          <cell r="D38" t="str">
            <v>HW1</v>
          </cell>
          <cell r="E38" t="str">
            <v>D4</v>
          </cell>
          <cell r="F38">
            <v>43221</v>
          </cell>
          <cell r="G38" t="str">
            <v>JY</v>
          </cell>
          <cell r="H38">
            <v>0</v>
          </cell>
          <cell r="I38">
            <v>0</v>
          </cell>
          <cell r="J38">
            <v>0</v>
          </cell>
          <cell r="K38">
            <v>0</v>
          </cell>
          <cell r="L38">
            <v>0</v>
          </cell>
          <cell r="M38">
            <v>0</v>
          </cell>
          <cell r="N38">
            <v>0</v>
          </cell>
          <cell r="O38">
            <v>0</v>
          </cell>
          <cell r="P38">
            <v>0</v>
          </cell>
          <cell r="Q38">
            <v>0</v>
          </cell>
          <cell r="S38" t="str">
            <v>Y?</v>
          </cell>
          <cell r="T38">
            <v>100</v>
          </cell>
          <cell r="V38">
            <v>100</v>
          </cell>
          <cell r="X38" t="str">
            <v>LV</v>
          </cell>
          <cell r="Y38" t="str">
            <v>TE</v>
          </cell>
          <cell r="Z38">
            <v>0</v>
          </cell>
          <cell r="AA38">
            <v>0</v>
          </cell>
          <cell r="AB38">
            <v>0</v>
          </cell>
          <cell r="AC38">
            <v>-0.47199999999999998</v>
          </cell>
        </row>
        <row r="39">
          <cell r="A39" t="str">
            <v>HW2-B2-42932</v>
          </cell>
          <cell r="B39" t="str">
            <v>HW2-B2-42932</v>
          </cell>
          <cell r="C39">
            <v>42932</v>
          </cell>
          <cell r="D39" t="str">
            <v>HW2</v>
          </cell>
          <cell r="E39" t="str">
            <v>B2</v>
          </cell>
          <cell r="F39">
            <v>43222</v>
          </cell>
          <cell r="G39" t="str">
            <v>JY</v>
          </cell>
          <cell r="I39">
            <v>21</v>
          </cell>
          <cell r="K39">
            <v>21</v>
          </cell>
          <cell r="S39" t="str">
            <v>Y?</v>
          </cell>
          <cell r="T39">
            <v>100</v>
          </cell>
          <cell r="V39">
            <v>100</v>
          </cell>
          <cell r="X39" t="str">
            <v>LV</v>
          </cell>
          <cell r="Y39" t="str">
            <v>TE</v>
          </cell>
          <cell r="Z39">
            <v>0</v>
          </cell>
          <cell r="AA39">
            <v>21</v>
          </cell>
          <cell r="AB39">
            <v>0</v>
          </cell>
          <cell r="AC39">
            <v>-1.472</v>
          </cell>
        </row>
        <row r="40">
          <cell r="A40" t="str">
            <v>BC1-G1-42936</v>
          </cell>
          <cell r="B40" t="str">
            <v>BC1-G1-42936</v>
          </cell>
          <cell r="C40">
            <v>42936</v>
          </cell>
          <cell r="D40" t="str">
            <v>BC1</v>
          </cell>
          <cell r="E40" t="str">
            <v>G1</v>
          </cell>
          <cell r="F40">
            <v>43224</v>
          </cell>
          <cell r="G40" t="str">
            <v>LV</v>
          </cell>
          <cell r="I40">
            <v>15</v>
          </cell>
          <cell r="K40">
            <v>15</v>
          </cell>
          <cell r="S40" t="str">
            <v>Y?</v>
          </cell>
          <cell r="T40">
            <v>100</v>
          </cell>
          <cell r="V40">
            <v>100</v>
          </cell>
          <cell r="X40" t="str">
            <v>LV</v>
          </cell>
          <cell r="Y40" t="str">
            <v>TE</v>
          </cell>
          <cell r="Z40">
            <v>0</v>
          </cell>
          <cell r="AA40">
            <v>15</v>
          </cell>
          <cell r="AB40">
            <v>0</v>
          </cell>
          <cell r="AC40">
            <v>-0.47199999999999998</v>
          </cell>
        </row>
        <row r="41">
          <cell r="A41" t="str">
            <v>BC1-E2-42936</v>
          </cell>
          <cell r="B41" t="str">
            <v>BC1-E2-42936</v>
          </cell>
          <cell r="C41">
            <v>42936</v>
          </cell>
          <cell r="D41" t="str">
            <v>BC1</v>
          </cell>
          <cell r="E41" t="str">
            <v>E2</v>
          </cell>
          <cell r="F41">
            <v>43224</v>
          </cell>
          <cell r="G41" t="str">
            <v>TE</v>
          </cell>
          <cell r="J41">
            <v>1</v>
          </cell>
          <cell r="K41">
            <v>1</v>
          </cell>
          <cell r="S41" t="str">
            <v>Y?</v>
          </cell>
          <cell r="T41">
            <v>100</v>
          </cell>
          <cell r="V41">
            <v>100</v>
          </cell>
          <cell r="X41" t="str">
            <v>LV</v>
          </cell>
          <cell r="Y41" t="str">
            <v>TE</v>
          </cell>
          <cell r="Z41">
            <v>0</v>
          </cell>
          <cell r="AA41">
            <v>0</v>
          </cell>
          <cell r="AB41">
            <v>1</v>
          </cell>
          <cell r="AC41">
            <v>-0.47199999999999998</v>
          </cell>
        </row>
        <row r="42">
          <cell r="A42" t="str">
            <v>BC1-E5-42936</v>
          </cell>
          <cell r="B42" t="str">
            <v>BC1-E5-42936</v>
          </cell>
          <cell r="C42">
            <v>42936</v>
          </cell>
          <cell r="D42" t="str">
            <v>BC1</v>
          </cell>
          <cell r="E42" t="str">
            <v>E5</v>
          </cell>
          <cell r="F42">
            <v>43224</v>
          </cell>
          <cell r="G42" t="str">
            <v>TE</v>
          </cell>
          <cell r="H42">
            <v>4</v>
          </cell>
          <cell r="I42">
            <v>14</v>
          </cell>
          <cell r="J42">
            <v>2</v>
          </cell>
          <cell r="K42">
            <v>20</v>
          </cell>
          <cell r="S42" t="str">
            <v>Y?</v>
          </cell>
          <cell r="T42">
            <v>100</v>
          </cell>
          <cell r="V42">
            <v>100</v>
          </cell>
          <cell r="X42" t="str">
            <v>LV</v>
          </cell>
          <cell r="Y42" t="str">
            <v>TE</v>
          </cell>
          <cell r="Z42">
            <v>4</v>
          </cell>
          <cell r="AA42">
            <v>14</v>
          </cell>
          <cell r="AB42">
            <v>2</v>
          </cell>
          <cell r="AC42">
            <v>-1.472</v>
          </cell>
        </row>
        <row r="43">
          <cell r="A43" t="str">
            <v>BC1-C3-42936</v>
          </cell>
          <cell r="B43" t="str">
            <v>BC1-C3-42936</v>
          </cell>
          <cell r="C43">
            <v>42936</v>
          </cell>
          <cell r="D43" t="str">
            <v>BC1</v>
          </cell>
          <cell r="E43" t="str">
            <v>C3</v>
          </cell>
          <cell r="F43">
            <v>43223</v>
          </cell>
          <cell r="G43" t="str">
            <v>JY</v>
          </cell>
          <cell r="H43">
            <v>0</v>
          </cell>
          <cell r="I43">
            <v>0</v>
          </cell>
          <cell r="J43">
            <v>0</v>
          </cell>
          <cell r="K43">
            <v>0</v>
          </cell>
          <cell r="L43">
            <v>0</v>
          </cell>
          <cell r="M43">
            <v>0</v>
          </cell>
          <cell r="N43">
            <v>0</v>
          </cell>
          <cell r="O43">
            <v>0</v>
          </cell>
          <cell r="P43">
            <v>0</v>
          </cell>
          <cell r="Q43">
            <v>0</v>
          </cell>
          <cell r="S43" t="str">
            <v>Y?</v>
          </cell>
          <cell r="T43">
            <v>100</v>
          </cell>
          <cell r="V43">
            <v>100</v>
          </cell>
          <cell r="X43" t="str">
            <v>LV</v>
          </cell>
          <cell r="Y43" t="str">
            <v>TE</v>
          </cell>
          <cell r="Z43">
            <v>0</v>
          </cell>
          <cell r="AA43">
            <v>0</v>
          </cell>
          <cell r="AB43">
            <v>0</v>
          </cell>
          <cell r="AC43">
            <v>-0.47199999999999998</v>
          </cell>
        </row>
        <row r="44">
          <cell r="A44" t="str">
            <v>BC1-E8-42936</v>
          </cell>
          <cell r="B44" t="str">
            <v>BC1-E8-42936</v>
          </cell>
          <cell r="C44">
            <v>42936</v>
          </cell>
          <cell r="D44" t="str">
            <v>BC1</v>
          </cell>
          <cell r="E44" t="str">
            <v>E8</v>
          </cell>
          <cell r="F44">
            <v>43224</v>
          </cell>
          <cell r="G44" t="str">
            <v>TE</v>
          </cell>
          <cell r="K44">
            <v>0</v>
          </cell>
          <cell r="N44">
            <v>7</v>
          </cell>
          <cell r="S44" t="str">
            <v>Y?</v>
          </cell>
          <cell r="T44">
            <v>100</v>
          </cell>
          <cell r="V44">
            <v>100</v>
          </cell>
          <cell r="X44" t="str">
            <v>LV</v>
          </cell>
          <cell r="Y44" t="str">
            <v>TE</v>
          </cell>
          <cell r="Z44">
            <v>0</v>
          </cell>
          <cell r="AA44">
            <v>0</v>
          </cell>
          <cell r="AB44">
            <v>0</v>
          </cell>
          <cell r="AC44">
            <v>-0.47199999999999998</v>
          </cell>
        </row>
        <row r="45">
          <cell r="A45" t="str">
            <v>BC1-B5-42936</v>
          </cell>
          <cell r="B45" t="str">
            <v>BC1-B5-42936</v>
          </cell>
          <cell r="C45">
            <v>42936</v>
          </cell>
          <cell r="D45" t="str">
            <v>BC1</v>
          </cell>
          <cell r="E45" t="str">
            <v>B5</v>
          </cell>
          <cell r="F45">
            <v>43223</v>
          </cell>
          <cell r="G45" t="str">
            <v>JY</v>
          </cell>
          <cell r="I45">
            <v>1</v>
          </cell>
          <cell r="K45">
            <v>1</v>
          </cell>
          <cell r="S45" t="str">
            <v>Y?</v>
          </cell>
          <cell r="T45">
            <v>100</v>
          </cell>
          <cell r="V45">
            <v>100</v>
          </cell>
          <cell r="X45" t="str">
            <v>LV</v>
          </cell>
          <cell r="Y45" t="str">
            <v>TE</v>
          </cell>
          <cell r="Z45">
            <v>0</v>
          </cell>
          <cell r="AA45">
            <v>1</v>
          </cell>
          <cell r="AB45">
            <v>0</v>
          </cell>
          <cell r="AC45">
            <v>-1.472</v>
          </cell>
        </row>
        <row r="46">
          <cell r="A46" t="str">
            <v>BC1-F8-42936</v>
          </cell>
          <cell r="B46" t="str">
            <v>BC1-F8-42936</v>
          </cell>
          <cell r="C46">
            <v>42936</v>
          </cell>
          <cell r="D46" t="str">
            <v>BC1</v>
          </cell>
          <cell r="E46" t="str">
            <v>F8</v>
          </cell>
          <cell r="F46">
            <v>43224</v>
          </cell>
          <cell r="G46" t="str">
            <v>NB</v>
          </cell>
          <cell r="H46">
            <v>0</v>
          </cell>
          <cell r="I46">
            <v>0</v>
          </cell>
          <cell r="J46">
            <v>0</v>
          </cell>
          <cell r="K46">
            <v>0</v>
          </cell>
          <cell r="L46">
            <v>0</v>
          </cell>
          <cell r="M46">
            <v>0</v>
          </cell>
          <cell r="N46">
            <v>0</v>
          </cell>
          <cell r="O46">
            <v>0</v>
          </cell>
          <cell r="P46">
            <v>0</v>
          </cell>
          <cell r="Q46">
            <v>0</v>
          </cell>
          <cell r="S46" t="str">
            <v>Y?</v>
          </cell>
          <cell r="T46">
            <v>100</v>
          </cell>
          <cell r="V46">
            <v>100</v>
          </cell>
          <cell r="X46" t="str">
            <v>LV</v>
          </cell>
          <cell r="Y46" t="str">
            <v>TE</v>
          </cell>
          <cell r="Z46">
            <v>0</v>
          </cell>
          <cell r="AA46">
            <v>0</v>
          </cell>
          <cell r="AB46">
            <v>0</v>
          </cell>
          <cell r="AC46">
            <v>-1.472</v>
          </cell>
        </row>
        <row r="47">
          <cell r="A47" t="str">
            <v>BC2-A1-42936</v>
          </cell>
          <cell r="B47" t="str">
            <v>BC2-A1-42936</v>
          </cell>
          <cell r="C47">
            <v>42936</v>
          </cell>
          <cell r="D47" t="str">
            <v>BC2</v>
          </cell>
          <cell r="E47" t="str">
            <v>A1</v>
          </cell>
          <cell r="F47">
            <v>43222</v>
          </cell>
          <cell r="G47" t="str">
            <v>JB</v>
          </cell>
          <cell r="K47">
            <v>0</v>
          </cell>
          <cell r="N47">
            <v>221</v>
          </cell>
          <cell r="S47" t="str">
            <v>Y?</v>
          </cell>
          <cell r="T47">
            <v>100</v>
          </cell>
          <cell r="V47">
            <v>100</v>
          </cell>
          <cell r="X47" t="str">
            <v>LV</v>
          </cell>
          <cell r="Y47" t="str">
            <v>TE</v>
          </cell>
          <cell r="Z47">
            <v>0</v>
          </cell>
          <cell r="AA47">
            <v>0</v>
          </cell>
          <cell r="AB47">
            <v>0</v>
          </cell>
          <cell r="AC47">
            <v>-1.472</v>
          </cell>
        </row>
        <row r="48">
          <cell r="A48" t="str">
            <v>BC1-G6-42936</v>
          </cell>
          <cell r="B48" t="str">
            <v>BC1-G6-42936</v>
          </cell>
          <cell r="C48">
            <v>42936</v>
          </cell>
          <cell r="D48" t="str">
            <v>BC1</v>
          </cell>
          <cell r="E48" t="str">
            <v>G6</v>
          </cell>
          <cell r="F48">
            <v>43224</v>
          </cell>
          <cell r="G48" t="str">
            <v>NB</v>
          </cell>
          <cell r="I48">
            <v>34</v>
          </cell>
          <cell r="K48">
            <v>34</v>
          </cell>
          <cell r="S48" t="str">
            <v>Y?</v>
          </cell>
          <cell r="T48">
            <v>100</v>
          </cell>
          <cell r="V48">
            <v>100</v>
          </cell>
          <cell r="X48" t="str">
            <v>LV</v>
          </cell>
          <cell r="Y48" t="str">
            <v>TE</v>
          </cell>
          <cell r="Z48">
            <v>0</v>
          </cell>
          <cell r="AA48">
            <v>34</v>
          </cell>
          <cell r="AB48">
            <v>0</v>
          </cell>
          <cell r="AC48">
            <v>-1.472</v>
          </cell>
        </row>
        <row r="49">
          <cell r="A49" t="str">
            <v>BC1-H7-42936</v>
          </cell>
          <cell r="B49" t="str">
            <v>BC1-H7-42936</v>
          </cell>
          <cell r="C49">
            <v>42936</v>
          </cell>
          <cell r="D49" t="str">
            <v>BC1</v>
          </cell>
          <cell r="E49" t="str">
            <v>H7</v>
          </cell>
          <cell r="F49">
            <v>43224</v>
          </cell>
          <cell r="G49" t="str">
            <v>LV</v>
          </cell>
          <cell r="I49">
            <v>18</v>
          </cell>
          <cell r="K49">
            <v>18</v>
          </cell>
          <cell r="S49" t="str">
            <v>Y?</v>
          </cell>
          <cell r="T49">
            <v>100</v>
          </cell>
          <cell r="V49">
            <v>100</v>
          </cell>
          <cell r="X49" t="str">
            <v>LV</v>
          </cell>
          <cell r="Y49" t="str">
            <v>TE</v>
          </cell>
          <cell r="Z49">
            <v>0</v>
          </cell>
          <cell r="AA49">
            <v>18</v>
          </cell>
          <cell r="AB49">
            <v>0</v>
          </cell>
          <cell r="AC49">
            <v>-0.47199999999999998</v>
          </cell>
        </row>
        <row r="50">
          <cell r="A50" t="str">
            <v>BC1-H1-42936</v>
          </cell>
          <cell r="B50" t="str">
            <v>BC1-H1-42936</v>
          </cell>
          <cell r="C50">
            <v>42936</v>
          </cell>
          <cell r="D50" t="str">
            <v>BC1</v>
          </cell>
          <cell r="E50" t="str">
            <v>H1</v>
          </cell>
          <cell r="F50">
            <v>43224</v>
          </cell>
          <cell r="G50" t="str">
            <v>NB</v>
          </cell>
          <cell r="I50">
            <v>365</v>
          </cell>
          <cell r="K50">
            <v>365</v>
          </cell>
          <cell r="S50" t="str">
            <v>Y?</v>
          </cell>
          <cell r="T50">
            <v>100</v>
          </cell>
          <cell r="V50">
            <v>100</v>
          </cell>
          <cell r="X50" t="str">
            <v>LV</v>
          </cell>
          <cell r="Y50" t="str">
            <v>TE</v>
          </cell>
          <cell r="Z50">
            <v>0</v>
          </cell>
          <cell r="AA50">
            <v>365</v>
          </cell>
          <cell r="AB50">
            <v>0</v>
          </cell>
          <cell r="AC50">
            <v>-1.472</v>
          </cell>
        </row>
        <row r="51">
          <cell r="A51" t="str">
            <v>BC2-C7-42936</v>
          </cell>
          <cell r="B51" t="str">
            <v>BC2-C7-42936</v>
          </cell>
          <cell r="C51">
            <v>42936</v>
          </cell>
          <cell r="D51" t="str">
            <v>BC2</v>
          </cell>
          <cell r="E51" t="str">
            <v>C7</v>
          </cell>
          <cell r="F51">
            <v>43224</v>
          </cell>
          <cell r="G51" t="str">
            <v>NB</v>
          </cell>
          <cell r="I51">
            <v>15</v>
          </cell>
          <cell r="K51">
            <v>15</v>
          </cell>
          <cell r="L51">
            <v>30</v>
          </cell>
          <cell r="N51">
            <v>88</v>
          </cell>
          <cell r="O51">
            <v>1</v>
          </cell>
          <cell r="S51" t="str">
            <v>Y?</v>
          </cell>
          <cell r="T51">
            <v>100</v>
          </cell>
          <cell r="V51">
            <v>100</v>
          </cell>
          <cell r="X51" t="str">
            <v>LV</v>
          </cell>
          <cell r="Y51" t="str">
            <v>TE</v>
          </cell>
          <cell r="Z51">
            <v>0</v>
          </cell>
          <cell r="AA51">
            <v>15</v>
          </cell>
          <cell r="AB51">
            <v>0</v>
          </cell>
          <cell r="AC51">
            <v>-1.472</v>
          </cell>
        </row>
        <row r="52">
          <cell r="A52" t="str">
            <v>BC2-G3-42936</v>
          </cell>
          <cell r="B52" t="str">
            <v>BC2-G3-42936</v>
          </cell>
          <cell r="C52">
            <v>42936</v>
          </cell>
          <cell r="D52" t="str">
            <v>BC2</v>
          </cell>
          <cell r="E52" t="str">
            <v>G3</v>
          </cell>
          <cell r="F52">
            <v>43232</v>
          </cell>
          <cell r="G52" t="str">
            <v>JB</v>
          </cell>
          <cell r="H52">
            <v>9</v>
          </cell>
          <cell r="I52">
            <v>166</v>
          </cell>
          <cell r="K52">
            <v>175</v>
          </cell>
          <cell r="N52">
            <v>1</v>
          </cell>
          <cell r="S52" t="str">
            <v>Y?</v>
          </cell>
          <cell r="T52">
            <v>100</v>
          </cell>
          <cell r="V52">
            <v>100</v>
          </cell>
          <cell r="X52" t="str">
            <v>LV</v>
          </cell>
          <cell r="Y52" t="str">
            <v>TE</v>
          </cell>
          <cell r="Z52">
            <v>9</v>
          </cell>
          <cell r="AA52">
            <v>166</v>
          </cell>
          <cell r="AB52">
            <v>0</v>
          </cell>
          <cell r="AC52">
            <v>-1.472</v>
          </cell>
        </row>
        <row r="53">
          <cell r="A53" t="str">
            <v>BC1-F1-42937</v>
          </cell>
          <cell r="B53" t="str">
            <v>BC1-F1-42937</v>
          </cell>
          <cell r="C53">
            <v>42937</v>
          </cell>
          <cell r="D53" t="str">
            <v>BC1</v>
          </cell>
          <cell r="E53" t="str">
            <v>F1</v>
          </cell>
          <cell r="F53">
            <v>43390</v>
          </cell>
          <cell r="G53" t="str">
            <v>JY</v>
          </cell>
          <cell r="H53">
            <v>28</v>
          </cell>
          <cell r="I53">
            <v>4520</v>
          </cell>
          <cell r="J53">
            <v>4</v>
          </cell>
          <cell r="K53">
            <v>4552</v>
          </cell>
          <cell r="S53" t="str">
            <v>Y</v>
          </cell>
          <cell r="T53">
            <v>50</v>
          </cell>
          <cell r="V53">
            <v>100</v>
          </cell>
          <cell r="X53" t="str">
            <v>LV</v>
          </cell>
          <cell r="Y53" t="str">
            <v>TE</v>
          </cell>
          <cell r="Z53">
            <v>28</v>
          </cell>
          <cell r="AA53">
            <v>4520</v>
          </cell>
          <cell r="AB53">
            <v>4</v>
          </cell>
          <cell r="AC53">
            <v>-0.47199999999999998</v>
          </cell>
        </row>
        <row r="54">
          <cell r="A54" t="str">
            <v>BC2-G1-42937</v>
          </cell>
          <cell r="B54" t="str">
            <v>BC2-G1-42937</v>
          </cell>
          <cell r="C54">
            <v>42937</v>
          </cell>
          <cell r="D54" t="str">
            <v>BC2</v>
          </cell>
          <cell r="E54" t="str">
            <v>G1</v>
          </cell>
          <cell r="F54">
            <v>43391</v>
          </cell>
          <cell r="G54" t="str">
            <v>LV</v>
          </cell>
          <cell r="K54">
            <v>0</v>
          </cell>
          <cell r="O54">
            <v>1</v>
          </cell>
          <cell r="Q54">
            <v>14</v>
          </cell>
          <cell r="S54" t="str">
            <v>Y</v>
          </cell>
          <cell r="T54">
            <v>50</v>
          </cell>
          <cell r="V54">
            <v>100</v>
          </cell>
          <cell r="X54" t="str">
            <v>TE</v>
          </cell>
          <cell r="Y54" t="str">
            <v>LV</v>
          </cell>
          <cell r="Z54">
            <v>0</v>
          </cell>
          <cell r="AA54">
            <v>0</v>
          </cell>
          <cell r="AB54">
            <v>0</v>
          </cell>
          <cell r="AC54">
            <v>-0.47199999999999998</v>
          </cell>
        </row>
        <row r="55">
          <cell r="A55" t="str">
            <v>BC2-H6-42937</v>
          </cell>
          <cell r="B55" t="str">
            <v>BC2-H6-42937</v>
          </cell>
          <cell r="C55">
            <v>42937</v>
          </cell>
          <cell r="D55" t="str">
            <v>BC2</v>
          </cell>
          <cell r="E55" t="str">
            <v>H6</v>
          </cell>
          <cell r="F55">
            <v>43502</v>
          </cell>
          <cell r="G55" t="str">
            <v>TE</v>
          </cell>
          <cell r="H55">
            <v>0</v>
          </cell>
          <cell r="I55">
            <v>0</v>
          </cell>
          <cell r="J55">
            <v>0</v>
          </cell>
          <cell r="K55">
            <v>0</v>
          </cell>
          <cell r="L55">
            <v>0</v>
          </cell>
          <cell r="M55">
            <v>0</v>
          </cell>
          <cell r="N55">
            <v>0</v>
          </cell>
          <cell r="O55">
            <v>0</v>
          </cell>
          <cell r="P55">
            <v>0</v>
          </cell>
          <cell r="Q55">
            <v>0</v>
          </cell>
          <cell r="R55">
            <v>0</v>
          </cell>
          <cell r="S55" t="str">
            <v>Y</v>
          </cell>
          <cell r="T55">
            <v>50</v>
          </cell>
          <cell r="V55">
            <v>100</v>
          </cell>
          <cell r="X55" t="str">
            <v>TE</v>
          </cell>
          <cell r="Y55" t="str">
            <v>TE</v>
          </cell>
          <cell r="Z55">
            <v>0</v>
          </cell>
          <cell r="AA55">
            <v>0</v>
          </cell>
          <cell r="AB55">
            <v>0</v>
          </cell>
          <cell r="AC55">
            <v>-1.472</v>
          </cell>
        </row>
        <row r="56">
          <cell r="A56" t="str">
            <v>BC1-D2-42937</v>
          </cell>
          <cell r="B56" t="str">
            <v>BC1-D2-42937</v>
          </cell>
          <cell r="C56">
            <v>42937</v>
          </cell>
          <cell r="D56" t="str">
            <v>BC1</v>
          </cell>
          <cell r="E56" t="str">
            <v>D2</v>
          </cell>
          <cell r="F56">
            <v>43385</v>
          </cell>
          <cell r="G56" t="str">
            <v>NB</v>
          </cell>
          <cell r="H56">
            <v>0</v>
          </cell>
          <cell r="I56">
            <v>0</v>
          </cell>
          <cell r="J56">
            <v>0</v>
          </cell>
          <cell r="K56">
            <v>0</v>
          </cell>
          <cell r="L56">
            <v>0</v>
          </cell>
          <cell r="M56">
            <v>0</v>
          </cell>
          <cell r="N56">
            <v>0</v>
          </cell>
          <cell r="O56">
            <v>0</v>
          </cell>
          <cell r="P56">
            <v>0</v>
          </cell>
          <cell r="Q56">
            <v>0</v>
          </cell>
          <cell r="S56" t="str">
            <v>Y</v>
          </cell>
          <cell r="T56">
            <v>50</v>
          </cell>
          <cell r="V56">
            <v>100</v>
          </cell>
          <cell r="X56" t="str">
            <v>LV</v>
          </cell>
          <cell r="Y56" t="str">
            <v>TE</v>
          </cell>
          <cell r="Z56">
            <v>0</v>
          </cell>
          <cell r="AA56">
            <v>0</v>
          </cell>
          <cell r="AB56">
            <v>0</v>
          </cell>
          <cell r="AC56">
            <v>-1.472</v>
          </cell>
        </row>
        <row r="57">
          <cell r="A57" t="str">
            <v>BC1-A4-42937</v>
          </cell>
          <cell r="B57" t="str">
            <v>BC1-A4-42937</v>
          </cell>
          <cell r="C57">
            <v>42937</v>
          </cell>
          <cell r="D57" t="str">
            <v>BC1</v>
          </cell>
          <cell r="E57" t="str">
            <v>A4</v>
          </cell>
          <cell r="F57">
            <v>43390</v>
          </cell>
          <cell r="G57" t="str">
            <v>JY</v>
          </cell>
          <cell r="H57">
            <v>0</v>
          </cell>
          <cell r="I57">
            <v>0</v>
          </cell>
          <cell r="J57">
            <v>0</v>
          </cell>
          <cell r="K57">
            <v>0</v>
          </cell>
          <cell r="L57">
            <v>0</v>
          </cell>
          <cell r="M57">
            <v>0</v>
          </cell>
          <cell r="N57">
            <v>0</v>
          </cell>
          <cell r="O57">
            <v>0</v>
          </cell>
          <cell r="P57">
            <v>0</v>
          </cell>
          <cell r="Q57">
            <v>0</v>
          </cell>
          <cell r="R57">
            <v>0</v>
          </cell>
          <cell r="S57" t="str">
            <v>Y</v>
          </cell>
          <cell r="T57">
            <v>50</v>
          </cell>
          <cell r="V57">
            <v>100</v>
          </cell>
          <cell r="X57" t="str">
            <v>LV</v>
          </cell>
          <cell r="Y57" t="str">
            <v>TE</v>
          </cell>
          <cell r="Z57">
            <v>0</v>
          </cell>
          <cell r="AA57">
            <v>0</v>
          </cell>
          <cell r="AB57">
            <v>0</v>
          </cell>
          <cell r="AC57">
            <v>-1.472</v>
          </cell>
        </row>
        <row r="58">
          <cell r="A58" t="str">
            <v>BC2-H8-42937</v>
          </cell>
          <cell r="B58" t="str">
            <v>BC2-H8-42937</v>
          </cell>
          <cell r="C58">
            <v>42937</v>
          </cell>
          <cell r="D58" t="str">
            <v>BC2</v>
          </cell>
          <cell r="E58" t="str">
            <v>H8</v>
          </cell>
          <cell r="F58">
            <v>43385</v>
          </cell>
          <cell r="G58" t="str">
            <v>NB</v>
          </cell>
          <cell r="H58">
            <v>0</v>
          </cell>
          <cell r="I58">
            <v>0</v>
          </cell>
          <cell r="J58">
            <v>0</v>
          </cell>
          <cell r="K58">
            <v>0</v>
          </cell>
          <cell r="L58">
            <v>0</v>
          </cell>
          <cell r="M58">
            <v>0</v>
          </cell>
          <cell r="N58">
            <v>0</v>
          </cell>
          <cell r="O58">
            <v>0</v>
          </cell>
          <cell r="P58">
            <v>0</v>
          </cell>
          <cell r="Q58">
            <v>0</v>
          </cell>
          <cell r="S58" t="str">
            <v>Y</v>
          </cell>
          <cell r="T58">
            <v>50</v>
          </cell>
          <cell r="V58">
            <v>100</v>
          </cell>
          <cell r="X58" t="str">
            <v>LV</v>
          </cell>
          <cell r="Y58" t="str">
            <v>TE</v>
          </cell>
          <cell r="Z58">
            <v>0</v>
          </cell>
          <cell r="AA58">
            <v>0</v>
          </cell>
          <cell r="AB58">
            <v>0</v>
          </cell>
          <cell r="AC58">
            <v>-1.472</v>
          </cell>
        </row>
        <row r="59">
          <cell r="A59" t="str">
            <v>BC2-D2-42937</v>
          </cell>
          <cell r="B59" t="str">
            <v>BC2-D2-42937</v>
          </cell>
          <cell r="C59">
            <v>42937</v>
          </cell>
          <cell r="D59" t="str">
            <v>BC2</v>
          </cell>
          <cell r="E59" t="str">
            <v>D2</v>
          </cell>
          <cell r="F59">
            <v>43391</v>
          </cell>
          <cell r="G59" t="str">
            <v>LV</v>
          </cell>
          <cell r="H59">
            <v>0</v>
          </cell>
          <cell r="I59">
            <v>0</v>
          </cell>
          <cell r="J59">
            <v>0</v>
          </cell>
          <cell r="K59">
            <v>0</v>
          </cell>
          <cell r="L59">
            <v>0</v>
          </cell>
          <cell r="M59">
            <v>0</v>
          </cell>
          <cell r="N59">
            <v>0</v>
          </cell>
          <cell r="O59">
            <v>0</v>
          </cell>
          <cell r="P59">
            <v>0</v>
          </cell>
          <cell r="Q59">
            <v>0</v>
          </cell>
          <cell r="R59">
            <v>0</v>
          </cell>
          <cell r="S59" t="str">
            <v>Y</v>
          </cell>
          <cell r="T59">
            <v>50</v>
          </cell>
          <cell r="V59">
            <v>100</v>
          </cell>
          <cell r="X59" t="str">
            <v>TE</v>
          </cell>
          <cell r="Y59" t="str">
            <v>LV</v>
          </cell>
          <cell r="Z59">
            <v>0</v>
          </cell>
          <cell r="AA59">
            <v>0</v>
          </cell>
          <cell r="AB59">
            <v>0</v>
          </cell>
          <cell r="AC59">
            <v>-1.472</v>
          </cell>
        </row>
        <row r="60">
          <cell r="A60" t="str">
            <v>BC1-H8-42937</v>
          </cell>
          <cell r="B60" t="str">
            <v>BC1-H8-42937</v>
          </cell>
          <cell r="C60">
            <v>42937</v>
          </cell>
          <cell r="D60" t="str">
            <v>BC1</v>
          </cell>
          <cell r="E60" t="str">
            <v>H8</v>
          </cell>
          <cell r="F60">
            <v>43390</v>
          </cell>
          <cell r="G60" t="str">
            <v>JY</v>
          </cell>
          <cell r="H60">
            <v>0</v>
          </cell>
          <cell r="I60">
            <v>0</v>
          </cell>
          <cell r="J60">
            <v>0</v>
          </cell>
          <cell r="K60">
            <v>0</v>
          </cell>
          <cell r="L60">
            <v>0</v>
          </cell>
          <cell r="M60">
            <v>0</v>
          </cell>
          <cell r="N60">
            <v>0</v>
          </cell>
          <cell r="O60">
            <v>0</v>
          </cell>
          <cell r="P60">
            <v>0</v>
          </cell>
          <cell r="Q60">
            <v>0</v>
          </cell>
          <cell r="R60">
            <v>0</v>
          </cell>
          <cell r="S60" t="str">
            <v>Y</v>
          </cell>
          <cell r="T60">
            <v>50</v>
          </cell>
          <cell r="V60">
            <v>100</v>
          </cell>
          <cell r="X60" t="str">
            <v>LV</v>
          </cell>
          <cell r="Y60" t="str">
            <v>TE</v>
          </cell>
          <cell r="Z60">
            <v>0</v>
          </cell>
          <cell r="AA60">
            <v>0</v>
          </cell>
          <cell r="AB60">
            <v>0</v>
          </cell>
          <cell r="AC60">
            <v>-1.472</v>
          </cell>
        </row>
        <row r="61">
          <cell r="A61" t="str">
            <v>BC2-A1-42938</v>
          </cell>
          <cell r="B61" t="str">
            <v>BC2-A1-42938</v>
          </cell>
          <cell r="C61">
            <v>42938</v>
          </cell>
          <cell r="D61" t="str">
            <v>BC2</v>
          </cell>
          <cell r="E61" t="str">
            <v>A1</v>
          </cell>
          <cell r="F61">
            <v>43392</v>
          </cell>
          <cell r="G61" t="str">
            <v>NB</v>
          </cell>
          <cell r="H61">
            <v>0</v>
          </cell>
          <cell r="I61">
            <v>0</v>
          </cell>
          <cell r="J61">
            <v>0</v>
          </cell>
          <cell r="K61">
            <v>0</v>
          </cell>
          <cell r="L61">
            <v>0</v>
          </cell>
          <cell r="M61">
            <v>0</v>
          </cell>
          <cell r="N61">
            <v>0</v>
          </cell>
          <cell r="O61">
            <v>0</v>
          </cell>
          <cell r="P61">
            <v>0</v>
          </cell>
          <cell r="Q61">
            <v>0</v>
          </cell>
          <cell r="S61" t="str">
            <v>Y</v>
          </cell>
          <cell r="T61">
            <v>50</v>
          </cell>
          <cell r="V61">
            <v>100</v>
          </cell>
          <cell r="X61" t="str">
            <v>LV</v>
          </cell>
          <cell r="Y61" t="str">
            <v>TE</v>
          </cell>
          <cell r="Z61">
            <v>0</v>
          </cell>
          <cell r="AA61">
            <v>0</v>
          </cell>
          <cell r="AB61">
            <v>0</v>
          </cell>
          <cell r="AC61">
            <v>-0.47199999999999998</v>
          </cell>
        </row>
        <row r="62">
          <cell r="A62" t="str">
            <v>BC2-A8-42938</v>
          </cell>
          <cell r="B62" t="str">
            <v>BC2-A8-42938</v>
          </cell>
          <cell r="C62">
            <v>42938</v>
          </cell>
          <cell r="D62" t="str">
            <v>BC2</v>
          </cell>
          <cell r="E62" t="str">
            <v>A8</v>
          </cell>
          <cell r="F62">
            <v>43391</v>
          </cell>
          <cell r="G62" t="str">
            <v>TE</v>
          </cell>
          <cell r="H62">
            <v>4</v>
          </cell>
          <cell r="I62">
            <v>78</v>
          </cell>
          <cell r="J62">
            <v>344</v>
          </cell>
          <cell r="K62">
            <v>426</v>
          </cell>
          <cell r="S62" t="str">
            <v>Y</v>
          </cell>
          <cell r="T62">
            <v>50</v>
          </cell>
          <cell r="V62">
            <v>100</v>
          </cell>
          <cell r="X62" t="str">
            <v>LV</v>
          </cell>
          <cell r="Y62" t="str">
            <v>TE</v>
          </cell>
          <cell r="Z62">
            <v>4</v>
          </cell>
          <cell r="AA62">
            <v>78</v>
          </cell>
          <cell r="AB62">
            <v>344</v>
          </cell>
          <cell r="AC62">
            <v>-1.472</v>
          </cell>
        </row>
        <row r="63">
          <cell r="A63" t="str">
            <v>BC2-B7-42938</v>
          </cell>
          <cell r="B63" t="str">
            <v>BC2-B7-42938</v>
          </cell>
          <cell r="C63">
            <v>42938</v>
          </cell>
          <cell r="D63" t="str">
            <v>BC2</v>
          </cell>
          <cell r="E63" t="str">
            <v>B7</v>
          </cell>
          <cell r="F63">
            <v>43392</v>
          </cell>
          <cell r="G63" t="str">
            <v>NB</v>
          </cell>
          <cell r="I63">
            <v>10</v>
          </cell>
          <cell r="J63">
            <v>6</v>
          </cell>
          <cell r="K63">
            <v>16</v>
          </cell>
          <cell r="N63">
            <v>2</v>
          </cell>
          <cell r="O63">
            <v>2</v>
          </cell>
          <cell r="S63" t="str">
            <v>Y</v>
          </cell>
          <cell r="T63">
            <v>50</v>
          </cell>
          <cell r="V63">
            <v>100</v>
          </cell>
          <cell r="X63" t="str">
            <v>LV</v>
          </cell>
          <cell r="Y63" t="str">
            <v>TE</v>
          </cell>
          <cell r="Z63">
            <v>0</v>
          </cell>
          <cell r="AA63">
            <v>10</v>
          </cell>
          <cell r="AB63">
            <v>6</v>
          </cell>
          <cell r="AC63">
            <v>0.52800000000000002</v>
          </cell>
        </row>
        <row r="64">
          <cell r="A64" t="str">
            <v>BC1-A6-42938</v>
          </cell>
          <cell r="B64" t="str">
            <v>BC1-A6-42938</v>
          </cell>
          <cell r="C64">
            <v>42938</v>
          </cell>
          <cell r="D64" t="str">
            <v>BC1</v>
          </cell>
          <cell r="E64" t="str">
            <v>A6</v>
          </cell>
          <cell r="F64">
            <v>43503</v>
          </cell>
          <cell r="G64" t="str">
            <v>TE</v>
          </cell>
          <cell r="I64">
            <v>4</v>
          </cell>
          <cell r="K64">
            <v>4</v>
          </cell>
          <cell r="S64" t="str">
            <v>Y</v>
          </cell>
          <cell r="T64">
            <v>50</v>
          </cell>
          <cell r="V64">
            <v>100</v>
          </cell>
          <cell r="X64" t="str">
            <v>TE</v>
          </cell>
          <cell r="Y64" t="str">
            <v>TE</v>
          </cell>
          <cell r="Z64">
            <v>0</v>
          </cell>
          <cell r="AA64">
            <v>4</v>
          </cell>
          <cell r="AB64">
            <v>0</v>
          </cell>
          <cell r="AC64">
            <v>-1.472</v>
          </cell>
        </row>
        <row r="65">
          <cell r="A65" t="str">
            <v>SP2-A4-42939</v>
          </cell>
          <cell r="B65" t="str">
            <v>SP2-A4-42939</v>
          </cell>
          <cell r="C65">
            <v>42939</v>
          </cell>
          <cell r="D65" t="str">
            <v>SP2</v>
          </cell>
          <cell r="E65" t="str">
            <v>A4</v>
          </cell>
          <cell r="F65">
            <v>43447</v>
          </cell>
          <cell r="G65" t="str">
            <v>LV</v>
          </cell>
          <cell r="H65">
            <v>90</v>
          </cell>
          <cell r="I65">
            <v>414</v>
          </cell>
          <cell r="J65">
            <v>10</v>
          </cell>
          <cell r="K65">
            <v>514</v>
          </cell>
          <cell r="S65" t="str">
            <v>Y</v>
          </cell>
          <cell r="T65">
            <v>50</v>
          </cell>
          <cell r="V65">
            <v>100</v>
          </cell>
          <cell r="X65" t="str">
            <v>TE</v>
          </cell>
          <cell r="Y65" t="str">
            <v xml:space="preserve">LV </v>
          </cell>
          <cell r="Z65">
            <v>90</v>
          </cell>
          <cell r="AA65">
            <v>414</v>
          </cell>
          <cell r="AB65">
            <v>10</v>
          </cell>
          <cell r="AC65">
            <v>-1.472</v>
          </cell>
        </row>
        <row r="66">
          <cell r="A66" t="str">
            <v>SP1-F1-42939</v>
          </cell>
          <cell r="B66" t="str">
            <v>SP1-F1-42939</v>
          </cell>
          <cell r="C66">
            <v>42939</v>
          </cell>
          <cell r="D66" t="str">
            <v>SP1</v>
          </cell>
          <cell r="E66" t="str">
            <v>F1</v>
          </cell>
          <cell r="F66">
            <v>43399</v>
          </cell>
          <cell r="G66" t="str">
            <v>TE</v>
          </cell>
          <cell r="H66">
            <v>0</v>
          </cell>
          <cell r="I66">
            <v>0</v>
          </cell>
          <cell r="J66">
            <v>0</v>
          </cell>
          <cell r="K66">
            <v>0</v>
          </cell>
          <cell r="L66">
            <v>0</v>
          </cell>
          <cell r="M66">
            <v>0</v>
          </cell>
          <cell r="N66">
            <v>0</v>
          </cell>
          <cell r="O66">
            <v>0</v>
          </cell>
          <cell r="P66">
            <v>0</v>
          </cell>
          <cell r="Q66">
            <v>0</v>
          </cell>
          <cell r="R66">
            <v>0</v>
          </cell>
          <cell r="S66" t="str">
            <v>Y</v>
          </cell>
          <cell r="T66">
            <v>50</v>
          </cell>
          <cell r="V66">
            <v>100</v>
          </cell>
          <cell r="X66" t="str">
            <v>LV</v>
          </cell>
          <cell r="Y66" t="str">
            <v>TE</v>
          </cell>
          <cell r="Z66">
            <v>0</v>
          </cell>
          <cell r="AA66">
            <v>0</v>
          </cell>
          <cell r="AB66">
            <v>0</v>
          </cell>
          <cell r="AC66">
            <v>-1.472</v>
          </cell>
        </row>
        <row r="67">
          <cell r="A67" t="str">
            <v>SP1-F3-42939</v>
          </cell>
          <cell r="B67" t="str">
            <v>SP1-F3-42939</v>
          </cell>
          <cell r="C67">
            <v>42939</v>
          </cell>
          <cell r="D67" t="str">
            <v>SP1</v>
          </cell>
          <cell r="E67" t="str">
            <v>F3</v>
          </cell>
          <cell r="F67">
            <v>43438</v>
          </cell>
          <cell r="G67" t="str">
            <v>LV</v>
          </cell>
          <cell r="H67">
            <v>0</v>
          </cell>
          <cell r="I67">
            <v>0</v>
          </cell>
          <cell r="J67">
            <v>0</v>
          </cell>
          <cell r="K67">
            <v>0</v>
          </cell>
          <cell r="L67">
            <v>0</v>
          </cell>
          <cell r="M67">
            <v>0</v>
          </cell>
          <cell r="N67">
            <v>0</v>
          </cell>
          <cell r="O67">
            <v>0</v>
          </cell>
          <cell r="P67">
            <v>0</v>
          </cell>
          <cell r="Q67">
            <v>0</v>
          </cell>
          <cell r="R67">
            <v>0</v>
          </cell>
          <cell r="S67" t="str">
            <v>Y</v>
          </cell>
          <cell r="T67">
            <v>50</v>
          </cell>
          <cell r="V67">
            <v>100</v>
          </cell>
          <cell r="X67" t="str">
            <v>TE</v>
          </cell>
          <cell r="Y67" t="str">
            <v xml:space="preserve">LV </v>
          </cell>
          <cell r="Z67">
            <v>0</v>
          </cell>
          <cell r="AA67">
            <v>0</v>
          </cell>
          <cell r="AB67">
            <v>0</v>
          </cell>
          <cell r="AC67">
            <v>-1.472</v>
          </cell>
        </row>
        <row r="68">
          <cell r="A68" t="str">
            <v>SP1-H8-42939</v>
          </cell>
          <cell r="B68" t="str">
            <v>SP1-H8-42939</v>
          </cell>
          <cell r="C68">
            <v>42939</v>
          </cell>
          <cell r="D68" t="str">
            <v>SP1</v>
          </cell>
          <cell r="E68" t="str">
            <v>H8</v>
          </cell>
          <cell r="F68">
            <v>43392</v>
          </cell>
          <cell r="G68" t="str">
            <v>NB</v>
          </cell>
          <cell r="I68">
            <v>26</v>
          </cell>
          <cell r="K68">
            <v>26</v>
          </cell>
          <cell r="S68" t="str">
            <v>Y</v>
          </cell>
          <cell r="T68">
            <v>50</v>
          </cell>
          <cell r="V68">
            <v>100</v>
          </cell>
          <cell r="X68" t="str">
            <v>LV</v>
          </cell>
          <cell r="Y68" t="str">
            <v>TE</v>
          </cell>
          <cell r="Z68">
            <v>0</v>
          </cell>
          <cell r="AA68">
            <v>26</v>
          </cell>
          <cell r="AB68">
            <v>0</v>
          </cell>
          <cell r="AC68">
            <v>-1.472</v>
          </cell>
        </row>
        <row r="69">
          <cell r="A69" t="str">
            <v>SP2-B6-42939</v>
          </cell>
          <cell r="B69" t="str">
            <v>SP2-B6-42939</v>
          </cell>
          <cell r="C69">
            <v>42939</v>
          </cell>
          <cell r="D69" t="str">
            <v>SP2</v>
          </cell>
          <cell r="E69" t="str">
            <v>B6</v>
          </cell>
          <cell r="F69">
            <v>43399</v>
          </cell>
          <cell r="G69" t="str">
            <v>TE</v>
          </cell>
          <cell r="H69">
            <v>0</v>
          </cell>
          <cell r="I69">
            <v>0</v>
          </cell>
          <cell r="J69">
            <v>0</v>
          </cell>
          <cell r="K69">
            <v>0</v>
          </cell>
          <cell r="L69">
            <v>0</v>
          </cell>
          <cell r="M69">
            <v>0</v>
          </cell>
          <cell r="N69">
            <v>0</v>
          </cell>
          <cell r="O69">
            <v>0</v>
          </cell>
          <cell r="P69">
            <v>0</v>
          </cell>
          <cell r="Q69">
            <v>0</v>
          </cell>
          <cell r="R69">
            <v>0</v>
          </cell>
          <cell r="S69" t="str">
            <v>Y</v>
          </cell>
          <cell r="T69">
            <v>50</v>
          </cell>
          <cell r="V69">
            <v>100</v>
          </cell>
          <cell r="X69" t="str">
            <v>LV</v>
          </cell>
          <cell r="Y69" t="str">
            <v>TE</v>
          </cell>
          <cell r="Z69">
            <v>0</v>
          </cell>
          <cell r="AA69">
            <v>0</v>
          </cell>
          <cell r="AB69">
            <v>0</v>
          </cell>
          <cell r="AC69">
            <v>-1.472</v>
          </cell>
        </row>
        <row r="70">
          <cell r="A70" t="str">
            <v>SP2-D2-42940</v>
          </cell>
          <cell r="B70" t="str">
            <v>SP2-D2-42940</v>
          </cell>
          <cell r="C70">
            <v>42940</v>
          </cell>
          <cell r="D70" t="str">
            <v>SP2</v>
          </cell>
          <cell r="E70" t="str">
            <v>D2</v>
          </cell>
          <cell r="F70">
            <v>43399</v>
          </cell>
          <cell r="G70" t="str">
            <v>TE</v>
          </cell>
          <cell r="H70">
            <v>44</v>
          </cell>
          <cell r="I70">
            <v>384</v>
          </cell>
          <cell r="J70">
            <v>3976</v>
          </cell>
          <cell r="K70">
            <v>4404</v>
          </cell>
          <cell r="Q70">
            <v>165</v>
          </cell>
          <cell r="S70" t="str">
            <v>Y</v>
          </cell>
          <cell r="T70">
            <v>50</v>
          </cell>
          <cell r="V70">
            <v>100</v>
          </cell>
          <cell r="X70" t="str">
            <v>LV</v>
          </cell>
          <cell r="Y70" t="str">
            <v>TE</v>
          </cell>
          <cell r="Z70">
            <v>44</v>
          </cell>
          <cell r="AA70">
            <v>384</v>
          </cell>
          <cell r="AB70">
            <v>3976</v>
          </cell>
          <cell r="AC70">
            <v>-0.47199999999999998</v>
          </cell>
        </row>
        <row r="71">
          <cell r="A71" t="str">
            <v>SP1-B5-42940</v>
          </cell>
          <cell r="B71" t="str">
            <v>SP1-B5-42940</v>
          </cell>
          <cell r="C71">
            <v>42940</v>
          </cell>
          <cell r="D71" t="str">
            <v>SP1</v>
          </cell>
          <cell r="E71" t="str">
            <v>B5</v>
          </cell>
          <cell r="F71">
            <v>43399</v>
          </cell>
          <cell r="G71" t="str">
            <v>TE</v>
          </cell>
          <cell r="H71">
            <v>0</v>
          </cell>
          <cell r="I71">
            <v>0</v>
          </cell>
          <cell r="J71">
            <v>0</v>
          </cell>
          <cell r="K71">
            <v>0</v>
          </cell>
          <cell r="L71">
            <v>0</v>
          </cell>
          <cell r="M71">
            <v>0</v>
          </cell>
          <cell r="N71">
            <v>0</v>
          </cell>
          <cell r="O71">
            <v>0</v>
          </cell>
          <cell r="P71">
            <v>0</v>
          </cell>
          <cell r="Q71">
            <v>0</v>
          </cell>
          <cell r="R71">
            <v>0</v>
          </cell>
          <cell r="S71" t="str">
            <v>Y</v>
          </cell>
          <cell r="T71">
            <v>50</v>
          </cell>
          <cell r="V71">
            <v>100</v>
          </cell>
          <cell r="X71" t="str">
            <v>LV</v>
          </cell>
          <cell r="Y71" t="str">
            <v>TE</v>
          </cell>
          <cell r="Z71">
            <v>0</v>
          </cell>
          <cell r="AA71">
            <v>0</v>
          </cell>
          <cell r="AB71">
            <v>0</v>
          </cell>
          <cell r="AC71">
            <v>-1.472</v>
          </cell>
        </row>
        <row r="72">
          <cell r="A72" t="str">
            <v>SP2-E1-42941</v>
          </cell>
          <cell r="B72" t="str">
            <v>SP2-E1-42941</v>
          </cell>
          <cell r="C72">
            <v>42941</v>
          </cell>
          <cell r="D72" t="str">
            <v>SP2</v>
          </cell>
          <cell r="E72" t="str">
            <v>E1</v>
          </cell>
          <cell r="F72">
            <v>43440</v>
          </cell>
          <cell r="G72" t="str">
            <v>LV</v>
          </cell>
          <cell r="K72">
            <v>0</v>
          </cell>
          <cell r="L72">
            <v>39</v>
          </cell>
          <cell r="P72">
            <v>3</v>
          </cell>
          <cell r="R72">
            <v>3</v>
          </cell>
          <cell r="S72" t="str">
            <v>Y</v>
          </cell>
          <cell r="T72">
            <v>50</v>
          </cell>
          <cell r="V72">
            <v>100</v>
          </cell>
          <cell r="X72" t="str">
            <v>TE</v>
          </cell>
          <cell r="Y72" t="str">
            <v xml:space="preserve">LV </v>
          </cell>
          <cell r="Z72">
            <v>0</v>
          </cell>
          <cell r="AA72">
            <v>0</v>
          </cell>
          <cell r="AB72">
            <v>0</v>
          </cell>
          <cell r="AC72">
            <v>-1.472</v>
          </cell>
        </row>
        <row r="73">
          <cell r="A73" t="str">
            <v>SP2-C1-42941</v>
          </cell>
          <cell r="B73" t="str">
            <v>SP2-C1-42941</v>
          </cell>
          <cell r="C73">
            <v>42941</v>
          </cell>
          <cell r="D73" t="str">
            <v>SP2</v>
          </cell>
          <cell r="E73" t="str">
            <v>C1</v>
          </cell>
          <cell r="F73">
            <v>43433</v>
          </cell>
          <cell r="G73" t="str">
            <v>LV</v>
          </cell>
          <cell r="H73">
            <v>6</v>
          </cell>
          <cell r="K73">
            <v>6</v>
          </cell>
          <cell r="S73" t="str">
            <v>Y</v>
          </cell>
          <cell r="T73">
            <v>50</v>
          </cell>
          <cell r="V73">
            <v>100</v>
          </cell>
          <cell r="X73" t="str">
            <v>LV</v>
          </cell>
          <cell r="Y73" t="str">
            <v>TE</v>
          </cell>
          <cell r="Z73">
            <v>6</v>
          </cell>
          <cell r="AA73">
            <v>0</v>
          </cell>
          <cell r="AB73">
            <v>0</v>
          </cell>
          <cell r="AC73">
            <v>-1.472</v>
          </cell>
        </row>
        <row r="74">
          <cell r="A74" t="str">
            <v>PO1-G8-42945</v>
          </cell>
          <cell r="B74" t="str">
            <v>PO1-G8-42945</v>
          </cell>
          <cell r="C74">
            <v>42945</v>
          </cell>
          <cell r="D74" t="str">
            <v>PO1</v>
          </cell>
          <cell r="E74" t="str">
            <v>G8</v>
          </cell>
          <cell r="F74">
            <v>43384</v>
          </cell>
          <cell r="G74" t="str">
            <v>TE</v>
          </cell>
          <cell r="K74">
            <v>0</v>
          </cell>
          <cell r="R74">
            <v>1</v>
          </cell>
          <cell r="S74" t="str">
            <v>Y</v>
          </cell>
          <cell r="T74">
            <v>50</v>
          </cell>
          <cell r="V74">
            <v>100</v>
          </cell>
          <cell r="X74" t="str">
            <v>LV</v>
          </cell>
          <cell r="Y74" t="str">
            <v>TE</v>
          </cell>
          <cell r="Z74">
            <v>0</v>
          </cell>
          <cell r="AA74">
            <v>0</v>
          </cell>
          <cell r="AB74">
            <v>0</v>
          </cell>
          <cell r="AC74">
            <v>-1.472</v>
          </cell>
        </row>
        <row r="75">
          <cell r="A75" t="str">
            <v>PO2-B8-42945</v>
          </cell>
          <cell r="B75" t="str">
            <v>PO2-B8-42945</v>
          </cell>
          <cell r="C75">
            <v>42945</v>
          </cell>
          <cell r="D75" t="str">
            <v>PO2</v>
          </cell>
          <cell r="E75" t="str">
            <v>B8</v>
          </cell>
          <cell r="F75">
            <v>43434</v>
          </cell>
          <cell r="G75" t="str">
            <v>TE</v>
          </cell>
          <cell r="H75">
            <v>0</v>
          </cell>
          <cell r="I75">
            <v>0</v>
          </cell>
          <cell r="J75">
            <v>0</v>
          </cell>
          <cell r="K75">
            <v>0</v>
          </cell>
          <cell r="L75">
            <v>0</v>
          </cell>
          <cell r="M75">
            <v>0</v>
          </cell>
          <cell r="N75">
            <v>0</v>
          </cell>
          <cell r="O75">
            <v>0</v>
          </cell>
          <cell r="P75">
            <v>0</v>
          </cell>
          <cell r="Q75">
            <v>0</v>
          </cell>
          <cell r="R75">
            <v>0</v>
          </cell>
          <cell r="S75" t="str">
            <v>Y</v>
          </cell>
          <cell r="T75">
            <v>50</v>
          </cell>
          <cell r="V75">
            <v>100</v>
          </cell>
          <cell r="X75" t="str">
            <v>LV</v>
          </cell>
          <cell r="Y75" t="str">
            <v>TE</v>
          </cell>
          <cell r="Z75">
            <v>0</v>
          </cell>
          <cell r="AA75">
            <v>0</v>
          </cell>
          <cell r="AB75">
            <v>0</v>
          </cell>
          <cell r="AC75">
            <v>-1.472</v>
          </cell>
        </row>
        <row r="76">
          <cell r="A76" t="str">
            <v>PO1-F1-42947</v>
          </cell>
          <cell r="B76" t="str">
            <v>PO1-F1-42947</v>
          </cell>
          <cell r="C76">
            <v>42947</v>
          </cell>
          <cell r="D76" t="str">
            <v>PO1</v>
          </cell>
          <cell r="E76" t="str">
            <v>F1</v>
          </cell>
          <cell r="F76">
            <v>43446</v>
          </cell>
          <cell r="G76" t="str">
            <v>JY</v>
          </cell>
          <cell r="H76">
            <v>8</v>
          </cell>
          <cell r="I76">
            <v>44</v>
          </cell>
          <cell r="K76">
            <v>52</v>
          </cell>
          <cell r="L76">
            <v>2</v>
          </cell>
          <cell r="S76" t="str">
            <v xml:space="preserve">Y </v>
          </cell>
          <cell r="T76">
            <v>50</v>
          </cell>
          <cell r="V76">
            <v>100</v>
          </cell>
          <cell r="X76" t="str">
            <v>LV</v>
          </cell>
          <cell r="Y76" t="str">
            <v>TE</v>
          </cell>
          <cell r="Z76">
            <v>8</v>
          </cell>
          <cell r="AA76">
            <v>44</v>
          </cell>
          <cell r="AB76">
            <v>0</v>
          </cell>
          <cell r="AC76">
            <v>-1.472</v>
          </cell>
        </row>
        <row r="77">
          <cell r="A77" t="str">
            <v>PO1-C6-42947</v>
          </cell>
          <cell r="B77" t="str">
            <v>PO1-C6-42947</v>
          </cell>
          <cell r="C77">
            <v>42947</v>
          </cell>
          <cell r="D77" t="str">
            <v>PO1</v>
          </cell>
          <cell r="E77" t="str">
            <v>C6</v>
          </cell>
          <cell r="F77">
            <v>43445</v>
          </cell>
          <cell r="G77" t="str">
            <v>LV</v>
          </cell>
          <cell r="H77">
            <v>68</v>
          </cell>
          <cell r="I77">
            <v>24</v>
          </cell>
          <cell r="J77">
            <v>42</v>
          </cell>
          <cell r="K77">
            <v>134</v>
          </cell>
          <cell r="L77">
            <v>41</v>
          </cell>
          <cell r="S77" t="str">
            <v>Y</v>
          </cell>
          <cell r="T77">
            <v>50</v>
          </cell>
          <cell r="V77">
            <v>100</v>
          </cell>
          <cell r="X77" t="str">
            <v>TE</v>
          </cell>
          <cell r="Y77" t="str">
            <v xml:space="preserve">LV </v>
          </cell>
          <cell r="Z77">
            <v>68</v>
          </cell>
          <cell r="AA77">
            <v>24</v>
          </cell>
          <cell r="AB77">
            <v>42</v>
          </cell>
          <cell r="AC77">
            <v>-1.472</v>
          </cell>
        </row>
        <row r="78">
          <cell r="A78" t="str">
            <v>PO1-D1-42947</v>
          </cell>
          <cell r="B78" t="str">
            <v>PO1-D1-42947</v>
          </cell>
          <cell r="C78">
            <v>42947</v>
          </cell>
          <cell r="D78" t="str">
            <v>PO1</v>
          </cell>
          <cell r="E78" t="str">
            <v>D1</v>
          </cell>
          <cell r="F78">
            <v>43446</v>
          </cell>
          <cell r="G78" t="str">
            <v>JY</v>
          </cell>
          <cell r="I78">
            <v>562</v>
          </cell>
          <cell r="K78">
            <v>562</v>
          </cell>
          <cell r="S78" t="str">
            <v xml:space="preserve">Y </v>
          </cell>
          <cell r="T78">
            <v>50</v>
          </cell>
          <cell r="V78">
            <v>100</v>
          </cell>
          <cell r="X78" t="str">
            <v>LV</v>
          </cell>
          <cell r="Y78" t="str">
            <v>TE</v>
          </cell>
          <cell r="Z78">
            <v>0</v>
          </cell>
          <cell r="AA78">
            <v>562</v>
          </cell>
          <cell r="AB78">
            <v>0</v>
          </cell>
          <cell r="AC78">
            <v>-1.472</v>
          </cell>
        </row>
        <row r="79">
          <cell r="A79" t="str">
            <v>PO2-H6-42947</v>
          </cell>
          <cell r="B79" t="str">
            <v>PO2-H6-42947</v>
          </cell>
          <cell r="C79">
            <v>42947</v>
          </cell>
          <cell r="D79" t="str">
            <v>PO2</v>
          </cell>
          <cell r="E79" t="str">
            <v>H6</v>
          </cell>
          <cell r="F79">
            <v>43441</v>
          </cell>
          <cell r="G79" t="str">
            <v>TE</v>
          </cell>
          <cell r="H79">
            <v>0</v>
          </cell>
          <cell r="I79">
            <v>0</v>
          </cell>
          <cell r="J79">
            <v>0</v>
          </cell>
          <cell r="K79">
            <v>0</v>
          </cell>
          <cell r="L79">
            <v>0</v>
          </cell>
          <cell r="M79">
            <v>0</v>
          </cell>
          <cell r="N79">
            <v>0</v>
          </cell>
          <cell r="O79">
            <v>0</v>
          </cell>
          <cell r="P79">
            <v>0</v>
          </cell>
          <cell r="Q79">
            <v>0</v>
          </cell>
          <cell r="R79">
            <v>0</v>
          </cell>
          <cell r="S79" t="str">
            <v>Y</v>
          </cell>
          <cell r="T79">
            <v>50</v>
          </cell>
          <cell r="V79">
            <v>100</v>
          </cell>
          <cell r="X79" t="str">
            <v>TE</v>
          </cell>
          <cell r="Y79" t="str">
            <v>TE</v>
          </cell>
          <cell r="Z79">
            <v>0</v>
          </cell>
          <cell r="AA79">
            <v>0</v>
          </cell>
          <cell r="AB79">
            <v>0</v>
          </cell>
          <cell r="AC79">
            <v>-1.472</v>
          </cell>
        </row>
        <row r="80">
          <cell r="A80" t="str">
            <v>PO1-A7-42947</v>
          </cell>
          <cell r="B80" t="str">
            <v>PO1-A7-42947</v>
          </cell>
          <cell r="C80">
            <v>42947</v>
          </cell>
          <cell r="D80" t="str">
            <v>PO1</v>
          </cell>
          <cell r="E80" t="str">
            <v>A7</v>
          </cell>
          <cell r="F80">
            <v>43445</v>
          </cell>
          <cell r="G80" t="str">
            <v>LV</v>
          </cell>
          <cell r="H80">
            <v>16</v>
          </cell>
          <cell r="I80">
            <v>484</v>
          </cell>
          <cell r="K80">
            <v>500</v>
          </cell>
          <cell r="S80" t="str">
            <v>N</v>
          </cell>
          <cell r="T80">
            <v>50</v>
          </cell>
          <cell r="V80">
            <v>100</v>
          </cell>
          <cell r="W80" t="str">
            <v>Did 1/2 on 20x because seeds made 40x impossible</v>
          </cell>
          <cell r="X80" t="str">
            <v>TE</v>
          </cell>
          <cell r="Y80" t="str">
            <v xml:space="preserve">LV </v>
          </cell>
          <cell r="Z80">
            <v>16</v>
          </cell>
          <cell r="AA80">
            <v>484</v>
          </cell>
          <cell r="AB80">
            <v>0</v>
          </cell>
          <cell r="AC80">
            <v>-1.472</v>
          </cell>
        </row>
        <row r="81">
          <cell r="A81" t="str">
            <v>PO2-A3-42947</v>
          </cell>
          <cell r="B81" t="str">
            <v>PO2-A3-42947</v>
          </cell>
          <cell r="C81">
            <v>42947</v>
          </cell>
          <cell r="D81" t="str">
            <v>PO2</v>
          </cell>
          <cell r="E81" t="str">
            <v>A3</v>
          </cell>
          <cell r="F81">
            <v>43446</v>
          </cell>
          <cell r="G81" t="str">
            <v>JY</v>
          </cell>
          <cell r="I81">
            <v>56</v>
          </cell>
          <cell r="K81">
            <v>56</v>
          </cell>
          <cell r="S81" t="str">
            <v xml:space="preserve">Y </v>
          </cell>
          <cell r="T81">
            <v>50</v>
          </cell>
          <cell r="V81">
            <v>100</v>
          </cell>
          <cell r="X81" t="str">
            <v>LV</v>
          </cell>
          <cell r="Y81" t="str">
            <v>TE</v>
          </cell>
          <cell r="Z81">
            <v>0</v>
          </cell>
          <cell r="AA81">
            <v>56</v>
          </cell>
          <cell r="AB81">
            <v>0</v>
          </cell>
          <cell r="AC81">
            <v>-1.472</v>
          </cell>
        </row>
        <row r="82">
          <cell r="A82" t="str">
            <v>PO1-H4-42947</v>
          </cell>
          <cell r="B82" t="str">
            <v>PO1-H4-42947</v>
          </cell>
          <cell r="C82">
            <v>42947</v>
          </cell>
          <cell r="D82" t="str">
            <v>PO1</v>
          </cell>
          <cell r="E82" t="str">
            <v>H4</v>
          </cell>
          <cell r="F82">
            <v>43446</v>
          </cell>
          <cell r="G82" t="str">
            <v>JY</v>
          </cell>
          <cell r="I82">
            <v>124</v>
          </cell>
          <cell r="K82">
            <v>124</v>
          </cell>
          <cell r="S82" t="str">
            <v xml:space="preserve">Y </v>
          </cell>
          <cell r="T82">
            <v>50</v>
          </cell>
          <cell r="V82">
            <v>100</v>
          </cell>
          <cell r="X82" t="str">
            <v>LV</v>
          </cell>
          <cell r="Y82" t="str">
            <v>TE</v>
          </cell>
          <cell r="Z82">
            <v>0</v>
          </cell>
          <cell r="AA82">
            <v>124</v>
          </cell>
          <cell r="AB82">
            <v>0</v>
          </cell>
          <cell r="AC82">
            <v>-1.472</v>
          </cell>
        </row>
        <row r="83">
          <cell r="A83" t="str">
            <v>PO1-H1-42947</v>
          </cell>
          <cell r="B83" t="str">
            <v>PO1-H1-42947</v>
          </cell>
          <cell r="C83">
            <v>42947</v>
          </cell>
          <cell r="D83" t="str">
            <v>PO1</v>
          </cell>
          <cell r="E83" t="str">
            <v>H1</v>
          </cell>
          <cell r="F83">
            <v>43434</v>
          </cell>
          <cell r="G83" t="str">
            <v>TE</v>
          </cell>
          <cell r="I83">
            <v>84</v>
          </cell>
          <cell r="J83">
            <v>1030</v>
          </cell>
          <cell r="K83">
            <v>1114</v>
          </cell>
          <cell r="S83" t="str">
            <v>Y</v>
          </cell>
          <cell r="T83">
            <v>50</v>
          </cell>
          <cell r="V83">
            <v>100</v>
          </cell>
          <cell r="X83" t="str">
            <v>LV</v>
          </cell>
          <cell r="Y83" t="str">
            <v>TE</v>
          </cell>
          <cell r="Z83">
            <v>0</v>
          </cell>
          <cell r="AA83">
            <v>84</v>
          </cell>
          <cell r="AB83">
            <v>1030</v>
          </cell>
          <cell r="AC83">
            <v>-1.472</v>
          </cell>
        </row>
        <row r="84">
          <cell r="A84" t="str">
            <v>PO1-G3-42947</v>
          </cell>
          <cell r="B84" t="str">
            <v>PO1-G3-42947</v>
          </cell>
          <cell r="C84">
            <v>42947</v>
          </cell>
          <cell r="D84" t="str">
            <v>PO1</v>
          </cell>
          <cell r="E84" t="str">
            <v>G3</v>
          </cell>
          <cell r="F84">
            <v>43434</v>
          </cell>
          <cell r="G84" t="str">
            <v>TE</v>
          </cell>
          <cell r="J84">
            <v>60</v>
          </cell>
          <cell r="K84">
            <v>60</v>
          </cell>
          <cell r="Q84">
            <v>153</v>
          </cell>
          <cell r="S84" t="str">
            <v>Y</v>
          </cell>
          <cell r="T84">
            <v>50</v>
          </cell>
          <cell r="V84">
            <v>100</v>
          </cell>
          <cell r="X84" t="str">
            <v>LV</v>
          </cell>
          <cell r="Y84" t="str">
            <v>TE</v>
          </cell>
          <cell r="Z84">
            <v>0</v>
          </cell>
          <cell r="AA84">
            <v>0</v>
          </cell>
          <cell r="AB84">
            <v>60</v>
          </cell>
          <cell r="AC84">
            <v>-1.472</v>
          </cell>
        </row>
        <row r="85">
          <cell r="A85" t="str">
            <v>HW1-B1-42948</v>
          </cell>
          <cell r="B85" t="str">
            <v>HW1-B1-42948</v>
          </cell>
          <cell r="C85">
            <v>42948</v>
          </cell>
          <cell r="D85" t="str">
            <v>HW1</v>
          </cell>
          <cell r="E85" t="str">
            <v>B1</v>
          </cell>
          <cell r="F85">
            <v>43502</v>
          </cell>
          <cell r="G85" t="str">
            <v>NB</v>
          </cell>
          <cell r="H85">
            <v>644</v>
          </cell>
          <cell r="K85">
            <v>644</v>
          </cell>
          <cell r="O85">
            <v>1</v>
          </cell>
          <cell r="S85" t="str">
            <v>Y</v>
          </cell>
          <cell r="T85">
            <v>50</v>
          </cell>
          <cell r="V85">
            <v>100</v>
          </cell>
          <cell r="X85" t="str">
            <v>TE</v>
          </cell>
          <cell r="Y85" t="str">
            <v>TE</v>
          </cell>
          <cell r="Z85">
            <v>644</v>
          </cell>
          <cell r="AA85">
            <v>0</v>
          </cell>
          <cell r="AB85">
            <v>0</v>
          </cell>
          <cell r="AC85">
            <v>-1.472</v>
          </cell>
        </row>
        <row r="86">
          <cell r="A86" t="str">
            <v>HW1-F7-42948</v>
          </cell>
          <cell r="B86" t="str">
            <v>HW1-F7-42948</v>
          </cell>
          <cell r="C86">
            <v>42948</v>
          </cell>
          <cell r="D86" t="str">
            <v>HW1</v>
          </cell>
          <cell r="E86" t="str">
            <v>F7</v>
          </cell>
          <cell r="F86">
            <v>43502</v>
          </cell>
          <cell r="G86" t="str">
            <v>NB</v>
          </cell>
          <cell r="H86">
            <v>1416</v>
          </cell>
          <cell r="K86">
            <v>1416</v>
          </cell>
          <cell r="O86">
            <v>3</v>
          </cell>
          <cell r="S86" t="str">
            <v>Y</v>
          </cell>
          <cell r="T86">
            <v>50</v>
          </cell>
          <cell r="V86">
            <v>100</v>
          </cell>
          <cell r="X86" t="str">
            <v>TE</v>
          </cell>
          <cell r="Y86" t="str">
            <v>TE</v>
          </cell>
          <cell r="Z86">
            <v>1416</v>
          </cell>
          <cell r="AA86">
            <v>0</v>
          </cell>
          <cell r="AB86">
            <v>0</v>
          </cell>
          <cell r="AC86">
            <v>-0.47199999999999998</v>
          </cell>
        </row>
        <row r="87">
          <cell r="A87" t="str">
            <v>HW2-C6-42948</v>
          </cell>
          <cell r="B87" t="str">
            <v>HW2-C6-42948</v>
          </cell>
          <cell r="C87">
            <v>42948</v>
          </cell>
          <cell r="D87" t="str">
            <v>HW2</v>
          </cell>
          <cell r="E87" t="str">
            <v>C6</v>
          </cell>
          <cell r="F87">
            <v>43480</v>
          </cell>
          <cell r="G87" t="str">
            <v>TE</v>
          </cell>
          <cell r="H87">
            <v>0</v>
          </cell>
          <cell r="I87">
            <v>0</v>
          </cell>
          <cell r="J87">
            <v>0</v>
          </cell>
          <cell r="K87">
            <v>0</v>
          </cell>
          <cell r="L87">
            <v>0</v>
          </cell>
          <cell r="M87">
            <v>0</v>
          </cell>
          <cell r="N87">
            <v>0</v>
          </cell>
          <cell r="O87">
            <v>0</v>
          </cell>
          <cell r="P87">
            <v>0</v>
          </cell>
          <cell r="Q87">
            <v>0</v>
          </cell>
          <cell r="R87">
            <v>1</v>
          </cell>
          <cell r="S87" t="str">
            <v>Y</v>
          </cell>
          <cell r="T87">
            <v>50</v>
          </cell>
          <cell r="V87">
            <v>100</v>
          </cell>
          <cell r="X87" t="str">
            <v>TE</v>
          </cell>
          <cell r="Y87" t="str">
            <v>JY</v>
          </cell>
          <cell r="Z87">
            <v>0</v>
          </cell>
          <cell r="AA87">
            <v>0</v>
          </cell>
          <cell r="AB87">
            <v>0</v>
          </cell>
          <cell r="AC87">
            <v>-1.472</v>
          </cell>
        </row>
        <row r="88">
          <cell r="A88" t="str">
            <v>HW2-G6-42948</v>
          </cell>
          <cell r="B88" t="str">
            <v>HW2-G6-42948</v>
          </cell>
          <cell r="C88">
            <v>42948</v>
          </cell>
          <cell r="D88" t="str">
            <v>HW2</v>
          </cell>
          <cell r="E88" t="str">
            <v>G6</v>
          </cell>
          <cell r="F88">
            <v>43475</v>
          </cell>
          <cell r="G88" t="str">
            <v>TE</v>
          </cell>
          <cell r="H88">
            <v>0</v>
          </cell>
          <cell r="I88">
            <v>0</v>
          </cell>
          <cell r="J88">
            <v>0</v>
          </cell>
          <cell r="K88">
            <v>0</v>
          </cell>
          <cell r="L88">
            <v>0</v>
          </cell>
          <cell r="M88">
            <v>0</v>
          </cell>
          <cell r="N88">
            <v>0</v>
          </cell>
          <cell r="O88">
            <v>0</v>
          </cell>
          <cell r="P88">
            <v>0</v>
          </cell>
          <cell r="Q88">
            <v>0</v>
          </cell>
          <cell r="R88">
            <v>0</v>
          </cell>
          <cell r="S88" t="str">
            <v>Y</v>
          </cell>
          <cell r="T88">
            <v>50</v>
          </cell>
          <cell r="V88">
            <v>100</v>
          </cell>
          <cell r="X88" t="str">
            <v>LV</v>
          </cell>
          <cell r="Y88" t="str">
            <v>TE</v>
          </cell>
          <cell r="Z88">
            <v>0</v>
          </cell>
          <cell r="AA88">
            <v>0</v>
          </cell>
          <cell r="AB88">
            <v>0</v>
          </cell>
          <cell r="AC88">
            <v>-1.472</v>
          </cell>
        </row>
        <row r="89">
          <cell r="A89" t="str">
            <v>HW2-B4-42948</v>
          </cell>
          <cell r="B89" t="str">
            <v>HW2-B4-42948</v>
          </cell>
          <cell r="C89">
            <v>42948</v>
          </cell>
          <cell r="D89" t="str">
            <v>HW2</v>
          </cell>
          <cell r="E89" t="str">
            <v>B4</v>
          </cell>
          <cell r="F89">
            <v>43448</v>
          </cell>
          <cell r="G89" t="str">
            <v>TE</v>
          </cell>
          <cell r="I89">
            <v>62</v>
          </cell>
          <cell r="K89">
            <v>62</v>
          </cell>
          <cell r="S89" t="str">
            <v>Y</v>
          </cell>
          <cell r="T89">
            <v>50</v>
          </cell>
          <cell r="V89">
            <v>100</v>
          </cell>
          <cell r="X89" t="str">
            <v>LV</v>
          </cell>
          <cell r="Y89" t="str">
            <v>TE</v>
          </cell>
          <cell r="Z89">
            <v>0</v>
          </cell>
          <cell r="AA89">
            <v>62</v>
          </cell>
          <cell r="AB89">
            <v>0</v>
          </cell>
          <cell r="AC89">
            <v>-0.47199999999999998</v>
          </cell>
        </row>
        <row r="90">
          <cell r="A90" t="str">
            <v>HW2-A7-42948</v>
          </cell>
          <cell r="B90" t="str">
            <v>HW2-A7-42948</v>
          </cell>
          <cell r="C90">
            <v>42948</v>
          </cell>
          <cell r="D90" t="str">
            <v>HW2</v>
          </cell>
          <cell r="E90" t="str">
            <v>A7</v>
          </cell>
          <cell r="F90">
            <v>43472</v>
          </cell>
          <cell r="G90" t="str">
            <v>TE</v>
          </cell>
          <cell r="H90">
            <v>0</v>
          </cell>
          <cell r="I90">
            <v>0</v>
          </cell>
          <cell r="J90">
            <v>0</v>
          </cell>
          <cell r="K90">
            <v>0</v>
          </cell>
          <cell r="L90">
            <v>0</v>
          </cell>
          <cell r="M90">
            <v>0</v>
          </cell>
          <cell r="N90">
            <v>0</v>
          </cell>
          <cell r="O90">
            <v>0</v>
          </cell>
          <cell r="P90">
            <v>0</v>
          </cell>
          <cell r="Q90">
            <v>0</v>
          </cell>
          <cell r="R90">
            <v>0</v>
          </cell>
          <cell r="S90" t="str">
            <v>Y</v>
          </cell>
          <cell r="T90">
            <v>50</v>
          </cell>
          <cell r="V90">
            <v>100</v>
          </cell>
          <cell r="X90" t="str">
            <v>LV</v>
          </cell>
          <cell r="Y90" t="str">
            <v>TE</v>
          </cell>
          <cell r="Z90">
            <v>0</v>
          </cell>
          <cell r="AA90">
            <v>0</v>
          </cell>
          <cell r="AB90">
            <v>0</v>
          </cell>
          <cell r="AC90">
            <v>-1.472</v>
          </cell>
        </row>
        <row r="91">
          <cell r="A91" t="str">
            <v>HW1-E1-42948</v>
          </cell>
          <cell r="B91" t="str">
            <v>HW1-E1-42948</v>
          </cell>
          <cell r="C91">
            <v>42948</v>
          </cell>
          <cell r="D91" t="str">
            <v>HW1</v>
          </cell>
          <cell r="E91" t="str">
            <v>E1</v>
          </cell>
          <cell r="F91">
            <v>43480</v>
          </cell>
          <cell r="G91" t="str">
            <v>TE</v>
          </cell>
          <cell r="K91">
            <v>0</v>
          </cell>
          <cell r="O91">
            <v>1</v>
          </cell>
          <cell r="R91">
            <v>1</v>
          </cell>
          <cell r="S91" t="str">
            <v>Y</v>
          </cell>
          <cell r="T91">
            <v>50</v>
          </cell>
          <cell r="V91">
            <v>100</v>
          </cell>
          <cell r="X91" t="str">
            <v>TE</v>
          </cell>
          <cell r="Y91" t="str">
            <v>JY</v>
          </cell>
          <cell r="Z91">
            <v>0</v>
          </cell>
          <cell r="AA91">
            <v>0</v>
          </cell>
          <cell r="AB91">
            <v>0</v>
          </cell>
          <cell r="AC91">
            <v>-1.472</v>
          </cell>
        </row>
        <row r="92">
          <cell r="A92" t="str">
            <v>HW1-F4-42948</v>
          </cell>
          <cell r="B92" t="str">
            <v>HW1-F4-42948</v>
          </cell>
          <cell r="C92">
            <v>42948</v>
          </cell>
          <cell r="D92" t="str">
            <v>HW1</v>
          </cell>
          <cell r="E92" t="str">
            <v>F4</v>
          </cell>
          <cell r="F92">
            <v>43474</v>
          </cell>
          <cell r="G92" t="str">
            <v>TE</v>
          </cell>
          <cell r="H92">
            <v>6</v>
          </cell>
          <cell r="I92">
            <v>48</v>
          </cell>
          <cell r="J92">
            <v>152</v>
          </cell>
          <cell r="K92">
            <v>206</v>
          </cell>
          <cell r="S92" t="str">
            <v>Y</v>
          </cell>
          <cell r="T92">
            <v>50</v>
          </cell>
          <cell r="V92">
            <v>100</v>
          </cell>
          <cell r="X92" t="str">
            <v>LV</v>
          </cell>
          <cell r="Y92" t="str">
            <v>TE</v>
          </cell>
          <cell r="Z92">
            <v>6</v>
          </cell>
          <cell r="AA92">
            <v>48</v>
          </cell>
          <cell r="AB92">
            <v>152</v>
          </cell>
          <cell r="AC92">
            <v>-1.472</v>
          </cell>
        </row>
        <row r="93">
          <cell r="A93" t="str">
            <v>HW1-C8-42948</v>
          </cell>
          <cell r="B93" t="str">
            <v>HW1-C8-42948</v>
          </cell>
          <cell r="C93">
            <v>42948</v>
          </cell>
          <cell r="D93" t="str">
            <v>HW1</v>
          </cell>
          <cell r="E93" t="str">
            <v>C8</v>
          </cell>
          <cell r="F93">
            <v>43448</v>
          </cell>
          <cell r="G93" t="str">
            <v>TE</v>
          </cell>
          <cell r="H93">
            <v>20</v>
          </cell>
          <cell r="I93">
            <v>4</v>
          </cell>
          <cell r="J93">
            <v>28</v>
          </cell>
          <cell r="K93">
            <v>52</v>
          </cell>
          <cell r="R93">
            <v>13</v>
          </cell>
          <cell r="S93" t="str">
            <v>Y</v>
          </cell>
          <cell r="T93">
            <v>50</v>
          </cell>
          <cell r="V93">
            <v>100</v>
          </cell>
          <cell r="X93" t="str">
            <v>LV</v>
          </cell>
          <cell r="Y93" t="str">
            <v>TE</v>
          </cell>
          <cell r="Z93">
            <v>20</v>
          </cell>
          <cell r="AA93">
            <v>4</v>
          </cell>
          <cell r="AB93">
            <v>28</v>
          </cell>
          <cell r="AC93">
            <v>-0.47199999999999998</v>
          </cell>
        </row>
        <row r="94">
          <cell r="A94" t="str">
            <v>HW2-H2-42948</v>
          </cell>
          <cell r="B94" t="str">
            <v>HW2-H2-42948</v>
          </cell>
          <cell r="C94">
            <v>42948</v>
          </cell>
          <cell r="D94" t="str">
            <v>HW2</v>
          </cell>
          <cell r="E94" t="str">
            <v>H2</v>
          </cell>
          <cell r="F94">
            <v>43474</v>
          </cell>
          <cell r="G94" t="str">
            <v>TE</v>
          </cell>
          <cell r="H94">
            <v>0</v>
          </cell>
          <cell r="I94">
            <v>0</v>
          </cell>
          <cell r="J94">
            <v>0</v>
          </cell>
          <cell r="K94">
            <v>0</v>
          </cell>
          <cell r="L94">
            <v>0</v>
          </cell>
          <cell r="M94">
            <v>0</v>
          </cell>
          <cell r="N94">
            <v>0</v>
          </cell>
          <cell r="O94">
            <v>0</v>
          </cell>
          <cell r="P94">
            <v>0</v>
          </cell>
          <cell r="Q94">
            <v>0</v>
          </cell>
          <cell r="R94">
            <v>3</v>
          </cell>
          <cell r="S94" t="str">
            <v>Y</v>
          </cell>
          <cell r="T94">
            <v>50</v>
          </cell>
          <cell r="V94">
            <v>100</v>
          </cell>
          <cell r="X94" t="str">
            <v>LV</v>
          </cell>
          <cell r="Y94" t="str">
            <v>TE</v>
          </cell>
          <cell r="Z94">
            <v>0</v>
          </cell>
          <cell r="AA94">
            <v>0</v>
          </cell>
          <cell r="AB94">
            <v>0</v>
          </cell>
          <cell r="AC94">
            <v>-1.472</v>
          </cell>
        </row>
        <row r="95">
          <cell r="A95" t="str">
            <v>HW2-D1-42948</v>
          </cell>
          <cell r="B95" t="str">
            <v>HW2-D1-42948</v>
          </cell>
          <cell r="C95">
            <v>42948</v>
          </cell>
          <cell r="D95" t="str">
            <v>HW2</v>
          </cell>
          <cell r="E95" t="str">
            <v>D1</v>
          </cell>
          <cell r="F95">
            <v>43475</v>
          </cell>
          <cell r="G95" t="str">
            <v>TE</v>
          </cell>
          <cell r="H95">
            <v>4</v>
          </cell>
          <cell r="I95">
            <v>4</v>
          </cell>
          <cell r="J95">
            <v>6</v>
          </cell>
          <cell r="K95">
            <v>14</v>
          </cell>
          <cell r="S95" t="str">
            <v>Y</v>
          </cell>
          <cell r="T95">
            <v>50</v>
          </cell>
          <cell r="V95">
            <v>100</v>
          </cell>
          <cell r="X95" t="str">
            <v>LV</v>
          </cell>
          <cell r="Y95" t="str">
            <v>TE</v>
          </cell>
          <cell r="Z95">
            <v>4</v>
          </cell>
          <cell r="AA95">
            <v>4</v>
          </cell>
          <cell r="AB95">
            <v>6</v>
          </cell>
          <cell r="AC95">
            <v>-1.472</v>
          </cell>
        </row>
        <row r="96">
          <cell r="A96" t="str">
            <v>HW1-F2-42948</v>
          </cell>
          <cell r="B96" t="str">
            <v>HW1-F2-42948</v>
          </cell>
          <cell r="C96">
            <v>42948</v>
          </cell>
          <cell r="D96" t="str">
            <v>HW1</v>
          </cell>
          <cell r="E96" t="str">
            <v>F2</v>
          </cell>
          <cell r="F96">
            <v>43472</v>
          </cell>
          <cell r="G96" t="str">
            <v>TE</v>
          </cell>
          <cell r="I96">
            <v>120</v>
          </cell>
          <cell r="J96">
            <v>1176</v>
          </cell>
          <cell r="K96">
            <v>1296</v>
          </cell>
          <cell r="O96">
            <v>1</v>
          </cell>
          <cell r="P96">
            <v>2</v>
          </cell>
          <cell r="R96">
            <v>5</v>
          </cell>
          <cell r="S96" t="str">
            <v>Y</v>
          </cell>
          <cell r="T96">
            <v>50</v>
          </cell>
          <cell r="V96">
            <v>100</v>
          </cell>
          <cell r="X96" t="str">
            <v>LV</v>
          </cell>
          <cell r="Y96" t="str">
            <v>TE</v>
          </cell>
          <cell r="Z96">
            <v>0</v>
          </cell>
          <cell r="AA96">
            <v>120</v>
          </cell>
          <cell r="AB96">
            <v>1176</v>
          </cell>
          <cell r="AC96">
            <v>-1.472</v>
          </cell>
        </row>
        <row r="97">
          <cell r="A97" t="str">
            <v>HW1-A6-42948</v>
          </cell>
          <cell r="B97" t="str">
            <v>HW1-A6-42948</v>
          </cell>
          <cell r="C97">
            <v>42948</v>
          </cell>
          <cell r="D97" t="str">
            <v>HW1</v>
          </cell>
          <cell r="E97" t="str">
            <v>A6</v>
          </cell>
          <cell r="F97">
            <v>43448</v>
          </cell>
          <cell r="G97" t="str">
            <v>TE</v>
          </cell>
          <cell r="I97">
            <v>12</v>
          </cell>
          <cell r="J97">
            <v>42</v>
          </cell>
          <cell r="K97">
            <v>54</v>
          </cell>
          <cell r="M97">
            <v>3</v>
          </cell>
          <cell r="S97" t="str">
            <v>Y</v>
          </cell>
          <cell r="T97">
            <v>50</v>
          </cell>
          <cell r="V97">
            <v>100</v>
          </cell>
          <cell r="X97" t="str">
            <v>LV</v>
          </cell>
          <cell r="Y97" t="str">
            <v>TE</v>
          </cell>
          <cell r="Z97">
            <v>0</v>
          </cell>
          <cell r="AA97">
            <v>12</v>
          </cell>
          <cell r="AB97">
            <v>42</v>
          </cell>
          <cell r="AC97">
            <v>0.52800000000000002</v>
          </cell>
        </row>
        <row r="98">
          <cell r="A98" t="str">
            <v>HW1-H4-42948</v>
          </cell>
          <cell r="B98" t="str">
            <v>HW1-H4-42948</v>
          </cell>
          <cell r="C98">
            <v>42948</v>
          </cell>
          <cell r="D98" t="str">
            <v>HW1</v>
          </cell>
          <cell r="E98" t="str">
            <v>H4</v>
          </cell>
          <cell r="F98">
            <v>43448</v>
          </cell>
          <cell r="G98" t="str">
            <v>TE</v>
          </cell>
          <cell r="H98">
            <v>62</v>
          </cell>
          <cell r="I98">
            <v>48</v>
          </cell>
          <cell r="J98">
            <v>138</v>
          </cell>
          <cell r="K98">
            <v>248</v>
          </cell>
          <cell r="S98" t="str">
            <v>Y</v>
          </cell>
          <cell r="T98">
            <v>50</v>
          </cell>
          <cell r="V98">
            <v>100</v>
          </cell>
          <cell r="X98" t="str">
            <v>LV</v>
          </cell>
          <cell r="Y98" t="str">
            <v>TE</v>
          </cell>
          <cell r="Z98">
            <v>62</v>
          </cell>
          <cell r="AA98">
            <v>48</v>
          </cell>
          <cell r="AB98">
            <v>138</v>
          </cell>
          <cell r="AC98">
            <v>-1.472</v>
          </cell>
        </row>
        <row r="99">
          <cell r="A99" t="str">
            <v>HW2-H7-42949</v>
          </cell>
          <cell r="B99" t="str">
            <v>HW2-H7-42949</v>
          </cell>
          <cell r="C99">
            <v>42949</v>
          </cell>
          <cell r="D99" t="str">
            <v>HW2</v>
          </cell>
          <cell r="E99" t="str">
            <v>H7</v>
          </cell>
          <cell r="F99">
            <v>43480</v>
          </cell>
          <cell r="G99" t="str">
            <v>TE</v>
          </cell>
          <cell r="H99">
            <v>132</v>
          </cell>
          <cell r="I99">
            <v>38</v>
          </cell>
          <cell r="J99">
            <v>410</v>
          </cell>
          <cell r="K99">
            <v>580</v>
          </cell>
          <cell r="S99" t="str">
            <v>Y</v>
          </cell>
          <cell r="T99">
            <v>50</v>
          </cell>
          <cell r="V99">
            <v>100</v>
          </cell>
          <cell r="X99" t="str">
            <v>TE</v>
          </cell>
          <cell r="Y99" t="str">
            <v>JY</v>
          </cell>
          <cell r="Z99">
            <v>132</v>
          </cell>
          <cell r="AA99">
            <v>38</v>
          </cell>
          <cell r="AB99">
            <v>410</v>
          </cell>
          <cell r="AC99">
            <v>-1.472</v>
          </cell>
        </row>
        <row r="100">
          <cell r="A100" t="str">
            <v>HW2-H1-42949</v>
          </cell>
          <cell r="B100" t="str">
            <v>HW2-H1-42949</v>
          </cell>
          <cell r="C100">
            <v>42949</v>
          </cell>
          <cell r="D100" t="str">
            <v>HW2</v>
          </cell>
          <cell r="E100" t="str">
            <v>H1</v>
          </cell>
          <cell r="F100">
            <v>43480</v>
          </cell>
          <cell r="G100" t="str">
            <v>TE</v>
          </cell>
          <cell r="H100">
            <v>114</v>
          </cell>
          <cell r="I100">
            <v>20</v>
          </cell>
          <cell r="J100">
            <v>222</v>
          </cell>
          <cell r="K100">
            <v>356</v>
          </cell>
          <cell r="N100">
            <v>52</v>
          </cell>
          <cell r="O100">
            <v>2</v>
          </cell>
          <cell r="R100">
            <v>4</v>
          </cell>
          <cell r="S100" t="str">
            <v>Y</v>
          </cell>
          <cell r="T100">
            <v>50</v>
          </cell>
          <cell r="V100">
            <v>100</v>
          </cell>
          <cell r="X100" t="str">
            <v>TE</v>
          </cell>
          <cell r="Y100" t="str">
            <v>JY</v>
          </cell>
          <cell r="Z100">
            <v>114</v>
          </cell>
          <cell r="AA100">
            <v>20</v>
          </cell>
          <cell r="AB100">
            <v>222</v>
          </cell>
          <cell r="AC100">
            <v>-1.472</v>
          </cell>
        </row>
        <row r="101">
          <cell r="A101" t="str">
            <v>HW1-H1-42949</v>
          </cell>
          <cell r="B101" t="str">
            <v>HW1-H1-42949</v>
          </cell>
          <cell r="C101">
            <v>42949</v>
          </cell>
          <cell r="D101" t="str">
            <v>HW1</v>
          </cell>
          <cell r="E101" t="str">
            <v>H1</v>
          </cell>
          <cell r="F101">
            <v>43480</v>
          </cell>
          <cell r="G101" t="str">
            <v>TE</v>
          </cell>
          <cell r="H101">
            <v>12</v>
          </cell>
          <cell r="I101">
            <v>8</v>
          </cell>
          <cell r="J101">
            <v>94</v>
          </cell>
          <cell r="K101">
            <v>114</v>
          </cell>
          <cell r="Q101">
            <v>178</v>
          </cell>
          <cell r="S101" t="str">
            <v>Y</v>
          </cell>
          <cell r="T101">
            <v>50</v>
          </cell>
          <cell r="V101">
            <v>100</v>
          </cell>
          <cell r="X101" t="str">
            <v>TE</v>
          </cell>
          <cell r="Y101" t="str">
            <v>JY</v>
          </cell>
          <cell r="Z101">
            <v>12</v>
          </cell>
          <cell r="AA101">
            <v>8</v>
          </cell>
          <cell r="AB101">
            <v>94</v>
          </cell>
          <cell r="AC101">
            <v>-1.472</v>
          </cell>
        </row>
        <row r="102">
          <cell r="A102" t="str">
            <v>HW1-D6-42949</v>
          </cell>
          <cell r="B102" t="str">
            <v>HW1-D6-42949</v>
          </cell>
          <cell r="C102">
            <v>42949</v>
          </cell>
          <cell r="D102" t="str">
            <v>HW1</v>
          </cell>
          <cell r="E102" t="str">
            <v>D6</v>
          </cell>
          <cell r="F102">
            <v>43480</v>
          </cell>
          <cell r="G102" t="str">
            <v>TE</v>
          </cell>
          <cell r="H102">
            <v>0</v>
          </cell>
          <cell r="I102">
            <v>0</v>
          </cell>
          <cell r="J102">
            <v>0</v>
          </cell>
          <cell r="K102">
            <v>0</v>
          </cell>
          <cell r="L102">
            <v>0</v>
          </cell>
          <cell r="M102">
            <v>0</v>
          </cell>
          <cell r="N102">
            <v>0</v>
          </cell>
          <cell r="O102">
            <v>0</v>
          </cell>
          <cell r="P102">
            <v>0</v>
          </cell>
          <cell r="Q102">
            <v>0</v>
          </cell>
          <cell r="R102">
            <v>0</v>
          </cell>
          <cell r="S102" t="str">
            <v>Y</v>
          </cell>
          <cell r="T102">
            <v>50</v>
          </cell>
          <cell r="V102">
            <v>100</v>
          </cell>
          <cell r="X102" t="str">
            <v>TE</v>
          </cell>
          <cell r="Y102" t="str">
            <v>JY</v>
          </cell>
          <cell r="Z102">
            <v>0</v>
          </cell>
          <cell r="AA102">
            <v>0</v>
          </cell>
          <cell r="AB102">
            <v>0</v>
          </cell>
          <cell r="AC102">
            <v>-1.472</v>
          </cell>
        </row>
        <row r="103">
          <cell r="A103" t="str">
            <v>BC2-C7-42954</v>
          </cell>
          <cell r="B103" t="str">
            <v>BC2-C7-42954</v>
          </cell>
          <cell r="C103">
            <v>42954</v>
          </cell>
          <cell r="D103" t="str">
            <v>BC2</v>
          </cell>
          <cell r="E103" t="str">
            <v>C7</v>
          </cell>
          <cell r="F103">
            <v>43481</v>
          </cell>
          <cell r="G103" t="str">
            <v>TE</v>
          </cell>
          <cell r="H103">
            <v>0</v>
          </cell>
          <cell r="I103">
            <v>0</v>
          </cell>
          <cell r="J103">
            <v>0</v>
          </cell>
          <cell r="K103">
            <v>0</v>
          </cell>
          <cell r="L103">
            <v>0</v>
          </cell>
          <cell r="M103">
            <v>0</v>
          </cell>
          <cell r="N103">
            <v>0</v>
          </cell>
          <cell r="O103">
            <v>0</v>
          </cell>
          <cell r="P103">
            <v>0</v>
          </cell>
          <cell r="Q103">
            <v>0</v>
          </cell>
          <cell r="R103">
            <v>0</v>
          </cell>
          <cell r="S103" t="str">
            <v>Y</v>
          </cell>
          <cell r="T103">
            <v>50</v>
          </cell>
          <cell r="V103">
            <v>100</v>
          </cell>
          <cell r="X103" t="str">
            <v>TE</v>
          </cell>
          <cell r="Y103" t="str">
            <v>JY</v>
          </cell>
          <cell r="Z103">
            <v>0</v>
          </cell>
          <cell r="AA103">
            <v>0</v>
          </cell>
          <cell r="AB103">
            <v>0</v>
          </cell>
          <cell r="AC103">
            <v>-1.472</v>
          </cell>
        </row>
        <row r="104">
          <cell r="A104" t="str">
            <v>BC1-C8-42954</v>
          </cell>
          <cell r="B104" t="str">
            <v>BC1-C8-42954</v>
          </cell>
          <cell r="C104">
            <v>42954</v>
          </cell>
          <cell r="D104" t="str">
            <v>BC1</v>
          </cell>
          <cell r="E104" t="str">
            <v>C8</v>
          </cell>
          <cell r="F104">
            <v>43481</v>
          </cell>
          <cell r="G104" t="str">
            <v>TE</v>
          </cell>
          <cell r="H104">
            <v>0</v>
          </cell>
          <cell r="I104">
            <v>0</v>
          </cell>
          <cell r="J104">
            <v>0</v>
          </cell>
          <cell r="K104">
            <v>0</v>
          </cell>
          <cell r="L104">
            <v>0</v>
          </cell>
          <cell r="M104">
            <v>0</v>
          </cell>
          <cell r="N104">
            <v>0</v>
          </cell>
          <cell r="O104">
            <v>0</v>
          </cell>
          <cell r="P104">
            <v>0</v>
          </cell>
          <cell r="Q104">
            <v>0</v>
          </cell>
          <cell r="R104">
            <v>0</v>
          </cell>
          <cell r="S104" t="str">
            <v>Y</v>
          </cell>
          <cell r="T104">
            <v>50</v>
          </cell>
          <cell r="V104">
            <v>100</v>
          </cell>
          <cell r="X104" t="str">
            <v>TE</v>
          </cell>
          <cell r="Y104" t="str">
            <v>JY</v>
          </cell>
          <cell r="Z104">
            <v>0</v>
          </cell>
          <cell r="AA104">
            <v>0</v>
          </cell>
          <cell r="AB104">
            <v>0</v>
          </cell>
          <cell r="AC104">
            <v>-1.472</v>
          </cell>
        </row>
        <row r="105">
          <cell r="A105" t="str">
            <v>BC2-H8-42954</v>
          </cell>
          <cell r="B105" t="str">
            <v>BC2-H8-42954</v>
          </cell>
          <cell r="C105">
            <v>42954</v>
          </cell>
          <cell r="D105" t="str">
            <v>BC2</v>
          </cell>
          <cell r="E105" t="str">
            <v>H8</v>
          </cell>
          <cell r="F105">
            <v>43482</v>
          </cell>
          <cell r="G105" t="str">
            <v>TE</v>
          </cell>
          <cell r="H105">
            <v>8</v>
          </cell>
          <cell r="I105">
            <v>44</v>
          </cell>
          <cell r="J105">
            <v>158</v>
          </cell>
          <cell r="K105">
            <v>210</v>
          </cell>
          <cell r="O105">
            <v>1</v>
          </cell>
          <cell r="S105" t="str">
            <v>Y</v>
          </cell>
          <cell r="T105">
            <v>50</v>
          </cell>
          <cell r="V105">
            <v>100</v>
          </cell>
          <cell r="X105" t="str">
            <v>TE</v>
          </cell>
          <cell r="Y105" t="str">
            <v>JY</v>
          </cell>
          <cell r="Z105">
            <v>8</v>
          </cell>
          <cell r="AA105">
            <v>44</v>
          </cell>
          <cell r="AB105">
            <v>158</v>
          </cell>
          <cell r="AC105">
            <v>-1.472</v>
          </cell>
        </row>
        <row r="106">
          <cell r="A106" t="str">
            <v>BC1-D3-42954</v>
          </cell>
          <cell r="B106" t="str">
            <v>BC1-D3-42954</v>
          </cell>
          <cell r="C106">
            <v>42954</v>
          </cell>
          <cell r="D106" t="str">
            <v>BC1</v>
          </cell>
          <cell r="E106" t="str">
            <v>D3</v>
          </cell>
          <cell r="F106">
            <v>43482</v>
          </cell>
          <cell r="G106" t="str">
            <v>TE</v>
          </cell>
          <cell r="H106">
            <v>2</v>
          </cell>
          <cell r="K106">
            <v>2</v>
          </cell>
          <cell r="S106" t="str">
            <v>Y</v>
          </cell>
          <cell r="T106">
            <v>50</v>
          </cell>
          <cell r="V106">
            <v>100</v>
          </cell>
          <cell r="X106" t="str">
            <v>TE</v>
          </cell>
          <cell r="Y106" t="str">
            <v>JY</v>
          </cell>
          <cell r="Z106">
            <v>2</v>
          </cell>
          <cell r="AA106">
            <v>0</v>
          </cell>
          <cell r="AB106">
            <v>0</v>
          </cell>
          <cell r="AC106">
            <v>-1.472</v>
          </cell>
        </row>
        <row r="107">
          <cell r="A107" t="str">
            <v>BC2-D4-42954</v>
          </cell>
          <cell r="B107" t="str">
            <v>BC2-D4-42954</v>
          </cell>
          <cell r="C107">
            <v>42954</v>
          </cell>
          <cell r="D107" t="str">
            <v>BC2</v>
          </cell>
          <cell r="E107" t="str">
            <v>D4</v>
          </cell>
          <cell r="F107">
            <v>43481</v>
          </cell>
          <cell r="G107" t="str">
            <v>TE</v>
          </cell>
          <cell r="K107">
            <v>0</v>
          </cell>
          <cell r="P107">
            <v>1</v>
          </cell>
          <cell r="S107" t="str">
            <v>Y</v>
          </cell>
          <cell r="T107">
            <v>50</v>
          </cell>
          <cell r="V107">
            <v>100</v>
          </cell>
          <cell r="X107" t="str">
            <v>TE</v>
          </cell>
          <cell r="Y107" t="str">
            <v>JY</v>
          </cell>
          <cell r="Z107">
            <v>0</v>
          </cell>
          <cell r="AA107">
            <v>0</v>
          </cell>
          <cell r="AB107">
            <v>0</v>
          </cell>
          <cell r="AC107">
            <v>-1.472</v>
          </cell>
        </row>
        <row r="108">
          <cell r="A108" t="str">
            <v>BC1-E4-42954</v>
          </cell>
          <cell r="B108" t="str">
            <v>BC1-E4-42954</v>
          </cell>
          <cell r="C108">
            <v>42954</v>
          </cell>
          <cell r="D108" t="str">
            <v>BC1</v>
          </cell>
          <cell r="E108" t="str">
            <v>E4</v>
          </cell>
          <cell r="F108">
            <v>43482</v>
          </cell>
          <cell r="G108" t="str">
            <v>TE</v>
          </cell>
          <cell r="H108">
            <v>352</v>
          </cell>
          <cell r="I108">
            <v>1072</v>
          </cell>
          <cell r="J108">
            <v>2072</v>
          </cell>
          <cell r="K108">
            <v>3496</v>
          </cell>
          <cell r="Q108">
            <v>33</v>
          </cell>
          <cell r="S108" t="str">
            <v>Y</v>
          </cell>
          <cell r="T108">
            <v>50</v>
          </cell>
          <cell r="V108">
            <v>100</v>
          </cell>
          <cell r="X108" t="str">
            <v>TE</v>
          </cell>
          <cell r="Y108" t="str">
            <v>JY</v>
          </cell>
          <cell r="Z108">
            <v>352</v>
          </cell>
          <cell r="AA108">
            <v>1072</v>
          </cell>
          <cell r="AB108">
            <v>2072</v>
          </cell>
          <cell r="AC108">
            <v>-1.472</v>
          </cell>
        </row>
        <row r="109">
          <cell r="A109" t="str">
            <v>BC1-B3-42955</v>
          </cell>
          <cell r="B109" t="str">
            <v>BC1-B3-42955</v>
          </cell>
          <cell r="C109">
            <v>42955</v>
          </cell>
          <cell r="D109" t="str">
            <v>BC1</v>
          </cell>
          <cell r="E109" t="str">
            <v>B3</v>
          </cell>
          <cell r="F109">
            <v>43488</v>
          </cell>
          <cell r="G109" t="str">
            <v>TE</v>
          </cell>
          <cell r="H109">
            <v>0</v>
          </cell>
          <cell r="I109">
            <v>0</v>
          </cell>
          <cell r="J109">
            <v>0</v>
          </cell>
          <cell r="K109">
            <v>0</v>
          </cell>
          <cell r="L109">
            <v>0</v>
          </cell>
          <cell r="M109">
            <v>0</v>
          </cell>
          <cell r="N109">
            <v>0</v>
          </cell>
          <cell r="O109">
            <v>0</v>
          </cell>
          <cell r="P109">
            <v>0</v>
          </cell>
          <cell r="Q109">
            <v>0</v>
          </cell>
          <cell r="R109">
            <v>0</v>
          </cell>
          <cell r="S109" t="str">
            <v>Y</v>
          </cell>
          <cell r="T109">
            <v>50</v>
          </cell>
          <cell r="V109">
            <v>100</v>
          </cell>
          <cell r="X109" t="str">
            <v>TE</v>
          </cell>
          <cell r="Y109" t="str">
            <v>JY</v>
          </cell>
          <cell r="Z109">
            <v>0</v>
          </cell>
          <cell r="AA109">
            <v>0</v>
          </cell>
          <cell r="AB109">
            <v>0</v>
          </cell>
          <cell r="AC109">
            <v>-1.472</v>
          </cell>
        </row>
        <row r="110">
          <cell r="A110" t="str">
            <v>BC1-H7-42955</v>
          </cell>
          <cell r="B110" t="str">
            <v>BC1-H7-42955</v>
          </cell>
          <cell r="C110">
            <v>42955</v>
          </cell>
          <cell r="D110" t="str">
            <v>BC1</v>
          </cell>
          <cell r="E110" t="str">
            <v>H7</v>
          </cell>
          <cell r="F110">
            <v>43488</v>
          </cell>
          <cell r="G110" t="str">
            <v>TE</v>
          </cell>
          <cell r="I110">
            <v>20</v>
          </cell>
          <cell r="J110">
            <v>48</v>
          </cell>
          <cell r="K110">
            <v>68</v>
          </cell>
          <cell r="R110">
            <v>1</v>
          </cell>
          <cell r="S110" t="str">
            <v>Y</v>
          </cell>
          <cell r="T110">
            <v>50</v>
          </cell>
          <cell r="V110">
            <v>100</v>
          </cell>
          <cell r="X110" t="str">
            <v>TE</v>
          </cell>
          <cell r="Y110" t="str">
            <v>JY</v>
          </cell>
          <cell r="Z110">
            <v>0</v>
          </cell>
          <cell r="AA110">
            <v>20</v>
          </cell>
          <cell r="AB110">
            <v>48</v>
          </cell>
          <cell r="AC110">
            <v>-1.472</v>
          </cell>
        </row>
        <row r="111">
          <cell r="A111" t="str">
            <v>BC2-H1-42956</v>
          </cell>
          <cell r="B111" t="str">
            <v>BC2-H1-42956</v>
          </cell>
          <cell r="C111">
            <v>42956</v>
          </cell>
          <cell r="D111" t="str">
            <v>BC2</v>
          </cell>
          <cell r="E111" t="str">
            <v>H1</v>
          </cell>
          <cell r="F111">
            <v>43488</v>
          </cell>
          <cell r="G111" t="str">
            <v>TE</v>
          </cell>
          <cell r="I111">
            <v>4</v>
          </cell>
          <cell r="K111">
            <v>4</v>
          </cell>
          <cell r="S111" t="str">
            <v>Y</v>
          </cell>
          <cell r="T111">
            <v>50</v>
          </cell>
          <cell r="V111">
            <v>100</v>
          </cell>
          <cell r="X111" t="str">
            <v>JY</v>
          </cell>
          <cell r="Y111" t="str">
            <v>TE</v>
          </cell>
          <cell r="Z111">
            <v>0</v>
          </cell>
          <cell r="AA111">
            <v>4</v>
          </cell>
          <cell r="AB111">
            <v>0</v>
          </cell>
          <cell r="AC111">
            <v>-1.472</v>
          </cell>
        </row>
        <row r="112">
          <cell r="A112" t="str">
            <v>BC1-C8-42956</v>
          </cell>
          <cell r="B112" t="str">
            <v>BC1-C8-42956</v>
          </cell>
          <cell r="C112">
            <v>42956</v>
          </cell>
          <cell r="D112" t="str">
            <v>BC1</v>
          </cell>
          <cell r="E112" t="str">
            <v>C8</v>
          </cell>
          <cell r="F112">
            <v>43488</v>
          </cell>
          <cell r="G112" t="str">
            <v>TE</v>
          </cell>
          <cell r="H112">
            <v>14</v>
          </cell>
          <cell r="I112">
            <v>20</v>
          </cell>
          <cell r="J112">
            <v>22</v>
          </cell>
          <cell r="K112">
            <v>56</v>
          </cell>
          <cell r="S112" t="str">
            <v>Y</v>
          </cell>
          <cell r="T112">
            <v>50</v>
          </cell>
          <cell r="V112">
            <v>100</v>
          </cell>
          <cell r="X112" t="str">
            <v>TE</v>
          </cell>
          <cell r="Y112" t="str">
            <v>JY</v>
          </cell>
          <cell r="Z112">
            <v>14</v>
          </cell>
          <cell r="AA112">
            <v>20</v>
          </cell>
          <cell r="AB112">
            <v>22</v>
          </cell>
          <cell r="AC112">
            <v>-1.472</v>
          </cell>
        </row>
        <row r="113">
          <cell r="A113" t="str">
            <v>SP1-B1-42957</v>
          </cell>
          <cell r="B113" t="str">
            <v>SP1-B1-42957</v>
          </cell>
          <cell r="C113">
            <v>42957</v>
          </cell>
          <cell r="D113" t="str">
            <v>SP1</v>
          </cell>
          <cell r="E113" t="str">
            <v>B1</v>
          </cell>
          <cell r="F113">
            <v>43230</v>
          </cell>
          <cell r="G113" t="str">
            <v>NB</v>
          </cell>
          <cell r="I113">
            <v>380</v>
          </cell>
          <cell r="K113">
            <v>380</v>
          </cell>
          <cell r="O113">
            <v>1</v>
          </cell>
          <cell r="S113" t="str">
            <v>Y?</v>
          </cell>
          <cell r="T113">
            <v>100</v>
          </cell>
          <cell r="V113">
            <v>100</v>
          </cell>
          <cell r="X113" t="str">
            <v>LV</v>
          </cell>
          <cell r="Y113" t="str">
            <v>TE</v>
          </cell>
          <cell r="Z113">
            <v>0</v>
          </cell>
          <cell r="AA113">
            <v>380</v>
          </cell>
          <cell r="AB113">
            <v>0</v>
          </cell>
          <cell r="AC113">
            <v>-1.472</v>
          </cell>
        </row>
        <row r="114">
          <cell r="A114" t="str">
            <v>SP2-H8-42957</v>
          </cell>
          <cell r="B114" t="str">
            <v>SP2-H8-42957</v>
          </cell>
          <cell r="C114">
            <v>42957</v>
          </cell>
          <cell r="D114" t="str">
            <v>SP2</v>
          </cell>
          <cell r="E114" t="str">
            <v>H8</v>
          </cell>
          <cell r="F114">
            <v>43242</v>
          </cell>
          <cell r="G114" t="str">
            <v>NB</v>
          </cell>
          <cell r="I114">
            <v>1</v>
          </cell>
          <cell r="K114">
            <v>1</v>
          </cell>
          <cell r="S114" t="str">
            <v>Y?</v>
          </cell>
          <cell r="T114">
            <v>100</v>
          </cell>
          <cell r="V114">
            <v>100</v>
          </cell>
          <cell r="X114" t="str">
            <v>LV</v>
          </cell>
          <cell r="Y114" t="str">
            <v>TE</v>
          </cell>
          <cell r="Z114">
            <v>0</v>
          </cell>
          <cell r="AA114">
            <v>1</v>
          </cell>
          <cell r="AB114">
            <v>0</v>
          </cell>
          <cell r="AC114">
            <v>-0.47199999999999998</v>
          </cell>
        </row>
        <row r="115">
          <cell r="A115" t="str">
            <v>SP2-G2-42957</v>
          </cell>
          <cell r="B115" t="str">
            <v>SP2-G2-42957</v>
          </cell>
          <cell r="C115">
            <v>42957</v>
          </cell>
          <cell r="D115" t="str">
            <v>SP2</v>
          </cell>
          <cell r="E115" t="str">
            <v>G2</v>
          </cell>
          <cell r="F115">
            <v>43242</v>
          </cell>
          <cell r="G115" t="str">
            <v>NB</v>
          </cell>
          <cell r="I115">
            <v>2542</v>
          </cell>
          <cell r="J115">
            <v>22</v>
          </cell>
          <cell r="K115">
            <v>2564</v>
          </cell>
          <cell r="N115">
            <v>4</v>
          </cell>
          <cell r="O115">
            <v>2</v>
          </cell>
          <cell r="Q115">
            <v>113</v>
          </cell>
          <cell r="S115" t="str">
            <v>Y?</v>
          </cell>
          <cell r="T115">
            <v>100</v>
          </cell>
          <cell r="V115">
            <v>100</v>
          </cell>
          <cell r="X115" t="str">
            <v>LV</v>
          </cell>
          <cell r="Y115" t="str">
            <v>TE</v>
          </cell>
          <cell r="Z115">
            <v>0</v>
          </cell>
          <cell r="AA115">
            <v>2542</v>
          </cell>
          <cell r="AB115">
            <v>22</v>
          </cell>
          <cell r="AC115">
            <v>-0.47199999999999998</v>
          </cell>
        </row>
        <row r="116">
          <cell r="A116" t="str">
            <v>SP2-G5-42957</v>
          </cell>
          <cell r="B116" t="str">
            <v>SP2-G5-42957</v>
          </cell>
          <cell r="C116">
            <v>42957</v>
          </cell>
          <cell r="D116" t="str">
            <v>SP2</v>
          </cell>
          <cell r="E116" t="str">
            <v>G5</v>
          </cell>
          <cell r="F116">
            <v>43242</v>
          </cell>
          <cell r="G116" t="str">
            <v>NB</v>
          </cell>
          <cell r="I116">
            <v>1560</v>
          </cell>
          <cell r="K116">
            <v>1560</v>
          </cell>
          <cell r="S116" t="str">
            <v>Y?</v>
          </cell>
          <cell r="T116">
            <v>100</v>
          </cell>
          <cell r="V116">
            <v>100</v>
          </cell>
          <cell r="X116" t="str">
            <v>LV</v>
          </cell>
          <cell r="Y116" t="str">
            <v>TE</v>
          </cell>
          <cell r="Z116">
            <v>0</v>
          </cell>
          <cell r="AA116">
            <v>1560</v>
          </cell>
          <cell r="AB116">
            <v>0</v>
          </cell>
          <cell r="AC116">
            <v>-1.472</v>
          </cell>
        </row>
        <row r="117">
          <cell r="A117" t="str">
            <v>SP2-B7-42957</v>
          </cell>
          <cell r="B117" t="str">
            <v>SP2-B7-42957</v>
          </cell>
          <cell r="C117">
            <v>42957</v>
          </cell>
          <cell r="D117" t="str">
            <v>SP2</v>
          </cell>
          <cell r="E117" t="str">
            <v>B7</v>
          </cell>
          <cell r="F117">
            <v>43242</v>
          </cell>
          <cell r="G117" t="str">
            <v>NB</v>
          </cell>
          <cell r="J117">
            <v>65</v>
          </cell>
          <cell r="K117">
            <v>65</v>
          </cell>
          <cell r="O117">
            <v>4</v>
          </cell>
          <cell r="S117" t="str">
            <v>Y?</v>
          </cell>
          <cell r="T117">
            <v>100</v>
          </cell>
          <cell r="V117">
            <v>100</v>
          </cell>
          <cell r="X117" t="str">
            <v>LV</v>
          </cell>
          <cell r="Y117" t="str">
            <v>TE</v>
          </cell>
          <cell r="Z117">
            <v>0</v>
          </cell>
          <cell r="AA117">
            <v>0</v>
          </cell>
          <cell r="AB117">
            <v>65</v>
          </cell>
          <cell r="AC117">
            <v>-1.472</v>
          </cell>
        </row>
        <row r="118">
          <cell r="A118" t="str">
            <v>SP2-H6-42957</v>
          </cell>
          <cell r="B118" t="str">
            <v>SP2-H6-42957</v>
          </cell>
          <cell r="C118">
            <v>42957</v>
          </cell>
          <cell r="D118" t="str">
            <v>SP2</v>
          </cell>
          <cell r="E118" t="str">
            <v>H6</v>
          </cell>
          <cell r="F118">
            <v>43230</v>
          </cell>
          <cell r="G118" t="str">
            <v>NB</v>
          </cell>
          <cell r="I118">
            <v>68</v>
          </cell>
          <cell r="J118">
            <v>306</v>
          </cell>
          <cell r="K118">
            <v>374</v>
          </cell>
          <cell r="N118">
            <v>1</v>
          </cell>
          <cell r="O118">
            <v>1</v>
          </cell>
          <cell r="S118" t="str">
            <v>Y?</v>
          </cell>
          <cell r="T118">
            <v>100</v>
          </cell>
          <cell r="V118">
            <v>100</v>
          </cell>
          <cell r="X118" t="str">
            <v>LV</v>
          </cell>
          <cell r="Y118" t="str">
            <v>TE</v>
          </cell>
          <cell r="Z118">
            <v>0</v>
          </cell>
          <cell r="AA118">
            <v>68</v>
          </cell>
          <cell r="AB118">
            <v>306</v>
          </cell>
          <cell r="AC118">
            <v>-1.472</v>
          </cell>
        </row>
        <row r="119">
          <cell r="A119" t="str">
            <v>SP2-E1-42957</v>
          </cell>
          <cell r="B119" t="str">
            <v>SP2-E1-42957</v>
          </cell>
          <cell r="C119">
            <v>42957</v>
          </cell>
          <cell r="D119" t="str">
            <v>SP2</v>
          </cell>
          <cell r="E119" t="str">
            <v>E1</v>
          </cell>
          <cell r="F119">
            <v>43242</v>
          </cell>
          <cell r="G119" t="str">
            <v>NB</v>
          </cell>
          <cell r="I119">
            <v>50</v>
          </cell>
          <cell r="K119">
            <v>50</v>
          </cell>
          <cell r="O119">
            <v>2</v>
          </cell>
          <cell r="S119" t="str">
            <v>Y?</v>
          </cell>
          <cell r="T119">
            <v>100</v>
          </cell>
          <cell r="V119">
            <v>100</v>
          </cell>
          <cell r="X119" t="str">
            <v>LV</v>
          </cell>
          <cell r="Y119" t="str">
            <v>TE</v>
          </cell>
          <cell r="Z119">
            <v>0</v>
          </cell>
          <cell r="AA119">
            <v>50</v>
          </cell>
          <cell r="AB119">
            <v>0</v>
          </cell>
          <cell r="AC119">
            <v>-1.472</v>
          </cell>
        </row>
        <row r="120">
          <cell r="A120" t="str">
            <v>PO2-C8-42963</v>
          </cell>
          <cell r="B120" t="str">
            <v>PO2-C8-42963</v>
          </cell>
          <cell r="C120">
            <v>42963</v>
          </cell>
          <cell r="D120" t="str">
            <v>PO2</v>
          </cell>
          <cell r="E120" t="str">
            <v>C8</v>
          </cell>
          <cell r="F120">
            <v>43229</v>
          </cell>
          <cell r="G120" t="str">
            <v>NB</v>
          </cell>
          <cell r="H120">
            <v>0</v>
          </cell>
          <cell r="I120">
            <v>0</v>
          </cell>
          <cell r="J120">
            <v>0</v>
          </cell>
          <cell r="K120">
            <v>0</v>
          </cell>
          <cell r="L120">
            <v>0</v>
          </cell>
          <cell r="M120">
            <v>0</v>
          </cell>
          <cell r="N120">
            <v>0</v>
          </cell>
          <cell r="O120">
            <v>0</v>
          </cell>
          <cell r="P120">
            <v>0</v>
          </cell>
          <cell r="Q120">
            <v>0</v>
          </cell>
          <cell r="S120" t="str">
            <v>Y?</v>
          </cell>
          <cell r="T120">
            <v>100</v>
          </cell>
          <cell r="V120">
            <v>100</v>
          </cell>
          <cell r="X120" t="str">
            <v>LV</v>
          </cell>
          <cell r="Y120" t="str">
            <v>TE</v>
          </cell>
          <cell r="Z120">
            <v>0</v>
          </cell>
          <cell r="AA120">
            <v>0</v>
          </cell>
          <cell r="AB120">
            <v>0</v>
          </cell>
          <cell r="AC120">
            <v>-1.472</v>
          </cell>
        </row>
        <row r="121">
          <cell r="A121" t="str">
            <v>PO1-F8-42963</v>
          </cell>
          <cell r="B121" t="str">
            <v>PO1-F8-42963</v>
          </cell>
          <cell r="C121">
            <v>42963</v>
          </cell>
          <cell r="D121" t="str">
            <v>PO1</v>
          </cell>
          <cell r="E121" t="str">
            <v>F8</v>
          </cell>
          <cell r="F121">
            <v>43224</v>
          </cell>
          <cell r="G121" t="str">
            <v>NB</v>
          </cell>
          <cell r="I121">
            <v>3</v>
          </cell>
          <cell r="K121">
            <v>3</v>
          </cell>
          <cell r="S121" t="str">
            <v>Y?</v>
          </cell>
          <cell r="T121">
            <v>100</v>
          </cell>
          <cell r="V121">
            <v>100</v>
          </cell>
          <cell r="X121" t="str">
            <v>LV</v>
          </cell>
          <cell r="Y121" t="str">
            <v>TE</v>
          </cell>
          <cell r="Z121">
            <v>0</v>
          </cell>
          <cell r="AA121">
            <v>3</v>
          </cell>
          <cell r="AB121">
            <v>0</v>
          </cell>
          <cell r="AC121">
            <v>-0.47199999999999998</v>
          </cell>
        </row>
        <row r="122">
          <cell r="A122" t="str">
            <v>PO1-C2-42963</v>
          </cell>
          <cell r="B122" t="str">
            <v>PO1-C2-42963</v>
          </cell>
          <cell r="C122">
            <v>42963</v>
          </cell>
          <cell r="D122" t="str">
            <v>PO1</v>
          </cell>
          <cell r="E122" t="str">
            <v>C2</v>
          </cell>
          <cell r="F122">
            <v>43229</v>
          </cell>
          <cell r="G122" t="str">
            <v>NB</v>
          </cell>
          <cell r="K122">
            <v>0</v>
          </cell>
          <cell r="O122">
            <v>1</v>
          </cell>
          <cell r="S122" t="str">
            <v>Y?</v>
          </cell>
          <cell r="T122">
            <v>100</v>
          </cell>
          <cell r="V122">
            <v>100</v>
          </cell>
          <cell r="X122" t="str">
            <v>LV</v>
          </cell>
          <cell r="Y122" t="str">
            <v>TE</v>
          </cell>
          <cell r="Z122">
            <v>0</v>
          </cell>
          <cell r="AA122">
            <v>0</v>
          </cell>
          <cell r="AB122">
            <v>0</v>
          </cell>
          <cell r="AC122">
            <v>-1.472</v>
          </cell>
        </row>
        <row r="123">
          <cell r="A123" t="str">
            <v>PO1-D3-42963</v>
          </cell>
          <cell r="B123" t="str">
            <v>PO1-D3-42963</v>
          </cell>
          <cell r="C123">
            <v>42963</v>
          </cell>
          <cell r="D123" t="str">
            <v>PO1</v>
          </cell>
          <cell r="E123" t="str">
            <v>D3</v>
          </cell>
          <cell r="F123">
            <v>43229</v>
          </cell>
          <cell r="G123" t="str">
            <v>NB</v>
          </cell>
          <cell r="I123">
            <v>6</v>
          </cell>
          <cell r="K123">
            <v>6</v>
          </cell>
          <cell r="S123" t="str">
            <v>Y?</v>
          </cell>
          <cell r="T123">
            <v>100</v>
          </cell>
          <cell r="V123">
            <v>100</v>
          </cell>
          <cell r="W123" t="str">
            <v xml:space="preserve">43 blastocystis </v>
          </cell>
          <cell r="X123" t="str">
            <v>LV</v>
          </cell>
          <cell r="Y123" t="str">
            <v>TE</v>
          </cell>
          <cell r="Z123">
            <v>0</v>
          </cell>
          <cell r="AA123">
            <v>6</v>
          </cell>
          <cell r="AB123">
            <v>0</v>
          </cell>
          <cell r="AC123">
            <v>-1.472</v>
          </cell>
        </row>
        <row r="124">
          <cell r="A124" t="str">
            <v>PO2-A4-42963</v>
          </cell>
          <cell r="B124" t="str">
            <v>PO2-A4-42963</v>
          </cell>
          <cell r="C124">
            <v>42963</v>
          </cell>
          <cell r="D124" t="str">
            <v>PO2</v>
          </cell>
          <cell r="E124" t="str">
            <v>A4</v>
          </cell>
          <cell r="F124">
            <v>43229</v>
          </cell>
          <cell r="G124" t="str">
            <v>NB</v>
          </cell>
          <cell r="I124">
            <v>2</v>
          </cell>
          <cell r="K124">
            <v>2</v>
          </cell>
          <cell r="S124" t="str">
            <v>Y?</v>
          </cell>
          <cell r="T124">
            <v>100</v>
          </cell>
          <cell r="V124">
            <v>100</v>
          </cell>
          <cell r="W124" t="str">
            <v>23 Blasto</v>
          </cell>
          <cell r="X124" t="str">
            <v>LV</v>
          </cell>
          <cell r="Y124" t="str">
            <v>TE</v>
          </cell>
          <cell r="Z124">
            <v>0</v>
          </cell>
          <cell r="AA124">
            <v>2</v>
          </cell>
          <cell r="AB124">
            <v>0</v>
          </cell>
          <cell r="AC124">
            <v>-0.47199999999999998</v>
          </cell>
        </row>
        <row r="125">
          <cell r="A125" t="str">
            <v>PO2-A7-42963</v>
          </cell>
          <cell r="B125" t="str">
            <v>PO2-A7-42963</v>
          </cell>
          <cell r="C125">
            <v>42963</v>
          </cell>
          <cell r="D125" t="str">
            <v>PO2</v>
          </cell>
          <cell r="E125" t="str">
            <v>A7</v>
          </cell>
          <cell r="F125">
            <v>43230</v>
          </cell>
          <cell r="G125" t="str">
            <v>NB</v>
          </cell>
          <cell r="I125">
            <v>3391</v>
          </cell>
          <cell r="K125">
            <v>3391</v>
          </cell>
          <cell r="O125">
            <v>1</v>
          </cell>
          <cell r="S125" t="str">
            <v>Y?</v>
          </cell>
          <cell r="T125">
            <v>100</v>
          </cell>
          <cell r="V125">
            <v>100</v>
          </cell>
          <cell r="X125" t="str">
            <v>LV</v>
          </cell>
          <cell r="Y125" t="str">
            <v>TE</v>
          </cell>
          <cell r="Z125">
            <v>0</v>
          </cell>
          <cell r="AA125">
            <v>3391</v>
          </cell>
          <cell r="AB125">
            <v>0</v>
          </cell>
          <cell r="AC125">
            <v>-1.472</v>
          </cell>
        </row>
        <row r="126">
          <cell r="A126" t="str">
            <v>PO2-H7-42963</v>
          </cell>
          <cell r="B126" t="str">
            <v>PO2-H7-42963</v>
          </cell>
          <cell r="C126">
            <v>42963</v>
          </cell>
          <cell r="D126" t="str">
            <v>PO2</v>
          </cell>
          <cell r="E126" t="str">
            <v>H7</v>
          </cell>
          <cell r="F126">
            <v>43229</v>
          </cell>
          <cell r="G126" t="str">
            <v>NB</v>
          </cell>
          <cell r="I126">
            <v>90</v>
          </cell>
          <cell r="K126">
            <v>90</v>
          </cell>
          <cell r="L126">
            <v>2</v>
          </cell>
          <cell r="O126">
            <v>3</v>
          </cell>
          <cell r="S126" t="str">
            <v>Y?</v>
          </cell>
          <cell r="T126">
            <v>100</v>
          </cell>
          <cell r="V126">
            <v>100</v>
          </cell>
          <cell r="X126" t="str">
            <v>LV</v>
          </cell>
          <cell r="Y126" t="str">
            <v>TE</v>
          </cell>
          <cell r="Z126">
            <v>0</v>
          </cell>
          <cell r="AA126">
            <v>90</v>
          </cell>
          <cell r="AB126">
            <v>0</v>
          </cell>
          <cell r="AC126">
            <v>-1.472</v>
          </cell>
        </row>
        <row r="127">
          <cell r="A127" t="str">
            <v>PO2-D3-42963</v>
          </cell>
          <cell r="B127" t="str">
            <v>PO2-D3-42963</v>
          </cell>
          <cell r="C127">
            <v>42963</v>
          </cell>
          <cell r="D127" t="str">
            <v>PO2</v>
          </cell>
          <cell r="E127" t="str">
            <v>D3</v>
          </cell>
          <cell r="F127">
            <v>43224</v>
          </cell>
          <cell r="G127" t="str">
            <v>NB</v>
          </cell>
          <cell r="I127">
            <v>23</v>
          </cell>
          <cell r="J127">
            <v>20</v>
          </cell>
          <cell r="K127">
            <v>43</v>
          </cell>
          <cell r="L127">
            <v>68</v>
          </cell>
          <cell r="M127">
            <v>1</v>
          </cell>
          <cell r="O127">
            <v>1</v>
          </cell>
          <cell r="S127" t="str">
            <v>Y?</v>
          </cell>
          <cell r="T127">
            <v>100</v>
          </cell>
          <cell r="V127">
            <v>100</v>
          </cell>
          <cell r="X127" t="str">
            <v>LV</v>
          </cell>
          <cell r="Y127" t="str">
            <v>TE</v>
          </cell>
          <cell r="Z127">
            <v>0</v>
          </cell>
          <cell r="AA127">
            <v>23</v>
          </cell>
          <cell r="AB127">
            <v>20</v>
          </cell>
          <cell r="AC127">
            <v>-1.472</v>
          </cell>
        </row>
        <row r="128">
          <cell r="A128" t="str">
            <v>PO2-F3-42964</v>
          </cell>
          <cell r="B128" t="str">
            <v>PO2-F3-42964</v>
          </cell>
          <cell r="C128">
            <v>42964</v>
          </cell>
          <cell r="D128" t="str">
            <v>PO2</v>
          </cell>
          <cell r="E128" t="str">
            <v>F3</v>
          </cell>
          <cell r="F128">
            <v>43472</v>
          </cell>
          <cell r="G128" t="str">
            <v>LV</v>
          </cell>
          <cell r="H128">
            <v>2284</v>
          </cell>
          <cell r="I128">
            <v>21360</v>
          </cell>
          <cell r="J128">
            <v>76</v>
          </cell>
          <cell r="K128">
            <v>23720</v>
          </cell>
          <cell r="S128" t="str">
            <v>N</v>
          </cell>
          <cell r="T128">
            <v>25</v>
          </cell>
          <cell r="V128">
            <v>100</v>
          </cell>
          <cell r="W128" t="str">
            <v>1/4 COUNTed for Coccidia</v>
          </cell>
          <cell r="X128" t="str">
            <v>LV</v>
          </cell>
          <cell r="Y128" t="str">
            <v>TE</v>
          </cell>
          <cell r="Z128">
            <v>2284</v>
          </cell>
          <cell r="AA128">
            <v>21360</v>
          </cell>
          <cell r="AB128">
            <v>76</v>
          </cell>
          <cell r="AC128">
            <v>-1.472</v>
          </cell>
        </row>
        <row r="129">
          <cell r="A129" t="str">
            <v>PO2-C2-42964</v>
          </cell>
          <cell r="B129" t="str">
            <v>PO2-C2-42964</v>
          </cell>
          <cell r="C129">
            <v>42964</v>
          </cell>
          <cell r="D129" t="str">
            <v>PO2</v>
          </cell>
          <cell r="E129" t="str">
            <v>C2</v>
          </cell>
          <cell r="F129">
            <v>43434</v>
          </cell>
          <cell r="G129" t="str">
            <v>NB</v>
          </cell>
          <cell r="H129">
            <v>372</v>
          </cell>
          <cell r="K129">
            <v>372</v>
          </cell>
          <cell r="S129" t="str">
            <v>Y</v>
          </cell>
          <cell r="T129">
            <v>50</v>
          </cell>
          <cell r="V129">
            <v>100</v>
          </cell>
          <cell r="X129" t="str">
            <v>LV</v>
          </cell>
          <cell r="Y129" t="str">
            <v>TE</v>
          </cell>
          <cell r="Z129">
            <v>372</v>
          </cell>
          <cell r="AA129">
            <v>0</v>
          </cell>
          <cell r="AB129">
            <v>0</v>
          </cell>
          <cell r="AC129">
            <v>-1.472</v>
          </cell>
        </row>
        <row r="130">
          <cell r="A130" t="str">
            <v>PO1-D1-42964</v>
          </cell>
          <cell r="B130" t="str">
            <v>PO1-D1-42964</v>
          </cell>
          <cell r="C130">
            <v>42964</v>
          </cell>
          <cell r="D130" t="str">
            <v>PO1</v>
          </cell>
          <cell r="E130" t="str">
            <v>D1</v>
          </cell>
          <cell r="F130">
            <v>43433</v>
          </cell>
          <cell r="G130" t="str">
            <v>LV</v>
          </cell>
          <cell r="H130">
            <v>52</v>
          </cell>
          <cell r="I130">
            <v>198</v>
          </cell>
          <cell r="K130">
            <v>250</v>
          </cell>
          <cell r="N130">
            <v>1</v>
          </cell>
          <cell r="Q130">
            <v>69</v>
          </cell>
          <cell r="R130">
            <v>2</v>
          </cell>
          <cell r="S130" t="str">
            <v>Y</v>
          </cell>
          <cell r="T130">
            <v>50</v>
          </cell>
          <cell r="V130">
            <v>100</v>
          </cell>
          <cell r="W130" t="str">
            <v>Blastocystus: 16</v>
          </cell>
          <cell r="X130" t="str">
            <v>LV</v>
          </cell>
          <cell r="Y130" t="str">
            <v>TE</v>
          </cell>
          <cell r="Z130">
            <v>52</v>
          </cell>
          <cell r="AA130">
            <v>198</v>
          </cell>
          <cell r="AB130">
            <v>0</v>
          </cell>
          <cell r="AC130">
            <v>-1.472</v>
          </cell>
        </row>
        <row r="131">
          <cell r="A131" t="str">
            <v>PO2-C8-42964</v>
          </cell>
          <cell r="B131" t="str">
            <v>PO2-C8-42964</v>
          </cell>
          <cell r="C131">
            <v>42964</v>
          </cell>
          <cell r="D131" t="str">
            <v>PO2</v>
          </cell>
          <cell r="E131" t="str">
            <v>C8</v>
          </cell>
          <cell r="F131">
            <v>43438</v>
          </cell>
          <cell r="G131" t="str">
            <v>LV</v>
          </cell>
          <cell r="K131">
            <v>0</v>
          </cell>
          <cell r="N131">
            <v>105</v>
          </cell>
          <cell r="P131">
            <v>3</v>
          </cell>
          <cell r="R131">
            <v>1</v>
          </cell>
          <cell r="S131" t="str">
            <v>Y</v>
          </cell>
          <cell r="T131">
            <v>50</v>
          </cell>
          <cell r="V131">
            <v>100</v>
          </cell>
          <cell r="X131" t="str">
            <v>LV</v>
          </cell>
          <cell r="Y131" t="str">
            <v>TE</v>
          </cell>
          <cell r="Z131">
            <v>0</v>
          </cell>
          <cell r="AA131">
            <v>0</v>
          </cell>
          <cell r="AB131">
            <v>0</v>
          </cell>
          <cell r="AC131">
            <v>-1.472</v>
          </cell>
        </row>
        <row r="132">
          <cell r="A132" t="str">
            <v>PO1-G1-42964</v>
          </cell>
          <cell r="B132" t="str">
            <v>PO1-G1-42964</v>
          </cell>
          <cell r="C132">
            <v>42964</v>
          </cell>
          <cell r="D132" t="str">
            <v>PO1</v>
          </cell>
          <cell r="E132" t="str">
            <v>G1</v>
          </cell>
          <cell r="F132">
            <v>43434</v>
          </cell>
          <cell r="G132" t="str">
            <v>NB</v>
          </cell>
          <cell r="H132">
            <v>64</v>
          </cell>
          <cell r="I132">
            <v>944</v>
          </cell>
          <cell r="K132">
            <v>1008</v>
          </cell>
          <cell r="Q132">
            <v>459</v>
          </cell>
          <cell r="R132">
            <v>2</v>
          </cell>
          <cell r="S132" t="str">
            <v>Y</v>
          </cell>
          <cell r="T132">
            <v>50</v>
          </cell>
          <cell r="V132">
            <v>100</v>
          </cell>
          <cell r="X132" t="str">
            <v>LV</v>
          </cell>
          <cell r="Y132" t="str">
            <v>TE</v>
          </cell>
          <cell r="Z132">
            <v>64</v>
          </cell>
          <cell r="AA132">
            <v>944</v>
          </cell>
          <cell r="AB132">
            <v>0</v>
          </cell>
          <cell r="AC132">
            <v>-1.472</v>
          </cell>
        </row>
        <row r="133">
          <cell r="A133" t="str">
            <v>PO1-C2-42964</v>
          </cell>
          <cell r="B133" t="str">
            <v>PO1-C2-42964</v>
          </cell>
          <cell r="C133">
            <v>42964</v>
          </cell>
          <cell r="D133" t="str">
            <v>PO1</v>
          </cell>
          <cell r="E133" t="str">
            <v>C2</v>
          </cell>
          <cell r="F133">
            <v>43438</v>
          </cell>
          <cell r="G133" t="str">
            <v>LV</v>
          </cell>
          <cell r="K133">
            <v>0</v>
          </cell>
          <cell r="L133">
            <v>2</v>
          </cell>
          <cell r="N133">
            <v>16</v>
          </cell>
          <cell r="P133">
            <v>1</v>
          </cell>
          <cell r="Q133">
            <v>47</v>
          </cell>
          <cell r="R133">
            <v>10</v>
          </cell>
          <cell r="S133" t="str">
            <v>Y</v>
          </cell>
          <cell r="T133">
            <v>50</v>
          </cell>
          <cell r="V133">
            <v>100</v>
          </cell>
          <cell r="X133" t="str">
            <v>LV</v>
          </cell>
          <cell r="Y133" t="str">
            <v>TE</v>
          </cell>
          <cell r="Z133">
            <v>0</v>
          </cell>
          <cell r="AA133">
            <v>0</v>
          </cell>
          <cell r="AB133">
            <v>0</v>
          </cell>
          <cell r="AC133">
            <v>-1.472</v>
          </cell>
        </row>
        <row r="134">
          <cell r="A134" t="str">
            <v>HW1-D8-42966</v>
          </cell>
          <cell r="B134" t="str">
            <v>HW1-D8-42966</v>
          </cell>
          <cell r="C134">
            <v>42966</v>
          </cell>
          <cell r="D134" t="str">
            <v>HW1</v>
          </cell>
          <cell r="E134" t="str">
            <v>D8</v>
          </cell>
          <cell r="F134">
            <v>43495</v>
          </cell>
          <cell r="G134" t="str">
            <v>JY</v>
          </cell>
          <cell r="I134">
            <v>952</v>
          </cell>
          <cell r="K134">
            <v>952</v>
          </cell>
          <cell r="S134" t="str">
            <v>Y</v>
          </cell>
          <cell r="T134">
            <v>50</v>
          </cell>
          <cell r="V134">
            <v>100</v>
          </cell>
          <cell r="X134" t="str">
            <v>JY</v>
          </cell>
          <cell r="Y134" t="str">
            <v>TE</v>
          </cell>
          <cell r="Z134">
            <v>0</v>
          </cell>
          <cell r="AA134">
            <v>952</v>
          </cell>
          <cell r="AB134">
            <v>0</v>
          </cell>
          <cell r="AC134">
            <v>-1.472</v>
          </cell>
        </row>
        <row r="135">
          <cell r="A135" t="str">
            <v>HW1-G1-42966</v>
          </cell>
          <cell r="B135" t="str">
            <v>HW1-G1-42966</v>
          </cell>
          <cell r="C135">
            <v>42966</v>
          </cell>
          <cell r="D135" t="str">
            <v>HW1</v>
          </cell>
          <cell r="E135" t="str">
            <v>G1</v>
          </cell>
          <cell r="F135">
            <v>43488</v>
          </cell>
          <cell r="G135" t="str">
            <v>NB</v>
          </cell>
          <cell r="K135">
            <v>0</v>
          </cell>
          <cell r="O135">
            <v>2</v>
          </cell>
          <cell r="S135" t="str">
            <v>Y</v>
          </cell>
          <cell r="T135">
            <v>50</v>
          </cell>
          <cell r="V135">
            <v>100</v>
          </cell>
          <cell r="X135" t="str">
            <v>TE</v>
          </cell>
          <cell r="Y135" t="str">
            <v>TE</v>
          </cell>
          <cell r="Z135">
            <v>0</v>
          </cell>
          <cell r="AA135">
            <v>0</v>
          </cell>
          <cell r="AB135">
            <v>0</v>
          </cell>
          <cell r="AC135">
            <v>-1.472</v>
          </cell>
        </row>
        <row r="136">
          <cell r="A136" t="str">
            <v>HW2-D2-42966</v>
          </cell>
          <cell r="B136" t="str">
            <v>HW2-D2-42966</v>
          </cell>
          <cell r="C136">
            <v>42966</v>
          </cell>
          <cell r="D136" t="str">
            <v>HW2</v>
          </cell>
          <cell r="E136" t="str">
            <v>D2</v>
          </cell>
          <cell r="F136">
            <v>43489</v>
          </cell>
          <cell r="G136" t="str">
            <v>TE</v>
          </cell>
          <cell r="H136">
            <v>0</v>
          </cell>
          <cell r="I136">
            <v>0</v>
          </cell>
          <cell r="J136">
            <v>0</v>
          </cell>
          <cell r="K136">
            <v>0</v>
          </cell>
          <cell r="L136">
            <v>0</v>
          </cell>
          <cell r="M136">
            <v>0</v>
          </cell>
          <cell r="N136">
            <v>0</v>
          </cell>
          <cell r="O136">
            <v>0</v>
          </cell>
          <cell r="P136">
            <v>0</v>
          </cell>
          <cell r="Q136">
            <v>0</v>
          </cell>
          <cell r="R136">
            <v>0</v>
          </cell>
          <cell r="S136" t="str">
            <v>Y</v>
          </cell>
          <cell r="T136">
            <v>50</v>
          </cell>
          <cell r="V136">
            <v>100</v>
          </cell>
          <cell r="W136" t="str">
            <v>312 Blastocystis</v>
          </cell>
          <cell r="X136" t="str">
            <v>JY</v>
          </cell>
          <cell r="Y136" t="str">
            <v>TE</v>
          </cell>
          <cell r="Z136">
            <v>0</v>
          </cell>
          <cell r="AA136">
            <v>0</v>
          </cell>
          <cell r="AB136">
            <v>0</v>
          </cell>
          <cell r="AC136">
            <v>-1.472</v>
          </cell>
        </row>
        <row r="137">
          <cell r="A137" t="str">
            <v>HW2-H4-42966</v>
          </cell>
          <cell r="B137" t="str">
            <v>HW2-H4-42966</v>
          </cell>
          <cell r="C137">
            <v>42966</v>
          </cell>
          <cell r="D137" t="str">
            <v>HW2</v>
          </cell>
          <cell r="E137" t="str">
            <v>H4</v>
          </cell>
          <cell r="F137">
            <v>43502</v>
          </cell>
          <cell r="G137" t="str">
            <v>TE</v>
          </cell>
          <cell r="K137">
            <v>0</v>
          </cell>
          <cell r="L137">
            <v>1</v>
          </cell>
          <cell r="R137">
            <v>8</v>
          </cell>
          <cell r="S137" t="str">
            <v>Y</v>
          </cell>
          <cell r="T137">
            <v>50</v>
          </cell>
          <cell r="V137">
            <v>100</v>
          </cell>
          <cell r="X137" t="str">
            <v>TE</v>
          </cell>
          <cell r="Y137" t="str">
            <v>TE</v>
          </cell>
          <cell r="Z137">
            <v>0</v>
          </cell>
          <cell r="AA137">
            <v>0</v>
          </cell>
          <cell r="AB137">
            <v>0</v>
          </cell>
          <cell r="AC137">
            <v>-1.472</v>
          </cell>
        </row>
        <row r="138">
          <cell r="A138" t="str">
            <v>HW1-A8-42966</v>
          </cell>
          <cell r="B138" t="str">
            <v>HW1-A8-42966</v>
          </cell>
          <cell r="C138">
            <v>42966</v>
          </cell>
          <cell r="D138" t="str">
            <v>HW1</v>
          </cell>
          <cell r="E138" t="str">
            <v>A8</v>
          </cell>
          <cell r="F138">
            <v>43488</v>
          </cell>
          <cell r="G138" t="str">
            <v>TE</v>
          </cell>
          <cell r="H138">
            <v>0</v>
          </cell>
          <cell r="I138">
            <v>0</v>
          </cell>
          <cell r="J138">
            <v>0</v>
          </cell>
          <cell r="K138">
            <v>0</v>
          </cell>
          <cell r="L138">
            <v>0</v>
          </cell>
          <cell r="M138">
            <v>0</v>
          </cell>
          <cell r="N138">
            <v>0</v>
          </cell>
          <cell r="O138">
            <v>0</v>
          </cell>
          <cell r="P138">
            <v>0</v>
          </cell>
          <cell r="Q138">
            <v>0</v>
          </cell>
          <cell r="R138">
            <v>0</v>
          </cell>
          <cell r="S138" t="str">
            <v>Y</v>
          </cell>
          <cell r="T138">
            <v>50</v>
          </cell>
          <cell r="V138">
            <v>100</v>
          </cell>
          <cell r="X138" t="str">
            <v>JY</v>
          </cell>
          <cell r="Y138" t="str">
            <v>TE</v>
          </cell>
          <cell r="Z138">
            <v>0</v>
          </cell>
          <cell r="AA138">
            <v>0</v>
          </cell>
          <cell r="AB138">
            <v>0</v>
          </cell>
          <cell r="AC138">
            <v>-0.47199999999999998</v>
          </cell>
        </row>
        <row r="139">
          <cell r="A139" t="str">
            <v>HW2-E7-42966</v>
          </cell>
          <cell r="B139" t="str">
            <v>HW2-E7-42966</v>
          </cell>
          <cell r="C139">
            <v>42966</v>
          </cell>
          <cell r="D139" t="str">
            <v>HW2</v>
          </cell>
          <cell r="E139" t="str">
            <v>E7</v>
          </cell>
          <cell r="F139">
            <v>43499</v>
          </cell>
          <cell r="G139" t="str">
            <v>TE</v>
          </cell>
          <cell r="H139">
            <v>24</v>
          </cell>
          <cell r="I139">
            <v>60</v>
          </cell>
          <cell r="J139">
            <v>206</v>
          </cell>
          <cell r="K139">
            <v>290</v>
          </cell>
          <cell r="N139">
            <v>211</v>
          </cell>
          <cell r="O139">
            <v>1</v>
          </cell>
          <cell r="R139">
            <v>4</v>
          </cell>
          <cell r="S139" t="str">
            <v>Y</v>
          </cell>
          <cell r="T139">
            <v>50</v>
          </cell>
          <cell r="V139">
            <v>100</v>
          </cell>
          <cell r="X139" t="str">
            <v>JY</v>
          </cell>
          <cell r="Y139" t="str">
            <v>TE</v>
          </cell>
          <cell r="Z139">
            <v>24</v>
          </cell>
          <cell r="AA139">
            <v>60</v>
          </cell>
          <cell r="AB139">
            <v>206</v>
          </cell>
          <cell r="AC139">
            <v>-1.472</v>
          </cell>
        </row>
        <row r="140">
          <cell r="A140" t="str">
            <v>HW1-E7-42966</v>
          </cell>
          <cell r="B140" t="str">
            <v>HW1-E7-42966</v>
          </cell>
          <cell r="C140">
            <v>42966</v>
          </cell>
          <cell r="D140" t="str">
            <v>HW1</v>
          </cell>
          <cell r="E140" t="str">
            <v>E7</v>
          </cell>
          <cell r="F140">
            <v>43488</v>
          </cell>
          <cell r="G140" t="str">
            <v>TE</v>
          </cell>
          <cell r="H140">
            <v>0</v>
          </cell>
          <cell r="I140">
            <v>0</v>
          </cell>
          <cell r="J140">
            <v>0</v>
          </cell>
          <cell r="K140">
            <v>0</v>
          </cell>
          <cell r="L140">
            <v>0</v>
          </cell>
          <cell r="M140">
            <v>0</v>
          </cell>
          <cell r="N140">
            <v>0</v>
          </cell>
          <cell r="O140">
            <v>0</v>
          </cell>
          <cell r="P140">
            <v>0</v>
          </cell>
          <cell r="Q140">
            <v>0</v>
          </cell>
          <cell r="R140">
            <v>0</v>
          </cell>
          <cell r="S140" t="str">
            <v>Y</v>
          </cell>
          <cell r="T140">
            <v>50</v>
          </cell>
          <cell r="V140">
            <v>100</v>
          </cell>
          <cell r="X140" t="str">
            <v>JY</v>
          </cell>
          <cell r="Y140" t="str">
            <v>TE</v>
          </cell>
          <cell r="Z140">
            <v>0</v>
          </cell>
          <cell r="AA140">
            <v>0</v>
          </cell>
          <cell r="AB140">
            <v>0</v>
          </cell>
          <cell r="AC140">
            <v>-1.472</v>
          </cell>
        </row>
        <row r="141">
          <cell r="A141" t="str">
            <v>HW2-C7-42966</v>
          </cell>
          <cell r="B141" t="str">
            <v>HW2-C7-42966</v>
          </cell>
          <cell r="C141">
            <v>42966</v>
          </cell>
          <cell r="D141" t="str">
            <v>HW2</v>
          </cell>
          <cell r="E141" t="str">
            <v>C7</v>
          </cell>
          <cell r="F141">
            <v>43490</v>
          </cell>
          <cell r="G141" t="str">
            <v>TE</v>
          </cell>
          <cell r="I141">
            <v>2</v>
          </cell>
          <cell r="K141">
            <v>2</v>
          </cell>
          <cell r="R141">
            <v>4</v>
          </cell>
          <cell r="S141" t="str">
            <v>Y</v>
          </cell>
          <cell r="T141">
            <v>50</v>
          </cell>
          <cell r="V141">
            <v>100</v>
          </cell>
          <cell r="X141" t="str">
            <v>JY</v>
          </cell>
          <cell r="Y141" t="str">
            <v>TE</v>
          </cell>
          <cell r="Z141">
            <v>0</v>
          </cell>
          <cell r="AA141">
            <v>2</v>
          </cell>
          <cell r="AB141">
            <v>0</v>
          </cell>
          <cell r="AC141">
            <v>-1.472</v>
          </cell>
        </row>
        <row r="142">
          <cell r="A142" t="str">
            <v>HW2-D4-42966</v>
          </cell>
          <cell r="B142" t="str">
            <v>HW2-D4-42966</v>
          </cell>
          <cell r="C142">
            <v>42966</v>
          </cell>
          <cell r="D142" t="str">
            <v>HW2</v>
          </cell>
          <cell r="E142" t="str">
            <v>D4</v>
          </cell>
          <cell r="F142">
            <v>43488</v>
          </cell>
          <cell r="G142" t="str">
            <v>TE</v>
          </cell>
          <cell r="H142">
            <v>0</v>
          </cell>
          <cell r="I142">
            <v>0</v>
          </cell>
          <cell r="J142">
            <v>0</v>
          </cell>
          <cell r="K142">
            <v>0</v>
          </cell>
          <cell r="L142">
            <v>0</v>
          </cell>
          <cell r="M142">
            <v>0</v>
          </cell>
          <cell r="N142">
            <v>0</v>
          </cell>
          <cell r="O142">
            <v>0</v>
          </cell>
          <cell r="P142">
            <v>0</v>
          </cell>
          <cell r="Q142">
            <v>0</v>
          </cell>
          <cell r="R142">
            <v>0</v>
          </cell>
          <cell r="S142" t="str">
            <v>Y</v>
          </cell>
          <cell r="T142">
            <v>50</v>
          </cell>
          <cell r="V142">
            <v>100</v>
          </cell>
          <cell r="X142" t="str">
            <v>JY</v>
          </cell>
          <cell r="Y142" t="str">
            <v>TE</v>
          </cell>
          <cell r="Z142">
            <v>0</v>
          </cell>
          <cell r="AA142">
            <v>0</v>
          </cell>
          <cell r="AB142">
            <v>0</v>
          </cell>
          <cell r="AC142">
            <v>-1.472</v>
          </cell>
        </row>
        <row r="143">
          <cell r="A143" t="str">
            <v>HW1-F4-42966</v>
          </cell>
          <cell r="B143" t="str">
            <v>HW1-F4-42966</v>
          </cell>
          <cell r="C143">
            <v>42966</v>
          </cell>
          <cell r="D143" t="str">
            <v>HW1</v>
          </cell>
          <cell r="E143" t="str">
            <v>F4</v>
          </cell>
          <cell r="F143">
            <v>43488</v>
          </cell>
          <cell r="G143" t="str">
            <v>NB</v>
          </cell>
          <cell r="H143">
            <v>3068</v>
          </cell>
          <cell r="K143">
            <v>3068</v>
          </cell>
          <cell r="O143">
            <v>1</v>
          </cell>
          <cell r="S143" t="str">
            <v>Y</v>
          </cell>
          <cell r="T143">
            <v>50</v>
          </cell>
          <cell r="V143">
            <v>100</v>
          </cell>
          <cell r="X143" t="str">
            <v>TE</v>
          </cell>
          <cell r="Y143" t="str">
            <v>TE</v>
          </cell>
          <cell r="Z143">
            <v>3068</v>
          </cell>
          <cell r="AA143">
            <v>0</v>
          </cell>
          <cell r="AB143">
            <v>0</v>
          </cell>
          <cell r="AC143">
            <v>-1.472</v>
          </cell>
        </row>
        <row r="144">
          <cell r="A144" t="str">
            <v>HW1-G8-42966</v>
          </cell>
          <cell r="B144" t="str">
            <v>HW1-G8-42966</v>
          </cell>
          <cell r="C144">
            <v>42966</v>
          </cell>
          <cell r="D144" t="str">
            <v>HW1</v>
          </cell>
          <cell r="E144" t="str">
            <v>G8</v>
          </cell>
          <cell r="F144">
            <v>43495</v>
          </cell>
          <cell r="G144" t="str">
            <v>JY</v>
          </cell>
          <cell r="H144">
            <v>0</v>
          </cell>
          <cell r="I144">
            <v>0</v>
          </cell>
          <cell r="J144">
            <v>0</v>
          </cell>
          <cell r="K144">
            <v>0</v>
          </cell>
          <cell r="L144">
            <v>0</v>
          </cell>
          <cell r="M144">
            <v>0</v>
          </cell>
          <cell r="N144">
            <v>0</v>
          </cell>
          <cell r="O144">
            <v>0</v>
          </cell>
          <cell r="P144">
            <v>0</v>
          </cell>
          <cell r="Q144">
            <v>0</v>
          </cell>
          <cell r="R144">
            <v>0</v>
          </cell>
          <cell r="S144" t="str">
            <v>Y</v>
          </cell>
          <cell r="T144">
            <v>50</v>
          </cell>
          <cell r="V144">
            <v>100</v>
          </cell>
          <cell r="X144" t="str">
            <v>JY</v>
          </cell>
          <cell r="Y144" t="str">
            <v>TE</v>
          </cell>
          <cell r="Z144">
            <v>0</v>
          </cell>
          <cell r="AA144">
            <v>0</v>
          </cell>
          <cell r="AB144">
            <v>0</v>
          </cell>
          <cell r="AC144">
            <v>-0.47199999999999998</v>
          </cell>
        </row>
        <row r="145">
          <cell r="A145" t="str">
            <v>HW2-E1-42966</v>
          </cell>
          <cell r="B145" t="str">
            <v>HW2-E1-42966</v>
          </cell>
          <cell r="C145">
            <v>42966</v>
          </cell>
          <cell r="D145" t="str">
            <v>HW2</v>
          </cell>
          <cell r="E145" t="str">
            <v>E1</v>
          </cell>
          <cell r="F145">
            <v>43489</v>
          </cell>
          <cell r="G145" t="str">
            <v>TE</v>
          </cell>
          <cell r="I145">
            <v>4</v>
          </cell>
          <cell r="J145">
            <v>14</v>
          </cell>
          <cell r="K145">
            <v>18</v>
          </cell>
          <cell r="N145">
            <v>161</v>
          </cell>
          <cell r="P145">
            <v>3</v>
          </cell>
          <cell r="R145">
            <v>14</v>
          </cell>
          <cell r="S145" t="str">
            <v>Y</v>
          </cell>
          <cell r="T145">
            <v>50</v>
          </cell>
          <cell r="V145">
            <v>100</v>
          </cell>
          <cell r="X145" t="str">
            <v>JY</v>
          </cell>
          <cell r="Y145" t="str">
            <v>TE</v>
          </cell>
          <cell r="Z145">
            <v>0</v>
          </cell>
          <cell r="AA145">
            <v>4</v>
          </cell>
          <cell r="AB145">
            <v>14</v>
          </cell>
          <cell r="AC145">
            <v>-1.472</v>
          </cell>
        </row>
        <row r="146">
          <cell r="A146" t="str">
            <v>HW2-A8-42966</v>
          </cell>
          <cell r="B146" t="str">
            <v>HW2-A8-42966</v>
          </cell>
          <cell r="C146">
            <v>42966</v>
          </cell>
          <cell r="D146" t="str">
            <v>HW2</v>
          </cell>
          <cell r="E146" t="str">
            <v>A8</v>
          </cell>
          <cell r="F146">
            <v>43495</v>
          </cell>
          <cell r="G146" t="str">
            <v>JY</v>
          </cell>
          <cell r="I146">
            <v>334</v>
          </cell>
          <cell r="K146">
            <v>334</v>
          </cell>
          <cell r="N146">
            <v>248</v>
          </cell>
          <cell r="S146" t="str">
            <v>Y</v>
          </cell>
          <cell r="T146">
            <v>50</v>
          </cell>
          <cell r="V146">
            <v>100</v>
          </cell>
          <cell r="X146" t="str">
            <v>JY</v>
          </cell>
          <cell r="Y146" t="str">
            <v>TE</v>
          </cell>
          <cell r="Z146">
            <v>0</v>
          </cell>
          <cell r="AA146">
            <v>334</v>
          </cell>
          <cell r="AB146">
            <v>0</v>
          </cell>
          <cell r="AC146">
            <v>-1.472</v>
          </cell>
        </row>
        <row r="147">
          <cell r="A147" t="str">
            <v>HW1-C7-42966</v>
          </cell>
          <cell r="B147" t="str">
            <v>HW1-C7-42966</v>
          </cell>
          <cell r="C147">
            <v>42966</v>
          </cell>
          <cell r="D147" t="str">
            <v>HW1</v>
          </cell>
          <cell r="E147" t="str">
            <v>C7</v>
          </cell>
          <cell r="F147">
            <v>43488</v>
          </cell>
          <cell r="G147" t="str">
            <v>TE</v>
          </cell>
          <cell r="H147">
            <v>12</v>
          </cell>
          <cell r="I147">
            <v>8</v>
          </cell>
          <cell r="J147">
            <v>28</v>
          </cell>
          <cell r="K147">
            <v>48</v>
          </cell>
          <cell r="S147" t="str">
            <v>Y</v>
          </cell>
          <cell r="T147">
            <v>50</v>
          </cell>
          <cell r="V147">
            <v>100</v>
          </cell>
          <cell r="X147" t="str">
            <v>JY</v>
          </cell>
          <cell r="Y147" t="str">
            <v>TE</v>
          </cell>
          <cell r="Z147">
            <v>12</v>
          </cell>
          <cell r="AA147">
            <v>8</v>
          </cell>
          <cell r="AB147">
            <v>28</v>
          </cell>
          <cell r="AC147">
            <v>-1.472</v>
          </cell>
        </row>
        <row r="148">
          <cell r="A148" t="str">
            <v>HW1-D8-42967</v>
          </cell>
          <cell r="B148" t="str">
            <v>HW1-D8-42967</v>
          </cell>
          <cell r="C148">
            <v>42967</v>
          </cell>
          <cell r="D148" t="str">
            <v>HW1</v>
          </cell>
          <cell r="E148" t="str">
            <v>D8</v>
          </cell>
          <cell r="F148">
            <v>43499</v>
          </cell>
          <cell r="G148" t="str">
            <v>TE</v>
          </cell>
          <cell r="H148">
            <v>0</v>
          </cell>
          <cell r="I148">
            <v>0</v>
          </cell>
          <cell r="J148">
            <v>0</v>
          </cell>
          <cell r="K148">
            <v>0</v>
          </cell>
          <cell r="L148">
            <v>0</v>
          </cell>
          <cell r="M148">
            <v>0</v>
          </cell>
          <cell r="N148">
            <v>0</v>
          </cell>
          <cell r="O148">
            <v>0</v>
          </cell>
          <cell r="P148">
            <v>0</v>
          </cell>
          <cell r="Q148">
            <v>0</v>
          </cell>
          <cell r="R148">
            <v>0</v>
          </cell>
          <cell r="S148" t="str">
            <v>Y</v>
          </cell>
          <cell r="T148">
            <v>50</v>
          </cell>
          <cell r="V148">
            <v>100</v>
          </cell>
          <cell r="X148" t="str">
            <v>JY</v>
          </cell>
          <cell r="Y148" t="str">
            <v>TE</v>
          </cell>
          <cell r="Z148">
            <v>0</v>
          </cell>
          <cell r="AA148">
            <v>0</v>
          </cell>
          <cell r="AB148">
            <v>0</v>
          </cell>
          <cell r="AC148">
            <v>-1.472</v>
          </cell>
        </row>
        <row r="149">
          <cell r="A149" t="str">
            <v>HW2-E7-42968</v>
          </cell>
          <cell r="B149" t="str">
            <v>HW2-E7-42968</v>
          </cell>
          <cell r="C149">
            <v>42968</v>
          </cell>
          <cell r="D149" t="str">
            <v>HW2</v>
          </cell>
          <cell r="E149" t="str">
            <v>E7</v>
          </cell>
          <cell r="F149">
            <v>43499</v>
          </cell>
          <cell r="G149" t="str">
            <v>TE</v>
          </cell>
          <cell r="H149">
            <v>0</v>
          </cell>
          <cell r="I149">
            <v>0</v>
          </cell>
          <cell r="J149">
            <v>0</v>
          </cell>
          <cell r="K149">
            <v>0</v>
          </cell>
          <cell r="L149">
            <v>0</v>
          </cell>
          <cell r="M149">
            <v>0</v>
          </cell>
          <cell r="N149">
            <v>0</v>
          </cell>
          <cell r="O149">
            <v>0</v>
          </cell>
          <cell r="P149">
            <v>0</v>
          </cell>
          <cell r="Q149">
            <v>0</v>
          </cell>
          <cell r="R149">
            <v>0</v>
          </cell>
          <cell r="S149" t="str">
            <v>Y</v>
          </cell>
          <cell r="T149">
            <v>50</v>
          </cell>
          <cell r="V149">
            <v>100</v>
          </cell>
          <cell r="X149" t="str">
            <v>JY</v>
          </cell>
          <cell r="Y149" t="str">
            <v>TE</v>
          </cell>
          <cell r="Z149">
            <v>0</v>
          </cell>
          <cell r="AA149">
            <v>0</v>
          </cell>
          <cell r="AB149">
            <v>0</v>
          </cell>
          <cell r="AC149">
            <v>-0.47199999999999998</v>
          </cell>
        </row>
        <row r="150">
          <cell r="A150" t="str">
            <v>SP1-G2-42972</v>
          </cell>
          <cell r="B150" t="str">
            <v>SP1-G2-42972</v>
          </cell>
          <cell r="C150">
            <v>42972</v>
          </cell>
          <cell r="D150" t="str">
            <v>SP1</v>
          </cell>
          <cell r="E150" t="str">
            <v>G2</v>
          </cell>
          <cell r="F150">
            <v>43242</v>
          </cell>
          <cell r="G150" t="str">
            <v>JY</v>
          </cell>
          <cell r="K150">
            <v>0</v>
          </cell>
          <cell r="R150">
            <v>2</v>
          </cell>
          <cell r="S150" t="str">
            <v>Y?</v>
          </cell>
          <cell r="T150">
            <v>100</v>
          </cell>
          <cell r="V150">
            <v>100</v>
          </cell>
          <cell r="W150" t="str">
            <v>followed protocol from spring 2018</v>
          </cell>
          <cell r="X150" t="str">
            <v>LV</v>
          </cell>
          <cell r="Y150" t="str">
            <v>TE</v>
          </cell>
          <cell r="Z150">
            <v>0</v>
          </cell>
          <cell r="AA150">
            <v>0</v>
          </cell>
          <cell r="AB150">
            <v>0</v>
          </cell>
          <cell r="AC150">
            <v>-1.472</v>
          </cell>
        </row>
        <row r="151">
          <cell r="A151" t="str">
            <v>SP1-F1-42972</v>
          </cell>
          <cell r="B151" t="str">
            <v>SP1-F1-42972</v>
          </cell>
          <cell r="C151">
            <v>42972</v>
          </cell>
          <cell r="D151" t="str">
            <v>SP1</v>
          </cell>
          <cell r="E151" t="str">
            <v>F1</v>
          </cell>
          <cell r="F151">
            <v>43242</v>
          </cell>
          <cell r="G151" t="str">
            <v>NB</v>
          </cell>
          <cell r="J151">
            <v>60</v>
          </cell>
          <cell r="K151">
            <v>60</v>
          </cell>
          <cell r="S151" t="str">
            <v>Y?</v>
          </cell>
          <cell r="T151">
            <v>100</v>
          </cell>
          <cell r="V151">
            <v>100</v>
          </cell>
          <cell r="X151" t="str">
            <v>LV</v>
          </cell>
          <cell r="Y151" t="str">
            <v>TE</v>
          </cell>
          <cell r="Z151">
            <v>0</v>
          </cell>
          <cell r="AA151">
            <v>0</v>
          </cell>
          <cell r="AB151">
            <v>60</v>
          </cell>
          <cell r="AC151">
            <v>-1.472</v>
          </cell>
        </row>
        <row r="152">
          <cell r="A152" t="str">
            <v>SP1-H5-42972</v>
          </cell>
          <cell r="B152" t="str">
            <v>SP1-H5-42972</v>
          </cell>
          <cell r="C152">
            <v>42972</v>
          </cell>
          <cell r="D152" t="str">
            <v>SP1</v>
          </cell>
          <cell r="E152" t="str">
            <v>H5</v>
          </cell>
          <cell r="F152">
            <v>43242</v>
          </cell>
          <cell r="G152" t="str">
            <v>JY</v>
          </cell>
          <cell r="H152">
            <v>3</v>
          </cell>
          <cell r="I152">
            <v>60</v>
          </cell>
          <cell r="J152">
            <v>1</v>
          </cell>
          <cell r="K152">
            <v>64</v>
          </cell>
          <cell r="S152" t="str">
            <v>Y?</v>
          </cell>
          <cell r="T152">
            <v>100</v>
          </cell>
          <cell r="V152">
            <v>100</v>
          </cell>
          <cell r="X152" t="str">
            <v>LV</v>
          </cell>
          <cell r="Y152" t="str">
            <v>TE</v>
          </cell>
          <cell r="Z152">
            <v>3</v>
          </cell>
          <cell r="AA152">
            <v>60</v>
          </cell>
          <cell r="AB152">
            <v>1</v>
          </cell>
          <cell r="AC152">
            <v>-1.472</v>
          </cell>
        </row>
        <row r="153">
          <cell r="A153" t="str">
            <v>SP2-B4-42972</v>
          </cell>
          <cell r="B153" t="str">
            <v>SP2-B4-42972</v>
          </cell>
          <cell r="C153">
            <v>42972</v>
          </cell>
          <cell r="D153" t="str">
            <v>SP2</v>
          </cell>
          <cell r="E153" t="str">
            <v>B4</v>
          </cell>
          <cell r="F153">
            <v>43244</v>
          </cell>
          <cell r="G153" t="str">
            <v>JY</v>
          </cell>
          <cell r="H153">
            <v>0</v>
          </cell>
          <cell r="I153">
            <v>0</v>
          </cell>
          <cell r="J153">
            <v>0</v>
          </cell>
          <cell r="K153">
            <v>0</v>
          </cell>
          <cell r="L153">
            <v>0</v>
          </cell>
          <cell r="M153">
            <v>0</v>
          </cell>
          <cell r="N153">
            <v>0</v>
          </cell>
          <cell r="O153">
            <v>0</v>
          </cell>
          <cell r="P153">
            <v>0</v>
          </cell>
          <cell r="Q153">
            <v>0</v>
          </cell>
          <cell r="S153" t="str">
            <v>Y?</v>
          </cell>
          <cell r="T153">
            <v>100</v>
          </cell>
          <cell r="V153">
            <v>100</v>
          </cell>
          <cell r="X153" t="str">
            <v>LV</v>
          </cell>
          <cell r="Y153" t="str">
            <v>TE</v>
          </cell>
          <cell r="Z153">
            <v>0</v>
          </cell>
          <cell r="AA153">
            <v>0</v>
          </cell>
          <cell r="AB153">
            <v>0</v>
          </cell>
          <cell r="AC153">
            <v>-1.472</v>
          </cell>
        </row>
        <row r="154">
          <cell r="A154" t="str">
            <v>SP2-G1-42972</v>
          </cell>
          <cell r="B154" t="str">
            <v>SP2-G1-42972</v>
          </cell>
          <cell r="C154">
            <v>42972</v>
          </cell>
          <cell r="D154" t="str">
            <v>SP2</v>
          </cell>
          <cell r="E154" t="str">
            <v>G1</v>
          </cell>
          <cell r="F154">
            <v>43244</v>
          </cell>
          <cell r="G154" t="str">
            <v>JY</v>
          </cell>
          <cell r="H154">
            <v>1</v>
          </cell>
          <cell r="I154">
            <v>223</v>
          </cell>
          <cell r="K154">
            <v>224</v>
          </cell>
          <cell r="S154" t="str">
            <v>Y?</v>
          </cell>
          <cell r="T154">
            <v>100</v>
          </cell>
          <cell r="V154">
            <v>100</v>
          </cell>
          <cell r="X154" t="str">
            <v>LV</v>
          </cell>
          <cell r="Y154" t="str">
            <v>TE</v>
          </cell>
          <cell r="Z154">
            <v>1</v>
          </cell>
          <cell r="AA154">
            <v>223</v>
          </cell>
          <cell r="AB154">
            <v>0</v>
          </cell>
          <cell r="AC154">
            <v>-1.472</v>
          </cell>
        </row>
        <row r="155">
          <cell r="A155" t="str">
            <v>SP2-C4-42972</v>
          </cell>
          <cell r="B155" t="str">
            <v>SP2-C4-42972</v>
          </cell>
          <cell r="C155">
            <v>42972</v>
          </cell>
          <cell r="D155" t="str">
            <v>SP2</v>
          </cell>
          <cell r="E155" t="str">
            <v>C4</v>
          </cell>
          <cell r="F155">
            <v>43244</v>
          </cell>
          <cell r="G155" t="str">
            <v>JY</v>
          </cell>
          <cell r="H155">
            <v>0</v>
          </cell>
          <cell r="I155">
            <v>0</v>
          </cell>
          <cell r="J155">
            <v>0</v>
          </cell>
          <cell r="K155">
            <v>0</v>
          </cell>
          <cell r="L155">
            <v>0</v>
          </cell>
          <cell r="M155">
            <v>0</v>
          </cell>
          <cell r="N155">
            <v>0</v>
          </cell>
          <cell r="O155">
            <v>0</v>
          </cell>
          <cell r="P155">
            <v>0</v>
          </cell>
          <cell r="Q155">
            <v>0</v>
          </cell>
          <cell r="S155" t="str">
            <v>Y?</v>
          </cell>
          <cell r="T155">
            <v>100</v>
          </cell>
          <cell r="V155">
            <v>100</v>
          </cell>
          <cell r="X155" t="str">
            <v>LV</v>
          </cell>
          <cell r="Y155" t="str">
            <v>TE</v>
          </cell>
          <cell r="Z155">
            <v>0</v>
          </cell>
          <cell r="AA155">
            <v>0</v>
          </cell>
          <cell r="AB155">
            <v>0</v>
          </cell>
          <cell r="AC155">
            <v>-0.47199999999999998</v>
          </cell>
        </row>
        <row r="156">
          <cell r="A156" t="str">
            <v>SP1-D1-42972</v>
          </cell>
          <cell r="B156" t="str">
            <v>SP1-D1-42972</v>
          </cell>
          <cell r="C156">
            <v>42972</v>
          </cell>
          <cell r="D156" t="str">
            <v>SP1</v>
          </cell>
          <cell r="E156" t="str">
            <v>D1</v>
          </cell>
          <cell r="F156">
            <v>43503</v>
          </cell>
          <cell r="G156" t="str">
            <v>TE</v>
          </cell>
          <cell r="H156">
            <v>0</v>
          </cell>
          <cell r="I156">
            <v>0</v>
          </cell>
          <cell r="J156">
            <v>0</v>
          </cell>
          <cell r="K156">
            <v>0</v>
          </cell>
          <cell r="L156">
            <v>0</v>
          </cell>
          <cell r="M156">
            <v>0</v>
          </cell>
          <cell r="N156">
            <v>0</v>
          </cell>
          <cell r="O156">
            <v>0</v>
          </cell>
          <cell r="P156">
            <v>0</v>
          </cell>
          <cell r="Q156">
            <v>0</v>
          </cell>
          <cell r="R156">
            <v>0</v>
          </cell>
          <cell r="S156" t="str">
            <v>Y</v>
          </cell>
          <cell r="T156">
            <v>50</v>
          </cell>
          <cell r="V156">
            <v>100</v>
          </cell>
          <cell r="X156" t="str">
            <v>TE</v>
          </cell>
          <cell r="Y156" t="str">
            <v>TE</v>
          </cell>
          <cell r="Z156">
            <v>0</v>
          </cell>
          <cell r="AA156">
            <v>0</v>
          </cell>
          <cell r="AB156">
            <v>0</v>
          </cell>
          <cell r="AC156">
            <v>-1.472</v>
          </cell>
        </row>
        <row r="157">
          <cell r="A157" t="str">
            <v>SP1-H8-42972</v>
          </cell>
          <cell r="B157" t="str">
            <v>SP1-H8-42972</v>
          </cell>
          <cell r="C157">
            <v>42972</v>
          </cell>
          <cell r="D157" t="str">
            <v>SP1</v>
          </cell>
          <cell r="E157" t="str">
            <v>H8</v>
          </cell>
          <cell r="F157">
            <v>43242</v>
          </cell>
          <cell r="G157" t="str">
            <v>NB</v>
          </cell>
          <cell r="I157">
            <v>347</v>
          </cell>
          <cell r="K157">
            <v>347</v>
          </cell>
          <cell r="N157">
            <v>26</v>
          </cell>
          <cell r="S157" t="str">
            <v>Y?</v>
          </cell>
          <cell r="T157">
            <v>100</v>
          </cell>
          <cell r="V157">
            <v>100</v>
          </cell>
          <cell r="W157" t="str">
            <v>7 BLASTO</v>
          </cell>
          <cell r="X157" t="str">
            <v>LV</v>
          </cell>
          <cell r="Y157" t="str">
            <v>TE</v>
          </cell>
          <cell r="Z157">
            <v>0</v>
          </cell>
          <cell r="AA157">
            <v>347</v>
          </cell>
          <cell r="AB157">
            <v>0</v>
          </cell>
          <cell r="AC157">
            <v>-1.472</v>
          </cell>
        </row>
        <row r="158">
          <cell r="A158" t="str">
            <v>SP2-D1-42972</v>
          </cell>
          <cell r="B158" t="str">
            <v>SP2-D1-42972</v>
          </cell>
          <cell r="C158">
            <v>42972</v>
          </cell>
          <cell r="D158" t="str">
            <v>SP2</v>
          </cell>
          <cell r="E158" t="str">
            <v>D1</v>
          </cell>
          <cell r="F158">
            <v>43244</v>
          </cell>
          <cell r="G158" t="str">
            <v>JY</v>
          </cell>
          <cell r="I158">
            <v>228</v>
          </cell>
          <cell r="K158">
            <v>228</v>
          </cell>
          <cell r="S158" t="str">
            <v>Y?</v>
          </cell>
          <cell r="T158">
            <v>100</v>
          </cell>
          <cell r="V158">
            <v>100</v>
          </cell>
          <cell r="X158" t="str">
            <v>LV</v>
          </cell>
          <cell r="Y158" t="str">
            <v>TE</v>
          </cell>
          <cell r="Z158">
            <v>0</v>
          </cell>
          <cell r="AA158">
            <v>228</v>
          </cell>
          <cell r="AB158">
            <v>0</v>
          </cell>
          <cell r="AC158">
            <v>-1.472</v>
          </cell>
        </row>
        <row r="159">
          <cell r="A159" t="str">
            <v>SP1-G5-42972</v>
          </cell>
          <cell r="B159" t="str">
            <v>SP1-G5-42972</v>
          </cell>
          <cell r="C159">
            <v>42972</v>
          </cell>
          <cell r="D159" t="str">
            <v>SP1</v>
          </cell>
          <cell r="E159" t="str">
            <v>G5</v>
          </cell>
          <cell r="F159">
            <v>43242</v>
          </cell>
          <cell r="G159" t="str">
            <v>NB</v>
          </cell>
          <cell r="H159">
            <v>0</v>
          </cell>
          <cell r="I159">
            <v>0</v>
          </cell>
          <cell r="J159">
            <v>0</v>
          </cell>
          <cell r="K159">
            <v>0</v>
          </cell>
          <cell r="L159">
            <v>0</v>
          </cell>
          <cell r="M159">
            <v>0</v>
          </cell>
          <cell r="N159">
            <v>0</v>
          </cell>
          <cell r="O159">
            <v>0</v>
          </cell>
          <cell r="P159">
            <v>0</v>
          </cell>
          <cell r="Q159">
            <v>0</v>
          </cell>
          <cell r="S159" t="str">
            <v>Y?</v>
          </cell>
          <cell r="T159">
            <v>100</v>
          </cell>
          <cell r="V159">
            <v>100</v>
          </cell>
          <cell r="X159" t="str">
            <v>LV</v>
          </cell>
          <cell r="Y159" t="str">
            <v>TE</v>
          </cell>
          <cell r="Z159">
            <v>0</v>
          </cell>
          <cell r="AA159">
            <v>0</v>
          </cell>
          <cell r="AB159">
            <v>0</v>
          </cell>
          <cell r="AC159">
            <v>-1.472</v>
          </cell>
        </row>
        <row r="160">
          <cell r="A160" t="str">
            <v>SP1-G1-42972</v>
          </cell>
          <cell r="B160" t="str">
            <v>SP1-G1-42972</v>
          </cell>
          <cell r="C160">
            <v>42972</v>
          </cell>
          <cell r="D160" t="str">
            <v>SP1</v>
          </cell>
          <cell r="E160" t="str">
            <v>G1</v>
          </cell>
          <cell r="F160">
            <v>43242</v>
          </cell>
          <cell r="G160" t="str">
            <v>JY</v>
          </cell>
          <cell r="H160">
            <v>2</v>
          </cell>
          <cell r="I160">
            <v>33</v>
          </cell>
          <cell r="J160">
            <v>1</v>
          </cell>
          <cell r="K160">
            <v>36</v>
          </cell>
          <cell r="S160" t="str">
            <v>Y?</v>
          </cell>
          <cell r="T160">
            <v>100</v>
          </cell>
          <cell r="V160">
            <v>100</v>
          </cell>
          <cell r="X160" t="str">
            <v>LV</v>
          </cell>
          <cell r="Y160" t="str">
            <v>TE</v>
          </cell>
          <cell r="Z160">
            <v>2</v>
          </cell>
          <cell r="AA160">
            <v>33</v>
          </cell>
          <cell r="AB160">
            <v>1</v>
          </cell>
          <cell r="AC160">
            <v>-1.472</v>
          </cell>
        </row>
        <row r="161">
          <cell r="A161" t="str">
            <v>SP1-B5-42972</v>
          </cell>
          <cell r="B161" t="str">
            <v>SP1-B5-42972</v>
          </cell>
          <cell r="C161">
            <v>42972</v>
          </cell>
          <cell r="D161" t="str">
            <v>SP1</v>
          </cell>
          <cell r="E161" t="str">
            <v>B5</v>
          </cell>
          <cell r="F161">
            <v>43242</v>
          </cell>
          <cell r="G161" t="str">
            <v>NB</v>
          </cell>
          <cell r="I161">
            <v>618</v>
          </cell>
          <cell r="K161">
            <v>618</v>
          </cell>
          <cell r="S161" t="str">
            <v>Y?</v>
          </cell>
          <cell r="T161">
            <v>100</v>
          </cell>
          <cell r="V161">
            <v>100</v>
          </cell>
          <cell r="X161" t="str">
            <v>LV</v>
          </cell>
          <cell r="Y161" t="str">
            <v>TE</v>
          </cell>
          <cell r="Z161">
            <v>0</v>
          </cell>
          <cell r="AA161">
            <v>618</v>
          </cell>
          <cell r="AB161">
            <v>0</v>
          </cell>
          <cell r="AC161">
            <v>-0.47199999999999998</v>
          </cell>
        </row>
        <row r="162">
          <cell r="A162" t="str">
            <v>SP2-G8-42972</v>
          </cell>
          <cell r="B162" t="str">
            <v>SP2-G8-42972</v>
          </cell>
          <cell r="C162">
            <v>42972</v>
          </cell>
          <cell r="D162" t="str">
            <v>SP2</v>
          </cell>
          <cell r="E162" t="str">
            <v>G8</v>
          </cell>
          <cell r="F162">
            <v>43242</v>
          </cell>
          <cell r="G162" t="str">
            <v>NB</v>
          </cell>
          <cell r="I162">
            <v>2668</v>
          </cell>
          <cell r="K162">
            <v>2668</v>
          </cell>
          <cell r="S162" t="str">
            <v>Y?</v>
          </cell>
          <cell r="T162">
            <v>100</v>
          </cell>
          <cell r="V162">
            <v>100</v>
          </cell>
          <cell r="X162" t="str">
            <v>LV</v>
          </cell>
          <cell r="Y162" t="str">
            <v>TE</v>
          </cell>
          <cell r="Z162">
            <v>0</v>
          </cell>
          <cell r="AA162">
            <v>2668</v>
          </cell>
          <cell r="AB162">
            <v>0</v>
          </cell>
          <cell r="AC162">
            <v>-1.472</v>
          </cell>
        </row>
        <row r="163">
          <cell r="A163" t="str">
            <v>SP2-A2-42972</v>
          </cell>
          <cell r="B163" t="str">
            <v>SP2-A2-42972</v>
          </cell>
          <cell r="C163">
            <v>42972</v>
          </cell>
          <cell r="D163" t="str">
            <v>SP2</v>
          </cell>
          <cell r="E163" t="str">
            <v>A2</v>
          </cell>
          <cell r="F163">
            <v>43242</v>
          </cell>
          <cell r="G163" t="str">
            <v>JY</v>
          </cell>
          <cell r="K163">
            <v>0</v>
          </cell>
          <cell r="R163">
            <v>1</v>
          </cell>
          <cell r="S163" t="str">
            <v>Y?</v>
          </cell>
          <cell r="T163">
            <v>100</v>
          </cell>
          <cell r="V163">
            <v>100</v>
          </cell>
          <cell r="W163" t="str">
            <v>thick and pollen but no eggs</v>
          </cell>
          <cell r="X163" t="str">
            <v>LV</v>
          </cell>
          <cell r="Y163" t="str">
            <v>TE</v>
          </cell>
          <cell r="Z163">
            <v>0</v>
          </cell>
          <cell r="AA163">
            <v>0</v>
          </cell>
          <cell r="AB163">
            <v>0</v>
          </cell>
          <cell r="AC163">
            <v>-1.472</v>
          </cell>
        </row>
        <row r="164">
          <cell r="A164" t="str">
            <v>SP1-C7-42972</v>
          </cell>
          <cell r="B164" t="str">
            <v>SP1-C7-42972</v>
          </cell>
          <cell r="C164">
            <v>42972</v>
          </cell>
          <cell r="D164" t="str">
            <v>SP1</v>
          </cell>
          <cell r="E164" t="str">
            <v>C7</v>
          </cell>
          <cell r="F164">
            <v>43474</v>
          </cell>
          <cell r="G164" t="str">
            <v>LV</v>
          </cell>
          <cell r="K164">
            <v>0</v>
          </cell>
          <cell r="N164">
            <v>63</v>
          </cell>
          <cell r="O164">
            <v>1</v>
          </cell>
          <cell r="P164">
            <v>1</v>
          </cell>
          <cell r="R164">
            <v>1</v>
          </cell>
          <cell r="S164" t="str">
            <v>Y</v>
          </cell>
          <cell r="T164">
            <v>50</v>
          </cell>
          <cell r="V164">
            <v>100</v>
          </cell>
          <cell r="X164" t="str">
            <v>LV</v>
          </cell>
          <cell r="Y164" t="str">
            <v>TE</v>
          </cell>
          <cell r="Z164">
            <v>0</v>
          </cell>
          <cell r="AA164">
            <v>0</v>
          </cell>
          <cell r="AB164">
            <v>0</v>
          </cell>
          <cell r="AC164">
            <v>-0.47199999999999998</v>
          </cell>
        </row>
        <row r="165">
          <cell r="A165" t="str">
            <v>SP2-D7-42973</v>
          </cell>
          <cell r="B165" t="str">
            <v>SP2-D7-42973</v>
          </cell>
          <cell r="C165">
            <v>42973</v>
          </cell>
          <cell r="D165" t="str">
            <v>SP2</v>
          </cell>
          <cell r="E165" t="str">
            <v>D7</v>
          </cell>
          <cell r="F165">
            <v>43499</v>
          </cell>
          <cell r="G165" t="str">
            <v>TE</v>
          </cell>
          <cell r="H165">
            <v>0</v>
          </cell>
          <cell r="I165">
            <v>0</v>
          </cell>
          <cell r="J165">
            <v>0</v>
          </cell>
          <cell r="K165">
            <v>0</v>
          </cell>
          <cell r="L165">
            <v>0</v>
          </cell>
          <cell r="M165">
            <v>0</v>
          </cell>
          <cell r="N165">
            <v>0</v>
          </cell>
          <cell r="O165">
            <v>0</v>
          </cell>
          <cell r="P165">
            <v>0</v>
          </cell>
          <cell r="Q165">
            <v>0</v>
          </cell>
          <cell r="R165">
            <v>0</v>
          </cell>
          <cell r="S165" t="str">
            <v>Y</v>
          </cell>
          <cell r="T165">
            <v>50</v>
          </cell>
          <cell r="V165">
            <v>100</v>
          </cell>
          <cell r="X165" t="str">
            <v>JY</v>
          </cell>
          <cell r="Y165" t="str">
            <v>TE</v>
          </cell>
          <cell r="Z165">
            <v>0</v>
          </cell>
          <cell r="AA165">
            <v>0</v>
          </cell>
          <cell r="AB165">
            <v>0</v>
          </cell>
          <cell r="AC165">
            <v>-1.472</v>
          </cell>
        </row>
        <row r="166">
          <cell r="A166" t="str">
            <v>SP1-B7-42973</v>
          </cell>
          <cell r="B166" t="str">
            <v>SP1-B7-42973</v>
          </cell>
          <cell r="C166">
            <v>42973</v>
          </cell>
          <cell r="D166" t="str">
            <v>SP1</v>
          </cell>
          <cell r="E166" t="str">
            <v>B7</v>
          </cell>
          <cell r="F166">
            <v>43209</v>
          </cell>
          <cell r="G166" t="str">
            <v>LV</v>
          </cell>
          <cell r="H166">
            <v>40</v>
          </cell>
          <cell r="I166">
            <v>692</v>
          </cell>
          <cell r="J166">
            <v>15</v>
          </cell>
          <cell r="K166">
            <v>747</v>
          </cell>
          <cell r="R166">
            <v>1</v>
          </cell>
          <cell r="S166" t="str">
            <v>Y?</v>
          </cell>
          <cell r="T166">
            <v>100</v>
          </cell>
          <cell r="V166">
            <v>100</v>
          </cell>
          <cell r="X166" t="str">
            <v>LV</v>
          </cell>
          <cell r="Y166" t="str">
            <v>TE</v>
          </cell>
          <cell r="Z166">
            <v>40</v>
          </cell>
          <cell r="AA166">
            <v>692</v>
          </cell>
          <cell r="AB166">
            <v>15</v>
          </cell>
          <cell r="AC166">
            <v>-0.47199999999999998</v>
          </cell>
        </row>
        <row r="167">
          <cell r="A167" t="str">
            <v>PO2-B2-42975</v>
          </cell>
          <cell r="B167" t="str">
            <v>PO2-B2-42975</v>
          </cell>
          <cell r="C167">
            <v>42975</v>
          </cell>
          <cell r="D167" t="str">
            <v>PO2</v>
          </cell>
          <cell r="E167" t="str">
            <v>B2</v>
          </cell>
          <cell r="F167">
            <v>43210</v>
          </cell>
          <cell r="G167" t="str">
            <v>TE</v>
          </cell>
          <cell r="I167">
            <v>10</v>
          </cell>
          <cell r="J167">
            <v>33</v>
          </cell>
          <cell r="K167">
            <v>43</v>
          </cell>
          <cell r="O167">
            <v>1</v>
          </cell>
          <cell r="S167" t="str">
            <v>Y?</v>
          </cell>
          <cell r="T167">
            <v>100</v>
          </cell>
          <cell r="V167">
            <v>100</v>
          </cell>
          <cell r="X167" t="str">
            <v>LV</v>
          </cell>
          <cell r="Y167" t="str">
            <v>TE</v>
          </cell>
          <cell r="Z167">
            <v>0</v>
          </cell>
          <cell r="AA167">
            <v>10</v>
          </cell>
          <cell r="AB167">
            <v>33</v>
          </cell>
          <cell r="AC167">
            <v>-1.472</v>
          </cell>
        </row>
        <row r="168">
          <cell r="A168" t="str">
            <v>PO1-H1-42975</v>
          </cell>
          <cell r="B168" t="str">
            <v>PO1-H1-42975</v>
          </cell>
          <cell r="C168">
            <v>42975</v>
          </cell>
          <cell r="D168" t="str">
            <v>PO1</v>
          </cell>
          <cell r="E168" t="str">
            <v>H1</v>
          </cell>
          <cell r="F168">
            <v>43478</v>
          </cell>
          <cell r="G168" t="str">
            <v>LV</v>
          </cell>
          <cell r="H168">
            <v>110</v>
          </cell>
          <cell r="I168">
            <v>508</v>
          </cell>
          <cell r="J168">
            <v>6</v>
          </cell>
          <cell r="K168">
            <v>624</v>
          </cell>
          <cell r="Q168">
            <v>121</v>
          </cell>
          <cell r="S168" t="str">
            <v>Y</v>
          </cell>
          <cell r="T168">
            <v>50</v>
          </cell>
          <cell r="V168">
            <v>100</v>
          </cell>
          <cell r="W168" t="str">
            <v xml:space="preserve">412 Blastocystis </v>
          </cell>
          <cell r="X168" t="str">
            <v>LV</v>
          </cell>
          <cell r="Y168" t="str">
            <v>TE</v>
          </cell>
          <cell r="Z168">
            <v>110</v>
          </cell>
          <cell r="AA168">
            <v>508</v>
          </cell>
          <cell r="AB168">
            <v>6</v>
          </cell>
          <cell r="AC168">
            <v>-1.472</v>
          </cell>
        </row>
        <row r="169">
          <cell r="A169" t="str">
            <v>PO2-G1-42975</v>
          </cell>
          <cell r="B169" t="str">
            <v>PO2-G1-42975</v>
          </cell>
          <cell r="C169">
            <v>42975</v>
          </cell>
          <cell r="D169" t="str">
            <v>PO2</v>
          </cell>
          <cell r="E169" t="str">
            <v>G1</v>
          </cell>
          <cell r="F169">
            <v>43475</v>
          </cell>
          <cell r="G169" t="str">
            <v>LV</v>
          </cell>
          <cell r="I169">
            <v>2</v>
          </cell>
          <cell r="K169">
            <v>2</v>
          </cell>
          <cell r="S169" t="str">
            <v>Y</v>
          </cell>
          <cell r="T169">
            <v>50</v>
          </cell>
          <cell r="V169">
            <v>100</v>
          </cell>
          <cell r="X169" t="str">
            <v>LV</v>
          </cell>
          <cell r="Y169" t="str">
            <v>TE</v>
          </cell>
          <cell r="Z169">
            <v>0</v>
          </cell>
          <cell r="AA169">
            <v>2</v>
          </cell>
          <cell r="AB169">
            <v>0</v>
          </cell>
          <cell r="AC169">
            <v>-1.472</v>
          </cell>
        </row>
        <row r="170">
          <cell r="A170" t="str">
            <v>PO2-G7-42975</v>
          </cell>
          <cell r="B170" t="str">
            <v>PO2-G7-42975</v>
          </cell>
          <cell r="C170">
            <v>42975</v>
          </cell>
          <cell r="D170" t="str">
            <v>PO2</v>
          </cell>
          <cell r="E170" t="str">
            <v>G7</v>
          </cell>
          <cell r="F170">
            <v>43210</v>
          </cell>
          <cell r="G170" t="str">
            <v>NB</v>
          </cell>
          <cell r="H170">
            <v>0</v>
          </cell>
          <cell r="I170">
            <v>0</v>
          </cell>
          <cell r="J170">
            <v>0</v>
          </cell>
          <cell r="K170">
            <v>0</v>
          </cell>
          <cell r="L170">
            <v>0</v>
          </cell>
          <cell r="M170">
            <v>0</v>
          </cell>
          <cell r="N170">
            <v>0</v>
          </cell>
          <cell r="O170">
            <v>0</v>
          </cell>
          <cell r="P170">
            <v>0</v>
          </cell>
          <cell r="Q170">
            <v>0</v>
          </cell>
          <cell r="S170" t="str">
            <v>Y?</v>
          </cell>
          <cell r="T170">
            <v>100</v>
          </cell>
          <cell r="V170">
            <v>100</v>
          </cell>
          <cell r="X170" t="str">
            <v>LV</v>
          </cell>
          <cell r="Y170" t="str">
            <v>TE</v>
          </cell>
          <cell r="Z170">
            <v>0</v>
          </cell>
          <cell r="AA170">
            <v>0</v>
          </cell>
          <cell r="AB170">
            <v>0</v>
          </cell>
          <cell r="AC170">
            <v>-1.472</v>
          </cell>
        </row>
        <row r="171">
          <cell r="A171" t="str">
            <v>PO2-C4-42975</v>
          </cell>
          <cell r="B171" t="str">
            <v>PO2-C4-42975</v>
          </cell>
          <cell r="C171">
            <v>42975</v>
          </cell>
          <cell r="D171" t="str">
            <v>PO2</v>
          </cell>
          <cell r="E171" t="str">
            <v>C4</v>
          </cell>
          <cell r="F171">
            <v>43483</v>
          </cell>
          <cell r="G171" t="str">
            <v>NB</v>
          </cell>
          <cell r="H171">
            <v>84</v>
          </cell>
          <cell r="J171">
            <v>34</v>
          </cell>
          <cell r="K171">
            <v>118</v>
          </cell>
          <cell r="S171" t="str">
            <v>Y</v>
          </cell>
          <cell r="T171">
            <v>50</v>
          </cell>
          <cell r="V171">
            <v>100</v>
          </cell>
          <cell r="X171" t="str">
            <v>LV</v>
          </cell>
          <cell r="Y171" t="str">
            <v>TE</v>
          </cell>
          <cell r="Z171">
            <v>84</v>
          </cell>
          <cell r="AA171">
            <v>0</v>
          </cell>
          <cell r="AB171">
            <v>34</v>
          </cell>
          <cell r="AC171">
            <v>-1.472</v>
          </cell>
        </row>
        <row r="172">
          <cell r="A172" t="str">
            <v>PO1-D5-42975</v>
          </cell>
          <cell r="B172" t="str">
            <v>PO1-D5-42975</v>
          </cell>
          <cell r="C172">
            <v>42975</v>
          </cell>
          <cell r="D172" t="str">
            <v>PO1</v>
          </cell>
          <cell r="E172" t="str">
            <v>D5</v>
          </cell>
          <cell r="F172">
            <v>43487</v>
          </cell>
          <cell r="G172" t="str">
            <v>LV</v>
          </cell>
          <cell r="H172">
            <v>174</v>
          </cell>
          <cell r="I172">
            <v>1578</v>
          </cell>
          <cell r="J172">
            <v>96</v>
          </cell>
          <cell r="K172">
            <v>1848</v>
          </cell>
          <cell r="P172">
            <v>1</v>
          </cell>
          <cell r="Q172">
            <v>164</v>
          </cell>
          <cell r="S172" t="str">
            <v>Y</v>
          </cell>
          <cell r="T172">
            <v>50</v>
          </cell>
          <cell r="V172">
            <v>100</v>
          </cell>
          <cell r="X172" t="str">
            <v>LV</v>
          </cell>
          <cell r="Y172" t="str">
            <v>TE</v>
          </cell>
          <cell r="Z172">
            <v>174</v>
          </cell>
          <cell r="AA172">
            <v>1578</v>
          </cell>
          <cell r="AB172">
            <v>96</v>
          </cell>
          <cell r="AC172">
            <v>-1.472</v>
          </cell>
        </row>
        <row r="173">
          <cell r="A173" t="str">
            <v>PO2-E3-42975</v>
          </cell>
          <cell r="B173" t="str">
            <v>PO2-E3-42975</v>
          </cell>
          <cell r="C173">
            <v>42975</v>
          </cell>
          <cell r="D173" t="str">
            <v>PO2</v>
          </cell>
          <cell r="E173" t="str">
            <v>E3</v>
          </cell>
          <cell r="F173">
            <v>43483</v>
          </cell>
          <cell r="G173" t="str">
            <v>NB</v>
          </cell>
          <cell r="H173">
            <v>540</v>
          </cell>
          <cell r="J173">
            <v>404</v>
          </cell>
          <cell r="K173">
            <v>944</v>
          </cell>
          <cell r="S173" t="str">
            <v>Y</v>
          </cell>
          <cell r="T173">
            <v>50</v>
          </cell>
          <cell r="V173">
            <v>100</v>
          </cell>
          <cell r="X173" t="str">
            <v>LV</v>
          </cell>
          <cell r="Y173" t="str">
            <v>TE</v>
          </cell>
          <cell r="Z173">
            <v>540</v>
          </cell>
          <cell r="AA173">
            <v>0</v>
          </cell>
          <cell r="AB173">
            <v>404</v>
          </cell>
          <cell r="AC173">
            <v>-0.47199999999999998</v>
          </cell>
        </row>
        <row r="174">
          <cell r="A174" t="str">
            <v>PO2-C6-42975</v>
          </cell>
          <cell r="B174" t="str">
            <v>PO2-C6-42975</v>
          </cell>
          <cell r="C174">
            <v>42975</v>
          </cell>
          <cell r="D174" t="str">
            <v>PO2</v>
          </cell>
          <cell r="E174" t="str">
            <v>C6</v>
          </cell>
          <cell r="F174">
            <v>43478</v>
          </cell>
          <cell r="G174" t="str">
            <v>LV</v>
          </cell>
          <cell r="H174">
            <v>378</v>
          </cell>
          <cell r="I174">
            <v>2406</v>
          </cell>
          <cell r="J174">
            <v>62</v>
          </cell>
          <cell r="K174">
            <v>2846</v>
          </cell>
          <cell r="O174">
            <v>2</v>
          </cell>
          <cell r="S174" t="str">
            <v>Y</v>
          </cell>
          <cell r="T174">
            <v>50</v>
          </cell>
          <cell r="V174">
            <v>100</v>
          </cell>
          <cell r="X174" t="str">
            <v>LV</v>
          </cell>
          <cell r="Y174" t="str">
            <v>TE</v>
          </cell>
          <cell r="Z174">
            <v>378</v>
          </cell>
          <cell r="AA174">
            <v>2406</v>
          </cell>
          <cell r="AB174">
            <v>62</v>
          </cell>
          <cell r="AC174">
            <v>-1.472</v>
          </cell>
        </row>
        <row r="175">
          <cell r="A175" t="str">
            <v>PO2-A5-42975</v>
          </cell>
          <cell r="B175" t="str">
            <v>PO2-A5-42975</v>
          </cell>
          <cell r="C175">
            <v>42975</v>
          </cell>
          <cell r="D175" t="str">
            <v>PO2</v>
          </cell>
          <cell r="E175" t="str">
            <v>A5</v>
          </cell>
          <cell r="F175">
            <v>43210</v>
          </cell>
          <cell r="G175" t="str">
            <v>NB</v>
          </cell>
          <cell r="H175">
            <v>0</v>
          </cell>
          <cell r="I175">
            <v>0</v>
          </cell>
          <cell r="J175">
            <v>0</v>
          </cell>
          <cell r="K175">
            <v>0</v>
          </cell>
          <cell r="L175">
            <v>0</v>
          </cell>
          <cell r="M175">
            <v>0</v>
          </cell>
          <cell r="N175">
            <v>0</v>
          </cell>
          <cell r="O175">
            <v>0</v>
          </cell>
          <cell r="P175">
            <v>0</v>
          </cell>
          <cell r="Q175">
            <v>0</v>
          </cell>
          <cell r="S175" t="str">
            <v>Y?</v>
          </cell>
          <cell r="T175">
            <v>100</v>
          </cell>
          <cell r="V175">
            <v>100</v>
          </cell>
          <cell r="X175" t="str">
            <v>LV</v>
          </cell>
          <cell r="Y175" t="str">
            <v>TE</v>
          </cell>
          <cell r="Z175">
            <v>0</v>
          </cell>
          <cell r="AA175">
            <v>0</v>
          </cell>
          <cell r="AB175">
            <v>0</v>
          </cell>
          <cell r="AC175">
            <v>-1.472</v>
          </cell>
        </row>
        <row r="176">
          <cell r="A176" t="str">
            <v>PO2-A3-42975</v>
          </cell>
          <cell r="B176" t="str">
            <v>PO2-A3-42975</v>
          </cell>
          <cell r="C176">
            <v>42975</v>
          </cell>
          <cell r="D176" t="str">
            <v>PO2</v>
          </cell>
          <cell r="E176" t="str">
            <v>A3</v>
          </cell>
          <cell r="F176">
            <v>43447</v>
          </cell>
          <cell r="G176" t="str">
            <v>LV</v>
          </cell>
          <cell r="H176">
            <v>48</v>
          </cell>
          <cell r="I176">
            <v>438</v>
          </cell>
          <cell r="K176">
            <v>486</v>
          </cell>
          <cell r="S176" t="str">
            <v>Y</v>
          </cell>
          <cell r="T176">
            <v>50</v>
          </cell>
          <cell r="V176">
            <v>100</v>
          </cell>
          <cell r="X176" t="str">
            <v>TE</v>
          </cell>
          <cell r="Y176" t="str">
            <v xml:space="preserve">LV </v>
          </cell>
          <cell r="Z176">
            <v>48</v>
          </cell>
          <cell r="AA176">
            <v>438</v>
          </cell>
          <cell r="AB176">
            <v>0</v>
          </cell>
          <cell r="AC176">
            <v>-1.472</v>
          </cell>
        </row>
        <row r="177">
          <cell r="A177" t="str">
            <v>PO1-B1-42975</v>
          </cell>
          <cell r="B177" t="str">
            <v>PO1-B1-42975</v>
          </cell>
          <cell r="C177">
            <v>42975</v>
          </cell>
          <cell r="D177" t="str">
            <v>PO1</v>
          </cell>
          <cell r="E177" t="str">
            <v>B1</v>
          </cell>
          <cell r="F177">
            <v>43483</v>
          </cell>
          <cell r="G177" t="str">
            <v>NB</v>
          </cell>
          <cell r="H177">
            <v>2</v>
          </cell>
          <cell r="K177">
            <v>2</v>
          </cell>
          <cell r="L177">
            <v>2</v>
          </cell>
          <cell r="S177" t="str">
            <v>Y</v>
          </cell>
          <cell r="T177">
            <v>50</v>
          </cell>
          <cell r="V177">
            <v>100</v>
          </cell>
          <cell r="X177" t="str">
            <v>LV</v>
          </cell>
          <cell r="Y177" t="str">
            <v>TE</v>
          </cell>
          <cell r="Z177">
            <v>2</v>
          </cell>
          <cell r="AA177">
            <v>0</v>
          </cell>
          <cell r="AB177">
            <v>0</v>
          </cell>
          <cell r="AC177">
            <v>-0.47199999999999998</v>
          </cell>
        </row>
        <row r="178">
          <cell r="A178" t="str">
            <v>PO1-H7-42975</v>
          </cell>
          <cell r="B178" t="str">
            <v>PO1-H7-42975</v>
          </cell>
          <cell r="C178">
            <v>42975</v>
          </cell>
          <cell r="D178" t="str">
            <v>PO1</v>
          </cell>
          <cell r="E178" t="str">
            <v>H7</v>
          </cell>
          <cell r="F178">
            <v>43209</v>
          </cell>
          <cell r="G178" t="str">
            <v>LV</v>
          </cell>
          <cell r="H178">
            <v>0</v>
          </cell>
          <cell r="I178">
            <v>0</v>
          </cell>
          <cell r="J178">
            <v>0</v>
          </cell>
          <cell r="K178">
            <v>0</v>
          </cell>
          <cell r="L178">
            <v>0</v>
          </cell>
          <cell r="M178">
            <v>0</v>
          </cell>
          <cell r="N178">
            <v>0</v>
          </cell>
          <cell r="O178">
            <v>0</v>
          </cell>
          <cell r="P178">
            <v>0</v>
          </cell>
          <cell r="Q178">
            <v>0</v>
          </cell>
          <cell r="S178" t="str">
            <v>Y?</v>
          </cell>
          <cell r="T178">
            <v>100</v>
          </cell>
          <cell r="V178">
            <v>100</v>
          </cell>
          <cell r="X178" t="str">
            <v>LV</v>
          </cell>
          <cell r="Y178" t="str">
            <v>TE</v>
          </cell>
          <cell r="Z178">
            <v>0</v>
          </cell>
          <cell r="AA178">
            <v>0</v>
          </cell>
          <cell r="AB178">
            <v>0</v>
          </cell>
          <cell r="AC178">
            <v>-1.472</v>
          </cell>
        </row>
        <row r="179">
          <cell r="A179" t="str">
            <v>PO2-B8-42975</v>
          </cell>
          <cell r="B179" t="str">
            <v>PO2-B8-42975</v>
          </cell>
          <cell r="C179">
            <v>42975</v>
          </cell>
          <cell r="D179" t="str">
            <v>PO2</v>
          </cell>
          <cell r="E179" t="str">
            <v>B8</v>
          </cell>
          <cell r="F179">
            <v>43476</v>
          </cell>
          <cell r="G179" t="str">
            <v>LV</v>
          </cell>
          <cell r="H179">
            <v>0</v>
          </cell>
          <cell r="I179">
            <v>0</v>
          </cell>
          <cell r="J179">
            <v>0</v>
          </cell>
          <cell r="K179">
            <v>0</v>
          </cell>
          <cell r="L179">
            <v>0</v>
          </cell>
          <cell r="M179">
            <v>0</v>
          </cell>
          <cell r="N179">
            <v>0</v>
          </cell>
          <cell r="O179">
            <v>0</v>
          </cell>
          <cell r="P179">
            <v>0</v>
          </cell>
          <cell r="Q179">
            <v>0</v>
          </cell>
          <cell r="R179">
            <v>0</v>
          </cell>
          <cell r="S179" t="str">
            <v>Y</v>
          </cell>
          <cell r="T179">
            <v>50</v>
          </cell>
          <cell r="V179">
            <v>100</v>
          </cell>
          <cell r="X179" t="str">
            <v>LV</v>
          </cell>
          <cell r="Y179" t="str">
            <v>TE</v>
          </cell>
          <cell r="Z179">
            <v>0</v>
          </cell>
          <cell r="AA179">
            <v>0</v>
          </cell>
          <cell r="AB179">
            <v>0</v>
          </cell>
          <cell r="AC179">
            <v>-1.472</v>
          </cell>
        </row>
        <row r="180">
          <cell r="A180" t="str">
            <v>PO1-A7-42976</v>
          </cell>
          <cell r="B180" t="str">
            <v>PO1-A7-42976</v>
          </cell>
          <cell r="C180">
            <v>42976</v>
          </cell>
          <cell r="D180" t="str">
            <v>P01</v>
          </cell>
          <cell r="E180" t="str">
            <v>A7</v>
          </cell>
          <cell r="F180">
            <v>43500</v>
          </cell>
          <cell r="G180" t="str">
            <v>TE</v>
          </cell>
          <cell r="H180">
            <v>22</v>
          </cell>
          <cell r="I180">
            <v>28</v>
          </cell>
          <cell r="J180">
            <v>28</v>
          </cell>
          <cell r="K180">
            <v>78</v>
          </cell>
          <cell r="S180" t="str">
            <v>Y</v>
          </cell>
          <cell r="T180">
            <v>50</v>
          </cell>
          <cell r="V180">
            <v>100</v>
          </cell>
          <cell r="X180" t="str">
            <v>JY</v>
          </cell>
          <cell r="Y180" t="str">
            <v>TE</v>
          </cell>
          <cell r="Z180">
            <v>22</v>
          </cell>
          <cell r="AA180">
            <v>28</v>
          </cell>
          <cell r="AB180">
            <v>28</v>
          </cell>
          <cell r="AC180">
            <v>-0.47199999999999998</v>
          </cell>
        </row>
        <row r="181">
          <cell r="A181" t="str">
            <v>PO1-F5-42976</v>
          </cell>
          <cell r="B181" t="str">
            <v>PO1-F5-42976</v>
          </cell>
          <cell r="C181">
            <v>42976</v>
          </cell>
          <cell r="D181" t="str">
            <v>PO1</v>
          </cell>
          <cell r="E181" t="str">
            <v>F5</v>
          </cell>
          <cell r="F181">
            <v>43487</v>
          </cell>
          <cell r="G181" t="str">
            <v>LV</v>
          </cell>
          <cell r="I181">
            <v>10</v>
          </cell>
          <cell r="K181">
            <v>10</v>
          </cell>
          <cell r="N181">
            <v>116</v>
          </cell>
          <cell r="S181" t="str">
            <v>Y</v>
          </cell>
          <cell r="T181">
            <v>50</v>
          </cell>
          <cell r="V181">
            <v>100</v>
          </cell>
          <cell r="X181" t="str">
            <v>LV</v>
          </cell>
          <cell r="Y181" t="str">
            <v>TE</v>
          </cell>
          <cell r="Z181">
            <v>0</v>
          </cell>
          <cell r="AA181">
            <v>10</v>
          </cell>
          <cell r="AB181">
            <v>0</v>
          </cell>
          <cell r="AC181">
            <v>-1.472</v>
          </cell>
        </row>
        <row r="182">
          <cell r="A182" t="str">
            <v>PO1-E4-42976</v>
          </cell>
          <cell r="B182" t="str">
            <v>PO1-E4-42976</v>
          </cell>
          <cell r="C182">
            <v>42976</v>
          </cell>
          <cell r="D182" t="str">
            <v>PO1</v>
          </cell>
          <cell r="E182" t="str">
            <v>E4</v>
          </cell>
          <cell r="F182">
            <v>43487</v>
          </cell>
          <cell r="G182" t="str">
            <v>LV</v>
          </cell>
          <cell r="I182">
            <v>64</v>
          </cell>
          <cell r="K182">
            <v>64</v>
          </cell>
          <cell r="S182" t="str">
            <v>Y</v>
          </cell>
          <cell r="T182">
            <v>50</v>
          </cell>
          <cell r="V182">
            <v>100</v>
          </cell>
          <cell r="X182" t="str">
            <v>LV</v>
          </cell>
          <cell r="Y182" t="str">
            <v>TE</v>
          </cell>
          <cell r="Z182">
            <v>0</v>
          </cell>
          <cell r="AA182">
            <v>64</v>
          </cell>
          <cell r="AB182">
            <v>0</v>
          </cell>
          <cell r="AC182">
            <v>-1.472</v>
          </cell>
        </row>
        <row r="183">
          <cell r="A183" t="str">
            <v>PO1-H1-42976</v>
          </cell>
          <cell r="B183" t="str">
            <v>PO1-H1-42976</v>
          </cell>
          <cell r="C183">
            <v>42976</v>
          </cell>
          <cell r="D183" t="str">
            <v>P01</v>
          </cell>
          <cell r="E183" t="str">
            <v>H1</v>
          </cell>
          <cell r="F183">
            <v>43500</v>
          </cell>
          <cell r="G183" t="str">
            <v>JY</v>
          </cell>
          <cell r="H183">
            <v>2</v>
          </cell>
          <cell r="I183">
            <v>48</v>
          </cell>
          <cell r="J183">
            <v>2</v>
          </cell>
          <cell r="K183">
            <v>52</v>
          </cell>
          <cell r="Q183">
            <v>66</v>
          </cell>
          <cell r="S183" t="str">
            <v>Y</v>
          </cell>
          <cell r="T183">
            <v>50</v>
          </cell>
          <cell r="V183">
            <v>100</v>
          </cell>
          <cell r="X183" t="str">
            <v>JY</v>
          </cell>
          <cell r="Y183" t="str">
            <v>TE</v>
          </cell>
          <cell r="Z183">
            <v>2</v>
          </cell>
          <cell r="AA183">
            <v>48</v>
          </cell>
          <cell r="AB183">
            <v>2</v>
          </cell>
          <cell r="AC183">
            <v>-0.47199999999999998</v>
          </cell>
        </row>
        <row r="184">
          <cell r="A184" t="str">
            <v>PO2-A3-42976</v>
          </cell>
          <cell r="B184" t="str">
            <v>PO2-A3-42976</v>
          </cell>
          <cell r="C184">
            <v>42976</v>
          </cell>
          <cell r="D184" t="str">
            <v>PO2</v>
          </cell>
          <cell r="E184" t="str">
            <v>A3</v>
          </cell>
          <cell r="F184">
            <v>43488</v>
          </cell>
          <cell r="G184" t="str">
            <v>LV</v>
          </cell>
          <cell r="H184">
            <v>34</v>
          </cell>
          <cell r="I184">
            <v>496</v>
          </cell>
          <cell r="J184">
            <v>96</v>
          </cell>
          <cell r="K184">
            <v>626</v>
          </cell>
          <cell r="L184">
            <v>5</v>
          </cell>
          <cell r="P184">
            <v>2</v>
          </cell>
          <cell r="S184" t="str">
            <v>Y</v>
          </cell>
          <cell r="T184">
            <v>50</v>
          </cell>
          <cell r="V184">
            <v>100</v>
          </cell>
          <cell r="X184" t="str">
            <v>LV</v>
          </cell>
          <cell r="Y184" t="str">
            <v>TE</v>
          </cell>
          <cell r="Z184">
            <v>34</v>
          </cell>
          <cell r="AA184">
            <v>496</v>
          </cell>
          <cell r="AB184">
            <v>96</v>
          </cell>
          <cell r="AC184">
            <v>-1.472</v>
          </cell>
        </row>
        <row r="185">
          <cell r="A185" t="str">
            <v>PO1-B5-42977</v>
          </cell>
          <cell r="B185" t="str">
            <v>PO1-B5-42977</v>
          </cell>
          <cell r="C185">
            <v>42977</v>
          </cell>
          <cell r="D185" t="str">
            <v>PO1</v>
          </cell>
          <cell r="E185" t="str">
            <v>B5</v>
          </cell>
          <cell r="F185">
            <v>43488</v>
          </cell>
          <cell r="G185" t="str">
            <v>LV</v>
          </cell>
          <cell r="H185">
            <v>4</v>
          </cell>
          <cell r="I185">
            <v>70</v>
          </cell>
          <cell r="K185">
            <v>74</v>
          </cell>
          <cell r="R185">
            <v>14</v>
          </cell>
          <cell r="S185" t="str">
            <v>Y</v>
          </cell>
          <cell r="T185">
            <v>50</v>
          </cell>
          <cell r="V185">
            <v>100</v>
          </cell>
          <cell r="X185" t="str">
            <v>LV</v>
          </cell>
          <cell r="Y185" t="str">
            <v>TE</v>
          </cell>
          <cell r="Z185">
            <v>4</v>
          </cell>
          <cell r="AA185">
            <v>70</v>
          </cell>
          <cell r="AB185">
            <v>0</v>
          </cell>
          <cell r="AC185">
            <v>-1.472</v>
          </cell>
        </row>
        <row r="186">
          <cell r="A186" t="str">
            <v>PO2-G8-42977</v>
          </cell>
          <cell r="B186" t="str">
            <v>PO2-G8-42977</v>
          </cell>
          <cell r="C186">
            <v>42977</v>
          </cell>
          <cell r="D186" t="str">
            <v>PO2</v>
          </cell>
          <cell r="E186" t="str">
            <v>G8</v>
          </cell>
          <cell r="F186">
            <v>43488</v>
          </cell>
          <cell r="G186" t="str">
            <v>LV</v>
          </cell>
          <cell r="H186">
            <v>18</v>
          </cell>
          <cell r="I186">
            <v>130</v>
          </cell>
          <cell r="K186">
            <v>148</v>
          </cell>
          <cell r="L186">
            <v>6</v>
          </cell>
          <cell r="N186">
            <v>1119</v>
          </cell>
          <cell r="S186" t="str">
            <v>Y</v>
          </cell>
          <cell r="T186">
            <v>50</v>
          </cell>
          <cell r="V186">
            <v>100</v>
          </cell>
          <cell r="X186" t="str">
            <v>LV</v>
          </cell>
          <cell r="Y186" t="str">
            <v>TE</v>
          </cell>
          <cell r="Z186">
            <v>18</v>
          </cell>
          <cell r="AA186">
            <v>130</v>
          </cell>
          <cell r="AB186">
            <v>0</v>
          </cell>
          <cell r="AC186">
            <v>-1.472</v>
          </cell>
        </row>
        <row r="187">
          <cell r="A187" t="str">
            <v>PO1-C2-43248</v>
          </cell>
          <cell r="B187" t="str">
            <v>PO1-C2-43248</v>
          </cell>
          <cell r="C187">
            <v>43248</v>
          </cell>
          <cell r="D187" t="str">
            <v>PO1</v>
          </cell>
          <cell r="E187" t="str">
            <v>C2</v>
          </cell>
          <cell r="F187">
            <v>43257</v>
          </cell>
          <cell r="G187" t="str">
            <v>DP</v>
          </cell>
          <cell r="I187">
            <v>152</v>
          </cell>
          <cell r="K187">
            <v>152</v>
          </cell>
          <cell r="L187">
            <v>0</v>
          </cell>
          <cell r="M187">
            <v>0</v>
          </cell>
          <cell r="N187">
            <v>0</v>
          </cell>
          <cell r="O187">
            <v>0</v>
          </cell>
          <cell r="P187">
            <v>0</v>
          </cell>
          <cell r="Q187">
            <v>0</v>
          </cell>
          <cell r="R187">
            <v>0</v>
          </cell>
          <cell r="S187" t="str">
            <v>N</v>
          </cell>
          <cell r="T187">
            <v>25</v>
          </cell>
          <cell r="V187">
            <v>100</v>
          </cell>
          <cell r="W187" t="str">
            <v>1/4 Counted for Coccidia</v>
          </cell>
          <cell r="X187" t="str">
            <v>DP</v>
          </cell>
          <cell r="Y187" t="str">
            <v>TE</v>
          </cell>
          <cell r="Z187">
            <v>0</v>
          </cell>
          <cell r="AA187">
            <v>152</v>
          </cell>
          <cell r="AB187">
            <v>0</v>
          </cell>
          <cell r="AC187">
            <v>0.3580000000000001</v>
          </cell>
        </row>
        <row r="188">
          <cell r="A188" t="str">
            <v>PO2-H5-43248</v>
          </cell>
          <cell r="B188" t="str">
            <v>PO2-H5-43248</v>
          </cell>
          <cell r="C188">
            <v>43248</v>
          </cell>
          <cell r="D188" t="str">
            <v>PO2</v>
          </cell>
          <cell r="E188" t="str">
            <v>H5</v>
          </cell>
          <cell r="F188">
            <v>43257</v>
          </cell>
          <cell r="G188" t="str">
            <v>DP</v>
          </cell>
          <cell r="H188">
            <v>12</v>
          </cell>
          <cell r="I188">
            <v>92</v>
          </cell>
          <cell r="J188">
            <v>28</v>
          </cell>
          <cell r="K188">
            <v>132</v>
          </cell>
          <cell r="L188">
            <v>0</v>
          </cell>
          <cell r="M188">
            <v>0</v>
          </cell>
          <cell r="N188">
            <v>0</v>
          </cell>
          <cell r="O188">
            <v>0</v>
          </cell>
          <cell r="P188">
            <v>0</v>
          </cell>
          <cell r="Q188">
            <v>0</v>
          </cell>
          <cell r="R188">
            <v>0</v>
          </cell>
          <cell r="S188" t="str">
            <v>N</v>
          </cell>
          <cell r="T188">
            <v>25</v>
          </cell>
          <cell r="V188">
            <v>100</v>
          </cell>
          <cell r="W188" t="str">
            <v>1/4 Counted for Coccidia; 8E.del sporelated, 4E.del nonsporelated</v>
          </cell>
          <cell r="X188" t="str">
            <v>DP</v>
          </cell>
          <cell r="Y188" t="str">
            <v>TE</v>
          </cell>
          <cell r="Z188">
            <v>12</v>
          </cell>
          <cell r="AA188">
            <v>92</v>
          </cell>
          <cell r="AB188">
            <v>28</v>
          </cell>
          <cell r="AC188">
            <v>0.47100000000000009</v>
          </cell>
        </row>
        <row r="189">
          <cell r="A189" t="str">
            <v>PO2-E8-43248</v>
          </cell>
          <cell r="B189" t="str">
            <v>PO2-E8-43248</v>
          </cell>
          <cell r="C189">
            <v>43248</v>
          </cell>
          <cell r="D189" t="str">
            <v>PO2</v>
          </cell>
          <cell r="E189" t="str">
            <v>E8</v>
          </cell>
          <cell r="F189">
            <v>43257</v>
          </cell>
          <cell r="G189" t="str">
            <v>DP</v>
          </cell>
          <cell r="H189">
            <v>0</v>
          </cell>
          <cell r="I189">
            <v>0</v>
          </cell>
          <cell r="J189">
            <v>0</v>
          </cell>
          <cell r="K189">
            <v>0</v>
          </cell>
          <cell r="L189">
            <v>0</v>
          </cell>
          <cell r="M189">
            <v>0</v>
          </cell>
          <cell r="N189">
            <v>0</v>
          </cell>
          <cell r="O189">
            <v>0</v>
          </cell>
          <cell r="P189">
            <v>0</v>
          </cell>
          <cell r="Q189">
            <v>0</v>
          </cell>
          <cell r="R189">
            <v>0</v>
          </cell>
          <cell r="S189" t="str">
            <v>N</v>
          </cell>
          <cell r="T189">
            <v>25</v>
          </cell>
          <cell r="V189">
            <v>100</v>
          </cell>
          <cell r="W189" t="str">
            <v>1/4 Counted for Coccidia</v>
          </cell>
          <cell r="X189" t="str">
            <v>DP</v>
          </cell>
          <cell r="Y189" t="str">
            <v>TE</v>
          </cell>
          <cell r="Z189">
            <v>0</v>
          </cell>
          <cell r="AA189">
            <v>0</v>
          </cell>
          <cell r="AB189">
            <v>0</v>
          </cell>
          <cell r="AC189">
            <v>0.92199999999999993</v>
          </cell>
        </row>
        <row r="190">
          <cell r="A190" t="str">
            <v>PO2-H3-43250</v>
          </cell>
          <cell r="B190" t="str">
            <v>PO2-H3-43250</v>
          </cell>
          <cell r="C190">
            <v>43250</v>
          </cell>
          <cell r="D190" t="str">
            <v>PO2</v>
          </cell>
          <cell r="E190" t="str">
            <v>H3</v>
          </cell>
          <cell r="F190">
            <v>43258</v>
          </cell>
          <cell r="G190" t="str">
            <v>IS</v>
          </cell>
          <cell r="H190">
            <v>0</v>
          </cell>
          <cell r="I190">
            <v>188</v>
          </cell>
          <cell r="J190">
            <v>0</v>
          </cell>
          <cell r="K190">
            <v>188</v>
          </cell>
          <cell r="L190">
            <v>144</v>
          </cell>
          <cell r="M190">
            <v>44</v>
          </cell>
          <cell r="N190">
            <v>2</v>
          </cell>
          <cell r="O190">
            <v>0</v>
          </cell>
          <cell r="P190">
            <v>1</v>
          </cell>
          <cell r="Q190">
            <v>1013</v>
          </cell>
          <cell r="R190">
            <v>0</v>
          </cell>
          <cell r="S190" t="str">
            <v>N</v>
          </cell>
          <cell r="T190">
            <v>25</v>
          </cell>
          <cell r="V190">
            <v>100</v>
          </cell>
          <cell r="W190" t="str">
            <v>1/4 Counted for Coccidia</v>
          </cell>
          <cell r="X190" t="str">
            <v>IS</v>
          </cell>
          <cell r="Y190" t="str">
            <v>TE</v>
          </cell>
          <cell r="Z190">
            <v>0</v>
          </cell>
          <cell r="AA190">
            <v>188</v>
          </cell>
          <cell r="AB190">
            <v>0</v>
          </cell>
          <cell r="AC190">
            <v>0.56699999999999995</v>
          </cell>
        </row>
        <row r="191">
          <cell r="A191" t="str">
            <v>SP1-G6-43251</v>
          </cell>
          <cell r="B191" t="str">
            <v>SP1-G6-43251</v>
          </cell>
          <cell r="C191">
            <v>43251</v>
          </cell>
          <cell r="D191" t="str">
            <v>SP1</v>
          </cell>
          <cell r="E191" t="str">
            <v>G6</v>
          </cell>
          <cell r="F191">
            <v>43258</v>
          </cell>
          <cell r="G191" t="str">
            <v>DP</v>
          </cell>
          <cell r="I191">
            <v>344</v>
          </cell>
          <cell r="J191">
            <v>4</v>
          </cell>
          <cell r="K191">
            <v>348</v>
          </cell>
          <cell r="L191">
            <v>0</v>
          </cell>
          <cell r="M191">
            <v>0</v>
          </cell>
          <cell r="N191">
            <v>1</v>
          </cell>
          <cell r="O191">
            <v>0</v>
          </cell>
          <cell r="P191">
            <v>0</v>
          </cell>
          <cell r="Q191">
            <v>0</v>
          </cell>
          <cell r="R191">
            <v>0</v>
          </cell>
          <cell r="S191" t="str">
            <v>N</v>
          </cell>
          <cell r="T191">
            <v>25</v>
          </cell>
          <cell r="V191">
            <v>100</v>
          </cell>
          <cell r="W191" t="str">
            <v>1/4 Counted for Coccidia; in quarter count no coccidia were found but at 10x, 87coccidia observed (86E.a 'A' &amp; 1E.a 'B') in remaining 75% of slide</v>
          </cell>
          <cell r="X191" t="str">
            <v>DP</v>
          </cell>
          <cell r="Y191" t="str">
            <v>TE</v>
          </cell>
          <cell r="Z191">
            <v>0</v>
          </cell>
          <cell r="AA191">
            <v>344</v>
          </cell>
          <cell r="AB191">
            <v>4</v>
          </cell>
          <cell r="AC191">
            <v>0.32800000000000007</v>
          </cell>
        </row>
        <row r="192">
          <cell r="A192" t="str">
            <v>SP2-F1-43252</v>
          </cell>
          <cell r="B192" t="str">
            <v>SP2-F1-43252</v>
          </cell>
          <cell r="C192">
            <v>43252</v>
          </cell>
          <cell r="D192" t="str">
            <v>SP2</v>
          </cell>
          <cell r="E192" t="str">
            <v>F1</v>
          </cell>
          <cell r="F192">
            <v>43258</v>
          </cell>
          <cell r="G192" t="str">
            <v>TE</v>
          </cell>
          <cell r="H192">
            <v>0</v>
          </cell>
          <cell r="I192">
            <v>8</v>
          </cell>
          <cell r="J192">
            <v>20</v>
          </cell>
          <cell r="K192">
            <v>28</v>
          </cell>
          <cell r="L192">
            <v>0</v>
          </cell>
          <cell r="M192">
            <v>0</v>
          </cell>
          <cell r="N192">
            <v>0</v>
          </cell>
          <cell r="O192">
            <v>0</v>
          </cell>
          <cell r="P192">
            <v>0</v>
          </cell>
          <cell r="Q192">
            <v>0</v>
          </cell>
          <cell r="R192">
            <v>0</v>
          </cell>
          <cell r="S192" t="str">
            <v>N</v>
          </cell>
          <cell r="T192">
            <v>25</v>
          </cell>
          <cell r="V192">
            <v>100</v>
          </cell>
          <cell r="W192" t="str">
            <v>1/4 Counted for Coccidia</v>
          </cell>
          <cell r="X192" t="str">
            <v>TE</v>
          </cell>
          <cell r="Y192" t="str">
            <v>JB</v>
          </cell>
          <cell r="Z192">
            <v>0</v>
          </cell>
          <cell r="AA192">
            <v>8</v>
          </cell>
          <cell r="AB192">
            <v>20</v>
          </cell>
          <cell r="AC192">
            <v>0.11100000000000021</v>
          </cell>
        </row>
        <row r="193">
          <cell r="A193" t="str">
            <v>SP2-E1-43252</v>
          </cell>
          <cell r="B193" t="str">
            <v>SP2-E1-43252</v>
          </cell>
          <cell r="C193">
            <v>43252</v>
          </cell>
          <cell r="D193" t="str">
            <v>SP2</v>
          </cell>
          <cell r="E193" t="str">
            <v>E1</v>
          </cell>
          <cell r="F193">
            <v>43258</v>
          </cell>
          <cell r="G193" t="str">
            <v>IS</v>
          </cell>
          <cell r="H193">
            <v>20</v>
          </cell>
          <cell r="I193">
            <v>4252</v>
          </cell>
          <cell r="J193">
            <v>0</v>
          </cell>
          <cell r="K193">
            <v>4272</v>
          </cell>
          <cell r="L193">
            <v>0</v>
          </cell>
          <cell r="M193">
            <v>0</v>
          </cell>
          <cell r="N193">
            <v>0</v>
          </cell>
          <cell r="O193">
            <v>0</v>
          </cell>
          <cell r="P193">
            <v>0</v>
          </cell>
          <cell r="Q193">
            <v>0</v>
          </cell>
          <cell r="R193">
            <v>0</v>
          </cell>
          <cell r="S193" t="str">
            <v>N</v>
          </cell>
          <cell r="T193">
            <v>25</v>
          </cell>
          <cell r="V193">
            <v>100</v>
          </cell>
          <cell r="W193" t="str">
            <v>1/4 Counted for Coccidia</v>
          </cell>
          <cell r="X193" t="str">
            <v>IS</v>
          </cell>
          <cell r="Y193" t="str">
            <v>TE</v>
          </cell>
          <cell r="Z193">
            <v>20</v>
          </cell>
          <cell r="AA193">
            <v>4252</v>
          </cell>
          <cell r="AB193">
            <v>0</v>
          </cell>
          <cell r="AC193">
            <v>0.33300000000000018</v>
          </cell>
        </row>
        <row r="194">
          <cell r="A194" t="str">
            <v>SP1-D6-43253</v>
          </cell>
          <cell r="B194" t="str">
            <v>SP1-D6-43253</v>
          </cell>
          <cell r="C194">
            <v>43253</v>
          </cell>
          <cell r="D194" t="str">
            <v>SP1</v>
          </cell>
          <cell r="E194" t="str">
            <v>D6</v>
          </cell>
          <cell r="F194">
            <v>43258</v>
          </cell>
          <cell r="G194" t="str">
            <v>DP</v>
          </cell>
          <cell r="H194">
            <v>52</v>
          </cell>
          <cell r="I194">
            <v>1532</v>
          </cell>
          <cell r="J194">
            <v>28</v>
          </cell>
          <cell r="K194">
            <v>1612</v>
          </cell>
          <cell r="L194">
            <v>0</v>
          </cell>
          <cell r="M194">
            <v>0</v>
          </cell>
          <cell r="N194">
            <v>0</v>
          </cell>
          <cell r="O194">
            <v>0</v>
          </cell>
          <cell r="P194">
            <v>0</v>
          </cell>
          <cell r="Q194">
            <v>0</v>
          </cell>
          <cell r="R194">
            <v>0</v>
          </cell>
          <cell r="S194" t="str">
            <v>N</v>
          </cell>
          <cell r="T194">
            <v>25</v>
          </cell>
          <cell r="V194">
            <v>100</v>
          </cell>
          <cell r="W194" t="str">
            <v>1/4 Counted for Coccidia; 8/13E.del sporelated, 5/13E.del nonsporelated (13x4=52)</v>
          </cell>
          <cell r="X194" t="str">
            <v>DP</v>
          </cell>
          <cell r="Y194" t="str">
            <v>TE</v>
          </cell>
          <cell r="Z194">
            <v>52</v>
          </cell>
          <cell r="AA194">
            <v>1532</v>
          </cell>
          <cell r="AB194">
            <v>28</v>
          </cell>
          <cell r="AC194">
            <v>0.24900000000000011</v>
          </cell>
        </row>
        <row r="195">
          <cell r="A195" t="str">
            <v>SP2-H8-43253</v>
          </cell>
          <cell r="B195" t="str">
            <v>SP2-H8-43253</v>
          </cell>
          <cell r="C195">
            <v>43253</v>
          </cell>
          <cell r="D195" t="str">
            <v>SP2</v>
          </cell>
          <cell r="E195" t="str">
            <v>H8</v>
          </cell>
          <cell r="F195">
            <v>43258</v>
          </cell>
          <cell r="G195" t="str">
            <v>TE</v>
          </cell>
          <cell r="H195">
            <v>0</v>
          </cell>
          <cell r="I195">
            <v>0</v>
          </cell>
          <cell r="J195">
            <v>0</v>
          </cell>
          <cell r="K195">
            <v>0</v>
          </cell>
          <cell r="L195">
            <v>0</v>
          </cell>
          <cell r="M195">
            <v>0</v>
          </cell>
          <cell r="N195">
            <v>0</v>
          </cell>
          <cell r="O195">
            <v>1</v>
          </cell>
          <cell r="P195">
            <v>0</v>
          </cell>
          <cell r="Q195">
            <v>0</v>
          </cell>
          <cell r="R195">
            <v>0</v>
          </cell>
          <cell r="S195" t="str">
            <v>N</v>
          </cell>
          <cell r="T195">
            <v>25</v>
          </cell>
          <cell r="V195">
            <v>100</v>
          </cell>
          <cell r="W195" t="str">
            <v>1/4 Counted for Coccidia</v>
          </cell>
          <cell r="X195" t="str">
            <v>TE</v>
          </cell>
          <cell r="Y195" t="str">
            <v>JB</v>
          </cell>
          <cell r="Z195">
            <v>0</v>
          </cell>
          <cell r="AA195">
            <v>0</v>
          </cell>
          <cell r="AB195">
            <v>0</v>
          </cell>
          <cell r="AC195">
            <v>1.3939999999999999</v>
          </cell>
        </row>
        <row r="196">
          <cell r="A196" t="str">
            <v>BC2-A2-43257</v>
          </cell>
          <cell r="B196" t="str">
            <v>BC2-A2-43257</v>
          </cell>
          <cell r="C196">
            <v>43257</v>
          </cell>
          <cell r="D196" t="str">
            <v>BC2</v>
          </cell>
          <cell r="E196" t="str">
            <v>A2</v>
          </cell>
          <cell r="F196">
            <v>43259</v>
          </cell>
          <cell r="G196" t="str">
            <v>IS</v>
          </cell>
          <cell r="H196">
            <v>0</v>
          </cell>
          <cell r="I196">
            <v>492</v>
          </cell>
          <cell r="J196">
            <v>0</v>
          </cell>
          <cell r="K196">
            <v>492</v>
          </cell>
          <cell r="L196">
            <v>0</v>
          </cell>
          <cell r="M196">
            <v>0</v>
          </cell>
          <cell r="N196">
            <v>0</v>
          </cell>
          <cell r="O196">
            <v>0</v>
          </cell>
          <cell r="P196">
            <v>0</v>
          </cell>
          <cell r="Q196">
            <v>0</v>
          </cell>
          <cell r="R196">
            <v>0</v>
          </cell>
          <cell r="S196" t="str">
            <v>N</v>
          </cell>
          <cell r="T196">
            <v>25</v>
          </cell>
          <cell r="V196">
            <v>100</v>
          </cell>
          <cell r="W196" t="str">
            <v>1/4 Counted for Coccidia</v>
          </cell>
          <cell r="X196" t="str">
            <v>IS</v>
          </cell>
          <cell r="Y196" t="str">
            <v>TE</v>
          </cell>
          <cell r="Z196">
            <v>0</v>
          </cell>
          <cell r="AA196">
            <v>492</v>
          </cell>
          <cell r="AB196">
            <v>0</v>
          </cell>
          <cell r="AC196">
            <v>7.3000000000000176E-2</v>
          </cell>
        </row>
        <row r="197">
          <cell r="A197" t="str">
            <v>BC1-G5-43257</v>
          </cell>
          <cell r="B197" t="str">
            <v>BC1-G5-43257</v>
          </cell>
          <cell r="C197">
            <v>43257</v>
          </cell>
          <cell r="D197" t="str">
            <v>BC1</v>
          </cell>
          <cell r="E197" t="str">
            <v>G5</v>
          </cell>
          <cell r="F197">
            <v>43259</v>
          </cell>
          <cell r="G197" t="str">
            <v>DP</v>
          </cell>
          <cell r="H197">
            <v>0</v>
          </cell>
          <cell r="I197">
            <v>0</v>
          </cell>
          <cell r="J197">
            <v>0</v>
          </cell>
          <cell r="K197">
            <v>0</v>
          </cell>
          <cell r="L197">
            <v>0</v>
          </cell>
          <cell r="M197">
            <v>0</v>
          </cell>
          <cell r="N197">
            <v>0</v>
          </cell>
          <cell r="O197">
            <v>0</v>
          </cell>
          <cell r="P197">
            <v>0</v>
          </cell>
          <cell r="Q197">
            <v>0</v>
          </cell>
          <cell r="R197">
            <v>0</v>
          </cell>
          <cell r="S197" t="str">
            <v>N</v>
          </cell>
          <cell r="T197">
            <v>25</v>
          </cell>
          <cell r="V197">
            <v>100</v>
          </cell>
          <cell r="W197" t="str">
            <v>1/4 Counted for Coccidia</v>
          </cell>
          <cell r="X197" t="str">
            <v>DP</v>
          </cell>
          <cell r="Y197" t="str">
            <v>TE</v>
          </cell>
          <cell r="Z197">
            <v>0</v>
          </cell>
          <cell r="AA197">
            <v>0</v>
          </cell>
          <cell r="AB197">
            <v>0</v>
          </cell>
          <cell r="AC197">
            <v>0.10000000000000009</v>
          </cell>
        </row>
        <row r="198">
          <cell r="A198" t="str">
            <v>BC2-E1-43257</v>
          </cell>
          <cell r="B198" t="str">
            <v>BC2-E1-43257</v>
          </cell>
          <cell r="C198">
            <v>43257</v>
          </cell>
          <cell r="D198" t="str">
            <v>BC2</v>
          </cell>
          <cell r="E198" t="str">
            <v>E1</v>
          </cell>
          <cell r="F198">
            <v>43259</v>
          </cell>
          <cell r="G198" t="str">
            <v>DP</v>
          </cell>
          <cell r="I198">
            <v>4</v>
          </cell>
          <cell r="K198">
            <v>4</v>
          </cell>
          <cell r="L198">
            <v>0</v>
          </cell>
          <cell r="M198">
            <v>0</v>
          </cell>
          <cell r="N198">
            <v>0</v>
          </cell>
          <cell r="O198">
            <v>0</v>
          </cell>
          <cell r="P198">
            <v>0</v>
          </cell>
          <cell r="Q198">
            <v>0</v>
          </cell>
          <cell r="R198">
            <v>0</v>
          </cell>
          <cell r="S198" t="str">
            <v>N</v>
          </cell>
          <cell r="T198">
            <v>25</v>
          </cell>
          <cell r="V198">
            <v>100</v>
          </cell>
          <cell r="W198" t="str">
            <v>1/4 Counted for Coccidia</v>
          </cell>
          <cell r="X198" t="str">
            <v>DP</v>
          </cell>
          <cell r="Y198" t="str">
            <v>TE</v>
          </cell>
          <cell r="Z198">
            <v>0</v>
          </cell>
          <cell r="AA198">
            <v>4</v>
          </cell>
          <cell r="AB198">
            <v>0</v>
          </cell>
          <cell r="AC198">
            <v>0.16900000000000004</v>
          </cell>
        </row>
        <row r="199">
          <cell r="A199" t="str">
            <v>BC1-F4-43257</v>
          </cell>
          <cell r="B199" t="str">
            <v>BC1-F4-43257</v>
          </cell>
          <cell r="C199">
            <v>43257</v>
          </cell>
          <cell r="D199" t="str">
            <v>BC1</v>
          </cell>
          <cell r="E199" t="str">
            <v>F4</v>
          </cell>
          <cell r="F199">
            <v>43259</v>
          </cell>
          <cell r="G199" t="str">
            <v>TE</v>
          </cell>
          <cell r="H199">
            <v>4</v>
          </cell>
          <cell r="I199">
            <v>0</v>
          </cell>
          <cell r="J199">
            <v>0</v>
          </cell>
          <cell r="K199">
            <v>4</v>
          </cell>
          <cell r="L199">
            <v>0</v>
          </cell>
          <cell r="M199">
            <v>0</v>
          </cell>
          <cell r="N199">
            <v>1</v>
          </cell>
          <cell r="O199">
            <v>0</v>
          </cell>
          <cell r="P199">
            <v>0</v>
          </cell>
          <cell r="Q199">
            <v>0</v>
          </cell>
          <cell r="R199">
            <v>0</v>
          </cell>
          <cell r="S199" t="str">
            <v>N</v>
          </cell>
          <cell r="T199">
            <v>25</v>
          </cell>
          <cell r="V199">
            <v>100</v>
          </cell>
          <cell r="W199" t="str">
            <v>1/4 Counted for Coccidia</v>
          </cell>
          <cell r="X199" t="str">
            <v>TE</v>
          </cell>
          <cell r="Y199" t="str">
            <v>JB</v>
          </cell>
          <cell r="Z199">
            <v>4</v>
          </cell>
          <cell r="AA199">
            <v>0</v>
          </cell>
          <cell r="AB199">
            <v>0</v>
          </cell>
          <cell r="AC199">
            <v>0.17800000000000016</v>
          </cell>
        </row>
        <row r="200">
          <cell r="A200" t="str">
            <v>BC1-F8-43258</v>
          </cell>
          <cell r="B200" t="str">
            <v>BC1-F8-43258</v>
          </cell>
          <cell r="C200">
            <v>43258</v>
          </cell>
          <cell r="D200" t="str">
            <v>BC1</v>
          </cell>
          <cell r="E200" t="str">
            <v>F8</v>
          </cell>
          <cell r="F200">
            <v>43259</v>
          </cell>
          <cell r="G200" t="str">
            <v>IS</v>
          </cell>
          <cell r="H200">
            <v>0</v>
          </cell>
          <cell r="I200">
            <v>120</v>
          </cell>
          <cell r="J200">
            <v>0</v>
          </cell>
          <cell r="K200">
            <v>120</v>
          </cell>
          <cell r="L200">
            <v>0</v>
          </cell>
          <cell r="M200">
            <v>0</v>
          </cell>
          <cell r="N200">
            <v>0</v>
          </cell>
          <cell r="O200">
            <v>0</v>
          </cell>
          <cell r="P200">
            <v>0</v>
          </cell>
          <cell r="Q200">
            <v>0</v>
          </cell>
          <cell r="R200">
            <v>0</v>
          </cell>
          <cell r="S200" t="str">
            <v>N</v>
          </cell>
          <cell r="T200">
            <v>25</v>
          </cell>
          <cell r="V200">
            <v>100</v>
          </cell>
          <cell r="W200" t="str">
            <v>1/4 Counted for Coccidia</v>
          </cell>
          <cell r="X200" t="str">
            <v>IS</v>
          </cell>
          <cell r="Y200" t="str">
            <v>TE</v>
          </cell>
          <cell r="Z200">
            <v>0</v>
          </cell>
          <cell r="AA200">
            <v>120</v>
          </cell>
          <cell r="AB200">
            <v>0</v>
          </cell>
          <cell r="AC200">
            <v>1.6000000000000014E-2</v>
          </cell>
        </row>
        <row r="201">
          <cell r="A201" t="str">
            <v>BC1-H5-43258</v>
          </cell>
          <cell r="B201" t="str">
            <v>BC1-H5-43258</v>
          </cell>
          <cell r="C201">
            <v>43258</v>
          </cell>
          <cell r="D201" t="str">
            <v>BC1</v>
          </cell>
          <cell r="E201" t="str">
            <v>H5</v>
          </cell>
          <cell r="F201">
            <v>43259</v>
          </cell>
          <cell r="G201" t="str">
            <v>TE</v>
          </cell>
          <cell r="H201">
            <v>0</v>
          </cell>
          <cell r="I201">
            <v>0</v>
          </cell>
          <cell r="J201">
            <v>0</v>
          </cell>
          <cell r="K201">
            <v>0</v>
          </cell>
          <cell r="L201">
            <v>0</v>
          </cell>
          <cell r="M201">
            <v>0</v>
          </cell>
          <cell r="N201">
            <v>0</v>
          </cell>
          <cell r="O201">
            <v>0</v>
          </cell>
          <cell r="P201">
            <v>0</v>
          </cell>
          <cell r="Q201">
            <v>1</v>
          </cell>
          <cell r="R201">
            <v>0</v>
          </cell>
          <cell r="S201" t="str">
            <v>N</v>
          </cell>
          <cell r="T201">
            <v>25</v>
          </cell>
          <cell r="V201">
            <v>100</v>
          </cell>
          <cell r="W201" t="str">
            <v>1/4 Counted for Coccidia</v>
          </cell>
          <cell r="X201" t="str">
            <v>TE</v>
          </cell>
          <cell r="Y201" t="str">
            <v>JB</v>
          </cell>
          <cell r="Z201">
            <v>0</v>
          </cell>
          <cell r="AA201">
            <v>0</v>
          </cell>
          <cell r="AB201">
            <v>0</v>
          </cell>
          <cell r="AC201">
            <v>3.8000000000000034E-2</v>
          </cell>
        </row>
        <row r="202">
          <cell r="A202" t="str">
            <v>HW2-D3-43260</v>
          </cell>
          <cell r="B202" t="str">
            <v>HW2-D3-43260</v>
          </cell>
          <cell r="C202">
            <v>43260</v>
          </cell>
          <cell r="D202" t="str">
            <v>HW2</v>
          </cell>
          <cell r="E202" t="str">
            <v>D3</v>
          </cell>
          <cell r="F202">
            <v>43261</v>
          </cell>
          <cell r="G202" t="str">
            <v>DP</v>
          </cell>
          <cell r="I202">
            <v>4</v>
          </cell>
          <cell r="K202">
            <v>4</v>
          </cell>
          <cell r="L202">
            <v>0</v>
          </cell>
          <cell r="M202">
            <v>0</v>
          </cell>
          <cell r="N202">
            <v>0</v>
          </cell>
          <cell r="O202">
            <v>0</v>
          </cell>
          <cell r="P202">
            <v>0</v>
          </cell>
          <cell r="Q202">
            <v>0</v>
          </cell>
          <cell r="R202">
            <v>0</v>
          </cell>
          <cell r="S202" t="str">
            <v>N</v>
          </cell>
          <cell r="T202">
            <v>25</v>
          </cell>
          <cell r="V202">
            <v>100</v>
          </cell>
          <cell r="W202" t="str">
            <v>1/4 Counted for Coccidia</v>
          </cell>
          <cell r="X202" t="str">
            <v>DP</v>
          </cell>
          <cell r="Y202" t="str">
            <v>TE</v>
          </cell>
          <cell r="Z202">
            <v>0</v>
          </cell>
          <cell r="AA202">
            <v>4</v>
          </cell>
          <cell r="AB202">
            <v>0</v>
          </cell>
          <cell r="AC202">
            <v>0.10000000000000009</v>
          </cell>
        </row>
        <row r="203">
          <cell r="A203" t="str">
            <v>HW2-B1-43260</v>
          </cell>
          <cell r="B203" t="str">
            <v>HW2-B1-43260</v>
          </cell>
          <cell r="C203">
            <v>43260</v>
          </cell>
          <cell r="D203" t="str">
            <v>HW2</v>
          </cell>
          <cell r="E203" t="str">
            <v>B1</v>
          </cell>
          <cell r="F203">
            <v>43261</v>
          </cell>
          <cell r="G203" t="str">
            <v>DP</v>
          </cell>
          <cell r="H203">
            <v>2</v>
          </cell>
          <cell r="I203">
            <v>6</v>
          </cell>
          <cell r="K203">
            <v>8</v>
          </cell>
          <cell r="L203">
            <v>0</v>
          </cell>
          <cell r="M203">
            <v>0</v>
          </cell>
          <cell r="N203">
            <v>0</v>
          </cell>
          <cell r="O203">
            <v>0</v>
          </cell>
          <cell r="P203">
            <v>0</v>
          </cell>
          <cell r="Q203">
            <v>694</v>
          </cell>
          <cell r="R203">
            <v>0</v>
          </cell>
          <cell r="S203" t="str">
            <v>Y</v>
          </cell>
          <cell r="T203">
            <v>50</v>
          </cell>
          <cell r="V203">
            <v>100</v>
          </cell>
          <cell r="X203" t="str">
            <v>DP</v>
          </cell>
          <cell r="Y203" t="str">
            <v>TE</v>
          </cell>
          <cell r="Z203">
            <v>2</v>
          </cell>
          <cell r="AA203">
            <v>6</v>
          </cell>
          <cell r="AB203">
            <v>0</v>
          </cell>
          <cell r="AC203">
            <v>0.11500000000000021</v>
          </cell>
        </row>
        <row r="204">
          <cell r="A204" t="str">
            <v>HW1-E5-43260</v>
          </cell>
          <cell r="B204" t="str">
            <v>HW1-E5-43260</v>
          </cell>
          <cell r="C204">
            <v>43260</v>
          </cell>
          <cell r="D204" t="str">
            <v>HW1</v>
          </cell>
          <cell r="E204" t="str">
            <v>E5</v>
          </cell>
          <cell r="F204">
            <v>43261</v>
          </cell>
          <cell r="G204" t="str">
            <v>IS</v>
          </cell>
          <cell r="H204">
            <v>0</v>
          </cell>
          <cell r="I204">
            <v>0</v>
          </cell>
          <cell r="J204">
            <v>0</v>
          </cell>
          <cell r="K204">
            <v>0</v>
          </cell>
          <cell r="L204">
            <v>0</v>
          </cell>
          <cell r="M204">
            <v>0</v>
          </cell>
          <cell r="N204">
            <v>0</v>
          </cell>
          <cell r="O204">
            <v>0</v>
          </cell>
          <cell r="P204">
            <v>0</v>
          </cell>
          <cell r="Q204">
            <v>0</v>
          </cell>
          <cell r="R204">
            <v>0</v>
          </cell>
          <cell r="S204" t="str">
            <v>N</v>
          </cell>
          <cell r="T204">
            <v>25</v>
          </cell>
          <cell r="V204">
            <v>100</v>
          </cell>
          <cell r="W204" t="str">
            <v>1/4 Counted for Coccidia</v>
          </cell>
          <cell r="X204" t="str">
            <v>IS</v>
          </cell>
          <cell r="Y204" t="str">
            <v>TE</v>
          </cell>
          <cell r="Z204">
            <v>0</v>
          </cell>
          <cell r="AA204">
            <v>0</v>
          </cell>
          <cell r="AB204">
            <v>0</v>
          </cell>
          <cell r="AC204">
            <v>0.11500000000000021</v>
          </cell>
        </row>
        <row r="205">
          <cell r="A205" t="str">
            <v>HW2-D2-43260</v>
          </cell>
          <cell r="B205" t="str">
            <v>HW2-D2-43260</v>
          </cell>
          <cell r="C205">
            <v>43260</v>
          </cell>
          <cell r="D205" t="str">
            <v>HW2</v>
          </cell>
          <cell r="E205" t="str">
            <v>D2</v>
          </cell>
          <cell r="F205">
            <v>43261</v>
          </cell>
          <cell r="G205" t="str">
            <v>IS</v>
          </cell>
          <cell r="H205">
            <v>14</v>
          </cell>
          <cell r="I205">
            <v>414</v>
          </cell>
          <cell r="J205">
            <v>10</v>
          </cell>
          <cell r="K205">
            <v>438</v>
          </cell>
          <cell r="L205">
            <v>0</v>
          </cell>
          <cell r="M205">
            <v>0</v>
          </cell>
          <cell r="N205">
            <v>0</v>
          </cell>
          <cell r="O205">
            <v>0</v>
          </cell>
          <cell r="P205">
            <v>0</v>
          </cell>
          <cell r="Q205">
            <v>0</v>
          </cell>
          <cell r="R205">
            <v>0</v>
          </cell>
          <cell r="S205" t="str">
            <v>Y</v>
          </cell>
          <cell r="T205">
            <v>50</v>
          </cell>
          <cell r="V205">
            <v>100</v>
          </cell>
          <cell r="X205" t="str">
            <v>IS</v>
          </cell>
          <cell r="Y205" t="str">
            <v>TE</v>
          </cell>
          <cell r="Z205">
            <v>14</v>
          </cell>
          <cell r="AA205">
            <v>414</v>
          </cell>
          <cell r="AB205">
            <v>10</v>
          </cell>
          <cell r="AC205">
            <v>0.14800000000000013</v>
          </cell>
        </row>
        <row r="206">
          <cell r="A206" t="str">
            <v>HW1-C3-43260</v>
          </cell>
          <cell r="B206" t="str">
            <v>HW1-C3-43260</v>
          </cell>
          <cell r="C206">
            <v>43260</v>
          </cell>
          <cell r="D206" t="str">
            <v>HW1</v>
          </cell>
          <cell r="E206" t="str">
            <v>C3</v>
          </cell>
          <cell r="F206">
            <v>43261</v>
          </cell>
          <cell r="G206" t="str">
            <v>IS</v>
          </cell>
          <cell r="H206">
            <v>656</v>
          </cell>
          <cell r="I206">
            <v>4502</v>
          </cell>
          <cell r="J206">
            <v>334</v>
          </cell>
          <cell r="K206">
            <v>5492</v>
          </cell>
          <cell r="L206">
            <v>0</v>
          </cell>
          <cell r="M206">
            <v>0</v>
          </cell>
          <cell r="N206">
            <v>0</v>
          </cell>
          <cell r="O206">
            <v>0</v>
          </cell>
          <cell r="P206">
            <v>0</v>
          </cell>
          <cell r="Q206">
            <v>0</v>
          </cell>
          <cell r="R206">
            <v>0</v>
          </cell>
          <cell r="S206" t="str">
            <v>Y</v>
          </cell>
          <cell r="T206">
            <v>50</v>
          </cell>
          <cell r="V206">
            <v>100</v>
          </cell>
          <cell r="X206" t="str">
            <v>IS</v>
          </cell>
          <cell r="Y206" t="str">
            <v>TE</v>
          </cell>
          <cell r="Z206">
            <v>656</v>
          </cell>
          <cell r="AA206">
            <v>4502</v>
          </cell>
          <cell r="AB206">
            <v>334</v>
          </cell>
          <cell r="AC206">
            <v>0.21600000000000019</v>
          </cell>
        </row>
        <row r="207">
          <cell r="A207" t="str">
            <v>HW2-C5-43260</v>
          </cell>
          <cell r="B207" t="str">
            <v>HW2-C5-43260</v>
          </cell>
          <cell r="C207">
            <v>43260</v>
          </cell>
          <cell r="D207" t="str">
            <v>HW2</v>
          </cell>
          <cell r="E207" t="str">
            <v>C5</v>
          </cell>
          <cell r="F207">
            <v>43261</v>
          </cell>
          <cell r="G207" t="str">
            <v>TE</v>
          </cell>
          <cell r="H207">
            <v>8</v>
          </cell>
          <cell r="I207">
            <v>0</v>
          </cell>
          <cell r="J207">
            <v>2</v>
          </cell>
          <cell r="K207">
            <v>10</v>
          </cell>
          <cell r="L207">
            <v>0</v>
          </cell>
          <cell r="M207">
            <v>0</v>
          </cell>
          <cell r="N207">
            <v>0</v>
          </cell>
          <cell r="O207">
            <v>0</v>
          </cell>
          <cell r="P207">
            <v>0</v>
          </cell>
          <cell r="Q207">
            <v>0</v>
          </cell>
          <cell r="R207">
            <v>0</v>
          </cell>
          <cell r="S207" t="str">
            <v>Y</v>
          </cell>
          <cell r="T207">
            <v>50</v>
          </cell>
          <cell r="V207">
            <v>100</v>
          </cell>
          <cell r="X207" t="str">
            <v>TE</v>
          </cell>
          <cell r="Y207" t="str">
            <v>JB</v>
          </cell>
          <cell r="Z207">
            <v>8</v>
          </cell>
          <cell r="AA207">
            <v>0</v>
          </cell>
          <cell r="AB207">
            <v>2</v>
          </cell>
          <cell r="AC207">
            <v>0.248</v>
          </cell>
        </row>
        <row r="208">
          <cell r="A208" t="str">
            <v>HW2-H6-43260</v>
          </cell>
          <cell r="B208" t="str">
            <v>HW2-H6-43260</v>
          </cell>
          <cell r="C208">
            <v>43260</v>
          </cell>
          <cell r="D208" t="str">
            <v>HW2</v>
          </cell>
          <cell r="E208" t="str">
            <v>H6</v>
          </cell>
          <cell r="F208">
            <v>43261</v>
          </cell>
          <cell r="G208" t="str">
            <v>JB</v>
          </cell>
          <cell r="H208">
            <v>0</v>
          </cell>
          <cell r="I208">
            <v>12</v>
          </cell>
          <cell r="J208">
            <v>0</v>
          </cell>
          <cell r="K208">
            <v>12</v>
          </cell>
          <cell r="L208">
            <v>0</v>
          </cell>
          <cell r="M208">
            <v>0</v>
          </cell>
          <cell r="N208">
            <v>0</v>
          </cell>
          <cell r="O208">
            <v>0</v>
          </cell>
          <cell r="P208">
            <v>0</v>
          </cell>
          <cell r="Q208">
            <v>0</v>
          </cell>
          <cell r="R208">
            <v>1</v>
          </cell>
          <cell r="S208" t="str">
            <v>Y</v>
          </cell>
          <cell r="T208">
            <v>50</v>
          </cell>
          <cell r="V208">
            <v>100</v>
          </cell>
          <cell r="X208" t="str">
            <v>JB</v>
          </cell>
          <cell r="Y208" t="str">
            <v>LV</v>
          </cell>
          <cell r="Z208">
            <v>0</v>
          </cell>
          <cell r="AA208">
            <v>12</v>
          </cell>
          <cell r="AB208">
            <v>0</v>
          </cell>
          <cell r="AC208">
            <v>0.29100000000000015</v>
          </cell>
        </row>
        <row r="209">
          <cell r="A209" t="str">
            <v>HW2-B4-43260</v>
          </cell>
          <cell r="B209" t="str">
            <v>HW2-B4-43260</v>
          </cell>
          <cell r="C209">
            <v>43260</v>
          </cell>
          <cell r="D209" t="str">
            <v>HW2</v>
          </cell>
          <cell r="E209" t="str">
            <v>B4</v>
          </cell>
          <cell r="F209">
            <v>43261</v>
          </cell>
          <cell r="G209" t="str">
            <v>DP</v>
          </cell>
          <cell r="H209">
            <v>28</v>
          </cell>
          <cell r="I209">
            <v>2672</v>
          </cell>
          <cell r="J209">
            <v>212</v>
          </cell>
          <cell r="K209">
            <v>2912</v>
          </cell>
          <cell r="L209">
            <v>0</v>
          </cell>
          <cell r="M209">
            <v>0</v>
          </cell>
          <cell r="N209">
            <v>0</v>
          </cell>
          <cell r="O209">
            <v>0</v>
          </cell>
          <cell r="P209">
            <v>0</v>
          </cell>
          <cell r="Q209">
            <v>0</v>
          </cell>
          <cell r="R209">
            <v>0</v>
          </cell>
          <cell r="S209" t="str">
            <v>Y</v>
          </cell>
          <cell r="T209">
            <v>50</v>
          </cell>
          <cell r="V209">
            <v>100</v>
          </cell>
          <cell r="X209" t="str">
            <v>DP</v>
          </cell>
          <cell r="Y209" t="str">
            <v>TE</v>
          </cell>
          <cell r="Z209">
            <v>28</v>
          </cell>
          <cell r="AA209">
            <v>2672</v>
          </cell>
          <cell r="AB209">
            <v>212</v>
          </cell>
          <cell r="AC209">
            <v>0.33600000000000008</v>
          </cell>
        </row>
        <row r="210">
          <cell r="A210" t="str">
            <v>HW2-F8-43261</v>
          </cell>
          <cell r="B210" t="str">
            <v>HW2-F8-43261</v>
          </cell>
          <cell r="C210">
            <v>43260</v>
          </cell>
          <cell r="D210" t="str">
            <v>HW2</v>
          </cell>
          <cell r="E210" t="str">
            <v>F8</v>
          </cell>
          <cell r="F210">
            <v>43265</v>
          </cell>
          <cell r="G210" t="str">
            <v>TE</v>
          </cell>
          <cell r="H210">
            <v>0</v>
          </cell>
          <cell r="I210">
            <v>0</v>
          </cell>
          <cell r="J210">
            <v>0</v>
          </cell>
          <cell r="K210">
            <v>0</v>
          </cell>
          <cell r="L210">
            <v>20</v>
          </cell>
          <cell r="M210">
            <v>0</v>
          </cell>
          <cell r="N210">
            <v>6</v>
          </cell>
          <cell r="O210">
            <v>0</v>
          </cell>
          <cell r="P210">
            <v>0</v>
          </cell>
          <cell r="Q210">
            <v>0</v>
          </cell>
          <cell r="R210">
            <v>0</v>
          </cell>
          <cell r="S210" t="str">
            <v>Y</v>
          </cell>
          <cell r="T210">
            <v>50</v>
          </cell>
          <cell r="V210">
            <v>100</v>
          </cell>
          <cell r="X210" t="str">
            <v>TE</v>
          </cell>
          <cell r="Y210" t="str">
            <v>JB</v>
          </cell>
          <cell r="Z210">
            <v>0</v>
          </cell>
          <cell r="AA210">
            <v>0</v>
          </cell>
          <cell r="AB210">
            <v>0</v>
          </cell>
          <cell r="AC210">
            <v>0.42000000000000015</v>
          </cell>
        </row>
        <row r="211">
          <cell r="A211" t="str">
            <v>HW2-G7-43260</v>
          </cell>
          <cell r="B211" t="str">
            <v>HW2-G7-43260</v>
          </cell>
          <cell r="C211">
            <v>43260</v>
          </cell>
          <cell r="D211" t="str">
            <v>HW2</v>
          </cell>
          <cell r="E211" t="str">
            <v>G7</v>
          </cell>
          <cell r="F211">
            <v>43261</v>
          </cell>
          <cell r="G211" t="str">
            <v>TE</v>
          </cell>
          <cell r="H211">
            <v>0</v>
          </cell>
          <cell r="I211">
            <v>0</v>
          </cell>
          <cell r="J211">
            <v>0</v>
          </cell>
          <cell r="K211">
            <v>0</v>
          </cell>
          <cell r="L211">
            <v>0</v>
          </cell>
          <cell r="M211">
            <v>0</v>
          </cell>
          <cell r="N211">
            <v>0</v>
          </cell>
          <cell r="O211">
            <v>0</v>
          </cell>
          <cell r="P211">
            <v>0</v>
          </cell>
          <cell r="Q211">
            <v>0</v>
          </cell>
          <cell r="R211">
            <v>0</v>
          </cell>
          <cell r="S211" t="str">
            <v>Y</v>
          </cell>
          <cell r="T211">
            <v>50</v>
          </cell>
          <cell r="V211">
            <v>100</v>
          </cell>
          <cell r="X211" t="str">
            <v>TE</v>
          </cell>
          <cell r="Y211" t="str">
            <v>JB</v>
          </cell>
          <cell r="Z211">
            <v>0</v>
          </cell>
          <cell r="AA211">
            <v>0</v>
          </cell>
          <cell r="AB211">
            <v>0</v>
          </cell>
          <cell r="AC211">
            <v>0.52100000000000013</v>
          </cell>
        </row>
        <row r="212">
          <cell r="A212" t="str">
            <v>HW2-A3-43260</v>
          </cell>
          <cell r="B212" t="str">
            <v>HW2-A3-43260</v>
          </cell>
          <cell r="C212">
            <v>43260</v>
          </cell>
          <cell r="D212" t="str">
            <v>HW2</v>
          </cell>
          <cell r="E212" t="str">
            <v>A3</v>
          </cell>
          <cell r="F212">
            <v>43261</v>
          </cell>
          <cell r="G212" t="str">
            <v>TE</v>
          </cell>
          <cell r="H212">
            <v>0</v>
          </cell>
          <cell r="I212">
            <v>0</v>
          </cell>
          <cell r="J212">
            <v>0</v>
          </cell>
          <cell r="K212">
            <v>0</v>
          </cell>
          <cell r="L212">
            <v>0</v>
          </cell>
          <cell r="M212">
            <v>0</v>
          </cell>
          <cell r="N212">
            <v>0</v>
          </cell>
          <cell r="O212">
            <v>0</v>
          </cell>
          <cell r="P212">
            <v>0</v>
          </cell>
          <cell r="Q212">
            <v>197</v>
          </cell>
          <cell r="R212">
            <v>0</v>
          </cell>
          <cell r="S212" t="str">
            <v>Y</v>
          </cell>
          <cell r="T212">
            <v>50</v>
          </cell>
          <cell r="V212">
            <v>100</v>
          </cell>
          <cell r="X212" t="str">
            <v>TE</v>
          </cell>
          <cell r="Y212" t="str">
            <v>JB</v>
          </cell>
          <cell r="Z212">
            <v>0</v>
          </cell>
          <cell r="AA212">
            <v>0</v>
          </cell>
          <cell r="AB212">
            <v>0</v>
          </cell>
          <cell r="AC212">
            <v>0.65900000000000003</v>
          </cell>
        </row>
        <row r="213">
          <cell r="A213" t="str">
            <v>HW1-D7-43260</v>
          </cell>
          <cell r="B213" t="str">
            <v>HW1-D7-43260</v>
          </cell>
          <cell r="C213">
            <v>43260</v>
          </cell>
          <cell r="D213" t="str">
            <v>HW1</v>
          </cell>
          <cell r="E213" t="str">
            <v>D7</v>
          </cell>
          <cell r="F213">
            <v>43261</v>
          </cell>
          <cell r="G213" t="str">
            <v>JB</v>
          </cell>
          <cell r="H213">
            <v>46</v>
          </cell>
          <cell r="I213">
            <v>148</v>
          </cell>
          <cell r="J213">
            <v>8</v>
          </cell>
          <cell r="K213">
            <v>202</v>
          </cell>
          <cell r="L213">
            <v>0</v>
          </cell>
          <cell r="M213">
            <v>0</v>
          </cell>
          <cell r="N213">
            <v>0</v>
          </cell>
          <cell r="O213">
            <v>0</v>
          </cell>
          <cell r="P213">
            <v>0</v>
          </cell>
          <cell r="Q213">
            <v>0</v>
          </cell>
          <cell r="R213">
            <v>0</v>
          </cell>
          <cell r="S213" t="str">
            <v>Y</v>
          </cell>
          <cell r="T213">
            <v>50</v>
          </cell>
          <cell r="V213">
            <v>100</v>
          </cell>
          <cell r="X213" t="str">
            <v>JB</v>
          </cell>
          <cell r="Y213" t="str">
            <v>LV</v>
          </cell>
          <cell r="Z213">
            <v>46</v>
          </cell>
          <cell r="AA213">
            <v>148</v>
          </cell>
          <cell r="AB213">
            <v>8</v>
          </cell>
          <cell r="AC213">
            <v>0.73300000000000032</v>
          </cell>
        </row>
        <row r="214">
          <cell r="A214" t="str">
            <v>HW2-H2-43261</v>
          </cell>
          <cell r="B214" t="str">
            <v>HW2-H2-43261</v>
          </cell>
          <cell r="C214">
            <v>43261</v>
          </cell>
          <cell r="D214" t="str">
            <v>HW2</v>
          </cell>
          <cell r="E214" t="str">
            <v>H2</v>
          </cell>
          <cell r="F214">
            <v>43263</v>
          </cell>
          <cell r="G214" t="str">
            <v>IS</v>
          </cell>
          <cell r="H214">
            <v>2</v>
          </cell>
          <cell r="I214">
            <v>52</v>
          </cell>
          <cell r="J214">
            <v>0</v>
          </cell>
          <cell r="K214">
            <v>54</v>
          </cell>
          <cell r="L214">
            <v>0</v>
          </cell>
          <cell r="M214">
            <v>0</v>
          </cell>
          <cell r="N214">
            <v>0</v>
          </cell>
          <cell r="O214">
            <v>0</v>
          </cell>
          <cell r="P214">
            <v>0</v>
          </cell>
          <cell r="Q214">
            <v>0</v>
          </cell>
          <cell r="R214">
            <v>1</v>
          </cell>
          <cell r="S214" t="str">
            <v>Y</v>
          </cell>
          <cell r="T214">
            <v>50</v>
          </cell>
          <cell r="V214">
            <v>100</v>
          </cell>
          <cell r="X214" t="str">
            <v>IS</v>
          </cell>
          <cell r="Y214" t="str">
            <v>TE</v>
          </cell>
          <cell r="Z214">
            <v>2</v>
          </cell>
          <cell r="AA214">
            <v>52</v>
          </cell>
          <cell r="AB214">
            <v>0</v>
          </cell>
          <cell r="AC214">
            <v>0.12200000000000011</v>
          </cell>
        </row>
        <row r="215">
          <cell r="A215" t="str">
            <v>HW1-F2-43262</v>
          </cell>
          <cell r="B215" t="str">
            <v>HW1-F2-43262</v>
          </cell>
          <cell r="C215">
            <v>43262</v>
          </cell>
          <cell r="D215" t="str">
            <v>HW1</v>
          </cell>
          <cell r="E215" t="str">
            <v>F2</v>
          </cell>
          <cell r="F215">
            <v>43265</v>
          </cell>
          <cell r="G215" t="str">
            <v>LV</v>
          </cell>
          <cell r="H215">
            <v>0</v>
          </cell>
          <cell r="I215">
            <v>52</v>
          </cell>
          <cell r="K215">
            <v>52</v>
          </cell>
          <cell r="L215">
            <v>0</v>
          </cell>
          <cell r="M215">
            <v>0</v>
          </cell>
          <cell r="N215">
            <v>0</v>
          </cell>
          <cell r="O215">
            <v>0</v>
          </cell>
          <cell r="P215">
            <v>0</v>
          </cell>
          <cell r="Q215">
            <v>0</v>
          </cell>
          <cell r="R215">
            <v>0</v>
          </cell>
          <cell r="S215" t="str">
            <v>Y</v>
          </cell>
          <cell r="T215">
            <v>50</v>
          </cell>
          <cell r="V215">
            <v>100</v>
          </cell>
          <cell r="X215" t="str">
            <v>LV</v>
          </cell>
          <cell r="Y215" t="str">
            <v>JB</v>
          </cell>
          <cell r="Z215">
            <v>0</v>
          </cell>
          <cell r="AA215">
            <v>52</v>
          </cell>
          <cell r="AB215">
            <v>0</v>
          </cell>
          <cell r="AC215">
            <v>0.129</v>
          </cell>
        </row>
        <row r="216">
          <cell r="A216" t="str">
            <v>HW2-G8-43262</v>
          </cell>
          <cell r="B216" t="str">
            <v>HW2-G8-43262</v>
          </cell>
          <cell r="C216">
            <v>43262</v>
          </cell>
          <cell r="D216" t="str">
            <v>HW2</v>
          </cell>
          <cell r="E216" t="str">
            <v>G8</v>
          </cell>
          <cell r="F216">
            <v>43265</v>
          </cell>
          <cell r="G216" t="str">
            <v>DP</v>
          </cell>
          <cell r="H216">
            <v>44</v>
          </cell>
          <cell r="I216">
            <v>98</v>
          </cell>
          <cell r="K216">
            <v>142</v>
          </cell>
          <cell r="L216">
            <v>0</v>
          </cell>
          <cell r="M216">
            <v>0</v>
          </cell>
          <cell r="N216">
            <v>0</v>
          </cell>
          <cell r="O216">
            <v>0</v>
          </cell>
          <cell r="P216">
            <v>0</v>
          </cell>
          <cell r="Q216">
            <v>0</v>
          </cell>
          <cell r="R216">
            <v>0</v>
          </cell>
          <cell r="S216" t="str">
            <v>Y</v>
          </cell>
          <cell r="T216">
            <v>50</v>
          </cell>
          <cell r="V216">
            <v>100</v>
          </cell>
          <cell r="X216" t="str">
            <v>DP</v>
          </cell>
          <cell r="Y216" t="str">
            <v>TE</v>
          </cell>
          <cell r="Z216">
            <v>44</v>
          </cell>
          <cell r="AA216">
            <v>98</v>
          </cell>
          <cell r="AB216">
            <v>0</v>
          </cell>
          <cell r="AC216">
            <v>0.13900000000000001</v>
          </cell>
        </row>
        <row r="217">
          <cell r="A217" t="str">
            <v>HW1-E8-43262</v>
          </cell>
          <cell r="B217" t="str">
            <v>HW1-E8-43262</v>
          </cell>
          <cell r="C217">
            <v>43262</v>
          </cell>
          <cell r="D217" t="str">
            <v>HW1</v>
          </cell>
          <cell r="E217" t="str">
            <v>E8</v>
          </cell>
          <cell r="F217">
            <v>43266</v>
          </cell>
          <cell r="G217" t="str">
            <v>JB</v>
          </cell>
          <cell r="H217">
            <v>58</v>
          </cell>
          <cell r="I217">
            <v>588</v>
          </cell>
          <cell r="J217">
            <v>0</v>
          </cell>
          <cell r="K217">
            <v>646</v>
          </cell>
          <cell r="L217">
            <v>42</v>
          </cell>
          <cell r="M217">
            <v>35</v>
          </cell>
          <cell r="N217">
            <v>0</v>
          </cell>
          <cell r="O217">
            <v>0</v>
          </cell>
          <cell r="P217">
            <v>0</v>
          </cell>
          <cell r="Q217">
            <v>0</v>
          </cell>
          <cell r="R217">
            <v>0</v>
          </cell>
          <cell r="S217" t="str">
            <v>Y</v>
          </cell>
          <cell r="T217">
            <v>50</v>
          </cell>
          <cell r="V217">
            <v>100</v>
          </cell>
          <cell r="X217" t="str">
            <v>JB</v>
          </cell>
          <cell r="Y217" t="str">
            <v>LV</v>
          </cell>
          <cell r="Z217">
            <v>58</v>
          </cell>
          <cell r="AA217">
            <v>588</v>
          </cell>
          <cell r="AB217">
            <v>0</v>
          </cell>
          <cell r="AC217">
            <v>0.18500000000000005</v>
          </cell>
        </row>
        <row r="218">
          <cell r="A218" t="str">
            <v>PO2-E3-43266</v>
          </cell>
          <cell r="B218" t="str">
            <v>PO2-E3-43266</v>
          </cell>
          <cell r="C218">
            <v>43266</v>
          </cell>
          <cell r="D218" t="str">
            <v>PO2</v>
          </cell>
          <cell r="E218" t="str">
            <v>E3</v>
          </cell>
          <cell r="F218">
            <v>43267</v>
          </cell>
          <cell r="G218" t="str">
            <v>IS</v>
          </cell>
          <cell r="H218">
            <v>6</v>
          </cell>
          <cell r="I218">
            <v>732</v>
          </cell>
          <cell r="J218">
            <v>6</v>
          </cell>
          <cell r="K218">
            <v>744</v>
          </cell>
          <cell r="L218">
            <v>0</v>
          </cell>
          <cell r="M218">
            <v>0</v>
          </cell>
          <cell r="N218">
            <v>0</v>
          </cell>
          <cell r="O218">
            <v>0</v>
          </cell>
          <cell r="P218">
            <v>0</v>
          </cell>
          <cell r="Q218">
            <v>0</v>
          </cell>
          <cell r="R218">
            <v>0</v>
          </cell>
          <cell r="S218" t="str">
            <v>Y</v>
          </cell>
          <cell r="T218">
            <v>50</v>
          </cell>
          <cell r="V218">
            <v>100</v>
          </cell>
          <cell r="X218" t="str">
            <v>IS</v>
          </cell>
          <cell r="Y218" t="str">
            <v>TE</v>
          </cell>
          <cell r="Z218">
            <v>6</v>
          </cell>
          <cell r="AA218">
            <v>732</v>
          </cell>
          <cell r="AB218">
            <v>6</v>
          </cell>
          <cell r="AC218">
            <v>1.9000000000000128E-2</v>
          </cell>
        </row>
        <row r="219">
          <cell r="A219" t="str">
            <v>PO1-E2-43266</v>
          </cell>
          <cell r="B219" t="str">
            <v>PO1-E2-43266</v>
          </cell>
          <cell r="C219">
            <v>43266</v>
          </cell>
          <cell r="D219" t="str">
            <v>PO1</v>
          </cell>
          <cell r="E219" t="str">
            <v>E2</v>
          </cell>
          <cell r="F219">
            <v>43267</v>
          </cell>
          <cell r="G219" t="str">
            <v>DP</v>
          </cell>
          <cell r="I219">
            <v>4</v>
          </cell>
          <cell r="K219">
            <v>4</v>
          </cell>
          <cell r="L219">
            <v>0</v>
          </cell>
          <cell r="M219">
            <v>0</v>
          </cell>
          <cell r="N219">
            <v>0</v>
          </cell>
          <cell r="O219">
            <v>0</v>
          </cell>
          <cell r="P219">
            <v>0</v>
          </cell>
          <cell r="Q219">
            <v>0</v>
          </cell>
          <cell r="R219">
            <v>0</v>
          </cell>
          <cell r="S219" t="str">
            <v>Y</v>
          </cell>
          <cell r="T219">
            <v>50</v>
          </cell>
          <cell r="V219">
            <v>100</v>
          </cell>
          <cell r="X219" t="str">
            <v>DP</v>
          </cell>
          <cell r="Y219" t="str">
            <v>TE</v>
          </cell>
          <cell r="Z219">
            <v>0</v>
          </cell>
          <cell r="AA219">
            <v>4</v>
          </cell>
          <cell r="AB219">
            <v>0</v>
          </cell>
          <cell r="AC219">
            <v>4.8000000000000043E-2</v>
          </cell>
        </row>
        <row r="220">
          <cell r="A220" t="str">
            <v>PO2-G7-43266</v>
          </cell>
          <cell r="B220" t="str">
            <v>PO2-G7-43266</v>
          </cell>
          <cell r="C220">
            <v>43266</v>
          </cell>
          <cell r="D220" t="str">
            <v>PO2</v>
          </cell>
          <cell r="E220" t="str">
            <v>G7</v>
          </cell>
          <cell r="F220">
            <v>43267</v>
          </cell>
          <cell r="G220" t="str">
            <v>IS</v>
          </cell>
          <cell r="H220">
            <v>0</v>
          </cell>
          <cell r="I220">
            <v>124</v>
          </cell>
          <cell r="J220">
            <v>0</v>
          </cell>
          <cell r="K220">
            <v>124</v>
          </cell>
          <cell r="L220">
            <v>0</v>
          </cell>
          <cell r="M220">
            <v>0</v>
          </cell>
          <cell r="N220">
            <v>0</v>
          </cell>
          <cell r="O220">
            <v>0</v>
          </cell>
          <cell r="P220">
            <v>0</v>
          </cell>
          <cell r="Q220">
            <v>0</v>
          </cell>
          <cell r="R220">
            <v>0</v>
          </cell>
          <cell r="S220" t="str">
            <v>Y</v>
          </cell>
          <cell r="T220">
            <v>50</v>
          </cell>
          <cell r="V220">
            <v>100</v>
          </cell>
          <cell r="X220" t="str">
            <v>IS</v>
          </cell>
          <cell r="Y220" t="str">
            <v>TE</v>
          </cell>
          <cell r="Z220">
            <v>0</v>
          </cell>
          <cell r="AA220">
            <v>124</v>
          </cell>
          <cell r="AB220">
            <v>0</v>
          </cell>
          <cell r="AC220">
            <v>5.8000000000000052E-2</v>
          </cell>
        </row>
        <row r="221">
          <cell r="A221" t="str">
            <v>PO2-D1-43266</v>
          </cell>
          <cell r="B221" t="str">
            <v>PO2-D1-43266</v>
          </cell>
          <cell r="C221">
            <v>43266</v>
          </cell>
          <cell r="D221" t="str">
            <v>PO2</v>
          </cell>
          <cell r="E221" t="str">
            <v>D1</v>
          </cell>
          <cell r="F221">
            <v>43267</v>
          </cell>
          <cell r="G221" t="str">
            <v>TE</v>
          </cell>
          <cell r="H221">
            <v>0</v>
          </cell>
          <cell r="I221">
            <v>0</v>
          </cell>
          <cell r="J221">
            <v>0</v>
          </cell>
          <cell r="K221">
            <v>0</v>
          </cell>
          <cell r="L221">
            <v>0</v>
          </cell>
          <cell r="M221">
            <v>0</v>
          </cell>
          <cell r="N221">
            <v>0</v>
          </cell>
          <cell r="O221">
            <v>0</v>
          </cell>
          <cell r="P221">
            <v>0</v>
          </cell>
          <cell r="Q221">
            <v>0</v>
          </cell>
          <cell r="R221">
            <v>0</v>
          </cell>
          <cell r="S221" t="str">
            <v>Y</v>
          </cell>
          <cell r="T221">
            <v>50</v>
          </cell>
          <cell r="V221">
            <v>100</v>
          </cell>
          <cell r="X221" t="str">
            <v>TE</v>
          </cell>
          <cell r="Y221" t="str">
            <v>JB</v>
          </cell>
          <cell r="Z221">
            <v>0</v>
          </cell>
          <cell r="AA221">
            <v>0</v>
          </cell>
          <cell r="AB221">
            <v>0</v>
          </cell>
          <cell r="AC221">
            <v>7.2000000000000064E-2</v>
          </cell>
        </row>
        <row r="222">
          <cell r="A222" t="str">
            <v>PO1-E4-43266</v>
          </cell>
          <cell r="B222" t="str">
            <v>PO1-E4-43266</v>
          </cell>
          <cell r="C222">
            <v>43266</v>
          </cell>
          <cell r="D222" t="str">
            <v>PO1</v>
          </cell>
          <cell r="E222" t="str">
            <v>E4</v>
          </cell>
          <cell r="F222">
            <v>43267</v>
          </cell>
          <cell r="G222" t="str">
            <v>LV</v>
          </cell>
          <cell r="H222">
            <v>0</v>
          </cell>
          <cell r="I222">
            <v>0</v>
          </cell>
          <cell r="J222">
            <v>0</v>
          </cell>
          <cell r="K222">
            <v>0</v>
          </cell>
          <cell r="L222">
            <v>0</v>
          </cell>
          <cell r="M222">
            <v>0</v>
          </cell>
          <cell r="N222">
            <v>0</v>
          </cell>
          <cell r="O222">
            <v>0</v>
          </cell>
          <cell r="P222">
            <v>0</v>
          </cell>
          <cell r="Q222">
            <v>0</v>
          </cell>
          <cell r="R222">
            <v>0</v>
          </cell>
          <cell r="S222" t="str">
            <v>Y</v>
          </cell>
          <cell r="T222">
            <v>50</v>
          </cell>
          <cell r="V222">
            <v>100</v>
          </cell>
          <cell r="X222" t="str">
            <v>LV</v>
          </cell>
          <cell r="Y222" t="str">
            <v>JB</v>
          </cell>
          <cell r="Z222">
            <v>0</v>
          </cell>
          <cell r="AA222">
            <v>0</v>
          </cell>
          <cell r="AB222">
            <v>0</v>
          </cell>
          <cell r="AC222">
            <v>7.3000000000000176E-2</v>
          </cell>
        </row>
        <row r="223">
          <cell r="A223" t="str">
            <v>PO1-H7-43266</v>
          </cell>
          <cell r="B223" t="str">
            <v>PO1-H7-43266</v>
          </cell>
          <cell r="C223">
            <v>43266</v>
          </cell>
          <cell r="D223" t="str">
            <v>PO1</v>
          </cell>
          <cell r="E223" t="str">
            <v>H7</v>
          </cell>
          <cell r="F223">
            <v>43267</v>
          </cell>
          <cell r="G223" t="str">
            <v>LV</v>
          </cell>
          <cell r="H223">
            <v>0</v>
          </cell>
          <cell r="I223">
            <v>0</v>
          </cell>
          <cell r="J223">
            <v>0</v>
          </cell>
          <cell r="K223">
            <v>0</v>
          </cell>
          <cell r="L223">
            <v>0</v>
          </cell>
          <cell r="M223">
            <v>0</v>
          </cell>
          <cell r="N223">
            <v>0</v>
          </cell>
          <cell r="O223">
            <v>0</v>
          </cell>
          <cell r="P223">
            <v>0</v>
          </cell>
          <cell r="Q223">
            <v>0</v>
          </cell>
          <cell r="R223">
            <v>0</v>
          </cell>
          <cell r="S223" t="str">
            <v>Y</v>
          </cell>
          <cell r="T223">
            <v>50</v>
          </cell>
          <cell r="V223">
            <v>100</v>
          </cell>
          <cell r="X223" t="str">
            <v>LV</v>
          </cell>
          <cell r="Y223" t="str">
            <v>JB</v>
          </cell>
          <cell r="Z223">
            <v>0</v>
          </cell>
          <cell r="AA223">
            <v>0</v>
          </cell>
          <cell r="AB223">
            <v>0</v>
          </cell>
          <cell r="AC223">
            <v>0.14900000000000002</v>
          </cell>
        </row>
        <row r="224">
          <cell r="A224" t="str">
            <v>PO2-G6-43266</v>
          </cell>
          <cell r="B224" t="str">
            <v>PO2-G6-43266</v>
          </cell>
          <cell r="C224">
            <v>43266</v>
          </cell>
          <cell r="D224" t="str">
            <v>PO2</v>
          </cell>
          <cell r="E224" t="str">
            <v>G6</v>
          </cell>
          <cell r="F224">
            <v>43267</v>
          </cell>
          <cell r="G224" t="str">
            <v>JB</v>
          </cell>
          <cell r="H224">
            <v>14</v>
          </cell>
          <cell r="I224">
            <v>740</v>
          </cell>
          <cell r="J224">
            <v>0</v>
          </cell>
          <cell r="K224">
            <v>754</v>
          </cell>
          <cell r="L224">
            <v>0</v>
          </cell>
          <cell r="M224">
            <v>0</v>
          </cell>
          <cell r="N224">
            <v>0</v>
          </cell>
          <cell r="O224">
            <v>0</v>
          </cell>
          <cell r="P224">
            <v>0</v>
          </cell>
          <cell r="Q224">
            <v>0</v>
          </cell>
          <cell r="R224">
            <v>0</v>
          </cell>
          <cell r="S224" t="str">
            <v>Y</v>
          </cell>
          <cell r="T224">
            <v>50</v>
          </cell>
          <cell r="V224">
            <v>100</v>
          </cell>
          <cell r="X224" t="str">
            <v>JB</v>
          </cell>
          <cell r="Y224" t="str">
            <v>LV</v>
          </cell>
          <cell r="Z224">
            <v>14</v>
          </cell>
          <cell r="AA224">
            <v>740</v>
          </cell>
          <cell r="AB224">
            <v>0</v>
          </cell>
          <cell r="AC224">
            <v>0.15100000000000002</v>
          </cell>
        </row>
        <row r="225">
          <cell r="A225" t="str">
            <v>PO2-D8-43266</v>
          </cell>
          <cell r="B225" t="str">
            <v>PO2-D8-43266</v>
          </cell>
          <cell r="C225">
            <v>43266</v>
          </cell>
          <cell r="D225" t="str">
            <v>PO2</v>
          </cell>
          <cell r="E225" t="str">
            <v>D8</v>
          </cell>
          <cell r="F225">
            <v>43267</v>
          </cell>
          <cell r="G225" t="str">
            <v>JB</v>
          </cell>
          <cell r="H225">
            <v>0</v>
          </cell>
          <cell r="I225">
            <v>0</v>
          </cell>
          <cell r="J225">
            <v>0</v>
          </cell>
          <cell r="K225">
            <v>0</v>
          </cell>
          <cell r="L225">
            <v>0</v>
          </cell>
          <cell r="M225">
            <v>0</v>
          </cell>
          <cell r="N225">
            <v>0</v>
          </cell>
          <cell r="O225">
            <v>0</v>
          </cell>
          <cell r="P225">
            <v>0</v>
          </cell>
          <cell r="Q225">
            <v>0</v>
          </cell>
          <cell r="R225">
            <v>0</v>
          </cell>
          <cell r="S225" t="str">
            <v>Y</v>
          </cell>
          <cell r="T225">
            <v>50</v>
          </cell>
          <cell r="V225">
            <v>100</v>
          </cell>
          <cell r="X225" t="str">
            <v>JB</v>
          </cell>
          <cell r="Y225" t="str">
            <v>LV</v>
          </cell>
          <cell r="Z225">
            <v>0</v>
          </cell>
          <cell r="AA225">
            <v>0</v>
          </cell>
          <cell r="AB225">
            <v>0</v>
          </cell>
          <cell r="AC225">
            <v>0.21500000000000008</v>
          </cell>
        </row>
        <row r="226">
          <cell r="A226" t="str">
            <v>PO2-G1-43266</v>
          </cell>
          <cell r="B226" t="str">
            <v>PO2-G1-43266</v>
          </cell>
          <cell r="C226">
            <v>43266</v>
          </cell>
          <cell r="D226" t="str">
            <v>PO2</v>
          </cell>
          <cell r="E226" t="str">
            <v>G1</v>
          </cell>
          <cell r="F226">
            <v>43267</v>
          </cell>
          <cell r="G226" t="str">
            <v>TE</v>
          </cell>
          <cell r="H226">
            <v>0</v>
          </cell>
          <cell r="I226">
            <v>0</v>
          </cell>
          <cell r="J226">
            <v>0</v>
          </cell>
          <cell r="K226">
            <v>0</v>
          </cell>
          <cell r="L226">
            <v>0</v>
          </cell>
          <cell r="M226">
            <v>0</v>
          </cell>
          <cell r="N226">
            <v>0</v>
          </cell>
          <cell r="O226">
            <v>0</v>
          </cell>
          <cell r="P226">
            <v>0</v>
          </cell>
          <cell r="Q226">
            <v>0</v>
          </cell>
          <cell r="R226">
            <v>0</v>
          </cell>
          <cell r="S226" t="str">
            <v>Y</v>
          </cell>
          <cell r="T226">
            <v>50</v>
          </cell>
          <cell r="V226">
            <v>100</v>
          </cell>
          <cell r="X226" t="str">
            <v>TE</v>
          </cell>
          <cell r="Y226" t="str">
            <v>JB</v>
          </cell>
          <cell r="Z226">
            <v>0</v>
          </cell>
          <cell r="AA226">
            <v>0</v>
          </cell>
          <cell r="AB226">
            <v>0</v>
          </cell>
          <cell r="AC226">
            <v>0.2370000000000001</v>
          </cell>
        </row>
        <row r="227">
          <cell r="A227" t="str">
            <v>PO1-G8-43266</v>
          </cell>
          <cell r="B227" t="str">
            <v>PO1-G8-43266</v>
          </cell>
          <cell r="C227">
            <v>43266</v>
          </cell>
          <cell r="D227" t="str">
            <v>PO1</v>
          </cell>
          <cell r="E227" t="str">
            <v>G8</v>
          </cell>
          <cell r="F227">
            <v>43267</v>
          </cell>
          <cell r="G227" t="str">
            <v>DP</v>
          </cell>
          <cell r="H227">
            <v>0</v>
          </cell>
          <cell r="I227">
            <v>0</v>
          </cell>
          <cell r="J227">
            <v>0</v>
          </cell>
          <cell r="K227">
            <v>0</v>
          </cell>
          <cell r="L227">
            <v>0</v>
          </cell>
          <cell r="M227">
            <v>0</v>
          </cell>
          <cell r="N227">
            <v>0</v>
          </cell>
          <cell r="O227">
            <v>0</v>
          </cell>
          <cell r="P227">
            <v>0</v>
          </cell>
          <cell r="Q227">
            <v>0</v>
          </cell>
          <cell r="R227">
            <v>0</v>
          </cell>
          <cell r="S227" t="str">
            <v>Y</v>
          </cell>
          <cell r="T227">
            <v>50</v>
          </cell>
          <cell r="V227">
            <v>100</v>
          </cell>
          <cell r="X227" t="str">
            <v>DP</v>
          </cell>
          <cell r="Y227" t="str">
            <v>TE</v>
          </cell>
          <cell r="Z227">
            <v>0</v>
          </cell>
          <cell r="AA227">
            <v>0</v>
          </cell>
          <cell r="AB227">
            <v>0</v>
          </cell>
          <cell r="AC227">
            <v>0.29500000000000015</v>
          </cell>
        </row>
        <row r="228">
          <cell r="A228" t="str">
            <v>PO1-D3-43266</v>
          </cell>
          <cell r="B228" t="str">
            <v>PO1-D3-43266</v>
          </cell>
          <cell r="C228">
            <v>43266</v>
          </cell>
          <cell r="D228" t="str">
            <v>PO1</v>
          </cell>
          <cell r="E228" t="str">
            <v>D3</v>
          </cell>
          <cell r="F228">
            <v>43268</v>
          </cell>
          <cell r="G228" t="str">
            <v>TE</v>
          </cell>
          <cell r="H228">
            <v>0</v>
          </cell>
          <cell r="I228">
            <v>0</v>
          </cell>
          <cell r="J228">
            <v>0</v>
          </cell>
          <cell r="K228">
            <v>0</v>
          </cell>
          <cell r="L228">
            <v>0</v>
          </cell>
          <cell r="M228">
            <v>0</v>
          </cell>
          <cell r="N228">
            <v>0</v>
          </cell>
          <cell r="O228">
            <v>0</v>
          </cell>
          <cell r="P228">
            <v>0</v>
          </cell>
          <cell r="Q228">
            <v>0</v>
          </cell>
          <cell r="R228">
            <v>0</v>
          </cell>
          <cell r="S228" t="str">
            <v>Y</v>
          </cell>
          <cell r="T228">
            <v>50</v>
          </cell>
          <cell r="V228">
            <v>100</v>
          </cell>
          <cell r="X228" t="str">
            <v>TE</v>
          </cell>
          <cell r="Y228" t="str">
            <v>JB</v>
          </cell>
          <cell r="Z228">
            <v>0</v>
          </cell>
          <cell r="AA228">
            <v>0</v>
          </cell>
          <cell r="AB228">
            <v>0</v>
          </cell>
          <cell r="AC228">
            <v>0.38700000000000001</v>
          </cell>
        </row>
        <row r="229">
          <cell r="A229" t="str">
            <v>PO1-A4-43267</v>
          </cell>
          <cell r="B229" t="str">
            <v>PO1-A4-43267</v>
          </cell>
          <cell r="C229">
            <v>43267</v>
          </cell>
          <cell r="D229" t="str">
            <v>PO1</v>
          </cell>
          <cell r="E229" t="str">
            <v>A4</v>
          </cell>
          <cell r="F229">
            <v>43268</v>
          </cell>
          <cell r="G229" t="str">
            <v>LV</v>
          </cell>
          <cell r="H229">
            <v>0</v>
          </cell>
          <cell r="I229">
            <v>0</v>
          </cell>
          <cell r="J229">
            <v>0</v>
          </cell>
          <cell r="K229">
            <v>0</v>
          </cell>
          <cell r="L229">
            <v>0</v>
          </cell>
          <cell r="M229">
            <v>0</v>
          </cell>
          <cell r="N229">
            <v>0</v>
          </cell>
          <cell r="O229">
            <v>0</v>
          </cell>
          <cell r="P229">
            <v>0</v>
          </cell>
          <cell r="Q229">
            <v>0</v>
          </cell>
          <cell r="R229">
            <v>0</v>
          </cell>
          <cell r="S229" t="str">
            <v>Y</v>
          </cell>
          <cell r="T229">
            <v>50</v>
          </cell>
          <cell r="V229">
            <v>100</v>
          </cell>
          <cell r="X229" t="str">
            <v>LV</v>
          </cell>
          <cell r="Y229" t="str">
            <v>JB</v>
          </cell>
          <cell r="Z229">
            <v>0</v>
          </cell>
          <cell r="AA229">
            <v>0</v>
          </cell>
          <cell r="AB229">
            <v>0</v>
          </cell>
          <cell r="AC229">
            <v>-3.3999999999999808E-2</v>
          </cell>
        </row>
        <row r="230">
          <cell r="A230" t="str">
            <v>PO2-F1-43267</v>
          </cell>
          <cell r="B230" t="str">
            <v>PO2-F1-43267</v>
          </cell>
          <cell r="C230">
            <v>43267</v>
          </cell>
          <cell r="D230" t="str">
            <v>PO2</v>
          </cell>
          <cell r="E230" t="str">
            <v>F1</v>
          </cell>
          <cell r="F230">
            <v>43268</v>
          </cell>
          <cell r="G230" t="str">
            <v>DP</v>
          </cell>
          <cell r="H230">
            <v>0</v>
          </cell>
          <cell r="I230">
            <v>74</v>
          </cell>
          <cell r="J230">
            <v>4</v>
          </cell>
          <cell r="K230">
            <v>78</v>
          </cell>
          <cell r="L230">
            <v>0</v>
          </cell>
          <cell r="M230">
            <v>0</v>
          </cell>
          <cell r="N230">
            <v>0</v>
          </cell>
          <cell r="O230">
            <v>0</v>
          </cell>
          <cell r="P230">
            <v>0</v>
          </cell>
          <cell r="Q230">
            <v>0</v>
          </cell>
          <cell r="R230">
            <v>0</v>
          </cell>
          <cell r="S230" t="str">
            <v>Y</v>
          </cell>
          <cell r="T230">
            <v>50</v>
          </cell>
          <cell r="V230">
            <v>100</v>
          </cell>
          <cell r="X230" t="str">
            <v>DP</v>
          </cell>
          <cell r="Y230" t="str">
            <v>TE</v>
          </cell>
          <cell r="Z230">
            <v>0</v>
          </cell>
          <cell r="AA230">
            <v>74</v>
          </cell>
          <cell r="AB230">
            <v>4</v>
          </cell>
          <cell r="AC230">
            <v>3.1000000000000139E-2</v>
          </cell>
        </row>
        <row r="231">
          <cell r="A231" t="str">
            <v>PO2-A2-43267</v>
          </cell>
          <cell r="B231" t="str">
            <v>PO2-A2-43267</v>
          </cell>
          <cell r="C231">
            <v>43267</v>
          </cell>
          <cell r="D231" t="str">
            <v>PO2</v>
          </cell>
          <cell r="E231" t="str">
            <v>A2</v>
          </cell>
          <cell r="F231">
            <v>43268</v>
          </cell>
          <cell r="G231" t="str">
            <v>LV</v>
          </cell>
          <cell r="H231">
            <v>0</v>
          </cell>
          <cell r="I231">
            <v>132</v>
          </cell>
          <cell r="J231">
            <v>0</v>
          </cell>
          <cell r="K231">
            <v>132</v>
          </cell>
          <cell r="L231">
            <v>0</v>
          </cell>
          <cell r="M231">
            <v>0</v>
          </cell>
          <cell r="N231">
            <v>0</v>
          </cell>
          <cell r="O231">
            <v>0</v>
          </cell>
          <cell r="P231">
            <v>0</v>
          </cell>
          <cell r="Q231">
            <v>0</v>
          </cell>
          <cell r="R231">
            <v>0</v>
          </cell>
          <cell r="S231" t="str">
            <v>Y</v>
          </cell>
          <cell r="T231">
            <v>50</v>
          </cell>
          <cell r="V231">
            <v>100</v>
          </cell>
          <cell r="W231" t="str">
            <v>25 big brown parasite like things</v>
          </cell>
          <cell r="X231" t="str">
            <v>LV</v>
          </cell>
          <cell r="Y231" t="str">
            <v>JB</v>
          </cell>
          <cell r="Z231">
            <v>0</v>
          </cell>
          <cell r="AA231">
            <v>132</v>
          </cell>
          <cell r="AB231">
            <v>0</v>
          </cell>
          <cell r="AC231">
            <v>8.8000000000000078E-2</v>
          </cell>
        </row>
        <row r="232">
          <cell r="A232" t="str">
            <v>PO2-H4-43267</v>
          </cell>
          <cell r="B232" t="str">
            <v>PO2-H4-43267</v>
          </cell>
          <cell r="C232">
            <v>43267</v>
          </cell>
          <cell r="D232" t="str">
            <v>PO2</v>
          </cell>
          <cell r="E232" t="str">
            <v>H4</v>
          </cell>
          <cell r="F232">
            <v>43268</v>
          </cell>
          <cell r="G232" t="str">
            <v>JB</v>
          </cell>
          <cell r="H232">
            <v>0</v>
          </cell>
          <cell r="I232">
            <v>0</v>
          </cell>
          <cell r="J232">
            <v>0</v>
          </cell>
          <cell r="K232">
            <v>0</v>
          </cell>
          <cell r="L232">
            <v>0</v>
          </cell>
          <cell r="M232">
            <v>0</v>
          </cell>
          <cell r="N232">
            <v>0</v>
          </cell>
          <cell r="O232">
            <v>0</v>
          </cell>
          <cell r="P232">
            <v>0</v>
          </cell>
          <cell r="Q232">
            <v>0</v>
          </cell>
          <cell r="R232">
            <v>0</v>
          </cell>
          <cell r="S232" t="str">
            <v>Y</v>
          </cell>
          <cell r="T232">
            <v>50</v>
          </cell>
          <cell r="V232">
            <v>100</v>
          </cell>
          <cell r="X232" t="str">
            <v>JB</v>
          </cell>
          <cell r="Y232" t="str">
            <v>LV</v>
          </cell>
          <cell r="Z232">
            <v>0</v>
          </cell>
          <cell r="AA232">
            <v>0</v>
          </cell>
          <cell r="AB232">
            <v>0</v>
          </cell>
          <cell r="AC232">
            <v>9.2000000000000082E-2</v>
          </cell>
        </row>
        <row r="233">
          <cell r="A233" t="str">
            <v>PO1-B5-43267</v>
          </cell>
          <cell r="B233" t="str">
            <v>PO1-B5-43267</v>
          </cell>
          <cell r="C233">
            <v>43267</v>
          </cell>
          <cell r="D233" t="str">
            <v>PO1</v>
          </cell>
          <cell r="E233" t="str">
            <v>B5</v>
          </cell>
          <cell r="F233">
            <v>43268</v>
          </cell>
          <cell r="G233" t="str">
            <v>IS</v>
          </cell>
          <cell r="H233">
            <v>10</v>
          </cell>
          <cell r="I233">
            <v>60</v>
          </cell>
          <cell r="J233">
            <v>0</v>
          </cell>
          <cell r="K233">
            <v>70</v>
          </cell>
          <cell r="L233">
            <v>0</v>
          </cell>
          <cell r="M233">
            <v>0</v>
          </cell>
          <cell r="N233">
            <v>0</v>
          </cell>
          <cell r="O233">
            <v>0</v>
          </cell>
          <cell r="P233">
            <v>0</v>
          </cell>
          <cell r="Q233">
            <v>0</v>
          </cell>
          <cell r="R233">
            <v>0</v>
          </cell>
          <cell r="S233" t="str">
            <v>Y</v>
          </cell>
          <cell r="T233">
            <v>50</v>
          </cell>
          <cell r="V233">
            <v>100</v>
          </cell>
          <cell r="X233" t="str">
            <v>IS</v>
          </cell>
          <cell r="Y233" t="str">
            <v>TE</v>
          </cell>
          <cell r="Z233">
            <v>10</v>
          </cell>
          <cell r="AA233">
            <v>60</v>
          </cell>
          <cell r="AB233">
            <v>0</v>
          </cell>
          <cell r="AC233">
            <v>9.6000000000000085E-2</v>
          </cell>
        </row>
        <row r="234">
          <cell r="A234" t="str">
            <v>PO2-F8-43267</v>
          </cell>
          <cell r="B234" t="str">
            <v>PO2-F8-43267</v>
          </cell>
          <cell r="C234">
            <v>43267</v>
          </cell>
          <cell r="D234" t="str">
            <v>PO2</v>
          </cell>
          <cell r="E234" t="str">
            <v>F8</v>
          </cell>
          <cell r="F234">
            <v>43268</v>
          </cell>
          <cell r="G234" t="str">
            <v>IS</v>
          </cell>
          <cell r="H234">
            <v>0</v>
          </cell>
          <cell r="I234">
            <v>0</v>
          </cell>
          <cell r="J234">
            <v>0</v>
          </cell>
          <cell r="K234">
            <v>0</v>
          </cell>
          <cell r="L234">
            <v>0</v>
          </cell>
          <cell r="M234">
            <v>0</v>
          </cell>
          <cell r="N234">
            <v>1</v>
          </cell>
          <cell r="O234">
            <v>0</v>
          </cell>
          <cell r="P234">
            <v>0</v>
          </cell>
          <cell r="Q234">
            <v>0</v>
          </cell>
          <cell r="R234">
            <v>0</v>
          </cell>
          <cell r="S234" t="str">
            <v>Y</v>
          </cell>
          <cell r="T234">
            <v>50</v>
          </cell>
          <cell r="V234">
            <v>100</v>
          </cell>
          <cell r="X234" t="str">
            <v>IS</v>
          </cell>
          <cell r="Y234" t="str">
            <v>TE</v>
          </cell>
          <cell r="Z234">
            <v>0</v>
          </cell>
          <cell r="AA234">
            <v>0</v>
          </cell>
          <cell r="AB234">
            <v>0</v>
          </cell>
          <cell r="AC234">
            <v>0.13100000000000001</v>
          </cell>
        </row>
        <row r="235">
          <cell r="A235" t="str">
            <v>PO2-B6-43267</v>
          </cell>
          <cell r="B235" t="str">
            <v>PO2-B6-43267</v>
          </cell>
          <cell r="C235">
            <v>43267</v>
          </cell>
          <cell r="D235" t="str">
            <v>PO2</v>
          </cell>
          <cell r="E235" t="str">
            <v>B6</v>
          </cell>
          <cell r="F235">
            <v>43268</v>
          </cell>
          <cell r="G235" t="str">
            <v>JB</v>
          </cell>
          <cell r="H235">
            <v>0</v>
          </cell>
          <cell r="I235">
            <v>326</v>
          </cell>
          <cell r="J235">
            <v>18</v>
          </cell>
          <cell r="K235">
            <v>344</v>
          </cell>
          <cell r="L235">
            <v>1</v>
          </cell>
          <cell r="M235">
            <v>0</v>
          </cell>
          <cell r="N235">
            <v>0</v>
          </cell>
          <cell r="O235">
            <v>0</v>
          </cell>
          <cell r="P235">
            <v>0</v>
          </cell>
          <cell r="Q235">
            <v>0</v>
          </cell>
          <cell r="R235">
            <v>0</v>
          </cell>
          <cell r="S235" t="str">
            <v>Y</v>
          </cell>
          <cell r="T235">
            <v>50</v>
          </cell>
          <cell r="V235">
            <v>100</v>
          </cell>
          <cell r="X235" t="str">
            <v>JB</v>
          </cell>
          <cell r="Y235" t="str">
            <v>LV</v>
          </cell>
          <cell r="Z235">
            <v>0</v>
          </cell>
          <cell r="AA235">
            <v>326</v>
          </cell>
          <cell r="AB235">
            <v>18</v>
          </cell>
          <cell r="AC235">
            <v>0.15000000000000013</v>
          </cell>
        </row>
        <row r="236">
          <cell r="A236" t="str">
            <v>PO2-A4-43267</v>
          </cell>
          <cell r="B236" t="str">
            <v>PO2-A4-43267</v>
          </cell>
          <cell r="C236">
            <v>43267</v>
          </cell>
          <cell r="D236" t="str">
            <v>PO2</v>
          </cell>
          <cell r="E236" t="str">
            <v>A4</v>
          </cell>
          <cell r="F236">
            <v>43268</v>
          </cell>
          <cell r="G236" t="str">
            <v>DP</v>
          </cell>
          <cell r="H236">
            <v>0</v>
          </cell>
          <cell r="I236">
            <v>0</v>
          </cell>
          <cell r="J236">
            <v>0</v>
          </cell>
          <cell r="K236">
            <v>0</v>
          </cell>
          <cell r="L236">
            <v>0</v>
          </cell>
          <cell r="M236">
            <v>0</v>
          </cell>
          <cell r="N236">
            <v>0</v>
          </cell>
          <cell r="O236">
            <v>0</v>
          </cell>
          <cell r="P236">
            <v>0</v>
          </cell>
          <cell r="Q236">
            <v>0</v>
          </cell>
          <cell r="R236">
            <v>0</v>
          </cell>
          <cell r="S236" t="str">
            <v>Y</v>
          </cell>
          <cell r="T236">
            <v>50</v>
          </cell>
          <cell r="V236">
            <v>100</v>
          </cell>
          <cell r="X236" t="str">
            <v>DP</v>
          </cell>
          <cell r="Y236" t="str">
            <v>TE</v>
          </cell>
          <cell r="Z236">
            <v>0</v>
          </cell>
          <cell r="AA236">
            <v>0</v>
          </cell>
          <cell r="AB236">
            <v>0</v>
          </cell>
          <cell r="AC236">
            <v>0.16200000000000014</v>
          </cell>
        </row>
        <row r="237">
          <cell r="A237" t="str">
            <v>PO1-A7-43267</v>
          </cell>
          <cell r="B237" t="str">
            <v>PO1-A7-43267</v>
          </cell>
          <cell r="C237">
            <v>43267</v>
          </cell>
          <cell r="D237" t="str">
            <v>PO1</v>
          </cell>
          <cell r="E237" t="str">
            <v>A7</v>
          </cell>
          <cell r="F237">
            <v>43268</v>
          </cell>
          <cell r="G237" t="str">
            <v>TE</v>
          </cell>
          <cell r="H237">
            <v>0</v>
          </cell>
          <cell r="I237">
            <v>0</v>
          </cell>
          <cell r="J237">
            <v>6</v>
          </cell>
          <cell r="K237">
            <v>6</v>
          </cell>
          <cell r="L237">
            <v>0</v>
          </cell>
          <cell r="M237">
            <v>0</v>
          </cell>
          <cell r="N237">
            <v>0</v>
          </cell>
          <cell r="O237">
            <v>0</v>
          </cell>
          <cell r="P237">
            <v>0</v>
          </cell>
          <cell r="Q237">
            <v>0</v>
          </cell>
          <cell r="R237">
            <v>0</v>
          </cell>
          <cell r="S237" t="str">
            <v>Y</v>
          </cell>
          <cell r="T237">
            <v>50</v>
          </cell>
          <cell r="V237">
            <v>100</v>
          </cell>
          <cell r="X237" t="str">
            <v>TE</v>
          </cell>
          <cell r="Y237" t="str">
            <v>JB</v>
          </cell>
          <cell r="Z237">
            <v>0</v>
          </cell>
          <cell r="AA237">
            <v>0</v>
          </cell>
          <cell r="AB237">
            <v>6</v>
          </cell>
          <cell r="AC237">
            <v>0.41000000000000014</v>
          </cell>
        </row>
        <row r="238">
          <cell r="A238" t="str">
            <v>PO2-A4-43268</v>
          </cell>
          <cell r="B238" t="str">
            <v>PO2-A4-43268</v>
          </cell>
          <cell r="C238">
            <v>43268</v>
          </cell>
          <cell r="D238" t="str">
            <v>PO2</v>
          </cell>
          <cell r="E238" t="str">
            <v>A4</v>
          </cell>
          <cell r="F238">
            <v>43269</v>
          </cell>
          <cell r="G238" t="str">
            <v>JB</v>
          </cell>
          <cell r="H238">
            <v>0</v>
          </cell>
          <cell r="I238">
            <v>0</v>
          </cell>
          <cell r="J238">
            <v>0</v>
          </cell>
          <cell r="K238">
            <v>0</v>
          </cell>
          <cell r="L238">
            <v>0</v>
          </cell>
          <cell r="M238">
            <v>0</v>
          </cell>
          <cell r="N238">
            <v>0</v>
          </cell>
          <cell r="O238">
            <v>0</v>
          </cell>
          <cell r="P238">
            <v>0</v>
          </cell>
          <cell r="Q238">
            <v>0</v>
          </cell>
          <cell r="R238">
            <v>0</v>
          </cell>
          <cell r="S238" t="str">
            <v>Y</v>
          </cell>
          <cell r="T238">
            <v>50</v>
          </cell>
          <cell r="V238">
            <v>100</v>
          </cell>
          <cell r="X238" t="str">
            <v>JB</v>
          </cell>
          <cell r="Y238" t="str">
            <v>LV</v>
          </cell>
          <cell r="Z238">
            <v>0</v>
          </cell>
          <cell r="AA238">
            <v>0</v>
          </cell>
          <cell r="AB238">
            <v>0</v>
          </cell>
          <cell r="AC238">
            <v>2E-3</v>
          </cell>
        </row>
        <row r="239">
          <cell r="A239" t="str">
            <v>PO1-H7-43268</v>
          </cell>
          <cell r="B239" t="str">
            <v>PO1-H7-43268</v>
          </cell>
          <cell r="C239">
            <v>43268</v>
          </cell>
          <cell r="D239" t="str">
            <v>PO1</v>
          </cell>
          <cell r="E239" t="str">
            <v>H7</v>
          </cell>
          <cell r="F239">
            <v>43269</v>
          </cell>
          <cell r="G239" t="str">
            <v>TE</v>
          </cell>
          <cell r="H239">
            <v>0</v>
          </cell>
          <cell r="I239">
            <v>0</v>
          </cell>
          <cell r="J239">
            <v>0</v>
          </cell>
          <cell r="K239">
            <v>0</v>
          </cell>
          <cell r="L239">
            <v>0</v>
          </cell>
          <cell r="M239">
            <v>0</v>
          </cell>
          <cell r="N239">
            <v>0</v>
          </cell>
          <cell r="O239">
            <v>0</v>
          </cell>
          <cell r="P239">
            <v>0</v>
          </cell>
          <cell r="Q239">
            <v>0</v>
          </cell>
          <cell r="R239">
            <v>1</v>
          </cell>
          <cell r="S239" t="str">
            <v>Y</v>
          </cell>
          <cell r="T239">
            <v>50</v>
          </cell>
          <cell r="V239">
            <v>100</v>
          </cell>
          <cell r="X239" t="str">
            <v>TE</v>
          </cell>
          <cell r="Y239" t="str">
            <v>JB</v>
          </cell>
          <cell r="Z239">
            <v>0</v>
          </cell>
          <cell r="AA239">
            <v>0</v>
          </cell>
          <cell r="AB239">
            <v>0</v>
          </cell>
          <cell r="AC239">
            <v>0.13200000000000012</v>
          </cell>
        </row>
        <row r="240">
          <cell r="A240" t="str">
            <v>PO1-A4-43268</v>
          </cell>
          <cell r="B240" t="str">
            <v>PO1-A4-43268</v>
          </cell>
          <cell r="C240">
            <v>43268</v>
          </cell>
          <cell r="D240" t="str">
            <v>PO1</v>
          </cell>
          <cell r="E240" t="str">
            <v>A4</v>
          </cell>
          <cell r="F240">
            <v>43269</v>
          </cell>
          <cell r="G240" t="str">
            <v>LV</v>
          </cell>
          <cell r="H240">
            <v>212</v>
          </cell>
          <cell r="I240">
            <v>22468</v>
          </cell>
          <cell r="J240">
            <v>144</v>
          </cell>
          <cell r="K240">
            <v>22824</v>
          </cell>
          <cell r="L240">
            <v>0</v>
          </cell>
          <cell r="M240">
            <v>0</v>
          </cell>
          <cell r="N240">
            <v>1</v>
          </cell>
          <cell r="O240">
            <v>0</v>
          </cell>
          <cell r="P240">
            <v>0</v>
          </cell>
          <cell r="Q240">
            <v>0</v>
          </cell>
          <cell r="R240">
            <v>1</v>
          </cell>
          <cell r="S240" t="str">
            <v>N</v>
          </cell>
          <cell r="T240">
            <v>25</v>
          </cell>
          <cell r="V240">
            <v>100</v>
          </cell>
          <cell r="W240" t="str">
            <v>counted 1/4 on 40X, full slide on 10X</v>
          </cell>
          <cell r="X240" t="str">
            <v>LV</v>
          </cell>
          <cell r="Y240" t="str">
            <v>JB</v>
          </cell>
          <cell r="Z240">
            <v>212</v>
          </cell>
          <cell r="AA240">
            <v>22468</v>
          </cell>
          <cell r="AB240">
            <v>144</v>
          </cell>
          <cell r="AC240">
            <v>0.30500000000000016</v>
          </cell>
        </row>
        <row r="241">
          <cell r="A241" t="str">
            <v>PO1-H2-43268</v>
          </cell>
          <cell r="B241" t="str">
            <v>PO1-H2-43268</v>
          </cell>
          <cell r="C241">
            <v>43268</v>
          </cell>
          <cell r="D241" t="str">
            <v>PO1</v>
          </cell>
          <cell r="E241" t="str">
            <v>H2</v>
          </cell>
          <cell r="F241">
            <v>43269</v>
          </cell>
          <cell r="G241" t="str">
            <v>JB</v>
          </cell>
          <cell r="H241">
            <v>0</v>
          </cell>
          <cell r="I241">
            <v>28</v>
          </cell>
          <cell r="J241">
            <v>4</v>
          </cell>
          <cell r="K241">
            <v>32</v>
          </cell>
          <cell r="L241">
            <v>0</v>
          </cell>
          <cell r="M241">
            <v>0</v>
          </cell>
          <cell r="N241">
            <v>0</v>
          </cell>
          <cell r="O241">
            <v>0</v>
          </cell>
          <cell r="P241">
            <v>0</v>
          </cell>
          <cell r="Q241">
            <v>0</v>
          </cell>
          <cell r="R241">
            <v>0</v>
          </cell>
          <cell r="S241" t="str">
            <v>Y</v>
          </cell>
          <cell r="T241">
            <v>50</v>
          </cell>
          <cell r="V241">
            <v>100</v>
          </cell>
          <cell r="X241" t="str">
            <v>JB</v>
          </cell>
          <cell r="Y241" t="str">
            <v>LV</v>
          </cell>
          <cell r="Z241">
            <v>0</v>
          </cell>
          <cell r="AA241">
            <v>28</v>
          </cell>
          <cell r="AB241">
            <v>4</v>
          </cell>
          <cell r="AC241">
            <v>0.36100000000000021</v>
          </cell>
        </row>
        <row r="242">
          <cell r="A242" t="str">
            <v>SP1-G1-43269</v>
          </cell>
          <cell r="B242" t="str">
            <v>SP1-G1-43269</v>
          </cell>
          <cell r="C242">
            <v>43269</v>
          </cell>
          <cell r="D242" t="str">
            <v>SP1</v>
          </cell>
          <cell r="E242" t="str">
            <v>G1</v>
          </cell>
          <cell r="F242">
            <v>43270</v>
          </cell>
          <cell r="G242" t="str">
            <v>LV</v>
          </cell>
          <cell r="H242">
            <v>0</v>
          </cell>
          <cell r="I242">
            <v>442</v>
          </cell>
          <cell r="J242">
            <v>0</v>
          </cell>
          <cell r="K242">
            <v>442</v>
          </cell>
          <cell r="L242">
            <v>0</v>
          </cell>
          <cell r="M242">
            <v>0</v>
          </cell>
          <cell r="N242">
            <v>0</v>
          </cell>
          <cell r="O242">
            <v>0</v>
          </cell>
          <cell r="P242">
            <v>0</v>
          </cell>
          <cell r="Q242">
            <v>0</v>
          </cell>
          <cell r="R242">
            <v>0</v>
          </cell>
          <cell r="S242" t="str">
            <v>Y</v>
          </cell>
          <cell r="T242">
            <v>50</v>
          </cell>
          <cell r="V242">
            <v>100</v>
          </cell>
          <cell r="X242" t="str">
            <v>LV</v>
          </cell>
          <cell r="Y242" t="str">
            <v>JB</v>
          </cell>
          <cell r="Z242">
            <v>0</v>
          </cell>
          <cell r="AA242">
            <v>442</v>
          </cell>
          <cell r="AB242">
            <v>0</v>
          </cell>
          <cell r="AC242">
            <v>2E-3</v>
          </cell>
        </row>
        <row r="243">
          <cell r="A243" t="str">
            <v>SP2-C8-43269</v>
          </cell>
          <cell r="B243" t="str">
            <v>SP2-C8-43269</v>
          </cell>
          <cell r="C243">
            <v>43269</v>
          </cell>
          <cell r="D243" t="str">
            <v>SP2</v>
          </cell>
          <cell r="E243" t="str">
            <v>C8</v>
          </cell>
          <cell r="F243">
            <v>43271</v>
          </cell>
          <cell r="G243" t="str">
            <v>IS</v>
          </cell>
          <cell r="H243">
            <v>2</v>
          </cell>
          <cell r="I243">
            <v>6</v>
          </cell>
          <cell r="J243">
            <v>0</v>
          </cell>
          <cell r="K243">
            <v>8</v>
          </cell>
          <cell r="L243">
            <v>0</v>
          </cell>
          <cell r="M243">
            <v>0</v>
          </cell>
          <cell r="N243">
            <v>0</v>
          </cell>
          <cell r="O243">
            <v>0</v>
          </cell>
          <cell r="P243">
            <v>0</v>
          </cell>
          <cell r="Q243">
            <v>0</v>
          </cell>
          <cell r="R243">
            <v>0</v>
          </cell>
          <cell r="S243" t="str">
            <v>Y</v>
          </cell>
          <cell r="T243">
            <v>50</v>
          </cell>
          <cell r="V243">
            <v>100</v>
          </cell>
          <cell r="X243" t="str">
            <v>IS</v>
          </cell>
          <cell r="Y243" t="str">
            <v>TE</v>
          </cell>
          <cell r="Z243">
            <v>2</v>
          </cell>
          <cell r="AA243">
            <v>6</v>
          </cell>
          <cell r="AB243">
            <v>0</v>
          </cell>
          <cell r="AC243">
            <v>1.2000000000000011E-2</v>
          </cell>
        </row>
        <row r="244">
          <cell r="A244" t="str">
            <v>SP1-B8-43269</v>
          </cell>
          <cell r="B244" t="str">
            <v>SP1-B8-43269</v>
          </cell>
          <cell r="C244">
            <v>43269</v>
          </cell>
          <cell r="D244" t="str">
            <v>SP1</v>
          </cell>
          <cell r="E244" t="str">
            <v>B8</v>
          </cell>
          <cell r="F244">
            <v>43271</v>
          </cell>
          <cell r="G244" t="str">
            <v>DP</v>
          </cell>
          <cell r="H244">
            <v>0</v>
          </cell>
          <cell r="I244">
            <v>0</v>
          </cell>
          <cell r="J244">
            <v>0</v>
          </cell>
          <cell r="K244">
            <v>0</v>
          </cell>
          <cell r="L244">
            <v>0</v>
          </cell>
          <cell r="M244">
            <v>19</v>
          </cell>
          <cell r="N244">
            <v>1</v>
          </cell>
          <cell r="O244">
            <v>0</v>
          </cell>
          <cell r="P244">
            <v>0</v>
          </cell>
          <cell r="Q244">
            <v>0</v>
          </cell>
          <cell r="R244">
            <v>0</v>
          </cell>
          <cell r="S244" t="str">
            <v>Y</v>
          </cell>
          <cell r="T244">
            <v>50</v>
          </cell>
          <cell r="V244">
            <v>100</v>
          </cell>
          <cell r="X244" t="str">
            <v>DP</v>
          </cell>
          <cell r="Y244" t="str">
            <v>TE</v>
          </cell>
          <cell r="Z244">
            <v>0</v>
          </cell>
          <cell r="AA244">
            <v>0</v>
          </cell>
          <cell r="AB244">
            <v>0</v>
          </cell>
          <cell r="AC244">
            <v>1.8000000000000016E-2</v>
          </cell>
        </row>
        <row r="245">
          <cell r="A245" t="str">
            <v>SP2-H5-43269</v>
          </cell>
          <cell r="B245" t="str">
            <v>SP2-H5-43269</v>
          </cell>
          <cell r="C245">
            <v>43269</v>
          </cell>
          <cell r="D245" t="str">
            <v>SP2</v>
          </cell>
          <cell r="E245" t="str">
            <v>H5</v>
          </cell>
          <cell r="F245">
            <v>43270</v>
          </cell>
          <cell r="G245" t="str">
            <v>LV</v>
          </cell>
          <cell r="H245">
            <v>0</v>
          </cell>
          <cell r="I245">
            <v>0</v>
          </cell>
          <cell r="J245">
            <v>0</v>
          </cell>
          <cell r="K245">
            <v>0</v>
          </cell>
          <cell r="L245">
            <v>0</v>
          </cell>
          <cell r="M245">
            <v>0</v>
          </cell>
          <cell r="N245">
            <v>0</v>
          </cell>
          <cell r="O245">
            <v>0</v>
          </cell>
          <cell r="P245">
            <v>0</v>
          </cell>
          <cell r="Q245">
            <v>140</v>
          </cell>
          <cell r="R245">
            <v>0</v>
          </cell>
          <cell r="S245" t="str">
            <v>Y</v>
          </cell>
          <cell r="T245">
            <v>50</v>
          </cell>
          <cell r="V245">
            <v>100</v>
          </cell>
          <cell r="X245" t="str">
            <v>LV</v>
          </cell>
          <cell r="Y245" t="str">
            <v>JB</v>
          </cell>
          <cell r="Z245">
            <v>0</v>
          </cell>
          <cell r="AA245">
            <v>0</v>
          </cell>
          <cell r="AB245">
            <v>0</v>
          </cell>
          <cell r="AC245">
            <v>1.9000000000000128E-2</v>
          </cell>
        </row>
        <row r="246">
          <cell r="A246" t="str">
            <v>SP1-G8-43269</v>
          </cell>
          <cell r="B246" t="str">
            <v>SP1-G8-43269</v>
          </cell>
          <cell r="C246">
            <v>43269</v>
          </cell>
          <cell r="D246" t="str">
            <v>SP1</v>
          </cell>
          <cell r="E246" t="str">
            <v>G8</v>
          </cell>
          <cell r="F246">
            <v>43270</v>
          </cell>
          <cell r="G246" t="str">
            <v>LV</v>
          </cell>
          <cell r="H246">
            <v>2</v>
          </cell>
          <cell r="I246">
            <v>2</v>
          </cell>
          <cell r="J246">
            <v>0</v>
          </cell>
          <cell r="K246">
            <v>4</v>
          </cell>
          <cell r="L246">
            <v>0</v>
          </cell>
          <cell r="M246">
            <v>0</v>
          </cell>
          <cell r="N246">
            <v>36</v>
          </cell>
          <cell r="O246">
            <v>0</v>
          </cell>
          <cell r="P246">
            <v>0</v>
          </cell>
          <cell r="Q246">
            <v>0</v>
          </cell>
          <cell r="R246">
            <v>0</v>
          </cell>
          <cell r="S246" t="str">
            <v>Y</v>
          </cell>
          <cell r="T246">
            <v>50</v>
          </cell>
          <cell r="V246">
            <v>100</v>
          </cell>
          <cell r="X246" t="str">
            <v>LV</v>
          </cell>
          <cell r="Y246" t="str">
            <v>JB</v>
          </cell>
          <cell r="Z246">
            <v>2</v>
          </cell>
          <cell r="AA246">
            <v>2</v>
          </cell>
          <cell r="AB246">
            <v>0</v>
          </cell>
          <cell r="AC246">
            <v>2.200000000000002E-2</v>
          </cell>
        </row>
        <row r="247">
          <cell r="A247" t="str">
            <v>SP2-B5-43269</v>
          </cell>
          <cell r="B247" t="str">
            <v>SP2-B5-43269</v>
          </cell>
          <cell r="C247">
            <v>43269</v>
          </cell>
          <cell r="D247" t="str">
            <v>SP2</v>
          </cell>
          <cell r="E247" t="str">
            <v>B5</v>
          </cell>
          <cell r="F247">
            <v>43270</v>
          </cell>
          <cell r="G247" t="str">
            <v>DP</v>
          </cell>
          <cell r="H247">
            <v>4</v>
          </cell>
          <cell r="I247">
            <v>236</v>
          </cell>
          <cell r="J247">
            <v>2</v>
          </cell>
          <cell r="K247">
            <v>242</v>
          </cell>
          <cell r="L247">
            <v>0</v>
          </cell>
          <cell r="M247">
            <v>0</v>
          </cell>
          <cell r="N247">
            <v>0</v>
          </cell>
          <cell r="O247">
            <v>0</v>
          </cell>
          <cell r="P247">
            <v>0</v>
          </cell>
          <cell r="Q247">
            <v>0</v>
          </cell>
          <cell r="R247">
            <v>0</v>
          </cell>
          <cell r="S247" t="str">
            <v>Y</v>
          </cell>
          <cell r="T247">
            <v>50</v>
          </cell>
          <cell r="V247">
            <v>100</v>
          </cell>
          <cell r="X247" t="str">
            <v>DP</v>
          </cell>
          <cell r="Y247" t="str">
            <v>TE</v>
          </cell>
          <cell r="Z247">
            <v>4</v>
          </cell>
          <cell r="AA247">
            <v>236</v>
          </cell>
          <cell r="AB247">
            <v>2</v>
          </cell>
          <cell r="AC247">
            <v>3.300000000000014E-2</v>
          </cell>
        </row>
        <row r="248">
          <cell r="A248" t="str">
            <v>SP2-G7-43269</v>
          </cell>
          <cell r="B248" t="str">
            <v>SP2-G7-43269</v>
          </cell>
          <cell r="C248">
            <v>43269</v>
          </cell>
          <cell r="D248" t="str">
            <v>SP2</v>
          </cell>
          <cell r="E248" t="str">
            <v>G7</v>
          </cell>
          <cell r="F248">
            <v>43271</v>
          </cell>
          <cell r="G248" t="str">
            <v>LV</v>
          </cell>
          <cell r="H248">
            <v>0</v>
          </cell>
          <cell r="I248">
            <v>0</v>
          </cell>
          <cell r="J248">
            <v>0</v>
          </cell>
          <cell r="K248">
            <v>0</v>
          </cell>
          <cell r="L248">
            <v>0</v>
          </cell>
          <cell r="M248">
            <v>0</v>
          </cell>
          <cell r="N248">
            <v>0</v>
          </cell>
          <cell r="O248">
            <v>0</v>
          </cell>
          <cell r="P248">
            <v>0</v>
          </cell>
          <cell r="Q248">
            <v>0</v>
          </cell>
          <cell r="R248">
            <v>0</v>
          </cell>
          <cell r="T248">
            <v>50</v>
          </cell>
          <cell r="V248">
            <v>100</v>
          </cell>
          <cell r="X248" t="str">
            <v>LV</v>
          </cell>
          <cell r="Y248" t="str">
            <v>TE</v>
          </cell>
          <cell r="Z248">
            <v>0</v>
          </cell>
          <cell r="AA248">
            <v>0</v>
          </cell>
          <cell r="AB248">
            <v>0</v>
          </cell>
          <cell r="AC248">
            <v>3.400000000000003E-2</v>
          </cell>
        </row>
        <row r="249">
          <cell r="A249" t="str">
            <v>SP1-H3-43269</v>
          </cell>
          <cell r="B249" t="str">
            <v>SP1-H3-43269</v>
          </cell>
          <cell r="C249">
            <v>43269</v>
          </cell>
          <cell r="D249" t="str">
            <v>SP1</v>
          </cell>
          <cell r="E249" t="str">
            <v>H3</v>
          </cell>
          <cell r="F249">
            <v>43270</v>
          </cell>
          <cell r="G249" t="str">
            <v>JB</v>
          </cell>
          <cell r="H249">
            <v>0</v>
          </cell>
          <cell r="I249">
            <v>0</v>
          </cell>
          <cell r="J249">
            <v>0</v>
          </cell>
          <cell r="K249">
            <v>0</v>
          </cell>
          <cell r="L249">
            <v>0</v>
          </cell>
          <cell r="M249">
            <v>0</v>
          </cell>
          <cell r="N249">
            <v>0</v>
          </cell>
          <cell r="O249">
            <v>0</v>
          </cell>
          <cell r="P249">
            <v>0</v>
          </cell>
          <cell r="Q249">
            <v>118</v>
          </cell>
          <cell r="R249">
            <v>0</v>
          </cell>
          <cell r="S249" t="str">
            <v>Y</v>
          </cell>
          <cell r="T249">
            <v>50</v>
          </cell>
          <cell r="V249">
            <v>100</v>
          </cell>
          <cell r="X249" t="str">
            <v>JB</v>
          </cell>
          <cell r="Y249" t="str">
            <v>LV</v>
          </cell>
          <cell r="Z249">
            <v>0</v>
          </cell>
          <cell r="AA249">
            <v>0</v>
          </cell>
          <cell r="AB249">
            <v>0</v>
          </cell>
          <cell r="AC249">
            <v>4.7000000000000153E-2</v>
          </cell>
        </row>
        <row r="250">
          <cell r="A250" t="str">
            <v>SP2-H2-43269</v>
          </cell>
          <cell r="B250" t="str">
            <v>SP2-H2-43269</v>
          </cell>
          <cell r="C250">
            <v>43269</v>
          </cell>
          <cell r="D250" t="str">
            <v>SP2</v>
          </cell>
          <cell r="E250" t="str">
            <v>H2</v>
          </cell>
          <cell r="F250">
            <v>43270</v>
          </cell>
          <cell r="G250" t="str">
            <v>JB</v>
          </cell>
          <cell r="H250">
            <v>0</v>
          </cell>
          <cell r="I250">
            <v>0</v>
          </cell>
          <cell r="J250">
            <v>0</v>
          </cell>
          <cell r="K250">
            <v>0</v>
          </cell>
          <cell r="L250">
            <v>0</v>
          </cell>
          <cell r="M250">
            <v>0</v>
          </cell>
          <cell r="N250">
            <v>0</v>
          </cell>
          <cell r="O250">
            <v>0</v>
          </cell>
          <cell r="P250">
            <v>0</v>
          </cell>
          <cell r="Q250">
            <v>9</v>
          </cell>
          <cell r="R250">
            <v>0</v>
          </cell>
          <cell r="S250" t="str">
            <v>Y</v>
          </cell>
          <cell r="T250">
            <v>50</v>
          </cell>
          <cell r="V250">
            <v>100</v>
          </cell>
          <cell r="X250" t="str">
            <v>JB</v>
          </cell>
          <cell r="Y250" t="str">
            <v>LV</v>
          </cell>
          <cell r="Z250">
            <v>0</v>
          </cell>
          <cell r="AA250">
            <v>0</v>
          </cell>
          <cell r="AB250">
            <v>0</v>
          </cell>
          <cell r="AC250">
            <v>5.3000000000000158E-2</v>
          </cell>
        </row>
        <row r="251">
          <cell r="A251" t="str">
            <v>SP2-A8-43269</v>
          </cell>
          <cell r="B251" t="str">
            <v>SP2-A8-43269</v>
          </cell>
          <cell r="C251">
            <v>43269</v>
          </cell>
          <cell r="D251" t="str">
            <v>SP2</v>
          </cell>
          <cell r="E251" t="str">
            <v>A8</v>
          </cell>
          <cell r="F251">
            <v>43271</v>
          </cell>
          <cell r="G251" t="str">
            <v>JB</v>
          </cell>
          <cell r="H251">
            <v>0</v>
          </cell>
          <cell r="I251">
            <v>0</v>
          </cell>
          <cell r="J251">
            <v>0</v>
          </cell>
          <cell r="K251">
            <v>0</v>
          </cell>
          <cell r="L251">
            <v>0</v>
          </cell>
          <cell r="M251">
            <v>0</v>
          </cell>
          <cell r="N251">
            <v>2</v>
          </cell>
          <cell r="O251">
            <v>0</v>
          </cell>
          <cell r="P251">
            <v>0</v>
          </cell>
          <cell r="Q251">
            <v>0</v>
          </cell>
          <cell r="R251">
            <v>0</v>
          </cell>
          <cell r="S251" t="str">
            <v>Y</v>
          </cell>
          <cell r="T251">
            <v>50</v>
          </cell>
          <cell r="V251">
            <v>100</v>
          </cell>
          <cell r="X251" t="str">
            <v>JB</v>
          </cell>
          <cell r="Y251" t="str">
            <v>TE</v>
          </cell>
          <cell r="Z251">
            <v>0</v>
          </cell>
          <cell r="AA251">
            <v>0</v>
          </cell>
          <cell r="AB251">
            <v>0</v>
          </cell>
          <cell r="AC251">
            <v>0.1080000000000001</v>
          </cell>
        </row>
        <row r="252">
          <cell r="A252" t="str">
            <v>SP2-F4-43269</v>
          </cell>
          <cell r="B252" t="str">
            <v>SP2-F4-43269</v>
          </cell>
          <cell r="C252">
            <v>43269</v>
          </cell>
          <cell r="D252" t="str">
            <v>SP2</v>
          </cell>
          <cell r="E252" t="str">
            <v>F4</v>
          </cell>
          <cell r="F252">
            <v>43270</v>
          </cell>
          <cell r="G252" t="str">
            <v>DP</v>
          </cell>
          <cell r="H252">
            <v>134</v>
          </cell>
          <cell r="I252">
            <v>0</v>
          </cell>
          <cell r="J252">
            <v>0</v>
          </cell>
          <cell r="K252">
            <v>134</v>
          </cell>
          <cell r="L252">
            <v>0</v>
          </cell>
          <cell r="M252">
            <v>0</v>
          </cell>
          <cell r="N252">
            <v>0</v>
          </cell>
          <cell r="O252">
            <v>0</v>
          </cell>
          <cell r="P252">
            <v>0</v>
          </cell>
          <cell r="Q252">
            <v>0</v>
          </cell>
          <cell r="R252">
            <v>0</v>
          </cell>
          <cell r="S252" t="str">
            <v>Y</v>
          </cell>
          <cell r="T252">
            <v>50</v>
          </cell>
          <cell r="V252">
            <v>100</v>
          </cell>
          <cell r="W252" t="str">
            <v>50/67E.del sporelated, 17/67E.del nonsporelated (67x2=134)</v>
          </cell>
          <cell r="X252" t="str">
            <v>DP</v>
          </cell>
          <cell r="Y252" t="str">
            <v>TE</v>
          </cell>
          <cell r="Z252">
            <v>134</v>
          </cell>
          <cell r="AA252">
            <v>0</v>
          </cell>
          <cell r="AB252">
            <v>0</v>
          </cell>
          <cell r="AC252">
            <v>0.11300000000000021</v>
          </cell>
        </row>
        <row r="253">
          <cell r="A253" t="str">
            <v>SP1-G7-43269</v>
          </cell>
          <cell r="B253" t="str">
            <v>SP1-G7-43269</v>
          </cell>
          <cell r="C253">
            <v>43269</v>
          </cell>
          <cell r="D253" t="str">
            <v>SP1</v>
          </cell>
          <cell r="E253" t="str">
            <v>G7</v>
          </cell>
          <cell r="F253">
            <v>43270</v>
          </cell>
          <cell r="G253" t="str">
            <v>LV</v>
          </cell>
          <cell r="H253">
            <v>0</v>
          </cell>
          <cell r="I253">
            <v>76</v>
          </cell>
          <cell r="J253">
            <v>2</v>
          </cell>
          <cell r="K253">
            <v>78</v>
          </cell>
          <cell r="L253">
            <v>0</v>
          </cell>
          <cell r="M253">
            <v>0</v>
          </cell>
          <cell r="N253">
            <v>0</v>
          </cell>
          <cell r="O253">
            <v>0</v>
          </cell>
          <cell r="P253">
            <v>0</v>
          </cell>
          <cell r="Q253">
            <v>0</v>
          </cell>
          <cell r="R253">
            <v>0</v>
          </cell>
          <cell r="S253" t="str">
            <v>N</v>
          </cell>
          <cell r="T253">
            <v>100</v>
          </cell>
          <cell r="V253">
            <v>100</v>
          </cell>
          <cell r="W253" t="str">
            <v>counted entire slide on 40x and 10x</v>
          </cell>
          <cell r="X253" t="str">
            <v>LV</v>
          </cell>
          <cell r="Y253" t="str">
            <v>JB</v>
          </cell>
          <cell r="Z253">
            <v>0</v>
          </cell>
          <cell r="AA253">
            <v>76</v>
          </cell>
          <cell r="AB253">
            <v>2</v>
          </cell>
          <cell r="AC253">
            <v>0.16400000000000015</v>
          </cell>
        </row>
        <row r="254">
          <cell r="A254" t="str">
            <v>SP1-H4-43269</v>
          </cell>
          <cell r="B254" t="str">
            <v>SP1-H4-43269</v>
          </cell>
          <cell r="C254">
            <v>43269</v>
          </cell>
          <cell r="D254" t="str">
            <v>SP1</v>
          </cell>
          <cell r="E254" t="str">
            <v>H4</v>
          </cell>
          <cell r="F254">
            <v>43270</v>
          </cell>
          <cell r="G254" t="str">
            <v>TE</v>
          </cell>
          <cell r="H254">
            <v>74</v>
          </cell>
          <cell r="I254">
            <v>2</v>
          </cell>
          <cell r="J254">
            <v>4</v>
          </cell>
          <cell r="K254">
            <v>80</v>
          </cell>
          <cell r="L254">
            <v>0</v>
          </cell>
          <cell r="M254">
            <v>0</v>
          </cell>
          <cell r="N254">
            <v>27</v>
          </cell>
          <cell r="O254">
            <v>0</v>
          </cell>
          <cell r="P254">
            <v>0</v>
          </cell>
          <cell r="Q254">
            <v>0</v>
          </cell>
          <cell r="R254">
            <v>0</v>
          </cell>
          <cell r="S254" t="str">
            <v>Y</v>
          </cell>
          <cell r="T254">
            <v>50</v>
          </cell>
          <cell r="V254">
            <v>100</v>
          </cell>
          <cell r="X254" t="str">
            <v>TE</v>
          </cell>
          <cell r="Y254" t="str">
            <v>JB</v>
          </cell>
          <cell r="Z254">
            <v>74</v>
          </cell>
          <cell r="AA254">
            <v>2</v>
          </cell>
          <cell r="AB254">
            <v>4</v>
          </cell>
          <cell r="AC254">
            <v>0.20000000000000018</v>
          </cell>
        </row>
        <row r="255">
          <cell r="A255" t="str">
            <v>SP2-H7-43269</v>
          </cell>
          <cell r="B255" t="str">
            <v>SP2-H7-43269</v>
          </cell>
          <cell r="C255">
            <v>43269</v>
          </cell>
          <cell r="D255" t="str">
            <v>SP2</v>
          </cell>
          <cell r="E255" t="str">
            <v>H7</v>
          </cell>
          <cell r="F255">
            <v>43270</v>
          </cell>
          <cell r="G255" t="str">
            <v>TE</v>
          </cell>
          <cell r="H255">
            <v>0</v>
          </cell>
          <cell r="I255">
            <v>0</v>
          </cell>
          <cell r="J255">
            <v>0</v>
          </cell>
          <cell r="K255">
            <v>0</v>
          </cell>
          <cell r="L255">
            <v>0</v>
          </cell>
          <cell r="M255">
            <v>0</v>
          </cell>
          <cell r="N255">
            <v>0</v>
          </cell>
          <cell r="O255">
            <v>0</v>
          </cell>
          <cell r="P255">
            <v>0</v>
          </cell>
          <cell r="Q255">
            <v>0</v>
          </cell>
          <cell r="R255">
            <v>0</v>
          </cell>
          <cell r="S255" t="str">
            <v>Y</v>
          </cell>
          <cell r="T255">
            <v>50</v>
          </cell>
          <cell r="V255">
            <v>100</v>
          </cell>
          <cell r="X255" t="str">
            <v>TE</v>
          </cell>
          <cell r="Y255" t="str">
            <v>JB</v>
          </cell>
          <cell r="Z255">
            <v>0</v>
          </cell>
          <cell r="AA255">
            <v>0</v>
          </cell>
          <cell r="AB255">
            <v>0</v>
          </cell>
        </row>
        <row r="256">
          <cell r="A256" t="str">
            <v>SP1-F2-43270</v>
          </cell>
          <cell r="B256" t="str">
            <v>SP1-F2-43270</v>
          </cell>
          <cell r="C256">
            <v>43270</v>
          </cell>
          <cell r="D256" t="str">
            <v>SP1</v>
          </cell>
          <cell r="E256" t="str">
            <v>F2</v>
          </cell>
          <cell r="F256">
            <v>43271</v>
          </cell>
          <cell r="G256" t="str">
            <v>DP</v>
          </cell>
          <cell r="H256">
            <v>0</v>
          </cell>
          <cell r="I256">
            <v>166</v>
          </cell>
          <cell r="J256">
            <v>0</v>
          </cell>
          <cell r="K256">
            <v>166</v>
          </cell>
          <cell r="L256">
            <v>0</v>
          </cell>
          <cell r="M256">
            <v>0</v>
          </cell>
          <cell r="N256">
            <v>0</v>
          </cell>
          <cell r="O256">
            <v>0</v>
          </cell>
          <cell r="P256">
            <v>0</v>
          </cell>
          <cell r="Q256">
            <v>0</v>
          </cell>
          <cell r="R256">
            <v>0</v>
          </cell>
          <cell r="S256" t="str">
            <v>Y</v>
          </cell>
          <cell r="T256">
            <v>50</v>
          </cell>
          <cell r="V256">
            <v>100</v>
          </cell>
          <cell r="X256" t="str">
            <v>DP</v>
          </cell>
          <cell r="Y256" t="str">
            <v>TE</v>
          </cell>
          <cell r="Z256">
            <v>0</v>
          </cell>
          <cell r="AA256">
            <v>166</v>
          </cell>
          <cell r="AB256">
            <v>0</v>
          </cell>
          <cell r="AC256">
            <v>7.2000000000000064E-2</v>
          </cell>
        </row>
        <row r="257">
          <cell r="A257" t="str">
            <v>SP2-B3-43270</v>
          </cell>
          <cell r="B257" t="str">
            <v>SP2-B3-43270</v>
          </cell>
          <cell r="C257">
            <v>43270</v>
          </cell>
          <cell r="D257" t="str">
            <v>SP2</v>
          </cell>
          <cell r="E257" t="str">
            <v>B3</v>
          </cell>
          <cell r="F257">
            <v>43271</v>
          </cell>
          <cell r="G257" t="str">
            <v>TE</v>
          </cell>
          <cell r="H257">
            <v>0</v>
          </cell>
          <cell r="I257">
            <v>0</v>
          </cell>
          <cell r="J257">
            <v>0</v>
          </cell>
          <cell r="K257">
            <v>0</v>
          </cell>
          <cell r="L257">
            <v>0</v>
          </cell>
          <cell r="M257">
            <v>0</v>
          </cell>
          <cell r="N257">
            <v>0</v>
          </cell>
          <cell r="O257">
            <v>0</v>
          </cell>
          <cell r="P257">
            <v>0</v>
          </cell>
          <cell r="Q257">
            <v>0</v>
          </cell>
          <cell r="R257">
            <v>1</v>
          </cell>
          <cell r="S257" t="str">
            <v>Y</v>
          </cell>
          <cell r="T257">
            <v>50</v>
          </cell>
          <cell r="V257">
            <v>100</v>
          </cell>
          <cell r="X257" t="str">
            <v>TE</v>
          </cell>
          <cell r="Y257" t="str">
            <v>JB</v>
          </cell>
          <cell r="Z257">
            <v>0</v>
          </cell>
          <cell r="AA257">
            <v>0</v>
          </cell>
          <cell r="AB257">
            <v>0</v>
          </cell>
          <cell r="AC257">
            <v>7.2000000000000064E-2</v>
          </cell>
        </row>
        <row r="258">
          <cell r="A258" t="str">
            <v>SP1-C1-43270</v>
          </cell>
          <cell r="B258" t="str">
            <v>SP1-C1-43270</v>
          </cell>
          <cell r="C258">
            <v>43270</v>
          </cell>
          <cell r="D258" t="str">
            <v>SP1</v>
          </cell>
          <cell r="E258" t="str">
            <v>C1</v>
          </cell>
          <cell r="F258">
            <v>43271</v>
          </cell>
          <cell r="G258" t="str">
            <v>LV</v>
          </cell>
          <cell r="H258">
            <v>0</v>
          </cell>
          <cell r="I258">
            <v>0</v>
          </cell>
          <cell r="J258">
            <v>0</v>
          </cell>
          <cell r="K258">
            <v>0</v>
          </cell>
          <cell r="L258">
            <v>0</v>
          </cell>
          <cell r="M258">
            <v>0</v>
          </cell>
          <cell r="N258">
            <v>0</v>
          </cell>
          <cell r="O258">
            <v>0</v>
          </cell>
          <cell r="P258">
            <v>0</v>
          </cell>
          <cell r="Q258">
            <v>0</v>
          </cell>
          <cell r="R258">
            <v>0</v>
          </cell>
          <cell r="T258">
            <v>50</v>
          </cell>
          <cell r="V258">
            <v>100</v>
          </cell>
          <cell r="X258" t="str">
            <v>LV</v>
          </cell>
          <cell r="Y258" t="str">
            <v>TE</v>
          </cell>
          <cell r="Z258">
            <v>0</v>
          </cell>
          <cell r="AA258">
            <v>0</v>
          </cell>
          <cell r="AB258">
            <v>0</v>
          </cell>
          <cell r="AC258">
            <v>7.4000000000000066E-2</v>
          </cell>
        </row>
        <row r="259">
          <cell r="A259" t="str">
            <v>SP2-G1-43270</v>
          </cell>
          <cell r="B259" t="str">
            <v>SP2-G1-43270</v>
          </cell>
          <cell r="C259">
            <v>43270</v>
          </cell>
          <cell r="D259" t="str">
            <v>SP2</v>
          </cell>
          <cell r="E259" t="str">
            <v>G1</v>
          </cell>
          <cell r="F259">
            <v>43274</v>
          </cell>
          <cell r="G259" t="str">
            <v>DP</v>
          </cell>
          <cell r="H259">
            <v>28</v>
          </cell>
          <cell r="I259">
            <v>390</v>
          </cell>
          <cell r="K259">
            <v>418</v>
          </cell>
          <cell r="S259" t="str">
            <v>Y</v>
          </cell>
          <cell r="T259">
            <v>50</v>
          </cell>
          <cell r="V259">
            <v>100</v>
          </cell>
          <cell r="X259" t="str">
            <v>DP</v>
          </cell>
          <cell r="Y259" t="str">
            <v>JB</v>
          </cell>
          <cell r="Z259">
            <v>28</v>
          </cell>
          <cell r="AA259">
            <v>390</v>
          </cell>
          <cell r="AB259">
            <v>0</v>
          </cell>
          <cell r="AC259">
            <v>0.18000000000000016</v>
          </cell>
        </row>
        <row r="260">
          <cell r="A260" t="str">
            <v>SP2-A8-43270</v>
          </cell>
          <cell r="B260" t="str">
            <v>SP2-A8-43270</v>
          </cell>
          <cell r="C260">
            <v>43270</v>
          </cell>
          <cell r="D260" t="str">
            <v>SP2</v>
          </cell>
          <cell r="E260" t="str">
            <v>A8</v>
          </cell>
          <cell r="F260">
            <v>43271</v>
          </cell>
          <cell r="G260" t="str">
            <v>TE</v>
          </cell>
          <cell r="H260">
            <v>0</v>
          </cell>
          <cell r="I260">
            <v>0</v>
          </cell>
          <cell r="J260">
            <v>0</v>
          </cell>
          <cell r="K260">
            <v>0</v>
          </cell>
          <cell r="L260">
            <v>0</v>
          </cell>
          <cell r="M260">
            <v>0</v>
          </cell>
          <cell r="N260">
            <v>0</v>
          </cell>
          <cell r="O260">
            <v>0</v>
          </cell>
          <cell r="P260">
            <v>0</v>
          </cell>
          <cell r="Q260">
            <v>0</v>
          </cell>
          <cell r="R260">
            <v>1</v>
          </cell>
          <cell r="S260" t="str">
            <v>Y</v>
          </cell>
          <cell r="T260">
            <v>50</v>
          </cell>
          <cell r="V260">
            <v>100</v>
          </cell>
          <cell r="X260" t="str">
            <v>TE</v>
          </cell>
          <cell r="Y260" t="str">
            <v>JB</v>
          </cell>
          <cell r="Z260">
            <v>0</v>
          </cell>
          <cell r="AA260">
            <v>0</v>
          </cell>
          <cell r="AB260">
            <v>0</v>
          </cell>
          <cell r="AC260">
            <v>0.30100000000000016</v>
          </cell>
        </row>
        <row r="261">
          <cell r="A261" t="str">
            <v>SP1-B1-43270</v>
          </cell>
          <cell r="B261" t="str">
            <v>SP1-B1-43270</v>
          </cell>
          <cell r="C261">
            <v>43270</v>
          </cell>
          <cell r="D261" t="str">
            <v>SP1</v>
          </cell>
          <cell r="E261" t="str">
            <v>B1</v>
          </cell>
          <cell r="F261">
            <v>43271</v>
          </cell>
          <cell r="G261" t="str">
            <v>JB</v>
          </cell>
          <cell r="H261">
            <v>0</v>
          </cell>
          <cell r="I261">
            <v>0</v>
          </cell>
          <cell r="J261">
            <v>0</v>
          </cell>
          <cell r="K261">
            <v>0</v>
          </cell>
          <cell r="L261">
            <v>0</v>
          </cell>
          <cell r="M261">
            <v>0</v>
          </cell>
          <cell r="N261">
            <v>0</v>
          </cell>
          <cell r="O261">
            <v>0</v>
          </cell>
          <cell r="P261">
            <v>0</v>
          </cell>
          <cell r="Q261">
            <v>0</v>
          </cell>
          <cell r="R261">
            <v>0</v>
          </cell>
          <cell r="S261" t="str">
            <v>Y</v>
          </cell>
          <cell r="T261">
            <v>50</v>
          </cell>
          <cell r="V261">
            <v>100</v>
          </cell>
          <cell r="X261" t="str">
            <v>JB</v>
          </cell>
          <cell r="Y261" t="str">
            <v>TE</v>
          </cell>
          <cell r="Z261">
            <v>0</v>
          </cell>
          <cell r="AA261">
            <v>0</v>
          </cell>
          <cell r="AB261">
            <v>0</v>
          </cell>
          <cell r="AC261">
            <v>0.31500000000000017</v>
          </cell>
        </row>
        <row r="262">
          <cell r="A262" t="str">
            <v>SP1-B7-43271</v>
          </cell>
          <cell r="B262" t="str">
            <v>SP1-B7-43271</v>
          </cell>
          <cell r="C262">
            <v>43271</v>
          </cell>
          <cell r="D262" t="str">
            <v>SP1</v>
          </cell>
          <cell r="E262" t="str">
            <v>B7</v>
          </cell>
          <cell r="F262">
            <v>43274</v>
          </cell>
          <cell r="G262" t="str">
            <v>DP</v>
          </cell>
          <cell r="H262">
            <v>108</v>
          </cell>
          <cell r="I262">
            <v>2080</v>
          </cell>
          <cell r="J262">
            <v>6</v>
          </cell>
          <cell r="K262">
            <v>2194</v>
          </cell>
          <cell r="N262">
            <v>11</v>
          </cell>
          <cell r="S262" t="str">
            <v>Y</v>
          </cell>
          <cell r="T262">
            <v>50</v>
          </cell>
          <cell r="V262">
            <v>100</v>
          </cell>
          <cell r="X262" t="str">
            <v>DP</v>
          </cell>
          <cell r="Y262" t="str">
            <v>JB</v>
          </cell>
          <cell r="Z262">
            <v>108</v>
          </cell>
          <cell r="AA262">
            <v>2080</v>
          </cell>
          <cell r="AB262">
            <v>6</v>
          </cell>
          <cell r="AC262">
            <v>6.7000000000000171E-2</v>
          </cell>
        </row>
        <row r="263">
          <cell r="A263" t="str">
            <v>SP1-D3-43271</v>
          </cell>
          <cell r="B263" t="str">
            <v>SP1-D3-43271</v>
          </cell>
          <cell r="C263">
            <v>43271</v>
          </cell>
          <cell r="D263" t="str">
            <v>SP1</v>
          </cell>
          <cell r="E263" t="str">
            <v>D3</v>
          </cell>
          <cell r="F263">
            <v>43275</v>
          </cell>
          <cell r="G263" t="str">
            <v>TE</v>
          </cell>
          <cell r="H263">
            <v>42</v>
          </cell>
          <cell r="I263">
            <v>0</v>
          </cell>
          <cell r="J263">
            <v>716</v>
          </cell>
          <cell r="K263">
            <v>758</v>
          </cell>
          <cell r="L263">
            <v>0</v>
          </cell>
          <cell r="M263">
            <v>0</v>
          </cell>
          <cell r="N263">
            <v>0</v>
          </cell>
          <cell r="O263">
            <v>0</v>
          </cell>
          <cell r="P263">
            <v>0</v>
          </cell>
          <cell r="Q263">
            <v>0</v>
          </cell>
          <cell r="R263">
            <v>0</v>
          </cell>
          <cell r="S263" t="str">
            <v>Y</v>
          </cell>
          <cell r="T263">
            <v>50</v>
          </cell>
          <cell r="V263">
            <v>100</v>
          </cell>
          <cell r="X263" t="str">
            <v>TE</v>
          </cell>
          <cell r="Y263" t="str">
            <v>JB</v>
          </cell>
          <cell r="Z263">
            <v>42</v>
          </cell>
          <cell r="AA263">
            <v>0</v>
          </cell>
          <cell r="AB263">
            <v>716</v>
          </cell>
          <cell r="AC263">
            <v>0.3510000000000002</v>
          </cell>
        </row>
        <row r="264">
          <cell r="A264" t="str">
            <v>BC2-D1-43274</v>
          </cell>
          <cell r="B264" t="str">
            <v>BC2-D1-43274</v>
          </cell>
          <cell r="C264">
            <v>43274</v>
          </cell>
          <cell r="D264" t="str">
            <v>BC2</v>
          </cell>
          <cell r="E264" t="str">
            <v>D1</v>
          </cell>
          <cell r="F264">
            <v>43275</v>
          </cell>
          <cell r="G264" t="str">
            <v>LV</v>
          </cell>
          <cell r="I264">
            <v>26</v>
          </cell>
          <cell r="J264">
            <v>4</v>
          </cell>
          <cell r="K264">
            <v>30</v>
          </cell>
          <cell r="T264">
            <v>50</v>
          </cell>
          <cell r="V264">
            <v>100</v>
          </cell>
          <cell r="X264" t="str">
            <v>LV</v>
          </cell>
          <cell r="Y264" t="str">
            <v>TE</v>
          </cell>
          <cell r="Z264">
            <v>0</v>
          </cell>
          <cell r="AA264">
            <v>26</v>
          </cell>
          <cell r="AB264">
            <v>4</v>
          </cell>
          <cell r="AC264">
            <v>5.500000000000016E-2</v>
          </cell>
        </row>
        <row r="265">
          <cell r="A265" t="str">
            <v>BC1-D2-43274</v>
          </cell>
          <cell r="B265" t="str">
            <v>BC1-D2-43274</v>
          </cell>
          <cell r="C265">
            <v>43274</v>
          </cell>
          <cell r="D265" t="str">
            <v>BC1</v>
          </cell>
          <cell r="E265" t="str">
            <v>D2</v>
          </cell>
          <cell r="F265">
            <v>43275</v>
          </cell>
          <cell r="G265" t="str">
            <v>IS</v>
          </cell>
          <cell r="H265">
            <v>0</v>
          </cell>
          <cell r="I265">
            <v>0</v>
          </cell>
          <cell r="J265">
            <v>0</v>
          </cell>
          <cell r="K265">
            <v>0</v>
          </cell>
          <cell r="L265">
            <v>0</v>
          </cell>
          <cell r="M265">
            <v>0</v>
          </cell>
          <cell r="N265">
            <v>0</v>
          </cell>
          <cell r="O265">
            <v>0</v>
          </cell>
          <cell r="P265">
            <v>0</v>
          </cell>
          <cell r="Q265">
            <v>0</v>
          </cell>
          <cell r="R265">
            <v>0</v>
          </cell>
          <cell r="S265" t="str">
            <v>Y</v>
          </cell>
          <cell r="T265">
            <v>50</v>
          </cell>
          <cell r="V265">
            <v>100</v>
          </cell>
          <cell r="X265" t="str">
            <v>IS</v>
          </cell>
          <cell r="Y265" t="str">
            <v>TE</v>
          </cell>
          <cell r="Z265">
            <v>0</v>
          </cell>
          <cell r="AA265">
            <v>0</v>
          </cell>
          <cell r="AB265">
            <v>0</v>
          </cell>
          <cell r="AC265">
            <v>0.13700000000000001</v>
          </cell>
        </row>
        <row r="266">
          <cell r="A266" t="str">
            <v>BC2-A4-43274</v>
          </cell>
          <cell r="B266" t="str">
            <v>BC2-A4-43274</v>
          </cell>
          <cell r="C266">
            <v>43274</v>
          </cell>
          <cell r="D266" t="str">
            <v>BC2</v>
          </cell>
          <cell r="E266" t="str">
            <v>A4</v>
          </cell>
          <cell r="F266">
            <v>43275</v>
          </cell>
          <cell r="G266" t="str">
            <v>DP</v>
          </cell>
          <cell r="H266">
            <v>0</v>
          </cell>
          <cell r="I266">
            <v>0</v>
          </cell>
          <cell r="J266">
            <v>0</v>
          </cell>
          <cell r="K266">
            <v>0</v>
          </cell>
          <cell r="L266">
            <v>0</v>
          </cell>
          <cell r="M266">
            <v>0</v>
          </cell>
          <cell r="N266">
            <v>0</v>
          </cell>
          <cell r="O266">
            <v>0</v>
          </cell>
          <cell r="P266">
            <v>0</v>
          </cell>
          <cell r="Q266">
            <v>0</v>
          </cell>
          <cell r="R266">
            <v>0</v>
          </cell>
          <cell r="S266" t="str">
            <v>Y</v>
          </cell>
          <cell r="T266">
            <v>50</v>
          </cell>
          <cell r="V266">
            <v>100</v>
          </cell>
          <cell r="X266" t="str">
            <v>DP</v>
          </cell>
          <cell r="Y266" t="str">
            <v>JB</v>
          </cell>
          <cell r="Z266">
            <v>0</v>
          </cell>
          <cell r="AA266">
            <v>0</v>
          </cell>
          <cell r="AB266">
            <v>0</v>
          </cell>
          <cell r="AC266">
            <v>0.17000000000000015</v>
          </cell>
        </row>
        <row r="267">
          <cell r="A267" t="str">
            <v>BC1-B3-43274</v>
          </cell>
          <cell r="B267" t="str">
            <v>BC1-B3-43274</v>
          </cell>
          <cell r="C267">
            <v>43274</v>
          </cell>
          <cell r="D267" t="str">
            <v>BC1</v>
          </cell>
          <cell r="E267" t="str">
            <v>B3</v>
          </cell>
          <cell r="F267">
            <v>43275</v>
          </cell>
          <cell r="G267" t="str">
            <v>LV</v>
          </cell>
          <cell r="H267">
            <v>0</v>
          </cell>
          <cell r="I267">
            <v>0</v>
          </cell>
          <cell r="J267">
            <v>0</v>
          </cell>
          <cell r="K267">
            <v>0</v>
          </cell>
          <cell r="L267">
            <v>0</v>
          </cell>
          <cell r="M267">
            <v>0</v>
          </cell>
          <cell r="N267">
            <v>0</v>
          </cell>
          <cell r="O267">
            <v>0</v>
          </cell>
          <cell r="P267">
            <v>0</v>
          </cell>
          <cell r="Q267">
            <v>0</v>
          </cell>
          <cell r="R267">
            <v>0</v>
          </cell>
          <cell r="T267">
            <v>50</v>
          </cell>
          <cell r="V267">
            <v>100</v>
          </cell>
          <cell r="X267" t="str">
            <v>LV</v>
          </cell>
          <cell r="Y267" t="str">
            <v>TE</v>
          </cell>
          <cell r="Z267">
            <v>0</v>
          </cell>
          <cell r="AA267">
            <v>0</v>
          </cell>
          <cell r="AB267">
            <v>0</v>
          </cell>
          <cell r="AC267">
            <v>0.19600000000000017</v>
          </cell>
        </row>
        <row r="268">
          <cell r="A268" t="str">
            <v>BC1-A7-43274</v>
          </cell>
          <cell r="B268" t="str">
            <v>BC1-A7-43274</v>
          </cell>
          <cell r="C268">
            <v>43274</v>
          </cell>
          <cell r="D268" t="str">
            <v>BC1</v>
          </cell>
          <cell r="E268" t="str">
            <v>A7</v>
          </cell>
          <cell r="F268">
            <v>43275</v>
          </cell>
          <cell r="G268" t="str">
            <v>DP</v>
          </cell>
          <cell r="I268">
            <v>84</v>
          </cell>
          <cell r="J268">
            <v>2</v>
          </cell>
          <cell r="K268">
            <v>86</v>
          </cell>
          <cell r="S268" t="str">
            <v>Y</v>
          </cell>
          <cell r="T268">
            <v>50</v>
          </cell>
          <cell r="V268">
            <v>100</v>
          </cell>
          <cell r="X268" t="str">
            <v>DP</v>
          </cell>
          <cell r="Y268" t="str">
            <v>JB</v>
          </cell>
          <cell r="Z268">
            <v>0</v>
          </cell>
          <cell r="AA268">
            <v>84</v>
          </cell>
          <cell r="AB268">
            <v>2</v>
          </cell>
          <cell r="AC268">
            <v>0.21000000000000019</v>
          </cell>
        </row>
        <row r="269">
          <cell r="A269" t="str">
            <v>BC2-A5-43274</v>
          </cell>
          <cell r="B269" t="str">
            <v>BC2-A5-43274</v>
          </cell>
          <cell r="C269">
            <v>43274</v>
          </cell>
          <cell r="D269" t="str">
            <v>BC2</v>
          </cell>
          <cell r="E269" t="str">
            <v>A5</v>
          </cell>
          <cell r="F269">
            <v>43275</v>
          </cell>
          <cell r="G269" t="str">
            <v>JB</v>
          </cell>
          <cell r="H269">
            <v>0</v>
          </cell>
          <cell r="I269">
            <v>46</v>
          </cell>
          <cell r="J269">
            <v>8</v>
          </cell>
          <cell r="K269">
            <v>54</v>
          </cell>
          <cell r="L269">
            <v>13</v>
          </cell>
          <cell r="M269">
            <v>0</v>
          </cell>
          <cell r="N269">
            <v>0</v>
          </cell>
          <cell r="O269">
            <v>3</v>
          </cell>
          <cell r="P269">
            <v>0</v>
          </cell>
          <cell r="Q269">
            <v>0</v>
          </cell>
          <cell r="R269">
            <v>4</v>
          </cell>
          <cell r="S269" t="str">
            <v>Y</v>
          </cell>
          <cell r="T269">
            <v>50</v>
          </cell>
          <cell r="V269">
            <v>100</v>
          </cell>
          <cell r="X269" t="str">
            <v>JB</v>
          </cell>
          <cell r="Y269" t="str">
            <v>TE</v>
          </cell>
          <cell r="Z269">
            <v>0</v>
          </cell>
          <cell r="AA269">
            <v>46</v>
          </cell>
          <cell r="AB269">
            <v>8</v>
          </cell>
          <cell r="AC269">
            <v>0.40300000000000002</v>
          </cell>
        </row>
        <row r="270">
          <cell r="A270" t="str">
            <v>BC1-H5-43274</v>
          </cell>
          <cell r="B270" t="str">
            <v>BC1-H5-43274</v>
          </cell>
          <cell r="C270">
            <v>43274</v>
          </cell>
          <cell r="D270" t="str">
            <v>BC1</v>
          </cell>
          <cell r="E270" t="str">
            <v>H5</v>
          </cell>
          <cell r="F270">
            <v>43275</v>
          </cell>
          <cell r="G270" t="str">
            <v>TE</v>
          </cell>
          <cell r="H270">
            <v>552</v>
          </cell>
          <cell r="I270">
            <v>0</v>
          </cell>
          <cell r="J270">
            <v>4792</v>
          </cell>
          <cell r="K270">
            <v>5344</v>
          </cell>
          <cell r="L270">
            <v>0</v>
          </cell>
          <cell r="M270">
            <v>0</v>
          </cell>
          <cell r="N270">
            <v>0</v>
          </cell>
          <cell r="O270">
            <v>0</v>
          </cell>
          <cell r="P270">
            <v>0</v>
          </cell>
          <cell r="Q270">
            <v>0</v>
          </cell>
          <cell r="R270">
            <v>0</v>
          </cell>
          <cell r="S270" t="str">
            <v>Y</v>
          </cell>
          <cell r="T270">
            <v>50</v>
          </cell>
          <cell r="V270">
            <v>100</v>
          </cell>
          <cell r="X270" t="str">
            <v>TE</v>
          </cell>
          <cell r="Y270" t="str">
            <v>JB</v>
          </cell>
          <cell r="Z270">
            <v>552</v>
          </cell>
          <cell r="AA270">
            <v>0</v>
          </cell>
          <cell r="AB270">
            <v>4792</v>
          </cell>
          <cell r="AC270">
            <v>0.41700000000000004</v>
          </cell>
        </row>
        <row r="271">
          <cell r="A271" t="str">
            <v>BC1-H6-43274</v>
          </cell>
          <cell r="B271" t="str">
            <v>BC1-H6-43274</v>
          </cell>
          <cell r="C271">
            <v>43274</v>
          </cell>
          <cell r="D271" t="str">
            <v>BC1</v>
          </cell>
          <cell r="E271" t="str">
            <v>H6</v>
          </cell>
          <cell r="F271">
            <v>43275</v>
          </cell>
          <cell r="G271" t="str">
            <v>IS</v>
          </cell>
          <cell r="H271">
            <v>0</v>
          </cell>
          <cell r="I271">
            <v>0</v>
          </cell>
          <cell r="J271">
            <v>0</v>
          </cell>
          <cell r="K271">
            <v>0</v>
          </cell>
          <cell r="L271">
            <v>0</v>
          </cell>
          <cell r="M271">
            <v>0</v>
          </cell>
          <cell r="N271">
            <v>0</v>
          </cell>
          <cell r="O271">
            <v>0</v>
          </cell>
          <cell r="P271">
            <v>0</v>
          </cell>
          <cell r="Q271">
            <v>0</v>
          </cell>
          <cell r="R271">
            <v>0</v>
          </cell>
          <cell r="S271" t="str">
            <v>Y</v>
          </cell>
          <cell r="T271">
            <v>50</v>
          </cell>
          <cell r="V271">
            <v>100</v>
          </cell>
          <cell r="X271" t="str">
            <v>IS</v>
          </cell>
          <cell r="Y271" t="str">
            <v>TE</v>
          </cell>
          <cell r="Z271">
            <v>0</v>
          </cell>
          <cell r="AA271">
            <v>0</v>
          </cell>
          <cell r="AB271">
            <v>0</v>
          </cell>
          <cell r="AC271">
            <v>0.45000000000000018</v>
          </cell>
        </row>
        <row r="272">
          <cell r="A272" t="str">
            <v>BC1-C8-43274</v>
          </cell>
          <cell r="B272" t="str">
            <v>BC1-C8-43274</v>
          </cell>
          <cell r="C272">
            <v>43274</v>
          </cell>
          <cell r="D272" t="str">
            <v>BC1</v>
          </cell>
          <cell r="E272" t="str">
            <v>C8</v>
          </cell>
          <cell r="F272">
            <v>43275</v>
          </cell>
          <cell r="G272" t="str">
            <v>JB</v>
          </cell>
          <cell r="H272">
            <v>106</v>
          </cell>
          <cell r="I272">
            <v>3212</v>
          </cell>
          <cell r="J272">
            <v>80</v>
          </cell>
          <cell r="K272">
            <v>3398</v>
          </cell>
          <cell r="L272">
            <v>0</v>
          </cell>
          <cell r="M272">
            <v>0</v>
          </cell>
          <cell r="N272">
            <v>0</v>
          </cell>
          <cell r="O272">
            <v>0</v>
          </cell>
          <cell r="P272">
            <v>0</v>
          </cell>
          <cell r="Q272">
            <v>0</v>
          </cell>
          <cell r="R272">
            <v>0</v>
          </cell>
          <cell r="S272" t="str">
            <v>Y</v>
          </cell>
          <cell r="T272">
            <v>50</v>
          </cell>
          <cell r="V272">
            <v>100</v>
          </cell>
          <cell r="X272" t="str">
            <v>JB</v>
          </cell>
          <cell r="Y272" t="str">
            <v>TE</v>
          </cell>
          <cell r="Z272">
            <v>106</v>
          </cell>
          <cell r="AA272">
            <v>3212</v>
          </cell>
          <cell r="AB272">
            <v>80</v>
          </cell>
          <cell r="AC272">
            <v>0.57800000000000007</v>
          </cell>
        </row>
        <row r="273">
          <cell r="A273" t="str">
            <v>BC2-H7-43275</v>
          </cell>
          <cell r="B273" t="str">
            <v>BC2-H7-43275</v>
          </cell>
          <cell r="C273">
            <v>43275</v>
          </cell>
          <cell r="D273" t="str">
            <v>BC2</v>
          </cell>
          <cell r="E273" t="str">
            <v>H7</v>
          </cell>
          <cell r="F273">
            <v>43277</v>
          </cell>
          <cell r="G273" t="str">
            <v>JB</v>
          </cell>
          <cell r="H273">
            <v>0</v>
          </cell>
          <cell r="I273">
            <v>0</v>
          </cell>
          <cell r="J273">
            <v>0</v>
          </cell>
          <cell r="K273">
            <v>0</v>
          </cell>
          <cell r="L273">
            <v>0</v>
          </cell>
          <cell r="M273">
            <v>0</v>
          </cell>
          <cell r="N273">
            <v>0</v>
          </cell>
          <cell r="O273">
            <v>0</v>
          </cell>
          <cell r="P273">
            <v>0</v>
          </cell>
          <cell r="Q273">
            <v>0</v>
          </cell>
          <cell r="R273">
            <v>0</v>
          </cell>
          <cell r="S273" t="str">
            <v>Y</v>
          </cell>
          <cell r="T273">
            <v>50</v>
          </cell>
          <cell r="V273">
            <v>100</v>
          </cell>
          <cell r="X273" t="str">
            <v>JB</v>
          </cell>
          <cell r="Y273" t="str">
            <v>TE</v>
          </cell>
          <cell r="Z273">
            <v>0</v>
          </cell>
          <cell r="AA273">
            <v>0</v>
          </cell>
          <cell r="AB273">
            <v>0</v>
          </cell>
          <cell r="AC273">
            <v>3.1000000000000139E-2</v>
          </cell>
        </row>
        <row r="274">
          <cell r="A274" t="str">
            <v>BC2-A1-43275</v>
          </cell>
          <cell r="B274" t="str">
            <v>BC2-A1-43275</v>
          </cell>
          <cell r="C274">
            <v>43275</v>
          </cell>
          <cell r="D274" t="str">
            <v>BC2</v>
          </cell>
          <cell r="E274" t="str">
            <v>A1</v>
          </cell>
          <cell r="F274">
            <v>43277</v>
          </cell>
          <cell r="G274" t="str">
            <v>TE</v>
          </cell>
          <cell r="H274">
            <v>0</v>
          </cell>
          <cell r="I274">
            <v>34</v>
          </cell>
          <cell r="J274">
            <v>338</v>
          </cell>
          <cell r="K274">
            <v>372</v>
          </cell>
          <cell r="L274">
            <v>0</v>
          </cell>
          <cell r="M274">
            <v>0</v>
          </cell>
          <cell r="N274">
            <v>0</v>
          </cell>
          <cell r="O274">
            <v>0</v>
          </cell>
          <cell r="P274">
            <v>0</v>
          </cell>
          <cell r="Q274">
            <v>0</v>
          </cell>
          <cell r="R274">
            <v>0</v>
          </cell>
          <cell r="S274" t="str">
            <v>Y</v>
          </cell>
          <cell r="T274">
            <v>50</v>
          </cell>
          <cell r="V274">
            <v>100</v>
          </cell>
          <cell r="X274" t="str">
            <v>TE</v>
          </cell>
          <cell r="Y274" t="str">
            <v>JB</v>
          </cell>
          <cell r="Z274">
            <v>0</v>
          </cell>
          <cell r="AA274">
            <v>34</v>
          </cell>
          <cell r="AB274">
            <v>338</v>
          </cell>
          <cell r="AC274">
            <v>4.7000000000000153E-2</v>
          </cell>
        </row>
        <row r="275">
          <cell r="A275" t="str">
            <v>BC2-F2-43275</v>
          </cell>
          <cell r="B275" t="str">
            <v>BC2-F2-43275</v>
          </cell>
          <cell r="C275">
            <v>43275</v>
          </cell>
          <cell r="D275" t="str">
            <v>BC2</v>
          </cell>
          <cell r="E275" t="str">
            <v>F2</v>
          </cell>
          <cell r="F275">
            <v>43277</v>
          </cell>
          <cell r="G275" t="str">
            <v>DP</v>
          </cell>
          <cell r="H275">
            <v>16</v>
          </cell>
          <cell r="I275">
            <v>262</v>
          </cell>
          <cell r="J275">
            <v>4</v>
          </cell>
          <cell r="K275">
            <v>282</v>
          </cell>
          <cell r="S275" t="str">
            <v>Y</v>
          </cell>
          <cell r="T275">
            <v>50</v>
          </cell>
          <cell r="V275">
            <v>100</v>
          </cell>
          <cell r="X275" t="str">
            <v>DP</v>
          </cell>
          <cell r="Y275" t="str">
            <v>JB</v>
          </cell>
          <cell r="Z275">
            <v>16</v>
          </cell>
          <cell r="AA275">
            <v>262</v>
          </cell>
          <cell r="AB275">
            <v>4</v>
          </cell>
          <cell r="AC275">
            <v>5.0000000000000044E-2</v>
          </cell>
        </row>
        <row r="276">
          <cell r="A276" t="str">
            <v>BC2-H2-43275</v>
          </cell>
          <cell r="B276" t="str">
            <v>BC2-H2-43275</v>
          </cell>
          <cell r="C276">
            <v>43275</v>
          </cell>
          <cell r="D276" t="str">
            <v>BC2</v>
          </cell>
          <cell r="E276" t="str">
            <v>H2</v>
          </cell>
          <cell r="F276">
            <v>43277</v>
          </cell>
          <cell r="G276" t="str">
            <v>JB</v>
          </cell>
          <cell r="H276">
            <v>1250</v>
          </cell>
          <cell r="I276">
            <v>2718</v>
          </cell>
          <cell r="J276">
            <v>54</v>
          </cell>
          <cell r="K276">
            <v>4022</v>
          </cell>
          <cell r="L276">
            <v>0</v>
          </cell>
          <cell r="M276">
            <v>0</v>
          </cell>
          <cell r="N276">
            <v>0</v>
          </cell>
          <cell r="O276">
            <v>1</v>
          </cell>
          <cell r="P276">
            <v>0</v>
          </cell>
          <cell r="Q276">
            <v>0</v>
          </cell>
          <cell r="R276">
            <v>5</v>
          </cell>
          <cell r="S276" t="str">
            <v>Y</v>
          </cell>
          <cell r="T276">
            <v>50</v>
          </cell>
          <cell r="V276">
            <v>100</v>
          </cell>
          <cell r="X276" t="str">
            <v>JB</v>
          </cell>
          <cell r="Y276" t="str">
            <v>TE</v>
          </cell>
          <cell r="Z276">
            <v>1250</v>
          </cell>
          <cell r="AA276">
            <v>2718</v>
          </cell>
          <cell r="AB276">
            <v>54</v>
          </cell>
          <cell r="AC276">
            <v>0.19400000000000017</v>
          </cell>
        </row>
        <row r="277">
          <cell r="A277" t="str">
            <v>BC1-C6-43275</v>
          </cell>
          <cell r="B277" t="str">
            <v>BC1-C6-43275</v>
          </cell>
          <cell r="C277">
            <v>43275</v>
          </cell>
          <cell r="D277" t="str">
            <v>BC1</v>
          </cell>
          <cell r="E277" t="str">
            <v>C6</v>
          </cell>
          <cell r="F277">
            <v>43277</v>
          </cell>
          <cell r="G277" t="str">
            <v>TE</v>
          </cell>
          <cell r="H277">
            <v>0</v>
          </cell>
          <cell r="I277">
            <v>0</v>
          </cell>
          <cell r="J277">
            <v>0</v>
          </cell>
          <cell r="K277">
            <v>0</v>
          </cell>
          <cell r="L277">
            <v>0</v>
          </cell>
          <cell r="M277">
            <v>0</v>
          </cell>
          <cell r="N277">
            <v>0</v>
          </cell>
          <cell r="O277">
            <v>0</v>
          </cell>
          <cell r="P277">
            <v>0</v>
          </cell>
          <cell r="Q277">
            <v>0</v>
          </cell>
          <cell r="R277">
            <v>0</v>
          </cell>
          <cell r="S277" t="str">
            <v>Y</v>
          </cell>
          <cell r="T277">
            <v>50</v>
          </cell>
          <cell r="V277">
            <v>100</v>
          </cell>
          <cell r="X277" t="str">
            <v>TE</v>
          </cell>
          <cell r="Y277" t="str">
            <v>JB</v>
          </cell>
          <cell r="Z277">
            <v>0</v>
          </cell>
          <cell r="AA277">
            <v>0</v>
          </cell>
          <cell r="AB277">
            <v>0</v>
          </cell>
          <cell r="AC277">
            <v>0.2330000000000001</v>
          </cell>
        </row>
        <row r="278">
          <cell r="A278" t="str">
            <v>BC2-B7-43275</v>
          </cell>
          <cell r="B278" t="str">
            <v>BC2-B7-43275</v>
          </cell>
          <cell r="C278">
            <v>43275</v>
          </cell>
          <cell r="D278" t="str">
            <v>BC2</v>
          </cell>
          <cell r="E278" t="str">
            <v>B7</v>
          </cell>
          <cell r="F278">
            <v>43277</v>
          </cell>
          <cell r="G278" t="str">
            <v>DP</v>
          </cell>
          <cell r="H278">
            <v>8</v>
          </cell>
          <cell r="I278">
            <v>792</v>
          </cell>
          <cell r="J278">
            <v>20</v>
          </cell>
          <cell r="K278">
            <v>820</v>
          </cell>
          <cell r="S278" t="str">
            <v>Y</v>
          </cell>
          <cell r="T278">
            <v>50</v>
          </cell>
          <cell r="V278">
            <v>100</v>
          </cell>
          <cell r="X278" t="str">
            <v>DP</v>
          </cell>
          <cell r="Y278" t="str">
            <v>JB</v>
          </cell>
          <cell r="Z278">
            <v>8</v>
          </cell>
          <cell r="AA278">
            <v>792</v>
          </cell>
          <cell r="AB278">
            <v>20</v>
          </cell>
          <cell r="AC278">
            <v>0.25</v>
          </cell>
        </row>
        <row r="279">
          <cell r="A279" t="str">
            <v>BC2-H8-43275</v>
          </cell>
          <cell r="B279" t="str">
            <v>BC2-H8-43275</v>
          </cell>
          <cell r="C279">
            <v>43275</v>
          </cell>
          <cell r="D279" t="str">
            <v>BC2</v>
          </cell>
          <cell r="E279" t="str">
            <v>H8</v>
          </cell>
          <cell r="F279">
            <v>43277</v>
          </cell>
          <cell r="G279" t="str">
            <v>JB</v>
          </cell>
          <cell r="H279">
            <v>0</v>
          </cell>
          <cell r="I279">
            <v>6</v>
          </cell>
          <cell r="J279">
            <v>0</v>
          </cell>
          <cell r="K279">
            <v>6</v>
          </cell>
          <cell r="L279">
            <v>0</v>
          </cell>
          <cell r="M279">
            <v>0</v>
          </cell>
          <cell r="N279">
            <v>0</v>
          </cell>
          <cell r="O279">
            <v>0</v>
          </cell>
          <cell r="P279">
            <v>0</v>
          </cell>
          <cell r="Q279">
            <v>0</v>
          </cell>
          <cell r="R279">
            <v>0</v>
          </cell>
          <cell r="S279" t="str">
            <v>Y</v>
          </cell>
          <cell r="T279">
            <v>50</v>
          </cell>
          <cell r="V279">
            <v>100</v>
          </cell>
          <cell r="X279" t="str">
            <v>JB</v>
          </cell>
          <cell r="Y279" t="str">
            <v>TE</v>
          </cell>
          <cell r="Z279">
            <v>0</v>
          </cell>
          <cell r="AA279">
            <v>6</v>
          </cell>
          <cell r="AB279">
            <v>0</v>
          </cell>
          <cell r="AC279">
            <v>0.34000000000000008</v>
          </cell>
        </row>
        <row r="280">
          <cell r="A280" t="str">
            <v>BC2-A1-43276</v>
          </cell>
          <cell r="B280" t="str">
            <v>BC2-A1-43276</v>
          </cell>
          <cell r="C280">
            <v>43276</v>
          </cell>
          <cell r="D280" t="str">
            <v>BC2</v>
          </cell>
          <cell r="E280" t="str">
            <v>A1</v>
          </cell>
          <cell r="F280">
            <v>43277</v>
          </cell>
          <cell r="G280" t="str">
            <v>TE</v>
          </cell>
          <cell r="H280">
            <v>0</v>
          </cell>
          <cell r="I280">
            <v>4</v>
          </cell>
          <cell r="J280">
            <v>14</v>
          </cell>
          <cell r="K280">
            <v>18</v>
          </cell>
          <cell r="L280">
            <v>0</v>
          </cell>
          <cell r="M280">
            <v>0</v>
          </cell>
          <cell r="N280">
            <v>0</v>
          </cell>
          <cell r="O280">
            <v>0</v>
          </cell>
          <cell r="P280">
            <v>0</v>
          </cell>
          <cell r="Q280">
            <v>0</v>
          </cell>
          <cell r="R280">
            <v>0</v>
          </cell>
          <cell r="T280">
            <v>50</v>
          </cell>
          <cell r="V280">
            <v>100</v>
          </cell>
          <cell r="X280" t="str">
            <v>LV</v>
          </cell>
          <cell r="Y280" t="str">
            <v>TE</v>
          </cell>
          <cell r="Z280">
            <v>0</v>
          </cell>
          <cell r="AA280">
            <v>4</v>
          </cell>
          <cell r="AB280">
            <v>14</v>
          </cell>
          <cell r="AC280">
            <v>2.0000000000000018E-2</v>
          </cell>
        </row>
        <row r="281">
          <cell r="A281" t="str">
            <v>BC1-H5-43276</v>
          </cell>
          <cell r="B281" t="str">
            <v>BC1-H5-43276</v>
          </cell>
          <cell r="C281">
            <v>43276</v>
          </cell>
          <cell r="D281" t="str">
            <v>BC1</v>
          </cell>
          <cell r="E281" t="str">
            <v>H5</v>
          </cell>
          <cell r="F281">
            <v>43277</v>
          </cell>
          <cell r="G281" t="str">
            <v>DP</v>
          </cell>
          <cell r="H281">
            <v>0</v>
          </cell>
          <cell r="I281">
            <v>0</v>
          </cell>
          <cell r="J281">
            <v>0</v>
          </cell>
          <cell r="K281">
            <v>0</v>
          </cell>
          <cell r="L281">
            <v>0</v>
          </cell>
          <cell r="M281">
            <v>0</v>
          </cell>
          <cell r="N281">
            <v>0</v>
          </cell>
          <cell r="O281">
            <v>0</v>
          </cell>
          <cell r="P281">
            <v>0</v>
          </cell>
          <cell r="Q281">
            <v>0</v>
          </cell>
          <cell r="R281">
            <v>0</v>
          </cell>
          <cell r="S281" t="str">
            <v>Y</v>
          </cell>
          <cell r="T281">
            <v>50</v>
          </cell>
          <cell r="V281">
            <v>100</v>
          </cell>
          <cell r="X281" t="str">
            <v>DP</v>
          </cell>
          <cell r="Y281" t="str">
            <v>JB</v>
          </cell>
          <cell r="Z281">
            <v>0</v>
          </cell>
          <cell r="AA281">
            <v>0</v>
          </cell>
          <cell r="AB281">
            <v>0</v>
          </cell>
          <cell r="AC281">
            <v>0.13300000000000001</v>
          </cell>
        </row>
        <row r="282">
          <cell r="A282" t="str">
            <v>HW2-A3-43277</v>
          </cell>
          <cell r="B282" t="str">
            <v>HW2-A3-43277</v>
          </cell>
          <cell r="C282">
            <v>43277</v>
          </cell>
          <cell r="D282" t="str">
            <v>HW2</v>
          </cell>
          <cell r="E282" t="str">
            <v>A3</v>
          </cell>
          <cell r="F282">
            <v>43278</v>
          </cell>
          <cell r="G282" t="str">
            <v>DP</v>
          </cell>
          <cell r="I282">
            <v>48</v>
          </cell>
          <cell r="J282">
            <v>2</v>
          </cell>
          <cell r="K282">
            <v>50</v>
          </cell>
          <cell r="P282">
            <v>1</v>
          </cell>
          <cell r="S282" t="str">
            <v>Y</v>
          </cell>
          <cell r="T282">
            <v>50</v>
          </cell>
          <cell r="V282">
            <v>100</v>
          </cell>
          <cell r="X282" t="str">
            <v>DP</v>
          </cell>
          <cell r="Y282" t="str">
            <v>JB</v>
          </cell>
          <cell r="Z282">
            <v>0</v>
          </cell>
          <cell r="AA282">
            <v>48</v>
          </cell>
          <cell r="AB282">
            <v>2</v>
          </cell>
          <cell r="AC282">
            <v>-8.0000000000000002E-3</v>
          </cell>
        </row>
        <row r="283">
          <cell r="A283" t="str">
            <v>HW2-F6-43277</v>
          </cell>
          <cell r="B283" t="str">
            <v>HW2-F6-43277</v>
          </cell>
          <cell r="C283">
            <v>43277</v>
          </cell>
          <cell r="D283" t="str">
            <v>HW2</v>
          </cell>
          <cell r="E283" t="str">
            <v>F6</v>
          </cell>
          <cell r="F283">
            <v>43278</v>
          </cell>
          <cell r="G283" t="str">
            <v>LV</v>
          </cell>
          <cell r="H283">
            <v>0</v>
          </cell>
          <cell r="I283">
            <v>0</v>
          </cell>
          <cell r="J283">
            <v>0</v>
          </cell>
          <cell r="K283">
            <v>0</v>
          </cell>
          <cell r="L283">
            <v>0</v>
          </cell>
          <cell r="M283">
            <v>0</v>
          </cell>
          <cell r="N283">
            <v>0</v>
          </cell>
          <cell r="O283">
            <v>0</v>
          </cell>
          <cell r="P283">
            <v>0</v>
          </cell>
          <cell r="Q283">
            <v>0</v>
          </cell>
          <cell r="R283">
            <v>0</v>
          </cell>
          <cell r="T283">
            <v>50</v>
          </cell>
          <cell r="V283">
            <v>100</v>
          </cell>
          <cell r="X283" t="str">
            <v>LV</v>
          </cell>
          <cell r="Y283" t="str">
            <v>TE</v>
          </cell>
          <cell r="Z283">
            <v>0</v>
          </cell>
          <cell r="AA283">
            <v>0</v>
          </cell>
          <cell r="AB283">
            <v>0</v>
          </cell>
          <cell r="AC283">
            <v>0.1030000000000002</v>
          </cell>
        </row>
        <row r="284">
          <cell r="A284" t="str">
            <v>HW1-H7-43277</v>
          </cell>
          <cell r="B284" t="str">
            <v>HW1-H7-43277</v>
          </cell>
          <cell r="C284">
            <v>43277</v>
          </cell>
          <cell r="D284" t="str">
            <v>HW1</v>
          </cell>
          <cell r="E284" t="str">
            <v>H7</v>
          </cell>
          <cell r="F284">
            <v>43279</v>
          </cell>
          <cell r="G284" t="str">
            <v>TE</v>
          </cell>
          <cell r="I284">
            <v>34</v>
          </cell>
          <cell r="J284">
            <v>388</v>
          </cell>
          <cell r="K284">
            <v>422</v>
          </cell>
          <cell r="O284">
            <v>1</v>
          </cell>
          <cell r="P284">
            <v>1</v>
          </cell>
          <cell r="T284">
            <v>50</v>
          </cell>
          <cell r="V284">
            <v>100</v>
          </cell>
          <cell r="X284" t="str">
            <v>LV</v>
          </cell>
          <cell r="Y284" t="str">
            <v>TE</v>
          </cell>
          <cell r="Z284">
            <v>0</v>
          </cell>
          <cell r="AA284">
            <v>34</v>
          </cell>
          <cell r="AB284">
            <v>388</v>
          </cell>
          <cell r="AC284">
            <v>0.16400000000000015</v>
          </cell>
        </row>
        <row r="285">
          <cell r="A285" t="str">
            <v>HW1-E4-43277</v>
          </cell>
          <cell r="B285" t="str">
            <v>HW1-E4-43277</v>
          </cell>
          <cell r="C285">
            <v>43277</v>
          </cell>
          <cell r="D285" t="str">
            <v>HW1</v>
          </cell>
          <cell r="E285" t="str">
            <v>E4</v>
          </cell>
          <cell r="F285">
            <v>43278</v>
          </cell>
          <cell r="G285" t="str">
            <v>LV</v>
          </cell>
          <cell r="I285">
            <v>4</v>
          </cell>
          <cell r="K285">
            <v>4</v>
          </cell>
          <cell r="T285">
            <v>50</v>
          </cell>
          <cell r="V285">
            <v>100</v>
          </cell>
          <cell r="X285" t="str">
            <v>LV</v>
          </cell>
          <cell r="Y285" t="str">
            <v>TE</v>
          </cell>
          <cell r="Z285">
            <v>0</v>
          </cell>
          <cell r="AA285">
            <v>4</v>
          </cell>
          <cell r="AB285">
            <v>0</v>
          </cell>
          <cell r="AC285">
            <v>0.17800000000000016</v>
          </cell>
        </row>
        <row r="286">
          <cell r="A286" t="str">
            <v>HW1-F1-43277</v>
          </cell>
          <cell r="B286" t="str">
            <v>HW1-F1-43277</v>
          </cell>
          <cell r="C286">
            <v>43277</v>
          </cell>
          <cell r="D286" t="str">
            <v>HW1</v>
          </cell>
          <cell r="E286" t="str">
            <v>F1</v>
          </cell>
          <cell r="F286">
            <v>43279</v>
          </cell>
          <cell r="G286" t="str">
            <v>JB</v>
          </cell>
          <cell r="H286">
            <v>1906</v>
          </cell>
          <cell r="I286">
            <v>146</v>
          </cell>
          <cell r="J286">
            <v>0</v>
          </cell>
          <cell r="K286">
            <v>2052</v>
          </cell>
          <cell r="L286">
            <v>0</v>
          </cell>
          <cell r="M286">
            <v>0</v>
          </cell>
          <cell r="N286">
            <v>0</v>
          </cell>
          <cell r="O286">
            <v>0</v>
          </cell>
          <cell r="P286">
            <v>0</v>
          </cell>
          <cell r="Q286">
            <v>0</v>
          </cell>
          <cell r="R286">
            <v>0</v>
          </cell>
          <cell r="S286" t="str">
            <v>Y</v>
          </cell>
          <cell r="T286">
            <v>50</v>
          </cell>
          <cell r="V286">
            <v>100</v>
          </cell>
          <cell r="X286" t="str">
            <v>JB</v>
          </cell>
          <cell r="Y286" t="str">
            <v>TE</v>
          </cell>
          <cell r="Z286">
            <v>1906</v>
          </cell>
          <cell r="AA286">
            <v>146</v>
          </cell>
          <cell r="AB286">
            <v>0</v>
          </cell>
          <cell r="AC286">
            <v>0.20600000000000018</v>
          </cell>
        </row>
        <row r="287">
          <cell r="A287" t="str">
            <v>HW2-G2-43277</v>
          </cell>
          <cell r="B287" t="str">
            <v>HW2-G2-43277</v>
          </cell>
          <cell r="C287">
            <v>43277</v>
          </cell>
          <cell r="D287" t="str">
            <v>HW2</v>
          </cell>
          <cell r="E287" t="str">
            <v>G2</v>
          </cell>
          <cell r="F287">
            <v>43278</v>
          </cell>
          <cell r="G287" t="str">
            <v>DP</v>
          </cell>
          <cell r="H287">
            <v>4</v>
          </cell>
          <cell r="I287">
            <v>6188</v>
          </cell>
          <cell r="J287">
            <v>488</v>
          </cell>
          <cell r="K287">
            <v>6680</v>
          </cell>
          <cell r="Q287">
            <v>644</v>
          </cell>
          <cell r="S287" t="str">
            <v>Y</v>
          </cell>
          <cell r="T287">
            <v>50</v>
          </cell>
          <cell r="V287">
            <v>100</v>
          </cell>
          <cell r="X287" t="str">
            <v>DP</v>
          </cell>
          <cell r="Y287" t="str">
            <v>JB</v>
          </cell>
          <cell r="Z287">
            <v>4</v>
          </cell>
          <cell r="AA287">
            <v>6188</v>
          </cell>
          <cell r="AB287">
            <v>488</v>
          </cell>
          <cell r="AC287">
            <v>0.2200000000000002</v>
          </cell>
        </row>
        <row r="288">
          <cell r="A288" t="str">
            <v>HW2-B4-43277</v>
          </cell>
          <cell r="B288" t="str">
            <v>HW2-B4-43277</v>
          </cell>
          <cell r="C288">
            <v>43277</v>
          </cell>
          <cell r="D288" t="str">
            <v>HW2</v>
          </cell>
          <cell r="E288" t="str">
            <v>B4</v>
          </cell>
          <cell r="F288">
            <v>43279</v>
          </cell>
          <cell r="G288" t="str">
            <v>DP</v>
          </cell>
          <cell r="I288">
            <v>602</v>
          </cell>
          <cell r="J288">
            <v>24</v>
          </cell>
          <cell r="K288">
            <v>626</v>
          </cell>
          <cell r="S288" t="str">
            <v>Y</v>
          </cell>
          <cell r="T288">
            <v>50</v>
          </cell>
          <cell r="V288">
            <v>100</v>
          </cell>
          <cell r="X288" t="str">
            <v>DP</v>
          </cell>
          <cell r="Y288" t="str">
            <v>JB</v>
          </cell>
          <cell r="Z288">
            <v>0</v>
          </cell>
          <cell r="AA288">
            <v>602</v>
          </cell>
          <cell r="AB288">
            <v>24</v>
          </cell>
          <cell r="AC288">
            <v>0.26300000000000012</v>
          </cell>
        </row>
        <row r="289">
          <cell r="A289" t="str">
            <v>HW1-H5-43277</v>
          </cell>
          <cell r="B289" t="str">
            <v>HW1-H5-43277</v>
          </cell>
          <cell r="C289">
            <v>43277</v>
          </cell>
          <cell r="D289" t="str">
            <v>HW1</v>
          </cell>
          <cell r="E289" t="str">
            <v>H5</v>
          </cell>
          <cell r="F289">
            <v>43278</v>
          </cell>
          <cell r="G289" t="str">
            <v>JB</v>
          </cell>
          <cell r="H289">
            <v>0</v>
          </cell>
          <cell r="I289">
            <v>0</v>
          </cell>
          <cell r="J289">
            <v>0</v>
          </cell>
          <cell r="K289">
            <v>0</v>
          </cell>
          <cell r="L289">
            <v>9</v>
          </cell>
          <cell r="M289">
            <v>0</v>
          </cell>
          <cell r="N289">
            <v>8</v>
          </cell>
          <cell r="O289">
            <v>0</v>
          </cell>
          <cell r="P289">
            <v>0</v>
          </cell>
          <cell r="Q289">
            <v>0</v>
          </cell>
          <cell r="R289">
            <v>0</v>
          </cell>
          <cell r="S289" t="str">
            <v>Y</v>
          </cell>
          <cell r="T289">
            <v>50</v>
          </cell>
          <cell r="V289">
            <v>100</v>
          </cell>
          <cell r="X289" t="str">
            <v>JB</v>
          </cell>
          <cell r="Y289" t="str">
            <v>TE</v>
          </cell>
          <cell r="Z289">
            <v>0</v>
          </cell>
          <cell r="AA289">
            <v>0</v>
          </cell>
          <cell r="AB289">
            <v>0</v>
          </cell>
          <cell r="AC289">
            <v>0.30400000000000005</v>
          </cell>
        </row>
        <row r="290">
          <cell r="A290" t="str">
            <v>HW1-E1-43277</v>
          </cell>
          <cell r="B290" t="str">
            <v>HW1-E1-43277</v>
          </cell>
          <cell r="C290">
            <v>43277</v>
          </cell>
          <cell r="D290" t="str">
            <v>HW1</v>
          </cell>
          <cell r="E290" t="str">
            <v>E1</v>
          </cell>
          <cell r="F290">
            <v>43279</v>
          </cell>
          <cell r="G290" t="str">
            <v>LV</v>
          </cell>
          <cell r="H290">
            <v>18</v>
          </cell>
          <cell r="I290">
            <v>2096</v>
          </cell>
          <cell r="J290">
            <v>28</v>
          </cell>
          <cell r="K290">
            <v>2142</v>
          </cell>
          <cell r="T290">
            <v>50</v>
          </cell>
          <cell r="V290">
            <v>100</v>
          </cell>
          <cell r="X290" t="str">
            <v>LV</v>
          </cell>
          <cell r="Y290" t="str">
            <v>TE</v>
          </cell>
          <cell r="Z290">
            <v>18</v>
          </cell>
          <cell r="AA290">
            <v>2096</v>
          </cell>
          <cell r="AB290">
            <v>28</v>
          </cell>
          <cell r="AC290">
            <v>0.30800000000000005</v>
          </cell>
        </row>
        <row r="291">
          <cell r="A291" t="str">
            <v>HW2-G4-43277</v>
          </cell>
          <cell r="B291" t="str">
            <v>HW2-G4-43277</v>
          </cell>
          <cell r="C291">
            <v>43277</v>
          </cell>
          <cell r="D291" t="str">
            <v>HW2</v>
          </cell>
          <cell r="E291" t="str">
            <v>G4</v>
          </cell>
          <cell r="F291">
            <v>43278</v>
          </cell>
          <cell r="G291" t="str">
            <v>TE</v>
          </cell>
          <cell r="I291">
            <v>38</v>
          </cell>
          <cell r="J291">
            <v>84</v>
          </cell>
          <cell r="K291">
            <v>122</v>
          </cell>
          <cell r="T291">
            <v>50</v>
          </cell>
          <cell r="V291">
            <v>100</v>
          </cell>
          <cell r="X291" t="str">
            <v>LV</v>
          </cell>
          <cell r="Y291" t="str">
            <v>TE</v>
          </cell>
          <cell r="Z291">
            <v>0</v>
          </cell>
          <cell r="AA291">
            <v>38</v>
          </cell>
          <cell r="AB291">
            <v>84</v>
          </cell>
          <cell r="AC291">
            <v>0.32200000000000006</v>
          </cell>
        </row>
        <row r="292">
          <cell r="A292" t="str">
            <v>HW1-B3-43277</v>
          </cell>
          <cell r="B292" t="str">
            <v>HW1-B3-43277</v>
          </cell>
          <cell r="C292">
            <v>43277</v>
          </cell>
          <cell r="D292" t="str">
            <v>HW1</v>
          </cell>
          <cell r="E292" t="str">
            <v>B3</v>
          </cell>
          <cell r="F292">
            <v>43279</v>
          </cell>
          <cell r="G292" t="str">
            <v>DP</v>
          </cell>
          <cell r="H292">
            <v>24</v>
          </cell>
          <cell r="I292">
            <v>7832</v>
          </cell>
          <cell r="J292">
            <v>1200</v>
          </cell>
          <cell r="K292">
            <v>9056</v>
          </cell>
          <cell r="S292" t="str">
            <v>N</v>
          </cell>
          <cell r="T292">
            <v>25</v>
          </cell>
          <cell r="V292">
            <v>100</v>
          </cell>
          <cell r="W292" t="str">
            <v>25% for Coccidia sp.</v>
          </cell>
          <cell r="X292" t="str">
            <v>DP</v>
          </cell>
          <cell r="Y292" t="str">
            <v>JB</v>
          </cell>
          <cell r="Z292">
            <v>24</v>
          </cell>
          <cell r="AA292">
            <v>7832</v>
          </cell>
          <cell r="AB292">
            <v>1200</v>
          </cell>
          <cell r="AC292">
            <v>0.33300000000000018</v>
          </cell>
        </row>
        <row r="293">
          <cell r="A293" t="str">
            <v>HW2-G7-43277</v>
          </cell>
          <cell r="B293" t="str">
            <v>HW2-G7-43277</v>
          </cell>
          <cell r="C293">
            <v>43277</v>
          </cell>
          <cell r="D293" t="str">
            <v>HW2</v>
          </cell>
          <cell r="E293" t="str">
            <v>G7</v>
          </cell>
          <cell r="F293">
            <v>43279</v>
          </cell>
          <cell r="G293" t="str">
            <v>TE</v>
          </cell>
          <cell r="I293">
            <v>18</v>
          </cell>
          <cell r="J293">
            <v>72</v>
          </cell>
          <cell r="K293">
            <v>90</v>
          </cell>
          <cell r="R293">
            <v>3</v>
          </cell>
          <cell r="T293">
            <v>50</v>
          </cell>
          <cell r="V293">
            <v>100</v>
          </cell>
          <cell r="X293" t="str">
            <v>LV</v>
          </cell>
          <cell r="Y293" t="str">
            <v>TE</v>
          </cell>
          <cell r="Z293">
            <v>0</v>
          </cell>
          <cell r="AA293">
            <v>18</v>
          </cell>
          <cell r="AB293">
            <v>72</v>
          </cell>
          <cell r="AC293">
            <v>0.33800000000000008</v>
          </cell>
        </row>
        <row r="294">
          <cell r="A294" t="str">
            <v>HW2-A4-43277</v>
          </cell>
          <cell r="B294" t="str">
            <v>HW2-A4-43277</v>
          </cell>
          <cell r="C294">
            <v>43277</v>
          </cell>
          <cell r="D294" t="str">
            <v>HW2</v>
          </cell>
          <cell r="E294" t="str">
            <v>A4</v>
          </cell>
          <cell r="F294">
            <v>43279</v>
          </cell>
          <cell r="G294" t="str">
            <v>JB</v>
          </cell>
          <cell r="H294">
            <v>0</v>
          </cell>
          <cell r="I294">
            <v>72</v>
          </cell>
          <cell r="J294">
            <v>6</v>
          </cell>
          <cell r="K294">
            <v>78</v>
          </cell>
          <cell r="L294">
            <v>0</v>
          </cell>
          <cell r="M294">
            <v>0</v>
          </cell>
          <cell r="N294">
            <v>0</v>
          </cell>
          <cell r="O294">
            <v>0</v>
          </cell>
          <cell r="P294">
            <v>0</v>
          </cell>
          <cell r="Q294">
            <v>0</v>
          </cell>
          <cell r="R294">
            <v>0</v>
          </cell>
          <cell r="S294" t="str">
            <v>Y</v>
          </cell>
          <cell r="T294">
            <v>50</v>
          </cell>
          <cell r="V294">
            <v>100</v>
          </cell>
          <cell r="X294" t="str">
            <v>JB</v>
          </cell>
          <cell r="Y294" t="str">
            <v>TE</v>
          </cell>
          <cell r="Z294">
            <v>0</v>
          </cell>
          <cell r="AA294">
            <v>72</v>
          </cell>
          <cell r="AB294">
            <v>6</v>
          </cell>
          <cell r="AC294">
            <v>0.3530000000000002</v>
          </cell>
        </row>
        <row r="295">
          <cell r="A295" t="str">
            <v>HW1-F3-43277</v>
          </cell>
          <cell r="B295" t="str">
            <v>HW1-F3-43277</v>
          </cell>
          <cell r="C295">
            <v>43277</v>
          </cell>
          <cell r="D295" t="str">
            <v>HW1</v>
          </cell>
          <cell r="E295" t="str">
            <v>F3</v>
          </cell>
          <cell r="F295">
            <v>43278</v>
          </cell>
          <cell r="G295" t="str">
            <v>JB</v>
          </cell>
          <cell r="H295">
            <v>0</v>
          </cell>
          <cell r="I295">
            <v>30</v>
          </cell>
          <cell r="J295">
            <v>0</v>
          </cell>
          <cell r="K295">
            <v>30</v>
          </cell>
          <cell r="L295">
            <v>7</v>
          </cell>
          <cell r="M295">
            <v>0</v>
          </cell>
          <cell r="N295">
            <v>0</v>
          </cell>
          <cell r="O295">
            <v>0</v>
          </cell>
          <cell r="P295">
            <v>0</v>
          </cell>
          <cell r="Q295">
            <v>0</v>
          </cell>
          <cell r="R295">
            <v>0</v>
          </cell>
          <cell r="S295" t="str">
            <v>Y</v>
          </cell>
          <cell r="T295">
            <v>50</v>
          </cell>
          <cell r="V295">
            <v>100</v>
          </cell>
          <cell r="X295" t="str">
            <v>JB</v>
          </cell>
          <cell r="Y295" t="str">
            <v>TE</v>
          </cell>
          <cell r="Z295">
            <v>0</v>
          </cell>
          <cell r="AA295">
            <v>30</v>
          </cell>
          <cell r="AB295">
            <v>0</v>
          </cell>
          <cell r="AC295">
            <v>0.3580000000000001</v>
          </cell>
        </row>
        <row r="296">
          <cell r="A296" t="str">
            <v>HW2-H7-43277</v>
          </cell>
          <cell r="B296" t="str">
            <v>HW2-H7-43277</v>
          </cell>
          <cell r="C296">
            <v>43277</v>
          </cell>
          <cell r="D296" t="str">
            <v>HW2</v>
          </cell>
          <cell r="E296" t="str">
            <v>H7</v>
          </cell>
          <cell r="F296">
            <v>43279</v>
          </cell>
          <cell r="G296" t="str">
            <v>IS</v>
          </cell>
          <cell r="H296">
            <v>0</v>
          </cell>
          <cell r="I296">
            <v>0</v>
          </cell>
          <cell r="J296">
            <v>0</v>
          </cell>
          <cell r="K296">
            <v>0</v>
          </cell>
          <cell r="L296">
            <v>0</v>
          </cell>
          <cell r="M296">
            <v>0</v>
          </cell>
          <cell r="N296">
            <v>0</v>
          </cell>
          <cell r="O296">
            <v>0</v>
          </cell>
          <cell r="P296">
            <v>0</v>
          </cell>
          <cell r="Q296">
            <v>0</v>
          </cell>
          <cell r="R296">
            <v>0</v>
          </cell>
          <cell r="S296" t="str">
            <v>Y</v>
          </cell>
          <cell r="T296">
            <v>50</v>
          </cell>
          <cell r="V296">
            <v>100</v>
          </cell>
          <cell r="X296" t="str">
            <v>IS</v>
          </cell>
          <cell r="Y296" t="str">
            <v>TE</v>
          </cell>
          <cell r="Z296">
            <v>0</v>
          </cell>
          <cell r="AA296">
            <v>0</v>
          </cell>
          <cell r="AB296">
            <v>0</v>
          </cell>
          <cell r="AC296">
            <v>0.4830000000000001</v>
          </cell>
        </row>
        <row r="297">
          <cell r="A297" t="str">
            <v>HW2-D8-43277</v>
          </cell>
          <cell r="B297" t="str">
            <v>HW2-D8-43277</v>
          </cell>
          <cell r="C297">
            <v>43277</v>
          </cell>
          <cell r="D297" t="str">
            <v>HW2</v>
          </cell>
          <cell r="E297" t="str">
            <v>D8</v>
          </cell>
          <cell r="F297">
            <v>43279</v>
          </cell>
          <cell r="G297" t="str">
            <v>TE</v>
          </cell>
          <cell r="H297">
            <v>0</v>
          </cell>
          <cell r="I297">
            <v>0</v>
          </cell>
          <cell r="J297">
            <v>0</v>
          </cell>
          <cell r="K297">
            <v>0</v>
          </cell>
          <cell r="L297">
            <v>0</v>
          </cell>
          <cell r="M297">
            <v>0</v>
          </cell>
          <cell r="N297">
            <v>0</v>
          </cell>
          <cell r="O297">
            <v>0</v>
          </cell>
          <cell r="P297">
            <v>0</v>
          </cell>
          <cell r="Q297">
            <v>0</v>
          </cell>
          <cell r="R297">
            <v>0</v>
          </cell>
          <cell r="T297">
            <v>50</v>
          </cell>
          <cell r="V297">
            <v>100</v>
          </cell>
          <cell r="X297" t="str">
            <v>LV</v>
          </cell>
          <cell r="Y297" t="str">
            <v>TE</v>
          </cell>
          <cell r="Z297">
            <v>0</v>
          </cell>
          <cell r="AA297">
            <v>0</v>
          </cell>
          <cell r="AB297">
            <v>0</v>
          </cell>
          <cell r="AC297">
            <v>0.54900000000000015</v>
          </cell>
        </row>
        <row r="298">
          <cell r="A298" t="str">
            <v>HW2-F2-43277</v>
          </cell>
          <cell r="B298" t="str">
            <v>HW2-F2-43277</v>
          </cell>
          <cell r="C298">
            <v>43277</v>
          </cell>
          <cell r="D298" t="str">
            <v>HW2</v>
          </cell>
          <cell r="E298" t="str">
            <v>F2</v>
          </cell>
          <cell r="F298">
            <v>43279</v>
          </cell>
          <cell r="G298" t="str">
            <v>LV</v>
          </cell>
          <cell r="H298">
            <v>6</v>
          </cell>
          <cell r="I298">
            <v>72</v>
          </cell>
          <cell r="K298">
            <v>78</v>
          </cell>
          <cell r="T298">
            <v>50</v>
          </cell>
          <cell r="V298">
            <v>100</v>
          </cell>
          <cell r="X298" t="str">
            <v>LV</v>
          </cell>
          <cell r="Y298" t="str">
            <v>TE</v>
          </cell>
          <cell r="Z298">
            <v>6</v>
          </cell>
          <cell r="AA298">
            <v>72</v>
          </cell>
          <cell r="AB298">
            <v>0</v>
          </cell>
          <cell r="AC298">
            <v>0.6100000000000001</v>
          </cell>
        </row>
        <row r="299">
          <cell r="A299" t="str">
            <v>HW1-E6-43277</v>
          </cell>
          <cell r="B299" t="str">
            <v>HW1-E6-43277</v>
          </cell>
          <cell r="C299">
            <v>43277</v>
          </cell>
          <cell r="D299" t="str">
            <v>HW1</v>
          </cell>
          <cell r="E299" t="str">
            <v>E6</v>
          </cell>
          <cell r="F299">
            <v>43279</v>
          </cell>
          <cell r="G299" t="str">
            <v>DP</v>
          </cell>
          <cell r="H299">
            <v>68</v>
          </cell>
          <cell r="J299">
            <v>2</v>
          </cell>
          <cell r="K299">
            <v>70</v>
          </cell>
          <cell r="S299" t="str">
            <v>Y</v>
          </cell>
          <cell r="T299">
            <v>50</v>
          </cell>
          <cell r="V299">
            <v>100</v>
          </cell>
          <cell r="X299" t="str">
            <v>DP</v>
          </cell>
          <cell r="Y299" t="str">
            <v>JB</v>
          </cell>
          <cell r="Z299">
            <v>68</v>
          </cell>
          <cell r="AA299">
            <v>0</v>
          </cell>
          <cell r="AB299">
            <v>2</v>
          </cell>
          <cell r="AC299">
            <v>0.72500000000000031</v>
          </cell>
        </row>
        <row r="300">
          <cell r="A300" t="str">
            <v>HW2-H5-43277</v>
          </cell>
          <cell r="B300" t="str">
            <v>HW2-H5-43277</v>
          </cell>
          <cell r="C300">
            <v>43277</v>
          </cell>
          <cell r="D300" t="str">
            <v>HW2</v>
          </cell>
          <cell r="E300" t="str">
            <v>H5</v>
          </cell>
          <cell r="F300">
            <v>43279</v>
          </cell>
          <cell r="G300" t="str">
            <v>TE</v>
          </cell>
          <cell r="K300">
            <v>0</v>
          </cell>
          <cell r="R300">
            <v>3</v>
          </cell>
          <cell r="T300">
            <v>50</v>
          </cell>
          <cell r="V300">
            <v>100</v>
          </cell>
          <cell r="X300" t="str">
            <v>LV</v>
          </cell>
          <cell r="Y300" t="str">
            <v>TE</v>
          </cell>
          <cell r="Z300">
            <v>0</v>
          </cell>
          <cell r="AA300">
            <v>0</v>
          </cell>
          <cell r="AB300">
            <v>0</v>
          </cell>
          <cell r="AC300">
            <v>0.97100000000000031</v>
          </cell>
        </row>
        <row r="301">
          <cell r="A301" t="str">
            <v>HW2-E1-43277</v>
          </cell>
          <cell r="B301" t="str">
            <v>HW2-E1-43277</v>
          </cell>
          <cell r="C301">
            <v>43277</v>
          </cell>
          <cell r="D301" t="str">
            <v>HW2</v>
          </cell>
          <cell r="E301" t="str">
            <v>E1</v>
          </cell>
          <cell r="F301">
            <v>43279</v>
          </cell>
          <cell r="G301" t="str">
            <v>TE</v>
          </cell>
          <cell r="I301">
            <v>14</v>
          </cell>
          <cell r="J301">
            <v>280</v>
          </cell>
          <cell r="K301">
            <v>294</v>
          </cell>
          <cell r="Q301">
            <v>9</v>
          </cell>
          <cell r="T301">
            <v>50</v>
          </cell>
          <cell r="V301">
            <v>100</v>
          </cell>
          <cell r="X301" t="str">
            <v>LV</v>
          </cell>
          <cell r="Y301" t="str">
            <v>TE</v>
          </cell>
          <cell r="Z301">
            <v>0</v>
          </cell>
          <cell r="AA301">
            <v>14</v>
          </cell>
          <cell r="AB301">
            <v>280</v>
          </cell>
          <cell r="AC301">
            <v>1.0250000000000001</v>
          </cell>
        </row>
        <row r="302">
          <cell r="A302" t="str">
            <v>HW2-G4-43278</v>
          </cell>
          <cell r="B302" t="str">
            <v>HW2-G4-43278</v>
          </cell>
          <cell r="C302">
            <v>43278</v>
          </cell>
          <cell r="D302" t="str">
            <v>HW2</v>
          </cell>
          <cell r="E302" t="str">
            <v>G4</v>
          </cell>
          <cell r="F302">
            <v>43279</v>
          </cell>
          <cell r="G302" t="str">
            <v>LV</v>
          </cell>
          <cell r="H302">
            <v>0</v>
          </cell>
          <cell r="I302">
            <v>24</v>
          </cell>
          <cell r="J302">
            <v>0</v>
          </cell>
          <cell r="K302">
            <v>24</v>
          </cell>
          <cell r="L302">
            <v>0</v>
          </cell>
          <cell r="M302">
            <v>0</v>
          </cell>
          <cell r="N302">
            <v>0</v>
          </cell>
          <cell r="O302">
            <v>0</v>
          </cell>
          <cell r="P302">
            <v>0</v>
          </cell>
          <cell r="Q302">
            <v>0</v>
          </cell>
          <cell r="R302">
            <v>0</v>
          </cell>
          <cell r="T302">
            <v>50</v>
          </cell>
          <cell r="V302">
            <v>100</v>
          </cell>
          <cell r="X302" t="str">
            <v>LV</v>
          </cell>
          <cell r="Y302" t="str">
            <v>TE</v>
          </cell>
          <cell r="Z302">
            <v>0</v>
          </cell>
          <cell r="AA302">
            <v>24</v>
          </cell>
          <cell r="AB302">
            <v>0</v>
          </cell>
          <cell r="AC302">
            <v>2.100000000000013E-2</v>
          </cell>
        </row>
        <row r="303">
          <cell r="A303" t="str">
            <v>HW2-A1-43278</v>
          </cell>
          <cell r="B303" t="str">
            <v>HW2-A1-43278</v>
          </cell>
          <cell r="C303">
            <v>43278</v>
          </cell>
          <cell r="D303" t="str">
            <v>HW2</v>
          </cell>
          <cell r="E303" t="str">
            <v>A1</v>
          </cell>
          <cell r="F303">
            <v>43279</v>
          </cell>
          <cell r="G303" t="str">
            <v>JB</v>
          </cell>
          <cell r="H303">
            <v>0</v>
          </cell>
          <cell r="I303">
            <v>14264</v>
          </cell>
          <cell r="J303">
            <v>88</v>
          </cell>
          <cell r="K303">
            <v>14352</v>
          </cell>
          <cell r="L303">
            <v>0</v>
          </cell>
          <cell r="M303">
            <v>0</v>
          </cell>
          <cell r="N303">
            <v>0</v>
          </cell>
          <cell r="O303">
            <v>0</v>
          </cell>
          <cell r="P303">
            <v>0</v>
          </cell>
          <cell r="Q303">
            <v>0</v>
          </cell>
          <cell r="R303">
            <v>0</v>
          </cell>
          <cell r="S303" t="str">
            <v>N</v>
          </cell>
          <cell r="T303">
            <v>25</v>
          </cell>
          <cell r="V303">
            <v>100</v>
          </cell>
          <cell r="W303" t="str">
            <v>25% for Coccidia sp</v>
          </cell>
          <cell r="X303" t="str">
            <v>JB</v>
          </cell>
          <cell r="Y303" t="str">
            <v>TE</v>
          </cell>
          <cell r="Z303">
            <v>0</v>
          </cell>
          <cell r="AA303">
            <v>14264</v>
          </cell>
          <cell r="AB303">
            <v>88</v>
          </cell>
          <cell r="AC303">
            <v>0.15500000000000003</v>
          </cell>
        </row>
        <row r="304">
          <cell r="A304" t="str">
            <v>HW2-G8-43278</v>
          </cell>
          <cell r="B304" t="str">
            <v>HW2-G8-43278</v>
          </cell>
          <cell r="C304">
            <v>43278</v>
          </cell>
          <cell r="D304" t="str">
            <v>HW2</v>
          </cell>
          <cell r="E304" t="str">
            <v>G8</v>
          </cell>
          <cell r="F304">
            <v>43279</v>
          </cell>
          <cell r="G304" t="str">
            <v>IS</v>
          </cell>
          <cell r="H304">
            <v>6</v>
          </cell>
          <cell r="I304">
            <v>14</v>
          </cell>
          <cell r="J304">
            <v>4</v>
          </cell>
          <cell r="K304">
            <v>24</v>
          </cell>
          <cell r="N304">
            <v>2</v>
          </cell>
          <cell r="R304">
            <v>1</v>
          </cell>
          <cell r="S304" t="str">
            <v>Y</v>
          </cell>
          <cell r="T304">
            <v>50</v>
          </cell>
          <cell r="V304">
            <v>100</v>
          </cell>
          <cell r="X304" t="str">
            <v>IS</v>
          </cell>
          <cell r="Y304" t="str">
            <v>JB</v>
          </cell>
          <cell r="Z304">
            <v>6</v>
          </cell>
          <cell r="AA304">
            <v>14</v>
          </cell>
          <cell r="AB304">
            <v>4</v>
          </cell>
          <cell r="AC304">
            <v>0.17100000000000004</v>
          </cell>
        </row>
        <row r="305">
          <cell r="A305" t="str">
            <v>HW2-H8-43278</v>
          </cell>
          <cell r="B305" t="str">
            <v>HW2-H8-43278</v>
          </cell>
          <cell r="C305">
            <v>43278</v>
          </cell>
          <cell r="D305" t="str">
            <v>HW2</v>
          </cell>
          <cell r="E305" t="str">
            <v>H8</v>
          </cell>
          <cell r="F305">
            <v>43280</v>
          </cell>
          <cell r="G305" t="str">
            <v>LV</v>
          </cell>
          <cell r="I305">
            <v>36</v>
          </cell>
          <cell r="K305">
            <v>36</v>
          </cell>
          <cell r="L305">
            <v>4</v>
          </cell>
          <cell r="T305">
            <v>50</v>
          </cell>
          <cell r="V305">
            <v>100</v>
          </cell>
          <cell r="X305" t="str">
            <v>LV</v>
          </cell>
          <cell r="Y305" t="str">
            <v>TE</v>
          </cell>
          <cell r="Z305">
            <v>0</v>
          </cell>
          <cell r="AA305">
            <v>36</v>
          </cell>
          <cell r="AB305">
            <v>0</v>
          </cell>
          <cell r="AC305">
            <v>0.2390000000000001</v>
          </cell>
        </row>
        <row r="306">
          <cell r="A306" t="str">
            <v>HW2-H2-43279</v>
          </cell>
          <cell r="B306" t="str">
            <v>HW2-H2-43279</v>
          </cell>
          <cell r="C306">
            <v>43279</v>
          </cell>
          <cell r="D306" t="str">
            <v>HW2</v>
          </cell>
          <cell r="E306" t="str">
            <v>H2</v>
          </cell>
          <cell r="F306">
            <v>43280</v>
          </cell>
          <cell r="G306" t="str">
            <v>LV</v>
          </cell>
          <cell r="H306">
            <v>0</v>
          </cell>
          <cell r="I306">
            <v>0</v>
          </cell>
          <cell r="J306">
            <v>0</v>
          </cell>
          <cell r="K306">
            <v>0</v>
          </cell>
          <cell r="L306">
            <v>0</v>
          </cell>
          <cell r="M306">
            <v>0</v>
          </cell>
          <cell r="N306">
            <v>0</v>
          </cell>
          <cell r="O306">
            <v>0</v>
          </cell>
          <cell r="P306">
            <v>0</v>
          </cell>
          <cell r="Q306">
            <v>0</v>
          </cell>
          <cell r="R306">
            <v>0</v>
          </cell>
          <cell r="T306">
            <v>50</v>
          </cell>
          <cell r="V306">
            <v>100</v>
          </cell>
          <cell r="X306" t="str">
            <v>LV</v>
          </cell>
          <cell r="Y306" t="str">
            <v>TE</v>
          </cell>
          <cell r="Z306">
            <v>0</v>
          </cell>
          <cell r="AA306">
            <v>0</v>
          </cell>
          <cell r="AB306">
            <v>0</v>
          </cell>
          <cell r="AC306">
            <v>9.5000000000000195E-2</v>
          </cell>
        </row>
        <row r="307">
          <cell r="A307" t="str">
            <v>HW1-G1-43279</v>
          </cell>
          <cell r="B307" t="str">
            <v>HW1-G1-43279</v>
          </cell>
          <cell r="C307">
            <v>43279</v>
          </cell>
          <cell r="D307" t="str">
            <v>HW1</v>
          </cell>
          <cell r="E307" t="str">
            <v>G1</v>
          </cell>
          <cell r="F307">
            <v>43280</v>
          </cell>
          <cell r="G307" t="str">
            <v>LV</v>
          </cell>
          <cell r="I307">
            <v>3106</v>
          </cell>
          <cell r="K307">
            <v>3106</v>
          </cell>
          <cell r="T307">
            <v>50</v>
          </cell>
          <cell r="V307">
            <v>100</v>
          </cell>
          <cell r="X307" t="str">
            <v>LV</v>
          </cell>
          <cell r="Y307" t="str">
            <v>TE</v>
          </cell>
          <cell r="Z307">
            <v>0</v>
          </cell>
          <cell r="AA307">
            <v>3106</v>
          </cell>
          <cell r="AB307">
            <v>0</v>
          </cell>
          <cell r="AC307">
            <v>0.10000000000000009</v>
          </cell>
        </row>
        <row r="308">
          <cell r="A308" t="str">
            <v>PO1-F6-43283</v>
          </cell>
          <cell r="B308" t="str">
            <v>PO1-F6-43283</v>
          </cell>
          <cell r="C308">
            <v>43283</v>
          </cell>
          <cell r="D308" t="str">
            <v>PO1</v>
          </cell>
          <cell r="E308" t="str">
            <v>F6</v>
          </cell>
          <cell r="F308">
            <v>43287</v>
          </cell>
          <cell r="G308" t="str">
            <v>DP</v>
          </cell>
          <cell r="H308">
            <v>0</v>
          </cell>
          <cell r="I308">
            <v>0</v>
          </cell>
          <cell r="J308">
            <v>0</v>
          </cell>
          <cell r="K308">
            <v>0</v>
          </cell>
          <cell r="L308">
            <v>0</v>
          </cell>
          <cell r="M308">
            <v>0</v>
          </cell>
          <cell r="N308">
            <v>0</v>
          </cell>
          <cell r="O308">
            <v>0</v>
          </cell>
          <cell r="P308">
            <v>0</v>
          </cell>
          <cell r="Q308">
            <v>0</v>
          </cell>
          <cell r="R308">
            <v>0</v>
          </cell>
          <cell r="S308" t="str">
            <v>Y</v>
          </cell>
          <cell r="T308">
            <v>50</v>
          </cell>
          <cell r="V308">
            <v>100</v>
          </cell>
          <cell r="X308" t="str">
            <v>DP</v>
          </cell>
          <cell r="Y308" t="str">
            <v>JB</v>
          </cell>
          <cell r="Z308">
            <v>0</v>
          </cell>
          <cell r="AA308">
            <v>0</v>
          </cell>
          <cell r="AB308">
            <v>0</v>
          </cell>
          <cell r="AC308">
            <v>2E-3</v>
          </cell>
        </row>
        <row r="309">
          <cell r="A309" t="str">
            <v>PO1-H4-43283</v>
          </cell>
          <cell r="B309" t="str">
            <v>PO1-H4-43283</v>
          </cell>
          <cell r="C309">
            <v>43283</v>
          </cell>
          <cell r="D309" t="str">
            <v>PO1</v>
          </cell>
          <cell r="E309" t="str">
            <v>H4</v>
          </cell>
          <cell r="F309">
            <v>43286</v>
          </cell>
          <cell r="G309" t="str">
            <v>TE</v>
          </cell>
          <cell r="H309">
            <v>0</v>
          </cell>
          <cell r="I309">
            <v>0</v>
          </cell>
          <cell r="J309">
            <v>0</v>
          </cell>
          <cell r="K309">
            <v>0</v>
          </cell>
          <cell r="L309">
            <v>0</v>
          </cell>
          <cell r="M309">
            <v>0</v>
          </cell>
          <cell r="N309">
            <v>0</v>
          </cell>
          <cell r="O309">
            <v>0</v>
          </cell>
          <cell r="P309">
            <v>0</v>
          </cell>
          <cell r="Q309">
            <v>0</v>
          </cell>
          <cell r="R309">
            <v>0</v>
          </cell>
          <cell r="T309">
            <v>50</v>
          </cell>
          <cell r="V309">
            <v>100</v>
          </cell>
          <cell r="X309" t="str">
            <v>LV</v>
          </cell>
          <cell r="Y309" t="str">
            <v>TE</v>
          </cell>
          <cell r="Z309">
            <v>0</v>
          </cell>
          <cell r="AA309">
            <v>0</v>
          </cell>
          <cell r="AB309">
            <v>0</v>
          </cell>
          <cell r="AC309">
            <v>5.0000000000001155E-3</v>
          </cell>
        </row>
        <row r="310">
          <cell r="A310" t="str">
            <v>PO1-E1-43283</v>
          </cell>
          <cell r="B310" t="str">
            <v>PO1-E1-43283</v>
          </cell>
          <cell r="C310">
            <v>43283</v>
          </cell>
          <cell r="D310" t="str">
            <v>PO1</v>
          </cell>
          <cell r="E310" t="str">
            <v>E1</v>
          </cell>
          <cell r="F310">
            <v>43287</v>
          </cell>
          <cell r="G310" t="str">
            <v>DP</v>
          </cell>
          <cell r="I310">
            <v>4</v>
          </cell>
          <cell r="K310">
            <v>4</v>
          </cell>
          <cell r="S310" t="str">
            <v>Y</v>
          </cell>
          <cell r="T310">
            <v>50</v>
          </cell>
          <cell r="V310">
            <v>100</v>
          </cell>
          <cell r="X310" t="str">
            <v>DP</v>
          </cell>
          <cell r="Y310" t="str">
            <v>JB</v>
          </cell>
          <cell r="Z310">
            <v>0</v>
          </cell>
          <cell r="AA310">
            <v>4</v>
          </cell>
          <cell r="AB310">
            <v>0</v>
          </cell>
          <cell r="AC310">
            <v>1.3000000000000123E-2</v>
          </cell>
        </row>
        <row r="311">
          <cell r="A311" t="str">
            <v>PO2-B5-43283</v>
          </cell>
          <cell r="B311" t="str">
            <v>PO2-B5-43283</v>
          </cell>
          <cell r="C311">
            <v>43283</v>
          </cell>
          <cell r="D311" t="str">
            <v>PO2</v>
          </cell>
          <cell r="E311" t="str">
            <v>B5</v>
          </cell>
          <cell r="F311">
            <v>43286</v>
          </cell>
          <cell r="G311" t="str">
            <v>JB</v>
          </cell>
          <cell r="H311">
            <v>0</v>
          </cell>
          <cell r="I311">
            <v>0</v>
          </cell>
          <cell r="J311">
            <v>0</v>
          </cell>
          <cell r="K311">
            <v>0</v>
          </cell>
          <cell r="L311">
            <v>0</v>
          </cell>
          <cell r="M311">
            <v>0</v>
          </cell>
          <cell r="N311">
            <v>0</v>
          </cell>
          <cell r="O311">
            <v>0</v>
          </cell>
          <cell r="P311">
            <v>0</v>
          </cell>
          <cell r="Q311">
            <v>0</v>
          </cell>
          <cell r="R311">
            <v>0</v>
          </cell>
          <cell r="S311" t="str">
            <v>Y</v>
          </cell>
          <cell r="T311">
            <v>50</v>
          </cell>
          <cell r="V311">
            <v>100</v>
          </cell>
          <cell r="X311" t="str">
            <v>JB</v>
          </cell>
          <cell r="Y311" t="str">
            <v>TE</v>
          </cell>
          <cell r="Z311">
            <v>0</v>
          </cell>
          <cell r="AA311">
            <v>0</v>
          </cell>
          <cell r="AB311">
            <v>0</v>
          </cell>
          <cell r="AC311">
            <v>1.3000000000000123E-2</v>
          </cell>
        </row>
        <row r="312">
          <cell r="A312" t="str">
            <v>PO2-A8-43283</v>
          </cell>
          <cell r="B312" t="str">
            <v>PO2-A8-43283</v>
          </cell>
          <cell r="C312">
            <v>43283</v>
          </cell>
          <cell r="D312" t="str">
            <v>PO2</v>
          </cell>
          <cell r="E312" t="str">
            <v>A8</v>
          </cell>
          <cell r="F312">
            <v>43287</v>
          </cell>
          <cell r="G312" t="str">
            <v>TE</v>
          </cell>
          <cell r="H312">
            <v>0</v>
          </cell>
          <cell r="I312">
            <v>0</v>
          </cell>
          <cell r="J312">
            <v>0</v>
          </cell>
          <cell r="K312">
            <v>0</v>
          </cell>
          <cell r="L312">
            <v>0</v>
          </cell>
          <cell r="M312">
            <v>0</v>
          </cell>
          <cell r="N312">
            <v>0</v>
          </cell>
          <cell r="O312">
            <v>0</v>
          </cell>
          <cell r="P312">
            <v>0</v>
          </cell>
          <cell r="Q312">
            <v>0</v>
          </cell>
          <cell r="R312">
            <v>0</v>
          </cell>
          <cell r="T312">
            <v>50</v>
          </cell>
          <cell r="V312">
            <v>100</v>
          </cell>
          <cell r="X312" t="str">
            <v>LV</v>
          </cell>
          <cell r="Y312" t="str">
            <v>TE</v>
          </cell>
          <cell r="Z312">
            <v>0</v>
          </cell>
          <cell r="AA312">
            <v>0</v>
          </cell>
          <cell r="AB312">
            <v>0</v>
          </cell>
          <cell r="AC312">
            <v>1.5000000000000124E-2</v>
          </cell>
        </row>
        <row r="313">
          <cell r="A313" t="str">
            <v>PO2-H7-43283</v>
          </cell>
          <cell r="B313" t="str">
            <v>PO2-H7-43283</v>
          </cell>
          <cell r="C313">
            <v>43283</v>
          </cell>
          <cell r="D313" t="str">
            <v>PO2</v>
          </cell>
          <cell r="E313" t="str">
            <v>H7</v>
          </cell>
          <cell r="F313">
            <v>43287</v>
          </cell>
          <cell r="G313" t="str">
            <v>TE</v>
          </cell>
          <cell r="K313">
            <v>0</v>
          </cell>
          <cell r="R313">
            <v>1</v>
          </cell>
          <cell r="T313">
            <v>50</v>
          </cell>
          <cell r="V313">
            <v>100</v>
          </cell>
          <cell r="X313" t="str">
            <v>LV</v>
          </cell>
          <cell r="Y313" t="str">
            <v>TE</v>
          </cell>
          <cell r="Z313">
            <v>0</v>
          </cell>
          <cell r="AA313">
            <v>0</v>
          </cell>
          <cell r="AB313">
            <v>0</v>
          </cell>
          <cell r="AC313">
            <v>1.6000000000000014E-2</v>
          </cell>
        </row>
        <row r="314">
          <cell r="A314" t="str">
            <v>PO1-F1-43283</v>
          </cell>
          <cell r="B314" t="str">
            <v>PO1-F1-43283</v>
          </cell>
          <cell r="C314">
            <v>43283</v>
          </cell>
          <cell r="D314" t="str">
            <v>PO1</v>
          </cell>
          <cell r="E314" t="str">
            <v>F1</v>
          </cell>
          <cell r="F314">
            <v>43286</v>
          </cell>
          <cell r="G314" t="str">
            <v>DP</v>
          </cell>
          <cell r="H314">
            <v>2</v>
          </cell>
          <cell r="I314">
            <v>26</v>
          </cell>
          <cell r="K314">
            <v>28</v>
          </cell>
          <cell r="S314" t="str">
            <v>Y</v>
          </cell>
          <cell r="T314">
            <v>50</v>
          </cell>
          <cell r="V314">
            <v>100</v>
          </cell>
          <cell r="X314" t="str">
            <v>DP</v>
          </cell>
          <cell r="Y314" t="str">
            <v>JB</v>
          </cell>
          <cell r="Z314">
            <v>2</v>
          </cell>
          <cell r="AA314">
            <v>26</v>
          </cell>
          <cell r="AB314">
            <v>0</v>
          </cell>
          <cell r="AC314">
            <v>2.5000000000000133E-2</v>
          </cell>
        </row>
        <row r="315">
          <cell r="A315" t="str">
            <v>PO1-C1-43283</v>
          </cell>
          <cell r="B315" t="str">
            <v>PO1-C1-43283</v>
          </cell>
          <cell r="C315">
            <v>43283</v>
          </cell>
          <cell r="D315" t="str">
            <v>PO1</v>
          </cell>
          <cell r="E315" t="str">
            <v>C1</v>
          </cell>
          <cell r="F315">
            <v>43287</v>
          </cell>
          <cell r="G315" t="str">
            <v>TE</v>
          </cell>
          <cell r="K315">
            <v>0</v>
          </cell>
          <cell r="R315">
            <v>1</v>
          </cell>
          <cell r="T315">
            <v>50</v>
          </cell>
          <cell r="V315">
            <v>100</v>
          </cell>
          <cell r="X315" t="str">
            <v>LV</v>
          </cell>
          <cell r="Y315" t="str">
            <v>TE</v>
          </cell>
          <cell r="Z315">
            <v>0</v>
          </cell>
          <cell r="AA315">
            <v>0</v>
          </cell>
          <cell r="AB315">
            <v>0</v>
          </cell>
          <cell r="AC315">
            <v>2.8000000000000025E-2</v>
          </cell>
        </row>
        <row r="316">
          <cell r="A316" t="str">
            <v>PO2-D8-43283</v>
          </cell>
          <cell r="B316" t="str">
            <v>PO2-D8-43283</v>
          </cell>
          <cell r="C316">
            <v>43283</v>
          </cell>
          <cell r="D316" t="str">
            <v>PO2</v>
          </cell>
          <cell r="E316" t="str">
            <v>D8</v>
          </cell>
          <cell r="F316">
            <v>43287</v>
          </cell>
          <cell r="G316" t="str">
            <v>DP</v>
          </cell>
          <cell r="H316">
            <v>0</v>
          </cell>
          <cell r="I316">
            <v>0</v>
          </cell>
          <cell r="J316">
            <v>0</v>
          </cell>
          <cell r="K316">
            <v>0</v>
          </cell>
          <cell r="L316">
            <v>0</v>
          </cell>
          <cell r="M316">
            <v>0</v>
          </cell>
          <cell r="N316">
            <v>0</v>
          </cell>
          <cell r="O316">
            <v>0</v>
          </cell>
          <cell r="P316">
            <v>0</v>
          </cell>
          <cell r="Q316">
            <v>0</v>
          </cell>
          <cell r="R316">
            <v>0</v>
          </cell>
          <cell r="S316" t="str">
            <v>Y</v>
          </cell>
          <cell r="T316">
            <v>50</v>
          </cell>
          <cell r="V316">
            <v>100</v>
          </cell>
          <cell r="X316" t="str">
            <v>DP</v>
          </cell>
          <cell r="Y316" t="str">
            <v>JB</v>
          </cell>
          <cell r="Z316">
            <v>0</v>
          </cell>
          <cell r="AA316">
            <v>0</v>
          </cell>
          <cell r="AB316">
            <v>0</v>
          </cell>
          <cell r="AC316">
            <v>3.2000000000000028E-2</v>
          </cell>
        </row>
        <row r="317">
          <cell r="A317" t="str">
            <v>PO2-A1-43283</v>
          </cell>
          <cell r="B317" t="str">
            <v>PO2-A1-43283</v>
          </cell>
          <cell r="C317">
            <v>43283</v>
          </cell>
          <cell r="D317" t="str">
            <v>PO2</v>
          </cell>
          <cell r="E317" t="str">
            <v>A1</v>
          </cell>
          <cell r="F317">
            <v>43287</v>
          </cell>
          <cell r="G317" t="str">
            <v>JB</v>
          </cell>
          <cell r="H317">
            <v>0</v>
          </cell>
          <cell r="I317">
            <v>0</v>
          </cell>
          <cell r="J317">
            <v>0</v>
          </cell>
          <cell r="K317">
            <v>0</v>
          </cell>
          <cell r="L317">
            <v>0</v>
          </cell>
          <cell r="M317">
            <v>0</v>
          </cell>
          <cell r="N317">
            <v>0</v>
          </cell>
          <cell r="O317">
            <v>0</v>
          </cell>
          <cell r="P317">
            <v>0</v>
          </cell>
          <cell r="Q317">
            <v>0</v>
          </cell>
          <cell r="R317">
            <v>0</v>
          </cell>
          <cell r="S317" t="str">
            <v>Y</v>
          </cell>
          <cell r="T317">
            <v>50</v>
          </cell>
          <cell r="V317">
            <v>100</v>
          </cell>
          <cell r="X317" t="str">
            <v>JB</v>
          </cell>
          <cell r="Y317" t="str">
            <v>TE</v>
          </cell>
          <cell r="Z317">
            <v>0</v>
          </cell>
          <cell r="AA317">
            <v>0</v>
          </cell>
          <cell r="AB317">
            <v>0</v>
          </cell>
          <cell r="AC317">
            <v>4.1000000000000147E-2</v>
          </cell>
        </row>
        <row r="318">
          <cell r="A318" t="str">
            <v>PO2-E7-43283</v>
          </cell>
          <cell r="B318" t="str">
            <v>PO2-E7-43283</v>
          </cell>
          <cell r="C318">
            <v>43283</v>
          </cell>
          <cell r="D318" t="str">
            <v>PO2</v>
          </cell>
          <cell r="E318" t="str">
            <v>E7</v>
          </cell>
          <cell r="F318">
            <v>43288</v>
          </cell>
          <cell r="G318" t="str">
            <v>TE</v>
          </cell>
          <cell r="H318">
            <v>4</v>
          </cell>
          <cell r="J318">
            <v>18</v>
          </cell>
          <cell r="K318">
            <v>22</v>
          </cell>
          <cell r="T318">
            <v>50</v>
          </cell>
          <cell r="V318">
            <v>100</v>
          </cell>
          <cell r="X318" t="str">
            <v>LV</v>
          </cell>
          <cell r="Y318" t="str">
            <v>TE</v>
          </cell>
          <cell r="Z318">
            <v>4</v>
          </cell>
          <cell r="AA318">
            <v>0</v>
          </cell>
          <cell r="AB318">
            <v>18</v>
          </cell>
          <cell r="AC318">
            <v>4.9000000000000155E-2</v>
          </cell>
        </row>
        <row r="319">
          <cell r="A319" t="str">
            <v>PO2-G8-43283</v>
          </cell>
          <cell r="B319" t="str">
            <v>PO2-G8-43283</v>
          </cell>
          <cell r="C319">
            <v>43283</v>
          </cell>
          <cell r="D319" t="str">
            <v>PO2</v>
          </cell>
          <cell r="E319" t="str">
            <v>G8</v>
          </cell>
          <cell r="F319">
            <v>43287</v>
          </cell>
          <cell r="G319" t="str">
            <v>DP</v>
          </cell>
          <cell r="H319">
            <v>2</v>
          </cell>
          <cell r="I319">
            <v>76</v>
          </cell>
          <cell r="J319">
            <v>2</v>
          </cell>
          <cell r="K319">
            <v>80</v>
          </cell>
          <cell r="S319" t="str">
            <v>Y</v>
          </cell>
          <cell r="T319">
            <v>50</v>
          </cell>
          <cell r="V319">
            <v>100</v>
          </cell>
          <cell r="X319" t="str">
            <v>DP</v>
          </cell>
          <cell r="Y319" t="str">
            <v>JB</v>
          </cell>
          <cell r="Z319">
            <v>2</v>
          </cell>
          <cell r="AA319">
            <v>76</v>
          </cell>
          <cell r="AB319">
            <v>2</v>
          </cell>
          <cell r="AC319">
            <v>9.000000000000008E-2</v>
          </cell>
        </row>
        <row r="320">
          <cell r="A320" t="str">
            <v>PO2-G6-43283</v>
          </cell>
          <cell r="B320" t="str">
            <v>PO2-G6-43283</v>
          </cell>
          <cell r="C320">
            <v>43283</v>
          </cell>
          <cell r="D320" t="str">
            <v>PO2</v>
          </cell>
          <cell r="E320" t="str">
            <v>G6</v>
          </cell>
          <cell r="F320">
            <v>43287</v>
          </cell>
          <cell r="G320" t="str">
            <v>JB</v>
          </cell>
          <cell r="H320">
            <v>0</v>
          </cell>
          <cell r="I320">
            <v>24</v>
          </cell>
          <cell r="J320">
            <v>0</v>
          </cell>
          <cell r="K320">
            <v>24</v>
          </cell>
          <cell r="L320">
            <v>0</v>
          </cell>
          <cell r="M320">
            <v>0</v>
          </cell>
          <cell r="N320">
            <v>0</v>
          </cell>
          <cell r="O320">
            <v>0</v>
          </cell>
          <cell r="P320">
            <v>0</v>
          </cell>
          <cell r="Q320">
            <v>0</v>
          </cell>
          <cell r="R320">
            <v>0</v>
          </cell>
          <cell r="S320" t="str">
            <v>Y</v>
          </cell>
          <cell r="T320">
            <v>50</v>
          </cell>
          <cell r="V320">
            <v>100</v>
          </cell>
          <cell r="X320" t="str">
            <v>JB</v>
          </cell>
          <cell r="Y320" t="str">
            <v>TE</v>
          </cell>
          <cell r="Z320">
            <v>0</v>
          </cell>
          <cell r="AA320">
            <v>24</v>
          </cell>
          <cell r="AB320">
            <v>0</v>
          </cell>
          <cell r="AC320">
            <v>9.6000000000000085E-2</v>
          </cell>
        </row>
        <row r="321">
          <cell r="A321" t="str">
            <v>PO2-H3-43283</v>
          </cell>
          <cell r="B321" t="str">
            <v>PO2-H3-43283</v>
          </cell>
          <cell r="C321">
            <v>43283</v>
          </cell>
          <cell r="D321" t="str">
            <v>PO2</v>
          </cell>
          <cell r="E321" t="str">
            <v>H3</v>
          </cell>
          <cell r="F321">
            <v>43287</v>
          </cell>
          <cell r="G321" t="str">
            <v>TE</v>
          </cell>
          <cell r="H321">
            <v>278</v>
          </cell>
          <cell r="J321">
            <v>34</v>
          </cell>
          <cell r="K321">
            <v>312</v>
          </cell>
          <cell r="R321">
            <v>1</v>
          </cell>
          <cell r="T321">
            <v>50</v>
          </cell>
          <cell r="V321">
            <v>100</v>
          </cell>
          <cell r="X321" t="str">
            <v>LV</v>
          </cell>
          <cell r="Y321" t="str">
            <v>TE</v>
          </cell>
          <cell r="Z321">
            <v>278</v>
          </cell>
          <cell r="AA321">
            <v>0</v>
          </cell>
          <cell r="AB321">
            <v>34</v>
          </cell>
          <cell r="AC321">
            <v>0.10400000000000009</v>
          </cell>
        </row>
        <row r="322">
          <cell r="A322" t="str">
            <v>PO1-B5-43283</v>
          </cell>
          <cell r="B322" t="str">
            <v>PO1-B5-43283</v>
          </cell>
          <cell r="C322">
            <v>43283</v>
          </cell>
          <cell r="D322" t="str">
            <v>PO1</v>
          </cell>
          <cell r="E322" t="str">
            <v>B5</v>
          </cell>
          <cell r="F322">
            <v>43288</v>
          </cell>
          <cell r="G322" t="str">
            <v>DP</v>
          </cell>
          <cell r="H322">
            <v>20</v>
          </cell>
          <cell r="I322">
            <v>1252</v>
          </cell>
          <cell r="K322">
            <v>1272</v>
          </cell>
          <cell r="Q322">
            <v>4</v>
          </cell>
          <cell r="S322" t="str">
            <v>Y</v>
          </cell>
          <cell r="T322">
            <v>50</v>
          </cell>
          <cell r="V322">
            <v>100</v>
          </cell>
          <cell r="X322" t="str">
            <v>DP</v>
          </cell>
          <cell r="Y322" t="str">
            <v>JB</v>
          </cell>
          <cell r="Z322">
            <v>20</v>
          </cell>
          <cell r="AA322">
            <v>1252</v>
          </cell>
          <cell r="AB322">
            <v>0</v>
          </cell>
          <cell r="AC322">
            <v>0.12000000000000011</v>
          </cell>
        </row>
        <row r="323">
          <cell r="A323" t="str">
            <v>PO2-A2-43283</v>
          </cell>
          <cell r="B323" t="str">
            <v>PO2-A2-43283</v>
          </cell>
          <cell r="C323">
            <v>43283</v>
          </cell>
          <cell r="D323" t="str">
            <v>PO2</v>
          </cell>
          <cell r="E323" t="str">
            <v>A2</v>
          </cell>
          <cell r="F323">
            <v>43288</v>
          </cell>
          <cell r="G323" t="str">
            <v>DP</v>
          </cell>
          <cell r="H323">
            <v>0</v>
          </cell>
          <cell r="I323">
            <v>0</v>
          </cell>
          <cell r="J323">
            <v>0</v>
          </cell>
          <cell r="K323">
            <v>0</v>
          </cell>
          <cell r="L323">
            <v>0</v>
          </cell>
          <cell r="M323">
            <v>0</v>
          </cell>
          <cell r="N323">
            <v>0</v>
          </cell>
          <cell r="O323">
            <v>0</v>
          </cell>
          <cell r="P323">
            <v>0</v>
          </cell>
          <cell r="Q323">
            <v>0</v>
          </cell>
          <cell r="R323">
            <v>0</v>
          </cell>
          <cell r="S323" t="str">
            <v>Y</v>
          </cell>
          <cell r="T323">
            <v>50</v>
          </cell>
          <cell r="V323">
            <v>100</v>
          </cell>
          <cell r="X323" t="str">
            <v>DP</v>
          </cell>
          <cell r="Y323" t="str">
            <v>JB</v>
          </cell>
          <cell r="Z323">
            <v>0</v>
          </cell>
          <cell r="AA323">
            <v>0</v>
          </cell>
          <cell r="AB323">
            <v>0</v>
          </cell>
          <cell r="AC323">
            <v>0.13400000000000012</v>
          </cell>
        </row>
        <row r="324">
          <cell r="A324" t="str">
            <v>PO2-A2-43283</v>
          </cell>
          <cell r="B324" t="str">
            <v>PO2-A2-43283</v>
          </cell>
          <cell r="C324">
            <v>43283</v>
          </cell>
          <cell r="D324" t="str">
            <v>PO2</v>
          </cell>
          <cell r="E324" t="str">
            <v>A2</v>
          </cell>
          <cell r="F324">
            <v>43288</v>
          </cell>
          <cell r="G324" t="str">
            <v>JB</v>
          </cell>
          <cell r="H324">
            <v>148</v>
          </cell>
          <cell r="I324">
            <v>2232</v>
          </cell>
          <cell r="J324">
            <v>0</v>
          </cell>
          <cell r="K324">
            <v>2380</v>
          </cell>
          <cell r="L324">
            <v>0</v>
          </cell>
          <cell r="M324">
            <v>0</v>
          </cell>
          <cell r="N324">
            <v>0</v>
          </cell>
          <cell r="O324">
            <v>0</v>
          </cell>
          <cell r="P324">
            <v>0</v>
          </cell>
          <cell r="Q324">
            <v>0</v>
          </cell>
          <cell r="R324">
            <v>2</v>
          </cell>
          <cell r="S324" t="str">
            <v>Y</v>
          </cell>
          <cell r="T324">
            <v>50</v>
          </cell>
          <cell r="V324">
            <v>100</v>
          </cell>
          <cell r="X324" t="str">
            <v>JB</v>
          </cell>
          <cell r="Y324" t="str">
            <v>TE</v>
          </cell>
          <cell r="Z324">
            <v>148</v>
          </cell>
          <cell r="AA324">
            <v>2232</v>
          </cell>
          <cell r="AB324">
            <v>0</v>
          </cell>
          <cell r="AC324">
            <v>0.13400000000000012</v>
          </cell>
        </row>
        <row r="325">
          <cell r="A325" t="str">
            <v>PO2-D1-43283</v>
          </cell>
          <cell r="B325" t="str">
            <v>PO2-D1-43283</v>
          </cell>
          <cell r="C325">
            <v>43283</v>
          </cell>
          <cell r="D325" t="str">
            <v>PO2</v>
          </cell>
          <cell r="E325" t="str">
            <v>D1</v>
          </cell>
          <cell r="F325">
            <v>43288</v>
          </cell>
          <cell r="G325" t="str">
            <v>TE</v>
          </cell>
          <cell r="H325">
            <v>0</v>
          </cell>
          <cell r="I325">
            <v>0</v>
          </cell>
          <cell r="J325">
            <v>0</v>
          </cell>
          <cell r="K325">
            <v>0</v>
          </cell>
          <cell r="L325">
            <v>0</v>
          </cell>
          <cell r="M325">
            <v>0</v>
          </cell>
          <cell r="N325">
            <v>0</v>
          </cell>
          <cell r="O325">
            <v>0</v>
          </cell>
          <cell r="P325">
            <v>0</v>
          </cell>
          <cell r="Q325">
            <v>0</v>
          </cell>
          <cell r="R325">
            <v>0</v>
          </cell>
          <cell r="T325">
            <v>50</v>
          </cell>
          <cell r="V325">
            <v>100</v>
          </cell>
          <cell r="X325" t="str">
            <v>LV</v>
          </cell>
          <cell r="Y325" t="str">
            <v>TE</v>
          </cell>
          <cell r="Z325">
            <v>0</v>
          </cell>
          <cell r="AA325">
            <v>0</v>
          </cell>
          <cell r="AB325">
            <v>0</v>
          </cell>
          <cell r="AC325">
            <v>0.15300000000000002</v>
          </cell>
        </row>
        <row r="326">
          <cell r="A326" t="str">
            <v>PO1-A4-43284</v>
          </cell>
          <cell r="B326" t="str">
            <v>PO1-A4-43284</v>
          </cell>
          <cell r="C326">
            <v>43284</v>
          </cell>
          <cell r="D326" t="str">
            <v>PO1</v>
          </cell>
          <cell r="E326" t="str">
            <v>A4</v>
          </cell>
          <cell r="F326">
            <v>43288</v>
          </cell>
          <cell r="G326" t="str">
            <v>JB</v>
          </cell>
          <cell r="H326">
            <v>0</v>
          </cell>
          <cell r="I326">
            <v>608</v>
          </cell>
          <cell r="J326">
            <v>0</v>
          </cell>
          <cell r="K326">
            <v>608</v>
          </cell>
          <cell r="L326">
            <v>0</v>
          </cell>
          <cell r="M326">
            <v>0</v>
          </cell>
          <cell r="N326">
            <v>0</v>
          </cell>
          <cell r="O326">
            <v>0</v>
          </cell>
          <cell r="P326">
            <v>0</v>
          </cell>
          <cell r="Q326">
            <v>0</v>
          </cell>
          <cell r="R326">
            <v>0</v>
          </cell>
          <cell r="S326" t="str">
            <v>Y</v>
          </cell>
          <cell r="T326">
            <v>50</v>
          </cell>
          <cell r="V326">
            <v>100</v>
          </cell>
          <cell r="X326" t="str">
            <v>JB</v>
          </cell>
          <cell r="Y326" t="str">
            <v>TE</v>
          </cell>
          <cell r="Z326">
            <v>0</v>
          </cell>
          <cell r="AA326">
            <v>608</v>
          </cell>
          <cell r="AB326">
            <v>0</v>
          </cell>
          <cell r="AC326">
            <v>0.13500000000000001</v>
          </cell>
        </row>
        <row r="327">
          <cell r="A327" t="str">
            <v>PO1-D8-43284</v>
          </cell>
          <cell r="B327" t="str">
            <v>PO1-D8-43284</v>
          </cell>
          <cell r="C327">
            <v>43284</v>
          </cell>
          <cell r="D327" t="str">
            <v>PO1</v>
          </cell>
          <cell r="E327" t="str">
            <v>D8</v>
          </cell>
          <cell r="F327">
            <v>43292</v>
          </cell>
          <cell r="G327" t="str">
            <v>JB</v>
          </cell>
          <cell r="H327">
            <v>0</v>
          </cell>
          <cell r="I327">
            <v>144</v>
          </cell>
          <cell r="J327">
            <v>0</v>
          </cell>
          <cell r="K327">
            <v>144</v>
          </cell>
          <cell r="L327">
            <v>0</v>
          </cell>
          <cell r="M327">
            <v>0</v>
          </cell>
          <cell r="N327">
            <v>0</v>
          </cell>
          <cell r="O327">
            <v>0</v>
          </cell>
          <cell r="P327">
            <v>0</v>
          </cell>
          <cell r="Q327">
            <v>0</v>
          </cell>
          <cell r="R327">
            <v>0</v>
          </cell>
          <cell r="S327" t="str">
            <v>Y</v>
          </cell>
          <cell r="T327">
            <v>50</v>
          </cell>
          <cell r="V327">
            <v>100</v>
          </cell>
          <cell r="X327" t="str">
            <v>JB</v>
          </cell>
          <cell r="Y327" t="str">
            <v>TE</v>
          </cell>
          <cell r="Z327">
            <v>0</v>
          </cell>
          <cell r="AA327">
            <v>144</v>
          </cell>
          <cell r="AB327">
            <v>0</v>
          </cell>
          <cell r="AC327">
            <v>0.18700000000000006</v>
          </cell>
        </row>
        <row r="328">
          <cell r="A328" t="str">
            <v>PO1-B8-43284</v>
          </cell>
          <cell r="B328" t="str">
            <v>PO1-B8-43284</v>
          </cell>
          <cell r="C328">
            <v>43284</v>
          </cell>
          <cell r="D328" t="str">
            <v>PO1</v>
          </cell>
          <cell r="E328" t="str">
            <v>B8</v>
          </cell>
          <cell r="F328">
            <v>43292</v>
          </cell>
          <cell r="G328" t="str">
            <v>TE</v>
          </cell>
          <cell r="K328">
            <v>0</v>
          </cell>
          <cell r="R328">
            <v>1</v>
          </cell>
          <cell r="T328">
            <v>50</v>
          </cell>
          <cell r="V328">
            <v>100</v>
          </cell>
          <cell r="X328" t="str">
            <v>LV</v>
          </cell>
          <cell r="Y328" t="str">
            <v>TE</v>
          </cell>
          <cell r="Z328">
            <v>0</v>
          </cell>
          <cell r="AA328">
            <v>0</v>
          </cell>
          <cell r="AB328">
            <v>0</v>
          </cell>
          <cell r="AC328">
            <v>0.22500000000000009</v>
          </cell>
        </row>
        <row r="329">
          <cell r="A329" t="str">
            <v>PO1-C8-43284</v>
          </cell>
          <cell r="B329" t="str">
            <v>PO1-C8-43284</v>
          </cell>
          <cell r="C329">
            <v>43284</v>
          </cell>
          <cell r="D329" t="str">
            <v>PO1</v>
          </cell>
          <cell r="E329" t="str">
            <v>C8</v>
          </cell>
          <cell r="F329">
            <v>43292</v>
          </cell>
          <cell r="G329" t="str">
            <v>DP</v>
          </cell>
          <cell r="I329">
            <v>39</v>
          </cell>
          <cell r="K329">
            <v>39</v>
          </cell>
          <cell r="S329" t="str">
            <v>Y</v>
          </cell>
          <cell r="T329">
            <v>50</v>
          </cell>
          <cell r="V329">
            <v>100</v>
          </cell>
          <cell r="X329" t="str">
            <v>DP</v>
          </cell>
          <cell r="Y329" t="str">
            <v>JB</v>
          </cell>
          <cell r="Z329">
            <v>0</v>
          </cell>
          <cell r="AA329">
            <v>39</v>
          </cell>
          <cell r="AB329">
            <v>0</v>
          </cell>
          <cell r="AC329">
            <v>0.246</v>
          </cell>
        </row>
        <row r="330">
          <cell r="A330" t="str">
            <v>PO2-H2-43284</v>
          </cell>
          <cell r="B330" t="str">
            <v>PO2-H2-43284</v>
          </cell>
          <cell r="C330">
            <v>43284</v>
          </cell>
          <cell r="D330" t="str">
            <v>PO2</v>
          </cell>
          <cell r="E330" t="str">
            <v>H2</v>
          </cell>
          <cell r="F330">
            <v>43292</v>
          </cell>
          <cell r="G330" t="str">
            <v>LV</v>
          </cell>
          <cell r="I330">
            <v>48</v>
          </cell>
          <cell r="K330">
            <v>48</v>
          </cell>
          <cell r="L330">
            <v>9</v>
          </cell>
          <cell r="T330">
            <v>50</v>
          </cell>
          <cell r="V330">
            <v>100</v>
          </cell>
          <cell r="W330" t="str">
            <v>754 blastocystis</v>
          </cell>
          <cell r="X330" t="str">
            <v>LV</v>
          </cell>
          <cell r="Y330" t="str">
            <v>TE</v>
          </cell>
          <cell r="Z330">
            <v>0</v>
          </cell>
          <cell r="AA330">
            <v>48</v>
          </cell>
          <cell r="AB330">
            <v>0</v>
          </cell>
          <cell r="AC330">
            <v>0.32100000000000017</v>
          </cell>
        </row>
        <row r="331">
          <cell r="A331" t="str">
            <v>PO1-F1-43284</v>
          </cell>
          <cell r="B331" t="str">
            <v>PO1-F1-43284</v>
          </cell>
          <cell r="C331">
            <v>43284</v>
          </cell>
          <cell r="D331" t="str">
            <v>PO1</v>
          </cell>
          <cell r="E331" t="str">
            <v>F1</v>
          </cell>
          <cell r="F331">
            <v>43292</v>
          </cell>
          <cell r="G331" t="str">
            <v>TE</v>
          </cell>
          <cell r="K331">
            <v>0</v>
          </cell>
          <cell r="O331">
            <v>1</v>
          </cell>
          <cell r="T331">
            <v>50</v>
          </cell>
          <cell r="V331">
            <v>100</v>
          </cell>
          <cell r="W331" t="str">
            <v>6416 blastocystus</v>
          </cell>
          <cell r="X331" t="str">
            <v>LV</v>
          </cell>
          <cell r="Y331" t="str">
            <v>TE</v>
          </cell>
          <cell r="Z331">
            <v>0</v>
          </cell>
          <cell r="AA331">
            <v>0</v>
          </cell>
          <cell r="AB331">
            <v>0</v>
          </cell>
          <cell r="AC331">
            <v>0.32100000000000017</v>
          </cell>
        </row>
        <row r="332">
          <cell r="A332" t="str">
            <v>PO2-A4-43285</v>
          </cell>
          <cell r="B332" t="str">
            <v>PO2-A4-43285</v>
          </cell>
          <cell r="C332">
            <v>43285</v>
          </cell>
          <cell r="D332" t="str">
            <v>PO2</v>
          </cell>
          <cell r="E332" t="str">
            <v>A4</v>
          </cell>
          <cell r="F332">
            <v>43292</v>
          </cell>
          <cell r="G332" t="str">
            <v>LV</v>
          </cell>
          <cell r="I332">
            <v>44</v>
          </cell>
          <cell r="K332">
            <v>44</v>
          </cell>
          <cell r="T332">
            <v>50</v>
          </cell>
          <cell r="V332">
            <v>100</v>
          </cell>
          <cell r="W332" t="str">
            <v>2 blastocystis</v>
          </cell>
          <cell r="X332" t="str">
            <v>LV</v>
          </cell>
          <cell r="Y332" t="str">
            <v>TE</v>
          </cell>
          <cell r="Z332">
            <v>0</v>
          </cell>
          <cell r="AA332">
            <v>44</v>
          </cell>
          <cell r="AB332">
            <v>0</v>
          </cell>
          <cell r="AC332">
            <v>1.1000000000000121E-2</v>
          </cell>
        </row>
        <row r="333">
          <cell r="A333" t="str">
            <v>PO2-F1-43285</v>
          </cell>
          <cell r="B333" t="str">
            <v>PO2-F1-43285</v>
          </cell>
          <cell r="C333">
            <v>43285</v>
          </cell>
          <cell r="D333" t="str">
            <v>PO2</v>
          </cell>
          <cell r="E333" t="str">
            <v>F1</v>
          </cell>
          <cell r="F333">
            <v>43292</v>
          </cell>
          <cell r="G333" t="str">
            <v>JB</v>
          </cell>
          <cell r="H333">
            <v>0</v>
          </cell>
          <cell r="I333">
            <v>0</v>
          </cell>
          <cell r="J333">
            <v>0</v>
          </cell>
          <cell r="K333">
            <v>0</v>
          </cell>
          <cell r="L333">
            <v>0</v>
          </cell>
          <cell r="M333">
            <v>0</v>
          </cell>
          <cell r="N333">
            <v>0</v>
          </cell>
          <cell r="O333">
            <v>0</v>
          </cell>
          <cell r="P333">
            <v>0</v>
          </cell>
          <cell r="Q333">
            <v>0</v>
          </cell>
          <cell r="R333">
            <v>0</v>
          </cell>
          <cell r="S333" t="str">
            <v>Y</v>
          </cell>
          <cell r="T333">
            <v>50</v>
          </cell>
          <cell r="V333">
            <v>100</v>
          </cell>
          <cell r="W333" t="str">
            <v>Blastocystus: 10252</v>
          </cell>
          <cell r="X333" t="str">
            <v>JB</v>
          </cell>
          <cell r="Y333" t="str">
            <v>TE</v>
          </cell>
          <cell r="Z333">
            <v>0</v>
          </cell>
          <cell r="AA333">
            <v>0</v>
          </cell>
          <cell r="AB333">
            <v>0</v>
          </cell>
          <cell r="AC333">
            <v>3.8000000000000034E-2</v>
          </cell>
        </row>
        <row r="334">
          <cell r="A334" t="str">
            <v>PO2-C8-43285</v>
          </cell>
          <cell r="B334" t="str">
            <v>PO2-C8-43285</v>
          </cell>
          <cell r="C334">
            <v>43285</v>
          </cell>
          <cell r="D334" t="str">
            <v>PO2</v>
          </cell>
          <cell r="E334" t="str">
            <v>C8</v>
          </cell>
          <cell r="F334">
            <v>43294</v>
          </cell>
          <cell r="G334" t="str">
            <v>DP</v>
          </cell>
          <cell r="I334">
            <v>3144</v>
          </cell>
          <cell r="J334">
            <v>40</v>
          </cell>
          <cell r="K334">
            <v>3184</v>
          </cell>
          <cell r="L334">
            <v>159</v>
          </cell>
          <cell r="M334">
            <v>6</v>
          </cell>
          <cell r="S334" t="str">
            <v>N</v>
          </cell>
          <cell r="T334">
            <v>25</v>
          </cell>
          <cell r="V334">
            <v>100</v>
          </cell>
          <cell r="W334" t="str">
            <v>25% for Coccidia sp.</v>
          </cell>
          <cell r="X334" t="str">
            <v>DP</v>
          </cell>
          <cell r="Y334" t="str">
            <v>JB</v>
          </cell>
          <cell r="Z334">
            <v>0</v>
          </cell>
          <cell r="AA334">
            <v>3144</v>
          </cell>
          <cell r="AB334">
            <v>40</v>
          </cell>
          <cell r="AC334">
            <v>0.14000000000000012</v>
          </cell>
        </row>
        <row r="335">
          <cell r="A335" t="str">
            <v>SP2-A2-43286</v>
          </cell>
          <cell r="B335" t="str">
            <v>SP2-A2-43286</v>
          </cell>
          <cell r="C335">
            <v>43286</v>
          </cell>
          <cell r="D335" t="str">
            <v>SP2</v>
          </cell>
          <cell r="E335" t="str">
            <v>A2</v>
          </cell>
          <cell r="F335">
            <v>43294</v>
          </cell>
          <cell r="G335" t="str">
            <v>DP</v>
          </cell>
          <cell r="H335">
            <v>0</v>
          </cell>
          <cell r="I335">
            <v>0</v>
          </cell>
          <cell r="J335">
            <v>0</v>
          </cell>
          <cell r="K335">
            <v>0</v>
          </cell>
          <cell r="L335">
            <v>0</v>
          </cell>
          <cell r="M335">
            <v>0</v>
          </cell>
          <cell r="N335">
            <v>0</v>
          </cell>
          <cell r="O335">
            <v>0</v>
          </cell>
          <cell r="P335">
            <v>0</v>
          </cell>
          <cell r="Q335">
            <v>0</v>
          </cell>
          <cell r="R335">
            <v>0</v>
          </cell>
          <cell r="S335" t="str">
            <v>Y</v>
          </cell>
          <cell r="T335">
            <v>50</v>
          </cell>
          <cell r="V335">
            <v>100</v>
          </cell>
          <cell r="X335" t="str">
            <v>DP</v>
          </cell>
          <cell r="Y335" t="str">
            <v>JB</v>
          </cell>
          <cell r="Z335">
            <v>0</v>
          </cell>
          <cell r="AA335">
            <v>0</v>
          </cell>
          <cell r="AB335">
            <v>0</v>
          </cell>
          <cell r="AC335">
            <v>-2.6999999999999913E-2</v>
          </cell>
        </row>
        <row r="336">
          <cell r="A336" t="str">
            <v>SP1-B4-43286</v>
          </cell>
          <cell r="B336" t="str">
            <v>SP1-B4-43286</v>
          </cell>
          <cell r="C336">
            <v>43286</v>
          </cell>
          <cell r="D336" t="str">
            <v>SP1</v>
          </cell>
          <cell r="E336" t="str">
            <v>B4</v>
          </cell>
          <cell r="F336">
            <v>43295</v>
          </cell>
          <cell r="G336" t="str">
            <v>DP</v>
          </cell>
          <cell r="H336">
            <v>0</v>
          </cell>
          <cell r="I336">
            <v>0</v>
          </cell>
          <cell r="J336">
            <v>0</v>
          </cell>
          <cell r="K336">
            <v>0</v>
          </cell>
          <cell r="L336">
            <v>0</v>
          </cell>
          <cell r="M336">
            <v>0</v>
          </cell>
          <cell r="N336">
            <v>0</v>
          </cell>
          <cell r="O336">
            <v>0</v>
          </cell>
          <cell r="P336">
            <v>0</v>
          </cell>
          <cell r="Q336">
            <v>0</v>
          </cell>
          <cell r="R336">
            <v>0</v>
          </cell>
          <cell r="S336" t="str">
            <v>Y</v>
          </cell>
          <cell r="T336">
            <v>50</v>
          </cell>
          <cell r="V336">
            <v>100</v>
          </cell>
          <cell r="X336" t="str">
            <v>DP</v>
          </cell>
          <cell r="Y336" t="str">
            <v>JB</v>
          </cell>
          <cell r="Z336">
            <v>0</v>
          </cell>
          <cell r="AA336">
            <v>0</v>
          </cell>
          <cell r="AB336">
            <v>0</v>
          </cell>
          <cell r="AC336">
            <v>-1.399999999999979E-2</v>
          </cell>
        </row>
        <row r="337">
          <cell r="A337" t="str">
            <v>SP2-E3-43286</v>
          </cell>
          <cell r="B337" t="str">
            <v>SP2-E3-43286</v>
          </cell>
          <cell r="C337">
            <v>43286</v>
          </cell>
          <cell r="D337" t="str">
            <v>SP2</v>
          </cell>
          <cell r="E337" t="str">
            <v>E3</v>
          </cell>
          <cell r="F337">
            <v>43293</v>
          </cell>
          <cell r="G337" t="str">
            <v>JB</v>
          </cell>
          <cell r="H337">
            <v>0</v>
          </cell>
          <cell r="I337">
            <v>0</v>
          </cell>
          <cell r="J337">
            <v>0</v>
          </cell>
          <cell r="K337">
            <v>0</v>
          </cell>
          <cell r="L337">
            <v>0</v>
          </cell>
          <cell r="M337">
            <v>0</v>
          </cell>
          <cell r="N337">
            <v>0</v>
          </cell>
          <cell r="O337">
            <v>0</v>
          </cell>
          <cell r="P337">
            <v>0</v>
          </cell>
          <cell r="Q337">
            <v>0</v>
          </cell>
          <cell r="R337">
            <v>0</v>
          </cell>
          <cell r="S337" t="str">
            <v>Y</v>
          </cell>
          <cell r="T337">
            <v>50</v>
          </cell>
          <cell r="V337">
            <v>100</v>
          </cell>
          <cell r="X337" t="str">
            <v>JB</v>
          </cell>
          <cell r="Y337" t="str">
            <v>TE</v>
          </cell>
          <cell r="Z337">
            <v>0</v>
          </cell>
          <cell r="AA337">
            <v>0</v>
          </cell>
          <cell r="AB337">
            <v>0</v>
          </cell>
          <cell r="AC337">
            <v>-6.9999999999998952E-3</v>
          </cell>
        </row>
        <row r="338">
          <cell r="A338" t="str">
            <v>SP1-G4-43286</v>
          </cell>
          <cell r="B338" t="str">
            <v>SP1-G4-43286</v>
          </cell>
          <cell r="C338">
            <v>43286</v>
          </cell>
          <cell r="D338" t="str">
            <v>SP1</v>
          </cell>
          <cell r="E338" t="str">
            <v>G4</v>
          </cell>
          <cell r="F338">
            <v>43293</v>
          </cell>
          <cell r="G338" t="str">
            <v>TE</v>
          </cell>
          <cell r="H338">
            <v>0</v>
          </cell>
          <cell r="I338">
            <v>0</v>
          </cell>
          <cell r="J338">
            <v>0</v>
          </cell>
          <cell r="K338">
            <v>0</v>
          </cell>
          <cell r="L338">
            <v>0</v>
          </cell>
          <cell r="M338">
            <v>0</v>
          </cell>
          <cell r="N338">
            <v>0</v>
          </cell>
          <cell r="O338">
            <v>0</v>
          </cell>
          <cell r="P338">
            <v>0</v>
          </cell>
          <cell r="Q338">
            <v>0</v>
          </cell>
          <cell r="R338">
            <v>0</v>
          </cell>
          <cell r="T338">
            <v>50</v>
          </cell>
          <cell r="V338">
            <v>100</v>
          </cell>
          <cell r="X338" t="str">
            <v>LV</v>
          </cell>
          <cell r="Y338" t="str">
            <v>TE</v>
          </cell>
          <cell r="Z338">
            <v>0</v>
          </cell>
          <cell r="AA338">
            <v>0</v>
          </cell>
          <cell r="AB338">
            <v>0</v>
          </cell>
          <cell r="AC338">
            <v>-2.9999999999998916E-3</v>
          </cell>
        </row>
        <row r="339">
          <cell r="A339" t="str">
            <v>SP2-A4-43286</v>
          </cell>
          <cell r="B339" t="str">
            <v>SP2-A4-43286</v>
          </cell>
          <cell r="C339">
            <v>43286</v>
          </cell>
          <cell r="D339" t="str">
            <v>SP2</v>
          </cell>
          <cell r="E339" t="str">
            <v>A4</v>
          </cell>
          <cell r="F339">
            <v>43293</v>
          </cell>
          <cell r="G339" t="str">
            <v>TE</v>
          </cell>
          <cell r="H339">
            <v>124</v>
          </cell>
          <cell r="I339">
            <v>24</v>
          </cell>
          <cell r="J339">
            <v>10</v>
          </cell>
          <cell r="K339">
            <v>158</v>
          </cell>
          <cell r="T339">
            <v>50</v>
          </cell>
          <cell r="V339">
            <v>100</v>
          </cell>
          <cell r="X339" t="str">
            <v>LV</v>
          </cell>
          <cell r="Y339" t="str">
            <v>TE</v>
          </cell>
          <cell r="Z339">
            <v>124</v>
          </cell>
          <cell r="AA339">
            <v>24</v>
          </cell>
          <cell r="AB339">
            <v>10</v>
          </cell>
          <cell r="AC339">
            <v>-8.999999999999897E-3</v>
          </cell>
        </row>
        <row r="340">
          <cell r="A340" t="str">
            <v>SP1-D8-43286</v>
          </cell>
          <cell r="B340" t="str">
            <v>SP1-D8-43286</v>
          </cell>
          <cell r="C340">
            <v>43286</v>
          </cell>
          <cell r="D340" t="str">
            <v>SP1</v>
          </cell>
          <cell r="E340" t="str">
            <v>D8</v>
          </cell>
          <cell r="F340">
            <v>43295</v>
          </cell>
          <cell r="G340" t="str">
            <v>DP</v>
          </cell>
          <cell r="H340">
            <v>710</v>
          </cell>
          <cell r="I340">
            <v>4464</v>
          </cell>
          <cell r="J340">
            <v>40</v>
          </cell>
          <cell r="K340">
            <v>5214</v>
          </cell>
          <cell r="S340" t="str">
            <v>Y</v>
          </cell>
          <cell r="T340">
            <v>50</v>
          </cell>
          <cell r="V340">
            <v>100</v>
          </cell>
          <cell r="X340" t="str">
            <v>DP</v>
          </cell>
          <cell r="Y340" t="str">
            <v>JB</v>
          </cell>
          <cell r="Z340">
            <v>710</v>
          </cell>
          <cell r="AA340">
            <v>4464</v>
          </cell>
          <cell r="AB340">
            <v>40</v>
          </cell>
          <cell r="AC340">
            <v>2E-3</v>
          </cell>
        </row>
        <row r="341">
          <cell r="A341" t="str">
            <v>SP1-A3-43286</v>
          </cell>
          <cell r="B341" t="str">
            <v>SP1-A3-43286</v>
          </cell>
          <cell r="C341">
            <v>43286</v>
          </cell>
          <cell r="D341" t="str">
            <v>SP1</v>
          </cell>
          <cell r="E341" t="str">
            <v>A3</v>
          </cell>
          <cell r="F341">
            <v>43294</v>
          </cell>
          <cell r="G341" t="str">
            <v>JB</v>
          </cell>
          <cell r="H341">
            <v>0</v>
          </cell>
          <cell r="I341">
            <v>1262</v>
          </cell>
          <cell r="J341">
            <v>0</v>
          </cell>
          <cell r="K341">
            <v>1262</v>
          </cell>
          <cell r="L341">
            <v>0</v>
          </cell>
          <cell r="M341">
            <v>0</v>
          </cell>
          <cell r="N341">
            <v>0</v>
          </cell>
          <cell r="O341">
            <v>0</v>
          </cell>
          <cell r="P341">
            <v>0</v>
          </cell>
          <cell r="Q341">
            <v>0</v>
          </cell>
          <cell r="R341">
            <v>0</v>
          </cell>
          <cell r="S341" t="str">
            <v>Y</v>
          </cell>
          <cell r="T341">
            <v>50</v>
          </cell>
          <cell r="V341">
            <v>100</v>
          </cell>
          <cell r="X341" t="str">
            <v>JB</v>
          </cell>
          <cell r="Y341" t="str">
            <v>TE</v>
          </cell>
          <cell r="Z341">
            <v>0</v>
          </cell>
          <cell r="AA341">
            <v>1262</v>
          </cell>
          <cell r="AB341">
            <v>0</v>
          </cell>
          <cell r="AC341">
            <v>3.0000000000001137E-3</v>
          </cell>
        </row>
        <row r="342">
          <cell r="A342" t="str">
            <v>SP2-H7-43286</v>
          </cell>
          <cell r="B342" t="str">
            <v>SP2-H7-43286</v>
          </cell>
          <cell r="C342">
            <v>43286</v>
          </cell>
          <cell r="D342" t="str">
            <v>SP2</v>
          </cell>
          <cell r="E342" t="str">
            <v>H7</v>
          </cell>
          <cell r="F342">
            <v>43294</v>
          </cell>
          <cell r="G342" t="str">
            <v>DP</v>
          </cell>
          <cell r="H342">
            <v>10</v>
          </cell>
          <cell r="I342">
            <v>892</v>
          </cell>
          <cell r="J342">
            <v>10</v>
          </cell>
          <cell r="K342">
            <v>912</v>
          </cell>
          <cell r="S342" t="str">
            <v>Y</v>
          </cell>
          <cell r="T342">
            <v>50</v>
          </cell>
          <cell r="V342">
            <v>100</v>
          </cell>
          <cell r="X342" t="str">
            <v>DP</v>
          </cell>
          <cell r="Y342" t="str">
            <v>JB</v>
          </cell>
          <cell r="Z342">
            <v>10</v>
          </cell>
          <cell r="AA342">
            <v>892</v>
          </cell>
          <cell r="AB342">
            <v>10</v>
          </cell>
          <cell r="AC342">
            <v>7.0000000000001172E-3</v>
          </cell>
        </row>
        <row r="343">
          <cell r="A343" t="str">
            <v>SP2-G1-43286</v>
          </cell>
          <cell r="B343" t="str">
            <v>SP2-G1-43286</v>
          </cell>
          <cell r="C343">
            <v>43286</v>
          </cell>
          <cell r="D343" t="str">
            <v>SP2</v>
          </cell>
          <cell r="E343" t="str">
            <v>G1</v>
          </cell>
          <cell r="F343">
            <v>43293</v>
          </cell>
          <cell r="G343" t="str">
            <v>TE</v>
          </cell>
          <cell r="H343">
            <v>0</v>
          </cell>
          <cell r="I343">
            <v>0</v>
          </cell>
          <cell r="J343">
            <v>0</v>
          </cell>
          <cell r="K343">
            <v>0</v>
          </cell>
          <cell r="L343">
            <v>0</v>
          </cell>
          <cell r="M343">
            <v>0</v>
          </cell>
          <cell r="N343">
            <v>0</v>
          </cell>
          <cell r="O343">
            <v>0</v>
          </cell>
          <cell r="P343">
            <v>0</v>
          </cell>
          <cell r="Q343">
            <v>0</v>
          </cell>
          <cell r="R343">
            <v>0</v>
          </cell>
          <cell r="T343">
            <v>50</v>
          </cell>
          <cell r="V343">
            <v>100</v>
          </cell>
          <cell r="X343" t="str">
            <v>LV</v>
          </cell>
          <cell r="Y343" t="str">
            <v>TE</v>
          </cell>
          <cell r="Z343">
            <v>0</v>
          </cell>
          <cell r="AA343">
            <v>0</v>
          </cell>
          <cell r="AB343">
            <v>0</v>
          </cell>
          <cell r="AC343">
            <v>1.0000000000000009E-2</v>
          </cell>
        </row>
        <row r="344">
          <cell r="A344" t="str">
            <v>SP1-E1-43286</v>
          </cell>
          <cell r="B344" t="str">
            <v>SP1-E1-43286</v>
          </cell>
          <cell r="C344">
            <v>43286</v>
          </cell>
          <cell r="D344" t="str">
            <v>SP1</v>
          </cell>
          <cell r="E344" t="str">
            <v>E1</v>
          </cell>
          <cell r="F344">
            <v>43294</v>
          </cell>
          <cell r="G344" t="str">
            <v>TE</v>
          </cell>
          <cell r="H344">
            <v>0</v>
          </cell>
          <cell r="I344">
            <v>0</v>
          </cell>
          <cell r="J344">
            <v>0</v>
          </cell>
          <cell r="K344">
            <v>0</v>
          </cell>
          <cell r="L344">
            <v>0</v>
          </cell>
          <cell r="M344">
            <v>0</v>
          </cell>
          <cell r="N344">
            <v>0</v>
          </cell>
          <cell r="O344">
            <v>0</v>
          </cell>
          <cell r="P344">
            <v>0</v>
          </cell>
          <cell r="Q344">
            <v>0</v>
          </cell>
          <cell r="R344">
            <v>0</v>
          </cell>
          <cell r="S344" t="str">
            <v>Y</v>
          </cell>
          <cell r="T344">
            <v>50</v>
          </cell>
          <cell r="V344">
            <v>100</v>
          </cell>
          <cell r="W344" t="str">
            <v>2532 Blastocystis</v>
          </cell>
          <cell r="X344" t="str">
            <v>TE</v>
          </cell>
          <cell r="Y344" t="str">
            <v>LV/IS</v>
          </cell>
          <cell r="Z344">
            <v>0</v>
          </cell>
          <cell r="AA344">
            <v>0</v>
          </cell>
          <cell r="AB344">
            <v>0</v>
          </cell>
          <cell r="AC344">
            <v>1.5000000000000124E-2</v>
          </cell>
        </row>
        <row r="345">
          <cell r="A345" t="str">
            <v>SP1-F3-43286</v>
          </cell>
          <cell r="B345" t="str">
            <v>SP1-F3-43286</v>
          </cell>
          <cell r="C345">
            <v>43286</v>
          </cell>
          <cell r="D345" t="str">
            <v>SP1</v>
          </cell>
          <cell r="E345" t="str">
            <v>F3</v>
          </cell>
          <cell r="F345">
            <v>43293</v>
          </cell>
          <cell r="G345" t="str">
            <v>JB</v>
          </cell>
          <cell r="H345">
            <v>0</v>
          </cell>
          <cell r="I345">
            <v>1542</v>
          </cell>
          <cell r="J345">
            <v>0</v>
          </cell>
          <cell r="K345">
            <v>1542</v>
          </cell>
          <cell r="L345">
            <v>0</v>
          </cell>
          <cell r="M345">
            <v>0</v>
          </cell>
          <cell r="N345">
            <v>0</v>
          </cell>
          <cell r="O345">
            <v>0</v>
          </cell>
          <cell r="P345">
            <v>0</v>
          </cell>
          <cell r="Q345">
            <v>0</v>
          </cell>
          <cell r="R345">
            <v>0</v>
          </cell>
          <cell r="S345" t="str">
            <v>Y</v>
          </cell>
          <cell r="T345">
            <v>50</v>
          </cell>
          <cell r="V345">
            <v>100</v>
          </cell>
          <cell r="X345" t="str">
            <v>JB</v>
          </cell>
          <cell r="Y345" t="str">
            <v>TE</v>
          </cell>
          <cell r="Z345">
            <v>0</v>
          </cell>
          <cell r="AA345">
            <v>1542</v>
          </cell>
          <cell r="AB345">
            <v>0</v>
          </cell>
          <cell r="AC345">
            <v>2.100000000000013E-2</v>
          </cell>
        </row>
        <row r="346">
          <cell r="A346" t="str">
            <v>SP2-G2-43286</v>
          </cell>
          <cell r="B346" t="str">
            <v>SP2-G2-43286</v>
          </cell>
          <cell r="C346">
            <v>43286</v>
          </cell>
          <cell r="D346" t="str">
            <v>SP2</v>
          </cell>
          <cell r="E346" t="str">
            <v>G2</v>
          </cell>
          <cell r="F346">
            <v>43295</v>
          </cell>
          <cell r="G346" t="str">
            <v>JB</v>
          </cell>
          <cell r="H346">
            <v>0</v>
          </cell>
          <cell r="I346">
            <v>0</v>
          </cell>
          <cell r="J346">
            <v>0</v>
          </cell>
          <cell r="K346">
            <v>0</v>
          </cell>
          <cell r="L346">
            <v>0</v>
          </cell>
          <cell r="M346">
            <v>0</v>
          </cell>
          <cell r="N346">
            <v>58</v>
          </cell>
          <cell r="O346">
            <v>0</v>
          </cell>
          <cell r="P346">
            <v>0</v>
          </cell>
          <cell r="Q346">
            <v>0</v>
          </cell>
          <cell r="R346">
            <v>0</v>
          </cell>
          <cell r="S346" t="str">
            <v>Y</v>
          </cell>
          <cell r="T346">
            <v>50</v>
          </cell>
          <cell r="V346">
            <v>100</v>
          </cell>
          <cell r="W346" t="str">
            <v>Blastocystus: 2795</v>
          </cell>
          <cell r="X346" t="str">
            <v>JB</v>
          </cell>
          <cell r="Y346" t="str">
            <v>TE</v>
          </cell>
          <cell r="Z346">
            <v>0</v>
          </cell>
          <cell r="AA346">
            <v>0</v>
          </cell>
          <cell r="AB346">
            <v>0</v>
          </cell>
          <cell r="AC346">
            <v>3.2000000000000028E-2</v>
          </cell>
        </row>
        <row r="347">
          <cell r="A347" t="str">
            <v>SP2-F8-43286</v>
          </cell>
          <cell r="B347" t="str">
            <v>SP2-F8-43286</v>
          </cell>
          <cell r="C347">
            <v>43286</v>
          </cell>
          <cell r="D347" t="str">
            <v>SP2</v>
          </cell>
          <cell r="E347" t="str">
            <v>F8</v>
          </cell>
          <cell r="F347">
            <v>43293</v>
          </cell>
          <cell r="G347" t="str">
            <v>TE</v>
          </cell>
          <cell r="H347">
            <v>0</v>
          </cell>
          <cell r="I347">
            <v>0</v>
          </cell>
          <cell r="J347">
            <v>0</v>
          </cell>
          <cell r="K347">
            <v>0</v>
          </cell>
          <cell r="L347">
            <v>0</v>
          </cell>
          <cell r="M347">
            <v>0</v>
          </cell>
          <cell r="N347">
            <v>0</v>
          </cell>
          <cell r="O347">
            <v>0</v>
          </cell>
          <cell r="P347">
            <v>0</v>
          </cell>
          <cell r="Q347">
            <v>0</v>
          </cell>
          <cell r="R347">
            <v>0</v>
          </cell>
          <cell r="T347">
            <v>50</v>
          </cell>
          <cell r="V347">
            <v>100</v>
          </cell>
          <cell r="X347" t="str">
            <v>LV</v>
          </cell>
          <cell r="Y347" t="str">
            <v>TE</v>
          </cell>
          <cell r="Z347">
            <v>0</v>
          </cell>
          <cell r="AA347">
            <v>0</v>
          </cell>
          <cell r="AB347">
            <v>0</v>
          </cell>
          <cell r="AC347">
            <v>3.7000000000000144E-2</v>
          </cell>
        </row>
        <row r="348">
          <cell r="A348" t="str">
            <v>SP2-F3-43286</v>
          </cell>
          <cell r="B348" t="str">
            <v>SP2-F3-43286</v>
          </cell>
          <cell r="C348">
            <v>43286</v>
          </cell>
          <cell r="D348" t="str">
            <v>SP2</v>
          </cell>
          <cell r="E348" t="str">
            <v>F3</v>
          </cell>
          <cell r="F348">
            <v>43294</v>
          </cell>
          <cell r="G348" t="str">
            <v>TE</v>
          </cell>
          <cell r="H348">
            <v>2</v>
          </cell>
          <cell r="J348">
            <v>48</v>
          </cell>
          <cell r="K348">
            <v>50</v>
          </cell>
          <cell r="L348">
            <v>0</v>
          </cell>
          <cell r="M348">
            <v>0</v>
          </cell>
          <cell r="N348">
            <v>0</v>
          </cell>
          <cell r="O348">
            <v>0</v>
          </cell>
          <cell r="P348">
            <v>0</v>
          </cell>
          <cell r="Q348">
            <v>0</v>
          </cell>
          <cell r="R348">
            <v>0</v>
          </cell>
          <cell r="S348" t="str">
            <v>Y</v>
          </cell>
          <cell r="T348">
            <v>50</v>
          </cell>
          <cell r="V348">
            <v>100</v>
          </cell>
          <cell r="X348" t="str">
            <v>TE</v>
          </cell>
          <cell r="Y348" t="str">
            <v>LV/IS</v>
          </cell>
          <cell r="Z348">
            <v>2</v>
          </cell>
          <cell r="AA348">
            <v>0</v>
          </cell>
          <cell r="AB348">
            <v>48</v>
          </cell>
          <cell r="AC348">
            <v>6.4000000000000057E-2</v>
          </cell>
        </row>
        <row r="349">
          <cell r="A349" t="str">
            <v>SP2-E7-43286</v>
          </cell>
          <cell r="B349" t="str">
            <v>SP2-E7-43286</v>
          </cell>
          <cell r="C349">
            <v>43286</v>
          </cell>
          <cell r="D349" t="str">
            <v>SP2</v>
          </cell>
          <cell r="E349" t="str">
            <v>E7</v>
          </cell>
          <cell r="F349">
            <v>43294</v>
          </cell>
          <cell r="G349" t="str">
            <v>TE</v>
          </cell>
          <cell r="H349">
            <v>0</v>
          </cell>
          <cell r="I349">
            <v>0</v>
          </cell>
          <cell r="J349">
            <v>0</v>
          </cell>
          <cell r="K349">
            <v>0</v>
          </cell>
          <cell r="L349">
            <v>0</v>
          </cell>
          <cell r="M349">
            <v>0</v>
          </cell>
          <cell r="N349">
            <v>0</v>
          </cell>
          <cell r="O349">
            <v>0</v>
          </cell>
          <cell r="P349">
            <v>0</v>
          </cell>
          <cell r="Q349">
            <v>0</v>
          </cell>
          <cell r="R349">
            <v>0</v>
          </cell>
          <cell r="S349" t="str">
            <v>Y</v>
          </cell>
          <cell r="T349">
            <v>50</v>
          </cell>
          <cell r="V349">
            <v>100</v>
          </cell>
          <cell r="X349" t="str">
            <v>TE</v>
          </cell>
          <cell r="Y349" t="str">
            <v>LV/IS</v>
          </cell>
          <cell r="Z349">
            <v>0</v>
          </cell>
          <cell r="AA349">
            <v>0</v>
          </cell>
          <cell r="AB349">
            <v>0</v>
          </cell>
          <cell r="AC349">
            <v>8.1000000000000183E-2</v>
          </cell>
        </row>
        <row r="350">
          <cell r="A350" t="str">
            <v>SP1-B8-43286</v>
          </cell>
          <cell r="B350" t="str">
            <v>SP1-B8-43286</v>
          </cell>
          <cell r="C350">
            <v>43286</v>
          </cell>
          <cell r="D350" t="str">
            <v>SP1</v>
          </cell>
          <cell r="E350" t="str">
            <v>B8</v>
          </cell>
          <cell r="F350">
            <v>43295</v>
          </cell>
          <cell r="G350" t="str">
            <v>JB</v>
          </cell>
          <cell r="H350">
            <v>512</v>
          </cell>
          <cell r="I350">
            <v>26540</v>
          </cell>
          <cell r="J350">
            <v>0</v>
          </cell>
          <cell r="K350">
            <v>27052</v>
          </cell>
          <cell r="L350">
            <v>0</v>
          </cell>
          <cell r="M350">
            <v>0</v>
          </cell>
          <cell r="N350">
            <v>362</v>
          </cell>
          <cell r="O350">
            <v>0</v>
          </cell>
          <cell r="P350">
            <v>0</v>
          </cell>
          <cell r="Q350">
            <v>0</v>
          </cell>
          <cell r="R350">
            <v>1</v>
          </cell>
          <cell r="S350" t="str">
            <v>N</v>
          </cell>
          <cell r="T350">
            <v>25</v>
          </cell>
          <cell r="V350">
            <v>100</v>
          </cell>
          <cell r="W350" t="str">
            <v>25% for Coccidia sp; 15 Blastocystus</v>
          </cell>
          <cell r="X350" t="str">
            <v>JB</v>
          </cell>
          <cell r="Y350" t="str">
            <v>TE</v>
          </cell>
          <cell r="Z350">
            <v>512</v>
          </cell>
          <cell r="AA350">
            <v>26540</v>
          </cell>
          <cell r="AB350">
            <v>0</v>
          </cell>
          <cell r="AC350">
            <v>8.900000000000019E-2</v>
          </cell>
        </row>
        <row r="351">
          <cell r="A351" t="str">
            <v>SP2-B5-43286</v>
          </cell>
          <cell r="B351" t="str">
            <v>SP2-B5-43286</v>
          </cell>
          <cell r="C351">
            <v>43286</v>
          </cell>
          <cell r="D351" t="str">
            <v>SP2</v>
          </cell>
          <cell r="E351" t="str">
            <v>B5</v>
          </cell>
          <cell r="F351">
            <v>43294</v>
          </cell>
          <cell r="G351" t="str">
            <v>DP</v>
          </cell>
          <cell r="H351">
            <v>30</v>
          </cell>
          <cell r="I351">
            <v>2758</v>
          </cell>
          <cell r="J351">
            <v>22</v>
          </cell>
          <cell r="K351">
            <v>2810</v>
          </cell>
          <cell r="Q351">
            <v>17</v>
          </cell>
          <cell r="S351" t="str">
            <v>Y</v>
          </cell>
          <cell r="T351">
            <v>50</v>
          </cell>
          <cell r="V351">
            <v>100</v>
          </cell>
          <cell r="W351" t="str">
            <v>25% for Coccidia sp.</v>
          </cell>
          <cell r="X351" t="str">
            <v>DP</v>
          </cell>
          <cell r="Y351" t="str">
            <v>JB</v>
          </cell>
          <cell r="Z351">
            <v>30</v>
          </cell>
          <cell r="AA351">
            <v>2758</v>
          </cell>
          <cell r="AB351">
            <v>22</v>
          </cell>
          <cell r="AC351">
            <v>0.13400000000000012</v>
          </cell>
        </row>
        <row r="352">
          <cell r="A352" t="str">
            <v>SP2-H8-43286</v>
          </cell>
          <cell r="B352" t="str">
            <v>SP2-H8-43286</v>
          </cell>
          <cell r="C352">
            <v>43286</v>
          </cell>
          <cell r="D352" t="str">
            <v>SP2</v>
          </cell>
          <cell r="E352" t="str">
            <v>H8</v>
          </cell>
          <cell r="F352">
            <v>43293</v>
          </cell>
          <cell r="G352" t="str">
            <v>TE</v>
          </cell>
          <cell r="H352">
            <v>108</v>
          </cell>
          <cell r="I352">
            <v>32</v>
          </cell>
          <cell r="J352">
            <v>598</v>
          </cell>
          <cell r="K352">
            <v>738</v>
          </cell>
          <cell r="R352">
            <v>1</v>
          </cell>
          <cell r="T352">
            <v>50</v>
          </cell>
          <cell r="V352">
            <v>100</v>
          </cell>
          <cell r="X352" t="str">
            <v>LV</v>
          </cell>
          <cell r="Y352" t="str">
            <v>TE</v>
          </cell>
          <cell r="Z352">
            <v>108</v>
          </cell>
          <cell r="AA352">
            <v>32</v>
          </cell>
          <cell r="AB352">
            <v>598</v>
          </cell>
          <cell r="AC352">
            <v>0.18100000000000005</v>
          </cell>
        </row>
        <row r="353">
          <cell r="A353" t="str">
            <v>SP2-B8-43286</v>
          </cell>
          <cell r="B353" t="str">
            <v>SP2-B8-43286</v>
          </cell>
          <cell r="C353">
            <v>43286</v>
          </cell>
          <cell r="D353" t="str">
            <v>SP2</v>
          </cell>
          <cell r="E353" t="str">
            <v>B8</v>
          </cell>
          <cell r="F353">
            <v>43295</v>
          </cell>
          <cell r="G353" t="str">
            <v>TE</v>
          </cell>
          <cell r="H353">
            <v>4</v>
          </cell>
          <cell r="I353">
            <v>18</v>
          </cell>
          <cell r="J353">
            <v>10</v>
          </cell>
          <cell r="K353">
            <v>32</v>
          </cell>
          <cell r="L353">
            <v>0</v>
          </cell>
          <cell r="M353">
            <v>0</v>
          </cell>
          <cell r="N353">
            <v>0</v>
          </cell>
          <cell r="O353">
            <v>0</v>
          </cell>
          <cell r="P353">
            <v>0</v>
          </cell>
          <cell r="Q353">
            <v>41</v>
          </cell>
          <cell r="R353">
            <v>0</v>
          </cell>
          <cell r="S353" t="str">
            <v>Y</v>
          </cell>
          <cell r="T353">
            <v>50</v>
          </cell>
          <cell r="V353">
            <v>100</v>
          </cell>
          <cell r="X353" t="str">
            <v>TE</v>
          </cell>
          <cell r="Y353" t="str">
            <v>LV/IS</v>
          </cell>
          <cell r="Z353">
            <v>4</v>
          </cell>
          <cell r="AA353">
            <v>18</v>
          </cell>
          <cell r="AB353">
            <v>10</v>
          </cell>
          <cell r="AC353">
            <v>0.18200000000000016</v>
          </cell>
        </row>
        <row r="354">
          <cell r="A354" t="str">
            <v>SP2-G8-43287</v>
          </cell>
          <cell r="B354" t="str">
            <v>SP2-G8-43287</v>
          </cell>
          <cell r="C354">
            <v>43287</v>
          </cell>
          <cell r="D354" t="str">
            <v>SP2</v>
          </cell>
          <cell r="E354" t="str">
            <v>G8</v>
          </cell>
          <cell r="F354">
            <v>43295</v>
          </cell>
          <cell r="G354" t="str">
            <v>IS</v>
          </cell>
          <cell r="H354">
            <v>4432</v>
          </cell>
          <cell r="I354">
            <v>6668</v>
          </cell>
          <cell r="J354">
            <v>48</v>
          </cell>
          <cell r="K354">
            <v>11148</v>
          </cell>
          <cell r="O354">
            <v>2</v>
          </cell>
          <cell r="P354">
            <v>10</v>
          </cell>
          <cell r="R354">
            <v>1</v>
          </cell>
          <cell r="S354" t="str">
            <v>N</v>
          </cell>
          <cell r="T354">
            <v>25</v>
          </cell>
          <cell r="V354">
            <v>100</v>
          </cell>
          <cell r="W354" t="str">
            <v>25% for Coccidia sp.</v>
          </cell>
          <cell r="X354" t="str">
            <v>IS</v>
          </cell>
          <cell r="Y354" t="str">
            <v>JB</v>
          </cell>
          <cell r="Z354">
            <v>4432</v>
          </cell>
          <cell r="AA354">
            <v>6668</v>
          </cell>
          <cell r="AB354">
            <v>48</v>
          </cell>
          <cell r="AC354">
            <v>0.16500000000000004</v>
          </cell>
        </row>
        <row r="355">
          <cell r="A355" t="str">
            <v>SP1-B7-43288</v>
          </cell>
          <cell r="B355" t="str">
            <v>SP1-B7-43288</v>
          </cell>
          <cell r="C355">
            <v>43288</v>
          </cell>
          <cell r="D355" t="str">
            <v>SP1</v>
          </cell>
          <cell r="E355" t="str">
            <v>B7</v>
          </cell>
          <cell r="F355">
            <v>43295</v>
          </cell>
          <cell r="G355" t="str">
            <v>DP</v>
          </cell>
          <cell r="H355">
            <v>0</v>
          </cell>
          <cell r="I355">
            <v>0</v>
          </cell>
          <cell r="J355">
            <v>0</v>
          </cell>
          <cell r="K355">
            <v>0</v>
          </cell>
          <cell r="L355">
            <v>0</v>
          </cell>
          <cell r="M355">
            <v>0</v>
          </cell>
          <cell r="N355">
            <v>0</v>
          </cell>
          <cell r="O355">
            <v>0</v>
          </cell>
          <cell r="P355">
            <v>0</v>
          </cell>
          <cell r="Q355">
            <v>0</v>
          </cell>
          <cell r="R355">
            <v>0</v>
          </cell>
          <cell r="S355" t="str">
            <v>Y</v>
          </cell>
          <cell r="T355">
            <v>50</v>
          </cell>
          <cell r="V355">
            <v>100</v>
          </cell>
          <cell r="X355" t="str">
            <v>DP</v>
          </cell>
          <cell r="Y355" t="str">
            <v>JB</v>
          </cell>
          <cell r="Z355">
            <v>0</v>
          </cell>
          <cell r="AA355">
            <v>0</v>
          </cell>
          <cell r="AB355">
            <v>0</v>
          </cell>
          <cell r="AC355">
            <v>0.1140000000000001</v>
          </cell>
        </row>
        <row r="356">
          <cell r="A356" t="str">
            <v>SP2-E3-43288</v>
          </cell>
          <cell r="B356" t="str">
            <v>SP2-E3-43288</v>
          </cell>
          <cell r="C356">
            <v>43288</v>
          </cell>
          <cell r="D356" t="str">
            <v>SP2</v>
          </cell>
          <cell r="E356" t="str">
            <v>E3</v>
          </cell>
          <cell r="F356">
            <v>43295</v>
          </cell>
          <cell r="G356" t="str">
            <v>TE</v>
          </cell>
          <cell r="H356">
            <v>732</v>
          </cell>
          <cell r="J356">
            <v>23696</v>
          </cell>
          <cell r="K356">
            <v>24428</v>
          </cell>
          <cell r="L356">
            <v>0</v>
          </cell>
          <cell r="M356">
            <v>0</v>
          </cell>
          <cell r="N356">
            <v>0</v>
          </cell>
          <cell r="O356">
            <v>0</v>
          </cell>
          <cell r="P356">
            <v>0</v>
          </cell>
          <cell r="Q356">
            <v>0</v>
          </cell>
          <cell r="R356">
            <v>0</v>
          </cell>
          <cell r="S356" t="str">
            <v>N</v>
          </cell>
          <cell r="T356">
            <v>25</v>
          </cell>
          <cell r="V356">
            <v>100</v>
          </cell>
          <cell r="W356" t="str">
            <v>25% for Coccidia sp</v>
          </cell>
          <cell r="X356" t="str">
            <v>TE</v>
          </cell>
          <cell r="Y356" t="str">
            <v>LV/IS</v>
          </cell>
          <cell r="Z356">
            <v>732</v>
          </cell>
          <cell r="AA356">
            <v>0</v>
          </cell>
          <cell r="AB356">
            <v>23696</v>
          </cell>
          <cell r="AC356">
            <v>0.19900000000000007</v>
          </cell>
        </row>
        <row r="357">
          <cell r="A357" t="str">
            <v>SP1-A2-43288</v>
          </cell>
          <cell r="B357" t="str">
            <v>SP1-A2-43288</v>
          </cell>
          <cell r="C357">
            <v>43288</v>
          </cell>
          <cell r="D357" t="str">
            <v>SP1</v>
          </cell>
          <cell r="E357" t="str">
            <v>A2</v>
          </cell>
          <cell r="F357">
            <v>43296</v>
          </cell>
          <cell r="G357" t="str">
            <v>JB</v>
          </cell>
          <cell r="H357">
            <v>0</v>
          </cell>
          <cell r="I357">
            <v>0</v>
          </cell>
          <cell r="J357">
            <v>0</v>
          </cell>
          <cell r="K357">
            <v>0</v>
          </cell>
          <cell r="L357">
            <v>0</v>
          </cell>
          <cell r="M357">
            <v>0</v>
          </cell>
          <cell r="N357">
            <v>0</v>
          </cell>
          <cell r="O357">
            <v>0</v>
          </cell>
          <cell r="P357">
            <v>0</v>
          </cell>
          <cell r="Q357">
            <v>0</v>
          </cell>
          <cell r="R357">
            <v>3</v>
          </cell>
          <cell r="S357" t="str">
            <v>Y</v>
          </cell>
          <cell r="T357">
            <v>50</v>
          </cell>
          <cell r="V357">
            <v>100</v>
          </cell>
          <cell r="X357" t="str">
            <v>JB</v>
          </cell>
          <cell r="Y357" t="str">
            <v>TE</v>
          </cell>
          <cell r="Z357">
            <v>0</v>
          </cell>
          <cell r="AA357">
            <v>0</v>
          </cell>
          <cell r="AB357">
            <v>0</v>
          </cell>
          <cell r="AC357">
            <v>0.46900000000000008</v>
          </cell>
        </row>
        <row r="358">
          <cell r="A358" t="str">
            <v>SP1-A2-43288</v>
          </cell>
          <cell r="B358" t="str">
            <v>SP1-A2-43288</v>
          </cell>
          <cell r="C358">
            <v>43288</v>
          </cell>
          <cell r="D358" t="str">
            <v>SP1</v>
          </cell>
          <cell r="E358" t="str">
            <v>A2</v>
          </cell>
          <cell r="F358">
            <v>43295</v>
          </cell>
          <cell r="G358" t="str">
            <v>TE</v>
          </cell>
          <cell r="H358">
            <v>8</v>
          </cell>
          <cell r="I358">
            <v>48</v>
          </cell>
          <cell r="J358">
            <v>128</v>
          </cell>
          <cell r="K358">
            <v>184</v>
          </cell>
          <cell r="L358">
            <v>0</v>
          </cell>
          <cell r="M358">
            <v>0</v>
          </cell>
          <cell r="N358">
            <v>0</v>
          </cell>
          <cell r="O358">
            <v>2</v>
          </cell>
          <cell r="P358">
            <v>0</v>
          </cell>
          <cell r="Q358">
            <v>0</v>
          </cell>
          <cell r="R358">
            <v>8</v>
          </cell>
          <cell r="S358" t="str">
            <v>Y</v>
          </cell>
          <cell r="T358">
            <v>50</v>
          </cell>
          <cell r="V358">
            <v>100</v>
          </cell>
          <cell r="X358" t="str">
            <v>TE</v>
          </cell>
          <cell r="Y358" t="str">
            <v>LV/IS</v>
          </cell>
          <cell r="Z358">
            <v>8</v>
          </cell>
          <cell r="AA358">
            <v>48</v>
          </cell>
          <cell r="AB358">
            <v>128</v>
          </cell>
          <cell r="AC358">
            <v>0.46900000000000008</v>
          </cell>
        </row>
        <row r="359">
          <cell r="A359" t="str">
            <v>BC1-A8-43292</v>
          </cell>
          <cell r="B359" t="str">
            <v>BC1-A8-43292</v>
          </cell>
          <cell r="C359">
            <v>43292</v>
          </cell>
          <cell r="D359" t="str">
            <v>BC1</v>
          </cell>
          <cell r="E359" t="str">
            <v>A8</v>
          </cell>
          <cell r="F359">
            <v>43297</v>
          </cell>
          <cell r="G359" t="str">
            <v>IS</v>
          </cell>
          <cell r="I359">
            <v>290</v>
          </cell>
          <cell r="K359">
            <v>290</v>
          </cell>
          <cell r="S359" t="str">
            <v>N</v>
          </cell>
          <cell r="T359">
            <v>100</v>
          </cell>
          <cell r="V359">
            <v>100</v>
          </cell>
          <cell r="W359" t="str">
            <v>50% counted for Blastocystus, total on 100%: 1324</v>
          </cell>
          <cell r="X359" t="str">
            <v>IS</v>
          </cell>
          <cell r="Y359" t="str">
            <v>JB</v>
          </cell>
          <cell r="Z359">
            <v>0</v>
          </cell>
          <cell r="AA359">
            <v>290</v>
          </cell>
          <cell r="AB359">
            <v>0</v>
          </cell>
          <cell r="AC359">
            <v>2E-3</v>
          </cell>
        </row>
        <row r="360">
          <cell r="A360" t="str">
            <v>BC2-B6-43292</v>
          </cell>
          <cell r="B360" t="str">
            <v>BC2-B6-43292</v>
          </cell>
          <cell r="C360">
            <v>43292</v>
          </cell>
          <cell r="D360" t="str">
            <v>BC2</v>
          </cell>
          <cell r="E360" t="str">
            <v>B6</v>
          </cell>
          <cell r="F360">
            <v>43296</v>
          </cell>
          <cell r="G360" t="str">
            <v>TE</v>
          </cell>
          <cell r="H360">
            <v>0</v>
          </cell>
          <cell r="I360">
            <v>0</v>
          </cell>
          <cell r="J360">
            <v>0</v>
          </cell>
          <cell r="K360">
            <v>0</v>
          </cell>
          <cell r="L360">
            <v>0</v>
          </cell>
          <cell r="M360">
            <v>0</v>
          </cell>
          <cell r="N360">
            <v>0</v>
          </cell>
          <cell r="O360">
            <v>0</v>
          </cell>
          <cell r="P360">
            <v>0</v>
          </cell>
          <cell r="Q360">
            <v>0</v>
          </cell>
          <cell r="R360">
            <v>0</v>
          </cell>
          <cell r="S360" t="str">
            <v>Y</v>
          </cell>
          <cell r="T360">
            <v>50</v>
          </cell>
          <cell r="V360">
            <v>100</v>
          </cell>
          <cell r="X360" t="str">
            <v>TE</v>
          </cell>
          <cell r="Y360" t="str">
            <v>LV/IS</v>
          </cell>
          <cell r="Z360">
            <v>0</v>
          </cell>
          <cell r="AA360">
            <v>0</v>
          </cell>
          <cell r="AB360">
            <v>0</v>
          </cell>
          <cell r="AC360">
            <v>3.1000000000000139E-2</v>
          </cell>
        </row>
        <row r="361">
          <cell r="A361" t="str">
            <v>BC2-E1-43292</v>
          </cell>
          <cell r="B361" t="str">
            <v>BC2-E1-43292</v>
          </cell>
          <cell r="C361">
            <v>43292</v>
          </cell>
          <cell r="D361" t="str">
            <v>BC2</v>
          </cell>
          <cell r="E361" t="str">
            <v>E1</v>
          </cell>
          <cell r="F361">
            <v>43297</v>
          </cell>
          <cell r="G361" t="str">
            <v>TE</v>
          </cell>
          <cell r="H361">
            <v>0</v>
          </cell>
          <cell r="I361">
            <v>0</v>
          </cell>
          <cell r="J361">
            <v>0</v>
          </cell>
          <cell r="K361">
            <v>0</v>
          </cell>
          <cell r="L361">
            <v>0</v>
          </cell>
          <cell r="M361">
            <v>0</v>
          </cell>
          <cell r="N361">
            <v>0</v>
          </cell>
          <cell r="O361">
            <v>0</v>
          </cell>
          <cell r="P361">
            <v>0</v>
          </cell>
          <cell r="Q361">
            <v>0</v>
          </cell>
          <cell r="R361">
            <v>0</v>
          </cell>
          <cell r="S361" t="str">
            <v>Y</v>
          </cell>
          <cell r="T361">
            <v>50</v>
          </cell>
          <cell r="V361">
            <v>100</v>
          </cell>
          <cell r="X361" t="str">
            <v>TE</v>
          </cell>
          <cell r="Y361" t="str">
            <v>LV/IS</v>
          </cell>
          <cell r="Z361">
            <v>0</v>
          </cell>
          <cell r="AA361">
            <v>0</v>
          </cell>
          <cell r="AB361">
            <v>0</v>
          </cell>
          <cell r="AC361">
            <v>3.400000000000003E-2</v>
          </cell>
        </row>
        <row r="362">
          <cell r="A362" t="str">
            <v>BC2-G1-43292</v>
          </cell>
          <cell r="B362" t="str">
            <v>BC2-G1-43292</v>
          </cell>
          <cell r="C362">
            <v>43292</v>
          </cell>
          <cell r="D362" t="str">
            <v>BC2</v>
          </cell>
          <cell r="E362" t="str">
            <v>G1</v>
          </cell>
          <cell r="F362">
            <v>43296</v>
          </cell>
          <cell r="G362" t="str">
            <v>DP</v>
          </cell>
          <cell r="H362">
            <v>224</v>
          </cell>
          <cell r="I362">
            <v>1758</v>
          </cell>
          <cell r="J362">
            <v>18</v>
          </cell>
          <cell r="Q362">
            <v>166</v>
          </cell>
          <cell r="S362" t="str">
            <v>Y</v>
          </cell>
          <cell r="T362">
            <v>50</v>
          </cell>
          <cell r="V362">
            <v>100</v>
          </cell>
          <cell r="X362" t="str">
            <v>DP</v>
          </cell>
          <cell r="Y362" t="str">
            <v>JB</v>
          </cell>
          <cell r="Z362">
            <v>224</v>
          </cell>
          <cell r="AA362">
            <v>1758</v>
          </cell>
          <cell r="AB362">
            <v>18</v>
          </cell>
          <cell r="AC362">
            <v>6.800000000000006E-2</v>
          </cell>
        </row>
        <row r="363">
          <cell r="A363" t="str">
            <v>BC2-A3-43292</v>
          </cell>
          <cell r="B363" t="str">
            <v>BC2-A3-43292</v>
          </cell>
          <cell r="C363">
            <v>43292</v>
          </cell>
          <cell r="D363" t="str">
            <v>BC2</v>
          </cell>
          <cell r="E363" t="str">
            <v>A3</v>
          </cell>
          <cell r="F363">
            <v>43296</v>
          </cell>
          <cell r="G363" t="str">
            <v>JB</v>
          </cell>
          <cell r="H363">
            <v>422</v>
          </cell>
          <cell r="I363">
            <v>2210</v>
          </cell>
          <cell r="J363">
            <v>0</v>
          </cell>
          <cell r="K363">
            <v>2632</v>
          </cell>
          <cell r="L363">
            <v>1</v>
          </cell>
          <cell r="M363">
            <v>0</v>
          </cell>
          <cell r="N363">
            <v>0</v>
          </cell>
          <cell r="O363">
            <v>0</v>
          </cell>
          <cell r="P363">
            <v>0</v>
          </cell>
          <cell r="Q363">
            <v>0</v>
          </cell>
          <cell r="R363">
            <v>1</v>
          </cell>
          <cell r="S363" t="str">
            <v>Y</v>
          </cell>
          <cell r="T363">
            <v>50</v>
          </cell>
          <cell r="V363">
            <v>100</v>
          </cell>
          <cell r="X363" t="str">
            <v>JB</v>
          </cell>
          <cell r="Y363" t="str">
            <v>TE</v>
          </cell>
          <cell r="Z363">
            <v>422</v>
          </cell>
          <cell r="AA363">
            <v>2210</v>
          </cell>
          <cell r="AB363">
            <v>0</v>
          </cell>
          <cell r="AC363">
            <v>0.1030000000000002</v>
          </cell>
        </row>
        <row r="364">
          <cell r="A364" t="str">
            <v>BC1-E8-43292</v>
          </cell>
          <cell r="B364" t="str">
            <v>BC1-E8-43292</v>
          </cell>
          <cell r="C364">
            <v>43292</v>
          </cell>
          <cell r="D364" t="str">
            <v>BC1</v>
          </cell>
          <cell r="E364" t="str">
            <v>E8</v>
          </cell>
          <cell r="F364">
            <v>43297</v>
          </cell>
          <cell r="G364" t="str">
            <v>DP</v>
          </cell>
          <cell r="H364">
            <v>4</v>
          </cell>
          <cell r="N364">
            <v>22</v>
          </cell>
          <cell r="R364">
            <v>1</v>
          </cell>
          <cell r="S364" t="str">
            <v>Y</v>
          </cell>
          <cell r="T364">
            <v>50</v>
          </cell>
          <cell r="V364">
            <v>100</v>
          </cell>
          <cell r="X364" t="str">
            <v>DP</v>
          </cell>
          <cell r="Y364" t="str">
            <v>JB</v>
          </cell>
          <cell r="Z364">
            <v>4</v>
          </cell>
          <cell r="AA364">
            <v>0</v>
          </cell>
          <cell r="AB364">
            <v>0</v>
          </cell>
          <cell r="AC364">
            <v>0.1050000000000002</v>
          </cell>
        </row>
        <row r="365">
          <cell r="A365" t="str">
            <v>BC1-G7-43292</v>
          </cell>
          <cell r="B365" t="str">
            <v>BC1-G7-43292</v>
          </cell>
          <cell r="C365">
            <v>43292</v>
          </cell>
          <cell r="D365" t="str">
            <v>BC1</v>
          </cell>
          <cell r="E365" t="str">
            <v>G7</v>
          </cell>
          <cell r="F365">
            <v>43297</v>
          </cell>
          <cell r="G365" t="str">
            <v>TE</v>
          </cell>
          <cell r="H365">
            <v>0</v>
          </cell>
          <cell r="I365">
            <v>0</v>
          </cell>
          <cell r="J365">
            <v>4</v>
          </cell>
          <cell r="K365">
            <v>4</v>
          </cell>
          <cell r="L365">
            <v>0</v>
          </cell>
          <cell r="M365">
            <v>0</v>
          </cell>
          <cell r="N365">
            <v>0</v>
          </cell>
          <cell r="O365">
            <v>0</v>
          </cell>
          <cell r="P365">
            <v>0</v>
          </cell>
          <cell r="Q365">
            <v>0</v>
          </cell>
          <cell r="R365">
            <v>0</v>
          </cell>
          <cell r="S365" t="str">
            <v>Y</v>
          </cell>
          <cell r="T365">
            <v>50</v>
          </cell>
          <cell r="V365">
            <v>100</v>
          </cell>
          <cell r="W365" t="str">
            <v>2 blastocystis</v>
          </cell>
          <cell r="X365" t="str">
            <v>TE</v>
          </cell>
          <cell r="Y365" t="str">
            <v>LV/IS</v>
          </cell>
          <cell r="Z365">
            <v>0</v>
          </cell>
          <cell r="AA365">
            <v>0</v>
          </cell>
          <cell r="AB365">
            <v>4</v>
          </cell>
          <cell r="AC365">
            <v>0.14900000000000002</v>
          </cell>
        </row>
        <row r="366">
          <cell r="A366" t="str">
            <v>BC2-E5-43292</v>
          </cell>
          <cell r="B366" t="str">
            <v>BC2-E5-43292</v>
          </cell>
          <cell r="C366">
            <v>43292</v>
          </cell>
          <cell r="D366" t="str">
            <v>BC2</v>
          </cell>
          <cell r="E366" t="str">
            <v>E5</v>
          </cell>
          <cell r="F366">
            <v>43297</v>
          </cell>
          <cell r="G366" t="str">
            <v>DP</v>
          </cell>
          <cell r="I366">
            <v>170</v>
          </cell>
          <cell r="S366" t="str">
            <v>Y</v>
          </cell>
          <cell r="T366">
            <v>50</v>
          </cell>
          <cell r="V366">
            <v>100</v>
          </cell>
          <cell r="X366" t="str">
            <v>DP</v>
          </cell>
          <cell r="Y366" t="str">
            <v>JB</v>
          </cell>
          <cell r="Z366">
            <v>0</v>
          </cell>
          <cell r="AA366">
            <v>170</v>
          </cell>
          <cell r="AB366">
            <v>0</v>
          </cell>
          <cell r="AC366">
            <v>0.16000000000000014</v>
          </cell>
        </row>
        <row r="367">
          <cell r="A367" t="str">
            <v>BC2-H3-43292</v>
          </cell>
          <cell r="B367" t="str">
            <v>BC2-H3-43292</v>
          </cell>
          <cell r="C367">
            <v>43292</v>
          </cell>
          <cell r="D367" t="str">
            <v>BC2</v>
          </cell>
          <cell r="E367" t="str">
            <v>H3</v>
          </cell>
          <cell r="F367">
            <v>43297</v>
          </cell>
          <cell r="G367" t="str">
            <v>JB</v>
          </cell>
          <cell r="H367">
            <v>0</v>
          </cell>
          <cell r="I367">
            <v>138</v>
          </cell>
          <cell r="J367">
            <v>0</v>
          </cell>
          <cell r="K367">
            <v>138</v>
          </cell>
          <cell r="L367">
            <v>0</v>
          </cell>
          <cell r="M367">
            <v>0</v>
          </cell>
          <cell r="N367">
            <v>307</v>
          </cell>
          <cell r="O367">
            <v>0</v>
          </cell>
          <cell r="P367">
            <v>0</v>
          </cell>
          <cell r="Q367">
            <v>0</v>
          </cell>
          <cell r="R367">
            <v>0</v>
          </cell>
          <cell r="S367" t="str">
            <v>Y</v>
          </cell>
          <cell r="T367">
            <v>50</v>
          </cell>
          <cell r="V367">
            <v>100</v>
          </cell>
          <cell r="X367" t="str">
            <v>JB</v>
          </cell>
          <cell r="Y367" t="str">
            <v>TE</v>
          </cell>
          <cell r="Z367">
            <v>0</v>
          </cell>
          <cell r="AA367">
            <v>138</v>
          </cell>
          <cell r="AB367">
            <v>0</v>
          </cell>
          <cell r="AC367">
            <v>0.17900000000000005</v>
          </cell>
        </row>
        <row r="368">
          <cell r="A368" t="str">
            <v>BC2-B3-43292</v>
          </cell>
          <cell r="B368" t="str">
            <v>BC2-B3-43292</v>
          </cell>
          <cell r="C368">
            <v>43292</v>
          </cell>
          <cell r="D368" t="str">
            <v>BC2</v>
          </cell>
          <cell r="E368" t="str">
            <v>B3</v>
          </cell>
          <cell r="F368">
            <v>43301</v>
          </cell>
          <cell r="G368" t="str">
            <v>TE</v>
          </cell>
          <cell r="H368">
            <v>0</v>
          </cell>
          <cell r="I368">
            <v>0</v>
          </cell>
          <cell r="J368">
            <v>11</v>
          </cell>
          <cell r="K368">
            <v>11</v>
          </cell>
          <cell r="L368">
            <v>0</v>
          </cell>
          <cell r="M368">
            <v>0</v>
          </cell>
          <cell r="N368">
            <v>0</v>
          </cell>
          <cell r="O368">
            <v>0</v>
          </cell>
          <cell r="P368">
            <v>0</v>
          </cell>
          <cell r="Q368">
            <v>0</v>
          </cell>
          <cell r="R368">
            <v>0</v>
          </cell>
          <cell r="S368" t="str">
            <v>N</v>
          </cell>
          <cell r="T368">
            <v>36</v>
          </cell>
          <cell r="V368">
            <v>100</v>
          </cell>
          <cell r="W368" t="str">
            <v>36%; Power outage</v>
          </cell>
          <cell r="X368" t="str">
            <v>TE</v>
          </cell>
          <cell r="Y368" t="str">
            <v>LV/IS</v>
          </cell>
          <cell r="Z368">
            <v>0</v>
          </cell>
          <cell r="AA368">
            <v>0</v>
          </cell>
          <cell r="AB368">
            <v>11</v>
          </cell>
          <cell r="AC368">
            <v>0.19500000000000006</v>
          </cell>
        </row>
        <row r="369">
          <cell r="A369" t="str">
            <v>BC1-G8-43292</v>
          </cell>
          <cell r="B369" t="str">
            <v>BC1-G8-43292</v>
          </cell>
          <cell r="C369">
            <v>43292</v>
          </cell>
          <cell r="D369" t="str">
            <v>BC1</v>
          </cell>
          <cell r="E369" t="str">
            <v>G8</v>
          </cell>
          <cell r="F369">
            <v>43301</v>
          </cell>
          <cell r="G369" t="str">
            <v>DP</v>
          </cell>
          <cell r="H369">
            <v>6</v>
          </cell>
          <cell r="I369">
            <v>462</v>
          </cell>
          <cell r="J369">
            <v>30</v>
          </cell>
          <cell r="S369" t="str">
            <v>Y</v>
          </cell>
          <cell r="T369">
            <v>50</v>
          </cell>
          <cell r="V369">
            <v>100</v>
          </cell>
          <cell r="X369" t="str">
            <v>DP</v>
          </cell>
          <cell r="Y369" t="str">
            <v>JB</v>
          </cell>
          <cell r="Z369">
            <v>6</v>
          </cell>
          <cell r="AA369">
            <v>462</v>
          </cell>
          <cell r="AB369">
            <v>30</v>
          </cell>
          <cell r="AC369">
            <v>0.34600000000000009</v>
          </cell>
        </row>
        <row r="370">
          <cell r="A370" t="str">
            <v>BC1-C8-43292</v>
          </cell>
          <cell r="B370" t="str">
            <v>BC1-C8-43292</v>
          </cell>
          <cell r="C370">
            <v>43292</v>
          </cell>
          <cell r="D370" t="str">
            <v>BC1</v>
          </cell>
          <cell r="E370" t="str">
            <v>C8</v>
          </cell>
          <cell r="F370">
            <v>43297</v>
          </cell>
          <cell r="G370" t="str">
            <v>JB</v>
          </cell>
          <cell r="H370">
            <v>0</v>
          </cell>
          <cell r="I370">
            <v>13332</v>
          </cell>
          <cell r="J370">
            <v>0</v>
          </cell>
          <cell r="K370">
            <v>13332</v>
          </cell>
          <cell r="L370">
            <v>0</v>
          </cell>
          <cell r="M370">
            <v>0</v>
          </cell>
          <cell r="N370">
            <v>0</v>
          </cell>
          <cell r="O370">
            <v>0</v>
          </cell>
          <cell r="P370">
            <v>0</v>
          </cell>
          <cell r="Q370">
            <v>0</v>
          </cell>
          <cell r="R370">
            <v>0</v>
          </cell>
          <cell r="S370" t="str">
            <v>N</v>
          </cell>
          <cell r="T370">
            <v>25</v>
          </cell>
          <cell r="V370">
            <v>100</v>
          </cell>
          <cell r="W370" t="str">
            <v>25% for Coccidia sp. ; a lot of blueberry seeds</v>
          </cell>
          <cell r="X370" t="str">
            <v>JB</v>
          </cell>
          <cell r="Y370" t="str">
            <v>TE</v>
          </cell>
          <cell r="Z370">
            <v>0</v>
          </cell>
          <cell r="AA370">
            <v>13332</v>
          </cell>
          <cell r="AB370">
            <v>0</v>
          </cell>
          <cell r="AC370">
            <v>0.46800000000000019</v>
          </cell>
        </row>
        <row r="371">
          <cell r="A371" t="str">
            <v>BC1-A7-43292</v>
          </cell>
          <cell r="B371" t="str">
            <v>BC1-A7-43292</v>
          </cell>
          <cell r="C371">
            <v>43292</v>
          </cell>
          <cell r="D371" t="str">
            <v>BC1</v>
          </cell>
          <cell r="E371" t="str">
            <v>A7</v>
          </cell>
          <cell r="F371">
            <v>43297</v>
          </cell>
          <cell r="G371" t="str">
            <v>TE</v>
          </cell>
          <cell r="H371">
            <v>0</v>
          </cell>
          <cell r="I371">
            <v>0</v>
          </cell>
          <cell r="J371">
            <v>0</v>
          </cell>
          <cell r="K371">
            <v>0</v>
          </cell>
          <cell r="L371">
            <v>0</v>
          </cell>
          <cell r="M371">
            <v>0</v>
          </cell>
          <cell r="N371">
            <v>0</v>
          </cell>
          <cell r="O371">
            <v>0</v>
          </cell>
          <cell r="P371">
            <v>0</v>
          </cell>
          <cell r="Q371">
            <v>0</v>
          </cell>
          <cell r="R371">
            <v>0</v>
          </cell>
          <cell r="S371" t="str">
            <v>Y</v>
          </cell>
          <cell r="T371">
            <v>50</v>
          </cell>
          <cell r="V371">
            <v>100</v>
          </cell>
          <cell r="X371" t="str">
            <v>TE</v>
          </cell>
          <cell r="Y371" t="str">
            <v>LV/IS</v>
          </cell>
          <cell r="Z371">
            <v>0</v>
          </cell>
          <cell r="AA371">
            <v>0</v>
          </cell>
          <cell r="AB371">
            <v>0</v>
          </cell>
        </row>
        <row r="372">
          <cell r="A372" t="str">
            <v>BC1-A7-43292</v>
          </cell>
          <cell r="B372" t="str">
            <v>BC1-A7-43292</v>
          </cell>
          <cell r="C372">
            <v>43292</v>
          </cell>
          <cell r="D372" t="str">
            <v>BC1</v>
          </cell>
          <cell r="E372" t="str">
            <v>A7</v>
          </cell>
          <cell r="F372">
            <v>43301</v>
          </cell>
          <cell r="G372" t="str">
            <v>TE</v>
          </cell>
          <cell r="H372">
            <v>6</v>
          </cell>
          <cell r="I372">
            <v>50</v>
          </cell>
          <cell r="J372">
            <v>112</v>
          </cell>
          <cell r="K372">
            <v>168</v>
          </cell>
          <cell r="L372">
            <v>0</v>
          </cell>
          <cell r="M372">
            <v>0</v>
          </cell>
          <cell r="N372">
            <v>0</v>
          </cell>
          <cell r="O372">
            <v>0</v>
          </cell>
          <cell r="P372">
            <v>0</v>
          </cell>
          <cell r="Q372">
            <v>0</v>
          </cell>
          <cell r="R372">
            <v>0</v>
          </cell>
          <cell r="S372" t="str">
            <v>Y</v>
          </cell>
          <cell r="T372">
            <v>50</v>
          </cell>
          <cell r="V372">
            <v>100</v>
          </cell>
          <cell r="X372" t="str">
            <v>TE</v>
          </cell>
          <cell r="Y372" t="str">
            <v>LV/IS</v>
          </cell>
          <cell r="Z372">
            <v>6</v>
          </cell>
          <cell r="AA372">
            <v>50</v>
          </cell>
          <cell r="AB372">
            <v>112</v>
          </cell>
        </row>
        <row r="373">
          <cell r="A373" t="str">
            <v>BC1-G7-43293</v>
          </cell>
          <cell r="B373" t="str">
            <v>BC1-G7-43293</v>
          </cell>
          <cell r="C373">
            <v>43293</v>
          </cell>
          <cell r="D373" t="str">
            <v>BC1</v>
          </cell>
          <cell r="E373" t="str">
            <v>G7</v>
          </cell>
          <cell r="F373">
            <v>43301</v>
          </cell>
          <cell r="G373" t="str">
            <v>TE</v>
          </cell>
          <cell r="H373">
            <v>0</v>
          </cell>
          <cell r="I373">
            <v>0</v>
          </cell>
          <cell r="J373">
            <v>0</v>
          </cell>
          <cell r="K373">
            <v>0</v>
          </cell>
          <cell r="L373">
            <v>0</v>
          </cell>
          <cell r="M373">
            <v>0</v>
          </cell>
          <cell r="N373">
            <v>0</v>
          </cell>
          <cell r="O373">
            <v>0</v>
          </cell>
          <cell r="P373">
            <v>0</v>
          </cell>
          <cell r="Q373">
            <v>0</v>
          </cell>
          <cell r="R373">
            <v>0</v>
          </cell>
          <cell r="S373" t="str">
            <v>Y</v>
          </cell>
          <cell r="T373">
            <v>50</v>
          </cell>
          <cell r="V373">
            <v>100</v>
          </cell>
          <cell r="X373" t="str">
            <v>TE</v>
          </cell>
          <cell r="Y373" t="str">
            <v>LV/IS</v>
          </cell>
          <cell r="Z373">
            <v>0</v>
          </cell>
          <cell r="AA373">
            <v>0</v>
          </cell>
          <cell r="AB373">
            <v>0</v>
          </cell>
          <cell r="AC373">
            <v>-2.3999999999999799E-2</v>
          </cell>
        </row>
        <row r="374">
          <cell r="A374" t="str">
            <v>BC2-C8-43293</v>
          </cell>
          <cell r="B374" t="str">
            <v>BC2-C8-43293</v>
          </cell>
          <cell r="C374">
            <v>43293</v>
          </cell>
          <cell r="D374" t="str">
            <v>BC2</v>
          </cell>
          <cell r="E374" t="str">
            <v>C8</v>
          </cell>
          <cell r="F374">
            <v>43301</v>
          </cell>
          <cell r="G374" t="str">
            <v>JB</v>
          </cell>
          <cell r="H374">
            <v>0</v>
          </cell>
          <cell r="I374">
            <v>0</v>
          </cell>
          <cell r="J374">
            <v>0</v>
          </cell>
          <cell r="K374">
            <v>0</v>
          </cell>
          <cell r="L374">
            <v>0</v>
          </cell>
          <cell r="M374">
            <v>0</v>
          </cell>
          <cell r="N374">
            <v>0</v>
          </cell>
          <cell r="O374">
            <v>0</v>
          </cell>
          <cell r="P374">
            <v>0</v>
          </cell>
          <cell r="Q374">
            <v>0</v>
          </cell>
          <cell r="R374">
            <v>0</v>
          </cell>
          <cell r="S374" t="str">
            <v>Y</v>
          </cell>
          <cell r="T374">
            <v>50</v>
          </cell>
          <cell r="V374">
            <v>100</v>
          </cell>
          <cell r="X374" t="str">
            <v>JB</v>
          </cell>
          <cell r="Y374" t="str">
            <v>TE</v>
          </cell>
          <cell r="Z374">
            <v>0</v>
          </cell>
          <cell r="AA374">
            <v>0</v>
          </cell>
          <cell r="AB374">
            <v>0</v>
          </cell>
          <cell r="AC374">
            <v>2.8000000000000025E-2</v>
          </cell>
        </row>
        <row r="375">
          <cell r="A375" t="str">
            <v>BC2-H2-43293</v>
          </cell>
          <cell r="B375" t="str">
            <v>BC2-H2-43293</v>
          </cell>
          <cell r="C375">
            <v>43293</v>
          </cell>
          <cell r="D375" t="str">
            <v>BC2</v>
          </cell>
          <cell r="E375" t="str">
            <v>H2</v>
          </cell>
          <cell r="F375">
            <v>43301</v>
          </cell>
          <cell r="G375" t="str">
            <v>JB</v>
          </cell>
          <cell r="H375">
            <v>4</v>
          </cell>
          <cell r="I375">
            <v>38</v>
          </cell>
          <cell r="J375">
            <v>0</v>
          </cell>
          <cell r="K375">
            <v>42</v>
          </cell>
          <cell r="L375">
            <v>0</v>
          </cell>
          <cell r="M375">
            <v>0</v>
          </cell>
          <cell r="N375">
            <v>125</v>
          </cell>
          <cell r="O375">
            <v>0</v>
          </cell>
          <cell r="P375">
            <v>0</v>
          </cell>
          <cell r="Q375">
            <v>0</v>
          </cell>
          <cell r="R375">
            <v>0</v>
          </cell>
          <cell r="S375" t="str">
            <v>Y</v>
          </cell>
          <cell r="T375">
            <v>50</v>
          </cell>
          <cell r="V375">
            <v>100</v>
          </cell>
          <cell r="W375" t="str">
            <v>3 big Capillaria sp (not americana) with 4 bubbles inside. Picture on back of sheet and picture sent to Sarah</v>
          </cell>
          <cell r="X375" t="str">
            <v>JB</v>
          </cell>
          <cell r="Y375" t="str">
            <v>TE</v>
          </cell>
          <cell r="Z375">
            <v>4</v>
          </cell>
          <cell r="AA375">
            <v>38</v>
          </cell>
          <cell r="AB375">
            <v>0</v>
          </cell>
          <cell r="AC375">
            <v>0</v>
          </cell>
        </row>
        <row r="376">
          <cell r="A376" t="str">
            <v>BC2-G7-43293</v>
          </cell>
          <cell r="B376" t="str">
            <v>BC2-G7-43293</v>
          </cell>
          <cell r="C376">
            <v>43293</v>
          </cell>
          <cell r="D376" t="str">
            <v>BC2</v>
          </cell>
          <cell r="E376" t="str">
            <v>G7</v>
          </cell>
          <cell r="F376">
            <v>43301</v>
          </cell>
          <cell r="G376" t="str">
            <v>DP</v>
          </cell>
          <cell r="H376">
            <v>80</v>
          </cell>
          <cell r="I376">
            <v>15020</v>
          </cell>
          <cell r="J376">
            <v>348</v>
          </cell>
          <cell r="S376" t="str">
            <v>N</v>
          </cell>
          <cell r="T376">
            <v>25</v>
          </cell>
          <cell r="V376">
            <v>100</v>
          </cell>
          <cell r="W376" t="str">
            <v>25% for Coccidia sp.</v>
          </cell>
          <cell r="X376" t="str">
            <v>DP</v>
          </cell>
          <cell r="Y376" t="str">
            <v>JB</v>
          </cell>
          <cell r="Z376">
            <v>80</v>
          </cell>
          <cell r="AA376">
            <v>15020</v>
          </cell>
          <cell r="AB376">
            <v>348</v>
          </cell>
          <cell r="AC376">
            <v>0.14100000000000001</v>
          </cell>
        </row>
        <row r="377">
          <cell r="A377" t="str">
            <v>HW1-H7-43294</v>
          </cell>
          <cell r="B377" t="str">
            <v>HW1-H7-43294</v>
          </cell>
          <cell r="C377">
            <v>43294</v>
          </cell>
          <cell r="D377" t="str">
            <v>HW1</v>
          </cell>
          <cell r="E377" t="str">
            <v>H7</v>
          </cell>
          <cell r="F377">
            <v>43303</v>
          </cell>
          <cell r="G377" t="str">
            <v>TE</v>
          </cell>
          <cell r="H377">
            <v>0</v>
          </cell>
          <cell r="I377">
            <v>0</v>
          </cell>
          <cell r="J377">
            <v>2</v>
          </cell>
          <cell r="K377">
            <v>2</v>
          </cell>
          <cell r="L377">
            <v>0</v>
          </cell>
          <cell r="M377">
            <v>0</v>
          </cell>
          <cell r="N377">
            <v>5</v>
          </cell>
          <cell r="O377">
            <v>0</v>
          </cell>
          <cell r="P377">
            <v>0</v>
          </cell>
          <cell r="Q377">
            <v>0</v>
          </cell>
          <cell r="R377">
            <v>0</v>
          </cell>
          <cell r="S377" t="str">
            <v>Y</v>
          </cell>
          <cell r="T377">
            <v>50</v>
          </cell>
          <cell r="V377">
            <v>100</v>
          </cell>
          <cell r="X377" t="str">
            <v>TE</v>
          </cell>
          <cell r="Y377" t="str">
            <v>LV/IS</v>
          </cell>
          <cell r="Z377">
            <v>0</v>
          </cell>
          <cell r="AA377">
            <v>0</v>
          </cell>
          <cell r="AB377">
            <v>2</v>
          </cell>
          <cell r="AC377">
            <v>4.2000000000000037E-2</v>
          </cell>
        </row>
        <row r="378">
          <cell r="A378" t="str">
            <v>HW1-A6-43294</v>
          </cell>
          <cell r="B378" t="str">
            <v>HW1-A6-43294</v>
          </cell>
          <cell r="C378">
            <v>43294</v>
          </cell>
          <cell r="D378" t="str">
            <v>HW1</v>
          </cell>
          <cell r="E378" t="str">
            <v>A6</v>
          </cell>
          <cell r="F378">
            <v>43303</v>
          </cell>
          <cell r="G378" t="str">
            <v>JB</v>
          </cell>
          <cell r="H378">
            <v>0</v>
          </cell>
          <cell r="I378">
            <v>602</v>
          </cell>
          <cell r="J378">
            <v>0</v>
          </cell>
          <cell r="K378">
            <v>602</v>
          </cell>
          <cell r="L378">
            <v>0</v>
          </cell>
          <cell r="M378">
            <v>0</v>
          </cell>
          <cell r="N378">
            <v>0</v>
          </cell>
          <cell r="O378">
            <v>0</v>
          </cell>
          <cell r="P378">
            <v>0</v>
          </cell>
          <cell r="Q378">
            <v>0</v>
          </cell>
          <cell r="R378">
            <v>0</v>
          </cell>
          <cell r="S378" t="str">
            <v>Y</v>
          </cell>
          <cell r="T378">
            <v>50</v>
          </cell>
          <cell r="V378">
            <v>100</v>
          </cell>
          <cell r="X378" t="str">
            <v>JB</v>
          </cell>
          <cell r="Y378" t="str">
            <v>TE</v>
          </cell>
          <cell r="Z378">
            <v>0</v>
          </cell>
          <cell r="AA378">
            <v>602</v>
          </cell>
          <cell r="AB378">
            <v>0</v>
          </cell>
          <cell r="AC378">
            <v>5.2000000000000046E-2</v>
          </cell>
        </row>
        <row r="379">
          <cell r="A379" t="str">
            <v>HW1-A5-43294</v>
          </cell>
          <cell r="B379" t="str">
            <v>HW1-A5-43294</v>
          </cell>
          <cell r="C379">
            <v>43294</v>
          </cell>
          <cell r="D379" t="str">
            <v>HW1</v>
          </cell>
          <cell r="E379" t="str">
            <v>A5</v>
          </cell>
          <cell r="F379">
            <v>43303</v>
          </cell>
          <cell r="G379" t="str">
            <v>DP</v>
          </cell>
          <cell r="H379">
            <v>0</v>
          </cell>
          <cell r="I379">
            <v>68</v>
          </cell>
          <cell r="J379">
            <v>6</v>
          </cell>
          <cell r="K379">
            <v>74</v>
          </cell>
          <cell r="L379">
            <v>0</v>
          </cell>
          <cell r="M379">
            <v>0</v>
          </cell>
          <cell r="N379">
            <v>0</v>
          </cell>
          <cell r="O379">
            <v>0</v>
          </cell>
          <cell r="P379">
            <v>0</v>
          </cell>
          <cell r="Q379">
            <v>0</v>
          </cell>
          <cell r="R379">
            <v>0</v>
          </cell>
          <cell r="S379" t="str">
            <v>Y</v>
          </cell>
          <cell r="T379">
            <v>50</v>
          </cell>
          <cell r="V379">
            <v>100</v>
          </cell>
          <cell r="X379" t="str">
            <v>JB</v>
          </cell>
          <cell r="Y379" t="str">
            <v>TE</v>
          </cell>
          <cell r="Z379">
            <v>0</v>
          </cell>
          <cell r="AA379">
            <v>68</v>
          </cell>
          <cell r="AB379">
            <v>6</v>
          </cell>
          <cell r="AC379">
            <v>7.1000000000000174E-2</v>
          </cell>
        </row>
        <row r="380">
          <cell r="A380" t="str">
            <v>HW1-H1-43294</v>
          </cell>
          <cell r="B380" t="str">
            <v>HW1-H1-43294</v>
          </cell>
          <cell r="C380">
            <v>43294</v>
          </cell>
          <cell r="D380" t="str">
            <v>HW1</v>
          </cell>
          <cell r="E380" t="str">
            <v>H1</v>
          </cell>
          <cell r="F380">
            <v>43302</v>
          </cell>
          <cell r="G380" t="str">
            <v>TE</v>
          </cell>
          <cell r="H380">
            <v>0</v>
          </cell>
          <cell r="I380">
            <v>18</v>
          </cell>
          <cell r="J380">
            <v>98</v>
          </cell>
          <cell r="K380">
            <v>116</v>
          </cell>
          <cell r="L380">
            <v>0</v>
          </cell>
          <cell r="M380">
            <v>0</v>
          </cell>
          <cell r="N380">
            <v>0</v>
          </cell>
          <cell r="O380">
            <v>0</v>
          </cell>
          <cell r="P380">
            <v>0</v>
          </cell>
          <cell r="Q380">
            <v>0</v>
          </cell>
          <cell r="R380">
            <v>0</v>
          </cell>
          <cell r="S380" t="str">
            <v>Y</v>
          </cell>
          <cell r="T380">
            <v>50</v>
          </cell>
          <cell r="V380">
            <v>100</v>
          </cell>
          <cell r="X380" t="str">
            <v>TE</v>
          </cell>
          <cell r="Y380" t="str">
            <v>LV/IS</v>
          </cell>
          <cell r="Z380">
            <v>0</v>
          </cell>
          <cell r="AA380">
            <v>18</v>
          </cell>
          <cell r="AB380">
            <v>98</v>
          </cell>
          <cell r="AC380">
            <v>9.3000000000000194E-2</v>
          </cell>
        </row>
        <row r="381">
          <cell r="A381" t="str">
            <v>HW2-D5-43294</v>
          </cell>
          <cell r="B381" t="str">
            <v>HW2-D5-43294</v>
          </cell>
          <cell r="C381">
            <v>43294</v>
          </cell>
          <cell r="D381" t="str">
            <v>HW2</v>
          </cell>
          <cell r="E381" t="str">
            <v>D5</v>
          </cell>
          <cell r="F381">
            <v>43439</v>
          </cell>
          <cell r="G381" t="str">
            <v>JY</v>
          </cell>
          <cell r="I381">
            <v>30</v>
          </cell>
          <cell r="K381">
            <v>30</v>
          </cell>
          <cell r="S381" t="str">
            <v xml:space="preserve">Y </v>
          </cell>
          <cell r="T381">
            <v>50</v>
          </cell>
          <cell r="V381">
            <v>100</v>
          </cell>
          <cell r="X381" t="str">
            <v>LV</v>
          </cell>
          <cell r="Y381" t="str">
            <v>TE</v>
          </cell>
          <cell r="Z381">
            <v>0</v>
          </cell>
          <cell r="AA381">
            <v>30</v>
          </cell>
          <cell r="AB381">
            <v>0</v>
          </cell>
          <cell r="AC381">
            <v>0.10600000000000009</v>
          </cell>
        </row>
        <row r="382">
          <cell r="A382" t="str">
            <v>HW2-E1-43294</v>
          </cell>
          <cell r="B382" t="str">
            <v>HW2-E1-43294</v>
          </cell>
          <cell r="C382">
            <v>43294</v>
          </cell>
          <cell r="D382" t="str">
            <v>HW2</v>
          </cell>
          <cell r="E382" t="str">
            <v>E1</v>
          </cell>
          <cell r="F382">
            <v>43502</v>
          </cell>
          <cell r="G382" t="str">
            <v>JY</v>
          </cell>
          <cell r="I382">
            <v>2</v>
          </cell>
          <cell r="K382">
            <v>2</v>
          </cell>
          <cell r="S382" t="str">
            <v>Y</v>
          </cell>
          <cell r="T382">
            <v>50</v>
          </cell>
          <cell r="V382">
            <v>100</v>
          </cell>
          <cell r="W382" t="str">
            <v>1672 Blastocystis</v>
          </cell>
          <cell r="X382" t="str">
            <v>TE</v>
          </cell>
          <cell r="Y382" t="str">
            <v>TE</v>
          </cell>
          <cell r="Z382">
            <v>0</v>
          </cell>
          <cell r="AA382">
            <v>2</v>
          </cell>
          <cell r="AB382">
            <v>0</v>
          </cell>
          <cell r="AC382">
            <v>0.10700000000000021</v>
          </cell>
        </row>
        <row r="383">
          <cell r="A383" t="str">
            <v>HW2-D4-43294</v>
          </cell>
          <cell r="B383" t="str">
            <v>HW2-D4-43294</v>
          </cell>
          <cell r="C383">
            <v>43294</v>
          </cell>
          <cell r="D383" t="str">
            <v>HW2</v>
          </cell>
          <cell r="E383" t="str">
            <v>D4</v>
          </cell>
          <cell r="F383">
            <v>43303</v>
          </cell>
          <cell r="G383" t="str">
            <v>JB</v>
          </cell>
          <cell r="H383">
            <v>0</v>
          </cell>
          <cell r="I383">
            <v>3142</v>
          </cell>
          <cell r="J383">
            <v>0</v>
          </cell>
          <cell r="K383">
            <v>3142</v>
          </cell>
          <cell r="L383">
            <v>0</v>
          </cell>
          <cell r="M383">
            <v>0</v>
          </cell>
          <cell r="N383">
            <v>0</v>
          </cell>
          <cell r="O383">
            <v>0</v>
          </cell>
          <cell r="P383">
            <v>0</v>
          </cell>
          <cell r="Q383">
            <v>0</v>
          </cell>
          <cell r="R383">
            <v>0</v>
          </cell>
          <cell r="S383" t="str">
            <v>Y</v>
          </cell>
          <cell r="T383">
            <v>50</v>
          </cell>
          <cell r="V383">
            <v>100</v>
          </cell>
          <cell r="X383" t="str">
            <v>JB</v>
          </cell>
          <cell r="Y383" t="str">
            <v>TE</v>
          </cell>
          <cell r="Z383">
            <v>0</v>
          </cell>
          <cell r="AA383">
            <v>3142</v>
          </cell>
          <cell r="AB383">
            <v>0</v>
          </cell>
          <cell r="AC383">
            <v>0.121</v>
          </cell>
        </row>
        <row r="384">
          <cell r="A384" t="str">
            <v>HW2-C5-43294</v>
          </cell>
          <cell r="B384" t="str">
            <v>HW2-C5-43294</v>
          </cell>
          <cell r="C384">
            <v>43294</v>
          </cell>
          <cell r="D384" t="str">
            <v>HW2</v>
          </cell>
          <cell r="E384" t="str">
            <v>C5</v>
          </cell>
          <cell r="F384">
            <v>43411</v>
          </cell>
          <cell r="G384" t="str">
            <v>JY</v>
          </cell>
          <cell r="H384">
            <v>4</v>
          </cell>
          <cell r="I384">
            <v>248</v>
          </cell>
          <cell r="K384">
            <v>252</v>
          </cell>
          <cell r="S384" t="str">
            <v>Y</v>
          </cell>
          <cell r="T384">
            <v>50</v>
          </cell>
          <cell r="V384">
            <v>100</v>
          </cell>
          <cell r="X384" t="str">
            <v>LV</v>
          </cell>
          <cell r="Y384" t="str">
            <v>TE</v>
          </cell>
          <cell r="Z384">
            <v>4</v>
          </cell>
          <cell r="AA384">
            <v>248</v>
          </cell>
          <cell r="AB384">
            <v>0</v>
          </cell>
          <cell r="AC384">
            <v>0.16300000000000003</v>
          </cell>
        </row>
        <row r="385">
          <cell r="A385" t="str">
            <v>HW2-C8-43294</v>
          </cell>
          <cell r="B385" t="str">
            <v>HW2-C8-43294</v>
          </cell>
          <cell r="C385">
            <v>43294</v>
          </cell>
          <cell r="D385" t="str">
            <v>HW2</v>
          </cell>
          <cell r="E385" t="str">
            <v>C8</v>
          </cell>
          <cell r="F385">
            <v>43302</v>
          </cell>
          <cell r="G385" t="str">
            <v>LV</v>
          </cell>
          <cell r="H385">
            <v>0</v>
          </cell>
          <cell r="I385">
            <v>54</v>
          </cell>
          <cell r="J385">
            <v>0</v>
          </cell>
          <cell r="K385">
            <v>54</v>
          </cell>
          <cell r="L385">
            <v>0</v>
          </cell>
          <cell r="M385">
            <v>0</v>
          </cell>
          <cell r="N385">
            <v>116</v>
          </cell>
          <cell r="O385">
            <v>0</v>
          </cell>
          <cell r="P385">
            <v>0</v>
          </cell>
          <cell r="Q385">
            <v>0</v>
          </cell>
          <cell r="R385">
            <v>0</v>
          </cell>
          <cell r="S385" t="str">
            <v>Y</v>
          </cell>
          <cell r="T385">
            <v>50</v>
          </cell>
          <cell r="V385">
            <v>100</v>
          </cell>
          <cell r="X385" t="str">
            <v>TE</v>
          </cell>
          <cell r="Y385" t="str">
            <v>LV/IS</v>
          </cell>
          <cell r="Z385">
            <v>0</v>
          </cell>
          <cell r="AA385">
            <v>54</v>
          </cell>
          <cell r="AB385">
            <v>0</v>
          </cell>
          <cell r="AC385">
            <v>0.19800000000000018</v>
          </cell>
        </row>
        <row r="386">
          <cell r="A386" t="str">
            <v>HW2-H8-43294</v>
          </cell>
          <cell r="B386" t="str">
            <v>HW2-H8-43294</v>
          </cell>
          <cell r="C386">
            <v>43294</v>
          </cell>
          <cell r="D386" t="str">
            <v>HW2</v>
          </cell>
          <cell r="E386" t="str">
            <v>H8</v>
          </cell>
          <cell r="F386">
            <v>43411</v>
          </cell>
          <cell r="G386" t="str">
            <v>JY</v>
          </cell>
          <cell r="H386">
            <v>4</v>
          </cell>
          <cell r="K386">
            <v>4</v>
          </cell>
          <cell r="S386" t="str">
            <v>Y</v>
          </cell>
          <cell r="T386">
            <v>50</v>
          </cell>
          <cell r="V386">
            <v>100</v>
          </cell>
          <cell r="X386" t="str">
            <v>LV</v>
          </cell>
          <cell r="Y386" t="str">
            <v>TE</v>
          </cell>
          <cell r="Z386">
            <v>4</v>
          </cell>
          <cell r="AA386">
            <v>0</v>
          </cell>
          <cell r="AB386">
            <v>0</v>
          </cell>
          <cell r="AC386">
            <v>0.20600000000000018</v>
          </cell>
        </row>
        <row r="387">
          <cell r="A387" t="str">
            <v>HW2-E2-43294</v>
          </cell>
          <cell r="B387" t="str">
            <v>HW2-E2-43294</v>
          </cell>
          <cell r="C387">
            <v>43294</v>
          </cell>
          <cell r="D387" t="str">
            <v>HW2</v>
          </cell>
          <cell r="E387" t="str">
            <v>E2</v>
          </cell>
          <cell r="F387">
            <v>43411</v>
          </cell>
          <cell r="G387" t="str">
            <v>JY</v>
          </cell>
          <cell r="H387">
            <v>78</v>
          </cell>
          <cell r="I387">
            <v>280</v>
          </cell>
          <cell r="K387">
            <v>358</v>
          </cell>
          <cell r="S387" t="str">
            <v>Y</v>
          </cell>
          <cell r="T387">
            <v>50</v>
          </cell>
          <cell r="V387">
            <v>100</v>
          </cell>
          <cell r="X387" t="str">
            <v>LV</v>
          </cell>
          <cell r="Y387" t="str">
            <v>TE</v>
          </cell>
          <cell r="Z387">
            <v>78</v>
          </cell>
          <cell r="AA387">
            <v>280</v>
          </cell>
          <cell r="AB387">
            <v>0</v>
          </cell>
          <cell r="AC387">
            <v>0.31200000000000006</v>
          </cell>
        </row>
        <row r="388">
          <cell r="A388" t="str">
            <v>HW2-F1-43294</v>
          </cell>
          <cell r="B388" t="str">
            <v>HW2-F1-43294</v>
          </cell>
          <cell r="C388">
            <v>43294</v>
          </cell>
          <cell r="D388" t="str">
            <v>HW2</v>
          </cell>
          <cell r="E388" t="str">
            <v>F1</v>
          </cell>
          <cell r="F388">
            <v>43302</v>
          </cell>
          <cell r="G388" t="str">
            <v>JB</v>
          </cell>
          <cell r="H388">
            <v>0</v>
          </cell>
          <cell r="I388">
            <v>28</v>
          </cell>
          <cell r="J388">
            <v>0</v>
          </cell>
          <cell r="K388">
            <v>28</v>
          </cell>
          <cell r="L388">
            <v>0</v>
          </cell>
          <cell r="M388">
            <v>0</v>
          </cell>
          <cell r="N388">
            <v>0</v>
          </cell>
          <cell r="O388">
            <v>0</v>
          </cell>
          <cell r="P388">
            <v>0</v>
          </cell>
          <cell r="Q388">
            <v>0</v>
          </cell>
          <cell r="R388">
            <v>0</v>
          </cell>
          <cell r="S388" t="str">
            <v>Y</v>
          </cell>
          <cell r="T388">
            <v>50</v>
          </cell>
          <cell r="V388">
            <v>100</v>
          </cell>
          <cell r="W388" t="str">
            <v>478 Blastocystus</v>
          </cell>
          <cell r="X388" t="str">
            <v>JB</v>
          </cell>
          <cell r="Y388" t="str">
            <v>TE</v>
          </cell>
          <cell r="Z388">
            <v>0</v>
          </cell>
          <cell r="AA388">
            <v>28</v>
          </cell>
          <cell r="AB388">
            <v>0</v>
          </cell>
          <cell r="AC388">
            <v>0.42500000000000004</v>
          </cell>
        </row>
        <row r="389">
          <cell r="A389" t="str">
            <v>HW2-B4-43294</v>
          </cell>
          <cell r="B389" t="str">
            <v>HW2-B4-43294</v>
          </cell>
          <cell r="C389">
            <v>43294</v>
          </cell>
          <cell r="D389" t="str">
            <v>HW2</v>
          </cell>
          <cell r="E389" t="str">
            <v>B4</v>
          </cell>
          <cell r="F389">
            <v>43439</v>
          </cell>
          <cell r="G389" t="str">
            <v>JY</v>
          </cell>
          <cell r="I389">
            <v>260</v>
          </cell>
          <cell r="K389">
            <v>260</v>
          </cell>
          <cell r="N389">
            <v>16</v>
          </cell>
          <cell r="S389" t="str">
            <v xml:space="preserve">Y </v>
          </cell>
          <cell r="T389">
            <v>50</v>
          </cell>
          <cell r="V389">
            <v>100</v>
          </cell>
          <cell r="X389" t="str">
            <v>LV</v>
          </cell>
          <cell r="Y389" t="str">
            <v>TE</v>
          </cell>
          <cell r="Z389">
            <v>0</v>
          </cell>
          <cell r="AA389">
            <v>260</v>
          </cell>
          <cell r="AB389">
            <v>0</v>
          </cell>
        </row>
        <row r="390">
          <cell r="A390" t="str">
            <v>HW2-H8-43295</v>
          </cell>
          <cell r="B390" t="str">
            <v>HW2-H8-43295</v>
          </cell>
          <cell r="C390">
            <v>43295</v>
          </cell>
          <cell r="D390" t="str">
            <v>HW2</v>
          </cell>
          <cell r="E390" t="str">
            <v>H8</v>
          </cell>
          <cell r="F390">
            <v>43413</v>
          </cell>
          <cell r="G390" t="str">
            <v>TE</v>
          </cell>
          <cell r="J390">
            <v>66</v>
          </cell>
          <cell r="K390">
            <v>66</v>
          </cell>
          <cell r="S390" t="str">
            <v>Y</v>
          </cell>
          <cell r="T390">
            <v>50</v>
          </cell>
          <cell r="V390">
            <v>100</v>
          </cell>
          <cell r="X390" t="str">
            <v>LV</v>
          </cell>
          <cell r="Y390" t="str">
            <v>TE</v>
          </cell>
          <cell r="Z390">
            <v>0</v>
          </cell>
          <cell r="AA390">
            <v>0</v>
          </cell>
          <cell r="AB390">
            <v>66</v>
          </cell>
          <cell r="AC390">
            <v>8.0000000000000071E-3</v>
          </cell>
        </row>
        <row r="391">
          <cell r="A391" t="str">
            <v>HW1-A2-43295</v>
          </cell>
          <cell r="B391" t="str">
            <v>HW1-A2-43295</v>
          </cell>
          <cell r="C391">
            <v>43295</v>
          </cell>
          <cell r="D391" t="str">
            <v>HW1</v>
          </cell>
          <cell r="E391" t="str">
            <v>A2</v>
          </cell>
          <cell r="F391">
            <v>43304</v>
          </cell>
          <cell r="G391" t="str">
            <v>LV</v>
          </cell>
          <cell r="I391">
            <v>2</v>
          </cell>
          <cell r="K391">
            <v>2</v>
          </cell>
          <cell r="S391" t="str">
            <v>Y</v>
          </cell>
          <cell r="T391">
            <v>50</v>
          </cell>
          <cell r="V391">
            <v>100</v>
          </cell>
          <cell r="X391" t="str">
            <v>LV</v>
          </cell>
          <cell r="Y391" t="str">
            <v>LV/IS</v>
          </cell>
          <cell r="Z391">
            <v>0</v>
          </cell>
          <cell r="AA391">
            <v>2</v>
          </cell>
          <cell r="AB391">
            <v>0</v>
          </cell>
          <cell r="AC391">
            <v>7.0000000000000062E-2</v>
          </cell>
        </row>
        <row r="392">
          <cell r="A392" t="str">
            <v>HW2-C7-43295</v>
          </cell>
          <cell r="B392" t="str">
            <v>HW2-C7-43295</v>
          </cell>
          <cell r="C392">
            <v>43295</v>
          </cell>
          <cell r="D392" t="str">
            <v>HW2</v>
          </cell>
          <cell r="E392" t="str">
            <v>C7</v>
          </cell>
          <cell r="F392">
            <v>43304</v>
          </cell>
          <cell r="G392" t="str">
            <v>LV</v>
          </cell>
          <cell r="H392">
            <v>18</v>
          </cell>
          <cell r="I392">
            <v>1336</v>
          </cell>
          <cell r="J392">
            <v>0</v>
          </cell>
          <cell r="K392">
            <v>1354</v>
          </cell>
          <cell r="L392">
            <v>0</v>
          </cell>
          <cell r="M392">
            <v>0</v>
          </cell>
          <cell r="N392">
            <v>0</v>
          </cell>
          <cell r="O392">
            <v>0</v>
          </cell>
          <cell r="P392">
            <v>0</v>
          </cell>
          <cell r="Q392">
            <v>0</v>
          </cell>
          <cell r="R392">
            <v>0</v>
          </cell>
          <cell r="S392" t="str">
            <v>N</v>
          </cell>
          <cell r="T392">
            <v>50</v>
          </cell>
          <cell r="V392">
            <v>100</v>
          </cell>
          <cell r="W392" t="str">
            <v>counted entire slide on 40x and 10x</v>
          </cell>
          <cell r="X392" t="str">
            <v>LV</v>
          </cell>
          <cell r="Y392" t="str">
            <v>LV/IS</v>
          </cell>
          <cell r="Z392">
            <v>18</v>
          </cell>
          <cell r="AA392">
            <v>1336</v>
          </cell>
          <cell r="AB392">
            <v>0</v>
          </cell>
          <cell r="AC392">
            <v>0.1140000000000001</v>
          </cell>
        </row>
        <row r="393">
          <cell r="A393" t="str">
            <v>HW2-A4-43295</v>
          </cell>
          <cell r="B393" t="str">
            <v>HW2-A4-43295</v>
          </cell>
          <cell r="C393">
            <v>43295</v>
          </cell>
          <cell r="D393" t="str">
            <v>HW2</v>
          </cell>
          <cell r="E393" t="str">
            <v>A4</v>
          </cell>
          <cell r="F393">
            <v>43303</v>
          </cell>
          <cell r="G393" t="str">
            <v>TE</v>
          </cell>
          <cell r="H393">
            <v>0</v>
          </cell>
          <cell r="I393">
            <v>146</v>
          </cell>
          <cell r="J393">
            <v>272</v>
          </cell>
          <cell r="K393">
            <v>418</v>
          </cell>
          <cell r="L393">
            <v>0</v>
          </cell>
          <cell r="M393">
            <v>0</v>
          </cell>
          <cell r="N393">
            <v>0</v>
          </cell>
          <cell r="O393">
            <v>0</v>
          </cell>
          <cell r="P393">
            <v>0</v>
          </cell>
          <cell r="Q393">
            <v>0</v>
          </cell>
          <cell r="R393">
            <v>0</v>
          </cell>
          <cell r="S393" t="str">
            <v>Y</v>
          </cell>
          <cell r="T393">
            <v>50</v>
          </cell>
          <cell r="V393">
            <v>100</v>
          </cell>
          <cell r="X393" t="str">
            <v>TE</v>
          </cell>
          <cell r="Y393" t="str">
            <v>LV/IS</v>
          </cell>
          <cell r="Z393">
            <v>0</v>
          </cell>
          <cell r="AA393">
            <v>146</v>
          </cell>
          <cell r="AB393">
            <v>272</v>
          </cell>
          <cell r="AC393">
            <v>0.17300000000000004</v>
          </cell>
        </row>
        <row r="394">
          <cell r="A394" t="str">
            <v>PO2-B2-43296</v>
          </cell>
          <cell r="B394" t="str">
            <v>PO2-B2-43296</v>
          </cell>
          <cell r="C394">
            <v>43296</v>
          </cell>
          <cell r="D394" t="str">
            <v>PO2</v>
          </cell>
          <cell r="E394" t="str">
            <v>B2</v>
          </cell>
          <cell r="F394">
            <v>43305</v>
          </cell>
          <cell r="G394" t="str">
            <v>IS</v>
          </cell>
          <cell r="H394">
            <v>0</v>
          </cell>
          <cell r="I394">
            <v>0</v>
          </cell>
          <cell r="J394">
            <v>0</v>
          </cell>
          <cell r="K394">
            <v>0</v>
          </cell>
          <cell r="L394">
            <v>0</v>
          </cell>
          <cell r="M394">
            <v>0</v>
          </cell>
          <cell r="N394">
            <v>0</v>
          </cell>
          <cell r="O394">
            <v>0</v>
          </cell>
          <cell r="P394">
            <v>0</v>
          </cell>
          <cell r="Q394">
            <v>0</v>
          </cell>
          <cell r="R394">
            <v>0</v>
          </cell>
          <cell r="S394" t="str">
            <v>Y</v>
          </cell>
          <cell r="T394">
            <v>50</v>
          </cell>
          <cell r="V394">
            <v>100</v>
          </cell>
          <cell r="X394" t="str">
            <v>LV</v>
          </cell>
          <cell r="Y394" t="str">
            <v>LV/IS</v>
          </cell>
          <cell r="Z394">
            <v>0</v>
          </cell>
          <cell r="AA394">
            <v>0</v>
          </cell>
          <cell r="AB394">
            <v>0</v>
          </cell>
          <cell r="AC394">
            <v>0.1030000000000002</v>
          </cell>
        </row>
        <row r="395">
          <cell r="A395" t="str">
            <v>PO2-A6-43296</v>
          </cell>
          <cell r="B395" t="str">
            <v>PO2-A6-43296</v>
          </cell>
          <cell r="C395">
            <v>43296</v>
          </cell>
          <cell r="D395" t="str">
            <v>PO2</v>
          </cell>
          <cell r="E395" t="str">
            <v>A6</v>
          </cell>
          <cell r="F395">
            <v>43413</v>
          </cell>
          <cell r="G395" t="str">
            <v>TE</v>
          </cell>
          <cell r="H395">
            <v>0</v>
          </cell>
          <cell r="I395">
            <v>0</v>
          </cell>
          <cell r="J395">
            <v>0</v>
          </cell>
          <cell r="K395">
            <v>0</v>
          </cell>
          <cell r="L395">
            <v>0</v>
          </cell>
          <cell r="M395">
            <v>0</v>
          </cell>
          <cell r="N395">
            <v>0</v>
          </cell>
          <cell r="O395">
            <v>0</v>
          </cell>
          <cell r="P395">
            <v>0</v>
          </cell>
          <cell r="Q395">
            <v>0</v>
          </cell>
          <cell r="R395">
            <v>0</v>
          </cell>
          <cell r="S395" t="str">
            <v>Y</v>
          </cell>
          <cell r="T395">
            <v>50</v>
          </cell>
          <cell r="V395">
            <v>100</v>
          </cell>
          <cell r="X395" t="str">
            <v>LV</v>
          </cell>
          <cell r="Y395" t="str">
            <v>TE</v>
          </cell>
          <cell r="Z395">
            <v>0</v>
          </cell>
          <cell r="AA395">
            <v>0</v>
          </cell>
          <cell r="AB395">
            <v>0</v>
          </cell>
          <cell r="AC395">
            <v>0.1120000000000001</v>
          </cell>
        </row>
        <row r="396">
          <cell r="A396" t="str">
            <v>PO1-D8-43296</v>
          </cell>
          <cell r="B396" t="str">
            <v>PO1-D8-43296</v>
          </cell>
          <cell r="C396">
            <v>43296</v>
          </cell>
          <cell r="D396" t="str">
            <v>PO1</v>
          </cell>
          <cell r="E396" t="str">
            <v>D8</v>
          </cell>
          <cell r="F396">
            <v>43304</v>
          </cell>
          <cell r="G396" t="str">
            <v>JB</v>
          </cell>
          <cell r="H396">
            <v>0</v>
          </cell>
          <cell r="I396">
            <v>0</v>
          </cell>
          <cell r="J396">
            <v>0</v>
          </cell>
          <cell r="K396">
            <v>0</v>
          </cell>
          <cell r="L396">
            <v>0</v>
          </cell>
          <cell r="M396">
            <v>0</v>
          </cell>
          <cell r="N396">
            <v>0</v>
          </cell>
          <cell r="O396">
            <v>0</v>
          </cell>
          <cell r="P396">
            <v>0</v>
          </cell>
          <cell r="Q396">
            <v>0</v>
          </cell>
          <cell r="R396">
            <v>0</v>
          </cell>
          <cell r="S396" t="str">
            <v>Y</v>
          </cell>
          <cell r="T396">
            <v>50</v>
          </cell>
          <cell r="V396">
            <v>100</v>
          </cell>
          <cell r="X396" t="str">
            <v>LV</v>
          </cell>
          <cell r="Y396" t="str">
            <v>LV/IS</v>
          </cell>
          <cell r="Z396">
            <v>0</v>
          </cell>
          <cell r="AA396">
            <v>0</v>
          </cell>
          <cell r="AB396">
            <v>0</v>
          </cell>
          <cell r="AC396">
            <v>0.11500000000000021</v>
          </cell>
        </row>
        <row r="397">
          <cell r="A397" t="str">
            <v>PO1-F8-43296</v>
          </cell>
          <cell r="B397" t="str">
            <v>PO1-F8-43296</v>
          </cell>
          <cell r="C397">
            <v>43296</v>
          </cell>
          <cell r="D397" t="str">
            <v>PO1</v>
          </cell>
          <cell r="E397" t="str">
            <v>F8</v>
          </cell>
          <cell r="F397">
            <v>43418</v>
          </cell>
          <cell r="G397" t="str">
            <v>JY</v>
          </cell>
          <cell r="H397">
            <v>0</v>
          </cell>
          <cell r="I397">
            <v>0</v>
          </cell>
          <cell r="J397">
            <v>0</v>
          </cell>
          <cell r="K397">
            <v>0</v>
          </cell>
          <cell r="L397">
            <v>0</v>
          </cell>
          <cell r="M397">
            <v>0</v>
          </cell>
          <cell r="N397">
            <v>0</v>
          </cell>
          <cell r="O397">
            <v>0</v>
          </cell>
          <cell r="P397">
            <v>0</v>
          </cell>
          <cell r="Q397">
            <v>0</v>
          </cell>
          <cell r="R397">
            <v>0</v>
          </cell>
          <cell r="S397" t="str">
            <v>Y</v>
          </cell>
          <cell r="T397">
            <v>50</v>
          </cell>
          <cell r="V397">
            <v>100</v>
          </cell>
          <cell r="X397" t="str">
            <v>LV</v>
          </cell>
          <cell r="Y397" t="str">
            <v>TE</v>
          </cell>
          <cell r="Z397">
            <v>0</v>
          </cell>
          <cell r="AA397">
            <v>0</v>
          </cell>
          <cell r="AB397">
            <v>0</v>
          </cell>
          <cell r="AC397">
            <v>0.125</v>
          </cell>
        </row>
        <row r="398">
          <cell r="A398" t="str">
            <v>PO1-H1-43296</v>
          </cell>
          <cell r="B398" t="str">
            <v>PO1-H1-43296</v>
          </cell>
          <cell r="C398">
            <v>43296</v>
          </cell>
          <cell r="D398" t="str">
            <v>PO1</v>
          </cell>
          <cell r="E398" t="str">
            <v>H1</v>
          </cell>
          <cell r="F398">
            <v>43412</v>
          </cell>
          <cell r="G398" t="str">
            <v>LV</v>
          </cell>
          <cell r="H398">
            <v>0</v>
          </cell>
          <cell r="I398">
            <v>0</v>
          </cell>
          <cell r="J398">
            <v>0</v>
          </cell>
          <cell r="K398">
            <v>0</v>
          </cell>
          <cell r="L398">
            <v>0</v>
          </cell>
          <cell r="M398">
            <v>0</v>
          </cell>
          <cell r="N398">
            <v>0</v>
          </cell>
          <cell r="O398">
            <v>0</v>
          </cell>
          <cell r="P398">
            <v>0</v>
          </cell>
          <cell r="Q398">
            <v>0</v>
          </cell>
          <cell r="R398">
            <v>0</v>
          </cell>
          <cell r="S398" t="str">
            <v>Y</v>
          </cell>
          <cell r="T398">
            <v>50</v>
          </cell>
          <cell r="V398">
            <v>100</v>
          </cell>
          <cell r="X398" t="str">
            <v>TE</v>
          </cell>
          <cell r="Y398" t="str">
            <v>LV</v>
          </cell>
          <cell r="Z398">
            <v>0</v>
          </cell>
          <cell r="AA398">
            <v>0</v>
          </cell>
          <cell r="AB398">
            <v>0</v>
          </cell>
          <cell r="AC398">
            <v>0.12800000000000011</v>
          </cell>
        </row>
        <row r="399">
          <cell r="A399" t="str">
            <v>PO1-G4-43296</v>
          </cell>
          <cell r="B399" t="str">
            <v>PO1-G4-43296</v>
          </cell>
          <cell r="C399">
            <v>43296</v>
          </cell>
          <cell r="D399" t="str">
            <v>PO1</v>
          </cell>
          <cell r="E399" t="str">
            <v>G4</v>
          </cell>
          <cell r="F399">
            <v>43412</v>
          </cell>
          <cell r="G399" t="str">
            <v>LV</v>
          </cell>
          <cell r="K399">
            <v>0</v>
          </cell>
          <cell r="R399">
            <v>1</v>
          </cell>
          <cell r="S399" t="str">
            <v>Y</v>
          </cell>
          <cell r="T399">
            <v>50</v>
          </cell>
          <cell r="V399">
            <v>100</v>
          </cell>
          <cell r="X399" t="str">
            <v>TE</v>
          </cell>
          <cell r="Y399" t="str">
            <v>LV</v>
          </cell>
          <cell r="Z399">
            <v>0</v>
          </cell>
          <cell r="AA399">
            <v>0</v>
          </cell>
          <cell r="AB399">
            <v>0</v>
          </cell>
          <cell r="AC399">
            <v>0.13400000000000012</v>
          </cell>
        </row>
        <row r="400">
          <cell r="A400" t="str">
            <v>PO1-E8-43296</v>
          </cell>
          <cell r="B400" t="str">
            <v>PO1-E8-43296</v>
          </cell>
          <cell r="C400">
            <v>43296</v>
          </cell>
          <cell r="D400" t="str">
            <v>PO1</v>
          </cell>
          <cell r="E400" t="str">
            <v>E8</v>
          </cell>
          <cell r="F400">
            <v>43305</v>
          </cell>
          <cell r="G400" t="str">
            <v>TE</v>
          </cell>
          <cell r="H400">
            <v>172</v>
          </cell>
          <cell r="I400">
            <v>210</v>
          </cell>
          <cell r="J400">
            <v>2186</v>
          </cell>
          <cell r="K400">
            <v>2568</v>
          </cell>
          <cell r="S400" t="str">
            <v>Y</v>
          </cell>
          <cell r="T400">
            <v>50</v>
          </cell>
          <cell r="V400">
            <v>100</v>
          </cell>
          <cell r="X400" t="str">
            <v>LV</v>
          </cell>
          <cell r="Y400" t="str">
            <v>LV/IS</v>
          </cell>
          <cell r="Z400">
            <v>172</v>
          </cell>
          <cell r="AA400">
            <v>210</v>
          </cell>
          <cell r="AB400">
            <v>2186</v>
          </cell>
          <cell r="AC400">
            <v>0.14200000000000013</v>
          </cell>
        </row>
        <row r="401">
          <cell r="A401" t="str">
            <v>PO1-G2-43296</v>
          </cell>
          <cell r="B401" t="str">
            <v>PO1-G2-43296</v>
          </cell>
          <cell r="C401">
            <v>43296</v>
          </cell>
          <cell r="D401" t="str">
            <v>PO1</v>
          </cell>
          <cell r="E401" t="str">
            <v>G2</v>
          </cell>
          <cell r="F401">
            <v>43304</v>
          </cell>
          <cell r="G401" t="str">
            <v>DP</v>
          </cell>
          <cell r="H401">
            <v>6</v>
          </cell>
          <cell r="I401">
            <v>326</v>
          </cell>
          <cell r="J401">
            <v>10</v>
          </cell>
          <cell r="K401">
            <v>342</v>
          </cell>
          <cell r="Q401">
            <v>3</v>
          </cell>
          <cell r="S401" t="str">
            <v>Y</v>
          </cell>
          <cell r="T401">
            <v>50</v>
          </cell>
          <cell r="V401">
            <v>100</v>
          </cell>
          <cell r="X401" t="str">
            <v>LV</v>
          </cell>
          <cell r="Y401" t="str">
            <v>LV/IS</v>
          </cell>
          <cell r="Z401">
            <v>6</v>
          </cell>
          <cell r="AA401">
            <v>326</v>
          </cell>
          <cell r="AB401">
            <v>10</v>
          </cell>
          <cell r="AC401">
            <v>0.16600000000000015</v>
          </cell>
        </row>
        <row r="402">
          <cell r="A402" t="str">
            <v>PO2-A3-43296</v>
          </cell>
          <cell r="B402" t="str">
            <v>PO2-A3-43296</v>
          </cell>
          <cell r="C402">
            <v>43296</v>
          </cell>
          <cell r="D402" t="str">
            <v>PO2</v>
          </cell>
          <cell r="E402" t="str">
            <v>A3</v>
          </cell>
          <cell r="F402">
            <v>43304</v>
          </cell>
          <cell r="G402" t="str">
            <v>JB</v>
          </cell>
          <cell r="H402">
            <v>0</v>
          </cell>
          <cell r="I402">
            <v>110</v>
          </cell>
          <cell r="J402">
            <v>0</v>
          </cell>
          <cell r="K402">
            <v>110</v>
          </cell>
          <cell r="L402">
            <v>0</v>
          </cell>
          <cell r="M402">
            <v>0</v>
          </cell>
          <cell r="N402">
            <v>0</v>
          </cell>
          <cell r="O402">
            <v>0</v>
          </cell>
          <cell r="P402">
            <v>0</v>
          </cell>
          <cell r="Q402">
            <v>0</v>
          </cell>
          <cell r="R402">
            <v>2</v>
          </cell>
          <cell r="S402" t="str">
            <v>Y</v>
          </cell>
          <cell r="T402">
            <v>50</v>
          </cell>
          <cell r="V402">
            <v>100</v>
          </cell>
          <cell r="X402" t="str">
            <v>LV</v>
          </cell>
          <cell r="Y402" t="str">
            <v>LV/IS</v>
          </cell>
          <cell r="Z402">
            <v>0</v>
          </cell>
          <cell r="AA402">
            <v>110</v>
          </cell>
          <cell r="AB402">
            <v>0</v>
          </cell>
          <cell r="AC402">
            <v>0.17500000000000004</v>
          </cell>
        </row>
        <row r="403">
          <cell r="A403" t="str">
            <v>PO2-G6-43296</v>
          </cell>
          <cell r="B403" t="str">
            <v>PO2-G6-43296</v>
          </cell>
          <cell r="C403">
            <v>43296</v>
          </cell>
          <cell r="D403" t="str">
            <v>PO2</v>
          </cell>
          <cell r="E403" t="str">
            <v>G6</v>
          </cell>
          <cell r="F403">
            <v>43413</v>
          </cell>
          <cell r="G403" t="str">
            <v>TE</v>
          </cell>
          <cell r="H403">
            <v>56</v>
          </cell>
          <cell r="I403">
            <v>66</v>
          </cell>
          <cell r="J403">
            <v>338</v>
          </cell>
          <cell r="K403">
            <v>460</v>
          </cell>
          <cell r="S403" t="str">
            <v>Y</v>
          </cell>
          <cell r="T403">
            <v>50</v>
          </cell>
          <cell r="V403">
            <v>100</v>
          </cell>
          <cell r="X403" t="str">
            <v>LV</v>
          </cell>
          <cell r="Y403" t="str">
            <v>TE</v>
          </cell>
          <cell r="Z403">
            <v>56</v>
          </cell>
          <cell r="AA403">
            <v>66</v>
          </cell>
          <cell r="AB403">
            <v>338</v>
          </cell>
          <cell r="AC403">
            <v>0.20700000000000007</v>
          </cell>
        </row>
        <row r="404">
          <cell r="A404" t="str">
            <v>PO2-H3-43296</v>
          </cell>
          <cell r="B404" t="str">
            <v>PO2-H3-43296</v>
          </cell>
          <cell r="C404">
            <v>43296</v>
          </cell>
          <cell r="D404" t="str">
            <v>PO2</v>
          </cell>
          <cell r="E404" t="str">
            <v>H3</v>
          </cell>
          <cell r="F404">
            <v>43304</v>
          </cell>
          <cell r="G404" t="str">
            <v>LV</v>
          </cell>
          <cell r="H404">
            <v>0</v>
          </cell>
          <cell r="I404">
            <v>0</v>
          </cell>
          <cell r="J404">
            <v>0</v>
          </cell>
          <cell r="K404">
            <v>0</v>
          </cell>
          <cell r="L404">
            <v>0</v>
          </cell>
          <cell r="M404">
            <v>0</v>
          </cell>
          <cell r="N404">
            <v>0</v>
          </cell>
          <cell r="O404">
            <v>0</v>
          </cell>
          <cell r="P404">
            <v>0</v>
          </cell>
          <cell r="Q404">
            <v>0</v>
          </cell>
          <cell r="R404">
            <v>0</v>
          </cell>
          <cell r="S404" t="str">
            <v>Y</v>
          </cell>
          <cell r="T404">
            <v>50</v>
          </cell>
          <cell r="V404">
            <v>100</v>
          </cell>
          <cell r="X404" t="str">
            <v>LV</v>
          </cell>
          <cell r="Y404" t="str">
            <v>LV/IS</v>
          </cell>
          <cell r="Z404">
            <v>0</v>
          </cell>
          <cell r="AA404">
            <v>0</v>
          </cell>
          <cell r="AB404">
            <v>0</v>
          </cell>
          <cell r="AC404">
            <v>0.20900000000000007</v>
          </cell>
        </row>
        <row r="405">
          <cell r="A405" t="str">
            <v>PO1-A3-43296</v>
          </cell>
          <cell r="B405" t="str">
            <v>PO1-A3-43296</v>
          </cell>
          <cell r="C405">
            <v>43296</v>
          </cell>
          <cell r="D405" t="str">
            <v>PO1</v>
          </cell>
          <cell r="E405" t="str">
            <v>A3</v>
          </cell>
          <cell r="F405">
            <v>43304</v>
          </cell>
          <cell r="G405" t="str">
            <v>IS</v>
          </cell>
          <cell r="N405">
            <v>1</v>
          </cell>
          <cell r="S405" t="str">
            <v>Y</v>
          </cell>
          <cell r="T405">
            <v>50</v>
          </cell>
          <cell r="V405">
            <v>100</v>
          </cell>
          <cell r="W405" t="str">
            <v>35 blastocystis</v>
          </cell>
          <cell r="X405" t="str">
            <v>LV</v>
          </cell>
          <cell r="Y405" t="str">
            <v>LV/IS</v>
          </cell>
          <cell r="Z405">
            <v>0</v>
          </cell>
          <cell r="AA405">
            <v>0</v>
          </cell>
          <cell r="AB405">
            <v>0</v>
          </cell>
        </row>
        <row r="406">
          <cell r="A406" t="str">
            <v>PO1-E3-43296</v>
          </cell>
          <cell r="B406" t="str">
            <v>PO1-E3-43296</v>
          </cell>
          <cell r="C406">
            <v>43296</v>
          </cell>
          <cell r="D406" t="str">
            <v>PO1</v>
          </cell>
          <cell r="E406" t="str">
            <v>E3</v>
          </cell>
          <cell r="F406">
            <v>43304</v>
          </cell>
          <cell r="G406" t="str">
            <v>TE</v>
          </cell>
          <cell r="H406">
            <v>0</v>
          </cell>
          <cell r="I406">
            <v>0</v>
          </cell>
          <cell r="J406">
            <v>0</v>
          </cell>
          <cell r="K406">
            <v>0</v>
          </cell>
          <cell r="L406">
            <v>0</v>
          </cell>
          <cell r="M406">
            <v>0</v>
          </cell>
          <cell r="N406">
            <v>0</v>
          </cell>
          <cell r="O406">
            <v>0</v>
          </cell>
          <cell r="P406">
            <v>0</v>
          </cell>
          <cell r="Q406">
            <v>0</v>
          </cell>
          <cell r="R406">
            <v>0</v>
          </cell>
          <cell r="S406" t="str">
            <v>Y</v>
          </cell>
          <cell r="T406">
            <v>50</v>
          </cell>
          <cell r="V406">
            <v>100</v>
          </cell>
          <cell r="X406" t="str">
            <v>LV</v>
          </cell>
          <cell r="Y406" t="str">
            <v>LV/IS</v>
          </cell>
          <cell r="Z406">
            <v>0</v>
          </cell>
          <cell r="AA406">
            <v>0</v>
          </cell>
          <cell r="AB406">
            <v>0</v>
          </cell>
        </row>
        <row r="407">
          <cell r="A407" t="str">
            <v>PO2-D8-43297</v>
          </cell>
          <cell r="B407" t="str">
            <v>PO2-D8-43297</v>
          </cell>
          <cell r="C407">
            <v>43297</v>
          </cell>
          <cell r="D407" t="str">
            <v>PO2</v>
          </cell>
          <cell r="E407" t="str">
            <v>D8</v>
          </cell>
          <cell r="F407">
            <v>43418</v>
          </cell>
          <cell r="G407" t="str">
            <v>JY</v>
          </cell>
          <cell r="H407">
            <v>38</v>
          </cell>
          <cell r="I407">
            <v>894</v>
          </cell>
          <cell r="K407">
            <v>932</v>
          </cell>
          <cell r="S407" t="str">
            <v>Y</v>
          </cell>
          <cell r="T407">
            <v>50</v>
          </cell>
          <cell r="V407">
            <v>100</v>
          </cell>
          <cell r="X407" t="str">
            <v>LV</v>
          </cell>
          <cell r="Y407" t="str">
            <v>TE</v>
          </cell>
          <cell r="Z407">
            <v>38</v>
          </cell>
          <cell r="AA407">
            <v>894</v>
          </cell>
          <cell r="AB407">
            <v>0</v>
          </cell>
          <cell r="AC407">
            <v>0.16800000000000015</v>
          </cell>
        </row>
        <row r="408">
          <cell r="A408" t="str">
            <v>PO2-F1-43297</v>
          </cell>
          <cell r="B408" t="str">
            <v>PO2-F1-43297</v>
          </cell>
          <cell r="C408">
            <v>43297</v>
          </cell>
          <cell r="D408" t="str">
            <v>PO2</v>
          </cell>
          <cell r="E408" t="str">
            <v>F1</v>
          </cell>
          <cell r="F408">
            <v>43305</v>
          </cell>
          <cell r="G408" t="str">
            <v>JB</v>
          </cell>
          <cell r="H408">
            <v>414</v>
          </cell>
          <cell r="I408">
            <v>3084</v>
          </cell>
          <cell r="J408">
            <v>92</v>
          </cell>
          <cell r="K408">
            <v>3590</v>
          </cell>
          <cell r="P408">
            <v>4</v>
          </cell>
          <cell r="S408" t="str">
            <v>Y</v>
          </cell>
          <cell r="T408">
            <v>50</v>
          </cell>
          <cell r="V408">
            <v>100</v>
          </cell>
          <cell r="W408" t="str">
            <v xml:space="preserve">7 Blastocystis </v>
          </cell>
          <cell r="X408" t="str">
            <v>LV</v>
          </cell>
          <cell r="Y408" t="str">
            <v>LV/IS</v>
          </cell>
          <cell r="Z408">
            <v>414</v>
          </cell>
          <cell r="AA408">
            <v>3084</v>
          </cell>
          <cell r="AB408">
            <v>92</v>
          </cell>
          <cell r="AC408">
            <v>0.19000000000000017</v>
          </cell>
        </row>
        <row r="409">
          <cell r="A409" t="str">
            <v>SP1-A6-43301</v>
          </cell>
          <cell r="B409" t="str">
            <v>SP1-A6-43301</v>
          </cell>
          <cell r="C409">
            <v>43301</v>
          </cell>
          <cell r="D409" t="str">
            <v>SP1</v>
          </cell>
          <cell r="E409" t="str">
            <v>A6</v>
          </cell>
          <cell r="F409">
            <v>43304</v>
          </cell>
          <cell r="G409" t="str">
            <v>TE</v>
          </cell>
          <cell r="H409">
            <v>0</v>
          </cell>
          <cell r="I409">
            <v>0</v>
          </cell>
          <cell r="J409">
            <v>2</v>
          </cell>
          <cell r="K409">
            <v>2</v>
          </cell>
          <cell r="L409">
            <v>0</v>
          </cell>
          <cell r="M409">
            <v>0</v>
          </cell>
          <cell r="N409">
            <v>0</v>
          </cell>
          <cell r="O409">
            <v>0</v>
          </cell>
          <cell r="P409">
            <v>0</v>
          </cell>
          <cell r="Q409">
            <v>0</v>
          </cell>
          <cell r="R409">
            <v>0</v>
          </cell>
          <cell r="S409" t="str">
            <v>Y</v>
          </cell>
          <cell r="T409">
            <v>50</v>
          </cell>
          <cell r="V409">
            <v>100</v>
          </cell>
          <cell r="X409" t="str">
            <v>LV</v>
          </cell>
          <cell r="Y409" t="str">
            <v>LV/IS</v>
          </cell>
          <cell r="Z409">
            <v>0</v>
          </cell>
          <cell r="AA409">
            <v>0</v>
          </cell>
          <cell r="AB409">
            <v>2</v>
          </cell>
          <cell r="AC409">
            <v>0.13000000000000012</v>
          </cell>
        </row>
        <row r="410">
          <cell r="A410" t="str">
            <v>SP2-H3-43301</v>
          </cell>
          <cell r="B410" t="str">
            <v>SP2-H3-43301</v>
          </cell>
          <cell r="C410">
            <v>43301</v>
          </cell>
          <cell r="D410" t="str">
            <v>SP2</v>
          </cell>
          <cell r="E410" t="str">
            <v>H3</v>
          </cell>
          <cell r="F410">
            <v>43418</v>
          </cell>
          <cell r="G410" t="str">
            <v>JY</v>
          </cell>
          <cell r="H410">
            <v>0</v>
          </cell>
          <cell r="I410">
            <v>0</v>
          </cell>
          <cell r="J410">
            <v>0</v>
          </cell>
          <cell r="K410">
            <v>0</v>
          </cell>
          <cell r="L410">
            <v>0</v>
          </cell>
          <cell r="M410">
            <v>0</v>
          </cell>
          <cell r="N410">
            <v>0</v>
          </cell>
          <cell r="O410">
            <v>0</v>
          </cell>
          <cell r="P410">
            <v>0</v>
          </cell>
          <cell r="Q410">
            <v>0</v>
          </cell>
          <cell r="R410">
            <v>0</v>
          </cell>
          <cell r="S410" t="str">
            <v>Y</v>
          </cell>
          <cell r="T410">
            <v>50</v>
          </cell>
          <cell r="V410">
            <v>100</v>
          </cell>
          <cell r="X410" t="str">
            <v>LV</v>
          </cell>
          <cell r="Y410" t="str">
            <v>TE</v>
          </cell>
          <cell r="Z410">
            <v>0</v>
          </cell>
          <cell r="AA410">
            <v>0</v>
          </cell>
          <cell r="AB410">
            <v>0</v>
          </cell>
          <cell r="AC410">
            <v>0.14300000000000002</v>
          </cell>
        </row>
        <row r="411">
          <cell r="A411" t="str">
            <v>SP2-B3-43301</v>
          </cell>
          <cell r="B411" t="str">
            <v>SP2-B3-43301</v>
          </cell>
          <cell r="C411">
            <v>43301</v>
          </cell>
          <cell r="D411" t="str">
            <v>SP2</v>
          </cell>
          <cell r="E411" t="str">
            <v>B3</v>
          </cell>
          <cell r="F411">
            <v>43304</v>
          </cell>
          <cell r="G411" t="str">
            <v>DP</v>
          </cell>
          <cell r="H411">
            <v>108</v>
          </cell>
          <cell r="I411">
            <v>8</v>
          </cell>
          <cell r="K411">
            <v>116</v>
          </cell>
          <cell r="Q411">
            <v>226</v>
          </cell>
          <cell r="S411" t="str">
            <v>Y</v>
          </cell>
          <cell r="T411">
            <v>50</v>
          </cell>
          <cell r="V411">
            <v>100</v>
          </cell>
          <cell r="X411" t="str">
            <v>LV</v>
          </cell>
          <cell r="Y411" t="str">
            <v>LV/IS</v>
          </cell>
          <cell r="Z411">
            <v>108</v>
          </cell>
          <cell r="AA411">
            <v>8</v>
          </cell>
          <cell r="AB411">
            <v>0</v>
          </cell>
          <cell r="AC411">
            <v>0.17200000000000015</v>
          </cell>
        </row>
        <row r="412">
          <cell r="A412" t="str">
            <v>SP1-A8-43301</v>
          </cell>
          <cell r="B412" t="str">
            <v>SP1-A8-43301</v>
          </cell>
          <cell r="C412">
            <v>43301</v>
          </cell>
          <cell r="D412" t="str">
            <v>SP1</v>
          </cell>
          <cell r="E412" t="str">
            <v>A8</v>
          </cell>
          <cell r="F412">
            <v>43304</v>
          </cell>
          <cell r="G412" t="str">
            <v>LV</v>
          </cell>
          <cell r="H412">
            <v>0</v>
          </cell>
          <cell r="I412">
            <v>0</v>
          </cell>
          <cell r="J412">
            <v>0</v>
          </cell>
          <cell r="K412">
            <v>0</v>
          </cell>
          <cell r="L412">
            <v>0</v>
          </cell>
          <cell r="M412">
            <v>0</v>
          </cell>
          <cell r="N412">
            <v>0</v>
          </cell>
          <cell r="O412">
            <v>0</v>
          </cell>
          <cell r="P412">
            <v>0</v>
          </cell>
          <cell r="Q412">
            <v>0</v>
          </cell>
          <cell r="R412">
            <v>0</v>
          </cell>
          <cell r="S412" t="str">
            <v>Y</v>
          </cell>
          <cell r="T412">
            <v>50</v>
          </cell>
          <cell r="V412">
            <v>100</v>
          </cell>
          <cell r="X412" t="str">
            <v>LV</v>
          </cell>
          <cell r="Y412" t="str">
            <v>LV/IS</v>
          </cell>
          <cell r="Z412">
            <v>0</v>
          </cell>
          <cell r="AA412">
            <v>0</v>
          </cell>
          <cell r="AB412">
            <v>0</v>
          </cell>
          <cell r="AC412">
            <v>0.19000000000000017</v>
          </cell>
        </row>
        <row r="413">
          <cell r="A413" t="str">
            <v>SP1-A5-43301</v>
          </cell>
          <cell r="B413" t="str">
            <v>SP1-A5-43301</v>
          </cell>
          <cell r="C413">
            <v>43301</v>
          </cell>
          <cell r="D413" t="str">
            <v>SP1</v>
          </cell>
          <cell r="E413" t="str">
            <v>A5</v>
          </cell>
          <cell r="F413">
            <v>43305</v>
          </cell>
          <cell r="G413" t="str">
            <v>TE</v>
          </cell>
          <cell r="H413">
            <v>4</v>
          </cell>
          <cell r="I413">
            <v>40</v>
          </cell>
          <cell r="J413">
            <v>270</v>
          </cell>
          <cell r="K413">
            <v>314</v>
          </cell>
          <cell r="S413" t="str">
            <v>Y</v>
          </cell>
          <cell r="T413">
            <v>50</v>
          </cell>
          <cell r="V413">
            <v>100</v>
          </cell>
          <cell r="X413" t="str">
            <v>LV</v>
          </cell>
          <cell r="Y413" t="str">
            <v>LV/IS</v>
          </cell>
          <cell r="Z413">
            <v>4</v>
          </cell>
          <cell r="AA413">
            <v>40</v>
          </cell>
          <cell r="AB413">
            <v>270</v>
          </cell>
          <cell r="AC413">
            <v>0.39400000000000013</v>
          </cell>
        </row>
        <row r="414">
          <cell r="A414" t="str">
            <v>SP2-A7-43301</v>
          </cell>
          <cell r="B414" t="str">
            <v>SP2-A7-43301</v>
          </cell>
          <cell r="C414">
            <v>43301</v>
          </cell>
          <cell r="D414" t="str">
            <v>SP2</v>
          </cell>
          <cell r="E414" t="str">
            <v>A7</v>
          </cell>
          <cell r="F414">
            <v>43420</v>
          </cell>
          <cell r="G414" t="str">
            <v>TE</v>
          </cell>
          <cell r="H414">
            <v>0</v>
          </cell>
          <cell r="I414">
            <v>0</v>
          </cell>
          <cell r="J414">
            <v>0</v>
          </cell>
          <cell r="K414">
            <v>0</v>
          </cell>
          <cell r="L414">
            <v>0</v>
          </cell>
          <cell r="M414">
            <v>0</v>
          </cell>
          <cell r="N414">
            <v>0</v>
          </cell>
          <cell r="O414">
            <v>0</v>
          </cell>
          <cell r="P414">
            <v>0</v>
          </cell>
          <cell r="Q414">
            <v>0</v>
          </cell>
          <cell r="R414">
            <v>0</v>
          </cell>
          <cell r="S414" t="str">
            <v>Y</v>
          </cell>
          <cell r="T414">
            <v>50</v>
          </cell>
          <cell r="V414">
            <v>100</v>
          </cell>
          <cell r="X414" t="str">
            <v>LV</v>
          </cell>
          <cell r="Y414" t="str">
            <v>TE</v>
          </cell>
          <cell r="Z414">
            <v>0</v>
          </cell>
          <cell r="AA414">
            <v>0</v>
          </cell>
          <cell r="AB414">
            <v>0</v>
          </cell>
          <cell r="AC414">
            <v>0.42000000000000015</v>
          </cell>
        </row>
        <row r="415">
          <cell r="A415" t="str">
            <v>SP2-A4-43301</v>
          </cell>
          <cell r="B415" t="str">
            <v>SP2-A4-43301</v>
          </cell>
          <cell r="C415">
            <v>43301</v>
          </cell>
          <cell r="D415" t="str">
            <v>SP2</v>
          </cell>
          <cell r="E415" t="str">
            <v>A4</v>
          </cell>
          <cell r="F415">
            <v>43419</v>
          </cell>
          <cell r="G415" t="str">
            <v>LV</v>
          </cell>
          <cell r="H415">
            <v>0</v>
          </cell>
          <cell r="I415">
            <v>0</v>
          </cell>
          <cell r="J415">
            <v>0</v>
          </cell>
          <cell r="K415">
            <v>0</v>
          </cell>
          <cell r="L415">
            <v>0</v>
          </cell>
          <cell r="M415">
            <v>0</v>
          </cell>
          <cell r="N415">
            <v>0</v>
          </cell>
          <cell r="O415">
            <v>0</v>
          </cell>
          <cell r="P415">
            <v>0</v>
          </cell>
          <cell r="Q415">
            <v>0</v>
          </cell>
          <cell r="R415">
            <v>0</v>
          </cell>
          <cell r="S415" t="str">
            <v>Y</v>
          </cell>
          <cell r="T415">
            <v>50</v>
          </cell>
          <cell r="V415">
            <v>100</v>
          </cell>
          <cell r="X415" t="str">
            <v>LV</v>
          </cell>
          <cell r="Y415" t="str">
            <v>TE</v>
          </cell>
          <cell r="Z415">
            <v>0</v>
          </cell>
          <cell r="AA415">
            <v>0</v>
          </cell>
          <cell r="AB415">
            <v>0</v>
          </cell>
          <cell r="AC415">
            <v>0.6010000000000002</v>
          </cell>
        </row>
        <row r="416">
          <cell r="A416" t="str">
            <v>SP2-B2-43302</v>
          </cell>
          <cell r="B416" t="str">
            <v>SP2-B2-43302</v>
          </cell>
          <cell r="C416">
            <v>43302</v>
          </cell>
          <cell r="D416" t="str">
            <v>SP2</v>
          </cell>
          <cell r="E416" t="str">
            <v>B2</v>
          </cell>
          <cell r="F416">
            <v>43502</v>
          </cell>
          <cell r="G416" t="str">
            <v>JY</v>
          </cell>
          <cell r="I416">
            <v>8</v>
          </cell>
          <cell r="K416">
            <v>8</v>
          </cell>
          <cell r="N416">
            <v>1</v>
          </cell>
          <cell r="Q416">
            <v>117</v>
          </cell>
          <cell r="S416" t="str">
            <v>Y</v>
          </cell>
          <cell r="T416">
            <v>50</v>
          </cell>
          <cell r="V416">
            <v>100</v>
          </cell>
          <cell r="X416" t="str">
            <v>TE</v>
          </cell>
          <cell r="Y416" t="str">
            <v>TE</v>
          </cell>
          <cell r="Z416">
            <v>0</v>
          </cell>
          <cell r="AA416">
            <v>8</v>
          </cell>
          <cell r="AB416">
            <v>0</v>
          </cell>
          <cell r="AC416">
            <v>0.22900000000000009</v>
          </cell>
        </row>
        <row r="417">
          <cell r="A417" t="str">
            <v>BC2-D1-43303</v>
          </cell>
          <cell r="B417" t="str">
            <v>BC2-D1-43303</v>
          </cell>
          <cell r="C417">
            <v>43303</v>
          </cell>
          <cell r="D417" t="str">
            <v>BC2</v>
          </cell>
          <cell r="E417" t="str">
            <v>D1</v>
          </cell>
          <cell r="F417">
            <v>43439</v>
          </cell>
          <cell r="G417" t="str">
            <v>JY</v>
          </cell>
          <cell r="H417">
            <v>0</v>
          </cell>
          <cell r="I417">
            <v>0</v>
          </cell>
          <cell r="J417">
            <v>0</v>
          </cell>
          <cell r="K417">
            <v>0</v>
          </cell>
          <cell r="L417">
            <v>0</v>
          </cell>
          <cell r="M417">
            <v>0</v>
          </cell>
          <cell r="N417">
            <v>0</v>
          </cell>
          <cell r="O417">
            <v>0</v>
          </cell>
          <cell r="P417">
            <v>0</v>
          </cell>
          <cell r="Q417">
            <v>0</v>
          </cell>
          <cell r="R417">
            <v>0</v>
          </cell>
          <cell r="S417" t="str">
            <v xml:space="preserve">Y </v>
          </cell>
          <cell r="T417">
            <v>50</v>
          </cell>
          <cell r="V417">
            <v>100</v>
          </cell>
          <cell r="X417" t="str">
            <v>LV</v>
          </cell>
          <cell r="Y417" t="str">
            <v>TE</v>
          </cell>
          <cell r="Z417">
            <v>0</v>
          </cell>
          <cell r="AA417">
            <v>0</v>
          </cell>
          <cell r="AB417">
            <v>0</v>
          </cell>
          <cell r="AC417">
            <v>0.19500000000000006</v>
          </cell>
        </row>
        <row r="418">
          <cell r="A418" t="str">
            <v>BC1-A7-43303</v>
          </cell>
          <cell r="B418" t="str">
            <v>BC1-A7-43303</v>
          </cell>
          <cell r="C418">
            <v>43303</v>
          </cell>
          <cell r="D418" t="str">
            <v>BC1</v>
          </cell>
          <cell r="E418" t="str">
            <v>A7</v>
          </cell>
          <cell r="F418">
            <v>43304</v>
          </cell>
          <cell r="G418" t="str">
            <v>DP</v>
          </cell>
          <cell r="I418">
            <v>31388</v>
          </cell>
          <cell r="J418">
            <v>519</v>
          </cell>
          <cell r="K418">
            <v>31907</v>
          </cell>
          <cell r="S418" t="str">
            <v>N</v>
          </cell>
          <cell r="T418">
            <v>25</v>
          </cell>
          <cell r="V418">
            <v>100</v>
          </cell>
          <cell r="W418" t="str">
            <v>1/4 Counted for Coccidia</v>
          </cell>
          <cell r="X418" t="str">
            <v>LV</v>
          </cell>
          <cell r="Y418" t="str">
            <v>LV/IS</v>
          </cell>
          <cell r="Z418">
            <v>0</v>
          </cell>
          <cell r="AA418">
            <v>31388</v>
          </cell>
          <cell r="AB418">
            <v>519</v>
          </cell>
          <cell r="AC418">
            <v>0.23200000000000021</v>
          </cell>
        </row>
        <row r="419">
          <cell r="A419" t="str">
            <v>BC2-D3-43303</v>
          </cell>
          <cell r="B419" t="str">
            <v>BC2-D3-43303</v>
          </cell>
          <cell r="C419">
            <v>43303</v>
          </cell>
          <cell r="D419" t="str">
            <v>BC2</v>
          </cell>
          <cell r="E419" t="str">
            <v>D3</v>
          </cell>
          <cell r="F419">
            <v>43305</v>
          </cell>
          <cell r="G419" t="str">
            <v>JB</v>
          </cell>
          <cell r="H419">
            <v>934</v>
          </cell>
          <cell r="I419">
            <v>1412</v>
          </cell>
          <cell r="J419">
            <v>228</v>
          </cell>
          <cell r="K419">
            <v>2574</v>
          </cell>
          <cell r="L419">
            <v>0</v>
          </cell>
          <cell r="M419">
            <v>0</v>
          </cell>
          <cell r="N419">
            <v>0</v>
          </cell>
          <cell r="O419">
            <v>0</v>
          </cell>
          <cell r="P419">
            <v>0</v>
          </cell>
          <cell r="Q419">
            <v>0</v>
          </cell>
          <cell r="R419">
            <v>4</v>
          </cell>
          <cell r="S419" t="str">
            <v>Y</v>
          </cell>
          <cell r="T419">
            <v>50</v>
          </cell>
          <cell r="V419">
            <v>100</v>
          </cell>
          <cell r="X419" t="str">
            <v>LV</v>
          </cell>
          <cell r="Y419" t="str">
            <v>LV/IS</v>
          </cell>
          <cell r="Z419">
            <v>934</v>
          </cell>
          <cell r="AA419">
            <v>1412</v>
          </cell>
          <cell r="AB419">
            <v>228</v>
          </cell>
          <cell r="AC419">
            <v>0.2370000000000001</v>
          </cell>
        </row>
        <row r="420">
          <cell r="A420" t="str">
            <v>BC1-C1-43303</v>
          </cell>
          <cell r="B420" t="str">
            <v>BC1-C1-43303</v>
          </cell>
          <cell r="C420">
            <v>43303</v>
          </cell>
          <cell r="D420" t="str">
            <v>BC1</v>
          </cell>
          <cell r="E420" t="str">
            <v>C1</v>
          </cell>
          <cell r="F420">
            <v>43305</v>
          </cell>
          <cell r="G420" t="str">
            <v>JB</v>
          </cell>
          <cell r="H420">
            <v>0</v>
          </cell>
          <cell r="I420">
            <v>0</v>
          </cell>
          <cell r="J420">
            <v>0</v>
          </cell>
          <cell r="K420">
            <v>0</v>
          </cell>
          <cell r="L420">
            <v>0</v>
          </cell>
          <cell r="M420">
            <v>0</v>
          </cell>
          <cell r="N420">
            <v>0</v>
          </cell>
          <cell r="O420">
            <v>0</v>
          </cell>
          <cell r="P420">
            <v>0</v>
          </cell>
          <cell r="Q420">
            <v>0</v>
          </cell>
          <cell r="R420">
            <v>0</v>
          </cell>
          <cell r="S420" t="str">
            <v>Y</v>
          </cell>
          <cell r="T420">
            <v>50</v>
          </cell>
          <cell r="V420">
            <v>100</v>
          </cell>
          <cell r="X420" t="str">
            <v>LV</v>
          </cell>
          <cell r="Y420" t="str">
            <v>LV/IS</v>
          </cell>
          <cell r="Z420">
            <v>0</v>
          </cell>
          <cell r="AA420">
            <v>0</v>
          </cell>
          <cell r="AB420">
            <v>0</v>
          </cell>
          <cell r="AC420">
            <v>0.41000000000000014</v>
          </cell>
        </row>
        <row r="421">
          <cell r="A421" t="str">
            <v>BC2-H2-43303</v>
          </cell>
          <cell r="B421" t="str">
            <v>BC2-H2-43303</v>
          </cell>
          <cell r="C421">
            <v>43303</v>
          </cell>
          <cell r="D421" t="str">
            <v>BC2</v>
          </cell>
          <cell r="E421" t="str">
            <v>H2</v>
          </cell>
          <cell r="F421">
            <v>43419</v>
          </cell>
          <cell r="G421" t="str">
            <v>LV</v>
          </cell>
          <cell r="H421">
            <v>68</v>
          </cell>
          <cell r="I421">
            <v>3822</v>
          </cell>
          <cell r="J421">
            <v>10</v>
          </cell>
          <cell r="K421">
            <v>3900</v>
          </cell>
          <cell r="S421" t="str">
            <v>Y</v>
          </cell>
          <cell r="T421">
            <v>50</v>
          </cell>
          <cell r="V421">
            <v>100</v>
          </cell>
          <cell r="X421" t="str">
            <v>LV</v>
          </cell>
          <cell r="Y421" t="str">
            <v>TE</v>
          </cell>
          <cell r="Z421">
            <v>68</v>
          </cell>
          <cell r="AA421">
            <v>3822</v>
          </cell>
          <cell r="AB421">
            <v>10</v>
          </cell>
          <cell r="AC421">
            <v>0.42400000000000015</v>
          </cell>
        </row>
        <row r="422">
          <cell r="A422" t="str">
            <v>BC1-H6-43303</v>
          </cell>
          <cell r="B422" t="str">
            <v>BC1-H6-43303</v>
          </cell>
          <cell r="C422">
            <v>43303</v>
          </cell>
          <cell r="D422" t="str">
            <v>BC1</v>
          </cell>
          <cell r="E422" t="str">
            <v>H6</v>
          </cell>
          <cell r="F422">
            <v>43304</v>
          </cell>
          <cell r="G422" t="str">
            <v>IS</v>
          </cell>
          <cell r="I422">
            <v>2</v>
          </cell>
          <cell r="J422">
            <v>2</v>
          </cell>
          <cell r="K422">
            <v>4</v>
          </cell>
          <cell r="S422" t="str">
            <v>Y</v>
          </cell>
          <cell r="T422">
            <v>50</v>
          </cell>
          <cell r="V422">
            <v>100</v>
          </cell>
          <cell r="X422" t="str">
            <v>LV</v>
          </cell>
          <cell r="Y422" t="str">
            <v>LV/IS</v>
          </cell>
          <cell r="Z422">
            <v>0</v>
          </cell>
          <cell r="AA422">
            <v>2</v>
          </cell>
          <cell r="AB422">
            <v>2</v>
          </cell>
          <cell r="AC422">
            <v>0.44400000000000017</v>
          </cell>
        </row>
        <row r="423">
          <cell r="A423" t="str">
            <v>BC1-A1-43303</v>
          </cell>
          <cell r="B423" t="str">
            <v>BC1-A1-43303</v>
          </cell>
          <cell r="C423">
            <v>43303</v>
          </cell>
          <cell r="D423" t="str">
            <v>BC1</v>
          </cell>
          <cell r="E423" t="str">
            <v>A1</v>
          </cell>
          <cell r="F423">
            <v>43305</v>
          </cell>
          <cell r="G423" t="str">
            <v>DP</v>
          </cell>
          <cell r="H423">
            <v>18</v>
          </cell>
          <cell r="I423">
            <v>32</v>
          </cell>
          <cell r="J423">
            <v>4</v>
          </cell>
          <cell r="K423">
            <v>54</v>
          </cell>
          <cell r="S423" t="str">
            <v>Y</v>
          </cell>
          <cell r="T423">
            <v>50</v>
          </cell>
          <cell r="V423">
            <v>100</v>
          </cell>
          <cell r="X423" t="str">
            <v>DP</v>
          </cell>
          <cell r="Y423" t="str">
            <v>LV/IS</v>
          </cell>
          <cell r="Z423">
            <v>18</v>
          </cell>
          <cell r="AA423">
            <v>32</v>
          </cell>
          <cell r="AB423">
            <v>4</v>
          </cell>
          <cell r="AC423">
            <v>0.48600000000000021</v>
          </cell>
        </row>
        <row r="424">
          <cell r="A424" t="str">
            <v>BC1-D2-43304</v>
          </cell>
          <cell r="B424" t="str">
            <v>BC1-D2-43304</v>
          </cell>
          <cell r="C424">
            <v>43304</v>
          </cell>
          <cell r="D424" t="str">
            <v>BC1</v>
          </cell>
          <cell r="E424" t="str">
            <v>D2</v>
          </cell>
          <cell r="F424">
            <v>43305</v>
          </cell>
          <cell r="G424" t="str">
            <v>DP</v>
          </cell>
          <cell r="H424">
            <v>180</v>
          </cell>
          <cell r="I424">
            <v>22708</v>
          </cell>
          <cell r="J424">
            <v>1272</v>
          </cell>
          <cell r="K424">
            <v>24160</v>
          </cell>
          <cell r="S424" t="str">
            <v>N</v>
          </cell>
          <cell r="T424">
            <v>25</v>
          </cell>
          <cell r="V424">
            <v>100</v>
          </cell>
          <cell r="W424" t="str">
            <v>1/4 Counted for Coccidia</v>
          </cell>
          <cell r="X424" t="str">
            <v>LV</v>
          </cell>
          <cell r="Y424" t="str">
            <v>LV/IS</v>
          </cell>
          <cell r="Z424">
            <v>180</v>
          </cell>
          <cell r="AA424">
            <v>22708</v>
          </cell>
          <cell r="AB424">
            <v>1272</v>
          </cell>
          <cell r="AC424">
            <v>0.27200000000000002</v>
          </cell>
        </row>
        <row r="425">
          <cell r="A425" t="str">
            <v>BC2-E8-43304</v>
          </cell>
          <cell r="B425" t="str">
            <v>BC2-E8-43304</v>
          </cell>
          <cell r="C425">
            <v>43304</v>
          </cell>
          <cell r="D425" t="str">
            <v>BC2</v>
          </cell>
          <cell r="E425" t="str">
            <v>E8</v>
          </cell>
          <cell r="F425">
            <v>43418</v>
          </cell>
          <cell r="G425" t="str">
            <v>NB</v>
          </cell>
          <cell r="K425">
            <v>0</v>
          </cell>
          <cell r="O425">
            <v>1</v>
          </cell>
          <cell r="R425">
            <v>1</v>
          </cell>
          <cell r="S425" t="str">
            <v>Y</v>
          </cell>
          <cell r="T425">
            <v>50</v>
          </cell>
          <cell r="V425">
            <v>100</v>
          </cell>
          <cell r="X425" t="str">
            <v>LV</v>
          </cell>
          <cell r="Y425" t="str">
            <v>TE</v>
          </cell>
          <cell r="Z425">
            <v>0</v>
          </cell>
          <cell r="AA425">
            <v>0</v>
          </cell>
          <cell r="AB425">
            <v>0</v>
          </cell>
          <cell r="AC425">
            <v>0.31100000000000017</v>
          </cell>
        </row>
        <row r="426">
          <cell r="A426" t="str">
            <v>HW2-E8-43305</v>
          </cell>
          <cell r="B426" t="str">
            <v>HW2-E8-43305</v>
          </cell>
          <cell r="C426">
            <v>43305</v>
          </cell>
          <cell r="D426" t="str">
            <v>HW2</v>
          </cell>
          <cell r="E426" t="str">
            <v>E8</v>
          </cell>
          <cell r="F426">
            <v>43431</v>
          </cell>
          <cell r="G426" t="str">
            <v>NB</v>
          </cell>
          <cell r="H426">
            <v>14</v>
          </cell>
          <cell r="K426">
            <v>14</v>
          </cell>
          <cell r="S426" t="str">
            <v>Y</v>
          </cell>
          <cell r="T426">
            <v>50</v>
          </cell>
          <cell r="V426">
            <v>100</v>
          </cell>
          <cell r="X426" t="str">
            <v>LV</v>
          </cell>
          <cell r="Y426" t="str">
            <v>TE</v>
          </cell>
          <cell r="Z426">
            <v>14</v>
          </cell>
          <cell r="AA426">
            <v>0</v>
          </cell>
          <cell r="AB426">
            <v>0</v>
          </cell>
          <cell r="AC426">
            <v>0.31300000000000017</v>
          </cell>
        </row>
        <row r="427">
          <cell r="A427" t="str">
            <v>HW2-H7-43305</v>
          </cell>
          <cell r="B427" t="str">
            <v>HW2-H7-43305</v>
          </cell>
          <cell r="C427">
            <v>43305</v>
          </cell>
          <cell r="D427" t="str">
            <v>HW2</v>
          </cell>
          <cell r="E427" t="str">
            <v>H7</v>
          </cell>
          <cell r="F427">
            <v>43431</v>
          </cell>
          <cell r="G427" t="str">
            <v>NB</v>
          </cell>
          <cell r="H427">
            <v>2966</v>
          </cell>
          <cell r="I427">
            <v>2864</v>
          </cell>
          <cell r="J427">
            <v>42</v>
          </cell>
          <cell r="K427">
            <v>5872</v>
          </cell>
          <cell r="S427" t="str">
            <v>Y</v>
          </cell>
          <cell r="T427">
            <v>50</v>
          </cell>
          <cell r="V427">
            <v>100</v>
          </cell>
          <cell r="X427" t="str">
            <v>LV</v>
          </cell>
          <cell r="Y427" t="str">
            <v>TE</v>
          </cell>
          <cell r="Z427">
            <v>2966</v>
          </cell>
          <cell r="AA427">
            <v>2864</v>
          </cell>
          <cell r="AB427">
            <v>42</v>
          </cell>
          <cell r="AC427">
            <v>0.373</v>
          </cell>
        </row>
        <row r="428">
          <cell r="A428" t="str">
            <v>HW2-C8-43305</v>
          </cell>
          <cell r="B428" t="str">
            <v>HW2-C8-43305</v>
          </cell>
          <cell r="C428">
            <v>43305</v>
          </cell>
          <cell r="D428" t="str">
            <v>HW2</v>
          </cell>
          <cell r="E428" t="str">
            <v>C8</v>
          </cell>
          <cell r="F428">
            <v>43441</v>
          </cell>
          <cell r="G428" t="str">
            <v>TE</v>
          </cell>
          <cell r="J428">
            <v>4</v>
          </cell>
          <cell r="K428">
            <v>4</v>
          </cell>
          <cell r="L428">
            <v>3</v>
          </cell>
          <cell r="S428" t="str">
            <v>Y</v>
          </cell>
          <cell r="T428">
            <v>50</v>
          </cell>
          <cell r="V428">
            <v>100</v>
          </cell>
          <cell r="W428" t="str">
            <v>1189 Blastocystis</v>
          </cell>
          <cell r="X428" t="str">
            <v>TE</v>
          </cell>
          <cell r="Y428" t="str">
            <v>TE</v>
          </cell>
          <cell r="Z428">
            <v>0</v>
          </cell>
          <cell r="AA428">
            <v>0</v>
          </cell>
          <cell r="AB428">
            <v>4</v>
          </cell>
          <cell r="AC428">
            <v>0.38700000000000001</v>
          </cell>
        </row>
        <row r="429">
          <cell r="A429" t="str">
            <v>HW1-H3-43305</v>
          </cell>
          <cell r="B429" t="str">
            <v>HW1-H3-43305</v>
          </cell>
          <cell r="C429">
            <v>43305</v>
          </cell>
          <cell r="D429" t="str">
            <v>HW1</v>
          </cell>
          <cell r="E429" t="str">
            <v>H3</v>
          </cell>
          <cell r="F429">
            <v>43418</v>
          </cell>
          <cell r="G429" t="str">
            <v>JY</v>
          </cell>
          <cell r="I429">
            <v>18</v>
          </cell>
          <cell r="J429">
            <v>2</v>
          </cell>
          <cell r="K429">
            <v>20</v>
          </cell>
          <cell r="S429" t="str">
            <v>Y</v>
          </cell>
          <cell r="T429">
            <v>50</v>
          </cell>
          <cell r="V429">
            <v>100</v>
          </cell>
          <cell r="X429" t="str">
            <v>LV</v>
          </cell>
          <cell r="Y429" t="str">
            <v>TE</v>
          </cell>
          <cell r="Z429">
            <v>0</v>
          </cell>
          <cell r="AA429">
            <v>18</v>
          </cell>
          <cell r="AB429">
            <v>2</v>
          </cell>
          <cell r="AC429">
            <v>0.43900000000000006</v>
          </cell>
        </row>
        <row r="430">
          <cell r="A430" t="str">
            <v>HW2-H5-43305</v>
          </cell>
          <cell r="B430" t="str">
            <v>HW2-H5-43305</v>
          </cell>
          <cell r="C430">
            <v>43305</v>
          </cell>
          <cell r="D430" t="str">
            <v>HW2</v>
          </cell>
          <cell r="E430" t="str">
            <v>H5</v>
          </cell>
          <cell r="F430">
            <v>43441</v>
          </cell>
          <cell r="G430" t="str">
            <v>NB</v>
          </cell>
          <cell r="K430">
            <v>0</v>
          </cell>
          <cell r="L430">
            <v>1</v>
          </cell>
          <cell r="S430" t="str">
            <v>Y</v>
          </cell>
          <cell r="T430">
            <v>50</v>
          </cell>
          <cell r="V430">
            <v>100</v>
          </cell>
          <cell r="X430" t="str">
            <v>TE</v>
          </cell>
          <cell r="Y430" t="str">
            <v xml:space="preserve">LV </v>
          </cell>
          <cell r="Z430">
            <v>0</v>
          </cell>
          <cell r="AA430">
            <v>0</v>
          </cell>
          <cell r="AB430">
            <v>0</v>
          </cell>
          <cell r="AC430">
            <v>0.498</v>
          </cell>
        </row>
        <row r="431">
          <cell r="A431" t="str">
            <v>HW1-H7-43305</v>
          </cell>
          <cell r="B431" t="str">
            <v>HW1-H7-43305</v>
          </cell>
          <cell r="C431">
            <v>43305</v>
          </cell>
          <cell r="D431" t="str">
            <v>HW1</v>
          </cell>
          <cell r="E431" t="str">
            <v>H7</v>
          </cell>
          <cell r="F431">
            <v>43418</v>
          </cell>
          <cell r="G431" t="str">
            <v>NB</v>
          </cell>
          <cell r="H431">
            <v>8</v>
          </cell>
          <cell r="J431">
            <v>28</v>
          </cell>
          <cell r="K431">
            <v>36</v>
          </cell>
          <cell r="S431" t="str">
            <v>Y</v>
          </cell>
          <cell r="T431">
            <v>50</v>
          </cell>
          <cell r="V431">
            <v>100</v>
          </cell>
          <cell r="X431" t="str">
            <v>LV</v>
          </cell>
          <cell r="Y431" t="str">
            <v>TE</v>
          </cell>
          <cell r="Z431">
            <v>8</v>
          </cell>
          <cell r="AA431">
            <v>0</v>
          </cell>
          <cell r="AB431">
            <v>28</v>
          </cell>
          <cell r="AC431">
            <v>0.51800000000000002</v>
          </cell>
        </row>
        <row r="432">
          <cell r="A432" t="str">
            <v>HW1-C1-43305</v>
          </cell>
          <cell r="B432" t="str">
            <v>HW1-C1-43305</v>
          </cell>
          <cell r="C432">
            <v>43305</v>
          </cell>
          <cell r="D432" t="str">
            <v>HW1</v>
          </cell>
          <cell r="E432" t="str">
            <v>C1</v>
          </cell>
          <cell r="F432">
            <v>43500</v>
          </cell>
          <cell r="G432" t="str">
            <v>JY</v>
          </cell>
          <cell r="H432">
            <v>4</v>
          </cell>
          <cell r="I432">
            <v>1550</v>
          </cell>
          <cell r="J432">
            <v>28</v>
          </cell>
          <cell r="K432">
            <v>1582</v>
          </cell>
          <cell r="S432" t="str">
            <v>Y</v>
          </cell>
          <cell r="T432">
            <v>50</v>
          </cell>
          <cell r="V432">
            <v>100</v>
          </cell>
          <cell r="X432" t="str">
            <v>JY</v>
          </cell>
          <cell r="Y432" t="str">
            <v>TE</v>
          </cell>
          <cell r="Z432">
            <v>4</v>
          </cell>
          <cell r="AA432">
            <v>1550</v>
          </cell>
          <cell r="AB432">
            <v>28</v>
          </cell>
          <cell r="AC432">
            <v>0.59400000000000008</v>
          </cell>
        </row>
        <row r="433">
          <cell r="A433" t="str">
            <v>HW2-A7-43305</v>
          </cell>
          <cell r="B433" t="str">
            <v>HW2-A7-43305</v>
          </cell>
          <cell r="C433">
            <v>43305</v>
          </cell>
          <cell r="D433" t="str">
            <v>HW2</v>
          </cell>
          <cell r="E433" t="str">
            <v>A7</v>
          </cell>
          <cell r="F433">
            <v>43441</v>
          </cell>
          <cell r="G433" t="str">
            <v>NB</v>
          </cell>
          <cell r="H433">
            <v>172</v>
          </cell>
          <cell r="K433">
            <v>172</v>
          </cell>
          <cell r="S433" t="str">
            <v>Y</v>
          </cell>
          <cell r="T433">
            <v>50</v>
          </cell>
          <cell r="V433">
            <v>100</v>
          </cell>
          <cell r="X433" t="str">
            <v>TE</v>
          </cell>
          <cell r="Y433" t="str">
            <v xml:space="preserve">LV </v>
          </cell>
          <cell r="Z433">
            <v>172</v>
          </cell>
          <cell r="AA433">
            <v>0</v>
          </cell>
          <cell r="AB433">
            <v>0</v>
          </cell>
          <cell r="AC433">
            <v>0.62600000000000011</v>
          </cell>
        </row>
        <row r="434">
          <cell r="A434" t="str">
            <v>HW2-E4-43305</v>
          </cell>
          <cell r="B434" t="str">
            <v>HW2-E4-43305</v>
          </cell>
          <cell r="C434">
            <v>43305</v>
          </cell>
          <cell r="D434" t="str">
            <v>HW2</v>
          </cell>
          <cell r="E434" t="str">
            <v>E4</v>
          </cell>
          <cell r="F434">
            <v>43441</v>
          </cell>
          <cell r="G434" t="str">
            <v>TE</v>
          </cell>
          <cell r="I434">
            <v>122</v>
          </cell>
          <cell r="J434">
            <v>2604</v>
          </cell>
          <cell r="K434">
            <v>2726</v>
          </cell>
          <cell r="S434" t="str">
            <v>Y</v>
          </cell>
          <cell r="T434">
            <v>50</v>
          </cell>
          <cell r="V434">
            <v>100</v>
          </cell>
          <cell r="X434" t="str">
            <v>TE</v>
          </cell>
          <cell r="Y434" t="str">
            <v>TE</v>
          </cell>
          <cell r="Z434">
            <v>0</v>
          </cell>
          <cell r="AA434">
            <v>122</v>
          </cell>
          <cell r="AB434">
            <v>2604</v>
          </cell>
          <cell r="AC434">
            <v>0.78300000000000014</v>
          </cell>
        </row>
        <row r="435">
          <cell r="A435" t="str">
            <v>HW2-B2-43305</v>
          </cell>
          <cell r="B435" t="str">
            <v>HW2-B2-43305</v>
          </cell>
          <cell r="C435">
            <v>43305</v>
          </cell>
          <cell r="D435" t="str">
            <v>HW2</v>
          </cell>
          <cell r="E435" t="str">
            <v>B2</v>
          </cell>
          <cell r="F435">
            <v>43420</v>
          </cell>
          <cell r="G435" t="str">
            <v>TE</v>
          </cell>
          <cell r="K435">
            <v>0</v>
          </cell>
          <cell r="R435">
            <v>1</v>
          </cell>
          <cell r="S435" t="str">
            <v>Y</v>
          </cell>
          <cell r="T435">
            <v>50</v>
          </cell>
          <cell r="V435">
            <v>100</v>
          </cell>
          <cell r="X435" t="str">
            <v>LV</v>
          </cell>
          <cell r="Y435" t="str">
            <v>TE</v>
          </cell>
          <cell r="Z435">
            <v>0</v>
          </cell>
          <cell r="AA435">
            <v>0</v>
          </cell>
          <cell r="AB435">
            <v>0</v>
          </cell>
          <cell r="AC435">
            <v>0.83600000000000008</v>
          </cell>
        </row>
        <row r="436">
          <cell r="AC436">
            <v>0.31300000000000017</v>
          </cell>
        </row>
        <row r="437">
          <cell r="AC437">
            <v>1.3939999999999999</v>
          </cell>
        </row>
      </sheetData>
      <sheetData sheetId="1"/>
      <sheetData sheetId="2"/>
      <sheetData sheetId="3"/>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master"/>
      <sheetName val="2016 master"/>
      <sheetName val="combo master"/>
      <sheetName val="sex spp pivot"/>
      <sheetName val="master master - sorted and fixe"/>
      <sheetName val="RNA selections"/>
      <sheetName val="RNA Seq summary tables"/>
      <sheetName val="full info on selected"/>
      <sheetName val="RNA seq"/>
      <sheetName val="code summary pivot"/>
      <sheetName val="SNV+"/>
      <sheetName val="RNA Seq final selections"/>
    </sheetNames>
    <sheetDataSet>
      <sheetData sheetId="0"/>
      <sheetData sheetId="1"/>
      <sheetData sheetId="2"/>
      <sheetData sheetId="3"/>
      <sheetData sheetId="4"/>
      <sheetData sheetId="5"/>
      <sheetData sheetId="6">
        <row r="3">
          <cell r="V3" t="str">
            <v>Blood</v>
          </cell>
        </row>
        <row r="4">
          <cell r="V4">
            <v>1362</v>
          </cell>
        </row>
        <row r="5">
          <cell r="V5">
            <v>1363</v>
          </cell>
        </row>
        <row r="6">
          <cell r="V6">
            <v>1385</v>
          </cell>
        </row>
        <row r="7">
          <cell r="V7">
            <v>1386</v>
          </cell>
        </row>
        <row r="8">
          <cell r="V8">
            <v>1391</v>
          </cell>
        </row>
        <row r="9">
          <cell r="V9">
            <v>1407</v>
          </cell>
        </row>
        <row r="10">
          <cell r="V10">
            <v>1445</v>
          </cell>
        </row>
        <row r="11">
          <cell r="V11">
            <v>1459</v>
          </cell>
        </row>
        <row r="12">
          <cell r="V12">
            <v>1463</v>
          </cell>
        </row>
        <row r="13">
          <cell r="V13">
            <v>1471</v>
          </cell>
        </row>
        <row r="14">
          <cell r="V14">
            <v>1498</v>
          </cell>
        </row>
        <row r="15">
          <cell r="V15">
            <v>1509</v>
          </cell>
        </row>
        <row r="16">
          <cell r="V16">
            <v>1511</v>
          </cell>
        </row>
        <row r="17">
          <cell r="V17">
            <v>1522</v>
          </cell>
        </row>
        <row r="18">
          <cell r="V18">
            <v>1523</v>
          </cell>
        </row>
        <row r="19">
          <cell r="V19">
            <v>1531</v>
          </cell>
        </row>
        <row r="20">
          <cell r="V20">
            <v>1533</v>
          </cell>
        </row>
        <row r="21">
          <cell r="V21">
            <v>1537</v>
          </cell>
        </row>
        <row r="22">
          <cell r="V22">
            <v>1538</v>
          </cell>
        </row>
        <row r="23">
          <cell r="V23">
            <v>1540</v>
          </cell>
        </row>
        <row r="24">
          <cell r="V24">
            <v>1546</v>
          </cell>
        </row>
        <row r="25">
          <cell r="V25">
            <v>1547</v>
          </cell>
        </row>
        <row r="26">
          <cell r="V26">
            <v>1548</v>
          </cell>
        </row>
        <row r="27">
          <cell r="V27">
            <v>1549</v>
          </cell>
        </row>
        <row r="28">
          <cell r="V28">
            <v>1550</v>
          </cell>
        </row>
        <row r="29">
          <cell r="V29">
            <v>1555</v>
          </cell>
        </row>
        <row r="30">
          <cell r="V30">
            <v>1556</v>
          </cell>
        </row>
        <row r="31">
          <cell r="V31">
            <v>1560</v>
          </cell>
        </row>
        <row r="32">
          <cell r="V32">
            <v>1562</v>
          </cell>
        </row>
        <row r="33">
          <cell r="V33">
            <v>1565</v>
          </cell>
        </row>
        <row r="34">
          <cell r="V34">
            <v>1567</v>
          </cell>
        </row>
        <row r="35">
          <cell r="V35">
            <v>1574</v>
          </cell>
        </row>
        <row r="36">
          <cell r="V36">
            <v>1600</v>
          </cell>
        </row>
        <row r="37">
          <cell r="V37">
            <v>1602</v>
          </cell>
        </row>
        <row r="38">
          <cell r="V38">
            <v>1615</v>
          </cell>
        </row>
        <row r="39">
          <cell r="V39">
            <v>1616</v>
          </cell>
        </row>
        <row r="40">
          <cell r="V40">
            <v>1619</v>
          </cell>
        </row>
        <row r="41">
          <cell r="V41">
            <v>1625</v>
          </cell>
        </row>
        <row r="42">
          <cell r="V42">
            <v>1627</v>
          </cell>
        </row>
        <row r="43">
          <cell r="V43">
            <v>1629</v>
          </cell>
        </row>
        <row r="44">
          <cell r="V44">
            <v>1633</v>
          </cell>
        </row>
        <row r="45">
          <cell r="V45">
            <v>1640</v>
          </cell>
        </row>
        <row r="46">
          <cell r="V46">
            <v>1697</v>
          </cell>
        </row>
        <row r="47">
          <cell r="V47">
            <v>1702</v>
          </cell>
        </row>
        <row r="48">
          <cell r="V48">
            <v>1704</v>
          </cell>
        </row>
        <row r="49">
          <cell r="V49">
            <v>1708</v>
          </cell>
        </row>
        <row r="50">
          <cell r="V50">
            <v>1710</v>
          </cell>
        </row>
        <row r="51">
          <cell r="V51">
            <v>1724</v>
          </cell>
        </row>
        <row r="52">
          <cell r="V52">
            <v>1725</v>
          </cell>
        </row>
        <row r="53">
          <cell r="V53">
            <v>1734</v>
          </cell>
        </row>
        <row r="54">
          <cell r="V54">
            <v>1735</v>
          </cell>
        </row>
        <row r="55">
          <cell r="V55">
            <v>1738</v>
          </cell>
        </row>
        <row r="56">
          <cell r="V56">
            <v>1742</v>
          </cell>
        </row>
        <row r="57">
          <cell r="V57">
            <v>1746</v>
          </cell>
        </row>
        <row r="58">
          <cell r="V58">
            <v>1749</v>
          </cell>
        </row>
        <row r="59">
          <cell r="V59">
            <v>1843</v>
          </cell>
        </row>
        <row r="60">
          <cell r="V60">
            <v>1848</v>
          </cell>
        </row>
        <row r="61">
          <cell r="V61">
            <v>1853</v>
          </cell>
        </row>
        <row r="62">
          <cell r="V62">
            <v>1854</v>
          </cell>
        </row>
        <row r="63">
          <cell r="V63">
            <v>1859</v>
          </cell>
        </row>
        <row r="64">
          <cell r="V64">
            <v>1860</v>
          </cell>
        </row>
        <row r="65">
          <cell r="V65">
            <v>1861</v>
          </cell>
        </row>
        <row r="66">
          <cell r="V66">
            <v>1868</v>
          </cell>
        </row>
        <row r="67">
          <cell r="V67">
            <v>1875</v>
          </cell>
        </row>
        <row r="68">
          <cell r="V68">
            <v>1877</v>
          </cell>
        </row>
        <row r="69">
          <cell r="V69">
            <v>1879</v>
          </cell>
        </row>
        <row r="70">
          <cell r="V70">
            <v>1966</v>
          </cell>
        </row>
        <row r="71">
          <cell r="V71">
            <v>1969</v>
          </cell>
        </row>
        <row r="72">
          <cell r="V72">
            <v>1990</v>
          </cell>
        </row>
        <row r="73">
          <cell r="V73">
            <v>2001</v>
          </cell>
        </row>
        <row r="74">
          <cell r="V74">
            <v>2002</v>
          </cell>
        </row>
        <row r="75">
          <cell r="V75">
            <v>2003</v>
          </cell>
        </row>
        <row r="76">
          <cell r="V76">
            <v>2005</v>
          </cell>
        </row>
        <row r="77">
          <cell r="V77">
            <v>2009</v>
          </cell>
        </row>
        <row r="78">
          <cell r="V78">
            <v>2013</v>
          </cell>
        </row>
        <row r="79">
          <cell r="V79">
            <v>2018</v>
          </cell>
        </row>
        <row r="80">
          <cell r="V80">
            <v>2133</v>
          </cell>
        </row>
        <row r="81">
          <cell r="V81">
            <v>2142</v>
          </cell>
        </row>
        <row r="82">
          <cell r="V82">
            <v>2145</v>
          </cell>
        </row>
        <row r="83">
          <cell r="V83">
            <v>2146</v>
          </cell>
        </row>
        <row r="84">
          <cell r="V84">
            <v>2148</v>
          </cell>
        </row>
        <row r="85">
          <cell r="V85">
            <v>2152</v>
          </cell>
        </row>
        <row r="86">
          <cell r="V86">
            <v>2155</v>
          </cell>
        </row>
        <row r="87">
          <cell r="V87">
            <v>2170</v>
          </cell>
        </row>
        <row r="88">
          <cell r="V88">
            <v>2171</v>
          </cell>
        </row>
        <row r="89">
          <cell r="V89">
            <v>2174</v>
          </cell>
        </row>
        <row r="90">
          <cell r="V90">
            <v>2182</v>
          </cell>
        </row>
        <row r="91">
          <cell r="V91">
            <v>2243</v>
          </cell>
        </row>
        <row r="92">
          <cell r="V92">
            <v>2245</v>
          </cell>
        </row>
        <row r="93">
          <cell r="V93">
            <v>2251</v>
          </cell>
        </row>
        <row r="94">
          <cell r="V94">
            <v>2270</v>
          </cell>
        </row>
        <row r="95">
          <cell r="V95">
            <v>2279</v>
          </cell>
        </row>
        <row r="96">
          <cell r="V96">
            <v>2280</v>
          </cell>
        </row>
        <row r="97">
          <cell r="V97">
            <v>2306</v>
          </cell>
        </row>
        <row r="98">
          <cell r="V98">
            <v>2309</v>
          </cell>
        </row>
        <row r="99">
          <cell r="V99">
            <v>2312</v>
          </cell>
        </row>
      </sheetData>
      <sheetData sheetId="7"/>
      <sheetData sheetId="8"/>
      <sheetData sheetId="9"/>
      <sheetData sheetId="10"/>
      <sheetData sheetId="1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erything"/>
      <sheetName val="blood tubes 2017"/>
      <sheetName val="spot test"/>
      <sheetName val="19Sep2017"/>
      <sheetName val="20Sep2017"/>
      <sheetName val="21Sep2017"/>
      <sheetName val="2509 titer"/>
      <sheetName val="2509 titer od minus 68"/>
      <sheetName val="2509 raw od"/>
    </sheetNames>
    <sheetDataSet>
      <sheetData sheetId="0"/>
      <sheetData sheetId="1">
        <row r="1">
          <cell r="C1" t="str">
            <v>Blood #</v>
          </cell>
          <cell r="D1" t="str">
            <v>blood 2</v>
          </cell>
          <cell r="E1" t="str">
            <v>Treatment</v>
          </cell>
          <cell r="F1" t="str">
            <v>Species</v>
          </cell>
          <cell r="G1" t="str">
            <v>Sex</v>
          </cell>
          <cell r="H1" t="str">
            <v>Age</v>
          </cell>
          <cell r="I1" t="str">
            <v>SNV spot positive</v>
          </cell>
          <cell r="J1" t="str">
            <v>SNV Titer</v>
          </cell>
          <cell r="K1" t="str">
            <v>SNV pos 10</v>
          </cell>
          <cell r="L1" t="str">
            <v>SNV Titer</v>
          </cell>
        </row>
        <row r="2">
          <cell r="D2">
            <v>1590</v>
          </cell>
          <cell r="E2" t="str">
            <v>A</v>
          </cell>
          <cell r="F2" t="str">
            <v>PM</v>
          </cell>
          <cell r="G2" t="str">
            <v>F</v>
          </cell>
          <cell r="H2" t="str">
            <v>A</v>
          </cell>
          <cell r="I2" t="str">
            <v>Y</v>
          </cell>
          <cell r="J2">
            <v>25</v>
          </cell>
          <cell r="K2">
            <v>1</v>
          </cell>
          <cell r="L2">
            <v>25</v>
          </cell>
        </row>
        <row r="3">
          <cell r="D3">
            <v>1602</v>
          </cell>
          <cell r="E3" t="str">
            <v>A</v>
          </cell>
          <cell r="F3" t="str">
            <v>PL</v>
          </cell>
          <cell r="G3" t="str">
            <v>M</v>
          </cell>
          <cell r="H3" t="str">
            <v>A</v>
          </cell>
          <cell r="I3" t="str">
            <v>Y</v>
          </cell>
          <cell r="J3">
            <v>1600</v>
          </cell>
          <cell r="K3">
            <v>1</v>
          </cell>
          <cell r="L3">
            <v>1600</v>
          </cell>
        </row>
        <row r="4">
          <cell r="D4">
            <v>1611</v>
          </cell>
          <cell r="E4" t="str">
            <v>C</v>
          </cell>
          <cell r="F4" t="str">
            <v>PL</v>
          </cell>
          <cell r="G4" t="str">
            <v>F</v>
          </cell>
          <cell r="H4" t="str">
            <v>A</v>
          </cell>
          <cell r="I4" t="str">
            <v>Y</v>
          </cell>
          <cell r="J4">
            <v>13</v>
          </cell>
          <cell r="K4">
            <v>1</v>
          </cell>
          <cell r="L4">
            <v>13</v>
          </cell>
        </row>
        <row r="5">
          <cell r="D5">
            <v>1616</v>
          </cell>
          <cell r="E5" t="str">
            <v>A</v>
          </cell>
          <cell r="F5" t="str">
            <v>PL</v>
          </cell>
          <cell r="G5" t="str">
            <v>M</v>
          </cell>
          <cell r="H5" t="str">
            <v>A</v>
          </cell>
          <cell r="I5" t="str">
            <v>Y</v>
          </cell>
          <cell r="J5">
            <v>400</v>
          </cell>
          <cell r="K5">
            <v>1</v>
          </cell>
          <cell r="L5">
            <v>400</v>
          </cell>
        </row>
        <row r="6">
          <cell r="D6">
            <v>1621</v>
          </cell>
          <cell r="E6" t="str">
            <v>A</v>
          </cell>
          <cell r="F6" t="str">
            <v>PM</v>
          </cell>
          <cell r="G6" t="str">
            <v>M</v>
          </cell>
          <cell r="H6" t="str">
            <v>A</v>
          </cell>
          <cell r="I6" t="str">
            <v>Y</v>
          </cell>
          <cell r="J6">
            <v>25</v>
          </cell>
          <cell r="K6">
            <v>1</v>
          </cell>
          <cell r="L6">
            <v>25</v>
          </cell>
        </row>
        <row r="7">
          <cell r="D7">
            <v>1867</v>
          </cell>
          <cell r="E7" t="str">
            <v>C</v>
          </cell>
          <cell r="F7" t="str">
            <v>PL</v>
          </cell>
          <cell r="G7" t="str">
            <v>F</v>
          </cell>
          <cell r="H7" t="str">
            <v>A</v>
          </cell>
          <cell r="I7" t="str">
            <v>Y</v>
          </cell>
          <cell r="J7">
            <v>13</v>
          </cell>
          <cell r="K7">
            <v>1</v>
          </cell>
          <cell r="L7">
            <v>13</v>
          </cell>
        </row>
        <row r="8">
          <cell r="D8">
            <v>1704</v>
          </cell>
          <cell r="E8" t="str">
            <v>A</v>
          </cell>
          <cell r="F8" t="str">
            <v>PL</v>
          </cell>
          <cell r="G8" t="str">
            <v>M</v>
          </cell>
          <cell r="H8" t="str">
            <v>A</v>
          </cell>
          <cell r="I8" t="str">
            <v>Y</v>
          </cell>
          <cell r="J8">
            <v>100</v>
          </cell>
          <cell r="K8">
            <v>1</v>
          </cell>
          <cell r="L8">
            <v>100</v>
          </cell>
        </row>
        <row r="9">
          <cell r="D9">
            <v>1848</v>
          </cell>
          <cell r="E9" t="str">
            <v>A</v>
          </cell>
          <cell r="F9" t="str">
            <v>PL</v>
          </cell>
          <cell r="G9" t="str">
            <v>M</v>
          </cell>
          <cell r="H9" t="str">
            <v>A</v>
          </cell>
          <cell r="I9" t="str">
            <v>Y</v>
          </cell>
          <cell r="J9">
            <v>1600</v>
          </cell>
          <cell r="K9">
            <v>1</v>
          </cell>
          <cell r="L9">
            <v>1600</v>
          </cell>
        </row>
        <row r="10">
          <cell r="D10">
            <v>1969</v>
          </cell>
          <cell r="E10" t="str">
            <v>A</v>
          </cell>
          <cell r="F10" t="str">
            <v>PL</v>
          </cell>
          <cell r="G10" t="str">
            <v>M</v>
          </cell>
          <cell r="H10" t="str">
            <v>A</v>
          </cell>
          <cell r="I10" t="str">
            <v>Y</v>
          </cell>
          <cell r="J10">
            <v>1600</v>
          </cell>
          <cell r="K10">
            <v>1</v>
          </cell>
          <cell r="L10">
            <v>1600</v>
          </cell>
        </row>
        <row r="11">
          <cell r="D11">
            <v>2145</v>
          </cell>
          <cell r="E11" t="str">
            <v>A</v>
          </cell>
          <cell r="F11" t="str">
            <v>PL</v>
          </cell>
          <cell r="G11" t="str">
            <v>M</v>
          </cell>
          <cell r="H11" t="str">
            <v>A</v>
          </cell>
          <cell r="I11" t="str">
            <v>Y</v>
          </cell>
          <cell r="J11">
            <v>400</v>
          </cell>
          <cell r="K11">
            <v>1</v>
          </cell>
          <cell r="L11">
            <v>400</v>
          </cell>
        </row>
        <row r="12">
          <cell r="D12">
            <v>2245</v>
          </cell>
          <cell r="E12" t="str">
            <v>A</v>
          </cell>
          <cell r="F12" t="str">
            <v>PL</v>
          </cell>
          <cell r="G12" t="str">
            <v>M</v>
          </cell>
          <cell r="H12" t="str">
            <v>A</v>
          </cell>
          <cell r="I12" t="str">
            <v>Y</v>
          </cell>
          <cell r="J12">
            <v>25</v>
          </cell>
          <cell r="K12">
            <v>1</v>
          </cell>
          <cell r="L12">
            <v>25</v>
          </cell>
        </row>
        <row r="13">
          <cell r="D13">
            <v>1754</v>
          </cell>
          <cell r="E13" t="str">
            <v>A</v>
          </cell>
          <cell r="F13" t="str">
            <v>PL</v>
          </cell>
          <cell r="G13" t="str">
            <v>F</v>
          </cell>
          <cell r="H13" t="str">
            <v>A</v>
          </cell>
          <cell r="I13" t="str">
            <v>Y</v>
          </cell>
          <cell r="J13">
            <v>13</v>
          </cell>
          <cell r="K13">
            <v>1</v>
          </cell>
          <cell r="L13">
            <v>13</v>
          </cell>
        </row>
        <row r="14">
          <cell r="D14">
            <v>1821</v>
          </cell>
          <cell r="E14" t="str">
            <v>A</v>
          </cell>
          <cell r="F14" t="str">
            <v>PL</v>
          </cell>
          <cell r="G14" t="str">
            <v>M</v>
          </cell>
          <cell r="H14" t="str">
            <v>A</v>
          </cell>
          <cell r="I14" t="str">
            <v>Y</v>
          </cell>
          <cell r="J14">
            <v>25</v>
          </cell>
          <cell r="K14">
            <v>1</v>
          </cell>
          <cell r="L14">
            <v>25</v>
          </cell>
        </row>
        <row r="15">
          <cell r="D15">
            <v>1889</v>
          </cell>
          <cell r="E15" t="str">
            <v>A</v>
          </cell>
          <cell r="F15" t="str">
            <v>PL</v>
          </cell>
          <cell r="G15" t="str">
            <v>M</v>
          </cell>
          <cell r="H15" t="str">
            <v>SA</v>
          </cell>
          <cell r="I15" t="str">
            <v>Y</v>
          </cell>
          <cell r="J15">
            <v>13</v>
          </cell>
          <cell r="K15">
            <v>1</v>
          </cell>
          <cell r="L15">
            <v>13</v>
          </cell>
        </row>
        <row r="16">
          <cell r="D16">
            <v>1996</v>
          </cell>
          <cell r="E16" t="str">
            <v>C</v>
          </cell>
          <cell r="F16" t="str">
            <v>PL</v>
          </cell>
          <cell r="G16" t="str">
            <v>M</v>
          </cell>
          <cell r="H16" t="str">
            <v>A</v>
          </cell>
          <cell r="I16" t="str">
            <v>Y</v>
          </cell>
          <cell r="J16">
            <v>25</v>
          </cell>
          <cell r="K16">
            <v>1</v>
          </cell>
          <cell r="L16">
            <v>25</v>
          </cell>
        </row>
        <row r="17">
          <cell r="D17">
            <v>2003</v>
          </cell>
          <cell r="E17" t="str">
            <v>A</v>
          </cell>
          <cell r="F17" t="str">
            <v>PM</v>
          </cell>
          <cell r="G17" t="str">
            <v>M</v>
          </cell>
          <cell r="H17" t="str">
            <v>SA</v>
          </cell>
          <cell r="I17" t="str">
            <v>Y</v>
          </cell>
          <cell r="J17">
            <v>25</v>
          </cell>
          <cell r="K17">
            <v>1</v>
          </cell>
          <cell r="L17">
            <v>25</v>
          </cell>
        </row>
        <row r="18">
          <cell r="D18">
            <v>2170</v>
          </cell>
          <cell r="E18" t="str">
            <v>A</v>
          </cell>
          <cell r="F18" t="str">
            <v>PM</v>
          </cell>
          <cell r="G18" t="str">
            <v>M</v>
          </cell>
          <cell r="H18" t="str">
            <v>A</v>
          </cell>
          <cell r="I18" t="str">
            <v>Y</v>
          </cell>
          <cell r="J18">
            <v>25</v>
          </cell>
          <cell r="K18">
            <v>1</v>
          </cell>
          <cell r="L18">
            <v>25</v>
          </cell>
        </row>
        <row r="19">
          <cell r="D19">
            <v>2009</v>
          </cell>
          <cell r="E19" t="str">
            <v>A</v>
          </cell>
          <cell r="F19" t="str">
            <v>PL</v>
          </cell>
          <cell r="G19" t="str">
            <v>M</v>
          </cell>
          <cell r="H19" t="str">
            <v>A</v>
          </cell>
          <cell r="I19" t="str">
            <v>Y</v>
          </cell>
          <cell r="J19">
            <v>25</v>
          </cell>
          <cell r="K19">
            <v>1</v>
          </cell>
          <cell r="L19">
            <v>25</v>
          </cell>
        </row>
        <row r="20">
          <cell r="D20">
            <v>2146</v>
          </cell>
          <cell r="E20" t="str">
            <v>A</v>
          </cell>
          <cell r="F20" t="str">
            <v>PL</v>
          </cell>
          <cell r="G20" t="str">
            <v>M</v>
          </cell>
          <cell r="H20" t="str">
            <v>A</v>
          </cell>
          <cell r="I20" t="str">
            <v>Y</v>
          </cell>
          <cell r="J20">
            <v>25</v>
          </cell>
          <cell r="K20">
            <v>1</v>
          </cell>
          <cell r="L20">
            <v>25</v>
          </cell>
        </row>
        <row r="21">
          <cell r="D21">
            <v>2312</v>
          </cell>
          <cell r="E21" t="str">
            <v>C</v>
          </cell>
          <cell r="F21" t="str">
            <v>PL</v>
          </cell>
          <cell r="G21" t="str">
            <v>M</v>
          </cell>
          <cell r="H21" t="str">
            <v>A</v>
          </cell>
          <cell r="I21" t="str">
            <v>Y</v>
          </cell>
          <cell r="J21">
            <v>25</v>
          </cell>
          <cell r="K21">
            <v>1</v>
          </cell>
          <cell r="L21">
            <v>25</v>
          </cell>
        </row>
        <row r="22">
          <cell r="D22">
            <v>2012</v>
          </cell>
          <cell r="E22" t="str">
            <v>C</v>
          </cell>
          <cell r="F22" t="str">
            <v>PM</v>
          </cell>
          <cell r="G22" t="str">
            <v>M</v>
          </cell>
          <cell r="H22" t="str">
            <v>SA</v>
          </cell>
          <cell r="I22" t="str">
            <v>Y</v>
          </cell>
          <cell r="J22">
            <v>13</v>
          </cell>
          <cell r="K22">
            <v>1</v>
          </cell>
          <cell r="L22">
            <v>13</v>
          </cell>
        </row>
        <row r="23">
          <cell r="D23">
            <v>2134</v>
          </cell>
          <cell r="E23" t="str">
            <v>C</v>
          </cell>
          <cell r="F23" t="str">
            <v>PL</v>
          </cell>
          <cell r="G23" t="str">
            <v>F</v>
          </cell>
          <cell r="H23" t="str">
            <v>A</v>
          </cell>
          <cell r="I23" t="str">
            <v>Y</v>
          </cell>
          <cell r="J23">
            <v>13</v>
          </cell>
          <cell r="K23">
            <v>1</v>
          </cell>
          <cell r="L23">
            <v>13</v>
          </cell>
        </row>
        <row r="24">
          <cell r="D24">
            <v>2309</v>
          </cell>
          <cell r="E24" t="str">
            <v>C</v>
          </cell>
          <cell r="F24" t="str">
            <v>PL</v>
          </cell>
          <cell r="G24" t="str">
            <v>M</v>
          </cell>
          <cell r="H24" t="str">
            <v>A</v>
          </cell>
          <cell r="I24" t="str">
            <v>Y</v>
          </cell>
          <cell r="J24">
            <v>1600</v>
          </cell>
          <cell r="K24">
            <v>1</v>
          </cell>
          <cell r="L24">
            <v>1600</v>
          </cell>
        </row>
        <row r="25">
          <cell r="D25">
            <v>1576</v>
          </cell>
          <cell r="E25" t="str">
            <v>A</v>
          </cell>
          <cell r="F25" t="str">
            <v>PL</v>
          </cell>
          <cell r="G25" t="str">
            <v>F</v>
          </cell>
          <cell r="H25" t="str">
            <v>A</v>
          </cell>
          <cell r="K25">
            <v>0</v>
          </cell>
          <cell r="L25">
            <v>0</v>
          </cell>
        </row>
        <row r="26">
          <cell r="D26">
            <v>1577</v>
          </cell>
          <cell r="E26" t="str">
            <v>C</v>
          </cell>
          <cell r="F26" t="str">
            <v>PL</v>
          </cell>
          <cell r="G26" t="str">
            <v>F</v>
          </cell>
          <cell r="H26" t="str">
            <v>A</v>
          </cell>
          <cell r="K26">
            <v>0</v>
          </cell>
          <cell r="L26">
            <v>0</v>
          </cell>
        </row>
        <row r="27">
          <cell r="D27">
            <v>1578</v>
          </cell>
          <cell r="E27" t="str">
            <v>A</v>
          </cell>
          <cell r="F27" t="str">
            <v>PL</v>
          </cell>
          <cell r="G27" t="str">
            <v>F</v>
          </cell>
          <cell r="H27" t="str">
            <v>A</v>
          </cell>
          <cell r="K27">
            <v>0</v>
          </cell>
          <cell r="L27">
            <v>0</v>
          </cell>
        </row>
        <row r="28">
          <cell r="D28">
            <v>1579</v>
          </cell>
          <cell r="E28" t="str">
            <v>C</v>
          </cell>
          <cell r="F28" t="str">
            <v>PL</v>
          </cell>
          <cell r="G28" t="str">
            <v>M</v>
          </cell>
          <cell r="H28" t="str">
            <v>A</v>
          </cell>
          <cell r="K28">
            <v>0</v>
          </cell>
          <cell r="L28">
            <v>0</v>
          </cell>
        </row>
        <row r="29">
          <cell r="D29">
            <v>1580</v>
          </cell>
          <cell r="E29" t="str">
            <v>A</v>
          </cell>
          <cell r="F29" t="str">
            <v>PL</v>
          </cell>
          <cell r="G29" t="str">
            <v>M</v>
          </cell>
          <cell r="H29" t="str">
            <v>A</v>
          </cell>
          <cell r="K29">
            <v>0</v>
          </cell>
          <cell r="L29">
            <v>0</v>
          </cell>
        </row>
        <row r="30">
          <cell r="D30">
            <v>1581</v>
          </cell>
          <cell r="E30" t="str">
            <v>C</v>
          </cell>
          <cell r="F30" t="str">
            <v>PL</v>
          </cell>
          <cell r="G30" t="str">
            <v>F</v>
          </cell>
          <cell r="H30" t="str">
            <v>A</v>
          </cell>
          <cell r="K30">
            <v>0</v>
          </cell>
          <cell r="L30">
            <v>0</v>
          </cell>
        </row>
        <row r="31">
          <cell r="D31">
            <v>1582</v>
          </cell>
          <cell r="E31" t="str">
            <v>A</v>
          </cell>
          <cell r="F31" t="str">
            <v>PL</v>
          </cell>
          <cell r="G31" t="str">
            <v>M</v>
          </cell>
          <cell r="H31" t="str">
            <v>A</v>
          </cell>
          <cell r="K31">
            <v>0</v>
          </cell>
          <cell r="L31">
            <v>0</v>
          </cell>
        </row>
        <row r="32">
          <cell r="D32">
            <v>1583</v>
          </cell>
          <cell r="E32" t="str">
            <v>C</v>
          </cell>
          <cell r="F32" t="str">
            <v>PL</v>
          </cell>
          <cell r="G32" t="str">
            <v>M</v>
          </cell>
          <cell r="H32" t="str">
            <v>J</v>
          </cell>
          <cell r="K32">
            <v>0</v>
          </cell>
          <cell r="L32">
            <v>0</v>
          </cell>
        </row>
        <row r="33">
          <cell r="D33">
            <v>1584</v>
          </cell>
          <cell r="E33" t="str">
            <v>A</v>
          </cell>
          <cell r="F33" t="str">
            <v>PL</v>
          </cell>
          <cell r="G33" t="str">
            <v>F</v>
          </cell>
          <cell r="H33" t="str">
            <v>A</v>
          </cell>
          <cell r="K33">
            <v>0</v>
          </cell>
          <cell r="L33">
            <v>0</v>
          </cell>
        </row>
        <row r="34">
          <cell r="D34">
            <v>1585</v>
          </cell>
          <cell r="E34" t="str">
            <v>C</v>
          </cell>
          <cell r="F34" t="str">
            <v>PL</v>
          </cell>
          <cell r="G34" t="str">
            <v>F</v>
          </cell>
          <cell r="H34" t="str">
            <v>A</v>
          </cell>
          <cell r="K34">
            <v>0</v>
          </cell>
          <cell r="L34">
            <v>0</v>
          </cell>
        </row>
        <row r="35">
          <cell r="D35">
            <v>1586</v>
          </cell>
          <cell r="E35" t="str">
            <v xml:space="preserve">A </v>
          </cell>
          <cell r="F35" t="str">
            <v>PL</v>
          </cell>
          <cell r="G35" t="str">
            <v>M</v>
          </cell>
          <cell r="H35" t="str">
            <v>A</v>
          </cell>
          <cell r="K35">
            <v>0</v>
          </cell>
          <cell r="L35">
            <v>0</v>
          </cell>
        </row>
        <row r="36">
          <cell r="D36">
            <v>1587</v>
          </cell>
          <cell r="E36" t="str">
            <v>C</v>
          </cell>
          <cell r="F36" t="str">
            <v>PL</v>
          </cell>
          <cell r="G36" t="str">
            <v>F</v>
          </cell>
          <cell r="H36" t="str">
            <v>A</v>
          </cell>
          <cell r="K36">
            <v>0</v>
          </cell>
          <cell r="L36">
            <v>0</v>
          </cell>
        </row>
        <row r="37">
          <cell r="D37">
            <v>1588</v>
          </cell>
          <cell r="E37" t="str">
            <v>A</v>
          </cell>
          <cell r="F37" t="str">
            <v>PL</v>
          </cell>
          <cell r="G37" t="str">
            <v>M</v>
          </cell>
          <cell r="H37" t="str">
            <v>A</v>
          </cell>
          <cell r="K37">
            <v>0</v>
          </cell>
          <cell r="L37">
            <v>0</v>
          </cell>
        </row>
        <row r="38">
          <cell r="D38">
            <v>1589</v>
          </cell>
          <cell r="E38" t="str">
            <v>C</v>
          </cell>
          <cell r="F38" t="str">
            <v>PL</v>
          </cell>
          <cell r="G38" t="str">
            <v>F</v>
          </cell>
          <cell r="H38" t="str">
            <v>A</v>
          </cell>
          <cell r="K38">
            <v>0</v>
          </cell>
          <cell r="L38">
            <v>0</v>
          </cell>
        </row>
        <row r="39">
          <cell r="D39">
            <v>1591</v>
          </cell>
          <cell r="E39" t="str">
            <v>C</v>
          </cell>
          <cell r="F39" t="str">
            <v>PM</v>
          </cell>
          <cell r="G39" t="str">
            <v>M</v>
          </cell>
          <cell r="H39" t="str">
            <v>A</v>
          </cell>
          <cell r="K39">
            <v>0</v>
          </cell>
          <cell r="L39">
            <v>0</v>
          </cell>
        </row>
        <row r="40">
          <cell r="D40">
            <v>1592</v>
          </cell>
          <cell r="E40" t="str">
            <v>A</v>
          </cell>
          <cell r="F40" t="str">
            <v>PL</v>
          </cell>
          <cell r="G40" t="str">
            <v>F</v>
          </cell>
          <cell r="H40" t="str">
            <v>A</v>
          </cell>
          <cell r="K40">
            <v>0</v>
          </cell>
          <cell r="L40">
            <v>0</v>
          </cell>
        </row>
        <row r="41">
          <cell r="D41">
            <v>1593</v>
          </cell>
          <cell r="E41" t="str">
            <v>C</v>
          </cell>
          <cell r="F41" t="str">
            <v>PL</v>
          </cell>
          <cell r="G41" t="str">
            <v>M</v>
          </cell>
          <cell r="H41" t="str">
            <v>A</v>
          </cell>
          <cell r="K41">
            <v>0</v>
          </cell>
          <cell r="L41">
            <v>0</v>
          </cell>
        </row>
        <row r="42">
          <cell r="D42">
            <v>1594</v>
          </cell>
          <cell r="E42" t="str">
            <v>A</v>
          </cell>
          <cell r="F42" t="str">
            <v>PL</v>
          </cell>
          <cell r="G42" t="str">
            <v>M</v>
          </cell>
          <cell r="H42" t="str">
            <v>A</v>
          </cell>
          <cell r="K42">
            <v>0</v>
          </cell>
          <cell r="L42">
            <v>0</v>
          </cell>
        </row>
        <row r="43">
          <cell r="D43">
            <v>1595</v>
          </cell>
          <cell r="E43" t="str">
            <v>C</v>
          </cell>
          <cell r="F43" t="str">
            <v>PL</v>
          </cell>
          <cell r="G43" t="str">
            <v>M</v>
          </cell>
          <cell r="H43" t="str">
            <v>A</v>
          </cell>
          <cell r="K43">
            <v>0</v>
          </cell>
          <cell r="L43">
            <v>0</v>
          </cell>
        </row>
        <row r="44">
          <cell r="D44">
            <v>1596</v>
          </cell>
          <cell r="E44" t="str">
            <v>A</v>
          </cell>
          <cell r="F44" t="str">
            <v>PL</v>
          </cell>
          <cell r="G44" t="str">
            <v>M</v>
          </cell>
          <cell r="H44" t="str">
            <v>A</v>
          </cell>
          <cell r="K44">
            <v>0</v>
          </cell>
          <cell r="L44">
            <v>0</v>
          </cell>
        </row>
        <row r="45">
          <cell r="D45">
            <v>1597</v>
          </cell>
          <cell r="E45" t="str">
            <v>C</v>
          </cell>
          <cell r="F45" t="str">
            <v>PL</v>
          </cell>
          <cell r="G45" t="str">
            <v>F</v>
          </cell>
          <cell r="H45" t="str">
            <v>A</v>
          </cell>
          <cell r="K45">
            <v>0</v>
          </cell>
          <cell r="L45">
            <v>0</v>
          </cell>
        </row>
        <row r="46">
          <cell r="D46">
            <v>1598</v>
          </cell>
          <cell r="E46" t="str">
            <v>A</v>
          </cell>
          <cell r="F46" t="str">
            <v>PL</v>
          </cell>
          <cell r="G46" t="str">
            <v>F</v>
          </cell>
          <cell r="H46" t="str">
            <v>A</v>
          </cell>
          <cell r="K46">
            <v>0</v>
          </cell>
          <cell r="L46">
            <v>0</v>
          </cell>
        </row>
        <row r="47">
          <cell r="D47">
            <v>1599</v>
          </cell>
          <cell r="E47" t="str">
            <v>C</v>
          </cell>
          <cell r="F47" t="str">
            <v>PL</v>
          </cell>
          <cell r="G47" t="str">
            <v>M</v>
          </cell>
          <cell r="H47" t="str">
            <v>A</v>
          </cell>
          <cell r="K47">
            <v>0</v>
          </cell>
          <cell r="L47">
            <v>0</v>
          </cell>
        </row>
        <row r="48">
          <cell r="D48">
            <v>1600</v>
          </cell>
          <cell r="E48" t="str">
            <v>A</v>
          </cell>
          <cell r="F48" t="str">
            <v>PL</v>
          </cell>
          <cell r="G48" t="str">
            <v>M</v>
          </cell>
          <cell r="H48" t="str">
            <v>A</v>
          </cell>
          <cell r="K48">
            <v>0</v>
          </cell>
          <cell r="L48">
            <v>0</v>
          </cell>
        </row>
        <row r="49">
          <cell r="D49">
            <v>1601</v>
          </cell>
          <cell r="E49" t="str">
            <v>C</v>
          </cell>
          <cell r="F49" t="str">
            <v>PL</v>
          </cell>
          <cell r="G49" t="str">
            <v>M</v>
          </cell>
          <cell r="H49" t="str">
            <v>SA</v>
          </cell>
          <cell r="K49">
            <v>0</v>
          </cell>
          <cell r="L49">
            <v>0</v>
          </cell>
        </row>
        <row r="50">
          <cell r="D50">
            <v>1603</v>
          </cell>
          <cell r="E50" t="str">
            <v>C</v>
          </cell>
          <cell r="F50" t="str">
            <v>PL</v>
          </cell>
          <cell r="G50" t="str">
            <v>M</v>
          </cell>
          <cell r="H50" t="str">
            <v>A</v>
          </cell>
          <cell r="K50">
            <v>0</v>
          </cell>
          <cell r="L50">
            <v>0</v>
          </cell>
        </row>
        <row r="51">
          <cell r="D51">
            <v>1604</v>
          </cell>
          <cell r="E51" t="str">
            <v>A</v>
          </cell>
          <cell r="F51" t="str">
            <v>PL</v>
          </cell>
          <cell r="G51" t="str">
            <v>M</v>
          </cell>
          <cell r="H51" t="str">
            <v>SA</v>
          </cell>
          <cell r="K51">
            <v>0</v>
          </cell>
          <cell r="L51">
            <v>0</v>
          </cell>
        </row>
        <row r="52">
          <cell r="D52">
            <v>1605</v>
          </cell>
          <cell r="E52" t="str">
            <v>C</v>
          </cell>
          <cell r="F52" t="str">
            <v>PL</v>
          </cell>
          <cell r="G52" t="str">
            <v>M</v>
          </cell>
          <cell r="H52" t="str">
            <v>A</v>
          </cell>
          <cell r="K52">
            <v>0</v>
          </cell>
          <cell r="L52">
            <v>0</v>
          </cell>
        </row>
        <row r="53">
          <cell r="D53">
            <v>1606</v>
          </cell>
          <cell r="E53" t="str">
            <v>A</v>
          </cell>
          <cell r="F53" t="str">
            <v>PL</v>
          </cell>
          <cell r="G53" t="str">
            <v>M</v>
          </cell>
          <cell r="H53" t="str">
            <v>A</v>
          </cell>
          <cell r="K53">
            <v>0</v>
          </cell>
          <cell r="L53">
            <v>0</v>
          </cell>
        </row>
        <row r="54">
          <cell r="D54">
            <v>1607</v>
          </cell>
          <cell r="E54" t="str">
            <v>C</v>
          </cell>
          <cell r="F54" t="str">
            <v>PL</v>
          </cell>
          <cell r="G54" t="str">
            <v>F</v>
          </cell>
          <cell r="H54" t="str">
            <v>A</v>
          </cell>
          <cell r="K54">
            <v>0</v>
          </cell>
          <cell r="L54">
            <v>0</v>
          </cell>
        </row>
        <row r="55">
          <cell r="D55">
            <v>1608</v>
          </cell>
          <cell r="E55" t="str">
            <v>A</v>
          </cell>
          <cell r="F55" t="str">
            <v>PL</v>
          </cell>
          <cell r="G55" t="str">
            <v>F</v>
          </cell>
          <cell r="H55" t="str">
            <v>A</v>
          </cell>
          <cell r="K55">
            <v>0</v>
          </cell>
          <cell r="L55">
            <v>0</v>
          </cell>
        </row>
        <row r="56">
          <cell r="D56">
            <v>1609</v>
          </cell>
          <cell r="E56" t="str">
            <v>C</v>
          </cell>
          <cell r="F56" t="str">
            <v>PL</v>
          </cell>
          <cell r="G56" t="str">
            <v>F</v>
          </cell>
          <cell r="H56" t="str">
            <v>A</v>
          </cell>
          <cell r="K56">
            <v>0</v>
          </cell>
          <cell r="L56">
            <v>0</v>
          </cell>
        </row>
        <row r="57">
          <cell r="D57">
            <v>1610</v>
          </cell>
          <cell r="E57" t="str">
            <v>A</v>
          </cell>
          <cell r="F57" t="str">
            <v>PL</v>
          </cell>
          <cell r="G57" t="str">
            <v>F</v>
          </cell>
          <cell r="H57" t="str">
            <v>J</v>
          </cell>
          <cell r="K57">
            <v>0</v>
          </cell>
          <cell r="L57">
            <v>0</v>
          </cell>
        </row>
        <row r="58">
          <cell r="D58">
            <v>1612</v>
          </cell>
          <cell r="E58" t="str">
            <v>A</v>
          </cell>
          <cell r="F58" t="str">
            <v>PL</v>
          </cell>
          <cell r="G58" t="str">
            <v>F</v>
          </cell>
          <cell r="H58" t="str">
            <v>A</v>
          </cell>
          <cell r="K58">
            <v>0</v>
          </cell>
          <cell r="L58">
            <v>0</v>
          </cell>
        </row>
        <row r="59">
          <cell r="D59">
            <v>1613</v>
          </cell>
          <cell r="E59" t="str">
            <v>C</v>
          </cell>
          <cell r="F59" t="str">
            <v>PL</v>
          </cell>
          <cell r="G59" t="str">
            <v>M</v>
          </cell>
          <cell r="H59" t="str">
            <v>J</v>
          </cell>
          <cell r="K59">
            <v>0</v>
          </cell>
          <cell r="L59">
            <v>0</v>
          </cell>
        </row>
        <row r="60">
          <cell r="D60">
            <v>1614</v>
          </cell>
          <cell r="E60" t="str">
            <v>A</v>
          </cell>
          <cell r="F60" t="str">
            <v>PL</v>
          </cell>
          <cell r="G60" t="str">
            <v>F</v>
          </cell>
          <cell r="H60" t="str">
            <v>A</v>
          </cell>
          <cell r="K60">
            <v>0</v>
          </cell>
          <cell r="L60">
            <v>0</v>
          </cell>
        </row>
        <row r="61">
          <cell r="D61">
            <v>1615</v>
          </cell>
          <cell r="E61" t="str">
            <v>C</v>
          </cell>
          <cell r="F61" t="str">
            <v>PL</v>
          </cell>
          <cell r="G61" t="str">
            <v>M</v>
          </cell>
          <cell r="H61" t="str">
            <v>A</v>
          </cell>
          <cell r="K61">
            <v>0</v>
          </cell>
          <cell r="L61">
            <v>0</v>
          </cell>
        </row>
        <row r="62">
          <cell r="D62">
            <v>1617</v>
          </cell>
          <cell r="E62" t="str">
            <v>A</v>
          </cell>
          <cell r="F62" t="str">
            <v>PL</v>
          </cell>
          <cell r="G62" t="str">
            <v>M</v>
          </cell>
          <cell r="H62" t="str">
            <v>A</v>
          </cell>
          <cell r="K62">
            <v>0</v>
          </cell>
          <cell r="L62">
            <v>0</v>
          </cell>
        </row>
        <row r="63">
          <cell r="D63">
            <v>1618</v>
          </cell>
          <cell r="E63" t="str">
            <v>C</v>
          </cell>
          <cell r="F63" t="str">
            <v>PL</v>
          </cell>
          <cell r="G63" t="str">
            <v>M</v>
          </cell>
          <cell r="H63" t="str">
            <v>A</v>
          </cell>
          <cell r="K63">
            <v>0</v>
          </cell>
          <cell r="L63">
            <v>0</v>
          </cell>
        </row>
        <row r="64">
          <cell r="D64">
            <v>1619</v>
          </cell>
          <cell r="E64" t="str">
            <v>A</v>
          </cell>
          <cell r="F64" t="str">
            <v>PL</v>
          </cell>
          <cell r="G64" t="str">
            <v>F</v>
          </cell>
          <cell r="H64" t="str">
            <v>A</v>
          </cell>
          <cell r="K64">
            <v>0</v>
          </cell>
          <cell r="L64">
            <v>0</v>
          </cell>
        </row>
        <row r="65">
          <cell r="D65">
            <v>1620</v>
          </cell>
          <cell r="E65" t="str">
            <v>C</v>
          </cell>
          <cell r="F65" t="str">
            <v>PL</v>
          </cell>
          <cell r="G65" t="str">
            <v>M</v>
          </cell>
          <cell r="H65" t="str">
            <v>A</v>
          </cell>
          <cell r="K65">
            <v>0</v>
          </cell>
          <cell r="L65">
            <v>0</v>
          </cell>
        </row>
        <row r="66">
          <cell r="D66">
            <v>1622</v>
          </cell>
          <cell r="E66" t="str">
            <v>C</v>
          </cell>
          <cell r="F66" t="str">
            <v>PL</v>
          </cell>
          <cell r="G66" t="str">
            <v>M</v>
          </cell>
          <cell r="H66" t="str">
            <v>J</v>
          </cell>
          <cell r="K66">
            <v>0</v>
          </cell>
          <cell r="L66">
            <v>0</v>
          </cell>
        </row>
        <row r="67">
          <cell r="D67">
            <v>1623</v>
          </cell>
          <cell r="E67" t="str">
            <v>A</v>
          </cell>
          <cell r="F67" t="str">
            <v>PM</v>
          </cell>
          <cell r="G67" t="str">
            <v>M</v>
          </cell>
          <cell r="H67" t="str">
            <v>A</v>
          </cell>
          <cell r="K67">
            <v>0</v>
          </cell>
          <cell r="L67">
            <v>0</v>
          </cell>
        </row>
        <row r="68">
          <cell r="D68">
            <v>1624</v>
          </cell>
          <cell r="E68" t="str">
            <v>C</v>
          </cell>
          <cell r="F68" t="str">
            <v>PL</v>
          </cell>
          <cell r="G68" t="str">
            <v>F</v>
          </cell>
          <cell r="H68" t="str">
            <v>A</v>
          </cell>
          <cell r="K68">
            <v>0</v>
          </cell>
          <cell r="L68">
            <v>0</v>
          </cell>
        </row>
        <row r="69">
          <cell r="D69">
            <v>1625</v>
          </cell>
          <cell r="E69" t="str">
            <v>A</v>
          </cell>
          <cell r="F69" t="str">
            <v>PL</v>
          </cell>
          <cell r="G69" t="str">
            <v>M</v>
          </cell>
          <cell r="H69" t="str">
            <v>A</v>
          </cell>
          <cell r="K69">
            <v>0</v>
          </cell>
          <cell r="L69">
            <v>0</v>
          </cell>
        </row>
        <row r="70">
          <cell r="D70">
            <v>1626</v>
          </cell>
          <cell r="E70" t="str">
            <v>A</v>
          </cell>
          <cell r="F70" t="str">
            <v>PL</v>
          </cell>
          <cell r="G70" t="str">
            <v>M</v>
          </cell>
          <cell r="H70" t="str">
            <v>A</v>
          </cell>
          <cell r="K70">
            <v>0</v>
          </cell>
          <cell r="L70">
            <v>0</v>
          </cell>
        </row>
        <row r="71">
          <cell r="D71">
            <v>1627</v>
          </cell>
          <cell r="E71" t="str">
            <v>C</v>
          </cell>
          <cell r="F71" t="str">
            <v>PL</v>
          </cell>
          <cell r="G71" t="str">
            <v>F</v>
          </cell>
          <cell r="H71" t="str">
            <v>A</v>
          </cell>
          <cell r="K71">
            <v>0</v>
          </cell>
          <cell r="L71">
            <v>0</v>
          </cell>
        </row>
        <row r="72">
          <cell r="D72">
            <v>1628</v>
          </cell>
          <cell r="E72" t="str">
            <v>C</v>
          </cell>
          <cell r="F72" t="str">
            <v>PL</v>
          </cell>
          <cell r="G72" t="str">
            <v>M</v>
          </cell>
          <cell r="H72" t="str">
            <v>A</v>
          </cell>
          <cell r="K72">
            <v>0</v>
          </cell>
          <cell r="L72">
            <v>0</v>
          </cell>
        </row>
        <row r="73">
          <cell r="D73">
            <v>1629</v>
          </cell>
          <cell r="E73" t="str">
            <v>A</v>
          </cell>
          <cell r="F73" t="str">
            <v>PL</v>
          </cell>
          <cell r="G73" t="str">
            <v>M</v>
          </cell>
          <cell r="H73" t="str">
            <v>A</v>
          </cell>
          <cell r="K73">
            <v>0</v>
          </cell>
          <cell r="L73">
            <v>0</v>
          </cell>
        </row>
        <row r="74">
          <cell r="D74">
            <v>1630</v>
          </cell>
          <cell r="E74" t="str">
            <v>C</v>
          </cell>
          <cell r="F74" t="str">
            <v>PL</v>
          </cell>
          <cell r="G74" t="str">
            <v>M</v>
          </cell>
          <cell r="H74" t="str">
            <v>A</v>
          </cell>
          <cell r="K74">
            <v>0</v>
          </cell>
          <cell r="L74">
            <v>0</v>
          </cell>
        </row>
        <row r="75">
          <cell r="D75">
            <v>1631</v>
          </cell>
          <cell r="E75" t="str">
            <v>A</v>
          </cell>
          <cell r="F75" t="str">
            <v>PL</v>
          </cell>
          <cell r="G75" t="str">
            <v>F</v>
          </cell>
          <cell r="H75" t="str">
            <v>A</v>
          </cell>
          <cell r="K75">
            <v>0</v>
          </cell>
          <cell r="L75">
            <v>0</v>
          </cell>
        </row>
        <row r="76">
          <cell r="D76">
            <v>1632</v>
          </cell>
          <cell r="E76" t="str">
            <v>C</v>
          </cell>
          <cell r="F76" t="str">
            <v>PL</v>
          </cell>
          <cell r="G76" t="str">
            <v>F</v>
          </cell>
          <cell r="H76" t="str">
            <v>A</v>
          </cell>
          <cell r="K76">
            <v>0</v>
          </cell>
          <cell r="L76">
            <v>0</v>
          </cell>
        </row>
        <row r="77">
          <cell r="D77">
            <v>1633</v>
          </cell>
          <cell r="E77" t="str">
            <v>A</v>
          </cell>
          <cell r="F77" t="str">
            <v>PL</v>
          </cell>
          <cell r="G77" t="str">
            <v>F</v>
          </cell>
          <cell r="H77" t="str">
            <v>A</v>
          </cell>
          <cell r="K77">
            <v>0</v>
          </cell>
          <cell r="L77">
            <v>0</v>
          </cell>
        </row>
        <row r="78">
          <cell r="D78">
            <v>1634</v>
          </cell>
          <cell r="E78" t="str">
            <v>C</v>
          </cell>
          <cell r="F78" t="str">
            <v>PL</v>
          </cell>
          <cell r="G78" t="str">
            <v>M</v>
          </cell>
          <cell r="H78" t="str">
            <v>J</v>
          </cell>
          <cell r="K78">
            <v>0</v>
          </cell>
          <cell r="L78">
            <v>0</v>
          </cell>
        </row>
        <row r="79">
          <cell r="D79">
            <v>1635</v>
          </cell>
          <cell r="E79" t="str">
            <v>A</v>
          </cell>
          <cell r="F79" t="str">
            <v>PL</v>
          </cell>
          <cell r="G79" t="str">
            <v>M</v>
          </cell>
          <cell r="H79" t="str">
            <v>A</v>
          </cell>
          <cell r="K79">
            <v>0</v>
          </cell>
          <cell r="L79">
            <v>0</v>
          </cell>
        </row>
        <row r="80">
          <cell r="D80">
            <v>1636</v>
          </cell>
          <cell r="E80" t="str">
            <v>C</v>
          </cell>
          <cell r="F80" t="str">
            <v>PL</v>
          </cell>
          <cell r="G80" t="str">
            <v>F</v>
          </cell>
          <cell r="H80" t="str">
            <v>A</v>
          </cell>
          <cell r="K80">
            <v>0</v>
          </cell>
          <cell r="L80">
            <v>0</v>
          </cell>
        </row>
        <row r="81">
          <cell r="D81">
            <v>1637</v>
          </cell>
          <cell r="E81" t="str">
            <v>C</v>
          </cell>
          <cell r="G81" t="str">
            <v>M</v>
          </cell>
          <cell r="H81" t="str">
            <v>A</v>
          </cell>
          <cell r="K81">
            <v>0</v>
          </cell>
          <cell r="L81">
            <v>0</v>
          </cell>
        </row>
        <row r="82">
          <cell r="D82">
            <v>1638</v>
          </cell>
          <cell r="E82" t="str">
            <v>A</v>
          </cell>
          <cell r="F82" t="str">
            <v>PL</v>
          </cell>
          <cell r="G82" t="str">
            <v>F</v>
          </cell>
          <cell r="H82" t="str">
            <v>SA</v>
          </cell>
          <cell r="K82">
            <v>0</v>
          </cell>
          <cell r="L82">
            <v>0</v>
          </cell>
        </row>
        <row r="83">
          <cell r="D83">
            <v>1639</v>
          </cell>
          <cell r="E83" t="str">
            <v>C</v>
          </cell>
          <cell r="F83" t="str">
            <v>PL</v>
          </cell>
          <cell r="G83" t="str">
            <v>F</v>
          </cell>
          <cell r="H83" t="str">
            <v>A</v>
          </cell>
          <cell r="K83">
            <v>0</v>
          </cell>
          <cell r="L83">
            <v>0</v>
          </cell>
        </row>
        <row r="84">
          <cell r="D84">
            <v>1640</v>
          </cell>
          <cell r="E84" t="str">
            <v>A</v>
          </cell>
          <cell r="F84" t="str">
            <v>PL</v>
          </cell>
          <cell r="G84" t="str">
            <v>M</v>
          </cell>
          <cell r="H84" t="str">
            <v>A</v>
          </cell>
          <cell r="K84">
            <v>0</v>
          </cell>
          <cell r="L84">
            <v>0</v>
          </cell>
        </row>
        <row r="85">
          <cell r="D85">
            <v>1641</v>
          </cell>
          <cell r="E85" t="str">
            <v>C</v>
          </cell>
          <cell r="F85" t="str">
            <v>PL</v>
          </cell>
          <cell r="G85" t="str">
            <v>F</v>
          </cell>
          <cell r="H85" t="str">
            <v>A</v>
          </cell>
          <cell r="K85">
            <v>0</v>
          </cell>
          <cell r="L85">
            <v>0</v>
          </cell>
        </row>
        <row r="86">
          <cell r="D86">
            <v>1642</v>
          </cell>
          <cell r="E86" t="str">
            <v>A</v>
          </cell>
          <cell r="F86" t="str">
            <v>PL</v>
          </cell>
          <cell r="G86" t="str">
            <v>F</v>
          </cell>
          <cell r="H86" t="str">
            <v>A</v>
          </cell>
          <cell r="K86">
            <v>0</v>
          </cell>
          <cell r="L86">
            <v>0</v>
          </cell>
        </row>
        <row r="87">
          <cell r="D87">
            <v>1643</v>
          </cell>
          <cell r="E87" t="str">
            <v>A</v>
          </cell>
          <cell r="F87" t="str">
            <v>PL</v>
          </cell>
          <cell r="G87" t="str">
            <v>M</v>
          </cell>
          <cell r="H87" t="str">
            <v>A</v>
          </cell>
          <cell r="K87">
            <v>0</v>
          </cell>
          <cell r="L87">
            <v>0</v>
          </cell>
        </row>
        <row r="88">
          <cell r="D88">
            <v>1644</v>
          </cell>
          <cell r="E88" t="str">
            <v>C</v>
          </cell>
          <cell r="F88" t="str">
            <v>PL</v>
          </cell>
          <cell r="G88" t="str">
            <v>F</v>
          </cell>
          <cell r="H88" t="str">
            <v>J</v>
          </cell>
          <cell r="K88">
            <v>0</v>
          </cell>
          <cell r="L88">
            <v>0</v>
          </cell>
        </row>
        <row r="89">
          <cell r="D89">
            <v>1645</v>
          </cell>
          <cell r="E89" t="str">
            <v>A</v>
          </cell>
          <cell r="F89" t="str">
            <v>PL</v>
          </cell>
          <cell r="G89" t="str">
            <v>M</v>
          </cell>
          <cell r="H89" t="str">
            <v>J</v>
          </cell>
          <cell r="K89">
            <v>0</v>
          </cell>
          <cell r="L89">
            <v>0</v>
          </cell>
        </row>
        <row r="90">
          <cell r="D90">
            <v>1646</v>
          </cell>
          <cell r="E90" t="str">
            <v>A</v>
          </cell>
          <cell r="F90" t="str">
            <v>PL</v>
          </cell>
          <cell r="G90" t="str">
            <v>F</v>
          </cell>
          <cell r="H90" t="str">
            <v>A</v>
          </cell>
          <cell r="K90">
            <v>0</v>
          </cell>
          <cell r="L90">
            <v>0</v>
          </cell>
        </row>
        <row r="91">
          <cell r="D91">
            <v>1647</v>
          </cell>
          <cell r="E91" t="str">
            <v>C</v>
          </cell>
          <cell r="F91" t="str">
            <v>PL</v>
          </cell>
          <cell r="G91" t="str">
            <v>M</v>
          </cell>
          <cell r="H91" t="str">
            <v>J</v>
          </cell>
          <cell r="K91">
            <v>0</v>
          </cell>
          <cell r="L91">
            <v>0</v>
          </cell>
        </row>
        <row r="92">
          <cell r="D92">
            <v>1648</v>
          </cell>
          <cell r="E92" t="str">
            <v>A</v>
          </cell>
          <cell r="F92" t="str">
            <v>PL</v>
          </cell>
          <cell r="G92" t="str">
            <v>M</v>
          </cell>
          <cell r="H92" t="str">
            <v>A</v>
          </cell>
          <cell r="K92">
            <v>0</v>
          </cell>
          <cell r="L92">
            <v>0</v>
          </cell>
        </row>
        <row r="93">
          <cell r="D93">
            <v>1649</v>
          </cell>
          <cell r="E93" t="str">
            <v>A</v>
          </cell>
          <cell r="F93" t="str">
            <v>PL</v>
          </cell>
          <cell r="G93" t="str">
            <v>M</v>
          </cell>
          <cell r="H93" t="str">
            <v>A</v>
          </cell>
          <cell r="K93">
            <v>0</v>
          </cell>
          <cell r="L93">
            <v>0</v>
          </cell>
        </row>
        <row r="94">
          <cell r="D94">
            <v>1650</v>
          </cell>
          <cell r="E94" t="str">
            <v>A</v>
          </cell>
          <cell r="F94" t="str">
            <v>PL</v>
          </cell>
          <cell r="G94" t="str">
            <v>F</v>
          </cell>
          <cell r="H94" t="str">
            <v>A</v>
          </cell>
          <cell r="K94">
            <v>0</v>
          </cell>
          <cell r="L94">
            <v>0</v>
          </cell>
        </row>
        <row r="95">
          <cell r="D95">
            <v>1651</v>
          </cell>
          <cell r="E95" t="str">
            <v>C</v>
          </cell>
          <cell r="F95" t="str">
            <v>PL</v>
          </cell>
          <cell r="G95" t="str">
            <v>M</v>
          </cell>
          <cell r="H95" t="str">
            <v>A</v>
          </cell>
          <cell r="K95">
            <v>0</v>
          </cell>
          <cell r="L95">
            <v>0</v>
          </cell>
        </row>
        <row r="96">
          <cell r="D96">
            <v>1652</v>
          </cell>
          <cell r="E96" t="str">
            <v>A</v>
          </cell>
          <cell r="F96" t="str">
            <v>PL</v>
          </cell>
          <cell r="G96" t="str">
            <v>M</v>
          </cell>
          <cell r="H96" t="str">
            <v>A</v>
          </cell>
          <cell r="K96">
            <v>0</v>
          </cell>
          <cell r="L96">
            <v>0</v>
          </cell>
        </row>
        <row r="97">
          <cell r="D97">
            <v>1653</v>
          </cell>
          <cell r="E97" t="str">
            <v>C</v>
          </cell>
          <cell r="F97" t="str">
            <v>PL</v>
          </cell>
          <cell r="G97" t="str">
            <v>M</v>
          </cell>
          <cell r="H97" t="str">
            <v>A</v>
          </cell>
          <cell r="K97">
            <v>0</v>
          </cell>
          <cell r="L97">
            <v>0</v>
          </cell>
        </row>
        <row r="98">
          <cell r="D98">
            <v>1654</v>
          </cell>
          <cell r="E98" t="str">
            <v>A</v>
          </cell>
          <cell r="F98" t="str">
            <v>PL</v>
          </cell>
          <cell r="G98" t="str">
            <v>F</v>
          </cell>
          <cell r="H98" t="str">
            <v>A</v>
          </cell>
          <cell r="K98">
            <v>0</v>
          </cell>
          <cell r="L98">
            <v>0</v>
          </cell>
        </row>
        <row r="99">
          <cell r="D99">
            <v>1655</v>
          </cell>
          <cell r="E99" t="str">
            <v>C</v>
          </cell>
          <cell r="F99" t="str">
            <v>PL</v>
          </cell>
          <cell r="G99" t="str">
            <v>F</v>
          </cell>
          <cell r="H99" t="str">
            <v>A</v>
          </cell>
          <cell r="K99">
            <v>0</v>
          </cell>
          <cell r="L99">
            <v>0</v>
          </cell>
        </row>
        <row r="100">
          <cell r="D100">
            <v>1656</v>
          </cell>
          <cell r="E100" t="str">
            <v>A</v>
          </cell>
          <cell r="F100" t="str">
            <v>PL</v>
          </cell>
          <cell r="G100" t="str">
            <v>M</v>
          </cell>
          <cell r="H100" t="str">
            <v>A</v>
          </cell>
          <cell r="K100">
            <v>0</v>
          </cell>
          <cell r="L100">
            <v>0</v>
          </cell>
        </row>
        <row r="101">
          <cell r="D101">
            <v>1657</v>
          </cell>
          <cell r="E101" t="str">
            <v>C</v>
          </cell>
          <cell r="F101" t="str">
            <v>PL</v>
          </cell>
          <cell r="G101" t="str">
            <v>F</v>
          </cell>
          <cell r="H101" t="str">
            <v>SA</v>
          </cell>
          <cell r="K101">
            <v>0</v>
          </cell>
          <cell r="L101">
            <v>0</v>
          </cell>
        </row>
        <row r="102">
          <cell r="D102">
            <v>1658</v>
          </cell>
          <cell r="E102" t="str">
            <v>A</v>
          </cell>
          <cell r="F102" t="str">
            <v>PL</v>
          </cell>
          <cell r="G102" t="str">
            <v>F</v>
          </cell>
          <cell r="H102" t="str">
            <v>A</v>
          </cell>
          <cell r="K102">
            <v>0</v>
          </cell>
          <cell r="L102">
            <v>0</v>
          </cell>
        </row>
        <row r="103">
          <cell r="D103">
            <v>1659</v>
          </cell>
          <cell r="E103" t="str">
            <v>C</v>
          </cell>
          <cell r="F103" t="str">
            <v>PL</v>
          </cell>
          <cell r="G103" t="str">
            <v>M</v>
          </cell>
          <cell r="H103" t="str">
            <v>A</v>
          </cell>
          <cell r="K103">
            <v>0</v>
          </cell>
          <cell r="L103">
            <v>0</v>
          </cell>
        </row>
        <row r="104">
          <cell r="D104">
            <v>1660</v>
          </cell>
          <cell r="E104" t="str">
            <v>A</v>
          </cell>
          <cell r="F104" t="str">
            <v>PL</v>
          </cell>
          <cell r="G104" t="str">
            <v>M</v>
          </cell>
          <cell r="H104" t="str">
            <v>A</v>
          </cell>
          <cell r="K104">
            <v>0</v>
          </cell>
          <cell r="L104">
            <v>0</v>
          </cell>
        </row>
        <row r="105">
          <cell r="D105">
            <v>1661</v>
          </cell>
          <cell r="E105" t="str">
            <v>C</v>
          </cell>
          <cell r="F105" t="str">
            <v>PL</v>
          </cell>
          <cell r="G105" t="str">
            <v>M</v>
          </cell>
          <cell r="H105" t="str">
            <v>SA</v>
          </cell>
          <cell r="K105">
            <v>0</v>
          </cell>
          <cell r="L105">
            <v>0</v>
          </cell>
        </row>
        <row r="106">
          <cell r="D106">
            <v>1662</v>
          </cell>
          <cell r="E106" t="str">
            <v>A</v>
          </cell>
          <cell r="F106" t="str">
            <v>PL</v>
          </cell>
          <cell r="G106" t="str">
            <v>F</v>
          </cell>
          <cell r="H106" t="str">
            <v>A</v>
          </cell>
          <cell r="K106">
            <v>0</v>
          </cell>
          <cell r="L106">
            <v>0</v>
          </cell>
        </row>
        <row r="107">
          <cell r="D107">
            <v>1663</v>
          </cell>
          <cell r="E107" t="str">
            <v>C</v>
          </cell>
          <cell r="F107" t="str">
            <v>PL</v>
          </cell>
          <cell r="G107" t="str">
            <v>M</v>
          </cell>
          <cell r="H107" t="str">
            <v>A</v>
          </cell>
          <cell r="K107">
            <v>0</v>
          </cell>
          <cell r="L107">
            <v>0</v>
          </cell>
        </row>
        <row r="108">
          <cell r="D108">
            <v>1664</v>
          </cell>
          <cell r="E108" t="str">
            <v>A</v>
          </cell>
          <cell r="F108" t="str">
            <v>PL</v>
          </cell>
          <cell r="G108" t="str">
            <v>F</v>
          </cell>
          <cell r="H108" t="str">
            <v>A</v>
          </cell>
          <cell r="K108">
            <v>0</v>
          </cell>
          <cell r="L108">
            <v>0</v>
          </cell>
        </row>
        <row r="109">
          <cell r="D109">
            <v>1665</v>
          </cell>
          <cell r="E109" t="str">
            <v>C</v>
          </cell>
          <cell r="F109" t="str">
            <v>PL</v>
          </cell>
          <cell r="G109" t="str">
            <v>F</v>
          </cell>
          <cell r="H109" t="str">
            <v>SA</v>
          </cell>
          <cell r="K109">
            <v>0</v>
          </cell>
          <cell r="L109">
            <v>0</v>
          </cell>
        </row>
        <row r="110">
          <cell r="D110">
            <v>1666</v>
          </cell>
          <cell r="E110" t="str">
            <v>A</v>
          </cell>
          <cell r="F110" t="str">
            <v>PL</v>
          </cell>
          <cell r="G110" t="str">
            <v>M</v>
          </cell>
          <cell r="H110" t="str">
            <v>A</v>
          </cell>
          <cell r="K110">
            <v>0</v>
          </cell>
          <cell r="L110">
            <v>0</v>
          </cell>
        </row>
        <row r="111">
          <cell r="D111">
            <v>1667</v>
          </cell>
          <cell r="E111" t="str">
            <v>C</v>
          </cell>
          <cell r="F111" t="str">
            <v>PL</v>
          </cell>
          <cell r="G111" t="str">
            <v>M</v>
          </cell>
          <cell r="H111" t="str">
            <v>SA</v>
          </cell>
          <cell r="K111">
            <v>0</v>
          </cell>
          <cell r="L111">
            <v>0</v>
          </cell>
        </row>
        <row r="112">
          <cell r="D112">
            <v>1668</v>
          </cell>
          <cell r="E112" t="str">
            <v>A</v>
          </cell>
          <cell r="F112" t="str">
            <v>PL</v>
          </cell>
          <cell r="G112" t="str">
            <v>M</v>
          </cell>
          <cell r="H112" t="str">
            <v>A</v>
          </cell>
          <cell r="K112">
            <v>0</v>
          </cell>
          <cell r="L112">
            <v>0</v>
          </cell>
        </row>
        <row r="113">
          <cell r="D113">
            <v>1669</v>
          </cell>
          <cell r="E113" t="str">
            <v>C</v>
          </cell>
          <cell r="F113" t="str">
            <v>PL</v>
          </cell>
          <cell r="G113" t="str">
            <v>M</v>
          </cell>
          <cell r="H113" t="str">
            <v>A</v>
          </cell>
          <cell r="K113">
            <v>0</v>
          </cell>
          <cell r="L113">
            <v>0</v>
          </cell>
        </row>
        <row r="114">
          <cell r="D114">
            <v>1670</v>
          </cell>
          <cell r="E114" t="str">
            <v>A</v>
          </cell>
          <cell r="F114" t="str">
            <v>PL</v>
          </cell>
          <cell r="G114" t="str">
            <v>M</v>
          </cell>
          <cell r="H114" t="str">
            <v>A</v>
          </cell>
          <cell r="K114">
            <v>0</v>
          </cell>
          <cell r="L114">
            <v>0</v>
          </cell>
        </row>
        <row r="115">
          <cell r="D115">
            <v>1671</v>
          </cell>
          <cell r="E115" t="str">
            <v>C</v>
          </cell>
          <cell r="F115" t="str">
            <v>PL</v>
          </cell>
          <cell r="G115" t="str">
            <v>M</v>
          </cell>
          <cell r="H115" t="str">
            <v>A</v>
          </cell>
          <cell r="K115">
            <v>0</v>
          </cell>
          <cell r="L115">
            <v>0</v>
          </cell>
        </row>
        <row r="116">
          <cell r="D116">
            <v>1672</v>
          </cell>
          <cell r="E116" t="str">
            <v>A</v>
          </cell>
          <cell r="F116" t="str">
            <v>PL</v>
          </cell>
          <cell r="G116" t="str">
            <v>M</v>
          </cell>
          <cell r="H116" t="str">
            <v>A</v>
          </cell>
          <cell r="K116">
            <v>0</v>
          </cell>
          <cell r="L116">
            <v>0</v>
          </cell>
        </row>
        <row r="117">
          <cell r="D117">
            <v>1673</v>
          </cell>
          <cell r="E117" t="str">
            <v>C</v>
          </cell>
          <cell r="F117" t="str">
            <v>PL</v>
          </cell>
          <cell r="G117" t="str">
            <v>M</v>
          </cell>
          <cell r="H117" t="str">
            <v>A</v>
          </cell>
          <cell r="K117">
            <v>0</v>
          </cell>
          <cell r="L117">
            <v>0</v>
          </cell>
        </row>
        <row r="118">
          <cell r="D118">
            <v>1674</v>
          </cell>
          <cell r="E118" t="str">
            <v>A</v>
          </cell>
          <cell r="F118" t="str">
            <v>PL</v>
          </cell>
          <cell r="G118" t="str">
            <v>M</v>
          </cell>
          <cell r="H118" t="str">
            <v>A</v>
          </cell>
          <cell r="K118">
            <v>0</v>
          </cell>
          <cell r="L118">
            <v>0</v>
          </cell>
        </row>
        <row r="119">
          <cell r="D119">
            <v>1675</v>
          </cell>
          <cell r="E119" t="str">
            <v>C</v>
          </cell>
          <cell r="F119" t="str">
            <v>PL</v>
          </cell>
          <cell r="G119" t="str">
            <v>M</v>
          </cell>
          <cell r="H119" t="str">
            <v>A</v>
          </cell>
          <cell r="K119">
            <v>0</v>
          </cell>
          <cell r="L119">
            <v>0</v>
          </cell>
        </row>
        <row r="120">
          <cell r="D120">
            <v>1676</v>
          </cell>
          <cell r="E120" t="str">
            <v>A</v>
          </cell>
          <cell r="F120" t="str">
            <v>PL</v>
          </cell>
          <cell r="G120" t="str">
            <v>F</v>
          </cell>
          <cell r="H120" t="str">
            <v>A</v>
          </cell>
          <cell r="K120">
            <v>0</v>
          </cell>
          <cell r="L120">
            <v>0</v>
          </cell>
        </row>
        <row r="121">
          <cell r="D121">
            <v>1677</v>
          </cell>
          <cell r="E121" t="str">
            <v>C</v>
          </cell>
          <cell r="F121" t="str">
            <v>PL</v>
          </cell>
          <cell r="G121" t="str">
            <v>M</v>
          </cell>
          <cell r="H121" t="str">
            <v>A</v>
          </cell>
          <cell r="K121">
            <v>0</v>
          </cell>
          <cell r="L121">
            <v>0</v>
          </cell>
        </row>
        <row r="122">
          <cell r="D122">
            <v>1678</v>
          </cell>
          <cell r="E122" t="str">
            <v>C</v>
          </cell>
          <cell r="F122" t="str">
            <v>PL</v>
          </cell>
          <cell r="G122" t="str">
            <v>M</v>
          </cell>
          <cell r="H122" t="str">
            <v>A</v>
          </cell>
          <cell r="K122">
            <v>0</v>
          </cell>
          <cell r="L122">
            <v>0</v>
          </cell>
        </row>
        <row r="123">
          <cell r="D123">
            <v>1679</v>
          </cell>
          <cell r="E123" t="str">
            <v>A</v>
          </cell>
          <cell r="F123" t="str">
            <v>PL</v>
          </cell>
          <cell r="G123" t="str">
            <v>M</v>
          </cell>
          <cell r="H123" t="str">
            <v>A</v>
          </cell>
          <cell r="K123">
            <v>0</v>
          </cell>
          <cell r="L123">
            <v>0</v>
          </cell>
        </row>
        <row r="124">
          <cell r="D124">
            <v>1680</v>
          </cell>
          <cell r="E124" t="str">
            <v>C</v>
          </cell>
          <cell r="F124" t="str">
            <v>PL</v>
          </cell>
          <cell r="G124" t="str">
            <v>F</v>
          </cell>
          <cell r="H124" t="str">
            <v>A</v>
          </cell>
          <cell r="K124">
            <v>0</v>
          </cell>
          <cell r="L124">
            <v>0</v>
          </cell>
        </row>
        <row r="125">
          <cell r="D125">
            <v>1681</v>
          </cell>
          <cell r="E125" t="str">
            <v>A</v>
          </cell>
          <cell r="F125" t="str">
            <v>PL</v>
          </cell>
          <cell r="G125" t="str">
            <v>F</v>
          </cell>
          <cell r="H125" t="str">
            <v>A</v>
          </cell>
          <cell r="K125">
            <v>0</v>
          </cell>
          <cell r="L125">
            <v>0</v>
          </cell>
        </row>
        <row r="126">
          <cell r="D126">
            <v>1682</v>
          </cell>
          <cell r="E126" t="str">
            <v>C</v>
          </cell>
          <cell r="G126" t="str">
            <v>M</v>
          </cell>
          <cell r="H126" t="str">
            <v>A</v>
          </cell>
          <cell r="K126">
            <v>0</v>
          </cell>
          <cell r="L126">
            <v>0</v>
          </cell>
        </row>
        <row r="127">
          <cell r="D127">
            <v>1683</v>
          </cell>
          <cell r="E127" t="str">
            <v>A</v>
          </cell>
          <cell r="F127" t="str">
            <v>PL</v>
          </cell>
          <cell r="G127" t="str">
            <v>F</v>
          </cell>
          <cell r="H127" t="str">
            <v>A</v>
          </cell>
          <cell r="K127">
            <v>0</v>
          </cell>
          <cell r="L127">
            <v>0</v>
          </cell>
        </row>
        <row r="128">
          <cell r="D128">
            <v>1684</v>
          </cell>
          <cell r="E128" t="str">
            <v>A</v>
          </cell>
          <cell r="F128" t="str">
            <v>PL</v>
          </cell>
          <cell r="G128" t="str">
            <v>M</v>
          </cell>
          <cell r="H128" t="str">
            <v>A</v>
          </cell>
          <cell r="K128">
            <v>0</v>
          </cell>
          <cell r="L128">
            <v>0</v>
          </cell>
        </row>
        <row r="129">
          <cell r="D129">
            <v>1685</v>
          </cell>
          <cell r="E129" t="str">
            <v>C</v>
          </cell>
          <cell r="F129" t="str">
            <v>PL</v>
          </cell>
          <cell r="G129" t="str">
            <v>M</v>
          </cell>
          <cell r="H129" t="str">
            <v>A</v>
          </cell>
          <cell r="K129">
            <v>0</v>
          </cell>
          <cell r="L129">
            <v>0</v>
          </cell>
        </row>
        <row r="130">
          <cell r="D130">
            <v>1686</v>
          </cell>
          <cell r="E130" t="str">
            <v>A</v>
          </cell>
          <cell r="G130" t="str">
            <v>M</v>
          </cell>
          <cell r="H130" t="str">
            <v>A</v>
          </cell>
          <cell r="K130">
            <v>0</v>
          </cell>
          <cell r="L130">
            <v>0</v>
          </cell>
        </row>
        <row r="131">
          <cell r="D131">
            <v>1687</v>
          </cell>
          <cell r="E131" t="str">
            <v>A</v>
          </cell>
          <cell r="F131" t="str">
            <v>PL</v>
          </cell>
          <cell r="G131" t="str">
            <v>M</v>
          </cell>
          <cell r="H131" t="str">
            <v>A</v>
          </cell>
          <cell r="K131">
            <v>0</v>
          </cell>
          <cell r="L131">
            <v>0</v>
          </cell>
        </row>
        <row r="132">
          <cell r="D132">
            <v>1688</v>
          </cell>
          <cell r="E132" t="str">
            <v>C</v>
          </cell>
          <cell r="F132" t="str">
            <v>PL</v>
          </cell>
          <cell r="G132" t="str">
            <v>F</v>
          </cell>
          <cell r="H132" t="str">
            <v>A</v>
          </cell>
          <cell r="K132">
            <v>0</v>
          </cell>
          <cell r="L132">
            <v>0</v>
          </cell>
        </row>
        <row r="133">
          <cell r="D133">
            <v>1689</v>
          </cell>
          <cell r="E133" t="str">
            <v>A</v>
          </cell>
          <cell r="F133" t="str">
            <v>PL</v>
          </cell>
          <cell r="G133" t="str">
            <v>M</v>
          </cell>
          <cell r="H133" t="str">
            <v>SA</v>
          </cell>
          <cell r="K133">
            <v>0</v>
          </cell>
          <cell r="L133">
            <v>0</v>
          </cell>
        </row>
        <row r="134">
          <cell r="D134">
            <v>1690</v>
          </cell>
          <cell r="E134" t="str">
            <v>C</v>
          </cell>
          <cell r="G134" t="str">
            <v>F</v>
          </cell>
          <cell r="H134" t="str">
            <v>A</v>
          </cell>
          <cell r="K134">
            <v>0</v>
          </cell>
          <cell r="L134">
            <v>0</v>
          </cell>
        </row>
        <row r="135">
          <cell r="D135">
            <v>1691</v>
          </cell>
          <cell r="E135" t="str">
            <v>C</v>
          </cell>
          <cell r="F135" t="str">
            <v>PL</v>
          </cell>
          <cell r="G135" t="str">
            <v>M</v>
          </cell>
          <cell r="H135" t="str">
            <v>SA</v>
          </cell>
          <cell r="K135">
            <v>0</v>
          </cell>
          <cell r="L135">
            <v>0</v>
          </cell>
        </row>
        <row r="136">
          <cell r="D136">
            <v>1692</v>
          </cell>
          <cell r="E136" t="str">
            <v>A</v>
          </cell>
          <cell r="F136" t="str">
            <v>PL</v>
          </cell>
          <cell r="G136" t="str">
            <v>F</v>
          </cell>
          <cell r="H136" t="str">
            <v>A</v>
          </cell>
          <cell r="K136">
            <v>0</v>
          </cell>
          <cell r="L136">
            <v>0</v>
          </cell>
        </row>
        <row r="137">
          <cell r="D137">
            <v>1693</v>
          </cell>
          <cell r="E137" t="str">
            <v>A</v>
          </cell>
          <cell r="F137" t="str">
            <v>PL</v>
          </cell>
          <cell r="G137" t="str">
            <v>M</v>
          </cell>
          <cell r="H137" t="str">
            <v>A</v>
          </cell>
          <cell r="K137">
            <v>0</v>
          </cell>
          <cell r="L137">
            <v>0</v>
          </cell>
        </row>
        <row r="138">
          <cell r="D138">
            <v>1694</v>
          </cell>
          <cell r="E138" t="str">
            <v>A</v>
          </cell>
          <cell r="F138" t="str">
            <v>PL</v>
          </cell>
          <cell r="G138" t="str">
            <v>F</v>
          </cell>
          <cell r="H138" t="str">
            <v>A</v>
          </cell>
          <cell r="K138">
            <v>0</v>
          </cell>
          <cell r="L138">
            <v>0</v>
          </cell>
        </row>
        <row r="139">
          <cell r="D139">
            <v>1695</v>
          </cell>
          <cell r="E139" t="str">
            <v>A</v>
          </cell>
          <cell r="F139" t="str">
            <v>PL</v>
          </cell>
          <cell r="G139" t="str">
            <v>F</v>
          </cell>
          <cell r="H139" t="str">
            <v>A</v>
          </cell>
          <cell r="K139">
            <v>0</v>
          </cell>
          <cell r="L139">
            <v>0</v>
          </cell>
        </row>
        <row r="140">
          <cell r="D140">
            <v>1696</v>
          </cell>
          <cell r="E140" t="str">
            <v>C</v>
          </cell>
          <cell r="F140" t="str">
            <v>PL</v>
          </cell>
          <cell r="G140" t="str">
            <v>M</v>
          </cell>
          <cell r="H140" t="str">
            <v>A</v>
          </cell>
          <cell r="K140">
            <v>0</v>
          </cell>
          <cell r="L140">
            <v>0</v>
          </cell>
        </row>
        <row r="141">
          <cell r="D141">
            <v>1697</v>
          </cell>
          <cell r="E141" t="str">
            <v>C</v>
          </cell>
          <cell r="F141" t="str">
            <v>PL</v>
          </cell>
          <cell r="G141" t="str">
            <v>M</v>
          </cell>
          <cell r="H141" t="str">
            <v>A</v>
          </cell>
          <cell r="K141">
            <v>0</v>
          </cell>
          <cell r="L141">
            <v>0</v>
          </cell>
        </row>
        <row r="142">
          <cell r="D142">
            <v>1698</v>
          </cell>
          <cell r="E142" t="str">
            <v>A</v>
          </cell>
          <cell r="F142" t="str">
            <v>PL</v>
          </cell>
          <cell r="G142" t="str">
            <v>F</v>
          </cell>
          <cell r="H142" t="str">
            <v>A</v>
          </cell>
          <cell r="K142">
            <v>0</v>
          </cell>
          <cell r="L142">
            <v>0</v>
          </cell>
        </row>
        <row r="143">
          <cell r="D143">
            <v>1699</v>
          </cell>
          <cell r="E143" t="str">
            <v>A</v>
          </cell>
          <cell r="F143" t="str">
            <v>PL</v>
          </cell>
          <cell r="G143" t="str">
            <v>F</v>
          </cell>
          <cell r="H143" t="str">
            <v>A</v>
          </cell>
          <cell r="K143">
            <v>0</v>
          </cell>
          <cell r="L143">
            <v>0</v>
          </cell>
        </row>
        <row r="144">
          <cell r="D144">
            <v>1700</v>
          </cell>
          <cell r="E144" t="str">
            <v>C</v>
          </cell>
          <cell r="F144" t="str">
            <v>PL</v>
          </cell>
          <cell r="G144" t="str">
            <v>F</v>
          </cell>
          <cell r="H144" t="str">
            <v>A</v>
          </cell>
          <cell r="K144">
            <v>0</v>
          </cell>
          <cell r="L144">
            <v>0</v>
          </cell>
        </row>
        <row r="145">
          <cell r="D145">
            <v>1701</v>
          </cell>
          <cell r="E145" t="str">
            <v>C</v>
          </cell>
          <cell r="F145" t="str">
            <v>PL</v>
          </cell>
          <cell r="G145" t="str">
            <v>M</v>
          </cell>
          <cell r="H145" t="str">
            <v>A</v>
          </cell>
          <cell r="K145">
            <v>0</v>
          </cell>
          <cell r="L145">
            <v>0</v>
          </cell>
        </row>
        <row r="146">
          <cell r="D146">
            <v>1702</v>
          </cell>
          <cell r="E146" t="str">
            <v>C</v>
          </cell>
          <cell r="F146" t="str">
            <v>PL</v>
          </cell>
          <cell r="G146" t="str">
            <v>M</v>
          </cell>
          <cell r="H146" t="str">
            <v>A</v>
          </cell>
          <cell r="K146">
            <v>0</v>
          </cell>
          <cell r="L146">
            <v>0</v>
          </cell>
        </row>
        <row r="147">
          <cell r="D147">
            <v>1703</v>
          </cell>
          <cell r="E147" t="str">
            <v>A</v>
          </cell>
          <cell r="F147" t="str">
            <v>PL</v>
          </cell>
          <cell r="G147" t="str">
            <v>F</v>
          </cell>
          <cell r="H147" t="str">
            <v>SA</v>
          </cell>
          <cell r="K147">
            <v>0</v>
          </cell>
          <cell r="L147">
            <v>0</v>
          </cell>
        </row>
        <row r="148">
          <cell r="D148">
            <v>1705</v>
          </cell>
          <cell r="E148" t="str">
            <v>C</v>
          </cell>
          <cell r="F148" t="str">
            <v>PL</v>
          </cell>
          <cell r="G148" t="str">
            <v>F</v>
          </cell>
          <cell r="H148" t="str">
            <v>A</v>
          </cell>
          <cell r="K148">
            <v>0</v>
          </cell>
          <cell r="L148">
            <v>0</v>
          </cell>
        </row>
        <row r="149">
          <cell r="D149">
            <v>1706</v>
          </cell>
          <cell r="E149" t="str">
            <v>C</v>
          </cell>
          <cell r="F149" t="str">
            <v>PL</v>
          </cell>
          <cell r="G149" t="str">
            <v>M</v>
          </cell>
          <cell r="H149" t="str">
            <v>A</v>
          </cell>
          <cell r="K149">
            <v>0</v>
          </cell>
          <cell r="L149">
            <v>0</v>
          </cell>
        </row>
        <row r="150">
          <cell r="D150">
            <v>1707</v>
          </cell>
          <cell r="E150" t="str">
            <v>C</v>
          </cell>
          <cell r="F150" t="str">
            <v>PL</v>
          </cell>
          <cell r="G150" t="str">
            <v>M</v>
          </cell>
          <cell r="H150" t="str">
            <v>A</v>
          </cell>
          <cell r="K150">
            <v>0</v>
          </cell>
          <cell r="L150">
            <v>0</v>
          </cell>
        </row>
        <row r="151">
          <cell r="D151">
            <v>1708</v>
          </cell>
          <cell r="E151" t="str">
            <v>C</v>
          </cell>
          <cell r="F151" t="str">
            <v>PL</v>
          </cell>
          <cell r="G151" t="str">
            <v>M</v>
          </cell>
          <cell r="H151" t="str">
            <v>A</v>
          </cell>
          <cell r="K151">
            <v>0</v>
          </cell>
          <cell r="L151">
            <v>0</v>
          </cell>
        </row>
        <row r="152">
          <cell r="D152">
            <v>1709</v>
          </cell>
          <cell r="E152" t="str">
            <v>A</v>
          </cell>
          <cell r="F152" t="str">
            <v>PL</v>
          </cell>
          <cell r="G152" t="str">
            <v>F</v>
          </cell>
          <cell r="H152" t="str">
            <v>SA</v>
          </cell>
          <cell r="K152">
            <v>0</v>
          </cell>
          <cell r="L152">
            <v>0</v>
          </cell>
        </row>
        <row r="153">
          <cell r="D153">
            <v>1710</v>
          </cell>
          <cell r="E153" t="str">
            <v>A</v>
          </cell>
          <cell r="F153" t="str">
            <v>PL</v>
          </cell>
          <cell r="G153" t="str">
            <v>M</v>
          </cell>
          <cell r="H153" t="str">
            <v>A</v>
          </cell>
          <cell r="K153">
            <v>0</v>
          </cell>
          <cell r="L153">
            <v>0</v>
          </cell>
        </row>
        <row r="154">
          <cell r="D154">
            <v>1711</v>
          </cell>
          <cell r="E154" t="str">
            <v>C</v>
          </cell>
          <cell r="F154" t="str">
            <v>PL</v>
          </cell>
          <cell r="G154" t="str">
            <v>M</v>
          </cell>
          <cell r="H154" t="str">
            <v>A</v>
          </cell>
          <cell r="K154">
            <v>0</v>
          </cell>
          <cell r="L154">
            <v>0</v>
          </cell>
        </row>
        <row r="155">
          <cell r="D155">
            <v>1712</v>
          </cell>
          <cell r="E155" t="str">
            <v>A</v>
          </cell>
          <cell r="F155" t="str">
            <v>PL</v>
          </cell>
          <cell r="G155" t="str">
            <v>F</v>
          </cell>
          <cell r="H155" t="str">
            <v>A</v>
          </cell>
          <cell r="K155">
            <v>0</v>
          </cell>
          <cell r="L155">
            <v>0</v>
          </cell>
        </row>
        <row r="156">
          <cell r="D156">
            <v>1713</v>
          </cell>
          <cell r="E156" t="str">
            <v>A</v>
          </cell>
          <cell r="F156" t="str">
            <v>PL</v>
          </cell>
          <cell r="G156" t="str">
            <v>F</v>
          </cell>
          <cell r="H156" t="str">
            <v>A</v>
          </cell>
          <cell r="K156">
            <v>0</v>
          </cell>
          <cell r="L156">
            <v>0</v>
          </cell>
        </row>
        <row r="157">
          <cell r="D157">
            <v>1714</v>
          </cell>
          <cell r="E157" t="str">
            <v>C</v>
          </cell>
          <cell r="F157" t="str">
            <v>PL</v>
          </cell>
          <cell r="G157" t="str">
            <v>F</v>
          </cell>
          <cell r="H157" t="str">
            <v>A</v>
          </cell>
          <cell r="K157">
            <v>0</v>
          </cell>
          <cell r="L157">
            <v>0</v>
          </cell>
        </row>
        <row r="158">
          <cell r="D158">
            <v>1715</v>
          </cell>
          <cell r="E158" t="str">
            <v>A</v>
          </cell>
          <cell r="F158" t="str">
            <v>PL</v>
          </cell>
          <cell r="G158" t="str">
            <v>M</v>
          </cell>
          <cell r="H158" t="str">
            <v>A</v>
          </cell>
          <cell r="K158">
            <v>0</v>
          </cell>
          <cell r="L158">
            <v>0</v>
          </cell>
        </row>
        <row r="159">
          <cell r="D159">
            <v>1716</v>
          </cell>
          <cell r="E159" t="str">
            <v>C</v>
          </cell>
          <cell r="F159" t="str">
            <v>PL</v>
          </cell>
          <cell r="G159" t="str">
            <v>F</v>
          </cell>
          <cell r="H159" t="str">
            <v>SA</v>
          </cell>
          <cell r="K159">
            <v>0</v>
          </cell>
          <cell r="L159">
            <v>0</v>
          </cell>
        </row>
        <row r="160">
          <cell r="D160">
            <v>1717</v>
          </cell>
          <cell r="E160" t="str">
            <v>A</v>
          </cell>
          <cell r="F160" t="str">
            <v>PL</v>
          </cell>
          <cell r="G160" t="str">
            <v>M</v>
          </cell>
          <cell r="H160" t="str">
            <v>A</v>
          </cell>
          <cell r="K160">
            <v>0</v>
          </cell>
          <cell r="L160">
            <v>0</v>
          </cell>
        </row>
        <row r="161">
          <cell r="D161">
            <v>1718</v>
          </cell>
          <cell r="E161" t="str">
            <v>C</v>
          </cell>
          <cell r="F161" t="str">
            <v>PL</v>
          </cell>
          <cell r="G161" t="str">
            <v>M</v>
          </cell>
          <cell r="H161" t="str">
            <v>A</v>
          </cell>
          <cell r="K161">
            <v>0</v>
          </cell>
          <cell r="L161">
            <v>0</v>
          </cell>
        </row>
        <row r="162">
          <cell r="D162">
            <v>1719</v>
          </cell>
          <cell r="E162" t="str">
            <v>A</v>
          </cell>
          <cell r="F162" t="str">
            <v>PL</v>
          </cell>
          <cell r="G162" t="str">
            <v>M</v>
          </cell>
          <cell r="H162" t="str">
            <v>A</v>
          </cell>
          <cell r="K162">
            <v>0</v>
          </cell>
          <cell r="L162">
            <v>0</v>
          </cell>
        </row>
        <row r="163">
          <cell r="D163">
            <v>1720</v>
          </cell>
          <cell r="E163" t="str">
            <v>C</v>
          </cell>
          <cell r="F163" t="str">
            <v>PL</v>
          </cell>
          <cell r="G163" t="str">
            <v>M</v>
          </cell>
          <cell r="H163" t="str">
            <v>A</v>
          </cell>
          <cell r="K163">
            <v>0</v>
          </cell>
          <cell r="L163">
            <v>0</v>
          </cell>
        </row>
        <row r="164">
          <cell r="D164">
            <v>1721</v>
          </cell>
          <cell r="E164" t="str">
            <v>A</v>
          </cell>
          <cell r="F164" t="str">
            <v>PL</v>
          </cell>
          <cell r="G164" t="str">
            <v>M</v>
          </cell>
          <cell r="H164" t="str">
            <v>A</v>
          </cell>
          <cell r="K164">
            <v>0</v>
          </cell>
          <cell r="L164">
            <v>0</v>
          </cell>
        </row>
        <row r="165">
          <cell r="D165">
            <v>1722</v>
          </cell>
          <cell r="E165" t="str">
            <v>A</v>
          </cell>
          <cell r="F165" t="str">
            <v>PL</v>
          </cell>
          <cell r="G165" t="str">
            <v>M</v>
          </cell>
          <cell r="H165" t="str">
            <v>A</v>
          </cell>
          <cell r="K165">
            <v>0</v>
          </cell>
          <cell r="L165">
            <v>0</v>
          </cell>
        </row>
        <row r="166">
          <cell r="D166">
            <v>1723</v>
          </cell>
          <cell r="E166" t="str">
            <v>C</v>
          </cell>
          <cell r="F166" t="str">
            <v>PM</v>
          </cell>
          <cell r="G166" t="str">
            <v>F</v>
          </cell>
          <cell r="H166" t="str">
            <v>A</v>
          </cell>
          <cell r="K166">
            <v>0</v>
          </cell>
          <cell r="L166">
            <v>0</v>
          </cell>
        </row>
        <row r="167">
          <cell r="D167">
            <v>1724</v>
          </cell>
          <cell r="E167" t="str">
            <v>A</v>
          </cell>
          <cell r="F167" t="str">
            <v>PL</v>
          </cell>
          <cell r="G167" t="str">
            <v>F</v>
          </cell>
          <cell r="H167" t="str">
            <v>A</v>
          </cell>
          <cell r="K167">
            <v>0</v>
          </cell>
          <cell r="L167">
            <v>0</v>
          </cell>
        </row>
        <row r="168">
          <cell r="D168">
            <v>1725</v>
          </cell>
          <cell r="E168" t="str">
            <v>A</v>
          </cell>
          <cell r="F168" t="str">
            <v>PL</v>
          </cell>
          <cell r="G168" t="str">
            <v>F</v>
          </cell>
          <cell r="H168" t="str">
            <v>A</v>
          </cell>
          <cell r="K168">
            <v>0</v>
          </cell>
          <cell r="L168">
            <v>0</v>
          </cell>
        </row>
        <row r="169">
          <cell r="D169">
            <v>1726</v>
          </cell>
          <cell r="E169" t="str">
            <v>A</v>
          </cell>
          <cell r="F169" t="str">
            <v>PM</v>
          </cell>
          <cell r="G169" t="str">
            <v>M</v>
          </cell>
          <cell r="H169" t="str">
            <v>A</v>
          </cell>
          <cell r="K169">
            <v>0</v>
          </cell>
          <cell r="L169">
            <v>0</v>
          </cell>
        </row>
        <row r="170">
          <cell r="D170">
            <v>1727</v>
          </cell>
          <cell r="E170" t="str">
            <v>A</v>
          </cell>
          <cell r="F170" t="str">
            <v>PM</v>
          </cell>
          <cell r="G170" t="str">
            <v>M</v>
          </cell>
          <cell r="H170" t="str">
            <v>A</v>
          </cell>
          <cell r="K170">
            <v>0</v>
          </cell>
          <cell r="L170">
            <v>0</v>
          </cell>
        </row>
        <row r="171">
          <cell r="D171">
            <v>1728</v>
          </cell>
          <cell r="E171" t="str">
            <v>C</v>
          </cell>
          <cell r="F171" t="str">
            <v>PL</v>
          </cell>
          <cell r="G171" t="str">
            <v>M</v>
          </cell>
          <cell r="H171" t="str">
            <v>A</v>
          </cell>
          <cell r="K171">
            <v>0</v>
          </cell>
          <cell r="L171">
            <v>0</v>
          </cell>
        </row>
        <row r="172">
          <cell r="D172">
            <v>1729</v>
          </cell>
          <cell r="E172" t="str">
            <v>C</v>
          </cell>
          <cell r="F172" t="str">
            <v>PL</v>
          </cell>
          <cell r="G172" t="str">
            <v>M</v>
          </cell>
          <cell r="H172" t="str">
            <v>A</v>
          </cell>
          <cell r="K172">
            <v>0</v>
          </cell>
          <cell r="L172">
            <v>0</v>
          </cell>
        </row>
        <row r="173">
          <cell r="D173">
            <v>1730</v>
          </cell>
          <cell r="E173" t="str">
            <v>A</v>
          </cell>
          <cell r="F173" t="str">
            <v>L</v>
          </cell>
          <cell r="G173" t="str">
            <v>M</v>
          </cell>
          <cell r="H173" t="str">
            <v>A</v>
          </cell>
          <cell r="K173">
            <v>0</v>
          </cell>
          <cell r="L173">
            <v>0</v>
          </cell>
        </row>
        <row r="174">
          <cell r="D174">
            <v>1731</v>
          </cell>
          <cell r="E174" t="str">
            <v>A</v>
          </cell>
          <cell r="F174" t="str">
            <v>PL</v>
          </cell>
          <cell r="G174" t="str">
            <v>M</v>
          </cell>
          <cell r="H174" t="str">
            <v>A</v>
          </cell>
          <cell r="K174">
            <v>0</v>
          </cell>
          <cell r="L174">
            <v>0</v>
          </cell>
        </row>
        <row r="175">
          <cell r="D175">
            <v>1732</v>
          </cell>
          <cell r="E175" t="str">
            <v>C</v>
          </cell>
          <cell r="F175" t="str">
            <v>PL</v>
          </cell>
          <cell r="G175" t="str">
            <v>M</v>
          </cell>
          <cell r="H175" t="str">
            <v>A</v>
          </cell>
          <cell r="K175">
            <v>0</v>
          </cell>
          <cell r="L175">
            <v>0</v>
          </cell>
        </row>
        <row r="176">
          <cell r="D176">
            <v>1733</v>
          </cell>
          <cell r="E176" t="str">
            <v>A</v>
          </cell>
          <cell r="F176" t="str">
            <v>PL</v>
          </cell>
          <cell r="G176" t="str">
            <v>F</v>
          </cell>
          <cell r="H176" t="str">
            <v>A</v>
          </cell>
          <cell r="K176">
            <v>0</v>
          </cell>
          <cell r="L176">
            <v>0</v>
          </cell>
        </row>
        <row r="177">
          <cell r="D177">
            <v>1734</v>
          </cell>
          <cell r="E177" t="str">
            <v>C</v>
          </cell>
          <cell r="F177" t="str">
            <v>PL</v>
          </cell>
          <cell r="G177" t="str">
            <v>F</v>
          </cell>
          <cell r="H177" t="str">
            <v>A</v>
          </cell>
          <cell r="K177">
            <v>0</v>
          </cell>
          <cell r="L177">
            <v>0</v>
          </cell>
        </row>
        <row r="178">
          <cell r="D178">
            <v>1735</v>
          </cell>
          <cell r="E178" t="str">
            <v>A</v>
          </cell>
          <cell r="F178" t="str">
            <v>PL</v>
          </cell>
          <cell r="G178" t="str">
            <v>M</v>
          </cell>
          <cell r="H178" t="str">
            <v>A</v>
          </cell>
          <cell r="K178">
            <v>0</v>
          </cell>
          <cell r="L178">
            <v>0</v>
          </cell>
        </row>
        <row r="179">
          <cell r="D179">
            <v>1736</v>
          </cell>
          <cell r="E179" t="str">
            <v>A</v>
          </cell>
          <cell r="F179" t="str">
            <v>PL</v>
          </cell>
          <cell r="G179" t="str">
            <v>F</v>
          </cell>
          <cell r="H179" t="str">
            <v>SA</v>
          </cell>
          <cell r="K179">
            <v>0</v>
          </cell>
          <cell r="L179">
            <v>0</v>
          </cell>
        </row>
        <row r="180">
          <cell r="D180">
            <v>1737</v>
          </cell>
          <cell r="E180" t="str">
            <v>A</v>
          </cell>
          <cell r="F180" t="str">
            <v>PL</v>
          </cell>
          <cell r="G180" t="str">
            <v>M</v>
          </cell>
          <cell r="H180" t="str">
            <v>A</v>
          </cell>
          <cell r="K180">
            <v>0</v>
          </cell>
          <cell r="L180">
            <v>0</v>
          </cell>
        </row>
        <row r="181">
          <cell r="D181">
            <v>1738</v>
          </cell>
          <cell r="E181" t="str">
            <v>C</v>
          </cell>
          <cell r="F181" t="str">
            <v>PL</v>
          </cell>
          <cell r="G181" t="str">
            <v>F</v>
          </cell>
          <cell r="H181" t="str">
            <v>A</v>
          </cell>
          <cell r="K181">
            <v>0</v>
          </cell>
          <cell r="L181">
            <v>0</v>
          </cell>
        </row>
        <row r="182">
          <cell r="D182">
            <v>1739</v>
          </cell>
          <cell r="E182" t="str">
            <v>C</v>
          </cell>
          <cell r="F182" t="str">
            <v>PL</v>
          </cell>
          <cell r="G182" t="str">
            <v>F</v>
          </cell>
          <cell r="H182" t="str">
            <v>A</v>
          </cell>
          <cell r="K182">
            <v>0</v>
          </cell>
          <cell r="L182">
            <v>0</v>
          </cell>
        </row>
        <row r="183">
          <cell r="D183">
            <v>1740</v>
          </cell>
          <cell r="E183" t="str">
            <v>C</v>
          </cell>
          <cell r="F183" t="str">
            <v>PL</v>
          </cell>
          <cell r="G183" t="str">
            <v>M</v>
          </cell>
          <cell r="H183" t="str">
            <v>J</v>
          </cell>
          <cell r="K183">
            <v>0</v>
          </cell>
          <cell r="L183">
            <v>0</v>
          </cell>
        </row>
        <row r="184">
          <cell r="D184">
            <v>1741</v>
          </cell>
          <cell r="E184" t="str">
            <v>C</v>
          </cell>
          <cell r="F184" t="str">
            <v>PL</v>
          </cell>
          <cell r="G184" t="str">
            <v>M</v>
          </cell>
          <cell r="H184" t="str">
            <v>A</v>
          </cell>
          <cell r="K184">
            <v>0</v>
          </cell>
          <cell r="L184">
            <v>0</v>
          </cell>
        </row>
        <row r="185">
          <cell r="D185">
            <v>1742</v>
          </cell>
          <cell r="E185" t="str">
            <v>C</v>
          </cell>
          <cell r="F185" t="str">
            <v>PL</v>
          </cell>
          <cell r="G185" t="str">
            <v>F</v>
          </cell>
          <cell r="H185" t="str">
            <v>A</v>
          </cell>
          <cell r="K185">
            <v>0</v>
          </cell>
          <cell r="L185">
            <v>0</v>
          </cell>
        </row>
        <row r="186">
          <cell r="D186">
            <v>1743</v>
          </cell>
          <cell r="E186" t="str">
            <v>C</v>
          </cell>
          <cell r="F186" t="str">
            <v>PL</v>
          </cell>
          <cell r="G186" t="str">
            <v>M</v>
          </cell>
          <cell r="H186" t="str">
            <v>A</v>
          </cell>
          <cell r="K186">
            <v>0</v>
          </cell>
          <cell r="L186">
            <v>0</v>
          </cell>
        </row>
        <row r="187">
          <cell r="D187">
            <v>1744</v>
          </cell>
          <cell r="E187" t="str">
            <v>C</v>
          </cell>
          <cell r="F187" t="str">
            <v>PL</v>
          </cell>
          <cell r="G187" t="str">
            <v>F</v>
          </cell>
          <cell r="H187" t="str">
            <v>A</v>
          </cell>
          <cell r="K187">
            <v>0</v>
          </cell>
          <cell r="L187">
            <v>0</v>
          </cell>
        </row>
        <row r="188">
          <cell r="D188">
            <v>1745</v>
          </cell>
          <cell r="E188" t="str">
            <v>A</v>
          </cell>
          <cell r="F188" t="str">
            <v>PL</v>
          </cell>
          <cell r="G188" t="str">
            <v>M</v>
          </cell>
          <cell r="H188" t="str">
            <v>SA</v>
          </cell>
          <cell r="K188">
            <v>0</v>
          </cell>
          <cell r="L188">
            <v>0</v>
          </cell>
        </row>
        <row r="189">
          <cell r="D189">
            <v>1746</v>
          </cell>
          <cell r="E189" t="str">
            <v>C</v>
          </cell>
          <cell r="F189" t="str">
            <v>PL</v>
          </cell>
          <cell r="G189" t="str">
            <v>M</v>
          </cell>
          <cell r="H189" t="str">
            <v>A</v>
          </cell>
          <cell r="K189">
            <v>0</v>
          </cell>
          <cell r="L189">
            <v>0</v>
          </cell>
        </row>
        <row r="190">
          <cell r="D190">
            <v>1747</v>
          </cell>
          <cell r="E190" t="str">
            <v>A</v>
          </cell>
          <cell r="F190" t="str">
            <v>PM</v>
          </cell>
          <cell r="G190" t="str">
            <v>F</v>
          </cell>
          <cell r="H190" t="str">
            <v>A</v>
          </cell>
          <cell r="K190">
            <v>0</v>
          </cell>
          <cell r="L190">
            <v>0</v>
          </cell>
        </row>
        <row r="191">
          <cell r="D191">
            <v>1748</v>
          </cell>
          <cell r="E191" t="str">
            <v>C</v>
          </cell>
          <cell r="F191" t="str">
            <v>PL</v>
          </cell>
          <cell r="G191" t="str">
            <v>M</v>
          </cell>
          <cell r="H191" t="str">
            <v>J</v>
          </cell>
          <cell r="K191">
            <v>0</v>
          </cell>
          <cell r="L191">
            <v>0</v>
          </cell>
        </row>
        <row r="192">
          <cell r="D192">
            <v>1749</v>
          </cell>
          <cell r="E192" t="str">
            <v>C</v>
          </cell>
          <cell r="F192" t="str">
            <v>PL</v>
          </cell>
          <cell r="G192" t="str">
            <v>F</v>
          </cell>
          <cell r="H192" t="str">
            <v>A</v>
          </cell>
          <cell r="K192">
            <v>0</v>
          </cell>
          <cell r="L192">
            <v>0</v>
          </cell>
        </row>
        <row r="193">
          <cell r="D193">
            <v>1750</v>
          </cell>
          <cell r="E193" t="str">
            <v>C</v>
          </cell>
          <cell r="F193" t="str">
            <v>PL</v>
          </cell>
          <cell r="G193" t="str">
            <v>M</v>
          </cell>
          <cell r="H193" t="str">
            <v>A</v>
          </cell>
          <cell r="K193">
            <v>0</v>
          </cell>
          <cell r="L193">
            <v>0</v>
          </cell>
        </row>
        <row r="194">
          <cell r="D194">
            <v>1751</v>
          </cell>
          <cell r="E194" t="str">
            <v>A</v>
          </cell>
          <cell r="F194" t="str">
            <v>PL</v>
          </cell>
          <cell r="G194" t="str">
            <v>F</v>
          </cell>
          <cell r="H194" t="str">
            <v>A</v>
          </cell>
          <cell r="K194">
            <v>0</v>
          </cell>
          <cell r="L194">
            <v>0</v>
          </cell>
        </row>
        <row r="195">
          <cell r="D195">
            <v>1752</v>
          </cell>
          <cell r="E195" t="str">
            <v>A</v>
          </cell>
          <cell r="F195" t="str">
            <v>PL</v>
          </cell>
          <cell r="G195" t="str">
            <v>M</v>
          </cell>
          <cell r="H195" t="str">
            <v>A</v>
          </cell>
          <cell r="K195">
            <v>0</v>
          </cell>
          <cell r="L195">
            <v>0</v>
          </cell>
        </row>
        <row r="196">
          <cell r="D196">
            <v>1753</v>
          </cell>
          <cell r="E196" t="str">
            <v>C</v>
          </cell>
          <cell r="F196" t="str">
            <v>PL</v>
          </cell>
          <cell r="G196" t="str">
            <v>M</v>
          </cell>
          <cell r="H196" t="str">
            <v>A</v>
          </cell>
          <cell r="K196">
            <v>0</v>
          </cell>
          <cell r="L196">
            <v>0</v>
          </cell>
        </row>
        <row r="197">
          <cell r="D197">
            <v>1755</v>
          </cell>
          <cell r="E197" t="str">
            <v>A</v>
          </cell>
          <cell r="F197" t="str">
            <v>PL</v>
          </cell>
          <cell r="G197" t="str">
            <v>F</v>
          </cell>
          <cell r="H197" t="str">
            <v>J</v>
          </cell>
          <cell r="K197">
            <v>0</v>
          </cell>
          <cell r="L197">
            <v>0</v>
          </cell>
        </row>
        <row r="198">
          <cell r="D198">
            <v>1756</v>
          </cell>
          <cell r="E198" t="str">
            <v>A</v>
          </cell>
          <cell r="F198" t="str">
            <v>PL</v>
          </cell>
          <cell r="G198" t="str">
            <v>F</v>
          </cell>
          <cell r="H198" t="str">
            <v>A</v>
          </cell>
          <cell r="K198">
            <v>0</v>
          </cell>
          <cell r="L198">
            <v>0</v>
          </cell>
        </row>
        <row r="199">
          <cell r="D199">
            <v>1757</v>
          </cell>
          <cell r="E199" t="str">
            <v>C</v>
          </cell>
          <cell r="F199" t="str">
            <v>PL</v>
          </cell>
          <cell r="G199" t="str">
            <v>M</v>
          </cell>
          <cell r="H199" t="str">
            <v>A</v>
          </cell>
          <cell r="K199">
            <v>0</v>
          </cell>
          <cell r="L199">
            <v>0</v>
          </cell>
        </row>
        <row r="200">
          <cell r="D200">
            <v>1758</v>
          </cell>
          <cell r="E200" t="str">
            <v>A</v>
          </cell>
          <cell r="F200" t="str">
            <v>PM</v>
          </cell>
          <cell r="G200" t="str">
            <v>M</v>
          </cell>
          <cell r="H200" t="str">
            <v>J</v>
          </cell>
          <cell r="K200">
            <v>0</v>
          </cell>
          <cell r="L200">
            <v>0</v>
          </cell>
        </row>
        <row r="201">
          <cell r="D201">
            <v>1759</v>
          </cell>
          <cell r="E201" t="str">
            <v>C</v>
          </cell>
          <cell r="F201" t="str">
            <v>PL</v>
          </cell>
          <cell r="G201" t="str">
            <v>M</v>
          </cell>
          <cell r="H201" t="str">
            <v>J</v>
          </cell>
          <cell r="K201">
            <v>0</v>
          </cell>
          <cell r="L201">
            <v>0</v>
          </cell>
        </row>
        <row r="202">
          <cell r="D202">
            <v>1760</v>
          </cell>
          <cell r="E202" t="str">
            <v>A</v>
          </cell>
          <cell r="F202" t="str">
            <v>PL</v>
          </cell>
          <cell r="G202" t="str">
            <v>F</v>
          </cell>
          <cell r="H202" t="str">
            <v>A</v>
          </cell>
          <cell r="K202">
            <v>0</v>
          </cell>
          <cell r="L202">
            <v>0</v>
          </cell>
        </row>
        <row r="203">
          <cell r="D203">
            <v>1761</v>
          </cell>
          <cell r="E203" t="str">
            <v>C</v>
          </cell>
          <cell r="F203" t="str">
            <v>PL</v>
          </cell>
          <cell r="G203" t="str">
            <v>F</v>
          </cell>
          <cell r="H203" t="str">
            <v>A</v>
          </cell>
          <cell r="K203">
            <v>0</v>
          </cell>
          <cell r="L203">
            <v>0</v>
          </cell>
        </row>
        <row r="204">
          <cell r="D204">
            <v>1762</v>
          </cell>
          <cell r="E204" t="str">
            <v>A</v>
          </cell>
          <cell r="F204" t="str">
            <v>PL</v>
          </cell>
          <cell r="G204" t="str">
            <v>M</v>
          </cell>
          <cell r="H204" t="str">
            <v>A</v>
          </cell>
          <cell r="K204">
            <v>0</v>
          </cell>
          <cell r="L204">
            <v>0</v>
          </cell>
        </row>
        <row r="205">
          <cell r="D205">
            <v>1763</v>
          </cell>
          <cell r="K205">
            <v>0</v>
          </cell>
          <cell r="L205">
            <v>0</v>
          </cell>
        </row>
        <row r="206">
          <cell r="D206">
            <v>1764</v>
          </cell>
          <cell r="E206" t="str">
            <v>C</v>
          </cell>
          <cell r="F206" t="str">
            <v>PL</v>
          </cell>
          <cell r="G206" t="str">
            <v>F</v>
          </cell>
          <cell r="H206" t="str">
            <v>SA</v>
          </cell>
          <cell r="K206">
            <v>0</v>
          </cell>
          <cell r="L206">
            <v>0</v>
          </cell>
        </row>
        <row r="207">
          <cell r="D207">
            <v>1765</v>
          </cell>
          <cell r="E207" t="str">
            <v>A</v>
          </cell>
          <cell r="F207" t="str">
            <v>PL</v>
          </cell>
          <cell r="G207" t="str">
            <v>M</v>
          </cell>
          <cell r="H207" t="str">
            <v>A</v>
          </cell>
          <cell r="K207">
            <v>0</v>
          </cell>
          <cell r="L207">
            <v>0</v>
          </cell>
        </row>
        <row r="208">
          <cell r="D208">
            <v>1766</v>
          </cell>
          <cell r="E208" t="str">
            <v>C</v>
          </cell>
          <cell r="F208" t="str">
            <v>PL</v>
          </cell>
          <cell r="G208" t="str">
            <v>F</v>
          </cell>
          <cell r="H208" t="str">
            <v>A</v>
          </cell>
          <cell r="K208">
            <v>0</v>
          </cell>
          <cell r="L208">
            <v>0</v>
          </cell>
        </row>
        <row r="209">
          <cell r="D209">
            <v>1767</v>
          </cell>
          <cell r="E209" t="str">
            <v>A</v>
          </cell>
          <cell r="F209" t="str">
            <v>PL</v>
          </cell>
          <cell r="G209" t="str">
            <v>M</v>
          </cell>
          <cell r="H209" t="str">
            <v>A</v>
          </cell>
          <cell r="K209">
            <v>0</v>
          </cell>
          <cell r="L209">
            <v>0</v>
          </cell>
        </row>
        <row r="210">
          <cell r="D210">
            <v>1768</v>
          </cell>
          <cell r="E210" t="str">
            <v>A</v>
          </cell>
          <cell r="F210" t="str">
            <v>PL</v>
          </cell>
          <cell r="G210" t="str">
            <v>M</v>
          </cell>
          <cell r="H210" t="str">
            <v>SA</v>
          </cell>
          <cell r="K210">
            <v>0</v>
          </cell>
          <cell r="L210">
            <v>0</v>
          </cell>
        </row>
        <row r="211">
          <cell r="D211">
            <v>1769</v>
          </cell>
          <cell r="E211" t="str">
            <v>C</v>
          </cell>
          <cell r="F211" t="str">
            <v>PL</v>
          </cell>
          <cell r="G211" t="str">
            <v>M</v>
          </cell>
          <cell r="H211" t="str">
            <v>A</v>
          </cell>
          <cell r="K211">
            <v>0</v>
          </cell>
          <cell r="L211">
            <v>0</v>
          </cell>
        </row>
        <row r="212">
          <cell r="D212">
            <v>1770</v>
          </cell>
          <cell r="E212" t="str">
            <v>C</v>
          </cell>
          <cell r="F212" t="str">
            <v>PL</v>
          </cell>
          <cell r="G212" t="str">
            <v>F</v>
          </cell>
          <cell r="H212" t="str">
            <v>A</v>
          </cell>
          <cell r="K212">
            <v>0</v>
          </cell>
          <cell r="L212">
            <v>0</v>
          </cell>
        </row>
        <row r="213">
          <cell r="D213">
            <v>1771</v>
          </cell>
          <cell r="E213" t="str">
            <v>A</v>
          </cell>
          <cell r="F213" t="str">
            <v>PL</v>
          </cell>
          <cell r="G213" t="str">
            <v>F</v>
          </cell>
          <cell r="H213" t="str">
            <v>A</v>
          </cell>
          <cell r="K213">
            <v>0</v>
          </cell>
          <cell r="L213">
            <v>0</v>
          </cell>
        </row>
        <row r="214">
          <cell r="D214">
            <v>1772</v>
          </cell>
          <cell r="E214" t="str">
            <v>A</v>
          </cell>
          <cell r="F214" t="str">
            <v>PL</v>
          </cell>
          <cell r="G214" t="str">
            <v>M</v>
          </cell>
          <cell r="H214" t="str">
            <v>A</v>
          </cell>
          <cell r="K214">
            <v>0</v>
          </cell>
          <cell r="L214">
            <v>0</v>
          </cell>
        </row>
        <row r="215">
          <cell r="D215">
            <v>1773</v>
          </cell>
          <cell r="E215" t="str">
            <v>C</v>
          </cell>
          <cell r="F215" t="str">
            <v>PL</v>
          </cell>
          <cell r="G215" t="str">
            <v>F</v>
          </cell>
          <cell r="H215" t="str">
            <v>A</v>
          </cell>
          <cell r="K215">
            <v>0</v>
          </cell>
          <cell r="L215">
            <v>0</v>
          </cell>
        </row>
        <row r="216">
          <cell r="D216">
            <v>1774</v>
          </cell>
          <cell r="E216" t="str">
            <v>C</v>
          </cell>
          <cell r="F216" t="str">
            <v>PL</v>
          </cell>
          <cell r="G216" t="str">
            <v>M</v>
          </cell>
          <cell r="H216" t="str">
            <v>A</v>
          </cell>
          <cell r="K216">
            <v>0</v>
          </cell>
          <cell r="L216">
            <v>0</v>
          </cell>
        </row>
        <row r="217">
          <cell r="D217">
            <v>1775</v>
          </cell>
          <cell r="E217" t="str">
            <v>A</v>
          </cell>
          <cell r="F217" t="str">
            <v>PL</v>
          </cell>
          <cell r="G217" t="str">
            <v>F</v>
          </cell>
          <cell r="H217" t="str">
            <v>A</v>
          </cell>
          <cell r="K217">
            <v>0</v>
          </cell>
          <cell r="L217">
            <v>0</v>
          </cell>
        </row>
        <row r="218">
          <cell r="D218">
            <v>1776</v>
          </cell>
          <cell r="E218" t="str">
            <v>A</v>
          </cell>
          <cell r="F218" t="str">
            <v>PL</v>
          </cell>
          <cell r="G218" t="str">
            <v>M</v>
          </cell>
          <cell r="H218" t="str">
            <v>SA</v>
          </cell>
          <cell r="K218">
            <v>0</v>
          </cell>
          <cell r="L218">
            <v>0</v>
          </cell>
        </row>
        <row r="219">
          <cell r="D219">
            <v>1777</v>
          </cell>
          <cell r="E219" t="str">
            <v>C</v>
          </cell>
          <cell r="F219" t="str">
            <v>PL</v>
          </cell>
          <cell r="G219" t="str">
            <v>M</v>
          </cell>
          <cell r="H219" t="str">
            <v>SA</v>
          </cell>
          <cell r="K219">
            <v>0</v>
          </cell>
          <cell r="L219">
            <v>0</v>
          </cell>
        </row>
        <row r="220">
          <cell r="D220">
            <v>1778</v>
          </cell>
          <cell r="E220" t="str">
            <v>A</v>
          </cell>
          <cell r="F220" t="str">
            <v>PL</v>
          </cell>
          <cell r="G220" t="str">
            <v>M</v>
          </cell>
          <cell r="H220" t="str">
            <v>A</v>
          </cell>
          <cell r="K220">
            <v>0</v>
          </cell>
          <cell r="L220">
            <v>0</v>
          </cell>
        </row>
        <row r="221">
          <cell r="D221">
            <v>1779</v>
          </cell>
          <cell r="E221" t="str">
            <v>A</v>
          </cell>
          <cell r="F221" t="str">
            <v>PL</v>
          </cell>
          <cell r="G221" t="str">
            <v>F</v>
          </cell>
          <cell r="H221" t="str">
            <v>A</v>
          </cell>
          <cell r="K221">
            <v>0</v>
          </cell>
          <cell r="L221">
            <v>0</v>
          </cell>
        </row>
        <row r="222">
          <cell r="D222">
            <v>1780</v>
          </cell>
          <cell r="E222" t="str">
            <v>C</v>
          </cell>
          <cell r="F222" t="str">
            <v>PL</v>
          </cell>
          <cell r="G222" t="str">
            <v>M</v>
          </cell>
          <cell r="H222" t="str">
            <v>A</v>
          </cell>
          <cell r="K222">
            <v>0</v>
          </cell>
          <cell r="L222">
            <v>0</v>
          </cell>
        </row>
        <row r="223">
          <cell r="D223">
            <v>1781</v>
          </cell>
          <cell r="E223" t="str">
            <v>C</v>
          </cell>
          <cell r="F223" t="str">
            <v>PL</v>
          </cell>
          <cell r="G223" t="str">
            <v>M</v>
          </cell>
          <cell r="H223" t="str">
            <v>A</v>
          </cell>
          <cell r="K223">
            <v>0</v>
          </cell>
          <cell r="L223">
            <v>0</v>
          </cell>
        </row>
        <row r="224">
          <cell r="D224">
            <v>1782</v>
          </cell>
          <cell r="E224" t="str">
            <v>C</v>
          </cell>
          <cell r="F224" t="str">
            <v>PL</v>
          </cell>
          <cell r="G224" t="str">
            <v>M</v>
          </cell>
          <cell r="H224" t="str">
            <v>A</v>
          </cell>
          <cell r="K224">
            <v>0</v>
          </cell>
          <cell r="L224">
            <v>0</v>
          </cell>
        </row>
        <row r="225">
          <cell r="D225">
            <v>1783</v>
          </cell>
          <cell r="E225" t="str">
            <v>A</v>
          </cell>
          <cell r="F225" t="str">
            <v>PL</v>
          </cell>
          <cell r="G225" t="str">
            <v>M</v>
          </cell>
          <cell r="H225" t="str">
            <v>A</v>
          </cell>
          <cell r="K225">
            <v>0</v>
          </cell>
          <cell r="L225">
            <v>0</v>
          </cell>
        </row>
        <row r="226">
          <cell r="D226">
            <v>1784</v>
          </cell>
          <cell r="E226" t="str">
            <v>C</v>
          </cell>
          <cell r="F226" t="str">
            <v>PL</v>
          </cell>
          <cell r="G226" t="str">
            <v>M</v>
          </cell>
          <cell r="H226" t="str">
            <v>J</v>
          </cell>
          <cell r="K226">
            <v>0</v>
          </cell>
          <cell r="L226">
            <v>0</v>
          </cell>
        </row>
        <row r="227">
          <cell r="D227">
            <v>1785</v>
          </cell>
          <cell r="E227" t="str">
            <v>A</v>
          </cell>
          <cell r="F227" t="str">
            <v>PL</v>
          </cell>
          <cell r="G227" t="str">
            <v>F</v>
          </cell>
          <cell r="H227" t="str">
            <v>SA</v>
          </cell>
          <cell r="K227">
            <v>0</v>
          </cell>
          <cell r="L227">
            <v>0</v>
          </cell>
        </row>
        <row r="228">
          <cell r="D228">
            <v>1786</v>
          </cell>
          <cell r="E228" t="str">
            <v>A</v>
          </cell>
          <cell r="F228" t="str">
            <v>PL</v>
          </cell>
          <cell r="G228" t="str">
            <v>M</v>
          </cell>
          <cell r="H228" t="str">
            <v>A</v>
          </cell>
          <cell r="K228">
            <v>0</v>
          </cell>
          <cell r="L228">
            <v>0</v>
          </cell>
        </row>
        <row r="229">
          <cell r="D229">
            <v>1787</v>
          </cell>
          <cell r="E229" t="str">
            <v>A</v>
          </cell>
          <cell r="F229" t="str">
            <v>PL</v>
          </cell>
          <cell r="G229" t="str">
            <v>F</v>
          </cell>
          <cell r="H229" t="str">
            <v>A</v>
          </cell>
          <cell r="K229">
            <v>0</v>
          </cell>
          <cell r="L229">
            <v>0</v>
          </cell>
        </row>
        <row r="230">
          <cell r="D230">
            <v>1788</v>
          </cell>
          <cell r="E230" t="str">
            <v>A</v>
          </cell>
          <cell r="F230" t="str">
            <v>PL</v>
          </cell>
          <cell r="G230" t="str">
            <v>F</v>
          </cell>
          <cell r="H230" t="str">
            <v>A</v>
          </cell>
          <cell r="K230">
            <v>0</v>
          </cell>
          <cell r="L230">
            <v>0</v>
          </cell>
        </row>
        <row r="231">
          <cell r="D231">
            <v>1789</v>
          </cell>
          <cell r="E231" t="str">
            <v>C</v>
          </cell>
          <cell r="F231" t="str">
            <v>PL</v>
          </cell>
          <cell r="G231" t="str">
            <v>M</v>
          </cell>
          <cell r="H231" t="str">
            <v>A</v>
          </cell>
          <cell r="K231">
            <v>0</v>
          </cell>
          <cell r="L231">
            <v>0</v>
          </cell>
        </row>
        <row r="232">
          <cell r="D232">
            <v>1790</v>
          </cell>
          <cell r="E232" t="str">
            <v>C</v>
          </cell>
          <cell r="F232" t="str">
            <v>PL</v>
          </cell>
          <cell r="G232" t="str">
            <v>M</v>
          </cell>
          <cell r="H232" t="str">
            <v>A</v>
          </cell>
          <cell r="K232">
            <v>0</v>
          </cell>
          <cell r="L232">
            <v>0</v>
          </cell>
        </row>
        <row r="233">
          <cell r="D233">
            <v>1791</v>
          </cell>
          <cell r="E233" t="str">
            <v>A</v>
          </cell>
          <cell r="F233" t="str">
            <v>PL</v>
          </cell>
          <cell r="G233" t="str">
            <v>M</v>
          </cell>
          <cell r="H233" t="str">
            <v>A</v>
          </cell>
          <cell r="K233">
            <v>0</v>
          </cell>
          <cell r="L233">
            <v>0</v>
          </cell>
        </row>
        <row r="234">
          <cell r="D234">
            <v>1792</v>
          </cell>
          <cell r="E234" t="str">
            <v>A</v>
          </cell>
          <cell r="F234" t="str">
            <v>PL</v>
          </cell>
          <cell r="G234" t="str">
            <v>F</v>
          </cell>
          <cell r="H234" t="str">
            <v>A</v>
          </cell>
          <cell r="K234">
            <v>0</v>
          </cell>
          <cell r="L234">
            <v>0</v>
          </cell>
        </row>
        <row r="235">
          <cell r="D235">
            <v>1793</v>
          </cell>
          <cell r="E235" t="str">
            <v>C</v>
          </cell>
          <cell r="F235" t="str">
            <v>PL</v>
          </cell>
          <cell r="G235" t="str">
            <v>M</v>
          </cell>
          <cell r="H235" t="str">
            <v>A</v>
          </cell>
          <cell r="K235">
            <v>0</v>
          </cell>
          <cell r="L235">
            <v>0</v>
          </cell>
        </row>
        <row r="236">
          <cell r="D236">
            <v>1794</v>
          </cell>
          <cell r="E236" t="str">
            <v>C</v>
          </cell>
          <cell r="F236" t="str">
            <v>PL</v>
          </cell>
          <cell r="G236" t="str">
            <v>M</v>
          </cell>
          <cell r="H236" t="str">
            <v>A</v>
          </cell>
          <cell r="K236">
            <v>0</v>
          </cell>
          <cell r="L236">
            <v>0</v>
          </cell>
        </row>
        <row r="237">
          <cell r="D237">
            <v>1795</v>
          </cell>
          <cell r="E237" t="str">
            <v>A</v>
          </cell>
          <cell r="F237" t="str">
            <v>PM</v>
          </cell>
          <cell r="G237" t="str">
            <v>M</v>
          </cell>
          <cell r="H237" t="str">
            <v>A</v>
          </cell>
          <cell r="K237">
            <v>0</v>
          </cell>
          <cell r="L237">
            <v>0</v>
          </cell>
        </row>
        <row r="238">
          <cell r="D238">
            <v>1796</v>
          </cell>
          <cell r="E238" t="str">
            <v>C</v>
          </cell>
          <cell r="F238" t="str">
            <v>PL</v>
          </cell>
          <cell r="G238" t="str">
            <v>M</v>
          </cell>
          <cell r="H238" t="str">
            <v>J</v>
          </cell>
          <cell r="K238">
            <v>0</v>
          </cell>
          <cell r="L238">
            <v>0</v>
          </cell>
        </row>
        <row r="239">
          <cell r="D239">
            <v>1797</v>
          </cell>
          <cell r="E239" t="str">
            <v>A</v>
          </cell>
          <cell r="F239" t="str">
            <v>PL</v>
          </cell>
          <cell r="G239" t="str">
            <v>F</v>
          </cell>
          <cell r="H239" t="str">
            <v>SA</v>
          </cell>
          <cell r="K239">
            <v>0</v>
          </cell>
          <cell r="L239">
            <v>0</v>
          </cell>
        </row>
        <row r="240">
          <cell r="D240">
            <v>1798</v>
          </cell>
          <cell r="E240" t="str">
            <v>C</v>
          </cell>
          <cell r="F240" t="str">
            <v>PL</v>
          </cell>
          <cell r="G240" t="str">
            <v>M</v>
          </cell>
          <cell r="H240" t="str">
            <v>A</v>
          </cell>
          <cell r="K240">
            <v>0</v>
          </cell>
          <cell r="L240">
            <v>0</v>
          </cell>
        </row>
        <row r="241">
          <cell r="D241">
            <v>1799</v>
          </cell>
          <cell r="E241" t="str">
            <v>A</v>
          </cell>
          <cell r="F241" t="str">
            <v>PL</v>
          </cell>
          <cell r="G241" t="str">
            <v>F</v>
          </cell>
          <cell r="H241" t="str">
            <v>A</v>
          </cell>
          <cell r="K241">
            <v>0</v>
          </cell>
          <cell r="L241">
            <v>0</v>
          </cell>
        </row>
        <row r="242">
          <cell r="D242">
            <v>1800</v>
          </cell>
          <cell r="E242" t="str">
            <v>A</v>
          </cell>
          <cell r="F242" t="str">
            <v>PL</v>
          </cell>
          <cell r="G242" t="str">
            <v>M</v>
          </cell>
          <cell r="H242" t="str">
            <v>A</v>
          </cell>
          <cell r="K242">
            <v>0</v>
          </cell>
          <cell r="L242">
            <v>0</v>
          </cell>
        </row>
        <row r="243">
          <cell r="D243">
            <v>1801</v>
          </cell>
          <cell r="E243" t="str">
            <v>C</v>
          </cell>
          <cell r="F243" t="str">
            <v>PL</v>
          </cell>
          <cell r="G243" t="str">
            <v>M</v>
          </cell>
          <cell r="H243" t="str">
            <v>SA</v>
          </cell>
          <cell r="K243">
            <v>0</v>
          </cell>
          <cell r="L243">
            <v>0</v>
          </cell>
        </row>
        <row r="244">
          <cell r="D244">
            <v>1802</v>
          </cell>
          <cell r="E244" t="str">
            <v>A</v>
          </cell>
          <cell r="F244" t="str">
            <v>PL</v>
          </cell>
          <cell r="G244" t="str">
            <v>M</v>
          </cell>
          <cell r="H244" t="str">
            <v>J</v>
          </cell>
          <cell r="K244">
            <v>0</v>
          </cell>
          <cell r="L244">
            <v>0</v>
          </cell>
        </row>
        <row r="245">
          <cell r="D245">
            <v>1803</v>
          </cell>
          <cell r="E245" t="str">
            <v>C</v>
          </cell>
          <cell r="F245" t="str">
            <v>PL</v>
          </cell>
          <cell r="G245" t="str">
            <v>F</v>
          </cell>
          <cell r="H245" t="str">
            <v>A</v>
          </cell>
          <cell r="K245">
            <v>0</v>
          </cell>
          <cell r="L245">
            <v>0</v>
          </cell>
        </row>
        <row r="246">
          <cell r="D246">
            <v>1804</v>
          </cell>
          <cell r="E246" t="str">
            <v>A</v>
          </cell>
          <cell r="F246" t="str">
            <v>PL</v>
          </cell>
          <cell r="G246" t="str">
            <v>M</v>
          </cell>
          <cell r="H246" t="str">
            <v>J</v>
          </cell>
          <cell r="K246">
            <v>0</v>
          </cell>
          <cell r="L246">
            <v>0</v>
          </cell>
        </row>
        <row r="247">
          <cell r="D247">
            <v>1805</v>
          </cell>
          <cell r="E247" t="str">
            <v>C</v>
          </cell>
          <cell r="F247" t="str">
            <v>PM</v>
          </cell>
          <cell r="G247" t="str">
            <v>M</v>
          </cell>
          <cell r="H247" t="str">
            <v>A</v>
          </cell>
          <cell r="K247">
            <v>0</v>
          </cell>
          <cell r="L247">
            <v>0</v>
          </cell>
        </row>
        <row r="248">
          <cell r="D248">
            <v>1806</v>
          </cell>
          <cell r="E248" t="str">
            <v>A</v>
          </cell>
          <cell r="F248" t="str">
            <v>PM</v>
          </cell>
          <cell r="G248" t="str">
            <v>F</v>
          </cell>
          <cell r="H248" t="str">
            <v>A</v>
          </cell>
          <cell r="K248">
            <v>0</v>
          </cell>
          <cell r="L248">
            <v>0</v>
          </cell>
        </row>
        <row r="249">
          <cell r="D249">
            <v>1807</v>
          </cell>
          <cell r="E249" t="str">
            <v>C</v>
          </cell>
          <cell r="F249" t="str">
            <v>PL</v>
          </cell>
          <cell r="G249" t="str">
            <v>M</v>
          </cell>
          <cell r="H249" t="str">
            <v>A</v>
          </cell>
          <cell r="K249">
            <v>0</v>
          </cell>
          <cell r="L249">
            <v>0</v>
          </cell>
        </row>
        <row r="250">
          <cell r="D250">
            <v>1808</v>
          </cell>
          <cell r="E250" t="str">
            <v>A</v>
          </cell>
          <cell r="F250" t="str">
            <v>PL</v>
          </cell>
          <cell r="G250" t="str">
            <v>F</v>
          </cell>
          <cell r="H250" t="str">
            <v>SA</v>
          </cell>
          <cell r="K250">
            <v>0</v>
          </cell>
          <cell r="L250">
            <v>0</v>
          </cell>
        </row>
        <row r="251">
          <cell r="D251">
            <v>1809</v>
          </cell>
          <cell r="E251" t="str">
            <v>C</v>
          </cell>
          <cell r="F251" t="str">
            <v>PL</v>
          </cell>
          <cell r="G251" t="str">
            <v>F</v>
          </cell>
          <cell r="H251" t="str">
            <v>A</v>
          </cell>
          <cell r="K251">
            <v>0</v>
          </cell>
          <cell r="L251">
            <v>0</v>
          </cell>
        </row>
        <row r="252">
          <cell r="D252">
            <v>1810</v>
          </cell>
          <cell r="E252" t="str">
            <v>A</v>
          </cell>
          <cell r="F252" t="str">
            <v>PL</v>
          </cell>
          <cell r="G252" t="str">
            <v>M</v>
          </cell>
          <cell r="H252" t="str">
            <v>A</v>
          </cell>
          <cell r="K252">
            <v>0</v>
          </cell>
          <cell r="L252">
            <v>0</v>
          </cell>
        </row>
        <row r="253">
          <cell r="D253">
            <v>1811</v>
          </cell>
          <cell r="E253" t="str">
            <v>C</v>
          </cell>
          <cell r="F253" t="str">
            <v>PL</v>
          </cell>
          <cell r="G253" t="str">
            <v>F</v>
          </cell>
          <cell r="H253" t="str">
            <v>A</v>
          </cell>
          <cell r="K253">
            <v>0</v>
          </cell>
          <cell r="L253">
            <v>0</v>
          </cell>
        </row>
        <row r="254">
          <cell r="D254">
            <v>1812</v>
          </cell>
          <cell r="E254" t="str">
            <v>C</v>
          </cell>
          <cell r="F254" t="str">
            <v>PL</v>
          </cell>
          <cell r="G254" t="str">
            <v>M</v>
          </cell>
          <cell r="H254" t="str">
            <v>A</v>
          </cell>
          <cell r="K254">
            <v>0</v>
          </cell>
          <cell r="L254">
            <v>0</v>
          </cell>
        </row>
        <row r="255">
          <cell r="D255">
            <v>1813</v>
          </cell>
          <cell r="E255" t="str">
            <v>C</v>
          </cell>
          <cell r="F255" t="str">
            <v>PL</v>
          </cell>
          <cell r="G255" t="str">
            <v>M</v>
          </cell>
          <cell r="H255" t="str">
            <v>A</v>
          </cell>
          <cell r="K255">
            <v>0</v>
          </cell>
          <cell r="L255">
            <v>0</v>
          </cell>
        </row>
        <row r="256">
          <cell r="D256">
            <v>1814</v>
          </cell>
          <cell r="E256" t="str">
            <v>A</v>
          </cell>
          <cell r="F256" t="str">
            <v>PL</v>
          </cell>
          <cell r="G256" t="str">
            <v>F</v>
          </cell>
          <cell r="H256" t="str">
            <v>A</v>
          </cell>
          <cell r="K256">
            <v>0</v>
          </cell>
          <cell r="L256">
            <v>0</v>
          </cell>
        </row>
        <row r="257">
          <cell r="D257">
            <v>1815</v>
          </cell>
          <cell r="E257" t="str">
            <v>C</v>
          </cell>
          <cell r="F257" t="str">
            <v>PM</v>
          </cell>
          <cell r="G257" t="str">
            <v>M</v>
          </cell>
          <cell r="H257" t="str">
            <v>A</v>
          </cell>
          <cell r="K257">
            <v>0</v>
          </cell>
          <cell r="L257">
            <v>0</v>
          </cell>
        </row>
        <row r="258">
          <cell r="D258">
            <v>1816</v>
          </cell>
          <cell r="E258" t="str">
            <v>C</v>
          </cell>
          <cell r="F258" t="str">
            <v>PL</v>
          </cell>
          <cell r="G258" t="str">
            <v>F</v>
          </cell>
          <cell r="H258" t="str">
            <v>A</v>
          </cell>
          <cell r="K258">
            <v>0</v>
          </cell>
          <cell r="L258">
            <v>0</v>
          </cell>
        </row>
        <row r="259">
          <cell r="D259">
            <v>1817</v>
          </cell>
          <cell r="E259" t="str">
            <v>A</v>
          </cell>
          <cell r="F259" t="str">
            <v>PL</v>
          </cell>
          <cell r="G259" t="str">
            <v>M</v>
          </cell>
          <cell r="H259" t="str">
            <v>A</v>
          </cell>
          <cell r="K259">
            <v>0</v>
          </cell>
          <cell r="L259">
            <v>0</v>
          </cell>
        </row>
        <row r="260">
          <cell r="D260">
            <v>1818</v>
          </cell>
          <cell r="E260" t="str">
            <v>A</v>
          </cell>
          <cell r="F260" t="str">
            <v>PL</v>
          </cell>
          <cell r="G260" t="str">
            <v>M</v>
          </cell>
          <cell r="H260" t="str">
            <v>A</v>
          </cell>
          <cell r="K260">
            <v>0</v>
          </cell>
          <cell r="L260">
            <v>0</v>
          </cell>
        </row>
        <row r="261">
          <cell r="D261">
            <v>1819</v>
          </cell>
          <cell r="E261" t="str">
            <v>A</v>
          </cell>
          <cell r="F261" t="str">
            <v>PL</v>
          </cell>
          <cell r="G261" t="str">
            <v>M</v>
          </cell>
          <cell r="H261" t="str">
            <v>A</v>
          </cell>
          <cell r="K261">
            <v>0</v>
          </cell>
          <cell r="L261">
            <v>0</v>
          </cell>
        </row>
        <row r="262">
          <cell r="D262">
            <v>1820</v>
          </cell>
          <cell r="E262" t="str">
            <v>C</v>
          </cell>
          <cell r="F262" t="str">
            <v>PL</v>
          </cell>
          <cell r="G262" t="str">
            <v>M</v>
          </cell>
          <cell r="H262" t="str">
            <v>A</v>
          </cell>
          <cell r="K262">
            <v>0</v>
          </cell>
          <cell r="L262">
            <v>0</v>
          </cell>
        </row>
        <row r="263">
          <cell r="D263">
            <v>1822</v>
          </cell>
          <cell r="E263" t="str">
            <v>C</v>
          </cell>
          <cell r="F263" t="str">
            <v>PL</v>
          </cell>
          <cell r="G263" t="str">
            <v>F</v>
          </cell>
          <cell r="H263" t="str">
            <v>SA</v>
          </cell>
          <cell r="K263">
            <v>0</v>
          </cell>
          <cell r="L263">
            <v>0</v>
          </cell>
        </row>
        <row r="264">
          <cell r="D264">
            <v>1823</v>
          </cell>
          <cell r="E264" t="str">
            <v>A</v>
          </cell>
          <cell r="F264" t="str">
            <v>PM</v>
          </cell>
          <cell r="G264" t="str">
            <v>F</v>
          </cell>
          <cell r="H264" t="str">
            <v>A</v>
          </cell>
          <cell r="K264">
            <v>0</v>
          </cell>
          <cell r="L264">
            <v>0</v>
          </cell>
        </row>
        <row r="265">
          <cell r="D265">
            <v>1824</v>
          </cell>
          <cell r="E265" t="str">
            <v>C</v>
          </cell>
          <cell r="F265" t="str">
            <v>PL</v>
          </cell>
          <cell r="G265" t="str">
            <v>F</v>
          </cell>
          <cell r="H265" t="str">
            <v>A</v>
          </cell>
          <cell r="K265">
            <v>0</v>
          </cell>
          <cell r="L265">
            <v>0</v>
          </cell>
        </row>
        <row r="266">
          <cell r="D266">
            <v>1825</v>
          </cell>
          <cell r="E266" t="str">
            <v>C</v>
          </cell>
          <cell r="F266" t="str">
            <v>PL</v>
          </cell>
          <cell r="G266" t="str">
            <v>M</v>
          </cell>
          <cell r="H266" t="str">
            <v>A</v>
          </cell>
          <cell r="K266">
            <v>0</v>
          </cell>
          <cell r="L266">
            <v>0</v>
          </cell>
        </row>
        <row r="267">
          <cell r="D267">
            <v>1826</v>
          </cell>
          <cell r="E267" t="str">
            <v>C</v>
          </cell>
          <cell r="F267" t="str">
            <v>PM</v>
          </cell>
          <cell r="G267" t="str">
            <v>F</v>
          </cell>
          <cell r="H267" t="str">
            <v>A</v>
          </cell>
          <cell r="K267">
            <v>0</v>
          </cell>
          <cell r="L267">
            <v>0</v>
          </cell>
        </row>
        <row r="268">
          <cell r="D268">
            <v>1827</v>
          </cell>
          <cell r="E268" t="str">
            <v>A</v>
          </cell>
          <cell r="F268" t="str">
            <v>PL</v>
          </cell>
          <cell r="G268" t="str">
            <v>F</v>
          </cell>
          <cell r="H268" t="str">
            <v>A</v>
          </cell>
          <cell r="K268">
            <v>0</v>
          </cell>
          <cell r="L268">
            <v>0</v>
          </cell>
        </row>
        <row r="269">
          <cell r="D269">
            <v>1828</v>
          </cell>
          <cell r="E269" t="str">
            <v>C</v>
          </cell>
          <cell r="F269" t="str">
            <v>PL</v>
          </cell>
          <cell r="G269" t="str">
            <v>M</v>
          </cell>
          <cell r="H269" t="str">
            <v>A</v>
          </cell>
          <cell r="K269">
            <v>0</v>
          </cell>
          <cell r="L269">
            <v>0</v>
          </cell>
        </row>
        <row r="270">
          <cell r="D270">
            <v>1829</v>
          </cell>
          <cell r="E270" t="str">
            <v>A</v>
          </cell>
          <cell r="F270" t="str">
            <v>PL</v>
          </cell>
          <cell r="G270" t="str">
            <v>F</v>
          </cell>
          <cell r="H270" t="str">
            <v>A</v>
          </cell>
          <cell r="K270">
            <v>0</v>
          </cell>
          <cell r="L270">
            <v>0</v>
          </cell>
        </row>
        <row r="271">
          <cell r="D271">
            <v>1830</v>
          </cell>
          <cell r="E271" t="str">
            <v>C</v>
          </cell>
          <cell r="F271" t="str">
            <v>PL</v>
          </cell>
          <cell r="G271" t="str">
            <v>M</v>
          </cell>
          <cell r="H271" t="str">
            <v>SA</v>
          </cell>
          <cell r="K271">
            <v>0</v>
          </cell>
          <cell r="L271">
            <v>0</v>
          </cell>
        </row>
        <row r="272">
          <cell r="D272">
            <v>1831</v>
          </cell>
          <cell r="E272" t="str">
            <v>A</v>
          </cell>
          <cell r="F272" t="str">
            <v>PL</v>
          </cell>
          <cell r="G272" t="str">
            <v>M</v>
          </cell>
          <cell r="H272" t="str">
            <v>A</v>
          </cell>
          <cell r="K272">
            <v>0</v>
          </cell>
          <cell r="L272">
            <v>0</v>
          </cell>
        </row>
        <row r="273">
          <cell r="D273">
            <v>1832</v>
          </cell>
          <cell r="E273" t="str">
            <v>A</v>
          </cell>
          <cell r="F273" t="str">
            <v>PL</v>
          </cell>
          <cell r="G273" t="str">
            <v>F</v>
          </cell>
          <cell r="H273" t="str">
            <v>A</v>
          </cell>
          <cell r="K273">
            <v>0</v>
          </cell>
          <cell r="L273">
            <v>0</v>
          </cell>
        </row>
        <row r="274">
          <cell r="D274">
            <v>1833</v>
          </cell>
          <cell r="E274" t="str">
            <v>C</v>
          </cell>
          <cell r="F274" t="str">
            <v>PL</v>
          </cell>
          <cell r="G274" t="str">
            <v>F</v>
          </cell>
          <cell r="H274" t="str">
            <v>A</v>
          </cell>
          <cell r="K274">
            <v>0</v>
          </cell>
          <cell r="L274">
            <v>0</v>
          </cell>
        </row>
        <row r="275">
          <cell r="D275">
            <v>1834</v>
          </cell>
          <cell r="E275" t="str">
            <v>A</v>
          </cell>
          <cell r="F275" t="str">
            <v>PL</v>
          </cell>
          <cell r="G275" t="str">
            <v>F</v>
          </cell>
          <cell r="H275" t="str">
            <v>A</v>
          </cell>
          <cell r="K275">
            <v>0</v>
          </cell>
          <cell r="L275">
            <v>0</v>
          </cell>
        </row>
        <row r="276">
          <cell r="D276">
            <v>1835</v>
          </cell>
          <cell r="E276" t="str">
            <v>C</v>
          </cell>
          <cell r="F276" t="str">
            <v>PL</v>
          </cell>
          <cell r="G276" t="str">
            <v>F</v>
          </cell>
          <cell r="H276" t="str">
            <v>A</v>
          </cell>
          <cell r="K276">
            <v>0</v>
          </cell>
          <cell r="L276">
            <v>0</v>
          </cell>
        </row>
        <row r="277">
          <cell r="D277">
            <v>1836</v>
          </cell>
          <cell r="E277" t="str">
            <v>A</v>
          </cell>
          <cell r="F277" t="str">
            <v>PL</v>
          </cell>
          <cell r="G277" t="str">
            <v>F</v>
          </cell>
          <cell r="H277" t="str">
            <v>A</v>
          </cell>
          <cell r="K277">
            <v>0</v>
          </cell>
          <cell r="L277">
            <v>0</v>
          </cell>
        </row>
        <row r="278">
          <cell r="D278">
            <v>1837</v>
          </cell>
          <cell r="E278" t="str">
            <v>A</v>
          </cell>
          <cell r="F278" t="str">
            <v>PL</v>
          </cell>
          <cell r="G278" t="str">
            <v>M</v>
          </cell>
          <cell r="H278" t="str">
            <v>A</v>
          </cell>
          <cell r="K278">
            <v>0</v>
          </cell>
          <cell r="L278">
            <v>0</v>
          </cell>
        </row>
        <row r="279">
          <cell r="D279">
            <v>1838</v>
          </cell>
          <cell r="E279" t="str">
            <v>C</v>
          </cell>
          <cell r="F279" t="str">
            <v>PL</v>
          </cell>
          <cell r="G279" t="str">
            <v>F</v>
          </cell>
          <cell r="H279" t="str">
            <v>SA</v>
          </cell>
          <cell r="K279">
            <v>0</v>
          </cell>
          <cell r="L279">
            <v>0</v>
          </cell>
        </row>
        <row r="280">
          <cell r="D280">
            <v>1839</v>
          </cell>
          <cell r="E280" t="str">
            <v>C</v>
          </cell>
          <cell r="F280" t="str">
            <v>PM</v>
          </cell>
          <cell r="G280" t="str">
            <v>F</v>
          </cell>
          <cell r="H280" t="str">
            <v>A</v>
          </cell>
          <cell r="K280">
            <v>0</v>
          </cell>
          <cell r="L280">
            <v>0</v>
          </cell>
        </row>
        <row r="281">
          <cell r="D281">
            <v>1840</v>
          </cell>
          <cell r="E281" t="str">
            <v>A</v>
          </cell>
          <cell r="F281" t="str">
            <v>PM</v>
          </cell>
          <cell r="G281" t="str">
            <v>F</v>
          </cell>
          <cell r="H281" t="str">
            <v>SA</v>
          </cell>
          <cell r="K281">
            <v>0</v>
          </cell>
          <cell r="L281">
            <v>0</v>
          </cell>
        </row>
        <row r="282">
          <cell r="D282">
            <v>1841</v>
          </cell>
          <cell r="E282" t="str">
            <v>C</v>
          </cell>
          <cell r="F282" t="str">
            <v>PL</v>
          </cell>
          <cell r="G282" t="str">
            <v>M</v>
          </cell>
          <cell r="H282" t="str">
            <v>A</v>
          </cell>
          <cell r="K282">
            <v>0</v>
          </cell>
          <cell r="L282">
            <v>0</v>
          </cell>
        </row>
        <row r="283">
          <cell r="D283">
            <v>1842</v>
          </cell>
          <cell r="E283" t="str">
            <v>A</v>
          </cell>
          <cell r="F283" t="str">
            <v>PM</v>
          </cell>
          <cell r="G283" t="str">
            <v>M</v>
          </cell>
          <cell r="H283" t="str">
            <v>A</v>
          </cell>
          <cell r="K283">
            <v>0</v>
          </cell>
          <cell r="L283">
            <v>0</v>
          </cell>
        </row>
        <row r="284">
          <cell r="D284">
            <v>1843</v>
          </cell>
          <cell r="E284" t="str">
            <v>C</v>
          </cell>
          <cell r="F284" t="str">
            <v>PL</v>
          </cell>
          <cell r="G284" t="str">
            <v>M</v>
          </cell>
          <cell r="H284" t="str">
            <v>A</v>
          </cell>
          <cell r="K284">
            <v>0</v>
          </cell>
          <cell r="L284">
            <v>0</v>
          </cell>
        </row>
        <row r="285">
          <cell r="D285">
            <v>1844</v>
          </cell>
          <cell r="E285" t="str">
            <v>C</v>
          </cell>
          <cell r="F285" t="str">
            <v>PL</v>
          </cell>
          <cell r="G285" t="str">
            <v>F</v>
          </cell>
          <cell r="H285" t="str">
            <v>A</v>
          </cell>
          <cell r="K285">
            <v>0</v>
          </cell>
          <cell r="L285">
            <v>0</v>
          </cell>
        </row>
        <row r="286">
          <cell r="D286">
            <v>1845</v>
          </cell>
          <cell r="E286" t="str">
            <v>A</v>
          </cell>
          <cell r="F286" t="str">
            <v>PL</v>
          </cell>
          <cell r="G286" t="str">
            <v>M</v>
          </cell>
          <cell r="H286" t="str">
            <v>A</v>
          </cell>
          <cell r="K286">
            <v>0</v>
          </cell>
          <cell r="L286">
            <v>0</v>
          </cell>
        </row>
        <row r="287">
          <cell r="D287">
            <v>1846</v>
          </cell>
          <cell r="E287" t="str">
            <v>A</v>
          </cell>
          <cell r="F287" t="str">
            <v>PL</v>
          </cell>
          <cell r="G287" t="str">
            <v>M</v>
          </cell>
          <cell r="H287" t="str">
            <v>A</v>
          </cell>
          <cell r="K287">
            <v>0</v>
          </cell>
          <cell r="L287">
            <v>0</v>
          </cell>
        </row>
        <row r="288">
          <cell r="D288">
            <v>1847</v>
          </cell>
          <cell r="E288" t="str">
            <v>C</v>
          </cell>
          <cell r="F288" t="str">
            <v>PL</v>
          </cell>
          <cell r="G288" t="str">
            <v>M</v>
          </cell>
          <cell r="H288" t="str">
            <v>A</v>
          </cell>
          <cell r="K288">
            <v>0</v>
          </cell>
          <cell r="L288">
            <v>0</v>
          </cell>
        </row>
        <row r="289">
          <cell r="D289">
            <v>1849</v>
          </cell>
          <cell r="E289" t="str">
            <v>C</v>
          </cell>
          <cell r="F289" t="str">
            <v>PL</v>
          </cell>
          <cell r="G289" t="str">
            <v>M</v>
          </cell>
          <cell r="H289" t="str">
            <v>A</v>
          </cell>
          <cell r="K289">
            <v>0</v>
          </cell>
          <cell r="L289">
            <v>0</v>
          </cell>
        </row>
        <row r="290">
          <cell r="D290">
            <v>1850</v>
          </cell>
          <cell r="E290" t="str">
            <v>C</v>
          </cell>
          <cell r="F290" t="str">
            <v>PL</v>
          </cell>
          <cell r="G290" t="str">
            <v>M</v>
          </cell>
          <cell r="H290" t="str">
            <v>A</v>
          </cell>
          <cell r="K290">
            <v>0</v>
          </cell>
          <cell r="L290">
            <v>0</v>
          </cell>
        </row>
        <row r="291">
          <cell r="D291">
            <v>1851</v>
          </cell>
          <cell r="E291" t="str">
            <v>A</v>
          </cell>
          <cell r="F291" t="str">
            <v>PL</v>
          </cell>
          <cell r="G291" t="str">
            <v>F</v>
          </cell>
          <cell r="H291" t="str">
            <v>A</v>
          </cell>
          <cell r="K291">
            <v>0</v>
          </cell>
          <cell r="L291">
            <v>0</v>
          </cell>
        </row>
        <row r="292">
          <cell r="D292">
            <v>1852</v>
          </cell>
          <cell r="E292" t="str">
            <v>A</v>
          </cell>
          <cell r="F292" t="str">
            <v>PL</v>
          </cell>
          <cell r="G292" t="str">
            <v>M</v>
          </cell>
          <cell r="H292" t="str">
            <v>A</v>
          </cell>
          <cell r="K292">
            <v>0</v>
          </cell>
          <cell r="L292">
            <v>0</v>
          </cell>
        </row>
        <row r="293">
          <cell r="D293">
            <v>1853</v>
          </cell>
          <cell r="E293" t="str">
            <v>A</v>
          </cell>
          <cell r="F293" t="str">
            <v>PL</v>
          </cell>
          <cell r="G293" t="str">
            <v>F</v>
          </cell>
          <cell r="H293" t="str">
            <v>A</v>
          </cell>
          <cell r="K293">
            <v>0</v>
          </cell>
          <cell r="L293">
            <v>0</v>
          </cell>
        </row>
        <row r="294">
          <cell r="D294">
            <v>1854</v>
          </cell>
          <cell r="E294" t="str">
            <v>A</v>
          </cell>
          <cell r="F294" t="str">
            <v>PM</v>
          </cell>
          <cell r="G294" t="str">
            <v>SA</v>
          </cell>
          <cell r="H294">
            <v>2.2999999999999998</v>
          </cell>
          <cell r="K294">
            <v>0</v>
          </cell>
          <cell r="L294">
            <v>0</v>
          </cell>
        </row>
        <row r="295">
          <cell r="D295">
            <v>1855</v>
          </cell>
          <cell r="E295" t="str">
            <v>C</v>
          </cell>
          <cell r="F295" t="str">
            <v>PL</v>
          </cell>
          <cell r="G295" t="str">
            <v>M</v>
          </cell>
          <cell r="H295" t="str">
            <v>SA</v>
          </cell>
          <cell r="K295">
            <v>0</v>
          </cell>
          <cell r="L295">
            <v>0</v>
          </cell>
        </row>
        <row r="296">
          <cell r="D296">
            <v>1856</v>
          </cell>
          <cell r="E296" t="str">
            <v>C</v>
          </cell>
          <cell r="F296" t="str">
            <v>PL</v>
          </cell>
          <cell r="G296" t="str">
            <v>M</v>
          </cell>
          <cell r="H296" t="str">
            <v>SA</v>
          </cell>
          <cell r="K296">
            <v>0</v>
          </cell>
          <cell r="L296">
            <v>0</v>
          </cell>
        </row>
        <row r="297">
          <cell r="D297">
            <v>1857</v>
          </cell>
          <cell r="E297" t="str">
            <v>C</v>
          </cell>
          <cell r="F297" t="str">
            <v>PL</v>
          </cell>
          <cell r="G297" t="str">
            <v>M</v>
          </cell>
          <cell r="H297" t="str">
            <v>A</v>
          </cell>
          <cell r="K297">
            <v>0</v>
          </cell>
          <cell r="L297">
            <v>0</v>
          </cell>
        </row>
        <row r="298">
          <cell r="D298">
            <v>1858</v>
          </cell>
          <cell r="E298" t="str">
            <v>C</v>
          </cell>
          <cell r="F298" t="str">
            <v>PL</v>
          </cell>
          <cell r="G298" t="str">
            <v>M</v>
          </cell>
          <cell r="H298" t="str">
            <v>A</v>
          </cell>
          <cell r="K298">
            <v>0</v>
          </cell>
          <cell r="L298">
            <v>0</v>
          </cell>
        </row>
        <row r="299">
          <cell r="D299">
            <v>1859</v>
          </cell>
          <cell r="E299" t="str">
            <v>C</v>
          </cell>
          <cell r="F299" t="str">
            <v>PL</v>
          </cell>
          <cell r="G299" t="str">
            <v>F</v>
          </cell>
          <cell r="H299" t="str">
            <v>A</v>
          </cell>
          <cell r="K299">
            <v>0</v>
          </cell>
          <cell r="L299">
            <v>0</v>
          </cell>
        </row>
        <row r="300">
          <cell r="D300">
            <v>1860</v>
          </cell>
          <cell r="E300" t="str">
            <v>A</v>
          </cell>
          <cell r="F300" t="str">
            <v>PL</v>
          </cell>
          <cell r="G300" t="str">
            <v>M</v>
          </cell>
          <cell r="H300" t="str">
            <v>A</v>
          </cell>
          <cell r="K300">
            <v>0</v>
          </cell>
          <cell r="L300">
            <v>0</v>
          </cell>
        </row>
        <row r="301">
          <cell r="D301">
            <v>1861</v>
          </cell>
          <cell r="E301" t="str">
            <v>C</v>
          </cell>
          <cell r="F301" t="str">
            <v>PL</v>
          </cell>
          <cell r="G301" t="str">
            <v>F</v>
          </cell>
          <cell r="H301" t="str">
            <v>A</v>
          </cell>
          <cell r="K301">
            <v>0</v>
          </cell>
          <cell r="L301">
            <v>0</v>
          </cell>
        </row>
        <row r="302">
          <cell r="D302">
            <v>1862</v>
          </cell>
          <cell r="E302" t="str">
            <v>A</v>
          </cell>
          <cell r="F302" t="str">
            <v>PL</v>
          </cell>
          <cell r="G302" t="str">
            <v>M</v>
          </cell>
          <cell r="H302" t="str">
            <v>A</v>
          </cell>
          <cell r="K302">
            <v>0</v>
          </cell>
          <cell r="L302">
            <v>0</v>
          </cell>
        </row>
        <row r="303">
          <cell r="D303">
            <v>1863</v>
          </cell>
          <cell r="E303" t="str">
            <v>C</v>
          </cell>
          <cell r="F303" t="str">
            <v>PL</v>
          </cell>
          <cell r="G303" t="str">
            <v>M</v>
          </cell>
          <cell r="H303" t="str">
            <v>A</v>
          </cell>
          <cell r="K303">
            <v>0</v>
          </cell>
          <cell r="L303">
            <v>0</v>
          </cell>
        </row>
        <row r="304">
          <cell r="D304">
            <v>1864</v>
          </cell>
          <cell r="E304" t="str">
            <v>C</v>
          </cell>
          <cell r="F304" t="str">
            <v>PL</v>
          </cell>
          <cell r="G304" t="str">
            <v>M</v>
          </cell>
          <cell r="H304" t="str">
            <v>A</v>
          </cell>
          <cell r="K304">
            <v>0</v>
          </cell>
          <cell r="L304">
            <v>0</v>
          </cell>
        </row>
        <row r="305">
          <cell r="D305">
            <v>1865</v>
          </cell>
          <cell r="E305" t="str">
            <v>A</v>
          </cell>
          <cell r="F305" t="str">
            <v>PL</v>
          </cell>
          <cell r="G305" t="str">
            <v>F</v>
          </cell>
          <cell r="H305" t="str">
            <v>J</v>
          </cell>
          <cell r="K305">
            <v>0</v>
          </cell>
          <cell r="L305">
            <v>0</v>
          </cell>
        </row>
        <row r="306">
          <cell r="D306">
            <v>1866</v>
          </cell>
          <cell r="E306" t="str">
            <v>A</v>
          </cell>
          <cell r="F306" t="str">
            <v>PL</v>
          </cell>
          <cell r="G306" t="str">
            <v>M</v>
          </cell>
          <cell r="H306" t="str">
            <v>A</v>
          </cell>
          <cell r="K306">
            <v>0</v>
          </cell>
          <cell r="L306">
            <v>0</v>
          </cell>
        </row>
        <row r="307">
          <cell r="D307">
            <v>1868</v>
          </cell>
          <cell r="E307" t="str">
            <v>A</v>
          </cell>
          <cell r="F307" t="str">
            <v>PL</v>
          </cell>
          <cell r="G307" t="str">
            <v>M</v>
          </cell>
          <cell r="H307" t="str">
            <v>A</v>
          </cell>
          <cell r="K307">
            <v>0</v>
          </cell>
          <cell r="L307">
            <v>0</v>
          </cell>
        </row>
        <row r="308">
          <cell r="D308">
            <v>1869</v>
          </cell>
          <cell r="E308" t="str">
            <v>C</v>
          </cell>
          <cell r="F308" t="str">
            <v>PL</v>
          </cell>
          <cell r="G308" t="str">
            <v>M</v>
          </cell>
          <cell r="H308" t="str">
            <v>A</v>
          </cell>
          <cell r="K308">
            <v>0</v>
          </cell>
          <cell r="L308">
            <v>0</v>
          </cell>
        </row>
        <row r="309">
          <cell r="D309">
            <v>1870</v>
          </cell>
          <cell r="E309" t="str">
            <v>A</v>
          </cell>
          <cell r="F309" t="str">
            <v>PL</v>
          </cell>
          <cell r="G309" t="str">
            <v>M</v>
          </cell>
          <cell r="H309" t="str">
            <v>A</v>
          </cell>
          <cell r="K309">
            <v>0</v>
          </cell>
          <cell r="L309">
            <v>0</v>
          </cell>
        </row>
        <row r="310">
          <cell r="D310">
            <v>1871</v>
          </cell>
          <cell r="E310" t="str">
            <v>C</v>
          </cell>
          <cell r="F310" t="str">
            <v>PL</v>
          </cell>
          <cell r="G310" t="str">
            <v>F</v>
          </cell>
          <cell r="H310" t="str">
            <v>SA</v>
          </cell>
          <cell r="K310">
            <v>0</v>
          </cell>
          <cell r="L310">
            <v>0</v>
          </cell>
        </row>
        <row r="311">
          <cell r="D311">
            <v>1872</v>
          </cell>
          <cell r="E311" t="str">
            <v>C</v>
          </cell>
          <cell r="F311" t="str">
            <v>PL</v>
          </cell>
          <cell r="G311" t="str">
            <v>F</v>
          </cell>
          <cell r="H311" t="str">
            <v>A</v>
          </cell>
          <cell r="K311">
            <v>0</v>
          </cell>
          <cell r="L311">
            <v>0</v>
          </cell>
        </row>
        <row r="312">
          <cell r="D312">
            <v>1873</v>
          </cell>
          <cell r="E312" t="str">
            <v>A</v>
          </cell>
          <cell r="F312" t="str">
            <v>PL</v>
          </cell>
          <cell r="G312" t="str">
            <v>F</v>
          </cell>
          <cell r="H312" t="str">
            <v>A</v>
          </cell>
          <cell r="K312">
            <v>0</v>
          </cell>
          <cell r="L312">
            <v>0</v>
          </cell>
        </row>
        <row r="313">
          <cell r="D313">
            <v>1874</v>
          </cell>
          <cell r="E313" t="str">
            <v>C</v>
          </cell>
          <cell r="F313" t="str">
            <v>PL</v>
          </cell>
          <cell r="G313" t="str">
            <v>F</v>
          </cell>
          <cell r="H313" t="str">
            <v>A</v>
          </cell>
          <cell r="K313">
            <v>0</v>
          </cell>
          <cell r="L313">
            <v>0</v>
          </cell>
        </row>
        <row r="314">
          <cell r="D314">
            <v>1875</v>
          </cell>
          <cell r="E314" t="str">
            <v>A</v>
          </cell>
          <cell r="F314" t="str">
            <v>PM</v>
          </cell>
          <cell r="G314" t="str">
            <v>M</v>
          </cell>
          <cell r="H314" t="str">
            <v>A</v>
          </cell>
          <cell r="K314">
            <v>0</v>
          </cell>
          <cell r="L314">
            <v>0</v>
          </cell>
        </row>
        <row r="315">
          <cell r="D315">
            <v>1876</v>
          </cell>
          <cell r="E315" t="str">
            <v>C</v>
          </cell>
          <cell r="F315" t="str">
            <v>PL</v>
          </cell>
          <cell r="G315" t="str">
            <v>F</v>
          </cell>
          <cell r="H315" t="str">
            <v>A</v>
          </cell>
          <cell r="K315">
            <v>0</v>
          </cell>
          <cell r="L315">
            <v>0</v>
          </cell>
        </row>
        <row r="316">
          <cell r="D316">
            <v>1877</v>
          </cell>
          <cell r="E316" t="str">
            <v>A</v>
          </cell>
          <cell r="F316" t="str">
            <v>PL</v>
          </cell>
          <cell r="G316" t="str">
            <v>F</v>
          </cell>
          <cell r="H316" t="str">
            <v>A</v>
          </cell>
          <cell r="K316">
            <v>0</v>
          </cell>
          <cell r="L316">
            <v>0</v>
          </cell>
        </row>
        <row r="317">
          <cell r="D317">
            <v>1878</v>
          </cell>
          <cell r="E317" t="str">
            <v>C</v>
          </cell>
          <cell r="F317" t="str">
            <v>PL</v>
          </cell>
          <cell r="G317" t="str">
            <v>F</v>
          </cell>
          <cell r="H317" t="str">
            <v>A</v>
          </cell>
          <cell r="K317">
            <v>0</v>
          </cell>
          <cell r="L317">
            <v>0</v>
          </cell>
        </row>
        <row r="318">
          <cell r="D318">
            <v>1879</v>
          </cell>
          <cell r="E318" t="str">
            <v>C</v>
          </cell>
          <cell r="F318" t="str">
            <v>PL</v>
          </cell>
          <cell r="G318" t="str">
            <v>F</v>
          </cell>
          <cell r="H318" t="str">
            <v>A</v>
          </cell>
          <cell r="K318">
            <v>0</v>
          </cell>
          <cell r="L318">
            <v>0</v>
          </cell>
        </row>
        <row r="319">
          <cell r="D319">
            <v>1880</v>
          </cell>
          <cell r="E319" t="str">
            <v>A</v>
          </cell>
          <cell r="F319" t="str">
            <v>PL</v>
          </cell>
          <cell r="G319" t="str">
            <v>F</v>
          </cell>
          <cell r="H319" t="str">
            <v>A</v>
          </cell>
          <cell r="K319">
            <v>0</v>
          </cell>
          <cell r="L319">
            <v>0</v>
          </cell>
        </row>
        <row r="320">
          <cell r="D320">
            <v>1881</v>
          </cell>
          <cell r="E320" t="str">
            <v>A</v>
          </cell>
          <cell r="F320" t="str">
            <v>PL</v>
          </cell>
          <cell r="G320" t="str">
            <v>F</v>
          </cell>
          <cell r="H320" t="str">
            <v>J</v>
          </cell>
          <cell r="K320">
            <v>0</v>
          </cell>
          <cell r="L320">
            <v>0</v>
          </cell>
        </row>
        <row r="321">
          <cell r="D321">
            <v>1882</v>
          </cell>
          <cell r="E321" t="str">
            <v>C</v>
          </cell>
          <cell r="F321" t="str">
            <v>PL</v>
          </cell>
          <cell r="G321" t="str">
            <v>M</v>
          </cell>
          <cell r="H321" t="str">
            <v>A</v>
          </cell>
          <cell r="K321">
            <v>0</v>
          </cell>
          <cell r="L321">
            <v>0</v>
          </cell>
        </row>
        <row r="322">
          <cell r="D322">
            <v>1883</v>
          </cell>
          <cell r="E322" t="str">
            <v>C</v>
          </cell>
          <cell r="F322" t="str">
            <v>PL</v>
          </cell>
          <cell r="G322" t="str">
            <v>M</v>
          </cell>
          <cell r="H322" t="str">
            <v>A</v>
          </cell>
          <cell r="K322">
            <v>0</v>
          </cell>
          <cell r="L322">
            <v>0</v>
          </cell>
        </row>
        <row r="323">
          <cell r="D323">
            <v>1884</v>
          </cell>
          <cell r="E323" t="str">
            <v>A</v>
          </cell>
          <cell r="F323" t="str">
            <v>PL</v>
          </cell>
          <cell r="G323" t="str">
            <v>M</v>
          </cell>
          <cell r="H323" t="str">
            <v>A</v>
          </cell>
          <cell r="K323">
            <v>0</v>
          </cell>
          <cell r="L323">
            <v>0</v>
          </cell>
        </row>
        <row r="324">
          <cell r="D324">
            <v>1885</v>
          </cell>
          <cell r="E324" t="str">
            <v>C</v>
          </cell>
          <cell r="F324" t="str">
            <v>PL</v>
          </cell>
          <cell r="G324" t="str">
            <v>M</v>
          </cell>
          <cell r="H324" t="str">
            <v>SA</v>
          </cell>
          <cell r="K324">
            <v>0</v>
          </cell>
          <cell r="L324">
            <v>0</v>
          </cell>
        </row>
        <row r="325">
          <cell r="D325">
            <v>1886</v>
          </cell>
          <cell r="E325" t="str">
            <v>C</v>
          </cell>
          <cell r="F325" t="str">
            <v>PL</v>
          </cell>
          <cell r="G325" t="str">
            <v>M</v>
          </cell>
          <cell r="H325" t="str">
            <v>J</v>
          </cell>
          <cell r="K325">
            <v>0</v>
          </cell>
          <cell r="L325">
            <v>0</v>
          </cell>
        </row>
        <row r="326">
          <cell r="D326">
            <v>1887</v>
          </cell>
          <cell r="E326" t="str">
            <v>A</v>
          </cell>
          <cell r="F326" t="str">
            <v>PL</v>
          </cell>
          <cell r="G326" t="str">
            <v>M</v>
          </cell>
          <cell r="H326" t="str">
            <v>J</v>
          </cell>
          <cell r="K326">
            <v>0</v>
          </cell>
          <cell r="L326">
            <v>0</v>
          </cell>
        </row>
        <row r="327">
          <cell r="D327">
            <v>1888</v>
          </cell>
          <cell r="E327" t="str">
            <v>C</v>
          </cell>
          <cell r="F327" t="str">
            <v>PL</v>
          </cell>
          <cell r="G327" t="str">
            <v>M</v>
          </cell>
          <cell r="H327" t="str">
            <v>A</v>
          </cell>
          <cell r="K327">
            <v>0</v>
          </cell>
          <cell r="L327">
            <v>0</v>
          </cell>
        </row>
        <row r="328">
          <cell r="D328">
            <v>1890</v>
          </cell>
          <cell r="E328" t="str">
            <v>C</v>
          </cell>
          <cell r="F328" t="str">
            <v>PL</v>
          </cell>
          <cell r="G328" t="str">
            <v>F</v>
          </cell>
          <cell r="H328" t="str">
            <v>A</v>
          </cell>
          <cell r="K328">
            <v>0</v>
          </cell>
          <cell r="L328">
            <v>0</v>
          </cell>
        </row>
        <row r="329">
          <cell r="D329">
            <v>1891</v>
          </cell>
          <cell r="E329" t="str">
            <v>A</v>
          </cell>
          <cell r="F329" t="str">
            <v>PL</v>
          </cell>
          <cell r="G329" t="str">
            <v>M</v>
          </cell>
          <cell r="H329" t="str">
            <v>J</v>
          </cell>
          <cell r="K329">
            <v>0</v>
          </cell>
          <cell r="L329">
            <v>0</v>
          </cell>
        </row>
        <row r="330">
          <cell r="D330">
            <v>1892</v>
          </cell>
          <cell r="E330" t="str">
            <v>C</v>
          </cell>
          <cell r="F330" t="str">
            <v>PL</v>
          </cell>
          <cell r="G330" t="str">
            <v>M</v>
          </cell>
          <cell r="H330" t="str">
            <v>A</v>
          </cell>
          <cell r="K330">
            <v>0</v>
          </cell>
          <cell r="L330">
            <v>0</v>
          </cell>
        </row>
        <row r="331">
          <cell r="D331">
            <v>1893</v>
          </cell>
          <cell r="E331" t="str">
            <v>A</v>
          </cell>
          <cell r="F331" t="str">
            <v>PL</v>
          </cell>
          <cell r="G331" t="str">
            <v>M</v>
          </cell>
          <cell r="H331" t="str">
            <v>A</v>
          </cell>
          <cell r="K331">
            <v>0</v>
          </cell>
          <cell r="L331">
            <v>0</v>
          </cell>
        </row>
        <row r="332">
          <cell r="D332">
            <v>1894</v>
          </cell>
          <cell r="E332" t="str">
            <v>C</v>
          </cell>
          <cell r="F332" t="str">
            <v>PL</v>
          </cell>
          <cell r="G332" t="str">
            <v>M</v>
          </cell>
          <cell r="H332" t="str">
            <v>A</v>
          </cell>
          <cell r="K332">
            <v>0</v>
          </cell>
          <cell r="L332">
            <v>0</v>
          </cell>
        </row>
        <row r="333">
          <cell r="D333">
            <v>1895</v>
          </cell>
          <cell r="E333" t="str">
            <v>C</v>
          </cell>
          <cell r="F333" t="str">
            <v>PL</v>
          </cell>
          <cell r="G333" t="str">
            <v>M</v>
          </cell>
          <cell r="H333" t="str">
            <v>A</v>
          </cell>
          <cell r="K333">
            <v>0</v>
          </cell>
          <cell r="L333">
            <v>0</v>
          </cell>
        </row>
        <row r="334">
          <cell r="D334">
            <v>1896</v>
          </cell>
          <cell r="E334" t="str">
            <v>A</v>
          </cell>
          <cell r="F334" t="str">
            <v>PL</v>
          </cell>
          <cell r="G334" t="str">
            <v>F</v>
          </cell>
          <cell r="H334" t="str">
            <v>SA</v>
          </cell>
          <cell r="K334">
            <v>0</v>
          </cell>
          <cell r="L334">
            <v>0</v>
          </cell>
        </row>
        <row r="335">
          <cell r="D335">
            <v>1897</v>
          </cell>
          <cell r="E335" t="str">
            <v>A</v>
          </cell>
          <cell r="F335" t="str">
            <v>PL</v>
          </cell>
          <cell r="G335" t="str">
            <v>F</v>
          </cell>
          <cell r="H335" t="str">
            <v>A</v>
          </cell>
          <cell r="K335">
            <v>0</v>
          </cell>
          <cell r="L335">
            <v>0</v>
          </cell>
        </row>
        <row r="336">
          <cell r="D336">
            <v>1898</v>
          </cell>
          <cell r="E336" t="str">
            <v>C</v>
          </cell>
          <cell r="F336" t="str">
            <v>PL</v>
          </cell>
          <cell r="G336" t="str">
            <v>M</v>
          </cell>
          <cell r="H336" t="str">
            <v>SA</v>
          </cell>
          <cell r="K336">
            <v>0</v>
          </cell>
          <cell r="L336">
            <v>0</v>
          </cell>
        </row>
        <row r="337">
          <cell r="D337">
            <v>1899</v>
          </cell>
          <cell r="E337" t="str">
            <v>A</v>
          </cell>
          <cell r="F337" t="str">
            <v>PL</v>
          </cell>
          <cell r="G337" t="str">
            <v>F</v>
          </cell>
          <cell r="H337" t="str">
            <v>SA</v>
          </cell>
          <cell r="K337">
            <v>0</v>
          </cell>
          <cell r="L337">
            <v>0</v>
          </cell>
        </row>
        <row r="338">
          <cell r="D338">
            <v>1900</v>
          </cell>
          <cell r="E338" t="str">
            <v>C</v>
          </cell>
          <cell r="F338" t="str">
            <v>PL</v>
          </cell>
          <cell r="G338" t="str">
            <v>M</v>
          </cell>
          <cell r="H338" t="str">
            <v>A</v>
          </cell>
          <cell r="K338">
            <v>0</v>
          </cell>
          <cell r="L338">
            <v>0</v>
          </cell>
        </row>
        <row r="339">
          <cell r="D339">
            <v>1901</v>
          </cell>
          <cell r="E339" t="str">
            <v>C</v>
          </cell>
          <cell r="F339" t="str">
            <v>PL</v>
          </cell>
          <cell r="G339" t="str">
            <v>F</v>
          </cell>
          <cell r="H339" t="str">
            <v>SA</v>
          </cell>
          <cell r="K339">
            <v>0</v>
          </cell>
          <cell r="L339">
            <v>0</v>
          </cell>
        </row>
        <row r="340">
          <cell r="D340">
            <v>1902</v>
          </cell>
          <cell r="E340" t="str">
            <v>A</v>
          </cell>
          <cell r="F340" t="str">
            <v>PL</v>
          </cell>
          <cell r="G340" t="str">
            <v>M</v>
          </cell>
          <cell r="H340" t="str">
            <v>A</v>
          </cell>
          <cell r="K340">
            <v>0</v>
          </cell>
          <cell r="L340">
            <v>0</v>
          </cell>
        </row>
        <row r="341">
          <cell r="D341">
            <v>1903</v>
          </cell>
          <cell r="E341" t="str">
            <v>A</v>
          </cell>
          <cell r="F341" t="str">
            <v>PL</v>
          </cell>
          <cell r="G341" t="str">
            <v>F</v>
          </cell>
          <cell r="H341" t="str">
            <v>A</v>
          </cell>
          <cell r="K341">
            <v>0</v>
          </cell>
          <cell r="L341">
            <v>0</v>
          </cell>
        </row>
        <row r="342">
          <cell r="D342">
            <v>1904</v>
          </cell>
          <cell r="E342" t="str">
            <v>C</v>
          </cell>
          <cell r="F342" t="str">
            <v>PL</v>
          </cell>
          <cell r="G342" t="str">
            <v>M</v>
          </cell>
          <cell r="H342" t="str">
            <v>A</v>
          </cell>
          <cell r="K342">
            <v>0</v>
          </cell>
          <cell r="L342">
            <v>0</v>
          </cell>
        </row>
        <row r="343">
          <cell r="D343">
            <v>1905</v>
          </cell>
          <cell r="E343" t="str">
            <v>A</v>
          </cell>
          <cell r="F343" t="str">
            <v>PL</v>
          </cell>
          <cell r="G343" t="str">
            <v>M</v>
          </cell>
          <cell r="H343" t="str">
            <v>A</v>
          </cell>
          <cell r="K343">
            <v>0</v>
          </cell>
          <cell r="L343">
            <v>0</v>
          </cell>
        </row>
        <row r="344">
          <cell r="D344">
            <v>1906</v>
          </cell>
          <cell r="E344" t="str">
            <v>A</v>
          </cell>
          <cell r="F344" t="str">
            <v>PL</v>
          </cell>
          <cell r="G344" t="str">
            <v>F</v>
          </cell>
          <cell r="H344" t="str">
            <v>A</v>
          </cell>
          <cell r="K344">
            <v>0</v>
          </cell>
          <cell r="L344">
            <v>0</v>
          </cell>
        </row>
        <row r="345">
          <cell r="D345">
            <v>1907</v>
          </cell>
          <cell r="E345" t="str">
            <v>A</v>
          </cell>
          <cell r="F345" t="str">
            <v>PL</v>
          </cell>
          <cell r="G345" t="str">
            <v>F</v>
          </cell>
          <cell r="H345" t="str">
            <v>A</v>
          </cell>
          <cell r="K345">
            <v>0</v>
          </cell>
          <cell r="L345">
            <v>0</v>
          </cell>
        </row>
        <row r="346">
          <cell r="D346">
            <v>1908</v>
          </cell>
          <cell r="E346" t="str">
            <v>A</v>
          </cell>
          <cell r="F346" t="str">
            <v>PL</v>
          </cell>
          <cell r="G346" t="str">
            <v>M</v>
          </cell>
          <cell r="H346" t="str">
            <v>A</v>
          </cell>
          <cell r="K346">
            <v>0</v>
          </cell>
          <cell r="L346">
            <v>0</v>
          </cell>
        </row>
        <row r="347">
          <cell r="D347">
            <v>1909</v>
          </cell>
          <cell r="E347" t="str">
            <v>A</v>
          </cell>
          <cell r="F347" t="str">
            <v>PL</v>
          </cell>
          <cell r="G347" t="str">
            <v>F</v>
          </cell>
          <cell r="H347" t="str">
            <v>A</v>
          </cell>
          <cell r="K347">
            <v>0</v>
          </cell>
          <cell r="L347">
            <v>0</v>
          </cell>
        </row>
        <row r="348">
          <cell r="D348">
            <v>1910</v>
          </cell>
          <cell r="E348" t="str">
            <v>C</v>
          </cell>
          <cell r="F348" t="str">
            <v>PL</v>
          </cell>
          <cell r="G348" t="str">
            <v>M</v>
          </cell>
          <cell r="H348" t="str">
            <v>A</v>
          </cell>
          <cell r="K348">
            <v>0</v>
          </cell>
          <cell r="L348">
            <v>0</v>
          </cell>
        </row>
        <row r="349">
          <cell r="D349">
            <v>1911</v>
          </cell>
          <cell r="E349" t="str">
            <v>C</v>
          </cell>
          <cell r="F349" t="str">
            <v>PL</v>
          </cell>
          <cell r="G349" t="str">
            <v>M</v>
          </cell>
          <cell r="H349" t="str">
            <v>A</v>
          </cell>
          <cell r="K349">
            <v>0</v>
          </cell>
          <cell r="L349">
            <v>0</v>
          </cell>
        </row>
        <row r="350">
          <cell r="D350">
            <v>1912</v>
          </cell>
          <cell r="E350" t="str">
            <v>C</v>
          </cell>
          <cell r="F350" t="str">
            <v>PL</v>
          </cell>
          <cell r="G350" t="str">
            <v>F</v>
          </cell>
          <cell r="H350" t="str">
            <v>SA</v>
          </cell>
          <cell r="K350">
            <v>0</v>
          </cell>
          <cell r="L350">
            <v>0</v>
          </cell>
        </row>
        <row r="351">
          <cell r="D351">
            <v>1913</v>
          </cell>
          <cell r="E351" t="str">
            <v>A</v>
          </cell>
          <cell r="F351" t="str">
            <v>PL</v>
          </cell>
          <cell r="G351" t="str">
            <v>F</v>
          </cell>
          <cell r="H351" t="str">
            <v>A</v>
          </cell>
          <cell r="K351">
            <v>0</v>
          </cell>
          <cell r="L351">
            <v>0</v>
          </cell>
        </row>
        <row r="352">
          <cell r="D352">
            <v>1914</v>
          </cell>
          <cell r="E352" t="str">
            <v>A</v>
          </cell>
          <cell r="F352" t="str">
            <v>PL</v>
          </cell>
          <cell r="G352" t="str">
            <v>F</v>
          </cell>
          <cell r="H352" t="str">
            <v>A</v>
          </cell>
          <cell r="K352">
            <v>0</v>
          </cell>
          <cell r="L352">
            <v>0</v>
          </cell>
        </row>
        <row r="353">
          <cell r="D353">
            <v>1915</v>
          </cell>
          <cell r="E353" t="str">
            <v>A</v>
          </cell>
          <cell r="F353" t="str">
            <v>PL</v>
          </cell>
          <cell r="G353" t="str">
            <v>F</v>
          </cell>
          <cell r="H353" t="str">
            <v>SA</v>
          </cell>
          <cell r="K353">
            <v>0</v>
          </cell>
          <cell r="L353">
            <v>0</v>
          </cell>
        </row>
        <row r="354">
          <cell r="D354">
            <v>1917</v>
          </cell>
          <cell r="E354" t="str">
            <v>C</v>
          </cell>
          <cell r="F354" t="str">
            <v>PL</v>
          </cell>
          <cell r="G354" t="str">
            <v>M</v>
          </cell>
          <cell r="H354" t="str">
            <v>A</v>
          </cell>
          <cell r="K354">
            <v>0</v>
          </cell>
          <cell r="L354">
            <v>0</v>
          </cell>
        </row>
        <row r="355">
          <cell r="D355">
            <v>1918</v>
          </cell>
          <cell r="E355" t="str">
            <v>C</v>
          </cell>
          <cell r="F355" t="str">
            <v>PL</v>
          </cell>
          <cell r="G355" t="str">
            <v>F</v>
          </cell>
          <cell r="H355" t="str">
            <v>A</v>
          </cell>
          <cell r="K355">
            <v>0</v>
          </cell>
          <cell r="L355">
            <v>0</v>
          </cell>
        </row>
        <row r="356">
          <cell r="D356">
            <v>1919</v>
          </cell>
          <cell r="E356" t="str">
            <v>A</v>
          </cell>
          <cell r="F356" t="str">
            <v>PM</v>
          </cell>
          <cell r="G356" t="str">
            <v>F</v>
          </cell>
          <cell r="H356" t="str">
            <v>A</v>
          </cell>
          <cell r="K356">
            <v>0</v>
          </cell>
          <cell r="L356">
            <v>0</v>
          </cell>
        </row>
        <row r="357">
          <cell r="D357">
            <v>1920</v>
          </cell>
          <cell r="E357" t="str">
            <v>C</v>
          </cell>
          <cell r="F357" t="str">
            <v>PL</v>
          </cell>
          <cell r="G357" t="str">
            <v>F</v>
          </cell>
          <cell r="H357" t="str">
            <v>SA</v>
          </cell>
          <cell r="K357">
            <v>0</v>
          </cell>
          <cell r="L357">
            <v>0</v>
          </cell>
        </row>
        <row r="358">
          <cell r="D358">
            <v>1921</v>
          </cell>
          <cell r="E358" t="str">
            <v>C</v>
          </cell>
          <cell r="F358" t="str">
            <v>PL</v>
          </cell>
          <cell r="G358" t="str">
            <v>F</v>
          </cell>
          <cell r="H358" t="str">
            <v>A</v>
          </cell>
          <cell r="K358">
            <v>0</v>
          </cell>
          <cell r="L358">
            <v>0</v>
          </cell>
        </row>
        <row r="359">
          <cell r="D359">
            <v>1922</v>
          </cell>
          <cell r="E359" t="str">
            <v>A</v>
          </cell>
          <cell r="F359" t="str">
            <v>PL</v>
          </cell>
          <cell r="G359" t="str">
            <v>M</v>
          </cell>
          <cell r="H359" t="str">
            <v>A</v>
          </cell>
          <cell r="K359">
            <v>0</v>
          </cell>
          <cell r="L359">
            <v>0</v>
          </cell>
        </row>
        <row r="360">
          <cell r="D360">
            <v>1923</v>
          </cell>
          <cell r="E360" t="str">
            <v>C</v>
          </cell>
          <cell r="F360" t="str">
            <v>PL</v>
          </cell>
          <cell r="G360" t="str">
            <v>F</v>
          </cell>
          <cell r="H360" t="str">
            <v>A</v>
          </cell>
          <cell r="K360">
            <v>0</v>
          </cell>
          <cell r="L360">
            <v>0</v>
          </cell>
        </row>
        <row r="361">
          <cell r="D361">
            <v>1924</v>
          </cell>
          <cell r="E361" t="str">
            <v>A</v>
          </cell>
          <cell r="F361" t="str">
            <v>PL</v>
          </cell>
          <cell r="G361" t="str">
            <v>M</v>
          </cell>
          <cell r="H361" t="str">
            <v>A</v>
          </cell>
          <cell r="K361">
            <v>0</v>
          </cell>
          <cell r="L361">
            <v>0</v>
          </cell>
        </row>
        <row r="362">
          <cell r="D362">
            <v>1925</v>
          </cell>
          <cell r="E362" t="str">
            <v>A</v>
          </cell>
          <cell r="F362" t="str">
            <v>PL</v>
          </cell>
          <cell r="G362" t="str">
            <v>M</v>
          </cell>
          <cell r="H362" t="str">
            <v>A</v>
          </cell>
          <cell r="K362">
            <v>0</v>
          </cell>
          <cell r="L362">
            <v>0</v>
          </cell>
        </row>
        <row r="363">
          <cell r="D363">
            <v>1926</v>
          </cell>
          <cell r="E363" t="str">
            <v>C</v>
          </cell>
          <cell r="F363" t="str">
            <v>PL</v>
          </cell>
          <cell r="G363" t="str">
            <v>M</v>
          </cell>
          <cell r="H363" t="str">
            <v>J</v>
          </cell>
          <cell r="K363">
            <v>0</v>
          </cell>
          <cell r="L363">
            <v>0</v>
          </cell>
        </row>
        <row r="364">
          <cell r="D364">
            <v>1927</v>
          </cell>
          <cell r="E364" t="str">
            <v>C</v>
          </cell>
          <cell r="F364" t="str">
            <v>PL</v>
          </cell>
          <cell r="G364" t="str">
            <v>M</v>
          </cell>
          <cell r="H364" t="str">
            <v>A</v>
          </cell>
          <cell r="K364">
            <v>0</v>
          </cell>
          <cell r="L364">
            <v>0</v>
          </cell>
        </row>
        <row r="365">
          <cell r="D365">
            <v>1928</v>
          </cell>
          <cell r="E365" t="str">
            <v>A</v>
          </cell>
          <cell r="F365" t="str">
            <v>PL</v>
          </cell>
          <cell r="G365" t="str">
            <v>M</v>
          </cell>
          <cell r="H365" t="str">
            <v>A</v>
          </cell>
          <cell r="K365">
            <v>0</v>
          </cell>
          <cell r="L365">
            <v>0</v>
          </cell>
        </row>
        <row r="366">
          <cell r="D366">
            <v>1929</v>
          </cell>
          <cell r="E366" t="str">
            <v>A</v>
          </cell>
          <cell r="F366" t="str">
            <v>PL</v>
          </cell>
          <cell r="G366" t="str">
            <v>F</v>
          </cell>
          <cell r="H366" t="str">
            <v>A</v>
          </cell>
          <cell r="K366">
            <v>0</v>
          </cell>
          <cell r="L366">
            <v>0</v>
          </cell>
        </row>
        <row r="367">
          <cell r="D367">
            <v>1930</v>
          </cell>
          <cell r="E367" t="str">
            <v>C</v>
          </cell>
          <cell r="F367" t="str">
            <v>PL</v>
          </cell>
          <cell r="G367" t="str">
            <v>F</v>
          </cell>
          <cell r="H367" t="str">
            <v>A</v>
          </cell>
          <cell r="K367">
            <v>0</v>
          </cell>
          <cell r="L367">
            <v>0</v>
          </cell>
        </row>
        <row r="368">
          <cell r="D368">
            <v>1931</v>
          </cell>
          <cell r="E368" t="str">
            <v>A</v>
          </cell>
          <cell r="F368" t="str">
            <v>PL</v>
          </cell>
          <cell r="G368" t="str">
            <v>F</v>
          </cell>
          <cell r="H368" t="str">
            <v>A</v>
          </cell>
          <cell r="K368">
            <v>0</v>
          </cell>
          <cell r="L368">
            <v>0</v>
          </cell>
        </row>
        <row r="369">
          <cell r="D369">
            <v>1932</v>
          </cell>
          <cell r="E369" t="str">
            <v>C</v>
          </cell>
          <cell r="F369" t="str">
            <v>PL</v>
          </cell>
          <cell r="G369" t="str">
            <v>F</v>
          </cell>
          <cell r="H369" t="str">
            <v>A</v>
          </cell>
          <cell r="K369">
            <v>0</v>
          </cell>
          <cell r="L369">
            <v>0</v>
          </cell>
        </row>
        <row r="370">
          <cell r="D370">
            <v>1933</v>
          </cell>
          <cell r="E370" t="str">
            <v>A</v>
          </cell>
          <cell r="F370" t="str">
            <v>PL</v>
          </cell>
          <cell r="G370" t="str">
            <v>M</v>
          </cell>
          <cell r="H370" t="str">
            <v>A</v>
          </cell>
          <cell r="K370">
            <v>0</v>
          </cell>
          <cell r="L370">
            <v>0</v>
          </cell>
        </row>
        <row r="371">
          <cell r="D371">
            <v>1934</v>
          </cell>
          <cell r="E371" t="str">
            <v>A</v>
          </cell>
          <cell r="F371" t="str">
            <v>PL</v>
          </cell>
          <cell r="G371" t="str">
            <v>M</v>
          </cell>
          <cell r="H371" t="str">
            <v>A</v>
          </cell>
          <cell r="K371">
            <v>0</v>
          </cell>
          <cell r="L371">
            <v>0</v>
          </cell>
        </row>
        <row r="372">
          <cell r="D372">
            <v>1935</v>
          </cell>
          <cell r="E372" t="str">
            <v>A</v>
          </cell>
          <cell r="F372" t="str">
            <v>PL</v>
          </cell>
          <cell r="G372" t="str">
            <v>M</v>
          </cell>
          <cell r="H372" t="str">
            <v>A</v>
          </cell>
          <cell r="K372">
            <v>0</v>
          </cell>
          <cell r="L372">
            <v>0</v>
          </cell>
        </row>
        <row r="373">
          <cell r="D373">
            <v>1936</v>
          </cell>
          <cell r="E373" t="str">
            <v>C</v>
          </cell>
          <cell r="F373" t="str">
            <v>PL</v>
          </cell>
          <cell r="G373" t="str">
            <v>M</v>
          </cell>
          <cell r="H373" t="str">
            <v>A</v>
          </cell>
          <cell r="K373">
            <v>0</v>
          </cell>
          <cell r="L373">
            <v>0</v>
          </cell>
        </row>
        <row r="374">
          <cell r="D374">
            <v>1937</v>
          </cell>
          <cell r="E374" t="str">
            <v>C</v>
          </cell>
          <cell r="F374" t="str">
            <v>PL</v>
          </cell>
          <cell r="G374" t="str">
            <v>M</v>
          </cell>
          <cell r="H374" t="str">
            <v>A</v>
          </cell>
          <cell r="K374">
            <v>0</v>
          </cell>
          <cell r="L374">
            <v>0</v>
          </cell>
        </row>
        <row r="375">
          <cell r="D375">
            <v>1938</v>
          </cell>
          <cell r="E375" t="str">
            <v>A</v>
          </cell>
          <cell r="F375" t="str">
            <v>PL</v>
          </cell>
          <cell r="G375" t="str">
            <v>M</v>
          </cell>
          <cell r="H375" t="str">
            <v>A</v>
          </cell>
          <cell r="K375">
            <v>0</v>
          </cell>
          <cell r="L375">
            <v>0</v>
          </cell>
        </row>
        <row r="376">
          <cell r="D376">
            <v>1939</v>
          </cell>
          <cell r="E376" t="str">
            <v>A</v>
          </cell>
          <cell r="F376" t="str">
            <v>PL</v>
          </cell>
          <cell r="G376" t="str">
            <v>F</v>
          </cell>
          <cell r="H376" t="str">
            <v>A</v>
          </cell>
          <cell r="K376">
            <v>0</v>
          </cell>
          <cell r="L376">
            <v>0</v>
          </cell>
        </row>
        <row r="377">
          <cell r="D377">
            <v>1940</v>
          </cell>
          <cell r="E377" t="str">
            <v>A</v>
          </cell>
          <cell r="F377" t="str">
            <v>PL</v>
          </cell>
          <cell r="G377" t="str">
            <v>M</v>
          </cell>
          <cell r="H377" t="str">
            <v>A</v>
          </cell>
          <cell r="K377">
            <v>0</v>
          </cell>
          <cell r="L377">
            <v>0</v>
          </cell>
        </row>
        <row r="378">
          <cell r="D378">
            <v>1941</v>
          </cell>
          <cell r="E378" t="str">
            <v>A</v>
          </cell>
          <cell r="F378" t="str">
            <v>PL</v>
          </cell>
          <cell r="G378" t="str">
            <v>F</v>
          </cell>
          <cell r="H378" t="str">
            <v>A</v>
          </cell>
          <cell r="K378">
            <v>0</v>
          </cell>
          <cell r="L378">
            <v>0</v>
          </cell>
        </row>
        <row r="379">
          <cell r="D379">
            <v>1942</v>
          </cell>
          <cell r="E379" t="str">
            <v>C</v>
          </cell>
          <cell r="F379" t="str">
            <v>PL</v>
          </cell>
          <cell r="G379" t="str">
            <v>M</v>
          </cell>
          <cell r="H379" t="str">
            <v>A</v>
          </cell>
          <cell r="K379">
            <v>0</v>
          </cell>
          <cell r="L379">
            <v>0</v>
          </cell>
        </row>
        <row r="380">
          <cell r="D380">
            <v>1943</v>
          </cell>
          <cell r="E380" t="str">
            <v>C</v>
          </cell>
          <cell r="F380" t="str">
            <v>PM</v>
          </cell>
          <cell r="G380" t="str">
            <v>M</v>
          </cell>
          <cell r="H380" t="str">
            <v>A</v>
          </cell>
          <cell r="K380">
            <v>0</v>
          </cell>
          <cell r="L380">
            <v>0</v>
          </cell>
        </row>
        <row r="381">
          <cell r="D381">
            <v>1944</v>
          </cell>
          <cell r="E381" t="str">
            <v>A</v>
          </cell>
          <cell r="F381" t="str">
            <v>PM</v>
          </cell>
          <cell r="G381" t="str">
            <v>F</v>
          </cell>
          <cell r="H381" t="str">
            <v>A</v>
          </cell>
          <cell r="K381">
            <v>0</v>
          </cell>
          <cell r="L381">
            <v>0</v>
          </cell>
        </row>
        <row r="382">
          <cell r="D382">
            <v>1945</v>
          </cell>
          <cell r="E382" t="str">
            <v>C</v>
          </cell>
          <cell r="F382" t="str">
            <v>PL</v>
          </cell>
          <cell r="G382" t="str">
            <v>F</v>
          </cell>
          <cell r="H382" t="str">
            <v>A</v>
          </cell>
          <cell r="K382">
            <v>0</v>
          </cell>
          <cell r="L382">
            <v>0</v>
          </cell>
        </row>
        <row r="383">
          <cell r="D383">
            <v>1946</v>
          </cell>
          <cell r="E383" t="str">
            <v>A</v>
          </cell>
          <cell r="F383" t="str">
            <v>PL</v>
          </cell>
          <cell r="G383" t="str">
            <v>F</v>
          </cell>
          <cell r="H383" t="str">
            <v>A</v>
          </cell>
          <cell r="K383">
            <v>0</v>
          </cell>
          <cell r="L383">
            <v>0</v>
          </cell>
        </row>
        <row r="384">
          <cell r="D384">
            <v>1947</v>
          </cell>
          <cell r="E384" t="str">
            <v>C</v>
          </cell>
          <cell r="F384" t="str">
            <v>PL</v>
          </cell>
          <cell r="G384" t="str">
            <v>F</v>
          </cell>
          <cell r="H384" t="str">
            <v>A</v>
          </cell>
          <cell r="K384">
            <v>0</v>
          </cell>
          <cell r="L384">
            <v>0</v>
          </cell>
        </row>
        <row r="385">
          <cell r="D385">
            <v>1948</v>
          </cell>
          <cell r="E385" t="str">
            <v>A</v>
          </cell>
          <cell r="F385" t="str">
            <v>PL</v>
          </cell>
          <cell r="G385" t="str">
            <v>F</v>
          </cell>
          <cell r="H385" t="str">
            <v>J</v>
          </cell>
          <cell r="K385">
            <v>0</v>
          </cell>
          <cell r="L385">
            <v>0</v>
          </cell>
        </row>
        <row r="386">
          <cell r="D386">
            <v>1949</v>
          </cell>
          <cell r="K386">
            <v>0</v>
          </cell>
          <cell r="L386">
            <v>0</v>
          </cell>
        </row>
        <row r="387">
          <cell r="D387">
            <v>1950</v>
          </cell>
          <cell r="E387" t="str">
            <v>A</v>
          </cell>
          <cell r="F387" t="str">
            <v>PM</v>
          </cell>
          <cell r="G387" t="str">
            <v>F</v>
          </cell>
          <cell r="H387" t="str">
            <v>A</v>
          </cell>
          <cell r="K387">
            <v>0</v>
          </cell>
          <cell r="L387">
            <v>0</v>
          </cell>
        </row>
        <row r="388">
          <cell r="D388">
            <v>1951</v>
          </cell>
          <cell r="E388" t="str">
            <v>C</v>
          </cell>
          <cell r="F388" t="str">
            <v>PL</v>
          </cell>
          <cell r="G388" t="str">
            <v>M</v>
          </cell>
          <cell r="H388" t="str">
            <v>A</v>
          </cell>
          <cell r="K388">
            <v>0</v>
          </cell>
          <cell r="L388">
            <v>0</v>
          </cell>
        </row>
        <row r="389">
          <cell r="D389">
            <v>1952</v>
          </cell>
          <cell r="E389" t="str">
            <v>A</v>
          </cell>
          <cell r="F389" t="str">
            <v>PL</v>
          </cell>
          <cell r="G389" t="str">
            <v>F</v>
          </cell>
          <cell r="H389" t="str">
            <v>SA</v>
          </cell>
          <cell r="K389">
            <v>0</v>
          </cell>
          <cell r="L389">
            <v>0</v>
          </cell>
        </row>
        <row r="390">
          <cell r="D390">
            <v>1953</v>
          </cell>
          <cell r="E390" t="str">
            <v>A</v>
          </cell>
          <cell r="F390" t="str">
            <v>PL</v>
          </cell>
          <cell r="G390" t="str">
            <v>F</v>
          </cell>
          <cell r="H390" t="str">
            <v>A</v>
          </cell>
          <cell r="K390">
            <v>0</v>
          </cell>
          <cell r="L390">
            <v>0</v>
          </cell>
        </row>
        <row r="391">
          <cell r="D391">
            <v>1954</v>
          </cell>
          <cell r="E391" t="str">
            <v>C</v>
          </cell>
          <cell r="F391" t="str">
            <v>PM</v>
          </cell>
          <cell r="G391" t="str">
            <v>F</v>
          </cell>
          <cell r="H391" t="str">
            <v>A</v>
          </cell>
          <cell r="K391">
            <v>0</v>
          </cell>
          <cell r="L391">
            <v>0</v>
          </cell>
        </row>
        <row r="392">
          <cell r="D392">
            <v>1955</v>
          </cell>
          <cell r="E392" t="str">
            <v>C</v>
          </cell>
          <cell r="F392" t="str">
            <v>PL</v>
          </cell>
          <cell r="G392" t="str">
            <v>F</v>
          </cell>
          <cell r="H392" t="str">
            <v>SA</v>
          </cell>
          <cell r="K392">
            <v>0</v>
          </cell>
          <cell r="L392">
            <v>0</v>
          </cell>
        </row>
        <row r="393">
          <cell r="D393">
            <v>1956</v>
          </cell>
          <cell r="E393" t="str">
            <v>A</v>
          </cell>
          <cell r="F393" t="str">
            <v>PL</v>
          </cell>
          <cell r="G393" t="str">
            <v>M</v>
          </cell>
          <cell r="H393" t="str">
            <v>SA</v>
          </cell>
          <cell r="K393">
            <v>0</v>
          </cell>
          <cell r="L393">
            <v>0</v>
          </cell>
        </row>
        <row r="394">
          <cell r="D394">
            <v>1957</v>
          </cell>
          <cell r="E394" t="str">
            <v>A</v>
          </cell>
          <cell r="F394" t="str">
            <v>PM</v>
          </cell>
          <cell r="G394" t="str">
            <v>M</v>
          </cell>
          <cell r="H394" t="str">
            <v>A</v>
          </cell>
          <cell r="K394">
            <v>0</v>
          </cell>
          <cell r="L394">
            <v>0</v>
          </cell>
        </row>
        <row r="395">
          <cell r="D395">
            <v>1958</v>
          </cell>
          <cell r="E395" t="str">
            <v>A</v>
          </cell>
          <cell r="F395" t="str">
            <v>PL</v>
          </cell>
          <cell r="G395" t="str">
            <v>F</v>
          </cell>
          <cell r="H395" t="str">
            <v>A</v>
          </cell>
          <cell r="K395">
            <v>0</v>
          </cell>
          <cell r="L395">
            <v>0</v>
          </cell>
        </row>
        <row r="396">
          <cell r="D396">
            <v>1959</v>
          </cell>
          <cell r="E396" t="str">
            <v>C</v>
          </cell>
          <cell r="F396" t="str">
            <v>PL</v>
          </cell>
          <cell r="G396" t="str">
            <v>M</v>
          </cell>
          <cell r="H396" t="str">
            <v>A</v>
          </cell>
          <cell r="K396">
            <v>0</v>
          </cell>
          <cell r="L396">
            <v>0</v>
          </cell>
        </row>
        <row r="397">
          <cell r="D397">
            <v>1960</v>
          </cell>
          <cell r="E397" t="str">
            <v>C</v>
          </cell>
          <cell r="F397" t="str">
            <v>PL</v>
          </cell>
          <cell r="G397" t="str">
            <v>F</v>
          </cell>
          <cell r="H397" t="str">
            <v>A</v>
          </cell>
          <cell r="K397">
            <v>0</v>
          </cell>
          <cell r="L397">
            <v>0</v>
          </cell>
        </row>
        <row r="398">
          <cell r="D398">
            <v>1961</v>
          </cell>
          <cell r="E398" t="str">
            <v>A</v>
          </cell>
          <cell r="F398" t="str">
            <v>PL</v>
          </cell>
          <cell r="G398" t="str">
            <v>F</v>
          </cell>
          <cell r="H398" t="str">
            <v>A</v>
          </cell>
          <cell r="K398">
            <v>0</v>
          </cell>
          <cell r="L398">
            <v>0</v>
          </cell>
        </row>
        <row r="399">
          <cell r="D399">
            <v>1962</v>
          </cell>
          <cell r="E399" t="str">
            <v>A</v>
          </cell>
          <cell r="F399" t="str">
            <v>PL</v>
          </cell>
          <cell r="G399" t="str">
            <v>M</v>
          </cell>
          <cell r="H399" t="str">
            <v>SA</v>
          </cell>
          <cell r="K399">
            <v>0</v>
          </cell>
          <cell r="L399">
            <v>0</v>
          </cell>
        </row>
        <row r="400">
          <cell r="D400">
            <v>1963</v>
          </cell>
          <cell r="E400" t="str">
            <v>C</v>
          </cell>
          <cell r="F400" t="str">
            <v>PL</v>
          </cell>
          <cell r="G400" t="str">
            <v>M</v>
          </cell>
          <cell r="H400" t="str">
            <v>A</v>
          </cell>
          <cell r="K400">
            <v>0</v>
          </cell>
          <cell r="L400">
            <v>0</v>
          </cell>
        </row>
        <row r="401">
          <cell r="D401">
            <v>1964</v>
          </cell>
          <cell r="E401" t="str">
            <v>A</v>
          </cell>
          <cell r="F401" t="str">
            <v>PL</v>
          </cell>
          <cell r="G401" t="str">
            <v>M</v>
          </cell>
          <cell r="H401" t="str">
            <v>SA</v>
          </cell>
          <cell r="K401">
            <v>0</v>
          </cell>
          <cell r="L401">
            <v>0</v>
          </cell>
        </row>
        <row r="402">
          <cell r="D402">
            <v>1965</v>
          </cell>
          <cell r="E402" t="str">
            <v>C</v>
          </cell>
          <cell r="F402" t="str">
            <v>PL</v>
          </cell>
          <cell r="G402" t="str">
            <v>M</v>
          </cell>
          <cell r="H402" t="str">
            <v>A</v>
          </cell>
          <cell r="K402">
            <v>0</v>
          </cell>
          <cell r="L402">
            <v>0</v>
          </cell>
        </row>
        <row r="403">
          <cell r="D403">
            <v>1966</v>
          </cell>
          <cell r="E403" t="str">
            <v>A</v>
          </cell>
          <cell r="F403" t="str">
            <v>PL</v>
          </cell>
          <cell r="G403" t="str">
            <v>M</v>
          </cell>
          <cell r="H403" t="str">
            <v>A</v>
          </cell>
          <cell r="K403">
            <v>0</v>
          </cell>
          <cell r="L403">
            <v>0</v>
          </cell>
        </row>
        <row r="404">
          <cell r="D404">
            <v>1967</v>
          </cell>
          <cell r="E404" t="str">
            <v>C</v>
          </cell>
          <cell r="F404" t="str">
            <v>PL</v>
          </cell>
          <cell r="G404" t="str">
            <v>F</v>
          </cell>
          <cell r="H404" t="str">
            <v>A</v>
          </cell>
          <cell r="K404">
            <v>0</v>
          </cell>
          <cell r="L404">
            <v>0</v>
          </cell>
        </row>
        <row r="405">
          <cell r="D405">
            <v>1968</v>
          </cell>
          <cell r="E405" t="str">
            <v>A</v>
          </cell>
          <cell r="F405" t="str">
            <v>PL</v>
          </cell>
          <cell r="G405" t="str">
            <v>F</v>
          </cell>
          <cell r="H405" t="str">
            <v>A</v>
          </cell>
          <cell r="K405">
            <v>0</v>
          </cell>
          <cell r="L405">
            <v>0</v>
          </cell>
        </row>
        <row r="406">
          <cell r="D406">
            <v>1970</v>
          </cell>
          <cell r="E406" t="str">
            <v>A</v>
          </cell>
          <cell r="F406" t="str">
            <v>PL</v>
          </cell>
          <cell r="G406" t="str">
            <v>M</v>
          </cell>
          <cell r="H406" t="str">
            <v>A</v>
          </cell>
          <cell r="K406">
            <v>0</v>
          </cell>
          <cell r="L406">
            <v>0</v>
          </cell>
        </row>
        <row r="407">
          <cell r="D407">
            <v>1971</v>
          </cell>
          <cell r="E407" t="str">
            <v>C</v>
          </cell>
          <cell r="F407" t="str">
            <v>PL</v>
          </cell>
          <cell r="G407" t="str">
            <v>M</v>
          </cell>
          <cell r="H407" t="str">
            <v>A</v>
          </cell>
          <cell r="K407">
            <v>0</v>
          </cell>
          <cell r="L407">
            <v>0</v>
          </cell>
        </row>
        <row r="408">
          <cell r="D408">
            <v>1972</v>
          </cell>
          <cell r="E408" t="str">
            <v>C</v>
          </cell>
          <cell r="F408" t="str">
            <v>PL</v>
          </cell>
          <cell r="G408" t="str">
            <v>F</v>
          </cell>
          <cell r="H408" t="str">
            <v>A</v>
          </cell>
          <cell r="K408">
            <v>0</v>
          </cell>
          <cell r="L408">
            <v>0</v>
          </cell>
        </row>
        <row r="409">
          <cell r="D409">
            <v>1973</v>
          </cell>
          <cell r="E409" t="str">
            <v>A</v>
          </cell>
          <cell r="F409" t="str">
            <v>PL</v>
          </cell>
          <cell r="G409" t="str">
            <v>F</v>
          </cell>
          <cell r="H409" t="str">
            <v>A</v>
          </cell>
          <cell r="K409">
            <v>0</v>
          </cell>
          <cell r="L409">
            <v>0</v>
          </cell>
        </row>
        <row r="410">
          <cell r="D410">
            <v>1974</v>
          </cell>
          <cell r="E410" t="str">
            <v>C</v>
          </cell>
          <cell r="F410" t="str">
            <v>PL</v>
          </cell>
          <cell r="G410" t="str">
            <v>M</v>
          </cell>
          <cell r="H410" t="str">
            <v>A</v>
          </cell>
          <cell r="K410">
            <v>0</v>
          </cell>
          <cell r="L410">
            <v>0</v>
          </cell>
        </row>
        <row r="411">
          <cell r="D411">
            <v>1975</v>
          </cell>
          <cell r="E411" t="str">
            <v>A</v>
          </cell>
          <cell r="F411" t="str">
            <v>PL</v>
          </cell>
          <cell r="G411" t="str">
            <v>F</v>
          </cell>
          <cell r="H411" t="str">
            <v>A</v>
          </cell>
          <cell r="K411">
            <v>0</v>
          </cell>
          <cell r="L411">
            <v>0</v>
          </cell>
        </row>
        <row r="412">
          <cell r="D412">
            <v>1976</v>
          </cell>
          <cell r="E412" t="str">
            <v>A</v>
          </cell>
          <cell r="F412" t="str">
            <v>PL</v>
          </cell>
          <cell r="G412" t="str">
            <v>F</v>
          </cell>
          <cell r="H412" t="str">
            <v>A</v>
          </cell>
          <cell r="K412">
            <v>0</v>
          </cell>
          <cell r="L412">
            <v>0</v>
          </cell>
        </row>
        <row r="413">
          <cell r="D413">
            <v>1977</v>
          </cell>
          <cell r="E413" t="str">
            <v>A</v>
          </cell>
          <cell r="F413" t="str">
            <v>PM</v>
          </cell>
          <cell r="G413" t="str">
            <v>M</v>
          </cell>
          <cell r="H413" t="str">
            <v>A</v>
          </cell>
          <cell r="K413">
            <v>0</v>
          </cell>
          <cell r="L413">
            <v>0</v>
          </cell>
        </row>
        <row r="414">
          <cell r="D414">
            <v>1978</v>
          </cell>
          <cell r="E414" t="str">
            <v>C</v>
          </cell>
          <cell r="F414" t="str">
            <v>PL</v>
          </cell>
          <cell r="G414" t="str">
            <v>F</v>
          </cell>
          <cell r="H414" t="str">
            <v>A</v>
          </cell>
          <cell r="K414">
            <v>0</v>
          </cell>
          <cell r="L414">
            <v>0</v>
          </cell>
        </row>
        <row r="415">
          <cell r="D415">
            <v>1979</v>
          </cell>
          <cell r="E415" t="str">
            <v>C</v>
          </cell>
          <cell r="F415" t="str">
            <v>PL</v>
          </cell>
          <cell r="G415" t="str">
            <v>M</v>
          </cell>
          <cell r="H415" t="str">
            <v>A</v>
          </cell>
          <cell r="K415">
            <v>0</v>
          </cell>
          <cell r="L415">
            <v>0</v>
          </cell>
        </row>
        <row r="416">
          <cell r="D416">
            <v>1980</v>
          </cell>
          <cell r="E416" t="str">
            <v>C</v>
          </cell>
          <cell r="F416" t="str">
            <v>PL</v>
          </cell>
          <cell r="G416" t="str">
            <v>M</v>
          </cell>
          <cell r="H416" t="str">
            <v>A</v>
          </cell>
          <cell r="K416">
            <v>0</v>
          </cell>
          <cell r="L416">
            <v>0</v>
          </cell>
        </row>
        <row r="417">
          <cell r="D417">
            <v>1981</v>
          </cell>
          <cell r="E417" t="str">
            <v>C</v>
          </cell>
          <cell r="F417" t="str">
            <v>PL</v>
          </cell>
          <cell r="G417" t="str">
            <v>M</v>
          </cell>
          <cell r="H417" t="str">
            <v>A</v>
          </cell>
          <cell r="K417">
            <v>0</v>
          </cell>
          <cell r="L417">
            <v>0</v>
          </cell>
        </row>
        <row r="418">
          <cell r="D418">
            <v>1982</v>
          </cell>
          <cell r="E418" t="str">
            <v>C</v>
          </cell>
          <cell r="F418" t="str">
            <v>PL</v>
          </cell>
          <cell r="G418" t="str">
            <v>F</v>
          </cell>
          <cell r="H418" t="str">
            <v>A</v>
          </cell>
          <cell r="K418">
            <v>0</v>
          </cell>
          <cell r="L418">
            <v>0</v>
          </cell>
        </row>
        <row r="419">
          <cell r="D419">
            <v>1983</v>
          </cell>
          <cell r="E419" t="str">
            <v>A</v>
          </cell>
          <cell r="F419" t="str">
            <v>PL</v>
          </cell>
          <cell r="G419" t="str">
            <v>F</v>
          </cell>
          <cell r="H419" t="str">
            <v>SA</v>
          </cell>
          <cell r="K419">
            <v>0</v>
          </cell>
          <cell r="L419">
            <v>0</v>
          </cell>
        </row>
        <row r="420">
          <cell r="D420">
            <v>1984</v>
          </cell>
          <cell r="E420" t="str">
            <v>A</v>
          </cell>
          <cell r="F420" t="str">
            <v>PL</v>
          </cell>
          <cell r="G420" t="str">
            <v>M</v>
          </cell>
          <cell r="H420" t="str">
            <v>A</v>
          </cell>
          <cell r="K420">
            <v>0</v>
          </cell>
          <cell r="L420">
            <v>0</v>
          </cell>
        </row>
        <row r="421">
          <cell r="D421">
            <v>1985</v>
          </cell>
          <cell r="E421" t="str">
            <v>C</v>
          </cell>
          <cell r="F421" t="str">
            <v>PL</v>
          </cell>
          <cell r="G421" t="str">
            <v>M</v>
          </cell>
          <cell r="H421" t="str">
            <v>A</v>
          </cell>
          <cell r="K421">
            <v>0</v>
          </cell>
          <cell r="L421">
            <v>0</v>
          </cell>
        </row>
        <row r="422">
          <cell r="D422">
            <v>1986</v>
          </cell>
          <cell r="E422" t="str">
            <v>C</v>
          </cell>
          <cell r="F422" t="str">
            <v>PL</v>
          </cell>
          <cell r="G422" t="str">
            <v>M</v>
          </cell>
          <cell r="H422" t="str">
            <v>A</v>
          </cell>
          <cell r="K422">
            <v>0</v>
          </cell>
          <cell r="L422">
            <v>0</v>
          </cell>
        </row>
        <row r="423">
          <cell r="D423">
            <v>1987</v>
          </cell>
          <cell r="E423" t="str">
            <v>A</v>
          </cell>
          <cell r="F423" t="str">
            <v>PM</v>
          </cell>
          <cell r="G423" t="str">
            <v>M</v>
          </cell>
          <cell r="H423" t="str">
            <v>A</v>
          </cell>
          <cell r="K423">
            <v>0</v>
          </cell>
          <cell r="L423">
            <v>0</v>
          </cell>
        </row>
        <row r="424">
          <cell r="D424">
            <v>1988</v>
          </cell>
          <cell r="E424" t="str">
            <v>C</v>
          </cell>
          <cell r="F424" t="str">
            <v>PL</v>
          </cell>
          <cell r="G424" t="str">
            <v>M</v>
          </cell>
          <cell r="H424" t="str">
            <v>A</v>
          </cell>
          <cell r="K424">
            <v>0</v>
          </cell>
          <cell r="L424">
            <v>0</v>
          </cell>
        </row>
        <row r="425">
          <cell r="D425">
            <v>1989</v>
          </cell>
          <cell r="E425" t="str">
            <v>A</v>
          </cell>
          <cell r="F425" t="str">
            <v>PL</v>
          </cell>
          <cell r="G425" t="str">
            <v>F</v>
          </cell>
          <cell r="H425" t="str">
            <v>A</v>
          </cell>
          <cell r="K425">
            <v>0</v>
          </cell>
          <cell r="L425">
            <v>0</v>
          </cell>
        </row>
        <row r="426">
          <cell r="D426">
            <v>1990</v>
          </cell>
          <cell r="E426" t="str">
            <v>C</v>
          </cell>
          <cell r="F426" t="str">
            <v>PL</v>
          </cell>
          <cell r="G426" t="str">
            <v>M</v>
          </cell>
          <cell r="H426" t="str">
            <v>A</v>
          </cell>
          <cell r="K426">
            <v>0</v>
          </cell>
          <cell r="L426">
            <v>0</v>
          </cell>
        </row>
        <row r="427">
          <cell r="D427">
            <v>1991</v>
          </cell>
          <cell r="E427" t="str">
            <v>C</v>
          </cell>
          <cell r="F427" t="str">
            <v>PL</v>
          </cell>
          <cell r="G427" t="str">
            <v>M</v>
          </cell>
          <cell r="H427" t="str">
            <v>SA</v>
          </cell>
          <cell r="K427">
            <v>0</v>
          </cell>
          <cell r="L427">
            <v>0</v>
          </cell>
        </row>
        <row r="428">
          <cell r="D428">
            <v>1992</v>
          </cell>
          <cell r="E428" t="str">
            <v>A</v>
          </cell>
          <cell r="F428" t="str">
            <v>PL</v>
          </cell>
          <cell r="G428" t="str">
            <v>M</v>
          </cell>
          <cell r="H428" t="str">
            <v>A</v>
          </cell>
          <cell r="K428">
            <v>0</v>
          </cell>
          <cell r="L428">
            <v>0</v>
          </cell>
        </row>
        <row r="429">
          <cell r="D429">
            <v>1993</v>
          </cell>
          <cell r="E429" t="str">
            <v>A</v>
          </cell>
          <cell r="F429" t="str">
            <v>PL</v>
          </cell>
          <cell r="G429" t="str">
            <v>M</v>
          </cell>
          <cell r="H429" t="str">
            <v>A</v>
          </cell>
          <cell r="K429">
            <v>0</v>
          </cell>
          <cell r="L429">
            <v>0</v>
          </cell>
        </row>
        <row r="430">
          <cell r="D430">
            <v>1994</v>
          </cell>
          <cell r="E430" t="str">
            <v>A</v>
          </cell>
          <cell r="F430" t="str">
            <v>PL</v>
          </cell>
          <cell r="G430" t="str">
            <v>F</v>
          </cell>
          <cell r="H430" t="str">
            <v>A</v>
          </cell>
          <cell r="K430">
            <v>0</v>
          </cell>
          <cell r="L430">
            <v>0</v>
          </cell>
        </row>
        <row r="431">
          <cell r="D431">
            <v>1995</v>
          </cell>
          <cell r="E431" t="str">
            <v>C</v>
          </cell>
          <cell r="F431" t="str">
            <v>PL</v>
          </cell>
          <cell r="G431" t="str">
            <v>M</v>
          </cell>
          <cell r="H431" t="str">
            <v>A</v>
          </cell>
          <cell r="K431">
            <v>0</v>
          </cell>
          <cell r="L431">
            <v>0</v>
          </cell>
        </row>
        <row r="432">
          <cell r="D432">
            <v>1997</v>
          </cell>
          <cell r="E432" t="str">
            <v>C</v>
          </cell>
          <cell r="F432" t="str">
            <v>PL</v>
          </cell>
          <cell r="G432" t="str">
            <v>F</v>
          </cell>
          <cell r="H432" t="str">
            <v>A</v>
          </cell>
          <cell r="K432">
            <v>0</v>
          </cell>
          <cell r="L432">
            <v>0</v>
          </cell>
        </row>
        <row r="433">
          <cell r="D433">
            <v>1998</v>
          </cell>
          <cell r="E433" t="str">
            <v>C</v>
          </cell>
          <cell r="F433" t="str">
            <v>PL</v>
          </cell>
          <cell r="G433" t="str">
            <v>M</v>
          </cell>
          <cell r="H433" t="str">
            <v>A</v>
          </cell>
          <cell r="K433">
            <v>0</v>
          </cell>
          <cell r="L433">
            <v>0</v>
          </cell>
        </row>
        <row r="434">
          <cell r="D434">
            <v>1999</v>
          </cell>
          <cell r="E434" t="str">
            <v>A</v>
          </cell>
          <cell r="F434" t="str">
            <v>PL</v>
          </cell>
          <cell r="G434" t="str">
            <v>M</v>
          </cell>
          <cell r="H434" t="str">
            <v>SA</v>
          </cell>
          <cell r="K434">
            <v>0</v>
          </cell>
          <cell r="L434">
            <v>0</v>
          </cell>
        </row>
        <row r="435">
          <cell r="D435">
            <v>2000</v>
          </cell>
          <cell r="E435" t="str">
            <v>C</v>
          </cell>
          <cell r="F435" t="str">
            <v>PL</v>
          </cell>
          <cell r="G435" t="str">
            <v>M</v>
          </cell>
          <cell r="H435" t="str">
            <v>A</v>
          </cell>
          <cell r="K435">
            <v>0</v>
          </cell>
          <cell r="L435">
            <v>0</v>
          </cell>
        </row>
        <row r="436">
          <cell r="D436">
            <v>2001</v>
          </cell>
          <cell r="E436" t="str">
            <v>A</v>
          </cell>
          <cell r="F436" t="str">
            <v>PL</v>
          </cell>
          <cell r="G436" t="str">
            <v>M</v>
          </cell>
          <cell r="H436" t="str">
            <v>A</v>
          </cell>
          <cell r="K436">
            <v>0</v>
          </cell>
          <cell r="L436">
            <v>0</v>
          </cell>
        </row>
        <row r="437">
          <cell r="D437">
            <v>2002</v>
          </cell>
          <cell r="E437" t="str">
            <v>C</v>
          </cell>
          <cell r="F437" t="str">
            <v>PM</v>
          </cell>
          <cell r="G437" t="str">
            <v>M</v>
          </cell>
          <cell r="H437" t="str">
            <v>A</v>
          </cell>
          <cell r="K437">
            <v>0</v>
          </cell>
          <cell r="L437">
            <v>0</v>
          </cell>
        </row>
        <row r="438">
          <cell r="D438">
            <v>2004</v>
          </cell>
          <cell r="E438" t="str">
            <v>A</v>
          </cell>
          <cell r="F438" t="str">
            <v>PL</v>
          </cell>
          <cell r="G438" t="str">
            <v>M</v>
          </cell>
          <cell r="H438" t="str">
            <v>A</v>
          </cell>
          <cell r="K438">
            <v>0</v>
          </cell>
          <cell r="L438">
            <v>0</v>
          </cell>
        </row>
        <row r="439">
          <cell r="D439">
            <v>2005</v>
          </cell>
          <cell r="E439" t="str">
            <v>A</v>
          </cell>
          <cell r="F439" t="str">
            <v>PL</v>
          </cell>
          <cell r="G439" t="str">
            <v>M</v>
          </cell>
          <cell r="H439" t="str">
            <v>A</v>
          </cell>
          <cell r="K439">
            <v>0</v>
          </cell>
          <cell r="L439">
            <v>0</v>
          </cell>
        </row>
        <row r="440">
          <cell r="D440">
            <v>2006</v>
          </cell>
          <cell r="E440" t="str">
            <v>C</v>
          </cell>
          <cell r="F440" t="str">
            <v>PL</v>
          </cell>
          <cell r="G440" t="str">
            <v>M</v>
          </cell>
          <cell r="H440" t="str">
            <v>A</v>
          </cell>
          <cell r="K440">
            <v>0</v>
          </cell>
          <cell r="L440">
            <v>0</v>
          </cell>
        </row>
        <row r="441">
          <cell r="D441">
            <v>2007</v>
          </cell>
          <cell r="E441" t="str">
            <v>A</v>
          </cell>
          <cell r="F441" t="str">
            <v>PL</v>
          </cell>
          <cell r="G441" t="str">
            <v>M</v>
          </cell>
          <cell r="H441" t="str">
            <v>A</v>
          </cell>
          <cell r="K441">
            <v>0</v>
          </cell>
          <cell r="L441">
            <v>0</v>
          </cell>
        </row>
        <row r="442">
          <cell r="D442">
            <v>2008</v>
          </cell>
          <cell r="E442" t="str">
            <v>C</v>
          </cell>
          <cell r="F442" t="str">
            <v>PM</v>
          </cell>
          <cell r="G442" t="str">
            <v>F</v>
          </cell>
          <cell r="H442" t="str">
            <v>A</v>
          </cell>
          <cell r="K442">
            <v>0</v>
          </cell>
          <cell r="L442">
            <v>0</v>
          </cell>
        </row>
        <row r="443">
          <cell r="D443">
            <v>2010</v>
          </cell>
          <cell r="E443" t="str">
            <v>C</v>
          </cell>
          <cell r="F443" t="str">
            <v>PL</v>
          </cell>
          <cell r="G443" t="str">
            <v>F</v>
          </cell>
          <cell r="H443" t="str">
            <v>A</v>
          </cell>
          <cell r="K443">
            <v>0</v>
          </cell>
          <cell r="L443">
            <v>0</v>
          </cell>
        </row>
        <row r="444">
          <cell r="D444">
            <v>2011</v>
          </cell>
          <cell r="E444" t="str">
            <v>A</v>
          </cell>
          <cell r="F444" t="str">
            <v>PL</v>
          </cell>
          <cell r="G444" t="str">
            <v>F</v>
          </cell>
          <cell r="H444" t="str">
            <v>SA</v>
          </cell>
          <cell r="K444">
            <v>0</v>
          </cell>
          <cell r="L444">
            <v>0</v>
          </cell>
        </row>
        <row r="445">
          <cell r="D445">
            <v>2013</v>
          </cell>
          <cell r="E445" t="str">
            <v>A</v>
          </cell>
          <cell r="F445" t="str">
            <v>PM</v>
          </cell>
          <cell r="G445" t="str">
            <v>M</v>
          </cell>
          <cell r="H445" t="str">
            <v>A</v>
          </cell>
          <cell r="K445">
            <v>0</v>
          </cell>
          <cell r="L445">
            <v>0</v>
          </cell>
        </row>
        <row r="446">
          <cell r="D446">
            <v>2014</v>
          </cell>
          <cell r="E446" t="str">
            <v>A</v>
          </cell>
          <cell r="F446" t="str">
            <v>PL</v>
          </cell>
          <cell r="G446" t="str">
            <v>F</v>
          </cell>
          <cell r="H446" t="str">
            <v>A</v>
          </cell>
          <cell r="K446">
            <v>0</v>
          </cell>
          <cell r="L446">
            <v>0</v>
          </cell>
        </row>
        <row r="447">
          <cell r="D447">
            <v>2015</v>
          </cell>
          <cell r="E447" t="str">
            <v>C</v>
          </cell>
          <cell r="F447" t="str">
            <v>PL</v>
          </cell>
          <cell r="G447" t="str">
            <v>F</v>
          </cell>
          <cell r="H447" t="str">
            <v>SA</v>
          </cell>
          <cell r="K447">
            <v>0</v>
          </cell>
          <cell r="L447">
            <v>0</v>
          </cell>
        </row>
        <row r="448">
          <cell r="D448">
            <v>2016</v>
          </cell>
          <cell r="E448" t="str">
            <v>A</v>
          </cell>
          <cell r="F448" t="str">
            <v>PL</v>
          </cell>
          <cell r="G448" t="str">
            <v>F</v>
          </cell>
          <cell r="H448" t="str">
            <v>A</v>
          </cell>
          <cell r="K448">
            <v>0</v>
          </cell>
          <cell r="L448">
            <v>0</v>
          </cell>
        </row>
        <row r="449">
          <cell r="D449">
            <v>2017</v>
          </cell>
          <cell r="E449" t="str">
            <v>C</v>
          </cell>
          <cell r="F449" t="str">
            <v>PL</v>
          </cell>
          <cell r="G449" t="str">
            <v>F</v>
          </cell>
          <cell r="H449" t="str">
            <v>A</v>
          </cell>
          <cell r="K449">
            <v>0</v>
          </cell>
          <cell r="L449">
            <v>0</v>
          </cell>
        </row>
        <row r="450">
          <cell r="D450">
            <v>2018</v>
          </cell>
          <cell r="E450" t="str">
            <v>A</v>
          </cell>
          <cell r="F450" t="str">
            <v>PL</v>
          </cell>
          <cell r="G450" t="str">
            <v>F</v>
          </cell>
          <cell r="H450" t="str">
            <v>A</v>
          </cell>
          <cell r="K450">
            <v>0</v>
          </cell>
          <cell r="L450">
            <v>0</v>
          </cell>
        </row>
        <row r="451">
          <cell r="D451">
            <v>2019</v>
          </cell>
          <cell r="E451" t="str">
            <v>C</v>
          </cell>
          <cell r="F451" t="str">
            <v>PL</v>
          </cell>
          <cell r="G451" t="str">
            <v>F</v>
          </cell>
          <cell r="H451" t="str">
            <v>A</v>
          </cell>
          <cell r="K451">
            <v>0</v>
          </cell>
          <cell r="L451">
            <v>0</v>
          </cell>
        </row>
        <row r="452">
          <cell r="D452">
            <v>2020</v>
          </cell>
          <cell r="E452" t="str">
            <v>C</v>
          </cell>
          <cell r="F452" t="str">
            <v>PL</v>
          </cell>
          <cell r="G452" t="str">
            <v>M</v>
          </cell>
          <cell r="H452" t="str">
            <v>A</v>
          </cell>
          <cell r="K452">
            <v>0</v>
          </cell>
          <cell r="L452">
            <v>0</v>
          </cell>
        </row>
        <row r="453">
          <cell r="D453">
            <v>2021</v>
          </cell>
          <cell r="E453" t="str">
            <v>C</v>
          </cell>
          <cell r="F453" t="str">
            <v>PL</v>
          </cell>
          <cell r="G453" t="str">
            <v>F</v>
          </cell>
          <cell r="H453" t="str">
            <v>A</v>
          </cell>
          <cell r="K453">
            <v>0</v>
          </cell>
          <cell r="L453">
            <v>0</v>
          </cell>
        </row>
        <row r="454">
          <cell r="D454">
            <v>2022</v>
          </cell>
          <cell r="E454" t="str">
            <v>A</v>
          </cell>
          <cell r="F454" t="str">
            <v>PL</v>
          </cell>
          <cell r="G454" t="str">
            <v>M</v>
          </cell>
          <cell r="H454" t="str">
            <v>A</v>
          </cell>
          <cell r="K454">
            <v>0</v>
          </cell>
          <cell r="L454">
            <v>0</v>
          </cell>
        </row>
        <row r="455">
          <cell r="D455">
            <v>2023</v>
          </cell>
          <cell r="E455" t="str">
            <v>C</v>
          </cell>
          <cell r="F455" t="str">
            <v>PL</v>
          </cell>
          <cell r="G455" t="str">
            <v>M</v>
          </cell>
          <cell r="H455" t="str">
            <v>A</v>
          </cell>
          <cell r="K455">
            <v>0</v>
          </cell>
          <cell r="L455">
            <v>0</v>
          </cell>
        </row>
        <row r="456">
          <cell r="D456">
            <v>2024</v>
          </cell>
          <cell r="E456" t="str">
            <v>C</v>
          </cell>
          <cell r="F456" t="str">
            <v>PL</v>
          </cell>
          <cell r="G456" t="str">
            <v>M</v>
          </cell>
          <cell r="H456" t="str">
            <v>A</v>
          </cell>
          <cell r="K456">
            <v>0</v>
          </cell>
          <cell r="L456">
            <v>0</v>
          </cell>
        </row>
        <row r="457">
          <cell r="D457">
            <v>2025</v>
          </cell>
          <cell r="E457" t="str">
            <v>A</v>
          </cell>
          <cell r="F457" t="str">
            <v>PL</v>
          </cell>
          <cell r="G457" t="str">
            <v>F</v>
          </cell>
          <cell r="H457" t="str">
            <v>A</v>
          </cell>
          <cell r="K457">
            <v>0</v>
          </cell>
          <cell r="L457">
            <v>0</v>
          </cell>
        </row>
        <row r="458">
          <cell r="D458">
            <v>2026</v>
          </cell>
          <cell r="E458" t="str">
            <v>C</v>
          </cell>
          <cell r="F458" t="str">
            <v>PL</v>
          </cell>
          <cell r="G458" t="str">
            <v>F</v>
          </cell>
          <cell r="H458" t="str">
            <v>A</v>
          </cell>
          <cell r="K458">
            <v>0</v>
          </cell>
          <cell r="L458">
            <v>0</v>
          </cell>
        </row>
        <row r="459">
          <cell r="D459">
            <v>2027</v>
          </cell>
          <cell r="E459" t="str">
            <v>A</v>
          </cell>
          <cell r="F459" t="str">
            <v>PM</v>
          </cell>
          <cell r="G459" t="str">
            <v>M</v>
          </cell>
          <cell r="H459" t="str">
            <v>A</v>
          </cell>
          <cell r="K459">
            <v>0</v>
          </cell>
          <cell r="L459">
            <v>0</v>
          </cell>
        </row>
        <row r="460">
          <cell r="D460">
            <v>2028</v>
          </cell>
          <cell r="E460" t="str">
            <v>C</v>
          </cell>
          <cell r="F460" t="str">
            <v>PL</v>
          </cell>
          <cell r="G460" t="str">
            <v>M</v>
          </cell>
          <cell r="H460" t="str">
            <v>A</v>
          </cell>
          <cell r="K460">
            <v>0</v>
          </cell>
          <cell r="L460">
            <v>0</v>
          </cell>
        </row>
        <row r="461">
          <cell r="D461">
            <v>2029</v>
          </cell>
          <cell r="E461" t="str">
            <v>C</v>
          </cell>
          <cell r="F461" t="str">
            <v>PL</v>
          </cell>
          <cell r="G461" t="str">
            <v>M</v>
          </cell>
          <cell r="H461" t="str">
            <v>A</v>
          </cell>
          <cell r="K461">
            <v>0</v>
          </cell>
          <cell r="L461">
            <v>0</v>
          </cell>
        </row>
        <row r="462">
          <cell r="D462">
            <v>2030</v>
          </cell>
          <cell r="E462" t="str">
            <v>C</v>
          </cell>
          <cell r="F462" t="str">
            <v>PL</v>
          </cell>
          <cell r="G462" t="str">
            <v>F</v>
          </cell>
          <cell r="H462" t="str">
            <v>A</v>
          </cell>
          <cell r="K462">
            <v>0</v>
          </cell>
          <cell r="L462">
            <v>0</v>
          </cell>
        </row>
        <row r="463">
          <cell r="D463">
            <v>2031</v>
          </cell>
          <cell r="E463" t="str">
            <v>A</v>
          </cell>
          <cell r="F463" t="str">
            <v>PM</v>
          </cell>
          <cell r="G463" t="str">
            <v>M</v>
          </cell>
          <cell r="H463" t="str">
            <v>A</v>
          </cell>
          <cell r="K463">
            <v>0</v>
          </cell>
          <cell r="L463">
            <v>0</v>
          </cell>
        </row>
        <row r="464">
          <cell r="D464">
            <v>2032</v>
          </cell>
          <cell r="E464" t="str">
            <v>A</v>
          </cell>
          <cell r="F464" t="str">
            <v>PL</v>
          </cell>
          <cell r="G464" t="str">
            <v>F</v>
          </cell>
          <cell r="H464" t="str">
            <v>A</v>
          </cell>
          <cell r="K464">
            <v>0</v>
          </cell>
          <cell r="L464">
            <v>0</v>
          </cell>
        </row>
        <row r="465">
          <cell r="D465">
            <v>2033</v>
          </cell>
          <cell r="E465" t="str">
            <v>A</v>
          </cell>
          <cell r="F465" t="str">
            <v>PL</v>
          </cell>
          <cell r="G465" t="str">
            <v>M</v>
          </cell>
          <cell r="H465" t="str">
            <v>A</v>
          </cell>
          <cell r="K465">
            <v>0</v>
          </cell>
          <cell r="L465">
            <v>0</v>
          </cell>
        </row>
        <row r="466">
          <cell r="D466">
            <v>2034</v>
          </cell>
          <cell r="E466" t="str">
            <v>A</v>
          </cell>
          <cell r="F466" t="str">
            <v>PM</v>
          </cell>
          <cell r="G466" t="str">
            <v>F</v>
          </cell>
          <cell r="H466" t="str">
            <v>A</v>
          </cell>
          <cell r="K466">
            <v>0</v>
          </cell>
          <cell r="L466">
            <v>0</v>
          </cell>
        </row>
        <row r="467">
          <cell r="D467">
            <v>2035</v>
          </cell>
          <cell r="E467" t="str">
            <v>A</v>
          </cell>
          <cell r="F467" t="str">
            <v>PL</v>
          </cell>
          <cell r="G467" t="str">
            <v>F</v>
          </cell>
          <cell r="H467" t="str">
            <v>A</v>
          </cell>
          <cell r="K467">
            <v>0</v>
          </cell>
          <cell r="L467">
            <v>0</v>
          </cell>
        </row>
        <row r="468">
          <cell r="D468">
            <v>2036</v>
          </cell>
          <cell r="E468" t="str">
            <v>A</v>
          </cell>
          <cell r="F468" t="str">
            <v>PL</v>
          </cell>
          <cell r="G468" t="str">
            <v>M</v>
          </cell>
          <cell r="H468" t="str">
            <v>A</v>
          </cell>
          <cell r="K468">
            <v>0</v>
          </cell>
          <cell r="L468">
            <v>0</v>
          </cell>
        </row>
        <row r="469">
          <cell r="D469">
            <v>2037</v>
          </cell>
          <cell r="E469" t="str">
            <v>C</v>
          </cell>
          <cell r="F469" t="str">
            <v>PL</v>
          </cell>
          <cell r="G469" t="str">
            <v>M</v>
          </cell>
          <cell r="H469" t="str">
            <v>A</v>
          </cell>
          <cell r="K469">
            <v>0</v>
          </cell>
          <cell r="L469">
            <v>0</v>
          </cell>
        </row>
        <row r="470">
          <cell r="D470">
            <v>2038</v>
          </cell>
          <cell r="E470" t="str">
            <v>C</v>
          </cell>
          <cell r="F470" t="str">
            <v>PL</v>
          </cell>
          <cell r="G470" t="str">
            <v>F</v>
          </cell>
          <cell r="H470" t="str">
            <v>A</v>
          </cell>
          <cell r="K470">
            <v>0</v>
          </cell>
          <cell r="L470">
            <v>0</v>
          </cell>
        </row>
        <row r="471">
          <cell r="D471">
            <v>2039</v>
          </cell>
          <cell r="E471" t="str">
            <v>C</v>
          </cell>
          <cell r="F471" t="str">
            <v>PL</v>
          </cell>
          <cell r="G471" t="str">
            <v>M</v>
          </cell>
          <cell r="H471" t="str">
            <v>A</v>
          </cell>
          <cell r="K471">
            <v>0</v>
          </cell>
          <cell r="L471">
            <v>0</v>
          </cell>
        </row>
        <row r="472">
          <cell r="D472">
            <v>2040</v>
          </cell>
          <cell r="E472" t="str">
            <v>A</v>
          </cell>
          <cell r="F472" t="str">
            <v>PM</v>
          </cell>
          <cell r="H472" t="str">
            <v>A</v>
          </cell>
          <cell r="K472">
            <v>0</v>
          </cell>
          <cell r="L472">
            <v>0</v>
          </cell>
        </row>
        <row r="473">
          <cell r="D473">
            <v>2041</v>
          </cell>
          <cell r="E473" t="str">
            <v>A</v>
          </cell>
          <cell r="F473" t="str">
            <v>PL</v>
          </cell>
          <cell r="G473" t="str">
            <v>F</v>
          </cell>
          <cell r="H473" t="str">
            <v>A</v>
          </cell>
          <cell r="K473">
            <v>0</v>
          </cell>
          <cell r="L473">
            <v>0</v>
          </cell>
        </row>
        <row r="474">
          <cell r="D474">
            <v>2042</v>
          </cell>
          <cell r="E474" t="str">
            <v>A</v>
          </cell>
          <cell r="F474" t="str">
            <v>PL</v>
          </cell>
          <cell r="G474" t="str">
            <v>M</v>
          </cell>
          <cell r="H474" t="str">
            <v>A</v>
          </cell>
          <cell r="K474">
            <v>0</v>
          </cell>
          <cell r="L474">
            <v>0</v>
          </cell>
        </row>
        <row r="475">
          <cell r="D475">
            <v>2043</v>
          </cell>
          <cell r="E475" t="str">
            <v>C</v>
          </cell>
          <cell r="F475" t="str">
            <v>PL</v>
          </cell>
          <cell r="G475" t="str">
            <v>M</v>
          </cell>
          <cell r="H475" t="str">
            <v>A</v>
          </cell>
          <cell r="K475">
            <v>0</v>
          </cell>
          <cell r="L475">
            <v>0</v>
          </cell>
        </row>
        <row r="476">
          <cell r="D476">
            <v>2044</v>
          </cell>
          <cell r="E476" t="str">
            <v>C</v>
          </cell>
          <cell r="F476" t="str">
            <v>PL</v>
          </cell>
          <cell r="G476" t="str">
            <v>M</v>
          </cell>
          <cell r="H476" t="str">
            <v>SA</v>
          </cell>
          <cell r="K476">
            <v>0</v>
          </cell>
          <cell r="L476">
            <v>0</v>
          </cell>
        </row>
        <row r="477">
          <cell r="D477">
            <v>2045</v>
          </cell>
          <cell r="E477" t="str">
            <v>A</v>
          </cell>
          <cell r="F477" t="str">
            <v>PL</v>
          </cell>
          <cell r="G477" t="str">
            <v>F</v>
          </cell>
          <cell r="H477" t="str">
            <v>A</v>
          </cell>
          <cell r="K477">
            <v>0</v>
          </cell>
          <cell r="L477">
            <v>0</v>
          </cell>
        </row>
        <row r="478">
          <cell r="D478">
            <v>2046</v>
          </cell>
          <cell r="E478" t="str">
            <v>A</v>
          </cell>
          <cell r="F478" t="str">
            <v>PL</v>
          </cell>
          <cell r="G478" t="str">
            <v>M</v>
          </cell>
          <cell r="H478" t="str">
            <v>A</v>
          </cell>
          <cell r="K478">
            <v>0</v>
          </cell>
          <cell r="L478">
            <v>0</v>
          </cell>
        </row>
        <row r="479">
          <cell r="D479">
            <v>2047</v>
          </cell>
          <cell r="E479" t="str">
            <v>C</v>
          </cell>
          <cell r="F479" t="str">
            <v>PL</v>
          </cell>
          <cell r="G479" t="str">
            <v>F</v>
          </cell>
          <cell r="H479" t="str">
            <v>SA</v>
          </cell>
          <cell r="K479">
            <v>0</v>
          </cell>
          <cell r="L479">
            <v>0</v>
          </cell>
        </row>
        <row r="480">
          <cell r="D480">
            <v>2048</v>
          </cell>
          <cell r="E480" t="str">
            <v>A</v>
          </cell>
          <cell r="F480" t="str">
            <v>PL</v>
          </cell>
          <cell r="G480" t="str">
            <v>M</v>
          </cell>
          <cell r="H480" t="str">
            <v>A</v>
          </cell>
          <cell r="K480">
            <v>0</v>
          </cell>
          <cell r="L480">
            <v>0</v>
          </cell>
        </row>
        <row r="481">
          <cell r="D481">
            <v>2049</v>
          </cell>
          <cell r="E481" t="str">
            <v>A</v>
          </cell>
          <cell r="F481" t="str">
            <v>PL</v>
          </cell>
          <cell r="G481" t="str">
            <v>F</v>
          </cell>
          <cell r="H481" t="str">
            <v>A</v>
          </cell>
          <cell r="K481">
            <v>0</v>
          </cell>
          <cell r="L481">
            <v>0</v>
          </cell>
        </row>
        <row r="482">
          <cell r="D482">
            <v>2050</v>
          </cell>
          <cell r="E482" t="str">
            <v>C</v>
          </cell>
          <cell r="F482" t="str">
            <v>PM</v>
          </cell>
          <cell r="G482" t="str">
            <v>F</v>
          </cell>
          <cell r="H482" t="str">
            <v>A</v>
          </cell>
          <cell r="K482">
            <v>0</v>
          </cell>
          <cell r="L482">
            <v>0</v>
          </cell>
        </row>
        <row r="483">
          <cell r="D483">
            <v>2051</v>
          </cell>
          <cell r="E483" t="str">
            <v>A</v>
          </cell>
          <cell r="F483" t="str">
            <v>PL</v>
          </cell>
          <cell r="G483" t="str">
            <v>M</v>
          </cell>
          <cell r="H483" t="str">
            <v>A</v>
          </cell>
          <cell r="K483">
            <v>0</v>
          </cell>
          <cell r="L483">
            <v>0</v>
          </cell>
        </row>
        <row r="484">
          <cell r="D484">
            <v>2052</v>
          </cell>
          <cell r="E484" t="str">
            <v>C</v>
          </cell>
          <cell r="F484" t="str">
            <v>PL</v>
          </cell>
          <cell r="G484" t="str">
            <v>M</v>
          </cell>
          <cell r="H484" t="str">
            <v>A</v>
          </cell>
          <cell r="K484">
            <v>0</v>
          </cell>
          <cell r="L484">
            <v>0</v>
          </cell>
        </row>
        <row r="485">
          <cell r="D485">
            <v>2053</v>
          </cell>
          <cell r="E485" t="str">
            <v>C</v>
          </cell>
          <cell r="F485" t="str">
            <v>PL</v>
          </cell>
          <cell r="G485" t="str">
            <v>F</v>
          </cell>
          <cell r="H485" t="str">
            <v>A</v>
          </cell>
          <cell r="K485">
            <v>0</v>
          </cell>
          <cell r="L485">
            <v>0</v>
          </cell>
        </row>
        <row r="486">
          <cell r="D486">
            <v>2054</v>
          </cell>
          <cell r="E486" t="str">
            <v>A</v>
          </cell>
          <cell r="F486" t="str">
            <v>PL</v>
          </cell>
          <cell r="G486" t="str">
            <v>F</v>
          </cell>
          <cell r="H486" t="str">
            <v>A</v>
          </cell>
          <cell r="K486">
            <v>0</v>
          </cell>
          <cell r="L486">
            <v>0</v>
          </cell>
        </row>
        <row r="487">
          <cell r="D487">
            <v>2055</v>
          </cell>
          <cell r="E487" t="str">
            <v>A</v>
          </cell>
          <cell r="F487" t="str">
            <v>PL</v>
          </cell>
          <cell r="G487" t="str">
            <v>M</v>
          </cell>
          <cell r="H487" t="str">
            <v>A</v>
          </cell>
          <cell r="K487">
            <v>0</v>
          </cell>
          <cell r="L487">
            <v>0</v>
          </cell>
        </row>
        <row r="488">
          <cell r="D488">
            <v>2056</v>
          </cell>
          <cell r="E488" t="str">
            <v>C</v>
          </cell>
          <cell r="F488" t="str">
            <v>PL</v>
          </cell>
          <cell r="G488" t="str">
            <v>F</v>
          </cell>
          <cell r="H488" t="str">
            <v>SA</v>
          </cell>
          <cell r="K488">
            <v>0</v>
          </cell>
          <cell r="L488">
            <v>0</v>
          </cell>
        </row>
        <row r="489">
          <cell r="D489">
            <v>2057</v>
          </cell>
          <cell r="E489" t="str">
            <v>C</v>
          </cell>
          <cell r="F489" t="str">
            <v>PL</v>
          </cell>
          <cell r="G489" t="str">
            <v>M</v>
          </cell>
          <cell r="H489" t="str">
            <v>A</v>
          </cell>
          <cell r="K489">
            <v>0</v>
          </cell>
          <cell r="L489">
            <v>0</v>
          </cell>
        </row>
        <row r="490">
          <cell r="D490">
            <v>2058</v>
          </cell>
          <cell r="E490" t="str">
            <v>A</v>
          </cell>
          <cell r="F490" t="str">
            <v>PL</v>
          </cell>
          <cell r="G490" t="str">
            <v>F</v>
          </cell>
          <cell r="H490" t="str">
            <v>A</v>
          </cell>
          <cell r="K490">
            <v>0</v>
          </cell>
          <cell r="L490">
            <v>0</v>
          </cell>
        </row>
        <row r="491">
          <cell r="D491">
            <v>2059</v>
          </cell>
          <cell r="E491" t="str">
            <v>C</v>
          </cell>
          <cell r="F491" t="str">
            <v>PL</v>
          </cell>
          <cell r="G491" t="str">
            <v>M</v>
          </cell>
          <cell r="H491" t="str">
            <v>A</v>
          </cell>
          <cell r="K491">
            <v>0</v>
          </cell>
          <cell r="L491">
            <v>0</v>
          </cell>
        </row>
        <row r="492">
          <cell r="D492">
            <v>2060</v>
          </cell>
          <cell r="E492" t="str">
            <v>A</v>
          </cell>
          <cell r="F492" t="str">
            <v>PL</v>
          </cell>
          <cell r="G492" t="str">
            <v>M</v>
          </cell>
          <cell r="H492" t="str">
            <v>A</v>
          </cell>
          <cell r="K492">
            <v>0</v>
          </cell>
          <cell r="L492">
            <v>0</v>
          </cell>
        </row>
        <row r="493">
          <cell r="D493">
            <v>2061</v>
          </cell>
          <cell r="E493" t="str">
            <v>A</v>
          </cell>
          <cell r="F493" t="str">
            <v>PL</v>
          </cell>
          <cell r="G493" t="str">
            <v>F</v>
          </cell>
          <cell r="H493" t="str">
            <v>A</v>
          </cell>
          <cell r="K493">
            <v>0</v>
          </cell>
          <cell r="L493">
            <v>0</v>
          </cell>
        </row>
        <row r="494">
          <cell r="D494">
            <v>2062</v>
          </cell>
          <cell r="E494" t="str">
            <v>A</v>
          </cell>
          <cell r="F494" t="str">
            <v>PL</v>
          </cell>
          <cell r="G494" t="str">
            <v>F</v>
          </cell>
          <cell r="H494" t="str">
            <v>A</v>
          </cell>
          <cell r="K494">
            <v>0</v>
          </cell>
          <cell r="L494">
            <v>0</v>
          </cell>
        </row>
        <row r="495">
          <cell r="D495">
            <v>2063</v>
          </cell>
          <cell r="E495" t="str">
            <v>A</v>
          </cell>
          <cell r="F495" t="str">
            <v>PL</v>
          </cell>
          <cell r="G495" t="str">
            <v>F</v>
          </cell>
          <cell r="H495" t="str">
            <v>A</v>
          </cell>
          <cell r="K495">
            <v>0</v>
          </cell>
          <cell r="L495">
            <v>0</v>
          </cell>
        </row>
        <row r="496">
          <cell r="D496">
            <v>2064</v>
          </cell>
          <cell r="E496" t="str">
            <v>C</v>
          </cell>
          <cell r="F496" t="str">
            <v>PL</v>
          </cell>
          <cell r="G496" t="str">
            <v>F</v>
          </cell>
          <cell r="H496" t="str">
            <v>A</v>
          </cell>
          <cell r="K496">
            <v>0</v>
          </cell>
          <cell r="L496">
            <v>0</v>
          </cell>
        </row>
        <row r="497">
          <cell r="D497">
            <v>2065</v>
          </cell>
          <cell r="E497" t="str">
            <v>C</v>
          </cell>
          <cell r="F497" t="str">
            <v>PL</v>
          </cell>
          <cell r="G497" t="str">
            <v>M</v>
          </cell>
          <cell r="H497" t="str">
            <v>A</v>
          </cell>
          <cell r="K497">
            <v>0</v>
          </cell>
          <cell r="L497">
            <v>0</v>
          </cell>
        </row>
        <row r="498">
          <cell r="D498">
            <v>2066</v>
          </cell>
          <cell r="E498" t="str">
            <v>A</v>
          </cell>
          <cell r="F498" t="str">
            <v>PL</v>
          </cell>
          <cell r="G498" t="str">
            <v>M</v>
          </cell>
          <cell r="H498" t="str">
            <v>A</v>
          </cell>
          <cell r="K498">
            <v>0</v>
          </cell>
          <cell r="L498">
            <v>0</v>
          </cell>
        </row>
        <row r="499">
          <cell r="D499">
            <v>2067</v>
          </cell>
          <cell r="E499" t="str">
            <v>C</v>
          </cell>
          <cell r="F499" t="str">
            <v>PL</v>
          </cell>
          <cell r="G499" t="str">
            <v>M</v>
          </cell>
          <cell r="H499" t="str">
            <v>A</v>
          </cell>
          <cell r="K499">
            <v>0</v>
          </cell>
          <cell r="L499">
            <v>0</v>
          </cell>
        </row>
        <row r="500">
          <cell r="D500">
            <v>2068</v>
          </cell>
          <cell r="E500" t="str">
            <v>A</v>
          </cell>
          <cell r="F500" t="str">
            <v>PL</v>
          </cell>
          <cell r="G500" t="str">
            <v>M</v>
          </cell>
          <cell r="H500" t="str">
            <v>A</v>
          </cell>
          <cell r="K500">
            <v>0</v>
          </cell>
          <cell r="L500">
            <v>0</v>
          </cell>
        </row>
        <row r="501">
          <cell r="D501">
            <v>2069</v>
          </cell>
          <cell r="E501" t="str">
            <v>C</v>
          </cell>
          <cell r="F501" t="str">
            <v>PL</v>
          </cell>
          <cell r="G501" t="str">
            <v>F</v>
          </cell>
          <cell r="H501" t="str">
            <v>SA</v>
          </cell>
          <cell r="K501">
            <v>0</v>
          </cell>
          <cell r="L501">
            <v>0</v>
          </cell>
        </row>
        <row r="502">
          <cell r="D502">
            <v>2070</v>
          </cell>
          <cell r="E502" t="str">
            <v>A</v>
          </cell>
          <cell r="F502" t="str">
            <v>PL</v>
          </cell>
          <cell r="G502" t="str">
            <v>M</v>
          </cell>
          <cell r="H502" t="str">
            <v>A</v>
          </cell>
          <cell r="K502">
            <v>0</v>
          </cell>
          <cell r="L502">
            <v>0</v>
          </cell>
        </row>
        <row r="503">
          <cell r="D503">
            <v>2071</v>
          </cell>
          <cell r="E503" t="str">
            <v>A</v>
          </cell>
          <cell r="F503" t="str">
            <v>PM?</v>
          </cell>
          <cell r="G503" t="str">
            <v>F</v>
          </cell>
          <cell r="H503" t="str">
            <v>J</v>
          </cell>
          <cell r="K503">
            <v>0</v>
          </cell>
          <cell r="L503">
            <v>0</v>
          </cell>
        </row>
        <row r="504">
          <cell r="D504">
            <v>2072</v>
          </cell>
          <cell r="E504" t="str">
            <v>A</v>
          </cell>
          <cell r="F504" t="str">
            <v>PL</v>
          </cell>
          <cell r="G504" t="str">
            <v>F</v>
          </cell>
          <cell r="H504" t="str">
            <v>A</v>
          </cell>
          <cell r="K504">
            <v>0</v>
          </cell>
          <cell r="L504">
            <v>0</v>
          </cell>
        </row>
        <row r="505">
          <cell r="D505">
            <v>2073</v>
          </cell>
          <cell r="E505" t="str">
            <v>A</v>
          </cell>
          <cell r="F505" t="str">
            <v>PL</v>
          </cell>
          <cell r="G505" t="str">
            <v>F</v>
          </cell>
          <cell r="H505" t="str">
            <v>A</v>
          </cell>
          <cell r="K505">
            <v>0</v>
          </cell>
          <cell r="L505">
            <v>0</v>
          </cell>
        </row>
        <row r="506">
          <cell r="D506">
            <v>2074</v>
          </cell>
          <cell r="E506" t="str">
            <v>C</v>
          </cell>
          <cell r="F506" t="str">
            <v>PL</v>
          </cell>
          <cell r="G506" t="str">
            <v>M</v>
          </cell>
          <cell r="H506" t="str">
            <v>A</v>
          </cell>
          <cell r="K506">
            <v>0</v>
          </cell>
          <cell r="L506">
            <v>0</v>
          </cell>
        </row>
        <row r="507">
          <cell r="D507">
            <v>2075</v>
          </cell>
          <cell r="E507" t="str">
            <v>C</v>
          </cell>
          <cell r="F507" t="str">
            <v>PM</v>
          </cell>
          <cell r="G507" t="str">
            <v>F</v>
          </cell>
          <cell r="H507" t="str">
            <v>A</v>
          </cell>
          <cell r="K507">
            <v>0</v>
          </cell>
          <cell r="L507">
            <v>0</v>
          </cell>
        </row>
        <row r="508">
          <cell r="D508">
            <v>2076</v>
          </cell>
          <cell r="E508" t="str">
            <v>A</v>
          </cell>
          <cell r="F508" t="str">
            <v>PL</v>
          </cell>
          <cell r="G508" t="str">
            <v>F</v>
          </cell>
          <cell r="H508" t="str">
            <v>A</v>
          </cell>
          <cell r="K508">
            <v>0</v>
          </cell>
          <cell r="L508">
            <v>0</v>
          </cell>
        </row>
        <row r="509">
          <cell r="D509">
            <v>2077</v>
          </cell>
          <cell r="E509" t="str">
            <v>A</v>
          </cell>
          <cell r="F509" t="str">
            <v>PL</v>
          </cell>
          <cell r="G509" t="str">
            <v>M</v>
          </cell>
          <cell r="H509" t="str">
            <v>A</v>
          </cell>
          <cell r="K509">
            <v>0</v>
          </cell>
          <cell r="L509">
            <v>0</v>
          </cell>
        </row>
        <row r="510">
          <cell r="D510">
            <v>2078</v>
          </cell>
          <cell r="E510" t="str">
            <v>C</v>
          </cell>
          <cell r="F510" t="str">
            <v>PM</v>
          </cell>
          <cell r="G510" t="str">
            <v>M</v>
          </cell>
          <cell r="H510" t="str">
            <v>A</v>
          </cell>
          <cell r="K510">
            <v>0</v>
          </cell>
          <cell r="L510">
            <v>0</v>
          </cell>
        </row>
        <row r="511">
          <cell r="D511">
            <v>2079</v>
          </cell>
          <cell r="E511" t="str">
            <v>A</v>
          </cell>
          <cell r="F511" t="str">
            <v>PL</v>
          </cell>
          <cell r="G511" t="str">
            <v>M</v>
          </cell>
          <cell r="H511" t="str">
            <v>A</v>
          </cell>
          <cell r="K511">
            <v>0</v>
          </cell>
          <cell r="L511">
            <v>0</v>
          </cell>
        </row>
        <row r="512">
          <cell r="D512">
            <v>2080</v>
          </cell>
          <cell r="E512" t="str">
            <v>C</v>
          </cell>
          <cell r="F512" t="str">
            <v>PL</v>
          </cell>
          <cell r="G512" t="str">
            <v>F</v>
          </cell>
          <cell r="H512" t="str">
            <v>SA</v>
          </cell>
          <cell r="K512">
            <v>0</v>
          </cell>
          <cell r="L512">
            <v>0</v>
          </cell>
        </row>
        <row r="513">
          <cell r="D513">
            <v>2081</v>
          </cell>
          <cell r="E513" t="str">
            <v>A</v>
          </cell>
          <cell r="F513" t="str">
            <v>PL</v>
          </cell>
          <cell r="G513" t="str">
            <v>M</v>
          </cell>
          <cell r="H513" t="str">
            <v>SA</v>
          </cell>
          <cell r="K513">
            <v>0</v>
          </cell>
          <cell r="L513">
            <v>0</v>
          </cell>
        </row>
        <row r="514">
          <cell r="D514">
            <v>2082</v>
          </cell>
          <cell r="E514" t="str">
            <v>C</v>
          </cell>
          <cell r="F514" t="str">
            <v>PL</v>
          </cell>
          <cell r="G514" t="str">
            <v>M</v>
          </cell>
          <cell r="H514" t="str">
            <v>A</v>
          </cell>
          <cell r="K514">
            <v>0</v>
          </cell>
          <cell r="L514">
            <v>0</v>
          </cell>
        </row>
        <row r="515">
          <cell r="D515">
            <v>2083</v>
          </cell>
          <cell r="E515" t="str">
            <v>C</v>
          </cell>
          <cell r="F515" t="str">
            <v>PL</v>
          </cell>
          <cell r="G515" t="str">
            <v>F</v>
          </cell>
          <cell r="H515" t="str">
            <v>A</v>
          </cell>
          <cell r="K515">
            <v>0</v>
          </cell>
          <cell r="L515">
            <v>0</v>
          </cell>
        </row>
        <row r="516">
          <cell r="D516">
            <v>2084</v>
          </cell>
          <cell r="E516" t="str">
            <v>A</v>
          </cell>
          <cell r="F516" t="str">
            <v>PL</v>
          </cell>
          <cell r="G516" t="str">
            <v>M</v>
          </cell>
          <cell r="H516" t="str">
            <v>A</v>
          </cell>
          <cell r="K516">
            <v>0</v>
          </cell>
          <cell r="L516">
            <v>0</v>
          </cell>
        </row>
        <row r="517">
          <cell r="D517">
            <v>2085</v>
          </cell>
          <cell r="E517" t="str">
            <v>C</v>
          </cell>
          <cell r="F517" t="str">
            <v>PM</v>
          </cell>
          <cell r="G517" t="str">
            <v>F</v>
          </cell>
          <cell r="H517" t="str">
            <v>A</v>
          </cell>
          <cell r="K517">
            <v>0</v>
          </cell>
          <cell r="L517">
            <v>0</v>
          </cell>
        </row>
        <row r="518">
          <cell r="D518">
            <v>2086</v>
          </cell>
          <cell r="E518" t="str">
            <v>C</v>
          </cell>
          <cell r="F518" t="str">
            <v>PM</v>
          </cell>
          <cell r="G518" t="str">
            <v>M</v>
          </cell>
          <cell r="H518" t="str">
            <v>A</v>
          </cell>
          <cell r="K518">
            <v>0</v>
          </cell>
          <cell r="L518">
            <v>0</v>
          </cell>
        </row>
        <row r="519">
          <cell r="D519">
            <v>2087</v>
          </cell>
          <cell r="E519" t="str">
            <v>A</v>
          </cell>
          <cell r="F519" t="str">
            <v>PL</v>
          </cell>
          <cell r="G519" t="str">
            <v>F</v>
          </cell>
          <cell r="H519" t="str">
            <v>A</v>
          </cell>
          <cell r="K519">
            <v>0</v>
          </cell>
          <cell r="L519">
            <v>0</v>
          </cell>
        </row>
        <row r="520">
          <cell r="D520">
            <v>2088</v>
          </cell>
          <cell r="E520" t="str">
            <v>C</v>
          </cell>
          <cell r="F520" t="str">
            <v>PL</v>
          </cell>
          <cell r="G520" t="str">
            <v>F</v>
          </cell>
          <cell r="H520" t="str">
            <v>A</v>
          </cell>
          <cell r="K520">
            <v>0</v>
          </cell>
          <cell r="L520">
            <v>0</v>
          </cell>
        </row>
        <row r="521">
          <cell r="D521">
            <v>2089</v>
          </cell>
          <cell r="E521" t="str">
            <v>A</v>
          </cell>
          <cell r="F521" t="str">
            <v>PL</v>
          </cell>
          <cell r="G521" t="str">
            <v>F</v>
          </cell>
          <cell r="H521" t="str">
            <v>SA</v>
          </cell>
          <cell r="K521">
            <v>0</v>
          </cell>
          <cell r="L521">
            <v>0</v>
          </cell>
        </row>
        <row r="522">
          <cell r="D522">
            <v>2090</v>
          </cell>
          <cell r="E522" t="str">
            <v>A</v>
          </cell>
          <cell r="F522" t="str">
            <v>PM</v>
          </cell>
          <cell r="G522" t="str">
            <v>M</v>
          </cell>
          <cell r="H522" t="str">
            <v>A</v>
          </cell>
          <cell r="K522">
            <v>0</v>
          </cell>
          <cell r="L522">
            <v>0</v>
          </cell>
        </row>
        <row r="523">
          <cell r="D523">
            <v>2091</v>
          </cell>
          <cell r="E523" t="str">
            <v>C</v>
          </cell>
          <cell r="F523" t="str">
            <v>PL</v>
          </cell>
          <cell r="G523" t="str">
            <v>M</v>
          </cell>
          <cell r="H523" t="str">
            <v>A</v>
          </cell>
          <cell r="K523">
            <v>0</v>
          </cell>
          <cell r="L523">
            <v>0</v>
          </cell>
        </row>
        <row r="524">
          <cell r="D524">
            <v>2092</v>
          </cell>
          <cell r="E524" t="str">
            <v>A</v>
          </cell>
          <cell r="F524" t="str">
            <v>PL</v>
          </cell>
          <cell r="G524" t="str">
            <v>M</v>
          </cell>
          <cell r="H524" t="str">
            <v>A</v>
          </cell>
          <cell r="K524">
            <v>0</v>
          </cell>
          <cell r="L524">
            <v>0</v>
          </cell>
        </row>
        <row r="525">
          <cell r="D525">
            <v>2093</v>
          </cell>
          <cell r="E525" t="str">
            <v>A</v>
          </cell>
          <cell r="F525" t="str">
            <v>PL</v>
          </cell>
          <cell r="G525" t="str">
            <v>F</v>
          </cell>
          <cell r="H525" t="str">
            <v>SA</v>
          </cell>
          <cell r="K525">
            <v>0</v>
          </cell>
          <cell r="L525">
            <v>0</v>
          </cell>
        </row>
        <row r="526">
          <cell r="D526">
            <v>2094</v>
          </cell>
          <cell r="E526" t="str">
            <v>A</v>
          </cell>
          <cell r="F526" t="str">
            <v>PL</v>
          </cell>
          <cell r="G526" t="str">
            <v>M</v>
          </cell>
          <cell r="H526" t="str">
            <v>A</v>
          </cell>
          <cell r="K526">
            <v>0</v>
          </cell>
          <cell r="L526">
            <v>0</v>
          </cell>
        </row>
        <row r="527">
          <cell r="D527">
            <v>2095</v>
          </cell>
          <cell r="E527" t="str">
            <v>C</v>
          </cell>
          <cell r="F527" t="str">
            <v>PL</v>
          </cell>
          <cell r="G527" t="str">
            <v>M</v>
          </cell>
          <cell r="H527" t="str">
            <v>A</v>
          </cell>
          <cell r="K527">
            <v>0</v>
          </cell>
          <cell r="L527">
            <v>0</v>
          </cell>
        </row>
        <row r="528">
          <cell r="D528">
            <v>2096</v>
          </cell>
          <cell r="E528" t="str">
            <v>C</v>
          </cell>
          <cell r="F528" t="str">
            <v>PL</v>
          </cell>
          <cell r="G528" t="str">
            <v>F</v>
          </cell>
          <cell r="H528" t="str">
            <v>A</v>
          </cell>
          <cell r="K528">
            <v>0</v>
          </cell>
          <cell r="L528">
            <v>0</v>
          </cell>
        </row>
        <row r="529">
          <cell r="D529">
            <v>2097</v>
          </cell>
          <cell r="E529" t="str">
            <v>A</v>
          </cell>
          <cell r="F529" t="str">
            <v>PM</v>
          </cell>
          <cell r="G529" t="str">
            <v>F</v>
          </cell>
          <cell r="H529" t="str">
            <v>A</v>
          </cell>
          <cell r="K529">
            <v>0</v>
          </cell>
          <cell r="L529">
            <v>0</v>
          </cell>
        </row>
        <row r="530">
          <cell r="D530">
            <v>2098</v>
          </cell>
          <cell r="E530" t="str">
            <v>C</v>
          </cell>
          <cell r="F530" t="str">
            <v>PM</v>
          </cell>
          <cell r="G530" t="str">
            <v>M</v>
          </cell>
          <cell r="H530" t="str">
            <v>A</v>
          </cell>
          <cell r="K530">
            <v>0</v>
          </cell>
          <cell r="L530">
            <v>0</v>
          </cell>
        </row>
        <row r="531">
          <cell r="D531">
            <v>2099</v>
          </cell>
          <cell r="E531" t="str">
            <v>A</v>
          </cell>
          <cell r="F531" t="str">
            <v>PL</v>
          </cell>
          <cell r="G531" t="str">
            <v>F</v>
          </cell>
          <cell r="H531" t="str">
            <v>A</v>
          </cell>
          <cell r="K531">
            <v>0</v>
          </cell>
          <cell r="L531">
            <v>0</v>
          </cell>
        </row>
        <row r="532">
          <cell r="D532">
            <v>2100</v>
          </cell>
          <cell r="E532" t="str">
            <v>C</v>
          </cell>
          <cell r="F532" t="str">
            <v>PL</v>
          </cell>
          <cell r="G532" t="str">
            <v>M</v>
          </cell>
          <cell r="H532" t="str">
            <v>A</v>
          </cell>
          <cell r="K532">
            <v>0</v>
          </cell>
          <cell r="L532">
            <v>0</v>
          </cell>
        </row>
        <row r="533">
          <cell r="D533">
            <v>2101</v>
          </cell>
          <cell r="E533" t="str">
            <v>C</v>
          </cell>
          <cell r="F533" t="str">
            <v>PL</v>
          </cell>
          <cell r="G533" t="str">
            <v>M</v>
          </cell>
          <cell r="H533" t="str">
            <v>A</v>
          </cell>
          <cell r="K533">
            <v>0</v>
          </cell>
          <cell r="L533">
            <v>0</v>
          </cell>
        </row>
        <row r="534">
          <cell r="D534">
            <v>2102</v>
          </cell>
          <cell r="E534" t="str">
            <v>C</v>
          </cell>
          <cell r="F534" t="str">
            <v>PL</v>
          </cell>
          <cell r="G534" t="str">
            <v>F</v>
          </cell>
          <cell r="H534" t="str">
            <v>A</v>
          </cell>
          <cell r="K534">
            <v>0</v>
          </cell>
          <cell r="L534">
            <v>0</v>
          </cell>
        </row>
        <row r="535">
          <cell r="D535">
            <v>2103</v>
          </cell>
          <cell r="E535" t="str">
            <v>C</v>
          </cell>
          <cell r="F535" t="str">
            <v>PL</v>
          </cell>
          <cell r="G535" t="str">
            <v>M</v>
          </cell>
          <cell r="H535" t="str">
            <v>A</v>
          </cell>
          <cell r="K535">
            <v>0</v>
          </cell>
          <cell r="L535">
            <v>0</v>
          </cell>
        </row>
        <row r="536">
          <cell r="D536">
            <v>2104</v>
          </cell>
          <cell r="E536" t="str">
            <v>A</v>
          </cell>
          <cell r="F536" t="str">
            <v>PL</v>
          </cell>
          <cell r="G536" t="str">
            <v>M</v>
          </cell>
          <cell r="H536" t="str">
            <v>A</v>
          </cell>
          <cell r="K536">
            <v>0</v>
          </cell>
          <cell r="L536">
            <v>0</v>
          </cell>
        </row>
        <row r="537">
          <cell r="D537">
            <v>2105</v>
          </cell>
          <cell r="E537" t="str">
            <v>A</v>
          </cell>
          <cell r="F537" t="str">
            <v>PL</v>
          </cell>
          <cell r="G537" t="str">
            <v>F</v>
          </cell>
          <cell r="H537" t="str">
            <v>A</v>
          </cell>
          <cell r="K537">
            <v>0</v>
          </cell>
          <cell r="L537">
            <v>0</v>
          </cell>
        </row>
        <row r="538">
          <cell r="D538">
            <v>2106</v>
          </cell>
          <cell r="E538" t="str">
            <v>A</v>
          </cell>
          <cell r="F538" t="str">
            <v>PL</v>
          </cell>
          <cell r="G538" t="str">
            <v>M</v>
          </cell>
          <cell r="H538" t="str">
            <v>A</v>
          </cell>
          <cell r="K538">
            <v>0</v>
          </cell>
          <cell r="L538">
            <v>0</v>
          </cell>
        </row>
        <row r="539">
          <cell r="D539">
            <v>2107</v>
          </cell>
          <cell r="E539" t="str">
            <v>A</v>
          </cell>
          <cell r="F539" t="str">
            <v>PL</v>
          </cell>
          <cell r="G539" t="str">
            <v>F</v>
          </cell>
          <cell r="H539" t="str">
            <v>A</v>
          </cell>
          <cell r="K539">
            <v>0</v>
          </cell>
          <cell r="L539">
            <v>0</v>
          </cell>
        </row>
        <row r="540">
          <cell r="D540">
            <v>2108</v>
          </cell>
          <cell r="E540" t="str">
            <v>A</v>
          </cell>
          <cell r="F540" t="str">
            <v>PL</v>
          </cell>
          <cell r="G540" t="str">
            <v>F</v>
          </cell>
          <cell r="H540" t="str">
            <v>A</v>
          </cell>
          <cell r="K540">
            <v>0</v>
          </cell>
          <cell r="L540">
            <v>0</v>
          </cell>
        </row>
        <row r="541">
          <cell r="D541">
            <v>2109</v>
          </cell>
          <cell r="E541" t="str">
            <v>A</v>
          </cell>
          <cell r="F541" t="str">
            <v>PL</v>
          </cell>
          <cell r="G541" t="str">
            <v>M</v>
          </cell>
          <cell r="H541" t="str">
            <v>A</v>
          </cell>
          <cell r="K541">
            <v>0</v>
          </cell>
          <cell r="L541">
            <v>0</v>
          </cell>
        </row>
        <row r="542">
          <cell r="D542">
            <v>2110</v>
          </cell>
          <cell r="E542" t="str">
            <v>C</v>
          </cell>
          <cell r="F542" t="str">
            <v>PL</v>
          </cell>
          <cell r="G542" t="str">
            <v>M</v>
          </cell>
          <cell r="H542" t="str">
            <v>A</v>
          </cell>
          <cell r="K542">
            <v>0</v>
          </cell>
          <cell r="L542">
            <v>0</v>
          </cell>
        </row>
        <row r="543">
          <cell r="D543">
            <v>2111</v>
          </cell>
          <cell r="E543" t="str">
            <v>A</v>
          </cell>
          <cell r="F543" t="str">
            <v>PL</v>
          </cell>
          <cell r="G543" t="str">
            <v>M</v>
          </cell>
          <cell r="H543" t="str">
            <v>A</v>
          </cell>
          <cell r="K543">
            <v>0</v>
          </cell>
          <cell r="L543">
            <v>0</v>
          </cell>
        </row>
        <row r="544">
          <cell r="D544">
            <v>2112</v>
          </cell>
          <cell r="E544" t="str">
            <v>A</v>
          </cell>
          <cell r="F544" t="str">
            <v>PL</v>
          </cell>
          <cell r="G544" t="str">
            <v>F</v>
          </cell>
          <cell r="H544" t="str">
            <v>A</v>
          </cell>
          <cell r="K544">
            <v>0</v>
          </cell>
          <cell r="L544">
            <v>0</v>
          </cell>
        </row>
        <row r="545">
          <cell r="D545">
            <v>2113</v>
          </cell>
          <cell r="E545" t="str">
            <v>A</v>
          </cell>
          <cell r="F545" t="str">
            <v>PL</v>
          </cell>
          <cell r="G545" t="str">
            <v>M</v>
          </cell>
          <cell r="H545" t="str">
            <v>A</v>
          </cell>
          <cell r="K545">
            <v>0</v>
          </cell>
          <cell r="L545">
            <v>0</v>
          </cell>
        </row>
        <row r="546">
          <cell r="D546">
            <v>2114</v>
          </cell>
          <cell r="E546" t="str">
            <v>A</v>
          </cell>
          <cell r="F546" t="str">
            <v>PL</v>
          </cell>
          <cell r="G546" t="str">
            <v>F</v>
          </cell>
          <cell r="H546" t="str">
            <v>A</v>
          </cell>
          <cell r="K546">
            <v>0</v>
          </cell>
          <cell r="L546">
            <v>0</v>
          </cell>
        </row>
        <row r="547">
          <cell r="D547">
            <v>2115</v>
          </cell>
          <cell r="E547" t="str">
            <v>A</v>
          </cell>
          <cell r="F547" t="str">
            <v>PL</v>
          </cell>
          <cell r="G547" t="str">
            <v>M</v>
          </cell>
          <cell r="H547" t="str">
            <v>A</v>
          </cell>
          <cell r="K547">
            <v>0</v>
          </cell>
          <cell r="L547">
            <v>0</v>
          </cell>
        </row>
        <row r="548">
          <cell r="D548">
            <v>2116</v>
          </cell>
          <cell r="E548" t="str">
            <v>C</v>
          </cell>
          <cell r="F548" t="str">
            <v>PL</v>
          </cell>
          <cell r="G548" t="str">
            <v>F</v>
          </cell>
          <cell r="H548" t="str">
            <v>SA</v>
          </cell>
          <cell r="K548">
            <v>0</v>
          </cell>
          <cell r="L548">
            <v>0</v>
          </cell>
        </row>
        <row r="549">
          <cell r="D549">
            <v>2117</v>
          </cell>
          <cell r="E549" t="str">
            <v>A</v>
          </cell>
          <cell r="F549" t="str">
            <v>PL</v>
          </cell>
          <cell r="G549" t="str">
            <v>F</v>
          </cell>
          <cell r="H549" t="str">
            <v>A</v>
          </cell>
          <cell r="K549">
            <v>0</v>
          </cell>
          <cell r="L549">
            <v>0</v>
          </cell>
        </row>
        <row r="550">
          <cell r="D550">
            <v>2118</v>
          </cell>
          <cell r="E550" t="str">
            <v>C</v>
          </cell>
          <cell r="F550" t="str">
            <v>PL</v>
          </cell>
          <cell r="G550" t="str">
            <v>F</v>
          </cell>
          <cell r="H550" t="str">
            <v>A</v>
          </cell>
          <cell r="K550">
            <v>0</v>
          </cell>
          <cell r="L550">
            <v>0</v>
          </cell>
        </row>
        <row r="551">
          <cell r="D551">
            <v>2119</v>
          </cell>
          <cell r="E551" t="str">
            <v>A</v>
          </cell>
          <cell r="F551" t="str">
            <v>PL</v>
          </cell>
          <cell r="G551" t="str">
            <v>M</v>
          </cell>
          <cell r="H551" t="str">
            <v>A</v>
          </cell>
          <cell r="K551">
            <v>0</v>
          </cell>
          <cell r="L551">
            <v>0</v>
          </cell>
        </row>
        <row r="552">
          <cell r="D552">
            <v>2120</v>
          </cell>
          <cell r="E552" t="str">
            <v>C</v>
          </cell>
          <cell r="F552" t="str">
            <v>PL</v>
          </cell>
          <cell r="G552" t="str">
            <v>F</v>
          </cell>
          <cell r="H552" t="str">
            <v>A</v>
          </cell>
          <cell r="K552">
            <v>0</v>
          </cell>
          <cell r="L552">
            <v>0</v>
          </cell>
        </row>
        <row r="553">
          <cell r="D553">
            <v>2121</v>
          </cell>
          <cell r="E553" t="str">
            <v>C</v>
          </cell>
          <cell r="F553" t="str">
            <v>PL</v>
          </cell>
          <cell r="G553" t="str">
            <v>M</v>
          </cell>
          <cell r="H553" t="str">
            <v>A</v>
          </cell>
          <cell r="K553">
            <v>0</v>
          </cell>
          <cell r="L553">
            <v>0</v>
          </cell>
        </row>
        <row r="554">
          <cell r="D554">
            <v>2122</v>
          </cell>
          <cell r="E554" t="str">
            <v>C</v>
          </cell>
          <cell r="F554" t="str">
            <v>PL</v>
          </cell>
          <cell r="G554" t="str">
            <v>F</v>
          </cell>
          <cell r="H554" t="str">
            <v>A</v>
          </cell>
          <cell r="K554">
            <v>0</v>
          </cell>
          <cell r="L554">
            <v>0</v>
          </cell>
        </row>
        <row r="555">
          <cell r="D555">
            <v>2123</v>
          </cell>
          <cell r="E555" t="str">
            <v>A</v>
          </cell>
          <cell r="F555" t="str">
            <v>PL</v>
          </cell>
          <cell r="G555" t="str">
            <v>M</v>
          </cell>
          <cell r="H555" t="str">
            <v>A</v>
          </cell>
          <cell r="K555">
            <v>0</v>
          </cell>
          <cell r="L555">
            <v>0</v>
          </cell>
        </row>
        <row r="556">
          <cell r="D556">
            <v>2124</v>
          </cell>
          <cell r="E556" t="str">
            <v>A</v>
          </cell>
          <cell r="F556" t="str">
            <v>PL</v>
          </cell>
          <cell r="G556" t="str">
            <v>F</v>
          </cell>
          <cell r="H556" t="str">
            <v>A</v>
          </cell>
          <cell r="K556">
            <v>0</v>
          </cell>
          <cell r="L556">
            <v>0</v>
          </cell>
        </row>
        <row r="557">
          <cell r="D557">
            <v>2126</v>
          </cell>
          <cell r="E557" t="str">
            <v>C</v>
          </cell>
          <cell r="F557" t="str">
            <v>PL</v>
          </cell>
          <cell r="G557" t="str">
            <v>M</v>
          </cell>
          <cell r="H557" t="str">
            <v>A</v>
          </cell>
          <cell r="K557">
            <v>0</v>
          </cell>
          <cell r="L557">
            <v>0</v>
          </cell>
        </row>
        <row r="558">
          <cell r="D558">
            <v>2127</v>
          </cell>
          <cell r="E558" t="str">
            <v>C</v>
          </cell>
          <cell r="F558" t="str">
            <v>PM</v>
          </cell>
          <cell r="G558" t="str">
            <v>M</v>
          </cell>
          <cell r="H558" t="str">
            <v>A</v>
          </cell>
          <cell r="K558">
            <v>0</v>
          </cell>
          <cell r="L558">
            <v>0</v>
          </cell>
        </row>
        <row r="559">
          <cell r="D559">
            <v>2128</v>
          </cell>
          <cell r="E559" t="str">
            <v>A</v>
          </cell>
          <cell r="F559" t="str">
            <v>PL</v>
          </cell>
          <cell r="G559" t="str">
            <v>M</v>
          </cell>
          <cell r="H559" t="str">
            <v>SA</v>
          </cell>
          <cell r="K559">
            <v>0</v>
          </cell>
          <cell r="L559">
            <v>0</v>
          </cell>
        </row>
        <row r="560">
          <cell r="D560">
            <v>2129</v>
          </cell>
          <cell r="E560" t="str">
            <v>A</v>
          </cell>
          <cell r="F560" t="str">
            <v>PM</v>
          </cell>
          <cell r="G560" t="str">
            <v>M</v>
          </cell>
          <cell r="H560" t="str">
            <v>A</v>
          </cell>
          <cell r="K560">
            <v>0</v>
          </cell>
          <cell r="L560">
            <v>0</v>
          </cell>
        </row>
        <row r="561">
          <cell r="D561">
            <v>2130</v>
          </cell>
          <cell r="E561" t="str">
            <v>C</v>
          </cell>
          <cell r="F561" t="str">
            <v>PL</v>
          </cell>
          <cell r="G561" t="str">
            <v>F</v>
          </cell>
          <cell r="H561" t="str">
            <v>A</v>
          </cell>
          <cell r="K561">
            <v>0</v>
          </cell>
          <cell r="L561">
            <v>0</v>
          </cell>
        </row>
        <row r="562">
          <cell r="D562">
            <v>2131</v>
          </cell>
          <cell r="E562" t="str">
            <v>C</v>
          </cell>
          <cell r="F562" t="str">
            <v>PL</v>
          </cell>
          <cell r="G562" t="str">
            <v>F</v>
          </cell>
          <cell r="H562" t="str">
            <v>SA</v>
          </cell>
          <cell r="K562">
            <v>0</v>
          </cell>
          <cell r="L562">
            <v>0</v>
          </cell>
        </row>
        <row r="563">
          <cell r="D563">
            <v>2132</v>
          </cell>
          <cell r="E563" t="str">
            <v>A</v>
          </cell>
          <cell r="F563" t="str">
            <v>PL</v>
          </cell>
          <cell r="G563" t="str">
            <v>F</v>
          </cell>
          <cell r="H563" t="str">
            <v>SA</v>
          </cell>
          <cell r="K563">
            <v>0</v>
          </cell>
          <cell r="L563">
            <v>0</v>
          </cell>
        </row>
        <row r="564">
          <cell r="D564">
            <v>2133</v>
          </cell>
          <cell r="E564" t="str">
            <v>A</v>
          </cell>
          <cell r="F564" t="str">
            <v>PL</v>
          </cell>
          <cell r="G564" t="str">
            <v>M</v>
          </cell>
          <cell r="H564" t="str">
            <v>A</v>
          </cell>
          <cell r="K564">
            <v>0</v>
          </cell>
          <cell r="L564">
            <v>0</v>
          </cell>
        </row>
        <row r="565">
          <cell r="D565">
            <v>2135</v>
          </cell>
          <cell r="E565" t="str">
            <v>A</v>
          </cell>
          <cell r="F565" t="str">
            <v>PL</v>
          </cell>
          <cell r="G565" t="str">
            <v>M</v>
          </cell>
          <cell r="H565" t="str">
            <v>A</v>
          </cell>
          <cell r="K565">
            <v>0</v>
          </cell>
          <cell r="L565">
            <v>0</v>
          </cell>
        </row>
        <row r="566">
          <cell r="D566">
            <v>2136</v>
          </cell>
          <cell r="K566">
            <v>0</v>
          </cell>
          <cell r="L566">
            <v>0</v>
          </cell>
        </row>
        <row r="567">
          <cell r="D567">
            <v>2137</v>
          </cell>
          <cell r="E567" t="str">
            <v>C</v>
          </cell>
          <cell r="F567" t="str">
            <v>PL</v>
          </cell>
          <cell r="G567" t="str">
            <v>F</v>
          </cell>
          <cell r="H567" t="str">
            <v>A</v>
          </cell>
          <cell r="K567">
            <v>0</v>
          </cell>
          <cell r="L567">
            <v>0</v>
          </cell>
        </row>
        <row r="568">
          <cell r="D568">
            <v>2138</v>
          </cell>
          <cell r="E568" t="str">
            <v>A</v>
          </cell>
          <cell r="F568" t="str">
            <v>PL</v>
          </cell>
          <cell r="G568" t="str">
            <v>F</v>
          </cell>
          <cell r="H568" t="str">
            <v>A</v>
          </cell>
          <cell r="K568">
            <v>0</v>
          </cell>
          <cell r="L568">
            <v>0</v>
          </cell>
        </row>
        <row r="569">
          <cell r="D569">
            <v>2139</v>
          </cell>
          <cell r="E569" t="str">
            <v>C</v>
          </cell>
          <cell r="F569" t="str">
            <v>PL</v>
          </cell>
          <cell r="G569" t="str">
            <v>F</v>
          </cell>
          <cell r="H569" t="str">
            <v>SA</v>
          </cell>
          <cell r="K569">
            <v>0</v>
          </cell>
          <cell r="L569">
            <v>0</v>
          </cell>
        </row>
        <row r="570">
          <cell r="D570">
            <v>2140</v>
          </cell>
          <cell r="E570" t="str">
            <v>A</v>
          </cell>
          <cell r="F570" t="str">
            <v>PL</v>
          </cell>
          <cell r="G570" t="str">
            <v>M</v>
          </cell>
          <cell r="H570" t="str">
            <v>SA</v>
          </cell>
          <cell r="K570">
            <v>0</v>
          </cell>
          <cell r="L570">
            <v>0</v>
          </cell>
        </row>
        <row r="571">
          <cell r="D571">
            <v>2141</v>
          </cell>
          <cell r="E571" t="str">
            <v>C</v>
          </cell>
          <cell r="F571" t="str">
            <v>PL</v>
          </cell>
          <cell r="G571" t="str">
            <v>M</v>
          </cell>
          <cell r="H571" t="str">
            <v>A</v>
          </cell>
          <cell r="K571">
            <v>0</v>
          </cell>
          <cell r="L571">
            <v>0</v>
          </cell>
        </row>
        <row r="572">
          <cell r="D572">
            <v>2142</v>
          </cell>
          <cell r="E572" t="str">
            <v>C</v>
          </cell>
          <cell r="F572" t="str">
            <v>PL</v>
          </cell>
          <cell r="G572" t="str">
            <v>M</v>
          </cell>
          <cell r="H572" t="str">
            <v>A</v>
          </cell>
          <cell r="K572">
            <v>0</v>
          </cell>
          <cell r="L572">
            <v>0</v>
          </cell>
        </row>
        <row r="573">
          <cell r="D573">
            <v>2143</v>
          </cell>
          <cell r="E573" t="str">
            <v>C</v>
          </cell>
          <cell r="F573" t="str">
            <v>PL</v>
          </cell>
          <cell r="G573" t="str">
            <v>M</v>
          </cell>
          <cell r="H573" t="str">
            <v>A</v>
          </cell>
          <cell r="K573">
            <v>0</v>
          </cell>
          <cell r="L573">
            <v>0</v>
          </cell>
        </row>
        <row r="574">
          <cell r="D574">
            <v>2144</v>
          </cell>
          <cell r="E574" t="str">
            <v>C</v>
          </cell>
          <cell r="F574" t="str">
            <v>PL</v>
          </cell>
          <cell r="G574" t="str">
            <v>F</v>
          </cell>
          <cell r="H574" t="str">
            <v>A</v>
          </cell>
          <cell r="K574">
            <v>0</v>
          </cell>
          <cell r="L574">
            <v>0</v>
          </cell>
        </row>
        <row r="575">
          <cell r="D575">
            <v>2147</v>
          </cell>
          <cell r="E575" t="str">
            <v>A</v>
          </cell>
          <cell r="F575" t="str">
            <v>PL</v>
          </cell>
          <cell r="G575" t="str">
            <v>M</v>
          </cell>
          <cell r="H575" t="str">
            <v>A</v>
          </cell>
          <cell r="K575">
            <v>0</v>
          </cell>
          <cell r="L575">
            <v>0</v>
          </cell>
        </row>
        <row r="576">
          <cell r="D576">
            <v>2148</v>
          </cell>
          <cell r="E576" t="str">
            <v>A</v>
          </cell>
          <cell r="F576" t="str">
            <v>PL</v>
          </cell>
          <cell r="G576" t="str">
            <v>F</v>
          </cell>
          <cell r="H576" t="str">
            <v>A</v>
          </cell>
          <cell r="K576">
            <v>0</v>
          </cell>
          <cell r="L576">
            <v>0</v>
          </cell>
        </row>
        <row r="577">
          <cell r="D577">
            <v>2149</v>
          </cell>
          <cell r="E577" t="str">
            <v>C</v>
          </cell>
          <cell r="F577" t="str">
            <v>PL</v>
          </cell>
          <cell r="G577" t="str">
            <v>M</v>
          </cell>
          <cell r="H577" t="str">
            <v>A</v>
          </cell>
          <cell r="K577">
            <v>0</v>
          </cell>
          <cell r="L577">
            <v>0</v>
          </cell>
        </row>
        <row r="578">
          <cell r="D578">
            <v>2150</v>
          </cell>
          <cell r="E578" t="str">
            <v>A</v>
          </cell>
          <cell r="F578" t="str">
            <v>PL</v>
          </cell>
          <cell r="G578" t="str">
            <v>F</v>
          </cell>
          <cell r="H578" t="str">
            <v>A</v>
          </cell>
          <cell r="K578">
            <v>0</v>
          </cell>
          <cell r="L578">
            <v>0</v>
          </cell>
        </row>
        <row r="579">
          <cell r="D579">
            <v>2151</v>
          </cell>
          <cell r="E579" t="str">
            <v>A</v>
          </cell>
          <cell r="F579" t="str">
            <v>PM</v>
          </cell>
          <cell r="G579" t="str">
            <v>F</v>
          </cell>
          <cell r="H579" t="str">
            <v>SA</v>
          </cell>
          <cell r="K579">
            <v>0</v>
          </cell>
          <cell r="L579">
            <v>0</v>
          </cell>
        </row>
        <row r="580">
          <cell r="D580">
            <v>2152</v>
          </cell>
          <cell r="E580" t="str">
            <v>A</v>
          </cell>
          <cell r="F580" t="str">
            <v>PL</v>
          </cell>
          <cell r="G580" t="str">
            <v>M</v>
          </cell>
          <cell r="H580" t="str">
            <v>A</v>
          </cell>
          <cell r="K580">
            <v>0</v>
          </cell>
          <cell r="L580">
            <v>0</v>
          </cell>
        </row>
        <row r="581">
          <cell r="D581">
            <v>2153</v>
          </cell>
          <cell r="E581" t="str">
            <v>C</v>
          </cell>
          <cell r="F581" t="str">
            <v>PL</v>
          </cell>
          <cell r="G581" t="str">
            <v>M</v>
          </cell>
          <cell r="H581" t="str">
            <v>A</v>
          </cell>
          <cell r="K581">
            <v>0</v>
          </cell>
          <cell r="L581">
            <v>0</v>
          </cell>
        </row>
        <row r="582">
          <cell r="D582">
            <v>2154</v>
          </cell>
          <cell r="E582" t="str">
            <v>C</v>
          </cell>
          <cell r="F582" t="str">
            <v>PL</v>
          </cell>
          <cell r="G582" t="str">
            <v>M</v>
          </cell>
          <cell r="H582" t="str">
            <v>A</v>
          </cell>
          <cell r="K582">
            <v>0</v>
          </cell>
          <cell r="L582">
            <v>0</v>
          </cell>
        </row>
        <row r="583">
          <cell r="D583">
            <v>2155</v>
          </cell>
          <cell r="E583" t="str">
            <v>A</v>
          </cell>
          <cell r="F583" t="str">
            <v>PL</v>
          </cell>
          <cell r="G583" t="str">
            <v>M</v>
          </cell>
          <cell r="H583" t="str">
            <v>A</v>
          </cell>
          <cell r="K583">
            <v>0</v>
          </cell>
          <cell r="L583">
            <v>0</v>
          </cell>
        </row>
        <row r="584">
          <cell r="D584">
            <v>2156</v>
          </cell>
          <cell r="E584" t="str">
            <v>C</v>
          </cell>
          <cell r="F584" t="str">
            <v>PL</v>
          </cell>
          <cell r="G584" t="str">
            <v>M</v>
          </cell>
          <cell r="H584" t="str">
            <v>A</v>
          </cell>
          <cell r="K584">
            <v>0</v>
          </cell>
          <cell r="L584">
            <v>0</v>
          </cell>
        </row>
        <row r="585">
          <cell r="D585">
            <v>2157</v>
          </cell>
          <cell r="E585" t="str">
            <v>C</v>
          </cell>
          <cell r="F585" t="str">
            <v>PL</v>
          </cell>
          <cell r="G585" t="str">
            <v>F</v>
          </cell>
          <cell r="H585" t="str">
            <v>A</v>
          </cell>
          <cell r="K585">
            <v>0</v>
          </cell>
          <cell r="L585">
            <v>0</v>
          </cell>
        </row>
        <row r="586">
          <cell r="D586">
            <v>2158</v>
          </cell>
          <cell r="E586" t="str">
            <v>C</v>
          </cell>
          <cell r="F586" t="str">
            <v>PL</v>
          </cell>
          <cell r="G586" t="str">
            <v>M</v>
          </cell>
          <cell r="H586" t="str">
            <v>A</v>
          </cell>
          <cell r="K586">
            <v>0</v>
          </cell>
          <cell r="L586">
            <v>0</v>
          </cell>
        </row>
        <row r="587">
          <cell r="D587">
            <v>2159</v>
          </cell>
          <cell r="E587" t="str">
            <v>A</v>
          </cell>
          <cell r="F587" t="str">
            <v>PL</v>
          </cell>
          <cell r="G587" t="str">
            <v>F</v>
          </cell>
          <cell r="H587" t="str">
            <v>A</v>
          </cell>
          <cell r="K587">
            <v>0</v>
          </cell>
          <cell r="L587">
            <v>0</v>
          </cell>
        </row>
        <row r="588">
          <cell r="D588">
            <v>2160</v>
          </cell>
          <cell r="E588" t="str">
            <v>C</v>
          </cell>
          <cell r="F588" t="str">
            <v>PL</v>
          </cell>
          <cell r="G588" t="str">
            <v>M</v>
          </cell>
          <cell r="H588" t="str">
            <v>A</v>
          </cell>
          <cell r="K588">
            <v>0</v>
          </cell>
          <cell r="L588">
            <v>0</v>
          </cell>
        </row>
        <row r="589">
          <cell r="D589">
            <v>2161</v>
          </cell>
          <cell r="E589" t="str">
            <v>C</v>
          </cell>
          <cell r="F589" t="str">
            <v>PL</v>
          </cell>
          <cell r="G589" t="str">
            <v>M</v>
          </cell>
          <cell r="H589" t="str">
            <v>A</v>
          </cell>
          <cell r="K589">
            <v>0</v>
          </cell>
          <cell r="L589">
            <v>0</v>
          </cell>
        </row>
        <row r="590">
          <cell r="D590">
            <v>2162</v>
          </cell>
          <cell r="E590" t="str">
            <v>A</v>
          </cell>
          <cell r="F590" t="str">
            <v>PL</v>
          </cell>
          <cell r="G590" t="str">
            <v>F</v>
          </cell>
          <cell r="H590" t="str">
            <v>A</v>
          </cell>
          <cell r="K590">
            <v>0</v>
          </cell>
          <cell r="L590">
            <v>0</v>
          </cell>
        </row>
        <row r="591">
          <cell r="D591">
            <v>2163</v>
          </cell>
          <cell r="E591" t="str">
            <v>C</v>
          </cell>
          <cell r="F591" t="str">
            <v>PL</v>
          </cell>
          <cell r="G591" t="str">
            <v>M</v>
          </cell>
          <cell r="H591" t="str">
            <v>A</v>
          </cell>
          <cell r="K591">
            <v>0</v>
          </cell>
          <cell r="L591">
            <v>0</v>
          </cell>
        </row>
        <row r="592">
          <cell r="D592">
            <v>2164</v>
          </cell>
          <cell r="E592" t="str">
            <v>C</v>
          </cell>
          <cell r="F592" t="str">
            <v>PL</v>
          </cell>
          <cell r="G592" t="str">
            <v>M</v>
          </cell>
          <cell r="H592" t="str">
            <v>A</v>
          </cell>
          <cell r="K592">
            <v>0</v>
          </cell>
          <cell r="L592">
            <v>0</v>
          </cell>
        </row>
        <row r="593">
          <cell r="D593">
            <v>2165</v>
          </cell>
          <cell r="E593" t="str">
            <v>C</v>
          </cell>
          <cell r="F593" t="str">
            <v>PL</v>
          </cell>
          <cell r="G593" t="str">
            <v>F</v>
          </cell>
          <cell r="H593" t="str">
            <v>A</v>
          </cell>
          <cell r="K593">
            <v>0</v>
          </cell>
          <cell r="L593">
            <v>0</v>
          </cell>
        </row>
        <row r="594">
          <cell r="D594">
            <v>2166</v>
          </cell>
          <cell r="E594" t="str">
            <v>A</v>
          </cell>
          <cell r="F594" t="str">
            <v>PL</v>
          </cell>
          <cell r="G594" t="str">
            <v>M</v>
          </cell>
          <cell r="H594" t="str">
            <v>A</v>
          </cell>
          <cell r="K594">
            <v>0</v>
          </cell>
          <cell r="L594">
            <v>0</v>
          </cell>
        </row>
        <row r="595">
          <cell r="D595">
            <v>2167</v>
          </cell>
          <cell r="E595" t="str">
            <v>C</v>
          </cell>
          <cell r="F595" t="str">
            <v>PL</v>
          </cell>
          <cell r="G595" t="str">
            <v>F</v>
          </cell>
          <cell r="H595" t="str">
            <v>A</v>
          </cell>
          <cell r="K595">
            <v>0</v>
          </cell>
          <cell r="L595">
            <v>0</v>
          </cell>
        </row>
        <row r="596">
          <cell r="D596">
            <v>2168</v>
          </cell>
          <cell r="E596" t="str">
            <v>A</v>
          </cell>
          <cell r="F596" t="str">
            <v>PL</v>
          </cell>
          <cell r="G596" t="str">
            <v>F</v>
          </cell>
          <cell r="H596" t="str">
            <v>A</v>
          </cell>
          <cell r="K596">
            <v>0</v>
          </cell>
          <cell r="L596">
            <v>0</v>
          </cell>
        </row>
        <row r="597">
          <cell r="D597">
            <v>2169</v>
          </cell>
          <cell r="E597" t="str">
            <v>C</v>
          </cell>
          <cell r="F597" t="str">
            <v>PL</v>
          </cell>
          <cell r="G597" t="str">
            <v>F</v>
          </cell>
          <cell r="H597" t="str">
            <v>SA</v>
          </cell>
          <cell r="K597">
            <v>0</v>
          </cell>
          <cell r="L597">
            <v>0</v>
          </cell>
        </row>
        <row r="598">
          <cell r="D598">
            <v>2171</v>
          </cell>
          <cell r="E598" t="str">
            <v>A</v>
          </cell>
          <cell r="F598" t="str">
            <v>PL</v>
          </cell>
          <cell r="G598" t="str">
            <v>F</v>
          </cell>
          <cell r="H598" t="str">
            <v>A</v>
          </cell>
          <cell r="K598">
            <v>0</v>
          </cell>
          <cell r="L598">
            <v>0</v>
          </cell>
        </row>
        <row r="599">
          <cell r="D599">
            <v>2172</v>
          </cell>
          <cell r="E599" t="str">
            <v>A</v>
          </cell>
          <cell r="F599" t="str">
            <v>PL</v>
          </cell>
          <cell r="G599" t="str">
            <v>F</v>
          </cell>
          <cell r="H599" t="str">
            <v>A</v>
          </cell>
          <cell r="K599">
            <v>0</v>
          </cell>
          <cell r="L599">
            <v>0</v>
          </cell>
        </row>
        <row r="600">
          <cell r="D600">
            <v>2173</v>
          </cell>
          <cell r="E600" t="str">
            <v>C</v>
          </cell>
          <cell r="F600" t="str">
            <v>PL</v>
          </cell>
          <cell r="G600" t="str">
            <v>M</v>
          </cell>
          <cell r="H600" t="str">
            <v>A</v>
          </cell>
          <cell r="K600">
            <v>0</v>
          </cell>
          <cell r="L600">
            <v>0</v>
          </cell>
        </row>
        <row r="601">
          <cell r="D601">
            <v>2174</v>
          </cell>
          <cell r="E601" t="str">
            <v>A</v>
          </cell>
          <cell r="F601" t="str">
            <v>PL</v>
          </cell>
          <cell r="G601" t="str">
            <v>F</v>
          </cell>
          <cell r="H601" t="str">
            <v>SA</v>
          </cell>
          <cell r="K601">
            <v>0</v>
          </cell>
          <cell r="L601">
            <v>0</v>
          </cell>
        </row>
        <row r="602">
          <cell r="D602">
            <v>2175</v>
          </cell>
          <cell r="E602" t="str">
            <v>A</v>
          </cell>
          <cell r="F602" t="str">
            <v>PL</v>
          </cell>
          <cell r="G602" t="str">
            <v>F</v>
          </cell>
          <cell r="H602" t="str">
            <v>A</v>
          </cell>
          <cell r="K602">
            <v>0</v>
          </cell>
          <cell r="L602">
            <v>0</v>
          </cell>
        </row>
        <row r="603">
          <cell r="D603">
            <v>2176</v>
          </cell>
          <cell r="E603" t="str">
            <v>C</v>
          </cell>
          <cell r="F603" t="str">
            <v>PL</v>
          </cell>
          <cell r="G603" t="str">
            <v>M</v>
          </cell>
          <cell r="H603" t="str">
            <v>SA</v>
          </cell>
          <cell r="K603">
            <v>0</v>
          </cell>
          <cell r="L603">
            <v>0</v>
          </cell>
        </row>
        <row r="604">
          <cell r="D604">
            <v>2177</v>
          </cell>
          <cell r="E604" t="str">
            <v>C</v>
          </cell>
          <cell r="F604" t="str">
            <v>PL</v>
          </cell>
          <cell r="G604" t="str">
            <v>F</v>
          </cell>
          <cell r="H604" t="str">
            <v>A</v>
          </cell>
          <cell r="K604">
            <v>0</v>
          </cell>
          <cell r="L604">
            <v>0</v>
          </cell>
        </row>
        <row r="605">
          <cell r="D605">
            <v>2178</v>
          </cell>
          <cell r="E605" t="str">
            <v>C</v>
          </cell>
          <cell r="F605" t="str">
            <v>PL</v>
          </cell>
          <cell r="G605" t="str">
            <v>F</v>
          </cell>
          <cell r="H605" t="str">
            <v>A</v>
          </cell>
          <cell r="K605">
            <v>0</v>
          </cell>
          <cell r="L605">
            <v>0</v>
          </cell>
        </row>
        <row r="606">
          <cell r="D606">
            <v>2179</v>
          </cell>
          <cell r="E606" t="str">
            <v>C</v>
          </cell>
          <cell r="F606" t="str">
            <v>PL</v>
          </cell>
          <cell r="G606" t="str">
            <v>M</v>
          </cell>
          <cell r="H606" t="str">
            <v>A</v>
          </cell>
          <cell r="K606">
            <v>0</v>
          </cell>
          <cell r="L606">
            <v>0</v>
          </cell>
        </row>
        <row r="607">
          <cell r="D607">
            <v>2180</v>
          </cell>
          <cell r="E607" t="str">
            <v>A</v>
          </cell>
          <cell r="F607" t="str">
            <v>PL</v>
          </cell>
          <cell r="G607" t="str">
            <v>F</v>
          </cell>
          <cell r="H607" t="str">
            <v>SA</v>
          </cell>
          <cell r="K607">
            <v>0</v>
          </cell>
          <cell r="L607">
            <v>0</v>
          </cell>
        </row>
        <row r="608">
          <cell r="D608">
            <v>2181</v>
          </cell>
          <cell r="E608" t="str">
            <v>A</v>
          </cell>
          <cell r="F608" t="str">
            <v>PL</v>
          </cell>
          <cell r="G608" t="str">
            <v>M</v>
          </cell>
          <cell r="H608" t="str">
            <v>A</v>
          </cell>
          <cell r="K608">
            <v>0</v>
          </cell>
          <cell r="L608">
            <v>0</v>
          </cell>
        </row>
        <row r="609">
          <cell r="D609">
            <v>2182</v>
          </cell>
          <cell r="E609" t="str">
            <v>A</v>
          </cell>
          <cell r="F609" t="str">
            <v>PM</v>
          </cell>
          <cell r="G609" t="str">
            <v>M</v>
          </cell>
          <cell r="H609" t="str">
            <v>A</v>
          </cell>
          <cell r="K609">
            <v>0</v>
          </cell>
          <cell r="L609">
            <v>0</v>
          </cell>
        </row>
        <row r="610">
          <cell r="D610">
            <v>2183</v>
          </cell>
          <cell r="E610" t="str">
            <v>A</v>
          </cell>
          <cell r="F610" t="str">
            <v>PL</v>
          </cell>
          <cell r="G610" t="str">
            <v>F</v>
          </cell>
          <cell r="H610" t="str">
            <v>A</v>
          </cell>
          <cell r="K610">
            <v>0</v>
          </cell>
          <cell r="L610">
            <v>0</v>
          </cell>
        </row>
        <row r="611">
          <cell r="D611">
            <v>2184</v>
          </cell>
          <cell r="E611" t="str">
            <v>C</v>
          </cell>
          <cell r="F611" t="str">
            <v>PL</v>
          </cell>
          <cell r="G611" t="str">
            <v>M</v>
          </cell>
          <cell r="H611" t="str">
            <v>A</v>
          </cell>
          <cell r="K611">
            <v>0</v>
          </cell>
          <cell r="L611">
            <v>0</v>
          </cell>
        </row>
        <row r="612">
          <cell r="D612">
            <v>2185</v>
          </cell>
          <cell r="E612" t="str">
            <v>C</v>
          </cell>
          <cell r="F612" t="str">
            <v>PL</v>
          </cell>
          <cell r="G612" t="str">
            <v>F</v>
          </cell>
          <cell r="H612" t="str">
            <v>A</v>
          </cell>
          <cell r="K612">
            <v>0</v>
          </cell>
          <cell r="L612">
            <v>0</v>
          </cell>
        </row>
        <row r="613">
          <cell r="D613">
            <v>2186</v>
          </cell>
          <cell r="E613" t="str">
            <v>A</v>
          </cell>
          <cell r="F613" t="str">
            <v>PL</v>
          </cell>
          <cell r="G613" t="str">
            <v>F</v>
          </cell>
          <cell r="H613" t="str">
            <v>A</v>
          </cell>
          <cell r="K613">
            <v>0</v>
          </cell>
          <cell r="L613">
            <v>0</v>
          </cell>
        </row>
        <row r="614">
          <cell r="D614">
            <v>2187</v>
          </cell>
          <cell r="E614" t="str">
            <v>A</v>
          </cell>
          <cell r="F614" t="str">
            <v>PL</v>
          </cell>
          <cell r="G614" t="str">
            <v>M</v>
          </cell>
          <cell r="H614" t="str">
            <v>A</v>
          </cell>
          <cell r="K614">
            <v>0</v>
          </cell>
          <cell r="L614">
            <v>0</v>
          </cell>
        </row>
        <row r="615">
          <cell r="D615">
            <v>2188</v>
          </cell>
          <cell r="E615" t="str">
            <v>C</v>
          </cell>
          <cell r="F615" t="str">
            <v>PL</v>
          </cell>
          <cell r="G615" t="str">
            <v>M</v>
          </cell>
          <cell r="H615" t="str">
            <v>A</v>
          </cell>
          <cell r="K615">
            <v>0</v>
          </cell>
          <cell r="L615">
            <v>0</v>
          </cell>
        </row>
        <row r="616">
          <cell r="D616">
            <v>2189</v>
          </cell>
          <cell r="E616" t="str">
            <v>C</v>
          </cell>
          <cell r="F616" t="str">
            <v>PL</v>
          </cell>
          <cell r="G616" t="str">
            <v>M</v>
          </cell>
          <cell r="H616" t="str">
            <v>A</v>
          </cell>
          <cell r="K616">
            <v>0</v>
          </cell>
          <cell r="L616">
            <v>0</v>
          </cell>
        </row>
        <row r="617">
          <cell r="D617">
            <v>2190</v>
          </cell>
          <cell r="E617" t="str">
            <v>A</v>
          </cell>
          <cell r="F617" t="str">
            <v>PM</v>
          </cell>
          <cell r="G617" t="str">
            <v>F</v>
          </cell>
          <cell r="H617" t="str">
            <v>A</v>
          </cell>
          <cell r="K617">
            <v>0</v>
          </cell>
          <cell r="L617">
            <v>0</v>
          </cell>
        </row>
        <row r="618">
          <cell r="D618">
            <v>2191</v>
          </cell>
          <cell r="E618" t="str">
            <v>A</v>
          </cell>
          <cell r="F618" t="str">
            <v>PL</v>
          </cell>
          <cell r="G618" t="str">
            <v>F</v>
          </cell>
          <cell r="H618" t="str">
            <v>A</v>
          </cell>
          <cell r="K618">
            <v>0</v>
          </cell>
          <cell r="L618">
            <v>0</v>
          </cell>
        </row>
        <row r="619">
          <cell r="D619">
            <v>2192</v>
          </cell>
          <cell r="E619" t="str">
            <v>A</v>
          </cell>
          <cell r="F619" t="str">
            <v>PL</v>
          </cell>
          <cell r="G619" t="str">
            <v>F</v>
          </cell>
          <cell r="H619" t="str">
            <v>A</v>
          </cell>
          <cell r="K619">
            <v>0</v>
          </cell>
          <cell r="L619">
            <v>0</v>
          </cell>
        </row>
        <row r="620">
          <cell r="D620">
            <v>2193</v>
          </cell>
          <cell r="E620" t="str">
            <v>A</v>
          </cell>
          <cell r="F620" t="str">
            <v>PM</v>
          </cell>
          <cell r="G620" t="str">
            <v>M</v>
          </cell>
          <cell r="H620" t="str">
            <v>A</v>
          </cell>
          <cell r="K620">
            <v>0</v>
          </cell>
          <cell r="L620">
            <v>0</v>
          </cell>
        </row>
        <row r="621">
          <cell r="D621">
            <v>2194</v>
          </cell>
          <cell r="E621" t="str">
            <v>C</v>
          </cell>
          <cell r="F621" t="str">
            <v>PL</v>
          </cell>
          <cell r="G621" t="str">
            <v>F</v>
          </cell>
          <cell r="H621" t="str">
            <v>SA</v>
          </cell>
          <cell r="K621">
            <v>0</v>
          </cell>
          <cell r="L621">
            <v>0</v>
          </cell>
        </row>
        <row r="622">
          <cell r="D622">
            <v>2195</v>
          </cell>
          <cell r="E622" t="str">
            <v>C</v>
          </cell>
          <cell r="F622" t="str">
            <v>PL</v>
          </cell>
          <cell r="G622" t="str">
            <v>F</v>
          </cell>
          <cell r="H622" t="str">
            <v>A</v>
          </cell>
          <cell r="K622">
            <v>0</v>
          </cell>
          <cell r="L622">
            <v>0</v>
          </cell>
        </row>
        <row r="623">
          <cell r="D623">
            <v>2196</v>
          </cell>
          <cell r="E623" t="str">
            <v>A</v>
          </cell>
          <cell r="F623" t="str">
            <v>PL</v>
          </cell>
          <cell r="G623" t="str">
            <v>M</v>
          </cell>
          <cell r="H623" t="str">
            <v>A</v>
          </cell>
          <cell r="K623">
            <v>0</v>
          </cell>
          <cell r="L623">
            <v>0</v>
          </cell>
        </row>
        <row r="624">
          <cell r="D624">
            <v>2197</v>
          </cell>
          <cell r="E624" t="str">
            <v>C</v>
          </cell>
          <cell r="F624" t="str">
            <v>PL</v>
          </cell>
          <cell r="G624" t="str">
            <v>M</v>
          </cell>
          <cell r="H624" t="str">
            <v>A</v>
          </cell>
          <cell r="K624">
            <v>0</v>
          </cell>
          <cell r="L624">
            <v>0</v>
          </cell>
        </row>
        <row r="625">
          <cell r="D625">
            <v>2198</v>
          </cell>
          <cell r="E625" t="str">
            <v>A</v>
          </cell>
          <cell r="F625" t="str">
            <v>PL</v>
          </cell>
          <cell r="G625" t="str">
            <v>M</v>
          </cell>
          <cell r="H625" t="str">
            <v>A</v>
          </cell>
          <cell r="K625">
            <v>0</v>
          </cell>
          <cell r="L625">
            <v>0</v>
          </cell>
        </row>
        <row r="626">
          <cell r="D626">
            <v>2199</v>
          </cell>
          <cell r="E626" t="str">
            <v>C</v>
          </cell>
          <cell r="F626" t="str">
            <v>PL</v>
          </cell>
          <cell r="G626" t="str">
            <v>M</v>
          </cell>
          <cell r="H626" t="str">
            <v>A</v>
          </cell>
          <cell r="K626">
            <v>0</v>
          </cell>
          <cell r="L626">
            <v>0</v>
          </cell>
        </row>
        <row r="627">
          <cell r="D627">
            <v>2200</v>
          </cell>
          <cell r="E627" t="str">
            <v>A</v>
          </cell>
          <cell r="F627" t="str">
            <v>PL</v>
          </cell>
          <cell r="G627" t="str">
            <v>M</v>
          </cell>
          <cell r="H627" t="str">
            <v>A</v>
          </cell>
          <cell r="K627">
            <v>0</v>
          </cell>
          <cell r="L627">
            <v>0</v>
          </cell>
        </row>
        <row r="628">
          <cell r="D628">
            <v>2201</v>
          </cell>
          <cell r="E628" t="str">
            <v>A</v>
          </cell>
          <cell r="F628" t="str">
            <v>PL</v>
          </cell>
          <cell r="G628" t="str">
            <v>F</v>
          </cell>
          <cell r="H628" t="str">
            <v>A</v>
          </cell>
          <cell r="K628">
            <v>0</v>
          </cell>
          <cell r="L628">
            <v>0</v>
          </cell>
        </row>
        <row r="629">
          <cell r="D629">
            <v>2202</v>
          </cell>
          <cell r="E629" t="str">
            <v>C</v>
          </cell>
          <cell r="F629" t="str">
            <v>PL</v>
          </cell>
          <cell r="G629" t="str">
            <v>M</v>
          </cell>
          <cell r="H629" t="str">
            <v>A</v>
          </cell>
          <cell r="K629">
            <v>0</v>
          </cell>
          <cell r="L629">
            <v>0</v>
          </cell>
        </row>
        <row r="630">
          <cell r="D630">
            <v>2203</v>
          </cell>
          <cell r="E630" t="str">
            <v>A</v>
          </cell>
          <cell r="F630" t="str">
            <v>PL</v>
          </cell>
          <cell r="G630" t="str">
            <v>M</v>
          </cell>
          <cell r="H630" t="str">
            <v>A</v>
          </cell>
          <cell r="K630">
            <v>0</v>
          </cell>
          <cell r="L630">
            <v>0</v>
          </cell>
        </row>
        <row r="631">
          <cell r="D631">
            <v>2204</v>
          </cell>
          <cell r="E631" t="str">
            <v>C</v>
          </cell>
          <cell r="F631" t="str">
            <v>PL</v>
          </cell>
          <cell r="G631" t="str">
            <v>M</v>
          </cell>
          <cell r="H631" t="str">
            <v>A</v>
          </cell>
          <cell r="K631">
            <v>0</v>
          </cell>
          <cell r="L631">
            <v>0</v>
          </cell>
        </row>
        <row r="632">
          <cell r="D632">
            <v>2205</v>
          </cell>
          <cell r="E632" t="str">
            <v>A</v>
          </cell>
          <cell r="F632" t="str">
            <v>PL</v>
          </cell>
          <cell r="G632" t="str">
            <v>M</v>
          </cell>
          <cell r="H632" t="str">
            <v>A</v>
          </cell>
          <cell r="K632">
            <v>0</v>
          </cell>
          <cell r="L632">
            <v>0</v>
          </cell>
        </row>
        <row r="633">
          <cell r="D633">
            <v>2206</v>
          </cell>
          <cell r="E633" t="str">
            <v>A</v>
          </cell>
          <cell r="F633" t="str">
            <v>PL</v>
          </cell>
          <cell r="G633" t="str">
            <v>F</v>
          </cell>
          <cell r="H633" t="str">
            <v>A</v>
          </cell>
          <cell r="K633">
            <v>0</v>
          </cell>
          <cell r="L633">
            <v>0</v>
          </cell>
        </row>
        <row r="634">
          <cell r="D634">
            <v>2207</v>
          </cell>
          <cell r="E634" t="str">
            <v>C</v>
          </cell>
          <cell r="F634" t="str">
            <v>PL</v>
          </cell>
          <cell r="G634" t="str">
            <v>F</v>
          </cell>
          <cell r="H634" t="str">
            <v>SA</v>
          </cell>
          <cell r="K634">
            <v>0</v>
          </cell>
          <cell r="L634">
            <v>0</v>
          </cell>
        </row>
        <row r="635">
          <cell r="D635">
            <v>2208</v>
          </cell>
          <cell r="E635" t="str">
            <v>A</v>
          </cell>
          <cell r="F635" t="str">
            <v>PL</v>
          </cell>
          <cell r="G635" t="str">
            <v>F</v>
          </cell>
          <cell r="H635" t="str">
            <v>A</v>
          </cell>
          <cell r="K635">
            <v>0</v>
          </cell>
          <cell r="L635">
            <v>0</v>
          </cell>
        </row>
        <row r="636">
          <cell r="D636">
            <v>2209</v>
          </cell>
          <cell r="E636" t="str">
            <v>C</v>
          </cell>
          <cell r="F636" t="str">
            <v>PL</v>
          </cell>
          <cell r="G636" t="str">
            <v>M</v>
          </cell>
          <cell r="H636" t="str">
            <v>A</v>
          </cell>
          <cell r="K636">
            <v>0</v>
          </cell>
          <cell r="L636">
            <v>0</v>
          </cell>
        </row>
        <row r="637">
          <cell r="D637">
            <v>2210</v>
          </cell>
          <cell r="E637" t="str">
            <v>C</v>
          </cell>
          <cell r="F637" t="str">
            <v>PL</v>
          </cell>
          <cell r="G637" t="str">
            <v>M</v>
          </cell>
          <cell r="H637" t="str">
            <v>A</v>
          </cell>
          <cell r="K637">
            <v>0</v>
          </cell>
          <cell r="L637">
            <v>0</v>
          </cell>
        </row>
        <row r="638">
          <cell r="D638">
            <v>2211</v>
          </cell>
          <cell r="E638" t="str">
            <v>A</v>
          </cell>
          <cell r="F638" t="str">
            <v>PL</v>
          </cell>
          <cell r="G638" t="str">
            <v>F</v>
          </cell>
          <cell r="H638" t="str">
            <v>A</v>
          </cell>
          <cell r="K638">
            <v>0</v>
          </cell>
          <cell r="L638">
            <v>0</v>
          </cell>
        </row>
        <row r="639">
          <cell r="D639">
            <v>2212</v>
          </cell>
          <cell r="E639" t="str">
            <v>A</v>
          </cell>
          <cell r="F639" t="str">
            <v>PL</v>
          </cell>
          <cell r="G639" t="str">
            <v>M</v>
          </cell>
          <cell r="H639" t="str">
            <v>A</v>
          </cell>
          <cell r="K639">
            <v>0</v>
          </cell>
          <cell r="L639">
            <v>0</v>
          </cell>
        </row>
        <row r="640">
          <cell r="D640">
            <v>2213</v>
          </cell>
          <cell r="E640" t="str">
            <v>A</v>
          </cell>
          <cell r="F640" t="str">
            <v>PL</v>
          </cell>
          <cell r="G640" t="str">
            <v>F</v>
          </cell>
          <cell r="H640" t="str">
            <v>A</v>
          </cell>
          <cell r="K640">
            <v>0</v>
          </cell>
          <cell r="L640">
            <v>0</v>
          </cell>
        </row>
        <row r="641">
          <cell r="D641">
            <v>2214</v>
          </cell>
          <cell r="E641" t="str">
            <v>A</v>
          </cell>
          <cell r="F641" t="str">
            <v>PL</v>
          </cell>
          <cell r="G641" t="str">
            <v>F</v>
          </cell>
          <cell r="H641" t="str">
            <v>A</v>
          </cell>
          <cell r="K641">
            <v>0</v>
          </cell>
          <cell r="L641">
            <v>0</v>
          </cell>
        </row>
        <row r="642">
          <cell r="D642">
            <v>2215</v>
          </cell>
          <cell r="E642" t="str">
            <v>A</v>
          </cell>
          <cell r="F642" t="str">
            <v>PL</v>
          </cell>
          <cell r="G642" t="str">
            <v>F</v>
          </cell>
          <cell r="H642" t="str">
            <v>A</v>
          </cell>
          <cell r="K642">
            <v>0</v>
          </cell>
          <cell r="L642">
            <v>0</v>
          </cell>
        </row>
        <row r="643">
          <cell r="D643">
            <v>2216</v>
          </cell>
          <cell r="E643" t="str">
            <v>C</v>
          </cell>
          <cell r="F643" t="str">
            <v>PL</v>
          </cell>
          <cell r="G643" t="str">
            <v>M</v>
          </cell>
          <cell r="H643" t="str">
            <v>A</v>
          </cell>
          <cell r="K643">
            <v>0</v>
          </cell>
          <cell r="L643">
            <v>0</v>
          </cell>
        </row>
        <row r="644">
          <cell r="D644">
            <v>2217</v>
          </cell>
          <cell r="E644" t="str">
            <v>A</v>
          </cell>
          <cell r="F644" t="str">
            <v>PL</v>
          </cell>
          <cell r="G644" t="str">
            <v>M</v>
          </cell>
          <cell r="H644" t="str">
            <v>A</v>
          </cell>
          <cell r="K644">
            <v>0</v>
          </cell>
          <cell r="L644">
            <v>0</v>
          </cell>
        </row>
        <row r="645">
          <cell r="D645">
            <v>2218</v>
          </cell>
          <cell r="E645" t="str">
            <v>C</v>
          </cell>
          <cell r="F645" t="str">
            <v>PM</v>
          </cell>
          <cell r="G645" t="str">
            <v>M</v>
          </cell>
          <cell r="H645" t="str">
            <v>A</v>
          </cell>
          <cell r="K645">
            <v>0</v>
          </cell>
          <cell r="L645">
            <v>0</v>
          </cell>
        </row>
        <row r="646">
          <cell r="D646">
            <v>2219</v>
          </cell>
          <cell r="E646" t="str">
            <v>A</v>
          </cell>
          <cell r="F646" t="str">
            <v>PL</v>
          </cell>
          <cell r="G646" t="str">
            <v>M</v>
          </cell>
          <cell r="H646" t="str">
            <v>A</v>
          </cell>
          <cell r="K646">
            <v>0</v>
          </cell>
          <cell r="L646">
            <v>0</v>
          </cell>
        </row>
        <row r="647">
          <cell r="D647">
            <v>2220</v>
          </cell>
          <cell r="E647" t="str">
            <v>A</v>
          </cell>
          <cell r="F647" t="str">
            <v>PL</v>
          </cell>
          <cell r="G647" t="str">
            <v>M</v>
          </cell>
          <cell r="H647" t="str">
            <v>A</v>
          </cell>
          <cell r="K647">
            <v>0</v>
          </cell>
          <cell r="L647">
            <v>0</v>
          </cell>
        </row>
        <row r="648">
          <cell r="D648">
            <v>2221</v>
          </cell>
          <cell r="E648" t="str">
            <v>A</v>
          </cell>
          <cell r="F648" t="str">
            <v>PM</v>
          </cell>
          <cell r="G648" t="str">
            <v>F</v>
          </cell>
          <cell r="H648" t="str">
            <v>SA</v>
          </cell>
          <cell r="K648">
            <v>0</v>
          </cell>
          <cell r="L648">
            <v>0</v>
          </cell>
        </row>
        <row r="649">
          <cell r="D649">
            <v>2222</v>
          </cell>
          <cell r="E649" t="str">
            <v>C</v>
          </cell>
          <cell r="F649" t="str">
            <v>PL</v>
          </cell>
          <cell r="G649" t="str">
            <v>M</v>
          </cell>
          <cell r="H649" t="str">
            <v>A</v>
          </cell>
          <cell r="K649">
            <v>0</v>
          </cell>
          <cell r="L649">
            <v>0</v>
          </cell>
        </row>
        <row r="650">
          <cell r="D650">
            <v>2223</v>
          </cell>
          <cell r="E650" t="str">
            <v>A</v>
          </cell>
          <cell r="F650" t="str">
            <v>PL</v>
          </cell>
          <cell r="G650" t="str">
            <v>F</v>
          </cell>
          <cell r="H650" t="str">
            <v>A</v>
          </cell>
          <cell r="K650">
            <v>0</v>
          </cell>
          <cell r="L650">
            <v>0</v>
          </cell>
        </row>
        <row r="651">
          <cell r="D651">
            <v>2224</v>
          </cell>
          <cell r="E651" t="str">
            <v>A</v>
          </cell>
          <cell r="F651" t="str">
            <v>PL</v>
          </cell>
          <cell r="G651" t="str">
            <v>M</v>
          </cell>
          <cell r="H651" t="str">
            <v>A</v>
          </cell>
          <cell r="K651">
            <v>0</v>
          </cell>
          <cell r="L651">
            <v>0</v>
          </cell>
        </row>
        <row r="652">
          <cell r="D652">
            <v>2225</v>
          </cell>
          <cell r="E652" t="str">
            <v>C</v>
          </cell>
          <cell r="F652" t="str">
            <v>PL</v>
          </cell>
          <cell r="G652" t="str">
            <v>F</v>
          </cell>
          <cell r="H652" t="str">
            <v>A</v>
          </cell>
          <cell r="K652">
            <v>0</v>
          </cell>
          <cell r="L652">
            <v>0</v>
          </cell>
        </row>
        <row r="653">
          <cell r="D653">
            <v>2226</v>
          </cell>
          <cell r="E653" t="str">
            <v>A</v>
          </cell>
          <cell r="F653" t="str">
            <v>PL</v>
          </cell>
          <cell r="G653" t="str">
            <v>M</v>
          </cell>
          <cell r="H653" t="str">
            <v>A</v>
          </cell>
          <cell r="K653">
            <v>0</v>
          </cell>
          <cell r="L653">
            <v>0</v>
          </cell>
        </row>
        <row r="654">
          <cell r="D654">
            <v>2227</v>
          </cell>
          <cell r="E654" t="str">
            <v>A</v>
          </cell>
          <cell r="F654" t="str">
            <v>PL</v>
          </cell>
          <cell r="G654" t="str">
            <v>M</v>
          </cell>
          <cell r="H654" t="str">
            <v>A</v>
          </cell>
          <cell r="K654">
            <v>0</v>
          </cell>
          <cell r="L654">
            <v>0</v>
          </cell>
        </row>
        <row r="655">
          <cell r="D655">
            <v>2228</v>
          </cell>
          <cell r="E655" t="str">
            <v>C</v>
          </cell>
          <cell r="F655" t="str">
            <v>PL</v>
          </cell>
          <cell r="G655" t="str">
            <v>M</v>
          </cell>
          <cell r="H655" t="str">
            <v>A</v>
          </cell>
          <cell r="K655">
            <v>0</v>
          </cell>
          <cell r="L655">
            <v>0</v>
          </cell>
        </row>
        <row r="656">
          <cell r="D656">
            <v>2229</v>
          </cell>
          <cell r="E656" t="str">
            <v>C</v>
          </cell>
          <cell r="F656" t="str">
            <v>PL</v>
          </cell>
          <cell r="G656" t="str">
            <v>M</v>
          </cell>
          <cell r="H656" t="str">
            <v>A</v>
          </cell>
          <cell r="K656">
            <v>0</v>
          </cell>
          <cell r="L656">
            <v>0</v>
          </cell>
        </row>
        <row r="657">
          <cell r="D657">
            <v>2230</v>
          </cell>
          <cell r="E657" t="str">
            <v>A</v>
          </cell>
          <cell r="F657" t="str">
            <v>PL</v>
          </cell>
          <cell r="G657" t="str">
            <v>F</v>
          </cell>
          <cell r="H657" t="str">
            <v>A</v>
          </cell>
          <cell r="K657">
            <v>0</v>
          </cell>
          <cell r="L657">
            <v>0</v>
          </cell>
        </row>
        <row r="658">
          <cell r="D658">
            <v>2231</v>
          </cell>
          <cell r="E658" t="str">
            <v>A</v>
          </cell>
          <cell r="F658" t="str">
            <v>PL</v>
          </cell>
          <cell r="G658" t="str">
            <v>M</v>
          </cell>
          <cell r="H658" t="str">
            <v>A</v>
          </cell>
          <cell r="K658">
            <v>0</v>
          </cell>
          <cell r="L658">
            <v>0</v>
          </cell>
        </row>
        <row r="659">
          <cell r="D659">
            <v>2232</v>
          </cell>
          <cell r="E659" t="str">
            <v>C</v>
          </cell>
          <cell r="F659" t="str">
            <v>PM</v>
          </cell>
          <cell r="G659" t="str">
            <v>F</v>
          </cell>
          <cell r="H659" t="str">
            <v>A</v>
          </cell>
          <cell r="K659">
            <v>0</v>
          </cell>
          <cell r="L659">
            <v>0</v>
          </cell>
        </row>
        <row r="660">
          <cell r="D660">
            <v>2233</v>
          </cell>
          <cell r="E660" t="str">
            <v>C</v>
          </cell>
          <cell r="F660" t="str">
            <v>PM</v>
          </cell>
          <cell r="G660" t="str">
            <v>F</v>
          </cell>
          <cell r="H660" t="str">
            <v>A</v>
          </cell>
          <cell r="K660">
            <v>0</v>
          </cell>
          <cell r="L660">
            <v>0</v>
          </cell>
        </row>
        <row r="661">
          <cell r="D661">
            <v>2234</v>
          </cell>
          <cell r="E661" t="str">
            <v>A</v>
          </cell>
          <cell r="F661" t="str">
            <v>PL</v>
          </cell>
          <cell r="G661" t="str">
            <v>M</v>
          </cell>
          <cell r="H661" t="str">
            <v>A</v>
          </cell>
          <cell r="K661">
            <v>0</v>
          </cell>
          <cell r="L661">
            <v>0</v>
          </cell>
        </row>
        <row r="662">
          <cell r="D662">
            <v>2235</v>
          </cell>
          <cell r="E662" t="str">
            <v>A</v>
          </cell>
          <cell r="F662" t="str">
            <v>PL</v>
          </cell>
          <cell r="G662" t="str">
            <v>F</v>
          </cell>
          <cell r="H662" t="str">
            <v>A</v>
          </cell>
          <cell r="K662">
            <v>0</v>
          </cell>
          <cell r="L662">
            <v>0</v>
          </cell>
        </row>
        <row r="663">
          <cell r="D663">
            <v>2236</v>
          </cell>
          <cell r="E663" t="str">
            <v>A</v>
          </cell>
          <cell r="F663" t="str">
            <v>PM</v>
          </cell>
          <cell r="G663" t="str">
            <v>F</v>
          </cell>
          <cell r="H663" t="str">
            <v>A</v>
          </cell>
          <cell r="K663">
            <v>0</v>
          </cell>
          <cell r="L663">
            <v>0</v>
          </cell>
        </row>
        <row r="664">
          <cell r="D664">
            <v>2237</v>
          </cell>
          <cell r="E664" t="str">
            <v>C</v>
          </cell>
          <cell r="F664" t="str">
            <v>PL</v>
          </cell>
          <cell r="G664" t="str">
            <v>M</v>
          </cell>
          <cell r="H664" t="str">
            <v>SA</v>
          </cell>
          <cell r="K664">
            <v>0</v>
          </cell>
          <cell r="L664">
            <v>0</v>
          </cell>
        </row>
        <row r="665">
          <cell r="D665">
            <v>2238</v>
          </cell>
          <cell r="E665" t="str">
            <v>C</v>
          </cell>
          <cell r="F665" t="str">
            <v>PL</v>
          </cell>
          <cell r="G665" t="str">
            <v>F</v>
          </cell>
          <cell r="H665" t="str">
            <v>SA</v>
          </cell>
          <cell r="K665">
            <v>0</v>
          </cell>
          <cell r="L665">
            <v>0</v>
          </cell>
        </row>
        <row r="666">
          <cell r="D666">
            <v>2239</v>
          </cell>
          <cell r="E666" t="str">
            <v>C</v>
          </cell>
          <cell r="F666" t="str">
            <v>PL</v>
          </cell>
          <cell r="G666" t="str">
            <v>F</v>
          </cell>
          <cell r="H666" t="str">
            <v>A</v>
          </cell>
          <cell r="K666">
            <v>0</v>
          </cell>
          <cell r="L666">
            <v>0</v>
          </cell>
        </row>
        <row r="667">
          <cell r="D667">
            <v>2240</v>
          </cell>
          <cell r="E667" t="str">
            <v>C</v>
          </cell>
          <cell r="F667" t="str">
            <v>PL</v>
          </cell>
          <cell r="G667" t="str">
            <v>M</v>
          </cell>
          <cell r="H667" t="str">
            <v>A</v>
          </cell>
          <cell r="K667">
            <v>0</v>
          </cell>
          <cell r="L667">
            <v>0</v>
          </cell>
        </row>
        <row r="668">
          <cell r="D668">
            <v>2241</v>
          </cell>
          <cell r="E668" t="str">
            <v>C</v>
          </cell>
          <cell r="F668" t="str">
            <v>PL</v>
          </cell>
          <cell r="G668" t="str">
            <v>F</v>
          </cell>
          <cell r="H668" t="str">
            <v>A</v>
          </cell>
          <cell r="K668">
            <v>0</v>
          </cell>
          <cell r="L668">
            <v>0</v>
          </cell>
        </row>
        <row r="669">
          <cell r="D669">
            <v>2242</v>
          </cell>
          <cell r="E669" t="str">
            <v>C</v>
          </cell>
          <cell r="F669" t="str">
            <v>PL</v>
          </cell>
          <cell r="G669" t="str">
            <v>F</v>
          </cell>
          <cell r="H669" t="str">
            <v>A</v>
          </cell>
          <cell r="K669">
            <v>0</v>
          </cell>
          <cell r="L669">
            <v>0</v>
          </cell>
        </row>
        <row r="670">
          <cell r="D670">
            <v>2243</v>
          </cell>
          <cell r="E670" t="str">
            <v>C</v>
          </cell>
          <cell r="F670" t="str">
            <v>PL</v>
          </cell>
          <cell r="G670" t="str">
            <v>M</v>
          </cell>
          <cell r="H670" t="str">
            <v>A</v>
          </cell>
          <cell r="K670">
            <v>0</v>
          </cell>
          <cell r="L670">
            <v>0</v>
          </cell>
        </row>
        <row r="671">
          <cell r="D671">
            <v>2244</v>
          </cell>
          <cell r="E671" t="str">
            <v>C</v>
          </cell>
          <cell r="F671" t="str">
            <v>PL</v>
          </cell>
          <cell r="G671" t="str">
            <v>M</v>
          </cell>
          <cell r="H671" t="str">
            <v>A</v>
          </cell>
          <cell r="K671">
            <v>0</v>
          </cell>
          <cell r="L671">
            <v>0</v>
          </cell>
        </row>
        <row r="672">
          <cell r="D672">
            <v>2246</v>
          </cell>
          <cell r="E672" t="str">
            <v>C</v>
          </cell>
          <cell r="F672" t="str">
            <v>PL</v>
          </cell>
          <cell r="G672" t="str">
            <v>M</v>
          </cell>
          <cell r="H672" t="str">
            <v>SA</v>
          </cell>
          <cell r="K672">
            <v>0</v>
          </cell>
          <cell r="L672">
            <v>0</v>
          </cell>
        </row>
        <row r="673">
          <cell r="D673">
            <v>2247</v>
          </cell>
          <cell r="E673" t="str">
            <v>A</v>
          </cell>
          <cell r="F673" t="str">
            <v>PL</v>
          </cell>
          <cell r="G673" t="str">
            <v>M</v>
          </cell>
          <cell r="H673" t="str">
            <v>A</v>
          </cell>
          <cell r="K673">
            <v>0</v>
          </cell>
          <cell r="L673">
            <v>0</v>
          </cell>
        </row>
        <row r="674">
          <cell r="D674">
            <v>2248</v>
          </cell>
          <cell r="E674" t="str">
            <v>A</v>
          </cell>
          <cell r="F674" t="str">
            <v>PL</v>
          </cell>
          <cell r="G674" t="str">
            <v>F</v>
          </cell>
          <cell r="H674" t="str">
            <v>A</v>
          </cell>
          <cell r="K674">
            <v>0</v>
          </cell>
          <cell r="L674">
            <v>0</v>
          </cell>
        </row>
        <row r="675">
          <cell r="D675">
            <v>2249</v>
          </cell>
          <cell r="E675" t="str">
            <v>C</v>
          </cell>
          <cell r="F675" t="str">
            <v>PL</v>
          </cell>
          <cell r="G675" t="str">
            <v>F</v>
          </cell>
          <cell r="H675" t="str">
            <v>A</v>
          </cell>
          <cell r="K675">
            <v>0</v>
          </cell>
          <cell r="L675">
            <v>0</v>
          </cell>
        </row>
        <row r="676">
          <cell r="D676">
            <v>2250</v>
          </cell>
          <cell r="E676" t="str">
            <v>C</v>
          </cell>
          <cell r="F676" t="str">
            <v>PL</v>
          </cell>
          <cell r="G676" t="str">
            <v>F</v>
          </cell>
          <cell r="H676" t="str">
            <v>A</v>
          </cell>
          <cell r="K676">
            <v>0</v>
          </cell>
          <cell r="L676">
            <v>0</v>
          </cell>
        </row>
        <row r="677">
          <cell r="D677">
            <v>2251</v>
          </cell>
          <cell r="E677" t="str">
            <v>A</v>
          </cell>
          <cell r="F677" t="str">
            <v>PL</v>
          </cell>
          <cell r="G677" t="str">
            <v>M</v>
          </cell>
          <cell r="H677" t="str">
            <v>A</v>
          </cell>
          <cell r="K677">
            <v>0</v>
          </cell>
          <cell r="L677">
            <v>0</v>
          </cell>
        </row>
        <row r="678">
          <cell r="D678">
            <v>2252</v>
          </cell>
          <cell r="E678" t="str">
            <v>A</v>
          </cell>
          <cell r="F678" t="str">
            <v>PL</v>
          </cell>
          <cell r="G678" t="str">
            <v>M</v>
          </cell>
          <cell r="H678" t="str">
            <v>SA</v>
          </cell>
          <cell r="K678">
            <v>0</v>
          </cell>
          <cell r="L678">
            <v>0</v>
          </cell>
        </row>
        <row r="679">
          <cell r="D679">
            <v>2253</v>
          </cell>
          <cell r="E679" t="str">
            <v>C</v>
          </cell>
          <cell r="F679" t="str">
            <v>PL</v>
          </cell>
          <cell r="G679" t="str">
            <v>F</v>
          </cell>
          <cell r="H679" t="str">
            <v>A</v>
          </cell>
          <cell r="K679">
            <v>0</v>
          </cell>
          <cell r="L679">
            <v>0</v>
          </cell>
        </row>
        <row r="680">
          <cell r="D680">
            <v>2254</v>
          </cell>
          <cell r="E680" t="str">
            <v>A</v>
          </cell>
          <cell r="F680" t="str">
            <v>PL</v>
          </cell>
          <cell r="G680" t="str">
            <v>F</v>
          </cell>
          <cell r="H680" t="str">
            <v>A</v>
          </cell>
          <cell r="K680">
            <v>0</v>
          </cell>
          <cell r="L680">
            <v>0</v>
          </cell>
        </row>
        <row r="681">
          <cell r="D681">
            <v>2255</v>
          </cell>
          <cell r="E681" t="str">
            <v>A</v>
          </cell>
          <cell r="F681" t="str">
            <v>PL</v>
          </cell>
          <cell r="G681" t="str">
            <v>F</v>
          </cell>
          <cell r="H681" t="str">
            <v>A</v>
          </cell>
          <cell r="K681">
            <v>0</v>
          </cell>
          <cell r="L681">
            <v>0</v>
          </cell>
        </row>
        <row r="682">
          <cell r="D682">
            <v>2256</v>
          </cell>
          <cell r="E682" t="str">
            <v>A</v>
          </cell>
          <cell r="F682" t="str">
            <v>PL</v>
          </cell>
          <cell r="G682" t="str">
            <v>M</v>
          </cell>
          <cell r="H682" t="str">
            <v>A</v>
          </cell>
          <cell r="K682">
            <v>0</v>
          </cell>
          <cell r="L682">
            <v>0</v>
          </cell>
        </row>
        <row r="683">
          <cell r="D683">
            <v>2257</v>
          </cell>
          <cell r="E683" t="str">
            <v>C</v>
          </cell>
          <cell r="F683" t="str">
            <v>PL</v>
          </cell>
          <cell r="G683" t="str">
            <v>M</v>
          </cell>
          <cell r="H683" t="str">
            <v>A</v>
          </cell>
          <cell r="K683">
            <v>0</v>
          </cell>
          <cell r="L683">
            <v>0</v>
          </cell>
        </row>
        <row r="684">
          <cell r="D684">
            <v>2258</v>
          </cell>
          <cell r="E684" t="str">
            <v>A</v>
          </cell>
          <cell r="F684" t="str">
            <v>PL</v>
          </cell>
          <cell r="G684" t="str">
            <v>M</v>
          </cell>
          <cell r="H684" t="str">
            <v>A</v>
          </cell>
          <cell r="K684">
            <v>0</v>
          </cell>
          <cell r="L684">
            <v>0</v>
          </cell>
        </row>
        <row r="685">
          <cell r="D685">
            <v>2259</v>
          </cell>
          <cell r="E685" t="str">
            <v>A</v>
          </cell>
          <cell r="F685" t="str">
            <v>PL</v>
          </cell>
          <cell r="G685" t="str">
            <v>M</v>
          </cell>
          <cell r="H685" t="str">
            <v>SA</v>
          </cell>
          <cell r="K685">
            <v>0</v>
          </cell>
          <cell r="L685">
            <v>0</v>
          </cell>
        </row>
        <row r="686">
          <cell r="D686">
            <v>2260</v>
          </cell>
          <cell r="E686" t="str">
            <v>A</v>
          </cell>
          <cell r="F686" t="str">
            <v>PL</v>
          </cell>
          <cell r="G686" t="str">
            <v>F</v>
          </cell>
          <cell r="H686" t="str">
            <v>A</v>
          </cell>
          <cell r="K686">
            <v>0</v>
          </cell>
          <cell r="L686">
            <v>0</v>
          </cell>
        </row>
        <row r="687">
          <cell r="D687">
            <v>2261</v>
          </cell>
          <cell r="K687">
            <v>0</v>
          </cell>
          <cell r="L687">
            <v>0</v>
          </cell>
        </row>
        <row r="688">
          <cell r="D688">
            <v>2262</v>
          </cell>
          <cell r="E688" t="str">
            <v>(injured, euthanized)</v>
          </cell>
          <cell r="F688" t="str">
            <v>PL</v>
          </cell>
          <cell r="G688" t="str">
            <v>M</v>
          </cell>
          <cell r="H688" t="str">
            <v>J</v>
          </cell>
          <cell r="K688">
            <v>0</v>
          </cell>
          <cell r="L688">
            <v>0</v>
          </cell>
        </row>
        <row r="689">
          <cell r="D689">
            <v>2263</v>
          </cell>
          <cell r="E689" t="str">
            <v>C</v>
          </cell>
          <cell r="F689" t="str">
            <v>PL</v>
          </cell>
          <cell r="G689" t="str">
            <v>F</v>
          </cell>
          <cell r="H689" t="str">
            <v>A</v>
          </cell>
          <cell r="K689">
            <v>0</v>
          </cell>
          <cell r="L689">
            <v>0</v>
          </cell>
        </row>
        <row r="690">
          <cell r="D690">
            <v>2264</v>
          </cell>
          <cell r="E690" t="str">
            <v>A</v>
          </cell>
          <cell r="F690" t="str">
            <v>PL</v>
          </cell>
          <cell r="G690" t="str">
            <v>M</v>
          </cell>
          <cell r="H690" t="str">
            <v>A</v>
          </cell>
          <cell r="K690">
            <v>0</v>
          </cell>
          <cell r="L690">
            <v>0</v>
          </cell>
        </row>
        <row r="691">
          <cell r="D691">
            <v>2265</v>
          </cell>
          <cell r="E691" t="str">
            <v>A</v>
          </cell>
          <cell r="F691" t="str">
            <v>PL</v>
          </cell>
          <cell r="G691" t="str">
            <v>F</v>
          </cell>
          <cell r="H691" t="str">
            <v>A</v>
          </cell>
          <cell r="K691">
            <v>0</v>
          </cell>
          <cell r="L691">
            <v>0</v>
          </cell>
        </row>
        <row r="692">
          <cell r="D692">
            <v>2266</v>
          </cell>
          <cell r="E692" t="str">
            <v>C</v>
          </cell>
          <cell r="F692" t="str">
            <v>PL</v>
          </cell>
          <cell r="G692" t="str">
            <v>F</v>
          </cell>
          <cell r="H692" t="str">
            <v>J</v>
          </cell>
          <cell r="K692">
            <v>0</v>
          </cell>
          <cell r="L692">
            <v>0</v>
          </cell>
        </row>
        <row r="693">
          <cell r="D693">
            <v>2267</v>
          </cell>
          <cell r="E693" t="str">
            <v>A</v>
          </cell>
          <cell r="F693" t="str">
            <v>PM</v>
          </cell>
          <cell r="G693" t="str">
            <v>M</v>
          </cell>
          <cell r="H693" t="str">
            <v>A</v>
          </cell>
          <cell r="K693">
            <v>0</v>
          </cell>
          <cell r="L693">
            <v>0</v>
          </cell>
        </row>
        <row r="694">
          <cell r="D694">
            <v>2268</v>
          </cell>
          <cell r="E694" t="str">
            <v>C</v>
          </cell>
          <cell r="F694" t="str">
            <v>PL</v>
          </cell>
          <cell r="G694" t="str">
            <v>F</v>
          </cell>
          <cell r="H694" t="str">
            <v>A</v>
          </cell>
          <cell r="K694">
            <v>0</v>
          </cell>
          <cell r="L694">
            <v>0</v>
          </cell>
        </row>
        <row r="695">
          <cell r="D695">
            <v>2269</v>
          </cell>
          <cell r="E695" t="str">
            <v>A</v>
          </cell>
          <cell r="F695" t="str">
            <v>PL</v>
          </cell>
          <cell r="G695" t="str">
            <v>M</v>
          </cell>
          <cell r="H695" t="str">
            <v>A</v>
          </cell>
          <cell r="K695">
            <v>0</v>
          </cell>
          <cell r="L695">
            <v>0</v>
          </cell>
        </row>
        <row r="696">
          <cell r="D696">
            <v>2270</v>
          </cell>
          <cell r="E696" t="str">
            <v>C</v>
          </cell>
          <cell r="F696" t="str">
            <v>PL</v>
          </cell>
          <cell r="G696" t="str">
            <v>M</v>
          </cell>
          <cell r="H696" t="str">
            <v>A</v>
          </cell>
          <cell r="K696">
            <v>0</v>
          </cell>
          <cell r="L696">
            <v>0</v>
          </cell>
        </row>
        <row r="697">
          <cell r="D697">
            <v>2271</v>
          </cell>
          <cell r="E697" t="str">
            <v>C</v>
          </cell>
          <cell r="F697" t="str">
            <v>PL</v>
          </cell>
          <cell r="G697" t="str">
            <v>M</v>
          </cell>
          <cell r="H697" t="str">
            <v>A</v>
          </cell>
          <cell r="K697">
            <v>0</v>
          </cell>
          <cell r="L697">
            <v>0</v>
          </cell>
        </row>
        <row r="698">
          <cell r="D698">
            <v>2272</v>
          </cell>
          <cell r="E698" t="str">
            <v>A</v>
          </cell>
          <cell r="F698" t="str">
            <v>PL</v>
          </cell>
          <cell r="G698" t="str">
            <v>M</v>
          </cell>
          <cell r="H698" t="str">
            <v>A</v>
          </cell>
          <cell r="K698">
            <v>0</v>
          </cell>
          <cell r="L698">
            <v>0</v>
          </cell>
        </row>
        <row r="699">
          <cell r="D699">
            <v>2273</v>
          </cell>
          <cell r="E699" t="str">
            <v>C</v>
          </cell>
          <cell r="F699" t="str">
            <v>PL</v>
          </cell>
          <cell r="G699" t="str">
            <v>M</v>
          </cell>
          <cell r="H699" t="str">
            <v>A</v>
          </cell>
          <cell r="K699">
            <v>0</v>
          </cell>
          <cell r="L699">
            <v>0</v>
          </cell>
        </row>
        <row r="700">
          <cell r="D700">
            <v>2274</v>
          </cell>
          <cell r="E700" t="str">
            <v>A</v>
          </cell>
          <cell r="F700" t="str">
            <v>PL</v>
          </cell>
          <cell r="G700" t="str">
            <v>F</v>
          </cell>
          <cell r="H700" t="str">
            <v>A</v>
          </cell>
          <cell r="K700">
            <v>0</v>
          </cell>
          <cell r="L700">
            <v>0</v>
          </cell>
        </row>
        <row r="701">
          <cell r="D701">
            <v>2275</v>
          </cell>
          <cell r="E701" t="str">
            <v>C</v>
          </cell>
          <cell r="F701" t="str">
            <v>PL</v>
          </cell>
          <cell r="G701" t="str">
            <v>M</v>
          </cell>
          <cell r="H701" t="str">
            <v>J</v>
          </cell>
          <cell r="K701">
            <v>0</v>
          </cell>
          <cell r="L701">
            <v>0</v>
          </cell>
        </row>
        <row r="702">
          <cell r="D702">
            <v>2276</v>
          </cell>
          <cell r="E702" t="str">
            <v>A</v>
          </cell>
          <cell r="F702" t="str">
            <v>PL</v>
          </cell>
          <cell r="G702" t="str">
            <v>F</v>
          </cell>
          <cell r="H702" t="str">
            <v>J</v>
          </cell>
          <cell r="K702">
            <v>0</v>
          </cell>
          <cell r="L702">
            <v>0</v>
          </cell>
        </row>
        <row r="703">
          <cell r="D703">
            <v>2277</v>
          </cell>
          <cell r="E703" t="str">
            <v>C</v>
          </cell>
          <cell r="F703" t="str">
            <v>PL</v>
          </cell>
          <cell r="G703" t="str">
            <v>M</v>
          </cell>
          <cell r="H703" t="str">
            <v>A</v>
          </cell>
          <cell r="K703">
            <v>0</v>
          </cell>
          <cell r="L703">
            <v>0</v>
          </cell>
        </row>
        <row r="704">
          <cell r="D704">
            <v>2278</v>
          </cell>
          <cell r="E704" t="str">
            <v>A</v>
          </cell>
          <cell r="F704" t="str">
            <v>PL</v>
          </cell>
          <cell r="G704" t="str">
            <v>F</v>
          </cell>
          <cell r="H704" t="str">
            <v>A</v>
          </cell>
          <cell r="K704">
            <v>0</v>
          </cell>
          <cell r="L704">
            <v>0</v>
          </cell>
        </row>
        <row r="705">
          <cell r="D705">
            <v>2279</v>
          </cell>
          <cell r="E705" t="str">
            <v>A</v>
          </cell>
          <cell r="F705" t="str">
            <v>PL</v>
          </cell>
          <cell r="G705" t="str">
            <v>F</v>
          </cell>
          <cell r="H705" t="str">
            <v>A</v>
          </cell>
          <cell r="K705">
            <v>0</v>
          </cell>
          <cell r="L705">
            <v>0</v>
          </cell>
        </row>
        <row r="706">
          <cell r="D706">
            <v>2280</v>
          </cell>
          <cell r="E706" t="str">
            <v>A</v>
          </cell>
          <cell r="F706" t="str">
            <v>PL</v>
          </cell>
          <cell r="G706" t="str">
            <v>M</v>
          </cell>
          <cell r="H706" t="str">
            <v>A</v>
          </cell>
          <cell r="K706">
            <v>0</v>
          </cell>
          <cell r="L706">
            <v>0</v>
          </cell>
        </row>
        <row r="707">
          <cell r="D707">
            <v>2281</v>
          </cell>
          <cell r="E707" t="str">
            <v>C</v>
          </cell>
          <cell r="F707" t="str">
            <v>PL</v>
          </cell>
          <cell r="G707" t="str">
            <v>F</v>
          </cell>
          <cell r="H707" t="str">
            <v>A</v>
          </cell>
          <cell r="K707">
            <v>0</v>
          </cell>
          <cell r="L707">
            <v>0</v>
          </cell>
        </row>
        <row r="708">
          <cell r="D708">
            <v>2282</v>
          </cell>
          <cell r="E708" t="str">
            <v>A</v>
          </cell>
          <cell r="F708" t="str">
            <v>PL</v>
          </cell>
          <cell r="G708" t="str">
            <v>F</v>
          </cell>
          <cell r="H708" t="str">
            <v>A</v>
          </cell>
          <cell r="K708">
            <v>0</v>
          </cell>
          <cell r="L708">
            <v>0</v>
          </cell>
        </row>
        <row r="709">
          <cell r="D709">
            <v>2283</v>
          </cell>
          <cell r="E709" t="str">
            <v>A</v>
          </cell>
          <cell r="F709" t="str">
            <v>PL</v>
          </cell>
          <cell r="G709" t="str">
            <v>F</v>
          </cell>
          <cell r="H709" t="str">
            <v>A</v>
          </cell>
          <cell r="K709">
            <v>0</v>
          </cell>
          <cell r="L709">
            <v>0</v>
          </cell>
        </row>
        <row r="710">
          <cell r="D710">
            <v>2284</v>
          </cell>
          <cell r="E710" t="str">
            <v>C</v>
          </cell>
          <cell r="F710" t="str">
            <v>PL</v>
          </cell>
          <cell r="G710" t="str">
            <v>F</v>
          </cell>
          <cell r="H710" t="str">
            <v>A</v>
          </cell>
          <cell r="K710">
            <v>0</v>
          </cell>
          <cell r="L710">
            <v>0</v>
          </cell>
        </row>
        <row r="711">
          <cell r="D711">
            <v>2285</v>
          </cell>
          <cell r="E711" t="str">
            <v>A</v>
          </cell>
          <cell r="F711" t="str">
            <v>PL</v>
          </cell>
          <cell r="G711" t="str">
            <v>M</v>
          </cell>
          <cell r="H711" t="str">
            <v>A</v>
          </cell>
          <cell r="K711">
            <v>0</v>
          </cell>
          <cell r="L711">
            <v>0</v>
          </cell>
        </row>
        <row r="712">
          <cell r="D712">
            <v>2286</v>
          </cell>
          <cell r="E712" t="str">
            <v>A</v>
          </cell>
          <cell r="F712" t="str">
            <v>PL</v>
          </cell>
          <cell r="G712" t="str">
            <v>F</v>
          </cell>
          <cell r="H712" t="str">
            <v>A</v>
          </cell>
          <cell r="K712">
            <v>0</v>
          </cell>
          <cell r="L712">
            <v>0</v>
          </cell>
        </row>
        <row r="713">
          <cell r="D713">
            <v>2287</v>
          </cell>
          <cell r="E713" t="str">
            <v>C</v>
          </cell>
          <cell r="F713" t="str">
            <v>PL</v>
          </cell>
          <cell r="G713" t="str">
            <v>M</v>
          </cell>
          <cell r="H713" t="str">
            <v>A</v>
          </cell>
          <cell r="K713">
            <v>0</v>
          </cell>
          <cell r="L713">
            <v>0</v>
          </cell>
        </row>
        <row r="714">
          <cell r="D714">
            <v>2288</v>
          </cell>
          <cell r="E714" t="str">
            <v>C</v>
          </cell>
          <cell r="F714" t="str">
            <v>PL</v>
          </cell>
          <cell r="G714" t="str">
            <v>M</v>
          </cell>
          <cell r="H714" t="str">
            <v>A</v>
          </cell>
          <cell r="K714">
            <v>0</v>
          </cell>
          <cell r="L714">
            <v>0</v>
          </cell>
        </row>
        <row r="715">
          <cell r="D715">
            <v>2289</v>
          </cell>
          <cell r="E715" t="str">
            <v>A</v>
          </cell>
          <cell r="F715" t="str">
            <v>PL</v>
          </cell>
          <cell r="G715" t="str">
            <v>F</v>
          </cell>
          <cell r="H715" t="str">
            <v>A</v>
          </cell>
          <cell r="K715">
            <v>0</v>
          </cell>
          <cell r="L715">
            <v>0</v>
          </cell>
        </row>
        <row r="716">
          <cell r="D716">
            <v>2290</v>
          </cell>
          <cell r="E716" t="str">
            <v>A</v>
          </cell>
          <cell r="F716" t="str">
            <v>PL</v>
          </cell>
          <cell r="G716" t="str">
            <v>M</v>
          </cell>
          <cell r="H716" t="str">
            <v>A</v>
          </cell>
          <cell r="K716">
            <v>0</v>
          </cell>
          <cell r="L716">
            <v>0</v>
          </cell>
        </row>
        <row r="717">
          <cell r="D717">
            <v>2291</v>
          </cell>
          <cell r="E717" t="str">
            <v>C</v>
          </cell>
          <cell r="F717" t="str">
            <v>PL</v>
          </cell>
          <cell r="G717" t="str">
            <v>M</v>
          </cell>
          <cell r="H717" t="str">
            <v>A</v>
          </cell>
          <cell r="K717">
            <v>0</v>
          </cell>
          <cell r="L717">
            <v>0</v>
          </cell>
        </row>
        <row r="718">
          <cell r="D718">
            <v>2292</v>
          </cell>
          <cell r="E718" t="str">
            <v>C</v>
          </cell>
          <cell r="F718" t="str">
            <v>PL</v>
          </cell>
          <cell r="G718" t="str">
            <v>M</v>
          </cell>
          <cell r="H718" t="str">
            <v>A</v>
          </cell>
          <cell r="K718">
            <v>0</v>
          </cell>
          <cell r="L718">
            <v>0</v>
          </cell>
        </row>
        <row r="719">
          <cell r="D719">
            <v>2293</v>
          </cell>
          <cell r="E719" t="str">
            <v>C</v>
          </cell>
          <cell r="F719" t="str">
            <v>PL</v>
          </cell>
          <cell r="G719" t="str">
            <v>M</v>
          </cell>
          <cell r="H719" t="str">
            <v>A</v>
          </cell>
          <cell r="K719">
            <v>0</v>
          </cell>
          <cell r="L719">
            <v>0</v>
          </cell>
        </row>
        <row r="720">
          <cell r="D720">
            <v>2294</v>
          </cell>
          <cell r="E720" t="str">
            <v>A</v>
          </cell>
          <cell r="F720" t="str">
            <v>PL</v>
          </cell>
          <cell r="G720" t="str">
            <v>F</v>
          </cell>
          <cell r="H720" t="str">
            <v>A</v>
          </cell>
          <cell r="K720">
            <v>0</v>
          </cell>
          <cell r="L720">
            <v>0</v>
          </cell>
        </row>
        <row r="721">
          <cell r="D721">
            <v>2295</v>
          </cell>
          <cell r="E721" t="str">
            <v>C</v>
          </cell>
          <cell r="F721" t="str">
            <v>PL</v>
          </cell>
          <cell r="G721" t="str">
            <v>M</v>
          </cell>
          <cell r="H721" t="str">
            <v>A</v>
          </cell>
          <cell r="K721">
            <v>0</v>
          </cell>
          <cell r="L721">
            <v>0</v>
          </cell>
        </row>
        <row r="722">
          <cell r="D722">
            <v>2296</v>
          </cell>
          <cell r="E722" t="str">
            <v>A</v>
          </cell>
          <cell r="F722" t="str">
            <v>PL</v>
          </cell>
          <cell r="G722" t="str">
            <v>F</v>
          </cell>
          <cell r="H722" t="str">
            <v>A</v>
          </cell>
          <cell r="K722">
            <v>0</v>
          </cell>
          <cell r="L722">
            <v>0</v>
          </cell>
        </row>
        <row r="723">
          <cell r="D723">
            <v>2297</v>
          </cell>
          <cell r="E723" t="str">
            <v>A</v>
          </cell>
          <cell r="F723" t="str">
            <v>PM</v>
          </cell>
          <cell r="G723" t="str">
            <v>F</v>
          </cell>
          <cell r="H723" t="str">
            <v>A</v>
          </cell>
          <cell r="K723">
            <v>0</v>
          </cell>
          <cell r="L723">
            <v>0</v>
          </cell>
        </row>
        <row r="724">
          <cell r="D724">
            <v>2298</v>
          </cell>
          <cell r="E724" t="str">
            <v>C</v>
          </cell>
          <cell r="F724" t="str">
            <v>PL</v>
          </cell>
          <cell r="G724" t="str">
            <v>M</v>
          </cell>
          <cell r="H724" t="str">
            <v>A</v>
          </cell>
          <cell r="K724">
            <v>0</v>
          </cell>
          <cell r="L724">
            <v>0</v>
          </cell>
        </row>
        <row r="725">
          <cell r="D725">
            <v>2299</v>
          </cell>
          <cell r="E725" t="str">
            <v>A</v>
          </cell>
          <cell r="F725" t="str">
            <v>PL</v>
          </cell>
          <cell r="G725" t="str">
            <v>F</v>
          </cell>
          <cell r="H725" t="str">
            <v>A</v>
          </cell>
          <cell r="K725">
            <v>0</v>
          </cell>
          <cell r="L725">
            <v>0</v>
          </cell>
        </row>
        <row r="726">
          <cell r="D726">
            <v>2300</v>
          </cell>
          <cell r="E726" t="str">
            <v>A</v>
          </cell>
          <cell r="F726" t="str">
            <v>PM</v>
          </cell>
          <cell r="G726" t="str">
            <v>M</v>
          </cell>
          <cell r="H726" t="str">
            <v>A</v>
          </cell>
          <cell r="K726">
            <v>0</v>
          </cell>
          <cell r="L726">
            <v>0</v>
          </cell>
        </row>
        <row r="727">
          <cell r="D727">
            <v>2301</v>
          </cell>
          <cell r="E727" t="str">
            <v>A</v>
          </cell>
          <cell r="F727" t="str">
            <v>PL</v>
          </cell>
          <cell r="G727" t="str">
            <v>M</v>
          </cell>
          <cell r="H727" t="str">
            <v>A</v>
          </cell>
          <cell r="K727">
            <v>0</v>
          </cell>
          <cell r="L727">
            <v>0</v>
          </cell>
        </row>
        <row r="728">
          <cell r="D728">
            <v>2302</v>
          </cell>
          <cell r="E728" t="str">
            <v>A</v>
          </cell>
          <cell r="F728" t="str">
            <v>PL</v>
          </cell>
          <cell r="G728" t="str">
            <v>F</v>
          </cell>
          <cell r="H728" t="str">
            <v>A</v>
          </cell>
          <cell r="K728">
            <v>0</v>
          </cell>
          <cell r="L728">
            <v>0</v>
          </cell>
        </row>
        <row r="729">
          <cell r="D729">
            <v>2303</v>
          </cell>
          <cell r="E729" t="str">
            <v>C</v>
          </cell>
          <cell r="F729" t="str">
            <v>PL</v>
          </cell>
          <cell r="G729" t="str">
            <v>M</v>
          </cell>
          <cell r="H729" t="str">
            <v>A</v>
          </cell>
          <cell r="K729">
            <v>0</v>
          </cell>
          <cell r="L729">
            <v>0</v>
          </cell>
        </row>
        <row r="730">
          <cell r="D730">
            <v>2304</v>
          </cell>
          <cell r="E730" t="str">
            <v>C</v>
          </cell>
          <cell r="F730" t="str">
            <v>PL</v>
          </cell>
          <cell r="G730" t="str">
            <v>M</v>
          </cell>
          <cell r="H730" t="str">
            <v>A</v>
          </cell>
          <cell r="K730">
            <v>0</v>
          </cell>
          <cell r="L730">
            <v>0</v>
          </cell>
        </row>
        <row r="731">
          <cell r="D731">
            <v>2305</v>
          </cell>
          <cell r="E731" t="str">
            <v>C</v>
          </cell>
          <cell r="F731" t="str">
            <v>PL</v>
          </cell>
          <cell r="G731" t="str">
            <v>M</v>
          </cell>
          <cell r="H731" t="str">
            <v>A</v>
          </cell>
          <cell r="K731">
            <v>0</v>
          </cell>
          <cell r="L731">
            <v>0</v>
          </cell>
        </row>
        <row r="732">
          <cell r="D732">
            <v>2306</v>
          </cell>
          <cell r="E732" t="str">
            <v>C</v>
          </cell>
          <cell r="F732" t="str">
            <v>PM</v>
          </cell>
          <cell r="G732" t="str">
            <v>M</v>
          </cell>
          <cell r="H732" t="str">
            <v>A</v>
          </cell>
          <cell r="K732">
            <v>0</v>
          </cell>
          <cell r="L732">
            <v>0</v>
          </cell>
        </row>
        <row r="733">
          <cell r="D733">
            <v>2307</v>
          </cell>
          <cell r="E733" t="str">
            <v>A</v>
          </cell>
          <cell r="F733" t="str">
            <v>PL</v>
          </cell>
          <cell r="G733" t="str">
            <v>F</v>
          </cell>
          <cell r="H733" t="str">
            <v>J</v>
          </cell>
          <cell r="K733">
            <v>0</v>
          </cell>
          <cell r="L733">
            <v>0</v>
          </cell>
        </row>
        <row r="734">
          <cell r="D734">
            <v>2308</v>
          </cell>
          <cell r="E734" t="str">
            <v>A</v>
          </cell>
          <cell r="F734" t="str">
            <v>PL</v>
          </cell>
          <cell r="G734" t="str">
            <v>M</v>
          </cell>
          <cell r="H734" t="str">
            <v>A</v>
          </cell>
          <cell r="K734">
            <v>0</v>
          </cell>
          <cell r="L734">
            <v>0</v>
          </cell>
        </row>
        <row r="735">
          <cell r="D735">
            <v>2310</v>
          </cell>
          <cell r="E735" t="str">
            <v>C</v>
          </cell>
          <cell r="F735" t="str">
            <v>PL</v>
          </cell>
          <cell r="G735" t="str">
            <v>F</v>
          </cell>
          <cell r="H735" t="str">
            <v>A</v>
          </cell>
          <cell r="K735">
            <v>0</v>
          </cell>
          <cell r="L735">
            <v>0</v>
          </cell>
        </row>
        <row r="736">
          <cell r="D736">
            <v>2311</v>
          </cell>
          <cell r="E736" t="str">
            <v>A</v>
          </cell>
          <cell r="F736" t="str">
            <v>PL</v>
          </cell>
          <cell r="G736" t="str">
            <v>F</v>
          </cell>
          <cell r="H736" t="str">
            <v>A</v>
          </cell>
          <cell r="K736">
            <v>0</v>
          </cell>
          <cell r="L736">
            <v>0</v>
          </cell>
        </row>
        <row r="737">
          <cell r="D737">
            <v>2313</v>
          </cell>
          <cell r="E737" t="str">
            <v>A</v>
          </cell>
          <cell r="F737" t="str">
            <v>PL</v>
          </cell>
          <cell r="G737" t="str">
            <v>F</v>
          </cell>
          <cell r="H737" t="str">
            <v>A</v>
          </cell>
          <cell r="K737">
            <v>0</v>
          </cell>
          <cell r="L737">
            <v>0</v>
          </cell>
        </row>
        <row r="738">
          <cell r="D738">
            <v>2314</v>
          </cell>
          <cell r="E738" t="str">
            <v>C</v>
          </cell>
          <cell r="F738" t="str">
            <v>PL</v>
          </cell>
          <cell r="G738" t="str">
            <v>F</v>
          </cell>
          <cell r="H738" t="str">
            <v>J</v>
          </cell>
          <cell r="K738">
            <v>0</v>
          </cell>
          <cell r="L738">
            <v>0</v>
          </cell>
        </row>
        <row r="739">
          <cell r="D739">
            <v>2315</v>
          </cell>
          <cell r="E739" t="str">
            <v>C</v>
          </cell>
          <cell r="F739" t="str">
            <v>PL</v>
          </cell>
          <cell r="G739" t="str">
            <v>F</v>
          </cell>
          <cell r="H739" t="str">
            <v>A</v>
          </cell>
          <cell r="K739">
            <v>0</v>
          </cell>
          <cell r="L739">
            <v>0</v>
          </cell>
        </row>
        <row r="740">
          <cell r="D740">
            <v>2125</v>
          </cell>
          <cell r="E740" t="str">
            <v>C</v>
          </cell>
          <cell r="F740" t="str">
            <v>PL</v>
          </cell>
          <cell r="G740" t="str">
            <v>F</v>
          </cell>
          <cell r="H740" t="str">
            <v>A</v>
          </cell>
        </row>
      </sheetData>
      <sheetData sheetId="2"/>
      <sheetData sheetId="3"/>
      <sheetData sheetId="4"/>
      <sheetData sheetId="5"/>
      <sheetData sheetId="6"/>
      <sheetData sheetId="7"/>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V pos"/>
      <sheetName val="FEC tally"/>
      <sheetName val="FEC matches to do"/>
      <sheetName val="FECs - good data"/>
      <sheetName val="sevens"/>
      <sheetName val="blank"/>
      <sheetName val="samples to do"/>
    </sheetNames>
    <sheetDataSet>
      <sheetData sheetId="0"/>
      <sheetData sheetId="1"/>
      <sheetData sheetId="2"/>
      <sheetData sheetId="3">
        <row r="1">
          <cell r="C1" t="str">
            <v>Blood #</v>
          </cell>
          <cell r="D1" t="str">
            <v>Day</v>
          </cell>
          <cell r="E1" t="str">
            <v>SB info</v>
          </cell>
          <cell r="F1" t="str">
            <v>FEC done</v>
          </cell>
          <cell r="G1" t="str">
            <v>SNV status</v>
          </cell>
          <cell r="H1" t="str">
            <v>SNV titer</v>
          </cell>
          <cell r="I1" t="str">
            <v>FEC priority</v>
          </cell>
          <cell r="J1" t="str">
            <v>SNVmatch #</v>
          </cell>
          <cell r="K1" t="str">
            <v>Treatment</v>
          </cell>
          <cell r="L1" t="str">
            <v>Grid</v>
          </cell>
          <cell r="M1" t="str">
            <v>Trap</v>
          </cell>
          <cell r="N1" t="str">
            <v>FEC date</v>
          </cell>
          <cell r="O1" t="str">
            <v>Initials</v>
          </cell>
          <cell r="P1" t="str">
            <v>E. del</v>
          </cell>
          <cell r="Q1" t="str">
            <v>E. ariz A</v>
          </cell>
          <cell r="R1" t="str">
            <v>E. ariz B</v>
          </cell>
          <cell r="S1" t="str">
            <v>A. amer</v>
          </cell>
          <cell r="T1" t="str">
            <v>S. pero</v>
          </cell>
          <cell r="U1" t="str">
            <v>C. amer</v>
          </cell>
          <cell r="V1" t="str">
            <v>Nem A</v>
          </cell>
          <cell r="W1" t="str">
            <v>Nem B</v>
          </cell>
          <cell r="X1" t="str">
            <v>H. dim</v>
          </cell>
          <cell r="Y1" t="str">
            <v>H. cit</v>
          </cell>
          <cell r="Z1" t="str">
            <v>Nem larvae</v>
          </cell>
        </row>
        <row r="2">
          <cell r="C2">
            <v>1843</v>
          </cell>
          <cell r="D2">
            <v>42923</v>
          </cell>
          <cell r="E2" t="str">
            <v>cap</v>
          </cell>
          <cell r="F2" t="str">
            <v>Not yet done</v>
          </cell>
          <cell r="G2" t="str">
            <v>A</v>
          </cell>
          <cell r="H2">
            <v>0</v>
          </cell>
          <cell r="I2" t="str">
            <v>2 - SNV match</v>
          </cell>
          <cell r="J2" t="str">
            <v>SNV15</v>
          </cell>
          <cell r="K2" t="str">
            <v>C</v>
          </cell>
          <cell r="L2" t="str">
            <v>SP1</v>
          </cell>
          <cell r="M2" t="str">
            <v>H8</v>
          </cell>
          <cell r="N2">
            <v>43080</v>
          </cell>
          <cell r="O2" t="str">
            <v>CH</v>
          </cell>
          <cell r="P2">
            <v>56</v>
          </cell>
          <cell r="Q2">
            <v>176</v>
          </cell>
          <cell r="R2">
            <v>0</v>
          </cell>
          <cell r="S2">
            <v>0</v>
          </cell>
          <cell r="T2">
            <v>0</v>
          </cell>
          <cell r="U2">
            <v>0</v>
          </cell>
          <cell r="V2">
            <v>0</v>
          </cell>
          <cell r="W2">
            <v>1</v>
          </cell>
          <cell r="X2">
            <v>0</v>
          </cell>
          <cell r="Y2">
            <v>0</v>
          </cell>
        </row>
        <row r="3">
          <cell r="C3">
            <v>1848</v>
          </cell>
          <cell r="D3">
            <v>42923</v>
          </cell>
          <cell r="E3" t="str">
            <v>cap</v>
          </cell>
          <cell r="F3" t="str">
            <v>Not yet done</v>
          </cell>
          <cell r="G3" t="str">
            <v>A</v>
          </cell>
          <cell r="H3" t="str">
            <v>Y</v>
          </cell>
          <cell r="I3" t="str">
            <v>1 - SNV pos</v>
          </cell>
          <cell r="J3" t="str">
            <v>is SNV15</v>
          </cell>
          <cell r="K3" t="str">
            <v>A</v>
          </cell>
          <cell r="L3" t="str">
            <v>SP2</v>
          </cell>
          <cell r="M3" t="str">
            <v>C8</v>
          </cell>
          <cell r="N3">
            <v>43080</v>
          </cell>
          <cell r="O3" t="str">
            <v>CH</v>
          </cell>
          <cell r="P3">
            <v>0</v>
          </cell>
          <cell r="Q3">
            <v>0</v>
          </cell>
          <cell r="R3">
            <v>0</v>
          </cell>
          <cell r="S3">
            <v>0</v>
          </cell>
          <cell r="T3">
            <v>1</v>
          </cell>
          <cell r="U3">
            <v>4</v>
          </cell>
          <cell r="V3">
            <v>7</v>
          </cell>
          <cell r="W3">
            <v>1</v>
          </cell>
          <cell r="X3">
            <v>1</v>
          </cell>
          <cell r="Y3">
            <v>0</v>
          </cell>
        </row>
        <row r="4">
          <cell r="C4">
            <v>1850</v>
          </cell>
          <cell r="D4">
            <v>42923</v>
          </cell>
          <cell r="E4" t="str">
            <v>cap</v>
          </cell>
          <cell r="F4" t="str">
            <v>Not yet done</v>
          </cell>
          <cell r="G4" t="str">
            <v>A</v>
          </cell>
          <cell r="H4">
            <v>0</v>
          </cell>
          <cell r="I4" t="str">
            <v>2 - SNV match</v>
          </cell>
          <cell r="J4" t="str">
            <v>SNV15</v>
          </cell>
          <cell r="K4" t="str">
            <v>C</v>
          </cell>
          <cell r="L4" t="str">
            <v>SP2</v>
          </cell>
          <cell r="M4" t="str">
            <v>G3</v>
          </cell>
          <cell r="O4" t="str">
            <v>missing</v>
          </cell>
        </row>
        <row r="5">
          <cell r="C5">
            <v>1855</v>
          </cell>
          <cell r="D5">
            <v>42927</v>
          </cell>
          <cell r="E5" t="str">
            <v>cap</v>
          </cell>
          <cell r="F5" t="str">
            <v>Not yet done</v>
          </cell>
          <cell r="G5" t="str">
            <v>SA</v>
          </cell>
          <cell r="H5">
            <v>0</v>
          </cell>
          <cell r="I5" t="str">
            <v>2 - SNV match</v>
          </cell>
          <cell r="J5" t="str">
            <v>SNV17</v>
          </cell>
          <cell r="K5" t="str">
            <v>C</v>
          </cell>
          <cell r="L5" t="str">
            <v>PO1</v>
          </cell>
          <cell r="M5" t="str">
            <v>E5</v>
          </cell>
          <cell r="N5">
            <v>43195</v>
          </cell>
          <cell r="O5" t="str">
            <v>JY</v>
          </cell>
          <cell r="P5">
            <v>0</v>
          </cell>
          <cell r="Q5">
            <v>0</v>
          </cell>
          <cell r="R5">
            <v>0</v>
          </cell>
          <cell r="S5">
            <v>0</v>
          </cell>
          <cell r="T5">
            <v>0</v>
          </cell>
          <cell r="U5">
            <v>0</v>
          </cell>
          <cell r="V5">
            <v>0</v>
          </cell>
          <cell r="W5">
            <v>0</v>
          </cell>
          <cell r="X5">
            <v>0</v>
          </cell>
          <cell r="Y5">
            <v>0</v>
          </cell>
          <cell r="Z5">
            <v>0</v>
          </cell>
        </row>
        <row r="6">
          <cell r="C6">
            <v>1856</v>
          </cell>
          <cell r="D6">
            <v>42927</v>
          </cell>
          <cell r="E6" t="str">
            <v>cap</v>
          </cell>
          <cell r="F6" t="str">
            <v>Not yet done</v>
          </cell>
          <cell r="G6" t="str">
            <v>SA</v>
          </cell>
          <cell r="H6">
            <v>0</v>
          </cell>
          <cell r="I6" t="str">
            <v>2 - SNV match</v>
          </cell>
          <cell r="J6" t="str">
            <v>SNV17</v>
          </cell>
          <cell r="K6" t="str">
            <v>C</v>
          </cell>
          <cell r="L6" t="str">
            <v>PO1</v>
          </cell>
          <cell r="M6" t="str">
            <v>E6</v>
          </cell>
          <cell r="N6">
            <v>43080</v>
          </cell>
          <cell r="O6" t="str">
            <v>CH</v>
          </cell>
          <cell r="P6">
            <v>16</v>
          </cell>
          <cell r="Q6">
            <v>154</v>
          </cell>
          <cell r="R6">
            <v>0</v>
          </cell>
          <cell r="S6">
            <v>0</v>
          </cell>
          <cell r="T6">
            <v>0</v>
          </cell>
          <cell r="U6">
            <v>1</v>
          </cell>
          <cell r="V6">
            <v>0</v>
          </cell>
          <cell r="W6">
            <v>0</v>
          </cell>
          <cell r="X6">
            <v>0</v>
          </cell>
          <cell r="Y6">
            <v>0</v>
          </cell>
        </row>
        <row r="7">
          <cell r="C7">
            <v>1867</v>
          </cell>
          <cell r="D7">
            <v>42927</v>
          </cell>
          <cell r="E7" t="str">
            <v>cap</v>
          </cell>
          <cell r="F7" t="str">
            <v>Not yet done</v>
          </cell>
          <cell r="G7" t="str">
            <v>A</v>
          </cell>
          <cell r="H7" t="str">
            <v>Y</v>
          </cell>
          <cell r="I7" t="str">
            <v>1 - SNV pos</v>
          </cell>
          <cell r="J7" t="str">
            <v>is SNV16</v>
          </cell>
          <cell r="K7" t="str">
            <v>C</v>
          </cell>
          <cell r="L7" t="str">
            <v>PO2</v>
          </cell>
          <cell r="M7" t="str">
            <v>C4</v>
          </cell>
          <cell r="N7">
            <v>43080</v>
          </cell>
          <cell r="O7" t="str">
            <v>CH</v>
          </cell>
          <cell r="P7">
            <v>0</v>
          </cell>
          <cell r="Q7">
            <v>0</v>
          </cell>
          <cell r="R7">
            <v>0</v>
          </cell>
          <cell r="T7">
            <v>0</v>
          </cell>
          <cell r="U7">
            <v>3</v>
          </cell>
          <cell r="V7">
            <v>0</v>
          </cell>
          <cell r="W7">
            <v>0</v>
          </cell>
          <cell r="X7">
            <v>0</v>
          </cell>
          <cell r="Y7">
            <v>0</v>
          </cell>
        </row>
        <row r="8">
          <cell r="C8">
            <v>1880</v>
          </cell>
          <cell r="D8">
            <v>42928</v>
          </cell>
          <cell r="E8" t="str">
            <v>cap</v>
          </cell>
          <cell r="F8" t="str">
            <v>Not yet done</v>
          </cell>
          <cell r="G8" t="str">
            <v>A</v>
          </cell>
          <cell r="H8">
            <v>0</v>
          </cell>
          <cell r="I8" t="str">
            <v>2 - SNV match</v>
          </cell>
          <cell r="J8" t="str">
            <v>SNV16</v>
          </cell>
          <cell r="K8" t="str">
            <v>A</v>
          </cell>
          <cell r="L8" t="str">
            <v>PO2</v>
          </cell>
          <cell r="M8" t="str">
            <v>E1</v>
          </cell>
          <cell r="N8">
            <v>43083</v>
          </cell>
          <cell r="O8" t="str">
            <v>CH</v>
          </cell>
          <cell r="P8">
            <v>30</v>
          </cell>
          <cell r="Q8">
            <v>75</v>
          </cell>
          <cell r="R8">
            <v>0</v>
          </cell>
          <cell r="T8">
            <v>0</v>
          </cell>
          <cell r="U8">
            <v>1</v>
          </cell>
          <cell r="V8">
            <v>0</v>
          </cell>
          <cell r="W8">
            <v>1</v>
          </cell>
          <cell r="X8">
            <v>0</v>
          </cell>
          <cell r="Y8">
            <v>0</v>
          </cell>
        </row>
        <row r="9">
          <cell r="C9">
            <v>1885</v>
          </cell>
          <cell r="D9">
            <v>42929</v>
          </cell>
          <cell r="E9" t="str">
            <v>cap</v>
          </cell>
          <cell r="F9" t="str">
            <v>Not yet done</v>
          </cell>
          <cell r="G9" t="str">
            <v>SA</v>
          </cell>
          <cell r="H9">
            <v>0</v>
          </cell>
          <cell r="I9" t="str">
            <v>2 - SNV match</v>
          </cell>
          <cell r="J9" t="str">
            <v>SNV17</v>
          </cell>
          <cell r="K9" t="str">
            <v>C</v>
          </cell>
          <cell r="L9" t="str">
            <v>PO1</v>
          </cell>
          <cell r="M9" t="str">
            <v>F4</v>
          </cell>
          <cell r="N9">
            <v>43103</v>
          </cell>
          <cell r="O9" t="str">
            <v>CH</v>
          </cell>
          <cell r="P9">
            <v>5</v>
          </cell>
          <cell r="Q9">
            <v>100</v>
          </cell>
          <cell r="R9">
            <v>0</v>
          </cell>
          <cell r="S9">
            <v>0</v>
          </cell>
          <cell r="T9">
            <v>19</v>
          </cell>
          <cell r="U9">
            <v>0</v>
          </cell>
          <cell r="V9">
            <v>0</v>
          </cell>
          <cell r="W9">
            <v>0</v>
          </cell>
          <cell r="X9">
            <v>0</v>
          </cell>
          <cell r="Y9">
            <v>0</v>
          </cell>
        </row>
        <row r="10">
          <cell r="C10">
            <v>1889</v>
          </cell>
          <cell r="D10">
            <v>42929</v>
          </cell>
          <cell r="E10" t="str">
            <v>cap</v>
          </cell>
          <cell r="F10" t="str">
            <v>Not yet done</v>
          </cell>
          <cell r="G10" t="str">
            <v>SA</v>
          </cell>
          <cell r="H10" t="str">
            <v>Y</v>
          </cell>
          <cell r="I10" t="str">
            <v>1 - SNV pos</v>
          </cell>
          <cell r="J10" t="str">
            <v>is SNV17</v>
          </cell>
          <cell r="K10" t="str">
            <v>A</v>
          </cell>
          <cell r="L10" t="str">
            <v>PO2</v>
          </cell>
          <cell r="M10" t="str">
            <v>B1</v>
          </cell>
          <cell r="N10">
            <v>43103</v>
          </cell>
          <cell r="O10" t="str">
            <v>CH</v>
          </cell>
          <cell r="P10">
            <v>6</v>
          </cell>
          <cell r="Q10">
            <v>3199</v>
          </cell>
          <cell r="R10">
            <v>0</v>
          </cell>
          <cell r="S10">
            <v>0</v>
          </cell>
          <cell r="T10">
            <v>0</v>
          </cell>
          <cell r="U10">
            <v>0</v>
          </cell>
          <cell r="V10">
            <v>0</v>
          </cell>
          <cell r="W10">
            <v>0</v>
          </cell>
          <cell r="X10">
            <v>0</v>
          </cell>
          <cell r="Y10">
            <v>0</v>
          </cell>
        </row>
        <row r="11">
          <cell r="C11">
            <v>1969</v>
          </cell>
          <cell r="D11">
            <v>42939</v>
          </cell>
          <cell r="E11" t="str">
            <v>cap</v>
          </cell>
          <cell r="F11" t="str">
            <v>Not yet done</v>
          </cell>
          <cell r="G11" t="str">
            <v>A</v>
          </cell>
          <cell r="H11" t="str">
            <v>Y</v>
          </cell>
          <cell r="I11" t="str">
            <v>1 - SNV pos</v>
          </cell>
          <cell r="J11" t="str">
            <v>is SNV18</v>
          </cell>
          <cell r="K11" t="str">
            <v>A</v>
          </cell>
          <cell r="L11" t="str">
            <v>SP2</v>
          </cell>
          <cell r="M11" t="str">
            <v>B8</v>
          </cell>
          <cell r="N11">
            <v>43103</v>
          </cell>
          <cell r="O11" t="str">
            <v>CH</v>
          </cell>
          <cell r="P11">
            <v>0</v>
          </cell>
          <cell r="Q11">
            <v>0</v>
          </cell>
          <cell r="R11">
            <v>13</v>
          </cell>
          <cell r="S11">
            <v>1</v>
          </cell>
          <cell r="T11">
            <v>0</v>
          </cell>
          <cell r="U11">
            <v>19</v>
          </cell>
          <cell r="V11">
            <v>1</v>
          </cell>
          <cell r="W11">
            <v>0</v>
          </cell>
          <cell r="X11">
            <v>55</v>
          </cell>
          <cell r="Y11">
            <v>0</v>
          </cell>
        </row>
        <row r="12">
          <cell r="C12">
            <v>1980</v>
          </cell>
          <cell r="D12">
            <v>42940</v>
          </cell>
          <cell r="E12" t="str">
            <v>cap</v>
          </cell>
          <cell r="F12" t="str">
            <v>Not yet done</v>
          </cell>
          <cell r="G12" t="str">
            <v>A</v>
          </cell>
          <cell r="H12">
            <v>0</v>
          </cell>
          <cell r="I12" t="str">
            <v>2 - SNV match</v>
          </cell>
          <cell r="J12" t="str">
            <v>SNV18</v>
          </cell>
          <cell r="K12" t="str">
            <v>C</v>
          </cell>
          <cell r="L12" t="str">
            <v>SP2</v>
          </cell>
          <cell r="M12" t="str">
            <v>A8</v>
          </cell>
          <cell r="N12">
            <v>43122</v>
          </cell>
          <cell r="O12" t="str">
            <v>CH</v>
          </cell>
          <cell r="P12">
            <v>1</v>
          </cell>
          <cell r="Q12">
            <v>0</v>
          </cell>
          <cell r="R12">
            <v>0</v>
          </cell>
          <cell r="S12">
            <v>0</v>
          </cell>
          <cell r="T12">
            <v>0</v>
          </cell>
          <cell r="U12">
            <v>15</v>
          </cell>
          <cell r="V12">
            <v>2</v>
          </cell>
          <cell r="W12">
            <v>1</v>
          </cell>
          <cell r="X12">
            <v>0</v>
          </cell>
          <cell r="Y12">
            <v>0</v>
          </cell>
        </row>
        <row r="13">
          <cell r="C13">
            <v>1981</v>
          </cell>
          <cell r="D13">
            <v>42940</v>
          </cell>
          <cell r="E13" t="str">
            <v>cap</v>
          </cell>
          <cell r="F13" t="str">
            <v>Not yet done</v>
          </cell>
          <cell r="G13" t="str">
            <v>A</v>
          </cell>
          <cell r="H13">
            <v>0</v>
          </cell>
          <cell r="I13" t="str">
            <v>2 - SNV match</v>
          </cell>
          <cell r="J13" t="str">
            <v>SNV18</v>
          </cell>
          <cell r="K13" t="str">
            <v>C</v>
          </cell>
          <cell r="L13" t="str">
            <v>SP2</v>
          </cell>
          <cell r="M13" t="str">
            <v>C3</v>
          </cell>
          <cell r="N13">
            <v>43122</v>
          </cell>
          <cell r="O13" t="str">
            <v>CH</v>
          </cell>
          <cell r="P13">
            <v>1</v>
          </cell>
          <cell r="Q13">
            <v>3</v>
          </cell>
          <cell r="R13">
            <v>1</v>
          </cell>
          <cell r="S13">
            <v>0</v>
          </cell>
          <cell r="T13">
            <v>0</v>
          </cell>
          <cell r="U13">
            <v>0</v>
          </cell>
          <cell r="V13">
            <v>0</v>
          </cell>
          <cell r="W13">
            <v>0</v>
          </cell>
          <cell r="X13">
            <v>0</v>
          </cell>
          <cell r="Y13">
            <v>0</v>
          </cell>
        </row>
        <row r="14">
          <cell r="C14">
            <v>1985</v>
          </cell>
          <cell r="D14">
            <v>42940</v>
          </cell>
          <cell r="E14" t="str">
            <v>cap</v>
          </cell>
          <cell r="F14" t="str">
            <v>Not yet done</v>
          </cell>
          <cell r="G14" t="str">
            <v>A</v>
          </cell>
          <cell r="H14">
            <v>0</v>
          </cell>
          <cell r="I14" t="str">
            <v>2 - SNV match</v>
          </cell>
          <cell r="J14" t="str">
            <v>SNV18</v>
          </cell>
          <cell r="K14" t="str">
            <v>C</v>
          </cell>
          <cell r="L14" t="str">
            <v>SP2</v>
          </cell>
          <cell r="M14" t="str">
            <v>H3</v>
          </cell>
          <cell r="N14">
            <v>43124</v>
          </cell>
          <cell r="O14" t="str">
            <v>SB</v>
          </cell>
          <cell r="P14">
            <v>53</v>
          </cell>
          <cell r="Q14">
            <v>4216</v>
          </cell>
          <cell r="R14">
            <v>60</v>
          </cell>
          <cell r="S14">
            <v>0</v>
          </cell>
          <cell r="T14">
            <v>0</v>
          </cell>
          <cell r="U14">
            <v>28</v>
          </cell>
          <cell r="V14">
            <v>0</v>
          </cell>
          <cell r="W14">
            <v>2</v>
          </cell>
          <cell r="X14">
            <v>0</v>
          </cell>
          <cell r="Y14">
            <v>0</v>
          </cell>
          <cell r="Z14">
            <v>0</v>
          </cell>
        </row>
        <row r="15">
          <cell r="C15">
            <v>1986</v>
          </cell>
          <cell r="D15">
            <v>42941</v>
          </cell>
          <cell r="E15" t="str">
            <v>cap</v>
          </cell>
          <cell r="F15" t="str">
            <v>Not yet done</v>
          </cell>
          <cell r="G15" t="str">
            <v>A</v>
          </cell>
          <cell r="H15">
            <v>0</v>
          </cell>
          <cell r="I15" t="str">
            <v>2 - SNV match</v>
          </cell>
          <cell r="J15" t="str">
            <v>SNV18</v>
          </cell>
          <cell r="K15" t="str">
            <v>C</v>
          </cell>
          <cell r="L15" t="str">
            <v>SP1</v>
          </cell>
          <cell r="M15" t="str">
            <v>B2</v>
          </cell>
          <cell r="N15">
            <v>43124</v>
          </cell>
          <cell r="O15" t="str">
            <v>SB</v>
          </cell>
          <cell r="P15">
            <v>1</v>
          </cell>
          <cell r="Q15">
            <v>182</v>
          </cell>
          <cell r="R15">
            <v>0</v>
          </cell>
          <cell r="S15">
            <v>0</v>
          </cell>
          <cell r="T15">
            <v>0</v>
          </cell>
          <cell r="U15">
            <v>0</v>
          </cell>
          <cell r="V15">
            <v>0</v>
          </cell>
          <cell r="W15">
            <v>1</v>
          </cell>
          <cell r="X15">
            <v>0</v>
          </cell>
          <cell r="Y15">
            <v>0</v>
          </cell>
          <cell r="Z15">
            <v>0</v>
          </cell>
        </row>
        <row r="16">
          <cell r="C16">
            <v>1988</v>
          </cell>
          <cell r="D16">
            <v>42941</v>
          </cell>
          <cell r="E16" t="str">
            <v>cap</v>
          </cell>
          <cell r="F16" t="str">
            <v>Not yet done</v>
          </cell>
          <cell r="G16" t="str">
            <v>A</v>
          </cell>
          <cell r="H16">
            <v>0</v>
          </cell>
          <cell r="I16" t="str">
            <v>2 - SNV match</v>
          </cell>
          <cell r="J16" t="str">
            <v>SNV18</v>
          </cell>
          <cell r="K16" t="str">
            <v>C</v>
          </cell>
          <cell r="L16" t="str">
            <v>SP2</v>
          </cell>
          <cell r="M16" t="str">
            <v>A5</v>
          </cell>
          <cell r="N16">
            <v>43124</v>
          </cell>
          <cell r="O16" t="str">
            <v>SB</v>
          </cell>
          <cell r="P16">
            <v>0</v>
          </cell>
          <cell r="Q16">
            <v>5</v>
          </cell>
          <cell r="R16">
            <v>28</v>
          </cell>
          <cell r="S16">
            <v>0</v>
          </cell>
          <cell r="T16">
            <v>0</v>
          </cell>
          <cell r="U16">
            <v>1</v>
          </cell>
          <cell r="V16">
            <v>0</v>
          </cell>
          <cell r="W16">
            <v>0</v>
          </cell>
          <cell r="X16">
            <v>0</v>
          </cell>
          <cell r="Y16">
            <v>0</v>
          </cell>
          <cell r="Z16">
            <v>0</v>
          </cell>
        </row>
        <row r="17">
          <cell r="C17">
            <v>1990</v>
          </cell>
          <cell r="D17">
            <v>42941</v>
          </cell>
          <cell r="E17" t="str">
            <v>cap</v>
          </cell>
          <cell r="F17" t="str">
            <v>Not yet done</v>
          </cell>
          <cell r="G17" t="str">
            <v>A</v>
          </cell>
          <cell r="H17">
            <v>0</v>
          </cell>
          <cell r="I17" t="str">
            <v>2 - SNV match</v>
          </cell>
          <cell r="J17" t="str">
            <v>SNV18</v>
          </cell>
          <cell r="K17" t="str">
            <v>C</v>
          </cell>
          <cell r="L17" t="str">
            <v>SP2</v>
          </cell>
          <cell r="M17" t="str">
            <v>C2</v>
          </cell>
          <cell r="N17">
            <v>43124</v>
          </cell>
          <cell r="O17" t="str">
            <v>SB</v>
          </cell>
          <cell r="P17">
            <v>0</v>
          </cell>
          <cell r="Q17">
            <v>3</v>
          </cell>
          <cell r="R17">
            <v>1</v>
          </cell>
          <cell r="S17">
            <v>0</v>
          </cell>
          <cell r="T17">
            <v>0</v>
          </cell>
          <cell r="U17">
            <v>0</v>
          </cell>
          <cell r="V17">
            <v>0</v>
          </cell>
          <cell r="W17">
            <v>0</v>
          </cell>
          <cell r="X17">
            <v>0</v>
          </cell>
          <cell r="Y17">
            <v>0</v>
          </cell>
          <cell r="Z17">
            <v>0</v>
          </cell>
        </row>
        <row r="18">
          <cell r="C18">
            <v>1993</v>
          </cell>
          <cell r="D18">
            <v>42945</v>
          </cell>
          <cell r="E18" t="str">
            <v>cap</v>
          </cell>
          <cell r="F18" t="str">
            <v>Not yet done</v>
          </cell>
          <cell r="G18" t="str">
            <v>A</v>
          </cell>
          <cell r="H18">
            <v>0</v>
          </cell>
          <cell r="I18" t="str">
            <v>2 - SNV match</v>
          </cell>
          <cell r="J18" t="str">
            <v>SNV19 and 20</v>
          </cell>
          <cell r="K18" t="str">
            <v>A</v>
          </cell>
          <cell r="L18" t="str">
            <v>PO1</v>
          </cell>
          <cell r="M18" t="str">
            <v>A4</v>
          </cell>
          <cell r="N18">
            <v>43132</v>
          </cell>
          <cell r="O18" t="str">
            <v>SB</v>
          </cell>
          <cell r="P18">
            <v>2</v>
          </cell>
          <cell r="Q18">
            <v>0</v>
          </cell>
          <cell r="R18">
            <v>0</v>
          </cell>
          <cell r="S18">
            <v>0</v>
          </cell>
          <cell r="T18">
            <v>0</v>
          </cell>
          <cell r="U18">
            <v>0</v>
          </cell>
          <cell r="V18">
            <v>4</v>
          </cell>
          <cell r="W18">
            <v>0</v>
          </cell>
          <cell r="X18">
            <v>0</v>
          </cell>
          <cell r="Y18">
            <v>0</v>
          </cell>
          <cell r="Z18">
            <v>0</v>
          </cell>
        </row>
        <row r="19">
          <cell r="C19">
            <v>1996</v>
          </cell>
          <cell r="D19">
            <v>42945</v>
          </cell>
          <cell r="E19" t="str">
            <v>cap</v>
          </cell>
          <cell r="F19" t="str">
            <v>Not yet done</v>
          </cell>
          <cell r="G19" t="str">
            <v>A</v>
          </cell>
          <cell r="H19" t="str">
            <v>Y</v>
          </cell>
          <cell r="I19" t="str">
            <v>1 - SNV pos</v>
          </cell>
          <cell r="J19" t="str">
            <v>is SNV19</v>
          </cell>
          <cell r="K19" t="str">
            <v>C</v>
          </cell>
          <cell r="L19" t="str">
            <v>PO2</v>
          </cell>
          <cell r="M19" t="str">
            <v>B6</v>
          </cell>
          <cell r="N19">
            <v>43132</v>
          </cell>
          <cell r="O19" t="str">
            <v>SB</v>
          </cell>
          <cell r="P19">
            <v>20</v>
          </cell>
          <cell r="Q19">
            <v>1397</v>
          </cell>
          <cell r="R19">
            <v>0</v>
          </cell>
          <cell r="S19">
            <v>0</v>
          </cell>
          <cell r="T19">
            <v>5</v>
          </cell>
          <cell r="U19">
            <v>0</v>
          </cell>
          <cell r="V19">
            <v>1</v>
          </cell>
          <cell r="W19">
            <v>0</v>
          </cell>
          <cell r="X19">
            <v>0</v>
          </cell>
          <cell r="Y19">
            <v>0</v>
          </cell>
          <cell r="Z19">
            <v>0</v>
          </cell>
        </row>
        <row r="20">
          <cell r="C20">
            <v>1998</v>
          </cell>
          <cell r="D20">
            <v>42945</v>
          </cell>
          <cell r="E20" t="str">
            <v>cap</v>
          </cell>
          <cell r="F20" t="str">
            <v>Not yet done</v>
          </cell>
          <cell r="G20" t="str">
            <v>A</v>
          </cell>
          <cell r="H20">
            <v>0</v>
          </cell>
          <cell r="I20" t="str">
            <v>2 - SNV match</v>
          </cell>
          <cell r="J20" t="str">
            <v>SNV19 and 20</v>
          </cell>
          <cell r="K20" t="str">
            <v>C</v>
          </cell>
          <cell r="L20" t="str">
            <v>PO2</v>
          </cell>
          <cell r="M20" t="str">
            <v>G6</v>
          </cell>
          <cell r="N20">
            <v>43132</v>
          </cell>
          <cell r="O20" t="str">
            <v>SB</v>
          </cell>
          <cell r="P20">
            <v>0</v>
          </cell>
          <cell r="Q20">
            <v>0</v>
          </cell>
          <cell r="R20">
            <v>0</v>
          </cell>
          <cell r="S20">
            <v>0</v>
          </cell>
          <cell r="T20">
            <v>0</v>
          </cell>
          <cell r="U20">
            <v>0</v>
          </cell>
          <cell r="V20">
            <v>0</v>
          </cell>
          <cell r="W20">
            <v>0</v>
          </cell>
          <cell r="X20">
            <v>0</v>
          </cell>
          <cell r="Y20">
            <v>0</v>
          </cell>
          <cell r="Z20">
            <v>0</v>
          </cell>
        </row>
        <row r="21">
          <cell r="C21">
            <v>2005</v>
          </cell>
          <cell r="D21">
            <v>42946</v>
          </cell>
          <cell r="E21" t="str">
            <v>cap</v>
          </cell>
          <cell r="F21" t="str">
            <v>Not yet done</v>
          </cell>
          <cell r="G21" t="str">
            <v>A</v>
          </cell>
          <cell r="H21">
            <v>0</v>
          </cell>
          <cell r="I21" t="str">
            <v>2 - SNV match</v>
          </cell>
          <cell r="J21" t="str">
            <v>SNV19 and 20</v>
          </cell>
          <cell r="K21" t="str">
            <v>A</v>
          </cell>
          <cell r="L21" t="str">
            <v>PO1</v>
          </cell>
          <cell r="M21" t="str">
            <v>H5</v>
          </cell>
          <cell r="N21">
            <v>43133</v>
          </cell>
          <cell r="O21" t="str">
            <v>SB</v>
          </cell>
          <cell r="P21">
            <v>0</v>
          </cell>
          <cell r="Q21">
            <v>0</v>
          </cell>
          <cell r="R21">
            <v>3</v>
          </cell>
          <cell r="S21">
            <v>0</v>
          </cell>
          <cell r="T21">
            <v>0</v>
          </cell>
          <cell r="U21">
            <v>0</v>
          </cell>
          <cell r="V21">
            <v>0</v>
          </cell>
          <cell r="W21">
            <v>0</v>
          </cell>
          <cell r="X21">
            <v>0</v>
          </cell>
          <cell r="Y21">
            <v>0</v>
          </cell>
          <cell r="Z21">
            <v>0</v>
          </cell>
        </row>
        <row r="22">
          <cell r="C22">
            <v>2006</v>
          </cell>
          <cell r="D22">
            <v>42946</v>
          </cell>
          <cell r="E22" t="str">
            <v>cap</v>
          </cell>
          <cell r="F22" t="str">
            <v>Not yet done</v>
          </cell>
          <cell r="G22" t="str">
            <v>A</v>
          </cell>
          <cell r="H22">
            <v>0</v>
          </cell>
          <cell r="I22" t="str">
            <v>2 - SNV match</v>
          </cell>
          <cell r="J22" t="str">
            <v>SNV19 and 20</v>
          </cell>
          <cell r="K22" t="str">
            <v>C</v>
          </cell>
          <cell r="L22" t="str">
            <v>PO1</v>
          </cell>
          <cell r="M22" t="str">
            <v>H8</v>
          </cell>
          <cell r="N22">
            <v>43136</v>
          </cell>
          <cell r="O22" t="str">
            <v>SB</v>
          </cell>
          <cell r="P22">
            <v>140</v>
          </cell>
          <cell r="Q22">
            <v>3702</v>
          </cell>
          <cell r="R22">
            <v>70</v>
          </cell>
          <cell r="S22">
            <v>0</v>
          </cell>
          <cell r="T22">
            <v>0</v>
          </cell>
          <cell r="U22">
            <v>7</v>
          </cell>
          <cell r="V22">
            <v>0</v>
          </cell>
          <cell r="W22">
            <v>0</v>
          </cell>
          <cell r="X22">
            <v>0</v>
          </cell>
          <cell r="Y22">
            <v>0</v>
          </cell>
          <cell r="Z22">
            <v>7</v>
          </cell>
        </row>
        <row r="23">
          <cell r="C23">
            <v>2007</v>
          </cell>
          <cell r="D23">
            <v>42946</v>
          </cell>
          <cell r="E23" t="str">
            <v>cap</v>
          </cell>
          <cell r="F23" t="str">
            <v>Not yet done</v>
          </cell>
          <cell r="G23" t="str">
            <v>A</v>
          </cell>
          <cell r="H23">
            <v>0</v>
          </cell>
          <cell r="I23" t="str">
            <v>2 - SNV match</v>
          </cell>
          <cell r="J23" t="str">
            <v>SNV19 and 20</v>
          </cell>
          <cell r="K23" t="str">
            <v>A</v>
          </cell>
          <cell r="L23" t="str">
            <v>PO2</v>
          </cell>
          <cell r="M23" t="str">
            <v>C2</v>
          </cell>
          <cell r="N23">
            <v>43137</v>
          </cell>
          <cell r="O23" t="str">
            <v>SB</v>
          </cell>
          <cell r="P23">
            <v>8</v>
          </cell>
          <cell r="Q23">
            <v>98</v>
          </cell>
          <cell r="R23">
            <v>0</v>
          </cell>
          <cell r="S23">
            <v>0</v>
          </cell>
          <cell r="T23">
            <v>0</v>
          </cell>
          <cell r="U23">
            <v>0</v>
          </cell>
          <cell r="V23">
            <v>0</v>
          </cell>
          <cell r="W23">
            <v>1</v>
          </cell>
          <cell r="X23">
            <v>0</v>
          </cell>
          <cell r="Y23">
            <v>0</v>
          </cell>
          <cell r="Z23">
            <v>1</v>
          </cell>
        </row>
        <row r="24">
          <cell r="C24">
            <v>2009</v>
          </cell>
          <cell r="D24">
            <v>42947</v>
          </cell>
          <cell r="E24" t="str">
            <v>cap</v>
          </cell>
          <cell r="F24" t="str">
            <v>Not yet done</v>
          </cell>
          <cell r="G24" t="str">
            <v>A</v>
          </cell>
          <cell r="H24" t="str">
            <v>Y</v>
          </cell>
          <cell r="I24" t="str">
            <v>1 - SNV pos</v>
          </cell>
          <cell r="J24" t="str">
            <v>is SNV20</v>
          </cell>
          <cell r="K24" t="str">
            <v>A</v>
          </cell>
          <cell r="L24" t="str">
            <v>PO1</v>
          </cell>
          <cell r="M24" t="str">
            <v>B1</v>
          </cell>
          <cell r="N24">
            <v>43137</v>
          </cell>
          <cell r="O24" t="str">
            <v>SB</v>
          </cell>
          <cell r="P24">
            <v>2</v>
          </cell>
          <cell r="Q24">
            <v>52</v>
          </cell>
          <cell r="R24">
            <v>0</v>
          </cell>
          <cell r="S24">
            <v>0</v>
          </cell>
          <cell r="T24">
            <v>0</v>
          </cell>
          <cell r="U24">
            <v>0</v>
          </cell>
          <cell r="V24">
            <v>2</v>
          </cell>
          <cell r="W24">
            <v>0</v>
          </cell>
          <cell r="X24">
            <v>0</v>
          </cell>
          <cell r="Y24">
            <v>0</v>
          </cell>
          <cell r="Z24">
            <v>11</v>
          </cell>
        </row>
        <row r="25">
          <cell r="C25">
            <v>2014</v>
          </cell>
          <cell r="D25">
            <v>42947</v>
          </cell>
          <cell r="E25" t="str">
            <v>cap</v>
          </cell>
          <cell r="F25" t="str">
            <v>Not yet done</v>
          </cell>
          <cell r="G25" t="str">
            <v>A</v>
          </cell>
          <cell r="H25">
            <v>0</v>
          </cell>
          <cell r="I25" t="str">
            <v>2 - SNV match</v>
          </cell>
          <cell r="J25" t="str">
            <v>SNV 16</v>
          </cell>
          <cell r="K25" t="str">
            <v>A</v>
          </cell>
          <cell r="L25" t="str">
            <v>PO1</v>
          </cell>
          <cell r="M25" t="str">
            <v>E1</v>
          </cell>
          <cell r="N25">
            <v>43138</v>
          </cell>
          <cell r="O25" t="str">
            <v>SB</v>
          </cell>
          <cell r="P25">
            <v>0</v>
          </cell>
          <cell r="Q25">
            <v>2</v>
          </cell>
          <cell r="R25">
            <v>0</v>
          </cell>
          <cell r="S25">
            <v>2</v>
          </cell>
          <cell r="T25">
            <v>0</v>
          </cell>
          <cell r="U25">
            <v>1</v>
          </cell>
          <cell r="V25">
            <v>1</v>
          </cell>
          <cell r="W25">
            <v>0</v>
          </cell>
          <cell r="X25">
            <v>0</v>
          </cell>
          <cell r="Y25">
            <v>0</v>
          </cell>
          <cell r="Z25">
            <v>0</v>
          </cell>
        </row>
        <row r="26">
          <cell r="C26">
            <v>2022</v>
          </cell>
          <cell r="D26">
            <v>42947</v>
          </cell>
          <cell r="E26" t="str">
            <v>cap</v>
          </cell>
          <cell r="F26" t="str">
            <v>Not yet done</v>
          </cell>
          <cell r="G26" t="str">
            <v>A</v>
          </cell>
          <cell r="H26">
            <v>0</v>
          </cell>
          <cell r="I26" t="str">
            <v>2 - SNV match</v>
          </cell>
          <cell r="J26" t="str">
            <v>SNV19 and 20</v>
          </cell>
          <cell r="K26" t="str">
            <v>A</v>
          </cell>
          <cell r="L26" t="str">
            <v>PO2</v>
          </cell>
          <cell r="M26" t="str">
            <v>B6</v>
          </cell>
          <cell r="N26">
            <v>43138</v>
          </cell>
          <cell r="O26" t="str">
            <v>SB</v>
          </cell>
          <cell r="P26">
            <v>0</v>
          </cell>
          <cell r="Q26">
            <v>2</v>
          </cell>
          <cell r="R26">
            <v>0</v>
          </cell>
          <cell r="S26">
            <v>0</v>
          </cell>
          <cell r="T26">
            <v>0</v>
          </cell>
          <cell r="U26">
            <v>0</v>
          </cell>
          <cell r="V26">
            <v>0</v>
          </cell>
          <cell r="W26">
            <v>0</v>
          </cell>
          <cell r="X26">
            <v>0</v>
          </cell>
          <cell r="Y26">
            <v>0</v>
          </cell>
          <cell r="Z26">
            <v>0</v>
          </cell>
        </row>
        <row r="27">
          <cell r="C27">
            <v>2024</v>
          </cell>
          <cell r="D27">
            <v>42947</v>
          </cell>
          <cell r="E27" t="str">
            <v>cap</v>
          </cell>
          <cell r="F27" t="str">
            <v>Not yet done</v>
          </cell>
          <cell r="G27" t="str">
            <v>A</v>
          </cell>
          <cell r="H27">
            <v>0</v>
          </cell>
          <cell r="I27" t="str">
            <v>2 - SNV match</v>
          </cell>
          <cell r="J27" t="str">
            <v>SNV19 and 20</v>
          </cell>
          <cell r="K27" t="str">
            <v>C</v>
          </cell>
          <cell r="L27" t="str">
            <v>PO2</v>
          </cell>
          <cell r="M27" t="str">
            <v>F1</v>
          </cell>
          <cell r="N27">
            <v>43138</v>
          </cell>
          <cell r="O27" t="str">
            <v>SB</v>
          </cell>
          <cell r="P27">
            <v>3</v>
          </cell>
          <cell r="Q27">
            <v>0</v>
          </cell>
          <cell r="R27">
            <v>0</v>
          </cell>
          <cell r="S27">
            <v>2</v>
          </cell>
          <cell r="T27">
            <v>2</v>
          </cell>
          <cell r="U27">
            <v>0</v>
          </cell>
          <cell r="V27">
            <v>0</v>
          </cell>
          <cell r="W27">
            <v>0</v>
          </cell>
          <cell r="X27">
            <v>0</v>
          </cell>
          <cell r="Y27">
            <v>0</v>
          </cell>
          <cell r="Z27">
            <v>1</v>
          </cell>
        </row>
        <row r="28">
          <cell r="C28">
            <v>2105</v>
          </cell>
          <cell r="D28">
            <v>42957</v>
          </cell>
          <cell r="E28" t="str">
            <v>cap</v>
          </cell>
          <cell r="F28" t="str">
            <v>Not yet done</v>
          </cell>
          <cell r="G28" t="str">
            <v>A</v>
          </cell>
          <cell r="H28">
            <v>0</v>
          </cell>
          <cell r="I28" t="str">
            <v>2 - SNV match</v>
          </cell>
          <cell r="J28" t="str">
            <v>SNV21</v>
          </cell>
          <cell r="K28" t="str">
            <v>A</v>
          </cell>
          <cell r="L28" t="str">
            <v>SP1</v>
          </cell>
          <cell r="M28" t="str">
            <v>A3</v>
          </cell>
          <cell r="N28">
            <v>43138</v>
          </cell>
          <cell r="O28" t="str">
            <v>SB</v>
          </cell>
          <cell r="P28">
            <v>0</v>
          </cell>
          <cell r="Q28">
            <v>0</v>
          </cell>
          <cell r="R28">
            <v>0</v>
          </cell>
          <cell r="S28">
            <v>0</v>
          </cell>
          <cell r="T28">
            <v>0</v>
          </cell>
          <cell r="U28">
            <v>0</v>
          </cell>
          <cell r="V28">
            <v>0</v>
          </cell>
          <cell r="W28">
            <v>1</v>
          </cell>
          <cell r="X28">
            <v>0</v>
          </cell>
          <cell r="Y28">
            <v>0</v>
          </cell>
          <cell r="Z28">
            <v>0</v>
          </cell>
        </row>
        <row r="29">
          <cell r="C29">
            <v>2109</v>
          </cell>
          <cell r="D29">
            <v>42957</v>
          </cell>
          <cell r="E29" t="str">
            <v>cap</v>
          </cell>
          <cell r="F29" t="str">
            <v>Not yet done</v>
          </cell>
          <cell r="G29" t="str">
            <v>A</v>
          </cell>
          <cell r="H29">
            <v>0</v>
          </cell>
          <cell r="I29" t="str">
            <v>2 - SNV match</v>
          </cell>
          <cell r="J29" t="str">
            <v>SNV22</v>
          </cell>
          <cell r="K29" t="str">
            <v>A</v>
          </cell>
          <cell r="L29" t="str">
            <v>SP1</v>
          </cell>
          <cell r="M29" t="str">
            <v>B8</v>
          </cell>
          <cell r="N29">
            <v>43138</v>
          </cell>
          <cell r="O29" t="str">
            <v>SB</v>
          </cell>
          <cell r="P29">
            <v>0</v>
          </cell>
          <cell r="Q29">
            <v>6</v>
          </cell>
          <cell r="R29">
            <v>0</v>
          </cell>
          <cell r="S29">
            <v>0</v>
          </cell>
          <cell r="T29">
            <v>0</v>
          </cell>
          <cell r="U29">
            <v>0</v>
          </cell>
          <cell r="V29">
            <v>0</v>
          </cell>
          <cell r="W29">
            <v>3</v>
          </cell>
          <cell r="X29">
            <v>0</v>
          </cell>
          <cell r="Y29">
            <v>0</v>
          </cell>
          <cell r="Z29">
            <v>2</v>
          </cell>
        </row>
        <row r="30">
          <cell r="C30">
            <v>2110</v>
          </cell>
          <cell r="D30">
            <v>42957</v>
          </cell>
          <cell r="E30" t="str">
            <v>cap</v>
          </cell>
          <cell r="F30" t="str">
            <v>Not yet done</v>
          </cell>
          <cell r="G30" t="str">
            <v>A</v>
          </cell>
          <cell r="H30">
            <v>0</v>
          </cell>
          <cell r="I30" t="str">
            <v>2 - SNV match</v>
          </cell>
          <cell r="J30" t="str">
            <v>SNV22</v>
          </cell>
          <cell r="K30" t="str">
            <v>C</v>
          </cell>
          <cell r="L30" t="str">
            <v>SP1</v>
          </cell>
          <cell r="M30" t="str">
            <v>F4</v>
          </cell>
          <cell r="N30">
            <v>43139</v>
          </cell>
          <cell r="O30" t="str">
            <v>SB</v>
          </cell>
          <cell r="P30">
            <v>203</v>
          </cell>
          <cell r="Q30">
            <v>2595</v>
          </cell>
          <cell r="R30">
            <v>0</v>
          </cell>
          <cell r="S30">
            <v>0</v>
          </cell>
          <cell r="T30">
            <v>0</v>
          </cell>
          <cell r="U30">
            <v>0</v>
          </cell>
          <cell r="V30">
            <v>0</v>
          </cell>
          <cell r="W30">
            <v>0</v>
          </cell>
          <cell r="X30">
            <v>0</v>
          </cell>
          <cell r="Y30">
            <v>0</v>
          </cell>
          <cell r="Z30">
            <v>0</v>
          </cell>
        </row>
        <row r="31">
          <cell r="C31">
            <v>2119</v>
          </cell>
          <cell r="D31">
            <v>42957</v>
          </cell>
          <cell r="E31" t="str">
            <v>cap</v>
          </cell>
          <cell r="F31" t="str">
            <v>Not yet done</v>
          </cell>
          <cell r="G31" t="str">
            <v>A</v>
          </cell>
          <cell r="H31">
            <v>0</v>
          </cell>
          <cell r="I31" t="str">
            <v>2 - SNV match</v>
          </cell>
          <cell r="J31" t="str">
            <v>SNV22</v>
          </cell>
          <cell r="K31" t="str">
            <v>A</v>
          </cell>
          <cell r="L31" t="str">
            <v>SP2</v>
          </cell>
          <cell r="M31" t="str">
            <v>F1</v>
          </cell>
          <cell r="N31">
            <v>43139</v>
          </cell>
          <cell r="O31" t="str">
            <v>SB</v>
          </cell>
          <cell r="P31">
            <v>2</v>
          </cell>
          <cell r="Q31">
            <v>0</v>
          </cell>
          <cell r="R31">
            <v>0</v>
          </cell>
          <cell r="S31">
            <v>0</v>
          </cell>
          <cell r="T31">
            <v>0</v>
          </cell>
          <cell r="U31">
            <v>1</v>
          </cell>
          <cell r="V31">
            <v>1</v>
          </cell>
          <cell r="W31">
            <v>1</v>
          </cell>
          <cell r="X31">
            <v>6</v>
          </cell>
          <cell r="Y31">
            <v>1</v>
          </cell>
          <cell r="Z31">
            <v>1</v>
          </cell>
        </row>
        <row r="32">
          <cell r="C32">
            <v>2121</v>
          </cell>
          <cell r="D32">
            <v>42957</v>
          </cell>
          <cell r="E32" t="str">
            <v>cap</v>
          </cell>
          <cell r="F32" t="str">
            <v>Not yet done</v>
          </cell>
          <cell r="G32" t="str">
            <v>A</v>
          </cell>
          <cell r="H32">
            <v>0</v>
          </cell>
          <cell r="I32" t="str">
            <v>2 - SNV match</v>
          </cell>
          <cell r="J32" t="str">
            <v>SNV22</v>
          </cell>
          <cell r="K32" t="str">
            <v>C</v>
          </cell>
          <cell r="L32" t="str">
            <v>SP2</v>
          </cell>
          <cell r="M32" t="str">
            <v>G3</v>
          </cell>
          <cell r="N32">
            <v>43139</v>
          </cell>
          <cell r="O32" t="str">
            <v>SB</v>
          </cell>
          <cell r="P32">
            <v>0</v>
          </cell>
          <cell r="Q32">
            <v>0</v>
          </cell>
          <cell r="R32">
            <v>0</v>
          </cell>
          <cell r="S32">
            <v>0</v>
          </cell>
          <cell r="T32">
            <v>0</v>
          </cell>
          <cell r="U32">
            <v>8</v>
          </cell>
          <cell r="V32">
            <v>0</v>
          </cell>
          <cell r="W32">
            <v>0</v>
          </cell>
          <cell r="X32">
            <v>0</v>
          </cell>
          <cell r="Y32">
            <v>0</v>
          </cell>
          <cell r="Z32">
            <v>1</v>
          </cell>
        </row>
        <row r="33">
          <cell r="C33">
            <v>2130</v>
          </cell>
          <cell r="D33">
            <v>42958</v>
          </cell>
          <cell r="E33" t="str">
            <v>cap</v>
          </cell>
          <cell r="F33" t="str">
            <v>Not yet done</v>
          </cell>
          <cell r="G33" t="str">
            <v>A</v>
          </cell>
          <cell r="H33">
            <v>0</v>
          </cell>
          <cell r="I33" t="str">
            <v>2 - SNV match</v>
          </cell>
          <cell r="J33" t="str">
            <v>SNV21</v>
          </cell>
          <cell r="K33" t="str">
            <v>C</v>
          </cell>
          <cell r="L33" t="str">
            <v>SP1</v>
          </cell>
          <cell r="M33" t="str">
            <v>H4</v>
          </cell>
          <cell r="N33">
            <v>43143</v>
          </cell>
          <cell r="O33" t="str">
            <v>SB</v>
          </cell>
          <cell r="P33">
            <v>449</v>
          </cell>
          <cell r="Q33">
            <v>1237</v>
          </cell>
          <cell r="R33">
            <v>61</v>
          </cell>
          <cell r="S33">
            <v>0</v>
          </cell>
          <cell r="T33">
            <v>0</v>
          </cell>
          <cell r="U33">
            <v>0</v>
          </cell>
          <cell r="V33">
            <v>0</v>
          </cell>
          <cell r="W33">
            <v>0</v>
          </cell>
          <cell r="X33">
            <v>0</v>
          </cell>
          <cell r="Y33">
            <v>0</v>
          </cell>
          <cell r="Z33">
            <v>1</v>
          </cell>
        </row>
        <row r="34">
          <cell r="C34">
            <v>2134</v>
          </cell>
          <cell r="D34">
            <v>42958</v>
          </cell>
          <cell r="E34" t="str">
            <v>cap</v>
          </cell>
          <cell r="F34" t="str">
            <v>Not yet done</v>
          </cell>
          <cell r="G34" t="str">
            <v>A</v>
          </cell>
          <cell r="H34" t="str">
            <v>Y</v>
          </cell>
          <cell r="I34" t="str">
            <v>1 - SNV pos</v>
          </cell>
          <cell r="J34" t="str">
            <v>is SNV21</v>
          </cell>
          <cell r="K34" t="str">
            <v>C</v>
          </cell>
          <cell r="L34" t="str">
            <v>SP2</v>
          </cell>
          <cell r="M34" t="str">
            <v>B8</v>
          </cell>
          <cell r="N34">
            <v>43143</v>
          </cell>
          <cell r="O34" t="str">
            <v>SB</v>
          </cell>
          <cell r="P34">
            <v>0</v>
          </cell>
          <cell r="Q34">
            <v>0</v>
          </cell>
          <cell r="R34">
            <v>0</v>
          </cell>
          <cell r="S34">
            <v>0</v>
          </cell>
          <cell r="T34">
            <v>0</v>
          </cell>
          <cell r="U34">
            <v>0</v>
          </cell>
          <cell r="V34">
            <v>0</v>
          </cell>
          <cell r="W34">
            <v>0</v>
          </cell>
          <cell r="X34">
            <v>0</v>
          </cell>
          <cell r="Y34">
            <v>0</v>
          </cell>
          <cell r="Z34">
            <v>0</v>
          </cell>
        </row>
        <row r="35">
          <cell r="C35">
            <v>2137</v>
          </cell>
          <cell r="D35">
            <v>42958</v>
          </cell>
          <cell r="E35" t="str">
            <v>cap</v>
          </cell>
          <cell r="F35" t="str">
            <v>Not yet done</v>
          </cell>
          <cell r="G35" t="str">
            <v>A</v>
          </cell>
          <cell r="H35">
            <v>0</v>
          </cell>
          <cell r="I35" t="str">
            <v>2 - SNV match</v>
          </cell>
          <cell r="J35" t="str">
            <v>SNV21</v>
          </cell>
          <cell r="K35" t="str">
            <v>C</v>
          </cell>
          <cell r="L35" t="str">
            <v>SP2</v>
          </cell>
          <cell r="M35" t="str">
            <v>H1</v>
          </cell>
          <cell r="N35">
            <v>43144</v>
          </cell>
          <cell r="O35" t="str">
            <v>SB</v>
          </cell>
          <cell r="P35">
            <v>84</v>
          </cell>
          <cell r="Q35">
            <v>231</v>
          </cell>
          <cell r="R35">
            <v>12</v>
          </cell>
          <cell r="S35">
            <v>0</v>
          </cell>
          <cell r="T35">
            <v>0</v>
          </cell>
          <cell r="U35">
            <v>0</v>
          </cell>
          <cell r="V35">
            <v>0</v>
          </cell>
          <cell r="W35">
            <v>0</v>
          </cell>
          <cell r="X35">
            <v>33</v>
          </cell>
          <cell r="Y35">
            <v>9</v>
          </cell>
          <cell r="Z35">
            <v>0</v>
          </cell>
        </row>
        <row r="36">
          <cell r="C36">
            <v>2138</v>
          </cell>
          <cell r="D36">
            <v>42958</v>
          </cell>
          <cell r="E36" t="str">
            <v>cap</v>
          </cell>
          <cell r="F36" t="str">
            <v>Not yet done</v>
          </cell>
          <cell r="G36" t="str">
            <v>A</v>
          </cell>
          <cell r="H36">
            <v>0</v>
          </cell>
          <cell r="I36" t="str">
            <v>2 - SNV match</v>
          </cell>
          <cell r="J36" t="str">
            <v>SNV21</v>
          </cell>
          <cell r="K36" t="str">
            <v>A</v>
          </cell>
          <cell r="L36" t="str">
            <v>SP2</v>
          </cell>
          <cell r="M36" t="str">
            <v>H6</v>
          </cell>
          <cell r="N36">
            <v>43144</v>
          </cell>
          <cell r="O36" t="str">
            <v>SB</v>
          </cell>
          <cell r="P36">
            <v>0</v>
          </cell>
          <cell r="Q36">
            <v>0</v>
          </cell>
          <cell r="R36">
            <v>0</v>
          </cell>
          <cell r="S36">
            <v>0</v>
          </cell>
          <cell r="T36">
            <v>0</v>
          </cell>
          <cell r="U36">
            <v>0</v>
          </cell>
          <cell r="V36">
            <v>0</v>
          </cell>
          <cell r="W36">
            <v>0</v>
          </cell>
          <cell r="X36">
            <v>134</v>
          </cell>
          <cell r="Y36">
            <v>75</v>
          </cell>
          <cell r="Z36">
            <v>0</v>
          </cell>
        </row>
        <row r="37">
          <cell r="C37">
            <v>2142</v>
          </cell>
          <cell r="D37">
            <v>42959</v>
          </cell>
          <cell r="E37" t="str">
            <v>cap</v>
          </cell>
          <cell r="F37" t="str">
            <v>Not yet done</v>
          </cell>
          <cell r="G37" t="str">
            <v>A</v>
          </cell>
          <cell r="H37">
            <v>0</v>
          </cell>
          <cell r="I37" t="str">
            <v>2 - SNV match</v>
          </cell>
          <cell r="J37" t="str">
            <v>SNV22</v>
          </cell>
          <cell r="K37" t="str">
            <v>C</v>
          </cell>
          <cell r="L37" t="str">
            <v>SP2</v>
          </cell>
          <cell r="M37" t="str">
            <v>A4</v>
          </cell>
          <cell r="N37">
            <v>43145</v>
          </cell>
          <cell r="O37" t="str">
            <v>SB</v>
          </cell>
          <cell r="P37">
            <v>31</v>
          </cell>
          <cell r="Q37">
            <v>92</v>
          </cell>
          <cell r="R37">
            <v>2</v>
          </cell>
          <cell r="S37">
            <v>0</v>
          </cell>
          <cell r="T37">
            <v>0</v>
          </cell>
          <cell r="U37">
            <v>0</v>
          </cell>
          <cell r="V37">
            <v>0</v>
          </cell>
          <cell r="W37">
            <v>0</v>
          </cell>
          <cell r="X37">
            <v>0</v>
          </cell>
          <cell r="Y37">
            <v>0</v>
          </cell>
          <cell r="Z37">
            <v>0</v>
          </cell>
        </row>
        <row r="38">
          <cell r="C38">
            <v>2143</v>
          </cell>
          <cell r="D38">
            <v>42959</v>
          </cell>
          <cell r="E38" t="str">
            <v>cap</v>
          </cell>
          <cell r="F38" t="str">
            <v>Not yet done</v>
          </cell>
          <cell r="G38" t="str">
            <v>A</v>
          </cell>
          <cell r="H38">
            <v>0</v>
          </cell>
          <cell r="I38" t="str">
            <v>2 - SNV match</v>
          </cell>
          <cell r="J38" t="str">
            <v>SNV22</v>
          </cell>
          <cell r="K38" t="str">
            <v>C</v>
          </cell>
          <cell r="L38" t="str">
            <v>SP2</v>
          </cell>
          <cell r="M38" t="str">
            <v>A7</v>
          </cell>
          <cell r="N38">
            <v>43145</v>
          </cell>
          <cell r="O38" t="str">
            <v>SB</v>
          </cell>
          <cell r="P38">
            <v>47</v>
          </cell>
          <cell r="Q38">
            <v>1239</v>
          </cell>
          <cell r="R38">
            <v>11</v>
          </cell>
          <cell r="S38">
            <v>0</v>
          </cell>
          <cell r="T38">
            <v>0</v>
          </cell>
          <cell r="U38">
            <v>5</v>
          </cell>
          <cell r="V38">
            <v>0</v>
          </cell>
          <cell r="W38">
            <v>0</v>
          </cell>
          <cell r="X38">
            <v>0</v>
          </cell>
          <cell r="Y38">
            <v>0</v>
          </cell>
          <cell r="Z38">
            <v>0</v>
          </cell>
        </row>
        <row r="39">
          <cell r="C39">
            <v>2145</v>
          </cell>
          <cell r="D39">
            <v>42959</v>
          </cell>
          <cell r="E39" t="str">
            <v>cap</v>
          </cell>
          <cell r="F39" t="str">
            <v>Not yet done</v>
          </cell>
          <cell r="G39" t="str">
            <v>A</v>
          </cell>
          <cell r="H39" t="str">
            <v>Y</v>
          </cell>
          <cell r="I39" t="str">
            <v>1 - SNV pos</v>
          </cell>
          <cell r="J39" t="str">
            <v>is SNV22</v>
          </cell>
          <cell r="K39" t="str">
            <v>A</v>
          </cell>
          <cell r="L39" t="str">
            <v>SP2</v>
          </cell>
          <cell r="M39" t="str">
            <v>B6</v>
          </cell>
          <cell r="N39">
            <v>43150</v>
          </cell>
          <cell r="O39" t="str">
            <v>SB</v>
          </cell>
          <cell r="P39">
            <v>0</v>
          </cell>
          <cell r="Q39">
            <v>6</v>
          </cell>
          <cell r="R39">
            <v>0</v>
          </cell>
          <cell r="S39">
            <v>0</v>
          </cell>
          <cell r="T39">
            <v>0</v>
          </cell>
          <cell r="U39">
            <v>0</v>
          </cell>
          <cell r="V39">
            <v>0</v>
          </cell>
          <cell r="W39">
            <v>0</v>
          </cell>
          <cell r="X39">
            <v>0</v>
          </cell>
          <cell r="Y39">
            <v>0</v>
          </cell>
          <cell r="Z39">
            <v>0</v>
          </cell>
        </row>
        <row r="40">
          <cell r="C40">
            <v>2146</v>
          </cell>
          <cell r="D40">
            <v>42963</v>
          </cell>
          <cell r="E40" t="str">
            <v>cap</v>
          </cell>
          <cell r="F40" t="str">
            <v>Not yet done</v>
          </cell>
          <cell r="G40" t="str">
            <v>A</v>
          </cell>
          <cell r="H40" t="str">
            <v>Y</v>
          </cell>
          <cell r="I40" t="str">
            <v>1 - SNV pos</v>
          </cell>
          <cell r="J40" t="str">
            <v>is SNV23</v>
          </cell>
          <cell r="K40" t="str">
            <v>A</v>
          </cell>
          <cell r="L40" t="str">
            <v>PO1</v>
          </cell>
          <cell r="M40" t="str">
            <v>A2</v>
          </cell>
          <cell r="N40">
            <v>43150</v>
          </cell>
          <cell r="O40" t="str">
            <v>SB</v>
          </cell>
          <cell r="P40">
            <v>0</v>
          </cell>
          <cell r="Q40">
            <v>0</v>
          </cell>
          <cell r="R40">
            <v>0</v>
          </cell>
          <cell r="S40">
            <v>0</v>
          </cell>
          <cell r="T40">
            <v>0</v>
          </cell>
          <cell r="U40">
            <v>0</v>
          </cell>
          <cell r="V40">
            <v>24</v>
          </cell>
          <cell r="W40">
            <v>18</v>
          </cell>
          <cell r="X40">
            <v>0</v>
          </cell>
          <cell r="Y40">
            <v>0</v>
          </cell>
          <cell r="Z40">
            <v>22</v>
          </cell>
        </row>
        <row r="41">
          <cell r="C41">
            <v>2147</v>
          </cell>
          <cell r="D41">
            <v>42963</v>
          </cell>
          <cell r="E41" t="str">
            <v>cap</v>
          </cell>
          <cell r="F41" t="str">
            <v>Not yet done</v>
          </cell>
          <cell r="G41" t="str">
            <v>A</v>
          </cell>
          <cell r="H41">
            <v>0</v>
          </cell>
          <cell r="I41" t="str">
            <v>2 - SNV match</v>
          </cell>
          <cell r="J41" t="str">
            <v>SNV23</v>
          </cell>
          <cell r="K41" t="str">
            <v>A</v>
          </cell>
          <cell r="L41" t="str">
            <v>PO1</v>
          </cell>
          <cell r="M41" t="str">
            <v>A4</v>
          </cell>
          <cell r="N41">
            <v>43150</v>
          </cell>
          <cell r="O41" t="str">
            <v>SB</v>
          </cell>
          <cell r="P41">
            <v>105</v>
          </cell>
          <cell r="Q41">
            <v>529</v>
          </cell>
          <cell r="R41">
            <v>4</v>
          </cell>
          <cell r="S41">
            <v>0</v>
          </cell>
          <cell r="T41">
            <v>0</v>
          </cell>
          <cell r="U41">
            <v>0</v>
          </cell>
          <cell r="V41">
            <v>3</v>
          </cell>
          <cell r="W41">
            <v>2</v>
          </cell>
          <cell r="X41">
            <v>0</v>
          </cell>
          <cell r="Y41">
            <v>0</v>
          </cell>
          <cell r="Z41">
            <v>23</v>
          </cell>
        </row>
        <row r="42">
          <cell r="C42">
            <v>2153</v>
          </cell>
          <cell r="D42">
            <v>42963</v>
          </cell>
          <cell r="E42" t="str">
            <v>cap</v>
          </cell>
          <cell r="F42" t="str">
            <v>Not yet done</v>
          </cell>
          <cell r="G42" t="str">
            <v>A</v>
          </cell>
          <cell r="H42">
            <v>0</v>
          </cell>
          <cell r="I42" t="str">
            <v>2 - SNV match</v>
          </cell>
          <cell r="J42" t="str">
            <v>SNV23</v>
          </cell>
          <cell r="K42" t="str">
            <v>C</v>
          </cell>
          <cell r="L42" t="str">
            <v>PO1</v>
          </cell>
          <cell r="M42" t="str">
            <v>G2</v>
          </cell>
          <cell r="N42">
            <v>43153</v>
          </cell>
          <cell r="O42" t="str">
            <v>SB</v>
          </cell>
          <cell r="P42">
            <v>0</v>
          </cell>
          <cell r="Q42">
            <v>0</v>
          </cell>
          <cell r="R42">
            <v>0</v>
          </cell>
          <cell r="S42">
            <v>22</v>
          </cell>
          <cell r="T42">
            <v>1</v>
          </cell>
          <cell r="U42">
            <v>0</v>
          </cell>
          <cell r="V42">
            <v>0</v>
          </cell>
          <cell r="W42">
            <v>0</v>
          </cell>
          <cell r="X42">
            <v>0</v>
          </cell>
          <cell r="Y42">
            <v>0</v>
          </cell>
          <cell r="Z42">
            <v>0</v>
          </cell>
        </row>
        <row r="43">
          <cell r="C43">
            <v>2155</v>
          </cell>
          <cell r="D43">
            <v>42963</v>
          </cell>
          <cell r="E43" t="str">
            <v>cap</v>
          </cell>
          <cell r="F43" t="str">
            <v>Not yet done</v>
          </cell>
          <cell r="G43" t="str">
            <v>A</v>
          </cell>
          <cell r="H43">
            <v>0</v>
          </cell>
          <cell r="I43" t="str">
            <v>2 - SNV match</v>
          </cell>
          <cell r="J43" t="str">
            <v>SNV23</v>
          </cell>
          <cell r="K43" t="str">
            <v>A</v>
          </cell>
          <cell r="L43" t="str">
            <v>PO2</v>
          </cell>
          <cell r="M43" t="str">
            <v>A1</v>
          </cell>
          <cell r="N43">
            <v>43153</v>
          </cell>
          <cell r="O43" t="str">
            <v>SB</v>
          </cell>
          <cell r="P43">
            <v>68</v>
          </cell>
          <cell r="Q43">
            <v>2609</v>
          </cell>
          <cell r="R43">
            <v>0</v>
          </cell>
          <cell r="S43">
            <v>0</v>
          </cell>
          <cell r="T43">
            <v>0</v>
          </cell>
          <cell r="U43">
            <v>0</v>
          </cell>
          <cell r="V43">
            <v>0</v>
          </cell>
          <cell r="W43">
            <v>0</v>
          </cell>
          <cell r="X43">
            <v>0</v>
          </cell>
          <cell r="Y43">
            <v>0</v>
          </cell>
          <cell r="Z43">
            <v>0</v>
          </cell>
        </row>
        <row r="44">
          <cell r="C44">
            <v>2161</v>
          </cell>
          <cell r="D44">
            <v>42963</v>
          </cell>
          <cell r="E44" t="str">
            <v>cap</v>
          </cell>
          <cell r="F44" t="str">
            <v>Not yet done</v>
          </cell>
          <cell r="G44" t="str">
            <v>A</v>
          </cell>
          <cell r="H44">
            <v>0</v>
          </cell>
          <cell r="I44" t="str">
            <v>2 - SNV match</v>
          </cell>
          <cell r="J44" t="str">
            <v>SNV23</v>
          </cell>
          <cell r="K44" t="str">
            <v>C</v>
          </cell>
          <cell r="L44" t="str">
            <v>PO2</v>
          </cell>
          <cell r="M44" t="str">
            <v>F1</v>
          </cell>
          <cell r="N44">
            <v>43153</v>
          </cell>
          <cell r="O44" t="str">
            <v>SB</v>
          </cell>
          <cell r="P44">
            <v>6</v>
          </cell>
          <cell r="Q44">
            <v>181</v>
          </cell>
          <cell r="R44">
            <v>2</v>
          </cell>
          <cell r="S44">
            <v>4</v>
          </cell>
          <cell r="T44">
            <v>0</v>
          </cell>
          <cell r="U44">
            <v>0</v>
          </cell>
          <cell r="V44">
            <v>0</v>
          </cell>
          <cell r="W44">
            <v>0</v>
          </cell>
          <cell r="X44">
            <v>0</v>
          </cell>
          <cell r="Y44">
            <v>0</v>
          </cell>
          <cell r="Z44">
            <v>0</v>
          </cell>
        </row>
        <row r="45">
          <cell r="C45">
            <v>2163</v>
          </cell>
          <cell r="D45">
            <v>42963</v>
          </cell>
          <cell r="E45" t="str">
            <v>cap</v>
          </cell>
          <cell r="F45" t="str">
            <v>Not yet done</v>
          </cell>
          <cell r="G45" t="str">
            <v>A</v>
          </cell>
          <cell r="H45">
            <v>0</v>
          </cell>
          <cell r="I45" t="str">
            <v>2 - SNV match</v>
          </cell>
          <cell r="J45" t="str">
            <v>SNV23</v>
          </cell>
          <cell r="K45" t="str">
            <v>C</v>
          </cell>
          <cell r="L45" t="str">
            <v>PO2</v>
          </cell>
          <cell r="M45" t="str">
            <v>G6</v>
          </cell>
          <cell r="N45">
            <v>43154</v>
          </cell>
          <cell r="O45" t="str">
            <v>SB</v>
          </cell>
          <cell r="P45">
            <v>80</v>
          </cell>
          <cell r="Q45">
            <v>2012</v>
          </cell>
          <cell r="R45">
            <v>44</v>
          </cell>
          <cell r="S45">
            <v>0</v>
          </cell>
          <cell r="T45">
            <v>0</v>
          </cell>
          <cell r="U45">
            <v>0</v>
          </cell>
          <cell r="V45">
            <v>0</v>
          </cell>
          <cell r="W45">
            <v>2</v>
          </cell>
          <cell r="X45">
            <v>0</v>
          </cell>
          <cell r="Y45">
            <v>0</v>
          </cell>
          <cell r="Z45">
            <v>2</v>
          </cell>
        </row>
        <row r="46">
          <cell r="C46">
            <v>2164</v>
          </cell>
          <cell r="D46">
            <v>42963</v>
          </cell>
          <cell r="E46" t="str">
            <v>cap</v>
          </cell>
          <cell r="F46" t="str">
            <v>Not yet done</v>
          </cell>
          <cell r="G46" t="str">
            <v>A</v>
          </cell>
          <cell r="H46">
            <v>0</v>
          </cell>
          <cell r="I46" t="str">
            <v>2 - SNV match</v>
          </cell>
          <cell r="J46" t="str">
            <v>SNV23</v>
          </cell>
          <cell r="K46" t="str">
            <v>C</v>
          </cell>
          <cell r="L46" t="str">
            <v>PO2</v>
          </cell>
          <cell r="M46" t="str">
            <v>H3</v>
          </cell>
          <cell r="N46">
            <v>43154</v>
          </cell>
          <cell r="O46" t="str">
            <v>SB</v>
          </cell>
          <cell r="P46">
            <v>0</v>
          </cell>
          <cell r="Q46">
            <v>0</v>
          </cell>
          <cell r="R46">
            <v>0</v>
          </cell>
          <cell r="S46">
            <v>0</v>
          </cell>
          <cell r="T46">
            <v>0</v>
          </cell>
          <cell r="U46">
            <v>0</v>
          </cell>
          <cell r="V46">
            <v>1</v>
          </cell>
          <cell r="W46">
            <v>1</v>
          </cell>
          <cell r="X46">
            <v>0</v>
          </cell>
          <cell r="Y46">
            <v>0</v>
          </cell>
          <cell r="Z46">
            <v>1</v>
          </cell>
        </row>
        <row r="47">
          <cell r="C47">
            <v>2166</v>
          </cell>
          <cell r="D47">
            <v>42963</v>
          </cell>
          <cell r="E47" t="str">
            <v>cap</v>
          </cell>
          <cell r="F47" t="str">
            <v>Not yet done</v>
          </cell>
          <cell r="G47" t="str">
            <v>A</v>
          </cell>
          <cell r="H47">
            <v>0</v>
          </cell>
          <cell r="I47" t="str">
            <v>2 - SNV match</v>
          </cell>
          <cell r="J47" t="str">
            <v>SNV23</v>
          </cell>
          <cell r="K47" t="str">
            <v>A</v>
          </cell>
          <cell r="L47" t="str">
            <v>PO2</v>
          </cell>
          <cell r="M47" t="str">
            <v>H8</v>
          </cell>
          <cell r="N47">
            <v>43157</v>
          </cell>
          <cell r="O47" t="str">
            <v>SB</v>
          </cell>
          <cell r="P47">
            <v>0</v>
          </cell>
          <cell r="Q47">
            <v>1</v>
          </cell>
          <cell r="R47">
            <v>0</v>
          </cell>
          <cell r="S47">
            <v>0</v>
          </cell>
          <cell r="T47">
            <v>0</v>
          </cell>
          <cell r="U47">
            <v>27</v>
          </cell>
          <cell r="V47">
            <v>1</v>
          </cell>
          <cell r="W47">
            <v>2</v>
          </cell>
          <cell r="X47">
            <v>0</v>
          </cell>
          <cell r="Y47">
            <v>0</v>
          </cell>
          <cell r="Z47">
            <v>56</v>
          </cell>
        </row>
        <row r="48">
          <cell r="C48">
            <v>2179</v>
          </cell>
          <cell r="D48">
            <v>42964</v>
          </cell>
          <cell r="E48" t="str">
            <v>cap</v>
          </cell>
          <cell r="F48" t="str">
            <v>Not yet done</v>
          </cell>
          <cell r="G48" t="str">
            <v>A</v>
          </cell>
          <cell r="H48">
            <v>0</v>
          </cell>
          <cell r="I48" t="str">
            <v>2 - SNV match</v>
          </cell>
          <cell r="J48" t="str">
            <v>SNV23</v>
          </cell>
          <cell r="K48" t="str">
            <v>C</v>
          </cell>
          <cell r="L48" t="str">
            <v>PO2</v>
          </cell>
          <cell r="M48" t="str">
            <v>D1</v>
          </cell>
          <cell r="N48">
            <v>43157</v>
          </cell>
          <cell r="O48" t="str">
            <v>SB</v>
          </cell>
          <cell r="P48">
            <v>31</v>
          </cell>
          <cell r="Q48">
            <v>311</v>
          </cell>
          <cell r="R48">
            <v>0</v>
          </cell>
          <cell r="S48">
            <v>0</v>
          </cell>
          <cell r="T48">
            <v>0</v>
          </cell>
          <cell r="U48">
            <v>0</v>
          </cell>
          <cell r="V48">
            <v>0</v>
          </cell>
          <cell r="W48">
            <v>0</v>
          </cell>
          <cell r="X48">
            <v>0</v>
          </cell>
          <cell r="Y48">
            <v>0</v>
          </cell>
          <cell r="Z48">
            <v>0</v>
          </cell>
        </row>
        <row r="49">
          <cell r="C49">
            <v>2181</v>
          </cell>
          <cell r="D49">
            <v>42964</v>
          </cell>
          <cell r="E49" t="str">
            <v>cap</v>
          </cell>
          <cell r="F49" t="str">
            <v>Not yet done</v>
          </cell>
          <cell r="G49" t="str">
            <v>A</v>
          </cell>
          <cell r="H49">
            <v>0</v>
          </cell>
          <cell r="I49" t="str">
            <v>2 - SNV match</v>
          </cell>
          <cell r="J49" t="str">
            <v>SNV23</v>
          </cell>
          <cell r="K49" t="str">
            <v>A</v>
          </cell>
          <cell r="L49" t="str">
            <v>PO2</v>
          </cell>
          <cell r="M49" t="str">
            <v>F8</v>
          </cell>
          <cell r="N49">
            <v>43157</v>
          </cell>
          <cell r="O49" t="str">
            <v>SB</v>
          </cell>
          <cell r="P49">
            <v>0</v>
          </cell>
          <cell r="Q49">
            <v>0</v>
          </cell>
          <cell r="R49">
            <v>0</v>
          </cell>
          <cell r="S49">
            <v>0</v>
          </cell>
          <cell r="T49">
            <v>0</v>
          </cell>
          <cell r="U49">
            <v>0</v>
          </cell>
          <cell r="V49">
            <v>0</v>
          </cell>
          <cell r="W49">
            <v>0</v>
          </cell>
          <cell r="X49">
            <v>0</v>
          </cell>
          <cell r="Y49">
            <v>0</v>
          </cell>
          <cell r="Z49">
            <v>7</v>
          </cell>
        </row>
        <row r="50">
          <cell r="C50">
            <v>2234</v>
          </cell>
          <cell r="D50">
            <v>42972</v>
          </cell>
          <cell r="E50" t="str">
            <v>cap</v>
          </cell>
          <cell r="F50" t="str">
            <v>Not yet done</v>
          </cell>
          <cell r="G50" t="str">
            <v>A</v>
          </cell>
          <cell r="H50">
            <v>0</v>
          </cell>
          <cell r="I50" t="str">
            <v>2 - SNV match</v>
          </cell>
          <cell r="J50" t="str">
            <v>SNV 24</v>
          </cell>
          <cell r="K50" t="str">
            <v>A</v>
          </cell>
          <cell r="L50" t="str">
            <v>SP1</v>
          </cell>
          <cell r="M50" t="str">
            <v>E1</v>
          </cell>
          <cell r="N50">
            <v>43157</v>
          </cell>
          <cell r="O50" t="str">
            <v>SB</v>
          </cell>
          <cell r="P50">
            <v>0</v>
          </cell>
          <cell r="Q50">
            <v>0</v>
          </cell>
          <cell r="R50">
            <v>0</v>
          </cell>
          <cell r="S50">
            <v>0</v>
          </cell>
          <cell r="T50">
            <v>0</v>
          </cell>
          <cell r="U50">
            <v>0</v>
          </cell>
          <cell r="V50">
            <v>0</v>
          </cell>
          <cell r="W50">
            <v>0</v>
          </cell>
          <cell r="X50">
            <v>0</v>
          </cell>
          <cell r="Y50">
            <v>0</v>
          </cell>
          <cell r="Z50">
            <v>98</v>
          </cell>
        </row>
        <row r="51">
          <cell r="C51">
            <v>2240</v>
          </cell>
          <cell r="D51">
            <v>42972</v>
          </cell>
          <cell r="E51" t="str">
            <v>cap</v>
          </cell>
          <cell r="F51" t="str">
            <v>Not yet done</v>
          </cell>
          <cell r="G51" t="str">
            <v>A</v>
          </cell>
          <cell r="H51">
            <v>0</v>
          </cell>
          <cell r="I51" t="str">
            <v>2 - SNV match</v>
          </cell>
          <cell r="J51" t="str">
            <v>SNV 24</v>
          </cell>
          <cell r="K51" t="str">
            <v>C</v>
          </cell>
          <cell r="L51" t="str">
            <v>SP1</v>
          </cell>
          <cell r="M51" t="str">
            <v>H7</v>
          </cell>
          <cell r="N51">
            <v>43158</v>
          </cell>
          <cell r="O51" t="str">
            <v>SB</v>
          </cell>
          <cell r="P51">
            <v>0</v>
          </cell>
          <cell r="Q51">
            <v>226</v>
          </cell>
          <cell r="R51">
            <v>0</v>
          </cell>
          <cell r="S51">
            <v>0</v>
          </cell>
          <cell r="T51">
            <v>0</v>
          </cell>
          <cell r="U51">
            <v>0</v>
          </cell>
          <cell r="V51">
            <v>0</v>
          </cell>
          <cell r="W51">
            <v>0</v>
          </cell>
          <cell r="X51">
            <v>0</v>
          </cell>
          <cell r="Y51">
            <v>0</v>
          </cell>
          <cell r="Z51">
            <v>0</v>
          </cell>
        </row>
        <row r="52">
          <cell r="C52">
            <v>2245</v>
          </cell>
          <cell r="D52">
            <v>42972</v>
          </cell>
          <cell r="E52" t="str">
            <v>cap</v>
          </cell>
          <cell r="F52" t="str">
            <v>Not yet done</v>
          </cell>
          <cell r="G52" t="str">
            <v>A</v>
          </cell>
          <cell r="H52" t="str">
            <v>Y</v>
          </cell>
          <cell r="I52" t="str">
            <v>1 - SNV pos</v>
          </cell>
          <cell r="J52" t="str">
            <v>is SNV 24</v>
          </cell>
          <cell r="K52" t="str">
            <v>A</v>
          </cell>
          <cell r="L52" t="str">
            <v>SP2</v>
          </cell>
          <cell r="M52" t="str">
            <v>B6</v>
          </cell>
          <cell r="N52">
            <v>43158</v>
          </cell>
          <cell r="O52" t="str">
            <v>SB</v>
          </cell>
          <cell r="P52">
            <v>0</v>
          </cell>
          <cell r="Q52">
            <v>0</v>
          </cell>
          <cell r="R52">
            <v>0</v>
          </cell>
          <cell r="S52">
            <v>0</v>
          </cell>
          <cell r="T52">
            <v>0</v>
          </cell>
          <cell r="U52">
            <v>0</v>
          </cell>
          <cell r="V52">
            <v>0</v>
          </cell>
          <cell r="W52">
            <v>0</v>
          </cell>
          <cell r="X52">
            <v>0</v>
          </cell>
          <cell r="Y52">
            <v>0</v>
          </cell>
          <cell r="Z52">
            <v>0</v>
          </cell>
        </row>
        <row r="53">
          <cell r="C53">
            <v>2257</v>
          </cell>
          <cell r="D53">
            <v>42972</v>
          </cell>
          <cell r="E53" t="str">
            <v>cap</v>
          </cell>
          <cell r="F53" t="str">
            <v>Not yet done</v>
          </cell>
          <cell r="G53" t="str">
            <v>A</v>
          </cell>
          <cell r="H53">
            <v>0</v>
          </cell>
          <cell r="I53" t="str">
            <v>2 - SNV match</v>
          </cell>
          <cell r="J53" t="str">
            <v>SNV 24</v>
          </cell>
          <cell r="K53" t="str">
            <v>C</v>
          </cell>
          <cell r="L53" t="str">
            <v>SP2</v>
          </cell>
          <cell r="M53" t="str">
            <v>H5</v>
          </cell>
          <cell r="N53">
            <v>43158</v>
          </cell>
          <cell r="O53" t="str">
            <v>SB</v>
          </cell>
          <cell r="P53">
            <v>0</v>
          </cell>
          <cell r="Q53">
            <v>0</v>
          </cell>
          <cell r="R53">
            <v>0</v>
          </cell>
          <cell r="S53">
            <v>0</v>
          </cell>
          <cell r="T53">
            <v>0</v>
          </cell>
          <cell r="U53">
            <v>0</v>
          </cell>
          <cell r="V53">
            <v>0</v>
          </cell>
          <cell r="W53">
            <v>0</v>
          </cell>
          <cell r="X53">
            <v>0</v>
          </cell>
          <cell r="Y53">
            <v>0</v>
          </cell>
          <cell r="Z53">
            <v>0</v>
          </cell>
        </row>
        <row r="54">
          <cell r="C54">
            <v>2264</v>
          </cell>
          <cell r="D54">
            <v>42973</v>
          </cell>
          <cell r="E54" t="str">
            <v>cap</v>
          </cell>
          <cell r="F54" t="str">
            <v>Not yet done</v>
          </cell>
          <cell r="G54" t="str">
            <v>A</v>
          </cell>
          <cell r="H54">
            <v>0</v>
          </cell>
          <cell r="I54" t="str">
            <v>2 - SNV match</v>
          </cell>
          <cell r="J54" t="str">
            <v>SNV 24</v>
          </cell>
          <cell r="K54" t="str">
            <v>A</v>
          </cell>
          <cell r="L54" t="str">
            <v>SP2</v>
          </cell>
          <cell r="M54" t="str">
            <v>C7</v>
          </cell>
          <cell r="N54">
            <v>43159</v>
          </cell>
          <cell r="O54" t="str">
            <v>SB</v>
          </cell>
          <cell r="P54">
            <v>4</v>
          </cell>
          <cell r="Q54">
            <v>133</v>
          </cell>
          <cell r="R54">
            <v>0</v>
          </cell>
          <cell r="S54">
            <v>0</v>
          </cell>
          <cell r="T54">
            <v>0</v>
          </cell>
          <cell r="U54">
            <v>0</v>
          </cell>
          <cell r="V54">
            <v>1</v>
          </cell>
          <cell r="W54">
            <v>0</v>
          </cell>
          <cell r="X54">
            <v>0</v>
          </cell>
          <cell r="Y54">
            <v>0</v>
          </cell>
          <cell r="Z54">
            <v>2</v>
          </cell>
        </row>
        <row r="55">
          <cell r="C55">
            <v>2270</v>
          </cell>
          <cell r="D55">
            <v>42975</v>
          </cell>
          <cell r="E55" t="str">
            <v>cap</v>
          </cell>
          <cell r="F55" t="str">
            <v>Not yet done</v>
          </cell>
          <cell r="G55" t="str">
            <v>A</v>
          </cell>
          <cell r="H55">
            <v>0</v>
          </cell>
          <cell r="I55" t="str">
            <v>2 - SNV match</v>
          </cell>
          <cell r="J55" t="str">
            <v>SNV 26</v>
          </cell>
          <cell r="K55" t="str">
            <v>C</v>
          </cell>
          <cell r="L55" t="str">
            <v>PO1</v>
          </cell>
          <cell r="M55" t="str">
            <v>B2</v>
          </cell>
          <cell r="N55">
            <v>43160</v>
          </cell>
          <cell r="O55" t="str">
            <v>SB</v>
          </cell>
          <cell r="P55">
            <v>35</v>
          </cell>
          <cell r="Q55">
            <v>121</v>
          </cell>
          <cell r="R55">
            <v>0</v>
          </cell>
          <cell r="S55">
            <v>0</v>
          </cell>
          <cell r="T55">
            <v>0</v>
          </cell>
          <cell r="U55">
            <v>0</v>
          </cell>
          <cell r="V55">
            <v>0</v>
          </cell>
          <cell r="W55">
            <v>0</v>
          </cell>
          <cell r="X55">
            <v>0</v>
          </cell>
          <cell r="Y55">
            <v>0</v>
          </cell>
          <cell r="Z55">
            <v>16</v>
          </cell>
        </row>
        <row r="56">
          <cell r="C56">
            <v>2272</v>
          </cell>
          <cell r="D56">
            <v>42975</v>
          </cell>
          <cell r="E56" t="str">
            <v>cap</v>
          </cell>
          <cell r="F56" t="str">
            <v>Not yet done</v>
          </cell>
          <cell r="G56" t="str">
            <v>A</v>
          </cell>
          <cell r="H56">
            <v>0</v>
          </cell>
          <cell r="I56" t="str">
            <v>2 - SNV match</v>
          </cell>
          <cell r="J56" t="str">
            <v>SNV 25</v>
          </cell>
          <cell r="K56" t="str">
            <v>A</v>
          </cell>
          <cell r="L56" t="str">
            <v>PO1</v>
          </cell>
          <cell r="M56" t="str">
            <v>D2</v>
          </cell>
          <cell r="N56">
            <v>43160</v>
          </cell>
          <cell r="O56" t="str">
            <v>SB</v>
          </cell>
          <cell r="P56">
            <v>16</v>
          </cell>
          <cell r="Q56">
            <v>60</v>
          </cell>
          <cell r="R56">
            <v>0</v>
          </cell>
          <cell r="S56">
            <v>0</v>
          </cell>
          <cell r="T56">
            <v>0</v>
          </cell>
          <cell r="U56">
            <v>0</v>
          </cell>
          <cell r="V56">
            <v>0</v>
          </cell>
          <cell r="W56">
            <v>0</v>
          </cell>
          <cell r="X56">
            <v>742</v>
          </cell>
          <cell r="Y56">
            <v>282</v>
          </cell>
          <cell r="Z56">
            <v>1</v>
          </cell>
        </row>
        <row r="57">
          <cell r="C57">
            <v>2273</v>
          </cell>
          <cell r="D57">
            <v>42975</v>
          </cell>
          <cell r="E57" t="str">
            <v>cap</v>
          </cell>
          <cell r="F57" t="str">
            <v>Not yet done</v>
          </cell>
          <cell r="G57" t="str">
            <v>A</v>
          </cell>
          <cell r="H57">
            <v>0</v>
          </cell>
          <cell r="I57" t="str">
            <v>2 - SNV match</v>
          </cell>
          <cell r="J57" t="str">
            <v>SNV 25</v>
          </cell>
          <cell r="K57" t="str">
            <v>C</v>
          </cell>
          <cell r="L57" t="str">
            <v>PO1</v>
          </cell>
          <cell r="M57" t="str">
            <v>D3</v>
          </cell>
          <cell r="N57">
            <v>43160</v>
          </cell>
          <cell r="O57" t="str">
            <v>SB+LV</v>
          </cell>
          <cell r="P57">
            <v>0</v>
          </cell>
          <cell r="Q57">
            <v>0</v>
          </cell>
          <cell r="R57">
            <v>0</v>
          </cell>
          <cell r="S57">
            <v>0</v>
          </cell>
          <cell r="T57">
            <v>0</v>
          </cell>
          <cell r="U57">
            <v>0</v>
          </cell>
          <cell r="V57">
            <v>0</v>
          </cell>
          <cell r="W57">
            <v>0</v>
          </cell>
          <cell r="X57">
            <v>0</v>
          </cell>
          <cell r="Y57">
            <v>0</v>
          </cell>
          <cell r="Z57">
            <v>1</v>
          </cell>
        </row>
        <row r="58">
          <cell r="C58">
            <v>2280</v>
          </cell>
          <cell r="D58">
            <v>42975</v>
          </cell>
          <cell r="E58" t="str">
            <v>cap</v>
          </cell>
          <cell r="F58" t="str">
            <v>Not yet done</v>
          </cell>
          <cell r="G58" t="str">
            <v>A</v>
          </cell>
          <cell r="H58">
            <v>0</v>
          </cell>
          <cell r="I58" t="str">
            <v>2 - SNV match</v>
          </cell>
          <cell r="J58" t="str">
            <v>SNV 26</v>
          </cell>
          <cell r="K58" t="str">
            <v>A</v>
          </cell>
          <cell r="L58" t="str">
            <v>PO2</v>
          </cell>
          <cell r="M58" t="str">
            <v>A1</v>
          </cell>
          <cell r="N58">
            <v>43160</v>
          </cell>
          <cell r="O58" t="str">
            <v>SB</v>
          </cell>
          <cell r="P58">
            <v>205</v>
          </cell>
          <cell r="Q58">
            <v>800</v>
          </cell>
          <cell r="R58">
            <v>0</v>
          </cell>
          <cell r="S58">
            <v>0</v>
          </cell>
          <cell r="T58">
            <v>0</v>
          </cell>
          <cell r="U58">
            <v>0</v>
          </cell>
          <cell r="V58">
            <v>0</v>
          </cell>
          <cell r="W58">
            <v>0</v>
          </cell>
          <cell r="X58">
            <v>0</v>
          </cell>
          <cell r="Y58">
            <v>0</v>
          </cell>
          <cell r="Z58">
            <v>0</v>
          </cell>
        </row>
        <row r="59">
          <cell r="C59">
            <v>2288</v>
          </cell>
          <cell r="D59">
            <v>42975</v>
          </cell>
          <cell r="E59" t="str">
            <v>cap</v>
          </cell>
          <cell r="F59" t="str">
            <v>Not yet done</v>
          </cell>
          <cell r="G59" t="str">
            <v>A</v>
          </cell>
          <cell r="H59">
            <v>0</v>
          </cell>
          <cell r="I59" t="str">
            <v>2 - SNV match</v>
          </cell>
          <cell r="J59" t="str">
            <v>SNV 26</v>
          </cell>
          <cell r="K59" t="str">
            <v>C</v>
          </cell>
          <cell r="L59" t="str">
            <v>PO2</v>
          </cell>
          <cell r="M59" t="str">
            <v>E1</v>
          </cell>
          <cell r="N59">
            <v>43164</v>
          </cell>
          <cell r="O59" t="str">
            <v>SB</v>
          </cell>
          <cell r="P59">
            <v>61</v>
          </cell>
          <cell r="Q59">
            <v>191</v>
          </cell>
          <cell r="R59">
            <v>0</v>
          </cell>
          <cell r="S59">
            <v>0</v>
          </cell>
          <cell r="T59">
            <v>0</v>
          </cell>
          <cell r="U59">
            <v>2</v>
          </cell>
          <cell r="V59">
            <v>0</v>
          </cell>
          <cell r="W59">
            <v>0</v>
          </cell>
          <cell r="X59">
            <v>0</v>
          </cell>
          <cell r="Y59">
            <v>0</v>
          </cell>
          <cell r="Z59">
            <v>2</v>
          </cell>
        </row>
        <row r="60">
          <cell r="C60">
            <v>2293</v>
          </cell>
          <cell r="D60">
            <v>42975</v>
          </cell>
          <cell r="E60" t="str">
            <v>cap</v>
          </cell>
          <cell r="F60" t="str">
            <v>Not yet done</v>
          </cell>
          <cell r="G60" t="str">
            <v>A</v>
          </cell>
          <cell r="H60">
            <v>0</v>
          </cell>
          <cell r="I60" t="str">
            <v>2 - SNV match</v>
          </cell>
          <cell r="J60" t="str">
            <v>SNV 25</v>
          </cell>
          <cell r="K60" t="str">
            <v>C</v>
          </cell>
          <cell r="L60" t="str">
            <v>PO2</v>
          </cell>
          <cell r="M60" t="str">
            <v>G6</v>
          </cell>
          <cell r="N60" t="str">
            <v>missing sample</v>
          </cell>
          <cell r="O60" t="str">
            <v>missing</v>
          </cell>
        </row>
        <row r="61">
          <cell r="C61">
            <v>2298</v>
          </cell>
          <cell r="D61">
            <v>42976</v>
          </cell>
          <cell r="E61" t="str">
            <v>cap</v>
          </cell>
          <cell r="F61" t="str">
            <v>Not yet done</v>
          </cell>
          <cell r="G61" t="str">
            <v>A</v>
          </cell>
          <cell r="H61">
            <v>0</v>
          </cell>
          <cell r="I61" t="str">
            <v>2 - SNV match</v>
          </cell>
          <cell r="J61" t="str">
            <v>SNV 26</v>
          </cell>
          <cell r="K61" t="str">
            <v>C</v>
          </cell>
          <cell r="L61" t="str">
            <v>PO1</v>
          </cell>
          <cell r="M61" t="str">
            <v>C8</v>
          </cell>
          <cell r="N61">
            <v>43164</v>
          </cell>
          <cell r="O61" t="str">
            <v>SB</v>
          </cell>
          <cell r="P61">
            <v>141</v>
          </cell>
          <cell r="Q61">
            <v>1892</v>
          </cell>
          <cell r="R61">
            <v>52</v>
          </cell>
          <cell r="S61">
            <v>3</v>
          </cell>
          <cell r="T61">
            <v>1</v>
          </cell>
          <cell r="U61">
            <v>32</v>
          </cell>
          <cell r="V61">
            <v>0</v>
          </cell>
          <cell r="W61">
            <v>0</v>
          </cell>
          <cell r="X61">
            <v>0</v>
          </cell>
          <cell r="Y61">
            <v>0</v>
          </cell>
          <cell r="Z61">
            <v>16</v>
          </cell>
        </row>
        <row r="62">
          <cell r="C62">
            <v>2305</v>
          </cell>
          <cell r="D62">
            <v>42976</v>
          </cell>
          <cell r="E62" t="str">
            <v>cap</v>
          </cell>
          <cell r="F62" t="str">
            <v>Not yet done</v>
          </cell>
          <cell r="G62" t="str">
            <v>A</v>
          </cell>
          <cell r="H62">
            <v>0</v>
          </cell>
          <cell r="I62" t="str">
            <v>2 - SNV match</v>
          </cell>
          <cell r="J62" t="str">
            <v>SNV 25</v>
          </cell>
          <cell r="K62" t="str">
            <v>C</v>
          </cell>
          <cell r="L62" t="str">
            <v>PO2</v>
          </cell>
          <cell r="M62" t="str">
            <v>A8</v>
          </cell>
          <cell r="N62">
            <v>43164</v>
          </cell>
          <cell r="O62" t="str">
            <v>SB</v>
          </cell>
          <cell r="P62">
            <v>0</v>
          </cell>
          <cell r="Q62">
            <v>0</v>
          </cell>
          <cell r="R62">
            <v>0</v>
          </cell>
          <cell r="S62">
            <v>0</v>
          </cell>
          <cell r="T62">
            <v>0</v>
          </cell>
          <cell r="U62">
            <v>20</v>
          </cell>
          <cell r="V62">
            <v>2</v>
          </cell>
          <cell r="W62">
            <v>0</v>
          </cell>
          <cell r="X62">
            <v>0</v>
          </cell>
          <cell r="Y62">
            <v>0</v>
          </cell>
          <cell r="Z62">
            <v>6</v>
          </cell>
        </row>
        <row r="63">
          <cell r="C63">
            <v>2309</v>
          </cell>
          <cell r="D63">
            <v>42976</v>
          </cell>
          <cell r="E63" t="str">
            <v>cap</v>
          </cell>
          <cell r="F63" t="str">
            <v>Not yet done</v>
          </cell>
          <cell r="G63" t="str">
            <v>A</v>
          </cell>
          <cell r="H63" t="str">
            <v>Y</v>
          </cell>
          <cell r="I63" t="str">
            <v>1 - SNV pos</v>
          </cell>
          <cell r="J63" t="str">
            <v>is SNV 25</v>
          </cell>
          <cell r="K63" t="str">
            <v>C</v>
          </cell>
          <cell r="L63" t="str">
            <v>PO2</v>
          </cell>
          <cell r="M63" t="str">
            <v>G1</v>
          </cell>
          <cell r="N63">
            <v>43164</v>
          </cell>
          <cell r="O63" t="str">
            <v>SB</v>
          </cell>
          <cell r="P63">
            <v>97</v>
          </cell>
          <cell r="Q63">
            <v>613</v>
          </cell>
          <cell r="R63">
            <v>16</v>
          </cell>
          <cell r="S63">
            <v>0</v>
          </cell>
          <cell r="T63">
            <v>0</v>
          </cell>
          <cell r="U63">
            <v>0</v>
          </cell>
          <cell r="V63">
            <v>0</v>
          </cell>
          <cell r="W63">
            <v>2</v>
          </cell>
          <cell r="X63">
            <v>0</v>
          </cell>
          <cell r="Y63">
            <v>0</v>
          </cell>
          <cell r="Z63">
            <v>0</v>
          </cell>
        </row>
        <row r="64">
          <cell r="C64">
            <v>2308</v>
          </cell>
          <cell r="D64">
            <v>42976</v>
          </cell>
          <cell r="E64" t="str">
            <v>cap</v>
          </cell>
          <cell r="F64" t="str">
            <v>Not yet done</v>
          </cell>
          <cell r="G64" t="str">
            <v>A</v>
          </cell>
          <cell r="H64">
            <v>0</v>
          </cell>
          <cell r="I64" t="str">
            <v>2 - SNV match</v>
          </cell>
          <cell r="J64" t="str">
            <v>SNV 25</v>
          </cell>
          <cell r="K64" t="str">
            <v>A</v>
          </cell>
          <cell r="L64" t="str">
            <v>PO2</v>
          </cell>
          <cell r="M64" t="str">
            <v>H6</v>
          </cell>
          <cell r="N64">
            <v>43164</v>
          </cell>
          <cell r="O64" t="str">
            <v>SB</v>
          </cell>
          <cell r="P64">
            <v>236</v>
          </cell>
          <cell r="Q64">
            <v>585</v>
          </cell>
          <cell r="R64">
            <v>0</v>
          </cell>
          <cell r="S64">
            <v>0</v>
          </cell>
          <cell r="T64">
            <v>0</v>
          </cell>
          <cell r="U64">
            <v>0</v>
          </cell>
          <cell r="V64">
            <v>0</v>
          </cell>
          <cell r="W64">
            <v>0</v>
          </cell>
          <cell r="X64">
            <v>0</v>
          </cell>
          <cell r="Y64">
            <v>0</v>
          </cell>
          <cell r="Z64">
            <v>0</v>
          </cell>
        </row>
        <row r="65">
          <cell r="C65">
            <v>2312</v>
          </cell>
          <cell r="D65">
            <v>42977</v>
          </cell>
          <cell r="E65" t="str">
            <v>cap</v>
          </cell>
          <cell r="F65" t="str">
            <v>Not yet done</v>
          </cell>
          <cell r="G65" t="str">
            <v>A</v>
          </cell>
          <cell r="H65" t="str">
            <v>Y</v>
          </cell>
          <cell r="I65" t="str">
            <v>1 - SNV pos</v>
          </cell>
          <cell r="J65" t="str">
            <v>is SNV 26</v>
          </cell>
          <cell r="K65" t="str">
            <v>C</v>
          </cell>
          <cell r="L65" t="str">
            <v>PO1</v>
          </cell>
          <cell r="M65" t="str">
            <v>A2</v>
          </cell>
          <cell r="N65">
            <v>43164</v>
          </cell>
          <cell r="O65" t="str">
            <v>SB</v>
          </cell>
          <cell r="P65">
            <v>147</v>
          </cell>
          <cell r="Q65">
            <v>360</v>
          </cell>
          <cell r="R65">
            <v>179</v>
          </cell>
          <cell r="S65">
            <v>0</v>
          </cell>
          <cell r="T65">
            <v>0</v>
          </cell>
          <cell r="U65">
            <v>0</v>
          </cell>
          <cell r="V65">
            <v>0</v>
          </cell>
          <cell r="W65">
            <v>0</v>
          </cell>
          <cell r="X65">
            <v>0</v>
          </cell>
          <cell r="Y65">
            <v>0</v>
          </cell>
          <cell r="Z65">
            <v>5</v>
          </cell>
        </row>
        <row r="66">
          <cell r="C66">
            <v>1819</v>
          </cell>
          <cell r="D66">
            <v>42919</v>
          </cell>
          <cell r="E66" t="str">
            <v>cap</v>
          </cell>
          <cell r="F66" t="str">
            <v>N - not on datasheets</v>
          </cell>
          <cell r="G66" t="str">
            <v>A</v>
          </cell>
          <cell r="H66">
            <v>0</v>
          </cell>
          <cell r="I66" t="str">
            <v>3 - may not exist</v>
          </cell>
          <cell r="J66" t="str">
            <v>SNV14</v>
          </cell>
          <cell r="K66" t="str">
            <v>A</v>
          </cell>
          <cell r="L66" t="str">
            <v>BC1</v>
          </cell>
          <cell r="M66" t="str">
            <v>C8</v>
          </cell>
          <cell r="O66" t="str">
            <v>missing</v>
          </cell>
        </row>
        <row r="67">
          <cell r="C67">
            <v>1963</v>
          </cell>
          <cell r="D67">
            <v>42939</v>
          </cell>
          <cell r="E67" t="str">
            <v>cap</v>
          </cell>
          <cell r="F67" t="str">
            <v>Not yet done</v>
          </cell>
          <cell r="G67" t="str">
            <v>A</v>
          </cell>
          <cell r="H67">
            <v>0</v>
          </cell>
          <cell r="I67" t="str">
            <v>3 - SNV ok match</v>
          </cell>
          <cell r="K67" t="str">
            <v>C</v>
          </cell>
          <cell r="L67" t="str">
            <v>SP1</v>
          </cell>
          <cell r="M67" t="str">
            <v>H3</v>
          </cell>
          <cell r="N67">
            <v>43165</v>
          </cell>
          <cell r="O67" t="str">
            <v>SB</v>
          </cell>
          <cell r="P67">
            <v>1447</v>
          </cell>
          <cell r="Q67">
            <v>2333</v>
          </cell>
          <cell r="S67">
            <v>3</v>
          </cell>
          <cell r="V67">
            <v>1</v>
          </cell>
        </row>
        <row r="68">
          <cell r="C68">
            <v>1966</v>
          </cell>
          <cell r="D68">
            <v>42939</v>
          </cell>
          <cell r="E68" t="str">
            <v>cap</v>
          </cell>
          <cell r="F68" t="str">
            <v>Not yet done</v>
          </cell>
          <cell r="G68" t="str">
            <v>A</v>
          </cell>
          <cell r="H68">
            <v>0</v>
          </cell>
          <cell r="I68" t="str">
            <v>3 - SNV ok match</v>
          </cell>
          <cell r="K68" t="str">
            <v>A</v>
          </cell>
          <cell r="L68" t="str">
            <v>SP2</v>
          </cell>
          <cell r="M68" t="str">
            <v>A1</v>
          </cell>
          <cell r="N68">
            <v>43165</v>
          </cell>
          <cell r="O68" t="str">
            <v>SB</v>
          </cell>
          <cell r="P68">
            <v>1007</v>
          </cell>
          <cell r="Q68">
            <v>336</v>
          </cell>
          <cell r="R68">
            <v>5372</v>
          </cell>
          <cell r="S68">
            <v>10</v>
          </cell>
        </row>
        <row r="69">
          <cell r="C69">
            <v>1971</v>
          </cell>
          <cell r="D69">
            <v>42939</v>
          </cell>
          <cell r="E69" t="str">
            <v>cap</v>
          </cell>
          <cell r="F69" t="str">
            <v>Not yet done</v>
          </cell>
          <cell r="G69" t="str">
            <v>A</v>
          </cell>
          <cell r="H69">
            <v>0</v>
          </cell>
          <cell r="I69" t="str">
            <v>3 - SNV ok match</v>
          </cell>
          <cell r="J69" t="str">
            <v>SNV18</v>
          </cell>
          <cell r="K69" t="str">
            <v>C</v>
          </cell>
          <cell r="L69" t="str">
            <v>SP2</v>
          </cell>
          <cell r="M69" t="str">
            <v>F2</v>
          </cell>
          <cell r="N69">
            <v>43171</v>
          </cell>
          <cell r="O69" t="str">
            <v>SB</v>
          </cell>
          <cell r="P69">
            <v>441</v>
          </cell>
          <cell r="Q69">
            <v>309</v>
          </cell>
          <cell r="R69">
            <v>10</v>
          </cell>
          <cell r="U69">
            <v>79</v>
          </cell>
        </row>
        <row r="70">
          <cell r="C70">
            <v>1974</v>
          </cell>
          <cell r="D70">
            <v>42939</v>
          </cell>
          <cell r="E70" t="str">
            <v>cap</v>
          </cell>
          <cell r="F70" t="str">
            <v>Not yet done</v>
          </cell>
          <cell r="G70" t="str">
            <v>A</v>
          </cell>
          <cell r="H70">
            <v>0</v>
          </cell>
          <cell r="I70" t="str">
            <v>3 - SNV ok match</v>
          </cell>
          <cell r="K70" t="str">
            <v>C</v>
          </cell>
          <cell r="L70" t="str">
            <v>SP2</v>
          </cell>
          <cell r="M70" t="str">
            <v>H3</v>
          </cell>
          <cell r="N70">
            <v>43171</v>
          </cell>
          <cell r="O70" t="str">
            <v>JB</v>
          </cell>
          <cell r="U70">
            <v>12</v>
          </cell>
          <cell r="V70">
            <v>1</v>
          </cell>
        </row>
        <row r="71">
          <cell r="C71">
            <v>1979</v>
          </cell>
          <cell r="D71">
            <v>42940</v>
          </cell>
          <cell r="E71" t="str">
            <v>cap</v>
          </cell>
          <cell r="F71" t="str">
            <v>Not yet done</v>
          </cell>
          <cell r="G71" t="str">
            <v>A</v>
          </cell>
          <cell r="H71">
            <v>0</v>
          </cell>
          <cell r="I71" t="str">
            <v>3 - SNV ok match</v>
          </cell>
          <cell r="K71" t="str">
            <v>C</v>
          </cell>
          <cell r="L71" t="str">
            <v>SP2</v>
          </cell>
          <cell r="M71" t="str">
            <v>A4</v>
          </cell>
          <cell r="N71">
            <v>43164</v>
          </cell>
          <cell r="O71" t="str">
            <v>JB &amp; SB</v>
          </cell>
          <cell r="V71">
            <v>1</v>
          </cell>
          <cell r="X71">
            <v>46</v>
          </cell>
          <cell r="Y71">
            <v>4</v>
          </cell>
        </row>
        <row r="72">
          <cell r="C72">
            <v>1984</v>
          </cell>
          <cell r="D72">
            <v>42940</v>
          </cell>
          <cell r="E72" t="str">
            <v>cap</v>
          </cell>
          <cell r="F72" t="str">
            <v>Not yet done</v>
          </cell>
          <cell r="G72" t="str">
            <v>A</v>
          </cell>
          <cell r="H72">
            <v>0</v>
          </cell>
          <cell r="I72" t="str">
            <v>3 - SNV ok match</v>
          </cell>
          <cell r="K72" t="str">
            <v>A</v>
          </cell>
          <cell r="L72" t="str">
            <v>SP2</v>
          </cell>
          <cell r="M72" t="str">
            <v>G1</v>
          </cell>
          <cell r="N72">
            <v>43171</v>
          </cell>
          <cell r="O72" t="str">
            <v>JB</v>
          </cell>
          <cell r="P72">
            <v>21</v>
          </cell>
          <cell r="Q72">
            <v>601</v>
          </cell>
          <cell r="R72">
            <v>11</v>
          </cell>
          <cell r="T72">
            <v>1</v>
          </cell>
          <cell r="U72">
            <v>3</v>
          </cell>
          <cell r="Z72">
            <v>2</v>
          </cell>
        </row>
        <row r="73">
          <cell r="C73">
            <v>1994</v>
          </cell>
          <cell r="D73">
            <v>42945</v>
          </cell>
          <cell r="E73" t="str">
            <v>cap</v>
          </cell>
          <cell r="F73" t="str">
            <v>Not yet done</v>
          </cell>
          <cell r="G73" t="str">
            <v>A</v>
          </cell>
          <cell r="H73">
            <v>0</v>
          </cell>
          <cell r="I73" t="str">
            <v>3 - SNV ok match</v>
          </cell>
          <cell r="J73" t="str">
            <v>SNV 16</v>
          </cell>
          <cell r="K73" t="str">
            <v>A</v>
          </cell>
          <cell r="L73" t="str">
            <v>PO1</v>
          </cell>
          <cell r="M73" t="str">
            <v>B3</v>
          </cell>
          <cell r="N73">
            <v>43172</v>
          </cell>
          <cell r="O73" t="str">
            <v>SB</v>
          </cell>
          <cell r="P73">
            <v>2</v>
          </cell>
          <cell r="V73">
            <v>1</v>
          </cell>
          <cell r="W73">
            <v>2</v>
          </cell>
          <cell r="Z73">
            <v>6</v>
          </cell>
        </row>
        <row r="74">
          <cell r="C74">
            <v>1999</v>
          </cell>
          <cell r="D74">
            <v>42945</v>
          </cell>
          <cell r="E74" t="str">
            <v>cap</v>
          </cell>
          <cell r="F74" t="str">
            <v>Not yet done</v>
          </cell>
          <cell r="G74" t="str">
            <v>SA</v>
          </cell>
          <cell r="H74">
            <v>0</v>
          </cell>
          <cell r="I74" t="str">
            <v>3- SNV ok match</v>
          </cell>
          <cell r="J74" t="str">
            <v>SNV 17</v>
          </cell>
          <cell r="K74" t="str">
            <v>A</v>
          </cell>
          <cell r="L74" t="str">
            <v>PO2</v>
          </cell>
          <cell r="M74" t="str">
            <v>H1</v>
          </cell>
          <cell r="N74">
            <v>43172</v>
          </cell>
          <cell r="O74" t="str">
            <v>JB</v>
          </cell>
          <cell r="P74">
            <v>8</v>
          </cell>
          <cell r="Q74">
            <v>11</v>
          </cell>
          <cell r="V74">
            <v>3</v>
          </cell>
          <cell r="Z74">
            <v>6</v>
          </cell>
        </row>
        <row r="75">
          <cell r="C75">
            <v>2000</v>
          </cell>
          <cell r="D75">
            <v>42946</v>
          </cell>
          <cell r="E75" t="str">
            <v>cap</v>
          </cell>
          <cell r="F75" t="str">
            <v>Not yet done</v>
          </cell>
          <cell r="G75" t="str">
            <v>A</v>
          </cell>
          <cell r="H75">
            <v>0</v>
          </cell>
          <cell r="I75" t="str">
            <v>3 - SNV ok match</v>
          </cell>
          <cell r="J75" t="str">
            <v>SNV19 and 20</v>
          </cell>
          <cell r="K75" t="str">
            <v>C</v>
          </cell>
          <cell r="L75" t="str">
            <v>PO1</v>
          </cell>
          <cell r="M75" t="str">
            <v>C8</v>
          </cell>
          <cell r="N75">
            <v>43172</v>
          </cell>
          <cell r="O75" t="str">
            <v>SB</v>
          </cell>
          <cell r="V75">
            <v>2</v>
          </cell>
        </row>
        <row r="76">
          <cell r="C76">
            <v>2001</v>
          </cell>
          <cell r="D76">
            <v>42946</v>
          </cell>
          <cell r="E76" t="str">
            <v>cap</v>
          </cell>
          <cell r="F76" t="str">
            <v>Not yet done</v>
          </cell>
          <cell r="G76" t="str">
            <v>A</v>
          </cell>
          <cell r="H76">
            <v>0</v>
          </cell>
          <cell r="I76" t="str">
            <v>3 - SNV ok match</v>
          </cell>
          <cell r="J76" t="str">
            <v>SNV19 and 20</v>
          </cell>
          <cell r="K76" t="str">
            <v>A</v>
          </cell>
          <cell r="L76" t="str">
            <v>PO1</v>
          </cell>
          <cell r="M76" t="str">
            <v>D1</v>
          </cell>
          <cell r="N76">
            <v>43172</v>
          </cell>
          <cell r="O76" t="str">
            <v>JB</v>
          </cell>
          <cell r="P76">
            <v>230</v>
          </cell>
          <cell r="Q76">
            <v>2904</v>
          </cell>
          <cell r="R76">
            <v>176</v>
          </cell>
          <cell r="X76">
            <v>639</v>
          </cell>
          <cell r="Y76">
            <v>208</v>
          </cell>
        </row>
        <row r="77">
          <cell r="C77">
            <v>2023</v>
          </cell>
          <cell r="D77">
            <v>42947</v>
          </cell>
          <cell r="E77" t="str">
            <v>cap</v>
          </cell>
          <cell r="F77" t="str">
            <v>Not yet done</v>
          </cell>
          <cell r="G77" t="str">
            <v>A</v>
          </cell>
          <cell r="H77">
            <v>0</v>
          </cell>
          <cell r="I77" t="str">
            <v>3 - SNV ok match</v>
          </cell>
          <cell r="J77" t="str">
            <v>SNV19 and 20</v>
          </cell>
          <cell r="K77" t="str">
            <v>C</v>
          </cell>
          <cell r="L77" t="str">
            <v>PO2</v>
          </cell>
          <cell r="M77" t="str">
            <v>E8</v>
          </cell>
          <cell r="N77">
            <v>43173</v>
          </cell>
          <cell r="O77" t="str">
            <v>JB</v>
          </cell>
          <cell r="P77">
            <v>49</v>
          </cell>
          <cell r="Q77">
            <v>219</v>
          </cell>
          <cell r="R77">
            <v>73</v>
          </cell>
          <cell r="V77">
            <v>1</v>
          </cell>
        </row>
        <row r="78">
          <cell r="C78">
            <v>2113</v>
          </cell>
          <cell r="D78">
            <v>42957</v>
          </cell>
          <cell r="E78" t="str">
            <v>cap</v>
          </cell>
          <cell r="F78" t="str">
            <v>Not yet done</v>
          </cell>
          <cell r="G78" t="str">
            <v>A</v>
          </cell>
          <cell r="H78">
            <v>0</v>
          </cell>
          <cell r="I78" t="str">
            <v>3 - SNV ok match</v>
          </cell>
          <cell r="J78" t="str">
            <v>SNV22</v>
          </cell>
          <cell r="K78" t="str">
            <v>A</v>
          </cell>
          <cell r="L78" t="str">
            <v>SP1</v>
          </cell>
          <cell r="M78" t="str">
            <v>H6</v>
          </cell>
          <cell r="N78">
            <v>43173</v>
          </cell>
          <cell r="O78" t="str">
            <v>JB</v>
          </cell>
          <cell r="P78">
            <v>61</v>
          </cell>
          <cell r="Q78">
            <v>2547</v>
          </cell>
        </row>
        <row r="79">
          <cell r="C79">
            <v>2123</v>
          </cell>
          <cell r="D79">
            <v>42957</v>
          </cell>
          <cell r="E79" t="str">
            <v>cap</v>
          </cell>
          <cell r="F79" t="str">
            <v>Not yet done</v>
          </cell>
          <cell r="G79" t="str">
            <v>A</v>
          </cell>
          <cell r="H79">
            <v>0</v>
          </cell>
          <cell r="I79" t="str">
            <v>3 - SNV ok match</v>
          </cell>
          <cell r="J79" t="str">
            <v>SNV22</v>
          </cell>
          <cell r="K79" t="str">
            <v>A</v>
          </cell>
          <cell r="L79" t="str">
            <v>SP2</v>
          </cell>
          <cell r="M79" t="str">
            <v>G8</v>
          </cell>
          <cell r="N79">
            <v>43174</v>
          </cell>
          <cell r="O79" t="str">
            <v>SB &amp; NB</v>
          </cell>
          <cell r="X79">
            <v>217</v>
          </cell>
          <cell r="Y79">
            <v>15</v>
          </cell>
        </row>
        <row r="80">
          <cell r="C80">
            <v>2141</v>
          </cell>
          <cell r="D80">
            <v>42959</v>
          </cell>
          <cell r="E80" t="str">
            <v>cap</v>
          </cell>
          <cell r="F80" t="str">
            <v>Not yet done</v>
          </cell>
          <cell r="G80" t="str">
            <v>A</v>
          </cell>
          <cell r="H80">
            <v>0</v>
          </cell>
          <cell r="I80" t="str">
            <v>3 - SNV ok match</v>
          </cell>
          <cell r="J80" t="str">
            <v>SNV22</v>
          </cell>
          <cell r="K80" t="str">
            <v>C</v>
          </cell>
          <cell r="L80" t="str">
            <v>SP1</v>
          </cell>
          <cell r="M80" t="str">
            <v>H8</v>
          </cell>
          <cell r="N80">
            <v>43174</v>
          </cell>
          <cell r="O80" t="str">
            <v>LV</v>
          </cell>
          <cell r="P80">
            <v>289</v>
          </cell>
          <cell r="Q80">
            <v>3091</v>
          </cell>
          <cell r="V80">
            <v>2</v>
          </cell>
        </row>
        <row r="81">
          <cell r="C81">
            <v>2152</v>
          </cell>
          <cell r="D81">
            <v>42963</v>
          </cell>
          <cell r="E81" t="str">
            <v>cap</v>
          </cell>
          <cell r="F81" t="str">
            <v>Not yet done</v>
          </cell>
          <cell r="G81" t="str">
            <v>A</v>
          </cell>
          <cell r="H81">
            <v>0</v>
          </cell>
          <cell r="I81" t="str">
            <v>3 - SNV ok match</v>
          </cell>
          <cell r="J81" t="str">
            <v>SNV23</v>
          </cell>
          <cell r="K81" t="str">
            <v>A</v>
          </cell>
          <cell r="L81" t="str">
            <v>PO1</v>
          </cell>
          <cell r="M81" t="str">
            <v>G1</v>
          </cell>
          <cell r="N81">
            <v>43175</v>
          </cell>
          <cell r="O81" t="str">
            <v>SB</v>
          </cell>
          <cell r="V81">
            <v>1</v>
          </cell>
          <cell r="X81">
            <v>1881</v>
          </cell>
          <cell r="Y81">
            <v>664</v>
          </cell>
          <cell r="Z81">
            <v>3</v>
          </cell>
        </row>
        <row r="82">
          <cell r="C82">
            <v>2154</v>
          </cell>
          <cell r="D82">
            <v>42963</v>
          </cell>
          <cell r="E82" t="str">
            <v>cap</v>
          </cell>
          <cell r="F82" t="str">
            <v>Not yet done</v>
          </cell>
          <cell r="G82" t="str">
            <v>A</v>
          </cell>
          <cell r="H82">
            <v>0</v>
          </cell>
          <cell r="I82" t="str">
            <v>3 - SNV ok match</v>
          </cell>
          <cell r="J82" t="str">
            <v>SNV23</v>
          </cell>
          <cell r="K82" t="str">
            <v>C</v>
          </cell>
          <cell r="L82" t="str">
            <v>PO1</v>
          </cell>
          <cell r="M82" t="str">
            <v>H4</v>
          </cell>
          <cell r="N82">
            <v>43175</v>
          </cell>
          <cell r="O82" t="str">
            <v>TE</v>
          </cell>
          <cell r="P82">
            <v>105</v>
          </cell>
          <cell r="Q82">
            <v>1994</v>
          </cell>
          <cell r="R82">
            <v>1</v>
          </cell>
          <cell r="S82">
            <v>1</v>
          </cell>
          <cell r="U82">
            <v>17</v>
          </cell>
        </row>
        <row r="83">
          <cell r="C83">
            <v>2160</v>
          </cell>
          <cell r="D83">
            <v>42963</v>
          </cell>
          <cell r="E83" t="str">
            <v>cap</v>
          </cell>
          <cell r="F83" t="str">
            <v>Not yet done</v>
          </cell>
          <cell r="G83" t="str">
            <v>A</v>
          </cell>
          <cell r="H83">
            <v>0</v>
          </cell>
          <cell r="I83" t="str">
            <v>3 - SNV ok match</v>
          </cell>
          <cell r="J83" t="str">
            <v>SNV23</v>
          </cell>
          <cell r="K83" t="str">
            <v>C</v>
          </cell>
          <cell r="L83" t="str">
            <v>PO2</v>
          </cell>
          <cell r="M83" t="str">
            <v>E2</v>
          </cell>
          <cell r="N83">
            <v>43174</v>
          </cell>
          <cell r="O83" t="str">
            <v>NB</v>
          </cell>
          <cell r="V83">
            <v>1</v>
          </cell>
        </row>
        <row r="84">
          <cell r="C84">
            <v>2184</v>
          </cell>
          <cell r="D84">
            <v>42965</v>
          </cell>
          <cell r="E84" t="str">
            <v>cap</v>
          </cell>
          <cell r="F84" t="str">
            <v>Not yet done</v>
          </cell>
          <cell r="G84" t="str">
            <v>A</v>
          </cell>
          <cell r="H84">
            <v>0</v>
          </cell>
          <cell r="I84" t="str">
            <v>3 - SNV ok match</v>
          </cell>
          <cell r="J84" t="str">
            <v>SNV23</v>
          </cell>
          <cell r="K84" t="str">
            <v>C</v>
          </cell>
          <cell r="L84" t="str">
            <v>PO2</v>
          </cell>
          <cell r="M84" t="str">
            <v>H2</v>
          </cell>
          <cell r="N84">
            <v>43174</v>
          </cell>
          <cell r="O84" t="str">
            <v>JB</v>
          </cell>
          <cell r="P84">
            <v>2</v>
          </cell>
        </row>
        <row r="85">
          <cell r="C85">
            <v>2229</v>
          </cell>
          <cell r="D85">
            <v>42972</v>
          </cell>
          <cell r="E85" t="str">
            <v>cap</v>
          </cell>
          <cell r="F85" t="str">
            <v>Not yet done</v>
          </cell>
          <cell r="G85" t="str">
            <v>A</v>
          </cell>
          <cell r="H85">
            <v>0</v>
          </cell>
          <cell r="I85" t="str">
            <v>3 - SNV ok match</v>
          </cell>
          <cell r="J85" t="str">
            <v>SNV 24</v>
          </cell>
          <cell r="K85" t="str">
            <v>C</v>
          </cell>
          <cell r="L85" t="str">
            <v>SP1</v>
          </cell>
          <cell r="M85" t="str">
            <v>A5</v>
          </cell>
          <cell r="N85">
            <v>43175</v>
          </cell>
          <cell r="O85" t="str">
            <v>JB</v>
          </cell>
          <cell r="P85">
            <v>30</v>
          </cell>
          <cell r="Q85">
            <v>2290</v>
          </cell>
          <cell r="R85">
            <v>6</v>
          </cell>
          <cell r="Z85">
            <v>1</v>
          </cell>
        </row>
        <row r="86">
          <cell r="C86">
            <v>2243</v>
          </cell>
          <cell r="D86">
            <v>42972</v>
          </cell>
          <cell r="E86" t="str">
            <v>cap</v>
          </cell>
          <cell r="F86" t="str">
            <v>Not yet done</v>
          </cell>
          <cell r="G86" t="str">
            <v>A</v>
          </cell>
          <cell r="H86">
            <v>0</v>
          </cell>
          <cell r="I86" t="str">
            <v>3 - SNV ok match</v>
          </cell>
          <cell r="J86" t="str">
            <v>SNV 24</v>
          </cell>
          <cell r="K86" t="str">
            <v>C</v>
          </cell>
          <cell r="L86" t="str">
            <v>SP2</v>
          </cell>
          <cell r="M86" t="str">
            <v>A3</v>
          </cell>
          <cell r="N86">
            <v>43175</v>
          </cell>
          <cell r="O86" t="str">
            <v>LB</v>
          </cell>
          <cell r="P86">
            <v>29</v>
          </cell>
          <cell r="Q86">
            <v>131</v>
          </cell>
          <cell r="U86">
            <v>18</v>
          </cell>
        </row>
        <row r="87">
          <cell r="C87">
            <v>2244</v>
          </cell>
          <cell r="D87">
            <v>42972</v>
          </cell>
          <cell r="E87" t="str">
            <v>cap</v>
          </cell>
          <cell r="F87" t="str">
            <v>Not yet done</v>
          </cell>
          <cell r="G87" t="str">
            <v>A</v>
          </cell>
          <cell r="H87">
            <v>0</v>
          </cell>
          <cell r="I87" t="str">
            <v>3 - SNV ok match</v>
          </cell>
          <cell r="J87" t="str">
            <v>SNV 24</v>
          </cell>
          <cell r="K87" t="str">
            <v>C</v>
          </cell>
          <cell r="L87" t="str">
            <v>SP2</v>
          </cell>
          <cell r="M87" t="str">
            <v>A8</v>
          </cell>
          <cell r="N87">
            <v>43175</v>
          </cell>
          <cell r="O87" t="str">
            <v>JB</v>
          </cell>
          <cell r="Q87">
            <v>1</v>
          </cell>
          <cell r="U87">
            <v>1</v>
          </cell>
          <cell r="Z87">
            <v>15</v>
          </cell>
        </row>
        <row r="88">
          <cell r="C88">
            <v>2247</v>
          </cell>
          <cell r="D88">
            <v>42972</v>
          </cell>
          <cell r="E88" t="str">
            <v>cap</v>
          </cell>
          <cell r="F88" t="str">
            <v>Not yet done</v>
          </cell>
          <cell r="G88" t="str">
            <v>A</v>
          </cell>
          <cell r="H88">
            <v>0</v>
          </cell>
          <cell r="I88" t="str">
            <v>3 - SNV ok match</v>
          </cell>
          <cell r="J88" t="str">
            <v>SNV 24</v>
          </cell>
          <cell r="K88" t="str">
            <v>A</v>
          </cell>
          <cell r="L88" t="str">
            <v>SP2</v>
          </cell>
          <cell r="M88" t="str">
            <v>C5</v>
          </cell>
          <cell r="N88">
            <v>43175</v>
          </cell>
          <cell r="O88" t="str">
            <v>JB</v>
          </cell>
          <cell r="Z88">
            <v>2</v>
          </cell>
        </row>
        <row r="89">
          <cell r="C89">
            <v>2251</v>
          </cell>
          <cell r="D89">
            <v>42972</v>
          </cell>
          <cell r="E89" t="str">
            <v>cap</v>
          </cell>
          <cell r="F89" t="str">
            <v>Not yet done</v>
          </cell>
          <cell r="G89" t="str">
            <v>A</v>
          </cell>
          <cell r="H89">
            <v>0</v>
          </cell>
          <cell r="I89" t="str">
            <v>3 - SNV ok match</v>
          </cell>
          <cell r="J89" t="str">
            <v>SNV 24</v>
          </cell>
          <cell r="K89" t="str">
            <v>A</v>
          </cell>
          <cell r="L89" t="str">
            <v>SP2</v>
          </cell>
          <cell r="M89" t="str">
            <v>E1</v>
          </cell>
          <cell r="N89">
            <v>43178</v>
          </cell>
          <cell r="O89" t="str">
            <v>NB</v>
          </cell>
          <cell r="P89">
            <v>4</v>
          </cell>
          <cell r="Q89">
            <v>20</v>
          </cell>
          <cell r="R89">
            <v>1</v>
          </cell>
        </row>
        <row r="90">
          <cell r="C90">
            <v>2256</v>
          </cell>
          <cell r="D90">
            <v>42972</v>
          </cell>
          <cell r="E90" t="str">
            <v>cap</v>
          </cell>
          <cell r="F90" t="str">
            <v>Not yet done</v>
          </cell>
          <cell r="G90" t="str">
            <v>A</v>
          </cell>
          <cell r="H90">
            <v>0</v>
          </cell>
          <cell r="I90" t="str">
            <v>3 - SNV ok match</v>
          </cell>
          <cell r="J90" t="str">
            <v>SNV 24</v>
          </cell>
          <cell r="K90" t="str">
            <v>A</v>
          </cell>
          <cell r="L90" t="str">
            <v>SP2</v>
          </cell>
          <cell r="M90" t="str">
            <v>H2</v>
          </cell>
          <cell r="N90">
            <v>43178</v>
          </cell>
          <cell r="O90" t="str">
            <v>NB</v>
          </cell>
          <cell r="X90">
            <v>52</v>
          </cell>
          <cell r="Y90">
            <v>15</v>
          </cell>
        </row>
        <row r="91">
          <cell r="C91">
            <v>2258</v>
          </cell>
          <cell r="D91">
            <v>42972</v>
          </cell>
          <cell r="E91" t="str">
            <v>cap</v>
          </cell>
          <cell r="F91" t="str">
            <v>Not yet done</v>
          </cell>
          <cell r="G91" t="str">
            <v>A</v>
          </cell>
          <cell r="H91">
            <v>0</v>
          </cell>
          <cell r="I91" t="str">
            <v>3 - SNV ok match</v>
          </cell>
          <cell r="J91" t="str">
            <v>SNV 24</v>
          </cell>
          <cell r="K91" t="str">
            <v>A</v>
          </cell>
          <cell r="L91" t="str">
            <v>SP2</v>
          </cell>
          <cell r="M91" t="str">
            <v>H7</v>
          </cell>
          <cell r="N91">
            <v>43178</v>
          </cell>
          <cell r="O91" t="str">
            <v>NB</v>
          </cell>
          <cell r="P91">
            <v>3</v>
          </cell>
          <cell r="Q91">
            <v>37</v>
          </cell>
          <cell r="X91">
            <v>92</v>
          </cell>
          <cell r="Y91">
            <v>15</v>
          </cell>
        </row>
        <row r="92">
          <cell r="C92">
            <v>2269</v>
          </cell>
          <cell r="D92">
            <v>42975</v>
          </cell>
          <cell r="E92" t="str">
            <v>cap</v>
          </cell>
          <cell r="F92" t="str">
            <v>Not yet done</v>
          </cell>
          <cell r="G92" t="str">
            <v>A</v>
          </cell>
          <cell r="H92">
            <v>0</v>
          </cell>
          <cell r="I92" t="str">
            <v>3 - SNV ok match</v>
          </cell>
          <cell r="J92" t="str">
            <v>SNV 26</v>
          </cell>
          <cell r="K92" t="str">
            <v>A</v>
          </cell>
          <cell r="L92" t="str">
            <v>PO1</v>
          </cell>
          <cell r="M92" t="str">
            <v>A3</v>
          </cell>
          <cell r="N92">
            <v>43178</v>
          </cell>
          <cell r="O92" t="str">
            <v>JY</v>
          </cell>
          <cell r="Q92">
            <v>27</v>
          </cell>
          <cell r="U92">
            <v>15</v>
          </cell>
        </row>
        <row r="93">
          <cell r="C93">
            <v>2271</v>
          </cell>
          <cell r="D93">
            <v>42975</v>
          </cell>
          <cell r="E93" t="str">
            <v>cap</v>
          </cell>
          <cell r="F93" t="str">
            <v>Not yet done</v>
          </cell>
          <cell r="G93" t="str">
            <v>A</v>
          </cell>
          <cell r="H93">
            <v>0</v>
          </cell>
          <cell r="I93" t="str">
            <v>3 - SNV ok match</v>
          </cell>
          <cell r="J93" t="str">
            <v>SNV 25</v>
          </cell>
          <cell r="K93" t="str">
            <v>C</v>
          </cell>
          <cell r="L93" t="str">
            <v>PO1</v>
          </cell>
          <cell r="M93" t="str">
            <v>C8</v>
          </cell>
          <cell r="N93">
            <v>43178</v>
          </cell>
          <cell r="O93" t="str">
            <v>SB &amp; NB</v>
          </cell>
          <cell r="P93">
            <v>0</v>
          </cell>
          <cell r="Q93">
            <v>0</v>
          </cell>
        </row>
        <row r="94">
          <cell r="C94">
            <v>2275</v>
          </cell>
          <cell r="D94">
            <v>42975</v>
          </cell>
          <cell r="E94" t="str">
            <v>cap</v>
          </cell>
          <cell r="F94" t="str">
            <v>Not yet done</v>
          </cell>
          <cell r="G94" t="str">
            <v>J</v>
          </cell>
          <cell r="H94">
            <v>0</v>
          </cell>
          <cell r="I94" t="str">
            <v>3 - SNV ok match</v>
          </cell>
          <cell r="J94" t="str">
            <v>SNV 26</v>
          </cell>
          <cell r="K94" t="str">
            <v>C</v>
          </cell>
          <cell r="L94" t="str">
            <v>PO1</v>
          </cell>
          <cell r="M94" t="str">
            <v>F3</v>
          </cell>
          <cell r="N94">
            <v>43178</v>
          </cell>
          <cell r="O94" t="str">
            <v>JY</v>
          </cell>
          <cell r="Q94">
            <v>4</v>
          </cell>
        </row>
        <row r="95">
          <cell r="C95">
            <v>2277</v>
          </cell>
          <cell r="D95">
            <v>42975</v>
          </cell>
          <cell r="E95" t="str">
            <v>cap</v>
          </cell>
          <cell r="F95" t="str">
            <v>Not yet done</v>
          </cell>
          <cell r="G95" t="str">
            <v>A</v>
          </cell>
          <cell r="H95">
            <v>0</v>
          </cell>
          <cell r="I95" t="str">
            <v>3 - SNV ok match</v>
          </cell>
          <cell r="J95" t="str">
            <v>SNV 25</v>
          </cell>
          <cell r="K95" t="str">
            <v>C</v>
          </cell>
          <cell r="L95" t="str">
            <v>PO1</v>
          </cell>
          <cell r="M95" t="str">
            <v>G7</v>
          </cell>
          <cell r="N95">
            <v>43178</v>
          </cell>
          <cell r="O95" t="str">
            <v>JB</v>
          </cell>
          <cell r="P95">
            <v>4</v>
          </cell>
          <cell r="Q95">
            <v>83</v>
          </cell>
          <cell r="X95">
            <v>14</v>
          </cell>
          <cell r="Z95">
            <v>6</v>
          </cell>
        </row>
        <row r="96">
          <cell r="C96">
            <v>2290</v>
          </cell>
          <cell r="D96">
            <v>42975</v>
          </cell>
          <cell r="E96" t="str">
            <v>cap</v>
          </cell>
          <cell r="F96" t="str">
            <v>Not yet done</v>
          </cell>
          <cell r="G96" t="str">
            <v>A</v>
          </cell>
          <cell r="H96">
            <v>0</v>
          </cell>
          <cell r="I96" t="str">
            <v>3 - SNV ok match</v>
          </cell>
          <cell r="J96" t="str">
            <v>SNV 25</v>
          </cell>
          <cell r="K96" t="str">
            <v>A</v>
          </cell>
          <cell r="L96" t="str">
            <v>PO2</v>
          </cell>
          <cell r="M96" t="str">
            <v>E8</v>
          </cell>
          <cell r="N96">
            <v>43178</v>
          </cell>
          <cell r="O96" t="str">
            <v>JB</v>
          </cell>
          <cell r="P96">
            <v>51</v>
          </cell>
          <cell r="Q96">
            <v>336</v>
          </cell>
          <cell r="Z96">
            <v>6</v>
          </cell>
        </row>
        <row r="97">
          <cell r="C97">
            <v>2292</v>
          </cell>
          <cell r="D97">
            <v>42975</v>
          </cell>
          <cell r="E97" t="str">
            <v>cap</v>
          </cell>
          <cell r="F97" t="str">
            <v>Not yet done</v>
          </cell>
          <cell r="G97" t="str">
            <v>A</v>
          </cell>
          <cell r="H97">
            <v>0</v>
          </cell>
          <cell r="I97" t="str">
            <v>3 - SNV ok match</v>
          </cell>
          <cell r="J97" t="str">
            <v>SNV 26</v>
          </cell>
          <cell r="K97" t="str">
            <v>C</v>
          </cell>
          <cell r="L97" t="str">
            <v>PO2</v>
          </cell>
          <cell r="M97" t="str">
            <v>G2</v>
          </cell>
          <cell r="O97" t="str">
            <v>duplicate, can't use</v>
          </cell>
        </row>
        <row r="98">
          <cell r="C98">
            <v>2295</v>
          </cell>
          <cell r="D98">
            <v>42975</v>
          </cell>
          <cell r="E98" t="str">
            <v>cap</v>
          </cell>
          <cell r="F98" t="str">
            <v>Not yet done</v>
          </cell>
          <cell r="G98" t="str">
            <v>A</v>
          </cell>
          <cell r="H98">
            <v>0</v>
          </cell>
          <cell r="I98" t="str">
            <v>3 - SNV ok match</v>
          </cell>
          <cell r="J98" t="str">
            <v>SNV 25</v>
          </cell>
          <cell r="K98" t="str">
            <v>C</v>
          </cell>
          <cell r="L98" t="str">
            <v>PO2</v>
          </cell>
          <cell r="M98" t="str">
            <v>H1</v>
          </cell>
          <cell r="N98">
            <v>43179</v>
          </cell>
          <cell r="O98" t="str">
            <v>JB</v>
          </cell>
          <cell r="Q98">
            <v>22</v>
          </cell>
        </row>
        <row r="99">
          <cell r="C99">
            <v>2003</v>
          </cell>
          <cell r="D99">
            <v>42946</v>
          </cell>
          <cell r="E99" t="str">
            <v>cap</v>
          </cell>
          <cell r="F99" t="str">
            <v>Not yet done</v>
          </cell>
          <cell r="I99" t="str">
            <v>7 - not SNV match</v>
          </cell>
          <cell r="K99" t="str">
            <v>A</v>
          </cell>
          <cell r="L99" t="str">
            <v>PO1</v>
          </cell>
          <cell r="M99" t="str">
            <v>E3</v>
          </cell>
          <cell r="N99">
            <v>43179</v>
          </cell>
          <cell r="O99" t="str">
            <v>JB</v>
          </cell>
          <cell r="P99">
            <v>134</v>
          </cell>
          <cell r="Q99">
            <v>833</v>
          </cell>
          <cell r="R99">
            <v>23</v>
          </cell>
          <cell r="X99">
            <v>2</v>
          </cell>
          <cell r="Y99">
            <v>1</v>
          </cell>
        </row>
        <row r="100">
          <cell r="C100">
            <v>2170</v>
          </cell>
          <cell r="D100">
            <v>42964</v>
          </cell>
          <cell r="E100" t="str">
            <v>cap</v>
          </cell>
          <cell r="F100" t="str">
            <v>Not yet done</v>
          </cell>
          <cell r="I100" t="str">
            <v>7 - not SNV match</v>
          </cell>
          <cell r="K100" t="str">
            <v>A</v>
          </cell>
          <cell r="L100" t="str">
            <v>PO1</v>
          </cell>
          <cell r="M100" t="str">
            <v>E8</v>
          </cell>
          <cell r="N100">
            <v>43182</v>
          </cell>
          <cell r="O100" t="str">
            <v>JB</v>
          </cell>
          <cell r="Q100">
            <v>3</v>
          </cell>
        </row>
        <row r="101">
          <cell r="C101">
            <v>1839</v>
          </cell>
          <cell r="D101">
            <v>42923</v>
          </cell>
          <cell r="E101" t="str">
            <v>cap</v>
          </cell>
          <cell r="F101" t="str">
            <v>Not yet done</v>
          </cell>
          <cell r="I101" t="str">
            <v>7 - not SNV match</v>
          </cell>
          <cell r="K101" t="str">
            <v>C</v>
          </cell>
          <cell r="L101" t="str">
            <v>SP1</v>
          </cell>
          <cell r="M101" t="str">
            <v>C6</v>
          </cell>
          <cell r="N101">
            <v>43182</v>
          </cell>
          <cell r="O101" t="str">
            <v>JB</v>
          </cell>
          <cell r="P101">
            <v>0</v>
          </cell>
          <cell r="Q101">
            <v>0</v>
          </cell>
          <cell r="R101">
            <v>0</v>
          </cell>
          <cell r="S101">
            <v>0</v>
          </cell>
          <cell r="T101">
            <v>0</v>
          </cell>
          <cell r="U101">
            <v>0</v>
          </cell>
          <cell r="V101">
            <v>0</v>
          </cell>
          <cell r="W101">
            <v>0</v>
          </cell>
          <cell r="X101">
            <v>0</v>
          </cell>
          <cell r="Y101">
            <v>0</v>
          </cell>
          <cell r="Z101">
            <v>0</v>
          </cell>
        </row>
        <row r="102">
          <cell r="C102">
            <v>1846</v>
          </cell>
          <cell r="D102">
            <v>42923</v>
          </cell>
          <cell r="E102" t="str">
            <v>cap</v>
          </cell>
          <cell r="F102" t="str">
            <v>Not yet done</v>
          </cell>
          <cell r="G102" t="str">
            <v>A</v>
          </cell>
          <cell r="H102">
            <v>0</v>
          </cell>
          <cell r="I102" t="str">
            <v>4 - SNV timepoint</v>
          </cell>
          <cell r="K102" t="str">
            <v>A</v>
          </cell>
          <cell r="L102" t="str">
            <v>SP2</v>
          </cell>
          <cell r="M102" t="str">
            <v>A7</v>
          </cell>
          <cell r="N102">
            <v>43182</v>
          </cell>
          <cell r="O102" t="str">
            <v>JB</v>
          </cell>
          <cell r="Q102">
            <v>149</v>
          </cell>
          <cell r="R102">
            <v>834</v>
          </cell>
          <cell r="Z102">
            <v>9</v>
          </cell>
        </row>
        <row r="103">
          <cell r="C103">
            <v>1585</v>
          </cell>
          <cell r="D103">
            <v>42885</v>
          </cell>
          <cell r="E103" t="str">
            <v>cap</v>
          </cell>
          <cell r="F103" t="str">
            <v>N - not on datasheets</v>
          </cell>
          <cell r="G103" t="str">
            <v>A</v>
          </cell>
          <cell r="H103">
            <v>0</v>
          </cell>
          <cell r="I103" t="str">
            <v>5 - other SNV pertinent</v>
          </cell>
          <cell r="K103" t="str">
            <v>C</v>
          </cell>
          <cell r="L103" t="str">
            <v>BC1</v>
          </cell>
          <cell r="M103" t="str">
            <v>E5</v>
          </cell>
          <cell r="O103" t="str">
            <v>missing</v>
          </cell>
        </row>
        <row r="104">
          <cell r="C104">
            <v>1588</v>
          </cell>
          <cell r="D104">
            <v>42886</v>
          </cell>
          <cell r="E104" t="str">
            <v>cap</v>
          </cell>
          <cell r="F104" t="str">
            <v>N - not on datasheets</v>
          </cell>
          <cell r="G104" t="str">
            <v>A</v>
          </cell>
          <cell r="H104">
            <v>0</v>
          </cell>
          <cell r="I104" t="str">
            <v>5 - other SNV pertinent</v>
          </cell>
          <cell r="K104" t="str">
            <v>A</v>
          </cell>
          <cell r="L104" t="str">
            <v>BC1</v>
          </cell>
          <cell r="M104" t="str">
            <v>G2</v>
          </cell>
          <cell r="O104" t="str">
            <v>missing</v>
          </cell>
        </row>
        <row r="105">
          <cell r="C105">
            <v>1590</v>
          </cell>
          <cell r="D105">
            <v>42887</v>
          </cell>
          <cell r="E105" t="str">
            <v>cap</v>
          </cell>
          <cell r="F105" t="str">
            <v>YES-0</v>
          </cell>
          <cell r="I105" t="str">
            <v>7 - not SNV match</v>
          </cell>
          <cell r="K105" t="str">
            <v>A</v>
          </cell>
          <cell r="L105" t="str">
            <v>SP1</v>
          </cell>
          <cell r="M105" t="str">
            <v>C3</v>
          </cell>
          <cell r="O105" t="str">
            <v>missing</v>
          </cell>
        </row>
        <row r="106">
          <cell r="C106">
            <v>1591</v>
          </cell>
          <cell r="D106">
            <v>42887</v>
          </cell>
          <cell r="E106" t="str">
            <v>cap</v>
          </cell>
          <cell r="F106" t="str">
            <v>YES-0</v>
          </cell>
          <cell r="I106" t="str">
            <v>7 - not SNV match</v>
          </cell>
          <cell r="K106" t="str">
            <v>C</v>
          </cell>
          <cell r="L106" t="str">
            <v>SP1</v>
          </cell>
          <cell r="M106" t="str">
            <v>D6</v>
          </cell>
          <cell r="O106" t="str">
            <v>missing</v>
          </cell>
        </row>
        <row r="107">
          <cell r="C107">
            <v>1608</v>
          </cell>
          <cell r="D107">
            <v>42888</v>
          </cell>
          <cell r="E107" t="str">
            <v>cap</v>
          </cell>
          <cell r="F107" t="str">
            <v>N - not on datasheets</v>
          </cell>
          <cell r="G107" t="str">
            <v>A</v>
          </cell>
          <cell r="H107">
            <v>0</v>
          </cell>
          <cell r="I107" t="str">
            <v>5 - other SNV pertinent</v>
          </cell>
          <cell r="K107" t="str">
            <v>A</v>
          </cell>
          <cell r="L107" t="str">
            <v>SP1</v>
          </cell>
          <cell r="M107" t="str">
            <v>H8</v>
          </cell>
          <cell r="O107" t="str">
            <v>missing</v>
          </cell>
        </row>
        <row r="108">
          <cell r="C108">
            <v>1623</v>
          </cell>
          <cell r="D108">
            <v>42893</v>
          </cell>
          <cell r="E108" t="str">
            <v>cap</v>
          </cell>
          <cell r="F108" t="str">
            <v>N - not on datasheets</v>
          </cell>
          <cell r="I108" t="str">
            <v>7 - not SNV match</v>
          </cell>
          <cell r="K108" t="str">
            <v>A</v>
          </cell>
          <cell r="L108" t="str">
            <v>PO1</v>
          </cell>
          <cell r="M108" t="str">
            <v>E8</v>
          </cell>
          <cell r="O108" t="str">
            <v>missing</v>
          </cell>
        </row>
        <row r="109">
          <cell r="C109">
            <v>1634</v>
          </cell>
          <cell r="D109">
            <v>42894</v>
          </cell>
          <cell r="E109" t="str">
            <v>cap</v>
          </cell>
          <cell r="F109" t="str">
            <v>N - not on datasheets, no feces wt</v>
          </cell>
          <cell r="G109" t="str">
            <v>J</v>
          </cell>
          <cell r="H109">
            <v>0</v>
          </cell>
          <cell r="I109" t="str">
            <v>5 - other SNV pertinent</v>
          </cell>
          <cell r="K109" t="str">
            <v>C</v>
          </cell>
          <cell r="L109" t="str">
            <v>PO1</v>
          </cell>
          <cell r="M109" t="str">
            <v>E7</v>
          </cell>
          <cell r="O109" t="str">
            <v>missing</v>
          </cell>
        </row>
        <row r="110">
          <cell r="C110" t="str">
            <v>NO BLOOD</v>
          </cell>
          <cell r="D110">
            <v>42894</v>
          </cell>
          <cell r="E110" t="str">
            <v>cap</v>
          </cell>
          <cell r="F110" t="str">
            <v>YES-0</v>
          </cell>
          <cell r="I110" t="str">
            <v>7 - not SNV match</v>
          </cell>
          <cell r="K110" t="str">
            <v>A</v>
          </cell>
          <cell r="L110" t="str">
            <v>PO1</v>
          </cell>
          <cell r="M110" t="str">
            <v>G3</v>
          </cell>
          <cell r="O110" t="str">
            <v>missing</v>
          </cell>
        </row>
        <row r="111">
          <cell r="C111">
            <v>1660</v>
          </cell>
          <cell r="D111">
            <v>42896</v>
          </cell>
          <cell r="E111" t="str">
            <v>cap</v>
          </cell>
          <cell r="F111" t="str">
            <v>N - not on datasheets</v>
          </cell>
          <cell r="G111" t="str">
            <v>A</v>
          </cell>
          <cell r="H111">
            <v>0</v>
          </cell>
          <cell r="I111" t="str">
            <v>5 - other SNV pertinent</v>
          </cell>
          <cell r="K111" t="str">
            <v>A</v>
          </cell>
          <cell r="L111" t="str">
            <v>HW1</v>
          </cell>
          <cell r="M111" t="str">
            <v>B6</v>
          </cell>
          <cell r="O111" t="str">
            <v>missing</v>
          </cell>
        </row>
        <row r="112">
          <cell r="C112">
            <v>1650</v>
          </cell>
          <cell r="D112">
            <v>42896</v>
          </cell>
          <cell r="E112" t="str">
            <v>cap</v>
          </cell>
          <cell r="F112" t="str">
            <v>N - not on datasheets</v>
          </cell>
          <cell r="G112" t="str">
            <v>A</v>
          </cell>
          <cell r="H112">
            <v>0</v>
          </cell>
          <cell r="I112" t="str">
            <v>5 - other SNV pertinent</v>
          </cell>
          <cell r="K112" t="str">
            <v>A</v>
          </cell>
          <cell r="L112" t="str">
            <v>HW2</v>
          </cell>
          <cell r="M112" t="str">
            <v>A8</v>
          </cell>
          <cell r="O112" t="str">
            <v>missing</v>
          </cell>
        </row>
        <row r="113">
          <cell r="C113">
            <v>1682</v>
          </cell>
          <cell r="D113">
            <v>42903</v>
          </cell>
          <cell r="E113" t="str">
            <v>recap</v>
          </cell>
          <cell r="F113" t="str">
            <v>YES-0</v>
          </cell>
          <cell r="I113" t="str">
            <v>7 - not SNV match</v>
          </cell>
          <cell r="K113" t="str">
            <v>C</v>
          </cell>
          <cell r="L113" t="str">
            <v>BC2</v>
          </cell>
          <cell r="M113" t="str">
            <v>E4</v>
          </cell>
          <cell r="O113" t="str">
            <v>missing</v>
          </cell>
        </row>
        <row r="114">
          <cell r="C114">
            <v>1721</v>
          </cell>
          <cell r="D114">
            <v>42907</v>
          </cell>
          <cell r="E114" t="str">
            <v>cap</v>
          </cell>
          <cell r="F114" t="str">
            <v>Y</v>
          </cell>
          <cell r="I114" t="str">
            <v>7 - not SNV match</v>
          </cell>
          <cell r="K114" t="str">
            <v>A</v>
          </cell>
          <cell r="L114" t="str">
            <v>SP2</v>
          </cell>
          <cell r="M114" t="str">
            <v>H1</v>
          </cell>
          <cell r="O114" t="str">
            <v>missing</v>
          </cell>
        </row>
        <row r="115">
          <cell r="C115">
            <v>1726</v>
          </cell>
          <cell r="D115">
            <v>42911</v>
          </cell>
          <cell r="E115" t="str">
            <v>cap</v>
          </cell>
          <cell r="F115" t="str">
            <v>YES-0</v>
          </cell>
          <cell r="I115" t="str">
            <v>7 - not SNV match</v>
          </cell>
          <cell r="K115" t="str">
            <v>A</v>
          </cell>
          <cell r="L115" t="str">
            <v>PO1</v>
          </cell>
          <cell r="M115" t="str">
            <v>B6</v>
          </cell>
          <cell r="O115" t="str">
            <v>missing</v>
          </cell>
        </row>
        <row r="116">
          <cell r="C116">
            <v>1727</v>
          </cell>
          <cell r="D116">
            <v>42911</v>
          </cell>
          <cell r="E116" t="str">
            <v>cap</v>
          </cell>
          <cell r="F116" t="str">
            <v>YES-0</v>
          </cell>
          <cell r="I116" t="str">
            <v>7 - not SNV match</v>
          </cell>
          <cell r="K116" t="str">
            <v>A</v>
          </cell>
          <cell r="L116" t="str">
            <v>PO1</v>
          </cell>
          <cell r="M116" t="str">
            <v>C1</v>
          </cell>
          <cell r="O116" t="str">
            <v>missing</v>
          </cell>
        </row>
        <row r="117">
          <cell r="C117">
            <v>1729</v>
          </cell>
          <cell r="D117">
            <v>42911</v>
          </cell>
          <cell r="E117" t="str">
            <v>cap</v>
          </cell>
          <cell r="F117" t="str">
            <v>N - not on datasheets</v>
          </cell>
          <cell r="G117" t="str">
            <v>A</v>
          </cell>
          <cell r="H117">
            <v>0</v>
          </cell>
          <cell r="I117" t="str">
            <v>5 - other SNV pertinent</v>
          </cell>
          <cell r="K117" t="str">
            <v>C</v>
          </cell>
          <cell r="L117" t="str">
            <v>PO1</v>
          </cell>
          <cell r="M117" t="str">
            <v>F1</v>
          </cell>
          <cell r="O117" t="str">
            <v>missing</v>
          </cell>
        </row>
        <row r="118">
          <cell r="C118">
            <v>1747</v>
          </cell>
          <cell r="D118">
            <v>42912</v>
          </cell>
          <cell r="E118" t="str">
            <v>cap</v>
          </cell>
          <cell r="F118" t="str">
            <v>YES-0</v>
          </cell>
          <cell r="I118" t="str">
            <v>7 - not SNV match</v>
          </cell>
          <cell r="K118" t="str">
            <v>A</v>
          </cell>
          <cell r="L118" t="str">
            <v>PO1</v>
          </cell>
          <cell r="M118" t="str">
            <v>D2</v>
          </cell>
          <cell r="O118" t="str">
            <v>missing</v>
          </cell>
        </row>
        <row r="119">
          <cell r="C119">
            <v>1758</v>
          </cell>
          <cell r="D119">
            <v>42913</v>
          </cell>
          <cell r="E119" t="str">
            <v>cap</v>
          </cell>
          <cell r="F119" t="str">
            <v>YES-0</v>
          </cell>
          <cell r="I119" t="str">
            <v>7 - not SNV match</v>
          </cell>
          <cell r="K119" t="str">
            <v>A</v>
          </cell>
          <cell r="L119" t="str">
            <v>PO1</v>
          </cell>
          <cell r="M119" t="str">
            <v>A7</v>
          </cell>
          <cell r="O119" t="str">
            <v>missing</v>
          </cell>
        </row>
        <row r="120">
          <cell r="C120">
            <v>1782</v>
          </cell>
          <cell r="D120">
            <v>42914</v>
          </cell>
          <cell r="E120" t="str">
            <v>cap</v>
          </cell>
          <cell r="F120" t="str">
            <v>N - not on datasheets</v>
          </cell>
          <cell r="G120" t="str">
            <v>A</v>
          </cell>
          <cell r="H120">
            <v>0</v>
          </cell>
          <cell r="I120" t="str">
            <v>5 - other SNV pertinent</v>
          </cell>
          <cell r="K120" t="str">
            <v>C</v>
          </cell>
          <cell r="L120" t="str">
            <v>HW1</v>
          </cell>
          <cell r="M120" t="str">
            <v>C7</v>
          </cell>
          <cell r="O120" t="str">
            <v>missing</v>
          </cell>
        </row>
        <row r="121">
          <cell r="C121">
            <v>1805</v>
          </cell>
          <cell r="D121">
            <v>42919</v>
          </cell>
          <cell r="E121" t="str">
            <v>cap</v>
          </cell>
          <cell r="F121" t="str">
            <v>N - not on datasheets</v>
          </cell>
          <cell r="I121" t="str">
            <v>7 - not SNV match</v>
          </cell>
          <cell r="K121" t="str">
            <v>C</v>
          </cell>
          <cell r="L121" t="str">
            <v>BC2</v>
          </cell>
          <cell r="M121" t="str">
            <v>A2</v>
          </cell>
          <cell r="O121" t="str">
            <v>missing</v>
          </cell>
        </row>
        <row r="122">
          <cell r="C122" t="str">
            <v>NO BLOOD</v>
          </cell>
          <cell r="D122">
            <v>42919</v>
          </cell>
          <cell r="E122" t="str">
            <v>cap</v>
          </cell>
          <cell r="F122" t="str">
            <v>YES-0</v>
          </cell>
          <cell r="I122" t="str">
            <v>7 - not SNV match</v>
          </cell>
          <cell r="K122" t="str">
            <v>C</v>
          </cell>
          <cell r="L122" t="str">
            <v>BC2</v>
          </cell>
          <cell r="M122" t="str">
            <v>G4</v>
          </cell>
          <cell r="O122" t="str">
            <v>missing</v>
          </cell>
        </row>
        <row r="123">
          <cell r="C123">
            <v>1836</v>
          </cell>
          <cell r="D123">
            <v>42923</v>
          </cell>
          <cell r="E123" t="str">
            <v>cap</v>
          </cell>
          <cell r="F123" t="str">
            <v>Not yet done</v>
          </cell>
          <cell r="G123" t="str">
            <v>A</v>
          </cell>
          <cell r="H123">
            <v>0</v>
          </cell>
          <cell r="I123" t="str">
            <v>5 - other SNV pertinent</v>
          </cell>
          <cell r="K123" t="str">
            <v>A</v>
          </cell>
          <cell r="L123" t="str">
            <v>SP1</v>
          </cell>
          <cell r="M123" t="str">
            <v>A3</v>
          </cell>
        </row>
        <row r="124">
          <cell r="C124">
            <v>1838</v>
          </cell>
          <cell r="D124">
            <v>42923</v>
          </cell>
          <cell r="E124" t="str">
            <v>cap</v>
          </cell>
          <cell r="F124" t="str">
            <v>Not yet done</v>
          </cell>
          <cell r="G124" t="str">
            <v>SA</v>
          </cell>
          <cell r="H124">
            <v>0</v>
          </cell>
          <cell r="I124" t="str">
            <v>5 - other SNV pertinent</v>
          </cell>
          <cell r="K124" t="str">
            <v>C</v>
          </cell>
          <cell r="L124" t="str">
            <v>SP1</v>
          </cell>
          <cell r="M124" t="str">
            <v>C4</v>
          </cell>
        </row>
        <row r="125">
          <cell r="C125">
            <v>1840</v>
          </cell>
          <cell r="D125">
            <v>42923</v>
          </cell>
          <cell r="E125" t="str">
            <v>cap</v>
          </cell>
          <cell r="F125" t="str">
            <v>Not yet done</v>
          </cell>
          <cell r="I125" t="str">
            <v>7 - not SNV match</v>
          </cell>
          <cell r="K125" t="str">
            <v>A</v>
          </cell>
          <cell r="L125" t="str">
            <v>SP1</v>
          </cell>
          <cell r="M125" t="str">
            <v>D8</v>
          </cell>
          <cell r="N125">
            <v>43192</v>
          </cell>
          <cell r="O125" t="str">
            <v>JY</v>
          </cell>
          <cell r="P125">
            <v>0</v>
          </cell>
          <cell r="Q125">
            <v>0</v>
          </cell>
          <cell r="R125">
            <v>0</v>
          </cell>
          <cell r="S125">
            <v>0</v>
          </cell>
          <cell r="T125">
            <v>0</v>
          </cell>
          <cell r="U125">
            <v>0</v>
          </cell>
          <cell r="V125">
            <v>0</v>
          </cell>
          <cell r="W125">
            <v>0</v>
          </cell>
          <cell r="X125">
            <v>0</v>
          </cell>
          <cell r="Y125">
            <v>0</v>
          </cell>
        </row>
        <row r="126">
          <cell r="C126">
            <v>1841</v>
          </cell>
          <cell r="D126">
            <v>42923</v>
          </cell>
          <cell r="E126" t="str">
            <v>cap</v>
          </cell>
          <cell r="F126" t="str">
            <v>Not yet done</v>
          </cell>
          <cell r="G126" t="str">
            <v>A</v>
          </cell>
          <cell r="H126">
            <v>0</v>
          </cell>
          <cell r="I126" t="str">
            <v>4 - SNV timepoint</v>
          </cell>
          <cell r="K126" t="str">
            <v>C</v>
          </cell>
          <cell r="L126" t="str">
            <v>SP1</v>
          </cell>
          <cell r="M126" t="str">
            <v>E6</v>
          </cell>
          <cell r="N126">
            <v>43192</v>
          </cell>
          <cell r="O126" t="str">
            <v>JY</v>
          </cell>
          <cell r="P126">
            <v>0</v>
          </cell>
          <cell r="Q126">
            <v>0</v>
          </cell>
          <cell r="R126">
            <v>0</v>
          </cell>
          <cell r="S126">
            <v>0</v>
          </cell>
          <cell r="T126">
            <v>0</v>
          </cell>
          <cell r="U126">
            <v>0</v>
          </cell>
          <cell r="V126">
            <v>0</v>
          </cell>
          <cell r="W126">
            <v>0</v>
          </cell>
          <cell r="X126">
            <v>0</v>
          </cell>
          <cell r="Y126">
            <v>0</v>
          </cell>
          <cell r="Z126">
            <v>0</v>
          </cell>
        </row>
        <row r="127">
          <cell r="C127">
            <v>1842</v>
          </cell>
          <cell r="D127">
            <v>42923</v>
          </cell>
          <cell r="E127" t="str">
            <v>cap</v>
          </cell>
          <cell r="F127" t="str">
            <v>Not yet done</v>
          </cell>
          <cell r="I127" t="str">
            <v>7 - not SNV match</v>
          </cell>
          <cell r="K127" t="str">
            <v>A</v>
          </cell>
          <cell r="L127" t="str">
            <v>SP1</v>
          </cell>
          <cell r="M127" t="str">
            <v>G2</v>
          </cell>
          <cell r="N127">
            <v>43192</v>
          </cell>
          <cell r="O127" t="str">
            <v>JY</v>
          </cell>
          <cell r="Q127">
            <v>1243</v>
          </cell>
        </row>
        <row r="128">
          <cell r="C128">
            <v>1851</v>
          </cell>
          <cell r="D128">
            <v>42927</v>
          </cell>
          <cell r="E128" t="str">
            <v>cap</v>
          </cell>
          <cell r="F128" t="str">
            <v>Not yet done</v>
          </cell>
          <cell r="G128" t="str">
            <v>A</v>
          </cell>
          <cell r="H128">
            <v>0</v>
          </cell>
          <cell r="I128" t="str">
            <v>4 - SNV timepoint</v>
          </cell>
          <cell r="K128" t="str">
            <v>A</v>
          </cell>
          <cell r="L128" t="str">
            <v>PO1</v>
          </cell>
          <cell r="M128" t="str">
            <v>B1</v>
          </cell>
          <cell r="O128" t="str">
            <v>duplicate, can't use</v>
          </cell>
          <cell r="Z128">
            <v>2</v>
          </cell>
        </row>
        <row r="129">
          <cell r="C129">
            <v>1852</v>
          </cell>
          <cell r="D129">
            <v>42927</v>
          </cell>
          <cell r="E129" t="str">
            <v>cap</v>
          </cell>
          <cell r="F129" t="str">
            <v>Not yet done</v>
          </cell>
          <cell r="G129" t="str">
            <v>A</v>
          </cell>
          <cell r="H129">
            <v>0</v>
          </cell>
          <cell r="I129" t="str">
            <v>4 - SNV timepoint</v>
          </cell>
          <cell r="K129" t="str">
            <v>A</v>
          </cell>
          <cell r="L129" t="str">
            <v>PO1</v>
          </cell>
          <cell r="M129" t="str">
            <v>B2</v>
          </cell>
          <cell r="N129">
            <v>43185</v>
          </cell>
          <cell r="O129" t="str">
            <v>JB</v>
          </cell>
          <cell r="Q129">
            <v>10</v>
          </cell>
          <cell r="V129">
            <v>19</v>
          </cell>
          <cell r="Z129">
            <v>2</v>
          </cell>
        </row>
        <row r="130">
          <cell r="C130">
            <v>1853</v>
          </cell>
          <cell r="D130">
            <v>42927</v>
          </cell>
          <cell r="E130" t="str">
            <v>cap</v>
          </cell>
          <cell r="F130" t="str">
            <v>Not yet done</v>
          </cell>
          <cell r="G130" t="str">
            <v>A</v>
          </cell>
          <cell r="H130">
            <v>0</v>
          </cell>
          <cell r="I130" t="str">
            <v>4 - SNV timepoint</v>
          </cell>
          <cell r="K130" t="str">
            <v>A</v>
          </cell>
          <cell r="L130" t="str">
            <v>PO1</v>
          </cell>
          <cell r="M130" t="str">
            <v>D5</v>
          </cell>
          <cell r="N130">
            <v>43189</v>
          </cell>
          <cell r="O130" t="str">
            <v>NB</v>
          </cell>
          <cell r="P130">
            <v>0</v>
          </cell>
          <cell r="Q130">
            <v>0</v>
          </cell>
          <cell r="R130">
            <v>0</v>
          </cell>
          <cell r="S130">
            <v>0</v>
          </cell>
          <cell r="T130">
            <v>0</v>
          </cell>
          <cell r="U130">
            <v>0</v>
          </cell>
          <cell r="V130">
            <v>0</v>
          </cell>
          <cell r="W130">
            <v>0</v>
          </cell>
          <cell r="X130">
            <v>0</v>
          </cell>
          <cell r="Y130">
            <v>0</v>
          </cell>
          <cell r="Z130">
            <v>0</v>
          </cell>
        </row>
        <row r="131">
          <cell r="C131">
            <v>1854</v>
          </cell>
          <cell r="D131">
            <v>42927</v>
          </cell>
          <cell r="E131" t="str">
            <v>cap</v>
          </cell>
          <cell r="F131" t="str">
            <v>Not yet done</v>
          </cell>
          <cell r="I131" t="str">
            <v>7 - not SNV match</v>
          </cell>
          <cell r="K131" t="str">
            <v>A</v>
          </cell>
          <cell r="L131" t="str">
            <v>PO1</v>
          </cell>
          <cell r="M131" t="str">
            <v>D8</v>
          </cell>
          <cell r="N131">
            <v>43186</v>
          </cell>
          <cell r="O131" t="str">
            <v>JY</v>
          </cell>
          <cell r="P131">
            <v>0</v>
          </cell>
          <cell r="Q131">
            <v>0</v>
          </cell>
          <cell r="R131">
            <v>0</v>
          </cell>
          <cell r="S131">
            <v>0</v>
          </cell>
          <cell r="T131">
            <v>0</v>
          </cell>
          <cell r="U131">
            <v>0</v>
          </cell>
          <cell r="V131">
            <v>0</v>
          </cell>
          <cell r="W131">
            <v>0</v>
          </cell>
          <cell r="X131">
            <v>0</v>
          </cell>
          <cell r="Y131">
            <v>0</v>
          </cell>
          <cell r="Z131">
            <v>0</v>
          </cell>
        </row>
        <row r="132">
          <cell r="C132" t="str">
            <v>NO BLOOD</v>
          </cell>
          <cell r="D132">
            <v>42927</v>
          </cell>
          <cell r="E132" t="str">
            <v>cap</v>
          </cell>
          <cell r="F132" t="str">
            <v>Not yet done</v>
          </cell>
          <cell r="I132" t="str">
            <v>7 - not SNV match</v>
          </cell>
          <cell r="K132" t="str">
            <v>A</v>
          </cell>
          <cell r="L132" t="str">
            <v>PO1</v>
          </cell>
          <cell r="M132" t="str">
            <v>E2</v>
          </cell>
          <cell r="N132">
            <v>43194</v>
          </cell>
          <cell r="O132" t="str">
            <v>JB</v>
          </cell>
          <cell r="P132">
            <v>99</v>
          </cell>
          <cell r="Q132">
            <v>1441</v>
          </cell>
          <cell r="R132">
            <v>20</v>
          </cell>
          <cell r="V132">
            <v>1</v>
          </cell>
          <cell r="X132">
            <v>89</v>
          </cell>
          <cell r="Z132">
            <v>1</v>
          </cell>
        </row>
        <row r="133">
          <cell r="C133">
            <v>1857</v>
          </cell>
          <cell r="D133">
            <v>42927</v>
          </cell>
          <cell r="E133" t="str">
            <v>cap</v>
          </cell>
          <cell r="F133" t="str">
            <v>Not yet done</v>
          </cell>
          <cell r="G133" t="str">
            <v>A</v>
          </cell>
          <cell r="H133">
            <v>0</v>
          </cell>
          <cell r="I133" t="str">
            <v>4 - SNV timepoint</v>
          </cell>
          <cell r="K133" t="str">
            <v>C</v>
          </cell>
          <cell r="L133" t="str">
            <v>PO1</v>
          </cell>
          <cell r="M133" t="str">
            <v>E7</v>
          </cell>
          <cell r="N133">
            <v>43196</v>
          </cell>
          <cell r="O133" t="str">
            <v>NB</v>
          </cell>
          <cell r="P133">
            <v>0</v>
          </cell>
          <cell r="Q133">
            <v>0</v>
          </cell>
          <cell r="R133">
            <v>0</v>
          </cell>
          <cell r="S133">
            <v>0</v>
          </cell>
          <cell r="T133">
            <v>0</v>
          </cell>
          <cell r="U133">
            <v>0</v>
          </cell>
          <cell r="V133">
            <v>0</v>
          </cell>
          <cell r="W133">
            <v>0</v>
          </cell>
          <cell r="X133">
            <v>0</v>
          </cell>
          <cell r="Y133">
            <v>0</v>
          </cell>
          <cell r="Z133">
            <v>0</v>
          </cell>
        </row>
        <row r="134">
          <cell r="C134">
            <v>1858</v>
          </cell>
          <cell r="D134">
            <v>42927</v>
          </cell>
          <cell r="E134" t="str">
            <v>cap</v>
          </cell>
          <cell r="F134" t="str">
            <v>Not yet done</v>
          </cell>
          <cell r="G134" t="str">
            <v>A</v>
          </cell>
          <cell r="H134">
            <v>0</v>
          </cell>
          <cell r="I134" t="str">
            <v>4 - SNV timepoint</v>
          </cell>
          <cell r="K134" t="str">
            <v>C</v>
          </cell>
          <cell r="L134" t="str">
            <v>PO1</v>
          </cell>
          <cell r="M134" t="str">
            <v>E8</v>
          </cell>
          <cell r="N134">
            <v>43196</v>
          </cell>
          <cell r="O134" t="str">
            <v>TE</v>
          </cell>
          <cell r="P134">
            <v>33</v>
          </cell>
          <cell r="Q134">
            <v>311</v>
          </cell>
        </row>
        <row r="135">
          <cell r="C135">
            <v>1859</v>
          </cell>
          <cell r="D135">
            <v>42927</v>
          </cell>
          <cell r="E135" t="str">
            <v>cap</v>
          </cell>
          <cell r="F135" t="str">
            <v>Not yet done</v>
          </cell>
          <cell r="G135" t="str">
            <v>A</v>
          </cell>
          <cell r="H135">
            <v>0</v>
          </cell>
          <cell r="I135" t="str">
            <v>4 - SNV timepoint</v>
          </cell>
          <cell r="K135" t="str">
            <v>C</v>
          </cell>
          <cell r="L135" t="str">
            <v>PO1</v>
          </cell>
          <cell r="M135" t="str">
            <v>G1</v>
          </cell>
          <cell r="N135">
            <v>43196</v>
          </cell>
          <cell r="O135" t="str">
            <v>NB</v>
          </cell>
          <cell r="Q135">
            <v>11</v>
          </cell>
          <cell r="S135">
            <v>3</v>
          </cell>
        </row>
        <row r="136">
          <cell r="C136">
            <v>1860</v>
          </cell>
          <cell r="D136">
            <v>42927</v>
          </cell>
          <cell r="E136" t="str">
            <v>cap</v>
          </cell>
          <cell r="F136" t="str">
            <v>Not yet done</v>
          </cell>
          <cell r="G136" t="str">
            <v>A</v>
          </cell>
          <cell r="H136">
            <v>0</v>
          </cell>
          <cell r="I136" t="str">
            <v>4 - SNV timepoint</v>
          </cell>
          <cell r="K136" t="str">
            <v>A</v>
          </cell>
          <cell r="L136" t="str">
            <v>PO1</v>
          </cell>
          <cell r="M136" t="str">
            <v>G3</v>
          </cell>
          <cell r="N136">
            <v>43185</v>
          </cell>
          <cell r="O136" t="str">
            <v>JY</v>
          </cell>
          <cell r="Q136">
            <v>70</v>
          </cell>
        </row>
        <row r="137">
          <cell r="C137">
            <v>1861</v>
          </cell>
          <cell r="D137">
            <v>42927</v>
          </cell>
          <cell r="E137" t="str">
            <v>cap</v>
          </cell>
          <cell r="F137" t="str">
            <v>Not yet done</v>
          </cell>
          <cell r="G137" t="str">
            <v>A</v>
          </cell>
          <cell r="H137">
            <v>0</v>
          </cell>
          <cell r="I137" t="str">
            <v>4 - SNV timepoint</v>
          </cell>
          <cell r="K137" t="str">
            <v>C</v>
          </cell>
          <cell r="L137" t="str">
            <v>PO1</v>
          </cell>
          <cell r="M137" t="str">
            <v>G4</v>
          </cell>
          <cell r="N137">
            <v>43196</v>
          </cell>
          <cell r="O137" t="str">
            <v>LV</v>
          </cell>
          <cell r="P137">
            <v>23</v>
          </cell>
          <cell r="Q137">
            <v>249</v>
          </cell>
        </row>
        <row r="138">
          <cell r="C138">
            <v>1862</v>
          </cell>
          <cell r="D138">
            <v>42927</v>
          </cell>
          <cell r="E138" t="str">
            <v>cap</v>
          </cell>
          <cell r="F138" t="str">
            <v>Not yet done</v>
          </cell>
          <cell r="G138" t="str">
            <v>A</v>
          </cell>
          <cell r="H138">
            <v>0</v>
          </cell>
          <cell r="I138" t="str">
            <v>4 - SNV timepoint</v>
          </cell>
          <cell r="K138" t="str">
            <v>A</v>
          </cell>
          <cell r="L138" t="str">
            <v>PO1</v>
          </cell>
          <cell r="M138" t="str">
            <v>G8</v>
          </cell>
          <cell r="N138">
            <v>43195</v>
          </cell>
          <cell r="O138" t="str">
            <v>LV</v>
          </cell>
          <cell r="P138">
            <v>0</v>
          </cell>
          <cell r="Q138">
            <v>0</v>
          </cell>
          <cell r="R138">
            <v>0</v>
          </cell>
          <cell r="S138">
            <v>0</v>
          </cell>
          <cell r="T138">
            <v>0</v>
          </cell>
          <cell r="U138">
            <v>0</v>
          </cell>
          <cell r="V138">
            <v>0</v>
          </cell>
          <cell r="W138">
            <v>0</v>
          </cell>
          <cell r="X138">
            <v>0</v>
          </cell>
          <cell r="Y138">
            <v>0</v>
          </cell>
          <cell r="Z138">
            <v>0</v>
          </cell>
        </row>
        <row r="139">
          <cell r="C139">
            <v>1863</v>
          </cell>
          <cell r="D139">
            <v>42927</v>
          </cell>
          <cell r="E139" t="str">
            <v>cap</v>
          </cell>
          <cell r="F139" t="str">
            <v>Not yet done</v>
          </cell>
          <cell r="G139" t="str">
            <v>A</v>
          </cell>
          <cell r="H139">
            <v>0</v>
          </cell>
          <cell r="I139" t="str">
            <v>4 - SNV timepoint</v>
          </cell>
          <cell r="K139" t="str">
            <v>C</v>
          </cell>
          <cell r="L139" t="str">
            <v>PO1</v>
          </cell>
          <cell r="M139" t="str">
            <v>H2</v>
          </cell>
          <cell r="N139">
            <v>43205</v>
          </cell>
          <cell r="O139" t="str">
            <v>LV</v>
          </cell>
          <cell r="P139">
            <v>71</v>
          </cell>
          <cell r="Q139">
            <v>563</v>
          </cell>
          <cell r="S139">
            <v>15</v>
          </cell>
        </row>
        <row r="140">
          <cell r="C140">
            <v>1864</v>
          </cell>
          <cell r="D140">
            <v>42927</v>
          </cell>
          <cell r="E140" t="str">
            <v>cap</v>
          </cell>
          <cell r="F140" t="str">
            <v>Not yet done</v>
          </cell>
          <cell r="G140" t="str">
            <v>A</v>
          </cell>
          <cell r="H140">
            <v>0</v>
          </cell>
          <cell r="I140" t="str">
            <v>4 - SNV timepoint</v>
          </cell>
          <cell r="K140" t="str">
            <v>C</v>
          </cell>
          <cell r="L140" t="str">
            <v>PO2</v>
          </cell>
          <cell r="M140" t="str">
            <v>A1</v>
          </cell>
          <cell r="N140">
            <v>43189</v>
          </cell>
          <cell r="O140" t="str">
            <v>NB</v>
          </cell>
          <cell r="Q140">
            <v>29</v>
          </cell>
          <cell r="S140">
            <v>23</v>
          </cell>
        </row>
        <row r="141">
          <cell r="C141">
            <v>1865</v>
          </cell>
          <cell r="D141">
            <v>42927</v>
          </cell>
          <cell r="E141" t="str">
            <v>cap</v>
          </cell>
          <cell r="F141" t="str">
            <v>Not yet done</v>
          </cell>
          <cell r="G141" t="str">
            <v>J</v>
          </cell>
          <cell r="H141">
            <v>0</v>
          </cell>
          <cell r="I141" t="str">
            <v>4 - SNV timepoint</v>
          </cell>
          <cell r="K141" t="str">
            <v>A</v>
          </cell>
          <cell r="L141" t="str">
            <v>PO2</v>
          </cell>
          <cell r="M141" t="str">
            <v>B1</v>
          </cell>
          <cell r="O141" t="str">
            <v>duplicate, can't use</v>
          </cell>
        </row>
        <row r="142">
          <cell r="C142">
            <v>1866</v>
          </cell>
          <cell r="D142">
            <v>42927</v>
          </cell>
          <cell r="E142" t="str">
            <v>cap</v>
          </cell>
          <cell r="F142" t="str">
            <v>Not yet done</v>
          </cell>
          <cell r="G142" t="str">
            <v>A</v>
          </cell>
          <cell r="H142">
            <v>0</v>
          </cell>
          <cell r="I142" t="str">
            <v>4 - SNV timepoint</v>
          </cell>
          <cell r="K142" t="str">
            <v>A</v>
          </cell>
          <cell r="L142" t="str">
            <v>PO2</v>
          </cell>
          <cell r="M142" t="str">
            <v>B5</v>
          </cell>
          <cell r="N142">
            <v>43185</v>
          </cell>
          <cell r="O142" t="str">
            <v>JY</v>
          </cell>
          <cell r="P142">
            <v>62</v>
          </cell>
          <cell r="Q142">
            <v>414</v>
          </cell>
        </row>
        <row r="143">
          <cell r="C143">
            <v>1868</v>
          </cell>
          <cell r="D143">
            <v>42927</v>
          </cell>
          <cell r="E143" t="str">
            <v>cap</v>
          </cell>
          <cell r="F143" t="str">
            <v>Not yet done</v>
          </cell>
          <cell r="G143" t="str">
            <v>A</v>
          </cell>
          <cell r="H143">
            <v>0</v>
          </cell>
          <cell r="I143" t="str">
            <v>4 - SNV timepoint</v>
          </cell>
          <cell r="K143" t="str">
            <v>A</v>
          </cell>
          <cell r="L143" t="str">
            <v>PO2</v>
          </cell>
          <cell r="M143" t="str">
            <v>C8</v>
          </cell>
          <cell r="N143">
            <v>43186</v>
          </cell>
          <cell r="O143" t="str">
            <v>JY</v>
          </cell>
          <cell r="Q143">
            <v>40</v>
          </cell>
        </row>
        <row r="144">
          <cell r="C144">
            <v>1869</v>
          </cell>
          <cell r="D144">
            <v>42927</v>
          </cell>
          <cell r="E144" t="str">
            <v>cap</v>
          </cell>
          <cell r="F144" t="str">
            <v>Not yet done</v>
          </cell>
          <cell r="G144" t="str">
            <v>A</v>
          </cell>
          <cell r="H144">
            <v>0</v>
          </cell>
          <cell r="I144" t="str">
            <v>4 - SNV timepoint</v>
          </cell>
          <cell r="K144" t="str">
            <v>C</v>
          </cell>
          <cell r="L144" t="str">
            <v>PO2</v>
          </cell>
          <cell r="M144" t="str">
            <v>D1</v>
          </cell>
          <cell r="N144">
            <v>43196</v>
          </cell>
          <cell r="O144" t="str">
            <v>LV</v>
          </cell>
          <cell r="P144">
            <v>11</v>
          </cell>
          <cell r="Q144">
            <v>24</v>
          </cell>
          <cell r="U144">
            <v>1</v>
          </cell>
          <cell r="V144">
            <v>1</v>
          </cell>
        </row>
        <row r="145">
          <cell r="C145">
            <v>1870</v>
          </cell>
          <cell r="D145">
            <v>42927</v>
          </cell>
          <cell r="E145" t="str">
            <v>cap</v>
          </cell>
          <cell r="F145" t="str">
            <v>Not yet done</v>
          </cell>
          <cell r="G145" t="str">
            <v>A</v>
          </cell>
          <cell r="H145">
            <v>0</v>
          </cell>
          <cell r="I145" t="str">
            <v>4 - SNV timepoint</v>
          </cell>
          <cell r="K145" t="str">
            <v>A</v>
          </cell>
          <cell r="L145" t="str">
            <v>PO2</v>
          </cell>
          <cell r="M145" t="str">
            <v>D4</v>
          </cell>
          <cell r="N145">
            <v>43195</v>
          </cell>
          <cell r="O145" t="str">
            <v>JY</v>
          </cell>
          <cell r="P145">
            <v>30</v>
          </cell>
          <cell r="Q145">
            <v>3476</v>
          </cell>
        </row>
        <row r="146">
          <cell r="C146">
            <v>1871</v>
          </cell>
          <cell r="D146">
            <v>42927</v>
          </cell>
          <cell r="E146" t="str">
            <v>cap</v>
          </cell>
          <cell r="F146" t="str">
            <v>Not yet done</v>
          </cell>
          <cell r="G146" t="str">
            <v>SA</v>
          </cell>
          <cell r="H146">
            <v>0</v>
          </cell>
          <cell r="I146" t="str">
            <v>4 - SNV timepoint</v>
          </cell>
          <cell r="K146" t="str">
            <v>C</v>
          </cell>
          <cell r="L146" t="str">
            <v>PO2</v>
          </cell>
          <cell r="M146" t="str">
            <v>D5</v>
          </cell>
          <cell r="N146">
            <v>43195</v>
          </cell>
          <cell r="O146" t="str">
            <v>JB</v>
          </cell>
          <cell r="P146">
            <v>17</v>
          </cell>
          <cell r="Q146">
            <v>172</v>
          </cell>
          <cell r="Z146">
            <v>1</v>
          </cell>
        </row>
        <row r="147">
          <cell r="C147">
            <v>1872</v>
          </cell>
          <cell r="D147">
            <v>42927</v>
          </cell>
          <cell r="E147" t="str">
            <v>cap</v>
          </cell>
          <cell r="F147" t="str">
            <v>Not yet done</v>
          </cell>
          <cell r="G147" t="str">
            <v>A</v>
          </cell>
          <cell r="H147">
            <v>0</v>
          </cell>
          <cell r="I147" t="str">
            <v>4 - SNV timepoint</v>
          </cell>
          <cell r="K147" t="str">
            <v>C</v>
          </cell>
          <cell r="L147" t="str">
            <v>PO2</v>
          </cell>
          <cell r="M147" t="str">
            <v>D7</v>
          </cell>
          <cell r="N147">
            <v>43196</v>
          </cell>
          <cell r="O147" t="str">
            <v>NB</v>
          </cell>
          <cell r="Q147">
            <v>1178</v>
          </cell>
        </row>
        <row r="148">
          <cell r="C148">
            <v>1873</v>
          </cell>
          <cell r="D148">
            <v>42927</v>
          </cell>
          <cell r="E148" t="str">
            <v>cap</v>
          </cell>
          <cell r="F148" t="str">
            <v>Not yet done</v>
          </cell>
          <cell r="G148" t="str">
            <v>A</v>
          </cell>
          <cell r="H148">
            <v>0</v>
          </cell>
          <cell r="I148" t="str">
            <v>4 - SNV timepoint</v>
          </cell>
          <cell r="K148" t="str">
            <v>A</v>
          </cell>
          <cell r="L148" t="str">
            <v>PO2</v>
          </cell>
          <cell r="M148" t="str">
            <v>G5</v>
          </cell>
          <cell r="N148">
            <v>43186</v>
          </cell>
          <cell r="O148" t="str">
            <v>SB</v>
          </cell>
          <cell r="P148">
            <v>0</v>
          </cell>
          <cell r="Q148">
            <v>0</v>
          </cell>
          <cell r="R148">
            <v>0</v>
          </cell>
          <cell r="S148">
            <v>0</v>
          </cell>
          <cell r="T148">
            <v>0</v>
          </cell>
          <cell r="U148">
            <v>0</v>
          </cell>
          <cell r="V148">
            <v>0</v>
          </cell>
          <cell r="W148">
            <v>0</v>
          </cell>
          <cell r="X148">
            <v>0</v>
          </cell>
          <cell r="Y148">
            <v>0</v>
          </cell>
          <cell r="Z148">
            <v>0</v>
          </cell>
        </row>
        <row r="149">
          <cell r="C149" t="str">
            <v>NO BLOOD</v>
          </cell>
          <cell r="D149">
            <v>42927</v>
          </cell>
          <cell r="E149" t="str">
            <v>cap</v>
          </cell>
          <cell r="F149" t="str">
            <v>Not yet done</v>
          </cell>
          <cell r="I149" t="str">
            <v>7 - not SNV match</v>
          </cell>
          <cell r="K149" t="str">
            <v>A</v>
          </cell>
          <cell r="L149" t="str">
            <v>PO2</v>
          </cell>
          <cell r="M149" t="str">
            <v>H5</v>
          </cell>
          <cell r="N149">
            <v>43189</v>
          </cell>
          <cell r="O149" t="str">
            <v>JB</v>
          </cell>
          <cell r="P149">
            <v>105</v>
          </cell>
          <cell r="Q149">
            <v>2586</v>
          </cell>
          <cell r="Z149">
            <v>2</v>
          </cell>
        </row>
        <row r="150">
          <cell r="C150">
            <v>1874</v>
          </cell>
          <cell r="D150">
            <v>42927</v>
          </cell>
          <cell r="E150" t="str">
            <v>cap</v>
          </cell>
          <cell r="F150" t="str">
            <v>Not yet done, no sample?</v>
          </cell>
          <cell r="I150" t="str">
            <v>Missing?</v>
          </cell>
          <cell r="K150" t="str">
            <v>C</v>
          </cell>
          <cell r="L150" t="str">
            <v>PO2</v>
          </cell>
          <cell r="M150" t="str">
            <v>H8</v>
          </cell>
          <cell r="N150">
            <v>43195</v>
          </cell>
          <cell r="O150" t="str">
            <v>JB</v>
          </cell>
          <cell r="P150">
            <v>202</v>
          </cell>
          <cell r="Q150">
            <v>746</v>
          </cell>
          <cell r="R150">
            <v>25</v>
          </cell>
        </row>
        <row r="151">
          <cell r="C151">
            <v>1875</v>
          </cell>
          <cell r="D151">
            <v>42928</v>
          </cell>
          <cell r="E151" t="str">
            <v>cap</v>
          </cell>
          <cell r="F151" t="str">
            <v>Not yet done</v>
          </cell>
          <cell r="I151" t="str">
            <v>7 - not SNV match</v>
          </cell>
          <cell r="K151" t="str">
            <v>A</v>
          </cell>
          <cell r="L151" t="str">
            <v>PO1</v>
          </cell>
          <cell r="M151" t="str">
            <v>A7</v>
          </cell>
          <cell r="O151" t="str">
            <v>duplicate, can't use</v>
          </cell>
        </row>
        <row r="152">
          <cell r="C152">
            <v>1876</v>
          </cell>
          <cell r="D152">
            <v>42928</v>
          </cell>
          <cell r="E152" t="str">
            <v>cap</v>
          </cell>
          <cell r="F152" t="str">
            <v>Not yet done</v>
          </cell>
          <cell r="G152" t="str">
            <v>A</v>
          </cell>
          <cell r="H152">
            <v>0</v>
          </cell>
          <cell r="I152" t="str">
            <v>4 - SNV timepoint</v>
          </cell>
          <cell r="K152" t="str">
            <v>C</v>
          </cell>
          <cell r="L152" t="str">
            <v>PO1</v>
          </cell>
          <cell r="M152" t="str">
            <v>B1</v>
          </cell>
          <cell r="N152">
            <v>43200</v>
          </cell>
          <cell r="O152" t="str">
            <v>JY</v>
          </cell>
          <cell r="P152">
            <v>0</v>
          </cell>
          <cell r="Q152">
            <v>0</v>
          </cell>
          <cell r="R152">
            <v>0</v>
          </cell>
          <cell r="S152">
            <v>0</v>
          </cell>
          <cell r="T152">
            <v>0</v>
          </cell>
          <cell r="U152">
            <v>0</v>
          </cell>
          <cell r="V152">
            <v>0</v>
          </cell>
          <cell r="W152">
            <v>0</v>
          </cell>
          <cell r="X152">
            <v>0</v>
          </cell>
          <cell r="Y152">
            <v>0</v>
          </cell>
          <cell r="Z152">
            <v>0</v>
          </cell>
        </row>
        <row r="153">
          <cell r="C153">
            <v>1877</v>
          </cell>
          <cell r="D153">
            <v>42928</v>
          </cell>
          <cell r="E153" t="str">
            <v>cap</v>
          </cell>
          <cell r="F153" t="str">
            <v>Not yet done</v>
          </cell>
          <cell r="G153" t="str">
            <v>A</v>
          </cell>
          <cell r="H153">
            <v>0</v>
          </cell>
          <cell r="I153" t="str">
            <v>4 - SNV timepoint</v>
          </cell>
          <cell r="K153" t="str">
            <v>A</v>
          </cell>
          <cell r="L153" t="str">
            <v>PO1</v>
          </cell>
          <cell r="M153" t="str">
            <v>F8</v>
          </cell>
          <cell r="N153">
            <v>43196</v>
          </cell>
          <cell r="O153" t="str">
            <v>JB</v>
          </cell>
          <cell r="P153">
            <v>109</v>
          </cell>
          <cell r="Q153">
            <v>464</v>
          </cell>
          <cell r="R153">
            <v>8</v>
          </cell>
          <cell r="S153">
            <v>16</v>
          </cell>
          <cell r="Z153">
            <v>2</v>
          </cell>
        </row>
        <row r="154">
          <cell r="C154">
            <v>1878</v>
          </cell>
          <cell r="D154">
            <v>42928</v>
          </cell>
          <cell r="E154" t="str">
            <v>cap</v>
          </cell>
          <cell r="F154" t="str">
            <v>Not yet done</v>
          </cell>
          <cell r="G154" t="str">
            <v>A</v>
          </cell>
          <cell r="H154">
            <v>0</v>
          </cell>
          <cell r="I154" t="str">
            <v>4 - SNV timepoint</v>
          </cell>
          <cell r="K154" t="str">
            <v>C</v>
          </cell>
          <cell r="L154" t="str">
            <v>PO1</v>
          </cell>
          <cell r="M154" t="str">
            <v>H8</v>
          </cell>
          <cell r="N154">
            <v>43196</v>
          </cell>
          <cell r="O154" t="str">
            <v>NB</v>
          </cell>
          <cell r="Q154">
            <v>157</v>
          </cell>
        </row>
        <row r="155">
          <cell r="C155">
            <v>1879</v>
          </cell>
          <cell r="D155">
            <v>42928</v>
          </cell>
          <cell r="E155" t="str">
            <v>cap</v>
          </cell>
          <cell r="F155" t="str">
            <v>Not yet done</v>
          </cell>
          <cell r="G155" t="str">
            <v>A</v>
          </cell>
          <cell r="H155">
            <v>0</v>
          </cell>
          <cell r="I155" t="str">
            <v>6 - do last SNV pertinent</v>
          </cell>
          <cell r="K155" t="str">
            <v>C</v>
          </cell>
          <cell r="L155" t="str">
            <v>PO2</v>
          </cell>
          <cell r="M155" t="str">
            <v>C8</v>
          </cell>
          <cell r="N155">
            <v>43196</v>
          </cell>
          <cell r="O155" t="str">
            <v>NB</v>
          </cell>
          <cell r="Q155">
            <v>84</v>
          </cell>
        </row>
        <row r="156">
          <cell r="C156">
            <v>1881</v>
          </cell>
          <cell r="D156">
            <v>42928</v>
          </cell>
          <cell r="E156" t="str">
            <v>cap</v>
          </cell>
          <cell r="F156" t="str">
            <v>Not yet done</v>
          </cell>
          <cell r="G156" t="str">
            <v>J</v>
          </cell>
          <cell r="H156">
            <v>0</v>
          </cell>
          <cell r="I156" t="str">
            <v>4 - SNV timepoint</v>
          </cell>
          <cell r="K156" t="str">
            <v>A</v>
          </cell>
          <cell r="L156" t="str">
            <v>PO2</v>
          </cell>
          <cell r="M156" t="str">
            <v>E3</v>
          </cell>
          <cell r="N156">
            <v>43198</v>
          </cell>
          <cell r="O156" t="str">
            <v>JB</v>
          </cell>
          <cell r="P156">
            <v>0</v>
          </cell>
          <cell r="Q156">
            <v>0</v>
          </cell>
          <cell r="R156">
            <v>0</v>
          </cell>
          <cell r="S156">
            <v>0</v>
          </cell>
          <cell r="T156">
            <v>0</v>
          </cell>
          <cell r="U156">
            <v>0</v>
          </cell>
          <cell r="V156">
            <v>0</v>
          </cell>
          <cell r="W156">
            <v>0</v>
          </cell>
          <cell r="X156">
            <v>0</v>
          </cell>
          <cell r="Y156">
            <v>0</v>
          </cell>
          <cell r="Z156">
            <v>0</v>
          </cell>
        </row>
        <row r="157">
          <cell r="C157">
            <v>1882</v>
          </cell>
          <cell r="D157">
            <v>42928</v>
          </cell>
          <cell r="E157" t="str">
            <v>cap</v>
          </cell>
          <cell r="F157" t="str">
            <v>Not yet done</v>
          </cell>
          <cell r="G157" t="str">
            <v>A</v>
          </cell>
          <cell r="H157">
            <v>0</v>
          </cell>
          <cell r="I157" t="str">
            <v>4 - SNV timepoint</v>
          </cell>
          <cell r="K157" t="str">
            <v>C</v>
          </cell>
          <cell r="L157" t="str">
            <v>PO2</v>
          </cell>
          <cell r="M157" t="str">
            <v>E4</v>
          </cell>
          <cell r="N157">
            <v>43196</v>
          </cell>
          <cell r="O157" t="str">
            <v>JB</v>
          </cell>
          <cell r="P157">
            <v>31</v>
          </cell>
          <cell r="Q157">
            <v>176</v>
          </cell>
          <cell r="R157">
            <v>2</v>
          </cell>
        </row>
        <row r="158">
          <cell r="C158">
            <v>1883</v>
          </cell>
          <cell r="D158">
            <v>42929</v>
          </cell>
          <cell r="E158" t="str">
            <v>cap</v>
          </cell>
          <cell r="F158" t="str">
            <v>Not yet done</v>
          </cell>
          <cell r="G158" t="str">
            <v>A</v>
          </cell>
          <cell r="H158">
            <v>0</v>
          </cell>
          <cell r="I158" t="str">
            <v>4 - SNV timepoint</v>
          </cell>
          <cell r="K158" t="str">
            <v>C</v>
          </cell>
          <cell r="L158" t="str">
            <v>PO1</v>
          </cell>
          <cell r="M158" t="str">
            <v>A2</v>
          </cell>
        </row>
        <row r="159">
          <cell r="C159">
            <v>1884</v>
          </cell>
          <cell r="D159">
            <v>42929</v>
          </cell>
          <cell r="E159" t="str">
            <v>cap</v>
          </cell>
          <cell r="F159" t="str">
            <v>Not yet done</v>
          </cell>
          <cell r="G159" t="str">
            <v>A</v>
          </cell>
          <cell r="H159">
            <v>0</v>
          </cell>
          <cell r="I159" t="str">
            <v>4 - SNV timepoint</v>
          </cell>
          <cell r="K159" t="str">
            <v>A</v>
          </cell>
          <cell r="L159" t="str">
            <v>PO1</v>
          </cell>
          <cell r="M159" t="str">
            <v>C3</v>
          </cell>
        </row>
        <row r="160">
          <cell r="C160">
            <v>1886</v>
          </cell>
          <cell r="D160">
            <v>42929</v>
          </cell>
          <cell r="E160" t="str">
            <v>cap</v>
          </cell>
          <cell r="F160" t="str">
            <v>Not yet done</v>
          </cell>
          <cell r="G160" t="str">
            <v>J</v>
          </cell>
          <cell r="H160">
            <v>0</v>
          </cell>
          <cell r="I160" t="str">
            <v>4 - SNV timepoint</v>
          </cell>
          <cell r="K160" t="str">
            <v>C</v>
          </cell>
          <cell r="L160" t="str">
            <v>PO1</v>
          </cell>
          <cell r="M160" t="str">
            <v>H5</v>
          </cell>
          <cell r="N160">
            <v>43200</v>
          </cell>
          <cell r="O160" t="str">
            <v>JY</v>
          </cell>
          <cell r="P160">
            <v>1</v>
          </cell>
          <cell r="Q160">
            <v>161</v>
          </cell>
          <cell r="R160">
            <v>2</v>
          </cell>
        </row>
        <row r="161">
          <cell r="C161">
            <v>1887</v>
          </cell>
          <cell r="D161">
            <v>42929</v>
          </cell>
          <cell r="E161" t="str">
            <v>cap</v>
          </cell>
          <cell r="F161" t="str">
            <v>Not yet done</v>
          </cell>
          <cell r="G161" t="str">
            <v>J</v>
          </cell>
          <cell r="H161">
            <v>0</v>
          </cell>
          <cell r="I161" t="str">
            <v>4 - SNV timepoint</v>
          </cell>
          <cell r="K161" t="str">
            <v>A</v>
          </cell>
          <cell r="L161" t="str">
            <v>PO1</v>
          </cell>
          <cell r="M161" t="str">
            <v>H6</v>
          </cell>
        </row>
        <row r="162">
          <cell r="C162">
            <v>1888</v>
          </cell>
          <cell r="D162">
            <v>42929</v>
          </cell>
          <cell r="E162" t="str">
            <v>cap</v>
          </cell>
          <cell r="F162" t="str">
            <v>Not yet done</v>
          </cell>
          <cell r="G162" t="str">
            <v>A</v>
          </cell>
          <cell r="H162">
            <v>0</v>
          </cell>
          <cell r="I162" t="str">
            <v>4 - SNV timepoint</v>
          </cell>
          <cell r="K162" t="str">
            <v>C</v>
          </cell>
          <cell r="L162" t="str">
            <v>PO2</v>
          </cell>
          <cell r="M162" t="str">
            <v>A6</v>
          </cell>
          <cell r="N162">
            <v>43198</v>
          </cell>
          <cell r="O162" t="str">
            <v>JB</v>
          </cell>
          <cell r="Q162">
            <v>1</v>
          </cell>
        </row>
        <row r="163">
          <cell r="C163">
            <v>1890</v>
          </cell>
          <cell r="D163">
            <v>42929</v>
          </cell>
          <cell r="E163" t="str">
            <v>cap</v>
          </cell>
          <cell r="F163" t="str">
            <v>Not yet done</v>
          </cell>
          <cell r="G163" t="str">
            <v>A</v>
          </cell>
          <cell r="H163">
            <v>0</v>
          </cell>
          <cell r="I163" t="str">
            <v>4 - SNV timepoint</v>
          </cell>
          <cell r="K163" t="str">
            <v>C</v>
          </cell>
          <cell r="L163" t="str">
            <v>PO2</v>
          </cell>
          <cell r="M163" t="str">
            <v>F7</v>
          </cell>
        </row>
        <row r="164">
          <cell r="C164">
            <v>1891</v>
          </cell>
          <cell r="D164">
            <v>42929</v>
          </cell>
          <cell r="E164" t="str">
            <v>cap</v>
          </cell>
          <cell r="F164" t="str">
            <v>Not yet done</v>
          </cell>
          <cell r="G164" t="str">
            <v>J</v>
          </cell>
          <cell r="H164">
            <v>0</v>
          </cell>
          <cell r="I164" t="str">
            <v>4 - SNV timepoint</v>
          </cell>
          <cell r="K164" t="str">
            <v>A</v>
          </cell>
          <cell r="L164" t="str">
            <v>PO2</v>
          </cell>
          <cell r="M164" t="str">
            <v>G1</v>
          </cell>
          <cell r="N164">
            <v>43201</v>
          </cell>
          <cell r="O164" t="str">
            <v>SB</v>
          </cell>
          <cell r="P164">
            <v>188</v>
          </cell>
          <cell r="Q164">
            <v>2097</v>
          </cell>
          <cell r="R164">
            <v>5</v>
          </cell>
        </row>
        <row r="165">
          <cell r="C165">
            <v>1892</v>
          </cell>
          <cell r="D165">
            <v>42929</v>
          </cell>
          <cell r="E165" t="str">
            <v>cap</v>
          </cell>
          <cell r="F165" t="str">
            <v>Not yet done</v>
          </cell>
          <cell r="G165" t="str">
            <v>A</v>
          </cell>
          <cell r="H165">
            <v>0</v>
          </cell>
          <cell r="I165" t="str">
            <v>4 - SNV timepoint</v>
          </cell>
          <cell r="K165" t="str">
            <v>C</v>
          </cell>
          <cell r="L165" t="str">
            <v>PO2</v>
          </cell>
          <cell r="M165" t="str">
            <v>G4</v>
          </cell>
        </row>
        <row r="166">
          <cell r="C166">
            <v>1893</v>
          </cell>
          <cell r="D166">
            <v>42929</v>
          </cell>
          <cell r="E166" t="str">
            <v>cap</v>
          </cell>
          <cell r="F166" t="str">
            <v>Not yet done</v>
          </cell>
          <cell r="G166" t="str">
            <v>A</v>
          </cell>
          <cell r="H166">
            <v>0</v>
          </cell>
          <cell r="I166" t="str">
            <v>4 - SNV timepoint</v>
          </cell>
          <cell r="K166" t="str">
            <v>A</v>
          </cell>
          <cell r="L166" t="str">
            <v>PO2</v>
          </cell>
          <cell r="M166" t="str">
            <v>H1</v>
          </cell>
          <cell r="N166">
            <v>43186</v>
          </cell>
          <cell r="O166" t="str">
            <v>SB</v>
          </cell>
          <cell r="P166">
            <v>0</v>
          </cell>
          <cell r="Q166">
            <v>0</v>
          </cell>
          <cell r="R166">
            <v>0</v>
          </cell>
          <cell r="S166">
            <v>0</v>
          </cell>
          <cell r="T166">
            <v>0</v>
          </cell>
          <cell r="U166">
            <v>0</v>
          </cell>
          <cell r="V166">
            <v>0</v>
          </cell>
          <cell r="W166">
            <v>0</v>
          </cell>
          <cell r="X166">
            <v>0</v>
          </cell>
          <cell r="Y166">
            <v>0</v>
          </cell>
          <cell r="Z166">
            <v>0</v>
          </cell>
        </row>
        <row r="167">
          <cell r="C167">
            <v>1894</v>
          </cell>
          <cell r="D167">
            <v>42929</v>
          </cell>
          <cell r="E167" t="str">
            <v>cap</v>
          </cell>
          <cell r="F167" t="str">
            <v>Not yet done</v>
          </cell>
          <cell r="G167" t="str">
            <v>A</v>
          </cell>
          <cell r="H167">
            <v>0</v>
          </cell>
          <cell r="I167" t="str">
            <v>4 - SNV timepoint</v>
          </cell>
          <cell r="K167" t="str">
            <v>C</v>
          </cell>
          <cell r="L167" t="str">
            <v>PO2</v>
          </cell>
          <cell r="M167" t="str">
            <v>H3</v>
          </cell>
        </row>
        <row r="168">
          <cell r="C168">
            <v>1895</v>
          </cell>
          <cell r="D168">
            <v>42929</v>
          </cell>
          <cell r="E168" t="str">
            <v>cap</v>
          </cell>
          <cell r="F168" t="str">
            <v>Not yet done</v>
          </cell>
          <cell r="G168" t="str">
            <v>A</v>
          </cell>
          <cell r="H168">
            <v>0</v>
          </cell>
          <cell r="I168" t="str">
            <v>4 - SNV timepoint</v>
          </cell>
          <cell r="K168" t="str">
            <v>C</v>
          </cell>
          <cell r="L168" t="str">
            <v>PO2</v>
          </cell>
          <cell r="M168" t="str">
            <v>H8</v>
          </cell>
          <cell r="N168">
            <v>43200</v>
          </cell>
          <cell r="O168" t="str">
            <v>JB</v>
          </cell>
          <cell r="P168">
            <v>257</v>
          </cell>
          <cell r="Q168">
            <v>2716</v>
          </cell>
          <cell r="R168">
            <v>29</v>
          </cell>
          <cell r="U168">
            <v>5</v>
          </cell>
        </row>
        <row r="169">
          <cell r="C169">
            <v>1905</v>
          </cell>
          <cell r="D169">
            <v>42930</v>
          </cell>
          <cell r="E169" t="str">
            <v>cap</v>
          </cell>
          <cell r="F169" t="str">
            <v>Not yet done</v>
          </cell>
          <cell r="G169" t="str">
            <v>A</v>
          </cell>
          <cell r="H169">
            <v>0</v>
          </cell>
          <cell r="I169" t="str">
            <v>5 - other SNV pertinent</v>
          </cell>
          <cell r="K169" t="str">
            <v>A</v>
          </cell>
          <cell r="L169" t="str">
            <v>HW1</v>
          </cell>
          <cell r="M169" t="str">
            <v>A3</v>
          </cell>
        </row>
        <row r="170">
          <cell r="C170">
            <v>1906</v>
          </cell>
          <cell r="D170">
            <v>42930</v>
          </cell>
          <cell r="E170" t="str">
            <v>cap</v>
          </cell>
          <cell r="F170" t="str">
            <v>Not yet done</v>
          </cell>
          <cell r="G170" t="str">
            <v>A</v>
          </cell>
          <cell r="H170">
            <v>0</v>
          </cell>
          <cell r="I170" t="str">
            <v>5 - other SNV pertinent</v>
          </cell>
          <cell r="K170" t="str">
            <v>A</v>
          </cell>
          <cell r="L170" t="str">
            <v>HW1</v>
          </cell>
          <cell r="M170" t="str">
            <v>C5</v>
          </cell>
        </row>
        <row r="171">
          <cell r="C171">
            <v>1907</v>
          </cell>
          <cell r="D171">
            <v>42930</v>
          </cell>
          <cell r="E171" t="str">
            <v>cap</v>
          </cell>
          <cell r="F171" t="str">
            <v>Not yet done</v>
          </cell>
          <cell r="G171" t="str">
            <v>A</v>
          </cell>
          <cell r="H171">
            <v>0</v>
          </cell>
          <cell r="I171" t="str">
            <v>5 - other SNV pertinent</v>
          </cell>
          <cell r="K171" t="str">
            <v>A</v>
          </cell>
          <cell r="L171" t="str">
            <v>HW1</v>
          </cell>
          <cell r="M171" t="str">
            <v>C8</v>
          </cell>
        </row>
        <row r="172">
          <cell r="C172">
            <v>1908</v>
          </cell>
          <cell r="D172">
            <v>42930</v>
          </cell>
          <cell r="E172" t="str">
            <v>cap</v>
          </cell>
          <cell r="F172" t="str">
            <v>Not yet done</v>
          </cell>
          <cell r="G172" t="str">
            <v>A</v>
          </cell>
          <cell r="H172">
            <v>0</v>
          </cell>
          <cell r="I172" t="str">
            <v>5 - other SNV pertinent</v>
          </cell>
          <cell r="K172" t="str">
            <v>A</v>
          </cell>
          <cell r="L172" t="str">
            <v>HW1</v>
          </cell>
          <cell r="M172" t="str">
            <v>E6</v>
          </cell>
        </row>
        <row r="173">
          <cell r="C173">
            <v>1909</v>
          </cell>
          <cell r="D173">
            <v>42930</v>
          </cell>
          <cell r="E173" t="str">
            <v>cap</v>
          </cell>
          <cell r="F173" t="str">
            <v>Not yet done</v>
          </cell>
          <cell r="G173" t="str">
            <v>A</v>
          </cell>
          <cell r="H173">
            <v>0</v>
          </cell>
          <cell r="I173" t="str">
            <v>5 - other SNV pertinent</v>
          </cell>
          <cell r="K173" t="str">
            <v>A</v>
          </cell>
          <cell r="L173" t="str">
            <v>HW1</v>
          </cell>
          <cell r="M173" t="str">
            <v>F5</v>
          </cell>
        </row>
        <row r="174">
          <cell r="C174">
            <v>1910</v>
          </cell>
          <cell r="D174">
            <v>42930</v>
          </cell>
          <cell r="E174" t="str">
            <v>cap</v>
          </cell>
          <cell r="F174" t="str">
            <v>Not yet done</v>
          </cell>
          <cell r="G174" t="str">
            <v>A</v>
          </cell>
          <cell r="H174">
            <v>0</v>
          </cell>
          <cell r="I174" t="str">
            <v>5 - other SNV pertinent</v>
          </cell>
          <cell r="K174" t="str">
            <v>C</v>
          </cell>
          <cell r="L174" t="str">
            <v>HW1</v>
          </cell>
          <cell r="M174" t="str">
            <v>F8</v>
          </cell>
        </row>
        <row r="175">
          <cell r="C175">
            <v>1911</v>
          </cell>
          <cell r="D175">
            <v>42930</v>
          </cell>
          <cell r="E175" t="str">
            <v>cap</v>
          </cell>
          <cell r="F175" t="str">
            <v>Not yet done</v>
          </cell>
          <cell r="G175" t="str">
            <v>A</v>
          </cell>
          <cell r="H175">
            <v>0</v>
          </cell>
          <cell r="I175" t="str">
            <v>5 - other SNV pertinent</v>
          </cell>
          <cell r="K175" t="str">
            <v>C</v>
          </cell>
          <cell r="L175" t="str">
            <v>HW1</v>
          </cell>
          <cell r="M175" t="str">
            <v>G1</v>
          </cell>
        </row>
        <row r="176">
          <cell r="C176">
            <v>1912</v>
          </cell>
          <cell r="D176">
            <v>42930</v>
          </cell>
          <cell r="E176" t="str">
            <v>cap</v>
          </cell>
          <cell r="F176" t="str">
            <v>Not yet done</v>
          </cell>
          <cell r="G176" t="str">
            <v>SA</v>
          </cell>
          <cell r="H176">
            <v>0</v>
          </cell>
          <cell r="I176" t="str">
            <v>5 - other SNV pertinent</v>
          </cell>
          <cell r="K176" t="str">
            <v>C</v>
          </cell>
          <cell r="L176" t="str">
            <v>HW1</v>
          </cell>
          <cell r="M176" t="str">
            <v>G7</v>
          </cell>
        </row>
        <row r="177">
          <cell r="C177">
            <v>1913</v>
          </cell>
          <cell r="D177">
            <v>42930</v>
          </cell>
          <cell r="E177" t="str">
            <v>cap</v>
          </cell>
          <cell r="F177" t="str">
            <v>Not yet done</v>
          </cell>
          <cell r="G177" t="str">
            <v>A</v>
          </cell>
          <cell r="H177">
            <v>0</v>
          </cell>
          <cell r="I177" t="str">
            <v>5 - other SNV pertinent</v>
          </cell>
          <cell r="K177" t="str">
            <v>A</v>
          </cell>
          <cell r="L177" t="str">
            <v>HW1</v>
          </cell>
          <cell r="M177" t="str">
            <v>H2</v>
          </cell>
        </row>
        <row r="178">
          <cell r="C178">
            <v>1914</v>
          </cell>
          <cell r="D178">
            <v>42930</v>
          </cell>
          <cell r="E178" t="str">
            <v>cap</v>
          </cell>
          <cell r="F178" t="str">
            <v>Not yet done</v>
          </cell>
          <cell r="G178" t="str">
            <v>A</v>
          </cell>
          <cell r="H178">
            <v>0</v>
          </cell>
          <cell r="I178" t="str">
            <v>5 - other SNV pertinent</v>
          </cell>
          <cell r="K178" t="str">
            <v>A</v>
          </cell>
          <cell r="L178" t="str">
            <v>HW1</v>
          </cell>
          <cell r="M178" t="str">
            <v>H5</v>
          </cell>
        </row>
        <row r="179">
          <cell r="C179">
            <v>1915</v>
          </cell>
          <cell r="D179">
            <v>42930</v>
          </cell>
          <cell r="E179" t="str">
            <v>cap</v>
          </cell>
          <cell r="F179" t="str">
            <v>Not yet done</v>
          </cell>
          <cell r="G179" t="str">
            <v>SA</v>
          </cell>
          <cell r="H179">
            <v>0</v>
          </cell>
          <cell r="I179" t="str">
            <v>5 - other SNV pertinent</v>
          </cell>
          <cell r="K179" t="str">
            <v>A</v>
          </cell>
          <cell r="L179" t="str">
            <v>HW1</v>
          </cell>
          <cell r="M179" t="str">
            <v>H8</v>
          </cell>
        </row>
        <row r="180">
          <cell r="C180">
            <v>1896</v>
          </cell>
          <cell r="D180">
            <v>42930</v>
          </cell>
          <cell r="E180" t="str">
            <v>cap</v>
          </cell>
          <cell r="F180" t="str">
            <v>Not yet done</v>
          </cell>
          <cell r="G180" t="str">
            <v>SA</v>
          </cell>
          <cell r="H180">
            <v>0</v>
          </cell>
          <cell r="I180" t="str">
            <v>5 - other SNV pertinent</v>
          </cell>
          <cell r="K180" t="str">
            <v>A</v>
          </cell>
          <cell r="L180" t="str">
            <v>HW2</v>
          </cell>
          <cell r="M180" t="str">
            <v>C1</v>
          </cell>
        </row>
        <row r="181">
          <cell r="C181">
            <v>1897</v>
          </cell>
          <cell r="D181">
            <v>42930</v>
          </cell>
          <cell r="E181" t="str">
            <v>cap</v>
          </cell>
          <cell r="F181" t="str">
            <v>Not yet done</v>
          </cell>
          <cell r="G181" t="str">
            <v>A</v>
          </cell>
          <cell r="H181">
            <v>0</v>
          </cell>
          <cell r="I181" t="str">
            <v>5 - other SNV pertinent</v>
          </cell>
          <cell r="K181" t="str">
            <v>A</v>
          </cell>
          <cell r="L181" t="str">
            <v>HW2</v>
          </cell>
          <cell r="M181" t="str">
            <v>C7</v>
          </cell>
        </row>
        <row r="182">
          <cell r="C182">
            <v>1898</v>
          </cell>
          <cell r="D182">
            <v>42930</v>
          </cell>
          <cell r="E182" t="str">
            <v>cap</v>
          </cell>
          <cell r="F182" t="str">
            <v>Not yet done</v>
          </cell>
          <cell r="G182" t="str">
            <v>SA</v>
          </cell>
          <cell r="H182">
            <v>0</v>
          </cell>
          <cell r="I182" t="str">
            <v>5 - other SNV pertinent</v>
          </cell>
          <cell r="K182" t="str">
            <v>C</v>
          </cell>
          <cell r="L182" t="str">
            <v>HW2</v>
          </cell>
          <cell r="M182" t="str">
            <v>D3</v>
          </cell>
        </row>
        <row r="183">
          <cell r="C183">
            <v>1899</v>
          </cell>
          <cell r="D183">
            <v>42930</v>
          </cell>
          <cell r="E183" t="str">
            <v>cap</v>
          </cell>
          <cell r="F183" t="str">
            <v>Not yet done</v>
          </cell>
          <cell r="G183" t="str">
            <v>SA</v>
          </cell>
          <cell r="H183">
            <v>0</v>
          </cell>
          <cell r="I183" t="str">
            <v>5 - other SNV pertinent</v>
          </cell>
          <cell r="K183" t="str">
            <v>A</v>
          </cell>
          <cell r="L183" t="str">
            <v>HW2</v>
          </cell>
          <cell r="M183" t="str">
            <v>D8</v>
          </cell>
        </row>
        <row r="184">
          <cell r="C184">
            <v>1900</v>
          </cell>
          <cell r="D184">
            <v>42930</v>
          </cell>
          <cell r="E184" t="str">
            <v>cap</v>
          </cell>
          <cell r="F184" t="str">
            <v>Not yet done</v>
          </cell>
          <cell r="G184" t="str">
            <v>A</v>
          </cell>
          <cell r="H184">
            <v>0</v>
          </cell>
          <cell r="I184" t="str">
            <v>5 - other SNV pertinent</v>
          </cell>
          <cell r="K184" t="str">
            <v>C</v>
          </cell>
          <cell r="L184" t="str">
            <v>HW2</v>
          </cell>
          <cell r="M184" t="str">
            <v>G6</v>
          </cell>
        </row>
        <row r="185">
          <cell r="C185">
            <v>1901</v>
          </cell>
          <cell r="D185">
            <v>42930</v>
          </cell>
          <cell r="E185" t="str">
            <v>cap</v>
          </cell>
          <cell r="F185" t="str">
            <v>Not yet done</v>
          </cell>
          <cell r="G185" t="str">
            <v>SA</v>
          </cell>
          <cell r="H185">
            <v>0</v>
          </cell>
          <cell r="I185" t="str">
            <v>5 - other SNV pertinent</v>
          </cell>
          <cell r="K185" t="str">
            <v>C</v>
          </cell>
          <cell r="L185" t="str">
            <v>HW2</v>
          </cell>
          <cell r="M185" t="str">
            <v>H1</v>
          </cell>
        </row>
        <row r="186">
          <cell r="C186">
            <v>1902</v>
          </cell>
          <cell r="D186">
            <v>42930</v>
          </cell>
          <cell r="E186" t="str">
            <v>cap</v>
          </cell>
          <cell r="F186" t="str">
            <v>Not yet done</v>
          </cell>
          <cell r="G186" t="str">
            <v>A</v>
          </cell>
          <cell r="H186">
            <v>0</v>
          </cell>
          <cell r="I186" t="str">
            <v>5 - other SNV pertinent</v>
          </cell>
          <cell r="K186" t="str">
            <v>A</v>
          </cell>
          <cell r="L186" t="str">
            <v>HW2</v>
          </cell>
          <cell r="M186" t="str">
            <v>H3</v>
          </cell>
        </row>
        <row r="187">
          <cell r="C187">
            <v>1903</v>
          </cell>
          <cell r="D187">
            <v>42930</v>
          </cell>
          <cell r="E187" t="str">
            <v>cap</v>
          </cell>
          <cell r="F187" t="str">
            <v>Not yet done</v>
          </cell>
          <cell r="G187" t="str">
            <v>A</v>
          </cell>
          <cell r="H187">
            <v>0</v>
          </cell>
          <cell r="I187" t="str">
            <v>5 - other SNV pertinent</v>
          </cell>
          <cell r="K187" t="str">
            <v>A</v>
          </cell>
          <cell r="L187" t="str">
            <v>HW2</v>
          </cell>
          <cell r="M187" t="str">
            <v>H4</v>
          </cell>
        </row>
        <row r="188">
          <cell r="C188">
            <v>1904</v>
          </cell>
          <cell r="D188">
            <v>42930</v>
          </cell>
          <cell r="E188" t="str">
            <v>cap</v>
          </cell>
          <cell r="F188" t="str">
            <v>Not yet done</v>
          </cell>
          <cell r="G188" t="str">
            <v>A</v>
          </cell>
          <cell r="H188">
            <v>0</v>
          </cell>
          <cell r="I188" t="str">
            <v>5 - other SNV pertinent</v>
          </cell>
          <cell r="K188" t="str">
            <v>C</v>
          </cell>
          <cell r="L188" t="str">
            <v>HW2</v>
          </cell>
          <cell r="M188" t="str">
            <v>H5</v>
          </cell>
        </row>
        <row r="189">
          <cell r="C189">
            <v>1922</v>
          </cell>
          <cell r="D189">
            <v>42931</v>
          </cell>
          <cell r="E189" t="str">
            <v>cap</v>
          </cell>
          <cell r="F189" t="str">
            <v>Not yet done</v>
          </cell>
          <cell r="G189" t="str">
            <v>A</v>
          </cell>
          <cell r="H189">
            <v>0</v>
          </cell>
          <cell r="I189" t="str">
            <v>5 - other SNV pertinent</v>
          </cell>
          <cell r="K189" t="str">
            <v>A</v>
          </cell>
          <cell r="L189" t="str">
            <v>HW1</v>
          </cell>
          <cell r="M189" t="str">
            <v>C8</v>
          </cell>
        </row>
        <row r="190">
          <cell r="C190">
            <v>1923</v>
          </cell>
          <cell r="D190">
            <v>42931</v>
          </cell>
          <cell r="E190" t="str">
            <v>cap</v>
          </cell>
          <cell r="F190" t="str">
            <v>Not yet done</v>
          </cell>
          <cell r="G190" t="str">
            <v>A</v>
          </cell>
          <cell r="H190">
            <v>0</v>
          </cell>
          <cell r="I190" t="str">
            <v>5 - other SNV pertinent</v>
          </cell>
          <cell r="K190" t="str">
            <v>C</v>
          </cell>
          <cell r="L190" t="str">
            <v>HW1</v>
          </cell>
          <cell r="M190" t="str">
            <v>F1</v>
          </cell>
        </row>
        <row r="191">
          <cell r="C191">
            <v>1917</v>
          </cell>
          <cell r="D191">
            <v>42931</v>
          </cell>
          <cell r="E191" t="str">
            <v>cap</v>
          </cell>
          <cell r="F191" t="str">
            <v>Not yet done</v>
          </cell>
          <cell r="G191" t="str">
            <v>A</v>
          </cell>
          <cell r="H191">
            <v>0</v>
          </cell>
          <cell r="I191" t="str">
            <v>5 - other SNV pertinent</v>
          </cell>
          <cell r="K191" t="str">
            <v>C</v>
          </cell>
          <cell r="L191" t="str">
            <v>HW2</v>
          </cell>
          <cell r="M191" t="str">
            <v>B4</v>
          </cell>
        </row>
        <row r="192">
          <cell r="C192">
            <v>1918</v>
          </cell>
          <cell r="D192">
            <v>42931</v>
          </cell>
          <cell r="E192" t="str">
            <v>cap</v>
          </cell>
          <cell r="F192" t="str">
            <v>Not yet done</v>
          </cell>
          <cell r="G192" t="str">
            <v>A</v>
          </cell>
          <cell r="H192">
            <v>0</v>
          </cell>
          <cell r="I192" t="str">
            <v>5 - other SNV pertinent</v>
          </cell>
          <cell r="K192" t="str">
            <v>C</v>
          </cell>
          <cell r="L192" t="str">
            <v>HW2</v>
          </cell>
          <cell r="M192" t="str">
            <v>B6</v>
          </cell>
        </row>
        <row r="193">
          <cell r="C193">
            <v>1919</v>
          </cell>
          <cell r="D193">
            <v>42931</v>
          </cell>
          <cell r="E193" t="str">
            <v>cap</v>
          </cell>
          <cell r="F193" t="str">
            <v>Not yet done</v>
          </cell>
          <cell r="I193" t="str">
            <v>7 - not SNV match</v>
          </cell>
          <cell r="K193" t="str">
            <v>A</v>
          </cell>
          <cell r="L193" t="str">
            <v>HW2</v>
          </cell>
          <cell r="M193" t="str">
            <v>B7</v>
          </cell>
        </row>
        <row r="194">
          <cell r="C194">
            <v>1920</v>
          </cell>
          <cell r="D194">
            <v>42931</v>
          </cell>
          <cell r="E194" t="str">
            <v>cap</v>
          </cell>
          <cell r="F194" t="str">
            <v>Not yet done</v>
          </cell>
          <cell r="G194" t="str">
            <v>SA</v>
          </cell>
          <cell r="H194">
            <v>0</v>
          </cell>
          <cell r="I194" t="str">
            <v>5 - other SNV pertinent</v>
          </cell>
          <cell r="K194" t="str">
            <v>C</v>
          </cell>
          <cell r="L194" t="str">
            <v>HW2</v>
          </cell>
          <cell r="M194" t="str">
            <v>H7</v>
          </cell>
        </row>
        <row r="195">
          <cell r="C195">
            <v>1921</v>
          </cell>
          <cell r="D195">
            <v>42931</v>
          </cell>
          <cell r="E195" t="str">
            <v>cap</v>
          </cell>
          <cell r="F195" t="str">
            <v>Not yet done</v>
          </cell>
          <cell r="G195" t="str">
            <v>A</v>
          </cell>
          <cell r="H195">
            <v>0</v>
          </cell>
          <cell r="I195" t="str">
            <v>5 - other SNV pertinent</v>
          </cell>
          <cell r="K195" t="str">
            <v>C</v>
          </cell>
          <cell r="L195" t="str">
            <v>HW2</v>
          </cell>
          <cell r="M195" t="str">
            <v>H8</v>
          </cell>
        </row>
        <row r="196">
          <cell r="C196">
            <v>1926</v>
          </cell>
          <cell r="D196">
            <v>42932</v>
          </cell>
          <cell r="E196" t="str">
            <v>cap</v>
          </cell>
          <cell r="F196" t="str">
            <v>Not yet done</v>
          </cell>
          <cell r="G196" t="str">
            <v>J</v>
          </cell>
          <cell r="H196">
            <v>0</v>
          </cell>
          <cell r="I196" t="str">
            <v>5 - other SNV pertinent</v>
          </cell>
          <cell r="K196" t="str">
            <v>C</v>
          </cell>
          <cell r="L196" t="str">
            <v>HW1</v>
          </cell>
          <cell r="M196" t="str">
            <v>B2</v>
          </cell>
        </row>
        <row r="197">
          <cell r="C197">
            <v>1927</v>
          </cell>
          <cell r="D197">
            <v>42932</v>
          </cell>
          <cell r="E197" t="str">
            <v>cap</v>
          </cell>
          <cell r="F197" t="str">
            <v>Not yet done</v>
          </cell>
          <cell r="G197" t="str">
            <v>A</v>
          </cell>
          <cell r="H197">
            <v>0</v>
          </cell>
          <cell r="I197" t="str">
            <v>6 - do last SNV pertinent</v>
          </cell>
          <cell r="K197" t="str">
            <v>C</v>
          </cell>
          <cell r="L197" t="str">
            <v>HW1</v>
          </cell>
          <cell r="M197" t="str">
            <v>D4</v>
          </cell>
        </row>
        <row r="198">
          <cell r="C198">
            <v>1928</v>
          </cell>
          <cell r="D198">
            <v>42932</v>
          </cell>
          <cell r="E198" t="str">
            <v>cap</v>
          </cell>
          <cell r="F198" t="str">
            <v>Not yet done</v>
          </cell>
          <cell r="G198" t="str">
            <v>A</v>
          </cell>
          <cell r="H198">
            <v>0</v>
          </cell>
          <cell r="I198" t="str">
            <v>5 - other SNV pertinent</v>
          </cell>
          <cell r="K198" t="str">
            <v>A</v>
          </cell>
          <cell r="L198" t="str">
            <v>HW1</v>
          </cell>
          <cell r="M198" t="str">
            <v>E3</v>
          </cell>
        </row>
        <row r="199">
          <cell r="C199">
            <v>1924</v>
          </cell>
          <cell r="D199">
            <v>42932</v>
          </cell>
          <cell r="E199" t="str">
            <v>cap</v>
          </cell>
          <cell r="F199" t="str">
            <v>Not yet done</v>
          </cell>
          <cell r="G199" t="str">
            <v>A</v>
          </cell>
          <cell r="H199">
            <v>0</v>
          </cell>
          <cell r="I199" t="str">
            <v>5 - other SNV pertinent</v>
          </cell>
          <cell r="K199" t="str">
            <v>A</v>
          </cell>
          <cell r="L199" t="str">
            <v>HW2</v>
          </cell>
          <cell r="M199" t="str">
            <v>B2</v>
          </cell>
        </row>
        <row r="200">
          <cell r="C200">
            <v>1925</v>
          </cell>
          <cell r="D200">
            <v>42932</v>
          </cell>
          <cell r="E200" t="str">
            <v>cap</v>
          </cell>
          <cell r="F200" t="str">
            <v>Not yet done</v>
          </cell>
          <cell r="G200" t="str">
            <v>A</v>
          </cell>
          <cell r="H200">
            <v>0</v>
          </cell>
          <cell r="I200" t="str">
            <v>5 - other SNV pertinent</v>
          </cell>
          <cell r="K200" t="str">
            <v>A</v>
          </cell>
          <cell r="L200" t="str">
            <v>HW2</v>
          </cell>
          <cell r="M200" t="str">
            <v>E8</v>
          </cell>
        </row>
        <row r="201">
          <cell r="C201">
            <v>1932</v>
          </cell>
          <cell r="D201">
            <v>42936</v>
          </cell>
          <cell r="E201" t="str">
            <v>cap</v>
          </cell>
          <cell r="F201" t="str">
            <v>Not yet done</v>
          </cell>
          <cell r="G201" t="str">
            <v>A</v>
          </cell>
          <cell r="H201">
            <v>0</v>
          </cell>
          <cell r="I201" t="str">
            <v>5 - other SNV pertinent</v>
          </cell>
          <cell r="K201" t="str">
            <v>C</v>
          </cell>
          <cell r="L201" t="str">
            <v>BC1</v>
          </cell>
          <cell r="M201" t="str">
            <v>B5</v>
          </cell>
        </row>
        <row r="202">
          <cell r="C202">
            <v>1933</v>
          </cell>
          <cell r="D202">
            <v>42936</v>
          </cell>
          <cell r="E202" t="str">
            <v>cap</v>
          </cell>
          <cell r="F202" t="str">
            <v>Not yet done</v>
          </cell>
          <cell r="G202" t="str">
            <v>A</v>
          </cell>
          <cell r="H202">
            <v>0</v>
          </cell>
          <cell r="I202" t="str">
            <v>5 - other SNV pertinent</v>
          </cell>
          <cell r="K202" t="str">
            <v>A</v>
          </cell>
          <cell r="L202" t="str">
            <v>BC1</v>
          </cell>
          <cell r="M202" t="str">
            <v>C3</v>
          </cell>
        </row>
        <row r="203">
          <cell r="C203">
            <v>1934</v>
          </cell>
          <cell r="D203">
            <v>42936</v>
          </cell>
          <cell r="E203" t="str">
            <v>cap</v>
          </cell>
          <cell r="F203" t="str">
            <v>Not yet done</v>
          </cell>
          <cell r="G203" t="str">
            <v>A</v>
          </cell>
          <cell r="H203">
            <v>0</v>
          </cell>
          <cell r="I203" t="str">
            <v>5 - other SNV pertinent</v>
          </cell>
          <cell r="K203" t="str">
            <v>A</v>
          </cell>
          <cell r="L203" t="str">
            <v>BC1</v>
          </cell>
          <cell r="M203" t="str">
            <v>E2</v>
          </cell>
        </row>
        <row r="204">
          <cell r="C204">
            <v>1949</v>
          </cell>
          <cell r="D204">
            <v>42936</v>
          </cell>
          <cell r="E204" t="str">
            <v>cap</v>
          </cell>
          <cell r="F204" t="str">
            <v>Not yet done</v>
          </cell>
          <cell r="G204">
            <v>0</v>
          </cell>
          <cell r="H204">
            <v>0</v>
          </cell>
          <cell r="I204" t="str">
            <v>5 - other SNV pertinent</v>
          </cell>
          <cell r="K204" t="str">
            <v>A</v>
          </cell>
          <cell r="L204" t="str">
            <v>BC1</v>
          </cell>
          <cell r="M204" t="str">
            <v>E5</v>
          </cell>
        </row>
        <row r="205">
          <cell r="C205">
            <v>1935</v>
          </cell>
          <cell r="D205">
            <v>42936</v>
          </cell>
          <cell r="E205" t="str">
            <v>cap</v>
          </cell>
          <cell r="F205" t="str">
            <v>Not yet done</v>
          </cell>
          <cell r="G205" t="str">
            <v>A</v>
          </cell>
          <cell r="H205">
            <v>0</v>
          </cell>
          <cell r="I205" t="str">
            <v>5 - other SNV pertinent</v>
          </cell>
          <cell r="K205" t="str">
            <v>A</v>
          </cell>
          <cell r="L205" t="str">
            <v>BC1</v>
          </cell>
          <cell r="M205" t="str">
            <v>E8</v>
          </cell>
        </row>
        <row r="206">
          <cell r="C206">
            <v>1936</v>
          </cell>
          <cell r="D206">
            <v>42936</v>
          </cell>
          <cell r="E206" t="str">
            <v>cap</v>
          </cell>
          <cell r="F206" t="str">
            <v>Not yet done</v>
          </cell>
          <cell r="G206" t="str">
            <v>A</v>
          </cell>
          <cell r="H206">
            <v>0</v>
          </cell>
          <cell r="I206" t="str">
            <v>5 - other SNV pertinent</v>
          </cell>
          <cell r="K206" t="str">
            <v>C</v>
          </cell>
          <cell r="L206" t="str">
            <v>BC1</v>
          </cell>
          <cell r="M206" t="str">
            <v>F8</v>
          </cell>
        </row>
        <row r="207">
          <cell r="C207">
            <v>1937</v>
          </cell>
          <cell r="D207">
            <v>42936</v>
          </cell>
          <cell r="E207" t="str">
            <v>cap</v>
          </cell>
          <cell r="F207" t="str">
            <v>Not yet done</v>
          </cell>
          <cell r="G207" t="str">
            <v>A</v>
          </cell>
          <cell r="H207">
            <v>0</v>
          </cell>
          <cell r="I207" t="str">
            <v>5 - other SNV pertinent</v>
          </cell>
          <cell r="K207" t="str">
            <v>C</v>
          </cell>
          <cell r="L207" t="str">
            <v>BC1</v>
          </cell>
          <cell r="M207" t="str">
            <v>G1</v>
          </cell>
        </row>
        <row r="208">
          <cell r="C208">
            <v>1938</v>
          </cell>
          <cell r="D208">
            <v>42936</v>
          </cell>
          <cell r="E208" t="str">
            <v>cap</v>
          </cell>
          <cell r="F208" t="str">
            <v>Not yet done</v>
          </cell>
          <cell r="G208" t="str">
            <v>A</v>
          </cell>
          <cell r="H208">
            <v>0</v>
          </cell>
          <cell r="I208" t="str">
            <v>5 - other SNV pertinent</v>
          </cell>
          <cell r="K208" t="str">
            <v>A</v>
          </cell>
          <cell r="L208" t="str">
            <v>BC1</v>
          </cell>
          <cell r="M208" t="str">
            <v>G6</v>
          </cell>
        </row>
        <row r="209">
          <cell r="C209">
            <v>1939</v>
          </cell>
          <cell r="D209">
            <v>42936</v>
          </cell>
          <cell r="E209" t="str">
            <v>cap</v>
          </cell>
          <cell r="F209" t="str">
            <v>Not yet done</v>
          </cell>
          <cell r="G209" t="str">
            <v>A</v>
          </cell>
          <cell r="H209">
            <v>0</v>
          </cell>
          <cell r="I209" t="str">
            <v>5 - other SNV pertinent</v>
          </cell>
          <cell r="K209" t="str">
            <v>A</v>
          </cell>
          <cell r="L209" t="str">
            <v>BC1</v>
          </cell>
          <cell r="M209" t="str">
            <v>H1</v>
          </cell>
        </row>
        <row r="210">
          <cell r="C210">
            <v>1940</v>
          </cell>
          <cell r="D210">
            <v>42936</v>
          </cell>
          <cell r="E210" t="str">
            <v>cap</v>
          </cell>
          <cell r="F210" t="str">
            <v>Not yet done</v>
          </cell>
          <cell r="G210" t="str">
            <v>A</v>
          </cell>
          <cell r="H210">
            <v>0</v>
          </cell>
          <cell r="I210" t="str">
            <v>5 - other SNV pertinent</v>
          </cell>
          <cell r="K210" t="str">
            <v>A</v>
          </cell>
          <cell r="L210" t="str">
            <v>BC1</v>
          </cell>
          <cell r="M210" t="str">
            <v>H7</v>
          </cell>
        </row>
        <row r="211">
          <cell r="C211">
            <v>1929</v>
          </cell>
          <cell r="D211">
            <v>42936</v>
          </cell>
          <cell r="E211" t="str">
            <v>cap</v>
          </cell>
          <cell r="F211" t="str">
            <v>Not yet done</v>
          </cell>
          <cell r="G211" t="str">
            <v>A</v>
          </cell>
          <cell r="H211">
            <v>0</v>
          </cell>
          <cell r="I211" t="str">
            <v>5 - other SNV pertinent</v>
          </cell>
          <cell r="K211" t="str">
            <v>A</v>
          </cell>
          <cell r="L211" t="str">
            <v>BC2</v>
          </cell>
          <cell r="M211" t="str">
            <v>A1</v>
          </cell>
        </row>
        <row r="212">
          <cell r="C212">
            <v>1930</v>
          </cell>
          <cell r="D212">
            <v>42936</v>
          </cell>
          <cell r="E212" t="str">
            <v>cap</v>
          </cell>
          <cell r="F212" t="str">
            <v>Not yet done</v>
          </cell>
          <cell r="G212" t="str">
            <v>A</v>
          </cell>
          <cell r="H212">
            <v>0</v>
          </cell>
          <cell r="I212" t="str">
            <v>5 - other SNV pertinent</v>
          </cell>
          <cell r="K212" t="str">
            <v>C</v>
          </cell>
          <cell r="L212" t="str">
            <v>BC2</v>
          </cell>
          <cell r="M212" t="str">
            <v>C7</v>
          </cell>
        </row>
        <row r="213">
          <cell r="C213">
            <v>1931</v>
          </cell>
          <cell r="D213">
            <v>42936</v>
          </cell>
          <cell r="E213" t="str">
            <v>cap</v>
          </cell>
          <cell r="F213" t="str">
            <v>Not yet done</v>
          </cell>
          <cell r="G213" t="str">
            <v>A</v>
          </cell>
          <cell r="H213">
            <v>0</v>
          </cell>
          <cell r="I213" t="str">
            <v>5 - other SNV pertinent</v>
          </cell>
          <cell r="K213" t="str">
            <v>A</v>
          </cell>
          <cell r="L213" t="str">
            <v>BC2</v>
          </cell>
          <cell r="M213" t="str">
            <v>G3</v>
          </cell>
        </row>
        <row r="214">
          <cell r="C214">
            <v>1946</v>
          </cell>
          <cell r="D214">
            <v>42937</v>
          </cell>
          <cell r="E214" t="str">
            <v>cap</v>
          </cell>
          <cell r="F214" t="str">
            <v>Not yet done</v>
          </cell>
          <cell r="G214" t="str">
            <v>A</v>
          </cell>
          <cell r="H214">
            <v>0</v>
          </cell>
          <cell r="I214" t="str">
            <v>5 - other SNV pertinent</v>
          </cell>
          <cell r="K214" t="str">
            <v>A</v>
          </cell>
          <cell r="L214" t="str">
            <v>BC1</v>
          </cell>
          <cell r="M214" t="str">
            <v>A4</v>
          </cell>
        </row>
        <row r="215">
          <cell r="C215">
            <v>1947</v>
          </cell>
          <cell r="D215">
            <v>42937</v>
          </cell>
          <cell r="E215" t="str">
            <v>cap</v>
          </cell>
          <cell r="F215" t="str">
            <v>Not yet done</v>
          </cell>
          <cell r="G215" t="str">
            <v>A</v>
          </cell>
          <cell r="H215">
            <v>0</v>
          </cell>
          <cell r="I215" t="str">
            <v>5 - other SNV pertinent</v>
          </cell>
          <cell r="K215" t="str">
            <v>C</v>
          </cell>
          <cell r="L215" t="str">
            <v>BC1</v>
          </cell>
          <cell r="M215" t="str">
            <v>D2</v>
          </cell>
        </row>
        <row r="216">
          <cell r="C216">
            <v>1948</v>
          </cell>
          <cell r="D216">
            <v>42937</v>
          </cell>
          <cell r="E216" t="str">
            <v>cap</v>
          </cell>
          <cell r="F216" t="str">
            <v>Not yet done</v>
          </cell>
          <cell r="G216" t="str">
            <v>J</v>
          </cell>
          <cell r="H216">
            <v>0</v>
          </cell>
          <cell r="I216" t="str">
            <v>5 - other SNV pertinent</v>
          </cell>
          <cell r="K216" t="str">
            <v>A</v>
          </cell>
          <cell r="L216" t="str">
            <v>BC1</v>
          </cell>
          <cell r="M216" t="str">
            <v>F1</v>
          </cell>
        </row>
        <row r="217">
          <cell r="C217">
            <v>1950</v>
          </cell>
          <cell r="D217">
            <v>42937</v>
          </cell>
          <cell r="E217" t="str">
            <v>cap</v>
          </cell>
          <cell r="F217" t="str">
            <v>Not yet done</v>
          </cell>
          <cell r="I217" t="str">
            <v>7 - not SNV match</v>
          </cell>
          <cell r="K217" t="str">
            <v>A</v>
          </cell>
          <cell r="L217" t="str">
            <v>BC1</v>
          </cell>
          <cell r="M217" t="str">
            <v>H8</v>
          </cell>
        </row>
        <row r="218">
          <cell r="C218">
            <v>1941</v>
          </cell>
          <cell r="D218">
            <v>42937</v>
          </cell>
          <cell r="E218" t="str">
            <v>cap</v>
          </cell>
          <cell r="F218" t="str">
            <v>Not yet done</v>
          </cell>
          <cell r="G218" t="str">
            <v>A</v>
          </cell>
          <cell r="H218">
            <v>0</v>
          </cell>
          <cell r="I218" t="str">
            <v>5 - other SNV pertinent</v>
          </cell>
          <cell r="K218" t="str">
            <v>A</v>
          </cell>
          <cell r="L218" t="str">
            <v>BC2</v>
          </cell>
          <cell r="M218" t="str">
            <v>D2</v>
          </cell>
        </row>
        <row r="219">
          <cell r="C219">
            <v>1942</v>
          </cell>
          <cell r="D219">
            <v>42937</v>
          </cell>
          <cell r="E219" t="str">
            <v>cap</v>
          </cell>
          <cell r="F219" t="str">
            <v>Not yet done</v>
          </cell>
          <cell r="G219" t="str">
            <v>A</v>
          </cell>
          <cell r="H219">
            <v>0</v>
          </cell>
          <cell r="I219" t="str">
            <v>5 - other SNV pertinent</v>
          </cell>
          <cell r="K219" t="str">
            <v>C</v>
          </cell>
          <cell r="L219" t="str">
            <v>BC2</v>
          </cell>
          <cell r="M219" t="str">
            <v>G1</v>
          </cell>
        </row>
        <row r="220">
          <cell r="C220">
            <v>1943</v>
          </cell>
          <cell r="D220">
            <v>42937</v>
          </cell>
          <cell r="E220" t="str">
            <v>cap</v>
          </cell>
          <cell r="F220" t="str">
            <v>Not yet done</v>
          </cell>
          <cell r="I220" t="str">
            <v>7 - not SNV match</v>
          </cell>
          <cell r="K220" t="str">
            <v>C</v>
          </cell>
          <cell r="L220" t="str">
            <v>BC2</v>
          </cell>
          <cell r="M220" t="str">
            <v>H3</v>
          </cell>
        </row>
        <row r="221">
          <cell r="C221">
            <v>1944</v>
          </cell>
          <cell r="D221">
            <v>42937</v>
          </cell>
          <cell r="E221" t="str">
            <v>cap</v>
          </cell>
          <cell r="F221" t="str">
            <v>Not yet done</v>
          </cell>
          <cell r="I221" t="str">
            <v>7 - not SNV match</v>
          </cell>
          <cell r="K221" t="str">
            <v>A</v>
          </cell>
          <cell r="L221" t="str">
            <v>BC2</v>
          </cell>
          <cell r="M221" t="str">
            <v>H6</v>
          </cell>
        </row>
        <row r="222">
          <cell r="C222">
            <v>1945</v>
          </cell>
          <cell r="D222">
            <v>42937</v>
          </cell>
          <cell r="E222" t="str">
            <v>cap</v>
          </cell>
          <cell r="F222" t="str">
            <v>Not yet done</v>
          </cell>
          <cell r="G222" t="str">
            <v>A</v>
          </cell>
          <cell r="H222">
            <v>0</v>
          </cell>
          <cell r="I222" t="str">
            <v>5 - other SNV pertinent</v>
          </cell>
          <cell r="K222" t="str">
            <v>C</v>
          </cell>
          <cell r="L222" t="str">
            <v>BC2</v>
          </cell>
          <cell r="M222" t="str">
            <v>H8</v>
          </cell>
        </row>
        <row r="223">
          <cell r="C223">
            <v>1954</v>
          </cell>
          <cell r="D223">
            <v>42938</v>
          </cell>
          <cell r="E223" t="str">
            <v>cap</v>
          </cell>
          <cell r="F223" t="str">
            <v>Not yet done</v>
          </cell>
          <cell r="I223" t="str">
            <v>7 - not SNV match</v>
          </cell>
          <cell r="K223" t="str">
            <v>C</v>
          </cell>
          <cell r="L223" t="str">
            <v>BC1</v>
          </cell>
          <cell r="M223" t="str">
            <v>A6</v>
          </cell>
        </row>
        <row r="224">
          <cell r="C224">
            <v>1951</v>
          </cell>
          <cell r="D224">
            <v>42938</v>
          </cell>
          <cell r="E224" t="str">
            <v>cap</v>
          </cell>
          <cell r="F224" t="str">
            <v>Not yet done</v>
          </cell>
          <cell r="G224" t="str">
            <v>A</v>
          </cell>
          <cell r="H224">
            <v>0</v>
          </cell>
          <cell r="I224" t="str">
            <v>5 - other SNV pertinent</v>
          </cell>
          <cell r="K224" t="str">
            <v>C</v>
          </cell>
          <cell r="L224" t="str">
            <v>BC2</v>
          </cell>
          <cell r="M224" t="str">
            <v>A1</v>
          </cell>
        </row>
        <row r="225">
          <cell r="C225">
            <v>1952</v>
          </cell>
          <cell r="D225">
            <v>42938</v>
          </cell>
          <cell r="E225" t="str">
            <v>cap</v>
          </cell>
          <cell r="F225" t="str">
            <v>Not yet done</v>
          </cell>
          <cell r="G225" t="str">
            <v>SA</v>
          </cell>
          <cell r="H225">
            <v>0</v>
          </cell>
          <cell r="I225" t="str">
            <v>5 - other SNV pertinent</v>
          </cell>
          <cell r="K225" t="str">
            <v>A</v>
          </cell>
          <cell r="L225" t="str">
            <v>BC2</v>
          </cell>
          <cell r="M225" t="str">
            <v>A8</v>
          </cell>
        </row>
        <row r="226">
          <cell r="C226">
            <v>1953</v>
          </cell>
          <cell r="D226">
            <v>42938</v>
          </cell>
          <cell r="E226" t="str">
            <v>cap</v>
          </cell>
          <cell r="F226" t="str">
            <v>Not yet done</v>
          </cell>
          <cell r="G226" t="str">
            <v>A</v>
          </cell>
          <cell r="H226">
            <v>0</v>
          </cell>
          <cell r="I226" t="str">
            <v>5 - other SNV pertinent</v>
          </cell>
          <cell r="K226" t="str">
            <v>A</v>
          </cell>
          <cell r="L226" t="str">
            <v>BC2</v>
          </cell>
          <cell r="M226" t="str">
            <v>B7</v>
          </cell>
        </row>
        <row r="227">
          <cell r="C227">
            <v>1955</v>
          </cell>
          <cell r="D227">
            <v>42939</v>
          </cell>
          <cell r="E227" t="str">
            <v>cap</v>
          </cell>
          <cell r="F227" t="str">
            <v>Not yet done</v>
          </cell>
          <cell r="G227" t="str">
            <v>SA</v>
          </cell>
          <cell r="H227">
            <v>0</v>
          </cell>
          <cell r="I227" t="str">
            <v>5 - other SNV pertinent</v>
          </cell>
          <cell r="K227" t="str">
            <v>C</v>
          </cell>
          <cell r="L227" t="str">
            <v>SP1</v>
          </cell>
          <cell r="M227" t="str">
            <v>A3</v>
          </cell>
        </row>
        <row r="228">
          <cell r="C228">
            <v>1956</v>
          </cell>
          <cell r="D228">
            <v>42939</v>
          </cell>
          <cell r="E228" t="str">
            <v>cap</v>
          </cell>
          <cell r="F228" t="str">
            <v>Not yet done</v>
          </cell>
          <cell r="G228" t="str">
            <v>SA</v>
          </cell>
          <cell r="H228">
            <v>0</v>
          </cell>
          <cell r="I228" t="str">
            <v>4 - SNV timepoint</v>
          </cell>
          <cell r="K228" t="str">
            <v>A</v>
          </cell>
          <cell r="L228" t="str">
            <v>SP1</v>
          </cell>
          <cell r="M228" t="str">
            <v>D8</v>
          </cell>
        </row>
        <row r="229">
          <cell r="C229">
            <v>1957</v>
          </cell>
          <cell r="D229">
            <v>42939</v>
          </cell>
          <cell r="E229" t="str">
            <v>cap</v>
          </cell>
          <cell r="F229" t="str">
            <v>Not yet done</v>
          </cell>
          <cell r="I229" t="str">
            <v>7 - not SNV match</v>
          </cell>
          <cell r="K229" t="str">
            <v>A</v>
          </cell>
          <cell r="L229" t="str">
            <v>SP1</v>
          </cell>
          <cell r="M229" t="str">
            <v>E6</v>
          </cell>
          <cell r="N229">
            <v>43189</v>
          </cell>
          <cell r="O229" t="str">
            <v>NB</v>
          </cell>
          <cell r="Q229">
            <v>10</v>
          </cell>
        </row>
        <row r="230">
          <cell r="C230">
            <v>1958</v>
          </cell>
          <cell r="D230">
            <v>42939</v>
          </cell>
          <cell r="E230" t="str">
            <v>cap</v>
          </cell>
          <cell r="F230" t="str">
            <v>Not yet done</v>
          </cell>
          <cell r="G230" t="str">
            <v>A</v>
          </cell>
          <cell r="H230">
            <v>0</v>
          </cell>
          <cell r="I230" t="str">
            <v>5 - other SNV pertinent</v>
          </cell>
          <cell r="K230" t="str">
            <v>A</v>
          </cell>
          <cell r="L230" t="str">
            <v>SP1</v>
          </cell>
          <cell r="M230" t="str">
            <v>F1</v>
          </cell>
        </row>
        <row r="231">
          <cell r="C231">
            <v>1959</v>
          </cell>
          <cell r="D231">
            <v>42939</v>
          </cell>
          <cell r="E231" t="str">
            <v>cap</v>
          </cell>
          <cell r="F231" t="str">
            <v>Not yet done</v>
          </cell>
          <cell r="G231" t="str">
            <v>A</v>
          </cell>
          <cell r="H231">
            <v>0</v>
          </cell>
          <cell r="I231" t="str">
            <v>4 - SNV timepoint</v>
          </cell>
          <cell r="K231" t="str">
            <v>C</v>
          </cell>
          <cell r="L231" t="str">
            <v>SP1</v>
          </cell>
          <cell r="M231" t="str">
            <v>F3</v>
          </cell>
        </row>
        <row r="232">
          <cell r="C232">
            <v>1960</v>
          </cell>
          <cell r="D232">
            <v>42939</v>
          </cell>
          <cell r="E232" t="str">
            <v>cap</v>
          </cell>
          <cell r="F232" t="str">
            <v>Not yet done</v>
          </cell>
          <cell r="G232" t="str">
            <v>A</v>
          </cell>
          <cell r="H232">
            <v>0</v>
          </cell>
          <cell r="I232" t="str">
            <v>5 - other SNV pertinent</v>
          </cell>
          <cell r="K232" t="str">
            <v>C</v>
          </cell>
          <cell r="L232" t="str">
            <v>SP1</v>
          </cell>
          <cell r="M232" t="str">
            <v>G1</v>
          </cell>
          <cell r="N232">
            <v>43201</v>
          </cell>
          <cell r="O232" t="str">
            <v>JB</v>
          </cell>
          <cell r="S232">
            <v>1</v>
          </cell>
          <cell r="U232">
            <v>11</v>
          </cell>
          <cell r="X232">
            <v>230</v>
          </cell>
          <cell r="Z232">
            <v>8</v>
          </cell>
        </row>
        <row r="233">
          <cell r="C233">
            <v>1961</v>
          </cell>
          <cell r="D233">
            <v>42939</v>
          </cell>
          <cell r="E233" t="str">
            <v>cap</v>
          </cell>
          <cell r="F233" t="str">
            <v>Not yet done</v>
          </cell>
          <cell r="G233" t="str">
            <v>A</v>
          </cell>
          <cell r="H233">
            <v>0</v>
          </cell>
          <cell r="I233" t="str">
            <v>5 - other SNV pertinent</v>
          </cell>
          <cell r="K233" t="str">
            <v>A</v>
          </cell>
          <cell r="L233" t="str">
            <v>SP1</v>
          </cell>
          <cell r="M233" t="str">
            <v>G4</v>
          </cell>
          <cell r="N233">
            <v>43202</v>
          </cell>
          <cell r="O233" t="str">
            <v>JY</v>
          </cell>
          <cell r="Q233">
            <v>60</v>
          </cell>
        </row>
        <row r="234">
          <cell r="C234">
            <v>1962</v>
          </cell>
          <cell r="D234">
            <v>42939</v>
          </cell>
          <cell r="E234" t="str">
            <v>cap</v>
          </cell>
          <cell r="F234" t="str">
            <v>Not yet done, no sample?</v>
          </cell>
          <cell r="I234" t="str">
            <v>Missing?</v>
          </cell>
          <cell r="K234" t="str">
            <v>A</v>
          </cell>
          <cell r="L234" t="str">
            <v>SP1</v>
          </cell>
          <cell r="M234" t="str">
            <v>H2</v>
          </cell>
        </row>
        <row r="235">
          <cell r="C235">
            <v>1964</v>
          </cell>
          <cell r="D235">
            <v>42939</v>
          </cell>
          <cell r="E235" t="str">
            <v>cap</v>
          </cell>
          <cell r="F235" t="str">
            <v>Not yet done</v>
          </cell>
          <cell r="G235" t="str">
            <v>SA</v>
          </cell>
          <cell r="H235">
            <v>0</v>
          </cell>
          <cell r="I235" t="str">
            <v>4 - SNV timepoint</v>
          </cell>
          <cell r="K235" t="str">
            <v>A</v>
          </cell>
          <cell r="L235" t="str">
            <v>SP1</v>
          </cell>
          <cell r="M235" t="str">
            <v>H5</v>
          </cell>
        </row>
        <row r="236">
          <cell r="C236">
            <v>1965</v>
          </cell>
          <cell r="D236">
            <v>42939</v>
          </cell>
          <cell r="E236" t="str">
            <v>cap</v>
          </cell>
          <cell r="F236" t="str">
            <v>Not yet done</v>
          </cell>
          <cell r="G236" t="str">
            <v>A</v>
          </cell>
          <cell r="H236">
            <v>0</v>
          </cell>
          <cell r="I236" t="str">
            <v>4 - SNV timepoint</v>
          </cell>
          <cell r="K236" t="str">
            <v>C</v>
          </cell>
          <cell r="L236" t="str">
            <v>SP1</v>
          </cell>
          <cell r="M236" t="str">
            <v>H8</v>
          </cell>
        </row>
        <row r="237">
          <cell r="C237">
            <v>1967</v>
          </cell>
          <cell r="D237">
            <v>42939</v>
          </cell>
          <cell r="E237" t="str">
            <v>cap</v>
          </cell>
          <cell r="F237" t="str">
            <v>Not yet done</v>
          </cell>
          <cell r="G237" t="str">
            <v>A</v>
          </cell>
          <cell r="H237">
            <v>0</v>
          </cell>
          <cell r="I237" t="str">
            <v>5 - other SNV pertinent</v>
          </cell>
          <cell r="K237" t="str">
            <v>C</v>
          </cell>
          <cell r="L237" t="str">
            <v>SP2</v>
          </cell>
          <cell r="M237" t="str">
            <v>A4</v>
          </cell>
        </row>
        <row r="238">
          <cell r="C238">
            <v>1968</v>
          </cell>
          <cell r="D238">
            <v>42939</v>
          </cell>
          <cell r="E238" t="str">
            <v>cap</v>
          </cell>
          <cell r="F238" t="str">
            <v>Not yet done</v>
          </cell>
          <cell r="G238" t="str">
            <v>A</v>
          </cell>
          <cell r="H238">
            <v>0</v>
          </cell>
          <cell r="I238" t="str">
            <v>5 - other SNV pertinent</v>
          </cell>
          <cell r="K238" t="str">
            <v>A</v>
          </cell>
          <cell r="L238" t="str">
            <v>SP2</v>
          </cell>
          <cell r="M238" t="str">
            <v>B6</v>
          </cell>
        </row>
        <row r="239">
          <cell r="C239">
            <v>1970</v>
          </cell>
          <cell r="D239">
            <v>42939</v>
          </cell>
          <cell r="E239" t="str">
            <v>cap</v>
          </cell>
          <cell r="F239" t="str">
            <v>Not yet done</v>
          </cell>
          <cell r="G239" t="str">
            <v>A</v>
          </cell>
          <cell r="H239">
            <v>0</v>
          </cell>
          <cell r="I239" t="str">
            <v>4 - SNV timepoint</v>
          </cell>
          <cell r="K239" t="str">
            <v>A</v>
          </cell>
          <cell r="L239" t="str">
            <v>SP2</v>
          </cell>
          <cell r="M239" t="str">
            <v>C4</v>
          </cell>
          <cell r="N239">
            <v>43186</v>
          </cell>
          <cell r="O239" t="str">
            <v>JB</v>
          </cell>
          <cell r="Q239">
            <v>345</v>
          </cell>
          <cell r="X239">
            <v>357</v>
          </cell>
        </row>
        <row r="240">
          <cell r="C240">
            <v>1972</v>
          </cell>
          <cell r="D240">
            <v>42939</v>
          </cell>
          <cell r="E240" t="str">
            <v>cap</v>
          </cell>
          <cell r="F240" t="str">
            <v>Not yet done</v>
          </cell>
          <cell r="G240" t="str">
            <v>A</v>
          </cell>
          <cell r="H240">
            <v>0</v>
          </cell>
          <cell r="I240" t="str">
            <v>5 - other SNV pertinent</v>
          </cell>
          <cell r="K240" t="str">
            <v>C</v>
          </cell>
          <cell r="L240" t="str">
            <v>SP2</v>
          </cell>
          <cell r="M240" t="str">
            <v>F7</v>
          </cell>
          <cell r="N240">
            <v>43202</v>
          </cell>
          <cell r="O240" t="str">
            <v>LV</v>
          </cell>
          <cell r="P240">
            <v>0</v>
          </cell>
          <cell r="Q240">
            <v>0</v>
          </cell>
          <cell r="R240">
            <v>0</v>
          </cell>
          <cell r="S240">
            <v>0</v>
          </cell>
          <cell r="T240">
            <v>0</v>
          </cell>
          <cell r="U240">
            <v>0</v>
          </cell>
          <cell r="V240">
            <v>0</v>
          </cell>
          <cell r="W240">
            <v>0</v>
          </cell>
          <cell r="X240">
            <v>0</v>
          </cell>
          <cell r="Y240">
            <v>0</v>
          </cell>
          <cell r="Z240">
            <v>11</v>
          </cell>
        </row>
        <row r="241">
          <cell r="C241">
            <v>1973</v>
          </cell>
          <cell r="D241">
            <v>42939</v>
          </cell>
          <cell r="E241" t="str">
            <v>cap</v>
          </cell>
          <cell r="F241" t="str">
            <v>Not yet done</v>
          </cell>
          <cell r="G241" t="str">
            <v>A</v>
          </cell>
          <cell r="H241">
            <v>0</v>
          </cell>
          <cell r="I241" t="str">
            <v>5 - other SNV pertinent</v>
          </cell>
          <cell r="K241" t="str">
            <v>A</v>
          </cell>
          <cell r="L241" t="str">
            <v>SP2</v>
          </cell>
          <cell r="M241" t="str">
            <v>G2</v>
          </cell>
          <cell r="N241">
            <v>43202</v>
          </cell>
          <cell r="O241" t="str">
            <v>LV</v>
          </cell>
          <cell r="P241">
            <v>12</v>
          </cell>
          <cell r="Q241">
            <v>1005</v>
          </cell>
          <cell r="U241">
            <v>1</v>
          </cell>
          <cell r="X241">
            <v>131</v>
          </cell>
          <cell r="Z241">
            <v>3</v>
          </cell>
        </row>
        <row r="242">
          <cell r="C242">
            <v>1975</v>
          </cell>
          <cell r="D242">
            <v>42940</v>
          </cell>
          <cell r="E242" t="str">
            <v>cap</v>
          </cell>
          <cell r="F242" t="str">
            <v>Not yet done</v>
          </cell>
          <cell r="G242" t="str">
            <v>A</v>
          </cell>
          <cell r="H242">
            <v>0</v>
          </cell>
          <cell r="I242" t="str">
            <v>5 - other SNV pertinent</v>
          </cell>
          <cell r="K242" t="str">
            <v>A</v>
          </cell>
          <cell r="L242" t="str">
            <v>SP1</v>
          </cell>
          <cell r="M242" t="str">
            <v>A7</v>
          </cell>
          <cell r="N242">
            <v>43203</v>
          </cell>
          <cell r="O242" t="str">
            <v>NB</v>
          </cell>
          <cell r="P242">
            <v>0</v>
          </cell>
          <cell r="Q242">
            <v>0</v>
          </cell>
          <cell r="R242">
            <v>0</v>
          </cell>
          <cell r="S242">
            <v>0</v>
          </cell>
          <cell r="T242">
            <v>0</v>
          </cell>
          <cell r="U242">
            <v>0</v>
          </cell>
          <cell r="V242">
            <v>0</v>
          </cell>
          <cell r="W242">
            <v>0</v>
          </cell>
          <cell r="X242">
            <v>0</v>
          </cell>
          <cell r="Y242">
            <v>0</v>
          </cell>
          <cell r="Z242">
            <v>0</v>
          </cell>
        </row>
        <row r="243">
          <cell r="C243">
            <v>1976</v>
          </cell>
          <cell r="D243">
            <v>42940</v>
          </cell>
          <cell r="E243" t="str">
            <v>cap</v>
          </cell>
          <cell r="F243" t="str">
            <v>Not yet done</v>
          </cell>
          <cell r="G243" t="str">
            <v>A</v>
          </cell>
          <cell r="H243">
            <v>0</v>
          </cell>
          <cell r="I243" t="str">
            <v>5 - other SNV pertinent</v>
          </cell>
          <cell r="K243" t="str">
            <v>A</v>
          </cell>
          <cell r="L243" t="str">
            <v>SP1</v>
          </cell>
          <cell r="M243" t="str">
            <v>B5</v>
          </cell>
        </row>
        <row r="244">
          <cell r="C244">
            <v>1977</v>
          </cell>
          <cell r="D244">
            <v>42940</v>
          </cell>
          <cell r="E244" t="str">
            <v>cap</v>
          </cell>
          <cell r="F244" t="str">
            <v>Not yet done</v>
          </cell>
          <cell r="I244" t="str">
            <v>7 - not SNV match</v>
          </cell>
          <cell r="K244" t="str">
            <v>A</v>
          </cell>
          <cell r="L244" t="str">
            <v>SP1</v>
          </cell>
          <cell r="M244" t="str">
            <v>E1</v>
          </cell>
          <cell r="N244">
            <v>43186</v>
          </cell>
          <cell r="O244" t="str">
            <v>JB</v>
          </cell>
          <cell r="P244">
            <v>22</v>
          </cell>
          <cell r="Q244">
            <v>246</v>
          </cell>
          <cell r="R244">
            <v>10</v>
          </cell>
          <cell r="W244">
            <v>2</v>
          </cell>
        </row>
        <row r="245">
          <cell r="C245">
            <v>1978</v>
          </cell>
          <cell r="D245">
            <v>42940</v>
          </cell>
          <cell r="E245" t="str">
            <v>cap</v>
          </cell>
          <cell r="F245" t="str">
            <v>Not yet done</v>
          </cell>
          <cell r="G245" t="str">
            <v>A</v>
          </cell>
          <cell r="H245">
            <v>0</v>
          </cell>
          <cell r="I245" t="str">
            <v>5 - other SNV pertinent</v>
          </cell>
          <cell r="K245" t="str">
            <v>C</v>
          </cell>
          <cell r="L245" t="str">
            <v>SP1</v>
          </cell>
          <cell r="M245" t="str">
            <v>H4</v>
          </cell>
          <cell r="N245">
            <v>43203</v>
          </cell>
          <cell r="O245" t="str">
            <v>TE</v>
          </cell>
          <cell r="U245">
            <v>16</v>
          </cell>
          <cell r="V245">
            <v>2</v>
          </cell>
        </row>
        <row r="246">
          <cell r="C246">
            <v>1982</v>
          </cell>
          <cell r="D246">
            <v>42940</v>
          </cell>
          <cell r="E246" t="str">
            <v>cap</v>
          </cell>
          <cell r="F246" t="str">
            <v>Not yet done</v>
          </cell>
          <cell r="G246" t="str">
            <v>A</v>
          </cell>
          <cell r="H246">
            <v>0</v>
          </cell>
          <cell r="I246" t="str">
            <v>5 - other SNV pertinent</v>
          </cell>
          <cell r="K246" t="str">
            <v>C</v>
          </cell>
          <cell r="L246" t="str">
            <v>SP2</v>
          </cell>
          <cell r="M246" t="str">
            <v>D2</v>
          </cell>
        </row>
        <row r="247">
          <cell r="C247">
            <v>1983</v>
          </cell>
          <cell r="D247">
            <v>42940</v>
          </cell>
          <cell r="E247" t="str">
            <v>cap</v>
          </cell>
          <cell r="F247" t="str">
            <v>Not yet done</v>
          </cell>
          <cell r="G247" t="str">
            <v>SA</v>
          </cell>
          <cell r="H247">
            <v>0</v>
          </cell>
          <cell r="I247" t="str">
            <v>5 - other SNV pertinent</v>
          </cell>
          <cell r="K247" t="str">
            <v>A</v>
          </cell>
          <cell r="L247" t="str">
            <v>SP2</v>
          </cell>
          <cell r="M247" t="str">
            <v>F3</v>
          </cell>
        </row>
        <row r="248">
          <cell r="C248" t="str">
            <v>NO BLOOD</v>
          </cell>
          <cell r="D248">
            <v>42940</v>
          </cell>
          <cell r="E248" t="str">
            <v>cap</v>
          </cell>
          <cell r="F248" t="str">
            <v>Not yet done</v>
          </cell>
          <cell r="I248" t="str">
            <v>7 - not SNV match</v>
          </cell>
          <cell r="K248" t="str">
            <v>C</v>
          </cell>
          <cell r="L248" t="str">
            <v>SP2</v>
          </cell>
          <cell r="M248" t="str">
            <v>F4</v>
          </cell>
        </row>
        <row r="249">
          <cell r="C249">
            <v>1987</v>
          </cell>
          <cell r="D249">
            <v>42941</v>
          </cell>
          <cell r="E249" t="str">
            <v>cap</v>
          </cell>
          <cell r="F249" t="str">
            <v>Not yet done</v>
          </cell>
          <cell r="I249" t="str">
            <v>7 - not SNV match</v>
          </cell>
          <cell r="K249" t="str">
            <v>A</v>
          </cell>
          <cell r="L249" t="str">
            <v>SP1</v>
          </cell>
          <cell r="M249" t="str">
            <v>E1</v>
          </cell>
          <cell r="N249">
            <v>43187</v>
          </cell>
          <cell r="O249" t="str">
            <v>SB</v>
          </cell>
          <cell r="P249">
            <v>2486</v>
          </cell>
          <cell r="Q249">
            <v>12772</v>
          </cell>
          <cell r="R249">
            <v>138</v>
          </cell>
        </row>
        <row r="250">
          <cell r="C250">
            <v>1989</v>
          </cell>
          <cell r="D250">
            <v>42941</v>
          </cell>
          <cell r="E250" t="str">
            <v>cap</v>
          </cell>
          <cell r="F250" t="str">
            <v>Not yet done</v>
          </cell>
          <cell r="G250" t="str">
            <v>A</v>
          </cell>
          <cell r="H250">
            <v>0</v>
          </cell>
          <cell r="I250" t="str">
            <v>5 - other SNV pertinent</v>
          </cell>
          <cell r="K250" t="str">
            <v>A</v>
          </cell>
          <cell r="L250" t="str">
            <v>SP2</v>
          </cell>
          <cell r="M250" t="str">
            <v>C1</v>
          </cell>
        </row>
        <row r="251">
          <cell r="C251">
            <v>1991</v>
          </cell>
          <cell r="D251">
            <v>42941</v>
          </cell>
          <cell r="E251" t="str">
            <v>cap</v>
          </cell>
          <cell r="F251" t="str">
            <v>Not yet done</v>
          </cell>
          <cell r="G251" t="str">
            <v>SA</v>
          </cell>
          <cell r="H251">
            <v>0</v>
          </cell>
          <cell r="I251" t="str">
            <v>4 - SNV timepoint</v>
          </cell>
          <cell r="K251" t="str">
            <v>C</v>
          </cell>
          <cell r="L251" t="str">
            <v>SP2</v>
          </cell>
          <cell r="M251" t="str">
            <v>C8</v>
          </cell>
        </row>
        <row r="252">
          <cell r="C252">
            <v>1992</v>
          </cell>
          <cell r="D252">
            <v>42941</v>
          </cell>
          <cell r="E252" t="str">
            <v>cap</v>
          </cell>
          <cell r="F252" t="str">
            <v>Not yet done</v>
          </cell>
          <cell r="G252" t="str">
            <v>A</v>
          </cell>
          <cell r="H252">
            <v>0</v>
          </cell>
          <cell r="I252" t="str">
            <v>4 - SNV timepoint</v>
          </cell>
          <cell r="K252" t="str">
            <v>A</v>
          </cell>
          <cell r="L252" t="str">
            <v>SP2</v>
          </cell>
          <cell r="M252" t="str">
            <v>E1</v>
          </cell>
        </row>
        <row r="253">
          <cell r="C253">
            <v>1995</v>
          </cell>
          <cell r="D253">
            <v>42945</v>
          </cell>
          <cell r="E253" t="str">
            <v>cap</v>
          </cell>
          <cell r="F253" t="str">
            <v>Not yet done</v>
          </cell>
          <cell r="G253" t="str">
            <v>A</v>
          </cell>
          <cell r="H253">
            <v>0</v>
          </cell>
          <cell r="I253" t="str">
            <v>4 - SNV timepoint</v>
          </cell>
          <cell r="K253" t="str">
            <v>C</v>
          </cell>
          <cell r="L253" t="str">
            <v>PO1</v>
          </cell>
          <cell r="M253" t="str">
            <v>G8</v>
          </cell>
        </row>
        <row r="254">
          <cell r="C254">
            <v>1997</v>
          </cell>
          <cell r="D254">
            <v>42945</v>
          </cell>
          <cell r="E254" t="str">
            <v>cap</v>
          </cell>
          <cell r="F254" t="str">
            <v>Not yet done</v>
          </cell>
          <cell r="G254" t="str">
            <v>A</v>
          </cell>
          <cell r="H254">
            <v>0</v>
          </cell>
          <cell r="I254" t="str">
            <v>5 - other SNV pertinent</v>
          </cell>
          <cell r="K254" t="str">
            <v>C</v>
          </cell>
          <cell r="L254" t="str">
            <v>PO2</v>
          </cell>
          <cell r="M254" t="str">
            <v>B8</v>
          </cell>
        </row>
        <row r="255">
          <cell r="C255">
            <v>2002</v>
          </cell>
          <cell r="D255">
            <v>42946</v>
          </cell>
          <cell r="E255" t="str">
            <v>cap</v>
          </cell>
          <cell r="F255" t="str">
            <v>Not yet done</v>
          </cell>
          <cell r="I255" t="str">
            <v>7 - not SNV match</v>
          </cell>
          <cell r="K255" t="str">
            <v>C</v>
          </cell>
          <cell r="L255" t="str">
            <v>PO1</v>
          </cell>
          <cell r="M255" t="str">
            <v>D8</v>
          </cell>
          <cell r="N255">
            <v>43187</v>
          </cell>
          <cell r="O255" t="str">
            <v>JY</v>
          </cell>
          <cell r="X255">
            <v>111</v>
          </cell>
          <cell r="Y255">
            <v>120</v>
          </cell>
        </row>
        <row r="256">
          <cell r="C256">
            <v>2004</v>
          </cell>
          <cell r="D256">
            <v>42946</v>
          </cell>
          <cell r="E256" t="str">
            <v>cap</v>
          </cell>
          <cell r="F256" t="str">
            <v>Not yet done</v>
          </cell>
          <cell r="G256" t="str">
            <v>A</v>
          </cell>
          <cell r="H256">
            <v>0</v>
          </cell>
          <cell r="I256" t="str">
            <v>4 - SNV timepoint</v>
          </cell>
          <cell r="K256" t="str">
            <v>A</v>
          </cell>
          <cell r="L256" t="str">
            <v>PO1</v>
          </cell>
          <cell r="M256" t="str">
            <v>F4</v>
          </cell>
          <cell r="N256">
            <v>43187</v>
          </cell>
          <cell r="O256" t="str">
            <v>JY</v>
          </cell>
          <cell r="Q256">
            <v>3</v>
          </cell>
          <cell r="X256">
            <v>275</v>
          </cell>
          <cell r="Y256">
            <v>88</v>
          </cell>
        </row>
        <row r="257">
          <cell r="C257">
            <v>2008</v>
          </cell>
          <cell r="D257">
            <v>42947</v>
          </cell>
          <cell r="E257" t="str">
            <v>cap</v>
          </cell>
          <cell r="F257" t="str">
            <v>Not yet done</v>
          </cell>
          <cell r="I257" t="str">
            <v>7 - not SNV match</v>
          </cell>
          <cell r="K257" t="str">
            <v>C</v>
          </cell>
          <cell r="L257" t="str">
            <v>PO1</v>
          </cell>
          <cell r="M257" t="str">
            <v>A7</v>
          </cell>
        </row>
        <row r="258">
          <cell r="C258">
            <v>2010</v>
          </cell>
          <cell r="D258">
            <v>42947</v>
          </cell>
          <cell r="E258" t="str">
            <v>cap</v>
          </cell>
          <cell r="F258" t="str">
            <v>Not yet done</v>
          </cell>
          <cell r="G258" t="str">
            <v>A</v>
          </cell>
          <cell r="H258">
            <v>0</v>
          </cell>
          <cell r="I258" t="str">
            <v>5 - other SNV pertinent</v>
          </cell>
          <cell r="K258" t="str">
            <v>C</v>
          </cell>
          <cell r="L258" t="str">
            <v>PO1</v>
          </cell>
          <cell r="M258" t="str">
            <v>C6</v>
          </cell>
        </row>
        <row r="259">
          <cell r="C259">
            <v>2011</v>
          </cell>
          <cell r="D259">
            <v>42947</v>
          </cell>
          <cell r="E259" t="str">
            <v>cap</v>
          </cell>
          <cell r="F259" t="str">
            <v>Not yet done</v>
          </cell>
          <cell r="G259" t="str">
            <v>SA</v>
          </cell>
          <cell r="H259">
            <v>0</v>
          </cell>
          <cell r="I259" t="str">
            <v>5 - other SNV pertinent</v>
          </cell>
          <cell r="K259" t="str">
            <v>A</v>
          </cell>
          <cell r="L259" t="str">
            <v>PO1</v>
          </cell>
          <cell r="M259" t="str">
            <v>D1</v>
          </cell>
        </row>
        <row r="260">
          <cell r="C260">
            <v>2012</v>
          </cell>
          <cell r="D260">
            <v>42947</v>
          </cell>
          <cell r="E260" t="str">
            <v>cap</v>
          </cell>
          <cell r="F260" t="str">
            <v>Not yet done</v>
          </cell>
          <cell r="I260" t="str">
            <v>7 - not SNV match</v>
          </cell>
          <cell r="K260" t="str">
            <v>C</v>
          </cell>
          <cell r="L260" t="str">
            <v>PO1</v>
          </cell>
          <cell r="M260" t="str">
            <v>D2</v>
          </cell>
        </row>
        <row r="261">
          <cell r="C261">
            <v>2013</v>
          </cell>
          <cell r="D261">
            <v>42947</v>
          </cell>
          <cell r="E261" t="str">
            <v>cap</v>
          </cell>
          <cell r="F261" t="str">
            <v>Not yet done</v>
          </cell>
          <cell r="I261" t="str">
            <v>7 - not SNV match</v>
          </cell>
          <cell r="K261" t="str">
            <v>A</v>
          </cell>
          <cell r="L261" t="str">
            <v>PO1</v>
          </cell>
          <cell r="M261" t="str">
            <v>D8</v>
          </cell>
          <cell r="N261">
            <v>43187</v>
          </cell>
          <cell r="O261" t="str">
            <v>JB</v>
          </cell>
          <cell r="Q261">
            <v>25</v>
          </cell>
          <cell r="Z261">
            <v>6</v>
          </cell>
        </row>
        <row r="262">
          <cell r="C262">
            <v>2015</v>
          </cell>
          <cell r="D262">
            <v>42947</v>
          </cell>
          <cell r="E262" t="str">
            <v>cap</v>
          </cell>
          <cell r="F262" t="str">
            <v>Not yet done</v>
          </cell>
          <cell r="G262" t="str">
            <v>SA</v>
          </cell>
          <cell r="H262">
            <v>0</v>
          </cell>
          <cell r="I262" t="str">
            <v>5 - other SNV pertinent</v>
          </cell>
          <cell r="K262" t="str">
            <v>C</v>
          </cell>
          <cell r="L262" t="str">
            <v>PO1</v>
          </cell>
          <cell r="M262" t="str">
            <v>F1</v>
          </cell>
        </row>
        <row r="263">
          <cell r="C263">
            <v>2016</v>
          </cell>
          <cell r="D263">
            <v>42947</v>
          </cell>
          <cell r="E263" t="str">
            <v>cap</v>
          </cell>
          <cell r="F263" t="str">
            <v>Not yet done</v>
          </cell>
          <cell r="G263" t="str">
            <v>A</v>
          </cell>
          <cell r="H263">
            <v>0</v>
          </cell>
          <cell r="I263" t="str">
            <v>5 - other SNV pertinent</v>
          </cell>
          <cell r="K263" t="str">
            <v>A</v>
          </cell>
          <cell r="L263" t="str">
            <v>PO1</v>
          </cell>
          <cell r="M263" t="str">
            <v>G3</v>
          </cell>
        </row>
        <row r="264">
          <cell r="C264">
            <v>2017</v>
          </cell>
          <cell r="D264">
            <v>42947</v>
          </cell>
          <cell r="E264" t="str">
            <v>cap</v>
          </cell>
          <cell r="F264" t="str">
            <v>Not yet done</v>
          </cell>
          <cell r="G264" t="str">
            <v>A</v>
          </cell>
          <cell r="H264">
            <v>0</v>
          </cell>
          <cell r="I264" t="str">
            <v>5 - other SNV pertinent</v>
          </cell>
          <cell r="K264" t="str">
            <v>C</v>
          </cell>
          <cell r="L264" t="str">
            <v>PO1</v>
          </cell>
          <cell r="M264" t="str">
            <v>G5</v>
          </cell>
          <cell r="N264">
            <v>43203</v>
          </cell>
          <cell r="O264" t="str">
            <v>TE</v>
          </cell>
          <cell r="Q264">
            <v>6</v>
          </cell>
          <cell r="Z264">
            <v>41</v>
          </cell>
        </row>
        <row r="265">
          <cell r="C265">
            <v>2018</v>
          </cell>
          <cell r="D265">
            <v>42947</v>
          </cell>
          <cell r="E265" t="str">
            <v>cap</v>
          </cell>
          <cell r="F265" t="str">
            <v>Not yet done</v>
          </cell>
          <cell r="G265" t="str">
            <v>A</v>
          </cell>
          <cell r="H265">
            <v>0</v>
          </cell>
          <cell r="I265" t="str">
            <v>5 - other SNV pertinent</v>
          </cell>
          <cell r="K265" t="str">
            <v>A</v>
          </cell>
          <cell r="L265" t="str">
            <v>PO1</v>
          </cell>
          <cell r="M265" t="str">
            <v>G8</v>
          </cell>
          <cell r="N265">
            <v>43203</v>
          </cell>
          <cell r="O265" t="str">
            <v>NB</v>
          </cell>
          <cell r="Q265">
            <v>2336</v>
          </cell>
        </row>
        <row r="266">
          <cell r="C266">
            <v>2019</v>
          </cell>
          <cell r="D266">
            <v>42947</v>
          </cell>
          <cell r="E266" t="str">
            <v>cap</v>
          </cell>
          <cell r="F266" t="str">
            <v>Not yet done</v>
          </cell>
          <cell r="G266" t="str">
            <v>A</v>
          </cell>
          <cell r="H266">
            <v>0</v>
          </cell>
          <cell r="I266" t="str">
            <v>5 - other SNV pertinent</v>
          </cell>
          <cell r="K266" t="str">
            <v>C</v>
          </cell>
          <cell r="L266" t="str">
            <v>PO1</v>
          </cell>
          <cell r="M266" t="str">
            <v>H1</v>
          </cell>
        </row>
        <row r="267">
          <cell r="C267">
            <v>2020</v>
          </cell>
          <cell r="D267">
            <v>42947</v>
          </cell>
          <cell r="E267" t="str">
            <v>cap</v>
          </cell>
          <cell r="F267" t="str">
            <v>Not yet done</v>
          </cell>
          <cell r="G267" t="str">
            <v>A</v>
          </cell>
          <cell r="H267">
            <v>0</v>
          </cell>
          <cell r="I267" t="str">
            <v>4 - SNV timepoint</v>
          </cell>
          <cell r="K267" t="str">
            <v>C</v>
          </cell>
          <cell r="L267" t="str">
            <v>PO1</v>
          </cell>
          <cell r="M267" t="str">
            <v>H4</v>
          </cell>
        </row>
        <row r="268">
          <cell r="C268">
            <v>2021</v>
          </cell>
          <cell r="D268">
            <v>42947</v>
          </cell>
          <cell r="E268" t="str">
            <v>cap</v>
          </cell>
          <cell r="F268" t="str">
            <v>Not yet done</v>
          </cell>
          <cell r="G268" t="str">
            <v>A</v>
          </cell>
          <cell r="H268">
            <v>0</v>
          </cell>
          <cell r="I268" t="str">
            <v>2 - SNV pos at other timepoint</v>
          </cell>
          <cell r="K268" t="str">
            <v>C</v>
          </cell>
          <cell r="L268" t="str">
            <v>PO2</v>
          </cell>
          <cell r="M268" t="str">
            <v>A3</v>
          </cell>
        </row>
        <row r="269">
          <cell r="C269">
            <v>2025</v>
          </cell>
          <cell r="D269">
            <v>42947</v>
          </cell>
          <cell r="E269" t="str">
            <v>cap</v>
          </cell>
          <cell r="F269" t="str">
            <v>Not yet done</v>
          </cell>
          <cell r="G269" t="str">
            <v>A</v>
          </cell>
          <cell r="H269">
            <v>0</v>
          </cell>
          <cell r="I269" t="str">
            <v>5 - other SNV pertinent</v>
          </cell>
          <cell r="K269" t="str">
            <v>A</v>
          </cell>
          <cell r="L269" t="str">
            <v>PO2</v>
          </cell>
          <cell r="M269" t="str">
            <v>G5</v>
          </cell>
          <cell r="N269">
            <v>43203</v>
          </cell>
          <cell r="O269" t="str">
            <v>NB</v>
          </cell>
          <cell r="P269">
            <v>0</v>
          </cell>
          <cell r="Q269">
            <v>0</v>
          </cell>
          <cell r="R269">
            <v>0</v>
          </cell>
          <cell r="S269">
            <v>0</v>
          </cell>
          <cell r="T269">
            <v>0</v>
          </cell>
          <cell r="U269">
            <v>0</v>
          </cell>
          <cell r="V269">
            <v>0</v>
          </cell>
          <cell r="W269">
            <v>0</v>
          </cell>
          <cell r="X269">
            <v>0</v>
          </cell>
          <cell r="Y269">
            <v>0</v>
          </cell>
          <cell r="Z269">
            <v>0</v>
          </cell>
        </row>
        <row r="270">
          <cell r="C270">
            <v>2026</v>
          </cell>
          <cell r="D270">
            <v>42947</v>
          </cell>
          <cell r="E270" t="str">
            <v>cap</v>
          </cell>
          <cell r="F270" t="str">
            <v>Not yet done</v>
          </cell>
          <cell r="G270" t="str">
            <v>A</v>
          </cell>
          <cell r="H270">
            <v>0</v>
          </cell>
          <cell r="I270" t="str">
            <v>5 - other SNV pertinent</v>
          </cell>
          <cell r="K270" t="str">
            <v>C</v>
          </cell>
          <cell r="L270" t="str">
            <v>PO2</v>
          </cell>
          <cell r="M270" t="str">
            <v>H6</v>
          </cell>
        </row>
        <row r="271">
          <cell r="C271">
            <v>2044</v>
          </cell>
          <cell r="D271">
            <v>42948</v>
          </cell>
          <cell r="E271" t="str">
            <v>cap</v>
          </cell>
          <cell r="F271" t="str">
            <v>Not yet done</v>
          </cell>
          <cell r="G271" t="str">
            <v>SA</v>
          </cell>
          <cell r="H271">
            <v>0</v>
          </cell>
          <cell r="I271" t="str">
            <v>6 - do last SNV pertinent</v>
          </cell>
          <cell r="K271" t="str">
            <v>C</v>
          </cell>
          <cell r="L271" t="str">
            <v>HW1</v>
          </cell>
          <cell r="M271" t="str">
            <v>A3</v>
          </cell>
        </row>
        <row r="272">
          <cell r="C272">
            <v>2045</v>
          </cell>
          <cell r="D272">
            <v>42948</v>
          </cell>
          <cell r="E272" t="str">
            <v>cap</v>
          </cell>
          <cell r="F272" t="str">
            <v>Not yet done</v>
          </cell>
          <cell r="G272" t="str">
            <v>A</v>
          </cell>
          <cell r="H272">
            <v>0</v>
          </cell>
          <cell r="I272" t="str">
            <v>5 - other SNV pertinent</v>
          </cell>
          <cell r="K272" t="str">
            <v>A</v>
          </cell>
          <cell r="L272" t="str">
            <v>HW1</v>
          </cell>
          <cell r="M272" t="str">
            <v>A6</v>
          </cell>
        </row>
        <row r="273">
          <cell r="C273">
            <v>2046</v>
          </cell>
          <cell r="D273">
            <v>42948</v>
          </cell>
          <cell r="E273" t="str">
            <v>cap</v>
          </cell>
          <cell r="F273" t="str">
            <v>Not yet done</v>
          </cell>
          <cell r="G273" t="str">
            <v>A</v>
          </cell>
          <cell r="H273">
            <v>0</v>
          </cell>
          <cell r="I273" t="str">
            <v>5 - other SNV pertinent</v>
          </cell>
          <cell r="K273" t="str">
            <v>A</v>
          </cell>
          <cell r="L273" t="str">
            <v>HW1</v>
          </cell>
          <cell r="M273" t="str">
            <v>B1</v>
          </cell>
        </row>
        <row r="274">
          <cell r="C274">
            <v>2047</v>
          </cell>
          <cell r="D274">
            <v>42948</v>
          </cell>
          <cell r="E274" t="str">
            <v>cap</v>
          </cell>
          <cell r="F274" t="str">
            <v>Not yet done</v>
          </cell>
          <cell r="G274" t="str">
            <v>SA</v>
          </cell>
          <cell r="H274">
            <v>0</v>
          </cell>
          <cell r="I274" t="str">
            <v>5 - other SNV pertinent</v>
          </cell>
          <cell r="K274" t="str">
            <v>C</v>
          </cell>
          <cell r="L274" t="str">
            <v>HW1</v>
          </cell>
          <cell r="M274" t="str">
            <v>B4</v>
          </cell>
        </row>
        <row r="275">
          <cell r="C275">
            <v>2048</v>
          </cell>
          <cell r="D275">
            <v>42948</v>
          </cell>
          <cell r="E275" t="str">
            <v>cap</v>
          </cell>
          <cell r="F275" t="str">
            <v>Not yet done</v>
          </cell>
          <cell r="G275" t="str">
            <v>A</v>
          </cell>
          <cell r="H275">
            <v>0</v>
          </cell>
          <cell r="I275" t="str">
            <v>5 - other SNV pertinent</v>
          </cell>
          <cell r="K275" t="str">
            <v>A</v>
          </cell>
          <cell r="L275" t="str">
            <v>HW1</v>
          </cell>
          <cell r="M275" t="str">
            <v>B6</v>
          </cell>
        </row>
        <row r="276">
          <cell r="C276">
            <v>2049</v>
          </cell>
          <cell r="D276">
            <v>42948</v>
          </cell>
          <cell r="E276" t="str">
            <v>cap</v>
          </cell>
          <cell r="F276" t="str">
            <v>Not yet done</v>
          </cell>
          <cell r="G276" t="str">
            <v>A</v>
          </cell>
          <cell r="H276">
            <v>0</v>
          </cell>
          <cell r="I276" t="str">
            <v>5 - other SNV pertinent</v>
          </cell>
          <cell r="K276" t="str">
            <v>A</v>
          </cell>
          <cell r="L276" t="str">
            <v>HW1</v>
          </cell>
          <cell r="M276" t="str">
            <v>C8</v>
          </cell>
        </row>
        <row r="277">
          <cell r="C277">
            <v>2050</v>
          </cell>
          <cell r="D277">
            <v>42948</v>
          </cell>
          <cell r="E277" t="str">
            <v>cap</v>
          </cell>
          <cell r="F277" t="str">
            <v>Not yet done</v>
          </cell>
          <cell r="I277" t="str">
            <v>7 - not SNV match</v>
          </cell>
          <cell r="K277" t="str">
            <v>C</v>
          </cell>
          <cell r="L277" t="str">
            <v>HW1</v>
          </cell>
          <cell r="M277" t="str">
            <v>E1</v>
          </cell>
        </row>
        <row r="278">
          <cell r="C278">
            <v>2051</v>
          </cell>
          <cell r="D278">
            <v>42948</v>
          </cell>
          <cell r="E278" t="str">
            <v>cap</v>
          </cell>
          <cell r="F278" t="str">
            <v>Not yet done</v>
          </cell>
          <cell r="G278" t="str">
            <v>A</v>
          </cell>
          <cell r="H278">
            <v>0</v>
          </cell>
          <cell r="I278" t="str">
            <v>5 - other SNV pertinent</v>
          </cell>
          <cell r="K278" t="str">
            <v>A</v>
          </cell>
          <cell r="L278" t="str">
            <v>HW1</v>
          </cell>
          <cell r="M278" t="str">
            <v>E5</v>
          </cell>
        </row>
        <row r="279">
          <cell r="C279">
            <v>2052</v>
          </cell>
          <cell r="D279">
            <v>42948</v>
          </cell>
          <cell r="E279" t="str">
            <v>cap</v>
          </cell>
          <cell r="F279" t="str">
            <v>Not yet done</v>
          </cell>
          <cell r="G279" t="str">
            <v>A</v>
          </cell>
          <cell r="H279">
            <v>0</v>
          </cell>
          <cell r="I279" t="str">
            <v>5 - other SNV pertinent</v>
          </cell>
          <cell r="K279" t="str">
            <v>C</v>
          </cell>
          <cell r="L279" t="str">
            <v>HW1</v>
          </cell>
          <cell r="M279" t="str">
            <v>F1</v>
          </cell>
        </row>
        <row r="280">
          <cell r="C280">
            <v>2053</v>
          </cell>
          <cell r="D280">
            <v>42948</v>
          </cell>
          <cell r="E280" t="str">
            <v>cap</v>
          </cell>
          <cell r="F280" t="str">
            <v>Not yet done</v>
          </cell>
          <cell r="G280" t="str">
            <v>A</v>
          </cell>
          <cell r="H280">
            <v>0</v>
          </cell>
          <cell r="I280" t="str">
            <v>5 - other SNV pertinent</v>
          </cell>
          <cell r="K280" t="str">
            <v>C</v>
          </cell>
          <cell r="L280" t="str">
            <v>HW1</v>
          </cell>
          <cell r="M280" t="str">
            <v>F2</v>
          </cell>
        </row>
        <row r="281">
          <cell r="C281">
            <v>2054</v>
          </cell>
          <cell r="D281">
            <v>42948</v>
          </cell>
          <cell r="E281" t="str">
            <v>cap</v>
          </cell>
          <cell r="F281" t="str">
            <v>Not yet done</v>
          </cell>
          <cell r="G281" t="str">
            <v>A</v>
          </cell>
          <cell r="H281">
            <v>0</v>
          </cell>
          <cell r="I281" t="str">
            <v>5 - other SNV pertinent</v>
          </cell>
          <cell r="K281" t="str">
            <v>A</v>
          </cell>
          <cell r="L281" t="str">
            <v>HW1</v>
          </cell>
          <cell r="M281" t="str">
            <v>F4</v>
          </cell>
        </row>
        <row r="282">
          <cell r="C282">
            <v>2055</v>
          </cell>
          <cell r="D282">
            <v>42948</v>
          </cell>
          <cell r="E282" t="str">
            <v>cap</v>
          </cell>
          <cell r="F282" t="str">
            <v>Not yet done</v>
          </cell>
          <cell r="G282" t="str">
            <v>A</v>
          </cell>
          <cell r="H282">
            <v>0</v>
          </cell>
          <cell r="I282" t="str">
            <v>5 - other SNV pertinent</v>
          </cell>
          <cell r="K282" t="str">
            <v>A</v>
          </cell>
          <cell r="L282" t="str">
            <v>HW1</v>
          </cell>
          <cell r="M282" t="str">
            <v>F7</v>
          </cell>
        </row>
        <row r="283">
          <cell r="C283">
            <v>2056</v>
          </cell>
          <cell r="D283">
            <v>42948</v>
          </cell>
          <cell r="E283" t="str">
            <v>cap</v>
          </cell>
          <cell r="F283" t="str">
            <v>Not yet done</v>
          </cell>
          <cell r="G283" t="str">
            <v>SA</v>
          </cell>
          <cell r="H283">
            <v>0</v>
          </cell>
          <cell r="I283" t="str">
            <v>5 - other SNV pertinent</v>
          </cell>
          <cell r="K283" t="str">
            <v>C</v>
          </cell>
          <cell r="L283" t="str">
            <v>HW1</v>
          </cell>
          <cell r="M283" t="str">
            <v>G7</v>
          </cell>
        </row>
        <row r="284">
          <cell r="C284">
            <v>2057</v>
          </cell>
          <cell r="D284">
            <v>42948</v>
          </cell>
          <cell r="E284" t="str">
            <v>cap</v>
          </cell>
          <cell r="F284" t="str">
            <v>Not yet done</v>
          </cell>
          <cell r="G284" t="str">
            <v>A</v>
          </cell>
          <cell r="H284">
            <v>0</v>
          </cell>
          <cell r="I284" t="str">
            <v>5 - other SNV pertinent</v>
          </cell>
          <cell r="K284" t="str">
            <v>C</v>
          </cell>
          <cell r="L284" t="str">
            <v>HW1</v>
          </cell>
          <cell r="M284" t="str">
            <v>G8</v>
          </cell>
        </row>
        <row r="285">
          <cell r="C285">
            <v>2058</v>
          </cell>
          <cell r="D285">
            <v>42948</v>
          </cell>
          <cell r="E285" t="str">
            <v>cap</v>
          </cell>
          <cell r="F285" t="str">
            <v>Not yet done</v>
          </cell>
          <cell r="G285" t="str">
            <v>A</v>
          </cell>
          <cell r="H285">
            <v>0</v>
          </cell>
          <cell r="I285" t="str">
            <v>5 - other SNV pertinent</v>
          </cell>
          <cell r="K285" t="str">
            <v>A</v>
          </cell>
          <cell r="L285" t="str">
            <v>HW1</v>
          </cell>
          <cell r="M285" t="str">
            <v>H4</v>
          </cell>
        </row>
        <row r="286">
          <cell r="C286">
            <v>2027</v>
          </cell>
          <cell r="D286">
            <v>42948</v>
          </cell>
          <cell r="E286" t="str">
            <v>cap</v>
          </cell>
          <cell r="F286" t="str">
            <v>Not yet done</v>
          </cell>
          <cell r="I286" t="str">
            <v>7 - not SNV match</v>
          </cell>
          <cell r="K286" t="str">
            <v>A</v>
          </cell>
          <cell r="L286" t="str">
            <v>HW2</v>
          </cell>
          <cell r="M286" t="str">
            <v>A1</v>
          </cell>
        </row>
        <row r="287">
          <cell r="C287">
            <v>2028</v>
          </cell>
          <cell r="D287">
            <v>42948</v>
          </cell>
          <cell r="E287" t="str">
            <v>cap</v>
          </cell>
          <cell r="F287" t="str">
            <v>Not yet done</v>
          </cell>
          <cell r="G287" t="str">
            <v>A</v>
          </cell>
          <cell r="H287">
            <v>0</v>
          </cell>
          <cell r="I287" t="str">
            <v>5 - other SNV pertinent</v>
          </cell>
          <cell r="K287" t="str">
            <v>C</v>
          </cell>
          <cell r="L287" t="str">
            <v>HW2</v>
          </cell>
          <cell r="M287" t="str">
            <v>A2</v>
          </cell>
        </row>
        <row r="288">
          <cell r="C288">
            <v>2029</v>
          </cell>
          <cell r="D288">
            <v>42948</v>
          </cell>
          <cell r="E288" t="str">
            <v>cap</v>
          </cell>
          <cell r="F288" t="str">
            <v>Not yet done</v>
          </cell>
          <cell r="G288" t="str">
            <v>A</v>
          </cell>
          <cell r="H288">
            <v>0</v>
          </cell>
          <cell r="I288" t="str">
            <v>5 - other SNV pertinent</v>
          </cell>
          <cell r="K288" t="str">
            <v>C</v>
          </cell>
          <cell r="L288" t="str">
            <v>HW2</v>
          </cell>
          <cell r="M288" t="str">
            <v>A6</v>
          </cell>
        </row>
        <row r="289">
          <cell r="C289">
            <v>2030</v>
          </cell>
          <cell r="D289">
            <v>42948</v>
          </cell>
          <cell r="E289" t="str">
            <v>cap</v>
          </cell>
          <cell r="F289" t="str">
            <v>Not yet done</v>
          </cell>
          <cell r="G289" t="str">
            <v>A</v>
          </cell>
          <cell r="H289">
            <v>0</v>
          </cell>
          <cell r="I289" t="str">
            <v>5 - other SNV pertinent</v>
          </cell>
          <cell r="K289" t="str">
            <v>C</v>
          </cell>
          <cell r="L289" t="str">
            <v>HW2</v>
          </cell>
          <cell r="M289" t="str">
            <v>A7</v>
          </cell>
        </row>
        <row r="290">
          <cell r="C290">
            <v>2031</v>
          </cell>
          <cell r="D290">
            <v>42948</v>
          </cell>
          <cell r="E290" t="str">
            <v>cap</v>
          </cell>
          <cell r="F290" t="str">
            <v>Not yet done</v>
          </cell>
          <cell r="I290" t="str">
            <v>7 - not SNV match</v>
          </cell>
          <cell r="K290" t="str">
            <v>A</v>
          </cell>
          <cell r="L290" t="str">
            <v>HW2</v>
          </cell>
          <cell r="M290" t="str">
            <v>A8</v>
          </cell>
        </row>
        <row r="291">
          <cell r="C291">
            <v>2032</v>
          </cell>
          <cell r="D291">
            <v>42948</v>
          </cell>
          <cell r="E291" t="str">
            <v>cap</v>
          </cell>
          <cell r="F291" t="str">
            <v>Not yet done</v>
          </cell>
          <cell r="G291" t="str">
            <v>A</v>
          </cell>
          <cell r="H291">
            <v>0</v>
          </cell>
          <cell r="I291" t="str">
            <v>5 - other SNV pertinent</v>
          </cell>
          <cell r="K291" t="str">
            <v>A</v>
          </cell>
          <cell r="L291" t="str">
            <v>HW2</v>
          </cell>
          <cell r="M291" t="str">
            <v>B4</v>
          </cell>
        </row>
        <row r="292">
          <cell r="C292">
            <v>2033</v>
          </cell>
          <cell r="D292">
            <v>42948</v>
          </cell>
          <cell r="E292" t="str">
            <v>cap</v>
          </cell>
          <cell r="F292" t="str">
            <v>Not yet done</v>
          </cell>
          <cell r="G292" t="str">
            <v>A</v>
          </cell>
          <cell r="H292">
            <v>0</v>
          </cell>
          <cell r="I292" t="str">
            <v>5 - other SNV pertinent</v>
          </cell>
          <cell r="K292" t="str">
            <v>A</v>
          </cell>
          <cell r="L292" t="str">
            <v>HW2</v>
          </cell>
          <cell r="M292" t="str">
            <v>C1</v>
          </cell>
        </row>
        <row r="293">
          <cell r="C293">
            <v>2034</v>
          </cell>
          <cell r="D293">
            <v>42948</v>
          </cell>
          <cell r="E293" t="str">
            <v>cap</v>
          </cell>
          <cell r="F293" t="str">
            <v>Not yet done</v>
          </cell>
          <cell r="I293" t="str">
            <v>7 - not SNV match</v>
          </cell>
          <cell r="K293" t="str">
            <v>A</v>
          </cell>
          <cell r="L293" t="str">
            <v>HW2</v>
          </cell>
          <cell r="M293" t="str">
            <v>C6</v>
          </cell>
        </row>
        <row r="294">
          <cell r="C294">
            <v>2035</v>
          </cell>
          <cell r="D294">
            <v>42948</v>
          </cell>
          <cell r="E294" t="str">
            <v>cap</v>
          </cell>
          <cell r="F294" t="str">
            <v>Not yet done</v>
          </cell>
          <cell r="G294" t="str">
            <v>A</v>
          </cell>
          <cell r="H294">
            <v>0</v>
          </cell>
          <cell r="I294" t="str">
            <v>5 - other SNV pertinent</v>
          </cell>
          <cell r="K294" t="str">
            <v>A</v>
          </cell>
          <cell r="L294" t="str">
            <v>HW2</v>
          </cell>
          <cell r="M294" t="str">
            <v>D1</v>
          </cell>
        </row>
        <row r="295">
          <cell r="C295">
            <v>2036</v>
          </cell>
          <cell r="D295">
            <v>42948</v>
          </cell>
          <cell r="E295" t="str">
            <v>cap</v>
          </cell>
          <cell r="F295" t="str">
            <v>Not yet done</v>
          </cell>
          <cell r="G295" t="str">
            <v>A</v>
          </cell>
          <cell r="H295">
            <v>0</v>
          </cell>
          <cell r="I295" t="str">
            <v>5 - other SNV pertinent</v>
          </cell>
          <cell r="K295" t="str">
            <v>A</v>
          </cell>
          <cell r="L295" t="str">
            <v>HW2</v>
          </cell>
          <cell r="M295" t="str">
            <v>E2</v>
          </cell>
        </row>
        <row r="296">
          <cell r="C296">
            <v>2037</v>
          </cell>
          <cell r="D296">
            <v>42948</v>
          </cell>
          <cell r="E296" t="str">
            <v>cap</v>
          </cell>
          <cell r="F296" t="str">
            <v>Not yet done</v>
          </cell>
          <cell r="G296" t="str">
            <v>A</v>
          </cell>
          <cell r="H296">
            <v>0</v>
          </cell>
          <cell r="I296" t="str">
            <v>5 - other SNV pertinent</v>
          </cell>
          <cell r="K296" t="str">
            <v>C</v>
          </cell>
          <cell r="L296" t="str">
            <v>HW2</v>
          </cell>
          <cell r="M296" t="str">
            <v>F7</v>
          </cell>
        </row>
        <row r="297">
          <cell r="C297">
            <v>2038</v>
          </cell>
          <cell r="D297">
            <v>42948</v>
          </cell>
          <cell r="E297" t="str">
            <v>cap</v>
          </cell>
          <cell r="F297" t="str">
            <v>Not yet done</v>
          </cell>
          <cell r="G297" t="str">
            <v>A</v>
          </cell>
          <cell r="H297">
            <v>0</v>
          </cell>
          <cell r="I297" t="str">
            <v>5 - other SNV pertinent</v>
          </cell>
          <cell r="K297" t="str">
            <v>C</v>
          </cell>
          <cell r="L297" t="str">
            <v>HW2</v>
          </cell>
          <cell r="M297" t="str">
            <v>G2</v>
          </cell>
        </row>
        <row r="298">
          <cell r="C298">
            <v>2039</v>
          </cell>
          <cell r="D298">
            <v>42948</v>
          </cell>
          <cell r="E298" t="str">
            <v>cap</v>
          </cell>
          <cell r="F298" t="str">
            <v>Not yet done</v>
          </cell>
          <cell r="G298" t="str">
            <v>A</v>
          </cell>
          <cell r="H298">
            <v>0</v>
          </cell>
          <cell r="I298" t="str">
            <v>5 - other SNV pertinent</v>
          </cell>
          <cell r="K298" t="str">
            <v>C</v>
          </cell>
          <cell r="L298" t="str">
            <v>HW2</v>
          </cell>
          <cell r="M298" t="str">
            <v>G3</v>
          </cell>
        </row>
        <row r="299">
          <cell r="C299">
            <v>2040</v>
          </cell>
          <cell r="D299">
            <v>42948</v>
          </cell>
          <cell r="E299" t="str">
            <v>cap</v>
          </cell>
          <cell r="F299" t="str">
            <v>Not yet done</v>
          </cell>
          <cell r="I299" t="str">
            <v>7 - not SNV match</v>
          </cell>
          <cell r="K299" t="str">
            <v>A</v>
          </cell>
          <cell r="L299" t="str">
            <v>HW2</v>
          </cell>
          <cell r="M299" t="str">
            <v>G6</v>
          </cell>
        </row>
        <row r="300">
          <cell r="C300">
            <v>2041</v>
          </cell>
          <cell r="D300">
            <v>42948</v>
          </cell>
          <cell r="E300" t="str">
            <v>cap</v>
          </cell>
          <cell r="F300" t="str">
            <v>Not yet done</v>
          </cell>
          <cell r="G300" t="str">
            <v>A</v>
          </cell>
          <cell r="H300">
            <v>0</v>
          </cell>
          <cell r="I300" t="str">
            <v>5 - other SNV pertinent</v>
          </cell>
          <cell r="K300" t="str">
            <v>A</v>
          </cell>
          <cell r="L300" t="str">
            <v>HW2</v>
          </cell>
          <cell r="M300" t="str">
            <v>H2</v>
          </cell>
        </row>
        <row r="301">
          <cell r="C301">
            <v>2042</v>
          </cell>
          <cell r="D301">
            <v>42948</v>
          </cell>
          <cell r="E301" t="str">
            <v>cap</v>
          </cell>
          <cell r="F301" t="str">
            <v>Not yet done</v>
          </cell>
          <cell r="G301" t="str">
            <v>A</v>
          </cell>
          <cell r="H301">
            <v>0</v>
          </cell>
          <cell r="I301" t="str">
            <v>5 - other SNV pertinent</v>
          </cell>
          <cell r="K301" t="str">
            <v>A</v>
          </cell>
          <cell r="L301" t="str">
            <v>HW2</v>
          </cell>
          <cell r="M301" t="str">
            <v>H3</v>
          </cell>
        </row>
        <row r="302">
          <cell r="C302">
            <v>2043</v>
          </cell>
          <cell r="D302">
            <v>42948</v>
          </cell>
          <cell r="E302" t="str">
            <v>cap</v>
          </cell>
          <cell r="F302" t="str">
            <v>Not yet done</v>
          </cell>
          <cell r="G302" t="str">
            <v>A</v>
          </cell>
          <cell r="H302">
            <v>0</v>
          </cell>
          <cell r="I302" t="str">
            <v>5 - other SNV pertinent</v>
          </cell>
          <cell r="K302" t="str">
            <v>C</v>
          </cell>
          <cell r="L302" t="str">
            <v>HW2</v>
          </cell>
          <cell r="M302" t="str">
            <v>H7</v>
          </cell>
        </row>
        <row r="303">
          <cell r="C303">
            <v>2063</v>
          </cell>
          <cell r="D303">
            <v>42949</v>
          </cell>
          <cell r="E303" t="str">
            <v>cap</v>
          </cell>
          <cell r="F303" t="str">
            <v>Not yet done</v>
          </cell>
          <cell r="G303" t="str">
            <v>A</v>
          </cell>
          <cell r="H303">
            <v>0</v>
          </cell>
          <cell r="I303" t="str">
            <v>5 - other SNV pertinent</v>
          </cell>
          <cell r="K303" t="str">
            <v>A</v>
          </cell>
          <cell r="L303" t="str">
            <v>HW1</v>
          </cell>
          <cell r="M303" t="str">
            <v>D6</v>
          </cell>
        </row>
        <row r="304">
          <cell r="C304">
            <v>2064</v>
          </cell>
          <cell r="D304">
            <v>42949</v>
          </cell>
          <cell r="E304" t="str">
            <v>cap</v>
          </cell>
          <cell r="F304" t="str">
            <v>Not yet done</v>
          </cell>
          <cell r="G304" t="str">
            <v>A</v>
          </cell>
          <cell r="H304">
            <v>0</v>
          </cell>
          <cell r="I304" t="str">
            <v>5 - other SNV pertinent</v>
          </cell>
          <cell r="K304" t="str">
            <v>C</v>
          </cell>
          <cell r="L304" t="str">
            <v>HW1</v>
          </cell>
          <cell r="M304" t="str">
            <v>H1</v>
          </cell>
        </row>
        <row r="305">
          <cell r="C305">
            <v>2065</v>
          </cell>
          <cell r="D305">
            <v>42949</v>
          </cell>
          <cell r="E305" t="str">
            <v>cap</v>
          </cell>
          <cell r="F305" t="str">
            <v>Not yet done</v>
          </cell>
          <cell r="G305" t="str">
            <v>A</v>
          </cell>
          <cell r="H305">
            <v>0</v>
          </cell>
          <cell r="I305" t="str">
            <v>5 - other SNV pertinent</v>
          </cell>
          <cell r="K305" t="str">
            <v>C</v>
          </cell>
          <cell r="L305" t="str">
            <v>HW1</v>
          </cell>
          <cell r="M305" t="str">
            <v>H2</v>
          </cell>
        </row>
        <row r="306">
          <cell r="C306">
            <v>2106</v>
          </cell>
          <cell r="D306">
            <v>42949</v>
          </cell>
          <cell r="E306" t="str">
            <v>cap</v>
          </cell>
          <cell r="F306" t="str">
            <v>Not yet done</v>
          </cell>
          <cell r="G306" t="str">
            <v>A</v>
          </cell>
          <cell r="H306">
            <v>0</v>
          </cell>
          <cell r="I306" t="str">
            <v>5 - other SNV pertinent</v>
          </cell>
          <cell r="K306" t="str">
            <v>A</v>
          </cell>
          <cell r="L306" t="str">
            <v>HW2</v>
          </cell>
          <cell r="M306" t="str">
            <v>A7</v>
          </cell>
        </row>
        <row r="307">
          <cell r="C307">
            <v>2059</v>
          </cell>
          <cell r="D307">
            <v>42949</v>
          </cell>
          <cell r="E307" t="str">
            <v>cap</v>
          </cell>
          <cell r="F307" t="str">
            <v>Not yet done</v>
          </cell>
          <cell r="G307" t="str">
            <v>A</v>
          </cell>
          <cell r="H307">
            <v>0</v>
          </cell>
          <cell r="I307" t="str">
            <v>5 - other SNV pertinent</v>
          </cell>
          <cell r="K307" t="str">
            <v>C</v>
          </cell>
          <cell r="L307" t="str">
            <v>HW2</v>
          </cell>
          <cell r="M307" t="str">
            <v>B2</v>
          </cell>
        </row>
        <row r="308">
          <cell r="C308">
            <v>2060</v>
          </cell>
          <cell r="D308">
            <v>42949</v>
          </cell>
          <cell r="E308" t="str">
            <v>cap</v>
          </cell>
          <cell r="F308" t="str">
            <v>Not yet done</v>
          </cell>
          <cell r="G308" t="str">
            <v>A</v>
          </cell>
          <cell r="H308">
            <v>0</v>
          </cell>
          <cell r="I308" t="str">
            <v>5 - other SNV pertinent</v>
          </cell>
          <cell r="K308" t="str">
            <v>A</v>
          </cell>
          <cell r="L308" t="str">
            <v>HW2</v>
          </cell>
          <cell r="M308" t="str">
            <v>G3</v>
          </cell>
        </row>
        <row r="309">
          <cell r="C309">
            <v>2061</v>
          </cell>
          <cell r="D309">
            <v>42949</v>
          </cell>
          <cell r="E309" t="str">
            <v>cap</v>
          </cell>
          <cell r="F309" t="str">
            <v>Not yet done</v>
          </cell>
          <cell r="G309" t="str">
            <v>A</v>
          </cell>
          <cell r="H309">
            <v>0</v>
          </cell>
          <cell r="I309" t="str">
            <v>5 - other SNV pertinent</v>
          </cell>
          <cell r="K309" t="str">
            <v>A</v>
          </cell>
          <cell r="L309" t="str">
            <v>HW2</v>
          </cell>
          <cell r="M309" t="str">
            <v>H1</v>
          </cell>
        </row>
        <row r="310">
          <cell r="C310">
            <v>2062</v>
          </cell>
          <cell r="D310">
            <v>42949</v>
          </cell>
          <cell r="E310" t="str">
            <v>cap</v>
          </cell>
          <cell r="F310" t="str">
            <v>Not yet done</v>
          </cell>
          <cell r="G310" t="str">
            <v>A</v>
          </cell>
          <cell r="H310">
            <v>0</v>
          </cell>
          <cell r="I310" t="str">
            <v>5 - other SNV pertinent</v>
          </cell>
          <cell r="K310" t="str">
            <v>A</v>
          </cell>
          <cell r="L310" t="str">
            <v>HW2</v>
          </cell>
          <cell r="M310" t="str">
            <v>H7</v>
          </cell>
        </row>
        <row r="311">
          <cell r="C311">
            <v>2070</v>
          </cell>
          <cell r="D311">
            <v>42950</v>
          </cell>
          <cell r="E311" t="str">
            <v>cap</v>
          </cell>
          <cell r="F311" t="str">
            <v>Not yet done</v>
          </cell>
          <cell r="G311" t="str">
            <v>A</v>
          </cell>
          <cell r="H311">
            <v>0</v>
          </cell>
          <cell r="I311" t="str">
            <v>5 - other SNV pertinent</v>
          </cell>
          <cell r="K311" t="str">
            <v>A</v>
          </cell>
          <cell r="L311" t="str">
            <v>HW1</v>
          </cell>
          <cell r="M311" t="str">
            <v>D8</v>
          </cell>
        </row>
        <row r="312">
          <cell r="C312">
            <v>2071</v>
          </cell>
          <cell r="D312">
            <v>42950</v>
          </cell>
          <cell r="E312" t="str">
            <v>cap</v>
          </cell>
          <cell r="F312" t="str">
            <v>Not yet done</v>
          </cell>
          <cell r="I312" t="str">
            <v>7 - not SNV match</v>
          </cell>
          <cell r="K312" t="str">
            <v>A</v>
          </cell>
          <cell r="L312" t="str">
            <v>HW1</v>
          </cell>
          <cell r="M312" t="str">
            <v>E3</v>
          </cell>
        </row>
        <row r="313">
          <cell r="C313">
            <v>2072</v>
          </cell>
          <cell r="D313">
            <v>42950</v>
          </cell>
          <cell r="E313" t="str">
            <v>cap</v>
          </cell>
          <cell r="F313" t="str">
            <v>Not yet done</v>
          </cell>
          <cell r="G313" t="str">
            <v>A</v>
          </cell>
          <cell r="H313">
            <v>0</v>
          </cell>
          <cell r="I313" t="str">
            <v>5 - other SNV pertinent</v>
          </cell>
          <cell r="K313" t="str">
            <v>A</v>
          </cell>
          <cell r="L313" t="str">
            <v>HW1</v>
          </cell>
          <cell r="M313" t="str">
            <v>F3</v>
          </cell>
        </row>
        <row r="314">
          <cell r="C314">
            <v>2066</v>
          </cell>
          <cell r="D314">
            <v>42950</v>
          </cell>
          <cell r="E314" t="str">
            <v>cap</v>
          </cell>
          <cell r="F314" t="str">
            <v>Not yet done</v>
          </cell>
          <cell r="G314" t="str">
            <v>A</v>
          </cell>
          <cell r="H314">
            <v>0</v>
          </cell>
          <cell r="I314" t="str">
            <v>5 - other SNV pertinent</v>
          </cell>
          <cell r="K314" t="str">
            <v>A</v>
          </cell>
          <cell r="L314" t="str">
            <v>HW2</v>
          </cell>
          <cell r="M314" t="str">
            <v>A5</v>
          </cell>
        </row>
        <row r="315">
          <cell r="C315">
            <v>2067</v>
          </cell>
          <cell r="D315">
            <v>42950</v>
          </cell>
          <cell r="E315" t="str">
            <v>cap</v>
          </cell>
          <cell r="F315" t="str">
            <v>Not yet done</v>
          </cell>
          <cell r="G315" t="str">
            <v>A</v>
          </cell>
          <cell r="H315">
            <v>0</v>
          </cell>
          <cell r="I315" t="str">
            <v>5 - other SNV pertinent</v>
          </cell>
          <cell r="K315" t="str">
            <v>C</v>
          </cell>
          <cell r="L315" t="str">
            <v>HW2</v>
          </cell>
          <cell r="M315" t="str">
            <v>B3</v>
          </cell>
        </row>
        <row r="316">
          <cell r="C316">
            <v>2068</v>
          </cell>
          <cell r="D316">
            <v>42950</v>
          </cell>
          <cell r="E316" t="str">
            <v>cap</v>
          </cell>
          <cell r="F316" t="str">
            <v>Not yet done</v>
          </cell>
          <cell r="G316" t="str">
            <v>A</v>
          </cell>
          <cell r="H316">
            <v>0</v>
          </cell>
          <cell r="I316" t="str">
            <v>5 - other SNV pertinent</v>
          </cell>
          <cell r="K316" t="str">
            <v>A</v>
          </cell>
          <cell r="L316" t="str">
            <v>HW2</v>
          </cell>
          <cell r="M316" t="str">
            <v>C8</v>
          </cell>
        </row>
        <row r="317">
          <cell r="C317">
            <v>2069</v>
          </cell>
          <cell r="D317">
            <v>42950</v>
          </cell>
          <cell r="E317" t="str">
            <v>cap</v>
          </cell>
          <cell r="F317" t="str">
            <v>Not yet done</v>
          </cell>
          <cell r="G317" t="str">
            <v>SA</v>
          </cell>
          <cell r="H317">
            <v>0</v>
          </cell>
          <cell r="I317" t="str">
            <v>5 - other SNV pertinent</v>
          </cell>
          <cell r="K317" t="str">
            <v>C</v>
          </cell>
          <cell r="L317" t="str">
            <v>HW2</v>
          </cell>
          <cell r="M317" t="str">
            <v>D8</v>
          </cell>
        </row>
        <row r="318">
          <cell r="C318">
            <v>2084</v>
          </cell>
          <cell r="D318">
            <v>42954</v>
          </cell>
          <cell r="E318" t="str">
            <v>cap</v>
          </cell>
          <cell r="F318" t="str">
            <v>Not yet done</v>
          </cell>
          <cell r="G318" t="str">
            <v>A</v>
          </cell>
          <cell r="H318">
            <v>0</v>
          </cell>
          <cell r="I318" t="str">
            <v>5 - other SNV pertinent</v>
          </cell>
          <cell r="K318" t="str">
            <v>A</v>
          </cell>
          <cell r="L318" t="str">
            <v>BC1</v>
          </cell>
          <cell r="M318" t="str">
            <v>A1</v>
          </cell>
        </row>
        <row r="319">
          <cell r="C319" t="str">
            <v>NO BLOOD</v>
          </cell>
          <cell r="D319">
            <v>42954</v>
          </cell>
          <cell r="E319" t="str">
            <v>cap</v>
          </cell>
          <cell r="F319" t="str">
            <v>Not yet done</v>
          </cell>
          <cell r="I319" t="str">
            <v>7 - not SNV match</v>
          </cell>
          <cell r="K319" t="str">
            <v>A</v>
          </cell>
          <cell r="L319" t="str">
            <v>BC1</v>
          </cell>
          <cell r="M319" t="str">
            <v>A3</v>
          </cell>
        </row>
        <row r="320">
          <cell r="C320">
            <v>2085</v>
          </cell>
          <cell r="D320">
            <v>42954</v>
          </cell>
          <cell r="E320" t="str">
            <v>cap</v>
          </cell>
          <cell r="F320" t="str">
            <v>Not yet done</v>
          </cell>
          <cell r="I320" t="str">
            <v>7 - not SNV match</v>
          </cell>
          <cell r="K320" t="str">
            <v>C</v>
          </cell>
          <cell r="L320" t="str">
            <v>BC1</v>
          </cell>
          <cell r="M320" t="str">
            <v>C8</v>
          </cell>
        </row>
        <row r="321">
          <cell r="C321">
            <v>2086</v>
          </cell>
          <cell r="D321">
            <v>42954</v>
          </cell>
          <cell r="E321" t="str">
            <v>cap</v>
          </cell>
          <cell r="F321" t="str">
            <v>Not yet done</v>
          </cell>
          <cell r="I321" t="str">
            <v>7 - not SNV match</v>
          </cell>
          <cell r="K321" t="str">
            <v>C</v>
          </cell>
          <cell r="L321" t="str">
            <v>BC1</v>
          </cell>
          <cell r="M321" t="str">
            <v>D1</v>
          </cell>
        </row>
        <row r="322">
          <cell r="C322">
            <v>2087</v>
          </cell>
          <cell r="D322">
            <v>42954</v>
          </cell>
          <cell r="E322" t="str">
            <v>cap</v>
          </cell>
          <cell r="F322" t="str">
            <v>Not yet done</v>
          </cell>
          <cell r="G322" t="str">
            <v>A</v>
          </cell>
          <cell r="H322">
            <v>0</v>
          </cell>
          <cell r="I322" t="str">
            <v>5 - other SNV pertinent</v>
          </cell>
          <cell r="K322" t="str">
            <v>A</v>
          </cell>
          <cell r="L322" t="str">
            <v>BC1</v>
          </cell>
          <cell r="M322" t="str">
            <v>D3</v>
          </cell>
        </row>
        <row r="323">
          <cell r="C323">
            <v>2088</v>
          </cell>
          <cell r="D323">
            <v>42954</v>
          </cell>
          <cell r="E323" t="str">
            <v>cap</v>
          </cell>
          <cell r="F323" t="str">
            <v>Not yet done</v>
          </cell>
          <cell r="G323" t="str">
            <v>A</v>
          </cell>
          <cell r="H323">
            <v>0</v>
          </cell>
          <cell r="I323" t="str">
            <v>5 - other SNV pertinent</v>
          </cell>
          <cell r="K323" t="str">
            <v>C</v>
          </cell>
          <cell r="L323" t="str">
            <v>BC1</v>
          </cell>
          <cell r="M323" t="str">
            <v>E4</v>
          </cell>
        </row>
        <row r="324">
          <cell r="C324">
            <v>2089</v>
          </cell>
          <cell r="D324">
            <v>42954</v>
          </cell>
          <cell r="E324" t="str">
            <v>cap</v>
          </cell>
          <cell r="F324" t="str">
            <v>Not yet done</v>
          </cell>
          <cell r="G324" t="str">
            <v>SA</v>
          </cell>
          <cell r="H324">
            <v>0</v>
          </cell>
          <cell r="I324" t="str">
            <v>5 - other SNV pertinent</v>
          </cell>
          <cell r="K324" t="str">
            <v>A</v>
          </cell>
          <cell r="L324" t="str">
            <v>BC1</v>
          </cell>
          <cell r="M324" t="str">
            <v>F5</v>
          </cell>
        </row>
        <row r="325">
          <cell r="C325">
            <v>2090</v>
          </cell>
          <cell r="D325">
            <v>42954</v>
          </cell>
          <cell r="E325" t="str">
            <v>cap</v>
          </cell>
          <cell r="F325" t="str">
            <v>Not yet done</v>
          </cell>
          <cell r="I325" t="str">
            <v>7 - not SNV match</v>
          </cell>
          <cell r="K325" t="str">
            <v>A</v>
          </cell>
          <cell r="L325" t="str">
            <v>BC1</v>
          </cell>
          <cell r="M325" t="str">
            <v>G8</v>
          </cell>
        </row>
        <row r="326">
          <cell r="C326">
            <v>2091</v>
          </cell>
          <cell r="D326">
            <v>42954</v>
          </cell>
          <cell r="E326" t="str">
            <v>cap</v>
          </cell>
          <cell r="F326" t="str">
            <v>Not yet done</v>
          </cell>
          <cell r="G326" t="str">
            <v>A</v>
          </cell>
          <cell r="H326">
            <v>0</v>
          </cell>
          <cell r="I326" t="str">
            <v>5 - other SNV pertinent</v>
          </cell>
          <cell r="K326" t="str">
            <v>C</v>
          </cell>
          <cell r="L326" t="str">
            <v>BC1</v>
          </cell>
          <cell r="M326" t="str">
            <v>H3</v>
          </cell>
        </row>
        <row r="327">
          <cell r="C327">
            <v>2092</v>
          </cell>
          <cell r="D327">
            <v>42954</v>
          </cell>
          <cell r="E327" t="str">
            <v>cap</v>
          </cell>
          <cell r="F327" t="str">
            <v>Not yet done</v>
          </cell>
          <cell r="G327" t="str">
            <v>A</v>
          </cell>
          <cell r="H327">
            <v>0</v>
          </cell>
          <cell r="I327" t="str">
            <v>5 - other SNV pertinent</v>
          </cell>
          <cell r="K327" t="str">
            <v>A</v>
          </cell>
          <cell r="L327" t="str">
            <v>BC1</v>
          </cell>
          <cell r="M327" t="str">
            <v>H5</v>
          </cell>
        </row>
        <row r="328">
          <cell r="C328">
            <v>2093</v>
          </cell>
          <cell r="D328">
            <v>42954</v>
          </cell>
          <cell r="E328" t="str">
            <v>cap</v>
          </cell>
          <cell r="F328" t="str">
            <v>Not yet done</v>
          </cell>
          <cell r="G328" t="str">
            <v>SA</v>
          </cell>
          <cell r="H328">
            <v>0</v>
          </cell>
          <cell r="I328" t="str">
            <v>5 - other SNV pertinent</v>
          </cell>
          <cell r="K328" t="str">
            <v>A</v>
          </cell>
          <cell r="L328" t="str">
            <v>BC1</v>
          </cell>
          <cell r="M328" t="str">
            <v>H6</v>
          </cell>
        </row>
        <row r="329">
          <cell r="C329">
            <v>2074</v>
          </cell>
          <cell r="D329">
            <v>42954</v>
          </cell>
          <cell r="E329" t="str">
            <v>cap</v>
          </cell>
          <cell r="F329" t="str">
            <v>Not yet done</v>
          </cell>
          <cell r="G329" t="str">
            <v>A</v>
          </cell>
          <cell r="H329">
            <v>0</v>
          </cell>
          <cell r="I329" t="str">
            <v>5 - other SNV pertinent</v>
          </cell>
          <cell r="K329" t="str">
            <v>C</v>
          </cell>
          <cell r="L329" t="str">
            <v>BC2</v>
          </cell>
          <cell r="M329" t="str">
            <v>A1</v>
          </cell>
        </row>
        <row r="330">
          <cell r="C330">
            <v>2075</v>
          </cell>
          <cell r="D330">
            <v>42954</v>
          </cell>
          <cell r="E330" t="str">
            <v>cap</v>
          </cell>
          <cell r="F330" t="str">
            <v>Not yet done</v>
          </cell>
          <cell r="I330" t="str">
            <v>7 - not SNV match</v>
          </cell>
          <cell r="K330" t="str">
            <v>C</v>
          </cell>
          <cell r="L330" t="str">
            <v>BC2</v>
          </cell>
          <cell r="M330" t="str">
            <v>C7</v>
          </cell>
        </row>
        <row r="331">
          <cell r="C331">
            <v>2076</v>
          </cell>
          <cell r="D331">
            <v>42954</v>
          </cell>
          <cell r="E331" t="str">
            <v>cap</v>
          </cell>
          <cell r="F331" t="str">
            <v>Not yet done</v>
          </cell>
          <cell r="G331" t="str">
            <v>A</v>
          </cell>
          <cell r="H331">
            <v>0</v>
          </cell>
          <cell r="I331" t="str">
            <v>5 - other SNV pertinent</v>
          </cell>
          <cell r="K331" t="str">
            <v>A</v>
          </cell>
          <cell r="L331" t="str">
            <v>BC2</v>
          </cell>
          <cell r="M331" t="str">
            <v>D4</v>
          </cell>
        </row>
        <row r="332">
          <cell r="C332">
            <v>2077</v>
          </cell>
          <cell r="D332">
            <v>42954</v>
          </cell>
          <cell r="E332" t="str">
            <v>cap</v>
          </cell>
          <cell r="F332" t="str">
            <v>Not yet done</v>
          </cell>
          <cell r="G332" t="str">
            <v>A</v>
          </cell>
          <cell r="H332">
            <v>0</v>
          </cell>
          <cell r="I332" t="str">
            <v>5 - other SNV pertinent</v>
          </cell>
          <cell r="K332" t="str">
            <v>A</v>
          </cell>
          <cell r="L332" t="str">
            <v>BC2</v>
          </cell>
          <cell r="M332" t="str">
            <v>D7</v>
          </cell>
        </row>
        <row r="333">
          <cell r="C333">
            <v>2078</v>
          </cell>
          <cell r="D333">
            <v>42954</v>
          </cell>
          <cell r="E333" t="str">
            <v>cap</v>
          </cell>
          <cell r="F333" t="str">
            <v>Not yet done</v>
          </cell>
          <cell r="I333" t="str">
            <v>7 - not SNV match</v>
          </cell>
          <cell r="K333" t="str">
            <v>C</v>
          </cell>
          <cell r="L333" t="str">
            <v>BC2</v>
          </cell>
          <cell r="M333" t="str">
            <v>F3</v>
          </cell>
        </row>
        <row r="334">
          <cell r="C334">
            <v>2079</v>
          </cell>
          <cell r="D334">
            <v>42954</v>
          </cell>
          <cell r="E334" t="str">
            <v>cap</v>
          </cell>
          <cell r="F334" t="str">
            <v>Not yet done</v>
          </cell>
          <cell r="G334" t="str">
            <v>A</v>
          </cell>
          <cell r="H334">
            <v>0</v>
          </cell>
          <cell r="I334" t="str">
            <v>5 - other SNV pertinent</v>
          </cell>
          <cell r="K334" t="str">
            <v>A</v>
          </cell>
          <cell r="L334" t="str">
            <v>BC2</v>
          </cell>
          <cell r="M334" t="str">
            <v>G6</v>
          </cell>
        </row>
        <row r="335">
          <cell r="C335">
            <v>2080</v>
          </cell>
          <cell r="D335">
            <v>42954</v>
          </cell>
          <cell r="E335" t="str">
            <v>cap</v>
          </cell>
          <cell r="F335" t="str">
            <v>Not yet done</v>
          </cell>
          <cell r="G335" t="str">
            <v>SA</v>
          </cell>
          <cell r="H335">
            <v>0</v>
          </cell>
          <cell r="I335" t="str">
            <v>5 - other SNV pertinent</v>
          </cell>
          <cell r="K335" t="str">
            <v>C</v>
          </cell>
          <cell r="L335" t="str">
            <v>BC2</v>
          </cell>
          <cell r="M335" t="str">
            <v>H3</v>
          </cell>
        </row>
        <row r="336">
          <cell r="C336">
            <v>2081</v>
          </cell>
          <cell r="D336">
            <v>42954</v>
          </cell>
          <cell r="E336" t="str">
            <v>cap</v>
          </cell>
          <cell r="F336" t="str">
            <v>Not yet done</v>
          </cell>
          <cell r="G336" t="str">
            <v>SA</v>
          </cell>
          <cell r="H336">
            <v>0</v>
          </cell>
          <cell r="I336" t="str">
            <v>5 - other SNV pertinent</v>
          </cell>
          <cell r="K336" t="str">
            <v>A</v>
          </cell>
          <cell r="L336" t="str">
            <v>BC2</v>
          </cell>
          <cell r="M336" t="str">
            <v>H4</v>
          </cell>
        </row>
        <row r="337">
          <cell r="C337">
            <v>2082</v>
          </cell>
          <cell r="D337">
            <v>42954</v>
          </cell>
          <cell r="E337" t="str">
            <v>cap</v>
          </cell>
          <cell r="F337" t="str">
            <v>Not yet done</v>
          </cell>
          <cell r="G337" t="str">
            <v>A</v>
          </cell>
          <cell r="H337">
            <v>0</v>
          </cell>
          <cell r="I337" t="str">
            <v>5 - other SNV pertinent</v>
          </cell>
          <cell r="K337" t="str">
            <v>C</v>
          </cell>
          <cell r="L337" t="str">
            <v>BC2</v>
          </cell>
          <cell r="M337" t="str">
            <v>H7</v>
          </cell>
        </row>
        <row r="338">
          <cell r="C338">
            <v>2083</v>
          </cell>
          <cell r="D338">
            <v>42954</v>
          </cell>
          <cell r="E338" t="str">
            <v>cap</v>
          </cell>
          <cell r="F338" t="str">
            <v>Not yet done</v>
          </cell>
          <cell r="G338" t="str">
            <v>A</v>
          </cell>
          <cell r="H338">
            <v>0</v>
          </cell>
          <cell r="I338" t="str">
            <v>5 - other SNV pertinent</v>
          </cell>
          <cell r="K338" t="str">
            <v>C</v>
          </cell>
          <cell r="L338" t="str">
            <v>BC2</v>
          </cell>
          <cell r="M338" t="str">
            <v>H8</v>
          </cell>
        </row>
        <row r="339">
          <cell r="C339">
            <v>2095</v>
          </cell>
          <cell r="D339">
            <v>42955</v>
          </cell>
          <cell r="E339" t="str">
            <v>cap</v>
          </cell>
          <cell r="F339" t="str">
            <v>Not yet done</v>
          </cell>
          <cell r="G339" t="str">
            <v>A</v>
          </cell>
          <cell r="H339">
            <v>0</v>
          </cell>
          <cell r="I339" t="str">
            <v>5 - other SNV pertinent</v>
          </cell>
          <cell r="K339" t="str">
            <v>C</v>
          </cell>
          <cell r="L339" t="str">
            <v>BC1</v>
          </cell>
          <cell r="M339" t="str">
            <v>A7</v>
          </cell>
        </row>
        <row r="340">
          <cell r="C340">
            <v>2096</v>
          </cell>
          <cell r="D340">
            <v>42955</v>
          </cell>
          <cell r="E340" t="str">
            <v>cap</v>
          </cell>
          <cell r="F340" t="str">
            <v>Not yet done</v>
          </cell>
          <cell r="G340" t="str">
            <v>A</v>
          </cell>
          <cell r="H340">
            <v>0</v>
          </cell>
          <cell r="I340" t="str">
            <v>5 - other SNV pertinent</v>
          </cell>
          <cell r="K340" t="str">
            <v>C</v>
          </cell>
          <cell r="L340" t="str">
            <v>BC1</v>
          </cell>
          <cell r="M340" t="str">
            <v>B3</v>
          </cell>
        </row>
        <row r="341">
          <cell r="C341">
            <v>2097</v>
          </cell>
          <cell r="D341">
            <v>42955</v>
          </cell>
          <cell r="E341" t="str">
            <v>cap</v>
          </cell>
          <cell r="F341" t="str">
            <v>Not yet done</v>
          </cell>
          <cell r="I341" t="str">
            <v>7 - not SNV match</v>
          </cell>
          <cell r="K341" t="str">
            <v>A</v>
          </cell>
          <cell r="L341" t="str">
            <v>BC1</v>
          </cell>
          <cell r="M341" t="str">
            <v>H7</v>
          </cell>
        </row>
        <row r="342">
          <cell r="C342">
            <v>2094</v>
          </cell>
          <cell r="D342">
            <v>42955</v>
          </cell>
          <cell r="E342" t="str">
            <v>cap</v>
          </cell>
          <cell r="F342" t="str">
            <v>Not yet done</v>
          </cell>
          <cell r="G342" t="str">
            <v>A</v>
          </cell>
          <cell r="H342">
            <v>0</v>
          </cell>
          <cell r="I342" t="str">
            <v>5 - other SNV pertinent</v>
          </cell>
          <cell r="K342" t="str">
            <v>A</v>
          </cell>
          <cell r="L342" t="str">
            <v>BC2</v>
          </cell>
          <cell r="M342" t="str">
            <v>F6</v>
          </cell>
        </row>
        <row r="343">
          <cell r="C343">
            <v>2102</v>
          </cell>
          <cell r="D343">
            <v>42956</v>
          </cell>
          <cell r="E343" t="str">
            <v>cap</v>
          </cell>
          <cell r="F343" t="str">
            <v>Not yet done</v>
          </cell>
          <cell r="G343" t="str">
            <v>A</v>
          </cell>
          <cell r="H343">
            <v>0</v>
          </cell>
          <cell r="I343" t="str">
            <v>5 - other SNV pertinent</v>
          </cell>
          <cell r="K343" t="str">
            <v>C</v>
          </cell>
          <cell r="L343" t="str">
            <v>BC1</v>
          </cell>
          <cell r="M343" t="str">
            <v>C8</v>
          </cell>
        </row>
        <row r="344">
          <cell r="C344">
            <v>2103</v>
          </cell>
          <cell r="D344">
            <v>42956</v>
          </cell>
          <cell r="E344" t="str">
            <v>cap</v>
          </cell>
          <cell r="F344" t="str">
            <v>Not yet done</v>
          </cell>
          <cell r="G344" t="str">
            <v>A</v>
          </cell>
          <cell r="H344">
            <v>0</v>
          </cell>
          <cell r="I344" t="str">
            <v>5 - other SNV pertinent</v>
          </cell>
          <cell r="K344" t="str">
            <v>C</v>
          </cell>
          <cell r="L344" t="str">
            <v>BC1</v>
          </cell>
          <cell r="M344" t="str">
            <v>D6</v>
          </cell>
        </row>
        <row r="345">
          <cell r="C345">
            <v>2104</v>
          </cell>
          <cell r="D345">
            <v>42956</v>
          </cell>
          <cell r="E345" t="str">
            <v>cap</v>
          </cell>
          <cell r="F345" t="str">
            <v>Not yet done</v>
          </cell>
          <cell r="G345" t="str">
            <v>A</v>
          </cell>
          <cell r="H345">
            <v>0</v>
          </cell>
          <cell r="I345" t="str">
            <v>5 - other SNV pertinent</v>
          </cell>
          <cell r="K345" t="str">
            <v>A</v>
          </cell>
          <cell r="L345" t="str">
            <v>BC1</v>
          </cell>
          <cell r="M345" t="str">
            <v>F1</v>
          </cell>
        </row>
        <row r="346">
          <cell r="C346" t="str">
            <v>NO BLOOD</v>
          </cell>
          <cell r="D346">
            <v>42956</v>
          </cell>
          <cell r="E346" t="str">
            <v>cap</v>
          </cell>
          <cell r="F346" t="str">
            <v>Not yet done</v>
          </cell>
          <cell r="I346" t="str">
            <v>7 - not SNV match</v>
          </cell>
          <cell r="K346" t="str">
            <v>A</v>
          </cell>
          <cell r="L346" t="str">
            <v>BC2</v>
          </cell>
          <cell r="M346" t="str">
            <v>B3</v>
          </cell>
        </row>
        <row r="347">
          <cell r="C347">
            <v>2098</v>
          </cell>
          <cell r="D347">
            <v>42956</v>
          </cell>
          <cell r="E347" t="str">
            <v>cap</v>
          </cell>
          <cell r="F347" t="str">
            <v>Not yet done</v>
          </cell>
          <cell r="I347" t="str">
            <v>7 - not SNV match</v>
          </cell>
          <cell r="K347" t="str">
            <v>C</v>
          </cell>
          <cell r="L347" t="str">
            <v>BC2</v>
          </cell>
          <cell r="M347" t="str">
            <v>C6</v>
          </cell>
        </row>
        <row r="348">
          <cell r="C348">
            <v>2101</v>
          </cell>
          <cell r="D348">
            <v>42956</v>
          </cell>
          <cell r="E348" t="str">
            <v>cap</v>
          </cell>
          <cell r="F348" t="str">
            <v>Not yet done</v>
          </cell>
          <cell r="G348" t="str">
            <v>A</v>
          </cell>
          <cell r="H348">
            <v>0</v>
          </cell>
          <cell r="I348" t="str">
            <v>5 - other SNV pertinent</v>
          </cell>
          <cell r="K348" t="str">
            <v>C</v>
          </cell>
          <cell r="L348" t="str">
            <v>BC2</v>
          </cell>
          <cell r="M348" t="str">
            <v>F5</v>
          </cell>
        </row>
        <row r="349">
          <cell r="C349">
            <v>2099</v>
          </cell>
          <cell r="D349">
            <v>42956</v>
          </cell>
          <cell r="E349" t="str">
            <v>cap</v>
          </cell>
          <cell r="F349" t="str">
            <v>Not yet done</v>
          </cell>
          <cell r="G349" t="str">
            <v>A</v>
          </cell>
          <cell r="H349">
            <v>0</v>
          </cell>
          <cell r="I349" t="str">
            <v>5 - other SNV pertinent</v>
          </cell>
          <cell r="K349" t="str">
            <v>A</v>
          </cell>
          <cell r="L349" t="str">
            <v>BC2</v>
          </cell>
          <cell r="M349" t="str">
            <v>H1</v>
          </cell>
        </row>
        <row r="350">
          <cell r="C350">
            <v>2100</v>
          </cell>
          <cell r="D350">
            <v>42956</v>
          </cell>
          <cell r="E350" t="str">
            <v>cap</v>
          </cell>
          <cell r="F350" t="str">
            <v>Not yet done</v>
          </cell>
          <cell r="G350" t="str">
            <v>A</v>
          </cell>
          <cell r="H350">
            <v>0</v>
          </cell>
          <cell r="I350" t="str">
            <v>5 - other SNV pertinent</v>
          </cell>
          <cell r="K350" t="str">
            <v>C</v>
          </cell>
          <cell r="L350" t="str">
            <v>BC2</v>
          </cell>
          <cell r="M350" t="str">
            <v>H3</v>
          </cell>
        </row>
        <row r="351">
          <cell r="C351">
            <v>2107</v>
          </cell>
          <cell r="D351">
            <v>42957</v>
          </cell>
          <cell r="E351" t="str">
            <v>cap</v>
          </cell>
          <cell r="F351" t="str">
            <v>Not yet done</v>
          </cell>
          <cell r="G351" t="str">
            <v>A</v>
          </cell>
          <cell r="H351">
            <v>0</v>
          </cell>
          <cell r="I351" t="str">
            <v>4 - SNV timepoint</v>
          </cell>
          <cell r="K351" t="str">
            <v>A</v>
          </cell>
          <cell r="L351" t="str">
            <v>SP1</v>
          </cell>
          <cell r="M351" t="str">
            <v>A8</v>
          </cell>
          <cell r="N351">
            <v>43203</v>
          </cell>
          <cell r="O351" t="str">
            <v>TE</v>
          </cell>
          <cell r="Q351">
            <v>106</v>
          </cell>
        </row>
        <row r="352">
          <cell r="C352">
            <v>2108</v>
          </cell>
          <cell r="D352">
            <v>42957</v>
          </cell>
          <cell r="E352" t="str">
            <v>cap</v>
          </cell>
          <cell r="F352" t="str">
            <v>Not yet done</v>
          </cell>
          <cell r="G352" t="str">
            <v>A</v>
          </cell>
          <cell r="H352">
            <v>0</v>
          </cell>
          <cell r="I352" t="str">
            <v>4 - SNV timepoint</v>
          </cell>
          <cell r="K352" t="str">
            <v>A</v>
          </cell>
          <cell r="L352" t="str">
            <v>SP1</v>
          </cell>
          <cell r="M352" t="str">
            <v>B1</v>
          </cell>
        </row>
        <row r="353">
          <cell r="C353">
            <v>2111</v>
          </cell>
          <cell r="D353">
            <v>42957</v>
          </cell>
          <cell r="E353" t="str">
            <v>cap</v>
          </cell>
          <cell r="F353" t="str">
            <v>Not yet done</v>
          </cell>
          <cell r="G353" t="str">
            <v>A</v>
          </cell>
          <cell r="H353">
            <v>0</v>
          </cell>
          <cell r="I353" t="str">
            <v>4 - SNV timepoint</v>
          </cell>
          <cell r="K353" t="str">
            <v>A</v>
          </cell>
          <cell r="L353" t="str">
            <v>SP1</v>
          </cell>
          <cell r="M353" t="str">
            <v>H2</v>
          </cell>
          <cell r="N353">
            <v>43187</v>
          </cell>
          <cell r="O353" t="str">
            <v>JB</v>
          </cell>
          <cell r="Q353">
            <v>9</v>
          </cell>
          <cell r="X353">
            <v>416</v>
          </cell>
          <cell r="Y353">
            <v>25</v>
          </cell>
        </row>
        <row r="354">
          <cell r="C354">
            <v>2112</v>
          </cell>
          <cell r="D354">
            <v>42957</v>
          </cell>
          <cell r="E354" t="str">
            <v>cap</v>
          </cell>
          <cell r="F354" t="str">
            <v>Not yet done</v>
          </cell>
          <cell r="G354" t="str">
            <v>A</v>
          </cell>
          <cell r="H354">
            <v>0</v>
          </cell>
          <cell r="I354" t="str">
            <v>4 - SNV timepoint</v>
          </cell>
          <cell r="K354" t="str">
            <v>A</v>
          </cell>
          <cell r="L354" t="str">
            <v>SP1</v>
          </cell>
          <cell r="M354" t="str">
            <v>H5</v>
          </cell>
          <cell r="N354">
            <v>43203</v>
          </cell>
          <cell r="O354" t="str">
            <v>LV</v>
          </cell>
          <cell r="P354">
            <v>0</v>
          </cell>
          <cell r="Q354">
            <v>0</v>
          </cell>
          <cell r="R354">
            <v>0</v>
          </cell>
          <cell r="S354">
            <v>0</v>
          </cell>
          <cell r="T354">
            <v>0</v>
          </cell>
          <cell r="U354">
            <v>0</v>
          </cell>
          <cell r="V354">
            <v>0</v>
          </cell>
          <cell r="W354">
            <v>0</v>
          </cell>
          <cell r="X354">
            <v>0</v>
          </cell>
          <cell r="Y354">
            <v>0</v>
          </cell>
          <cell r="Z354">
            <v>0</v>
          </cell>
        </row>
        <row r="355">
          <cell r="C355">
            <v>2114</v>
          </cell>
          <cell r="D355">
            <v>42957</v>
          </cell>
          <cell r="E355" t="str">
            <v>cap</v>
          </cell>
          <cell r="F355" t="str">
            <v>Not yet done</v>
          </cell>
          <cell r="G355" t="str">
            <v>A</v>
          </cell>
          <cell r="H355">
            <v>0</v>
          </cell>
          <cell r="I355" t="str">
            <v>4 - SNV timepoint</v>
          </cell>
          <cell r="K355" t="str">
            <v>A</v>
          </cell>
          <cell r="L355" t="str">
            <v>SP2</v>
          </cell>
          <cell r="M355" t="str">
            <v>B7</v>
          </cell>
        </row>
        <row r="356">
          <cell r="C356">
            <v>2115</v>
          </cell>
          <cell r="D356">
            <v>42957</v>
          </cell>
          <cell r="E356" t="str">
            <v>cap</v>
          </cell>
          <cell r="F356" t="str">
            <v>Not yet done</v>
          </cell>
          <cell r="G356" t="str">
            <v>A</v>
          </cell>
          <cell r="H356">
            <v>0</v>
          </cell>
          <cell r="I356" t="str">
            <v>4 - SNV timepoint</v>
          </cell>
          <cell r="K356" t="str">
            <v>A</v>
          </cell>
          <cell r="L356" t="str">
            <v>SP2</v>
          </cell>
          <cell r="M356" t="str">
            <v>C2</v>
          </cell>
          <cell r="N356">
            <v>43188</v>
          </cell>
          <cell r="O356" t="str">
            <v>SB</v>
          </cell>
          <cell r="Q356">
            <v>26</v>
          </cell>
          <cell r="U356">
            <v>1</v>
          </cell>
          <cell r="V356">
            <v>1</v>
          </cell>
          <cell r="X356">
            <v>485</v>
          </cell>
          <cell r="Y356">
            <v>136</v>
          </cell>
          <cell r="Z356">
            <v>7</v>
          </cell>
        </row>
        <row r="357">
          <cell r="C357">
            <v>2116</v>
          </cell>
          <cell r="D357">
            <v>42957</v>
          </cell>
          <cell r="E357" t="str">
            <v>cap</v>
          </cell>
          <cell r="F357" t="str">
            <v>Not yet done</v>
          </cell>
          <cell r="G357" t="str">
            <v>SA</v>
          </cell>
          <cell r="H357">
            <v>0</v>
          </cell>
          <cell r="I357" t="str">
            <v>4 - SNV timepoint</v>
          </cell>
          <cell r="K357" t="str">
            <v>C</v>
          </cell>
          <cell r="L357" t="str">
            <v>SP2</v>
          </cell>
          <cell r="M357" t="str">
            <v>C4</v>
          </cell>
        </row>
        <row r="358">
          <cell r="C358">
            <v>2117</v>
          </cell>
          <cell r="D358">
            <v>42957</v>
          </cell>
          <cell r="E358" t="str">
            <v>cap</v>
          </cell>
          <cell r="F358" t="str">
            <v>Not yet done</v>
          </cell>
          <cell r="G358" t="str">
            <v>A</v>
          </cell>
          <cell r="H358">
            <v>0</v>
          </cell>
          <cell r="I358" t="str">
            <v>4 - SNV timepoint</v>
          </cell>
          <cell r="K358" t="str">
            <v>A</v>
          </cell>
          <cell r="L358" t="str">
            <v>SP2</v>
          </cell>
          <cell r="M358" t="str">
            <v>E1</v>
          </cell>
        </row>
        <row r="359">
          <cell r="C359">
            <v>2118</v>
          </cell>
          <cell r="D359">
            <v>42957</v>
          </cell>
          <cell r="E359" t="str">
            <v>cap</v>
          </cell>
          <cell r="F359" t="str">
            <v>Not yet done</v>
          </cell>
          <cell r="G359" t="str">
            <v>A</v>
          </cell>
          <cell r="H359">
            <v>0</v>
          </cell>
          <cell r="I359" t="str">
            <v>4 - SNV timepoint</v>
          </cell>
          <cell r="K359" t="str">
            <v>C</v>
          </cell>
          <cell r="L359" t="str">
            <v>SP2</v>
          </cell>
          <cell r="M359" t="str">
            <v>E6</v>
          </cell>
          <cell r="N359">
            <v>43203</v>
          </cell>
          <cell r="O359" t="str">
            <v>LV</v>
          </cell>
          <cell r="Q359">
            <v>9</v>
          </cell>
          <cell r="V359">
            <v>1</v>
          </cell>
          <cell r="X359">
            <v>26</v>
          </cell>
          <cell r="Z359">
            <v>1</v>
          </cell>
        </row>
        <row r="360">
          <cell r="C360">
            <v>2120</v>
          </cell>
          <cell r="D360">
            <v>42957</v>
          </cell>
          <cell r="E360" t="str">
            <v>cap</v>
          </cell>
          <cell r="F360" t="str">
            <v>Not yet done</v>
          </cell>
          <cell r="G360" t="str">
            <v>A</v>
          </cell>
          <cell r="H360">
            <v>0</v>
          </cell>
          <cell r="I360" t="str">
            <v>4 - SNV timepoint</v>
          </cell>
          <cell r="K360" t="str">
            <v>C</v>
          </cell>
          <cell r="L360" t="str">
            <v>SP2</v>
          </cell>
          <cell r="M360" t="str">
            <v>G2</v>
          </cell>
        </row>
        <row r="361">
          <cell r="C361">
            <v>2122</v>
          </cell>
          <cell r="D361">
            <v>42957</v>
          </cell>
          <cell r="E361" t="str">
            <v>cap</v>
          </cell>
          <cell r="F361" t="str">
            <v>Not yet done</v>
          </cell>
          <cell r="G361" t="str">
            <v>A</v>
          </cell>
          <cell r="H361">
            <v>0</v>
          </cell>
          <cell r="I361" t="str">
            <v>4 - SNV timepoint</v>
          </cell>
          <cell r="K361" t="str">
            <v>C</v>
          </cell>
          <cell r="L361" t="str">
            <v>SP2</v>
          </cell>
          <cell r="M361" t="str">
            <v>G5</v>
          </cell>
        </row>
        <row r="362">
          <cell r="C362">
            <v>2124</v>
          </cell>
          <cell r="D362">
            <v>42957</v>
          </cell>
          <cell r="E362" t="str">
            <v>cap</v>
          </cell>
          <cell r="F362" t="str">
            <v>Not yet done</v>
          </cell>
          <cell r="G362" t="str">
            <v>A</v>
          </cell>
          <cell r="H362">
            <v>0</v>
          </cell>
          <cell r="I362" t="str">
            <v>4 - SNV timepoint</v>
          </cell>
          <cell r="K362" t="str">
            <v>A</v>
          </cell>
          <cell r="L362" t="str">
            <v>SP2</v>
          </cell>
          <cell r="M362" t="str">
            <v>H3</v>
          </cell>
          <cell r="N362">
            <v>43203</v>
          </cell>
          <cell r="O362" t="str">
            <v>NB</v>
          </cell>
          <cell r="Q362">
            <v>17</v>
          </cell>
          <cell r="V362">
            <v>4</v>
          </cell>
          <cell r="W362">
            <v>5</v>
          </cell>
          <cell r="X362">
            <v>530</v>
          </cell>
        </row>
        <row r="363">
          <cell r="C363" t="str">
            <v>2125 (LOST IN CENTRIFUGE)</v>
          </cell>
          <cell r="D363">
            <v>42957</v>
          </cell>
          <cell r="E363" t="str">
            <v>cap</v>
          </cell>
          <cell r="F363" t="str">
            <v>Not yet done</v>
          </cell>
          <cell r="G363" t="str">
            <v>A</v>
          </cell>
          <cell r="H363">
            <v>0</v>
          </cell>
          <cell r="I363" t="str">
            <v>4 - SNV timepoint</v>
          </cell>
          <cell r="K363" t="str">
            <v>C</v>
          </cell>
          <cell r="L363" t="str">
            <v>SP2</v>
          </cell>
          <cell r="M363" t="str">
            <v>H6</v>
          </cell>
        </row>
        <row r="364">
          <cell r="C364">
            <v>2126</v>
          </cell>
          <cell r="D364">
            <v>42957</v>
          </cell>
          <cell r="E364" t="str">
            <v>cap</v>
          </cell>
          <cell r="F364" t="str">
            <v>Not yet done</v>
          </cell>
          <cell r="G364" t="str">
            <v>A</v>
          </cell>
          <cell r="H364">
            <v>0</v>
          </cell>
          <cell r="I364" t="str">
            <v>4 - SNV timepoint</v>
          </cell>
          <cell r="K364" t="str">
            <v>C</v>
          </cell>
          <cell r="L364" t="str">
            <v>SP2</v>
          </cell>
          <cell r="M364" t="str">
            <v>H8</v>
          </cell>
        </row>
        <row r="365">
          <cell r="C365">
            <v>2127</v>
          </cell>
          <cell r="D365">
            <v>42958</v>
          </cell>
          <cell r="E365" t="str">
            <v>cap</v>
          </cell>
          <cell r="F365" t="str">
            <v>Not yet done</v>
          </cell>
          <cell r="I365" t="str">
            <v>7 - not SNV match</v>
          </cell>
          <cell r="K365" t="str">
            <v>C</v>
          </cell>
          <cell r="L365" t="str">
            <v>SP1</v>
          </cell>
          <cell r="M365" t="str">
            <v>E5</v>
          </cell>
          <cell r="O365" t="str">
            <v>missing</v>
          </cell>
        </row>
        <row r="366">
          <cell r="C366">
            <v>2128</v>
          </cell>
          <cell r="D366">
            <v>42958</v>
          </cell>
          <cell r="E366" t="str">
            <v>cap</v>
          </cell>
          <cell r="F366" t="str">
            <v>Not yet done</v>
          </cell>
          <cell r="G366" t="str">
            <v>SA</v>
          </cell>
          <cell r="H366">
            <v>0</v>
          </cell>
          <cell r="I366" t="str">
            <v>4 - SNV timepoint</v>
          </cell>
          <cell r="K366" t="str">
            <v>A</v>
          </cell>
          <cell r="L366" t="str">
            <v>SP1</v>
          </cell>
          <cell r="M366" t="str">
            <v>E7</v>
          </cell>
        </row>
        <row r="367">
          <cell r="C367">
            <v>2129</v>
          </cell>
          <cell r="D367">
            <v>42958</v>
          </cell>
          <cell r="E367" t="str">
            <v>cap</v>
          </cell>
          <cell r="F367" t="str">
            <v>Not yet done</v>
          </cell>
          <cell r="I367" t="str">
            <v>7 - not SNV match</v>
          </cell>
          <cell r="K367" t="str">
            <v>A</v>
          </cell>
          <cell r="L367" t="str">
            <v>SP1</v>
          </cell>
          <cell r="M367" t="str">
            <v>G1</v>
          </cell>
          <cell r="N367">
            <v>43189</v>
          </cell>
          <cell r="O367" t="str">
            <v>NB</v>
          </cell>
          <cell r="P367">
            <v>0</v>
          </cell>
          <cell r="Q367">
            <v>0</v>
          </cell>
          <cell r="R367">
            <v>0</v>
          </cell>
          <cell r="S367">
            <v>0</v>
          </cell>
          <cell r="T367">
            <v>0</v>
          </cell>
          <cell r="U367">
            <v>0</v>
          </cell>
          <cell r="V367">
            <v>0</v>
          </cell>
          <cell r="W367">
            <v>0</v>
          </cell>
          <cell r="X367">
            <v>0</v>
          </cell>
          <cell r="Y367">
            <v>0</v>
          </cell>
          <cell r="Z367">
            <v>0</v>
          </cell>
        </row>
        <row r="368">
          <cell r="C368">
            <v>2131</v>
          </cell>
          <cell r="D368">
            <v>42958</v>
          </cell>
          <cell r="E368" t="str">
            <v>cap</v>
          </cell>
          <cell r="F368" t="str">
            <v>Not yet done</v>
          </cell>
          <cell r="G368" t="str">
            <v>SA</v>
          </cell>
          <cell r="H368">
            <v>0</v>
          </cell>
          <cell r="I368" t="str">
            <v>4 - SNV timepoint</v>
          </cell>
          <cell r="K368" t="str">
            <v>C</v>
          </cell>
          <cell r="L368" t="str">
            <v>SP1</v>
          </cell>
          <cell r="M368" t="str">
            <v>H7</v>
          </cell>
        </row>
        <row r="369">
          <cell r="C369">
            <v>2132</v>
          </cell>
          <cell r="D369">
            <v>42958</v>
          </cell>
          <cell r="E369" t="str">
            <v>cap</v>
          </cell>
          <cell r="F369" t="str">
            <v>Not yet done</v>
          </cell>
          <cell r="G369" t="str">
            <v>SA</v>
          </cell>
          <cell r="H369">
            <v>0</v>
          </cell>
          <cell r="I369" t="str">
            <v>4 - SNV timepoint</v>
          </cell>
          <cell r="K369" t="str">
            <v>A</v>
          </cell>
          <cell r="L369" t="str">
            <v>SP2</v>
          </cell>
          <cell r="M369" t="str">
            <v>A1</v>
          </cell>
        </row>
        <row r="370">
          <cell r="C370">
            <v>2133</v>
          </cell>
          <cell r="D370">
            <v>42958</v>
          </cell>
          <cell r="E370" t="str">
            <v>cap</v>
          </cell>
          <cell r="F370" t="str">
            <v>Not yet done</v>
          </cell>
          <cell r="G370" t="str">
            <v>A</v>
          </cell>
          <cell r="H370">
            <v>0</v>
          </cell>
          <cell r="I370" t="str">
            <v>4 - SNV timepoint</v>
          </cell>
          <cell r="K370" t="str">
            <v>A</v>
          </cell>
          <cell r="L370" t="str">
            <v>SP2</v>
          </cell>
          <cell r="M370" t="str">
            <v>A2</v>
          </cell>
          <cell r="N370">
            <v>43189</v>
          </cell>
          <cell r="O370" t="str">
            <v>JB</v>
          </cell>
          <cell r="Q370">
            <v>1</v>
          </cell>
          <cell r="W370">
            <v>1</v>
          </cell>
          <cell r="Z370">
            <v>4</v>
          </cell>
        </row>
        <row r="371">
          <cell r="C371">
            <v>2135</v>
          </cell>
          <cell r="D371">
            <v>42958</v>
          </cell>
          <cell r="E371" t="str">
            <v>cap</v>
          </cell>
          <cell r="F371" t="str">
            <v>Not yet done</v>
          </cell>
          <cell r="G371" t="str">
            <v>A</v>
          </cell>
          <cell r="H371">
            <v>0</v>
          </cell>
          <cell r="I371" t="str">
            <v>4 - SNV timepoint</v>
          </cell>
          <cell r="K371" t="str">
            <v>A</v>
          </cell>
          <cell r="L371" t="str">
            <v>SP2</v>
          </cell>
          <cell r="M371" t="str">
            <v>E1</v>
          </cell>
          <cell r="N371">
            <v>43188</v>
          </cell>
          <cell r="O371" t="str">
            <v>SB</v>
          </cell>
          <cell r="V371">
            <v>1</v>
          </cell>
          <cell r="Z371">
            <v>6</v>
          </cell>
        </row>
        <row r="372">
          <cell r="C372">
            <v>2139</v>
          </cell>
          <cell r="D372">
            <v>42958</v>
          </cell>
          <cell r="E372" t="str">
            <v>cap</v>
          </cell>
          <cell r="F372" t="str">
            <v>Not yet done</v>
          </cell>
          <cell r="G372" t="str">
            <v>SA</v>
          </cell>
          <cell r="H372">
            <v>0</v>
          </cell>
          <cell r="I372" t="str">
            <v>4 - SNV timepoint</v>
          </cell>
          <cell r="K372" t="str">
            <v>C</v>
          </cell>
          <cell r="L372" t="str">
            <v>SP2</v>
          </cell>
          <cell r="M372" t="str">
            <v>H8</v>
          </cell>
        </row>
        <row r="373">
          <cell r="C373">
            <v>2140</v>
          </cell>
          <cell r="D373">
            <v>42959</v>
          </cell>
          <cell r="E373" t="str">
            <v>cap</v>
          </cell>
          <cell r="F373" t="str">
            <v>Not yet done</v>
          </cell>
          <cell r="G373" t="str">
            <v>SA</v>
          </cell>
          <cell r="H373">
            <v>0</v>
          </cell>
          <cell r="I373" t="str">
            <v>4 - SNV timepoint</v>
          </cell>
          <cell r="K373" t="str">
            <v>A</v>
          </cell>
          <cell r="L373" t="str">
            <v>SP1</v>
          </cell>
          <cell r="M373" t="str">
            <v>G8</v>
          </cell>
        </row>
        <row r="374">
          <cell r="C374">
            <v>2144</v>
          </cell>
          <cell r="D374">
            <v>42959</v>
          </cell>
          <cell r="E374" t="str">
            <v>cap</v>
          </cell>
          <cell r="F374" t="str">
            <v>Not yet done</v>
          </cell>
          <cell r="G374" t="str">
            <v>A</v>
          </cell>
          <cell r="H374">
            <v>0</v>
          </cell>
          <cell r="I374" t="str">
            <v>4 - SNV timepoint</v>
          </cell>
          <cell r="K374" t="str">
            <v>C</v>
          </cell>
          <cell r="L374" t="str">
            <v>SP2</v>
          </cell>
          <cell r="M374" t="str">
            <v>B2</v>
          </cell>
          <cell r="N374">
            <v>43203</v>
          </cell>
          <cell r="O374" t="str">
            <v>NB</v>
          </cell>
          <cell r="Q374">
            <v>39</v>
          </cell>
        </row>
        <row r="375">
          <cell r="C375">
            <v>2148</v>
          </cell>
          <cell r="D375">
            <v>42963</v>
          </cell>
          <cell r="E375" t="str">
            <v>cap</v>
          </cell>
          <cell r="F375" t="str">
            <v>Not yet done</v>
          </cell>
          <cell r="G375" t="str">
            <v>A</v>
          </cell>
          <cell r="H375">
            <v>0</v>
          </cell>
          <cell r="I375" t="str">
            <v>5 - other SNV pertinent</v>
          </cell>
          <cell r="K375" t="str">
            <v>A</v>
          </cell>
          <cell r="L375" t="str">
            <v>PO1</v>
          </cell>
          <cell r="M375" t="str">
            <v>B5</v>
          </cell>
          <cell r="N375">
            <v>43203</v>
          </cell>
          <cell r="O375" t="str">
            <v>JB</v>
          </cell>
          <cell r="V375">
            <v>3</v>
          </cell>
          <cell r="W375">
            <v>4</v>
          </cell>
          <cell r="Z375">
            <v>7</v>
          </cell>
        </row>
        <row r="376">
          <cell r="C376">
            <v>2149</v>
          </cell>
          <cell r="D376">
            <v>42963</v>
          </cell>
          <cell r="E376" t="str">
            <v>cap</v>
          </cell>
          <cell r="F376" t="str">
            <v>Not yet done</v>
          </cell>
          <cell r="G376" t="str">
            <v>A</v>
          </cell>
          <cell r="H376">
            <v>0</v>
          </cell>
          <cell r="I376" t="str">
            <v>4 - SNV timepoint</v>
          </cell>
          <cell r="K376" t="str">
            <v>C</v>
          </cell>
          <cell r="L376" t="str">
            <v>PO1</v>
          </cell>
          <cell r="M376" t="str">
            <v>C2</v>
          </cell>
        </row>
        <row r="377">
          <cell r="C377">
            <v>2150</v>
          </cell>
          <cell r="D377">
            <v>42963</v>
          </cell>
          <cell r="E377" t="str">
            <v>cap</v>
          </cell>
          <cell r="F377" t="str">
            <v>Not yet done</v>
          </cell>
          <cell r="G377" t="str">
            <v>A</v>
          </cell>
          <cell r="H377">
            <v>0</v>
          </cell>
          <cell r="I377" t="str">
            <v>5 - other SNV pertinent</v>
          </cell>
          <cell r="K377" t="str">
            <v>A</v>
          </cell>
          <cell r="L377" t="str">
            <v>PO1</v>
          </cell>
          <cell r="M377" t="str">
            <v>D3</v>
          </cell>
        </row>
        <row r="378">
          <cell r="C378">
            <v>2151</v>
          </cell>
          <cell r="D378">
            <v>42963</v>
          </cell>
          <cell r="E378" t="str">
            <v>cap</v>
          </cell>
          <cell r="F378" t="str">
            <v>Not yet done</v>
          </cell>
          <cell r="I378" t="str">
            <v>7 - not SNV match</v>
          </cell>
          <cell r="K378" t="str">
            <v>A</v>
          </cell>
          <cell r="L378" t="str">
            <v>PO1</v>
          </cell>
          <cell r="M378" t="str">
            <v>F8</v>
          </cell>
        </row>
        <row r="379">
          <cell r="C379">
            <v>2156</v>
          </cell>
          <cell r="D379">
            <v>42963</v>
          </cell>
          <cell r="E379" t="str">
            <v>cap</v>
          </cell>
          <cell r="F379" t="str">
            <v>Not yet done</v>
          </cell>
          <cell r="G379" t="str">
            <v>A</v>
          </cell>
          <cell r="H379">
            <v>0</v>
          </cell>
          <cell r="I379" t="str">
            <v>4 - SNV timepoint</v>
          </cell>
          <cell r="K379" t="str">
            <v>C</v>
          </cell>
          <cell r="L379" t="str">
            <v>PO2</v>
          </cell>
          <cell r="M379" t="str">
            <v>A4</v>
          </cell>
        </row>
        <row r="380">
          <cell r="C380">
            <v>2157</v>
          </cell>
          <cell r="D380">
            <v>42963</v>
          </cell>
          <cell r="E380" t="str">
            <v>cap</v>
          </cell>
          <cell r="F380" t="str">
            <v>Not yet done</v>
          </cell>
          <cell r="G380" t="str">
            <v>A</v>
          </cell>
          <cell r="H380">
            <v>0</v>
          </cell>
          <cell r="I380" t="str">
            <v>5 - other SNV pertinent</v>
          </cell>
          <cell r="K380" t="str">
            <v>C</v>
          </cell>
          <cell r="L380" t="str">
            <v>PO2</v>
          </cell>
          <cell r="M380" t="str">
            <v>A7</v>
          </cell>
        </row>
        <row r="381">
          <cell r="C381">
            <v>2158</v>
          </cell>
          <cell r="D381">
            <v>42963</v>
          </cell>
          <cell r="E381" t="str">
            <v>cap</v>
          </cell>
          <cell r="F381" t="str">
            <v>Not yet done</v>
          </cell>
          <cell r="G381" t="str">
            <v>A</v>
          </cell>
          <cell r="H381">
            <v>0</v>
          </cell>
          <cell r="I381" t="str">
            <v>6 - do last SNV pertinent</v>
          </cell>
          <cell r="K381" t="str">
            <v>C</v>
          </cell>
          <cell r="L381" t="str">
            <v>PO2</v>
          </cell>
          <cell r="M381" t="str">
            <v>C8</v>
          </cell>
        </row>
        <row r="382">
          <cell r="C382">
            <v>2159</v>
          </cell>
          <cell r="D382">
            <v>42963</v>
          </cell>
          <cell r="E382" t="str">
            <v>cap</v>
          </cell>
          <cell r="F382" t="str">
            <v>Not yet done</v>
          </cell>
          <cell r="G382" t="str">
            <v>A</v>
          </cell>
          <cell r="H382">
            <v>0</v>
          </cell>
          <cell r="I382" t="str">
            <v>5 - other SNV pertinent</v>
          </cell>
          <cell r="K382" t="str">
            <v>A</v>
          </cell>
          <cell r="L382" t="str">
            <v>PO2</v>
          </cell>
          <cell r="M382" t="str">
            <v>D3</v>
          </cell>
        </row>
        <row r="383">
          <cell r="C383">
            <v>2162</v>
          </cell>
          <cell r="D383">
            <v>42963</v>
          </cell>
          <cell r="E383" t="str">
            <v>cap</v>
          </cell>
          <cell r="F383" t="str">
            <v>Not yet done</v>
          </cell>
          <cell r="G383" t="str">
            <v>A</v>
          </cell>
          <cell r="H383">
            <v>0</v>
          </cell>
          <cell r="I383" t="str">
            <v>5 - other SNV pertinent</v>
          </cell>
          <cell r="K383" t="str">
            <v>A</v>
          </cell>
          <cell r="L383" t="str">
            <v>PO2</v>
          </cell>
          <cell r="M383" t="str">
            <v>F5</v>
          </cell>
          <cell r="N383">
            <v>43203</v>
          </cell>
          <cell r="O383" t="str">
            <v>NB</v>
          </cell>
          <cell r="P383">
            <v>0</v>
          </cell>
          <cell r="Q383">
            <v>0</v>
          </cell>
          <cell r="R383">
            <v>0</v>
          </cell>
          <cell r="S383">
            <v>0</v>
          </cell>
          <cell r="T383">
            <v>0</v>
          </cell>
          <cell r="U383">
            <v>0</v>
          </cell>
          <cell r="V383">
            <v>0</v>
          </cell>
          <cell r="W383">
            <v>0</v>
          </cell>
          <cell r="X383">
            <v>0</v>
          </cell>
          <cell r="Y383">
            <v>0</v>
          </cell>
          <cell r="Z383">
            <v>0</v>
          </cell>
        </row>
        <row r="384">
          <cell r="C384">
            <v>2165</v>
          </cell>
          <cell r="D384">
            <v>42963</v>
          </cell>
          <cell r="E384" t="str">
            <v>cap</v>
          </cell>
          <cell r="F384" t="str">
            <v>Not yet done</v>
          </cell>
          <cell r="G384" t="str">
            <v>A</v>
          </cell>
          <cell r="H384">
            <v>0</v>
          </cell>
          <cell r="I384" t="str">
            <v>5 - other SNV pertinent</v>
          </cell>
          <cell r="K384" t="str">
            <v>C</v>
          </cell>
          <cell r="L384" t="str">
            <v>PO2</v>
          </cell>
          <cell r="M384" t="str">
            <v>H7</v>
          </cell>
        </row>
        <row r="385">
          <cell r="C385">
            <v>2167</v>
          </cell>
          <cell r="D385">
            <v>42964</v>
          </cell>
          <cell r="E385" t="str">
            <v>cap</v>
          </cell>
          <cell r="F385" t="str">
            <v>Not yet done</v>
          </cell>
          <cell r="G385" t="str">
            <v>A</v>
          </cell>
          <cell r="H385">
            <v>0</v>
          </cell>
          <cell r="I385" t="str">
            <v>5 - other SNV pertinent</v>
          </cell>
          <cell r="K385" t="str">
            <v>C</v>
          </cell>
          <cell r="L385" t="str">
            <v>PO1</v>
          </cell>
          <cell r="M385" t="str">
            <v>C2</v>
          </cell>
        </row>
        <row r="386">
          <cell r="C386">
            <v>2168</v>
          </cell>
          <cell r="D386">
            <v>42964</v>
          </cell>
          <cell r="E386" t="str">
            <v>cap</v>
          </cell>
          <cell r="F386" t="str">
            <v>Not yet done</v>
          </cell>
          <cell r="G386" t="str">
            <v>A</v>
          </cell>
          <cell r="H386">
            <v>0</v>
          </cell>
          <cell r="I386" t="str">
            <v>5 - other SNV pertinent</v>
          </cell>
          <cell r="K386" t="str">
            <v>A</v>
          </cell>
          <cell r="L386" t="str">
            <v>PO1</v>
          </cell>
          <cell r="M386" t="str">
            <v>D1</v>
          </cell>
        </row>
        <row r="387">
          <cell r="C387">
            <v>2169</v>
          </cell>
          <cell r="D387">
            <v>42964</v>
          </cell>
          <cell r="E387" t="str">
            <v>cap</v>
          </cell>
          <cell r="F387" t="str">
            <v>Not yet done</v>
          </cell>
          <cell r="G387" t="str">
            <v>SA</v>
          </cell>
          <cell r="H387">
            <v>0</v>
          </cell>
          <cell r="I387" t="str">
            <v>5 - other SNV pertinent</v>
          </cell>
          <cell r="K387" t="str">
            <v>C</v>
          </cell>
          <cell r="L387" t="str">
            <v>PO1</v>
          </cell>
          <cell r="M387" t="str">
            <v>E5</v>
          </cell>
        </row>
        <row r="388">
          <cell r="C388">
            <v>2171</v>
          </cell>
          <cell r="D388">
            <v>42964</v>
          </cell>
          <cell r="E388" t="str">
            <v>cap</v>
          </cell>
          <cell r="F388" t="str">
            <v>Not yet done</v>
          </cell>
          <cell r="G388" t="str">
            <v>A</v>
          </cell>
          <cell r="H388">
            <v>0</v>
          </cell>
          <cell r="I388" t="str">
            <v>5 - other SNV pertinent</v>
          </cell>
          <cell r="K388" t="str">
            <v>A</v>
          </cell>
          <cell r="L388" t="str">
            <v>PO1</v>
          </cell>
          <cell r="M388" t="str">
            <v>F8</v>
          </cell>
          <cell r="N388">
            <v>43206</v>
          </cell>
          <cell r="O388" t="str">
            <v>JY</v>
          </cell>
          <cell r="P388">
            <v>4</v>
          </cell>
          <cell r="Q388">
            <v>120</v>
          </cell>
          <cell r="X388">
            <v>136</v>
          </cell>
        </row>
        <row r="389">
          <cell r="C389">
            <v>2172</v>
          </cell>
          <cell r="D389">
            <v>42964</v>
          </cell>
          <cell r="E389" t="str">
            <v>cap</v>
          </cell>
          <cell r="F389" t="str">
            <v>Not yet done</v>
          </cell>
          <cell r="G389" t="str">
            <v>A</v>
          </cell>
          <cell r="H389">
            <v>0</v>
          </cell>
          <cell r="I389" t="str">
            <v>5 - other SNV pertinent</v>
          </cell>
          <cell r="K389" t="str">
            <v>A</v>
          </cell>
          <cell r="L389" t="str">
            <v>PO1</v>
          </cell>
          <cell r="M389" t="str">
            <v>G1</v>
          </cell>
        </row>
        <row r="390">
          <cell r="C390">
            <v>2173</v>
          </cell>
          <cell r="D390">
            <v>42964</v>
          </cell>
          <cell r="E390" t="str">
            <v>cap</v>
          </cell>
          <cell r="F390" t="str">
            <v>Not yet done</v>
          </cell>
          <cell r="G390" t="str">
            <v>A</v>
          </cell>
          <cell r="H390">
            <v>0</v>
          </cell>
          <cell r="I390" t="str">
            <v>6 - do last SNV pertinent</v>
          </cell>
          <cell r="K390" t="str">
            <v>C</v>
          </cell>
          <cell r="L390" t="str">
            <v>PO1</v>
          </cell>
          <cell r="M390" t="str">
            <v>G5</v>
          </cell>
        </row>
        <row r="391">
          <cell r="C391">
            <v>2174</v>
          </cell>
          <cell r="D391">
            <v>42964</v>
          </cell>
          <cell r="E391" t="str">
            <v>cap</v>
          </cell>
          <cell r="F391" t="str">
            <v>Not yet done</v>
          </cell>
          <cell r="G391" t="str">
            <v>SA</v>
          </cell>
          <cell r="H391">
            <v>0</v>
          </cell>
          <cell r="I391" t="str">
            <v>5 - other SNV pertinent</v>
          </cell>
          <cell r="K391" t="str">
            <v>A</v>
          </cell>
          <cell r="L391" t="str">
            <v>PO1</v>
          </cell>
          <cell r="M391" t="str">
            <v>H7</v>
          </cell>
          <cell r="N391">
            <v>43206</v>
          </cell>
          <cell r="O391" t="str">
            <v>JY</v>
          </cell>
          <cell r="Q391">
            <v>35</v>
          </cell>
          <cell r="X391">
            <v>31</v>
          </cell>
        </row>
        <row r="392">
          <cell r="C392">
            <v>2175</v>
          </cell>
          <cell r="D392">
            <v>42964</v>
          </cell>
          <cell r="E392" t="str">
            <v>cap</v>
          </cell>
          <cell r="F392" t="str">
            <v>Not yet done</v>
          </cell>
          <cell r="G392" t="str">
            <v>A</v>
          </cell>
          <cell r="H392">
            <v>0</v>
          </cell>
          <cell r="I392" t="str">
            <v>5 - other SNV pertinent</v>
          </cell>
          <cell r="K392" t="str">
            <v>A</v>
          </cell>
          <cell r="L392" t="str">
            <v>PO2</v>
          </cell>
          <cell r="M392" t="str">
            <v>A3</v>
          </cell>
          <cell r="N392">
            <v>43206</v>
          </cell>
          <cell r="O392" t="str">
            <v>JY</v>
          </cell>
          <cell r="Q392">
            <v>28</v>
          </cell>
          <cell r="U392">
            <v>1</v>
          </cell>
        </row>
        <row r="393">
          <cell r="C393">
            <v>2176</v>
          </cell>
          <cell r="D393">
            <v>42964</v>
          </cell>
          <cell r="E393" t="str">
            <v>cap</v>
          </cell>
          <cell r="F393" t="str">
            <v>Not yet done</v>
          </cell>
          <cell r="G393" t="str">
            <v>SA</v>
          </cell>
          <cell r="H393">
            <v>0</v>
          </cell>
          <cell r="I393" t="str">
            <v>4 - SNV timepoint</v>
          </cell>
          <cell r="K393" t="str">
            <v>C</v>
          </cell>
          <cell r="L393" t="str">
            <v>PO2</v>
          </cell>
          <cell r="M393" t="str">
            <v>A5</v>
          </cell>
        </row>
        <row r="394">
          <cell r="C394">
            <v>2177</v>
          </cell>
          <cell r="D394">
            <v>42964</v>
          </cell>
          <cell r="E394" t="str">
            <v>cap</v>
          </cell>
          <cell r="F394" t="str">
            <v>Not yet done</v>
          </cell>
          <cell r="G394" t="str">
            <v>A</v>
          </cell>
          <cell r="H394">
            <v>0</v>
          </cell>
          <cell r="I394" t="str">
            <v>2 - SNV pos at other timepoint</v>
          </cell>
          <cell r="K394" t="str">
            <v>C</v>
          </cell>
          <cell r="L394" t="str">
            <v>PO2</v>
          </cell>
          <cell r="M394" t="str">
            <v>C2</v>
          </cell>
        </row>
        <row r="395">
          <cell r="C395">
            <v>2178</v>
          </cell>
          <cell r="D395">
            <v>42964</v>
          </cell>
          <cell r="E395" t="str">
            <v>cap</v>
          </cell>
          <cell r="F395" t="str">
            <v>Not yet done</v>
          </cell>
          <cell r="G395" t="str">
            <v>A</v>
          </cell>
          <cell r="H395">
            <v>0</v>
          </cell>
          <cell r="I395" t="str">
            <v>5 - other SNV pertinent</v>
          </cell>
          <cell r="K395" t="str">
            <v>C</v>
          </cell>
          <cell r="L395" t="str">
            <v>PO2</v>
          </cell>
          <cell r="M395" t="str">
            <v>C8</v>
          </cell>
        </row>
        <row r="396">
          <cell r="C396">
            <v>2180</v>
          </cell>
          <cell r="D396">
            <v>42964</v>
          </cell>
          <cell r="E396" t="str">
            <v>cap</v>
          </cell>
          <cell r="F396" t="str">
            <v>Not yet done</v>
          </cell>
          <cell r="G396" t="str">
            <v>SA</v>
          </cell>
          <cell r="H396">
            <v>0</v>
          </cell>
          <cell r="I396" t="str">
            <v>5 - other SNV pertinent</v>
          </cell>
          <cell r="K396" t="str">
            <v>A</v>
          </cell>
          <cell r="L396" t="str">
            <v>PO2</v>
          </cell>
          <cell r="M396" t="str">
            <v>F3</v>
          </cell>
        </row>
        <row r="397">
          <cell r="C397">
            <v>2182</v>
          </cell>
          <cell r="D397">
            <v>42965</v>
          </cell>
          <cell r="E397" t="str">
            <v>cap</v>
          </cell>
          <cell r="F397" t="str">
            <v>Not yet done</v>
          </cell>
          <cell r="I397" t="str">
            <v>7 - not SNV match</v>
          </cell>
          <cell r="K397" t="str">
            <v>A</v>
          </cell>
          <cell r="L397" t="str">
            <v>PO1</v>
          </cell>
          <cell r="M397" t="str">
            <v>A6</v>
          </cell>
          <cell r="N397">
            <v>43189</v>
          </cell>
          <cell r="O397" t="str">
            <v>TE</v>
          </cell>
          <cell r="P397">
            <v>0</v>
          </cell>
          <cell r="Q397">
            <v>0</v>
          </cell>
          <cell r="R397">
            <v>0</v>
          </cell>
          <cell r="S397">
            <v>0</v>
          </cell>
          <cell r="T397">
            <v>0</v>
          </cell>
          <cell r="U397">
            <v>0</v>
          </cell>
          <cell r="V397">
            <v>0</v>
          </cell>
          <cell r="W397">
            <v>0</v>
          </cell>
          <cell r="X397">
            <v>0</v>
          </cell>
          <cell r="Y397">
            <v>0</v>
          </cell>
          <cell r="Z397">
            <v>0</v>
          </cell>
        </row>
        <row r="398">
          <cell r="C398">
            <v>2183</v>
          </cell>
          <cell r="D398">
            <v>42965</v>
          </cell>
          <cell r="E398" t="str">
            <v>cap</v>
          </cell>
          <cell r="F398" t="str">
            <v>Not yet done</v>
          </cell>
          <cell r="G398" t="str">
            <v>A</v>
          </cell>
          <cell r="H398">
            <v>0</v>
          </cell>
          <cell r="I398" t="str">
            <v>5 - other SNV pertinent</v>
          </cell>
          <cell r="K398" t="str">
            <v>A</v>
          </cell>
          <cell r="L398" t="str">
            <v>PO2</v>
          </cell>
          <cell r="M398" t="str">
            <v>B1</v>
          </cell>
          <cell r="N398">
            <v>43203</v>
          </cell>
          <cell r="O398" t="str">
            <v>JB</v>
          </cell>
          <cell r="Q398">
            <v>9</v>
          </cell>
          <cell r="T398">
            <v>8</v>
          </cell>
          <cell r="U398">
            <v>333</v>
          </cell>
          <cell r="Z398">
            <v>2</v>
          </cell>
        </row>
        <row r="399">
          <cell r="C399">
            <v>2204</v>
          </cell>
          <cell r="D399">
            <v>42966</v>
          </cell>
          <cell r="E399" t="str">
            <v>cap</v>
          </cell>
          <cell r="F399" t="str">
            <v>Not yet done</v>
          </cell>
          <cell r="G399" t="str">
            <v>A</v>
          </cell>
          <cell r="H399">
            <v>0</v>
          </cell>
          <cell r="I399" t="str">
            <v>6 - do last SNV pertinent</v>
          </cell>
          <cell r="K399" t="str">
            <v>C</v>
          </cell>
          <cell r="L399" t="str">
            <v>HW1</v>
          </cell>
          <cell r="M399" t="str">
            <v>A6</v>
          </cell>
        </row>
        <row r="400">
          <cell r="C400">
            <v>2205</v>
          </cell>
          <cell r="D400">
            <v>42966</v>
          </cell>
          <cell r="E400" t="str">
            <v>cap</v>
          </cell>
          <cell r="F400" t="str">
            <v>Not yet done</v>
          </cell>
          <cell r="G400" t="str">
            <v>A</v>
          </cell>
          <cell r="H400">
            <v>0</v>
          </cell>
          <cell r="I400" t="str">
            <v>5 - other SNV pertinent</v>
          </cell>
          <cell r="K400" t="str">
            <v>A</v>
          </cell>
          <cell r="L400" t="str">
            <v>HW1</v>
          </cell>
          <cell r="M400" t="str">
            <v>A7</v>
          </cell>
        </row>
        <row r="401">
          <cell r="C401">
            <v>2206</v>
          </cell>
          <cell r="D401">
            <v>42966</v>
          </cell>
          <cell r="E401" t="str">
            <v>cap</v>
          </cell>
          <cell r="F401" t="str">
            <v>Not yet done</v>
          </cell>
          <cell r="G401" t="str">
            <v>A</v>
          </cell>
          <cell r="H401">
            <v>0</v>
          </cell>
          <cell r="I401" t="str">
            <v>5 - other SNV pertinent</v>
          </cell>
          <cell r="K401" t="str">
            <v>A</v>
          </cell>
          <cell r="L401" t="str">
            <v>HW1</v>
          </cell>
          <cell r="M401" t="str">
            <v>A8</v>
          </cell>
        </row>
        <row r="402">
          <cell r="C402">
            <v>2207</v>
          </cell>
          <cell r="D402">
            <v>42966</v>
          </cell>
          <cell r="E402" t="str">
            <v>cap</v>
          </cell>
          <cell r="F402" t="str">
            <v>Not yet done</v>
          </cell>
          <cell r="G402" t="str">
            <v>SA</v>
          </cell>
          <cell r="H402">
            <v>0</v>
          </cell>
          <cell r="I402" t="str">
            <v>5 - other SNV pertinent</v>
          </cell>
          <cell r="K402" t="str">
            <v>C</v>
          </cell>
          <cell r="L402" t="str">
            <v>HW1</v>
          </cell>
          <cell r="M402" t="str">
            <v>B3</v>
          </cell>
        </row>
        <row r="403">
          <cell r="C403">
            <v>2203</v>
          </cell>
          <cell r="D403">
            <v>42966</v>
          </cell>
          <cell r="E403" t="str">
            <v>cap</v>
          </cell>
          <cell r="F403" t="str">
            <v>Not yet done</v>
          </cell>
          <cell r="G403" t="str">
            <v>A</v>
          </cell>
          <cell r="H403">
            <v>0</v>
          </cell>
          <cell r="I403" t="str">
            <v>5 - other SNV pertinent</v>
          </cell>
          <cell r="K403" t="str">
            <v>A</v>
          </cell>
          <cell r="L403" t="str">
            <v>HW1</v>
          </cell>
          <cell r="M403" t="str">
            <v>B4</v>
          </cell>
        </row>
        <row r="404">
          <cell r="C404">
            <v>2208</v>
          </cell>
          <cell r="D404">
            <v>42966</v>
          </cell>
          <cell r="E404" t="str">
            <v>cap</v>
          </cell>
          <cell r="F404" t="str">
            <v>Not yet done</v>
          </cell>
          <cell r="G404" t="str">
            <v>A</v>
          </cell>
          <cell r="H404">
            <v>0</v>
          </cell>
          <cell r="I404" t="str">
            <v>5 - other SNV pertinent</v>
          </cell>
          <cell r="K404" t="str">
            <v>A</v>
          </cell>
          <cell r="L404" t="str">
            <v>HW1</v>
          </cell>
          <cell r="M404" t="str">
            <v>C7</v>
          </cell>
        </row>
        <row r="405">
          <cell r="C405">
            <v>2209</v>
          </cell>
          <cell r="D405">
            <v>42966</v>
          </cell>
          <cell r="E405" t="str">
            <v>cap</v>
          </cell>
          <cell r="F405" t="str">
            <v>Not yet done</v>
          </cell>
          <cell r="G405" t="str">
            <v>A</v>
          </cell>
          <cell r="H405">
            <v>0</v>
          </cell>
          <cell r="I405" t="str">
            <v>5 - other SNV pertinent</v>
          </cell>
          <cell r="K405" t="str">
            <v>C</v>
          </cell>
          <cell r="L405" t="str">
            <v>HW1</v>
          </cell>
          <cell r="M405" t="str">
            <v>D2</v>
          </cell>
        </row>
        <row r="406">
          <cell r="C406">
            <v>2210</v>
          </cell>
          <cell r="D406">
            <v>42966</v>
          </cell>
          <cell r="E406" t="str">
            <v>cap</v>
          </cell>
          <cell r="F406" t="str">
            <v>Not yet done</v>
          </cell>
          <cell r="G406" t="str">
            <v>A</v>
          </cell>
          <cell r="H406">
            <v>0</v>
          </cell>
          <cell r="I406" t="str">
            <v>5 - other SNV pertinent</v>
          </cell>
          <cell r="K406" t="str">
            <v>C</v>
          </cell>
          <cell r="L406" t="str">
            <v>HW1</v>
          </cell>
          <cell r="M406" t="str">
            <v>D8</v>
          </cell>
        </row>
        <row r="407">
          <cell r="C407">
            <v>2211</v>
          </cell>
          <cell r="D407">
            <v>42966</v>
          </cell>
          <cell r="E407" t="str">
            <v>cap</v>
          </cell>
          <cell r="F407" t="str">
            <v>Not yet done</v>
          </cell>
          <cell r="G407" t="str">
            <v>A</v>
          </cell>
          <cell r="H407">
            <v>0</v>
          </cell>
          <cell r="I407" t="str">
            <v>5 - other SNV pertinent</v>
          </cell>
          <cell r="K407" t="str">
            <v>A</v>
          </cell>
          <cell r="L407" t="str">
            <v>HW1</v>
          </cell>
          <cell r="M407" t="str">
            <v>E7</v>
          </cell>
        </row>
        <row r="408">
          <cell r="C408">
            <v>2212</v>
          </cell>
          <cell r="D408">
            <v>42966</v>
          </cell>
          <cell r="E408" t="str">
            <v>cap</v>
          </cell>
          <cell r="F408" t="str">
            <v>Not yet done</v>
          </cell>
          <cell r="G408" t="str">
            <v>A</v>
          </cell>
          <cell r="H408">
            <v>0</v>
          </cell>
          <cell r="I408" t="str">
            <v>5 - other SNV pertinent</v>
          </cell>
          <cell r="K408" t="str">
            <v>A</v>
          </cell>
          <cell r="L408" t="str">
            <v>HW1</v>
          </cell>
          <cell r="M408" t="str">
            <v>E8</v>
          </cell>
        </row>
        <row r="409">
          <cell r="C409">
            <v>2213</v>
          </cell>
          <cell r="D409">
            <v>42966</v>
          </cell>
          <cell r="E409" t="str">
            <v>cap</v>
          </cell>
          <cell r="F409" t="str">
            <v>Not yet done</v>
          </cell>
          <cell r="G409" t="str">
            <v>A</v>
          </cell>
          <cell r="H409">
            <v>0</v>
          </cell>
          <cell r="I409" t="str">
            <v>5 - other SNV pertinent</v>
          </cell>
          <cell r="K409" t="str">
            <v>A</v>
          </cell>
          <cell r="L409" t="str">
            <v>HW1</v>
          </cell>
          <cell r="M409" t="str">
            <v>F4</v>
          </cell>
        </row>
        <row r="410">
          <cell r="C410">
            <v>2215</v>
          </cell>
          <cell r="D410">
            <v>42966</v>
          </cell>
          <cell r="E410" t="str">
            <v>cap</v>
          </cell>
          <cell r="F410" t="str">
            <v>Not yet done</v>
          </cell>
          <cell r="G410" t="str">
            <v>A</v>
          </cell>
          <cell r="H410">
            <v>0</v>
          </cell>
          <cell r="I410" t="str">
            <v>5 - other SNV pertinent</v>
          </cell>
          <cell r="K410" t="str">
            <v>A</v>
          </cell>
          <cell r="L410" t="str">
            <v>HW1</v>
          </cell>
          <cell r="M410" t="str">
            <v>G1</v>
          </cell>
        </row>
        <row r="411">
          <cell r="C411">
            <v>2214</v>
          </cell>
          <cell r="D411">
            <v>42966</v>
          </cell>
          <cell r="E411" t="str">
            <v>cap</v>
          </cell>
          <cell r="F411" t="str">
            <v>Not yet done</v>
          </cell>
          <cell r="G411" t="str">
            <v>A</v>
          </cell>
          <cell r="H411">
            <v>0</v>
          </cell>
          <cell r="I411" t="str">
            <v>5 - other SNV pertinent</v>
          </cell>
          <cell r="K411" t="str">
            <v>A</v>
          </cell>
          <cell r="L411" t="str">
            <v>HW1</v>
          </cell>
          <cell r="M411" t="str">
            <v>G8</v>
          </cell>
        </row>
        <row r="412">
          <cell r="C412">
            <v>2216</v>
          </cell>
          <cell r="D412">
            <v>42966</v>
          </cell>
          <cell r="E412" t="str">
            <v>cap</v>
          </cell>
          <cell r="F412" t="str">
            <v>Not yet done</v>
          </cell>
          <cell r="G412" t="str">
            <v>A</v>
          </cell>
          <cell r="H412">
            <v>0</v>
          </cell>
          <cell r="I412" t="str">
            <v>5 - other SNV pertinent</v>
          </cell>
          <cell r="K412" t="str">
            <v>C</v>
          </cell>
          <cell r="L412" t="str">
            <v>HW1</v>
          </cell>
          <cell r="M412" t="str">
            <v>H2</v>
          </cell>
        </row>
        <row r="413">
          <cell r="C413">
            <v>2217</v>
          </cell>
          <cell r="D413">
            <v>42966</v>
          </cell>
          <cell r="E413" t="str">
            <v>cap</v>
          </cell>
          <cell r="F413" t="str">
            <v>Not yet done</v>
          </cell>
          <cell r="G413" t="str">
            <v>A</v>
          </cell>
          <cell r="H413">
            <v>0</v>
          </cell>
          <cell r="I413" t="str">
            <v>5 - other SNV pertinent</v>
          </cell>
          <cell r="K413" t="str">
            <v>A</v>
          </cell>
          <cell r="L413" t="str">
            <v>HW1</v>
          </cell>
          <cell r="M413" t="str">
            <v>H3</v>
          </cell>
        </row>
        <row r="414">
          <cell r="C414">
            <v>2185</v>
          </cell>
          <cell r="D414">
            <v>42966</v>
          </cell>
          <cell r="E414" t="str">
            <v>cap</v>
          </cell>
          <cell r="F414" t="str">
            <v>Not yet done</v>
          </cell>
          <cell r="G414" t="str">
            <v>A</v>
          </cell>
          <cell r="H414">
            <v>0</v>
          </cell>
          <cell r="I414" t="str">
            <v>5 - other SNV pertinent</v>
          </cell>
          <cell r="K414" t="str">
            <v>C</v>
          </cell>
          <cell r="L414" t="str">
            <v>HW2</v>
          </cell>
          <cell r="M414" t="str">
            <v>A1</v>
          </cell>
        </row>
        <row r="415">
          <cell r="C415">
            <v>2186</v>
          </cell>
          <cell r="D415">
            <v>42966</v>
          </cell>
          <cell r="E415" t="str">
            <v>cap</v>
          </cell>
          <cell r="F415" t="str">
            <v>Not yet done</v>
          </cell>
          <cell r="G415" t="str">
            <v>A</v>
          </cell>
          <cell r="H415">
            <v>0</v>
          </cell>
          <cell r="I415" t="str">
            <v>5 - other SNV pertinent</v>
          </cell>
          <cell r="K415" t="str">
            <v>A</v>
          </cell>
          <cell r="L415" t="str">
            <v>HW2</v>
          </cell>
          <cell r="M415" t="str">
            <v>A8</v>
          </cell>
        </row>
        <row r="416">
          <cell r="C416">
            <v>2187</v>
          </cell>
          <cell r="D416">
            <v>42966</v>
          </cell>
          <cell r="E416" t="str">
            <v>cap</v>
          </cell>
          <cell r="F416" t="str">
            <v>Not yet done</v>
          </cell>
          <cell r="G416" t="str">
            <v>A</v>
          </cell>
          <cell r="H416">
            <v>0</v>
          </cell>
          <cell r="I416" t="str">
            <v>5 - other SNV pertinent</v>
          </cell>
          <cell r="K416" t="str">
            <v>A</v>
          </cell>
          <cell r="L416" t="str">
            <v>HW2</v>
          </cell>
          <cell r="M416" t="str">
            <v>B1</v>
          </cell>
        </row>
        <row r="417">
          <cell r="C417">
            <v>2188</v>
          </cell>
          <cell r="D417">
            <v>42966</v>
          </cell>
          <cell r="E417" t="str">
            <v>cap</v>
          </cell>
          <cell r="F417" t="str">
            <v>Not yet done</v>
          </cell>
          <cell r="G417" t="str">
            <v>A</v>
          </cell>
          <cell r="H417">
            <v>0</v>
          </cell>
          <cell r="I417" t="str">
            <v>5 - other SNV pertinent</v>
          </cell>
          <cell r="K417" t="str">
            <v>C</v>
          </cell>
          <cell r="L417" t="str">
            <v>HW2</v>
          </cell>
          <cell r="M417" t="str">
            <v>B3</v>
          </cell>
        </row>
        <row r="418">
          <cell r="C418">
            <v>2189</v>
          </cell>
          <cell r="D418">
            <v>42966</v>
          </cell>
          <cell r="E418" t="str">
            <v>cap</v>
          </cell>
          <cell r="F418" t="str">
            <v>Not yet done</v>
          </cell>
          <cell r="G418" t="str">
            <v>A</v>
          </cell>
          <cell r="H418">
            <v>0</v>
          </cell>
          <cell r="I418" t="str">
            <v>5 - other SNV pertinent</v>
          </cell>
          <cell r="K418" t="str">
            <v>C</v>
          </cell>
          <cell r="L418" t="str">
            <v>HW2</v>
          </cell>
          <cell r="M418" t="str">
            <v>B7</v>
          </cell>
        </row>
        <row r="419">
          <cell r="C419">
            <v>2190</v>
          </cell>
          <cell r="D419">
            <v>42966</v>
          </cell>
          <cell r="E419" t="str">
            <v>cap</v>
          </cell>
          <cell r="F419" t="str">
            <v>Not yet done</v>
          </cell>
          <cell r="I419" t="str">
            <v>7 - not SNV match</v>
          </cell>
          <cell r="K419" t="str">
            <v>A</v>
          </cell>
          <cell r="L419" t="str">
            <v>HW2</v>
          </cell>
          <cell r="M419" t="str">
            <v>C7</v>
          </cell>
        </row>
        <row r="420">
          <cell r="C420">
            <v>2191</v>
          </cell>
          <cell r="D420">
            <v>42966</v>
          </cell>
          <cell r="E420" t="str">
            <v>cap</v>
          </cell>
          <cell r="F420" t="str">
            <v>Not yet done</v>
          </cell>
          <cell r="G420" t="str">
            <v>A</v>
          </cell>
          <cell r="H420">
            <v>0</v>
          </cell>
          <cell r="I420" t="str">
            <v>5 - other SNV pertinent</v>
          </cell>
          <cell r="K420" t="str">
            <v>A</v>
          </cell>
          <cell r="L420" t="str">
            <v>HW2</v>
          </cell>
          <cell r="M420" t="str">
            <v>D2</v>
          </cell>
        </row>
        <row r="421">
          <cell r="C421">
            <v>2192</v>
          </cell>
          <cell r="D421">
            <v>42966</v>
          </cell>
          <cell r="E421" t="str">
            <v>cap</v>
          </cell>
          <cell r="F421" t="str">
            <v>Not yet done</v>
          </cell>
          <cell r="G421" t="str">
            <v>A</v>
          </cell>
          <cell r="H421">
            <v>0</v>
          </cell>
          <cell r="I421" t="str">
            <v>5 - other SNV pertinent</v>
          </cell>
          <cell r="K421" t="str">
            <v>A</v>
          </cell>
          <cell r="L421" t="str">
            <v>HW2</v>
          </cell>
          <cell r="M421" t="str">
            <v>D4</v>
          </cell>
        </row>
        <row r="422">
          <cell r="C422">
            <v>2193</v>
          </cell>
          <cell r="D422">
            <v>42966</v>
          </cell>
          <cell r="E422" t="str">
            <v>cap</v>
          </cell>
          <cell r="F422" t="str">
            <v>Not yet done</v>
          </cell>
          <cell r="I422" t="str">
            <v>7 - not SNV match</v>
          </cell>
          <cell r="K422" t="str">
            <v>A</v>
          </cell>
          <cell r="L422" t="str">
            <v>HW2</v>
          </cell>
          <cell r="M422" t="str">
            <v>D6</v>
          </cell>
        </row>
        <row r="423">
          <cell r="C423">
            <v>2194</v>
          </cell>
          <cell r="D423">
            <v>42966</v>
          </cell>
          <cell r="E423" t="str">
            <v>cap</v>
          </cell>
          <cell r="F423" t="str">
            <v>Not yet done</v>
          </cell>
          <cell r="G423" t="str">
            <v>SA</v>
          </cell>
          <cell r="H423">
            <v>0</v>
          </cell>
          <cell r="I423" t="str">
            <v>5 - other SNV pertinent</v>
          </cell>
          <cell r="K423" t="str">
            <v>C</v>
          </cell>
          <cell r="L423" t="str">
            <v>HW2</v>
          </cell>
          <cell r="M423" t="str">
            <v>D8</v>
          </cell>
        </row>
        <row r="424">
          <cell r="C424">
            <v>2195</v>
          </cell>
          <cell r="D424">
            <v>42966</v>
          </cell>
          <cell r="E424" t="str">
            <v>cap</v>
          </cell>
          <cell r="F424" t="str">
            <v>Not yet done</v>
          </cell>
          <cell r="G424" t="str">
            <v>A</v>
          </cell>
          <cell r="H424">
            <v>0</v>
          </cell>
          <cell r="I424" t="str">
            <v>5 - other SNV pertinent</v>
          </cell>
          <cell r="K424" t="str">
            <v>C</v>
          </cell>
          <cell r="L424" t="str">
            <v>HW2</v>
          </cell>
          <cell r="M424" t="str">
            <v>E1</v>
          </cell>
        </row>
        <row r="425">
          <cell r="C425">
            <v>2196</v>
          </cell>
          <cell r="D425">
            <v>42966</v>
          </cell>
          <cell r="E425" t="str">
            <v>cap</v>
          </cell>
          <cell r="F425" t="str">
            <v>Not yet done</v>
          </cell>
          <cell r="G425" t="str">
            <v>A</v>
          </cell>
          <cell r="H425">
            <v>0</v>
          </cell>
          <cell r="I425" t="str">
            <v>5 - other SNV pertinent</v>
          </cell>
          <cell r="K425" t="str">
            <v>A</v>
          </cell>
          <cell r="L425" t="str">
            <v>HW2</v>
          </cell>
          <cell r="M425" t="str">
            <v>E2</v>
          </cell>
        </row>
        <row r="426">
          <cell r="C426">
            <v>2197</v>
          </cell>
          <cell r="D426">
            <v>42966</v>
          </cell>
          <cell r="E426" t="str">
            <v>cap</v>
          </cell>
          <cell r="F426" t="str">
            <v>Not yet done</v>
          </cell>
          <cell r="G426" t="str">
            <v>A</v>
          </cell>
          <cell r="H426">
            <v>0</v>
          </cell>
          <cell r="I426" t="str">
            <v>5 - other SNV pertinent</v>
          </cell>
          <cell r="K426" t="str">
            <v>C</v>
          </cell>
          <cell r="L426" t="str">
            <v>HW2</v>
          </cell>
          <cell r="M426" t="str">
            <v>E7</v>
          </cell>
        </row>
        <row r="427">
          <cell r="C427">
            <v>2198</v>
          </cell>
          <cell r="D427">
            <v>42966</v>
          </cell>
          <cell r="E427" t="str">
            <v>cap</v>
          </cell>
          <cell r="F427" t="str">
            <v>Not yet done</v>
          </cell>
          <cell r="G427" t="str">
            <v>A</v>
          </cell>
          <cell r="H427">
            <v>0</v>
          </cell>
          <cell r="I427" t="str">
            <v>5 - other SNV pertinent</v>
          </cell>
          <cell r="K427" t="str">
            <v>A</v>
          </cell>
          <cell r="L427" t="str">
            <v>HW2</v>
          </cell>
          <cell r="M427" t="str">
            <v>F2</v>
          </cell>
        </row>
        <row r="428">
          <cell r="C428">
            <v>2199</v>
          </cell>
          <cell r="D428">
            <v>42966</v>
          </cell>
          <cell r="E428" t="str">
            <v>cap</v>
          </cell>
          <cell r="F428" t="str">
            <v>Not yet done</v>
          </cell>
          <cell r="G428" t="str">
            <v>A</v>
          </cell>
          <cell r="H428">
            <v>0</v>
          </cell>
          <cell r="I428" t="str">
            <v>5 - other SNV pertinent</v>
          </cell>
          <cell r="K428" t="str">
            <v>C</v>
          </cell>
          <cell r="L428" t="str">
            <v>HW2</v>
          </cell>
          <cell r="M428" t="str">
            <v>G1</v>
          </cell>
        </row>
        <row r="429">
          <cell r="C429">
            <v>2200</v>
          </cell>
          <cell r="D429">
            <v>42966</v>
          </cell>
          <cell r="E429" t="str">
            <v>cap</v>
          </cell>
          <cell r="F429" t="str">
            <v>Not yet done</v>
          </cell>
          <cell r="G429" t="str">
            <v>A</v>
          </cell>
          <cell r="H429">
            <v>0</v>
          </cell>
          <cell r="I429" t="str">
            <v>5 - other SNV pertinent</v>
          </cell>
          <cell r="K429" t="str">
            <v>A</v>
          </cell>
          <cell r="L429" t="str">
            <v>HW2</v>
          </cell>
          <cell r="M429" t="str">
            <v>H2</v>
          </cell>
        </row>
        <row r="430">
          <cell r="C430">
            <v>2201</v>
          </cell>
          <cell r="D430">
            <v>42966</v>
          </cell>
          <cell r="E430" t="str">
            <v>cap</v>
          </cell>
          <cell r="F430" t="str">
            <v>Not yet done</v>
          </cell>
          <cell r="G430" t="str">
            <v>A</v>
          </cell>
          <cell r="H430">
            <v>0</v>
          </cell>
          <cell r="I430" t="str">
            <v>5 - other SNV pertinent</v>
          </cell>
          <cell r="K430" t="str">
            <v>A</v>
          </cell>
          <cell r="L430" t="str">
            <v>HW2</v>
          </cell>
          <cell r="M430" t="str">
            <v>H4</v>
          </cell>
        </row>
        <row r="431">
          <cell r="C431">
            <v>2202</v>
          </cell>
          <cell r="D431">
            <v>42966</v>
          </cell>
          <cell r="E431" t="str">
            <v>cap</v>
          </cell>
          <cell r="F431" t="str">
            <v>Not yet done</v>
          </cell>
          <cell r="G431" t="str">
            <v>A</v>
          </cell>
          <cell r="H431">
            <v>0</v>
          </cell>
          <cell r="I431" t="str">
            <v>5 - other SNV pertinent</v>
          </cell>
          <cell r="K431" t="str">
            <v>C</v>
          </cell>
          <cell r="L431" t="str">
            <v>HW2</v>
          </cell>
          <cell r="M431" t="str">
            <v>H7</v>
          </cell>
        </row>
        <row r="432">
          <cell r="C432">
            <v>2219</v>
          </cell>
          <cell r="D432">
            <v>42967</v>
          </cell>
          <cell r="E432" t="str">
            <v>cap</v>
          </cell>
          <cell r="F432" t="str">
            <v>Not yet done</v>
          </cell>
          <cell r="G432" t="str">
            <v>A</v>
          </cell>
          <cell r="H432">
            <v>0</v>
          </cell>
          <cell r="I432" t="str">
            <v>5 - other SNV pertinent</v>
          </cell>
          <cell r="K432" t="str">
            <v>A</v>
          </cell>
          <cell r="L432" t="str">
            <v>HW1</v>
          </cell>
          <cell r="M432" t="str">
            <v>A1</v>
          </cell>
        </row>
        <row r="433">
          <cell r="C433">
            <v>2220</v>
          </cell>
          <cell r="D433">
            <v>42967</v>
          </cell>
          <cell r="E433" t="str">
            <v>cap</v>
          </cell>
          <cell r="F433" t="str">
            <v>Not yet done, no sample - less than blank tube</v>
          </cell>
          <cell r="I433" t="str">
            <v>Missing?</v>
          </cell>
          <cell r="K433" t="str">
            <v>A</v>
          </cell>
          <cell r="L433" t="str">
            <v>HW1</v>
          </cell>
          <cell r="M433" t="str">
            <v>B8</v>
          </cell>
        </row>
        <row r="434">
          <cell r="C434">
            <v>2221</v>
          </cell>
          <cell r="D434">
            <v>42967</v>
          </cell>
          <cell r="E434" t="str">
            <v>cap</v>
          </cell>
          <cell r="F434" t="str">
            <v>Not yet done</v>
          </cell>
          <cell r="I434" t="str">
            <v>7 - not SNV match</v>
          </cell>
          <cell r="K434" t="str">
            <v>A</v>
          </cell>
          <cell r="L434" t="str">
            <v>HW1</v>
          </cell>
          <cell r="M434" t="str">
            <v>D2</v>
          </cell>
        </row>
        <row r="435">
          <cell r="C435">
            <v>2222</v>
          </cell>
          <cell r="D435">
            <v>42967</v>
          </cell>
          <cell r="E435" t="str">
            <v>cap</v>
          </cell>
          <cell r="F435" t="str">
            <v>Not yet done</v>
          </cell>
          <cell r="G435" t="str">
            <v>A</v>
          </cell>
          <cell r="H435">
            <v>0</v>
          </cell>
          <cell r="I435" t="str">
            <v>5 - other SNV pertinent</v>
          </cell>
          <cell r="K435" t="str">
            <v>C</v>
          </cell>
          <cell r="L435" t="str">
            <v>HW1</v>
          </cell>
          <cell r="M435" t="str">
            <v>D5</v>
          </cell>
        </row>
        <row r="436">
          <cell r="C436">
            <v>2223</v>
          </cell>
          <cell r="D436">
            <v>42967</v>
          </cell>
          <cell r="E436" t="str">
            <v>cap</v>
          </cell>
          <cell r="F436" t="str">
            <v>Not yet done</v>
          </cell>
          <cell r="G436" t="str">
            <v>A</v>
          </cell>
          <cell r="H436">
            <v>0</v>
          </cell>
          <cell r="I436" t="str">
            <v>5 - other SNV pertinent</v>
          </cell>
          <cell r="K436" t="str">
            <v>A</v>
          </cell>
          <cell r="L436" t="str">
            <v>HW1</v>
          </cell>
          <cell r="M436" t="str">
            <v>D8</v>
          </cell>
        </row>
        <row r="437">
          <cell r="C437">
            <v>2218</v>
          </cell>
          <cell r="D437">
            <v>42967</v>
          </cell>
          <cell r="E437" t="str">
            <v>cap</v>
          </cell>
          <cell r="F437" t="str">
            <v>Not yet done</v>
          </cell>
          <cell r="I437" t="str">
            <v>7 - not SNV match</v>
          </cell>
          <cell r="K437" t="str">
            <v>C</v>
          </cell>
          <cell r="L437" t="str">
            <v>HW2</v>
          </cell>
          <cell r="M437" t="str">
            <v>E7</v>
          </cell>
        </row>
        <row r="438">
          <cell r="C438" t="str">
            <v>NO BLOOD</v>
          </cell>
          <cell r="D438">
            <v>42967</v>
          </cell>
          <cell r="E438" t="str">
            <v>cap</v>
          </cell>
          <cell r="F438" t="str">
            <v>Not yet done</v>
          </cell>
          <cell r="I438" t="str">
            <v>7 - not SNV match</v>
          </cell>
          <cell r="K438" t="str">
            <v>C</v>
          </cell>
          <cell r="L438" t="str">
            <v>HW2</v>
          </cell>
          <cell r="M438" t="str">
            <v>G5</v>
          </cell>
        </row>
        <row r="439">
          <cell r="C439">
            <v>2228</v>
          </cell>
          <cell r="D439">
            <v>42968</v>
          </cell>
          <cell r="E439" t="str">
            <v>cap</v>
          </cell>
          <cell r="F439" t="str">
            <v>Not yet done</v>
          </cell>
          <cell r="G439" t="str">
            <v>A</v>
          </cell>
          <cell r="H439">
            <v>0</v>
          </cell>
          <cell r="I439" t="str">
            <v>5 - other SNV pertinent</v>
          </cell>
          <cell r="K439" t="str">
            <v>C</v>
          </cell>
          <cell r="L439" t="str">
            <v>HW1</v>
          </cell>
          <cell r="M439" t="str">
            <v>H6</v>
          </cell>
        </row>
        <row r="440">
          <cell r="C440">
            <v>2224</v>
          </cell>
          <cell r="D440">
            <v>42968</v>
          </cell>
          <cell r="E440" t="str">
            <v>cap</v>
          </cell>
          <cell r="F440" t="str">
            <v>Not yet done</v>
          </cell>
          <cell r="G440" t="str">
            <v>A</v>
          </cell>
          <cell r="H440">
            <v>0</v>
          </cell>
          <cell r="I440" t="str">
            <v>5 - other SNV pertinent</v>
          </cell>
          <cell r="K440" t="str">
            <v>A</v>
          </cell>
          <cell r="L440" t="str">
            <v>HW2</v>
          </cell>
          <cell r="M440" t="str">
            <v>B8</v>
          </cell>
        </row>
        <row r="441">
          <cell r="C441">
            <v>2225</v>
          </cell>
          <cell r="D441">
            <v>42968</v>
          </cell>
          <cell r="E441" t="str">
            <v>cap</v>
          </cell>
          <cell r="F441" t="str">
            <v>Not yet done</v>
          </cell>
          <cell r="G441" t="str">
            <v>A</v>
          </cell>
          <cell r="H441">
            <v>0</v>
          </cell>
          <cell r="I441" t="str">
            <v>5 - other SNV pertinent</v>
          </cell>
          <cell r="K441" t="str">
            <v>C</v>
          </cell>
          <cell r="L441" t="str">
            <v>HW2</v>
          </cell>
          <cell r="M441" t="str">
            <v>E7</v>
          </cell>
        </row>
        <row r="442">
          <cell r="C442">
            <v>2226</v>
          </cell>
          <cell r="D442">
            <v>42968</v>
          </cell>
          <cell r="E442" t="str">
            <v>cap</v>
          </cell>
          <cell r="F442" t="str">
            <v>Not yet done</v>
          </cell>
          <cell r="G442" t="str">
            <v>A</v>
          </cell>
          <cell r="H442">
            <v>0</v>
          </cell>
          <cell r="I442" t="str">
            <v>5 - other SNV pertinent</v>
          </cell>
          <cell r="K442" t="str">
            <v>A</v>
          </cell>
          <cell r="L442" t="str">
            <v>HW2</v>
          </cell>
          <cell r="M442" t="str">
            <v>E8</v>
          </cell>
        </row>
        <row r="443">
          <cell r="C443">
            <v>2227</v>
          </cell>
          <cell r="D443">
            <v>42968</v>
          </cell>
          <cell r="E443" t="str">
            <v>cap</v>
          </cell>
          <cell r="F443" t="str">
            <v>Not yet done</v>
          </cell>
          <cell r="G443" t="str">
            <v>A</v>
          </cell>
          <cell r="H443">
            <v>0</v>
          </cell>
          <cell r="I443" t="str">
            <v>5 - other SNV pertinent</v>
          </cell>
          <cell r="K443" t="str">
            <v>A</v>
          </cell>
          <cell r="L443" t="str">
            <v>HW2</v>
          </cell>
          <cell r="M443" t="str">
            <v>H7</v>
          </cell>
        </row>
        <row r="444">
          <cell r="C444">
            <v>2230</v>
          </cell>
          <cell r="D444">
            <v>42972</v>
          </cell>
          <cell r="E444" t="str">
            <v>cap</v>
          </cell>
          <cell r="F444" t="str">
            <v>Not yet done</v>
          </cell>
          <cell r="G444" t="str">
            <v>A</v>
          </cell>
          <cell r="H444">
            <v>0</v>
          </cell>
          <cell r="I444" t="str">
            <v>5 - other SNV pertinent</v>
          </cell>
          <cell r="K444" t="str">
            <v>A</v>
          </cell>
          <cell r="L444" t="str">
            <v>SP1</v>
          </cell>
          <cell r="M444" t="str">
            <v>B5</v>
          </cell>
        </row>
        <row r="445">
          <cell r="C445">
            <v>2231</v>
          </cell>
          <cell r="D445">
            <v>42972</v>
          </cell>
          <cell r="E445" t="str">
            <v>cap</v>
          </cell>
          <cell r="F445" t="str">
            <v>Not yet done</v>
          </cell>
          <cell r="G445" t="str">
            <v>A</v>
          </cell>
          <cell r="H445">
            <v>0</v>
          </cell>
          <cell r="I445" t="str">
            <v>4 - SNV timepoint</v>
          </cell>
          <cell r="K445" t="str">
            <v>A</v>
          </cell>
          <cell r="L445" t="str">
            <v>SP1</v>
          </cell>
          <cell r="M445" t="str">
            <v>C2</v>
          </cell>
        </row>
        <row r="446">
          <cell r="C446">
            <v>2232</v>
          </cell>
          <cell r="D446">
            <v>42972</v>
          </cell>
          <cell r="E446" t="str">
            <v>cap</v>
          </cell>
          <cell r="F446" t="str">
            <v>Not yet done</v>
          </cell>
          <cell r="I446" t="str">
            <v>7 - not SNV match</v>
          </cell>
          <cell r="K446" t="str">
            <v>C</v>
          </cell>
          <cell r="L446" t="str">
            <v>SP1</v>
          </cell>
          <cell r="M446" t="str">
            <v>C7</v>
          </cell>
        </row>
        <row r="447">
          <cell r="C447">
            <v>2233</v>
          </cell>
          <cell r="D447">
            <v>42972</v>
          </cell>
          <cell r="E447" t="str">
            <v>cap</v>
          </cell>
          <cell r="F447" t="str">
            <v>Not yet done</v>
          </cell>
          <cell r="I447" t="str">
            <v>7 - not SNV match</v>
          </cell>
          <cell r="K447" t="str">
            <v>C</v>
          </cell>
          <cell r="L447" t="str">
            <v>SP1</v>
          </cell>
          <cell r="M447" t="str">
            <v>D1</v>
          </cell>
        </row>
        <row r="448">
          <cell r="C448">
            <v>2235</v>
          </cell>
          <cell r="D448">
            <v>42972</v>
          </cell>
          <cell r="E448" t="str">
            <v>cap</v>
          </cell>
          <cell r="F448" t="str">
            <v>Not yet done</v>
          </cell>
          <cell r="G448" t="str">
            <v>A</v>
          </cell>
          <cell r="H448">
            <v>0</v>
          </cell>
          <cell r="I448" t="str">
            <v>5 - other SNV pertinent</v>
          </cell>
          <cell r="K448" t="str">
            <v>A</v>
          </cell>
          <cell r="L448" t="str">
            <v>SP1</v>
          </cell>
          <cell r="M448" t="str">
            <v>F1</v>
          </cell>
        </row>
        <row r="449">
          <cell r="C449">
            <v>2236</v>
          </cell>
          <cell r="D449">
            <v>42972</v>
          </cell>
          <cell r="E449" t="str">
            <v>cap</v>
          </cell>
          <cell r="F449" t="str">
            <v>Not yet done</v>
          </cell>
          <cell r="I449" t="str">
            <v>7 - not SNV match</v>
          </cell>
          <cell r="K449" t="str">
            <v>A</v>
          </cell>
          <cell r="L449" t="str">
            <v>SP1</v>
          </cell>
          <cell r="M449" t="str">
            <v>G1</v>
          </cell>
        </row>
        <row r="450">
          <cell r="C450">
            <v>2237</v>
          </cell>
          <cell r="D450">
            <v>42972</v>
          </cell>
          <cell r="E450" t="str">
            <v>cap</v>
          </cell>
          <cell r="F450" t="str">
            <v>Not yet done</v>
          </cell>
          <cell r="G450" t="str">
            <v>SA</v>
          </cell>
          <cell r="H450">
            <v>0</v>
          </cell>
          <cell r="I450" t="str">
            <v>4 - SNV timepoint</v>
          </cell>
          <cell r="K450" t="str">
            <v>C</v>
          </cell>
          <cell r="L450" t="str">
            <v>SP1</v>
          </cell>
          <cell r="M450" t="str">
            <v>G2</v>
          </cell>
        </row>
        <row r="451">
          <cell r="C451">
            <v>2238</v>
          </cell>
          <cell r="D451">
            <v>42972</v>
          </cell>
          <cell r="E451" t="str">
            <v>cap</v>
          </cell>
          <cell r="F451" t="str">
            <v>Not yet done</v>
          </cell>
          <cell r="G451" t="str">
            <v>SA</v>
          </cell>
          <cell r="H451">
            <v>0</v>
          </cell>
          <cell r="I451" t="str">
            <v>5 - other SNV pertinent</v>
          </cell>
          <cell r="K451" t="str">
            <v>C</v>
          </cell>
          <cell r="L451" t="str">
            <v>SP1</v>
          </cell>
          <cell r="M451" t="str">
            <v>G5</v>
          </cell>
        </row>
        <row r="452">
          <cell r="C452">
            <v>2239</v>
          </cell>
          <cell r="D452">
            <v>42972</v>
          </cell>
          <cell r="E452" t="str">
            <v>cap</v>
          </cell>
          <cell r="F452" t="str">
            <v>Not yet done</v>
          </cell>
          <cell r="G452" t="str">
            <v>A</v>
          </cell>
          <cell r="H452">
            <v>0</v>
          </cell>
          <cell r="I452" t="str">
            <v>5 - other SNV pertinent</v>
          </cell>
          <cell r="K452" t="str">
            <v>C</v>
          </cell>
          <cell r="L452" t="str">
            <v>SP1</v>
          </cell>
          <cell r="M452" t="str">
            <v>H2</v>
          </cell>
          <cell r="N452">
            <v>43207</v>
          </cell>
          <cell r="O452" t="str">
            <v>JB</v>
          </cell>
          <cell r="P452">
            <v>34</v>
          </cell>
          <cell r="Q452">
            <v>172</v>
          </cell>
          <cell r="S452">
            <v>1</v>
          </cell>
          <cell r="T452">
            <v>1</v>
          </cell>
        </row>
        <row r="453">
          <cell r="C453" t="str">
            <v>NO BLOOD</v>
          </cell>
          <cell r="D453">
            <v>42972</v>
          </cell>
          <cell r="E453" t="str">
            <v>cap</v>
          </cell>
          <cell r="F453" t="str">
            <v>Not yet done</v>
          </cell>
          <cell r="I453" t="str">
            <v>7 - not SNV match</v>
          </cell>
          <cell r="K453" t="str">
            <v>C</v>
          </cell>
          <cell r="L453" t="str">
            <v>SP1</v>
          </cell>
          <cell r="M453" t="str">
            <v>H5</v>
          </cell>
        </row>
        <row r="454">
          <cell r="C454">
            <v>2241</v>
          </cell>
          <cell r="D454">
            <v>42972</v>
          </cell>
          <cell r="E454" t="str">
            <v>cap</v>
          </cell>
          <cell r="F454" t="str">
            <v>Not yet done</v>
          </cell>
          <cell r="G454" t="str">
            <v>A</v>
          </cell>
          <cell r="H454">
            <v>0</v>
          </cell>
          <cell r="I454" t="str">
            <v>6 - do last SNV pertinent</v>
          </cell>
          <cell r="K454" t="str">
            <v>C</v>
          </cell>
          <cell r="L454" t="str">
            <v>SP1</v>
          </cell>
          <cell r="M454" t="str">
            <v>H8</v>
          </cell>
        </row>
        <row r="455">
          <cell r="C455">
            <v>2242</v>
          </cell>
          <cell r="D455">
            <v>42972</v>
          </cell>
          <cell r="E455" t="str">
            <v>cap</v>
          </cell>
          <cell r="F455" t="str">
            <v>Not yet done</v>
          </cell>
          <cell r="G455" t="str">
            <v>A</v>
          </cell>
          <cell r="H455">
            <v>0</v>
          </cell>
          <cell r="I455" t="str">
            <v>5 - other SNV pertinent</v>
          </cell>
          <cell r="K455" t="str">
            <v>C</v>
          </cell>
          <cell r="L455" t="str">
            <v>SP2</v>
          </cell>
          <cell r="M455" t="str">
            <v>A2</v>
          </cell>
        </row>
        <row r="456">
          <cell r="C456" t="str">
            <v>NO BLOOD</v>
          </cell>
          <cell r="D456">
            <v>42972</v>
          </cell>
          <cell r="E456" t="str">
            <v>cap</v>
          </cell>
          <cell r="F456" t="str">
            <v>Not yet done</v>
          </cell>
          <cell r="I456" t="str">
            <v>7 - not SNV match</v>
          </cell>
          <cell r="K456" t="str">
            <v>A</v>
          </cell>
          <cell r="L456" t="str">
            <v>SP2</v>
          </cell>
          <cell r="M456" t="str">
            <v>B4</v>
          </cell>
        </row>
        <row r="457">
          <cell r="C457">
            <v>2246</v>
          </cell>
          <cell r="D457">
            <v>42972</v>
          </cell>
          <cell r="E457" t="str">
            <v>cap</v>
          </cell>
          <cell r="F457" t="str">
            <v>Not yet done</v>
          </cell>
          <cell r="G457" t="str">
            <v>SA</v>
          </cell>
          <cell r="H457">
            <v>0</v>
          </cell>
          <cell r="I457" t="str">
            <v>4 - SNV timepoint</v>
          </cell>
          <cell r="K457" t="str">
            <v>C</v>
          </cell>
          <cell r="L457" t="str">
            <v>SP2</v>
          </cell>
          <cell r="M457" t="str">
            <v>C4</v>
          </cell>
        </row>
        <row r="458">
          <cell r="C458">
            <v>2248</v>
          </cell>
          <cell r="D458">
            <v>42972</v>
          </cell>
          <cell r="E458" t="str">
            <v>cap</v>
          </cell>
          <cell r="F458" t="str">
            <v>Not yet done</v>
          </cell>
          <cell r="G458" t="str">
            <v>A</v>
          </cell>
          <cell r="H458">
            <v>0</v>
          </cell>
          <cell r="I458" t="str">
            <v>5 - other SNV pertinent</v>
          </cell>
          <cell r="K458" t="str">
            <v>A</v>
          </cell>
          <cell r="L458" t="str">
            <v>SP2</v>
          </cell>
          <cell r="M458" t="str">
            <v>D1</v>
          </cell>
        </row>
        <row r="459">
          <cell r="C459">
            <v>2249</v>
          </cell>
          <cell r="D459">
            <v>42972</v>
          </cell>
          <cell r="E459" t="str">
            <v>cap</v>
          </cell>
          <cell r="F459" t="str">
            <v>Not yet done</v>
          </cell>
          <cell r="G459" t="str">
            <v>A</v>
          </cell>
          <cell r="H459">
            <v>0</v>
          </cell>
          <cell r="I459" t="str">
            <v>5 - other SNV pertinent</v>
          </cell>
          <cell r="K459" t="str">
            <v>C</v>
          </cell>
          <cell r="L459" t="str">
            <v>SP2</v>
          </cell>
          <cell r="M459" t="str">
            <v>D2</v>
          </cell>
          <cell r="N459">
            <v>43208</v>
          </cell>
          <cell r="O459" t="str">
            <v>JY</v>
          </cell>
          <cell r="P459">
            <v>0</v>
          </cell>
          <cell r="Q459">
            <v>0</v>
          </cell>
          <cell r="R459">
            <v>0</v>
          </cell>
          <cell r="S459">
            <v>0</v>
          </cell>
          <cell r="T459">
            <v>0</v>
          </cell>
          <cell r="U459">
            <v>0</v>
          </cell>
          <cell r="V459">
            <v>0</v>
          </cell>
          <cell r="W459">
            <v>0</v>
          </cell>
          <cell r="X459">
            <v>0</v>
          </cell>
          <cell r="Y459">
            <v>0</v>
          </cell>
          <cell r="Z459">
            <v>0</v>
          </cell>
        </row>
        <row r="460">
          <cell r="C460">
            <v>2250</v>
          </cell>
          <cell r="D460">
            <v>42972</v>
          </cell>
          <cell r="E460" t="str">
            <v>cap</v>
          </cell>
          <cell r="F460" t="str">
            <v>Not yet done</v>
          </cell>
          <cell r="G460" t="str">
            <v>A</v>
          </cell>
          <cell r="H460">
            <v>0</v>
          </cell>
          <cell r="I460" t="str">
            <v>5 - other SNV pertinent</v>
          </cell>
          <cell r="K460" t="str">
            <v>C</v>
          </cell>
          <cell r="L460" t="str">
            <v>SP2</v>
          </cell>
          <cell r="M460" t="str">
            <v>D6</v>
          </cell>
          <cell r="N460">
            <v>43208</v>
          </cell>
          <cell r="O460" t="str">
            <v>JY</v>
          </cell>
          <cell r="X460">
            <v>51</v>
          </cell>
        </row>
        <row r="461">
          <cell r="C461">
            <v>2252</v>
          </cell>
          <cell r="D461">
            <v>42972</v>
          </cell>
          <cell r="E461" t="str">
            <v>cap</v>
          </cell>
          <cell r="F461" t="str">
            <v>Not yet done</v>
          </cell>
          <cell r="G461" t="str">
            <v>SA</v>
          </cell>
          <cell r="H461">
            <v>0</v>
          </cell>
          <cell r="I461" t="str">
            <v>4 - SNV timepoint</v>
          </cell>
          <cell r="K461" t="str">
            <v>A</v>
          </cell>
          <cell r="L461" t="str">
            <v>SP2</v>
          </cell>
          <cell r="M461" t="str">
            <v>G1</v>
          </cell>
        </row>
        <row r="462">
          <cell r="C462">
            <v>2253</v>
          </cell>
          <cell r="D462">
            <v>42972</v>
          </cell>
          <cell r="E462" t="str">
            <v>cap</v>
          </cell>
          <cell r="F462" t="str">
            <v>Not yet done</v>
          </cell>
          <cell r="G462" t="str">
            <v>A</v>
          </cell>
          <cell r="H462">
            <v>0</v>
          </cell>
          <cell r="I462" t="str">
            <v>2 - SNV pos at other timepoint</v>
          </cell>
          <cell r="K462" t="str">
            <v>C</v>
          </cell>
          <cell r="L462" t="str">
            <v>SP2</v>
          </cell>
          <cell r="M462" t="str">
            <v>G2</v>
          </cell>
          <cell r="N462">
            <v>43208</v>
          </cell>
          <cell r="O462" t="str">
            <v>JB</v>
          </cell>
          <cell r="P462">
            <v>46</v>
          </cell>
          <cell r="Q462">
            <v>278</v>
          </cell>
          <cell r="Z462">
            <v>2</v>
          </cell>
        </row>
        <row r="463">
          <cell r="C463">
            <v>2254</v>
          </cell>
          <cell r="D463">
            <v>42972</v>
          </cell>
          <cell r="E463" t="str">
            <v>cap</v>
          </cell>
          <cell r="F463" t="str">
            <v>Not yet done</v>
          </cell>
          <cell r="G463" t="str">
            <v>A</v>
          </cell>
          <cell r="H463">
            <v>0</v>
          </cell>
          <cell r="I463" t="str">
            <v>5 - other SNV pertinent</v>
          </cell>
          <cell r="K463" t="str">
            <v>A</v>
          </cell>
          <cell r="L463" t="str">
            <v>SP2</v>
          </cell>
          <cell r="M463" t="str">
            <v>G5</v>
          </cell>
          <cell r="N463">
            <v>43208</v>
          </cell>
          <cell r="O463" t="str">
            <v>JB</v>
          </cell>
          <cell r="X463">
            <v>245</v>
          </cell>
        </row>
        <row r="464">
          <cell r="C464">
            <v>2255</v>
          </cell>
          <cell r="D464">
            <v>42972</v>
          </cell>
          <cell r="E464" t="str">
            <v>cap</v>
          </cell>
          <cell r="F464" t="str">
            <v>Not yet done</v>
          </cell>
          <cell r="G464" t="str">
            <v>A</v>
          </cell>
          <cell r="H464">
            <v>0</v>
          </cell>
          <cell r="I464" t="str">
            <v>5 - other SNV pertinent</v>
          </cell>
          <cell r="K464" t="str">
            <v>A</v>
          </cell>
          <cell r="L464" t="str">
            <v>SP2</v>
          </cell>
          <cell r="M464" t="str">
            <v>G8</v>
          </cell>
        </row>
        <row r="465">
          <cell r="C465">
            <v>2259</v>
          </cell>
          <cell r="D465">
            <v>42973</v>
          </cell>
          <cell r="E465" t="str">
            <v>cap</v>
          </cell>
          <cell r="F465" t="str">
            <v>Not yet done</v>
          </cell>
          <cell r="G465" t="str">
            <v>SA</v>
          </cell>
          <cell r="H465">
            <v>0</v>
          </cell>
          <cell r="I465" t="str">
            <v>4 - SNV timepoint</v>
          </cell>
          <cell r="K465" t="str">
            <v>A</v>
          </cell>
          <cell r="L465" t="str">
            <v>SP1</v>
          </cell>
          <cell r="M465" t="str">
            <v>A3</v>
          </cell>
        </row>
        <row r="466">
          <cell r="C466">
            <v>2260</v>
          </cell>
          <cell r="D466">
            <v>42973</v>
          </cell>
          <cell r="E466" t="str">
            <v>cap</v>
          </cell>
          <cell r="F466" t="str">
            <v>Not yet done</v>
          </cell>
          <cell r="G466" t="str">
            <v>A</v>
          </cell>
          <cell r="H466">
            <v>0</v>
          </cell>
          <cell r="I466" t="str">
            <v>5 - other SNV pertinent</v>
          </cell>
          <cell r="K466" t="str">
            <v>A</v>
          </cell>
          <cell r="L466" t="str">
            <v>SP1</v>
          </cell>
          <cell r="M466" t="str">
            <v>B7</v>
          </cell>
        </row>
        <row r="467">
          <cell r="C467">
            <v>2261</v>
          </cell>
          <cell r="D467">
            <v>42973</v>
          </cell>
          <cell r="E467" t="str">
            <v>recap</v>
          </cell>
          <cell r="F467" t="str">
            <v>Not yet done, no sample?</v>
          </cell>
          <cell r="I467" t="str">
            <v>7 - not SNV match</v>
          </cell>
          <cell r="L467" t="str">
            <v>SP1</v>
          </cell>
          <cell r="M467" t="str">
            <v>H4</v>
          </cell>
        </row>
        <row r="468">
          <cell r="C468">
            <v>2262</v>
          </cell>
          <cell r="D468">
            <v>42973</v>
          </cell>
          <cell r="E468" t="str">
            <v>cap</v>
          </cell>
          <cell r="F468" t="str">
            <v>Not yet done</v>
          </cell>
          <cell r="I468" t="str">
            <v>7 - not SNV match</v>
          </cell>
          <cell r="K468" t="str">
            <v>(injured, euthanized)</v>
          </cell>
          <cell r="L468" t="str">
            <v>SP2</v>
          </cell>
          <cell r="M468" t="str">
            <v>A5</v>
          </cell>
        </row>
        <row r="469">
          <cell r="C469">
            <v>2263</v>
          </cell>
          <cell r="D469">
            <v>42973</v>
          </cell>
          <cell r="E469" t="str">
            <v>cap</v>
          </cell>
          <cell r="F469" t="str">
            <v>Not yet done</v>
          </cell>
          <cell r="G469" t="str">
            <v>A</v>
          </cell>
          <cell r="H469">
            <v>0</v>
          </cell>
          <cell r="I469" t="str">
            <v>5 - other SNV pertinent</v>
          </cell>
          <cell r="K469" t="str">
            <v>C</v>
          </cell>
          <cell r="L469" t="str">
            <v>SP2</v>
          </cell>
          <cell r="M469" t="str">
            <v>B4</v>
          </cell>
        </row>
        <row r="470">
          <cell r="C470">
            <v>2265</v>
          </cell>
          <cell r="D470">
            <v>42973</v>
          </cell>
          <cell r="E470" t="str">
            <v>cap</v>
          </cell>
          <cell r="F470" t="str">
            <v>Not yet done</v>
          </cell>
          <cell r="G470" t="str">
            <v>A</v>
          </cell>
          <cell r="H470">
            <v>0</v>
          </cell>
          <cell r="I470" t="str">
            <v>5 - other SNV pertinent</v>
          </cell>
          <cell r="K470" t="str">
            <v>A</v>
          </cell>
          <cell r="L470" t="str">
            <v>SP2</v>
          </cell>
          <cell r="M470" t="str">
            <v>D7</v>
          </cell>
        </row>
        <row r="471">
          <cell r="C471">
            <v>2267</v>
          </cell>
          <cell r="D471">
            <v>42974</v>
          </cell>
          <cell r="E471" t="str">
            <v>cap</v>
          </cell>
          <cell r="F471" t="str">
            <v>Not yet done</v>
          </cell>
          <cell r="I471" t="str">
            <v>7 - not SNV match</v>
          </cell>
          <cell r="K471" t="str">
            <v>A</v>
          </cell>
          <cell r="L471" t="str">
            <v>SP1</v>
          </cell>
          <cell r="M471" t="str">
            <v>E8</v>
          </cell>
        </row>
        <row r="472">
          <cell r="C472">
            <v>2266</v>
          </cell>
          <cell r="D472">
            <v>42974</v>
          </cell>
          <cell r="E472" t="str">
            <v>cap</v>
          </cell>
          <cell r="F472" t="str">
            <v>Not yet done</v>
          </cell>
          <cell r="G472" t="str">
            <v>J</v>
          </cell>
          <cell r="H472">
            <v>0</v>
          </cell>
          <cell r="I472" t="str">
            <v>5 - other SNV pertinent</v>
          </cell>
          <cell r="K472" t="str">
            <v>C</v>
          </cell>
          <cell r="L472" t="str">
            <v>SP1</v>
          </cell>
          <cell r="M472" t="str">
            <v>F4</v>
          </cell>
        </row>
        <row r="473">
          <cell r="C473">
            <v>2268</v>
          </cell>
          <cell r="D473">
            <v>42975</v>
          </cell>
          <cell r="E473" t="str">
            <v>cap</v>
          </cell>
          <cell r="F473" t="str">
            <v>Not yet done</v>
          </cell>
          <cell r="G473" t="str">
            <v>A</v>
          </cell>
          <cell r="H473">
            <v>0</v>
          </cell>
          <cell r="I473" t="str">
            <v>5 - other SNV pertinent</v>
          </cell>
          <cell r="K473" t="str">
            <v>C</v>
          </cell>
          <cell r="L473" t="str">
            <v>PO1</v>
          </cell>
          <cell r="M473" t="str">
            <v>B1</v>
          </cell>
        </row>
        <row r="474">
          <cell r="C474">
            <v>2274</v>
          </cell>
          <cell r="D474">
            <v>42975</v>
          </cell>
          <cell r="E474" t="str">
            <v>cap</v>
          </cell>
          <cell r="F474" t="str">
            <v>Not yet done</v>
          </cell>
          <cell r="G474" t="str">
            <v>A</v>
          </cell>
          <cell r="H474">
            <v>0</v>
          </cell>
          <cell r="I474" t="str">
            <v>5 - other SNV pertinent</v>
          </cell>
          <cell r="K474" t="str">
            <v>A</v>
          </cell>
          <cell r="L474" t="str">
            <v>PO1</v>
          </cell>
          <cell r="M474" t="str">
            <v>D5</v>
          </cell>
        </row>
        <row r="475">
          <cell r="C475">
            <v>2276</v>
          </cell>
          <cell r="D475">
            <v>42975</v>
          </cell>
          <cell r="E475" t="str">
            <v>cap</v>
          </cell>
          <cell r="F475" t="str">
            <v>Not yet done</v>
          </cell>
          <cell r="G475" t="str">
            <v>J</v>
          </cell>
          <cell r="H475">
            <v>0</v>
          </cell>
          <cell r="I475" t="str">
            <v>5 - other SNV pertinent</v>
          </cell>
          <cell r="K475" t="str">
            <v>A</v>
          </cell>
          <cell r="L475" t="str">
            <v>PO1</v>
          </cell>
          <cell r="M475" t="str">
            <v>G1</v>
          </cell>
        </row>
        <row r="476">
          <cell r="C476">
            <v>2278</v>
          </cell>
          <cell r="D476">
            <v>42975</v>
          </cell>
          <cell r="E476" t="str">
            <v>cap</v>
          </cell>
          <cell r="F476" t="str">
            <v>Not yet done</v>
          </cell>
          <cell r="G476" t="str">
            <v>A</v>
          </cell>
          <cell r="H476">
            <v>0</v>
          </cell>
          <cell r="I476" t="str">
            <v>5 - other SNV pertinent</v>
          </cell>
          <cell r="K476" t="str">
            <v>A</v>
          </cell>
          <cell r="L476" t="str">
            <v>PO1</v>
          </cell>
          <cell r="M476" t="str">
            <v>H1</v>
          </cell>
        </row>
        <row r="477">
          <cell r="C477">
            <v>2279</v>
          </cell>
          <cell r="D477">
            <v>42975</v>
          </cell>
          <cell r="E477" t="str">
            <v>cap</v>
          </cell>
          <cell r="F477" t="str">
            <v>Not yet done</v>
          </cell>
          <cell r="G477" t="str">
            <v>A</v>
          </cell>
          <cell r="H477">
            <v>0</v>
          </cell>
          <cell r="I477" t="str">
            <v>5 - other SNV pertinent</v>
          </cell>
          <cell r="K477" t="str">
            <v>A</v>
          </cell>
          <cell r="L477" t="str">
            <v>PO1</v>
          </cell>
          <cell r="M477" t="str">
            <v>H7</v>
          </cell>
        </row>
        <row r="478">
          <cell r="C478">
            <v>2281</v>
          </cell>
          <cell r="D478">
            <v>42975</v>
          </cell>
          <cell r="E478" t="str">
            <v>cap</v>
          </cell>
          <cell r="F478" t="str">
            <v>Not yet done</v>
          </cell>
          <cell r="G478" t="str">
            <v>A</v>
          </cell>
          <cell r="H478">
            <v>0</v>
          </cell>
          <cell r="I478" t="str">
            <v>2 - SNV pos at other timepoint</v>
          </cell>
          <cell r="K478" t="str">
            <v>C</v>
          </cell>
          <cell r="L478" t="str">
            <v>PO2</v>
          </cell>
          <cell r="M478" t="str">
            <v>A3</v>
          </cell>
        </row>
        <row r="479">
          <cell r="C479">
            <v>2282</v>
          </cell>
          <cell r="D479">
            <v>42975</v>
          </cell>
          <cell r="E479" t="str">
            <v>cap</v>
          </cell>
          <cell r="F479" t="str">
            <v>Not yet done</v>
          </cell>
          <cell r="G479" t="str">
            <v>A</v>
          </cell>
          <cell r="H479">
            <v>0</v>
          </cell>
          <cell r="I479" t="str">
            <v>5 - other SNV pertinent</v>
          </cell>
          <cell r="K479" t="str">
            <v>A</v>
          </cell>
          <cell r="L479" t="str">
            <v>PO2</v>
          </cell>
          <cell r="M479" t="str">
            <v>A5</v>
          </cell>
        </row>
        <row r="480">
          <cell r="C480">
            <v>2283</v>
          </cell>
          <cell r="D480">
            <v>42975</v>
          </cell>
          <cell r="E480" t="str">
            <v>cap</v>
          </cell>
          <cell r="F480" t="str">
            <v>Not yet done</v>
          </cell>
          <cell r="G480" t="str">
            <v>A</v>
          </cell>
          <cell r="H480">
            <v>0</v>
          </cell>
          <cell r="I480" t="str">
            <v>5 - other SNV pertinent</v>
          </cell>
          <cell r="K480" t="str">
            <v>A</v>
          </cell>
          <cell r="L480" t="str">
            <v>PO2</v>
          </cell>
          <cell r="M480" t="str">
            <v>B2</v>
          </cell>
        </row>
        <row r="481">
          <cell r="C481">
            <v>2284</v>
          </cell>
          <cell r="D481">
            <v>42975</v>
          </cell>
          <cell r="E481" t="str">
            <v>cap</v>
          </cell>
          <cell r="F481" t="str">
            <v>Not yet done</v>
          </cell>
          <cell r="G481" t="str">
            <v>A</v>
          </cell>
          <cell r="H481">
            <v>0</v>
          </cell>
          <cell r="I481" t="str">
            <v>5 - other SNV pertinent</v>
          </cell>
          <cell r="K481" t="str">
            <v>C</v>
          </cell>
          <cell r="L481" t="str">
            <v>PO2</v>
          </cell>
          <cell r="M481" t="str">
            <v>B8</v>
          </cell>
        </row>
        <row r="482">
          <cell r="C482">
            <v>2285</v>
          </cell>
          <cell r="D482">
            <v>42975</v>
          </cell>
          <cell r="E482" t="str">
            <v>cap</v>
          </cell>
          <cell r="F482" t="str">
            <v>Not yet done</v>
          </cell>
          <cell r="G482" t="str">
            <v>A</v>
          </cell>
          <cell r="H482">
            <v>0</v>
          </cell>
          <cell r="I482" t="str">
            <v>4 - SNV timepoint</v>
          </cell>
          <cell r="K482" t="str">
            <v>A</v>
          </cell>
          <cell r="L482" t="str">
            <v>PO2</v>
          </cell>
          <cell r="M482" t="str">
            <v>C4</v>
          </cell>
        </row>
        <row r="483">
          <cell r="C483">
            <v>2286</v>
          </cell>
          <cell r="D483">
            <v>42975</v>
          </cell>
          <cell r="E483" t="str">
            <v>cap</v>
          </cell>
          <cell r="F483" t="str">
            <v>Not yet done</v>
          </cell>
          <cell r="G483" t="str">
            <v>A</v>
          </cell>
          <cell r="H483">
            <v>0</v>
          </cell>
          <cell r="I483" t="str">
            <v>5 - other SNV pertinent</v>
          </cell>
          <cell r="K483" t="str">
            <v>A</v>
          </cell>
          <cell r="L483" t="str">
            <v>PO2</v>
          </cell>
          <cell r="M483" t="str">
            <v>C6</v>
          </cell>
        </row>
        <row r="484">
          <cell r="C484">
            <v>2287</v>
          </cell>
          <cell r="D484">
            <v>42975</v>
          </cell>
          <cell r="E484" t="str">
            <v>cap</v>
          </cell>
          <cell r="F484" t="str">
            <v>Not yet done</v>
          </cell>
          <cell r="G484" t="str">
            <v>A</v>
          </cell>
          <cell r="H484">
            <v>0</v>
          </cell>
          <cell r="I484" t="str">
            <v>4 - SNV timepoint</v>
          </cell>
          <cell r="K484" t="str">
            <v>C</v>
          </cell>
          <cell r="L484" t="str">
            <v>PO2</v>
          </cell>
          <cell r="M484" t="str">
            <v>D7</v>
          </cell>
        </row>
        <row r="485">
          <cell r="C485">
            <v>2289</v>
          </cell>
          <cell r="D485">
            <v>42975</v>
          </cell>
          <cell r="E485" t="str">
            <v>cap</v>
          </cell>
          <cell r="F485" t="str">
            <v>Not yet done</v>
          </cell>
          <cell r="G485" t="str">
            <v>A</v>
          </cell>
          <cell r="H485">
            <v>0</v>
          </cell>
          <cell r="I485" t="str">
            <v>5 - other SNV pertinent</v>
          </cell>
          <cell r="K485" t="str">
            <v>A</v>
          </cell>
          <cell r="L485" t="str">
            <v>PO2</v>
          </cell>
          <cell r="M485" t="str">
            <v>E3</v>
          </cell>
        </row>
        <row r="486">
          <cell r="C486">
            <v>2291</v>
          </cell>
          <cell r="D486">
            <v>42975</v>
          </cell>
          <cell r="E486" t="str">
            <v>cap</v>
          </cell>
          <cell r="F486" t="str">
            <v>Not yet done</v>
          </cell>
          <cell r="G486" t="str">
            <v>A</v>
          </cell>
          <cell r="H486">
            <v>0</v>
          </cell>
          <cell r="I486" t="str">
            <v>4 - SNV timepoint</v>
          </cell>
          <cell r="K486" t="str">
            <v>C</v>
          </cell>
          <cell r="L486" t="str">
            <v>PO2</v>
          </cell>
          <cell r="M486" t="str">
            <v>G1</v>
          </cell>
        </row>
        <row r="487">
          <cell r="C487">
            <v>2294</v>
          </cell>
          <cell r="D487">
            <v>42975</v>
          </cell>
          <cell r="E487" t="str">
            <v>cap</v>
          </cell>
          <cell r="F487" t="str">
            <v>Not yet done</v>
          </cell>
          <cell r="G487" t="str">
            <v>A</v>
          </cell>
          <cell r="H487">
            <v>0</v>
          </cell>
          <cell r="I487" t="str">
            <v>5 - other SNV pertinent</v>
          </cell>
          <cell r="K487" t="str">
            <v>A</v>
          </cell>
          <cell r="L487" t="str">
            <v>PO2</v>
          </cell>
          <cell r="M487" t="str">
            <v>G7</v>
          </cell>
        </row>
        <row r="488">
          <cell r="C488">
            <v>2296</v>
          </cell>
          <cell r="D488">
            <v>42975</v>
          </cell>
          <cell r="E488" t="str">
            <v>cap</v>
          </cell>
          <cell r="F488" t="str">
            <v>Not yet done</v>
          </cell>
          <cell r="G488" t="str">
            <v>A</v>
          </cell>
          <cell r="H488">
            <v>0</v>
          </cell>
          <cell r="I488" t="str">
            <v>5 - other SNV pertinent</v>
          </cell>
          <cell r="K488" t="str">
            <v>A</v>
          </cell>
          <cell r="L488" t="str">
            <v>PO2</v>
          </cell>
          <cell r="M488" t="str">
            <v>H3</v>
          </cell>
        </row>
        <row r="489">
          <cell r="C489">
            <v>2297</v>
          </cell>
          <cell r="D489">
            <v>42976</v>
          </cell>
          <cell r="E489" t="str">
            <v>cap</v>
          </cell>
          <cell r="F489" t="str">
            <v>Not yet done</v>
          </cell>
          <cell r="I489" t="str">
            <v>7 - not SNV match</v>
          </cell>
          <cell r="K489" t="str">
            <v>A</v>
          </cell>
          <cell r="L489" t="str">
            <v>PO1</v>
          </cell>
          <cell r="M489" t="str">
            <v>A7</v>
          </cell>
        </row>
        <row r="490">
          <cell r="C490">
            <v>2299</v>
          </cell>
          <cell r="D490">
            <v>42976</v>
          </cell>
          <cell r="E490" t="str">
            <v>cap</v>
          </cell>
          <cell r="F490" t="str">
            <v>Not yet done</v>
          </cell>
          <cell r="G490" t="str">
            <v>A</v>
          </cell>
          <cell r="H490">
            <v>0</v>
          </cell>
          <cell r="I490" t="str">
            <v>5 - other SNV pertinent</v>
          </cell>
          <cell r="K490" t="str">
            <v>A</v>
          </cell>
          <cell r="L490" t="str">
            <v>PO1</v>
          </cell>
          <cell r="M490" t="str">
            <v>E4</v>
          </cell>
        </row>
        <row r="491">
          <cell r="C491">
            <v>2300</v>
          </cell>
          <cell r="D491">
            <v>42976</v>
          </cell>
          <cell r="E491" t="str">
            <v>cap</v>
          </cell>
          <cell r="F491" t="str">
            <v>Not yet done</v>
          </cell>
          <cell r="I491" t="str">
            <v>7 - not SNV match</v>
          </cell>
          <cell r="K491" t="str">
            <v>A</v>
          </cell>
          <cell r="L491" t="str">
            <v>PO1</v>
          </cell>
          <cell r="M491" t="str">
            <v>E8</v>
          </cell>
          <cell r="N491">
            <v>43189</v>
          </cell>
          <cell r="O491" t="str">
            <v>NB</v>
          </cell>
          <cell r="P491">
            <v>0</v>
          </cell>
          <cell r="Q491">
            <v>0</v>
          </cell>
          <cell r="R491">
            <v>0</v>
          </cell>
          <cell r="S491">
            <v>0</v>
          </cell>
          <cell r="T491">
            <v>0</v>
          </cell>
          <cell r="U491">
            <v>0</v>
          </cell>
          <cell r="V491">
            <v>0</v>
          </cell>
          <cell r="W491">
            <v>0</v>
          </cell>
          <cell r="X491">
            <v>0</v>
          </cell>
          <cell r="Y491">
            <v>0</v>
          </cell>
          <cell r="Z491">
            <v>0</v>
          </cell>
        </row>
        <row r="492">
          <cell r="C492">
            <v>2301</v>
          </cell>
          <cell r="D492">
            <v>42976</v>
          </cell>
          <cell r="E492" t="str">
            <v>cap</v>
          </cell>
          <cell r="F492" t="str">
            <v>Not yet done</v>
          </cell>
          <cell r="G492" t="str">
            <v>A</v>
          </cell>
          <cell r="H492">
            <v>0</v>
          </cell>
          <cell r="I492" t="str">
            <v>4 - SNV timepoint</v>
          </cell>
          <cell r="K492" t="str">
            <v>A</v>
          </cell>
          <cell r="L492" t="str">
            <v>PO1</v>
          </cell>
          <cell r="M492" t="str">
            <v>F5</v>
          </cell>
        </row>
        <row r="493">
          <cell r="C493">
            <v>2302</v>
          </cell>
          <cell r="D493">
            <v>42976</v>
          </cell>
          <cell r="E493" t="str">
            <v>cap</v>
          </cell>
          <cell r="F493" t="str">
            <v>Not yet done</v>
          </cell>
          <cell r="G493" t="str">
            <v>A</v>
          </cell>
          <cell r="H493">
            <v>0</v>
          </cell>
          <cell r="I493" t="str">
            <v>5 - other SNV pertinent</v>
          </cell>
          <cell r="K493" t="str">
            <v>A</v>
          </cell>
          <cell r="L493" t="str">
            <v>PO1</v>
          </cell>
          <cell r="M493" t="str">
            <v>H1</v>
          </cell>
        </row>
        <row r="494">
          <cell r="C494">
            <v>2303</v>
          </cell>
          <cell r="D494">
            <v>42976</v>
          </cell>
          <cell r="E494" t="str">
            <v>cap</v>
          </cell>
          <cell r="F494" t="str">
            <v>Not yet done</v>
          </cell>
          <cell r="G494" t="str">
            <v>A</v>
          </cell>
          <cell r="H494">
            <v>0</v>
          </cell>
          <cell r="I494" t="str">
            <v>4 - SNV timepoint</v>
          </cell>
          <cell r="K494" t="str">
            <v>C</v>
          </cell>
          <cell r="L494" t="str">
            <v>PO1</v>
          </cell>
          <cell r="M494" t="str">
            <v>H6</v>
          </cell>
        </row>
        <row r="495">
          <cell r="C495">
            <v>2304</v>
          </cell>
          <cell r="D495">
            <v>42976</v>
          </cell>
          <cell r="E495" t="str">
            <v>cap</v>
          </cell>
          <cell r="F495" t="str">
            <v>Not yet done</v>
          </cell>
          <cell r="G495" t="str">
            <v>A</v>
          </cell>
          <cell r="H495">
            <v>0</v>
          </cell>
          <cell r="I495" t="str">
            <v>4 - SNV timepoint</v>
          </cell>
          <cell r="K495" t="str">
            <v>C</v>
          </cell>
          <cell r="L495" t="str">
            <v>PO2</v>
          </cell>
          <cell r="M495" t="str">
            <v>A3</v>
          </cell>
        </row>
        <row r="496">
          <cell r="C496">
            <v>2306</v>
          </cell>
          <cell r="D496">
            <v>42976</v>
          </cell>
          <cell r="E496" t="str">
            <v>cap</v>
          </cell>
          <cell r="F496" t="str">
            <v>Not yet done</v>
          </cell>
          <cell r="I496" t="str">
            <v>7 - not SNV match</v>
          </cell>
          <cell r="K496" t="str">
            <v>C</v>
          </cell>
          <cell r="L496" t="str">
            <v>PO2</v>
          </cell>
          <cell r="M496" t="str">
            <v>B2</v>
          </cell>
          <cell r="N496">
            <v>43189</v>
          </cell>
          <cell r="O496" t="str">
            <v>TE</v>
          </cell>
          <cell r="P496">
            <v>0</v>
          </cell>
          <cell r="Q496">
            <v>0</v>
          </cell>
          <cell r="R496">
            <v>0</v>
          </cell>
          <cell r="S496">
            <v>0</v>
          </cell>
          <cell r="T496">
            <v>0</v>
          </cell>
          <cell r="U496">
            <v>0</v>
          </cell>
          <cell r="V496">
            <v>0</v>
          </cell>
          <cell r="W496">
            <v>0</v>
          </cell>
          <cell r="X496">
            <v>0</v>
          </cell>
          <cell r="Y496">
            <v>0</v>
          </cell>
          <cell r="Z496">
            <v>0</v>
          </cell>
        </row>
        <row r="497">
          <cell r="C497">
            <v>2307</v>
          </cell>
          <cell r="D497">
            <v>42976</v>
          </cell>
          <cell r="E497" t="str">
            <v>cap</v>
          </cell>
          <cell r="F497" t="str">
            <v>Not yet done, no sample?</v>
          </cell>
          <cell r="I497" t="str">
            <v>Missing?</v>
          </cell>
          <cell r="K497" t="str">
            <v>A</v>
          </cell>
          <cell r="L497" t="str">
            <v>PO2</v>
          </cell>
          <cell r="M497" t="str">
            <v>F1</v>
          </cell>
        </row>
        <row r="498">
          <cell r="C498">
            <v>2310</v>
          </cell>
          <cell r="D498">
            <v>42976</v>
          </cell>
          <cell r="E498" t="str">
            <v>cap</v>
          </cell>
          <cell r="F498" t="str">
            <v>Not yet done</v>
          </cell>
          <cell r="G498" t="str">
            <v>A</v>
          </cell>
          <cell r="H498">
            <v>0</v>
          </cell>
          <cell r="I498" t="str">
            <v>5 - other SNV pertinent</v>
          </cell>
          <cell r="K498" t="str">
            <v>C</v>
          </cell>
          <cell r="L498" t="str">
            <v>PO2</v>
          </cell>
          <cell r="M498" t="str">
            <v>G8</v>
          </cell>
        </row>
        <row r="499">
          <cell r="C499">
            <v>2311</v>
          </cell>
          <cell r="D499">
            <v>42976</v>
          </cell>
          <cell r="E499" t="str">
            <v>cap</v>
          </cell>
          <cell r="F499" t="str">
            <v>Not yet done</v>
          </cell>
          <cell r="G499" t="str">
            <v>A</v>
          </cell>
          <cell r="H499">
            <v>0</v>
          </cell>
          <cell r="I499" t="str">
            <v>5 - other SNV pertinent</v>
          </cell>
          <cell r="K499" t="str">
            <v>A</v>
          </cell>
          <cell r="L499" t="str">
            <v>PO2</v>
          </cell>
          <cell r="M499" t="str">
            <v>H3</v>
          </cell>
          <cell r="N499">
            <v>43189</v>
          </cell>
          <cell r="O499" t="str">
            <v>TE</v>
          </cell>
          <cell r="V499">
            <v>4</v>
          </cell>
          <cell r="Z499">
            <v>1</v>
          </cell>
        </row>
        <row r="500">
          <cell r="C500">
            <v>2313</v>
          </cell>
          <cell r="D500">
            <v>42977</v>
          </cell>
          <cell r="E500" t="str">
            <v>cap</v>
          </cell>
          <cell r="F500" t="str">
            <v>Not yet done</v>
          </cell>
          <cell r="G500" t="str">
            <v>A</v>
          </cell>
          <cell r="H500">
            <v>0</v>
          </cell>
          <cell r="I500" t="str">
            <v>5 - other SNV pertinent</v>
          </cell>
          <cell r="K500" t="str">
            <v>A</v>
          </cell>
          <cell r="L500" t="str">
            <v>PO1</v>
          </cell>
          <cell r="M500" t="str">
            <v>B5</v>
          </cell>
        </row>
        <row r="501">
          <cell r="C501">
            <v>2314</v>
          </cell>
          <cell r="D501">
            <v>42977</v>
          </cell>
          <cell r="E501" t="str">
            <v>cap</v>
          </cell>
          <cell r="F501" t="str">
            <v>Not yet done</v>
          </cell>
          <cell r="G501" t="str">
            <v>J</v>
          </cell>
          <cell r="H501">
            <v>0</v>
          </cell>
          <cell r="I501" t="str">
            <v>5 - other SNV pertinent</v>
          </cell>
          <cell r="K501" t="str">
            <v>C</v>
          </cell>
          <cell r="L501" t="str">
            <v>PO1</v>
          </cell>
          <cell r="M501" t="str">
            <v>F8</v>
          </cell>
        </row>
        <row r="502">
          <cell r="C502">
            <v>2315</v>
          </cell>
          <cell r="D502">
            <v>42977</v>
          </cell>
          <cell r="E502" t="str">
            <v>cap</v>
          </cell>
          <cell r="F502" t="str">
            <v>Not yet done</v>
          </cell>
          <cell r="G502" t="str">
            <v>A</v>
          </cell>
          <cell r="H502">
            <v>0</v>
          </cell>
          <cell r="I502" t="str">
            <v>5 - other SNV pertinent</v>
          </cell>
          <cell r="K502" t="str">
            <v>C</v>
          </cell>
          <cell r="L502" t="str">
            <v>PO2</v>
          </cell>
          <cell r="M502" t="str">
            <v>G8</v>
          </cell>
        </row>
        <row r="506">
          <cell r="N506" t="str">
            <v>Blank</v>
          </cell>
          <cell r="O506">
            <v>300</v>
          </cell>
        </row>
        <row r="507">
          <cell r="N507" t="str">
            <v>Done</v>
          </cell>
          <cell r="O507">
            <v>173</v>
          </cell>
        </row>
        <row r="508">
          <cell r="N508" t="str">
            <v>missing</v>
          </cell>
          <cell r="O508">
            <v>24</v>
          </cell>
          <cell r="R508" t="str">
            <v>2017 Remaining FECs</v>
          </cell>
        </row>
        <row r="509">
          <cell r="N509" t="str">
            <v>duplicate, can't use</v>
          </cell>
          <cell r="O509">
            <v>4</v>
          </cell>
          <cell r="R509" t="str">
            <v>To Do</v>
          </cell>
          <cell r="S509">
            <v>302</v>
          </cell>
        </row>
        <row r="510">
          <cell r="R510" t="str">
            <v>Done</v>
          </cell>
          <cell r="S510">
            <v>199</v>
          </cell>
        </row>
        <row r="511">
          <cell r="N511" t="str">
            <v>Total done w bad</v>
          </cell>
          <cell r="O511">
            <v>201</v>
          </cell>
          <cell r="R511" t="str">
            <v>Total</v>
          </cell>
          <cell r="S511">
            <v>501</v>
          </cell>
        </row>
        <row r="512">
          <cell r="N512" t="str">
            <v>% done</v>
          </cell>
          <cell r="O512">
            <v>40.119760479041915</v>
          </cell>
        </row>
      </sheetData>
      <sheetData sheetId="4"/>
      <sheetData sheetId="5"/>
      <sheetData sheetId="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flow 3.2018"/>
      <sheetName val="3April 2018 P6"/>
      <sheetName val="NC1 NC2 3April "/>
      <sheetName val="NC1 NC2 2nd 3April"/>
      <sheetName val="nc primer temp  13 March 2018"/>
      <sheetName val="MLBS samples list"/>
      <sheetName val="NC primer plates"/>
      <sheetName val="NC primers with tags"/>
      <sheetName val="p6 primers"/>
      <sheetName val="p6 tags"/>
      <sheetName val="p6 primer seq"/>
      <sheetName val="14March Primer test NC t &amp; u"/>
    </sheetNames>
    <sheetDataSet>
      <sheetData sheetId="0">
        <row r="1">
          <cell r="A1" t="str">
            <v>tag-date code</v>
          </cell>
          <cell r="B1" t="str">
            <v>DNA label</v>
          </cell>
          <cell r="C1" t="str">
            <v>DNA label 2</v>
          </cell>
          <cell r="D1" t="str">
            <v>date extracted</v>
          </cell>
          <cell r="E1" t="str">
            <v>96 well location</v>
          </cell>
          <cell r="F1" t="str">
            <v>PCR Plate</v>
          </cell>
          <cell r="G1" t="str">
            <v>DNA box</v>
          </cell>
          <cell r="H1" t="str">
            <v>DNA position</v>
          </cell>
          <cell r="I1"/>
          <cell r="J1" t="str">
            <v xml:space="preserve">Tag </v>
          </cell>
          <cell r="K1" t="str">
            <v>Grid</v>
          </cell>
          <cell r="L1" t="str">
            <v>Trap</v>
          </cell>
          <cell r="M1" t="str">
            <v>lysate position</v>
          </cell>
          <cell r="N1" t="str">
            <v>lysate box</v>
          </cell>
          <cell r="O1" t="str">
            <v>2017 Date collected</v>
          </cell>
          <cell r="P1" t="str">
            <v>Sex</v>
          </cell>
          <cell r="Q1" t="str">
            <v>Treatment</v>
          </cell>
          <cell r="R1" t="str">
            <v>TrapSession</v>
          </cell>
          <cell r="S1" t="str">
            <v>notes</v>
          </cell>
        </row>
        <row r="2">
          <cell r="A2" t="str">
            <v>1035-42887</v>
          </cell>
          <cell r="B2" t="str">
            <v>2017MLBS_1</v>
          </cell>
          <cell r="C2" t="e">
            <v>#N/A</v>
          </cell>
          <cell r="D2">
            <v>43171</v>
          </cell>
          <cell r="E2" t="str">
            <v>A1</v>
          </cell>
          <cell r="F2">
            <v>1</v>
          </cell>
          <cell r="G2">
            <v>1</v>
          </cell>
          <cell r="H2">
            <v>1</v>
          </cell>
          <cell r="I2"/>
          <cell r="J2">
            <v>1035</v>
          </cell>
          <cell r="K2" t="str">
            <v>SP1</v>
          </cell>
          <cell r="L2" t="str">
            <v>B7</v>
          </cell>
          <cell r="M2">
            <v>1</v>
          </cell>
          <cell r="N2">
            <v>1</v>
          </cell>
          <cell r="O2">
            <v>42887</v>
          </cell>
          <cell r="P2" t="str">
            <v>F</v>
          </cell>
          <cell r="Q2" t="str">
            <v>C</v>
          </cell>
          <cell r="R2">
            <v>1</v>
          </cell>
          <cell r="S2"/>
        </row>
        <row r="3">
          <cell r="A3" t="str">
            <v>1036-42887</v>
          </cell>
          <cell r="B3" t="str">
            <v>2017MLBS_2</v>
          </cell>
          <cell r="C3" t="e">
            <v>#N/A</v>
          </cell>
          <cell r="D3">
            <v>43171</v>
          </cell>
          <cell r="E3" t="str">
            <v>B1</v>
          </cell>
          <cell r="F3">
            <v>1</v>
          </cell>
          <cell r="G3">
            <v>1</v>
          </cell>
          <cell r="H3">
            <v>2</v>
          </cell>
          <cell r="I3"/>
          <cell r="J3">
            <v>1036</v>
          </cell>
          <cell r="K3" t="str">
            <v>SP1</v>
          </cell>
          <cell r="L3" t="str">
            <v>C3</v>
          </cell>
          <cell r="M3">
            <v>2</v>
          </cell>
          <cell r="N3">
            <v>1</v>
          </cell>
          <cell r="O3">
            <v>42887</v>
          </cell>
          <cell r="P3" t="str">
            <v>F</v>
          </cell>
          <cell r="Q3" t="str">
            <v>A</v>
          </cell>
          <cell r="R3">
            <v>1</v>
          </cell>
          <cell r="S3"/>
        </row>
        <row r="4">
          <cell r="A4" t="str">
            <v>949-42887</v>
          </cell>
          <cell r="B4" t="str">
            <v>2017MLBS_3</v>
          </cell>
          <cell r="C4" t="e">
            <v>#N/A</v>
          </cell>
          <cell r="D4">
            <v>43171</v>
          </cell>
          <cell r="E4" t="str">
            <v>C1</v>
          </cell>
          <cell r="F4">
            <v>1</v>
          </cell>
          <cell r="G4">
            <v>1</v>
          </cell>
          <cell r="H4">
            <v>3</v>
          </cell>
          <cell r="I4"/>
          <cell r="J4">
            <v>949</v>
          </cell>
          <cell r="K4" t="str">
            <v>SP1</v>
          </cell>
          <cell r="L4" t="str">
            <v>D6</v>
          </cell>
          <cell r="M4">
            <v>3</v>
          </cell>
          <cell r="N4">
            <v>1</v>
          </cell>
          <cell r="O4">
            <v>42887</v>
          </cell>
          <cell r="P4" t="str">
            <v>M</v>
          </cell>
          <cell r="Q4" t="str">
            <v>C</v>
          </cell>
          <cell r="R4">
            <v>1</v>
          </cell>
          <cell r="S4"/>
        </row>
        <row r="5">
          <cell r="A5" t="str">
            <v>1037-42887</v>
          </cell>
          <cell r="B5" t="str">
            <v>2017MLBS_4</v>
          </cell>
          <cell r="C5" t="e">
            <v>#N/A</v>
          </cell>
          <cell r="D5">
            <v>43171</v>
          </cell>
          <cell r="E5" t="str">
            <v>D1</v>
          </cell>
          <cell r="F5">
            <v>1</v>
          </cell>
          <cell r="G5">
            <v>1</v>
          </cell>
          <cell r="H5">
            <v>4</v>
          </cell>
          <cell r="I5"/>
          <cell r="J5">
            <v>1037</v>
          </cell>
          <cell r="K5" t="str">
            <v>SP1</v>
          </cell>
          <cell r="L5" t="str">
            <v>E4</v>
          </cell>
          <cell r="M5">
            <v>4</v>
          </cell>
          <cell r="N5">
            <v>1</v>
          </cell>
          <cell r="O5">
            <v>42887</v>
          </cell>
          <cell r="P5" t="str">
            <v>F</v>
          </cell>
          <cell r="Q5" t="str">
            <v>A</v>
          </cell>
          <cell r="R5">
            <v>1</v>
          </cell>
          <cell r="S5"/>
        </row>
        <row r="6">
          <cell r="A6" t="str">
            <v>1038-42887</v>
          </cell>
          <cell r="B6" t="str">
            <v>2017MLBS_5</v>
          </cell>
          <cell r="C6" t="e">
            <v>#N/A</v>
          </cell>
          <cell r="D6">
            <v>43171</v>
          </cell>
          <cell r="E6" t="str">
            <v>E1</v>
          </cell>
          <cell r="F6">
            <v>1</v>
          </cell>
          <cell r="G6">
            <v>1</v>
          </cell>
          <cell r="H6">
            <v>5</v>
          </cell>
          <cell r="I6"/>
          <cell r="J6">
            <v>1038</v>
          </cell>
          <cell r="K6" t="str">
            <v>SP1</v>
          </cell>
          <cell r="L6" t="str">
            <v>E7</v>
          </cell>
          <cell r="M6">
            <v>5</v>
          </cell>
          <cell r="N6">
            <v>1</v>
          </cell>
          <cell r="O6">
            <v>42887</v>
          </cell>
          <cell r="P6" t="str">
            <v>M</v>
          </cell>
          <cell r="Q6" t="str">
            <v>C</v>
          </cell>
          <cell r="R6">
            <v>1</v>
          </cell>
          <cell r="S6"/>
        </row>
        <row r="7">
          <cell r="A7" t="str">
            <v>1039-42887</v>
          </cell>
          <cell r="B7" t="str">
            <v>2017MLBS_6</v>
          </cell>
          <cell r="C7" t="e">
            <v>#N/A</v>
          </cell>
          <cell r="D7">
            <v>43171</v>
          </cell>
          <cell r="E7" t="str">
            <v>F1</v>
          </cell>
          <cell r="F7">
            <v>1</v>
          </cell>
          <cell r="G7">
            <v>1</v>
          </cell>
          <cell r="H7">
            <v>6</v>
          </cell>
          <cell r="I7"/>
          <cell r="J7">
            <v>1039</v>
          </cell>
          <cell r="K7" t="str">
            <v>SP1</v>
          </cell>
          <cell r="L7" t="str">
            <v>F1</v>
          </cell>
          <cell r="M7">
            <v>6</v>
          </cell>
          <cell r="N7">
            <v>1</v>
          </cell>
          <cell r="O7">
            <v>42887</v>
          </cell>
          <cell r="P7" t="str">
            <v>M</v>
          </cell>
          <cell r="Q7" t="str">
            <v>A</v>
          </cell>
          <cell r="R7">
            <v>1</v>
          </cell>
          <cell r="S7"/>
        </row>
        <row r="8">
          <cell r="A8" t="str">
            <v>1040-42887</v>
          </cell>
          <cell r="B8" t="str">
            <v>2017MLBS_7</v>
          </cell>
          <cell r="C8" t="e">
            <v>#N/A</v>
          </cell>
          <cell r="D8">
            <v>43171</v>
          </cell>
          <cell r="E8" t="str">
            <v>G1</v>
          </cell>
          <cell r="F8">
            <v>1</v>
          </cell>
          <cell r="G8">
            <v>1</v>
          </cell>
          <cell r="H8">
            <v>7</v>
          </cell>
          <cell r="I8"/>
          <cell r="J8">
            <v>1040</v>
          </cell>
          <cell r="K8" t="str">
            <v>SP1</v>
          </cell>
          <cell r="L8" t="str">
            <v>F4</v>
          </cell>
          <cell r="M8">
            <v>7</v>
          </cell>
          <cell r="N8">
            <v>1</v>
          </cell>
          <cell r="O8">
            <v>42887</v>
          </cell>
          <cell r="P8" t="str">
            <v>M</v>
          </cell>
          <cell r="Q8" t="str">
            <v>C</v>
          </cell>
          <cell r="R8">
            <v>1</v>
          </cell>
          <cell r="S8"/>
        </row>
        <row r="9">
          <cell r="A9" t="str">
            <v>1041-42887</v>
          </cell>
          <cell r="B9" t="str">
            <v>2017MLBS_8</v>
          </cell>
          <cell r="C9" t="e">
            <v>#N/A</v>
          </cell>
          <cell r="D9">
            <v>43171</v>
          </cell>
          <cell r="E9" t="str">
            <v>H1</v>
          </cell>
          <cell r="F9">
            <v>1</v>
          </cell>
          <cell r="G9">
            <v>1</v>
          </cell>
          <cell r="H9">
            <v>8</v>
          </cell>
          <cell r="I9"/>
          <cell r="J9">
            <v>1041</v>
          </cell>
          <cell r="K9" t="str">
            <v>SP1</v>
          </cell>
          <cell r="L9" t="str">
            <v>G5</v>
          </cell>
          <cell r="M9">
            <v>8</v>
          </cell>
          <cell r="N9">
            <v>1</v>
          </cell>
          <cell r="O9">
            <v>42887</v>
          </cell>
          <cell r="P9" t="str">
            <v>M</v>
          </cell>
          <cell r="Q9" t="str">
            <v>A</v>
          </cell>
          <cell r="R9">
            <v>1</v>
          </cell>
          <cell r="S9"/>
        </row>
        <row r="10">
          <cell r="A10" t="str">
            <v>1042-42887</v>
          </cell>
          <cell r="B10" t="str">
            <v>2017MLBS_9</v>
          </cell>
          <cell r="C10" t="e">
            <v>#N/A</v>
          </cell>
          <cell r="D10">
            <v>43171</v>
          </cell>
          <cell r="E10" t="str">
            <v>A2</v>
          </cell>
          <cell r="F10">
            <v>1</v>
          </cell>
          <cell r="G10">
            <v>1</v>
          </cell>
          <cell r="H10">
            <v>9</v>
          </cell>
          <cell r="I10"/>
          <cell r="J10">
            <v>1042</v>
          </cell>
          <cell r="K10" t="str">
            <v>SP2</v>
          </cell>
          <cell r="L10" t="str">
            <v>A7</v>
          </cell>
          <cell r="M10">
            <v>9</v>
          </cell>
          <cell r="N10">
            <v>1</v>
          </cell>
          <cell r="O10">
            <v>42887</v>
          </cell>
          <cell r="P10" t="str">
            <v>F</v>
          </cell>
          <cell r="Q10" t="str">
            <v>C</v>
          </cell>
          <cell r="R10">
            <v>1</v>
          </cell>
          <cell r="S10"/>
        </row>
        <row r="11">
          <cell r="A11" t="str">
            <v>1043-42887</v>
          </cell>
          <cell r="B11" t="str">
            <v>2017MLBS_10</v>
          </cell>
          <cell r="C11" t="e">
            <v>#N/A</v>
          </cell>
          <cell r="D11">
            <v>43171</v>
          </cell>
          <cell r="E11" t="str">
            <v>B2</v>
          </cell>
          <cell r="F11">
            <v>1</v>
          </cell>
          <cell r="G11">
            <v>1</v>
          </cell>
          <cell r="H11">
            <v>10</v>
          </cell>
          <cell r="I11"/>
          <cell r="J11">
            <v>1043</v>
          </cell>
          <cell r="K11" t="str">
            <v>SP2</v>
          </cell>
          <cell r="L11" t="str">
            <v>B8</v>
          </cell>
          <cell r="M11">
            <v>10</v>
          </cell>
          <cell r="N11">
            <v>1</v>
          </cell>
          <cell r="O11">
            <v>42887</v>
          </cell>
          <cell r="P11" t="str">
            <v>F</v>
          </cell>
          <cell r="Q11" t="str">
            <v>A</v>
          </cell>
          <cell r="R11">
            <v>1</v>
          </cell>
          <cell r="S11"/>
        </row>
        <row r="12">
          <cell r="A12" t="str">
            <v>1044-42887</v>
          </cell>
          <cell r="B12" t="str">
            <v>2017MLBS_11</v>
          </cell>
          <cell r="C12" t="e">
            <v>#N/A</v>
          </cell>
          <cell r="D12">
            <v>43171</v>
          </cell>
          <cell r="E12" t="str">
            <v>C2</v>
          </cell>
          <cell r="F12">
            <v>1</v>
          </cell>
          <cell r="G12">
            <v>1</v>
          </cell>
          <cell r="H12">
            <v>11</v>
          </cell>
          <cell r="I12"/>
          <cell r="J12">
            <v>1044</v>
          </cell>
          <cell r="K12" t="str">
            <v>SP2</v>
          </cell>
          <cell r="L12" t="str">
            <v>C2</v>
          </cell>
          <cell r="M12">
            <v>11</v>
          </cell>
          <cell r="N12">
            <v>1</v>
          </cell>
          <cell r="O12">
            <v>42887</v>
          </cell>
          <cell r="P12" t="str">
            <v>M</v>
          </cell>
          <cell r="Q12" t="str">
            <v>C</v>
          </cell>
          <cell r="R12">
            <v>1</v>
          </cell>
          <cell r="S12"/>
        </row>
        <row r="13">
          <cell r="A13" t="str">
            <v>1045-42887</v>
          </cell>
          <cell r="B13" t="str">
            <v>2017MLBS_12</v>
          </cell>
          <cell r="C13" t="e">
            <v>#N/A</v>
          </cell>
          <cell r="D13">
            <v>43171</v>
          </cell>
          <cell r="E13" t="str">
            <v>D2</v>
          </cell>
          <cell r="F13">
            <v>1</v>
          </cell>
          <cell r="G13">
            <v>1</v>
          </cell>
          <cell r="H13">
            <v>12</v>
          </cell>
          <cell r="I13"/>
          <cell r="J13">
            <v>1045</v>
          </cell>
          <cell r="K13" t="str">
            <v>SP2</v>
          </cell>
          <cell r="L13" t="str">
            <v>C3</v>
          </cell>
          <cell r="M13">
            <v>12</v>
          </cell>
          <cell r="N13">
            <v>1</v>
          </cell>
          <cell r="O13">
            <v>42887</v>
          </cell>
          <cell r="P13" t="str">
            <v>M</v>
          </cell>
          <cell r="Q13" t="str">
            <v>A</v>
          </cell>
          <cell r="R13">
            <v>1</v>
          </cell>
          <cell r="S13"/>
        </row>
        <row r="14">
          <cell r="A14" t="str">
            <v>1046-42887</v>
          </cell>
          <cell r="B14" t="str">
            <v>2017MLBS_13</v>
          </cell>
          <cell r="C14" t="e">
            <v>#N/A</v>
          </cell>
          <cell r="D14">
            <v>43171</v>
          </cell>
          <cell r="E14" t="str">
            <v>E2</v>
          </cell>
          <cell r="F14">
            <v>1</v>
          </cell>
          <cell r="G14">
            <v>1</v>
          </cell>
          <cell r="H14">
            <v>13</v>
          </cell>
          <cell r="I14"/>
          <cell r="J14">
            <v>1046</v>
          </cell>
          <cell r="K14" t="str">
            <v>SP2</v>
          </cell>
          <cell r="L14" t="str">
            <v>C4</v>
          </cell>
          <cell r="M14">
            <v>13</v>
          </cell>
          <cell r="N14">
            <v>1</v>
          </cell>
          <cell r="O14">
            <v>42887</v>
          </cell>
          <cell r="P14" t="str">
            <v>M</v>
          </cell>
          <cell r="Q14" t="str">
            <v>C</v>
          </cell>
          <cell r="R14">
            <v>1</v>
          </cell>
          <cell r="S14"/>
        </row>
        <row r="15">
          <cell r="A15" t="str">
            <v>1047-42887</v>
          </cell>
          <cell r="B15" t="str">
            <v>2017MLBS_14</v>
          </cell>
          <cell r="C15" t="e">
            <v>#N/A</v>
          </cell>
          <cell r="D15">
            <v>43171</v>
          </cell>
          <cell r="E15" t="str">
            <v>F2</v>
          </cell>
          <cell r="F15">
            <v>1</v>
          </cell>
          <cell r="G15">
            <v>1</v>
          </cell>
          <cell r="H15">
            <v>14</v>
          </cell>
          <cell r="I15"/>
          <cell r="J15">
            <v>1047</v>
          </cell>
          <cell r="K15" t="str">
            <v>SP2</v>
          </cell>
          <cell r="L15" t="str">
            <v>D7</v>
          </cell>
          <cell r="M15">
            <v>14</v>
          </cell>
          <cell r="N15">
            <v>1</v>
          </cell>
          <cell r="O15">
            <v>42887</v>
          </cell>
          <cell r="P15" t="str">
            <v>M</v>
          </cell>
          <cell r="Q15" t="str">
            <v>A</v>
          </cell>
          <cell r="R15">
            <v>1</v>
          </cell>
          <cell r="S15"/>
        </row>
        <row r="16">
          <cell r="A16" t="str">
            <v>1048-42887</v>
          </cell>
          <cell r="B16" t="str">
            <v>2017MLBS_15</v>
          </cell>
          <cell r="C16" t="e">
            <v>#N/A</v>
          </cell>
          <cell r="D16">
            <v>43171</v>
          </cell>
          <cell r="E16" t="str">
            <v>G2</v>
          </cell>
          <cell r="F16">
            <v>1</v>
          </cell>
          <cell r="G16">
            <v>1</v>
          </cell>
          <cell r="H16">
            <v>15</v>
          </cell>
          <cell r="I16"/>
          <cell r="J16">
            <v>1048</v>
          </cell>
          <cell r="K16" t="str">
            <v>SP2</v>
          </cell>
          <cell r="L16" t="str">
            <v>E1</v>
          </cell>
          <cell r="M16">
            <v>15</v>
          </cell>
          <cell r="N16">
            <v>1</v>
          </cell>
          <cell r="O16">
            <v>42887</v>
          </cell>
          <cell r="P16" t="str">
            <v>M</v>
          </cell>
          <cell r="Q16" t="str">
            <v>C</v>
          </cell>
          <cell r="R16">
            <v>1</v>
          </cell>
          <cell r="S16"/>
        </row>
        <row r="17">
          <cell r="A17" t="str">
            <v>1049-42887</v>
          </cell>
          <cell r="B17" t="str">
            <v>2017MLBS_16</v>
          </cell>
          <cell r="C17" t="e">
            <v>#N/A</v>
          </cell>
          <cell r="D17">
            <v>43171</v>
          </cell>
          <cell r="E17" t="str">
            <v>H2</v>
          </cell>
          <cell r="F17">
            <v>1</v>
          </cell>
          <cell r="G17">
            <v>1</v>
          </cell>
          <cell r="H17">
            <v>16</v>
          </cell>
          <cell r="I17"/>
          <cell r="J17">
            <v>1049</v>
          </cell>
          <cell r="K17" t="str">
            <v>SP2</v>
          </cell>
          <cell r="L17" t="str">
            <v>F4</v>
          </cell>
          <cell r="M17">
            <v>16</v>
          </cell>
          <cell r="N17">
            <v>1</v>
          </cell>
          <cell r="O17">
            <v>42887</v>
          </cell>
          <cell r="P17" t="str">
            <v>M</v>
          </cell>
          <cell r="Q17" t="str">
            <v>A</v>
          </cell>
          <cell r="R17">
            <v>1</v>
          </cell>
          <cell r="S17"/>
        </row>
        <row r="18">
          <cell r="A18" t="str">
            <v>1050-42887</v>
          </cell>
          <cell r="B18" t="str">
            <v>2017MLBS_17</v>
          </cell>
          <cell r="C18" t="e">
            <v>#N/A</v>
          </cell>
          <cell r="D18">
            <v>43171</v>
          </cell>
          <cell r="E18" t="str">
            <v>A3</v>
          </cell>
          <cell r="F18">
            <v>1</v>
          </cell>
          <cell r="G18">
            <v>1</v>
          </cell>
          <cell r="H18">
            <v>17</v>
          </cell>
          <cell r="I18"/>
          <cell r="J18">
            <v>1050</v>
          </cell>
          <cell r="K18" t="str">
            <v>SP2</v>
          </cell>
          <cell r="L18" t="str">
            <v>G4</v>
          </cell>
          <cell r="M18">
            <v>17</v>
          </cell>
          <cell r="N18">
            <v>1</v>
          </cell>
          <cell r="O18">
            <v>42887</v>
          </cell>
          <cell r="P18" t="str">
            <v>M</v>
          </cell>
          <cell r="Q18" t="str">
            <v>C</v>
          </cell>
          <cell r="R18">
            <v>1</v>
          </cell>
          <cell r="S18"/>
        </row>
        <row r="19">
          <cell r="A19" t="str">
            <v>1051-42887</v>
          </cell>
          <cell r="B19" t="str">
            <v>2017MLBS_18</v>
          </cell>
          <cell r="C19" t="e">
            <v>#N/A</v>
          </cell>
          <cell r="D19">
            <v>43171</v>
          </cell>
          <cell r="E19" t="str">
            <v>B3</v>
          </cell>
          <cell r="F19">
            <v>1</v>
          </cell>
          <cell r="G19">
            <v>1</v>
          </cell>
          <cell r="H19">
            <v>18</v>
          </cell>
          <cell r="I19"/>
          <cell r="J19">
            <v>1051</v>
          </cell>
          <cell r="K19" t="str">
            <v>SP2</v>
          </cell>
          <cell r="L19" t="str">
            <v>H8</v>
          </cell>
          <cell r="M19">
            <v>18</v>
          </cell>
          <cell r="N19">
            <v>1</v>
          </cell>
          <cell r="O19">
            <v>42887</v>
          </cell>
          <cell r="P19" t="str">
            <v>M</v>
          </cell>
          <cell r="Q19" t="str">
            <v>A</v>
          </cell>
          <cell r="R19">
            <v>1</v>
          </cell>
          <cell r="S19"/>
        </row>
        <row r="20">
          <cell r="A20" t="str">
            <v>1052-42888</v>
          </cell>
          <cell r="B20" t="str">
            <v>2017MLBS_19</v>
          </cell>
          <cell r="C20" t="e">
            <v>#N/A</v>
          </cell>
          <cell r="D20">
            <v>43171</v>
          </cell>
          <cell r="E20" t="str">
            <v>C3</v>
          </cell>
          <cell r="F20">
            <v>1</v>
          </cell>
          <cell r="G20">
            <v>1</v>
          </cell>
          <cell r="H20">
            <v>19</v>
          </cell>
          <cell r="I20"/>
          <cell r="J20">
            <v>1052</v>
          </cell>
          <cell r="K20" t="str">
            <v>SP1</v>
          </cell>
          <cell r="L20" t="str">
            <v>H3</v>
          </cell>
          <cell r="M20">
            <v>19</v>
          </cell>
          <cell r="N20">
            <v>1</v>
          </cell>
          <cell r="O20">
            <v>42888</v>
          </cell>
          <cell r="P20" t="str">
            <v>F</v>
          </cell>
          <cell r="Q20" t="str">
            <v>C</v>
          </cell>
          <cell r="R20">
            <v>1</v>
          </cell>
          <cell r="S20"/>
        </row>
        <row r="21">
          <cell r="A21" t="str">
            <v>1053-42888</v>
          </cell>
          <cell r="B21" t="str">
            <v>2017MLBS_20</v>
          </cell>
          <cell r="C21" t="e">
            <v>#N/A</v>
          </cell>
          <cell r="D21">
            <v>43171</v>
          </cell>
          <cell r="E21" t="str">
            <v>D3</v>
          </cell>
          <cell r="F21">
            <v>1</v>
          </cell>
          <cell r="G21">
            <v>1</v>
          </cell>
          <cell r="H21">
            <v>20</v>
          </cell>
          <cell r="I21"/>
          <cell r="J21">
            <v>1053</v>
          </cell>
          <cell r="K21" t="str">
            <v>SP1</v>
          </cell>
          <cell r="L21" t="str">
            <v>H8</v>
          </cell>
          <cell r="M21">
            <v>20</v>
          </cell>
          <cell r="N21">
            <v>1</v>
          </cell>
          <cell r="O21">
            <v>42888</v>
          </cell>
          <cell r="P21" t="str">
            <v>F</v>
          </cell>
          <cell r="Q21" t="str">
            <v>A</v>
          </cell>
          <cell r="R21">
            <v>1</v>
          </cell>
          <cell r="S21"/>
        </row>
        <row r="22">
          <cell r="A22" t="str">
            <v>1054-42888</v>
          </cell>
          <cell r="B22" t="str">
            <v>2017MLBS_21</v>
          </cell>
          <cell r="C22" t="e">
            <v>#N/A</v>
          </cell>
          <cell r="D22">
            <v>43171</v>
          </cell>
          <cell r="E22" t="str">
            <v>E3</v>
          </cell>
          <cell r="F22">
            <v>1</v>
          </cell>
          <cell r="G22">
            <v>1</v>
          </cell>
          <cell r="H22">
            <v>21</v>
          </cell>
          <cell r="I22"/>
          <cell r="J22">
            <v>1054</v>
          </cell>
          <cell r="K22" t="str">
            <v>SP2</v>
          </cell>
          <cell r="L22" t="str">
            <v>A4</v>
          </cell>
          <cell r="M22">
            <v>21</v>
          </cell>
          <cell r="N22">
            <v>1</v>
          </cell>
          <cell r="O22">
            <v>42888</v>
          </cell>
          <cell r="P22" t="str">
            <v>F</v>
          </cell>
          <cell r="Q22" t="str">
            <v>C</v>
          </cell>
          <cell r="R22">
            <v>1</v>
          </cell>
          <cell r="S22"/>
        </row>
        <row r="23">
          <cell r="A23" t="str">
            <v>1056-42888</v>
          </cell>
          <cell r="B23" t="str">
            <v>2017MLBS_22</v>
          </cell>
          <cell r="C23" t="e">
            <v>#N/A</v>
          </cell>
          <cell r="D23">
            <v>43171</v>
          </cell>
          <cell r="E23" t="str">
            <v>F3</v>
          </cell>
          <cell r="F23">
            <v>1</v>
          </cell>
          <cell r="G23">
            <v>1</v>
          </cell>
          <cell r="H23">
            <v>22</v>
          </cell>
          <cell r="I23"/>
          <cell r="J23">
            <v>1056</v>
          </cell>
          <cell r="K23" t="str">
            <v>SP2</v>
          </cell>
          <cell r="L23" t="str">
            <v>D2</v>
          </cell>
          <cell r="M23">
            <v>22</v>
          </cell>
          <cell r="N23">
            <v>1</v>
          </cell>
          <cell r="O23">
            <v>42888</v>
          </cell>
          <cell r="P23" t="str">
            <v>F</v>
          </cell>
          <cell r="Q23" t="str">
            <v>C</v>
          </cell>
          <cell r="R23">
            <v>1</v>
          </cell>
          <cell r="S23"/>
        </row>
        <row r="24">
          <cell r="A24" t="str">
            <v>1057-42888</v>
          </cell>
          <cell r="B24" t="str">
            <v>2017MLBS_23</v>
          </cell>
          <cell r="C24" t="e">
            <v>#N/A</v>
          </cell>
          <cell r="D24">
            <v>43171</v>
          </cell>
          <cell r="E24" t="str">
            <v>G3</v>
          </cell>
          <cell r="F24">
            <v>1</v>
          </cell>
          <cell r="G24">
            <v>1</v>
          </cell>
          <cell r="H24">
            <v>23</v>
          </cell>
          <cell r="I24"/>
          <cell r="J24">
            <v>1057</v>
          </cell>
          <cell r="K24" t="str">
            <v>SP2</v>
          </cell>
          <cell r="L24" t="str">
            <v>H2</v>
          </cell>
          <cell r="M24">
            <v>23</v>
          </cell>
          <cell r="N24">
            <v>1</v>
          </cell>
          <cell r="O24">
            <v>42888</v>
          </cell>
          <cell r="P24" t="str">
            <v>F</v>
          </cell>
          <cell r="Q24" t="str">
            <v>A</v>
          </cell>
          <cell r="R24">
            <v>1</v>
          </cell>
          <cell r="S24"/>
        </row>
        <row r="25">
          <cell r="A25"/>
          <cell r="B25" t="str">
            <v>2017MLBS_24</v>
          </cell>
          <cell r="C25" t="e">
            <v>#N/A</v>
          </cell>
          <cell r="D25">
            <v>43171</v>
          </cell>
          <cell r="E25" t="str">
            <v>H3</v>
          </cell>
          <cell r="F25">
            <v>1</v>
          </cell>
          <cell r="G25">
            <v>1</v>
          </cell>
          <cell r="H25">
            <v>24</v>
          </cell>
          <cell r="I25"/>
          <cell r="J25" t="str">
            <v>Extraction control blank</v>
          </cell>
          <cell r="K25"/>
          <cell r="L25"/>
          <cell r="M25">
            <v>24</v>
          </cell>
          <cell r="N25">
            <v>1</v>
          </cell>
          <cell r="O25"/>
          <cell r="P25"/>
          <cell r="Q25"/>
          <cell r="R25"/>
          <cell r="S25"/>
        </row>
        <row r="26">
          <cell r="A26" t="str">
            <v>1059-42889</v>
          </cell>
          <cell r="B26" t="str">
            <v>2017MLBS_25</v>
          </cell>
          <cell r="C26" t="e">
            <v>#N/A</v>
          </cell>
          <cell r="D26">
            <v>43172</v>
          </cell>
          <cell r="E26" t="str">
            <v>A4</v>
          </cell>
          <cell r="F26">
            <v>1</v>
          </cell>
          <cell r="G26">
            <v>1</v>
          </cell>
          <cell r="H26">
            <v>25</v>
          </cell>
          <cell r="I26"/>
          <cell r="J26">
            <v>1059</v>
          </cell>
          <cell r="K26" t="str">
            <v>SP1</v>
          </cell>
          <cell r="L26" t="str">
            <v>C7</v>
          </cell>
          <cell r="M26">
            <v>25</v>
          </cell>
          <cell r="N26">
            <v>1</v>
          </cell>
          <cell r="O26">
            <v>42889</v>
          </cell>
          <cell r="P26" t="str">
            <v>F</v>
          </cell>
          <cell r="Q26" t="str">
            <v>A</v>
          </cell>
          <cell r="R26">
            <v>1</v>
          </cell>
          <cell r="S26"/>
        </row>
        <row r="27">
          <cell r="A27" t="str">
            <v>1060-42889</v>
          </cell>
          <cell r="B27" t="str">
            <v>2017MLBS_26</v>
          </cell>
          <cell r="C27" t="e">
            <v>#N/A</v>
          </cell>
          <cell r="D27">
            <v>43172</v>
          </cell>
          <cell r="E27" t="str">
            <v>B4</v>
          </cell>
          <cell r="F27">
            <v>1</v>
          </cell>
          <cell r="G27">
            <v>1</v>
          </cell>
          <cell r="H27">
            <v>26</v>
          </cell>
          <cell r="I27"/>
          <cell r="J27">
            <v>1060</v>
          </cell>
          <cell r="K27" t="str">
            <v>SP1</v>
          </cell>
          <cell r="L27" t="str">
            <v>H3</v>
          </cell>
          <cell r="M27">
            <v>26</v>
          </cell>
          <cell r="N27">
            <v>1</v>
          </cell>
          <cell r="O27">
            <v>42889</v>
          </cell>
          <cell r="P27" t="str">
            <v>M</v>
          </cell>
          <cell r="Q27" t="str">
            <v>C</v>
          </cell>
          <cell r="R27">
            <v>1</v>
          </cell>
          <cell r="S27"/>
        </row>
        <row r="28">
          <cell r="A28" t="str">
            <v>1061-42889</v>
          </cell>
          <cell r="B28" t="str">
            <v>2017MLBS_27</v>
          </cell>
          <cell r="C28" t="e">
            <v>#N/A</v>
          </cell>
          <cell r="D28">
            <v>43172</v>
          </cell>
          <cell r="E28" t="str">
            <v>C4</v>
          </cell>
          <cell r="F28">
            <v>1</v>
          </cell>
          <cell r="G28">
            <v>1</v>
          </cell>
          <cell r="H28">
            <v>27</v>
          </cell>
          <cell r="I28"/>
          <cell r="J28">
            <v>1061</v>
          </cell>
          <cell r="K28" t="str">
            <v>SP2</v>
          </cell>
          <cell r="L28" t="str">
            <v>A7</v>
          </cell>
          <cell r="M28">
            <v>27</v>
          </cell>
          <cell r="N28">
            <v>1</v>
          </cell>
          <cell r="O28">
            <v>42889</v>
          </cell>
          <cell r="P28" t="str">
            <v>M</v>
          </cell>
          <cell r="Q28" t="str">
            <v>A</v>
          </cell>
          <cell r="R28">
            <v>1</v>
          </cell>
          <cell r="S28"/>
        </row>
        <row r="29">
          <cell r="A29" t="str">
            <v>1064-42893</v>
          </cell>
          <cell r="B29" t="str">
            <v>2017MLBS_28</v>
          </cell>
          <cell r="C29" t="e">
            <v>#N/A</v>
          </cell>
          <cell r="D29">
            <v>43172</v>
          </cell>
          <cell r="E29" t="str">
            <v>D4</v>
          </cell>
          <cell r="F29">
            <v>1</v>
          </cell>
          <cell r="G29">
            <v>1</v>
          </cell>
          <cell r="H29">
            <v>28</v>
          </cell>
          <cell r="I29"/>
          <cell r="J29">
            <v>1064</v>
          </cell>
          <cell r="K29" t="str">
            <v>PO1</v>
          </cell>
          <cell r="L29" t="str">
            <v>A8</v>
          </cell>
          <cell r="M29">
            <v>28</v>
          </cell>
          <cell r="N29">
            <v>1</v>
          </cell>
          <cell r="O29">
            <v>42893</v>
          </cell>
          <cell r="P29" t="str">
            <v>M</v>
          </cell>
          <cell r="Q29" t="str">
            <v>C</v>
          </cell>
          <cell r="R29">
            <v>1</v>
          </cell>
          <cell r="S29"/>
        </row>
        <row r="30">
          <cell r="A30" t="str">
            <v>1074-42893</v>
          </cell>
          <cell r="B30" t="str">
            <v>2017MLBS_29</v>
          </cell>
          <cell r="C30" t="e">
            <v>#N/A</v>
          </cell>
          <cell r="D30">
            <v>43172</v>
          </cell>
          <cell r="E30" t="str">
            <v>E4</v>
          </cell>
          <cell r="F30">
            <v>1</v>
          </cell>
          <cell r="G30">
            <v>1</v>
          </cell>
          <cell r="H30">
            <v>29</v>
          </cell>
          <cell r="I30"/>
          <cell r="J30">
            <v>1074</v>
          </cell>
          <cell r="K30" t="str">
            <v>PO2</v>
          </cell>
          <cell r="L30" t="str">
            <v>C8</v>
          </cell>
          <cell r="M30">
            <v>29</v>
          </cell>
          <cell r="N30">
            <v>1</v>
          </cell>
          <cell r="O30">
            <v>42893</v>
          </cell>
          <cell r="P30" t="str">
            <v>M</v>
          </cell>
          <cell r="Q30" t="str">
            <v>C</v>
          </cell>
          <cell r="R30">
            <v>1</v>
          </cell>
          <cell r="S30"/>
        </row>
        <row r="31">
          <cell r="A31" t="str">
            <v>1065-42893</v>
          </cell>
          <cell r="B31" t="str">
            <v>2017MLBS_30</v>
          </cell>
          <cell r="C31" t="e">
            <v>#N/A</v>
          </cell>
          <cell r="D31">
            <v>43172</v>
          </cell>
          <cell r="E31" t="str">
            <v>F4</v>
          </cell>
          <cell r="F31">
            <v>1</v>
          </cell>
          <cell r="G31">
            <v>1</v>
          </cell>
          <cell r="H31">
            <v>30</v>
          </cell>
          <cell r="I31"/>
          <cell r="J31">
            <v>1065</v>
          </cell>
          <cell r="K31" t="str">
            <v>PO1</v>
          </cell>
          <cell r="L31" t="str">
            <v>B7</v>
          </cell>
          <cell r="M31">
            <v>30</v>
          </cell>
          <cell r="N31">
            <v>1</v>
          </cell>
          <cell r="O31">
            <v>42893</v>
          </cell>
          <cell r="P31" t="str">
            <v>F</v>
          </cell>
          <cell r="Q31" t="str">
            <v>A</v>
          </cell>
          <cell r="R31">
            <v>1</v>
          </cell>
          <cell r="S31"/>
        </row>
        <row r="32">
          <cell r="A32" t="str">
            <v>1066-42893</v>
          </cell>
          <cell r="B32" t="str">
            <v>2017MLBS_31</v>
          </cell>
          <cell r="C32" t="e">
            <v>#N/A</v>
          </cell>
          <cell r="D32">
            <v>43172</v>
          </cell>
          <cell r="E32" t="str">
            <v>G4</v>
          </cell>
          <cell r="F32">
            <v>1</v>
          </cell>
          <cell r="G32">
            <v>1</v>
          </cell>
          <cell r="H32">
            <v>31</v>
          </cell>
          <cell r="I32"/>
          <cell r="J32">
            <v>1066</v>
          </cell>
          <cell r="K32" t="str">
            <v>PO1</v>
          </cell>
          <cell r="L32" t="str">
            <v>C4</v>
          </cell>
          <cell r="M32">
            <v>31</v>
          </cell>
          <cell r="N32">
            <v>1</v>
          </cell>
          <cell r="O32">
            <v>42893</v>
          </cell>
          <cell r="P32" t="str">
            <v>M</v>
          </cell>
          <cell r="Q32" t="str">
            <v>C</v>
          </cell>
          <cell r="R32">
            <v>1</v>
          </cell>
          <cell r="S32"/>
        </row>
        <row r="33">
          <cell r="A33" t="str">
            <v>1069-42893</v>
          </cell>
          <cell r="B33" t="str">
            <v>2017MLBS_32</v>
          </cell>
          <cell r="C33" t="e">
            <v>#N/A</v>
          </cell>
          <cell r="D33">
            <v>43172</v>
          </cell>
          <cell r="E33" t="str">
            <v>H4</v>
          </cell>
          <cell r="F33">
            <v>1</v>
          </cell>
          <cell r="G33">
            <v>1</v>
          </cell>
          <cell r="H33">
            <v>32</v>
          </cell>
          <cell r="I33"/>
          <cell r="J33">
            <v>1069</v>
          </cell>
          <cell r="K33" t="str">
            <v>PO1</v>
          </cell>
          <cell r="L33" t="str">
            <v>E8</v>
          </cell>
          <cell r="M33">
            <v>32</v>
          </cell>
          <cell r="N33">
            <v>1</v>
          </cell>
          <cell r="O33">
            <v>42893</v>
          </cell>
          <cell r="P33" t="str">
            <v>M</v>
          </cell>
          <cell r="Q33" t="str">
            <v>A</v>
          </cell>
          <cell r="R33">
            <v>1</v>
          </cell>
          <cell r="S33"/>
        </row>
        <row r="34">
          <cell r="A34" t="str">
            <v>1070-42893</v>
          </cell>
          <cell r="B34" t="str">
            <v>2017MLBS_33</v>
          </cell>
          <cell r="C34" t="e">
            <v>#N/A</v>
          </cell>
          <cell r="D34">
            <v>43172</v>
          </cell>
          <cell r="E34" t="str">
            <v>A5</v>
          </cell>
          <cell r="F34">
            <v>1</v>
          </cell>
          <cell r="G34">
            <v>1</v>
          </cell>
          <cell r="H34">
            <v>33</v>
          </cell>
          <cell r="I34"/>
          <cell r="J34">
            <v>1070</v>
          </cell>
          <cell r="K34" t="str">
            <v>PO1</v>
          </cell>
          <cell r="L34" t="str">
            <v>F4</v>
          </cell>
          <cell r="M34">
            <v>33</v>
          </cell>
          <cell r="N34">
            <v>1</v>
          </cell>
          <cell r="O34">
            <v>42893</v>
          </cell>
          <cell r="P34" t="str">
            <v>F</v>
          </cell>
          <cell r="Q34" t="str">
            <v>C</v>
          </cell>
          <cell r="R34">
            <v>1</v>
          </cell>
          <cell r="S34"/>
        </row>
        <row r="35">
          <cell r="A35" t="str">
            <v>1071-42893</v>
          </cell>
          <cell r="B35" t="str">
            <v>2017MLBS_34</v>
          </cell>
          <cell r="C35" t="e">
            <v>#N/A</v>
          </cell>
          <cell r="D35">
            <v>43172</v>
          </cell>
          <cell r="E35" t="str">
            <v>B5</v>
          </cell>
          <cell r="F35">
            <v>1</v>
          </cell>
          <cell r="G35">
            <v>1</v>
          </cell>
          <cell r="H35">
            <v>34</v>
          </cell>
          <cell r="I35"/>
          <cell r="J35">
            <v>1071</v>
          </cell>
          <cell r="K35" t="str">
            <v>PO1</v>
          </cell>
          <cell r="L35" t="str">
            <v>G3</v>
          </cell>
          <cell r="M35">
            <v>34</v>
          </cell>
          <cell r="N35">
            <v>1</v>
          </cell>
          <cell r="O35">
            <v>42893</v>
          </cell>
          <cell r="P35" t="str">
            <v>M</v>
          </cell>
          <cell r="Q35" t="str">
            <v>A</v>
          </cell>
          <cell r="R35">
            <v>1</v>
          </cell>
          <cell r="S35"/>
        </row>
        <row r="36">
          <cell r="A36" t="str">
            <v>1072-42893</v>
          </cell>
          <cell r="B36" t="str">
            <v>2017MLBS_35</v>
          </cell>
          <cell r="C36" t="e">
            <v>#N/A</v>
          </cell>
          <cell r="D36">
            <v>43172</v>
          </cell>
          <cell r="E36" t="str">
            <v>C5</v>
          </cell>
          <cell r="F36">
            <v>1</v>
          </cell>
          <cell r="G36">
            <v>1</v>
          </cell>
          <cell r="H36">
            <v>35</v>
          </cell>
          <cell r="I36"/>
          <cell r="J36">
            <v>1072</v>
          </cell>
          <cell r="K36" t="str">
            <v>PO1</v>
          </cell>
          <cell r="L36" t="str">
            <v>G7</v>
          </cell>
          <cell r="M36">
            <v>35</v>
          </cell>
          <cell r="N36">
            <v>1</v>
          </cell>
          <cell r="O36">
            <v>42893</v>
          </cell>
          <cell r="P36" t="str">
            <v>M</v>
          </cell>
          <cell r="Q36" t="str">
            <v>A</v>
          </cell>
          <cell r="R36">
            <v>1</v>
          </cell>
          <cell r="S36"/>
        </row>
        <row r="37">
          <cell r="A37" t="str">
            <v>1073-42893</v>
          </cell>
          <cell r="B37" t="str">
            <v>2017MLBS_36</v>
          </cell>
          <cell r="C37" t="e">
            <v>#N/A</v>
          </cell>
          <cell r="D37">
            <v>43172</v>
          </cell>
          <cell r="E37" t="str">
            <v>D5</v>
          </cell>
          <cell r="F37">
            <v>1</v>
          </cell>
          <cell r="G37">
            <v>1</v>
          </cell>
          <cell r="H37">
            <v>36</v>
          </cell>
          <cell r="I37"/>
          <cell r="J37">
            <v>1073</v>
          </cell>
          <cell r="K37" t="str">
            <v>PO2</v>
          </cell>
          <cell r="L37" t="str">
            <v>C4</v>
          </cell>
          <cell r="M37">
            <v>36</v>
          </cell>
          <cell r="N37">
            <v>1</v>
          </cell>
          <cell r="O37">
            <v>42893</v>
          </cell>
          <cell r="P37" t="str">
            <v>F</v>
          </cell>
          <cell r="Q37" t="str">
            <v>C</v>
          </cell>
          <cell r="R37">
            <v>1</v>
          </cell>
          <cell r="S37"/>
        </row>
        <row r="38">
          <cell r="A38" t="str">
            <v>1076-42893</v>
          </cell>
          <cell r="B38" t="str">
            <v>2017MLBS_37</v>
          </cell>
          <cell r="C38" t="e">
            <v>#N/A</v>
          </cell>
          <cell r="D38">
            <v>43172</v>
          </cell>
          <cell r="E38" t="str">
            <v>E5</v>
          </cell>
          <cell r="F38">
            <v>1</v>
          </cell>
          <cell r="G38">
            <v>1</v>
          </cell>
          <cell r="H38">
            <v>37</v>
          </cell>
          <cell r="I38"/>
          <cell r="J38">
            <v>1076</v>
          </cell>
          <cell r="K38" t="str">
            <v>PO2</v>
          </cell>
          <cell r="L38" t="str">
            <v>C4</v>
          </cell>
          <cell r="M38">
            <v>37</v>
          </cell>
          <cell r="N38">
            <v>1</v>
          </cell>
          <cell r="O38">
            <v>42893</v>
          </cell>
          <cell r="P38" t="str">
            <v>M</v>
          </cell>
          <cell r="Q38" t="str">
            <v>C</v>
          </cell>
          <cell r="R38">
            <v>1</v>
          </cell>
          <cell r="S38"/>
        </row>
        <row r="39">
          <cell r="A39" t="str">
            <v>1075-42893</v>
          </cell>
          <cell r="B39" t="str">
            <v>2017MLBS_38</v>
          </cell>
          <cell r="C39" t="e">
            <v>#N/A</v>
          </cell>
          <cell r="D39">
            <v>43172</v>
          </cell>
          <cell r="E39" t="str">
            <v>F5</v>
          </cell>
          <cell r="F39">
            <v>1</v>
          </cell>
          <cell r="G39">
            <v>1</v>
          </cell>
          <cell r="H39">
            <v>38</v>
          </cell>
          <cell r="I39"/>
          <cell r="J39">
            <v>1075</v>
          </cell>
          <cell r="K39" t="str">
            <v>PO2</v>
          </cell>
          <cell r="L39" t="str">
            <v>E3</v>
          </cell>
          <cell r="M39">
            <v>38</v>
          </cell>
          <cell r="N39">
            <v>1</v>
          </cell>
          <cell r="O39">
            <v>42893</v>
          </cell>
          <cell r="P39" t="str">
            <v>M</v>
          </cell>
          <cell r="Q39" t="str">
            <v>A</v>
          </cell>
          <cell r="R39">
            <v>1</v>
          </cell>
          <cell r="S39"/>
        </row>
        <row r="40">
          <cell r="A40" t="str">
            <v>1077-42893</v>
          </cell>
          <cell r="B40" t="str">
            <v>2017MLBS_39</v>
          </cell>
          <cell r="C40" t="e">
            <v>#N/A</v>
          </cell>
          <cell r="D40">
            <v>43172</v>
          </cell>
          <cell r="E40" t="str">
            <v>G5</v>
          </cell>
          <cell r="F40">
            <v>1</v>
          </cell>
          <cell r="G40">
            <v>1</v>
          </cell>
          <cell r="H40">
            <v>39</v>
          </cell>
          <cell r="I40"/>
          <cell r="J40">
            <v>1077</v>
          </cell>
          <cell r="K40" t="str">
            <v>PO2</v>
          </cell>
          <cell r="L40" t="str">
            <v>C8</v>
          </cell>
          <cell r="M40">
            <v>39</v>
          </cell>
          <cell r="N40">
            <v>1</v>
          </cell>
          <cell r="O40">
            <v>42893</v>
          </cell>
          <cell r="P40" t="str">
            <v>F</v>
          </cell>
          <cell r="Q40" t="str">
            <v>A</v>
          </cell>
          <cell r="R40">
            <v>1</v>
          </cell>
          <cell r="S40"/>
        </row>
        <row r="41">
          <cell r="A41" t="str">
            <v>1078-42893</v>
          </cell>
          <cell r="B41" t="str">
            <v>2017MLBS_40</v>
          </cell>
          <cell r="C41" t="e">
            <v>#N/A</v>
          </cell>
          <cell r="D41">
            <v>43172</v>
          </cell>
          <cell r="E41" t="str">
            <v>H5</v>
          </cell>
          <cell r="F41">
            <v>1</v>
          </cell>
          <cell r="G41">
            <v>1</v>
          </cell>
          <cell r="H41">
            <v>40</v>
          </cell>
          <cell r="I41"/>
          <cell r="J41">
            <v>1078</v>
          </cell>
          <cell r="K41" t="str">
            <v>PO2</v>
          </cell>
          <cell r="L41" t="str">
            <v>E3</v>
          </cell>
          <cell r="M41">
            <v>40</v>
          </cell>
          <cell r="N41">
            <v>1</v>
          </cell>
          <cell r="O41">
            <v>42893</v>
          </cell>
          <cell r="P41" t="str">
            <v>F</v>
          </cell>
          <cell r="Q41" t="str">
            <v>C</v>
          </cell>
          <cell r="R41">
            <v>1</v>
          </cell>
          <cell r="S41"/>
        </row>
        <row r="42">
          <cell r="A42" t="str">
            <v>1079-42894</v>
          </cell>
          <cell r="B42" t="str">
            <v>2017MLBS_41</v>
          </cell>
          <cell r="C42" t="e">
            <v>#N/A</v>
          </cell>
          <cell r="D42">
            <v>43172</v>
          </cell>
          <cell r="E42" t="str">
            <v>A6</v>
          </cell>
          <cell r="F42">
            <v>1</v>
          </cell>
          <cell r="G42">
            <v>1</v>
          </cell>
          <cell r="H42">
            <v>41</v>
          </cell>
          <cell r="I42"/>
          <cell r="J42">
            <v>1079</v>
          </cell>
          <cell r="K42" t="str">
            <v>PO1</v>
          </cell>
          <cell r="L42" t="str">
            <v>A5</v>
          </cell>
          <cell r="M42">
            <v>41</v>
          </cell>
          <cell r="N42">
            <v>1</v>
          </cell>
          <cell r="O42">
            <v>42894</v>
          </cell>
          <cell r="P42" t="str">
            <v>F</v>
          </cell>
          <cell r="Q42" t="str">
            <v>A</v>
          </cell>
          <cell r="R42">
            <v>1</v>
          </cell>
          <cell r="S42"/>
        </row>
        <row r="43">
          <cell r="A43" t="str">
            <v>1081-42894</v>
          </cell>
          <cell r="B43" t="str">
            <v>2017MLBS_42</v>
          </cell>
          <cell r="C43" t="e">
            <v>#N/A</v>
          </cell>
          <cell r="D43">
            <v>43172</v>
          </cell>
          <cell r="E43" t="str">
            <v>B6</v>
          </cell>
          <cell r="F43">
            <v>1</v>
          </cell>
          <cell r="G43">
            <v>1</v>
          </cell>
          <cell r="H43">
            <v>42</v>
          </cell>
          <cell r="I43"/>
          <cell r="J43">
            <v>1081</v>
          </cell>
          <cell r="K43" t="str">
            <v>PO1</v>
          </cell>
          <cell r="L43" t="str">
            <v>F4</v>
          </cell>
          <cell r="M43">
            <v>42</v>
          </cell>
          <cell r="N43">
            <v>1</v>
          </cell>
          <cell r="O43">
            <v>42894</v>
          </cell>
          <cell r="P43" t="str">
            <v>M</v>
          </cell>
          <cell r="Q43" t="str">
            <v>A</v>
          </cell>
          <cell r="R43">
            <v>1</v>
          </cell>
          <cell r="S43"/>
        </row>
        <row r="44">
          <cell r="A44" t="str">
            <v>1082-42894</v>
          </cell>
          <cell r="B44" t="str">
            <v>2017MLBS_43</v>
          </cell>
          <cell r="C44" t="e">
            <v>#N/A</v>
          </cell>
          <cell r="D44">
            <v>43172</v>
          </cell>
          <cell r="E44" t="str">
            <v>C6</v>
          </cell>
          <cell r="F44">
            <v>1</v>
          </cell>
          <cell r="G44">
            <v>1</v>
          </cell>
          <cell r="H44">
            <v>43</v>
          </cell>
          <cell r="I44"/>
          <cell r="J44">
            <v>1082</v>
          </cell>
          <cell r="K44" t="str">
            <v>PO1</v>
          </cell>
          <cell r="L44" t="str">
            <v>G1</v>
          </cell>
          <cell r="M44">
            <v>43</v>
          </cell>
          <cell r="N44">
            <v>1</v>
          </cell>
          <cell r="O44">
            <v>42894</v>
          </cell>
          <cell r="P44" t="str">
            <v>F</v>
          </cell>
          <cell r="Q44" t="str">
            <v>C</v>
          </cell>
          <cell r="R44">
            <v>1</v>
          </cell>
          <cell r="S44"/>
        </row>
        <row r="45">
          <cell r="A45" t="str">
            <v>1083-42894</v>
          </cell>
          <cell r="B45" t="str">
            <v>2017MLBS_44</v>
          </cell>
          <cell r="C45" t="e">
            <v>#N/A</v>
          </cell>
          <cell r="D45">
            <v>43172</v>
          </cell>
          <cell r="E45" t="str">
            <v>D6</v>
          </cell>
          <cell r="F45">
            <v>1</v>
          </cell>
          <cell r="G45">
            <v>1</v>
          </cell>
          <cell r="H45">
            <v>44</v>
          </cell>
          <cell r="I45"/>
          <cell r="J45">
            <v>1083</v>
          </cell>
          <cell r="K45" t="str">
            <v>PO1</v>
          </cell>
          <cell r="L45" t="str">
            <v>G3</v>
          </cell>
          <cell r="M45">
            <v>44</v>
          </cell>
          <cell r="N45">
            <v>1</v>
          </cell>
          <cell r="O45">
            <v>42894</v>
          </cell>
          <cell r="P45" t="str">
            <v>F</v>
          </cell>
          <cell r="Q45" t="str">
            <v>A</v>
          </cell>
          <cell r="R45">
            <v>1</v>
          </cell>
          <cell r="S45"/>
        </row>
        <row r="46">
          <cell r="A46" t="str">
            <v>1084-42894</v>
          </cell>
          <cell r="B46" t="str">
            <v>2017MLBS_45</v>
          </cell>
          <cell r="C46" t="e">
            <v>#N/A</v>
          </cell>
          <cell r="D46">
            <v>43172</v>
          </cell>
          <cell r="E46" t="str">
            <v>E6</v>
          </cell>
          <cell r="F46">
            <v>1</v>
          </cell>
          <cell r="G46">
            <v>1</v>
          </cell>
          <cell r="H46">
            <v>45</v>
          </cell>
          <cell r="I46"/>
          <cell r="J46">
            <v>1084</v>
          </cell>
          <cell r="K46" t="str">
            <v>PO1</v>
          </cell>
          <cell r="L46" t="str">
            <v>H1</v>
          </cell>
          <cell r="M46">
            <v>45</v>
          </cell>
          <cell r="N46">
            <v>1</v>
          </cell>
          <cell r="O46">
            <v>42894</v>
          </cell>
          <cell r="P46" t="str">
            <v>M</v>
          </cell>
          <cell r="Q46" t="str">
            <v>C</v>
          </cell>
          <cell r="R46">
            <v>1</v>
          </cell>
          <cell r="S46"/>
        </row>
        <row r="47">
          <cell r="A47" t="str">
            <v>1062-42889</v>
          </cell>
          <cell r="B47" t="str">
            <v>2017MLBS_46</v>
          </cell>
          <cell r="C47" t="e">
            <v>#N/A</v>
          </cell>
          <cell r="D47">
            <v>43172</v>
          </cell>
          <cell r="E47" t="str">
            <v>F6</v>
          </cell>
          <cell r="F47">
            <v>1</v>
          </cell>
          <cell r="G47">
            <v>1</v>
          </cell>
          <cell r="H47">
            <v>46</v>
          </cell>
          <cell r="I47" t="str">
            <v>6/3 not 6/8</v>
          </cell>
          <cell r="J47">
            <v>1062</v>
          </cell>
          <cell r="K47" t="str">
            <v>PO1</v>
          </cell>
          <cell r="L47">
            <v>43258</v>
          </cell>
          <cell r="M47">
            <v>46</v>
          </cell>
          <cell r="N47">
            <v>1</v>
          </cell>
          <cell r="O47">
            <v>42889</v>
          </cell>
          <cell r="P47"/>
          <cell r="Q47"/>
          <cell r="R47"/>
          <cell r="S47"/>
        </row>
        <row r="48">
          <cell r="A48" t="str">
            <v>1063-42893</v>
          </cell>
          <cell r="B48" t="str">
            <v>2017MLBS_47</v>
          </cell>
          <cell r="C48" t="e">
            <v>#N/A</v>
          </cell>
          <cell r="D48">
            <v>43172</v>
          </cell>
          <cell r="E48" t="str">
            <v>G6</v>
          </cell>
          <cell r="F48">
            <v>1</v>
          </cell>
          <cell r="G48">
            <v>1</v>
          </cell>
          <cell r="H48">
            <v>47</v>
          </cell>
          <cell r="I48" t="str">
            <v>6/7 not 6/8</v>
          </cell>
          <cell r="J48">
            <v>1063</v>
          </cell>
          <cell r="K48" t="str">
            <v>PO1</v>
          </cell>
          <cell r="L48">
            <v>43258</v>
          </cell>
          <cell r="M48">
            <v>47</v>
          </cell>
          <cell r="N48">
            <v>1</v>
          </cell>
          <cell r="O48">
            <v>42893</v>
          </cell>
          <cell r="P48"/>
          <cell r="Q48"/>
          <cell r="R48"/>
          <cell r="S48"/>
        </row>
        <row r="49">
          <cell r="A49"/>
          <cell r="B49" t="str">
            <v>2017MLBS_48</v>
          </cell>
          <cell r="C49" t="e">
            <v>#N/A</v>
          </cell>
          <cell r="D49">
            <v>43172</v>
          </cell>
          <cell r="E49" t="str">
            <v>H6</v>
          </cell>
          <cell r="F49">
            <v>1</v>
          </cell>
          <cell r="G49">
            <v>1</v>
          </cell>
          <cell r="H49">
            <v>48</v>
          </cell>
          <cell r="I49"/>
          <cell r="J49" t="str">
            <v>Extraction control blank</v>
          </cell>
          <cell r="K49"/>
          <cell r="L49"/>
          <cell r="M49">
            <v>48</v>
          </cell>
          <cell r="N49">
            <v>1</v>
          </cell>
          <cell r="O49"/>
          <cell r="P49"/>
          <cell r="Q49"/>
          <cell r="R49"/>
          <cell r="S49"/>
        </row>
        <row r="50">
          <cell r="A50" t="str">
            <v>1081-42946</v>
          </cell>
          <cell r="B50" t="str">
            <v>2017MLBS_49</v>
          </cell>
          <cell r="C50" t="e">
            <v>#N/A</v>
          </cell>
          <cell r="D50">
            <v>43174</v>
          </cell>
          <cell r="E50" t="str">
            <v>A7</v>
          </cell>
          <cell r="F50">
            <v>1</v>
          </cell>
          <cell r="G50">
            <v>1</v>
          </cell>
          <cell r="H50">
            <v>49</v>
          </cell>
          <cell r="I50"/>
          <cell r="J50">
            <v>1081</v>
          </cell>
          <cell r="K50" t="str">
            <v>PO1</v>
          </cell>
          <cell r="L50"/>
          <cell r="M50">
            <v>49</v>
          </cell>
          <cell r="N50">
            <v>1</v>
          </cell>
          <cell r="O50">
            <v>42946</v>
          </cell>
          <cell r="P50"/>
          <cell r="Q50"/>
          <cell r="R50"/>
          <cell r="S50"/>
        </row>
        <row r="51">
          <cell r="A51" t="str">
            <v>1086-42894</v>
          </cell>
          <cell r="B51" t="str">
            <v>2017MLBS_50</v>
          </cell>
          <cell r="C51" t="e">
            <v>#N/A</v>
          </cell>
          <cell r="D51">
            <v>43174</v>
          </cell>
          <cell r="E51" t="str">
            <v>B7</v>
          </cell>
          <cell r="F51">
            <v>1</v>
          </cell>
          <cell r="G51">
            <v>1</v>
          </cell>
          <cell r="H51">
            <v>50</v>
          </cell>
          <cell r="I51"/>
          <cell r="J51">
            <v>1086</v>
          </cell>
          <cell r="K51" t="str">
            <v>PO2</v>
          </cell>
          <cell r="L51" t="str">
            <v>A7</v>
          </cell>
          <cell r="M51">
            <v>50</v>
          </cell>
          <cell r="N51">
            <v>1</v>
          </cell>
          <cell r="O51">
            <v>42894</v>
          </cell>
          <cell r="P51" t="str">
            <v>F</v>
          </cell>
          <cell r="Q51" t="str">
            <v>C</v>
          </cell>
          <cell r="R51">
            <v>1</v>
          </cell>
          <cell r="S51"/>
        </row>
        <row r="52">
          <cell r="A52" t="str">
            <v>1087-42894</v>
          </cell>
          <cell r="B52" t="str">
            <v>2017MLBS_51</v>
          </cell>
          <cell r="C52" t="e">
            <v>#N/A</v>
          </cell>
          <cell r="D52">
            <v>43174</v>
          </cell>
          <cell r="E52" t="str">
            <v>C7</v>
          </cell>
          <cell r="F52">
            <v>1</v>
          </cell>
          <cell r="G52">
            <v>1</v>
          </cell>
          <cell r="H52">
            <v>51</v>
          </cell>
          <cell r="I52"/>
          <cell r="J52">
            <v>1087</v>
          </cell>
          <cell r="K52" t="str">
            <v>PO2</v>
          </cell>
          <cell r="L52" t="str">
            <v>B5</v>
          </cell>
          <cell r="M52">
            <v>51</v>
          </cell>
          <cell r="N52">
            <v>1</v>
          </cell>
          <cell r="O52">
            <v>42894</v>
          </cell>
          <cell r="P52" t="str">
            <v>M</v>
          </cell>
          <cell r="Q52" t="str">
            <v>A</v>
          </cell>
          <cell r="R52">
            <v>1</v>
          </cell>
          <cell r="S52"/>
        </row>
        <row r="53">
          <cell r="A53" t="str">
            <v>1088-42894</v>
          </cell>
          <cell r="B53" t="str">
            <v>2017MLBS_52</v>
          </cell>
          <cell r="C53" t="e">
            <v>#N/A</v>
          </cell>
          <cell r="D53">
            <v>43174</v>
          </cell>
          <cell r="E53" t="str">
            <v>D7</v>
          </cell>
          <cell r="F53">
            <v>1</v>
          </cell>
          <cell r="G53">
            <v>1</v>
          </cell>
          <cell r="H53">
            <v>52</v>
          </cell>
          <cell r="I53"/>
          <cell r="J53">
            <v>1088</v>
          </cell>
          <cell r="K53" t="str">
            <v>PO2</v>
          </cell>
          <cell r="L53" t="str">
            <v>C3</v>
          </cell>
          <cell r="M53">
            <v>52</v>
          </cell>
          <cell r="N53">
            <v>1</v>
          </cell>
          <cell r="O53">
            <v>42894</v>
          </cell>
          <cell r="P53" t="str">
            <v>F</v>
          </cell>
          <cell r="Q53" t="str">
            <v>C</v>
          </cell>
          <cell r="R53">
            <v>1</v>
          </cell>
          <cell r="S53"/>
        </row>
        <row r="54">
          <cell r="A54" t="str">
            <v>1090-42894</v>
          </cell>
          <cell r="B54" t="str">
            <v>2017MLBS_53</v>
          </cell>
          <cell r="C54" t="e">
            <v>#N/A</v>
          </cell>
          <cell r="D54">
            <v>43174</v>
          </cell>
          <cell r="E54" t="str">
            <v>E7</v>
          </cell>
          <cell r="F54">
            <v>1</v>
          </cell>
          <cell r="G54">
            <v>1</v>
          </cell>
          <cell r="H54">
            <v>53</v>
          </cell>
          <cell r="I54"/>
          <cell r="J54">
            <v>1090</v>
          </cell>
          <cell r="K54" t="str">
            <v>PO2</v>
          </cell>
          <cell r="L54" t="str">
            <v>D8</v>
          </cell>
          <cell r="M54">
            <v>53</v>
          </cell>
          <cell r="N54">
            <v>1</v>
          </cell>
          <cell r="O54">
            <v>42894</v>
          </cell>
          <cell r="P54" t="str">
            <v>F</v>
          </cell>
          <cell r="Q54" t="str">
            <v>A</v>
          </cell>
          <cell r="R54">
            <v>1</v>
          </cell>
          <cell r="S54"/>
        </row>
        <row r="55">
          <cell r="A55" t="str">
            <v>1091-42894</v>
          </cell>
          <cell r="B55" t="str">
            <v>2017MLBS_54</v>
          </cell>
          <cell r="C55" t="e">
            <v>#N/A</v>
          </cell>
          <cell r="D55">
            <v>43174</v>
          </cell>
          <cell r="E55" t="str">
            <v>F7</v>
          </cell>
          <cell r="F55">
            <v>1</v>
          </cell>
          <cell r="G55">
            <v>1</v>
          </cell>
          <cell r="H55">
            <v>54</v>
          </cell>
          <cell r="I55"/>
          <cell r="J55">
            <v>1091</v>
          </cell>
          <cell r="K55" t="str">
            <v>PO2</v>
          </cell>
          <cell r="L55" t="str">
            <v>G6</v>
          </cell>
          <cell r="M55">
            <v>54</v>
          </cell>
          <cell r="N55">
            <v>1</v>
          </cell>
          <cell r="O55">
            <v>42894</v>
          </cell>
          <cell r="P55" t="str">
            <v>M</v>
          </cell>
          <cell r="Q55" t="str">
            <v>A</v>
          </cell>
          <cell r="R55">
            <v>1</v>
          </cell>
          <cell r="S55"/>
        </row>
        <row r="56">
          <cell r="A56" t="str">
            <v>1095-42895</v>
          </cell>
          <cell r="B56" t="str">
            <v>2017MLBS_55</v>
          </cell>
          <cell r="C56" t="e">
            <v>#N/A</v>
          </cell>
          <cell r="D56">
            <v>43174</v>
          </cell>
          <cell r="E56" t="str">
            <v>G7</v>
          </cell>
          <cell r="F56">
            <v>1</v>
          </cell>
          <cell r="G56">
            <v>1</v>
          </cell>
          <cell r="H56">
            <v>55</v>
          </cell>
          <cell r="I56"/>
          <cell r="J56">
            <v>1095</v>
          </cell>
          <cell r="K56" t="str">
            <v>PO1</v>
          </cell>
          <cell r="L56" t="str">
            <v>F2</v>
          </cell>
          <cell r="M56">
            <v>55</v>
          </cell>
          <cell r="N56">
            <v>1</v>
          </cell>
          <cell r="O56">
            <v>42895</v>
          </cell>
          <cell r="P56" t="str">
            <v>F</v>
          </cell>
          <cell r="Q56" t="str">
            <v>A</v>
          </cell>
          <cell r="R56">
            <v>1</v>
          </cell>
          <cell r="S56"/>
        </row>
        <row r="57">
          <cell r="A57" t="str">
            <v>1097-42895</v>
          </cell>
          <cell r="B57" t="str">
            <v>2017MLBS_56</v>
          </cell>
          <cell r="C57" t="e">
            <v>#N/A</v>
          </cell>
          <cell r="D57">
            <v>43174</v>
          </cell>
          <cell r="E57" t="str">
            <v>H7</v>
          </cell>
          <cell r="F57">
            <v>1</v>
          </cell>
          <cell r="G57">
            <v>1</v>
          </cell>
          <cell r="H57">
            <v>56</v>
          </cell>
          <cell r="I57"/>
          <cell r="J57">
            <v>1097</v>
          </cell>
          <cell r="K57" t="str">
            <v>PO2</v>
          </cell>
          <cell r="L57" t="str">
            <v>A3</v>
          </cell>
          <cell r="M57">
            <v>56</v>
          </cell>
          <cell r="N57">
            <v>1</v>
          </cell>
          <cell r="O57">
            <v>42895</v>
          </cell>
          <cell r="P57" t="str">
            <v>M</v>
          </cell>
          <cell r="Q57" t="str">
            <v>A</v>
          </cell>
          <cell r="R57">
            <v>1</v>
          </cell>
          <cell r="S57"/>
        </row>
        <row r="58">
          <cell r="A58" t="str">
            <v>1098-42895</v>
          </cell>
          <cell r="B58" t="str">
            <v>2017MLBS_57</v>
          </cell>
          <cell r="C58" t="e">
            <v>#N/A</v>
          </cell>
          <cell r="D58">
            <v>43174</v>
          </cell>
          <cell r="E58" t="str">
            <v>A8</v>
          </cell>
          <cell r="F58">
            <v>1</v>
          </cell>
          <cell r="G58">
            <v>1</v>
          </cell>
          <cell r="H58">
            <v>57</v>
          </cell>
          <cell r="I58"/>
          <cell r="J58">
            <v>1098</v>
          </cell>
          <cell r="K58" t="str">
            <v>PO2</v>
          </cell>
          <cell r="L58" t="str">
            <v>H1</v>
          </cell>
          <cell r="M58">
            <v>57</v>
          </cell>
          <cell r="N58">
            <v>1</v>
          </cell>
          <cell r="O58">
            <v>42895</v>
          </cell>
          <cell r="P58" t="str">
            <v>M</v>
          </cell>
          <cell r="Q58" t="str">
            <v>A</v>
          </cell>
          <cell r="R58">
            <v>1</v>
          </cell>
          <cell r="S58"/>
        </row>
        <row r="59">
          <cell r="A59" t="str">
            <v>1099-42895</v>
          </cell>
          <cell r="B59" t="str">
            <v>2017MLBS_58</v>
          </cell>
          <cell r="C59" t="e">
            <v>#N/A</v>
          </cell>
          <cell r="D59">
            <v>43174</v>
          </cell>
          <cell r="E59" t="str">
            <v>B9</v>
          </cell>
          <cell r="F59">
            <v>1</v>
          </cell>
          <cell r="G59">
            <v>1</v>
          </cell>
          <cell r="H59">
            <v>58</v>
          </cell>
          <cell r="I59"/>
          <cell r="J59">
            <v>1099</v>
          </cell>
          <cell r="K59" t="str">
            <v>PO2</v>
          </cell>
          <cell r="L59" t="str">
            <v>H2</v>
          </cell>
          <cell r="M59">
            <v>58</v>
          </cell>
          <cell r="N59">
            <v>1</v>
          </cell>
          <cell r="O59">
            <v>42895</v>
          </cell>
          <cell r="P59" t="str">
            <v>M</v>
          </cell>
          <cell r="Q59" t="str">
            <v>C</v>
          </cell>
          <cell r="R59">
            <v>1</v>
          </cell>
          <cell r="S59"/>
        </row>
        <row r="60">
          <cell r="A60" t="str">
            <v>949-42939</v>
          </cell>
          <cell r="B60" t="str">
            <v>2017MLBS_59</v>
          </cell>
          <cell r="C60" t="e">
            <v>#N/A</v>
          </cell>
          <cell r="D60">
            <v>43174</v>
          </cell>
          <cell r="E60" t="str">
            <v>C9</v>
          </cell>
          <cell r="F60">
            <v>1</v>
          </cell>
          <cell r="G60">
            <v>1</v>
          </cell>
          <cell r="H60">
            <v>59</v>
          </cell>
          <cell r="I60"/>
          <cell r="J60">
            <v>949</v>
          </cell>
          <cell r="K60" t="str">
            <v>SP1</v>
          </cell>
          <cell r="L60" t="str">
            <v>E6</v>
          </cell>
          <cell r="M60">
            <v>59</v>
          </cell>
          <cell r="N60">
            <v>1</v>
          </cell>
          <cell r="O60">
            <v>42939</v>
          </cell>
          <cell r="P60" t="str">
            <v>M</v>
          </cell>
          <cell r="Q60" t="str">
            <v>A</v>
          </cell>
          <cell r="R60">
            <v>4</v>
          </cell>
          <cell r="S60"/>
        </row>
        <row r="61">
          <cell r="A61" t="str">
            <v>1036-42939</v>
          </cell>
          <cell r="B61" t="str">
            <v>2017MLBS_60</v>
          </cell>
          <cell r="C61" t="e">
            <v>#N/A</v>
          </cell>
          <cell r="D61">
            <v>43174</v>
          </cell>
          <cell r="E61" t="str">
            <v>D8</v>
          </cell>
          <cell r="F61">
            <v>1</v>
          </cell>
          <cell r="G61">
            <v>1</v>
          </cell>
          <cell r="H61">
            <v>60</v>
          </cell>
          <cell r="I61"/>
          <cell r="J61">
            <v>1036</v>
          </cell>
          <cell r="K61" t="str">
            <v>SP1</v>
          </cell>
          <cell r="L61" t="str">
            <v>F1</v>
          </cell>
          <cell r="M61">
            <v>60</v>
          </cell>
          <cell r="N61">
            <v>1</v>
          </cell>
          <cell r="O61">
            <v>42939</v>
          </cell>
          <cell r="P61" t="str">
            <v>F</v>
          </cell>
          <cell r="Q61" t="str">
            <v>A</v>
          </cell>
          <cell r="R61">
            <v>4</v>
          </cell>
          <cell r="S61"/>
        </row>
        <row r="62">
          <cell r="A62" t="str">
            <v>1216-42939</v>
          </cell>
          <cell r="B62" t="str">
            <v>2017MLBS_61</v>
          </cell>
          <cell r="C62" t="e">
            <v>#N/A</v>
          </cell>
          <cell r="D62">
            <v>43174</v>
          </cell>
          <cell r="E62" t="str">
            <v>E8</v>
          </cell>
          <cell r="F62">
            <v>1</v>
          </cell>
          <cell r="G62">
            <v>1</v>
          </cell>
          <cell r="H62">
            <v>61</v>
          </cell>
          <cell r="I62"/>
          <cell r="J62">
            <v>1216</v>
          </cell>
          <cell r="K62" t="str">
            <v>SP1</v>
          </cell>
          <cell r="L62" t="str">
            <v>F3</v>
          </cell>
          <cell r="M62">
            <v>61</v>
          </cell>
          <cell r="N62">
            <v>1</v>
          </cell>
          <cell r="O62">
            <v>42939</v>
          </cell>
          <cell r="P62" t="str">
            <v>M</v>
          </cell>
          <cell r="Q62" t="str">
            <v>C</v>
          </cell>
          <cell r="R62">
            <v>4</v>
          </cell>
          <cell r="S62"/>
        </row>
        <row r="63">
          <cell r="A63" t="str">
            <v>1267-42939</v>
          </cell>
          <cell r="B63" t="str">
            <v>2017MLBS_62</v>
          </cell>
          <cell r="C63" t="e">
            <v>#N/A</v>
          </cell>
          <cell r="D63">
            <v>43174</v>
          </cell>
          <cell r="E63" t="str">
            <v>F8</v>
          </cell>
          <cell r="F63">
            <v>1</v>
          </cell>
          <cell r="G63">
            <v>1</v>
          </cell>
          <cell r="H63">
            <v>62</v>
          </cell>
          <cell r="I63"/>
          <cell r="J63">
            <v>1267</v>
          </cell>
          <cell r="K63" t="str">
            <v>SP1</v>
          </cell>
          <cell r="L63" t="str">
            <v>G1</v>
          </cell>
          <cell r="M63">
            <v>62</v>
          </cell>
          <cell r="N63">
            <v>1</v>
          </cell>
          <cell r="O63">
            <v>42939</v>
          </cell>
          <cell r="P63" t="str">
            <v>F</v>
          </cell>
          <cell r="Q63" t="str">
            <v>C</v>
          </cell>
          <cell r="R63">
            <v>4</v>
          </cell>
          <cell r="S63"/>
        </row>
        <row r="64">
          <cell r="A64" t="str">
            <v>1141-42939</v>
          </cell>
          <cell r="B64" t="str">
            <v>2017MLBS_63</v>
          </cell>
          <cell r="C64" t="e">
            <v>#N/A</v>
          </cell>
          <cell r="D64">
            <v>43174</v>
          </cell>
          <cell r="E64" t="str">
            <v>G8</v>
          </cell>
          <cell r="F64">
            <v>1</v>
          </cell>
          <cell r="G64">
            <v>1</v>
          </cell>
          <cell r="H64">
            <v>63</v>
          </cell>
          <cell r="I64"/>
          <cell r="J64">
            <v>1141</v>
          </cell>
          <cell r="K64" t="str">
            <v>SP1</v>
          </cell>
          <cell r="L64" t="str">
            <v>G4</v>
          </cell>
          <cell r="M64">
            <v>63</v>
          </cell>
          <cell r="N64">
            <v>1</v>
          </cell>
          <cell r="O64">
            <v>42939</v>
          </cell>
          <cell r="P64" t="str">
            <v>F</v>
          </cell>
          <cell r="Q64" t="str">
            <v>A</v>
          </cell>
          <cell r="R64">
            <v>4</v>
          </cell>
          <cell r="S64"/>
        </row>
        <row r="65">
          <cell r="A65" t="str">
            <v>1269-42939</v>
          </cell>
          <cell r="B65" t="str">
            <v>2017MLBS_64</v>
          </cell>
          <cell r="C65" t="e">
            <v>#N/A</v>
          </cell>
          <cell r="D65">
            <v>43174</v>
          </cell>
          <cell r="E65" t="str">
            <v>H8</v>
          </cell>
          <cell r="F65">
            <v>1</v>
          </cell>
          <cell r="G65">
            <v>1</v>
          </cell>
          <cell r="H65">
            <v>64</v>
          </cell>
          <cell r="I65"/>
          <cell r="J65">
            <v>1269</v>
          </cell>
          <cell r="K65" t="str">
            <v>SP1</v>
          </cell>
          <cell r="L65" t="str">
            <v>H3</v>
          </cell>
          <cell r="M65">
            <v>64</v>
          </cell>
          <cell r="N65">
            <v>1</v>
          </cell>
          <cell r="O65">
            <v>42939</v>
          </cell>
          <cell r="P65" t="str">
            <v>M</v>
          </cell>
          <cell r="Q65" t="str">
            <v>C</v>
          </cell>
          <cell r="R65">
            <v>4</v>
          </cell>
          <cell r="S65"/>
        </row>
        <row r="66">
          <cell r="A66" t="str">
            <v>1271-42939</v>
          </cell>
          <cell r="B66" t="str">
            <v>2017MLBS_65</v>
          </cell>
          <cell r="C66" t="e">
            <v>#N/A</v>
          </cell>
          <cell r="D66">
            <v>43174</v>
          </cell>
          <cell r="E66" t="str">
            <v>A9</v>
          </cell>
          <cell r="F66">
            <v>1</v>
          </cell>
          <cell r="G66">
            <v>1</v>
          </cell>
          <cell r="H66">
            <v>65</v>
          </cell>
          <cell r="I66"/>
          <cell r="J66">
            <v>1271</v>
          </cell>
          <cell r="K66" t="str">
            <v>SP1</v>
          </cell>
          <cell r="L66" t="str">
            <v>H8</v>
          </cell>
          <cell r="M66">
            <v>65</v>
          </cell>
          <cell r="N66">
            <v>1</v>
          </cell>
          <cell r="O66">
            <v>42939</v>
          </cell>
          <cell r="P66" t="str">
            <v>M</v>
          </cell>
          <cell r="Q66" t="str">
            <v>C</v>
          </cell>
          <cell r="R66">
            <v>4</v>
          </cell>
          <cell r="S66"/>
        </row>
        <row r="67">
          <cell r="A67" t="str">
            <v>1272-42939</v>
          </cell>
          <cell r="B67" t="str">
            <v>2017MLBS_66</v>
          </cell>
          <cell r="C67" t="e">
            <v>#N/A</v>
          </cell>
          <cell r="D67">
            <v>43174</v>
          </cell>
          <cell r="E67" t="str">
            <v>B8</v>
          </cell>
          <cell r="F67">
            <v>1</v>
          </cell>
          <cell r="G67">
            <v>1</v>
          </cell>
          <cell r="H67">
            <v>66</v>
          </cell>
          <cell r="I67"/>
          <cell r="J67">
            <v>1272</v>
          </cell>
          <cell r="K67" t="str">
            <v>SP2</v>
          </cell>
          <cell r="L67" t="str">
            <v>A1</v>
          </cell>
          <cell r="M67">
            <v>66</v>
          </cell>
          <cell r="N67">
            <v>1</v>
          </cell>
          <cell r="O67">
            <v>42939</v>
          </cell>
          <cell r="P67" t="str">
            <v>M</v>
          </cell>
          <cell r="Q67" t="str">
            <v>A</v>
          </cell>
          <cell r="R67">
            <v>4</v>
          </cell>
          <cell r="S67"/>
        </row>
        <row r="68">
          <cell r="A68" t="str">
            <v>1273-42939</v>
          </cell>
          <cell r="B68" t="str">
            <v>2017MLBS_67</v>
          </cell>
          <cell r="C68" t="e">
            <v>#N/A</v>
          </cell>
          <cell r="D68">
            <v>43174</v>
          </cell>
          <cell r="E68" t="str">
            <v>C8</v>
          </cell>
          <cell r="F68">
            <v>1</v>
          </cell>
          <cell r="G68">
            <v>1</v>
          </cell>
          <cell r="H68">
            <v>67</v>
          </cell>
          <cell r="I68"/>
          <cell r="J68">
            <v>1273</v>
          </cell>
          <cell r="K68" t="str">
            <v>SP2</v>
          </cell>
          <cell r="L68" t="str">
            <v>A4</v>
          </cell>
          <cell r="M68">
            <v>67</v>
          </cell>
          <cell r="N68">
            <v>1</v>
          </cell>
          <cell r="O68">
            <v>42939</v>
          </cell>
          <cell r="P68" t="str">
            <v>F</v>
          </cell>
          <cell r="Q68" t="str">
            <v>C</v>
          </cell>
          <cell r="R68">
            <v>4</v>
          </cell>
          <cell r="S68"/>
        </row>
        <row r="69">
          <cell r="A69" t="str">
            <v>1043-42939</v>
          </cell>
          <cell r="B69" t="str">
            <v>2017MLBS_68</v>
          </cell>
          <cell r="C69" t="e">
            <v>#N/A</v>
          </cell>
          <cell r="D69">
            <v>43174</v>
          </cell>
          <cell r="E69" t="str">
            <v>D9</v>
          </cell>
          <cell r="F69">
            <v>1</v>
          </cell>
          <cell r="G69">
            <v>1</v>
          </cell>
          <cell r="H69">
            <v>68</v>
          </cell>
          <cell r="I69"/>
          <cell r="J69">
            <v>1043</v>
          </cell>
          <cell r="K69" t="str">
            <v>SP2</v>
          </cell>
          <cell r="L69" t="str">
            <v>B6</v>
          </cell>
          <cell r="M69">
            <v>68</v>
          </cell>
          <cell r="N69">
            <v>1</v>
          </cell>
          <cell r="O69">
            <v>42939</v>
          </cell>
          <cell r="P69" t="str">
            <v>F</v>
          </cell>
          <cell r="Q69" t="str">
            <v>A</v>
          </cell>
          <cell r="R69">
            <v>4</v>
          </cell>
          <cell r="S69" t="str">
            <v>NC ok, P6 switched wells</v>
          </cell>
        </row>
        <row r="70">
          <cell r="A70" t="str">
            <v>1145-42939</v>
          </cell>
          <cell r="B70" t="str">
            <v>2017MLBS_69</v>
          </cell>
          <cell r="C70" t="e">
            <v>#N/A</v>
          </cell>
          <cell r="D70">
            <v>43174</v>
          </cell>
          <cell r="E70" t="str">
            <v>E9</v>
          </cell>
          <cell r="F70">
            <v>1</v>
          </cell>
          <cell r="G70">
            <v>1</v>
          </cell>
          <cell r="H70">
            <v>69</v>
          </cell>
          <cell r="I70"/>
          <cell r="J70">
            <v>1145</v>
          </cell>
          <cell r="K70" t="str">
            <v>SP2</v>
          </cell>
          <cell r="L70" t="str">
            <v>B8</v>
          </cell>
          <cell r="M70">
            <v>69</v>
          </cell>
          <cell r="N70">
            <v>1</v>
          </cell>
          <cell r="O70">
            <v>42939</v>
          </cell>
          <cell r="P70" t="str">
            <v>M</v>
          </cell>
          <cell r="Q70" t="str">
            <v>A</v>
          </cell>
          <cell r="R70">
            <v>4</v>
          </cell>
          <cell r="S70" t="str">
            <v>NC ok, P6 switched wells</v>
          </cell>
        </row>
        <row r="71">
          <cell r="A71" t="str">
            <v>1045-42939</v>
          </cell>
          <cell r="B71" t="str">
            <v>2017MLBS_70</v>
          </cell>
          <cell r="C71" t="e">
            <v>#N/A</v>
          </cell>
          <cell r="D71">
            <v>43174</v>
          </cell>
          <cell r="E71" t="str">
            <v>F9</v>
          </cell>
          <cell r="F71">
            <v>1</v>
          </cell>
          <cell r="G71">
            <v>1</v>
          </cell>
          <cell r="H71">
            <v>70</v>
          </cell>
          <cell r="I71"/>
          <cell r="J71">
            <v>1045</v>
          </cell>
          <cell r="K71" t="str">
            <v>SP2</v>
          </cell>
          <cell r="L71" t="str">
            <v>C4</v>
          </cell>
          <cell r="M71">
            <v>70</v>
          </cell>
          <cell r="N71">
            <v>1</v>
          </cell>
          <cell r="O71">
            <v>42939</v>
          </cell>
          <cell r="P71" t="str">
            <v>M</v>
          </cell>
          <cell r="Q71" t="str">
            <v>A</v>
          </cell>
          <cell r="R71">
            <v>4</v>
          </cell>
          <cell r="S71"/>
        </row>
        <row r="72">
          <cell r="A72" t="str">
            <v>1220-42939</v>
          </cell>
          <cell r="B72" t="str">
            <v>2017MLBS_71</v>
          </cell>
          <cell r="C72" t="e">
            <v>#N/A</v>
          </cell>
          <cell r="D72">
            <v>43174</v>
          </cell>
          <cell r="E72" t="str">
            <v>G9</v>
          </cell>
          <cell r="F72">
            <v>1</v>
          </cell>
          <cell r="G72">
            <v>1</v>
          </cell>
          <cell r="H72">
            <v>71</v>
          </cell>
          <cell r="I72"/>
          <cell r="J72">
            <v>1220</v>
          </cell>
          <cell r="K72" t="str">
            <v>SP2</v>
          </cell>
          <cell r="L72" t="str">
            <v>F2</v>
          </cell>
          <cell r="M72">
            <v>71</v>
          </cell>
          <cell r="N72">
            <v>1</v>
          </cell>
          <cell r="O72">
            <v>42939</v>
          </cell>
          <cell r="P72" t="str">
            <v>M</v>
          </cell>
          <cell r="Q72" t="str">
            <v>C</v>
          </cell>
          <cell r="R72">
            <v>4</v>
          </cell>
          <cell r="S72"/>
        </row>
        <row r="73">
          <cell r="A73"/>
          <cell r="B73" t="str">
            <v>2017MLBS_72</v>
          </cell>
          <cell r="C73" t="e">
            <v>#N/A</v>
          </cell>
          <cell r="D73">
            <v>43174</v>
          </cell>
          <cell r="E73" t="str">
            <v>H9</v>
          </cell>
          <cell r="F73">
            <v>1</v>
          </cell>
          <cell r="G73">
            <v>1</v>
          </cell>
          <cell r="H73">
            <v>72</v>
          </cell>
          <cell r="I73"/>
          <cell r="J73" t="str">
            <v>Extraction control blank</v>
          </cell>
          <cell r="K73"/>
          <cell r="L73"/>
          <cell r="M73">
            <v>72</v>
          </cell>
          <cell r="N73">
            <v>1</v>
          </cell>
          <cell r="O73"/>
          <cell r="P73"/>
          <cell r="Q73"/>
          <cell r="R73"/>
          <cell r="S73"/>
        </row>
        <row r="74">
          <cell r="A74" t="str">
            <v>1212-42939</v>
          </cell>
          <cell r="B74" t="str">
            <v>2017MLBS_73</v>
          </cell>
          <cell r="C74" t="e">
            <v>#N/A</v>
          </cell>
          <cell r="D74">
            <v>43174</v>
          </cell>
          <cell r="E74" t="str">
            <v>A10</v>
          </cell>
          <cell r="F74">
            <v>1</v>
          </cell>
          <cell r="G74">
            <v>1</v>
          </cell>
          <cell r="H74">
            <v>73</v>
          </cell>
          <cell r="I74"/>
          <cell r="J74">
            <v>1212</v>
          </cell>
          <cell r="K74" t="str">
            <v>SP2</v>
          </cell>
          <cell r="L74" t="str">
            <v>F7</v>
          </cell>
          <cell r="M74">
            <v>1</v>
          </cell>
          <cell r="N74">
            <v>2</v>
          </cell>
          <cell r="O74">
            <v>42939</v>
          </cell>
          <cell r="P74" t="str">
            <v>F</v>
          </cell>
          <cell r="Q74" t="str">
            <v>C</v>
          </cell>
          <cell r="R74">
            <v>4</v>
          </cell>
          <cell r="S74"/>
        </row>
        <row r="75">
          <cell r="A75" t="str">
            <v>1274-42939</v>
          </cell>
          <cell r="B75" t="str">
            <v>2017MLBS_74</v>
          </cell>
          <cell r="C75" t="e">
            <v>#N/A</v>
          </cell>
          <cell r="D75">
            <v>43174</v>
          </cell>
          <cell r="E75" t="str">
            <v>B10</v>
          </cell>
          <cell r="F75">
            <v>1</v>
          </cell>
          <cell r="G75">
            <v>1</v>
          </cell>
          <cell r="H75">
            <v>74</v>
          </cell>
          <cell r="I75"/>
          <cell r="J75">
            <v>1274</v>
          </cell>
          <cell r="K75" t="str">
            <v>SP2</v>
          </cell>
          <cell r="L75" t="str">
            <v>G2</v>
          </cell>
          <cell r="M75">
            <v>2</v>
          </cell>
          <cell r="N75">
            <v>2</v>
          </cell>
          <cell r="O75">
            <v>42939</v>
          </cell>
          <cell r="P75" t="str">
            <v>F</v>
          </cell>
          <cell r="Q75" t="str">
            <v>A</v>
          </cell>
          <cell r="R75">
            <v>4</v>
          </cell>
          <cell r="S75"/>
        </row>
        <row r="76">
          <cell r="A76" t="str">
            <v>1275-42939</v>
          </cell>
          <cell r="B76" t="str">
            <v>2017MLBS_75</v>
          </cell>
          <cell r="C76" t="e">
            <v>#N/A</v>
          </cell>
          <cell r="D76">
            <v>43174</v>
          </cell>
          <cell r="E76" t="str">
            <v>C10</v>
          </cell>
          <cell r="F76">
            <v>1</v>
          </cell>
          <cell r="G76">
            <v>1</v>
          </cell>
          <cell r="H76">
            <v>75</v>
          </cell>
          <cell r="I76"/>
          <cell r="J76">
            <v>1275</v>
          </cell>
          <cell r="K76" t="str">
            <v>SP2</v>
          </cell>
          <cell r="L76" t="str">
            <v>H3</v>
          </cell>
          <cell r="M76">
            <v>3</v>
          </cell>
          <cell r="N76">
            <v>2</v>
          </cell>
          <cell r="O76">
            <v>42939</v>
          </cell>
          <cell r="P76" t="str">
            <v>M</v>
          </cell>
          <cell r="Q76" t="str">
            <v>C</v>
          </cell>
          <cell r="R76">
            <v>4</v>
          </cell>
          <cell r="S76"/>
        </row>
        <row r="77">
          <cell r="A77" t="str">
            <v>1276-42940</v>
          </cell>
          <cell r="B77" t="str">
            <v>2017MLBS_76</v>
          </cell>
          <cell r="C77" t="e">
            <v>#N/A</v>
          </cell>
          <cell r="D77">
            <v>43174</v>
          </cell>
          <cell r="E77" t="str">
            <v>D10</v>
          </cell>
          <cell r="F77">
            <v>1</v>
          </cell>
          <cell r="G77">
            <v>1</v>
          </cell>
          <cell r="H77">
            <v>76</v>
          </cell>
          <cell r="I77"/>
          <cell r="J77">
            <v>1276</v>
          </cell>
          <cell r="K77" t="str">
            <v>SP1</v>
          </cell>
          <cell r="L77" t="str">
            <v>A7</v>
          </cell>
          <cell r="M77">
            <v>4</v>
          </cell>
          <cell r="N77">
            <v>2</v>
          </cell>
          <cell r="O77">
            <v>42940</v>
          </cell>
          <cell r="P77" t="str">
            <v>F</v>
          </cell>
          <cell r="Q77" t="str">
            <v>A</v>
          </cell>
          <cell r="R77">
            <v>4</v>
          </cell>
          <cell r="S77"/>
        </row>
        <row r="78">
          <cell r="A78" t="str">
            <v>1217-42940</v>
          </cell>
          <cell r="B78" t="str">
            <v>2017MLBS_77</v>
          </cell>
          <cell r="C78" t="e">
            <v>#N/A</v>
          </cell>
          <cell r="D78">
            <v>43174</v>
          </cell>
          <cell r="E78" t="str">
            <v>E10</v>
          </cell>
          <cell r="F78">
            <v>1</v>
          </cell>
          <cell r="G78">
            <v>1</v>
          </cell>
          <cell r="H78">
            <v>77</v>
          </cell>
          <cell r="I78"/>
          <cell r="J78">
            <v>1217</v>
          </cell>
          <cell r="K78" t="str">
            <v>SP1</v>
          </cell>
          <cell r="L78" t="str">
            <v>E1</v>
          </cell>
          <cell r="M78">
            <v>5</v>
          </cell>
          <cell r="N78">
            <v>2</v>
          </cell>
          <cell r="O78">
            <v>42940</v>
          </cell>
          <cell r="P78" t="str">
            <v>M</v>
          </cell>
          <cell r="Q78" t="str">
            <v>A</v>
          </cell>
          <cell r="R78">
            <v>4</v>
          </cell>
          <cell r="S78"/>
        </row>
        <row r="79">
          <cell r="A79" t="str">
            <v>1052-42940</v>
          </cell>
          <cell r="B79" t="str">
            <v>2017MLBS_78</v>
          </cell>
          <cell r="C79" t="e">
            <v>#N/A</v>
          </cell>
          <cell r="D79">
            <v>43174</v>
          </cell>
          <cell r="E79" t="str">
            <v>F10</v>
          </cell>
          <cell r="F79">
            <v>1</v>
          </cell>
          <cell r="G79">
            <v>1</v>
          </cell>
          <cell r="H79">
            <v>78</v>
          </cell>
          <cell r="I79"/>
          <cell r="J79">
            <v>1052</v>
          </cell>
          <cell r="K79" t="str">
            <v>SP1</v>
          </cell>
          <cell r="L79" t="str">
            <v>H4</v>
          </cell>
          <cell r="M79">
            <v>6</v>
          </cell>
          <cell r="N79">
            <v>2</v>
          </cell>
          <cell r="O79">
            <v>42940</v>
          </cell>
          <cell r="P79" t="str">
            <v>F</v>
          </cell>
          <cell r="Q79" t="str">
            <v>C</v>
          </cell>
          <cell r="R79">
            <v>4</v>
          </cell>
          <cell r="S79"/>
        </row>
        <row r="80">
          <cell r="A80" t="str">
            <v>1277-42940</v>
          </cell>
          <cell r="B80" t="str">
            <v>2017MLBS_79</v>
          </cell>
          <cell r="C80" t="e">
            <v>#N/A</v>
          </cell>
          <cell r="D80">
            <v>43174</v>
          </cell>
          <cell r="E80" t="str">
            <v>G10</v>
          </cell>
          <cell r="F80">
            <v>1</v>
          </cell>
          <cell r="G80">
            <v>1</v>
          </cell>
          <cell r="H80">
            <v>79</v>
          </cell>
          <cell r="I80"/>
          <cell r="J80">
            <v>1277</v>
          </cell>
          <cell r="K80" t="str">
            <v>SP2</v>
          </cell>
          <cell r="L80" t="str">
            <v>A4</v>
          </cell>
          <cell r="M80">
            <v>7</v>
          </cell>
          <cell r="N80">
            <v>2</v>
          </cell>
          <cell r="O80">
            <v>42940</v>
          </cell>
          <cell r="P80" t="str">
            <v>M</v>
          </cell>
          <cell r="Q80" t="str">
            <v>C</v>
          </cell>
          <cell r="R80">
            <v>4</v>
          </cell>
          <cell r="S80"/>
        </row>
        <row r="81">
          <cell r="A81" t="str">
            <v>1153-42940</v>
          </cell>
          <cell r="B81" t="str">
            <v>2017MLBS_80</v>
          </cell>
          <cell r="C81" t="e">
            <v>#N/A</v>
          </cell>
          <cell r="D81">
            <v>43174</v>
          </cell>
          <cell r="E81" t="str">
            <v>H10</v>
          </cell>
          <cell r="F81">
            <v>1</v>
          </cell>
          <cell r="G81">
            <v>1</v>
          </cell>
          <cell r="H81">
            <v>80</v>
          </cell>
          <cell r="I81"/>
          <cell r="J81">
            <v>1153</v>
          </cell>
          <cell r="K81" t="str">
            <v>SP2</v>
          </cell>
          <cell r="L81" t="str">
            <v>A8</v>
          </cell>
          <cell r="M81">
            <v>8</v>
          </cell>
          <cell r="N81">
            <v>2</v>
          </cell>
          <cell r="O81">
            <v>42940</v>
          </cell>
          <cell r="P81" t="str">
            <v>M</v>
          </cell>
          <cell r="Q81" t="str">
            <v>C</v>
          </cell>
          <cell r="R81">
            <v>4</v>
          </cell>
          <cell r="S81" t="str">
            <v>3 difficult to read</v>
          </cell>
        </row>
        <row r="82">
          <cell r="A82" t="str">
            <v>1044-42940</v>
          </cell>
          <cell r="B82" t="str">
            <v>2017MLBS_81</v>
          </cell>
          <cell r="C82" t="e">
            <v>#N/A</v>
          </cell>
          <cell r="D82">
            <v>43174</v>
          </cell>
          <cell r="E82" t="str">
            <v>A11</v>
          </cell>
          <cell r="F82">
            <v>1</v>
          </cell>
          <cell r="G82">
            <v>1</v>
          </cell>
          <cell r="H82">
            <v>81</v>
          </cell>
          <cell r="I82"/>
          <cell r="J82">
            <v>1044</v>
          </cell>
          <cell r="K82" t="str">
            <v>SP2</v>
          </cell>
          <cell r="L82" t="str">
            <v>C3</v>
          </cell>
          <cell r="M82">
            <v>9</v>
          </cell>
          <cell r="N82">
            <v>2</v>
          </cell>
          <cell r="O82">
            <v>42940</v>
          </cell>
          <cell r="P82" t="str">
            <v>M</v>
          </cell>
          <cell r="Q82" t="str">
            <v>C</v>
          </cell>
          <cell r="R82">
            <v>4</v>
          </cell>
          <cell r="S82"/>
        </row>
        <row r="83">
          <cell r="A83" t="str">
            <v>1280-42940</v>
          </cell>
          <cell r="B83" t="str">
            <v>2017MLBS_82</v>
          </cell>
          <cell r="C83" t="e">
            <v>#N/A</v>
          </cell>
          <cell r="D83">
            <v>43174</v>
          </cell>
          <cell r="E83" t="str">
            <v>B11</v>
          </cell>
          <cell r="F83">
            <v>1</v>
          </cell>
          <cell r="G83">
            <v>2</v>
          </cell>
          <cell r="H83">
            <v>1</v>
          </cell>
          <cell r="I83"/>
          <cell r="J83">
            <v>1280</v>
          </cell>
          <cell r="K83" t="str">
            <v>SP2</v>
          </cell>
          <cell r="L83" t="str">
            <v>G1</v>
          </cell>
          <cell r="M83">
            <v>10</v>
          </cell>
          <cell r="N83">
            <v>2</v>
          </cell>
          <cell r="O83">
            <v>42940</v>
          </cell>
          <cell r="P83" t="str">
            <v>M</v>
          </cell>
          <cell r="Q83" t="str">
            <v>A</v>
          </cell>
          <cell r="R83">
            <v>4</v>
          </cell>
          <cell r="S83"/>
        </row>
        <row r="84">
          <cell r="A84" t="str">
            <v>1062-42940</v>
          </cell>
          <cell r="B84" t="str">
            <v>2017MLBS_83</v>
          </cell>
          <cell r="C84" t="e">
            <v>#N/A</v>
          </cell>
          <cell r="D84">
            <v>43174</v>
          </cell>
          <cell r="E84" t="str">
            <v>C11</v>
          </cell>
          <cell r="F84">
            <v>1</v>
          </cell>
          <cell r="G84">
            <v>2</v>
          </cell>
          <cell r="H84">
            <v>2</v>
          </cell>
          <cell r="I84"/>
          <cell r="J84">
            <v>1062</v>
          </cell>
          <cell r="K84" t="str">
            <v>SP2</v>
          </cell>
          <cell r="L84" t="str">
            <v>H3</v>
          </cell>
          <cell r="M84">
            <v>11</v>
          </cell>
          <cell r="N84">
            <v>2</v>
          </cell>
          <cell r="O84">
            <v>42940</v>
          </cell>
          <cell r="P84" t="str">
            <v>M</v>
          </cell>
          <cell r="Q84" t="str">
            <v>C</v>
          </cell>
          <cell r="R84">
            <v>4</v>
          </cell>
          <cell r="S84"/>
        </row>
        <row r="85">
          <cell r="A85" t="str">
            <v>1282-42941</v>
          </cell>
          <cell r="B85" t="str">
            <v>2017MLBS_84</v>
          </cell>
          <cell r="C85" t="e">
            <v>#N/A</v>
          </cell>
          <cell r="D85">
            <v>43174</v>
          </cell>
          <cell r="E85" t="str">
            <v>D11</v>
          </cell>
          <cell r="F85">
            <v>1</v>
          </cell>
          <cell r="G85">
            <v>2</v>
          </cell>
          <cell r="H85">
            <v>3</v>
          </cell>
          <cell r="I85"/>
          <cell r="J85">
            <v>1282</v>
          </cell>
          <cell r="K85" t="str">
            <v>SP1</v>
          </cell>
          <cell r="L85" t="str">
            <v>E1</v>
          </cell>
          <cell r="M85">
            <v>12</v>
          </cell>
          <cell r="N85">
            <v>2</v>
          </cell>
          <cell r="O85">
            <v>42941</v>
          </cell>
          <cell r="P85" t="str">
            <v>M</v>
          </cell>
          <cell r="Q85" t="str">
            <v>A</v>
          </cell>
          <cell r="R85">
            <v>4</v>
          </cell>
          <cell r="S85"/>
        </row>
        <row r="86">
          <cell r="A86" t="str">
            <v>1055-42941</v>
          </cell>
          <cell r="B86" t="str">
            <v>2017MLBS_85</v>
          </cell>
          <cell r="C86" t="e">
            <v>#N/A</v>
          </cell>
          <cell r="D86">
            <v>43174</v>
          </cell>
          <cell r="E86" t="str">
            <v>E11</v>
          </cell>
          <cell r="F86">
            <v>1</v>
          </cell>
          <cell r="G86">
            <v>2</v>
          </cell>
          <cell r="H86">
            <v>4</v>
          </cell>
          <cell r="I86"/>
          <cell r="J86">
            <v>1055</v>
          </cell>
          <cell r="K86" t="str">
            <v>SP2</v>
          </cell>
          <cell r="L86" t="str">
            <v>C1</v>
          </cell>
          <cell r="M86">
            <v>13</v>
          </cell>
          <cell r="N86">
            <v>2</v>
          </cell>
          <cell r="O86">
            <v>42941</v>
          </cell>
          <cell r="P86" t="str">
            <v>F</v>
          </cell>
          <cell r="Q86" t="str">
            <v>A</v>
          </cell>
          <cell r="R86">
            <v>4</v>
          </cell>
          <cell r="S86"/>
        </row>
        <row r="87">
          <cell r="A87" t="str">
            <v>1231-42947</v>
          </cell>
          <cell r="B87" t="str">
            <v>2017MLBS_86</v>
          </cell>
          <cell r="C87" t="e">
            <v>#N/A</v>
          </cell>
          <cell r="D87">
            <v>43174</v>
          </cell>
          <cell r="E87" t="str">
            <v>F11</v>
          </cell>
          <cell r="F87">
            <v>1</v>
          </cell>
          <cell r="G87">
            <v>2</v>
          </cell>
          <cell r="H87">
            <v>5</v>
          </cell>
          <cell r="I87"/>
          <cell r="J87">
            <v>1231</v>
          </cell>
          <cell r="K87" t="str">
            <v>PO1</v>
          </cell>
          <cell r="L87" t="str">
            <v>G8</v>
          </cell>
          <cell r="M87">
            <v>14</v>
          </cell>
          <cell r="N87">
            <v>2</v>
          </cell>
          <cell r="O87">
            <v>42947</v>
          </cell>
          <cell r="P87" t="str">
            <v>F</v>
          </cell>
          <cell r="Q87" t="str">
            <v>A</v>
          </cell>
          <cell r="R87">
            <v>4</v>
          </cell>
          <cell r="S87"/>
        </row>
        <row r="88">
          <cell r="A88" t="str">
            <v>1294-42947</v>
          </cell>
          <cell r="B88" t="str">
            <v>2017MLBS_87</v>
          </cell>
          <cell r="C88" t="e">
            <v>#N/A</v>
          </cell>
          <cell r="D88">
            <v>43174</v>
          </cell>
          <cell r="E88" t="str">
            <v>G11</v>
          </cell>
          <cell r="F88">
            <v>1</v>
          </cell>
          <cell r="G88">
            <v>2</v>
          </cell>
          <cell r="H88">
            <v>6</v>
          </cell>
          <cell r="I88"/>
          <cell r="J88">
            <v>1294</v>
          </cell>
          <cell r="K88" t="str">
            <v>PO1</v>
          </cell>
          <cell r="L88" t="str">
            <v>E1</v>
          </cell>
          <cell r="M88">
            <v>15</v>
          </cell>
          <cell r="N88">
            <v>2</v>
          </cell>
          <cell r="O88">
            <v>42947</v>
          </cell>
          <cell r="P88" t="str">
            <v>F</v>
          </cell>
          <cell r="Q88" t="str">
            <v>A</v>
          </cell>
          <cell r="R88">
            <v>4</v>
          </cell>
          <cell r="S88"/>
        </row>
        <row r="89">
          <cell r="A89" t="str">
            <v>1234-42947</v>
          </cell>
          <cell r="B89" t="str">
            <v>2017MLBS_88</v>
          </cell>
          <cell r="C89" t="e">
            <v>#N/A</v>
          </cell>
          <cell r="D89">
            <v>43174</v>
          </cell>
          <cell r="E89" t="str">
            <v>H11</v>
          </cell>
          <cell r="F89">
            <v>1</v>
          </cell>
          <cell r="G89">
            <v>2</v>
          </cell>
          <cell r="H89">
            <v>7</v>
          </cell>
          <cell r="I89"/>
          <cell r="J89">
            <v>1234</v>
          </cell>
          <cell r="K89" t="str">
            <v>PO2</v>
          </cell>
          <cell r="L89" t="str">
            <v>F1</v>
          </cell>
          <cell r="M89">
            <v>16</v>
          </cell>
          <cell r="N89">
            <v>2</v>
          </cell>
          <cell r="O89">
            <v>42947</v>
          </cell>
          <cell r="P89" t="str">
            <v>M</v>
          </cell>
          <cell r="Q89" t="str">
            <v>C</v>
          </cell>
          <cell r="R89">
            <v>4</v>
          </cell>
          <cell r="S89"/>
        </row>
        <row r="90">
          <cell r="A90" t="str">
            <v>1090-42947</v>
          </cell>
          <cell r="B90" t="str">
            <v>2017MLBS_89</v>
          </cell>
          <cell r="C90" t="e">
            <v>#N/A</v>
          </cell>
          <cell r="D90">
            <v>43174</v>
          </cell>
          <cell r="E90" t="str">
            <v>A12</v>
          </cell>
          <cell r="F90">
            <v>1</v>
          </cell>
          <cell r="G90">
            <v>2</v>
          </cell>
          <cell r="H90">
            <v>8</v>
          </cell>
          <cell r="I90"/>
          <cell r="J90">
            <v>1090</v>
          </cell>
          <cell r="K90" t="str">
            <v>PO2</v>
          </cell>
          <cell r="L90" t="str">
            <v>G5</v>
          </cell>
          <cell r="M90">
            <v>17</v>
          </cell>
          <cell r="N90">
            <v>2</v>
          </cell>
          <cell r="O90">
            <v>42947</v>
          </cell>
          <cell r="P90" t="str">
            <v>F</v>
          </cell>
          <cell r="Q90" t="str">
            <v>A</v>
          </cell>
          <cell r="R90">
            <v>4</v>
          </cell>
          <cell r="S90"/>
        </row>
        <row r="91">
          <cell r="A91" t="str">
            <v>1291-42947</v>
          </cell>
          <cell r="B91" t="str">
            <v>2017MLBS_90</v>
          </cell>
          <cell r="C91" t="e">
            <v>#N/A</v>
          </cell>
          <cell r="D91">
            <v>43174</v>
          </cell>
          <cell r="E91" t="str">
            <v>B12</v>
          </cell>
          <cell r="F91">
            <v>1</v>
          </cell>
          <cell r="G91">
            <v>2</v>
          </cell>
          <cell r="H91">
            <v>9</v>
          </cell>
          <cell r="I91"/>
          <cell r="J91">
            <v>1291</v>
          </cell>
          <cell r="K91" t="str">
            <v>PO1</v>
          </cell>
          <cell r="L91" t="str">
            <v>C6</v>
          </cell>
          <cell r="M91">
            <v>18</v>
          </cell>
          <cell r="N91">
            <v>2</v>
          </cell>
          <cell r="O91">
            <v>42947</v>
          </cell>
          <cell r="P91" t="str">
            <v>F</v>
          </cell>
          <cell r="Q91" t="str">
            <v>C</v>
          </cell>
          <cell r="R91">
            <v>4</v>
          </cell>
          <cell r="S91"/>
        </row>
        <row r="92">
          <cell r="A92" t="str">
            <v>1088-42947</v>
          </cell>
          <cell r="B92" t="str">
            <v>2017MLBS_91</v>
          </cell>
          <cell r="C92" t="e">
            <v>#N/A</v>
          </cell>
          <cell r="D92">
            <v>43174</v>
          </cell>
          <cell r="E92" t="str">
            <v>C12</v>
          </cell>
          <cell r="F92">
            <v>1</v>
          </cell>
          <cell r="G92">
            <v>2</v>
          </cell>
          <cell r="H92">
            <v>10</v>
          </cell>
          <cell r="I92"/>
          <cell r="J92">
            <v>1088</v>
          </cell>
          <cell r="K92" t="str">
            <v>PO2</v>
          </cell>
          <cell r="L92" t="str">
            <v>A3</v>
          </cell>
          <cell r="M92">
            <v>19</v>
          </cell>
          <cell r="N92">
            <v>2</v>
          </cell>
          <cell r="O92">
            <v>42947</v>
          </cell>
          <cell r="P92" t="str">
            <v>F</v>
          </cell>
          <cell r="Q92" t="str">
            <v>C</v>
          </cell>
          <cell r="R92">
            <v>4</v>
          </cell>
          <cell r="S92"/>
        </row>
        <row r="93">
          <cell r="A93" t="str">
            <v>1083-42947</v>
          </cell>
          <cell r="B93" t="str">
            <v>2017MLBS_92</v>
          </cell>
          <cell r="C93" t="e">
            <v>#N/A</v>
          </cell>
          <cell r="D93">
            <v>43174</v>
          </cell>
          <cell r="E93" t="str">
            <v>D12</v>
          </cell>
          <cell r="F93">
            <v>1</v>
          </cell>
          <cell r="G93">
            <v>2</v>
          </cell>
          <cell r="H93">
            <v>11</v>
          </cell>
          <cell r="I93"/>
          <cell r="J93">
            <v>1083</v>
          </cell>
          <cell r="K93" t="str">
            <v>PO1</v>
          </cell>
          <cell r="L93" t="str">
            <v>G3</v>
          </cell>
          <cell r="M93">
            <v>20</v>
          </cell>
          <cell r="N93">
            <v>2</v>
          </cell>
          <cell r="O93">
            <v>42947</v>
          </cell>
          <cell r="P93" t="str">
            <v>F</v>
          </cell>
          <cell r="Q93" t="str">
            <v>A</v>
          </cell>
          <cell r="R93">
            <v>4</v>
          </cell>
          <cell r="S93"/>
        </row>
        <row r="94">
          <cell r="A94" t="str">
            <v>1092-42947</v>
          </cell>
          <cell r="B94" t="str">
            <v>2017MLBS_93</v>
          </cell>
          <cell r="C94" t="e">
            <v>#N/A</v>
          </cell>
          <cell r="D94">
            <v>43174</v>
          </cell>
          <cell r="E94" t="str">
            <v>E12</v>
          </cell>
          <cell r="F94">
            <v>1</v>
          </cell>
          <cell r="G94">
            <v>2</v>
          </cell>
          <cell r="H94">
            <v>12</v>
          </cell>
          <cell r="I94"/>
          <cell r="J94">
            <v>1092</v>
          </cell>
          <cell r="K94" t="str">
            <v>PO2</v>
          </cell>
          <cell r="L94" t="str">
            <v>H6</v>
          </cell>
          <cell r="M94">
            <v>21</v>
          </cell>
          <cell r="N94">
            <v>2</v>
          </cell>
          <cell r="O94">
            <v>42947</v>
          </cell>
          <cell r="P94" t="str">
            <v>F</v>
          </cell>
          <cell r="Q94" t="str">
            <v>C</v>
          </cell>
          <cell r="R94">
            <v>4</v>
          </cell>
          <cell r="S94"/>
        </row>
        <row r="95">
          <cell r="A95" t="str">
            <v>1290-42947</v>
          </cell>
          <cell r="B95" t="str">
            <v>2017MLBS_94</v>
          </cell>
          <cell r="C95" t="e">
            <v>#N/A</v>
          </cell>
          <cell r="D95">
            <v>43174</v>
          </cell>
          <cell r="E95" t="str">
            <v>F12</v>
          </cell>
          <cell r="F95">
            <v>1</v>
          </cell>
          <cell r="G95">
            <v>2</v>
          </cell>
          <cell r="H95">
            <v>13</v>
          </cell>
          <cell r="I95"/>
          <cell r="J95">
            <v>1290</v>
          </cell>
          <cell r="K95" t="str">
            <v>PO1</v>
          </cell>
          <cell r="L95" t="str">
            <v>B1</v>
          </cell>
          <cell r="M95">
            <v>22</v>
          </cell>
          <cell r="N95">
            <v>2</v>
          </cell>
          <cell r="O95">
            <v>42947</v>
          </cell>
          <cell r="P95" t="str">
            <v>M</v>
          </cell>
          <cell r="Q95" t="str">
            <v>A</v>
          </cell>
          <cell r="R95">
            <v>4</v>
          </cell>
          <cell r="S95"/>
        </row>
        <row r="96">
          <cell r="A96"/>
          <cell r="B96" t="str">
            <v>PCR control</v>
          </cell>
          <cell r="C96" t="e">
            <v>#N/A</v>
          </cell>
          <cell r="D96" t="str">
            <v>PCR control neg</v>
          </cell>
          <cell r="E96" t="str">
            <v>G12</v>
          </cell>
          <cell r="F96">
            <v>1</v>
          </cell>
          <cell r="G96"/>
          <cell r="H96"/>
          <cell r="I96"/>
          <cell r="J96"/>
          <cell r="K96"/>
          <cell r="L96"/>
          <cell r="M96"/>
          <cell r="N96"/>
          <cell r="O96"/>
          <cell r="P96"/>
          <cell r="Q96"/>
          <cell r="R96"/>
          <cell r="S96"/>
        </row>
        <row r="97">
          <cell r="A97"/>
          <cell r="B97" t="str">
            <v>PCR control</v>
          </cell>
          <cell r="C97" t="e">
            <v>#N/A</v>
          </cell>
          <cell r="D97" t="str">
            <v>PCR control pos</v>
          </cell>
          <cell r="E97" t="str">
            <v>H12</v>
          </cell>
          <cell r="F97">
            <v>1</v>
          </cell>
          <cell r="G97"/>
          <cell r="H97"/>
          <cell r="I97"/>
          <cell r="J97"/>
          <cell r="K97"/>
          <cell r="L97"/>
          <cell r="M97"/>
          <cell r="N97"/>
          <cell r="O97"/>
          <cell r="P97"/>
          <cell r="Q97"/>
          <cell r="R97"/>
          <cell r="S97"/>
        </row>
        <row r="98">
          <cell r="A98" t="str">
            <v>1084-42947</v>
          </cell>
          <cell r="B98" t="str">
            <v>2017MLBS_95</v>
          </cell>
          <cell r="C98" t="e">
            <v>#N/A</v>
          </cell>
          <cell r="D98">
            <v>43174</v>
          </cell>
          <cell r="E98" t="str">
            <v>A1</v>
          </cell>
          <cell r="F98">
            <v>2</v>
          </cell>
          <cell r="G98">
            <v>2</v>
          </cell>
          <cell r="H98">
            <v>14</v>
          </cell>
          <cell r="I98"/>
          <cell r="J98">
            <v>1084</v>
          </cell>
          <cell r="K98" t="str">
            <v>PO1</v>
          </cell>
          <cell r="L98" t="str">
            <v>H4</v>
          </cell>
          <cell r="M98">
            <v>23</v>
          </cell>
          <cell r="N98">
            <v>2</v>
          </cell>
          <cell r="O98">
            <v>42947</v>
          </cell>
          <cell r="P98" t="str">
            <v>M</v>
          </cell>
          <cell r="Q98" t="str">
            <v>C</v>
          </cell>
          <cell r="R98">
            <v>4</v>
          </cell>
          <cell r="S98"/>
        </row>
        <row r="99">
          <cell r="A99"/>
          <cell r="B99" t="str">
            <v>2017MLBS_96</v>
          </cell>
          <cell r="C99" t="e">
            <v>#N/A</v>
          </cell>
          <cell r="D99">
            <v>43174</v>
          </cell>
          <cell r="E99" t="str">
            <v>B1</v>
          </cell>
          <cell r="F99">
            <v>2</v>
          </cell>
          <cell r="G99">
            <v>2</v>
          </cell>
          <cell r="H99">
            <v>15</v>
          </cell>
          <cell r="I99"/>
          <cell r="J99" t="str">
            <v>Extraction control blank</v>
          </cell>
          <cell r="M99">
            <v>24</v>
          </cell>
          <cell r="N99">
            <v>2</v>
          </cell>
          <cell r="O99"/>
          <cell r="P99"/>
          <cell r="Q99"/>
          <cell r="R99"/>
          <cell r="S99"/>
        </row>
        <row r="100">
          <cell r="A100" t="str">
            <v>1227-42947</v>
          </cell>
          <cell r="B100" t="str">
            <v>2017MLBS_97</v>
          </cell>
          <cell r="C100" t="e">
            <v>#N/A</v>
          </cell>
          <cell r="D100">
            <v>43174</v>
          </cell>
          <cell r="E100" t="str">
            <v>C1</v>
          </cell>
          <cell r="F100">
            <v>2</v>
          </cell>
          <cell r="G100">
            <v>2</v>
          </cell>
          <cell r="H100">
            <v>16</v>
          </cell>
          <cell r="I100"/>
          <cell r="J100">
            <v>1227</v>
          </cell>
          <cell r="K100" t="str">
            <v>PO2</v>
          </cell>
          <cell r="L100" t="str">
            <v>B6</v>
          </cell>
          <cell r="M100">
            <v>25</v>
          </cell>
          <cell r="N100">
            <v>2</v>
          </cell>
          <cell r="O100">
            <v>42947</v>
          </cell>
          <cell r="P100" t="str">
            <v>M</v>
          </cell>
          <cell r="Q100" t="str">
            <v>A</v>
          </cell>
          <cell r="R100">
            <v>4</v>
          </cell>
          <cell r="S100"/>
        </row>
        <row r="101">
          <cell r="A101" t="str">
            <v>1076-42947</v>
          </cell>
          <cell r="B101" t="str">
            <v>2017MLBS_98</v>
          </cell>
          <cell r="C101" t="e">
            <v>#N/A</v>
          </cell>
          <cell r="D101">
            <v>43175</v>
          </cell>
          <cell r="E101" t="str">
            <v>D1</v>
          </cell>
          <cell r="F101">
            <v>2</v>
          </cell>
          <cell r="G101">
            <v>2</v>
          </cell>
          <cell r="H101">
            <v>17</v>
          </cell>
          <cell r="I101"/>
          <cell r="J101">
            <v>1076</v>
          </cell>
          <cell r="K101" t="str">
            <v>PO2</v>
          </cell>
          <cell r="L101" t="str">
            <v>E8</v>
          </cell>
          <cell r="M101">
            <v>26</v>
          </cell>
          <cell r="N101">
            <v>2</v>
          </cell>
          <cell r="O101">
            <v>42947</v>
          </cell>
          <cell r="P101" t="str">
            <v>M</v>
          </cell>
          <cell r="Q101" t="str">
            <v>C</v>
          </cell>
          <cell r="R101">
            <v>4</v>
          </cell>
          <cell r="S101"/>
        </row>
        <row r="102">
          <cell r="A102" t="str">
            <v>1155-42947</v>
          </cell>
          <cell r="B102" t="str">
            <v>2017MLBS_99</v>
          </cell>
          <cell r="C102" t="e">
            <v>#N/A</v>
          </cell>
          <cell r="D102">
            <v>43175</v>
          </cell>
          <cell r="E102" t="str">
            <v>E1</v>
          </cell>
          <cell r="F102">
            <v>2</v>
          </cell>
          <cell r="G102">
            <v>2</v>
          </cell>
          <cell r="H102">
            <v>18</v>
          </cell>
          <cell r="I102"/>
          <cell r="J102">
            <v>1155</v>
          </cell>
          <cell r="K102" t="str">
            <v>PO1</v>
          </cell>
          <cell r="L102" t="str">
            <v>A7</v>
          </cell>
          <cell r="M102">
            <v>27</v>
          </cell>
          <cell r="N102">
            <v>2</v>
          </cell>
          <cell r="O102">
            <v>42947</v>
          </cell>
          <cell r="P102" t="str">
            <v>F</v>
          </cell>
          <cell r="Q102" t="str">
            <v>C</v>
          </cell>
          <cell r="R102">
            <v>4</v>
          </cell>
          <cell r="S102"/>
        </row>
        <row r="103">
          <cell r="A103" t="str">
            <v>1284-42941</v>
          </cell>
          <cell r="B103" t="str">
            <v>2017MLBS_100</v>
          </cell>
          <cell r="C103" t="e">
            <v>#N/A</v>
          </cell>
          <cell r="D103">
            <v>43175</v>
          </cell>
          <cell r="E103" t="str">
            <v>F1</v>
          </cell>
          <cell r="F103">
            <v>2</v>
          </cell>
          <cell r="G103">
            <v>2</v>
          </cell>
          <cell r="H103">
            <v>19</v>
          </cell>
          <cell r="I103"/>
          <cell r="J103">
            <v>1284</v>
          </cell>
          <cell r="K103" t="str">
            <v>SP2</v>
          </cell>
          <cell r="L103" t="str">
            <v>E1</v>
          </cell>
          <cell r="M103">
            <v>28</v>
          </cell>
          <cell r="N103">
            <v>2</v>
          </cell>
          <cell r="O103">
            <v>42941</v>
          </cell>
          <cell r="P103" t="str">
            <v>M</v>
          </cell>
          <cell r="Q103" t="str">
            <v>A</v>
          </cell>
          <cell r="R103">
            <v>4</v>
          </cell>
          <cell r="S103"/>
        </row>
        <row r="104">
          <cell r="A104" t="str">
            <v>1281-42941</v>
          </cell>
          <cell r="B104" t="str">
            <v>2017MLBS_101</v>
          </cell>
          <cell r="C104" t="e">
            <v>#N/A</v>
          </cell>
          <cell r="D104">
            <v>43175</v>
          </cell>
          <cell r="E104" t="str">
            <v>G1</v>
          </cell>
          <cell r="F104">
            <v>2</v>
          </cell>
          <cell r="G104">
            <v>2</v>
          </cell>
          <cell r="H104">
            <v>20</v>
          </cell>
          <cell r="I104"/>
          <cell r="J104">
            <v>1281</v>
          </cell>
          <cell r="K104" t="str">
            <v>SP1</v>
          </cell>
          <cell r="L104" t="str">
            <v>B2</v>
          </cell>
          <cell r="M104">
            <v>29</v>
          </cell>
          <cell r="N104">
            <v>2</v>
          </cell>
          <cell r="O104">
            <v>42941</v>
          </cell>
          <cell r="P104" t="str">
            <v>M</v>
          </cell>
          <cell r="Q104" t="str">
            <v>C</v>
          </cell>
          <cell r="R104">
            <v>4</v>
          </cell>
          <cell r="S104"/>
        </row>
        <row r="105">
          <cell r="A105" t="str">
            <v>1142-42941</v>
          </cell>
          <cell r="B105" t="str">
            <v>2017MLBS_102</v>
          </cell>
          <cell r="C105" t="e">
            <v>#N/A</v>
          </cell>
          <cell r="D105">
            <v>43175</v>
          </cell>
          <cell r="E105" t="str">
            <v>H1</v>
          </cell>
          <cell r="F105">
            <v>2</v>
          </cell>
          <cell r="G105">
            <v>2</v>
          </cell>
          <cell r="H105">
            <v>21</v>
          </cell>
          <cell r="I105"/>
          <cell r="J105">
            <v>1142</v>
          </cell>
          <cell r="K105" t="str">
            <v>SP2</v>
          </cell>
          <cell r="L105" t="str">
            <v>C2</v>
          </cell>
          <cell r="M105">
            <v>30</v>
          </cell>
          <cell r="N105">
            <v>2</v>
          </cell>
          <cell r="O105">
            <v>42941</v>
          </cell>
          <cell r="P105" t="str">
            <v>M</v>
          </cell>
          <cell r="Q105" t="str">
            <v>C</v>
          </cell>
          <cell r="R105">
            <v>4</v>
          </cell>
          <cell r="S105"/>
        </row>
        <row r="106">
          <cell r="A106" t="str">
            <v>1148-42941</v>
          </cell>
          <cell r="B106" t="str">
            <v>2017MLBS_103</v>
          </cell>
          <cell r="C106" t="e">
            <v>#N/A</v>
          </cell>
          <cell r="D106">
            <v>43175</v>
          </cell>
          <cell r="E106" t="str">
            <v>A2</v>
          </cell>
          <cell r="F106">
            <v>2</v>
          </cell>
          <cell r="G106">
            <v>2</v>
          </cell>
          <cell r="H106">
            <v>22</v>
          </cell>
          <cell r="I106"/>
          <cell r="J106">
            <v>1148</v>
          </cell>
          <cell r="K106" t="str">
            <v>SP2</v>
          </cell>
          <cell r="L106" t="str">
            <v>A5</v>
          </cell>
          <cell r="M106">
            <v>31</v>
          </cell>
          <cell r="N106">
            <v>2</v>
          </cell>
          <cell r="O106">
            <v>42941</v>
          </cell>
          <cell r="P106" t="str">
            <v>M</v>
          </cell>
          <cell r="Q106" t="str">
            <v>C</v>
          </cell>
          <cell r="R106">
            <v>4</v>
          </cell>
          <cell r="S106"/>
        </row>
        <row r="107">
          <cell r="A107" t="str">
            <v>1082-42947</v>
          </cell>
          <cell r="B107" t="str">
            <v>2017MLBS_104</v>
          </cell>
          <cell r="C107" t="e">
            <v>#N/A</v>
          </cell>
          <cell r="D107">
            <v>43175</v>
          </cell>
          <cell r="E107" t="str">
            <v>B2</v>
          </cell>
          <cell r="F107">
            <v>2</v>
          </cell>
          <cell r="G107">
            <v>2</v>
          </cell>
          <cell r="H107">
            <v>23</v>
          </cell>
          <cell r="I107"/>
          <cell r="J107">
            <v>1082</v>
          </cell>
          <cell r="K107" t="str">
            <v>PO1</v>
          </cell>
          <cell r="L107" t="str">
            <v>H1</v>
          </cell>
          <cell r="M107">
            <v>32</v>
          </cell>
          <cell r="N107">
            <v>2</v>
          </cell>
          <cell r="O107">
            <v>42947</v>
          </cell>
          <cell r="P107" t="str">
            <v>F</v>
          </cell>
          <cell r="Q107" t="str">
            <v>C</v>
          </cell>
          <cell r="R107">
            <v>4</v>
          </cell>
          <cell r="S107"/>
        </row>
        <row r="108">
          <cell r="A108" t="str">
            <v>1063-42945</v>
          </cell>
          <cell r="B108" t="str">
            <v>2017MLBS_105</v>
          </cell>
          <cell r="C108" t="e">
            <v>#N/A</v>
          </cell>
          <cell r="D108">
            <v>43175</v>
          </cell>
          <cell r="E108" t="str">
            <v>C2</v>
          </cell>
          <cell r="F108">
            <v>2</v>
          </cell>
          <cell r="G108">
            <v>2</v>
          </cell>
          <cell r="H108">
            <v>24</v>
          </cell>
          <cell r="I108"/>
          <cell r="J108">
            <v>1063</v>
          </cell>
          <cell r="K108" t="str">
            <v>PO1</v>
          </cell>
          <cell r="L108" t="str">
            <v>A4</v>
          </cell>
          <cell r="M108">
            <v>33</v>
          </cell>
          <cell r="N108">
            <v>2</v>
          </cell>
          <cell r="O108">
            <v>42945</v>
          </cell>
          <cell r="P108" t="str">
            <v>M</v>
          </cell>
          <cell r="Q108" t="str">
            <v>A</v>
          </cell>
          <cell r="R108">
            <v>4</v>
          </cell>
          <cell r="S108"/>
        </row>
        <row r="109">
          <cell r="A109" t="str">
            <v>1079-42945</v>
          </cell>
          <cell r="B109" t="str">
            <v>2017MLBS_106</v>
          </cell>
          <cell r="C109" t="e">
            <v>#N/A</v>
          </cell>
          <cell r="D109">
            <v>43175</v>
          </cell>
          <cell r="E109" t="str">
            <v>D2</v>
          </cell>
          <cell r="F109">
            <v>2</v>
          </cell>
          <cell r="G109">
            <v>2</v>
          </cell>
          <cell r="H109">
            <v>25</v>
          </cell>
          <cell r="I109"/>
          <cell r="J109">
            <v>1079</v>
          </cell>
          <cell r="K109" t="str">
            <v>PO1</v>
          </cell>
          <cell r="L109" t="str">
            <v>B3</v>
          </cell>
          <cell r="M109">
            <v>34</v>
          </cell>
          <cell r="N109">
            <v>2</v>
          </cell>
          <cell r="O109">
            <v>42945</v>
          </cell>
          <cell r="P109" t="str">
            <v>F</v>
          </cell>
          <cell r="Q109" t="str">
            <v>A</v>
          </cell>
          <cell r="R109">
            <v>4</v>
          </cell>
          <cell r="S109"/>
        </row>
        <row r="110">
          <cell r="A110" t="str">
            <v>1223-42945</v>
          </cell>
          <cell r="B110" t="str">
            <v>2017MLBS_107</v>
          </cell>
          <cell r="C110" t="e">
            <v>#N/A</v>
          </cell>
          <cell r="D110">
            <v>43175</v>
          </cell>
          <cell r="E110" t="str">
            <v>E2</v>
          </cell>
          <cell r="F110">
            <v>2</v>
          </cell>
          <cell r="G110">
            <v>2</v>
          </cell>
          <cell r="H110">
            <v>26</v>
          </cell>
          <cell r="I110"/>
          <cell r="J110">
            <v>1223</v>
          </cell>
          <cell r="K110" t="str">
            <v>PO1</v>
          </cell>
          <cell r="L110" t="str">
            <v>G8</v>
          </cell>
          <cell r="M110">
            <v>35</v>
          </cell>
          <cell r="N110">
            <v>2</v>
          </cell>
          <cell r="O110">
            <v>42945</v>
          </cell>
          <cell r="P110" t="str">
            <v>M</v>
          </cell>
          <cell r="Q110" t="str">
            <v>C</v>
          </cell>
          <cell r="R110">
            <v>4</v>
          </cell>
          <cell r="S110"/>
        </row>
        <row r="111">
          <cell r="A111" t="str">
            <v>1285-42945</v>
          </cell>
          <cell r="B111" t="str">
            <v>2017MLBS_108</v>
          </cell>
          <cell r="C111" t="e">
            <v>#N/A</v>
          </cell>
          <cell r="D111">
            <v>43175</v>
          </cell>
          <cell r="E111" t="str">
            <v>F2</v>
          </cell>
          <cell r="F111">
            <v>2</v>
          </cell>
          <cell r="G111">
            <v>2</v>
          </cell>
          <cell r="H111">
            <v>27</v>
          </cell>
          <cell r="I111"/>
          <cell r="J111">
            <v>1285</v>
          </cell>
          <cell r="K111" t="str">
            <v>PO2</v>
          </cell>
          <cell r="L111" t="str">
            <v>B6</v>
          </cell>
          <cell r="M111">
            <v>36</v>
          </cell>
          <cell r="N111">
            <v>2</v>
          </cell>
          <cell r="O111">
            <v>42945</v>
          </cell>
          <cell r="P111" t="str">
            <v>M</v>
          </cell>
          <cell r="Q111" t="str">
            <v>C</v>
          </cell>
          <cell r="R111">
            <v>4</v>
          </cell>
          <cell r="S111"/>
        </row>
        <row r="112">
          <cell r="A112" t="str">
            <v>1228-42945</v>
          </cell>
          <cell r="B112" t="str">
            <v>2017MLBS_109</v>
          </cell>
          <cell r="C112" t="e">
            <v>#N/A</v>
          </cell>
          <cell r="D112">
            <v>43175</v>
          </cell>
          <cell r="E112" t="str">
            <v>G2</v>
          </cell>
          <cell r="F112">
            <v>2</v>
          </cell>
          <cell r="G112">
            <v>2</v>
          </cell>
          <cell r="H112">
            <v>28</v>
          </cell>
          <cell r="I112"/>
          <cell r="J112">
            <v>1228</v>
          </cell>
          <cell r="K112" t="str">
            <v>PO2</v>
          </cell>
          <cell r="L112" t="str">
            <v>B8</v>
          </cell>
          <cell r="M112">
            <v>37</v>
          </cell>
          <cell r="N112">
            <v>2</v>
          </cell>
          <cell r="O112">
            <v>42945</v>
          </cell>
          <cell r="P112" t="str">
            <v>F</v>
          </cell>
          <cell r="Q112" t="str">
            <v>C</v>
          </cell>
          <cell r="R112">
            <v>4</v>
          </cell>
          <cell r="S112"/>
        </row>
        <row r="113">
          <cell r="A113" t="str">
            <v>1165-42945</v>
          </cell>
          <cell r="B113" t="str">
            <v>2017MLBS_110</v>
          </cell>
          <cell r="C113" t="e">
            <v>#N/A</v>
          </cell>
          <cell r="D113">
            <v>43175</v>
          </cell>
          <cell r="E113" t="str">
            <v>H2</v>
          </cell>
          <cell r="F113">
            <v>2</v>
          </cell>
          <cell r="G113">
            <v>2</v>
          </cell>
          <cell r="H113">
            <v>29</v>
          </cell>
          <cell r="I113"/>
          <cell r="J113">
            <v>1165</v>
          </cell>
          <cell r="K113" t="str">
            <v>PO2</v>
          </cell>
          <cell r="L113" t="str">
            <v>G6</v>
          </cell>
          <cell r="M113">
            <v>38</v>
          </cell>
          <cell r="N113">
            <v>2</v>
          </cell>
          <cell r="O113">
            <v>42945</v>
          </cell>
          <cell r="P113" t="str">
            <v>M</v>
          </cell>
          <cell r="Q113" t="str">
            <v>C</v>
          </cell>
          <cell r="R113">
            <v>4</v>
          </cell>
          <cell r="S113"/>
        </row>
        <row r="114">
          <cell r="A114" t="str">
            <v>1064-42946</v>
          </cell>
          <cell r="B114" t="str">
            <v>2017MLBS_111</v>
          </cell>
          <cell r="C114" t="e">
            <v>#N/A</v>
          </cell>
          <cell r="D114">
            <v>43175</v>
          </cell>
          <cell r="E114" t="str">
            <v>A3</v>
          </cell>
          <cell r="F114">
            <v>2</v>
          </cell>
          <cell r="G114">
            <v>2</v>
          </cell>
          <cell r="H114">
            <v>30</v>
          </cell>
          <cell r="I114"/>
          <cell r="J114">
            <v>1064</v>
          </cell>
          <cell r="K114" t="str">
            <v>PO1</v>
          </cell>
          <cell r="L114" t="str">
            <v>C8</v>
          </cell>
          <cell r="M114">
            <v>39</v>
          </cell>
          <cell r="N114">
            <v>2</v>
          </cell>
          <cell r="O114">
            <v>42946</v>
          </cell>
          <cell r="P114" t="str">
            <v>M</v>
          </cell>
          <cell r="Q114" t="str">
            <v>C</v>
          </cell>
          <cell r="R114">
            <v>4</v>
          </cell>
          <cell r="S114"/>
        </row>
        <row r="115">
          <cell r="A115" t="str">
            <v>1289-42946</v>
          </cell>
          <cell r="B115" t="str">
            <v>2017MLBS_112</v>
          </cell>
          <cell r="C115" t="e">
            <v>#N/A</v>
          </cell>
          <cell r="D115">
            <v>43175</v>
          </cell>
          <cell r="E115" t="str">
            <v>B3</v>
          </cell>
          <cell r="F115">
            <v>2</v>
          </cell>
          <cell r="G115">
            <v>2</v>
          </cell>
          <cell r="H115">
            <v>31</v>
          </cell>
          <cell r="I115"/>
          <cell r="J115">
            <v>1289</v>
          </cell>
          <cell r="K115" t="str">
            <v>PO1</v>
          </cell>
          <cell r="L115" t="str">
            <v>H8</v>
          </cell>
          <cell r="M115">
            <v>40</v>
          </cell>
          <cell r="N115">
            <v>2</v>
          </cell>
          <cell r="O115">
            <v>42946</v>
          </cell>
          <cell r="P115" t="str">
            <v>M</v>
          </cell>
          <cell r="Q115" t="str">
            <v>C</v>
          </cell>
          <cell r="R115">
            <v>4</v>
          </cell>
          <cell r="S115"/>
        </row>
        <row r="116">
          <cell r="A116" t="str">
            <v>1170-42946</v>
          </cell>
          <cell r="B116" t="str">
            <v>2017MLBS_113</v>
          </cell>
          <cell r="C116" t="e">
            <v>#N/A</v>
          </cell>
          <cell r="D116">
            <v>43175</v>
          </cell>
          <cell r="E116" t="str">
            <v>C3</v>
          </cell>
          <cell r="F116">
            <v>2</v>
          </cell>
          <cell r="G116">
            <v>2</v>
          </cell>
          <cell r="H116">
            <v>32</v>
          </cell>
          <cell r="I116"/>
          <cell r="J116">
            <v>1170</v>
          </cell>
          <cell r="K116" t="str">
            <v>PO2</v>
          </cell>
          <cell r="L116" t="str">
            <v>C2</v>
          </cell>
          <cell r="M116">
            <v>41</v>
          </cell>
          <cell r="N116">
            <v>2</v>
          </cell>
          <cell r="O116">
            <v>42946</v>
          </cell>
          <cell r="P116" t="str">
            <v>M</v>
          </cell>
          <cell r="Q116" t="str">
            <v>A</v>
          </cell>
          <cell r="R116">
            <v>4</v>
          </cell>
          <cell r="S116"/>
        </row>
        <row r="117">
          <cell r="A117" t="str">
            <v>1286-42946</v>
          </cell>
          <cell r="B117" t="str">
            <v>2017MLBS_114</v>
          </cell>
          <cell r="C117" t="e">
            <v>#N/A</v>
          </cell>
          <cell r="D117">
            <v>43175</v>
          </cell>
          <cell r="E117" t="str">
            <v>D3</v>
          </cell>
          <cell r="F117">
            <v>2</v>
          </cell>
          <cell r="G117">
            <v>2</v>
          </cell>
          <cell r="H117">
            <v>33</v>
          </cell>
          <cell r="I117"/>
          <cell r="J117">
            <v>1286</v>
          </cell>
          <cell r="K117" t="str">
            <v>PO1</v>
          </cell>
          <cell r="L117" t="str">
            <v>D1</v>
          </cell>
          <cell r="M117">
            <v>42</v>
          </cell>
          <cell r="N117">
            <v>2</v>
          </cell>
          <cell r="O117">
            <v>42946</v>
          </cell>
          <cell r="P117" t="str">
            <v>M</v>
          </cell>
          <cell r="Q117" t="str">
            <v>A</v>
          </cell>
          <cell r="R117">
            <v>4</v>
          </cell>
          <cell r="S117"/>
        </row>
        <row r="118">
          <cell r="A118" t="str">
            <v>1071-42946</v>
          </cell>
          <cell r="B118" t="str">
            <v>2017MLBS_115</v>
          </cell>
          <cell r="C118" t="e">
            <v>#N/A</v>
          </cell>
          <cell r="D118">
            <v>43175</v>
          </cell>
          <cell r="E118" t="str">
            <v>E3</v>
          </cell>
          <cell r="F118">
            <v>2</v>
          </cell>
          <cell r="G118">
            <v>2</v>
          </cell>
          <cell r="H118">
            <v>34</v>
          </cell>
          <cell r="I118"/>
          <cell r="J118">
            <v>1071</v>
          </cell>
          <cell r="K118" t="str">
            <v>PO1</v>
          </cell>
          <cell r="L118" t="str">
            <v>F4</v>
          </cell>
          <cell r="M118">
            <v>43</v>
          </cell>
          <cell r="N118">
            <v>2</v>
          </cell>
          <cell r="O118">
            <v>42946</v>
          </cell>
          <cell r="P118" t="str">
            <v>M</v>
          </cell>
          <cell r="Q118" t="str">
            <v>A</v>
          </cell>
          <cell r="R118">
            <v>4</v>
          </cell>
          <cell r="S118"/>
        </row>
        <row r="119">
          <cell r="A119" t="str">
            <v>1287-42946</v>
          </cell>
          <cell r="B119" t="str">
            <v>2017MLBS_116</v>
          </cell>
          <cell r="C119" t="e">
            <v>#N/A</v>
          </cell>
          <cell r="D119">
            <v>43175</v>
          </cell>
          <cell r="E119" t="str">
            <v>F3</v>
          </cell>
          <cell r="F119">
            <v>2</v>
          </cell>
          <cell r="G119">
            <v>2</v>
          </cell>
          <cell r="H119">
            <v>35</v>
          </cell>
          <cell r="I119"/>
          <cell r="J119">
            <v>1287</v>
          </cell>
          <cell r="K119" t="str">
            <v>PO1</v>
          </cell>
          <cell r="L119" t="str">
            <v>D8</v>
          </cell>
          <cell r="M119">
            <v>44</v>
          </cell>
          <cell r="N119">
            <v>2</v>
          </cell>
          <cell r="O119">
            <v>42946</v>
          </cell>
          <cell r="P119" t="str">
            <v>M</v>
          </cell>
          <cell r="Q119" t="str">
            <v>C</v>
          </cell>
          <cell r="R119">
            <v>4</v>
          </cell>
          <cell r="S119"/>
        </row>
        <row r="120">
          <cell r="A120" t="str">
            <v>1069-42947</v>
          </cell>
          <cell r="B120" t="str">
            <v>2017MLBS_117</v>
          </cell>
          <cell r="C120" t="e">
            <v>#N/A</v>
          </cell>
          <cell r="D120">
            <v>43175</v>
          </cell>
          <cell r="E120" t="str">
            <v>G3</v>
          </cell>
          <cell r="F120">
            <v>2</v>
          </cell>
          <cell r="G120">
            <v>2</v>
          </cell>
          <cell r="H120">
            <v>36</v>
          </cell>
          <cell r="I120"/>
          <cell r="J120">
            <v>1069</v>
          </cell>
          <cell r="K120" t="str">
            <v>PO1</v>
          </cell>
          <cell r="L120" t="str">
            <v>D8</v>
          </cell>
          <cell r="M120">
            <v>45</v>
          </cell>
          <cell r="N120">
            <v>2</v>
          </cell>
          <cell r="O120">
            <v>42947</v>
          </cell>
          <cell r="P120" t="str">
            <v>M</v>
          </cell>
          <cell r="Q120" t="str">
            <v>A</v>
          </cell>
          <cell r="R120">
            <v>4</v>
          </cell>
          <cell r="S120"/>
        </row>
        <row r="121">
          <cell r="A121" t="str">
            <v>1276-42957</v>
          </cell>
          <cell r="B121" t="str">
            <v>2017MLBS_118</v>
          </cell>
          <cell r="C121" t="e">
            <v>#N/A</v>
          </cell>
          <cell r="D121">
            <v>43175</v>
          </cell>
          <cell r="E121" t="str">
            <v>H3</v>
          </cell>
          <cell r="F121">
            <v>2</v>
          </cell>
          <cell r="G121">
            <v>2</v>
          </cell>
          <cell r="H121">
            <v>37</v>
          </cell>
          <cell r="I121"/>
          <cell r="J121">
            <v>1276</v>
          </cell>
          <cell r="K121" t="str">
            <v>SP1</v>
          </cell>
          <cell r="L121" t="str">
            <v>A8</v>
          </cell>
          <cell r="M121">
            <v>46</v>
          </cell>
          <cell r="N121">
            <v>2</v>
          </cell>
          <cell r="O121">
            <v>42957</v>
          </cell>
          <cell r="P121" t="str">
            <v>F</v>
          </cell>
          <cell r="Q121" t="str">
            <v>A</v>
          </cell>
          <cell r="R121">
            <v>5</v>
          </cell>
          <cell r="S121"/>
        </row>
        <row r="122">
          <cell r="A122" t="str">
            <v>1279-42957</v>
          </cell>
          <cell r="B122" t="str">
            <v>2017MLBS_119</v>
          </cell>
          <cell r="C122" t="e">
            <v>#N/A</v>
          </cell>
          <cell r="D122">
            <v>43175</v>
          </cell>
          <cell r="E122" t="str">
            <v>A4</v>
          </cell>
          <cell r="F122">
            <v>2</v>
          </cell>
          <cell r="G122">
            <v>2</v>
          </cell>
          <cell r="H122">
            <v>38</v>
          </cell>
          <cell r="I122"/>
          <cell r="J122">
            <v>1279</v>
          </cell>
          <cell r="K122" t="str">
            <v>SP2</v>
          </cell>
          <cell r="L122" t="str">
            <v>G5</v>
          </cell>
          <cell r="M122">
            <v>48</v>
          </cell>
          <cell r="N122">
            <v>2</v>
          </cell>
          <cell r="O122">
            <v>42957</v>
          </cell>
          <cell r="P122" t="str">
            <v>F</v>
          </cell>
          <cell r="Q122" t="str">
            <v>C</v>
          </cell>
          <cell r="R122">
            <v>5</v>
          </cell>
          <cell r="S122"/>
        </row>
        <row r="123">
          <cell r="A123"/>
          <cell r="B123" t="str">
            <v>2017MLBS_120</v>
          </cell>
          <cell r="C123" t="e">
            <v>#N/A</v>
          </cell>
          <cell r="D123">
            <v>43175</v>
          </cell>
          <cell r="E123" t="str">
            <v>B4</v>
          </cell>
          <cell r="F123">
            <v>2</v>
          </cell>
          <cell r="G123">
            <v>2</v>
          </cell>
          <cell r="H123">
            <v>39</v>
          </cell>
          <cell r="I123"/>
          <cell r="J123" t="str">
            <v>Extraction control blank</v>
          </cell>
          <cell r="K123"/>
          <cell r="L123"/>
          <cell r="M123">
            <v>47</v>
          </cell>
          <cell r="N123">
            <v>2</v>
          </cell>
          <cell r="O123"/>
          <cell r="P123"/>
          <cell r="Q123"/>
          <cell r="R123"/>
          <cell r="S123"/>
        </row>
        <row r="124">
          <cell r="A124" t="str">
            <v>1278-42957</v>
          </cell>
          <cell r="B124" t="str">
            <v>2017MLBS_121</v>
          </cell>
          <cell r="C124" t="e">
            <v>#N/A</v>
          </cell>
          <cell r="D124">
            <v>43178</v>
          </cell>
          <cell r="E124" t="str">
            <v>C4</v>
          </cell>
          <cell r="F124">
            <v>2</v>
          </cell>
          <cell r="G124">
            <v>2</v>
          </cell>
          <cell r="H124">
            <v>40</v>
          </cell>
          <cell r="I124"/>
          <cell r="J124">
            <v>1278</v>
          </cell>
          <cell r="K124" t="str">
            <v>SP2</v>
          </cell>
          <cell r="L124" t="str">
            <v>E1</v>
          </cell>
          <cell r="M124">
            <v>49</v>
          </cell>
          <cell r="N124">
            <v>2</v>
          </cell>
          <cell r="O124">
            <v>42957</v>
          </cell>
          <cell r="P124" t="str">
            <v>F</v>
          </cell>
          <cell r="Q124" t="str">
            <v>A</v>
          </cell>
          <cell r="R124">
            <v>5</v>
          </cell>
          <cell r="S124"/>
        </row>
        <row r="125">
          <cell r="A125" t="str">
            <v>1045-42957</v>
          </cell>
          <cell r="B125" t="str">
            <v>2017MLBS_122</v>
          </cell>
          <cell r="C125" t="e">
            <v>#N/A</v>
          </cell>
          <cell r="D125">
            <v>43178</v>
          </cell>
          <cell r="E125" t="str">
            <v>D4</v>
          </cell>
          <cell r="F125">
            <v>2</v>
          </cell>
          <cell r="G125">
            <v>2</v>
          </cell>
          <cell r="H125">
            <v>41</v>
          </cell>
          <cell r="I125"/>
          <cell r="J125">
            <v>1045</v>
          </cell>
          <cell r="K125" t="str">
            <v>SP2</v>
          </cell>
          <cell r="L125" t="str">
            <v>C2</v>
          </cell>
          <cell r="M125">
            <v>50</v>
          </cell>
          <cell r="N125">
            <v>2</v>
          </cell>
          <cell r="O125">
            <v>42957</v>
          </cell>
          <cell r="P125" t="str">
            <v>M</v>
          </cell>
          <cell r="Q125" t="str">
            <v>A</v>
          </cell>
          <cell r="R125">
            <v>5</v>
          </cell>
          <cell r="S125"/>
        </row>
        <row r="126">
          <cell r="A126" t="str">
            <v>1146-42957</v>
          </cell>
          <cell r="B126" t="str">
            <v>2017MLBS_123</v>
          </cell>
          <cell r="C126" t="e">
            <v>#N/A</v>
          </cell>
          <cell r="D126">
            <v>43178</v>
          </cell>
          <cell r="E126" t="str">
            <v>E4</v>
          </cell>
          <cell r="F126">
            <v>2</v>
          </cell>
          <cell r="G126">
            <v>2</v>
          </cell>
          <cell r="H126">
            <v>42</v>
          </cell>
          <cell r="I126"/>
          <cell r="J126">
            <v>1146</v>
          </cell>
          <cell r="K126" t="str">
            <v>SP2</v>
          </cell>
          <cell r="L126" t="str">
            <v>E6</v>
          </cell>
          <cell r="M126">
            <v>51</v>
          </cell>
          <cell r="N126">
            <v>2</v>
          </cell>
          <cell r="O126">
            <v>42957</v>
          </cell>
          <cell r="P126" t="str">
            <v>F</v>
          </cell>
          <cell r="Q126" t="str">
            <v>C</v>
          </cell>
          <cell r="R126">
            <v>5</v>
          </cell>
          <cell r="S126"/>
        </row>
        <row r="127">
          <cell r="A127" t="str">
            <v>1280-42957</v>
          </cell>
          <cell r="B127" t="str">
            <v>2017MLBS_124</v>
          </cell>
          <cell r="C127" t="e">
            <v>#N/A</v>
          </cell>
          <cell r="D127">
            <v>43178</v>
          </cell>
          <cell r="E127" t="str">
            <v>F4</v>
          </cell>
          <cell r="F127">
            <v>2</v>
          </cell>
          <cell r="G127">
            <v>2</v>
          </cell>
          <cell r="H127">
            <v>43</v>
          </cell>
          <cell r="I127"/>
          <cell r="J127">
            <v>1280</v>
          </cell>
          <cell r="K127" t="str">
            <v>SP2</v>
          </cell>
          <cell r="L127" t="str">
            <v>F1</v>
          </cell>
          <cell r="M127">
            <v>52</v>
          </cell>
          <cell r="N127">
            <v>2</v>
          </cell>
          <cell r="O127">
            <v>42957</v>
          </cell>
          <cell r="P127" t="str">
            <v>M</v>
          </cell>
          <cell r="Q127" t="str">
            <v>A</v>
          </cell>
          <cell r="R127">
            <v>5</v>
          </cell>
          <cell r="S127"/>
        </row>
        <row r="128">
          <cell r="A128" t="str">
            <v>1274-42957</v>
          </cell>
          <cell r="B128" t="str">
            <v>2017MLBS_125</v>
          </cell>
          <cell r="C128" t="e">
            <v>#N/A</v>
          </cell>
          <cell r="D128">
            <v>43178</v>
          </cell>
          <cell r="E128" t="str">
            <v>G4</v>
          </cell>
          <cell r="F128">
            <v>2</v>
          </cell>
          <cell r="G128">
            <v>2</v>
          </cell>
          <cell r="H128">
            <v>44</v>
          </cell>
          <cell r="I128"/>
          <cell r="J128">
            <v>1274</v>
          </cell>
          <cell r="K128" t="str">
            <v>SP2</v>
          </cell>
          <cell r="L128" t="str">
            <v>H3</v>
          </cell>
          <cell r="M128">
            <v>53</v>
          </cell>
          <cell r="N128">
            <v>2</v>
          </cell>
          <cell r="O128">
            <v>42957</v>
          </cell>
          <cell r="P128" t="str">
            <v>F</v>
          </cell>
          <cell r="Q128" t="str">
            <v>A</v>
          </cell>
          <cell r="R128">
            <v>5</v>
          </cell>
          <cell r="S128"/>
        </row>
        <row r="129">
          <cell r="A129" t="str">
            <v>1213-42957</v>
          </cell>
          <cell r="B129" t="str">
            <v>2017MLBS_126</v>
          </cell>
          <cell r="C129" t="e">
            <v>#N/A</v>
          </cell>
          <cell r="D129">
            <v>43178</v>
          </cell>
          <cell r="E129" t="str">
            <v>H4</v>
          </cell>
          <cell r="F129">
            <v>2</v>
          </cell>
          <cell r="G129">
            <v>2</v>
          </cell>
          <cell r="H129">
            <v>45</v>
          </cell>
          <cell r="I129"/>
          <cell r="J129">
            <v>1213</v>
          </cell>
          <cell r="K129" t="str">
            <v>SP1</v>
          </cell>
          <cell r="L129" t="str">
            <v>B8</v>
          </cell>
          <cell r="M129">
            <v>54</v>
          </cell>
          <cell r="N129">
            <v>2</v>
          </cell>
          <cell r="O129">
            <v>42957</v>
          </cell>
          <cell r="P129" t="str">
            <v>M</v>
          </cell>
          <cell r="Q129" t="str">
            <v>A</v>
          </cell>
          <cell r="R129">
            <v>5</v>
          </cell>
          <cell r="S129"/>
        </row>
        <row r="130">
          <cell r="A130" t="str">
            <v>1216-42957</v>
          </cell>
          <cell r="B130" t="str">
            <v>2017MLBS_127</v>
          </cell>
          <cell r="C130" t="e">
            <v>#N/A</v>
          </cell>
          <cell r="D130">
            <v>43178</v>
          </cell>
          <cell r="E130" t="str">
            <v>A5</v>
          </cell>
          <cell r="F130">
            <v>2</v>
          </cell>
          <cell r="G130">
            <v>2</v>
          </cell>
          <cell r="H130">
            <v>46</v>
          </cell>
          <cell r="I130"/>
          <cell r="J130">
            <v>1216</v>
          </cell>
          <cell r="K130" t="str">
            <v>SP1</v>
          </cell>
          <cell r="L130" t="str">
            <v>F4</v>
          </cell>
          <cell r="M130">
            <v>55</v>
          </cell>
          <cell r="N130">
            <v>2</v>
          </cell>
          <cell r="O130">
            <v>42957</v>
          </cell>
          <cell r="P130" t="str">
            <v>M</v>
          </cell>
          <cell r="Q130" t="str">
            <v>C</v>
          </cell>
          <cell r="R130">
            <v>5</v>
          </cell>
          <cell r="S130"/>
        </row>
        <row r="131">
          <cell r="A131" t="str">
            <v>1212-42957</v>
          </cell>
          <cell r="B131" t="str">
            <v>2017MLBS_128</v>
          </cell>
          <cell r="C131" t="e">
            <v>#N/A</v>
          </cell>
          <cell r="D131">
            <v>43178</v>
          </cell>
          <cell r="E131" t="str">
            <v>B5</v>
          </cell>
          <cell r="F131">
            <v>2</v>
          </cell>
          <cell r="G131">
            <v>2</v>
          </cell>
          <cell r="H131">
            <v>47</v>
          </cell>
          <cell r="I131"/>
          <cell r="J131">
            <v>1212</v>
          </cell>
          <cell r="K131" t="str">
            <v>SP2</v>
          </cell>
          <cell r="L131" t="str">
            <v>H6</v>
          </cell>
          <cell r="M131">
            <v>56</v>
          </cell>
          <cell r="N131">
            <v>2</v>
          </cell>
          <cell r="O131">
            <v>42957</v>
          </cell>
          <cell r="P131" t="str">
            <v>F</v>
          </cell>
          <cell r="Q131" t="str">
            <v>C</v>
          </cell>
          <cell r="R131">
            <v>5</v>
          </cell>
          <cell r="S131"/>
        </row>
        <row r="132">
          <cell r="A132" t="str">
            <v>1268-42957</v>
          </cell>
          <cell r="B132" t="str">
            <v>2017MLBS_129</v>
          </cell>
          <cell r="C132" t="e">
            <v>#N/A</v>
          </cell>
          <cell r="D132">
            <v>43178</v>
          </cell>
          <cell r="E132" t="str">
            <v>C5</v>
          </cell>
          <cell r="F132">
            <v>2</v>
          </cell>
          <cell r="G132">
            <v>2</v>
          </cell>
          <cell r="H132">
            <v>48</v>
          </cell>
          <cell r="I132"/>
          <cell r="J132">
            <v>1268</v>
          </cell>
          <cell r="K132" t="str">
            <v>SP1</v>
          </cell>
          <cell r="L132" t="str">
            <v>H2</v>
          </cell>
          <cell r="M132">
            <v>57</v>
          </cell>
          <cell r="N132">
            <v>2</v>
          </cell>
          <cell r="O132">
            <v>42957</v>
          </cell>
          <cell r="P132" t="str">
            <v>M</v>
          </cell>
          <cell r="Q132" t="str">
            <v>A</v>
          </cell>
          <cell r="R132">
            <v>5</v>
          </cell>
          <cell r="S132"/>
        </row>
        <row r="133">
          <cell r="A133" t="str">
            <v>1141-42957</v>
          </cell>
          <cell r="B133" t="str">
            <v>2017MLBS_130</v>
          </cell>
          <cell r="C133" t="e">
            <v>#N/A</v>
          </cell>
          <cell r="D133">
            <v>43178</v>
          </cell>
          <cell r="E133" t="str">
            <v>D5</v>
          </cell>
          <cell r="F133">
            <v>2</v>
          </cell>
          <cell r="G133">
            <v>2</v>
          </cell>
          <cell r="H133">
            <v>49</v>
          </cell>
          <cell r="I133"/>
          <cell r="J133">
            <v>1141</v>
          </cell>
          <cell r="K133" t="str">
            <v>SP1</v>
          </cell>
          <cell r="L133" t="str">
            <v>H5</v>
          </cell>
          <cell r="M133">
            <v>58</v>
          </cell>
          <cell r="N133">
            <v>2</v>
          </cell>
          <cell r="O133">
            <v>42957</v>
          </cell>
          <cell r="P133" t="str">
            <v>F</v>
          </cell>
          <cell r="Q133" t="str">
            <v>A</v>
          </cell>
          <cell r="R133">
            <v>5</v>
          </cell>
          <cell r="S133"/>
        </row>
        <row r="134">
          <cell r="A134" t="str">
            <v>1220-42957</v>
          </cell>
          <cell r="B134" t="str">
            <v>2017MLBS_131</v>
          </cell>
          <cell r="C134" t="e">
            <v>#N/A</v>
          </cell>
          <cell r="D134">
            <v>43178</v>
          </cell>
          <cell r="E134" t="str">
            <v>E5</v>
          </cell>
          <cell r="F134">
            <v>2</v>
          </cell>
          <cell r="G134">
            <v>2</v>
          </cell>
          <cell r="H134">
            <v>50</v>
          </cell>
          <cell r="I134"/>
          <cell r="J134">
            <v>1220</v>
          </cell>
          <cell r="K134" t="str">
            <v>SP2</v>
          </cell>
          <cell r="L134" t="str">
            <v>G3</v>
          </cell>
          <cell r="M134">
            <v>59</v>
          </cell>
          <cell r="N134">
            <v>2</v>
          </cell>
          <cell r="O134">
            <v>42957</v>
          </cell>
          <cell r="P134" t="str">
            <v>M</v>
          </cell>
          <cell r="Q134" t="str">
            <v>C</v>
          </cell>
          <cell r="R134">
            <v>5</v>
          </cell>
          <cell r="S134"/>
        </row>
        <row r="135">
          <cell r="A135" t="str">
            <v>1036-42957</v>
          </cell>
          <cell r="B135" t="str">
            <v>2017MLBS_132</v>
          </cell>
          <cell r="C135" t="e">
            <v>#N/A</v>
          </cell>
          <cell r="D135">
            <v>43178</v>
          </cell>
          <cell r="E135" t="str">
            <v>F5</v>
          </cell>
          <cell r="F135">
            <v>2</v>
          </cell>
          <cell r="G135">
            <v>2</v>
          </cell>
          <cell r="H135">
            <v>51</v>
          </cell>
          <cell r="I135"/>
          <cell r="J135">
            <v>1036</v>
          </cell>
          <cell r="K135" t="str">
            <v>SP1</v>
          </cell>
          <cell r="L135" t="str">
            <v>B1</v>
          </cell>
          <cell r="M135">
            <v>60</v>
          </cell>
          <cell r="N135">
            <v>2</v>
          </cell>
          <cell r="O135">
            <v>42957</v>
          </cell>
          <cell r="P135" t="str">
            <v>F</v>
          </cell>
          <cell r="Q135" t="str">
            <v>A</v>
          </cell>
          <cell r="R135">
            <v>5</v>
          </cell>
          <cell r="S135"/>
        </row>
        <row r="136">
          <cell r="A136" t="str">
            <v>1059-42957</v>
          </cell>
          <cell r="B136" t="str">
            <v>2017MLBS_133</v>
          </cell>
          <cell r="C136" t="e">
            <v>#N/A</v>
          </cell>
          <cell r="D136">
            <v>43178</v>
          </cell>
          <cell r="E136" t="str">
            <v>G5</v>
          </cell>
          <cell r="F136">
            <v>2</v>
          </cell>
          <cell r="G136">
            <v>2</v>
          </cell>
          <cell r="H136">
            <v>52</v>
          </cell>
          <cell r="I136"/>
          <cell r="J136">
            <v>1059</v>
          </cell>
          <cell r="K136" t="str">
            <v>SP1</v>
          </cell>
          <cell r="L136" t="str">
            <v>A3</v>
          </cell>
          <cell r="M136">
            <v>61</v>
          </cell>
          <cell r="N136">
            <v>2</v>
          </cell>
          <cell r="O136">
            <v>42957</v>
          </cell>
          <cell r="P136" t="str">
            <v>F</v>
          </cell>
          <cell r="Q136" t="str">
            <v>A</v>
          </cell>
          <cell r="R136">
            <v>5</v>
          </cell>
          <cell r="S136"/>
        </row>
        <row r="137">
          <cell r="A137" t="str">
            <v>1056-42958</v>
          </cell>
          <cell r="B137" t="str">
            <v>2017MLBS_134</v>
          </cell>
          <cell r="C137" t="e">
            <v>#N/A</v>
          </cell>
          <cell r="D137">
            <v>43178</v>
          </cell>
          <cell r="E137" t="str">
            <v>H5</v>
          </cell>
          <cell r="F137">
            <v>2</v>
          </cell>
          <cell r="G137">
            <v>2</v>
          </cell>
          <cell r="H137">
            <v>53</v>
          </cell>
          <cell r="I137"/>
          <cell r="J137">
            <v>1056</v>
          </cell>
          <cell r="K137" t="str">
            <v>SP2</v>
          </cell>
          <cell r="L137" t="str">
            <v>H1</v>
          </cell>
          <cell r="M137">
            <v>62</v>
          </cell>
          <cell r="N137">
            <v>2</v>
          </cell>
          <cell r="O137">
            <v>42958</v>
          </cell>
          <cell r="P137" t="str">
            <v>F</v>
          </cell>
          <cell r="Q137" t="str">
            <v>C</v>
          </cell>
          <cell r="R137">
            <v>5</v>
          </cell>
          <cell r="S137"/>
        </row>
        <row r="138">
          <cell r="A138" t="str">
            <v>949-42958</v>
          </cell>
          <cell r="B138" t="str">
            <v>2017MLBS_135</v>
          </cell>
          <cell r="C138" t="e">
            <v>#N/A</v>
          </cell>
          <cell r="D138">
            <v>43178</v>
          </cell>
          <cell r="E138" t="str">
            <v>A6</v>
          </cell>
          <cell r="F138">
            <v>2</v>
          </cell>
          <cell r="G138">
            <v>2</v>
          </cell>
          <cell r="H138">
            <v>54</v>
          </cell>
          <cell r="I138"/>
          <cell r="J138">
            <v>949</v>
          </cell>
          <cell r="K138" t="str">
            <v>SP1</v>
          </cell>
          <cell r="L138" t="str">
            <v>E5</v>
          </cell>
          <cell r="M138">
            <v>63</v>
          </cell>
          <cell r="N138">
            <v>2</v>
          </cell>
          <cell r="O138">
            <v>42958</v>
          </cell>
          <cell r="P138" t="str">
            <v>M</v>
          </cell>
          <cell r="Q138" t="str">
            <v>C</v>
          </cell>
          <cell r="R138">
            <v>5</v>
          </cell>
          <cell r="S138"/>
        </row>
        <row r="139">
          <cell r="A139" t="str">
            <v>1217-42958</v>
          </cell>
          <cell r="B139" t="str">
            <v>2017MLBS_136</v>
          </cell>
          <cell r="C139" t="e">
            <v>#N/A</v>
          </cell>
          <cell r="D139">
            <v>43178</v>
          </cell>
          <cell r="E139" t="str">
            <v>B6</v>
          </cell>
          <cell r="F139">
            <v>2</v>
          </cell>
          <cell r="G139">
            <v>2</v>
          </cell>
          <cell r="H139">
            <v>55</v>
          </cell>
          <cell r="I139"/>
          <cell r="J139">
            <v>1217</v>
          </cell>
          <cell r="K139" t="str">
            <v>SP1</v>
          </cell>
          <cell r="L139" t="str">
            <v>G1</v>
          </cell>
          <cell r="M139">
            <v>64</v>
          </cell>
          <cell r="N139">
            <v>2</v>
          </cell>
          <cell r="O139">
            <v>42958</v>
          </cell>
          <cell r="P139" t="str">
            <v>M</v>
          </cell>
          <cell r="Q139" t="str">
            <v>A</v>
          </cell>
          <cell r="R139">
            <v>5</v>
          </cell>
          <cell r="S139"/>
        </row>
        <row r="140">
          <cell r="A140" t="str">
            <v>1052-42958</v>
          </cell>
          <cell r="B140" t="str">
            <v>2017MLBS_137</v>
          </cell>
          <cell r="C140" t="e">
            <v>#N/A</v>
          </cell>
          <cell r="D140">
            <v>43178</v>
          </cell>
          <cell r="E140" t="str">
            <v>C6</v>
          </cell>
          <cell r="F140">
            <v>2</v>
          </cell>
          <cell r="G140">
            <v>2</v>
          </cell>
          <cell r="H140">
            <v>56</v>
          </cell>
          <cell r="I140"/>
          <cell r="J140">
            <v>1052</v>
          </cell>
          <cell r="K140" t="str">
            <v>SP1</v>
          </cell>
          <cell r="L140" t="str">
            <v>H4</v>
          </cell>
          <cell r="M140">
            <v>65</v>
          </cell>
          <cell r="N140">
            <v>2</v>
          </cell>
          <cell r="O140">
            <v>42958</v>
          </cell>
          <cell r="P140" t="str">
            <v>F</v>
          </cell>
          <cell r="Q140" t="str">
            <v>C</v>
          </cell>
          <cell r="R140">
            <v>5</v>
          </cell>
          <cell r="S140"/>
        </row>
        <row r="141">
          <cell r="A141" t="str">
            <v>1272-42958</v>
          </cell>
          <cell r="B141" t="str">
            <v>2017MLBS_138</v>
          </cell>
          <cell r="C141" t="e">
            <v>#N/A</v>
          </cell>
          <cell r="D141">
            <v>43178</v>
          </cell>
          <cell r="E141" t="str">
            <v>D6</v>
          </cell>
          <cell r="F141">
            <v>2</v>
          </cell>
          <cell r="G141">
            <v>2</v>
          </cell>
          <cell r="H141">
            <v>57</v>
          </cell>
          <cell r="I141"/>
          <cell r="J141">
            <v>1272</v>
          </cell>
          <cell r="K141" t="str">
            <v>SP2</v>
          </cell>
          <cell r="L141" t="str">
            <v>A2</v>
          </cell>
          <cell r="M141">
            <v>66</v>
          </cell>
          <cell r="N141">
            <v>2</v>
          </cell>
          <cell r="O141">
            <v>42958</v>
          </cell>
          <cell r="P141" t="str">
            <v>M</v>
          </cell>
          <cell r="Q141" t="str">
            <v>A</v>
          </cell>
          <cell r="R141">
            <v>5</v>
          </cell>
          <cell r="S141"/>
        </row>
        <row r="142">
          <cell r="A142" t="str">
            <v>1284-42958</v>
          </cell>
          <cell r="B142" t="str">
            <v>2017MLBS_139</v>
          </cell>
          <cell r="C142" t="e">
            <v>#N/A</v>
          </cell>
          <cell r="D142">
            <v>43178</v>
          </cell>
          <cell r="E142" t="str">
            <v>E6</v>
          </cell>
          <cell r="F142">
            <v>2</v>
          </cell>
          <cell r="G142">
            <v>2</v>
          </cell>
          <cell r="H142">
            <v>58</v>
          </cell>
          <cell r="I142"/>
          <cell r="J142">
            <v>1284</v>
          </cell>
          <cell r="K142" t="str">
            <v>SP2</v>
          </cell>
          <cell r="L142" t="str">
            <v>E1</v>
          </cell>
          <cell r="M142">
            <v>67</v>
          </cell>
          <cell r="N142">
            <v>2</v>
          </cell>
          <cell r="O142">
            <v>42958</v>
          </cell>
          <cell r="P142" t="str">
            <v>M</v>
          </cell>
          <cell r="Q142" t="str">
            <v>A</v>
          </cell>
          <cell r="R142">
            <v>5</v>
          </cell>
          <cell r="S142"/>
        </row>
        <row r="143">
          <cell r="A143" t="str">
            <v>1142-42959</v>
          </cell>
          <cell r="B143" t="str">
            <v>2017MLBS_140</v>
          </cell>
          <cell r="C143" t="e">
            <v>#N/A</v>
          </cell>
          <cell r="D143">
            <v>43178</v>
          </cell>
          <cell r="E143" t="str">
            <v>F6</v>
          </cell>
          <cell r="F143">
            <v>2</v>
          </cell>
          <cell r="G143">
            <v>2</v>
          </cell>
          <cell r="H143">
            <v>59</v>
          </cell>
          <cell r="I143"/>
          <cell r="J143">
            <v>1142</v>
          </cell>
          <cell r="K143" t="str">
            <v>SP2</v>
          </cell>
          <cell r="L143" t="str">
            <v>A4</v>
          </cell>
          <cell r="M143">
            <v>68</v>
          </cell>
          <cell r="N143">
            <v>2</v>
          </cell>
          <cell r="O143">
            <v>42959</v>
          </cell>
          <cell r="P143" t="str">
            <v>M</v>
          </cell>
          <cell r="Q143" t="str">
            <v>C</v>
          </cell>
          <cell r="R143">
            <v>5</v>
          </cell>
          <cell r="S143"/>
        </row>
        <row r="144">
          <cell r="A144" t="str">
            <v>1148-42959</v>
          </cell>
          <cell r="B144" t="str">
            <v>2017MLBS_141</v>
          </cell>
          <cell r="C144" t="e">
            <v>#N/A</v>
          </cell>
          <cell r="D144">
            <v>43178</v>
          </cell>
          <cell r="E144" t="str">
            <v>G6</v>
          </cell>
          <cell r="F144">
            <v>2</v>
          </cell>
          <cell r="G144">
            <v>2</v>
          </cell>
          <cell r="H144">
            <v>60</v>
          </cell>
          <cell r="I144"/>
          <cell r="J144">
            <v>1148</v>
          </cell>
          <cell r="K144" t="str">
            <v>SP2</v>
          </cell>
          <cell r="L144" t="str">
            <v>A7</v>
          </cell>
          <cell r="M144">
            <v>69</v>
          </cell>
          <cell r="N144">
            <v>2</v>
          </cell>
          <cell r="O144">
            <v>42959</v>
          </cell>
          <cell r="P144" t="str">
            <v>M</v>
          </cell>
          <cell r="Q144" t="str">
            <v>C</v>
          </cell>
          <cell r="R144">
            <v>5</v>
          </cell>
          <cell r="S144"/>
        </row>
        <row r="145">
          <cell r="A145" t="str">
            <v>1218-42959</v>
          </cell>
          <cell r="B145" t="str">
            <v>2017MLBS_142</v>
          </cell>
          <cell r="C145" t="e">
            <v>#N/A</v>
          </cell>
          <cell r="D145">
            <v>43178</v>
          </cell>
          <cell r="E145" t="str">
            <v>H6</v>
          </cell>
          <cell r="F145">
            <v>2</v>
          </cell>
          <cell r="G145">
            <v>2</v>
          </cell>
          <cell r="H145">
            <v>61</v>
          </cell>
          <cell r="I145"/>
          <cell r="J145">
            <v>1218</v>
          </cell>
          <cell r="K145" t="str">
            <v>SP2</v>
          </cell>
          <cell r="L145" t="str">
            <v>B2</v>
          </cell>
          <cell r="M145">
            <v>70</v>
          </cell>
          <cell r="N145">
            <v>2</v>
          </cell>
          <cell r="O145">
            <v>42959</v>
          </cell>
          <cell r="P145" t="str">
            <v>F</v>
          </cell>
          <cell r="Q145" t="str">
            <v>C</v>
          </cell>
          <cell r="R145">
            <v>5</v>
          </cell>
          <cell r="S145"/>
        </row>
        <row r="146">
          <cell r="A146" t="str">
            <v>1145-42959</v>
          </cell>
          <cell r="B146" t="str">
            <v>2017MLBS_143</v>
          </cell>
          <cell r="C146" t="e">
            <v>#N/A</v>
          </cell>
          <cell r="D146">
            <v>43178</v>
          </cell>
          <cell r="E146" t="str">
            <v>A7</v>
          </cell>
          <cell r="F146">
            <v>2</v>
          </cell>
          <cell r="G146">
            <v>2</v>
          </cell>
          <cell r="H146">
            <v>62</v>
          </cell>
          <cell r="I146"/>
          <cell r="J146">
            <v>1145</v>
          </cell>
          <cell r="K146" t="str">
            <v>SP2</v>
          </cell>
          <cell r="L146" t="str">
            <v>B6</v>
          </cell>
          <cell r="M146">
            <v>71</v>
          </cell>
          <cell r="N146">
            <v>2</v>
          </cell>
          <cell r="O146">
            <v>42959</v>
          </cell>
          <cell r="P146" t="str">
            <v>M</v>
          </cell>
          <cell r="Q146" t="str">
            <v>A</v>
          </cell>
          <cell r="R146">
            <v>5</v>
          </cell>
          <cell r="S146"/>
        </row>
        <row r="147">
          <cell r="A147"/>
          <cell r="B147" t="str">
            <v>2017MLBS_144</v>
          </cell>
          <cell r="C147" t="e">
            <v>#N/A</v>
          </cell>
          <cell r="D147">
            <v>43178</v>
          </cell>
          <cell r="E147" t="str">
            <v>B7</v>
          </cell>
          <cell r="F147">
            <v>2</v>
          </cell>
          <cell r="G147">
            <v>2</v>
          </cell>
          <cell r="H147">
            <v>63</v>
          </cell>
          <cell r="I147"/>
          <cell r="J147" t="str">
            <v>Extraction control blank</v>
          </cell>
          <cell r="K147"/>
          <cell r="L147"/>
          <cell r="M147">
            <v>72</v>
          </cell>
          <cell r="N147">
            <v>2</v>
          </cell>
          <cell r="O147"/>
          <cell r="P147"/>
          <cell r="Q147"/>
          <cell r="R147"/>
          <cell r="S147"/>
        </row>
        <row r="148">
          <cell r="A148" t="str">
            <v>1290-42963</v>
          </cell>
          <cell r="B148" t="str">
            <v>2017MLBS_145</v>
          </cell>
          <cell r="C148" t="e">
            <v>#N/A</v>
          </cell>
          <cell r="D148">
            <v>43178</v>
          </cell>
          <cell r="E148" t="str">
            <v>C7</v>
          </cell>
          <cell r="F148">
            <v>2</v>
          </cell>
          <cell r="G148">
            <v>2</v>
          </cell>
          <cell r="H148">
            <v>64</v>
          </cell>
          <cell r="I148" t="str">
            <v>8/16 not 8/13</v>
          </cell>
          <cell r="J148">
            <v>1290</v>
          </cell>
          <cell r="K148" t="str">
            <v>PO1</v>
          </cell>
          <cell r="L148" t="str">
            <v>A2</v>
          </cell>
          <cell r="M148">
            <v>1</v>
          </cell>
          <cell r="N148">
            <v>3</v>
          </cell>
          <cell r="O148">
            <v>42963</v>
          </cell>
          <cell r="P148" t="str">
            <v>M</v>
          </cell>
          <cell r="Q148" t="str">
            <v>A</v>
          </cell>
          <cell r="R148">
            <v>5</v>
          </cell>
          <cell r="S148"/>
        </row>
        <row r="149">
          <cell r="A149" t="str">
            <v>1063-42963</v>
          </cell>
          <cell r="B149" t="str">
            <v>2017MLBS_146</v>
          </cell>
          <cell r="C149" t="e">
            <v>#N/A</v>
          </cell>
          <cell r="D149">
            <v>43178</v>
          </cell>
          <cell r="E149" t="str">
            <v>D7</v>
          </cell>
          <cell r="F149">
            <v>2</v>
          </cell>
          <cell r="G149">
            <v>2</v>
          </cell>
          <cell r="H149">
            <v>65</v>
          </cell>
          <cell r="I149" t="str">
            <v>8/16 not 8/13</v>
          </cell>
          <cell r="J149">
            <v>1063</v>
          </cell>
          <cell r="K149" t="str">
            <v>PO1</v>
          </cell>
          <cell r="L149" t="str">
            <v>A4</v>
          </cell>
          <cell r="M149">
            <v>2</v>
          </cell>
          <cell r="N149">
            <v>3</v>
          </cell>
          <cell r="O149">
            <v>42963</v>
          </cell>
          <cell r="P149" t="str">
            <v>M</v>
          </cell>
          <cell r="Q149" t="str">
            <v>A</v>
          </cell>
          <cell r="R149">
            <v>5</v>
          </cell>
          <cell r="S149"/>
        </row>
        <row r="150">
          <cell r="A150" t="str">
            <v>1079-42963</v>
          </cell>
          <cell r="B150" t="str">
            <v>2017MLBS_147</v>
          </cell>
          <cell r="C150" t="e">
            <v>#N/A</v>
          </cell>
          <cell r="D150">
            <v>43178</v>
          </cell>
          <cell r="E150" t="str">
            <v>E7</v>
          </cell>
          <cell r="F150">
            <v>2</v>
          </cell>
          <cell r="G150">
            <v>2</v>
          </cell>
          <cell r="H150">
            <v>66</v>
          </cell>
          <cell r="I150" t="str">
            <v>8/16 not 8/13</v>
          </cell>
          <cell r="J150">
            <v>1079</v>
          </cell>
          <cell r="K150" t="str">
            <v>PO1</v>
          </cell>
          <cell r="L150" t="str">
            <v>B5</v>
          </cell>
          <cell r="M150">
            <v>3</v>
          </cell>
          <cell r="N150">
            <v>3</v>
          </cell>
          <cell r="O150">
            <v>42963</v>
          </cell>
          <cell r="P150" t="str">
            <v>F</v>
          </cell>
          <cell r="Q150" t="str">
            <v>A</v>
          </cell>
          <cell r="R150">
            <v>5</v>
          </cell>
          <cell r="S150"/>
        </row>
        <row r="151">
          <cell r="A151" t="str">
            <v>1292-42963</v>
          </cell>
          <cell r="B151" t="str">
            <v>2017MLBS_148</v>
          </cell>
          <cell r="C151" t="e">
            <v>#N/A</v>
          </cell>
          <cell r="D151">
            <v>43178</v>
          </cell>
          <cell r="E151" t="str">
            <v>F7</v>
          </cell>
          <cell r="F151">
            <v>2</v>
          </cell>
          <cell r="G151">
            <v>2</v>
          </cell>
          <cell r="H151">
            <v>67</v>
          </cell>
          <cell r="I151" t="str">
            <v>8/16 not 8/13</v>
          </cell>
          <cell r="J151">
            <v>1292</v>
          </cell>
          <cell r="K151" t="str">
            <v>PO1</v>
          </cell>
          <cell r="L151" t="str">
            <v>D3</v>
          </cell>
          <cell r="M151">
            <v>4</v>
          </cell>
          <cell r="N151">
            <v>3</v>
          </cell>
          <cell r="O151">
            <v>42963</v>
          </cell>
          <cell r="P151" t="str">
            <v>F</v>
          </cell>
          <cell r="Q151" t="str">
            <v>A</v>
          </cell>
          <cell r="R151">
            <v>5</v>
          </cell>
          <cell r="S151"/>
        </row>
        <row r="152">
          <cell r="A152" t="str">
            <v>1286-42963</v>
          </cell>
          <cell r="B152" t="str">
            <v>2017MLBS_149</v>
          </cell>
          <cell r="C152" t="e">
            <v>#N/A</v>
          </cell>
          <cell r="D152">
            <v>43178</v>
          </cell>
          <cell r="E152" t="str">
            <v>G7</v>
          </cell>
          <cell r="F152">
            <v>2</v>
          </cell>
          <cell r="G152">
            <v>2</v>
          </cell>
          <cell r="H152">
            <v>68</v>
          </cell>
          <cell r="I152" t="str">
            <v>8/16 not 8/13</v>
          </cell>
          <cell r="J152">
            <v>1286</v>
          </cell>
          <cell r="K152" t="str">
            <v>PO1</v>
          </cell>
          <cell r="L152" t="str">
            <v>G1</v>
          </cell>
          <cell r="M152">
            <v>5</v>
          </cell>
          <cell r="N152">
            <v>3</v>
          </cell>
          <cell r="O152">
            <v>42963</v>
          </cell>
          <cell r="P152" t="str">
            <v>M</v>
          </cell>
          <cell r="Q152" t="str">
            <v>A</v>
          </cell>
          <cell r="R152">
            <v>5</v>
          </cell>
          <cell r="S152"/>
        </row>
        <row r="153">
          <cell r="A153" t="str">
            <v>1084-42963</v>
          </cell>
          <cell r="B153" t="str">
            <v>2017MLBS_150</v>
          </cell>
          <cell r="C153" t="e">
            <v>#N/A</v>
          </cell>
          <cell r="D153">
            <v>43178</v>
          </cell>
          <cell r="E153" t="str">
            <v>H7</v>
          </cell>
          <cell r="F153">
            <v>2</v>
          </cell>
          <cell r="G153">
            <v>2</v>
          </cell>
          <cell r="H153">
            <v>69</v>
          </cell>
          <cell r="I153" t="str">
            <v>8/16 not 8/13</v>
          </cell>
          <cell r="J153">
            <v>1084</v>
          </cell>
          <cell r="K153" t="str">
            <v>PO1</v>
          </cell>
          <cell r="L153" t="str">
            <v>G2</v>
          </cell>
          <cell r="M153">
            <v>6</v>
          </cell>
          <cell r="N153">
            <v>3</v>
          </cell>
          <cell r="O153">
            <v>42963</v>
          </cell>
          <cell r="P153" t="str">
            <v>M</v>
          </cell>
          <cell r="Q153" t="str">
            <v>C</v>
          </cell>
          <cell r="R153">
            <v>5</v>
          </cell>
          <cell r="S153"/>
        </row>
        <row r="154">
          <cell r="A154" t="str">
            <v>1238-42963</v>
          </cell>
          <cell r="B154" t="str">
            <v>2017MLBS_151</v>
          </cell>
          <cell r="C154" t="e">
            <v>#N/A</v>
          </cell>
          <cell r="D154">
            <v>43178</v>
          </cell>
          <cell r="E154" t="str">
            <v>A8</v>
          </cell>
          <cell r="F154">
            <v>2</v>
          </cell>
          <cell r="G154">
            <v>2</v>
          </cell>
          <cell r="H154">
            <v>70</v>
          </cell>
          <cell r="I154" t="str">
            <v>8/16 not 8/13</v>
          </cell>
          <cell r="J154">
            <v>1238</v>
          </cell>
          <cell r="K154" t="str">
            <v>PO2</v>
          </cell>
          <cell r="L154" t="str">
            <v>A4</v>
          </cell>
          <cell r="M154">
            <v>7</v>
          </cell>
          <cell r="N154">
            <v>3</v>
          </cell>
          <cell r="O154">
            <v>42963</v>
          </cell>
          <cell r="P154" t="str">
            <v>M</v>
          </cell>
          <cell r="Q154" t="str">
            <v>C</v>
          </cell>
          <cell r="R154">
            <v>5</v>
          </cell>
          <cell r="S154"/>
        </row>
        <row r="155">
          <cell r="A155" t="str">
            <v>1164-42963</v>
          </cell>
          <cell r="B155" t="str">
            <v>2017MLBS_152</v>
          </cell>
          <cell r="C155" t="e">
            <v>#N/A</v>
          </cell>
          <cell r="D155">
            <v>43178</v>
          </cell>
          <cell r="E155" t="str">
            <v>B9</v>
          </cell>
          <cell r="F155">
            <v>2</v>
          </cell>
          <cell r="G155">
            <v>2</v>
          </cell>
          <cell r="H155">
            <v>71</v>
          </cell>
          <cell r="I155" t="str">
            <v>8/16 not 8/13</v>
          </cell>
          <cell r="J155">
            <v>1164</v>
          </cell>
          <cell r="K155" t="str">
            <v>PO2</v>
          </cell>
          <cell r="L155" t="str">
            <v>D3</v>
          </cell>
          <cell r="M155">
            <v>8</v>
          </cell>
          <cell r="N155">
            <v>3</v>
          </cell>
          <cell r="O155">
            <v>42963</v>
          </cell>
          <cell r="P155" t="str">
            <v>F</v>
          </cell>
          <cell r="Q155" t="str">
            <v>A</v>
          </cell>
          <cell r="R155">
            <v>5</v>
          </cell>
          <cell r="S155"/>
        </row>
        <row r="156">
          <cell r="A156" t="str">
            <v>1076-42963</v>
          </cell>
          <cell r="B156" t="str">
            <v>2017MLBS_153</v>
          </cell>
          <cell r="C156" t="e">
            <v>#N/A</v>
          </cell>
          <cell r="D156">
            <v>43178</v>
          </cell>
          <cell r="E156" t="str">
            <v>C9</v>
          </cell>
          <cell r="F156">
            <v>2</v>
          </cell>
          <cell r="G156">
            <v>2</v>
          </cell>
          <cell r="H156">
            <v>72</v>
          </cell>
          <cell r="I156" t="str">
            <v>8/16 not 8/13</v>
          </cell>
          <cell r="J156">
            <v>1076</v>
          </cell>
          <cell r="K156" t="str">
            <v>PO2</v>
          </cell>
          <cell r="L156" t="str">
            <v>E2</v>
          </cell>
          <cell r="M156">
            <v>9</v>
          </cell>
          <cell r="N156">
            <v>3</v>
          </cell>
          <cell r="O156">
            <v>42963</v>
          </cell>
          <cell r="P156" t="str">
            <v>M</v>
          </cell>
          <cell r="Q156" t="str">
            <v>C</v>
          </cell>
          <cell r="R156">
            <v>5</v>
          </cell>
          <cell r="S156"/>
        </row>
        <row r="157">
          <cell r="A157" t="str">
            <v>1234-42963</v>
          </cell>
          <cell r="B157" t="str">
            <v>2017MLBS_154</v>
          </cell>
          <cell r="C157" t="e">
            <v>#N/A</v>
          </cell>
          <cell r="D157">
            <v>43178</v>
          </cell>
          <cell r="E157" t="str">
            <v>D8</v>
          </cell>
          <cell r="F157">
            <v>2</v>
          </cell>
          <cell r="G157">
            <v>2</v>
          </cell>
          <cell r="H157">
            <v>73</v>
          </cell>
          <cell r="I157" t="str">
            <v>8/16 not 8/13</v>
          </cell>
          <cell r="J157">
            <v>1234</v>
          </cell>
          <cell r="K157" t="str">
            <v>PO2</v>
          </cell>
          <cell r="L157" t="str">
            <v>F1</v>
          </cell>
          <cell r="M157">
            <v>10</v>
          </cell>
          <cell r="N157">
            <v>3</v>
          </cell>
          <cell r="O157">
            <v>42963</v>
          </cell>
          <cell r="P157" t="str">
            <v>M</v>
          </cell>
          <cell r="Q157" t="str">
            <v>C</v>
          </cell>
          <cell r="R157">
            <v>5</v>
          </cell>
          <cell r="S157"/>
        </row>
        <row r="158">
          <cell r="A158" t="str">
            <v>1090-42963</v>
          </cell>
          <cell r="B158" t="str">
            <v>2017MLBS_155</v>
          </cell>
          <cell r="C158" t="e">
            <v>#N/A</v>
          </cell>
          <cell r="D158">
            <v>43178</v>
          </cell>
          <cell r="E158" t="str">
            <v>E8</v>
          </cell>
          <cell r="F158">
            <v>2</v>
          </cell>
          <cell r="G158">
            <v>2</v>
          </cell>
          <cell r="H158">
            <v>74</v>
          </cell>
          <cell r="I158" t="str">
            <v>8/16 not 8/13</v>
          </cell>
          <cell r="J158">
            <v>1090</v>
          </cell>
          <cell r="K158" t="str">
            <v>PO2</v>
          </cell>
          <cell r="L158" t="str">
            <v>F5</v>
          </cell>
          <cell r="M158">
            <v>11</v>
          </cell>
          <cell r="N158">
            <v>3</v>
          </cell>
          <cell r="O158">
            <v>42963</v>
          </cell>
          <cell r="P158" t="str">
            <v>F</v>
          </cell>
          <cell r="Q158" t="str">
            <v>A</v>
          </cell>
          <cell r="R158">
            <v>5</v>
          </cell>
          <cell r="S158"/>
        </row>
        <row r="159">
          <cell r="A159" t="str">
            <v>1165-42963</v>
          </cell>
          <cell r="B159" t="str">
            <v>2017MLBS_156</v>
          </cell>
          <cell r="C159" t="e">
            <v>#N/A</v>
          </cell>
          <cell r="D159">
            <v>43178</v>
          </cell>
          <cell r="E159" t="str">
            <v>F8</v>
          </cell>
          <cell r="F159">
            <v>2</v>
          </cell>
          <cell r="G159">
            <v>2</v>
          </cell>
          <cell r="H159">
            <v>75</v>
          </cell>
          <cell r="I159" t="str">
            <v>8/16 not 8/13</v>
          </cell>
          <cell r="J159">
            <v>1165</v>
          </cell>
          <cell r="K159" t="str">
            <v>PO2</v>
          </cell>
          <cell r="L159" t="str">
            <v>G6</v>
          </cell>
          <cell r="M159">
            <v>12</v>
          </cell>
          <cell r="N159">
            <v>3</v>
          </cell>
          <cell r="O159">
            <v>42963</v>
          </cell>
          <cell r="P159" t="str">
            <v>M</v>
          </cell>
          <cell r="Q159" t="str">
            <v>C</v>
          </cell>
          <cell r="R159">
            <v>5</v>
          </cell>
          <cell r="S159"/>
        </row>
        <row r="160">
          <cell r="A160" t="str">
            <v>1099-42963</v>
          </cell>
          <cell r="B160" t="str">
            <v>2017MLBS_157</v>
          </cell>
          <cell r="C160" t="e">
            <v>#N/A</v>
          </cell>
          <cell r="D160">
            <v>43178</v>
          </cell>
          <cell r="E160" t="str">
            <v>G8</v>
          </cell>
          <cell r="F160">
            <v>2</v>
          </cell>
          <cell r="G160">
            <v>2</v>
          </cell>
          <cell r="H160">
            <v>76</v>
          </cell>
          <cell r="I160" t="str">
            <v>8/16 not 8/13</v>
          </cell>
          <cell r="J160">
            <v>1099</v>
          </cell>
          <cell r="K160" t="str">
            <v>PO2</v>
          </cell>
          <cell r="L160" t="str">
            <v>H3</v>
          </cell>
          <cell r="M160">
            <v>13</v>
          </cell>
          <cell r="N160">
            <v>3</v>
          </cell>
          <cell r="O160">
            <v>42963</v>
          </cell>
          <cell r="P160" t="str">
            <v>M</v>
          </cell>
          <cell r="Q160" t="str">
            <v>C</v>
          </cell>
          <cell r="R160">
            <v>5</v>
          </cell>
          <cell r="S160"/>
        </row>
        <row r="161">
          <cell r="A161" t="str">
            <v>1092-42963</v>
          </cell>
          <cell r="B161" t="str">
            <v>2017MLBS_158</v>
          </cell>
          <cell r="C161" t="e">
            <v>#N/A</v>
          </cell>
          <cell r="D161">
            <v>43178</v>
          </cell>
          <cell r="E161" t="str">
            <v>H8</v>
          </cell>
          <cell r="F161">
            <v>2</v>
          </cell>
          <cell r="G161">
            <v>2</v>
          </cell>
          <cell r="H161">
            <v>77</v>
          </cell>
          <cell r="I161" t="str">
            <v>8/16 not 8/13</v>
          </cell>
          <cell r="J161">
            <v>1092</v>
          </cell>
          <cell r="K161" t="str">
            <v>PO2</v>
          </cell>
          <cell r="L161" t="str">
            <v>H7</v>
          </cell>
          <cell r="M161">
            <v>14</v>
          </cell>
          <cell r="N161">
            <v>3</v>
          </cell>
          <cell r="O161">
            <v>42963</v>
          </cell>
          <cell r="P161" t="str">
            <v>F</v>
          </cell>
          <cell r="Q161" t="str">
            <v>C</v>
          </cell>
          <cell r="R161">
            <v>5</v>
          </cell>
          <cell r="S161"/>
        </row>
        <row r="162">
          <cell r="A162" t="str">
            <v>1230-42964</v>
          </cell>
          <cell r="B162" t="str">
            <v>2017MLBS_159</v>
          </cell>
          <cell r="C162" t="e">
            <v>#N/A</v>
          </cell>
          <cell r="D162">
            <v>43178</v>
          </cell>
          <cell r="E162" t="str">
            <v>A9</v>
          </cell>
          <cell r="F162">
            <v>2</v>
          </cell>
          <cell r="G162">
            <v>2</v>
          </cell>
          <cell r="H162">
            <v>78</v>
          </cell>
          <cell r="I162" t="str">
            <v>8/17 not 8/14</v>
          </cell>
          <cell r="J162">
            <v>1230</v>
          </cell>
          <cell r="K162" t="str">
            <v>PO1</v>
          </cell>
          <cell r="L162" t="str">
            <v>C2</v>
          </cell>
          <cell r="M162">
            <v>15</v>
          </cell>
          <cell r="N162">
            <v>3</v>
          </cell>
          <cell r="O162">
            <v>42964</v>
          </cell>
          <cell r="P162" t="str">
            <v>F</v>
          </cell>
          <cell r="Q162" t="str">
            <v>C</v>
          </cell>
          <cell r="R162">
            <v>5</v>
          </cell>
          <cell r="S162"/>
        </row>
        <row r="163">
          <cell r="A163" t="str">
            <v>1294-42964</v>
          </cell>
          <cell r="B163" t="str">
            <v>2017MLBS_160</v>
          </cell>
          <cell r="C163" t="e">
            <v>#N/A</v>
          </cell>
          <cell r="D163">
            <v>43178</v>
          </cell>
          <cell r="E163" t="str">
            <v>B8</v>
          </cell>
          <cell r="F163">
            <v>2</v>
          </cell>
          <cell r="G163">
            <v>2</v>
          </cell>
          <cell r="H163">
            <v>79</v>
          </cell>
          <cell r="I163" t="str">
            <v>8/17 not 8/14</v>
          </cell>
          <cell r="J163">
            <v>1294</v>
          </cell>
          <cell r="K163" t="str">
            <v>PO1</v>
          </cell>
          <cell r="L163" t="str">
            <v>D1</v>
          </cell>
          <cell r="M163">
            <v>16</v>
          </cell>
          <cell r="N163">
            <v>3</v>
          </cell>
          <cell r="O163">
            <v>42964</v>
          </cell>
          <cell r="P163" t="str">
            <v>F</v>
          </cell>
          <cell r="Q163" t="str">
            <v>A</v>
          </cell>
          <cell r="R163">
            <v>5</v>
          </cell>
          <cell r="S163"/>
        </row>
        <row r="164">
          <cell r="A164" t="str">
            <v>1288-42964</v>
          </cell>
          <cell r="B164" t="str">
            <v>2017MLBS_166</v>
          </cell>
          <cell r="C164" t="e">
            <v>#N/A</v>
          </cell>
          <cell r="D164">
            <v>43178</v>
          </cell>
          <cell r="E164" t="str">
            <v>C8</v>
          </cell>
          <cell r="F164">
            <v>2</v>
          </cell>
          <cell r="G164">
            <v>2</v>
          </cell>
          <cell r="H164">
            <v>80</v>
          </cell>
          <cell r="I164" t="str">
            <v>8/17 not 8/14</v>
          </cell>
          <cell r="J164">
            <v>1288</v>
          </cell>
          <cell r="K164" t="str">
            <v>PO1</v>
          </cell>
          <cell r="L164" t="str">
            <v>E8</v>
          </cell>
          <cell r="M164">
            <v>17</v>
          </cell>
          <cell r="N164">
            <v>3</v>
          </cell>
          <cell r="O164">
            <v>42964</v>
          </cell>
          <cell r="P164" t="str">
            <v>M</v>
          </cell>
          <cell r="Q164" t="str">
            <v>A</v>
          </cell>
          <cell r="R164">
            <v>5</v>
          </cell>
          <cell r="S164"/>
        </row>
        <row r="165">
          <cell r="A165" t="str">
            <v>1231-42964</v>
          </cell>
          <cell r="B165" t="str">
            <v>2017MLBS_162</v>
          </cell>
          <cell r="C165" t="e">
            <v>#N/A</v>
          </cell>
          <cell r="D165">
            <v>43178</v>
          </cell>
          <cell r="E165" t="str">
            <v>D9</v>
          </cell>
          <cell r="F165">
            <v>2</v>
          </cell>
          <cell r="G165">
            <v>2</v>
          </cell>
          <cell r="H165">
            <v>81</v>
          </cell>
          <cell r="I165" t="str">
            <v>8/17 not 8/14</v>
          </cell>
          <cell r="J165">
            <v>1231</v>
          </cell>
          <cell r="K165" t="str">
            <v>PO1</v>
          </cell>
          <cell r="L165" t="str">
            <v>F8</v>
          </cell>
          <cell r="M165">
            <v>18</v>
          </cell>
          <cell r="N165">
            <v>3</v>
          </cell>
          <cell r="O165">
            <v>42964</v>
          </cell>
          <cell r="P165" t="str">
            <v>F</v>
          </cell>
          <cell r="Q165" t="str">
            <v>A</v>
          </cell>
          <cell r="R165">
            <v>5</v>
          </cell>
          <cell r="S165"/>
        </row>
        <row r="166">
          <cell r="A166" t="str">
            <v>1083-42964</v>
          </cell>
          <cell r="B166" t="str">
            <v>2017MLBS_163</v>
          </cell>
          <cell r="C166" t="e">
            <v>#N/A</v>
          </cell>
          <cell r="D166">
            <v>43178</v>
          </cell>
          <cell r="E166" t="str">
            <v>E9</v>
          </cell>
          <cell r="F166">
            <v>2</v>
          </cell>
          <cell r="G166">
            <v>3</v>
          </cell>
          <cell r="H166">
            <v>1</v>
          </cell>
          <cell r="I166" t="str">
            <v>8/17 not 8/14</v>
          </cell>
          <cell r="J166">
            <v>1083</v>
          </cell>
          <cell r="K166" t="str">
            <v>PO1</v>
          </cell>
          <cell r="L166" t="str">
            <v>G1</v>
          </cell>
          <cell r="M166">
            <v>19</v>
          </cell>
          <cell r="N166">
            <v>3</v>
          </cell>
          <cell r="O166">
            <v>42964</v>
          </cell>
          <cell r="P166" t="str">
            <v>F</v>
          </cell>
          <cell r="Q166" t="str">
            <v>A</v>
          </cell>
          <cell r="R166">
            <v>5</v>
          </cell>
          <cell r="S166"/>
        </row>
        <row r="167">
          <cell r="A167" t="str">
            <v>1168-42964</v>
          </cell>
          <cell r="B167" t="str">
            <v>2017MLBS_164</v>
          </cell>
          <cell r="C167" t="e">
            <v>#N/A</v>
          </cell>
          <cell r="D167">
            <v>43178</v>
          </cell>
          <cell r="E167" t="str">
            <v>F9</v>
          </cell>
          <cell r="F167">
            <v>2</v>
          </cell>
          <cell r="G167">
            <v>3</v>
          </cell>
          <cell r="H167">
            <v>2</v>
          </cell>
          <cell r="I167" t="str">
            <v>8/17 not 8/14</v>
          </cell>
          <cell r="J167">
            <v>1168</v>
          </cell>
          <cell r="K167" t="str">
            <v>PO2</v>
          </cell>
          <cell r="L167" t="str">
            <v>A3</v>
          </cell>
          <cell r="M167">
            <v>20</v>
          </cell>
          <cell r="N167">
            <v>3</v>
          </cell>
          <cell r="O167">
            <v>42964</v>
          </cell>
          <cell r="P167" t="str">
            <v>F</v>
          </cell>
          <cell r="Q167" t="str">
            <v>A</v>
          </cell>
          <cell r="R167">
            <v>5</v>
          </cell>
          <cell r="S167"/>
        </row>
        <row r="168">
          <cell r="A168" t="str">
            <v>1088-42964</v>
          </cell>
          <cell r="B168" t="str">
            <v>2017MLBS_165</v>
          </cell>
          <cell r="C168" t="e">
            <v>#N/A</v>
          </cell>
          <cell r="D168">
            <v>43178</v>
          </cell>
          <cell r="E168" t="str">
            <v>G9</v>
          </cell>
          <cell r="F168">
            <v>2</v>
          </cell>
          <cell r="G168">
            <v>3</v>
          </cell>
          <cell r="H168">
            <v>3</v>
          </cell>
          <cell r="I168" t="str">
            <v>8/17 not 8/14</v>
          </cell>
          <cell r="J168">
            <v>1088</v>
          </cell>
          <cell r="K168" t="str">
            <v>PO2</v>
          </cell>
          <cell r="L168" t="str">
            <v>C2</v>
          </cell>
          <cell r="M168">
            <v>21</v>
          </cell>
          <cell r="N168">
            <v>3</v>
          </cell>
          <cell r="O168">
            <v>42964</v>
          </cell>
          <cell r="P168" t="str">
            <v>F</v>
          </cell>
          <cell r="Q168" t="str">
            <v>C</v>
          </cell>
          <cell r="R168">
            <v>5</v>
          </cell>
          <cell r="S168"/>
        </row>
        <row r="169">
          <cell r="A169" t="str">
            <v>1228-42964</v>
          </cell>
          <cell r="B169" t="str">
            <v>2017MLBS_161</v>
          </cell>
          <cell r="C169" t="e">
            <v>#N/A</v>
          </cell>
          <cell r="D169">
            <v>43178</v>
          </cell>
          <cell r="E169" t="str">
            <v>H9</v>
          </cell>
          <cell r="F169">
            <v>2</v>
          </cell>
          <cell r="G169">
            <v>3</v>
          </cell>
          <cell r="H169">
            <v>4</v>
          </cell>
          <cell r="I169" t="str">
            <v>8/17 not 8/14</v>
          </cell>
          <cell r="J169">
            <v>1228</v>
          </cell>
          <cell r="K169" t="str">
            <v>PO2</v>
          </cell>
          <cell r="L169" t="str">
            <v>C8</v>
          </cell>
          <cell r="M169">
            <v>22</v>
          </cell>
          <cell r="N169">
            <v>3</v>
          </cell>
          <cell r="O169">
            <v>42964</v>
          </cell>
          <cell r="P169" t="str">
            <v>F</v>
          </cell>
          <cell r="Q169" t="str">
            <v>C</v>
          </cell>
          <cell r="R169">
            <v>5</v>
          </cell>
          <cell r="S169"/>
        </row>
        <row r="170">
          <cell r="A170" t="str">
            <v>1170-42964</v>
          </cell>
          <cell r="B170" t="str">
            <v>2017MLBS_167</v>
          </cell>
          <cell r="C170" t="e">
            <v>#N/A</v>
          </cell>
          <cell r="D170">
            <v>43178</v>
          </cell>
          <cell r="E170" t="str">
            <v>A10</v>
          </cell>
          <cell r="F170">
            <v>2</v>
          </cell>
          <cell r="G170">
            <v>3</v>
          </cell>
          <cell r="H170">
            <v>5</v>
          </cell>
          <cell r="I170" t="str">
            <v>8/17 not 8/14</v>
          </cell>
          <cell r="J170">
            <v>1170</v>
          </cell>
          <cell r="K170" t="str">
            <v>PO2</v>
          </cell>
          <cell r="L170" t="str">
            <v>D1</v>
          </cell>
          <cell r="M170">
            <v>23</v>
          </cell>
          <cell r="N170">
            <v>3</v>
          </cell>
          <cell r="O170">
            <v>42964</v>
          </cell>
          <cell r="P170" t="str">
            <v>M</v>
          </cell>
          <cell r="Q170" t="str">
            <v>C</v>
          </cell>
          <cell r="R170">
            <v>5</v>
          </cell>
          <cell r="S170"/>
        </row>
        <row r="171">
          <cell r="A171"/>
          <cell r="B171" t="str">
            <v>2017MLBS_168</v>
          </cell>
          <cell r="C171" t="e">
            <v>#N/A</v>
          </cell>
          <cell r="D171">
            <v>43178</v>
          </cell>
          <cell r="E171" t="str">
            <v>B10</v>
          </cell>
          <cell r="F171">
            <v>2</v>
          </cell>
          <cell r="G171">
            <v>3</v>
          </cell>
          <cell r="H171">
            <v>6</v>
          </cell>
          <cell r="I171"/>
          <cell r="J171" t="str">
            <v>Extraction control blank</v>
          </cell>
          <cell r="K171"/>
          <cell r="L171"/>
          <cell r="M171">
            <v>24</v>
          </cell>
          <cell r="N171">
            <v>3</v>
          </cell>
          <cell r="O171"/>
          <cell r="P171"/>
          <cell r="Q171"/>
          <cell r="R171"/>
          <cell r="S171"/>
        </row>
        <row r="172">
          <cell r="A172" t="str">
            <v>1233-42964</v>
          </cell>
          <cell r="B172" t="str">
            <v>2017MLBS_169</v>
          </cell>
          <cell r="C172" t="e">
            <v>#N/A</v>
          </cell>
          <cell r="D172">
            <v>43179</v>
          </cell>
          <cell r="E172" t="str">
            <v>C10</v>
          </cell>
          <cell r="F172">
            <v>2</v>
          </cell>
          <cell r="G172">
            <v>3</v>
          </cell>
          <cell r="H172">
            <v>7</v>
          </cell>
          <cell r="I172" t="str">
            <v>8/17 not 8/14</v>
          </cell>
          <cell r="J172">
            <v>1233</v>
          </cell>
          <cell r="K172" t="str">
            <v>PO2</v>
          </cell>
          <cell r="L172" t="str">
            <v>F3</v>
          </cell>
          <cell r="M172">
            <v>25</v>
          </cell>
          <cell r="N172">
            <v>3</v>
          </cell>
          <cell r="O172">
            <v>42964</v>
          </cell>
          <cell r="P172" t="str">
            <v>F</v>
          </cell>
          <cell r="Q172" t="str">
            <v>A</v>
          </cell>
          <cell r="R172">
            <v>5</v>
          </cell>
          <cell r="S172"/>
        </row>
        <row r="173">
          <cell r="A173" t="str">
            <v>1069-42965</v>
          </cell>
          <cell r="B173" t="str">
            <v>2017MLBS_170</v>
          </cell>
          <cell r="C173" t="e">
            <v>#N/A</v>
          </cell>
          <cell r="D173">
            <v>43179</v>
          </cell>
          <cell r="E173" t="str">
            <v>D10</v>
          </cell>
          <cell r="F173">
            <v>2</v>
          </cell>
          <cell r="G173">
            <v>3</v>
          </cell>
          <cell r="H173">
            <v>8</v>
          </cell>
          <cell r="I173" t="str">
            <v>8/18 not 8/15</v>
          </cell>
          <cell r="J173">
            <v>1069</v>
          </cell>
          <cell r="K173" t="str">
            <v>PO1</v>
          </cell>
          <cell r="L173" t="str">
            <v>A6</v>
          </cell>
          <cell r="M173">
            <v>26</v>
          </cell>
          <cell r="N173">
            <v>3</v>
          </cell>
          <cell r="O173">
            <v>42965</v>
          </cell>
          <cell r="P173" t="str">
            <v>M</v>
          </cell>
          <cell r="Q173" t="str">
            <v>A</v>
          </cell>
          <cell r="R173">
            <v>5</v>
          </cell>
          <cell r="S173"/>
        </row>
        <row r="174">
          <cell r="A174" t="str">
            <v>1225-42965</v>
          </cell>
          <cell r="B174" t="str">
            <v>2017MLBS_171</v>
          </cell>
          <cell r="C174" t="e">
            <v>#N/A</v>
          </cell>
          <cell r="D174">
            <v>43179</v>
          </cell>
          <cell r="E174" t="str">
            <v>E10</v>
          </cell>
          <cell r="F174">
            <v>2</v>
          </cell>
          <cell r="G174">
            <v>3</v>
          </cell>
          <cell r="H174">
            <v>9</v>
          </cell>
          <cell r="I174" t="str">
            <v>8/18 not 8/15</v>
          </cell>
          <cell r="J174">
            <v>1225</v>
          </cell>
          <cell r="K174" t="str">
            <v>PO2</v>
          </cell>
          <cell r="L174" t="str">
            <v>B1</v>
          </cell>
          <cell r="M174">
            <v>27</v>
          </cell>
          <cell r="N174">
            <v>3</v>
          </cell>
          <cell r="O174">
            <v>42965</v>
          </cell>
          <cell r="P174" t="str">
            <v>F</v>
          </cell>
          <cell r="Q174" t="str">
            <v>A</v>
          </cell>
          <cell r="R174">
            <v>5</v>
          </cell>
          <cell r="S174"/>
        </row>
        <row r="175">
          <cell r="A175" t="str">
            <v>1216-42972</v>
          </cell>
          <cell r="B175" t="str">
            <v>2017MLBS_172</v>
          </cell>
          <cell r="C175" t="e">
            <v>#N/A</v>
          </cell>
          <cell r="D175">
            <v>43179</v>
          </cell>
          <cell r="E175" t="str">
            <v>F10</v>
          </cell>
          <cell r="F175">
            <v>2</v>
          </cell>
          <cell r="G175">
            <v>3</v>
          </cell>
          <cell r="H175">
            <v>10</v>
          </cell>
          <cell r="I175"/>
          <cell r="J175">
            <v>1216</v>
          </cell>
          <cell r="K175" t="str">
            <v>SP1</v>
          </cell>
          <cell r="L175" t="str">
            <v>A5</v>
          </cell>
          <cell r="M175">
            <v>28</v>
          </cell>
          <cell r="N175">
            <v>3</v>
          </cell>
          <cell r="O175">
            <v>42972</v>
          </cell>
          <cell r="P175" t="str">
            <v>M</v>
          </cell>
          <cell r="Q175" t="str">
            <v>C</v>
          </cell>
          <cell r="R175">
            <v>6</v>
          </cell>
          <cell r="S175"/>
        </row>
        <row r="176">
          <cell r="A176" t="str">
            <v>1059-42972</v>
          </cell>
          <cell r="B176" t="str">
            <v>2017MLBS_173</v>
          </cell>
          <cell r="C176" t="e">
            <v>#N/A</v>
          </cell>
          <cell r="D176">
            <v>43179</v>
          </cell>
          <cell r="E176" t="str">
            <v>G10</v>
          </cell>
          <cell r="F176">
            <v>2</v>
          </cell>
          <cell r="G176">
            <v>3</v>
          </cell>
          <cell r="H176">
            <v>11</v>
          </cell>
          <cell r="I176"/>
          <cell r="J176">
            <v>1059</v>
          </cell>
          <cell r="K176" t="str">
            <v>SP1</v>
          </cell>
          <cell r="L176" t="str">
            <v>B5</v>
          </cell>
          <cell r="M176">
            <v>29</v>
          </cell>
          <cell r="N176">
            <v>3</v>
          </cell>
          <cell r="O176">
            <v>42972</v>
          </cell>
          <cell r="P176" t="str">
            <v>F</v>
          </cell>
          <cell r="Q176" t="str">
            <v>A</v>
          </cell>
          <cell r="R176">
            <v>6</v>
          </cell>
          <cell r="S176"/>
        </row>
        <row r="177">
          <cell r="A177" t="str">
            <v>1035-42972</v>
          </cell>
          <cell r="B177" t="str">
            <v>2017MLBS_174</v>
          </cell>
          <cell r="C177" t="e">
            <v>#N/A</v>
          </cell>
          <cell r="D177">
            <v>43179</v>
          </cell>
          <cell r="E177" t="str">
            <v>H10</v>
          </cell>
          <cell r="F177">
            <v>2</v>
          </cell>
          <cell r="G177">
            <v>3</v>
          </cell>
          <cell r="H177">
            <v>12</v>
          </cell>
          <cell r="I177"/>
          <cell r="J177">
            <v>1035</v>
          </cell>
          <cell r="K177" t="str">
            <v>SP1</v>
          </cell>
          <cell r="L177" t="str">
            <v>C7</v>
          </cell>
          <cell r="M177">
            <v>30</v>
          </cell>
          <cell r="N177">
            <v>3</v>
          </cell>
          <cell r="O177">
            <v>42972</v>
          </cell>
          <cell r="P177" t="str">
            <v>F</v>
          </cell>
          <cell r="Q177" t="str">
            <v>C</v>
          </cell>
          <cell r="R177">
            <v>6</v>
          </cell>
          <cell r="S177"/>
        </row>
        <row r="178">
          <cell r="A178" t="str">
            <v>1036-42972</v>
          </cell>
          <cell r="B178" t="str">
            <v>2017MLBS_175</v>
          </cell>
          <cell r="C178" t="e">
            <v>#N/A</v>
          </cell>
          <cell r="D178">
            <v>43179</v>
          </cell>
          <cell r="E178" t="str">
            <v>A11</v>
          </cell>
          <cell r="F178">
            <v>2</v>
          </cell>
          <cell r="G178">
            <v>3</v>
          </cell>
          <cell r="H178">
            <v>13</v>
          </cell>
          <cell r="I178"/>
          <cell r="J178">
            <v>1036</v>
          </cell>
          <cell r="K178" t="str">
            <v>SP1</v>
          </cell>
          <cell r="L178" t="str">
            <v>F1</v>
          </cell>
          <cell r="M178">
            <v>31</v>
          </cell>
          <cell r="N178">
            <v>3</v>
          </cell>
          <cell r="O178">
            <v>42972</v>
          </cell>
          <cell r="P178" t="str">
            <v>F</v>
          </cell>
          <cell r="Q178" t="str">
            <v>A</v>
          </cell>
          <cell r="R178">
            <v>6</v>
          </cell>
          <cell r="S178"/>
        </row>
        <row r="179">
          <cell r="A179" t="str">
            <v>1215-42972</v>
          </cell>
          <cell r="B179" t="str">
            <v>2017MLBS_176</v>
          </cell>
          <cell r="C179" t="e">
            <v>#N/A</v>
          </cell>
          <cell r="D179">
            <v>43179</v>
          </cell>
          <cell r="E179" t="str">
            <v>B11</v>
          </cell>
          <cell r="F179">
            <v>2</v>
          </cell>
          <cell r="G179">
            <v>3</v>
          </cell>
          <cell r="H179">
            <v>14</v>
          </cell>
          <cell r="I179"/>
          <cell r="J179">
            <v>1215</v>
          </cell>
          <cell r="K179" t="str">
            <v>SP1</v>
          </cell>
          <cell r="L179" t="str">
            <v>G1</v>
          </cell>
          <cell r="M179">
            <v>32</v>
          </cell>
          <cell r="N179">
            <v>3</v>
          </cell>
          <cell r="O179">
            <v>42972</v>
          </cell>
          <cell r="P179" t="str">
            <v>F</v>
          </cell>
          <cell r="Q179" t="str">
            <v>A</v>
          </cell>
          <cell r="R179">
            <v>6</v>
          </cell>
          <cell r="S179"/>
        </row>
        <row r="180">
          <cell r="A180" t="str">
            <v>1052-42972</v>
          </cell>
          <cell r="B180" t="str">
            <v>2017MLBS_177</v>
          </cell>
          <cell r="C180" t="e">
            <v>#N/A</v>
          </cell>
          <cell r="D180">
            <v>43179</v>
          </cell>
          <cell r="E180" t="str">
            <v>C11</v>
          </cell>
          <cell r="F180">
            <v>2</v>
          </cell>
          <cell r="G180">
            <v>3</v>
          </cell>
          <cell r="H180">
            <v>15</v>
          </cell>
          <cell r="I180"/>
          <cell r="J180">
            <v>1052</v>
          </cell>
          <cell r="K180" t="str">
            <v>SP1</v>
          </cell>
          <cell r="L180" t="str">
            <v>H2</v>
          </cell>
          <cell r="M180">
            <v>33</v>
          </cell>
          <cell r="N180">
            <v>3</v>
          </cell>
          <cell r="O180">
            <v>42972</v>
          </cell>
          <cell r="P180" t="str">
            <v>F</v>
          </cell>
          <cell r="Q180" t="str">
            <v>C</v>
          </cell>
          <cell r="R180">
            <v>6</v>
          </cell>
          <cell r="S180"/>
        </row>
        <row r="181">
          <cell r="A181" t="str">
            <v>1269-42972</v>
          </cell>
          <cell r="B181" t="str">
            <v>2017MLBS_178</v>
          </cell>
          <cell r="C181" t="e">
            <v>#N/A</v>
          </cell>
          <cell r="D181">
            <v>43179</v>
          </cell>
          <cell r="E181" t="str">
            <v>D11</v>
          </cell>
          <cell r="F181">
            <v>2</v>
          </cell>
          <cell r="G181">
            <v>3</v>
          </cell>
          <cell r="H181">
            <v>16</v>
          </cell>
          <cell r="I181"/>
          <cell r="J181">
            <v>1269</v>
          </cell>
          <cell r="K181" t="str">
            <v>SP1</v>
          </cell>
          <cell r="L181" t="str">
            <v>H5</v>
          </cell>
          <cell r="M181">
            <v>34</v>
          </cell>
          <cell r="N181">
            <v>3</v>
          </cell>
          <cell r="O181">
            <v>42972</v>
          </cell>
          <cell r="P181" t="str">
            <v>M</v>
          </cell>
          <cell r="Q181" t="str">
            <v>C</v>
          </cell>
          <cell r="R181">
            <v>6</v>
          </cell>
          <cell r="S181"/>
        </row>
        <row r="182">
          <cell r="A182" t="str">
            <v>1271-42972</v>
          </cell>
          <cell r="B182" t="str">
            <v>2017MLBS_179</v>
          </cell>
          <cell r="C182" t="e">
            <v>#N/A</v>
          </cell>
          <cell r="D182">
            <v>43179</v>
          </cell>
          <cell r="E182" t="str">
            <v>E11</v>
          </cell>
          <cell r="F182">
            <v>2</v>
          </cell>
          <cell r="G182">
            <v>3</v>
          </cell>
          <cell r="H182">
            <v>17</v>
          </cell>
          <cell r="I182"/>
          <cell r="J182">
            <v>1271</v>
          </cell>
          <cell r="K182" t="str">
            <v>SP1</v>
          </cell>
          <cell r="L182" t="str">
            <v>H7</v>
          </cell>
          <cell r="M182">
            <v>35</v>
          </cell>
          <cell r="N182">
            <v>3</v>
          </cell>
          <cell r="O182">
            <v>42972</v>
          </cell>
          <cell r="P182" t="str">
            <v>M</v>
          </cell>
          <cell r="Q182" t="str">
            <v>C</v>
          </cell>
          <cell r="R182">
            <v>6</v>
          </cell>
          <cell r="S182"/>
        </row>
        <row r="183">
          <cell r="A183" t="str">
            <v>1142-42972</v>
          </cell>
          <cell r="B183" t="str">
            <v>2017MLBS_180</v>
          </cell>
          <cell r="C183" t="e">
            <v>#N/A</v>
          </cell>
          <cell r="D183">
            <v>43179</v>
          </cell>
          <cell r="E183" t="str">
            <v>F11</v>
          </cell>
          <cell r="F183">
            <v>2</v>
          </cell>
          <cell r="G183">
            <v>3</v>
          </cell>
          <cell r="H183">
            <v>18</v>
          </cell>
          <cell r="I183"/>
          <cell r="J183">
            <v>1142</v>
          </cell>
          <cell r="K183" t="str">
            <v>SP2</v>
          </cell>
          <cell r="L183" t="str">
            <v>A3</v>
          </cell>
          <cell r="M183">
            <v>36</v>
          </cell>
          <cell r="N183">
            <v>3</v>
          </cell>
          <cell r="O183">
            <v>42972</v>
          </cell>
          <cell r="P183" t="str">
            <v>M</v>
          </cell>
          <cell r="Q183" t="str">
            <v>C</v>
          </cell>
          <cell r="R183">
            <v>6</v>
          </cell>
          <cell r="S183"/>
        </row>
        <row r="184">
          <cell r="A184" t="str">
            <v>1148-42972</v>
          </cell>
          <cell r="B184" t="str">
            <v>2017MLBS_181</v>
          </cell>
          <cell r="C184" t="e">
            <v>#N/A</v>
          </cell>
          <cell r="D184">
            <v>43179</v>
          </cell>
          <cell r="E184" t="str">
            <v>G11</v>
          </cell>
          <cell r="F184">
            <v>2</v>
          </cell>
          <cell r="G184">
            <v>3</v>
          </cell>
          <cell r="H184">
            <v>19</v>
          </cell>
          <cell r="I184"/>
          <cell r="J184">
            <v>1148</v>
          </cell>
          <cell r="K184" t="str">
            <v>SP2</v>
          </cell>
          <cell r="L184" t="str">
            <v>A8</v>
          </cell>
          <cell r="M184">
            <v>37</v>
          </cell>
          <cell r="N184">
            <v>3</v>
          </cell>
          <cell r="O184">
            <v>42972</v>
          </cell>
          <cell r="P184" t="str">
            <v>M</v>
          </cell>
          <cell r="Q184" t="str">
            <v>C</v>
          </cell>
          <cell r="R184">
            <v>6</v>
          </cell>
          <cell r="S184"/>
        </row>
        <row r="185">
          <cell r="A185" t="str">
            <v>1145-42972</v>
          </cell>
          <cell r="B185" t="str">
            <v>2017MLBS_182</v>
          </cell>
          <cell r="C185" t="e">
            <v>#N/A</v>
          </cell>
          <cell r="D185">
            <v>43179</v>
          </cell>
          <cell r="E185" t="str">
            <v>H11</v>
          </cell>
          <cell r="F185">
            <v>2</v>
          </cell>
          <cell r="G185">
            <v>3</v>
          </cell>
          <cell r="H185">
            <v>20</v>
          </cell>
          <cell r="I185"/>
          <cell r="J185">
            <v>1145</v>
          </cell>
          <cell r="K185" t="str">
            <v>SP2</v>
          </cell>
          <cell r="L185" t="str">
            <v>B6</v>
          </cell>
          <cell r="M185">
            <v>38</v>
          </cell>
          <cell r="N185">
            <v>3</v>
          </cell>
          <cell r="O185">
            <v>42972</v>
          </cell>
          <cell r="P185" t="str">
            <v>M</v>
          </cell>
          <cell r="Q185" t="str">
            <v>A</v>
          </cell>
          <cell r="R185">
            <v>6</v>
          </cell>
          <cell r="S185"/>
        </row>
        <row r="186">
          <cell r="A186" t="str">
            <v>1045-42972</v>
          </cell>
          <cell r="B186" t="str">
            <v>2017MLBS_183</v>
          </cell>
          <cell r="C186" t="e">
            <v>#N/A</v>
          </cell>
          <cell r="D186">
            <v>43179</v>
          </cell>
          <cell r="E186" t="str">
            <v>A12</v>
          </cell>
          <cell r="F186">
            <v>2</v>
          </cell>
          <cell r="G186">
            <v>3</v>
          </cell>
          <cell r="H186">
            <v>21</v>
          </cell>
          <cell r="I186"/>
          <cell r="J186">
            <v>1045</v>
          </cell>
          <cell r="K186" t="str">
            <v>SP2</v>
          </cell>
          <cell r="L186" t="str">
            <v>C5</v>
          </cell>
          <cell r="M186">
            <v>39</v>
          </cell>
          <cell r="N186">
            <v>3</v>
          </cell>
          <cell r="O186">
            <v>42972</v>
          </cell>
          <cell r="P186" t="str">
            <v>M</v>
          </cell>
          <cell r="Q186" t="str">
            <v>A</v>
          </cell>
          <cell r="R186">
            <v>6</v>
          </cell>
          <cell r="S186"/>
        </row>
        <row r="187">
          <cell r="A187" t="str">
            <v>1055-42972</v>
          </cell>
          <cell r="B187" t="str">
            <v>2017MLBS_184</v>
          </cell>
          <cell r="C187" t="e">
            <v>#N/A</v>
          </cell>
          <cell r="D187">
            <v>43179</v>
          </cell>
          <cell r="E187" t="str">
            <v>B12</v>
          </cell>
          <cell r="F187">
            <v>2</v>
          </cell>
          <cell r="G187">
            <v>3</v>
          </cell>
          <cell r="H187">
            <v>22</v>
          </cell>
          <cell r="I187"/>
          <cell r="J187">
            <v>1055</v>
          </cell>
          <cell r="K187" t="str">
            <v>SP2</v>
          </cell>
          <cell r="L187" t="str">
            <v>D1</v>
          </cell>
          <cell r="M187">
            <v>40</v>
          </cell>
          <cell r="N187">
            <v>3</v>
          </cell>
          <cell r="O187">
            <v>42972</v>
          </cell>
          <cell r="P187" t="str">
            <v>F</v>
          </cell>
          <cell r="Q187" t="str">
            <v>A</v>
          </cell>
          <cell r="R187">
            <v>6</v>
          </cell>
          <cell r="S187"/>
        </row>
        <row r="188">
          <cell r="A188" t="str">
            <v>1218-42972</v>
          </cell>
          <cell r="B188" t="str">
            <v>2017MLBS_185</v>
          </cell>
          <cell r="C188" t="e">
            <v>#N/A</v>
          </cell>
          <cell r="D188">
            <v>43179</v>
          </cell>
          <cell r="E188" t="str">
            <v>C12</v>
          </cell>
          <cell r="F188">
            <v>2</v>
          </cell>
          <cell r="G188">
            <v>3</v>
          </cell>
          <cell r="H188">
            <v>23</v>
          </cell>
          <cell r="I188"/>
          <cell r="J188">
            <v>1218</v>
          </cell>
          <cell r="K188" t="str">
            <v>SP2</v>
          </cell>
          <cell r="L188" t="str">
            <v>D2</v>
          </cell>
          <cell r="M188">
            <v>41</v>
          </cell>
          <cell r="N188">
            <v>3</v>
          </cell>
          <cell r="O188">
            <v>42972</v>
          </cell>
          <cell r="P188" t="str">
            <v>F</v>
          </cell>
          <cell r="Q188" t="str">
            <v>C</v>
          </cell>
          <cell r="R188">
            <v>6</v>
          </cell>
          <cell r="S188"/>
        </row>
        <row r="189">
          <cell r="A189" t="str">
            <v>1146-42972</v>
          </cell>
          <cell r="B189" t="str">
            <v>2017MLBS_186</v>
          </cell>
          <cell r="C189" t="e">
            <v>#N/A</v>
          </cell>
          <cell r="D189">
            <v>43179</v>
          </cell>
          <cell r="E189" t="str">
            <v>D12</v>
          </cell>
          <cell r="F189">
            <v>2</v>
          </cell>
          <cell r="G189">
            <v>3</v>
          </cell>
          <cell r="H189">
            <v>24</v>
          </cell>
          <cell r="I189"/>
          <cell r="J189">
            <v>1146</v>
          </cell>
          <cell r="K189" t="str">
            <v>SP2</v>
          </cell>
          <cell r="L189" t="str">
            <v>D6</v>
          </cell>
          <cell r="M189">
            <v>42</v>
          </cell>
          <cell r="N189">
            <v>3</v>
          </cell>
          <cell r="O189">
            <v>42972</v>
          </cell>
          <cell r="P189" t="str">
            <v>F</v>
          </cell>
          <cell r="Q189" t="str">
            <v>C</v>
          </cell>
          <cell r="R189">
            <v>6</v>
          </cell>
          <cell r="S189"/>
        </row>
        <row r="190">
          <cell r="A190" t="str">
            <v>1272-42972</v>
          </cell>
          <cell r="B190" t="str">
            <v>2017MLBS_187</v>
          </cell>
          <cell r="C190" t="e">
            <v>#N/A</v>
          </cell>
          <cell r="D190">
            <v>43179</v>
          </cell>
          <cell r="E190" t="str">
            <v>E12</v>
          </cell>
          <cell r="F190">
            <v>2</v>
          </cell>
          <cell r="G190">
            <v>3</v>
          </cell>
          <cell r="H190">
            <v>25</v>
          </cell>
          <cell r="I190"/>
          <cell r="J190">
            <v>1272</v>
          </cell>
          <cell r="K190" t="str">
            <v>SP2</v>
          </cell>
          <cell r="L190" t="str">
            <v>E1</v>
          </cell>
          <cell r="M190">
            <v>43</v>
          </cell>
          <cell r="N190">
            <v>3</v>
          </cell>
          <cell r="O190">
            <v>42972</v>
          </cell>
          <cell r="P190" t="str">
            <v>M</v>
          </cell>
          <cell r="Q190" t="str">
            <v>A</v>
          </cell>
          <cell r="R190">
            <v>6</v>
          </cell>
          <cell r="S190"/>
        </row>
        <row r="191">
          <cell r="A191" t="str">
            <v>1056-42972</v>
          </cell>
          <cell r="B191" t="str">
            <v>2017MLBS_188</v>
          </cell>
          <cell r="C191" t="e">
            <v>#N/A</v>
          </cell>
          <cell r="D191">
            <v>43179</v>
          </cell>
          <cell r="E191" t="str">
            <v>F12</v>
          </cell>
          <cell r="F191">
            <v>2</v>
          </cell>
          <cell r="G191">
            <v>3</v>
          </cell>
          <cell r="H191">
            <v>26</v>
          </cell>
          <cell r="I191"/>
          <cell r="J191">
            <v>1056</v>
          </cell>
          <cell r="K191" t="str">
            <v>SP2</v>
          </cell>
          <cell r="L191" t="str">
            <v>G2</v>
          </cell>
          <cell r="M191">
            <v>44</v>
          </cell>
          <cell r="N191">
            <v>3</v>
          </cell>
          <cell r="O191">
            <v>42972</v>
          </cell>
          <cell r="P191" t="str">
            <v>F</v>
          </cell>
          <cell r="Q191" t="str">
            <v>C</v>
          </cell>
          <cell r="R191">
            <v>6</v>
          </cell>
          <cell r="S191"/>
        </row>
        <row r="192">
          <cell r="A192"/>
          <cell r="B192" t="str">
            <v>PCR control</v>
          </cell>
          <cell r="C192" t="e">
            <v>#N/A</v>
          </cell>
          <cell r="D192" t="str">
            <v>PCR control neg</v>
          </cell>
          <cell r="E192" t="str">
            <v>G12</v>
          </cell>
          <cell r="F192">
            <v>2</v>
          </cell>
          <cell r="G192">
            <v>3</v>
          </cell>
          <cell r="H192"/>
          <cell r="I192"/>
          <cell r="J192"/>
          <cell r="K192"/>
          <cell r="L192"/>
          <cell r="M192"/>
          <cell r="N192"/>
          <cell r="O192"/>
          <cell r="P192"/>
          <cell r="Q192"/>
          <cell r="R192"/>
          <cell r="S192"/>
        </row>
        <row r="193">
          <cell r="A193"/>
          <cell r="B193" t="str">
            <v>PCR control</v>
          </cell>
          <cell r="C193" t="e">
            <v>#N/A</v>
          </cell>
          <cell r="D193" t="str">
            <v>PCR control pos</v>
          </cell>
          <cell r="E193" t="str">
            <v>H12</v>
          </cell>
          <cell r="F193">
            <v>2</v>
          </cell>
          <cell r="G193">
            <v>3</v>
          </cell>
          <cell r="H193"/>
          <cell r="I193"/>
          <cell r="J193"/>
          <cell r="K193"/>
          <cell r="L193"/>
          <cell r="M193"/>
          <cell r="N193"/>
          <cell r="O193"/>
          <cell r="P193"/>
          <cell r="Q193"/>
          <cell r="R193"/>
          <cell r="S193"/>
        </row>
        <row r="194">
          <cell r="A194" t="str">
            <v>1274-42972</v>
          </cell>
          <cell r="B194" t="str">
            <v>2017MLBS_189</v>
          </cell>
          <cell r="C194" t="e">
            <v>#N/A</v>
          </cell>
          <cell r="D194">
            <v>43179</v>
          </cell>
          <cell r="E194" t="str">
            <v>A1</v>
          </cell>
          <cell r="F194">
            <v>3</v>
          </cell>
          <cell r="G194">
            <v>3</v>
          </cell>
          <cell r="H194">
            <v>27</v>
          </cell>
          <cell r="I194"/>
          <cell r="J194">
            <v>1274</v>
          </cell>
          <cell r="K194" t="str">
            <v>SP2</v>
          </cell>
          <cell r="L194" t="str">
            <v>G5</v>
          </cell>
          <cell r="M194">
            <v>45</v>
          </cell>
          <cell r="N194">
            <v>3</v>
          </cell>
          <cell r="O194">
            <v>42972</v>
          </cell>
          <cell r="P194" t="str">
            <v>F</v>
          </cell>
          <cell r="Q194" t="str">
            <v>A</v>
          </cell>
          <cell r="R194">
            <v>6</v>
          </cell>
        </row>
        <row r="195">
          <cell r="A195" t="str">
            <v>1212-42972</v>
          </cell>
          <cell r="B195" t="str">
            <v>2017MLBS_190</v>
          </cell>
          <cell r="C195" t="e">
            <v>#N/A</v>
          </cell>
          <cell r="D195">
            <v>43179</v>
          </cell>
          <cell r="E195" t="str">
            <v>B1</v>
          </cell>
          <cell r="F195">
            <v>3</v>
          </cell>
          <cell r="G195">
            <v>3</v>
          </cell>
          <cell r="H195">
            <v>28</v>
          </cell>
          <cell r="I195"/>
          <cell r="J195">
            <v>1212</v>
          </cell>
          <cell r="K195" t="str">
            <v>SP2</v>
          </cell>
          <cell r="L195" t="str">
            <v>G8</v>
          </cell>
          <cell r="M195">
            <v>46</v>
          </cell>
          <cell r="N195">
            <v>3</v>
          </cell>
          <cell r="O195">
            <v>42972</v>
          </cell>
          <cell r="P195" t="str">
            <v>F</v>
          </cell>
          <cell r="Q195" t="str">
            <v>C</v>
          </cell>
          <cell r="R195">
            <v>6</v>
          </cell>
          <cell r="S195"/>
        </row>
        <row r="196">
          <cell r="A196" t="str">
            <v>1280-42972</v>
          </cell>
          <cell r="B196" t="str">
            <v>2017MLBS_191</v>
          </cell>
          <cell r="C196" t="e">
            <v>#N/A</v>
          </cell>
          <cell r="D196">
            <v>43179</v>
          </cell>
          <cell r="E196" t="str">
            <v>C1</v>
          </cell>
          <cell r="F196">
            <v>3</v>
          </cell>
          <cell r="G196">
            <v>3</v>
          </cell>
          <cell r="H196">
            <v>29</v>
          </cell>
          <cell r="I196"/>
          <cell r="J196">
            <v>1280</v>
          </cell>
          <cell r="K196" t="str">
            <v>SP2</v>
          </cell>
          <cell r="L196" t="str">
            <v>H2</v>
          </cell>
          <cell r="M196">
            <v>48</v>
          </cell>
          <cell r="N196">
            <v>3</v>
          </cell>
          <cell r="O196">
            <v>42972</v>
          </cell>
          <cell r="P196" t="str">
            <v>M</v>
          </cell>
          <cell r="Q196" t="str">
            <v>A</v>
          </cell>
          <cell r="R196">
            <v>6</v>
          </cell>
          <cell r="S196"/>
        </row>
        <row r="197">
          <cell r="A197"/>
          <cell r="B197" t="str">
            <v>2017MLBS_192</v>
          </cell>
          <cell r="C197" t="e">
            <v>#N/A</v>
          </cell>
          <cell r="D197">
            <v>43179</v>
          </cell>
          <cell r="E197" t="str">
            <v>D1</v>
          </cell>
          <cell r="F197">
            <v>3</v>
          </cell>
          <cell r="G197">
            <v>3</v>
          </cell>
          <cell r="H197">
            <v>30</v>
          </cell>
          <cell r="I197"/>
          <cell r="J197" t="str">
            <v>Extraction control blank</v>
          </cell>
          <cell r="K197"/>
          <cell r="L197"/>
          <cell r="M197">
            <v>47</v>
          </cell>
          <cell r="N197">
            <v>3</v>
          </cell>
          <cell r="O197"/>
          <cell r="P197"/>
          <cell r="Q197"/>
          <cell r="R197"/>
          <cell r="S197"/>
        </row>
        <row r="198">
          <cell r="A198" t="str">
            <v>1276-42973</v>
          </cell>
          <cell r="B198" t="str">
            <v>2017MLBS_193</v>
          </cell>
          <cell r="C198" t="e">
            <v>#N/A</v>
          </cell>
          <cell r="D198">
            <v>43179</v>
          </cell>
          <cell r="E198" t="str">
            <v>E1</v>
          </cell>
          <cell r="F198">
            <v>3</v>
          </cell>
          <cell r="G198">
            <v>3</v>
          </cell>
          <cell r="H198">
            <v>31</v>
          </cell>
          <cell r="I198"/>
          <cell r="J198">
            <v>1276</v>
          </cell>
          <cell r="K198" t="str">
            <v>SP1</v>
          </cell>
          <cell r="L198" t="str">
            <v>B7</v>
          </cell>
          <cell r="M198">
            <v>49</v>
          </cell>
          <cell r="N198">
            <v>3</v>
          </cell>
          <cell r="O198">
            <v>42973</v>
          </cell>
          <cell r="P198" t="str">
            <v>F</v>
          </cell>
          <cell r="Q198" t="str">
            <v>A</v>
          </cell>
          <cell r="R198">
            <v>6</v>
          </cell>
          <cell r="S198"/>
        </row>
        <row r="199">
          <cell r="A199" t="str">
            <v>1153-42973</v>
          </cell>
          <cell r="B199" t="str">
            <v>2017MLBS_194</v>
          </cell>
          <cell r="C199" t="e">
            <v>#N/A</v>
          </cell>
          <cell r="D199">
            <v>43179</v>
          </cell>
          <cell r="E199" t="str">
            <v>F1</v>
          </cell>
          <cell r="F199">
            <v>3</v>
          </cell>
          <cell r="G199">
            <v>3</v>
          </cell>
          <cell r="H199">
            <v>32</v>
          </cell>
          <cell r="I199"/>
          <cell r="J199">
            <v>1153</v>
          </cell>
          <cell r="K199" t="str">
            <v>SP2</v>
          </cell>
          <cell r="L199" t="str">
            <v>C7</v>
          </cell>
          <cell r="M199">
            <v>50</v>
          </cell>
          <cell r="N199">
            <v>3</v>
          </cell>
          <cell r="O199">
            <v>42973</v>
          </cell>
          <cell r="P199" t="str">
            <v>M</v>
          </cell>
          <cell r="Q199" t="str">
            <v>A</v>
          </cell>
          <cell r="R199">
            <v>6</v>
          </cell>
          <cell r="S199"/>
        </row>
        <row r="200">
          <cell r="A200" t="str">
            <v>1230-42975</v>
          </cell>
          <cell r="B200" t="str">
            <v>2017MLBS_195</v>
          </cell>
          <cell r="C200" t="e">
            <v>#N/A</v>
          </cell>
          <cell r="D200">
            <v>43179</v>
          </cell>
          <cell r="E200" t="str">
            <v>G1</v>
          </cell>
          <cell r="F200">
            <v>3</v>
          </cell>
          <cell r="G200">
            <v>3</v>
          </cell>
          <cell r="H200">
            <v>33</v>
          </cell>
          <cell r="I200"/>
          <cell r="J200">
            <v>1230</v>
          </cell>
          <cell r="K200" t="str">
            <v>PO1</v>
          </cell>
          <cell r="L200" t="str">
            <v>B1</v>
          </cell>
          <cell r="M200">
            <v>51</v>
          </cell>
          <cell r="N200">
            <v>3</v>
          </cell>
          <cell r="O200">
            <v>42975</v>
          </cell>
          <cell r="P200" t="str">
            <v>F</v>
          </cell>
          <cell r="Q200" t="str">
            <v>C</v>
          </cell>
          <cell r="R200">
            <v>6</v>
          </cell>
          <cell r="S200"/>
        </row>
        <row r="201">
          <cell r="A201" t="str">
            <v>1159-42975</v>
          </cell>
          <cell r="B201" t="str">
            <v>2017MLBS_196</v>
          </cell>
          <cell r="C201" t="e">
            <v>#N/A</v>
          </cell>
          <cell r="D201">
            <v>43179</v>
          </cell>
          <cell r="E201" t="str">
            <v>H1</v>
          </cell>
          <cell r="F201">
            <v>3</v>
          </cell>
          <cell r="G201">
            <v>3</v>
          </cell>
          <cell r="H201">
            <v>34</v>
          </cell>
          <cell r="I201"/>
          <cell r="J201">
            <v>1159</v>
          </cell>
          <cell r="K201" t="str">
            <v>PO1</v>
          </cell>
          <cell r="L201" t="str">
            <v>B2</v>
          </cell>
          <cell r="M201">
            <v>52</v>
          </cell>
          <cell r="N201">
            <v>3</v>
          </cell>
          <cell r="O201">
            <v>42975</v>
          </cell>
          <cell r="P201" t="str">
            <v>M</v>
          </cell>
          <cell r="Q201" t="str">
            <v>C</v>
          </cell>
          <cell r="R201">
            <v>6</v>
          </cell>
          <cell r="S201"/>
        </row>
        <row r="202">
          <cell r="A202" t="str">
            <v>1064-42975</v>
          </cell>
          <cell r="B202" t="str">
            <v>2017MLBS_197</v>
          </cell>
          <cell r="C202" t="e">
            <v>#N/A</v>
          </cell>
          <cell r="D202">
            <v>43179</v>
          </cell>
          <cell r="E202" t="str">
            <v>A2</v>
          </cell>
          <cell r="F202">
            <v>3</v>
          </cell>
          <cell r="G202">
            <v>3</v>
          </cell>
          <cell r="H202">
            <v>35</v>
          </cell>
          <cell r="I202"/>
          <cell r="J202">
            <v>1064</v>
          </cell>
          <cell r="K202" t="str">
            <v>PO1</v>
          </cell>
          <cell r="L202" t="str">
            <v>C8</v>
          </cell>
          <cell r="M202">
            <v>53</v>
          </cell>
          <cell r="N202">
            <v>3</v>
          </cell>
          <cell r="O202">
            <v>42975</v>
          </cell>
          <cell r="P202" t="str">
            <v>M</v>
          </cell>
          <cell r="Q202" t="str">
            <v>C</v>
          </cell>
          <cell r="R202">
            <v>6</v>
          </cell>
          <cell r="S202"/>
        </row>
        <row r="203">
          <cell r="A203" t="str">
            <v>1286-42975</v>
          </cell>
          <cell r="B203" t="str">
            <v>2017MLBS_198</v>
          </cell>
          <cell r="C203" t="e">
            <v>#N/A</v>
          </cell>
          <cell r="D203">
            <v>43179</v>
          </cell>
          <cell r="E203" t="str">
            <v>B2</v>
          </cell>
          <cell r="F203">
            <v>3</v>
          </cell>
          <cell r="G203">
            <v>3</v>
          </cell>
          <cell r="H203">
            <v>36</v>
          </cell>
          <cell r="I203"/>
          <cell r="J203">
            <v>1286</v>
          </cell>
          <cell r="K203" t="str">
            <v>PO1</v>
          </cell>
          <cell r="L203" t="str">
            <v>D2</v>
          </cell>
          <cell r="M203">
            <v>54</v>
          </cell>
          <cell r="N203">
            <v>3</v>
          </cell>
          <cell r="O203">
            <v>42975</v>
          </cell>
          <cell r="P203" t="str">
            <v>M</v>
          </cell>
          <cell r="Q203" t="str">
            <v>A</v>
          </cell>
          <cell r="R203">
            <v>6</v>
          </cell>
          <cell r="S203"/>
        </row>
        <row r="204">
          <cell r="A204" t="str">
            <v>1084-42975</v>
          </cell>
          <cell r="B204" t="str">
            <v>2017MLBS_199</v>
          </cell>
          <cell r="C204" t="e">
            <v>#N/A</v>
          </cell>
          <cell r="D204">
            <v>43179</v>
          </cell>
          <cell r="E204" t="str">
            <v>C2</v>
          </cell>
          <cell r="F204">
            <v>3</v>
          </cell>
          <cell r="G204">
            <v>3</v>
          </cell>
          <cell r="H204">
            <v>37</v>
          </cell>
          <cell r="I204"/>
          <cell r="J204">
            <v>1084</v>
          </cell>
          <cell r="K204" t="str">
            <v>PO1</v>
          </cell>
          <cell r="L204" t="str">
            <v>D3</v>
          </cell>
          <cell r="M204">
            <v>55</v>
          </cell>
          <cell r="N204">
            <v>3</v>
          </cell>
          <cell r="O204">
            <v>42975</v>
          </cell>
          <cell r="P204" t="str">
            <v>M</v>
          </cell>
          <cell r="Q204" t="str">
            <v>C</v>
          </cell>
          <cell r="R204">
            <v>6</v>
          </cell>
          <cell r="S204"/>
        </row>
        <row r="205">
          <cell r="A205" t="str">
            <v>1292-42975</v>
          </cell>
          <cell r="B205" t="str">
            <v>2017MLBS_200</v>
          </cell>
          <cell r="C205" t="e">
            <v>#N/A</v>
          </cell>
          <cell r="D205">
            <v>43179</v>
          </cell>
          <cell r="E205" t="str">
            <v>D2</v>
          </cell>
          <cell r="F205">
            <v>3</v>
          </cell>
          <cell r="G205">
            <v>3</v>
          </cell>
          <cell r="H205">
            <v>38</v>
          </cell>
          <cell r="I205"/>
          <cell r="J205">
            <v>1292</v>
          </cell>
          <cell r="K205" t="str">
            <v>PO1</v>
          </cell>
          <cell r="L205" t="str">
            <v>D5</v>
          </cell>
          <cell r="M205">
            <v>56</v>
          </cell>
          <cell r="N205">
            <v>3</v>
          </cell>
          <cell r="O205">
            <v>42975</v>
          </cell>
          <cell r="P205" t="str">
            <v>F</v>
          </cell>
          <cell r="Q205" t="str">
            <v>A</v>
          </cell>
          <cell r="R205">
            <v>6</v>
          </cell>
          <cell r="S205"/>
        </row>
        <row r="206">
          <cell r="A206" t="str">
            <v>1294-42975</v>
          </cell>
          <cell r="B206" t="str">
            <v>2017MLBS_201</v>
          </cell>
          <cell r="C206" t="e">
            <v>#N/A</v>
          </cell>
          <cell r="D206">
            <v>43179</v>
          </cell>
          <cell r="E206" t="str">
            <v>E2</v>
          </cell>
          <cell r="F206">
            <v>3</v>
          </cell>
          <cell r="G206">
            <v>3</v>
          </cell>
          <cell r="H206">
            <v>39</v>
          </cell>
          <cell r="I206"/>
          <cell r="J206">
            <v>1294</v>
          </cell>
          <cell r="K206" t="str">
            <v>PO1</v>
          </cell>
          <cell r="L206" t="str">
            <v>H1</v>
          </cell>
          <cell r="M206">
            <v>57</v>
          </cell>
          <cell r="N206">
            <v>3</v>
          </cell>
          <cell r="O206">
            <v>42975</v>
          </cell>
          <cell r="P206" t="str">
            <v>F</v>
          </cell>
          <cell r="Q206" t="str">
            <v>A</v>
          </cell>
          <cell r="R206">
            <v>6</v>
          </cell>
          <cell r="S206"/>
        </row>
        <row r="207">
          <cell r="A207" t="str">
            <v>1088-42975</v>
          </cell>
          <cell r="B207" t="str">
            <v>2017MLBS_202</v>
          </cell>
          <cell r="C207" t="e">
            <v>#N/A</v>
          </cell>
          <cell r="D207">
            <v>43179</v>
          </cell>
          <cell r="E207" t="str">
            <v>F2</v>
          </cell>
          <cell r="F207">
            <v>3</v>
          </cell>
          <cell r="G207">
            <v>3</v>
          </cell>
          <cell r="H207">
            <v>40</v>
          </cell>
          <cell r="I207"/>
          <cell r="J207">
            <v>1088</v>
          </cell>
          <cell r="K207" t="str">
            <v>PO2</v>
          </cell>
          <cell r="L207" t="str">
            <v>A3</v>
          </cell>
          <cell r="M207">
            <v>58</v>
          </cell>
          <cell r="N207">
            <v>3</v>
          </cell>
          <cell r="O207">
            <v>42975</v>
          </cell>
          <cell r="P207" t="str">
            <v>F</v>
          </cell>
          <cell r="Q207" t="str">
            <v>C</v>
          </cell>
          <cell r="R207">
            <v>6</v>
          </cell>
          <cell r="S207"/>
        </row>
        <row r="208">
          <cell r="A208" t="str">
            <v>1168-42975</v>
          </cell>
          <cell r="B208" t="str">
            <v>2017MLBS_203</v>
          </cell>
          <cell r="C208" t="e">
            <v>#N/A</v>
          </cell>
          <cell r="D208">
            <v>43179</v>
          </cell>
          <cell r="E208" t="str">
            <v>G2</v>
          </cell>
          <cell r="F208">
            <v>3</v>
          </cell>
          <cell r="G208">
            <v>3</v>
          </cell>
          <cell r="H208">
            <v>41</v>
          </cell>
          <cell r="I208"/>
          <cell r="J208">
            <v>1168</v>
          </cell>
          <cell r="K208" t="str">
            <v>PO2</v>
          </cell>
          <cell r="L208" t="str">
            <v>A5</v>
          </cell>
          <cell r="M208">
            <v>59</v>
          </cell>
          <cell r="N208">
            <v>3</v>
          </cell>
          <cell r="O208">
            <v>42975</v>
          </cell>
          <cell r="P208" t="str">
            <v>F</v>
          </cell>
          <cell r="Q208" t="str">
            <v>A</v>
          </cell>
          <cell r="R208">
            <v>6</v>
          </cell>
          <cell r="S208"/>
        </row>
        <row r="209">
          <cell r="A209" t="str">
            <v>1225-42975</v>
          </cell>
          <cell r="B209" t="str">
            <v>2017MLBS_204</v>
          </cell>
          <cell r="C209" t="e">
            <v>#N/A</v>
          </cell>
          <cell r="D209">
            <v>43179</v>
          </cell>
          <cell r="E209" t="str">
            <v>H2</v>
          </cell>
          <cell r="F209">
            <v>3</v>
          </cell>
          <cell r="G209">
            <v>3</v>
          </cell>
          <cell r="H209">
            <v>42</v>
          </cell>
          <cell r="I209"/>
          <cell r="J209">
            <v>1225</v>
          </cell>
          <cell r="K209" t="str">
            <v>PO2</v>
          </cell>
          <cell r="L209" t="str">
            <v>B2</v>
          </cell>
          <cell r="M209">
            <v>60</v>
          </cell>
          <cell r="N209">
            <v>3</v>
          </cell>
          <cell r="O209">
            <v>42975</v>
          </cell>
          <cell r="P209" t="str">
            <v>F</v>
          </cell>
          <cell r="Q209" t="str">
            <v>A</v>
          </cell>
          <cell r="R209">
            <v>6</v>
          </cell>
          <cell r="S209"/>
        </row>
        <row r="210">
          <cell r="A210" t="str">
            <v>1228-42975</v>
          </cell>
          <cell r="B210" t="str">
            <v>2017MLBS_205</v>
          </cell>
          <cell r="C210" t="e">
            <v>#N/A</v>
          </cell>
          <cell r="D210">
            <v>43179</v>
          </cell>
          <cell r="E210" t="str">
            <v>A3</v>
          </cell>
          <cell r="F210">
            <v>3</v>
          </cell>
          <cell r="G210">
            <v>3</v>
          </cell>
          <cell r="H210">
            <v>43</v>
          </cell>
          <cell r="I210"/>
          <cell r="J210">
            <v>1228</v>
          </cell>
          <cell r="K210" t="str">
            <v>PO2</v>
          </cell>
          <cell r="L210" t="str">
            <v>B8</v>
          </cell>
          <cell r="M210">
            <v>61</v>
          </cell>
          <cell r="N210">
            <v>3</v>
          </cell>
          <cell r="O210">
            <v>42975</v>
          </cell>
          <cell r="P210" t="str">
            <v>F</v>
          </cell>
          <cell r="Q210" t="str">
            <v>C</v>
          </cell>
          <cell r="R210">
            <v>6</v>
          </cell>
          <cell r="S210"/>
        </row>
        <row r="211">
          <cell r="A211" t="str">
            <v>1227-42975</v>
          </cell>
          <cell r="B211" t="str">
            <v>2017MLBS_206</v>
          </cell>
          <cell r="C211" t="e">
            <v>#N/A</v>
          </cell>
          <cell r="D211">
            <v>43179</v>
          </cell>
          <cell r="E211" t="str">
            <v>B3</v>
          </cell>
          <cell r="F211">
            <v>3</v>
          </cell>
          <cell r="G211">
            <v>3</v>
          </cell>
          <cell r="H211">
            <v>44</v>
          </cell>
          <cell r="I211"/>
          <cell r="J211">
            <v>1227</v>
          </cell>
          <cell r="K211" t="str">
            <v>PO2</v>
          </cell>
          <cell r="L211" t="str">
            <v>C4</v>
          </cell>
          <cell r="M211">
            <v>62</v>
          </cell>
          <cell r="N211">
            <v>3</v>
          </cell>
          <cell r="O211">
            <v>42975</v>
          </cell>
          <cell r="P211" t="str">
            <v>M</v>
          </cell>
          <cell r="Q211" t="str">
            <v>A</v>
          </cell>
          <cell r="R211">
            <v>6</v>
          </cell>
          <cell r="S211"/>
        </row>
        <row r="212">
          <cell r="A212" t="str">
            <v>1164-42975</v>
          </cell>
          <cell r="B212" t="str">
            <v>2017MLBS_207</v>
          </cell>
          <cell r="C212" t="e">
            <v>#N/A</v>
          </cell>
          <cell r="D212">
            <v>43179</v>
          </cell>
          <cell r="E212" t="str">
            <v>C3</v>
          </cell>
          <cell r="F212">
            <v>3</v>
          </cell>
          <cell r="G212">
            <v>3</v>
          </cell>
          <cell r="H212">
            <v>45</v>
          </cell>
          <cell r="I212"/>
          <cell r="J212">
            <v>1164</v>
          </cell>
          <cell r="K212" t="str">
            <v>PO2</v>
          </cell>
          <cell r="L212" t="str">
            <v>C6</v>
          </cell>
          <cell r="M212">
            <v>63</v>
          </cell>
          <cell r="N212">
            <v>3</v>
          </cell>
          <cell r="O212">
            <v>42975</v>
          </cell>
          <cell r="P212" t="str">
            <v>F</v>
          </cell>
          <cell r="Q212" t="str">
            <v>A</v>
          </cell>
          <cell r="R212">
            <v>6</v>
          </cell>
          <cell r="S212"/>
        </row>
        <row r="213">
          <cell r="A213" t="str">
            <v>1234-42975</v>
          </cell>
          <cell r="B213" t="str">
            <v>2017MLBS_208</v>
          </cell>
          <cell r="C213" t="e">
            <v>#N/A</v>
          </cell>
          <cell r="D213">
            <v>43179</v>
          </cell>
          <cell r="E213" t="str">
            <v>D3</v>
          </cell>
          <cell r="F213">
            <v>3</v>
          </cell>
          <cell r="G213">
            <v>3</v>
          </cell>
          <cell r="H213">
            <v>46</v>
          </cell>
          <cell r="I213"/>
          <cell r="J213">
            <v>1234</v>
          </cell>
          <cell r="K213" t="str">
            <v>PO2</v>
          </cell>
          <cell r="L213" t="str">
            <v>E1</v>
          </cell>
          <cell r="M213">
            <v>64</v>
          </cell>
          <cell r="N213">
            <v>3</v>
          </cell>
          <cell r="O213">
            <v>42975</v>
          </cell>
          <cell r="P213" t="str">
            <v>M</v>
          </cell>
          <cell r="Q213" t="str">
            <v>C</v>
          </cell>
          <cell r="R213">
            <v>6</v>
          </cell>
          <cell r="S213"/>
        </row>
        <row r="214">
          <cell r="A214" t="str">
            <v>1233-42975</v>
          </cell>
          <cell r="B214" t="str">
            <v>2017MLBS_209</v>
          </cell>
          <cell r="C214" t="e">
            <v>#N/A</v>
          </cell>
          <cell r="D214">
            <v>43179</v>
          </cell>
          <cell r="E214" t="str">
            <v>E3</v>
          </cell>
          <cell r="F214">
            <v>3</v>
          </cell>
          <cell r="G214">
            <v>3</v>
          </cell>
          <cell r="H214">
            <v>47</v>
          </cell>
          <cell r="I214"/>
          <cell r="J214">
            <v>1233</v>
          </cell>
          <cell r="K214" t="str">
            <v>PO2</v>
          </cell>
          <cell r="L214" t="str">
            <v>E3</v>
          </cell>
          <cell r="M214">
            <v>65</v>
          </cell>
          <cell r="N214">
            <v>3</v>
          </cell>
          <cell r="O214">
            <v>42975</v>
          </cell>
          <cell r="P214" t="str">
            <v>F</v>
          </cell>
          <cell r="Q214" t="str">
            <v>A</v>
          </cell>
          <cell r="R214">
            <v>6</v>
          </cell>
          <cell r="S214"/>
        </row>
        <row r="215">
          <cell r="A215" t="str">
            <v>1099-42975</v>
          </cell>
          <cell r="B215" t="str">
            <v>2017MLBS_210</v>
          </cell>
          <cell r="C215" t="e">
            <v>#N/A</v>
          </cell>
          <cell r="D215">
            <v>43179</v>
          </cell>
          <cell r="E215" t="str">
            <v>F3</v>
          </cell>
          <cell r="F215">
            <v>3</v>
          </cell>
          <cell r="G215">
            <v>3</v>
          </cell>
          <cell r="H215">
            <v>48</v>
          </cell>
          <cell r="I215"/>
          <cell r="J215">
            <v>1099</v>
          </cell>
          <cell r="K215" t="str">
            <v>PO2</v>
          </cell>
          <cell r="L215" t="str">
            <v>G1</v>
          </cell>
          <cell r="M215">
            <v>66</v>
          </cell>
          <cell r="N215">
            <v>3</v>
          </cell>
          <cell r="O215">
            <v>42975</v>
          </cell>
          <cell r="P215" t="str">
            <v>M</v>
          </cell>
          <cell r="Q215" t="str">
            <v>C</v>
          </cell>
          <cell r="R215">
            <v>6</v>
          </cell>
          <cell r="S215"/>
        </row>
        <row r="216">
          <cell r="A216" t="str">
            <v>1076-42975</v>
          </cell>
          <cell r="B216" t="str">
            <v>2017MLBS_211</v>
          </cell>
          <cell r="C216" t="e">
            <v>#N/A</v>
          </cell>
          <cell r="D216">
            <v>43179</v>
          </cell>
          <cell r="E216" t="str">
            <v>G3</v>
          </cell>
          <cell r="F216">
            <v>3</v>
          </cell>
          <cell r="G216">
            <v>3</v>
          </cell>
          <cell r="H216">
            <v>49</v>
          </cell>
          <cell r="I216"/>
          <cell r="J216">
            <v>1076</v>
          </cell>
          <cell r="K216" t="str">
            <v>PO2</v>
          </cell>
          <cell r="L216" t="str">
            <v>G6</v>
          </cell>
          <cell r="M216">
            <v>67</v>
          </cell>
          <cell r="N216">
            <v>3</v>
          </cell>
          <cell r="O216">
            <v>42975</v>
          </cell>
          <cell r="P216" t="str">
            <v>M</v>
          </cell>
          <cell r="Q216" t="str">
            <v>C</v>
          </cell>
          <cell r="R216">
            <v>6</v>
          </cell>
          <cell r="S216"/>
        </row>
        <row r="217">
          <cell r="A217" t="str">
            <v>1090-42975</v>
          </cell>
          <cell r="B217" t="str">
            <v>2017MLBS_212</v>
          </cell>
          <cell r="C217" t="e">
            <v>#N/A</v>
          </cell>
          <cell r="D217">
            <v>43179</v>
          </cell>
          <cell r="E217" t="str">
            <v>H3</v>
          </cell>
          <cell r="F217">
            <v>3</v>
          </cell>
          <cell r="G217">
            <v>3</v>
          </cell>
          <cell r="H217">
            <v>50</v>
          </cell>
          <cell r="I217"/>
          <cell r="J217">
            <v>1090</v>
          </cell>
          <cell r="K217" t="str">
            <v>PO2</v>
          </cell>
          <cell r="L217" t="str">
            <v>G7</v>
          </cell>
          <cell r="M217">
            <v>68</v>
          </cell>
          <cell r="N217">
            <v>3</v>
          </cell>
          <cell r="O217">
            <v>42975</v>
          </cell>
          <cell r="P217" t="str">
            <v>F</v>
          </cell>
          <cell r="Q217" t="str">
            <v>A</v>
          </cell>
          <cell r="R217">
            <v>6</v>
          </cell>
          <cell r="S217"/>
        </row>
        <row r="218">
          <cell r="A218" t="str">
            <v>1083-42976</v>
          </cell>
          <cell r="B218" t="str">
            <v>2017MLBS_213</v>
          </cell>
          <cell r="C218" t="e">
            <v>#N/A</v>
          </cell>
          <cell r="D218">
            <v>43179</v>
          </cell>
          <cell r="E218" t="str">
            <v>A4</v>
          </cell>
          <cell r="F218">
            <v>3</v>
          </cell>
          <cell r="G218">
            <v>3</v>
          </cell>
          <cell r="H218">
            <v>51</v>
          </cell>
          <cell r="I218"/>
          <cell r="J218">
            <v>1083</v>
          </cell>
          <cell r="K218" t="str">
            <v>PO1</v>
          </cell>
          <cell r="L218" t="str">
            <v>E4</v>
          </cell>
          <cell r="M218">
            <v>69</v>
          </cell>
          <cell r="N218">
            <v>3</v>
          </cell>
          <cell r="O218">
            <v>42976</v>
          </cell>
          <cell r="P218" t="str">
            <v>F</v>
          </cell>
          <cell r="Q218" t="str">
            <v>A</v>
          </cell>
          <cell r="R218">
            <v>6</v>
          </cell>
          <cell r="S218"/>
        </row>
        <row r="219">
          <cell r="A219" t="str">
            <v>1069-42976</v>
          </cell>
          <cell r="B219" t="str">
            <v>2017MLBS_214</v>
          </cell>
          <cell r="C219" t="e">
            <v>#N/A</v>
          </cell>
          <cell r="D219">
            <v>43179</v>
          </cell>
          <cell r="E219" t="str">
            <v>B4</v>
          </cell>
          <cell r="F219">
            <v>3</v>
          </cell>
          <cell r="G219">
            <v>3</v>
          </cell>
          <cell r="H219">
            <v>52</v>
          </cell>
          <cell r="I219"/>
          <cell r="J219">
            <v>1069</v>
          </cell>
          <cell r="K219" t="str">
            <v>PO1</v>
          </cell>
          <cell r="L219" t="str">
            <v>E8</v>
          </cell>
          <cell r="M219">
            <v>70</v>
          </cell>
          <cell r="N219">
            <v>3</v>
          </cell>
          <cell r="O219">
            <v>42976</v>
          </cell>
          <cell r="P219" t="str">
            <v>M</v>
          </cell>
          <cell r="Q219" t="str">
            <v>A</v>
          </cell>
          <cell r="R219">
            <v>6</v>
          </cell>
          <cell r="S219"/>
        </row>
        <row r="220">
          <cell r="A220" t="str">
            <v>1081-42976</v>
          </cell>
          <cell r="B220" t="str">
            <v>2017MLBS_215</v>
          </cell>
          <cell r="C220" t="e">
            <v>#N/A</v>
          </cell>
          <cell r="D220">
            <v>43179</v>
          </cell>
          <cell r="E220" t="str">
            <v>C4</v>
          </cell>
          <cell r="F220">
            <v>3</v>
          </cell>
          <cell r="G220">
            <v>3</v>
          </cell>
          <cell r="H220">
            <v>53</v>
          </cell>
          <cell r="I220"/>
          <cell r="J220">
            <v>1081</v>
          </cell>
          <cell r="K220" t="str">
            <v>PO1</v>
          </cell>
          <cell r="L220" t="str">
            <v>F5</v>
          </cell>
          <cell r="M220">
            <v>71</v>
          </cell>
          <cell r="N220">
            <v>3</v>
          </cell>
          <cell r="O220">
            <v>42976</v>
          </cell>
          <cell r="P220" t="str">
            <v>M</v>
          </cell>
          <cell r="Q220" t="str">
            <v>A</v>
          </cell>
          <cell r="R220">
            <v>6</v>
          </cell>
          <cell r="S220"/>
        </row>
        <row r="221">
          <cell r="A221"/>
          <cell r="B221" t="str">
            <v>2017MLBS_216</v>
          </cell>
          <cell r="C221" t="e">
            <v>#N/A</v>
          </cell>
          <cell r="D221">
            <v>43179</v>
          </cell>
          <cell r="E221" t="str">
            <v>D4</v>
          </cell>
          <cell r="F221">
            <v>3</v>
          </cell>
          <cell r="G221">
            <v>3</v>
          </cell>
          <cell r="H221">
            <v>54</v>
          </cell>
          <cell r="I221"/>
          <cell r="J221" t="str">
            <v>extraction control blank</v>
          </cell>
          <cell r="K221"/>
          <cell r="L221"/>
          <cell r="M221">
            <v>72</v>
          </cell>
          <cell r="N221">
            <v>3</v>
          </cell>
          <cell r="O221"/>
          <cell r="P221"/>
          <cell r="Q221"/>
          <cell r="R221"/>
          <cell r="S221"/>
        </row>
        <row r="222">
          <cell r="A222" t="str">
            <v>1238-42976</v>
          </cell>
          <cell r="B222" t="str">
            <v>2017MLBS_217</v>
          </cell>
          <cell r="C222" t="e">
            <v>#N/A</v>
          </cell>
          <cell r="D222">
            <v>43182</v>
          </cell>
          <cell r="E222" t="str">
            <v>E4</v>
          </cell>
          <cell r="F222">
            <v>3</v>
          </cell>
          <cell r="G222">
            <v>3</v>
          </cell>
          <cell r="H222">
            <v>55</v>
          </cell>
          <cell r="I222"/>
          <cell r="J222">
            <v>1238</v>
          </cell>
          <cell r="K222" t="str">
            <v>PO2</v>
          </cell>
          <cell r="L222" t="str">
            <v>A3</v>
          </cell>
          <cell r="M222">
            <v>1</v>
          </cell>
          <cell r="N222">
            <v>3</v>
          </cell>
          <cell r="O222">
            <v>42976</v>
          </cell>
          <cell r="P222" t="str">
            <v>M</v>
          </cell>
          <cell r="Q222" t="str">
            <v>C</v>
          </cell>
          <cell r="R222">
            <v>6</v>
          </cell>
          <cell r="S222"/>
        </row>
        <row r="223">
          <cell r="A223" t="str">
            <v>1162-42976</v>
          </cell>
          <cell r="B223" t="str">
            <v>2017MLBS_218</v>
          </cell>
          <cell r="C223" t="e">
            <v>#N/A</v>
          </cell>
          <cell r="D223">
            <v>43182</v>
          </cell>
          <cell r="E223" t="str">
            <v>F4</v>
          </cell>
          <cell r="F223">
            <v>3</v>
          </cell>
          <cell r="G223">
            <v>3</v>
          </cell>
          <cell r="H223">
            <v>56</v>
          </cell>
          <cell r="I223"/>
          <cell r="J223">
            <v>1162</v>
          </cell>
          <cell r="K223" t="str">
            <v>PO2</v>
          </cell>
          <cell r="L223" t="str">
            <v>A8</v>
          </cell>
          <cell r="M223">
            <v>2</v>
          </cell>
          <cell r="N223">
            <v>3</v>
          </cell>
          <cell r="O223">
            <v>42976</v>
          </cell>
          <cell r="P223" t="str">
            <v>M</v>
          </cell>
          <cell r="Q223" t="str">
            <v>C</v>
          </cell>
          <cell r="R223">
            <v>6</v>
          </cell>
          <cell r="S223"/>
        </row>
        <row r="224">
          <cell r="A224" t="str">
            <v>1165-42976</v>
          </cell>
          <cell r="B224" t="str">
            <v>2017MLBS_219</v>
          </cell>
          <cell r="C224" t="e">
            <v>#N/A</v>
          </cell>
          <cell r="D224">
            <v>43182</v>
          </cell>
          <cell r="E224" t="str">
            <v>G4</v>
          </cell>
          <cell r="F224">
            <v>3</v>
          </cell>
          <cell r="G224">
            <v>3</v>
          </cell>
          <cell r="H224">
            <v>57</v>
          </cell>
          <cell r="I224"/>
          <cell r="J224">
            <v>1165</v>
          </cell>
          <cell r="K224" t="str">
            <v>PO2</v>
          </cell>
          <cell r="L224" t="str">
            <v>H6</v>
          </cell>
          <cell r="M224">
            <v>3</v>
          </cell>
          <cell r="N224">
            <v>3</v>
          </cell>
          <cell r="O224">
            <v>42976</v>
          </cell>
          <cell r="P224" t="str">
            <v>M</v>
          </cell>
          <cell r="Q224" t="str">
            <v>A</v>
          </cell>
          <cell r="R224">
            <v>6</v>
          </cell>
          <cell r="S224"/>
        </row>
        <row r="225">
          <cell r="A225" t="str">
            <v>1072-42976</v>
          </cell>
          <cell r="B225" t="str">
            <v>2017MLBS_220</v>
          </cell>
          <cell r="C225" t="e">
            <v>#N/A</v>
          </cell>
          <cell r="D225">
            <v>43182</v>
          </cell>
          <cell r="E225" t="str">
            <v>H4</v>
          </cell>
          <cell r="F225">
            <v>3</v>
          </cell>
          <cell r="G225">
            <v>3</v>
          </cell>
          <cell r="H225">
            <v>58</v>
          </cell>
          <cell r="I225"/>
          <cell r="J225">
            <v>1072</v>
          </cell>
          <cell r="K225" t="str">
            <v>PO2</v>
          </cell>
          <cell r="L225" t="str">
            <v>G8</v>
          </cell>
          <cell r="M225">
            <v>4</v>
          </cell>
          <cell r="N225">
            <v>3</v>
          </cell>
          <cell r="O225">
            <v>42976</v>
          </cell>
          <cell r="P225" t="str">
            <v>F</v>
          </cell>
          <cell r="Q225" t="str">
            <v>C</v>
          </cell>
          <cell r="R225">
            <v>6</v>
          </cell>
          <cell r="S225"/>
        </row>
        <row r="226">
          <cell r="A226" t="str">
            <v>1290-42977</v>
          </cell>
          <cell r="B226" t="str">
            <v>2017MLBS_221</v>
          </cell>
          <cell r="C226" t="e">
            <v>#N/A</v>
          </cell>
          <cell r="D226">
            <v>43182</v>
          </cell>
          <cell r="E226" t="str">
            <v>A5</v>
          </cell>
          <cell r="F226">
            <v>3</v>
          </cell>
          <cell r="G226">
            <v>3</v>
          </cell>
          <cell r="H226">
            <v>59</v>
          </cell>
          <cell r="I226"/>
          <cell r="J226">
            <v>1290</v>
          </cell>
          <cell r="K226" t="str">
            <v>PO1</v>
          </cell>
          <cell r="L226" t="str">
            <v>A2</v>
          </cell>
          <cell r="M226">
            <v>5</v>
          </cell>
          <cell r="N226">
            <v>3</v>
          </cell>
          <cell r="O226">
            <v>42977</v>
          </cell>
          <cell r="P226" t="str">
            <v>M</v>
          </cell>
          <cell r="Q226" t="str">
            <v>C</v>
          </cell>
          <cell r="R226">
            <v>6</v>
          </cell>
          <cell r="S226"/>
        </row>
        <row r="227">
          <cell r="A227" t="str">
            <v>1079-42977</v>
          </cell>
          <cell r="B227" t="str">
            <v>2017MLBS_222</v>
          </cell>
          <cell r="C227" t="e">
            <v>#N/A</v>
          </cell>
          <cell r="D227">
            <v>43182</v>
          </cell>
          <cell r="E227" t="str">
            <v>B5</v>
          </cell>
          <cell r="F227">
            <v>3</v>
          </cell>
          <cell r="G227">
            <v>3</v>
          </cell>
          <cell r="H227">
            <v>60</v>
          </cell>
          <cell r="I227"/>
          <cell r="J227">
            <v>1079</v>
          </cell>
          <cell r="K227" t="str">
            <v>PO1</v>
          </cell>
          <cell r="L227" t="str">
            <v>B5</v>
          </cell>
          <cell r="M227">
            <v>6</v>
          </cell>
          <cell r="N227">
            <v>3</v>
          </cell>
          <cell r="O227">
            <v>42977</v>
          </cell>
          <cell r="P227" t="str">
            <v>F</v>
          </cell>
          <cell r="Q227" t="str">
            <v>A</v>
          </cell>
          <cell r="R227">
            <v>6</v>
          </cell>
          <cell r="S227"/>
        </row>
        <row r="228">
          <cell r="A228" t="str">
            <v>1092-42977</v>
          </cell>
          <cell r="B228" t="str">
            <v>2017MLBS_223</v>
          </cell>
          <cell r="C228" t="e">
            <v>#N/A</v>
          </cell>
          <cell r="D228">
            <v>43182</v>
          </cell>
          <cell r="E228" t="str">
            <v>C5</v>
          </cell>
          <cell r="F228">
            <v>3</v>
          </cell>
          <cell r="G228">
            <v>3</v>
          </cell>
          <cell r="H228">
            <v>61</v>
          </cell>
          <cell r="I228"/>
          <cell r="J228">
            <v>1092</v>
          </cell>
          <cell r="K228" t="str">
            <v>PO2</v>
          </cell>
          <cell r="L228" t="str">
            <v>G8</v>
          </cell>
          <cell r="M228">
            <v>7</v>
          </cell>
          <cell r="N228">
            <v>3</v>
          </cell>
          <cell r="O228">
            <v>42977</v>
          </cell>
          <cell r="P228" t="str">
            <v>F</v>
          </cell>
          <cell r="Q228" t="str">
            <v>C</v>
          </cell>
          <cell r="R228">
            <v>6</v>
          </cell>
          <cell r="S228"/>
        </row>
        <row r="229">
          <cell r="A229"/>
          <cell r="B229" t="str">
            <v>2017MLBS_224</v>
          </cell>
          <cell r="C229" t="e">
            <v>#N/A</v>
          </cell>
          <cell r="D229">
            <v>43182</v>
          </cell>
          <cell r="E229" t="str">
            <v>D5</v>
          </cell>
          <cell r="F229">
            <v>3</v>
          </cell>
          <cell r="G229">
            <v>3</v>
          </cell>
          <cell r="H229">
            <v>62</v>
          </cell>
          <cell r="I229"/>
          <cell r="J229" t="str">
            <v>Extraction control blank</v>
          </cell>
          <cell r="K229"/>
          <cell r="L229"/>
          <cell r="M229">
            <v>8</v>
          </cell>
          <cell r="N229">
            <v>3</v>
          </cell>
          <cell r="O229"/>
          <cell r="P229"/>
          <cell r="Q229"/>
          <cell r="R229"/>
          <cell r="S229"/>
        </row>
        <row r="230">
          <cell r="A230"/>
          <cell r="B230" t="str">
            <v>PCR control</v>
          </cell>
          <cell r="C230" t="e">
            <v>#N/A</v>
          </cell>
          <cell r="D230" t="str">
            <v>PCR control neg</v>
          </cell>
          <cell r="E230" t="str">
            <v>E5</v>
          </cell>
          <cell r="F230"/>
          <cell r="G230"/>
          <cell r="H230"/>
          <cell r="I230"/>
          <cell r="J230"/>
          <cell r="K230"/>
          <cell r="L230"/>
          <cell r="M230"/>
          <cell r="N230"/>
          <cell r="O230"/>
          <cell r="P230"/>
          <cell r="Q230"/>
          <cell r="R230"/>
          <cell r="S230"/>
        </row>
        <row r="231">
          <cell r="A231"/>
          <cell r="B231" t="str">
            <v>PCR control</v>
          </cell>
          <cell r="C231" t="e">
            <v>#N/A</v>
          </cell>
          <cell r="D231" t="str">
            <v>PCR control pos</v>
          </cell>
          <cell r="E231" t="str">
            <v>F5</v>
          </cell>
          <cell r="F231"/>
          <cell r="G231"/>
          <cell r="H231"/>
          <cell r="I231"/>
          <cell r="J231"/>
          <cell r="K231"/>
          <cell r="L231"/>
          <cell r="M231"/>
          <cell r="N231"/>
          <cell r="O231"/>
          <cell r="P231"/>
          <cell r="Q231"/>
          <cell r="R231"/>
        </row>
        <row r="232">
          <cell r="A232" t="str">
            <v>1062-42889</v>
          </cell>
          <cell r="B232"/>
          <cell r="C232">
            <v>0</v>
          </cell>
          <cell r="D232" t="str">
            <v>PCR control pos</v>
          </cell>
          <cell r="E232"/>
          <cell r="F232"/>
          <cell r="G232"/>
          <cell r="H232"/>
          <cell r="I232" t="str">
            <v>changed 6/8 to 6/3 so it was found and is listed above</v>
          </cell>
          <cell r="J232">
            <v>1062</v>
          </cell>
          <cell r="K232" t="str">
            <v>SP2</v>
          </cell>
          <cell r="L232"/>
          <cell r="M232"/>
          <cell r="N232"/>
          <cell r="O232">
            <v>42889</v>
          </cell>
          <cell r="P232" t="str">
            <v>M</v>
          </cell>
          <cell r="Q232" t="str">
            <v>C</v>
          </cell>
          <cell r="R232">
            <v>1</v>
          </cell>
          <cell r="S232" t="str">
            <v>corrected June 8 to June 3</v>
          </cell>
        </row>
        <row r="233">
          <cell r="A233" t="str">
            <v>1067-42893</v>
          </cell>
          <cell r="B233" t="str">
            <v>not found</v>
          </cell>
          <cell r="C233" t="e">
            <v>#N/A</v>
          </cell>
          <cell r="D233" t="str">
            <v>PCR control pos</v>
          </cell>
          <cell r="E233"/>
          <cell r="F233"/>
          <cell r="G233"/>
          <cell r="H233"/>
          <cell r="I233"/>
          <cell r="J233">
            <v>1067</v>
          </cell>
          <cell r="K233" t="str">
            <v>PO1</v>
          </cell>
          <cell r="L233"/>
          <cell r="M233"/>
          <cell r="N233"/>
          <cell r="O233">
            <v>42893</v>
          </cell>
          <cell r="P233" t="str">
            <v>M</v>
          </cell>
          <cell r="Q233" t="str">
            <v>A</v>
          </cell>
          <cell r="R233">
            <v>1</v>
          </cell>
          <cell r="S233" t="str">
            <v>not found</v>
          </cell>
        </row>
        <row r="234">
          <cell r="A234" t="str">
            <v>1059-42940</v>
          </cell>
          <cell r="B234" t="str">
            <v>not found</v>
          </cell>
          <cell r="C234" t="e">
            <v>#N/A</v>
          </cell>
          <cell r="D234" t="str">
            <v>PCR control pos</v>
          </cell>
          <cell r="E234"/>
          <cell r="F234"/>
          <cell r="G234"/>
          <cell r="H234"/>
          <cell r="I234"/>
          <cell r="J234">
            <v>1059</v>
          </cell>
          <cell r="K234" t="str">
            <v>SP1</v>
          </cell>
          <cell r="L234"/>
          <cell r="M234"/>
          <cell r="N234"/>
          <cell r="O234">
            <v>42940</v>
          </cell>
          <cell r="P234" t="str">
            <v>F</v>
          </cell>
          <cell r="Q234" t="str">
            <v>A</v>
          </cell>
          <cell r="R234">
            <v>4</v>
          </cell>
          <cell r="S234" t="str">
            <v>not found</v>
          </cell>
        </row>
        <row r="235">
          <cell r="A235" t="str">
            <v>1218-42940</v>
          </cell>
          <cell r="B235" t="str">
            <v>not found</v>
          </cell>
          <cell r="C235" t="e">
            <v>#N/A</v>
          </cell>
          <cell r="D235" t="str">
            <v>PCR control pos</v>
          </cell>
          <cell r="E235"/>
          <cell r="F235"/>
          <cell r="G235"/>
          <cell r="H235"/>
          <cell r="I235"/>
          <cell r="J235">
            <v>1218</v>
          </cell>
          <cell r="K235" t="str">
            <v>SP2</v>
          </cell>
          <cell r="L235"/>
          <cell r="M235"/>
          <cell r="N235"/>
          <cell r="O235">
            <v>42940</v>
          </cell>
          <cell r="P235" t="str">
            <v>F</v>
          </cell>
          <cell r="Q235" t="str">
            <v>C</v>
          </cell>
          <cell r="R235">
            <v>4</v>
          </cell>
          <cell r="S235" t="str">
            <v>not found</v>
          </cell>
        </row>
        <row r="236">
          <cell r="A236" t="str">
            <v>1081-42946</v>
          </cell>
          <cell r="B236" t="str">
            <v>not found</v>
          </cell>
          <cell r="C236" t="e">
            <v>#N/A</v>
          </cell>
          <cell r="D236" t="str">
            <v>PCR control pos</v>
          </cell>
          <cell r="E236"/>
          <cell r="F236"/>
          <cell r="G236"/>
          <cell r="H236"/>
          <cell r="I236"/>
          <cell r="J236">
            <v>1081</v>
          </cell>
          <cell r="K236" t="str">
            <v>PO1</v>
          </cell>
          <cell r="L236"/>
          <cell r="M236"/>
          <cell r="N236"/>
          <cell r="O236">
            <v>42946</v>
          </cell>
          <cell r="P236" t="str">
            <v>M</v>
          </cell>
          <cell r="Q236" t="str">
            <v>A</v>
          </cell>
          <cell r="R236">
            <v>4</v>
          </cell>
          <cell r="S236" t="str">
            <v>not found</v>
          </cell>
        </row>
        <row r="237">
          <cell r="A237" t="str">
            <v>1270-42957</v>
          </cell>
          <cell r="B237" t="str">
            <v>not found</v>
          </cell>
          <cell r="C237" t="e">
            <v>#N/A</v>
          </cell>
          <cell r="D237" t="str">
            <v>PCR control pos</v>
          </cell>
          <cell r="E237"/>
          <cell r="F237"/>
          <cell r="G237"/>
          <cell r="H237"/>
          <cell r="I237"/>
          <cell r="J237">
            <v>1270</v>
          </cell>
          <cell r="K237" t="str">
            <v>SP1</v>
          </cell>
          <cell r="L237"/>
          <cell r="M237"/>
          <cell r="N237"/>
          <cell r="O237">
            <v>42957</v>
          </cell>
          <cell r="P237" t="str">
            <v>M</v>
          </cell>
          <cell r="Q237" t="str">
            <v>A</v>
          </cell>
          <cell r="R237">
            <v>5</v>
          </cell>
          <cell r="S237" t="str">
            <v>not found</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LBS 2016 SNV-nem Coinfection d"/>
    </sheetNames>
    <sheetDataSet>
      <sheetData sheetId="0" refreshError="1">
        <row r="1">
          <cell r="C1" t="str">
            <v>BloodNum</v>
          </cell>
          <cell r="D1" t="str">
            <v>SNV positive</v>
          </cell>
          <cell r="E1" t="str">
            <v>SNV titer</v>
          </cell>
          <cell r="F1" t="str">
            <v>SNV pos 01</v>
          </cell>
          <cell r="G1" t="str">
            <v>SNV titer 2</v>
          </cell>
        </row>
        <row r="2">
          <cell r="C2">
            <v>1352</v>
          </cell>
          <cell r="D2" t="str">
            <v>ND</v>
          </cell>
          <cell r="E2" t="str">
            <v>ND</v>
          </cell>
          <cell r="F2">
            <v>0</v>
          </cell>
        </row>
        <row r="3">
          <cell r="C3">
            <v>1381</v>
          </cell>
          <cell r="D3" t="str">
            <v>ND</v>
          </cell>
          <cell r="E3" t="str">
            <v>ND</v>
          </cell>
          <cell r="F3">
            <v>0</v>
          </cell>
        </row>
        <row r="4">
          <cell r="C4">
            <v>1443</v>
          </cell>
          <cell r="D4" t="str">
            <v>ND</v>
          </cell>
          <cell r="E4" t="str">
            <v>ND</v>
          </cell>
          <cell r="F4">
            <v>0</v>
          </cell>
        </row>
        <row r="5">
          <cell r="C5">
            <v>1486</v>
          </cell>
          <cell r="D5" t="str">
            <v>ND</v>
          </cell>
          <cell r="E5" t="str">
            <v>ND</v>
          </cell>
          <cell r="F5">
            <v>0</v>
          </cell>
        </row>
        <row r="6">
          <cell r="C6">
            <v>1517</v>
          </cell>
          <cell r="D6" t="str">
            <v>ND</v>
          </cell>
          <cell r="E6" t="str">
            <v>ND</v>
          </cell>
          <cell r="F6">
            <v>0</v>
          </cell>
        </row>
        <row r="7">
          <cell r="C7">
            <v>1425</v>
          </cell>
          <cell r="D7" t="str">
            <v>ND</v>
          </cell>
          <cell r="E7" t="str">
            <v>ND</v>
          </cell>
          <cell r="F7">
            <v>0</v>
          </cell>
        </row>
        <row r="8">
          <cell r="C8">
            <v>1378</v>
          </cell>
          <cell r="D8" t="str">
            <v>ND</v>
          </cell>
          <cell r="E8" t="str">
            <v>ND</v>
          </cell>
          <cell r="F8">
            <v>0</v>
          </cell>
        </row>
        <row r="9">
          <cell r="C9">
            <v>1376</v>
          </cell>
          <cell r="D9" t="str">
            <v>ND</v>
          </cell>
          <cell r="E9" t="str">
            <v>ND</v>
          </cell>
          <cell r="F9">
            <v>0</v>
          </cell>
        </row>
        <row r="10">
          <cell r="C10">
            <v>1439</v>
          </cell>
          <cell r="D10" t="str">
            <v>ND</v>
          </cell>
          <cell r="E10" t="str">
            <v>ND</v>
          </cell>
          <cell r="F10">
            <v>0</v>
          </cell>
        </row>
        <row r="11">
          <cell r="C11">
            <v>1481</v>
          </cell>
          <cell r="D11" t="str">
            <v>ND</v>
          </cell>
          <cell r="E11" t="str">
            <v>ND</v>
          </cell>
          <cell r="F11">
            <v>0</v>
          </cell>
        </row>
        <row r="12">
          <cell r="C12">
            <v>1514</v>
          </cell>
          <cell r="D12" t="str">
            <v>ND</v>
          </cell>
          <cell r="E12" t="str">
            <v>ND</v>
          </cell>
          <cell r="F12">
            <v>0</v>
          </cell>
        </row>
        <row r="13">
          <cell r="C13">
            <v>1543</v>
          </cell>
          <cell r="D13" t="str">
            <v>ND</v>
          </cell>
          <cell r="E13" t="str">
            <v>ND</v>
          </cell>
          <cell r="F13">
            <v>0</v>
          </cell>
        </row>
        <row r="14">
          <cell r="C14">
            <v>1564</v>
          </cell>
          <cell r="D14" t="str">
            <v>ND</v>
          </cell>
          <cell r="E14" t="str">
            <v>ND</v>
          </cell>
          <cell r="F14">
            <v>0</v>
          </cell>
        </row>
        <row r="15">
          <cell r="C15">
            <v>1416</v>
          </cell>
          <cell r="D15" t="str">
            <v>ND</v>
          </cell>
          <cell r="E15" t="str">
            <v>ND</v>
          </cell>
          <cell r="F15">
            <v>0</v>
          </cell>
        </row>
        <row r="16">
          <cell r="C16">
            <v>1395</v>
          </cell>
          <cell r="D16" t="str">
            <v>ND</v>
          </cell>
          <cell r="E16" t="str">
            <v>ND</v>
          </cell>
          <cell r="F16">
            <v>0</v>
          </cell>
        </row>
        <row r="17">
          <cell r="C17">
            <v>1455</v>
          </cell>
          <cell r="D17" t="str">
            <v>ND</v>
          </cell>
          <cell r="E17" t="str">
            <v>ND</v>
          </cell>
          <cell r="F17">
            <v>0</v>
          </cell>
        </row>
        <row r="18">
          <cell r="C18">
            <v>1490</v>
          </cell>
          <cell r="D18" t="str">
            <v>ND</v>
          </cell>
          <cell r="E18" t="str">
            <v>ND</v>
          </cell>
          <cell r="F18">
            <v>0</v>
          </cell>
        </row>
        <row r="19">
          <cell r="C19">
            <v>1525</v>
          </cell>
          <cell r="D19" t="str">
            <v>ND</v>
          </cell>
          <cell r="E19" t="str">
            <v>ND</v>
          </cell>
          <cell r="F19">
            <v>0</v>
          </cell>
        </row>
        <row r="20">
          <cell r="C20">
            <v>1417</v>
          </cell>
          <cell r="D20" t="str">
            <v>ND</v>
          </cell>
          <cell r="E20" t="str">
            <v>ND</v>
          </cell>
          <cell r="F20">
            <v>0</v>
          </cell>
        </row>
        <row r="21">
          <cell r="C21">
            <v>1451</v>
          </cell>
          <cell r="D21" t="str">
            <v>ND</v>
          </cell>
          <cell r="E21" t="str">
            <v>ND</v>
          </cell>
          <cell r="F21">
            <v>0</v>
          </cell>
        </row>
        <row r="22">
          <cell r="C22">
            <v>1491</v>
          </cell>
          <cell r="D22" t="str">
            <v>ND</v>
          </cell>
          <cell r="E22" t="str">
            <v>ND</v>
          </cell>
          <cell r="F22">
            <v>0</v>
          </cell>
        </row>
        <row r="23">
          <cell r="C23">
            <v>1344</v>
          </cell>
          <cell r="D23" t="str">
            <v>ND</v>
          </cell>
          <cell r="E23" t="str">
            <v>ND</v>
          </cell>
          <cell r="F23">
            <v>0</v>
          </cell>
        </row>
        <row r="24">
          <cell r="C24">
            <v>1371</v>
          </cell>
          <cell r="D24" t="str">
            <v>ND</v>
          </cell>
          <cell r="E24" t="str">
            <v>ND</v>
          </cell>
          <cell r="F24">
            <v>0</v>
          </cell>
        </row>
        <row r="25">
          <cell r="C25">
            <v>1435</v>
          </cell>
          <cell r="D25" t="str">
            <v>ND</v>
          </cell>
          <cell r="E25" t="str">
            <v>ND</v>
          </cell>
          <cell r="F25">
            <v>0</v>
          </cell>
        </row>
        <row r="26">
          <cell r="C26">
            <v>1346</v>
          </cell>
          <cell r="D26" t="str">
            <v>ND</v>
          </cell>
          <cell r="E26" t="str">
            <v>ND</v>
          </cell>
          <cell r="F26">
            <v>0</v>
          </cell>
        </row>
        <row r="27">
          <cell r="C27">
            <v>1348</v>
          </cell>
          <cell r="D27" t="str">
            <v>ND</v>
          </cell>
          <cell r="E27" t="str">
            <v>ND</v>
          </cell>
          <cell r="F27">
            <v>0</v>
          </cell>
        </row>
        <row r="28">
          <cell r="C28">
            <v>1367</v>
          </cell>
          <cell r="D28" t="str">
            <v>ND</v>
          </cell>
          <cell r="E28" t="str">
            <v>ND</v>
          </cell>
          <cell r="F28">
            <v>0</v>
          </cell>
        </row>
        <row r="29">
          <cell r="C29">
            <v>1424</v>
          </cell>
          <cell r="D29" t="str">
            <v>ND</v>
          </cell>
          <cell r="E29" t="str">
            <v>ND</v>
          </cell>
          <cell r="F29">
            <v>0</v>
          </cell>
        </row>
        <row r="30">
          <cell r="C30">
            <v>1474</v>
          </cell>
          <cell r="D30" t="str">
            <v>ND</v>
          </cell>
          <cell r="E30" t="str">
            <v>ND</v>
          </cell>
          <cell r="F30">
            <v>0</v>
          </cell>
        </row>
        <row r="31">
          <cell r="C31">
            <v>1506</v>
          </cell>
          <cell r="D31" t="str">
            <v>ND</v>
          </cell>
          <cell r="E31" t="str">
            <v>ND</v>
          </cell>
          <cell r="F31">
            <v>0</v>
          </cell>
        </row>
        <row r="32">
          <cell r="C32">
            <v>1539</v>
          </cell>
          <cell r="D32" t="str">
            <v>ND</v>
          </cell>
          <cell r="E32" t="str">
            <v>ND</v>
          </cell>
          <cell r="F32">
            <v>0</v>
          </cell>
        </row>
        <row r="33">
          <cell r="C33">
            <v>1561</v>
          </cell>
          <cell r="D33" t="str">
            <v>ND</v>
          </cell>
          <cell r="E33" t="str">
            <v>ND</v>
          </cell>
          <cell r="F33">
            <v>0</v>
          </cell>
        </row>
        <row r="34">
          <cell r="C34">
            <v>1354</v>
          </cell>
          <cell r="D34" t="str">
            <v>ND</v>
          </cell>
          <cell r="E34" t="str">
            <v>ND</v>
          </cell>
          <cell r="F34">
            <v>0</v>
          </cell>
        </row>
        <row r="35">
          <cell r="C35">
            <v>1355</v>
          </cell>
          <cell r="D35" t="str">
            <v>ND</v>
          </cell>
          <cell r="E35" t="str">
            <v>ND</v>
          </cell>
          <cell r="F35">
            <v>0</v>
          </cell>
        </row>
        <row r="36">
          <cell r="C36">
            <v>1440</v>
          </cell>
          <cell r="D36" t="str">
            <v>ND</v>
          </cell>
          <cell r="E36" t="str">
            <v>ND</v>
          </cell>
          <cell r="F36">
            <v>0</v>
          </cell>
        </row>
        <row r="37">
          <cell r="C37">
            <v>1483</v>
          </cell>
          <cell r="D37" t="str">
            <v>ND</v>
          </cell>
          <cell r="E37" t="str">
            <v>ND</v>
          </cell>
          <cell r="F37">
            <v>0</v>
          </cell>
        </row>
        <row r="38">
          <cell r="C38">
            <v>1544</v>
          </cell>
          <cell r="D38" t="str">
            <v>ND</v>
          </cell>
          <cell r="E38" t="str">
            <v>ND</v>
          </cell>
          <cell r="F38">
            <v>0</v>
          </cell>
        </row>
        <row r="39">
          <cell r="C39">
            <v>1421</v>
          </cell>
          <cell r="D39" t="str">
            <v>ND</v>
          </cell>
          <cell r="E39" t="str">
            <v>ND</v>
          </cell>
          <cell r="F39">
            <v>0</v>
          </cell>
        </row>
        <row r="40">
          <cell r="C40">
            <v>1414</v>
          </cell>
          <cell r="D40" t="str">
            <v>ND</v>
          </cell>
          <cell r="E40" t="str">
            <v>ND</v>
          </cell>
          <cell r="F40">
            <v>0</v>
          </cell>
        </row>
        <row r="41">
          <cell r="C41">
            <v>1470</v>
          </cell>
          <cell r="D41" t="str">
            <v>ND</v>
          </cell>
          <cell r="E41" t="str">
            <v>ND</v>
          </cell>
          <cell r="F41">
            <v>0</v>
          </cell>
        </row>
        <row r="42">
          <cell r="C42">
            <v>1557</v>
          </cell>
          <cell r="D42" t="str">
            <v>ND</v>
          </cell>
          <cell r="E42" t="str">
            <v>ND</v>
          </cell>
          <cell r="F42">
            <v>0</v>
          </cell>
        </row>
        <row r="43">
          <cell r="C43">
            <v>1570</v>
          </cell>
          <cell r="D43" t="str">
            <v>ND</v>
          </cell>
          <cell r="E43" t="str">
            <v>ND</v>
          </cell>
          <cell r="F43">
            <v>0</v>
          </cell>
        </row>
        <row r="44">
          <cell r="C44">
            <v>1362</v>
          </cell>
          <cell r="D44" t="str">
            <v>ND</v>
          </cell>
          <cell r="E44" t="str">
            <v>ND</v>
          </cell>
          <cell r="F44">
            <v>0</v>
          </cell>
        </row>
        <row r="45">
          <cell r="C45">
            <v>1411</v>
          </cell>
          <cell r="D45" t="str">
            <v>ND</v>
          </cell>
          <cell r="E45" t="str">
            <v>ND</v>
          </cell>
          <cell r="F45">
            <v>0</v>
          </cell>
        </row>
        <row r="46">
          <cell r="C46">
            <v>1471</v>
          </cell>
          <cell r="D46" t="str">
            <v>ND</v>
          </cell>
          <cell r="E46" t="str">
            <v>ND</v>
          </cell>
          <cell r="F46">
            <v>0</v>
          </cell>
        </row>
        <row r="47">
          <cell r="C47">
            <v>1502</v>
          </cell>
          <cell r="D47" t="str">
            <v>ND</v>
          </cell>
          <cell r="E47" t="str">
            <v>ND</v>
          </cell>
          <cell r="F47">
            <v>0</v>
          </cell>
        </row>
        <row r="48">
          <cell r="C48">
            <v>1531</v>
          </cell>
          <cell r="D48" t="str">
            <v>ND</v>
          </cell>
          <cell r="E48" t="str">
            <v>ND</v>
          </cell>
          <cell r="F48">
            <v>0</v>
          </cell>
        </row>
        <row r="49">
          <cell r="C49">
            <v>1370</v>
          </cell>
          <cell r="D49" t="str">
            <v>ND</v>
          </cell>
          <cell r="E49" t="str">
            <v>ND</v>
          </cell>
          <cell r="F49">
            <v>0</v>
          </cell>
        </row>
        <row r="50">
          <cell r="C50">
            <v>1373</v>
          </cell>
          <cell r="D50" t="str">
            <v>ND</v>
          </cell>
          <cell r="E50" t="str">
            <v>ND</v>
          </cell>
          <cell r="F50">
            <v>0</v>
          </cell>
        </row>
        <row r="51">
          <cell r="C51">
            <v>1433</v>
          </cell>
          <cell r="D51" t="str">
            <v>ND</v>
          </cell>
          <cell r="E51" t="str">
            <v>ND</v>
          </cell>
          <cell r="F51">
            <v>0</v>
          </cell>
        </row>
        <row r="52">
          <cell r="C52">
            <v>1375</v>
          </cell>
          <cell r="D52" t="str">
            <v>ND</v>
          </cell>
          <cell r="E52" t="str">
            <v>ND</v>
          </cell>
          <cell r="F52">
            <v>0</v>
          </cell>
        </row>
        <row r="53">
          <cell r="C53">
            <v>1432</v>
          </cell>
          <cell r="D53" t="str">
            <v>ND</v>
          </cell>
          <cell r="E53" t="str">
            <v>ND</v>
          </cell>
          <cell r="F53">
            <v>0</v>
          </cell>
        </row>
        <row r="54">
          <cell r="C54">
            <v>1379</v>
          </cell>
          <cell r="D54" t="str">
            <v>ND</v>
          </cell>
          <cell r="E54" t="str">
            <v>ND</v>
          </cell>
          <cell r="F54">
            <v>0</v>
          </cell>
        </row>
        <row r="55">
          <cell r="C55">
            <v>1438</v>
          </cell>
          <cell r="D55" t="str">
            <v>ND</v>
          </cell>
          <cell r="E55" t="str">
            <v>ND</v>
          </cell>
          <cell r="F55">
            <v>0</v>
          </cell>
        </row>
        <row r="56">
          <cell r="C56">
            <v>1384</v>
          </cell>
          <cell r="D56" t="str">
            <v>ND</v>
          </cell>
          <cell r="E56" t="str">
            <v>ND</v>
          </cell>
          <cell r="F56">
            <v>0</v>
          </cell>
        </row>
        <row r="57">
          <cell r="C57">
            <v>1437</v>
          </cell>
          <cell r="D57" t="str">
            <v>ND</v>
          </cell>
          <cell r="E57" t="str">
            <v>ND</v>
          </cell>
          <cell r="F57">
            <v>0</v>
          </cell>
        </row>
        <row r="58">
          <cell r="C58">
            <v>1480</v>
          </cell>
          <cell r="D58" t="str">
            <v>ND</v>
          </cell>
          <cell r="E58" t="str">
            <v>ND</v>
          </cell>
          <cell r="F58">
            <v>0</v>
          </cell>
        </row>
        <row r="59">
          <cell r="C59">
            <v>1520</v>
          </cell>
          <cell r="D59" t="str">
            <v>ND</v>
          </cell>
          <cell r="E59" t="str">
            <v>ND</v>
          </cell>
          <cell r="F59">
            <v>0</v>
          </cell>
        </row>
        <row r="60">
          <cell r="C60">
            <v>1542</v>
          </cell>
          <cell r="D60" t="str">
            <v>ND</v>
          </cell>
          <cell r="E60" t="str">
            <v>ND</v>
          </cell>
          <cell r="F60">
            <v>0</v>
          </cell>
        </row>
        <row r="61">
          <cell r="C61">
            <v>1563</v>
          </cell>
          <cell r="D61" t="str">
            <v>ND</v>
          </cell>
          <cell r="E61" t="str">
            <v>ND</v>
          </cell>
          <cell r="F61">
            <v>0</v>
          </cell>
        </row>
        <row r="62">
          <cell r="C62">
            <v>1386</v>
          </cell>
          <cell r="D62" t="str">
            <v>ND</v>
          </cell>
          <cell r="E62" t="str">
            <v>ND</v>
          </cell>
          <cell r="F62">
            <v>0</v>
          </cell>
        </row>
        <row r="63">
          <cell r="C63">
            <v>1445</v>
          </cell>
          <cell r="D63" t="str">
            <v>ND</v>
          </cell>
          <cell r="E63" t="str">
            <v>ND</v>
          </cell>
          <cell r="F63">
            <v>0</v>
          </cell>
        </row>
        <row r="64">
          <cell r="C64">
            <v>1388</v>
          </cell>
          <cell r="D64" t="str">
            <v>ND</v>
          </cell>
          <cell r="E64" t="str">
            <v>ND</v>
          </cell>
          <cell r="F64">
            <v>0</v>
          </cell>
        </row>
        <row r="65">
          <cell r="C65">
            <v>1485</v>
          </cell>
          <cell r="D65" t="str">
            <v>ND</v>
          </cell>
          <cell r="E65" t="str">
            <v>ND</v>
          </cell>
          <cell r="F65">
            <v>0</v>
          </cell>
        </row>
        <row r="66">
          <cell r="C66">
            <v>1391</v>
          </cell>
          <cell r="D66" t="str">
            <v>ND</v>
          </cell>
          <cell r="E66" t="str">
            <v>ND</v>
          </cell>
          <cell r="F66">
            <v>0</v>
          </cell>
        </row>
        <row r="67">
          <cell r="C67">
            <v>1547</v>
          </cell>
          <cell r="D67" t="str">
            <v>ND</v>
          </cell>
          <cell r="E67" t="str">
            <v>ND</v>
          </cell>
          <cell r="F67">
            <v>0</v>
          </cell>
        </row>
        <row r="68">
          <cell r="C68">
            <v>1567</v>
          </cell>
          <cell r="D68" t="str">
            <v>ND</v>
          </cell>
          <cell r="E68" t="str">
            <v>ND</v>
          </cell>
          <cell r="F68">
            <v>0</v>
          </cell>
        </row>
        <row r="69">
          <cell r="C69">
            <v>1394</v>
          </cell>
          <cell r="D69" t="str">
            <v>ND</v>
          </cell>
          <cell r="E69" t="str">
            <v>ND</v>
          </cell>
          <cell r="F69">
            <v>0</v>
          </cell>
        </row>
        <row r="70">
          <cell r="C70">
            <v>1456</v>
          </cell>
          <cell r="D70" t="str">
            <v>ND</v>
          </cell>
          <cell r="E70" t="str">
            <v>ND</v>
          </cell>
          <cell r="F70">
            <v>0</v>
          </cell>
        </row>
        <row r="71">
          <cell r="C71">
            <v>1403</v>
          </cell>
          <cell r="D71" t="str">
            <v>ND</v>
          </cell>
          <cell r="E71" t="str">
            <v>ND</v>
          </cell>
          <cell r="F71">
            <v>0</v>
          </cell>
        </row>
        <row r="72">
          <cell r="C72">
            <v>1423</v>
          </cell>
          <cell r="D72" t="str">
            <v>ND</v>
          </cell>
          <cell r="E72" t="str">
            <v>ND</v>
          </cell>
          <cell r="F72">
            <v>0</v>
          </cell>
        </row>
        <row r="73">
          <cell r="C73">
            <v>1469</v>
          </cell>
          <cell r="D73" t="str">
            <v>ND</v>
          </cell>
          <cell r="E73" t="str">
            <v>ND</v>
          </cell>
          <cell r="F73">
            <v>0</v>
          </cell>
        </row>
        <row r="74">
          <cell r="C74">
            <v>1503</v>
          </cell>
          <cell r="D74" t="str">
            <v>ND</v>
          </cell>
          <cell r="E74" t="str">
            <v>ND</v>
          </cell>
          <cell r="F74">
            <v>0</v>
          </cell>
        </row>
        <row r="75">
          <cell r="C75">
            <v>1431</v>
          </cell>
          <cell r="D75" t="str">
            <v>ND</v>
          </cell>
          <cell r="E75" t="str">
            <v>ND</v>
          </cell>
          <cell r="F75">
            <v>0</v>
          </cell>
        </row>
        <row r="76">
          <cell r="C76">
            <v>1476</v>
          </cell>
          <cell r="D76" t="str">
            <v>ND</v>
          </cell>
          <cell r="E76" t="str">
            <v>ND</v>
          </cell>
          <cell r="F76">
            <v>0</v>
          </cell>
        </row>
        <row r="77">
          <cell r="C77">
            <v>1444</v>
          </cell>
          <cell r="D77" t="str">
            <v>ND</v>
          </cell>
          <cell r="E77" t="str">
            <v>ND</v>
          </cell>
          <cell r="F77">
            <v>0</v>
          </cell>
        </row>
        <row r="78">
          <cell r="C78">
            <v>1450</v>
          </cell>
          <cell r="D78" t="str">
            <v>ND</v>
          </cell>
          <cell r="E78" t="str">
            <v>ND</v>
          </cell>
          <cell r="F78">
            <v>0</v>
          </cell>
        </row>
        <row r="79">
          <cell r="C79">
            <v>1482</v>
          </cell>
          <cell r="D79" t="str">
            <v>ND</v>
          </cell>
          <cell r="E79" t="str">
            <v>ND</v>
          </cell>
          <cell r="F79">
            <v>0</v>
          </cell>
        </row>
        <row r="80">
          <cell r="C80">
            <v>1466</v>
          </cell>
          <cell r="D80" t="str">
            <v>ND</v>
          </cell>
          <cell r="E80" t="str">
            <v>ND</v>
          </cell>
          <cell r="F80">
            <v>0</v>
          </cell>
        </row>
        <row r="81">
          <cell r="C81">
            <v>1501</v>
          </cell>
          <cell r="D81" t="str">
            <v>ND</v>
          </cell>
          <cell r="E81" t="str">
            <v>ND</v>
          </cell>
          <cell r="F81">
            <v>0</v>
          </cell>
        </row>
        <row r="82">
          <cell r="C82">
            <v>1553</v>
          </cell>
          <cell r="D82" t="str">
            <v>ND</v>
          </cell>
          <cell r="E82" t="str">
            <v>ND</v>
          </cell>
          <cell r="F82">
            <v>0</v>
          </cell>
        </row>
        <row r="83">
          <cell r="C83">
            <v>1569</v>
          </cell>
          <cell r="D83" t="str">
            <v>ND</v>
          </cell>
          <cell r="E83" t="str">
            <v>ND</v>
          </cell>
          <cell r="F83">
            <v>0</v>
          </cell>
        </row>
        <row r="84">
          <cell r="C84">
            <v>1477</v>
          </cell>
          <cell r="D84" t="str">
            <v>ND</v>
          </cell>
          <cell r="E84" t="str">
            <v>ND</v>
          </cell>
          <cell r="F84">
            <v>0</v>
          </cell>
        </row>
        <row r="85">
          <cell r="C85">
            <v>1508</v>
          </cell>
          <cell r="D85" t="str">
            <v>ND</v>
          </cell>
          <cell r="E85" t="str">
            <v>ND</v>
          </cell>
          <cell r="F85">
            <v>0</v>
          </cell>
        </row>
        <row r="86">
          <cell r="C86">
            <v>1548</v>
          </cell>
          <cell r="D86" t="str">
            <v>ND</v>
          </cell>
          <cell r="E86" t="str">
            <v>ND</v>
          </cell>
          <cell r="F86">
            <v>0</v>
          </cell>
        </row>
        <row r="87">
          <cell r="C87">
            <v>1562</v>
          </cell>
          <cell r="D87" t="str">
            <v>ND</v>
          </cell>
          <cell r="E87" t="str">
            <v>ND</v>
          </cell>
          <cell r="F87">
            <v>0</v>
          </cell>
        </row>
        <row r="88">
          <cell r="C88">
            <v>1495</v>
          </cell>
          <cell r="D88" t="str">
            <v>ND</v>
          </cell>
          <cell r="E88" t="str">
            <v>ND</v>
          </cell>
          <cell r="F88">
            <v>0</v>
          </cell>
        </row>
        <row r="89">
          <cell r="C89">
            <v>1512</v>
          </cell>
          <cell r="D89" t="str">
            <v>ND</v>
          </cell>
          <cell r="E89" t="str">
            <v>ND</v>
          </cell>
          <cell r="F89">
            <v>0</v>
          </cell>
        </row>
        <row r="90">
          <cell r="C90">
            <v>1522</v>
          </cell>
          <cell r="D90" t="str">
            <v>ND</v>
          </cell>
          <cell r="E90" t="str">
            <v>ND</v>
          </cell>
          <cell r="F90">
            <v>0</v>
          </cell>
        </row>
        <row r="91">
          <cell r="C91">
            <v>1524</v>
          </cell>
          <cell r="D91" t="str">
            <v>ND</v>
          </cell>
          <cell r="E91" t="str">
            <v>ND</v>
          </cell>
          <cell r="F91">
            <v>0</v>
          </cell>
        </row>
        <row r="92">
          <cell r="C92">
            <v>1534</v>
          </cell>
          <cell r="D92" t="str">
            <v>ND</v>
          </cell>
          <cell r="E92" t="str">
            <v>ND</v>
          </cell>
          <cell r="F92">
            <v>0</v>
          </cell>
        </row>
        <row r="93">
          <cell r="C93">
            <v>1576</v>
          </cell>
          <cell r="D93" t="str">
            <v>ND</v>
          </cell>
          <cell r="E93" t="str">
            <v>ND</v>
          </cell>
          <cell r="F93">
            <v>0</v>
          </cell>
        </row>
        <row r="94">
          <cell r="C94">
            <v>1538</v>
          </cell>
          <cell r="D94" t="str">
            <v>ND</v>
          </cell>
          <cell r="E94" t="str">
            <v>ND</v>
          </cell>
          <cell r="F94">
            <v>0</v>
          </cell>
        </row>
        <row r="95">
          <cell r="C95">
            <v>1560</v>
          </cell>
          <cell r="D95" t="str">
            <v>ND</v>
          </cell>
          <cell r="E95" t="str">
            <v>ND</v>
          </cell>
          <cell r="F95">
            <v>0</v>
          </cell>
        </row>
        <row r="96">
          <cell r="C96">
            <v>1340</v>
          </cell>
          <cell r="D96" t="str">
            <v>ND</v>
          </cell>
          <cell r="E96" t="str">
            <v>ND</v>
          </cell>
          <cell r="F96">
            <v>0</v>
          </cell>
        </row>
        <row r="97">
          <cell r="C97">
            <v>1342</v>
          </cell>
          <cell r="D97" t="str">
            <v>ND</v>
          </cell>
          <cell r="E97" t="str">
            <v>ND</v>
          </cell>
          <cell r="F97">
            <v>0</v>
          </cell>
        </row>
        <row r="98">
          <cell r="C98">
            <v>1360</v>
          </cell>
          <cell r="D98" t="str">
            <v>ND</v>
          </cell>
          <cell r="E98" t="str">
            <v>ND</v>
          </cell>
          <cell r="F98">
            <v>0</v>
          </cell>
        </row>
        <row r="99">
          <cell r="C99">
            <v>1351</v>
          </cell>
          <cell r="D99" t="str">
            <v>ND</v>
          </cell>
          <cell r="E99" t="str">
            <v>ND</v>
          </cell>
          <cell r="F99">
            <v>0</v>
          </cell>
        </row>
        <row r="100">
          <cell r="C100">
            <v>1382</v>
          </cell>
          <cell r="D100" t="str">
            <v>ND</v>
          </cell>
          <cell r="E100" t="str">
            <v>ND</v>
          </cell>
          <cell r="F100">
            <v>0</v>
          </cell>
        </row>
        <row r="101">
          <cell r="C101">
            <v>1449</v>
          </cell>
          <cell r="D101" t="str">
            <v>ND</v>
          </cell>
          <cell r="E101" t="str">
            <v>ND</v>
          </cell>
          <cell r="F101">
            <v>0</v>
          </cell>
        </row>
        <row r="102">
          <cell r="C102">
            <v>1516</v>
          </cell>
          <cell r="D102" t="str">
            <v>ND</v>
          </cell>
          <cell r="E102" t="str">
            <v>ND</v>
          </cell>
          <cell r="F102">
            <v>0</v>
          </cell>
        </row>
        <row r="103">
          <cell r="C103" t="str">
            <v>1545 (duplicate tube #1)</v>
          </cell>
          <cell r="D103" t="str">
            <v>ND</v>
          </cell>
          <cell r="E103" t="str">
            <v>ND</v>
          </cell>
          <cell r="F103">
            <v>0</v>
          </cell>
        </row>
        <row r="104">
          <cell r="C104">
            <v>1415</v>
          </cell>
          <cell r="D104" t="str">
            <v>ND</v>
          </cell>
          <cell r="E104" t="str">
            <v>ND</v>
          </cell>
          <cell r="F104">
            <v>0</v>
          </cell>
        </row>
        <row r="105">
          <cell r="C105">
            <v>1412</v>
          </cell>
          <cell r="D105" t="str">
            <v>ND</v>
          </cell>
          <cell r="E105" t="str">
            <v>ND</v>
          </cell>
          <cell r="F105">
            <v>0</v>
          </cell>
        </row>
        <row r="106">
          <cell r="C106">
            <v>1392</v>
          </cell>
          <cell r="D106" t="str">
            <v>ND</v>
          </cell>
          <cell r="E106" t="str">
            <v>ND</v>
          </cell>
          <cell r="F106">
            <v>0</v>
          </cell>
        </row>
        <row r="107">
          <cell r="C107">
            <v>1413</v>
          </cell>
          <cell r="D107" t="str">
            <v>ND</v>
          </cell>
          <cell r="E107" t="str">
            <v>ND</v>
          </cell>
          <cell r="F107">
            <v>0</v>
          </cell>
        </row>
        <row r="108">
          <cell r="C108">
            <v>1399</v>
          </cell>
          <cell r="D108" t="str">
            <v>ND</v>
          </cell>
          <cell r="E108" t="str">
            <v>ND</v>
          </cell>
          <cell r="F108">
            <v>0</v>
          </cell>
        </row>
        <row r="109">
          <cell r="C109">
            <v>1418</v>
          </cell>
          <cell r="D109" t="str">
            <v>ND</v>
          </cell>
          <cell r="E109" t="str">
            <v>ND</v>
          </cell>
          <cell r="F109">
            <v>0</v>
          </cell>
        </row>
        <row r="110">
          <cell r="C110">
            <v>1402</v>
          </cell>
          <cell r="D110" t="str">
            <v>ND</v>
          </cell>
          <cell r="E110" t="str">
            <v>ND</v>
          </cell>
          <cell r="F110">
            <v>0</v>
          </cell>
        </row>
        <row r="111">
          <cell r="C111">
            <v>1453</v>
          </cell>
          <cell r="D111" t="str">
            <v>ND</v>
          </cell>
          <cell r="E111" t="str">
            <v>ND</v>
          </cell>
          <cell r="F111">
            <v>0</v>
          </cell>
        </row>
        <row r="112">
          <cell r="C112">
            <v>1493</v>
          </cell>
          <cell r="D112" t="str">
            <v>ND</v>
          </cell>
          <cell r="E112" t="str">
            <v>ND</v>
          </cell>
          <cell r="F112">
            <v>0</v>
          </cell>
        </row>
        <row r="113">
          <cell r="C113">
            <v>1426</v>
          </cell>
          <cell r="D113" t="str">
            <v>ND</v>
          </cell>
          <cell r="E113" t="str">
            <v>ND</v>
          </cell>
          <cell r="F113">
            <v>0</v>
          </cell>
        </row>
        <row r="114">
          <cell r="C114">
            <v>1396</v>
          </cell>
          <cell r="D114" t="str">
            <v>ND</v>
          </cell>
          <cell r="E114" t="str">
            <v>ND</v>
          </cell>
          <cell r="F114">
            <v>0</v>
          </cell>
        </row>
        <row r="115">
          <cell r="C115">
            <v>1458</v>
          </cell>
          <cell r="D115" t="str">
            <v>ND</v>
          </cell>
          <cell r="E115" t="str">
            <v>ND</v>
          </cell>
          <cell r="F115">
            <v>0</v>
          </cell>
        </row>
        <row r="116">
          <cell r="C116">
            <v>1419</v>
          </cell>
          <cell r="D116" t="str">
            <v>ND</v>
          </cell>
          <cell r="E116" t="str">
            <v>ND</v>
          </cell>
          <cell r="F116">
            <v>0</v>
          </cell>
        </row>
        <row r="117">
          <cell r="C117">
            <v>1398</v>
          </cell>
          <cell r="D117" t="str">
            <v>ND</v>
          </cell>
          <cell r="E117" t="str">
            <v>ND</v>
          </cell>
          <cell r="F117">
            <v>0</v>
          </cell>
        </row>
        <row r="118">
          <cell r="C118">
            <v>1397</v>
          </cell>
          <cell r="D118" t="str">
            <v>ND</v>
          </cell>
          <cell r="E118" t="str">
            <v>ND</v>
          </cell>
          <cell r="F118">
            <v>0</v>
          </cell>
        </row>
        <row r="119">
          <cell r="C119">
            <v>1448</v>
          </cell>
          <cell r="D119" t="str">
            <v>ND</v>
          </cell>
          <cell r="E119" t="str">
            <v>ND</v>
          </cell>
          <cell r="F119">
            <v>0</v>
          </cell>
        </row>
        <row r="120">
          <cell r="C120">
            <v>1343</v>
          </cell>
          <cell r="D120" t="str">
            <v>ND</v>
          </cell>
          <cell r="E120" t="str">
            <v>ND</v>
          </cell>
          <cell r="F120">
            <v>0</v>
          </cell>
        </row>
        <row r="121">
          <cell r="C121">
            <v>1369</v>
          </cell>
          <cell r="D121" t="str">
            <v>ND</v>
          </cell>
          <cell r="E121" t="str">
            <v>ND</v>
          </cell>
          <cell r="F121">
            <v>0</v>
          </cell>
        </row>
        <row r="122">
          <cell r="C122">
            <v>1430</v>
          </cell>
          <cell r="D122" t="str">
            <v>ND</v>
          </cell>
          <cell r="E122" t="str">
            <v>ND</v>
          </cell>
          <cell r="F122">
            <v>0</v>
          </cell>
        </row>
        <row r="123">
          <cell r="C123">
            <v>1475</v>
          </cell>
          <cell r="D123" t="str">
            <v>ND</v>
          </cell>
          <cell r="E123" t="str">
            <v>ND</v>
          </cell>
          <cell r="F123">
            <v>0</v>
          </cell>
        </row>
        <row r="124">
          <cell r="C124">
            <v>1507</v>
          </cell>
          <cell r="D124" t="str">
            <v>ND</v>
          </cell>
          <cell r="E124" t="str">
            <v>ND</v>
          </cell>
          <cell r="F124">
            <v>0</v>
          </cell>
        </row>
        <row r="125">
          <cell r="C125">
            <v>1535</v>
          </cell>
          <cell r="D125" t="str">
            <v>ND</v>
          </cell>
          <cell r="E125" t="str">
            <v>ND</v>
          </cell>
          <cell r="F125">
            <v>0</v>
          </cell>
        </row>
        <row r="126">
          <cell r="C126">
            <v>1345</v>
          </cell>
          <cell r="D126" t="str">
            <v>ND</v>
          </cell>
          <cell r="E126" t="str">
            <v>ND</v>
          </cell>
          <cell r="F126">
            <v>0</v>
          </cell>
        </row>
        <row r="127">
          <cell r="C127">
            <v>1368</v>
          </cell>
          <cell r="D127" t="str">
            <v>ND</v>
          </cell>
          <cell r="E127" t="str">
            <v>ND</v>
          </cell>
          <cell r="F127">
            <v>0</v>
          </cell>
        </row>
        <row r="128">
          <cell r="C128">
            <v>1436</v>
          </cell>
          <cell r="D128" t="str">
            <v>ND</v>
          </cell>
          <cell r="E128" t="str">
            <v>ND</v>
          </cell>
          <cell r="F128">
            <v>0</v>
          </cell>
        </row>
        <row r="129">
          <cell r="C129">
            <v>1347</v>
          </cell>
          <cell r="D129" t="str">
            <v>ND</v>
          </cell>
          <cell r="E129" t="str">
            <v>ND</v>
          </cell>
          <cell r="F129">
            <v>0</v>
          </cell>
        </row>
        <row r="130">
          <cell r="C130">
            <v>1429</v>
          </cell>
          <cell r="D130" t="str">
            <v>ND</v>
          </cell>
          <cell r="E130" t="str">
            <v>ND</v>
          </cell>
          <cell r="F130">
            <v>0</v>
          </cell>
        </row>
        <row r="131">
          <cell r="C131">
            <v>1389</v>
          </cell>
          <cell r="D131" t="str">
            <v>ND</v>
          </cell>
          <cell r="E131" t="str">
            <v>ND</v>
          </cell>
          <cell r="F131">
            <v>0</v>
          </cell>
        </row>
        <row r="132">
          <cell r="C132">
            <v>1353</v>
          </cell>
          <cell r="D132" t="str">
            <v>ND</v>
          </cell>
          <cell r="E132" t="str">
            <v>ND</v>
          </cell>
          <cell r="F132">
            <v>0</v>
          </cell>
        </row>
        <row r="133">
          <cell r="C133">
            <v>1380</v>
          </cell>
          <cell r="D133" t="str">
            <v>ND</v>
          </cell>
          <cell r="E133" t="str">
            <v>ND</v>
          </cell>
          <cell r="F133">
            <v>0</v>
          </cell>
        </row>
        <row r="134">
          <cell r="C134">
            <v>1442</v>
          </cell>
          <cell r="D134" t="str">
            <v>ND</v>
          </cell>
          <cell r="E134" t="str">
            <v>ND</v>
          </cell>
          <cell r="F134">
            <v>0</v>
          </cell>
        </row>
        <row r="135">
          <cell r="C135">
            <v>1484</v>
          </cell>
          <cell r="D135" t="str">
            <v>ND</v>
          </cell>
          <cell r="E135" t="str">
            <v>ND</v>
          </cell>
          <cell r="F135">
            <v>0</v>
          </cell>
        </row>
        <row r="136">
          <cell r="C136">
            <v>1518</v>
          </cell>
          <cell r="D136" t="str">
            <v>ND</v>
          </cell>
          <cell r="E136" t="str">
            <v>ND</v>
          </cell>
          <cell r="F136">
            <v>0</v>
          </cell>
        </row>
        <row r="137">
          <cell r="C137">
            <v>1546</v>
          </cell>
          <cell r="D137" t="str">
            <v>ND</v>
          </cell>
          <cell r="E137" t="str">
            <v>ND</v>
          </cell>
          <cell r="F137">
            <v>0</v>
          </cell>
        </row>
        <row r="138">
          <cell r="C138">
            <v>1428</v>
          </cell>
          <cell r="D138" t="str">
            <v>ND</v>
          </cell>
          <cell r="E138" t="str">
            <v>ND</v>
          </cell>
          <cell r="F138">
            <v>0</v>
          </cell>
        </row>
        <row r="139">
          <cell r="C139">
            <v>1357</v>
          </cell>
          <cell r="D139" t="str">
            <v>ND</v>
          </cell>
          <cell r="E139" t="str">
            <v>ND</v>
          </cell>
          <cell r="F139">
            <v>0</v>
          </cell>
        </row>
        <row r="140">
          <cell r="C140">
            <v>1406</v>
          </cell>
          <cell r="D140" t="str">
            <v>ND</v>
          </cell>
          <cell r="E140" t="str">
            <v>ND</v>
          </cell>
          <cell r="F140">
            <v>0</v>
          </cell>
        </row>
        <row r="141">
          <cell r="C141">
            <v>1464</v>
          </cell>
          <cell r="D141" t="str">
            <v>ND</v>
          </cell>
          <cell r="E141" t="str">
            <v>ND</v>
          </cell>
          <cell r="F141">
            <v>0</v>
          </cell>
        </row>
        <row r="142">
          <cell r="C142">
            <v>1358</v>
          </cell>
          <cell r="D142" t="str">
            <v>ND</v>
          </cell>
          <cell r="E142" t="str">
            <v>ND</v>
          </cell>
          <cell r="F142">
            <v>0</v>
          </cell>
        </row>
        <row r="143">
          <cell r="C143">
            <v>1468</v>
          </cell>
          <cell r="D143" t="str">
            <v>ND</v>
          </cell>
          <cell r="E143" t="str">
            <v>ND</v>
          </cell>
          <cell r="F143">
            <v>0</v>
          </cell>
        </row>
        <row r="144">
          <cell r="C144">
            <v>1359</v>
          </cell>
          <cell r="D144" t="str">
            <v>ND</v>
          </cell>
          <cell r="E144" t="str">
            <v>ND</v>
          </cell>
          <cell r="F144">
            <v>0</v>
          </cell>
        </row>
        <row r="145">
          <cell r="C145" t="str">
            <v>1545 (duplicate tube #2)</v>
          </cell>
          <cell r="D145" t="str">
            <v>ND</v>
          </cell>
          <cell r="E145" t="str">
            <v>ND</v>
          </cell>
          <cell r="F145">
            <v>0</v>
          </cell>
        </row>
        <row r="146">
          <cell r="C146">
            <v>1554</v>
          </cell>
          <cell r="D146" t="str">
            <v>ND</v>
          </cell>
          <cell r="E146" t="str">
            <v>ND</v>
          </cell>
          <cell r="F146">
            <v>0</v>
          </cell>
        </row>
        <row r="147">
          <cell r="C147">
            <v>1571</v>
          </cell>
          <cell r="D147" t="str">
            <v>ND</v>
          </cell>
          <cell r="E147" t="str">
            <v>ND</v>
          </cell>
          <cell r="F147">
            <v>0</v>
          </cell>
        </row>
        <row r="148">
          <cell r="C148">
            <v>1422</v>
          </cell>
          <cell r="D148" t="str">
            <v>ND</v>
          </cell>
          <cell r="E148" t="str">
            <v>ND</v>
          </cell>
          <cell r="F148">
            <v>0</v>
          </cell>
        </row>
        <row r="149">
          <cell r="C149">
            <v>1409</v>
          </cell>
          <cell r="D149" t="str">
            <v>ND</v>
          </cell>
          <cell r="E149" t="str">
            <v>ND</v>
          </cell>
          <cell r="F149">
            <v>0</v>
          </cell>
        </row>
        <row r="150">
          <cell r="C150">
            <v>1499</v>
          </cell>
          <cell r="D150" t="str">
            <v>ND</v>
          </cell>
          <cell r="E150" t="str">
            <v>ND</v>
          </cell>
          <cell r="F150">
            <v>0</v>
          </cell>
        </row>
        <row r="151">
          <cell r="C151">
            <v>1530</v>
          </cell>
          <cell r="D151" t="str">
            <v>ND</v>
          </cell>
          <cell r="E151" t="str">
            <v>ND</v>
          </cell>
          <cell r="F151">
            <v>0</v>
          </cell>
        </row>
        <row r="152">
          <cell r="C152">
            <v>1364</v>
          </cell>
          <cell r="D152" t="str">
            <v>ND</v>
          </cell>
          <cell r="E152" t="str">
            <v>ND</v>
          </cell>
          <cell r="F152">
            <v>0</v>
          </cell>
        </row>
        <row r="153">
          <cell r="C153">
            <v>1420</v>
          </cell>
          <cell r="D153" t="str">
            <v>ND</v>
          </cell>
          <cell r="E153" t="str">
            <v>ND</v>
          </cell>
          <cell r="F153">
            <v>0</v>
          </cell>
        </row>
        <row r="154">
          <cell r="C154">
            <v>1467</v>
          </cell>
          <cell r="D154" t="str">
            <v>ND</v>
          </cell>
          <cell r="E154" t="str">
            <v>ND</v>
          </cell>
          <cell r="F154">
            <v>0</v>
          </cell>
        </row>
        <row r="155">
          <cell r="C155">
            <v>1361</v>
          </cell>
          <cell r="D155" t="str">
            <v>ND</v>
          </cell>
          <cell r="E155" t="str">
            <v>ND</v>
          </cell>
          <cell r="F155">
            <v>0</v>
          </cell>
        </row>
        <row r="156">
          <cell r="C156">
            <v>1365</v>
          </cell>
          <cell r="D156" t="str">
            <v>ND</v>
          </cell>
          <cell r="E156" t="str">
            <v>ND</v>
          </cell>
          <cell r="F156">
            <v>0</v>
          </cell>
        </row>
        <row r="157">
          <cell r="C157">
            <v>1461</v>
          </cell>
          <cell r="D157" t="str">
            <v>ND</v>
          </cell>
          <cell r="E157" t="str">
            <v>ND</v>
          </cell>
          <cell r="F157">
            <v>0</v>
          </cell>
        </row>
        <row r="158">
          <cell r="C158">
            <v>1366</v>
          </cell>
          <cell r="D158" t="str">
            <v>ND</v>
          </cell>
          <cell r="E158" t="str">
            <v>ND</v>
          </cell>
          <cell r="F158">
            <v>0</v>
          </cell>
        </row>
        <row r="159">
          <cell r="C159">
            <v>1372</v>
          </cell>
          <cell r="D159" t="str">
            <v>ND</v>
          </cell>
          <cell r="E159" t="str">
            <v>ND</v>
          </cell>
          <cell r="F159">
            <v>0</v>
          </cell>
        </row>
        <row r="160">
          <cell r="C160">
            <v>1374</v>
          </cell>
          <cell r="D160" t="str">
            <v>ND</v>
          </cell>
          <cell r="E160" t="str">
            <v>ND</v>
          </cell>
          <cell r="F160">
            <v>0</v>
          </cell>
        </row>
        <row r="161">
          <cell r="C161">
            <v>1377</v>
          </cell>
          <cell r="D161" t="str">
            <v>ND</v>
          </cell>
          <cell r="E161" t="str">
            <v>ND</v>
          </cell>
          <cell r="F161">
            <v>0</v>
          </cell>
        </row>
        <row r="162">
          <cell r="C162">
            <v>1383</v>
          </cell>
          <cell r="D162" t="str">
            <v>ND</v>
          </cell>
          <cell r="E162" t="str">
            <v>ND</v>
          </cell>
          <cell r="F162">
            <v>0</v>
          </cell>
        </row>
        <row r="163">
          <cell r="C163">
            <v>1441</v>
          </cell>
          <cell r="D163" t="str">
            <v>ND</v>
          </cell>
          <cell r="E163" t="str">
            <v>ND</v>
          </cell>
          <cell r="F163">
            <v>0</v>
          </cell>
        </row>
        <row r="164">
          <cell r="C164">
            <v>1387</v>
          </cell>
          <cell r="D164" t="str">
            <v>ND</v>
          </cell>
          <cell r="E164" t="str">
            <v>ND</v>
          </cell>
          <cell r="F164">
            <v>0</v>
          </cell>
        </row>
        <row r="165">
          <cell r="C165">
            <v>1446</v>
          </cell>
          <cell r="D165" t="str">
            <v>ND</v>
          </cell>
          <cell r="E165" t="str">
            <v>ND</v>
          </cell>
          <cell r="F165">
            <v>0</v>
          </cell>
        </row>
        <row r="166">
          <cell r="C166">
            <v>1487</v>
          </cell>
          <cell r="D166" t="str">
            <v>ND</v>
          </cell>
          <cell r="E166" t="str">
            <v>ND</v>
          </cell>
          <cell r="F166">
            <v>0</v>
          </cell>
        </row>
        <row r="167">
          <cell r="C167">
            <v>1515</v>
          </cell>
          <cell r="D167" t="str">
            <v>ND</v>
          </cell>
          <cell r="E167" t="str">
            <v>ND</v>
          </cell>
          <cell r="F167">
            <v>0</v>
          </cell>
        </row>
        <row r="168">
          <cell r="C168">
            <v>1390</v>
          </cell>
          <cell r="D168" t="str">
            <v>ND</v>
          </cell>
          <cell r="E168" t="str">
            <v>ND</v>
          </cell>
          <cell r="F168">
            <v>0</v>
          </cell>
        </row>
        <row r="169">
          <cell r="C169">
            <v>1393</v>
          </cell>
          <cell r="D169" t="str">
            <v>ND</v>
          </cell>
          <cell r="E169" t="str">
            <v>ND</v>
          </cell>
          <cell r="F169">
            <v>0</v>
          </cell>
        </row>
        <row r="170">
          <cell r="C170">
            <v>1400</v>
          </cell>
          <cell r="D170" t="str">
            <v>ND</v>
          </cell>
          <cell r="E170" t="str">
            <v>ND</v>
          </cell>
          <cell r="F170">
            <v>0</v>
          </cell>
        </row>
        <row r="171">
          <cell r="C171">
            <v>1405</v>
          </cell>
          <cell r="D171" t="str">
            <v>ND</v>
          </cell>
          <cell r="E171" t="str">
            <v>ND</v>
          </cell>
          <cell r="F171">
            <v>0</v>
          </cell>
        </row>
        <row r="172">
          <cell r="C172">
            <v>1459</v>
          </cell>
          <cell r="D172" t="str">
            <v>ND</v>
          </cell>
          <cell r="E172" t="str">
            <v>ND</v>
          </cell>
          <cell r="F172">
            <v>0</v>
          </cell>
        </row>
        <row r="173">
          <cell r="C173">
            <v>1504</v>
          </cell>
          <cell r="D173" t="str">
            <v>ND</v>
          </cell>
          <cell r="E173" t="str">
            <v>ND</v>
          </cell>
          <cell r="F173">
            <v>0</v>
          </cell>
        </row>
        <row r="174">
          <cell r="C174">
            <v>1529</v>
          </cell>
          <cell r="D174" t="str">
            <v>ND</v>
          </cell>
          <cell r="E174" t="str">
            <v>ND</v>
          </cell>
          <cell r="F174">
            <v>0</v>
          </cell>
        </row>
        <row r="175">
          <cell r="C175">
            <v>1555</v>
          </cell>
          <cell r="D175" t="str">
            <v>ND</v>
          </cell>
          <cell r="E175" t="str">
            <v>ND</v>
          </cell>
          <cell r="F175">
            <v>0</v>
          </cell>
        </row>
        <row r="176">
          <cell r="C176">
            <v>1573</v>
          </cell>
          <cell r="D176" t="str">
            <v>ND</v>
          </cell>
          <cell r="E176" t="str">
            <v>ND</v>
          </cell>
          <cell r="F176">
            <v>0</v>
          </cell>
        </row>
        <row r="177">
          <cell r="C177">
            <v>1407</v>
          </cell>
          <cell r="D177" t="str">
            <v>ND</v>
          </cell>
          <cell r="E177" t="str">
            <v>ND</v>
          </cell>
          <cell r="F177">
            <v>0</v>
          </cell>
        </row>
        <row r="178">
          <cell r="C178">
            <v>1498</v>
          </cell>
          <cell r="D178" t="str">
            <v>ND</v>
          </cell>
          <cell r="E178" t="str">
            <v>ND</v>
          </cell>
          <cell r="F178">
            <v>0</v>
          </cell>
        </row>
        <row r="179">
          <cell r="C179">
            <v>1574</v>
          </cell>
          <cell r="D179" t="str">
            <v>ND</v>
          </cell>
          <cell r="E179" t="str">
            <v>ND</v>
          </cell>
          <cell r="F179">
            <v>0</v>
          </cell>
        </row>
        <row r="180">
          <cell r="C180">
            <v>1408</v>
          </cell>
          <cell r="D180" t="str">
            <v>ND</v>
          </cell>
          <cell r="E180" t="str">
            <v>ND</v>
          </cell>
          <cell r="F180">
            <v>0</v>
          </cell>
        </row>
        <row r="181">
          <cell r="C181">
            <v>1465</v>
          </cell>
          <cell r="D181" t="str">
            <v>ND</v>
          </cell>
          <cell r="E181" t="str">
            <v>ND</v>
          </cell>
          <cell r="F181">
            <v>0</v>
          </cell>
        </row>
        <row r="182">
          <cell r="C182">
            <v>1427</v>
          </cell>
          <cell r="D182" t="str">
            <v>ND</v>
          </cell>
          <cell r="E182" t="str">
            <v>ND</v>
          </cell>
          <cell r="F182">
            <v>0</v>
          </cell>
        </row>
        <row r="183">
          <cell r="C183">
            <v>1434</v>
          </cell>
          <cell r="D183" t="str">
            <v>ND</v>
          </cell>
          <cell r="E183" t="str">
            <v>ND</v>
          </cell>
          <cell r="F183">
            <v>0</v>
          </cell>
        </row>
        <row r="184">
          <cell r="C184">
            <v>1447</v>
          </cell>
          <cell r="D184" t="str">
            <v>ND</v>
          </cell>
          <cell r="E184" t="str">
            <v>ND</v>
          </cell>
          <cell r="F184">
            <v>0</v>
          </cell>
        </row>
        <row r="185">
          <cell r="C185">
            <v>1479</v>
          </cell>
          <cell r="D185" t="str">
            <v>ND</v>
          </cell>
          <cell r="E185" t="str">
            <v>ND</v>
          </cell>
          <cell r="F185">
            <v>0</v>
          </cell>
        </row>
        <row r="186">
          <cell r="C186">
            <v>1519</v>
          </cell>
          <cell r="D186" t="str">
            <v>ND</v>
          </cell>
          <cell r="E186" t="str">
            <v>ND</v>
          </cell>
          <cell r="F186">
            <v>0</v>
          </cell>
        </row>
        <row r="187">
          <cell r="C187">
            <v>1550</v>
          </cell>
          <cell r="D187" t="str">
            <v>ND</v>
          </cell>
          <cell r="E187" t="str">
            <v>ND</v>
          </cell>
          <cell r="F187">
            <v>0</v>
          </cell>
        </row>
        <row r="188">
          <cell r="C188">
            <v>1452</v>
          </cell>
          <cell r="D188" t="str">
            <v>ND</v>
          </cell>
          <cell r="E188" t="str">
            <v>ND</v>
          </cell>
          <cell r="F188">
            <v>0</v>
          </cell>
        </row>
        <row r="189">
          <cell r="C189">
            <v>1454</v>
          </cell>
          <cell r="D189" t="str">
            <v>ND</v>
          </cell>
          <cell r="E189" t="str">
            <v>ND</v>
          </cell>
          <cell r="F189">
            <v>0</v>
          </cell>
        </row>
        <row r="190">
          <cell r="C190">
            <v>1489</v>
          </cell>
          <cell r="D190" t="str">
            <v>ND</v>
          </cell>
          <cell r="E190" t="str">
            <v>ND</v>
          </cell>
          <cell r="F190">
            <v>0</v>
          </cell>
        </row>
        <row r="191">
          <cell r="C191">
            <v>1457</v>
          </cell>
          <cell r="D191" t="str">
            <v>ND</v>
          </cell>
          <cell r="E191" t="str">
            <v>ND</v>
          </cell>
          <cell r="F191">
            <v>0</v>
          </cell>
        </row>
        <row r="192">
          <cell r="C192">
            <v>1478</v>
          </cell>
          <cell r="D192" t="str">
            <v>ND</v>
          </cell>
          <cell r="E192" t="str">
            <v>ND</v>
          </cell>
          <cell r="F192">
            <v>0</v>
          </cell>
        </row>
        <row r="193">
          <cell r="C193">
            <v>1460</v>
          </cell>
          <cell r="D193" t="str">
            <v>ND</v>
          </cell>
          <cell r="E193" t="str">
            <v>ND</v>
          </cell>
          <cell r="F193">
            <v>0</v>
          </cell>
        </row>
        <row r="194">
          <cell r="C194">
            <v>1462</v>
          </cell>
          <cell r="D194" t="str">
            <v>ND</v>
          </cell>
          <cell r="E194" t="str">
            <v>ND</v>
          </cell>
          <cell r="F194">
            <v>0</v>
          </cell>
        </row>
        <row r="195">
          <cell r="C195">
            <v>1473</v>
          </cell>
          <cell r="D195" t="str">
            <v>ND</v>
          </cell>
          <cell r="E195" t="str">
            <v>ND</v>
          </cell>
          <cell r="F195">
            <v>0</v>
          </cell>
        </row>
        <row r="196">
          <cell r="C196">
            <v>1511</v>
          </cell>
          <cell r="D196" t="str">
            <v>ND</v>
          </cell>
          <cell r="E196" t="str">
            <v>ND</v>
          </cell>
          <cell r="F196">
            <v>0</v>
          </cell>
        </row>
        <row r="197">
          <cell r="C197">
            <v>1536</v>
          </cell>
          <cell r="D197" t="str">
            <v>ND</v>
          </cell>
          <cell r="E197" t="str">
            <v>ND</v>
          </cell>
          <cell r="F197">
            <v>0</v>
          </cell>
        </row>
        <row r="198">
          <cell r="C198">
            <v>1488</v>
          </cell>
          <cell r="D198" t="str">
            <v>ND</v>
          </cell>
          <cell r="E198" t="str">
            <v>ND</v>
          </cell>
          <cell r="F198">
            <v>0</v>
          </cell>
        </row>
        <row r="199">
          <cell r="C199">
            <v>1521</v>
          </cell>
          <cell r="D199" t="str">
            <v>ND</v>
          </cell>
          <cell r="E199" t="str">
            <v>ND</v>
          </cell>
          <cell r="F199">
            <v>0</v>
          </cell>
        </row>
        <row r="200">
          <cell r="C200">
            <v>1492</v>
          </cell>
          <cell r="D200" t="str">
            <v>ND</v>
          </cell>
          <cell r="E200" t="str">
            <v>ND</v>
          </cell>
          <cell r="F200">
            <v>0</v>
          </cell>
        </row>
        <row r="201">
          <cell r="C201">
            <v>1494</v>
          </cell>
          <cell r="D201" t="str">
            <v>ND</v>
          </cell>
          <cell r="E201" t="str">
            <v>ND</v>
          </cell>
          <cell r="F201">
            <v>0</v>
          </cell>
        </row>
        <row r="202">
          <cell r="C202">
            <v>1528</v>
          </cell>
          <cell r="D202" t="str">
            <v>ND</v>
          </cell>
          <cell r="E202" t="str">
            <v>ND</v>
          </cell>
          <cell r="F202">
            <v>0</v>
          </cell>
        </row>
        <row r="203">
          <cell r="C203">
            <v>1551</v>
          </cell>
          <cell r="D203" t="str">
            <v>ND</v>
          </cell>
          <cell r="E203" t="str">
            <v>ND</v>
          </cell>
          <cell r="F203">
            <v>0</v>
          </cell>
        </row>
        <row r="204">
          <cell r="C204">
            <v>1497</v>
          </cell>
          <cell r="D204" t="str">
            <v>ND</v>
          </cell>
          <cell r="E204" t="str">
            <v>ND</v>
          </cell>
          <cell r="F204">
            <v>0</v>
          </cell>
        </row>
        <row r="205">
          <cell r="C205">
            <v>1558</v>
          </cell>
          <cell r="D205" t="str">
            <v>ND</v>
          </cell>
          <cell r="E205" t="str">
            <v>ND</v>
          </cell>
          <cell r="F205">
            <v>0</v>
          </cell>
        </row>
        <row r="206">
          <cell r="C206">
            <v>1572</v>
          </cell>
          <cell r="D206" t="str">
            <v>ND</v>
          </cell>
          <cell r="E206" t="str">
            <v>ND</v>
          </cell>
          <cell r="F206">
            <v>0</v>
          </cell>
        </row>
        <row r="207">
          <cell r="C207">
            <v>1505</v>
          </cell>
          <cell r="D207" t="str">
            <v>ND</v>
          </cell>
          <cell r="E207" t="str">
            <v>ND</v>
          </cell>
          <cell r="F207">
            <v>0</v>
          </cell>
        </row>
        <row r="208">
          <cell r="C208">
            <v>1532</v>
          </cell>
          <cell r="D208" t="str">
            <v>ND</v>
          </cell>
          <cell r="E208" t="str">
            <v>ND</v>
          </cell>
          <cell r="F208">
            <v>0</v>
          </cell>
        </row>
        <row r="209">
          <cell r="C209">
            <v>1575</v>
          </cell>
          <cell r="D209" t="str">
            <v>ND</v>
          </cell>
          <cell r="E209" t="str">
            <v>ND</v>
          </cell>
          <cell r="F209">
            <v>0</v>
          </cell>
        </row>
        <row r="210">
          <cell r="C210">
            <v>1510</v>
          </cell>
          <cell r="D210" t="str">
            <v>ND</v>
          </cell>
          <cell r="E210" t="str">
            <v>ND</v>
          </cell>
          <cell r="F210">
            <v>0</v>
          </cell>
        </row>
        <row r="211">
          <cell r="C211">
            <v>1513</v>
          </cell>
          <cell r="D211" t="str">
            <v>ND</v>
          </cell>
          <cell r="E211" t="str">
            <v>ND</v>
          </cell>
          <cell r="F211">
            <v>0</v>
          </cell>
        </row>
        <row r="212">
          <cell r="C212">
            <v>1523</v>
          </cell>
          <cell r="D212" t="str">
            <v>ND</v>
          </cell>
          <cell r="E212" t="str">
            <v>ND</v>
          </cell>
          <cell r="F212">
            <v>0</v>
          </cell>
        </row>
        <row r="213">
          <cell r="C213">
            <v>1526</v>
          </cell>
          <cell r="D213" t="str">
            <v>ND</v>
          </cell>
          <cell r="E213" t="str">
            <v>ND</v>
          </cell>
          <cell r="F213">
            <v>0</v>
          </cell>
        </row>
        <row r="214">
          <cell r="C214">
            <v>1527</v>
          </cell>
          <cell r="D214" t="str">
            <v>ND</v>
          </cell>
          <cell r="E214" t="str">
            <v>ND</v>
          </cell>
          <cell r="F214">
            <v>0</v>
          </cell>
        </row>
        <row r="215">
          <cell r="C215">
            <v>1552</v>
          </cell>
          <cell r="D215" t="str">
            <v>ND</v>
          </cell>
          <cell r="E215" t="str">
            <v>ND</v>
          </cell>
          <cell r="F215">
            <v>0</v>
          </cell>
        </row>
        <row r="216">
          <cell r="C216">
            <v>1541</v>
          </cell>
          <cell r="D216" t="str">
            <v>ND</v>
          </cell>
          <cell r="E216" t="str">
            <v>ND</v>
          </cell>
          <cell r="F216">
            <v>0</v>
          </cell>
        </row>
        <row r="217">
          <cell r="C217">
            <v>1568</v>
          </cell>
          <cell r="D217" t="str">
            <v>ND</v>
          </cell>
          <cell r="E217" t="str">
            <v>ND</v>
          </cell>
          <cell r="F217">
            <v>0</v>
          </cell>
        </row>
        <row r="218">
          <cell r="C218">
            <v>1540</v>
          </cell>
          <cell r="D218" t="str">
            <v>ND</v>
          </cell>
          <cell r="E218" t="str">
            <v>ND</v>
          </cell>
          <cell r="F218">
            <v>0</v>
          </cell>
        </row>
        <row r="219">
          <cell r="C219">
            <v>1559</v>
          </cell>
          <cell r="D219" t="str">
            <v>ND</v>
          </cell>
          <cell r="E219" t="str">
            <v>ND</v>
          </cell>
          <cell r="F219">
            <v>0</v>
          </cell>
        </row>
        <row r="220">
          <cell r="C220">
            <v>1500</v>
          </cell>
          <cell r="D220" t="str">
            <v>ND</v>
          </cell>
          <cell r="E220" t="str">
            <v>ND</v>
          </cell>
          <cell r="F220">
            <v>0</v>
          </cell>
        </row>
        <row r="221">
          <cell r="C221">
            <v>1410</v>
          </cell>
          <cell r="D221" t="str">
            <v>ND</v>
          </cell>
          <cell r="E221" t="str">
            <v>ND</v>
          </cell>
          <cell r="F221">
            <v>0</v>
          </cell>
        </row>
        <row r="222">
          <cell r="C222">
            <v>1350</v>
          </cell>
          <cell r="D222" t="str">
            <v>ND</v>
          </cell>
          <cell r="E222" t="str">
            <v>ND</v>
          </cell>
          <cell r="F222">
            <v>0</v>
          </cell>
        </row>
        <row r="223">
          <cell r="C223">
            <v>1349</v>
          </cell>
          <cell r="D223" t="str">
            <v>ND</v>
          </cell>
          <cell r="E223" t="str">
            <v>ND</v>
          </cell>
          <cell r="F223">
            <v>0</v>
          </cell>
        </row>
        <row r="224">
          <cell r="C224">
            <v>1401</v>
          </cell>
          <cell r="D224" t="str">
            <v>ND</v>
          </cell>
          <cell r="E224" t="str">
            <v>ND</v>
          </cell>
          <cell r="F224">
            <v>0</v>
          </cell>
        </row>
        <row r="225">
          <cell r="C225">
            <v>1341</v>
          </cell>
          <cell r="D225" t="str">
            <v>ND</v>
          </cell>
          <cell r="E225" t="str">
            <v>ND</v>
          </cell>
          <cell r="F225">
            <v>0</v>
          </cell>
        </row>
        <row r="226">
          <cell r="C226">
            <v>1363</v>
          </cell>
          <cell r="D226" t="str">
            <v>ND</v>
          </cell>
          <cell r="E226" t="str">
            <v>ND</v>
          </cell>
          <cell r="F226">
            <v>0</v>
          </cell>
        </row>
        <row r="227">
          <cell r="C227">
            <v>1356</v>
          </cell>
          <cell r="D227" t="str">
            <v>ND</v>
          </cell>
          <cell r="E227" t="str">
            <v>ND</v>
          </cell>
          <cell r="F227">
            <v>0</v>
          </cell>
        </row>
        <row r="228">
          <cell r="C228">
            <v>1404</v>
          </cell>
          <cell r="D228" t="str">
            <v>ND</v>
          </cell>
          <cell r="E228" t="str">
            <v>ND</v>
          </cell>
          <cell r="F228">
            <v>0</v>
          </cell>
        </row>
        <row r="229">
          <cell r="C229">
            <v>1472</v>
          </cell>
          <cell r="D229" t="str">
            <v>ND</v>
          </cell>
          <cell r="E229" t="str">
            <v>ND</v>
          </cell>
          <cell r="F229">
            <v>0</v>
          </cell>
        </row>
        <row r="230">
          <cell r="C230">
            <v>1496</v>
          </cell>
          <cell r="D230" t="str">
            <v>ND</v>
          </cell>
          <cell r="E230" t="str">
            <v>ND</v>
          </cell>
          <cell r="F230">
            <v>0</v>
          </cell>
        </row>
        <row r="231">
          <cell r="C231">
            <v>1509</v>
          </cell>
          <cell r="D231" t="str">
            <v>Y</v>
          </cell>
          <cell r="E231">
            <v>266</v>
          </cell>
          <cell r="F231">
            <v>1</v>
          </cell>
          <cell r="G231">
            <v>266</v>
          </cell>
        </row>
        <row r="232">
          <cell r="C232">
            <v>1537</v>
          </cell>
          <cell r="D232" t="str">
            <v>Y</v>
          </cell>
          <cell r="E232">
            <v>17</v>
          </cell>
          <cell r="F232">
            <v>1</v>
          </cell>
          <cell r="G232">
            <v>17</v>
          </cell>
        </row>
        <row r="233">
          <cell r="C233">
            <v>1385</v>
          </cell>
          <cell r="D233" t="str">
            <v>Y</v>
          </cell>
          <cell r="E233">
            <v>67</v>
          </cell>
          <cell r="F233">
            <v>1</v>
          </cell>
          <cell r="G233">
            <v>67</v>
          </cell>
        </row>
        <row r="234">
          <cell r="C234">
            <v>1463</v>
          </cell>
          <cell r="D234" t="str">
            <v>Y</v>
          </cell>
          <cell r="E234">
            <v>1064</v>
          </cell>
          <cell r="F234">
            <v>1</v>
          </cell>
          <cell r="G234">
            <v>1064</v>
          </cell>
        </row>
        <row r="235">
          <cell r="C235">
            <v>1533</v>
          </cell>
          <cell r="D235" t="str">
            <v>Y</v>
          </cell>
          <cell r="E235">
            <v>4256</v>
          </cell>
          <cell r="F235">
            <v>1</v>
          </cell>
          <cell r="G235">
            <v>4256</v>
          </cell>
        </row>
        <row r="236">
          <cell r="C236">
            <v>1556</v>
          </cell>
          <cell r="D236" t="str">
            <v>Y</v>
          </cell>
          <cell r="E236">
            <v>266</v>
          </cell>
          <cell r="F236">
            <v>1</v>
          </cell>
          <cell r="G236">
            <v>266</v>
          </cell>
        </row>
        <row r="237">
          <cell r="C237">
            <v>1549</v>
          </cell>
          <cell r="D237" t="str">
            <v>Y</v>
          </cell>
          <cell r="E237">
            <v>17</v>
          </cell>
          <cell r="F237">
            <v>1</v>
          </cell>
          <cell r="G237">
            <v>17</v>
          </cell>
        </row>
        <row r="238">
          <cell r="C238">
            <v>1565</v>
          </cell>
          <cell r="D238" t="str">
            <v>Y</v>
          </cell>
          <cell r="E238">
            <v>67</v>
          </cell>
          <cell r="F238">
            <v>1</v>
          </cell>
          <cell r="G238">
            <v>67</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with duplicates"/>
    </sheetNames>
    <sheetDataSet>
      <sheetData sheetId="0">
        <row r="1">
          <cell r="B1" t="str">
            <v>tag-date code</v>
          </cell>
          <cell r="C1" t="str">
            <v>tag</v>
          </cell>
          <cell r="D1" t="str">
            <v>month</v>
          </cell>
          <cell r="E1" t="str">
            <v>day</v>
          </cell>
          <cell r="F1" t="str">
            <v>year</v>
          </cell>
          <cell r="G1" t="str">
            <v>date</v>
          </cell>
          <cell r="H1" t="str">
            <v>site</v>
          </cell>
          <cell r="I1" t="str">
            <v>other</v>
          </cell>
          <cell r="J1" t="str">
            <v>sample_count</v>
          </cell>
        </row>
        <row r="2">
          <cell r="B2" t="str">
            <v>1000-42607</v>
          </cell>
          <cell r="C2">
            <v>1000</v>
          </cell>
          <cell r="D2">
            <v>8</v>
          </cell>
          <cell r="E2">
            <v>25</v>
          </cell>
          <cell r="F2">
            <v>2016</v>
          </cell>
          <cell r="G2">
            <v>42607</v>
          </cell>
          <cell r="I2" t="str">
            <v>F8</v>
          </cell>
          <cell r="J2" t="str">
            <v>sample.1</v>
          </cell>
        </row>
        <row r="3">
          <cell r="B3" t="str">
            <v>1005-42574</v>
          </cell>
          <cell r="C3">
            <v>1005</v>
          </cell>
          <cell r="D3">
            <v>7</v>
          </cell>
          <cell r="E3">
            <v>23</v>
          </cell>
          <cell r="F3">
            <v>2016</v>
          </cell>
          <cell r="G3">
            <v>42574</v>
          </cell>
          <cell r="H3" t="str">
            <v>PO1</v>
          </cell>
          <cell r="J3" t="str">
            <v>sample.10</v>
          </cell>
        </row>
        <row r="4">
          <cell r="B4" t="str">
            <v>1005-42588</v>
          </cell>
          <cell r="C4">
            <v>1005</v>
          </cell>
          <cell r="D4">
            <v>8</v>
          </cell>
          <cell r="E4">
            <v>6</v>
          </cell>
          <cell r="F4">
            <v>2016</v>
          </cell>
          <cell r="G4">
            <v>42588</v>
          </cell>
          <cell r="H4" t="str">
            <v>PO1</v>
          </cell>
          <cell r="J4" t="str">
            <v>sample.11</v>
          </cell>
        </row>
        <row r="5">
          <cell r="B5" t="str">
            <v>1005-42615</v>
          </cell>
          <cell r="C5">
            <v>1005</v>
          </cell>
          <cell r="D5">
            <v>9</v>
          </cell>
          <cell r="E5">
            <v>2</v>
          </cell>
          <cell r="F5">
            <v>2016</v>
          </cell>
          <cell r="G5">
            <v>42615</v>
          </cell>
          <cell r="H5"/>
          <cell r="I5"/>
          <cell r="J5" t="str">
            <v>sample.12</v>
          </cell>
        </row>
        <row r="6">
          <cell r="B6" t="str">
            <v>1011-42607</v>
          </cell>
          <cell r="C6">
            <v>1011</v>
          </cell>
          <cell r="D6">
            <v>8</v>
          </cell>
          <cell r="E6">
            <v>25</v>
          </cell>
          <cell r="F6">
            <v>2016</v>
          </cell>
          <cell r="G6">
            <v>42607</v>
          </cell>
          <cell r="J6" t="str">
            <v>sample.13</v>
          </cell>
        </row>
        <row r="7">
          <cell r="B7" t="str">
            <v>1011-42608</v>
          </cell>
          <cell r="C7">
            <v>1011</v>
          </cell>
          <cell r="D7">
            <v>8</v>
          </cell>
          <cell r="E7">
            <v>26</v>
          </cell>
          <cell r="F7">
            <v>2016</v>
          </cell>
          <cell r="G7">
            <v>42608</v>
          </cell>
          <cell r="J7" t="str">
            <v>sample.13dup</v>
          </cell>
        </row>
        <row r="8">
          <cell r="B8" t="str">
            <v>1013-42584</v>
          </cell>
          <cell r="C8">
            <v>1013</v>
          </cell>
          <cell r="D8">
            <v>8</v>
          </cell>
          <cell r="E8">
            <v>2</v>
          </cell>
          <cell r="F8">
            <v>2016</v>
          </cell>
          <cell r="G8">
            <v>42584</v>
          </cell>
          <cell r="H8" t="str">
            <v>BC1</v>
          </cell>
          <cell r="J8" t="str">
            <v>sample.14</v>
          </cell>
        </row>
        <row r="9">
          <cell r="B9" t="str">
            <v>1017-42597</v>
          </cell>
          <cell r="C9">
            <v>1017</v>
          </cell>
          <cell r="D9">
            <v>8</v>
          </cell>
          <cell r="E9">
            <v>15</v>
          </cell>
          <cell r="F9">
            <v>2016</v>
          </cell>
          <cell r="G9">
            <v>42597</v>
          </cell>
          <cell r="H9"/>
          <cell r="I9"/>
          <cell r="J9" t="str">
            <v>sample.15</v>
          </cell>
        </row>
        <row r="10">
          <cell r="B10" t="str">
            <v>1018-42610</v>
          </cell>
          <cell r="C10">
            <v>1018</v>
          </cell>
          <cell r="D10">
            <v>8</v>
          </cell>
          <cell r="E10">
            <v>28</v>
          </cell>
          <cell r="F10">
            <v>2016</v>
          </cell>
          <cell r="G10">
            <v>42610</v>
          </cell>
          <cell r="J10" t="str">
            <v>sample.16</v>
          </cell>
        </row>
        <row r="11">
          <cell r="B11" t="str">
            <v>1019-42615</v>
          </cell>
          <cell r="C11">
            <v>1019</v>
          </cell>
          <cell r="D11">
            <v>9</v>
          </cell>
          <cell r="E11">
            <v>2</v>
          </cell>
          <cell r="F11">
            <v>2016</v>
          </cell>
          <cell r="G11">
            <v>42615</v>
          </cell>
          <cell r="J11" t="str">
            <v>sample.17</v>
          </cell>
        </row>
        <row r="12">
          <cell r="B12" t="str">
            <v>1024-42604</v>
          </cell>
          <cell r="C12">
            <v>1024</v>
          </cell>
          <cell r="D12">
            <v>8</v>
          </cell>
          <cell r="E12">
            <v>22</v>
          </cell>
          <cell r="F12">
            <v>2016</v>
          </cell>
          <cell r="G12">
            <v>42604</v>
          </cell>
          <cell r="J12" t="str">
            <v>sample.18</v>
          </cell>
        </row>
        <row r="13">
          <cell r="B13" t="str">
            <v>1024-42605</v>
          </cell>
          <cell r="C13">
            <v>1024</v>
          </cell>
          <cell r="D13">
            <v>8</v>
          </cell>
          <cell r="E13">
            <v>23</v>
          </cell>
          <cell r="F13">
            <v>2016</v>
          </cell>
          <cell r="G13">
            <v>42605</v>
          </cell>
          <cell r="H13"/>
          <cell r="I13"/>
          <cell r="J13" t="str">
            <v>sample.18dup</v>
          </cell>
        </row>
        <row r="14">
          <cell r="B14" t="str">
            <v>1025-42604</v>
          </cell>
          <cell r="C14">
            <v>1025</v>
          </cell>
          <cell r="D14">
            <v>8</v>
          </cell>
          <cell r="E14">
            <v>22</v>
          </cell>
          <cell r="F14">
            <v>2016</v>
          </cell>
          <cell r="G14">
            <v>42604</v>
          </cell>
          <cell r="J14" t="str">
            <v>sample.19</v>
          </cell>
        </row>
        <row r="15">
          <cell r="B15" t="str">
            <v>1001-42571</v>
          </cell>
          <cell r="C15">
            <v>1001</v>
          </cell>
          <cell r="D15">
            <v>7</v>
          </cell>
          <cell r="E15">
            <v>20</v>
          </cell>
          <cell r="F15">
            <v>2016</v>
          </cell>
          <cell r="G15">
            <v>42571</v>
          </cell>
          <cell r="H15" t="str">
            <v>BC1</v>
          </cell>
          <cell r="J15" t="str">
            <v>sample.2</v>
          </cell>
        </row>
        <row r="16">
          <cell r="B16" t="str">
            <v>1014-42598</v>
          </cell>
          <cell r="C16">
            <v>1014</v>
          </cell>
          <cell r="D16">
            <v>8</v>
          </cell>
          <cell r="E16">
            <v>16</v>
          </cell>
          <cell r="F16">
            <v>2016</v>
          </cell>
          <cell r="G16">
            <v>42598</v>
          </cell>
          <cell r="J16" t="str">
            <v>sample.20</v>
          </cell>
        </row>
        <row r="17">
          <cell r="B17" t="str">
            <v>1165-42573</v>
          </cell>
          <cell r="C17">
            <v>1165</v>
          </cell>
          <cell r="D17">
            <v>7</v>
          </cell>
          <cell r="E17">
            <v>22</v>
          </cell>
          <cell r="F17">
            <v>2016</v>
          </cell>
          <cell r="G17">
            <v>42573</v>
          </cell>
          <cell r="H17" t="str">
            <v>PO1</v>
          </cell>
          <cell r="J17" t="str">
            <v>sample.21</v>
          </cell>
        </row>
        <row r="18">
          <cell r="B18" t="str">
            <v>929-42607</v>
          </cell>
          <cell r="C18">
            <v>929</v>
          </cell>
          <cell r="D18">
            <v>8</v>
          </cell>
          <cell r="E18">
            <v>25</v>
          </cell>
          <cell r="F18">
            <v>2016</v>
          </cell>
          <cell r="G18">
            <v>42607</v>
          </cell>
          <cell r="H18"/>
          <cell r="I18" t="str">
            <v>E8</v>
          </cell>
          <cell r="J18" t="str">
            <v>sample.22</v>
          </cell>
        </row>
        <row r="19">
          <cell r="B19" t="str">
            <v>929-42608</v>
          </cell>
          <cell r="C19">
            <v>929</v>
          </cell>
          <cell r="D19">
            <v>8</v>
          </cell>
          <cell r="E19">
            <v>26</v>
          </cell>
          <cell r="F19">
            <v>2016</v>
          </cell>
          <cell r="G19">
            <v>42608</v>
          </cell>
          <cell r="H19"/>
          <cell r="I19"/>
          <cell r="J19" t="str">
            <v>sample.22dup</v>
          </cell>
        </row>
        <row r="20">
          <cell r="B20" t="str">
            <v>939-1-42572</v>
          </cell>
          <cell r="C20" t="str">
            <v>939-1</v>
          </cell>
          <cell r="D20">
            <v>7</v>
          </cell>
          <cell r="E20">
            <v>21</v>
          </cell>
          <cell r="F20">
            <v>2016</v>
          </cell>
          <cell r="G20">
            <v>42572</v>
          </cell>
          <cell r="H20" t="str">
            <v>PO1</v>
          </cell>
          <cell r="J20" t="str">
            <v>sample.23</v>
          </cell>
        </row>
        <row r="21">
          <cell r="B21" t="str">
            <v>933-42557</v>
          </cell>
          <cell r="C21">
            <v>933</v>
          </cell>
          <cell r="D21">
            <v>7</v>
          </cell>
          <cell r="E21">
            <v>6</v>
          </cell>
          <cell r="F21">
            <v>2016</v>
          </cell>
          <cell r="G21">
            <v>42557</v>
          </cell>
          <cell r="J21" t="str">
            <v>sample.24</v>
          </cell>
        </row>
        <row r="22">
          <cell r="B22" t="str">
            <v>934-42557</v>
          </cell>
          <cell r="C22">
            <v>934</v>
          </cell>
          <cell r="D22">
            <v>7</v>
          </cell>
          <cell r="E22">
            <v>6</v>
          </cell>
          <cell r="F22">
            <v>2016</v>
          </cell>
          <cell r="G22">
            <v>42557</v>
          </cell>
          <cell r="H22"/>
          <cell r="I22"/>
          <cell r="J22" t="str">
            <v>sample.25</v>
          </cell>
        </row>
        <row r="23">
          <cell r="B23" t="str">
            <v>934-42570</v>
          </cell>
          <cell r="C23">
            <v>934</v>
          </cell>
          <cell r="D23">
            <v>7</v>
          </cell>
          <cell r="E23">
            <v>19</v>
          </cell>
          <cell r="F23">
            <v>2016</v>
          </cell>
          <cell r="G23">
            <v>42570</v>
          </cell>
          <cell r="H23" t="str">
            <v>BC1</v>
          </cell>
          <cell r="J23" t="str">
            <v>sample.26</v>
          </cell>
        </row>
        <row r="24">
          <cell r="B24" t="str">
            <v>935-42558</v>
          </cell>
          <cell r="C24">
            <v>935</v>
          </cell>
          <cell r="D24">
            <v>7</v>
          </cell>
          <cell r="E24">
            <v>7</v>
          </cell>
          <cell r="F24">
            <v>2016</v>
          </cell>
          <cell r="G24">
            <v>42558</v>
          </cell>
          <cell r="H24" t="str">
            <v>BC1</v>
          </cell>
          <cell r="J24" t="str">
            <v>sample.27</v>
          </cell>
        </row>
        <row r="25">
          <cell r="B25" t="str">
            <v>939-1-42573</v>
          </cell>
          <cell r="C25" t="str">
            <v>939-1</v>
          </cell>
          <cell r="D25">
            <v>7</v>
          </cell>
          <cell r="E25">
            <v>22</v>
          </cell>
          <cell r="F25">
            <v>2016</v>
          </cell>
          <cell r="G25">
            <v>42573</v>
          </cell>
          <cell r="H25" t="str">
            <v>PO1</v>
          </cell>
          <cell r="J25" t="str">
            <v>sample.28</v>
          </cell>
        </row>
        <row r="26">
          <cell r="B26" t="str">
            <v>945-42604</v>
          </cell>
          <cell r="C26">
            <v>945</v>
          </cell>
          <cell r="D26">
            <v>8</v>
          </cell>
          <cell r="E26">
            <v>22</v>
          </cell>
          <cell r="F26">
            <v>2016</v>
          </cell>
          <cell r="G26">
            <v>42604</v>
          </cell>
          <cell r="J26" t="str">
            <v>sample.29</v>
          </cell>
        </row>
        <row r="27">
          <cell r="B27" t="str">
            <v>945-42605</v>
          </cell>
          <cell r="C27">
            <v>945</v>
          </cell>
          <cell r="D27">
            <v>8</v>
          </cell>
          <cell r="E27">
            <v>23</v>
          </cell>
          <cell r="F27">
            <v>2016</v>
          </cell>
          <cell r="G27">
            <v>42605</v>
          </cell>
          <cell r="H27"/>
          <cell r="I27"/>
          <cell r="J27" t="str">
            <v>sample.29dup</v>
          </cell>
        </row>
        <row r="28">
          <cell r="B28" t="str">
            <v>1002-42597</v>
          </cell>
          <cell r="C28">
            <v>1002</v>
          </cell>
          <cell r="D28">
            <v>8</v>
          </cell>
          <cell r="E28">
            <v>15</v>
          </cell>
          <cell r="F28">
            <v>2016</v>
          </cell>
          <cell r="G28">
            <v>42597</v>
          </cell>
          <cell r="J28" t="str">
            <v>sample.3</v>
          </cell>
        </row>
        <row r="29">
          <cell r="B29" t="str">
            <v>952-42559</v>
          </cell>
          <cell r="C29">
            <v>952</v>
          </cell>
          <cell r="D29">
            <v>7</v>
          </cell>
          <cell r="E29">
            <v>8</v>
          </cell>
          <cell r="F29">
            <v>2016</v>
          </cell>
          <cell r="G29">
            <v>42559</v>
          </cell>
          <cell r="J29" t="str">
            <v>sample.30</v>
          </cell>
        </row>
        <row r="30">
          <cell r="B30" t="str">
            <v>953-42560</v>
          </cell>
          <cell r="C30">
            <v>953</v>
          </cell>
          <cell r="D30">
            <v>7</v>
          </cell>
          <cell r="E30">
            <v>9</v>
          </cell>
          <cell r="F30">
            <v>2016</v>
          </cell>
          <cell r="G30">
            <v>42560</v>
          </cell>
          <cell r="H30" t="str">
            <v>PO1</v>
          </cell>
          <cell r="I30"/>
          <cell r="J30" t="str">
            <v>sample.31</v>
          </cell>
        </row>
        <row r="31">
          <cell r="B31" t="str">
            <v>954-42600</v>
          </cell>
          <cell r="C31">
            <v>954</v>
          </cell>
          <cell r="D31">
            <v>8</v>
          </cell>
          <cell r="E31">
            <v>18</v>
          </cell>
          <cell r="F31">
            <v>2016</v>
          </cell>
          <cell r="G31">
            <v>42600</v>
          </cell>
          <cell r="J31" t="str">
            <v>sample.32</v>
          </cell>
        </row>
        <row r="32">
          <cell r="B32" t="str">
            <v>954-42613</v>
          </cell>
          <cell r="C32">
            <v>954</v>
          </cell>
          <cell r="D32">
            <v>8</v>
          </cell>
          <cell r="E32">
            <v>31</v>
          </cell>
          <cell r="F32">
            <v>2016</v>
          </cell>
          <cell r="G32">
            <v>42613</v>
          </cell>
          <cell r="H32"/>
          <cell r="I32"/>
          <cell r="J32" t="str">
            <v>sample.33</v>
          </cell>
        </row>
        <row r="33">
          <cell r="B33" t="str">
            <v>954-42614</v>
          </cell>
          <cell r="C33">
            <v>954</v>
          </cell>
          <cell r="D33">
            <v>9</v>
          </cell>
          <cell r="E33">
            <v>1</v>
          </cell>
          <cell r="F33">
            <v>2016</v>
          </cell>
          <cell r="G33">
            <v>42614</v>
          </cell>
          <cell r="H33"/>
          <cell r="I33"/>
          <cell r="J33" t="str">
            <v>sample.33dup</v>
          </cell>
        </row>
        <row r="34">
          <cell r="B34" t="str">
            <v>956-42601</v>
          </cell>
          <cell r="C34">
            <v>956</v>
          </cell>
          <cell r="D34">
            <v>8</v>
          </cell>
          <cell r="E34">
            <v>19</v>
          </cell>
          <cell r="F34">
            <v>2016</v>
          </cell>
          <cell r="G34">
            <v>42601</v>
          </cell>
          <cell r="H34"/>
          <cell r="I34"/>
          <cell r="J34" t="str">
            <v>sample.34</v>
          </cell>
        </row>
        <row r="35">
          <cell r="B35" t="str">
            <v>956-42613</v>
          </cell>
          <cell r="C35">
            <v>956</v>
          </cell>
          <cell r="D35">
            <v>8</v>
          </cell>
          <cell r="E35">
            <v>31</v>
          </cell>
          <cell r="F35">
            <v>2016</v>
          </cell>
          <cell r="G35">
            <v>42613</v>
          </cell>
          <cell r="J35" t="str">
            <v>sample.35</v>
          </cell>
        </row>
        <row r="36">
          <cell r="B36" t="str">
            <v>956-42572</v>
          </cell>
          <cell r="C36">
            <v>956</v>
          </cell>
          <cell r="D36">
            <v>7</v>
          </cell>
          <cell r="E36">
            <v>21</v>
          </cell>
          <cell r="F36">
            <v>2016</v>
          </cell>
          <cell r="G36">
            <v>42572</v>
          </cell>
          <cell r="H36" t="str">
            <v>PO1</v>
          </cell>
          <cell r="J36" t="str">
            <v>sample.36</v>
          </cell>
        </row>
        <row r="37">
          <cell r="B37" t="str">
            <v>956-42586</v>
          </cell>
          <cell r="C37">
            <v>956</v>
          </cell>
          <cell r="D37">
            <v>8</v>
          </cell>
          <cell r="E37">
            <v>4</v>
          </cell>
          <cell r="F37">
            <v>2016</v>
          </cell>
          <cell r="G37">
            <v>42586</v>
          </cell>
          <cell r="H37" t="str">
            <v>PO1</v>
          </cell>
          <cell r="J37" t="str">
            <v>sample.37</v>
          </cell>
        </row>
        <row r="38">
          <cell r="B38" t="str">
            <v>960-42559</v>
          </cell>
          <cell r="C38">
            <v>960</v>
          </cell>
          <cell r="D38">
            <v>7</v>
          </cell>
          <cell r="E38">
            <v>8</v>
          </cell>
          <cell r="F38">
            <v>2016</v>
          </cell>
          <cell r="G38">
            <v>42559</v>
          </cell>
          <cell r="J38" t="str">
            <v>sample.38</v>
          </cell>
        </row>
        <row r="39">
          <cell r="B39" t="str">
            <v>970-42607</v>
          </cell>
          <cell r="C39">
            <v>970</v>
          </cell>
          <cell r="D39">
            <v>8</v>
          </cell>
          <cell r="E39">
            <v>25</v>
          </cell>
          <cell r="F39">
            <v>2016</v>
          </cell>
          <cell r="G39">
            <v>42607</v>
          </cell>
          <cell r="J39" t="str">
            <v>sample.39</v>
          </cell>
        </row>
        <row r="40">
          <cell r="B40" t="str">
            <v>1002-42570</v>
          </cell>
          <cell r="C40">
            <v>1002</v>
          </cell>
          <cell r="D40">
            <v>7</v>
          </cell>
          <cell r="E40">
            <v>19</v>
          </cell>
          <cell r="F40">
            <v>2016</v>
          </cell>
          <cell r="G40">
            <v>42570</v>
          </cell>
          <cell r="H40" t="str">
            <v>BC1</v>
          </cell>
          <cell r="J40" t="str">
            <v>sample.4</v>
          </cell>
        </row>
        <row r="41">
          <cell r="B41" t="str">
            <v>976-42608</v>
          </cell>
          <cell r="C41">
            <v>976</v>
          </cell>
          <cell r="D41">
            <v>8</v>
          </cell>
          <cell r="E41">
            <v>26</v>
          </cell>
          <cell r="F41">
            <v>2016</v>
          </cell>
          <cell r="G41">
            <v>42608</v>
          </cell>
          <cell r="H41"/>
          <cell r="I41"/>
          <cell r="J41" t="str">
            <v>sample.40</v>
          </cell>
        </row>
        <row r="42">
          <cell r="B42" t="str">
            <v>976-42609</v>
          </cell>
          <cell r="C42">
            <v>976</v>
          </cell>
          <cell r="D42">
            <v>8</v>
          </cell>
          <cell r="E42">
            <v>27</v>
          </cell>
          <cell r="F42">
            <v>2016</v>
          </cell>
          <cell r="G42">
            <v>42609</v>
          </cell>
          <cell r="H42"/>
          <cell r="I42"/>
          <cell r="J42" t="str">
            <v>sample.40dup</v>
          </cell>
        </row>
        <row r="43">
          <cell r="B43" t="str">
            <v>981-42559</v>
          </cell>
          <cell r="C43">
            <v>981</v>
          </cell>
          <cell r="D43">
            <v>7</v>
          </cell>
          <cell r="E43">
            <v>8</v>
          </cell>
          <cell r="F43">
            <v>2016</v>
          </cell>
          <cell r="G43">
            <v>42559</v>
          </cell>
          <cell r="J43" t="str">
            <v>sample.41</v>
          </cell>
        </row>
        <row r="44">
          <cell r="B44" t="str">
            <v>981-42601</v>
          </cell>
          <cell r="C44">
            <v>981</v>
          </cell>
          <cell r="D44">
            <v>8</v>
          </cell>
          <cell r="E44">
            <v>19</v>
          </cell>
          <cell r="F44">
            <v>2016</v>
          </cell>
          <cell r="G44">
            <v>42601</v>
          </cell>
          <cell r="J44" t="str">
            <v>sample.42</v>
          </cell>
        </row>
        <row r="45">
          <cell r="B45" t="str">
            <v>981-42613</v>
          </cell>
          <cell r="C45">
            <v>981</v>
          </cell>
          <cell r="D45">
            <v>8</v>
          </cell>
          <cell r="E45">
            <v>31</v>
          </cell>
          <cell r="F45">
            <v>2016</v>
          </cell>
          <cell r="G45">
            <v>42613</v>
          </cell>
          <cell r="H45"/>
          <cell r="I45"/>
          <cell r="J45" t="str">
            <v>sample.43</v>
          </cell>
        </row>
        <row r="46">
          <cell r="B46" t="str">
            <v>981-42574</v>
          </cell>
          <cell r="C46">
            <v>981</v>
          </cell>
          <cell r="D46">
            <v>7</v>
          </cell>
          <cell r="E46">
            <v>23</v>
          </cell>
          <cell r="F46">
            <v>2016</v>
          </cell>
          <cell r="G46">
            <v>42574</v>
          </cell>
          <cell r="H46" t="str">
            <v>PO1</v>
          </cell>
          <cell r="I46"/>
          <cell r="J46" t="str">
            <v>sample.44</v>
          </cell>
        </row>
        <row r="47">
          <cell r="B47" t="str">
            <v>981-42586</v>
          </cell>
          <cell r="C47">
            <v>981</v>
          </cell>
          <cell r="D47">
            <v>8</v>
          </cell>
          <cell r="E47">
            <v>4</v>
          </cell>
          <cell r="F47">
            <v>2016</v>
          </cell>
          <cell r="G47">
            <v>42586</v>
          </cell>
          <cell r="H47" t="str">
            <v>PO1</v>
          </cell>
          <cell r="J47" t="str">
            <v>sample.45</v>
          </cell>
        </row>
        <row r="48">
          <cell r="B48" t="str">
            <v>982-42559</v>
          </cell>
          <cell r="C48">
            <v>982</v>
          </cell>
          <cell r="D48">
            <v>7</v>
          </cell>
          <cell r="E48">
            <v>8</v>
          </cell>
          <cell r="F48">
            <v>2016</v>
          </cell>
          <cell r="G48">
            <v>42559</v>
          </cell>
          <cell r="J48" t="str">
            <v>sample.46</v>
          </cell>
        </row>
        <row r="49">
          <cell r="B49" t="str">
            <v>982-42601</v>
          </cell>
          <cell r="C49">
            <v>982</v>
          </cell>
          <cell r="D49">
            <v>8</v>
          </cell>
          <cell r="E49">
            <v>19</v>
          </cell>
          <cell r="F49">
            <v>2016</v>
          </cell>
          <cell r="G49">
            <v>42601</v>
          </cell>
          <cell r="J49" t="str">
            <v>sample.47</v>
          </cell>
        </row>
        <row r="50">
          <cell r="B50" t="str">
            <v>982-42614</v>
          </cell>
          <cell r="C50">
            <v>982</v>
          </cell>
          <cell r="D50">
            <v>9</v>
          </cell>
          <cell r="E50">
            <v>1</v>
          </cell>
          <cell r="F50">
            <v>2016</v>
          </cell>
          <cell r="G50">
            <v>42614</v>
          </cell>
          <cell r="J50" t="str">
            <v>sample.48</v>
          </cell>
        </row>
        <row r="51">
          <cell r="B51" t="str">
            <v>982-42615</v>
          </cell>
          <cell r="C51">
            <v>982</v>
          </cell>
          <cell r="D51">
            <v>9</v>
          </cell>
          <cell r="E51">
            <v>2</v>
          </cell>
          <cell r="F51">
            <v>2016</v>
          </cell>
          <cell r="G51">
            <v>42615</v>
          </cell>
          <cell r="H51"/>
          <cell r="I51"/>
          <cell r="J51" t="str">
            <v>sample.48dup</v>
          </cell>
        </row>
        <row r="52">
          <cell r="B52" t="str">
            <v>982-42572</v>
          </cell>
          <cell r="C52">
            <v>982</v>
          </cell>
          <cell r="D52">
            <v>7</v>
          </cell>
          <cell r="E52">
            <v>21</v>
          </cell>
          <cell r="F52">
            <v>2016</v>
          </cell>
          <cell r="G52">
            <v>42572</v>
          </cell>
          <cell r="H52" t="str">
            <v>PO1</v>
          </cell>
          <cell r="J52" t="str">
            <v>sample.49</v>
          </cell>
        </row>
        <row r="53">
          <cell r="B53" t="str">
            <v>1002-42585</v>
          </cell>
          <cell r="C53">
            <v>1002</v>
          </cell>
          <cell r="D53">
            <v>8</v>
          </cell>
          <cell r="E53">
            <v>3</v>
          </cell>
          <cell r="F53">
            <v>2016</v>
          </cell>
          <cell r="G53">
            <v>42585</v>
          </cell>
          <cell r="H53" t="str">
            <v>BC1</v>
          </cell>
          <cell r="J53" t="str">
            <v>sample.5</v>
          </cell>
        </row>
        <row r="54">
          <cell r="B54" t="str">
            <v>982-42588</v>
          </cell>
          <cell r="C54">
            <v>982</v>
          </cell>
          <cell r="D54">
            <v>8</v>
          </cell>
          <cell r="E54">
            <v>6</v>
          </cell>
          <cell r="F54">
            <v>2016</v>
          </cell>
          <cell r="G54">
            <v>42588</v>
          </cell>
          <cell r="H54" t="str">
            <v>PO1</v>
          </cell>
          <cell r="I54"/>
          <cell r="J54" t="str">
            <v>sample.50</v>
          </cell>
        </row>
        <row r="55">
          <cell r="B55" t="str">
            <v>991-42557</v>
          </cell>
          <cell r="C55">
            <v>991</v>
          </cell>
          <cell r="D55">
            <v>7</v>
          </cell>
          <cell r="E55">
            <v>6</v>
          </cell>
          <cell r="F55">
            <v>2016</v>
          </cell>
          <cell r="G55">
            <v>42557</v>
          </cell>
          <cell r="H55"/>
          <cell r="I55"/>
          <cell r="J55" t="str">
            <v>sample.51</v>
          </cell>
        </row>
        <row r="56">
          <cell r="B56" t="str">
            <v>992-42557</v>
          </cell>
          <cell r="C56">
            <v>992</v>
          </cell>
          <cell r="D56">
            <v>7</v>
          </cell>
          <cell r="E56">
            <v>6</v>
          </cell>
          <cell r="F56">
            <v>2016</v>
          </cell>
          <cell r="G56">
            <v>42557</v>
          </cell>
          <cell r="H56"/>
          <cell r="I56"/>
          <cell r="J56" t="str">
            <v>sample.52</v>
          </cell>
        </row>
        <row r="57">
          <cell r="B57" t="str">
            <v>993-42558</v>
          </cell>
          <cell r="C57">
            <v>993</v>
          </cell>
          <cell r="D57">
            <v>7</v>
          </cell>
          <cell r="E57">
            <v>7</v>
          </cell>
          <cell r="F57">
            <v>2016</v>
          </cell>
          <cell r="G57">
            <v>42558</v>
          </cell>
          <cell r="H57" t="str">
            <v>BC1</v>
          </cell>
          <cell r="J57" t="str">
            <v>sample.53</v>
          </cell>
        </row>
        <row r="58">
          <cell r="B58" t="str">
            <v>994-42559</v>
          </cell>
          <cell r="C58">
            <v>994</v>
          </cell>
          <cell r="D58">
            <v>7</v>
          </cell>
          <cell r="E58">
            <v>8</v>
          </cell>
          <cell r="F58">
            <v>2016</v>
          </cell>
          <cell r="G58">
            <v>42559</v>
          </cell>
          <cell r="J58" t="str">
            <v>sample.54</v>
          </cell>
        </row>
        <row r="59">
          <cell r="B59" t="str">
            <v>995-42559</v>
          </cell>
          <cell r="C59">
            <v>995</v>
          </cell>
          <cell r="D59">
            <v>7</v>
          </cell>
          <cell r="E59">
            <v>8</v>
          </cell>
          <cell r="F59">
            <v>2016</v>
          </cell>
          <cell r="G59">
            <v>42559</v>
          </cell>
          <cell r="J59" t="str">
            <v>sample.55</v>
          </cell>
        </row>
        <row r="60">
          <cell r="B60" t="str">
            <v>996-42602</v>
          </cell>
          <cell r="C60">
            <v>996</v>
          </cell>
          <cell r="D60">
            <v>8</v>
          </cell>
          <cell r="E60">
            <v>20</v>
          </cell>
          <cell r="F60">
            <v>2016</v>
          </cell>
          <cell r="G60">
            <v>42602</v>
          </cell>
          <cell r="J60" t="str">
            <v>sample.56</v>
          </cell>
        </row>
        <row r="61">
          <cell r="B61" t="str">
            <v>996-42600</v>
          </cell>
          <cell r="C61">
            <v>996</v>
          </cell>
          <cell r="D61">
            <v>8</v>
          </cell>
          <cell r="E61">
            <v>18</v>
          </cell>
          <cell r="F61">
            <v>2016</v>
          </cell>
          <cell r="G61">
            <v>42600</v>
          </cell>
          <cell r="J61" t="str">
            <v>sample.56dup</v>
          </cell>
        </row>
        <row r="62">
          <cell r="B62" t="str">
            <v>996-42613</v>
          </cell>
          <cell r="C62">
            <v>996</v>
          </cell>
          <cell r="D62">
            <v>8</v>
          </cell>
          <cell r="E62">
            <v>31</v>
          </cell>
          <cell r="F62">
            <v>2016</v>
          </cell>
          <cell r="G62">
            <v>42613</v>
          </cell>
          <cell r="J62" t="str">
            <v>sample.57</v>
          </cell>
        </row>
        <row r="63">
          <cell r="B63" t="str">
            <v>996-42615</v>
          </cell>
          <cell r="C63">
            <v>996</v>
          </cell>
          <cell r="D63">
            <v>9</v>
          </cell>
          <cell r="E63">
            <v>2</v>
          </cell>
          <cell r="F63">
            <v>2016</v>
          </cell>
          <cell r="G63">
            <v>42615</v>
          </cell>
          <cell r="J63" t="str">
            <v>sample.57dup</v>
          </cell>
        </row>
        <row r="64">
          <cell r="B64" t="str">
            <v>1004-42602</v>
          </cell>
          <cell r="C64">
            <v>1004</v>
          </cell>
          <cell r="D64">
            <v>8</v>
          </cell>
          <cell r="E64">
            <v>20</v>
          </cell>
          <cell r="F64">
            <v>2016</v>
          </cell>
          <cell r="G64">
            <v>42602</v>
          </cell>
          <cell r="J64" t="str">
            <v>sample.6</v>
          </cell>
        </row>
        <row r="65">
          <cell r="B65" t="str">
            <v>1004-42613</v>
          </cell>
          <cell r="C65">
            <v>1004</v>
          </cell>
          <cell r="D65">
            <v>8</v>
          </cell>
          <cell r="E65">
            <v>31</v>
          </cell>
          <cell r="F65">
            <v>2016</v>
          </cell>
          <cell r="G65">
            <v>42613</v>
          </cell>
          <cell r="J65" t="str">
            <v>sample.7</v>
          </cell>
        </row>
        <row r="66">
          <cell r="B66" t="str">
            <v>1004-42614</v>
          </cell>
          <cell r="C66">
            <v>1004</v>
          </cell>
          <cell r="D66">
            <v>9</v>
          </cell>
          <cell r="E66">
            <v>1</v>
          </cell>
          <cell r="F66">
            <v>2016</v>
          </cell>
          <cell r="G66">
            <v>42614</v>
          </cell>
          <cell r="H66"/>
          <cell r="I66"/>
          <cell r="J66" t="str">
            <v>sample.7dup</v>
          </cell>
        </row>
        <row r="67">
          <cell r="B67" t="str">
            <v>1004-42615</v>
          </cell>
          <cell r="C67">
            <v>1004</v>
          </cell>
          <cell r="D67">
            <v>9</v>
          </cell>
          <cell r="E67">
            <v>2</v>
          </cell>
          <cell r="F67">
            <v>2016</v>
          </cell>
          <cell r="G67">
            <v>42615</v>
          </cell>
          <cell r="H67"/>
          <cell r="I67"/>
          <cell r="J67" t="str">
            <v>sample.8</v>
          </cell>
        </row>
        <row r="68">
          <cell r="B68" t="str">
            <v>1004-42572</v>
          </cell>
          <cell r="C68">
            <v>1004</v>
          </cell>
          <cell r="D68">
            <v>7</v>
          </cell>
          <cell r="E68">
            <v>21</v>
          </cell>
          <cell r="F68">
            <v>2016</v>
          </cell>
          <cell r="G68">
            <v>42572</v>
          </cell>
          <cell r="H68" t="str">
            <v>PO1</v>
          </cell>
          <cell r="J68" t="str">
            <v>sample.9</v>
          </cell>
        </row>
        <row r="69">
          <cell r="B69" t="str">
            <v>1000-42607</v>
          </cell>
          <cell r="C69">
            <v>1000</v>
          </cell>
          <cell r="D69">
            <v>8</v>
          </cell>
          <cell r="E69">
            <v>25</v>
          </cell>
          <cell r="F69">
            <v>2016</v>
          </cell>
          <cell r="G69">
            <v>42607</v>
          </cell>
          <cell r="H69"/>
          <cell r="I69"/>
          <cell r="J69"/>
        </row>
        <row r="70">
          <cell r="B70" t="str">
            <v>929-42607</v>
          </cell>
          <cell r="C70">
            <v>929</v>
          </cell>
          <cell r="D70">
            <v>8</v>
          </cell>
          <cell r="E70">
            <v>25</v>
          </cell>
          <cell r="F70">
            <v>2016</v>
          </cell>
          <cell r="G70">
            <v>42607</v>
          </cell>
          <cell r="H70"/>
          <cell r="I70"/>
          <cell r="J70"/>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sheetName val="Current_explanation"/>
      <sheetName val="Old"/>
      <sheetName val="Old_explanation"/>
    </sheetNames>
    <sheetDataSet>
      <sheetData sheetId="0">
        <row r="1">
          <cell r="A1" t="str">
            <v>grid-trap-date code</v>
          </cell>
          <cell r="B1" t="str">
            <v>Cap ID</v>
          </cell>
          <cell r="C1" t="str">
            <v>Cap date</v>
          </cell>
          <cell r="D1" t="str">
            <v>Grid</v>
          </cell>
          <cell r="E1" t="str">
            <v>Trap</v>
          </cell>
          <cell r="F1" t="str">
            <v>FEC date</v>
          </cell>
          <cell r="G1" t="str">
            <v>Initials</v>
          </cell>
          <cell r="H1" t="str">
            <v>E. del</v>
          </cell>
          <cell r="I1" t="str">
            <v>E. ariz A</v>
          </cell>
          <cell r="J1" t="str">
            <v>E. ariz B</v>
          </cell>
          <cell r="K1" t="str">
            <v>total E. sp</v>
          </cell>
          <cell r="L1" t="str">
            <v>A. amer</v>
          </cell>
          <cell r="M1" t="str">
            <v>S. pero</v>
          </cell>
          <cell r="N1" t="str">
            <v>C. amer</v>
          </cell>
          <cell r="O1" t="str">
            <v>Nem A</v>
          </cell>
          <cell r="P1" t="str">
            <v>Nem B</v>
          </cell>
          <cell r="Q1" t="str">
            <v>H. sp.</v>
          </cell>
          <cell r="R1" t="str">
            <v>Nem larvae</v>
          </cell>
          <cell r="S1" t="str">
            <v>Nem total</v>
          </cell>
          <cell r="T1" t="str">
            <v>Followed protocol</v>
          </cell>
          <cell r="U1" t="str">
            <v>Notes</v>
          </cell>
          <cell r="V1" t="str">
            <v>Entered by</v>
          </cell>
          <cell r="W1" t="str">
            <v>Checked by</v>
          </cell>
          <cell r="X1" t="str">
            <v>master match</v>
          </cell>
        </row>
        <row r="2">
          <cell r="A2" t="str">
            <v>PO1-E3-43229</v>
          </cell>
          <cell r="B2" t="str">
            <v>5/9-PO1-E3</v>
          </cell>
          <cell r="C2">
            <v>43229</v>
          </cell>
          <cell r="D2" t="str">
            <v>PO1</v>
          </cell>
          <cell r="E2" t="str">
            <v>E3</v>
          </cell>
          <cell r="F2">
            <v>43241</v>
          </cell>
          <cell r="G2" t="str">
            <v>IS</v>
          </cell>
          <cell r="H2"/>
          <cell r="I2"/>
          <cell r="J2"/>
          <cell r="K2">
            <v>0</v>
          </cell>
          <cell r="L2"/>
          <cell r="M2"/>
          <cell r="N2"/>
          <cell r="O2"/>
          <cell r="P2"/>
          <cell r="Q2">
            <v>34</v>
          </cell>
          <cell r="R2"/>
          <cell r="S2">
            <v>0</v>
          </cell>
          <cell r="X2" t="str">
            <v>5/9-PO1-E3</v>
          </cell>
        </row>
        <row r="3">
          <cell r="A3" t="str">
            <v>PO1-G4-43229</v>
          </cell>
          <cell r="B3" t="str">
            <v>5/9-PO1-G4</v>
          </cell>
          <cell r="C3">
            <v>43229</v>
          </cell>
          <cell r="D3" t="str">
            <v>PO1</v>
          </cell>
          <cell r="E3" t="str">
            <v>G4</v>
          </cell>
          <cell r="F3">
            <v>43240</v>
          </cell>
          <cell r="G3" t="str">
            <v>DP</v>
          </cell>
          <cell r="H3"/>
          <cell r="I3">
            <v>325</v>
          </cell>
          <cell r="J3"/>
          <cell r="K3">
            <v>325</v>
          </cell>
          <cell r="L3"/>
          <cell r="M3"/>
          <cell r="N3"/>
          <cell r="O3"/>
          <cell r="P3"/>
          <cell r="Q3"/>
          <cell r="R3">
            <v>2</v>
          </cell>
          <cell r="S3">
            <v>0</v>
          </cell>
          <cell r="X3" t="str">
            <v>5/9-PO1-G4</v>
          </cell>
        </row>
        <row r="4">
          <cell r="A4" t="str">
            <v>PO1-H1-43229</v>
          </cell>
          <cell r="B4" t="str">
            <v>5/9-PO1-H1</v>
          </cell>
          <cell r="C4">
            <v>43229</v>
          </cell>
          <cell r="D4" t="str">
            <v>PO1</v>
          </cell>
          <cell r="E4" t="str">
            <v>H1</v>
          </cell>
          <cell r="F4">
            <v>43240</v>
          </cell>
          <cell r="G4" t="str">
            <v>IS</v>
          </cell>
          <cell r="H4">
            <v>31</v>
          </cell>
          <cell r="I4"/>
          <cell r="J4"/>
          <cell r="K4">
            <v>31</v>
          </cell>
          <cell r="L4"/>
          <cell r="M4"/>
          <cell r="N4"/>
          <cell r="O4"/>
          <cell r="P4"/>
          <cell r="Q4">
            <v>9</v>
          </cell>
          <cell r="R4"/>
          <cell r="S4">
            <v>0</v>
          </cell>
          <cell r="X4" t="str">
            <v>5/9-PO1-H1</v>
          </cell>
        </row>
        <row r="5">
          <cell r="A5" t="str">
            <v>PO2-A7-43229</v>
          </cell>
          <cell r="B5" t="str">
            <v>5/9-PO2-A7</v>
          </cell>
          <cell r="C5">
            <v>43229</v>
          </cell>
          <cell r="D5" t="str">
            <v>PO2</v>
          </cell>
          <cell r="E5" t="str">
            <v>A7</v>
          </cell>
          <cell r="F5">
            <v>43241</v>
          </cell>
          <cell r="G5" t="str">
            <v>DP</v>
          </cell>
          <cell r="H5"/>
          <cell r="I5"/>
          <cell r="J5"/>
          <cell r="K5">
            <v>0</v>
          </cell>
          <cell r="L5">
            <v>1</v>
          </cell>
          <cell r="M5"/>
          <cell r="N5"/>
          <cell r="O5"/>
          <cell r="P5"/>
          <cell r="Q5"/>
          <cell r="R5"/>
          <cell r="S5">
            <v>1</v>
          </cell>
          <cell r="X5" t="str">
            <v>5/9-PO2-A7</v>
          </cell>
        </row>
        <row r="6">
          <cell r="A6" t="str">
            <v>PO2-B6-43229</v>
          </cell>
          <cell r="B6" t="str">
            <v>5/9-PO2-B6</v>
          </cell>
          <cell r="C6">
            <v>43229</v>
          </cell>
          <cell r="D6" t="str">
            <v>PO2</v>
          </cell>
          <cell r="E6" t="str">
            <v>B6</v>
          </cell>
          <cell r="F6">
            <v>43240</v>
          </cell>
          <cell r="G6" t="str">
            <v>IS</v>
          </cell>
          <cell r="H6"/>
          <cell r="I6"/>
          <cell r="J6"/>
          <cell r="K6">
            <v>0</v>
          </cell>
          <cell r="L6"/>
          <cell r="M6"/>
          <cell r="N6">
            <v>6</v>
          </cell>
          <cell r="O6"/>
          <cell r="P6"/>
          <cell r="Q6"/>
          <cell r="R6"/>
          <cell r="S6">
            <v>6</v>
          </cell>
          <cell r="X6" t="str">
            <v>5/9-PO2-B6</v>
          </cell>
        </row>
        <row r="7">
          <cell r="A7" t="str">
            <v>PO2-D5-43229</v>
          </cell>
          <cell r="B7" t="str">
            <v>5/9-PO2-D5</v>
          </cell>
          <cell r="C7">
            <v>43229</v>
          </cell>
          <cell r="D7" t="str">
            <v>PO2</v>
          </cell>
          <cell r="E7" t="str">
            <v>D5</v>
          </cell>
          <cell r="F7">
            <v>43243</v>
          </cell>
          <cell r="G7" t="str">
            <v>IS</v>
          </cell>
          <cell r="H7">
            <v>1036</v>
          </cell>
          <cell r="I7"/>
          <cell r="J7"/>
          <cell r="K7">
            <v>1036</v>
          </cell>
          <cell r="L7"/>
          <cell r="M7">
            <v>49</v>
          </cell>
          <cell r="N7">
            <v>13</v>
          </cell>
          <cell r="O7"/>
          <cell r="P7"/>
          <cell r="Q7"/>
          <cell r="R7"/>
          <cell r="S7">
            <v>62</v>
          </cell>
          <cell r="X7" t="str">
            <v>5/9-PO2-D5</v>
          </cell>
        </row>
        <row r="8">
          <cell r="A8" t="str">
            <v>PO2-D5-43229</v>
          </cell>
          <cell r="B8" t="str">
            <v>5/9-PO2-D5</v>
          </cell>
          <cell r="C8">
            <v>43229</v>
          </cell>
          <cell r="D8" t="str">
            <v>PO2</v>
          </cell>
          <cell r="E8" t="str">
            <v>D5</v>
          </cell>
          <cell r="F8">
            <v>43243</v>
          </cell>
          <cell r="G8" t="str">
            <v>JB</v>
          </cell>
          <cell r="H8">
            <v>33</v>
          </cell>
          <cell r="I8">
            <v>1010</v>
          </cell>
          <cell r="J8">
            <v>0</v>
          </cell>
          <cell r="K8">
            <v>1043</v>
          </cell>
          <cell r="L8">
            <v>1</v>
          </cell>
          <cell r="M8">
            <v>79</v>
          </cell>
          <cell r="N8">
            <v>21</v>
          </cell>
          <cell r="O8">
            <v>0</v>
          </cell>
          <cell r="P8">
            <v>0</v>
          </cell>
          <cell r="Q8">
            <v>0</v>
          </cell>
          <cell r="R8">
            <v>0</v>
          </cell>
          <cell r="S8">
            <v>101</v>
          </cell>
          <cell r="X8" t="str">
            <v>5/9-PO2-D5</v>
          </cell>
        </row>
        <row r="9">
          <cell r="A9" t="str">
            <v>PO2-D7-43229</v>
          </cell>
          <cell r="B9" t="str">
            <v>5/9-PO2-D7</v>
          </cell>
          <cell r="C9">
            <v>43229</v>
          </cell>
          <cell r="D9" t="str">
            <v>PO2</v>
          </cell>
          <cell r="E9" t="str">
            <v>D7</v>
          </cell>
          <cell r="F9">
            <v>43241</v>
          </cell>
          <cell r="G9" t="str">
            <v>JB</v>
          </cell>
          <cell r="H9">
            <v>1</v>
          </cell>
          <cell r="I9">
            <v>17</v>
          </cell>
          <cell r="J9">
            <v>0</v>
          </cell>
          <cell r="K9">
            <v>18</v>
          </cell>
          <cell r="L9">
            <v>0</v>
          </cell>
          <cell r="M9">
            <v>14</v>
          </cell>
          <cell r="N9">
            <v>21</v>
          </cell>
          <cell r="O9">
            <v>0</v>
          </cell>
          <cell r="P9">
            <v>0</v>
          </cell>
          <cell r="Q9">
            <v>0</v>
          </cell>
          <cell r="R9">
            <v>0</v>
          </cell>
          <cell r="S9">
            <v>35</v>
          </cell>
          <cell r="X9" t="str">
            <v>5/9-PO2-D7</v>
          </cell>
        </row>
        <row r="10">
          <cell r="A10" t="str">
            <v>PO2-G4-43229</v>
          </cell>
          <cell r="B10" t="str">
            <v>5/9-PO2-G4</v>
          </cell>
          <cell r="C10">
            <v>43229</v>
          </cell>
          <cell r="D10" t="str">
            <v>PO2</v>
          </cell>
          <cell r="E10" t="str">
            <v>G4</v>
          </cell>
          <cell r="F10">
            <v>43243</v>
          </cell>
          <cell r="G10" t="str">
            <v>IS</v>
          </cell>
          <cell r="H10">
            <v>54</v>
          </cell>
          <cell r="I10">
            <v>35</v>
          </cell>
          <cell r="J10"/>
          <cell r="K10">
            <v>89</v>
          </cell>
          <cell r="L10"/>
          <cell r="M10"/>
          <cell r="N10">
            <v>1</v>
          </cell>
          <cell r="O10"/>
          <cell r="P10"/>
          <cell r="Q10"/>
          <cell r="R10">
            <v>1</v>
          </cell>
          <cell r="S10">
            <v>1</v>
          </cell>
          <cell r="X10" t="str">
            <v>5/9-PO2-G4</v>
          </cell>
        </row>
        <row r="11">
          <cell r="A11" t="str">
            <v>PO2-G4-43229</v>
          </cell>
          <cell r="B11" t="str">
            <v>5/9-PO2-G4</v>
          </cell>
          <cell r="C11">
            <v>43229</v>
          </cell>
          <cell r="D11" t="str">
            <v>PO2</v>
          </cell>
          <cell r="E11" t="str">
            <v>G4</v>
          </cell>
          <cell r="F11">
            <v>43243</v>
          </cell>
          <cell r="G11" t="str">
            <v>JB</v>
          </cell>
          <cell r="H11"/>
          <cell r="I11"/>
          <cell r="J11"/>
          <cell r="K11">
            <v>1</v>
          </cell>
          <cell r="L11">
            <v>0</v>
          </cell>
          <cell r="M11">
            <v>0</v>
          </cell>
          <cell r="N11">
            <v>0</v>
          </cell>
          <cell r="O11">
            <v>0</v>
          </cell>
          <cell r="P11">
            <v>0</v>
          </cell>
          <cell r="Q11">
            <v>0</v>
          </cell>
          <cell r="R11">
            <v>0</v>
          </cell>
          <cell r="S11">
            <v>0</v>
          </cell>
          <cell r="X11" t="str">
            <v>5/9-PO2-G4</v>
          </cell>
        </row>
        <row r="12">
          <cell r="A12" t="str">
            <v>PO2-G5-43229</v>
          </cell>
          <cell r="B12" t="str">
            <v>5/9-PO2-G5</v>
          </cell>
          <cell r="C12">
            <v>43229</v>
          </cell>
          <cell r="D12" t="str">
            <v>PO2</v>
          </cell>
          <cell r="E12" t="str">
            <v>G5</v>
          </cell>
          <cell r="F12">
            <v>43243</v>
          </cell>
          <cell r="G12" t="str">
            <v>DP</v>
          </cell>
          <cell r="H12">
            <v>0</v>
          </cell>
          <cell r="I12">
            <v>0</v>
          </cell>
          <cell r="J12">
            <v>0</v>
          </cell>
          <cell r="K12">
            <v>0</v>
          </cell>
          <cell r="L12">
            <v>0</v>
          </cell>
          <cell r="M12">
            <v>0</v>
          </cell>
          <cell r="N12">
            <v>0</v>
          </cell>
          <cell r="O12">
            <v>0</v>
          </cell>
          <cell r="P12">
            <v>0</v>
          </cell>
          <cell r="Q12">
            <v>0</v>
          </cell>
          <cell r="R12">
            <v>0</v>
          </cell>
          <cell r="S12">
            <v>0</v>
          </cell>
          <cell r="X12" t="str">
            <v>5/9-PO2-G5</v>
          </cell>
        </row>
        <row r="13">
          <cell r="A13" t="str">
            <v>PO2-H3-43229</v>
          </cell>
          <cell r="B13" t="str">
            <v>5/9-PO2-H3</v>
          </cell>
          <cell r="C13">
            <v>43229</v>
          </cell>
          <cell r="D13" t="str">
            <v>PO2</v>
          </cell>
          <cell r="E13" t="str">
            <v>H3</v>
          </cell>
          <cell r="F13">
            <v>43241</v>
          </cell>
          <cell r="G13" t="str">
            <v>IS</v>
          </cell>
          <cell r="H13">
            <v>9</v>
          </cell>
          <cell r="I13">
            <v>10</v>
          </cell>
          <cell r="J13"/>
          <cell r="K13">
            <v>19</v>
          </cell>
          <cell r="L13"/>
          <cell r="M13"/>
          <cell r="N13"/>
          <cell r="O13"/>
          <cell r="P13"/>
          <cell r="Q13"/>
          <cell r="R13"/>
          <cell r="S13">
            <v>0</v>
          </cell>
          <cell r="X13" t="str">
            <v>5/9-PO2-H3</v>
          </cell>
        </row>
        <row r="14">
          <cell r="A14" t="str">
            <v>PO2-H7-43229</v>
          </cell>
          <cell r="B14" t="str">
            <v>5/9-PO2-H7</v>
          </cell>
          <cell r="C14">
            <v>43229</v>
          </cell>
          <cell r="D14" t="str">
            <v>PO2</v>
          </cell>
          <cell r="E14" t="str">
            <v>H7</v>
          </cell>
          <cell r="F14">
            <v>43241</v>
          </cell>
          <cell r="G14" t="str">
            <v>DP</v>
          </cell>
          <cell r="H14"/>
          <cell r="I14"/>
          <cell r="J14"/>
          <cell r="K14">
            <v>0</v>
          </cell>
          <cell r="L14"/>
          <cell r="M14"/>
          <cell r="N14">
            <v>1</v>
          </cell>
          <cell r="O14"/>
          <cell r="P14"/>
          <cell r="Q14"/>
          <cell r="R14"/>
          <cell r="S14">
            <v>1</v>
          </cell>
          <cell r="X14" t="str">
            <v>5/9-PO2-H7</v>
          </cell>
        </row>
        <row r="15">
          <cell r="A15" t="str">
            <v>PO1-A1-43230</v>
          </cell>
          <cell r="B15" t="str">
            <v>5/10-PO1-A1</v>
          </cell>
          <cell r="C15">
            <v>43230</v>
          </cell>
          <cell r="D15" t="str">
            <v>PO1</v>
          </cell>
          <cell r="E15" t="str">
            <v>A1</v>
          </cell>
          <cell r="F15">
            <v>43244</v>
          </cell>
          <cell r="G15" t="str">
            <v>DP</v>
          </cell>
          <cell r="H15">
            <v>0</v>
          </cell>
          <cell r="I15">
            <v>0</v>
          </cell>
          <cell r="J15">
            <v>0</v>
          </cell>
          <cell r="K15">
            <v>0</v>
          </cell>
          <cell r="L15">
            <v>0</v>
          </cell>
          <cell r="M15">
            <v>0</v>
          </cell>
          <cell r="N15">
            <v>0</v>
          </cell>
          <cell r="O15">
            <v>0</v>
          </cell>
          <cell r="P15">
            <v>0</v>
          </cell>
          <cell r="Q15">
            <v>0</v>
          </cell>
          <cell r="R15">
            <v>0</v>
          </cell>
          <cell r="S15">
            <v>0</v>
          </cell>
          <cell r="X15" t="str">
            <v>5/10-PO1-A1</v>
          </cell>
        </row>
        <row r="16">
          <cell r="A16" t="str">
            <v>PO1-C1-43230</v>
          </cell>
          <cell r="B16" t="str">
            <v>5/10-PO1-C1</v>
          </cell>
          <cell r="C16">
            <v>43230</v>
          </cell>
          <cell r="D16" t="str">
            <v>PO1</v>
          </cell>
          <cell r="E16" t="str">
            <v>C1</v>
          </cell>
          <cell r="F16">
            <v>43248</v>
          </cell>
          <cell r="G16" t="str">
            <v>TE</v>
          </cell>
          <cell r="H16">
            <v>5</v>
          </cell>
          <cell r="I16"/>
          <cell r="J16"/>
          <cell r="K16">
            <v>5</v>
          </cell>
          <cell r="L16"/>
          <cell r="M16"/>
          <cell r="N16">
            <v>9</v>
          </cell>
          <cell r="O16"/>
          <cell r="P16"/>
          <cell r="Q16"/>
          <cell r="R16"/>
          <cell r="S16">
            <v>9</v>
          </cell>
          <cell r="X16" t="str">
            <v>5/10-PO1-C1</v>
          </cell>
        </row>
        <row r="17">
          <cell r="A17" t="str">
            <v>PO1-C2-43230</v>
          </cell>
          <cell r="B17" t="str">
            <v>5/10-PO1-C2</v>
          </cell>
          <cell r="C17">
            <v>43230</v>
          </cell>
          <cell r="D17" t="str">
            <v>PO1</v>
          </cell>
          <cell r="E17" t="str">
            <v>C2</v>
          </cell>
          <cell r="F17">
            <v>43248</v>
          </cell>
          <cell r="G17" t="str">
            <v>TE</v>
          </cell>
          <cell r="H17"/>
          <cell r="I17"/>
          <cell r="J17">
            <v>5</v>
          </cell>
          <cell r="K17">
            <v>5</v>
          </cell>
          <cell r="L17"/>
          <cell r="M17"/>
          <cell r="N17"/>
          <cell r="O17"/>
          <cell r="P17"/>
          <cell r="Q17">
            <v>119</v>
          </cell>
          <cell r="R17"/>
          <cell r="S17">
            <v>0</v>
          </cell>
          <cell r="X17" t="str">
            <v>5/10-PO1-C2</v>
          </cell>
        </row>
        <row r="18">
          <cell r="A18" t="str">
            <v>PO1-A5-43230</v>
          </cell>
          <cell r="B18" t="str">
            <v>5/10-PO1-A5</v>
          </cell>
          <cell r="C18">
            <v>43230</v>
          </cell>
          <cell r="D18" t="str">
            <v>PO1</v>
          </cell>
          <cell r="E18" t="str">
            <v>A5</v>
          </cell>
          <cell r="F18">
            <v>43244</v>
          </cell>
          <cell r="G18" t="str">
            <v>IS</v>
          </cell>
          <cell r="H18">
            <v>0</v>
          </cell>
          <cell r="I18">
            <v>0</v>
          </cell>
          <cell r="J18">
            <v>0</v>
          </cell>
          <cell r="K18">
            <v>0</v>
          </cell>
          <cell r="L18">
            <v>0</v>
          </cell>
          <cell r="M18">
            <v>0</v>
          </cell>
          <cell r="N18">
            <v>0</v>
          </cell>
          <cell r="O18">
            <v>0</v>
          </cell>
          <cell r="P18">
            <v>0</v>
          </cell>
          <cell r="Q18">
            <v>0</v>
          </cell>
          <cell r="R18">
            <v>0</v>
          </cell>
          <cell r="S18">
            <v>0</v>
          </cell>
          <cell r="X18" t="str">
            <v>5/10-PO1-A5</v>
          </cell>
          <cell r="Y18" t="str">
            <v>P01 A5 in master</v>
          </cell>
        </row>
        <row r="19">
          <cell r="A19" t="str">
            <v>PO2-C1-43230</v>
          </cell>
          <cell r="B19" t="str">
            <v>5/10-PO2-C1</v>
          </cell>
          <cell r="C19">
            <v>43230</v>
          </cell>
          <cell r="D19" t="str">
            <v>PO2</v>
          </cell>
          <cell r="E19" t="str">
            <v>C1</v>
          </cell>
          <cell r="F19">
            <v>43243</v>
          </cell>
          <cell r="G19" t="str">
            <v>DP</v>
          </cell>
          <cell r="H19">
            <v>0</v>
          </cell>
          <cell r="I19">
            <v>0</v>
          </cell>
          <cell r="J19">
            <v>0</v>
          </cell>
          <cell r="K19">
            <v>0</v>
          </cell>
          <cell r="L19">
            <v>0</v>
          </cell>
          <cell r="M19">
            <v>0</v>
          </cell>
          <cell r="N19">
            <v>0</v>
          </cell>
          <cell r="O19">
            <v>0</v>
          </cell>
          <cell r="P19">
            <v>0</v>
          </cell>
          <cell r="Q19">
            <v>0</v>
          </cell>
          <cell r="R19">
            <v>0</v>
          </cell>
          <cell r="S19">
            <v>0</v>
          </cell>
          <cell r="X19" t="str">
            <v>5/10-PO2-C1</v>
          </cell>
        </row>
        <row r="20">
          <cell r="A20" t="str">
            <v>PO1-D2-43230</v>
          </cell>
          <cell r="B20" t="str">
            <v>5/10-PO1-D2</v>
          </cell>
          <cell r="C20">
            <v>43230</v>
          </cell>
          <cell r="D20" t="str">
            <v>PO1</v>
          </cell>
          <cell r="E20" t="str">
            <v>D2</v>
          </cell>
          <cell r="F20">
            <v>43244</v>
          </cell>
          <cell r="G20" t="str">
            <v>DP</v>
          </cell>
          <cell r="H20">
            <v>175</v>
          </cell>
          <cell r="I20">
            <v>1130</v>
          </cell>
          <cell r="J20">
            <v>3</v>
          </cell>
          <cell r="K20">
            <v>1308</v>
          </cell>
          <cell r="L20">
            <v>14</v>
          </cell>
          <cell r="M20">
            <v>0</v>
          </cell>
          <cell r="N20">
            <v>22</v>
          </cell>
          <cell r="O20"/>
          <cell r="P20"/>
          <cell r="Q20"/>
          <cell r="R20"/>
          <cell r="S20">
            <v>36</v>
          </cell>
          <cell r="X20" t="str">
            <v>5/10-PO1-D2</v>
          </cell>
        </row>
        <row r="21">
          <cell r="A21" t="str">
            <v>PO2-E1-43230</v>
          </cell>
          <cell r="B21" t="str">
            <v>5/10-PO2-E1</v>
          </cell>
          <cell r="C21">
            <v>43230</v>
          </cell>
          <cell r="D21" t="str">
            <v>PO2</v>
          </cell>
          <cell r="E21" t="str">
            <v>E1</v>
          </cell>
          <cell r="F21">
            <v>43248</v>
          </cell>
          <cell r="G21" t="str">
            <v>JB</v>
          </cell>
          <cell r="H21">
            <v>1366</v>
          </cell>
          <cell r="I21">
            <v>9446</v>
          </cell>
          <cell r="J21">
            <v>0</v>
          </cell>
          <cell r="K21">
            <v>10812</v>
          </cell>
          <cell r="L21">
            <v>59</v>
          </cell>
          <cell r="M21">
            <v>0</v>
          </cell>
          <cell r="N21">
            <v>0</v>
          </cell>
          <cell r="O21">
            <v>0</v>
          </cell>
          <cell r="P21">
            <v>0</v>
          </cell>
          <cell r="Q21">
            <v>26</v>
          </cell>
          <cell r="R21">
            <v>0</v>
          </cell>
          <cell r="S21">
            <v>59</v>
          </cell>
          <cell r="X21" t="str">
            <v>5/10-PO2-E1</v>
          </cell>
        </row>
        <row r="22">
          <cell r="A22" t="str">
            <v>PO2-H3-43230</v>
          </cell>
          <cell r="B22" t="str">
            <v>5/10-PO2-H3</v>
          </cell>
          <cell r="C22">
            <v>43230</v>
          </cell>
          <cell r="D22" t="str">
            <v>PO2</v>
          </cell>
          <cell r="E22" t="str">
            <v>H3</v>
          </cell>
          <cell r="F22">
            <v>43244</v>
          </cell>
          <cell r="G22" t="str">
            <v>IS</v>
          </cell>
          <cell r="H22">
            <v>3</v>
          </cell>
          <cell r="I22">
            <v>6</v>
          </cell>
          <cell r="J22"/>
          <cell r="K22">
            <v>9</v>
          </cell>
          <cell r="L22">
            <v>17</v>
          </cell>
          <cell r="M22"/>
          <cell r="N22"/>
          <cell r="O22">
            <v>1</v>
          </cell>
          <cell r="P22"/>
          <cell r="Q22"/>
          <cell r="R22"/>
          <cell r="S22">
            <v>18</v>
          </cell>
          <cell r="X22" t="str">
            <v>5/10-PO2-H3</v>
          </cell>
        </row>
        <row r="23">
          <cell r="A23" t="str">
            <v>PO1-F1-43231</v>
          </cell>
          <cell r="B23" t="str">
            <v>5/11-PO1-F1</v>
          </cell>
          <cell r="C23">
            <v>43231</v>
          </cell>
          <cell r="D23" t="str">
            <v>PO1</v>
          </cell>
          <cell r="E23" t="str">
            <v>F1</v>
          </cell>
          <cell r="F23">
            <v>43248</v>
          </cell>
          <cell r="G23" t="str">
            <v>TE</v>
          </cell>
          <cell r="H23"/>
          <cell r="I23"/>
          <cell r="J23">
            <v>32</v>
          </cell>
          <cell r="K23">
            <v>32</v>
          </cell>
          <cell r="L23"/>
          <cell r="M23"/>
          <cell r="N23"/>
          <cell r="O23"/>
          <cell r="P23"/>
          <cell r="Q23"/>
          <cell r="R23"/>
          <cell r="S23">
            <v>0</v>
          </cell>
          <cell r="X23" t="str">
            <v>5/11-PO1-F1</v>
          </cell>
        </row>
        <row r="24">
          <cell r="A24" t="str">
            <v>PO1-G4-43231</v>
          </cell>
          <cell r="B24" t="str">
            <v>5/11-PO1-G4</v>
          </cell>
          <cell r="C24">
            <v>43231</v>
          </cell>
          <cell r="D24" t="str">
            <v>PO1</v>
          </cell>
          <cell r="E24" t="str">
            <v>G4</v>
          </cell>
          <cell r="F24">
            <v>43249</v>
          </cell>
          <cell r="G24" t="str">
            <v>JB</v>
          </cell>
          <cell r="H24">
            <v>0</v>
          </cell>
          <cell r="I24">
            <v>10</v>
          </cell>
          <cell r="J24">
            <v>0</v>
          </cell>
          <cell r="K24">
            <v>10</v>
          </cell>
          <cell r="L24">
            <v>0</v>
          </cell>
          <cell r="M24">
            <v>0</v>
          </cell>
          <cell r="N24">
            <v>0</v>
          </cell>
          <cell r="O24">
            <v>0</v>
          </cell>
          <cell r="P24">
            <v>0</v>
          </cell>
          <cell r="Q24">
            <v>0</v>
          </cell>
          <cell r="R24">
            <v>0</v>
          </cell>
          <cell r="S24">
            <v>0</v>
          </cell>
          <cell r="X24" t="str">
            <v>5/11-PO1-G4</v>
          </cell>
        </row>
        <row r="25">
          <cell r="A25" t="str">
            <v>PO1-H4-43231</v>
          </cell>
          <cell r="B25" t="str">
            <v>5/11-PO1-H4</v>
          </cell>
          <cell r="C25">
            <v>43231</v>
          </cell>
          <cell r="D25" t="str">
            <v>PO1</v>
          </cell>
          <cell r="E25" t="str">
            <v>H4</v>
          </cell>
          <cell r="F25">
            <v>43248</v>
          </cell>
          <cell r="G25" t="str">
            <v>JB</v>
          </cell>
          <cell r="H25">
            <v>0</v>
          </cell>
          <cell r="I25">
            <v>7</v>
          </cell>
          <cell r="J25">
            <v>0</v>
          </cell>
          <cell r="K25">
            <v>7</v>
          </cell>
          <cell r="L25">
            <v>0</v>
          </cell>
          <cell r="M25">
            <v>0</v>
          </cell>
          <cell r="N25">
            <v>0</v>
          </cell>
          <cell r="O25">
            <v>0</v>
          </cell>
          <cell r="P25">
            <v>0</v>
          </cell>
          <cell r="Q25">
            <v>0</v>
          </cell>
          <cell r="R25">
            <v>1</v>
          </cell>
          <cell r="S25">
            <v>0</v>
          </cell>
          <cell r="X25" t="str">
            <v>5/11-PO1-H4</v>
          </cell>
        </row>
        <row r="26">
          <cell r="A26" t="str">
            <v>PO2-A3-43231</v>
          </cell>
          <cell r="B26" t="str">
            <v>5/11-PO2-A3</v>
          </cell>
          <cell r="C26">
            <v>43231</v>
          </cell>
          <cell r="D26" t="str">
            <v>PO2</v>
          </cell>
          <cell r="E26" t="str">
            <v>A3</v>
          </cell>
          <cell r="F26">
            <v>43249</v>
          </cell>
          <cell r="G26" t="str">
            <v>TE</v>
          </cell>
          <cell r="H26"/>
          <cell r="I26"/>
          <cell r="J26">
            <v>46</v>
          </cell>
          <cell r="K26">
            <v>46</v>
          </cell>
          <cell r="L26">
            <v>3</v>
          </cell>
          <cell r="M26"/>
          <cell r="N26"/>
          <cell r="O26"/>
          <cell r="P26"/>
          <cell r="Q26"/>
          <cell r="R26">
            <v>1</v>
          </cell>
          <cell r="S26">
            <v>3</v>
          </cell>
          <cell r="X26" t="str">
            <v>5/11-PO2-A3</v>
          </cell>
          <cell r="Y26" t="str">
            <v>PO2 A3 in master</v>
          </cell>
        </row>
        <row r="27">
          <cell r="A27" t="str">
            <v>SP1-B2-43232</v>
          </cell>
          <cell r="B27" t="str">
            <v>5/12-SP1-B2</v>
          </cell>
          <cell r="C27">
            <v>43232</v>
          </cell>
          <cell r="D27" t="str">
            <v>SP1</v>
          </cell>
          <cell r="E27" t="str">
            <v>B2</v>
          </cell>
          <cell r="F27">
            <v>43249</v>
          </cell>
          <cell r="G27" t="str">
            <v>JB</v>
          </cell>
          <cell r="H27">
            <v>2</v>
          </cell>
          <cell r="I27">
            <v>42</v>
          </cell>
          <cell r="J27">
            <v>0</v>
          </cell>
          <cell r="K27">
            <v>44</v>
          </cell>
          <cell r="L27">
            <v>0</v>
          </cell>
          <cell r="M27">
            <v>0</v>
          </cell>
          <cell r="N27">
            <v>1</v>
          </cell>
          <cell r="O27">
            <v>0</v>
          </cell>
          <cell r="P27">
            <v>0</v>
          </cell>
          <cell r="Q27">
            <v>0</v>
          </cell>
          <cell r="R27">
            <v>1</v>
          </cell>
          <cell r="S27">
            <v>1</v>
          </cell>
          <cell r="X27" t="str">
            <v>5/12-SP1-B2</v>
          </cell>
        </row>
        <row r="28">
          <cell r="A28" t="str">
            <v>SP1-D7-43232</v>
          </cell>
          <cell r="B28" t="str">
            <v>5/12-SP1-D7</v>
          </cell>
          <cell r="C28">
            <v>43232</v>
          </cell>
          <cell r="D28" t="str">
            <v>SP1</v>
          </cell>
          <cell r="E28" t="str">
            <v>D7</v>
          </cell>
          <cell r="F28">
            <v>43250</v>
          </cell>
          <cell r="G28" t="str">
            <v>JB</v>
          </cell>
          <cell r="H28">
            <v>73</v>
          </cell>
          <cell r="I28">
            <v>40</v>
          </cell>
          <cell r="J28">
            <v>0</v>
          </cell>
          <cell r="K28">
            <v>113</v>
          </cell>
          <cell r="L28">
            <v>0</v>
          </cell>
          <cell r="M28">
            <v>0</v>
          </cell>
          <cell r="N28">
            <v>0</v>
          </cell>
          <cell r="O28">
            <v>0</v>
          </cell>
          <cell r="P28">
            <v>0</v>
          </cell>
          <cell r="Q28">
            <v>0</v>
          </cell>
          <cell r="R28">
            <v>0</v>
          </cell>
          <cell r="S28">
            <v>0</v>
          </cell>
          <cell r="X28" t="str">
            <v>5/12-SP1-D7</v>
          </cell>
        </row>
        <row r="29">
          <cell r="A29" t="str">
            <v>SP2-G3-43232</v>
          </cell>
          <cell r="B29" t="str">
            <v>5/12-SP2-G3</v>
          </cell>
          <cell r="C29">
            <v>43232</v>
          </cell>
          <cell r="D29" t="str">
            <v>SP2</v>
          </cell>
          <cell r="E29" t="str">
            <v>G3</v>
          </cell>
          <cell r="F29">
            <v>43250</v>
          </cell>
          <cell r="G29" t="str">
            <v>JB</v>
          </cell>
          <cell r="H29">
            <v>3</v>
          </cell>
          <cell r="I29">
            <v>6</v>
          </cell>
          <cell r="J29">
            <v>0</v>
          </cell>
          <cell r="K29">
            <v>9</v>
          </cell>
          <cell r="L29">
            <v>0</v>
          </cell>
          <cell r="M29">
            <v>0</v>
          </cell>
          <cell r="N29">
            <v>1</v>
          </cell>
          <cell r="O29">
            <v>0</v>
          </cell>
          <cell r="P29">
            <v>0</v>
          </cell>
          <cell r="Q29">
            <v>0</v>
          </cell>
          <cell r="R29">
            <v>0</v>
          </cell>
          <cell r="S29">
            <v>1</v>
          </cell>
          <cell r="X29" t="str">
            <v>5/12-SP2-G3</v>
          </cell>
        </row>
        <row r="30">
          <cell r="A30" t="str">
            <v>SP1-G6-43232</v>
          </cell>
          <cell r="B30" t="str">
            <v>5/12-SP1-G6</v>
          </cell>
          <cell r="C30">
            <v>43232</v>
          </cell>
          <cell r="D30" t="str">
            <v>SP1</v>
          </cell>
          <cell r="E30" t="str">
            <v>G6</v>
          </cell>
          <cell r="F30">
            <v>43249</v>
          </cell>
          <cell r="G30" t="str">
            <v>TE</v>
          </cell>
          <cell r="H30">
            <v>1355</v>
          </cell>
          <cell r="I30"/>
          <cell r="J30">
            <v>4095</v>
          </cell>
          <cell r="K30">
            <v>5450</v>
          </cell>
          <cell r="L30">
            <v>14</v>
          </cell>
          <cell r="M30"/>
          <cell r="N30"/>
          <cell r="O30"/>
          <cell r="P30"/>
          <cell r="Q30"/>
          <cell r="R30"/>
          <cell r="S30">
            <v>14</v>
          </cell>
          <cell r="X30" t="str">
            <v>5/12-SP1-G6</v>
          </cell>
        </row>
        <row r="31">
          <cell r="A31" t="str">
            <v>SP1-H8-43233</v>
          </cell>
          <cell r="B31" t="str">
            <v>5/13-SP1-H8</v>
          </cell>
          <cell r="C31">
            <v>43233</v>
          </cell>
          <cell r="D31" t="str">
            <v>SP1</v>
          </cell>
          <cell r="E31" t="str">
            <v>H8</v>
          </cell>
          <cell r="F31">
            <v>43250</v>
          </cell>
          <cell r="G31" t="str">
            <v>TE</v>
          </cell>
          <cell r="H31">
            <v>44</v>
          </cell>
          <cell r="I31"/>
          <cell r="J31">
            <v>186</v>
          </cell>
          <cell r="K31">
            <v>230</v>
          </cell>
          <cell r="L31">
            <v>2</v>
          </cell>
          <cell r="M31"/>
          <cell r="N31">
            <v>3</v>
          </cell>
          <cell r="O31"/>
          <cell r="P31"/>
          <cell r="Q31"/>
          <cell r="R31"/>
          <cell r="S31">
            <v>5</v>
          </cell>
          <cell r="X31" t="str">
            <v>5/13-SP1-H8</v>
          </cell>
        </row>
        <row r="32">
          <cell r="A32" t="str">
            <v>SP2-A2-43232</v>
          </cell>
          <cell r="B32" t="str">
            <v>5/12-SP2-A2</v>
          </cell>
          <cell r="C32">
            <v>43232</v>
          </cell>
          <cell r="D32" t="str">
            <v>SP2</v>
          </cell>
          <cell r="E32" t="str">
            <v>A2</v>
          </cell>
          <cell r="F32">
            <v>43250</v>
          </cell>
          <cell r="G32" t="str">
            <v>TE</v>
          </cell>
          <cell r="H32">
            <v>37</v>
          </cell>
          <cell r="I32"/>
          <cell r="J32">
            <v>23</v>
          </cell>
          <cell r="K32">
            <v>60</v>
          </cell>
          <cell r="L32"/>
          <cell r="M32"/>
          <cell r="N32">
            <v>10</v>
          </cell>
          <cell r="O32"/>
          <cell r="P32"/>
          <cell r="Q32"/>
          <cell r="R32"/>
          <cell r="S32">
            <v>10</v>
          </cell>
          <cell r="X32" t="str">
            <v>5/12-SP2-A2</v>
          </cell>
        </row>
        <row r="33">
          <cell r="A33" t="str">
            <v>SP1-B2-43233</v>
          </cell>
          <cell r="B33" t="str">
            <v>5/13-SP1-B2</v>
          </cell>
          <cell r="C33">
            <v>43233</v>
          </cell>
          <cell r="D33" t="str">
            <v>SP1</v>
          </cell>
          <cell r="E33" t="str">
            <v>B2</v>
          </cell>
          <cell r="F33">
            <v>43251</v>
          </cell>
          <cell r="G33" t="str">
            <v>IS</v>
          </cell>
          <cell r="H33">
            <v>0</v>
          </cell>
          <cell r="I33">
            <v>0</v>
          </cell>
          <cell r="J33">
            <v>0</v>
          </cell>
          <cell r="K33">
            <v>0</v>
          </cell>
          <cell r="L33">
            <v>0</v>
          </cell>
          <cell r="M33">
            <v>0</v>
          </cell>
          <cell r="N33">
            <v>0</v>
          </cell>
          <cell r="O33">
            <v>0</v>
          </cell>
          <cell r="P33">
            <v>0</v>
          </cell>
          <cell r="Q33">
            <v>0</v>
          </cell>
          <cell r="R33">
            <v>0</v>
          </cell>
          <cell r="S33">
            <v>0</v>
          </cell>
          <cell r="X33" t="str">
            <v>5/13-SP1-B2</v>
          </cell>
        </row>
        <row r="34">
          <cell r="A34" t="str">
            <v>SP2-B8-43233</v>
          </cell>
          <cell r="B34" t="str">
            <v>5/13-SP2-B8</v>
          </cell>
          <cell r="C34">
            <v>43233</v>
          </cell>
          <cell r="D34" t="str">
            <v>SP2</v>
          </cell>
          <cell r="E34" t="str">
            <v>B8</v>
          </cell>
          <cell r="F34">
            <v>43251</v>
          </cell>
          <cell r="G34" t="str">
            <v>TE</v>
          </cell>
          <cell r="H34"/>
          <cell r="I34"/>
          <cell r="J34">
            <v>11</v>
          </cell>
          <cell r="K34">
            <v>11</v>
          </cell>
          <cell r="L34">
            <v>2</v>
          </cell>
          <cell r="M34"/>
          <cell r="N34">
            <v>4</v>
          </cell>
          <cell r="O34"/>
          <cell r="P34"/>
          <cell r="Q34"/>
          <cell r="R34"/>
          <cell r="S34">
            <v>6</v>
          </cell>
          <cell r="X34" t="str">
            <v>5/13-SP2-B8</v>
          </cell>
        </row>
        <row r="35">
          <cell r="A35" t="str">
            <v>SP2-C2-43233</v>
          </cell>
          <cell r="B35" t="str">
            <v>5/13-SP2-C2</v>
          </cell>
          <cell r="C35">
            <v>43233</v>
          </cell>
          <cell r="D35" t="str">
            <v>SP2</v>
          </cell>
          <cell r="E35" t="str">
            <v>C2</v>
          </cell>
          <cell r="F35">
            <v>43251</v>
          </cell>
          <cell r="G35" t="str">
            <v>TE</v>
          </cell>
          <cell r="H35"/>
          <cell r="I35">
            <v>1</v>
          </cell>
          <cell r="J35">
            <v>95</v>
          </cell>
          <cell r="K35">
            <v>96</v>
          </cell>
          <cell r="L35"/>
          <cell r="M35"/>
          <cell r="N35">
            <v>22</v>
          </cell>
          <cell r="O35">
            <v>1</v>
          </cell>
          <cell r="P35"/>
          <cell r="Q35"/>
          <cell r="R35"/>
          <cell r="S35">
            <v>23</v>
          </cell>
          <cell r="X35" t="str">
            <v>5/13-SP2-C2</v>
          </cell>
        </row>
        <row r="36">
          <cell r="A36" t="str">
            <v>SP2-G8-43233</v>
          </cell>
          <cell r="B36" t="str">
            <v>5/13-SP2-G8</v>
          </cell>
          <cell r="C36">
            <v>43233</v>
          </cell>
          <cell r="D36" t="str">
            <v>SP2</v>
          </cell>
          <cell r="E36" t="str">
            <v>G8</v>
          </cell>
          <cell r="F36">
            <v>43251</v>
          </cell>
          <cell r="G36" t="str">
            <v>DP</v>
          </cell>
          <cell r="H36"/>
          <cell r="I36"/>
          <cell r="J36"/>
          <cell r="K36">
            <v>9</v>
          </cell>
          <cell r="L36"/>
          <cell r="M36"/>
          <cell r="N36">
            <v>2</v>
          </cell>
          <cell r="O36"/>
          <cell r="P36"/>
          <cell r="Q36"/>
          <cell r="R36"/>
          <cell r="S36">
            <v>2</v>
          </cell>
          <cell r="X36" t="str">
            <v>5/13-SP2-G8</v>
          </cell>
        </row>
        <row r="37">
          <cell r="A37" t="str">
            <v>BC1-F3-43239</v>
          </cell>
          <cell r="B37" t="str">
            <v>5/19-BC1-F3</v>
          </cell>
          <cell r="C37">
            <v>43239</v>
          </cell>
          <cell r="D37" t="str">
            <v>BC1</v>
          </cell>
          <cell r="E37" t="str">
            <v>F3</v>
          </cell>
          <cell r="F37">
            <v>43252</v>
          </cell>
          <cell r="G37" t="str">
            <v>JB</v>
          </cell>
          <cell r="H37">
            <v>0</v>
          </cell>
          <cell r="I37">
            <v>0</v>
          </cell>
          <cell r="J37">
            <v>0</v>
          </cell>
          <cell r="K37">
            <v>0</v>
          </cell>
          <cell r="L37">
            <v>0</v>
          </cell>
          <cell r="M37">
            <v>0</v>
          </cell>
          <cell r="N37">
            <v>0</v>
          </cell>
          <cell r="O37">
            <v>0</v>
          </cell>
          <cell r="P37">
            <v>0</v>
          </cell>
          <cell r="Q37">
            <v>0</v>
          </cell>
          <cell r="R37">
            <v>0</v>
          </cell>
          <cell r="S37">
            <v>0</v>
          </cell>
          <cell r="X37" t="str">
            <v>5/19-BC1-F3</v>
          </cell>
        </row>
        <row r="38">
          <cell r="A38" t="str">
            <v>BC1-G4-43239</v>
          </cell>
          <cell r="B38" t="str">
            <v>5/19-BC1-G4</v>
          </cell>
          <cell r="C38">
            <v>43239</v>
          </cell>
          <cell r="D38" t="str">
            <v>BC1</v>
          </cell>
          <cell r="E38" t="str">
            <v>G4</v>
          </cell>
          <cell r="F38">
            <v>43251</v>
          </cell>
          <cell r="G38" t="str">
            <v>DP</v>
          </cell>
          <cell r="H38"/>
          <cell r="I38"/>
          <cell r="J38"/>
          <cell r="K38">
            <v>0</v>
          </cell>
          <cell r="L38"/>
          <cell r="M38">
            <v>3</v>
          </cell>
          <cell r="N38">
            <v>4</v>
          </cell>
          <cell r="O38"/>
          <cell r="P38"/>
          <cell r="Q38"/>
          <cell r="R38">
            <v>1</v>
          </cell>
          <cell r="S38">
            <v>7</v>
          </cell>
          <cell r="X38" t="str">
            <v>5/19-BC1-G4</v>
          </cell>
        </row>
        <row r="39">
          <cell r="A39" t="str">
            <v>BC2-D1-43239</v>
          </cell>
          <cell r="B39" t="str">
            <v>5/19-BC2-D1</v>
          </cell>
          <cell r="C39">
            <v>43239</v>
          </cell>
          <cell r="D39" t="str">
            <v>BC2</v>
          </cell>
          <cell r="E39" t="str">
            <v>D1</v>
          </cell>
          <cell r="F39">
            <v>43252</v>
          </cell>
          <cell r="G39" t="str">
            <v>IS</v>
          </cell>
          <cell r="H39">
            <v>1</v>
          </cell>
          <cell r="I39">
            <v>1</v>
          </cell>
          <cell r="J39"/>
          <cell r="K39">
            <v>2</v>
          </cell>
          <cell r="L39"/>
          <cell r="M39"/>
          <cell r="N39"/>
          <cell r="O39"/>
          <cell r="P39"/>
          <cell r="Q39"/>
          <cell r="R39"/>
          <cell r="S39">
            <v>0</v>
          </cell>
          <cell r="X39" t="str">
            <v>5/19-BC2-D1</v>
          </cell>
        </row>
        <row r="40">
          <cell r="A40" t="str">
            <v>BC2-D7-43239</v>
          </cell>
          <cell r="B40" t="str">
            <v>5/19-BC2-D7</v>
          </cell>
          <cell r="C40">
            <v>43239</v>
          </cell>
          <cell r="D40" t="str">
            <v>BC2</v>
          </cell>
          <cell r="E40" t="str">
            <v>D7</v>
          </cell>
          <cell r="F40">
            <v>43251</v>
          </cell>
          <cell r="G40" t="str">
            <v>TE</v>
          </cell>
          <cell r="H40"/>
          <cell r="I40">
            <v>9</v>
          </cell>
          <cell r="J40">
            <v>41</v>
          </cell>
          <cell r="K40">
            <v>50</v>
          </cell>
          <cell r="L40"/>
          <cell r="M40"/>
          <cell r="N40"/>
          <cell r="O40"/>
          <cell r="P40"/>
          <cell r="Q40"/>
          <cell r="R40"/>
          <cell r="S40">
            <v>0</v>
          </cell>
          <cell r="X40" t="str">
            <v>5/19-BC2-D7</v>
          </cell>
        </row>
        <row r="41">
          <cell r="A41" t="str">
            <v>BC2-D8-43239</v>
          </cell>
          <cell r="B41" t="str">
            <v>5/19-BC2-D8</v>
          </cell>
          <cell r="C41">
            <v>43239</v>
          </cell>
          <cell r="D41" t="str">
            <v>BC2</v>
          </cell>
          <cell r="E41" t="str">
            <v>D8</v>
          </cell>
          <cell r="F41">
            <v>43252</v>
          </cell>
          <cell r="G41" t="str">
            <v>DP</v>
          </cell>
          <cell r="H41"/>
          <cell r="I41">
            <v>5</v>
          </cell>
          <cell r="J41">
            <v>2</v>
          </cell>
          <cell r="K41">
            <v>7</v>
          </cell>
          <cell r="L41"/>
          <cell r="M41"/>
          <cell r="N41"/>
          <cell r="O41"/>
          <cell r="P41"/>
          <cell r="Q41"/>
          <cell r="R41"/>
          <cell r="S41">
            <v>0</v>
          </cell>
          <cell r="X41" t="str">
            <v>5/19-BC2-D8</v>
          </cell>
        </row>
        <row r="42">
          <cell r="A42" t="str">
            <v>BC2-E1-43239</v>
          </cell>
          <cell r="B42" t="str">
            <v>5/19-BC2-E1</v>
          </cell>
          <cell r="C42">
            <v>43239</v>
          </cell>
          <cell r="D42" t="str">
            <v>BC2</v>
          </cell>
          <cell r="E42" t="str">
            <v>E1</v>
          </cell>
          <cell r="F42">
            <v>43251</v>
          </cell>
          <cell r="G42" t="str">
            <v>IS</v>
          </cell>
          <cell r="H42">
            <v>2</v>
          </cell>
          <cell r="I42">
            <v>8</v>
          </cell>
          <cell r="J42">
            <v>2</v>
          </cell>
          <cell r="K42">
            <v>12</v>
          </cell>
          <cell r="L42"/>
          <cell r="M42"/>
          <cell r="N42"/>
          <cell r="O42"/>
          <cell r="P42"/>
          <cell r="Q42"/>
          <cell r="R42"/>
          <cell r="S42">
            <v>0</v>
          </cell>
          <cell r="X42" t="str">
            <v>5/19-BC2-E1</v>
          </cell>
        </row>
        <row r="43">
          <cell r="A43" t="str">
            <v>BC2-E4-43239</v>
          </cell>
          <cell r="B43" t="str">
            <v>5/19-BC2-E4</v>
          </cell>
          <cell r="C43">
            <v>43239</v>
          </cell>
          <cell r="D43" t="str">
            <v>BC2</v>
          </cell>
          <cell r="E43" t="str">
            <v>E4</v>
          </cell>
          <cell r="F43">
            <v>43251</v>
          </cell>
          <cell r="G43" t="str">
            <v>JB</v>
          </cell>
          <cell r="H43">
            <v>0</v>
          </cell>
          <cell r="I43">
            <v>7</v>
          </cell>
          <cell r="J43">
            <v>0</v>
          </cell>
          <cell r="K43">
            <v>7</v>
          </cell>
          <cell r="L43">
            <v>0</v>
          </cell>
          <cell r="M43">
            <v>0</v>
          </cell>
          <cell r="N43">
            <v>0</v>
          </cell>
          <cell r="O43">
            <v>0</v>
          </cell>
          <cell r="P43">
            <v>0</v>
          </cell>
          <cell r="Q43">
            <v>0</v>
          </cell>
          <cell r="R43">
            <v>0</v>
          </cell>
          <cell r="S43">
            <v>0</v>
          </cell>
          <cell r="X43" t="str">
            <v>5/19-BC2-E4</v>
          </cell>
        </row>
        <row r="44">
          <cell r="A44" t="str">
            <v>BC2-G4-43239</v>
          </cell>
          <cell r="B44" t="str">
            <v>5/19-BC2-G4</v>
          </cell>
          <cell r="C44">
            <v>43239</v>
          </cell>
          <cell r="D44" t="str">
            <v>BC2</v>
          </cell>
          <cell r="E44" t="str">
            <v>G4</v>
          </cell>
          <cell r="F44">
            <v>43251</v>
          </cell>
          <cell r="G44" t="str">
            <v>IS</v>
          </cell>
          <cell r="H44">
            <v>2</v>
          </cell>
          <cell r="I44">
            <v>10</v>
          </cell>
          <cell r="J44">
            <v>12</v>
          </cell>
          <cell r="K44">
            <v>24</v>
          </cell>
          <cell r="L44"/>
          <cell r="M44">
            <v>1</v>
          </cell>
          <cell r="N44"/>
          <cell r="O44"/>
          <cell r="P44"/>
          <cell r="Q44"/>
          <cell r="R44"/>
          <cell r="S44">
            <v>1</v>
          </cell>
          <cell r="X44" t="str">
            <v>5/19-BC2-G4</v>
          </cell>
        </row>
        <row r="45">
          <cell r="A45" t="str">
            <v>BC1-A1-43240</v>
          </cell>
          <cell r="B45" t="str">
            <v>5/20-BC1-A1</v>
          </cell>
          <cell r="C45">
            <v>43240</v>
          </cell>
          <cell r="D45" t="str">
            <v>BC1</v>
          </cell>
          <cell r="E45" t="str">
            <v>A1</v>
          </cell>
          <cell r="F45">
            <v>43252</v>
          </cell>
          <cell r="G45" t="str">
            <v>IS</v>
          </cell>
          <cell r="H45"/>
          <cell r="I45">
            <v>1</v>
          </cell>
          <cell r="J45"/>
          <cell r="K45">
            <v>1</v>
          </cell>
          <cell r="L45"/>
          <cell r="M45"/>
          <cell r="N45"/>
          <cell r="O45"/>
          <cell r="P45"/>
          <cell r="Q45"/>
          <cell r="R45"/>
          <cell r="S45">
            <v>0</v>
          </cell>
          <cell r="X45" t="e">
            <v>#N/A</v>
          </cell>
        </row>
        <row r="46">
          <cell r="A46" t="str">
            <v>BC1-H5-43240</v>
          </cell>
          <cell r="B46" t="str">
            <v>5/20-BC1-H5</v>
          </cell>
          <cell r="C46">
            <v>43240</v>
          </cell>
          <cell r="D46" t="str">
            <v>BC1</v>
          </cell>
          <cell r="E46" t="str">
            <v>H5</v>
          </cell>
          <cell r="F46">
            <v>43252</v>
          </cell>
          <cell r="G46" t="str">
            <v>JB</v>
          </cell>
          <cell r="H46">
            <v>0</v>
          </cell>
          <cell r="I46">
            <v>0</v>
          </cell>
          <cell r="J46">
            <v>0</v>
          </cell>
          <cell r="K46">
            <v>0</v>
          </cell>
          <cell r="L46">
            <v>0</v>
          </cell>
          <cell r="M46">
            <v>0</v>
          </cell>
          <cell r="N46">
            <v>0</v>
          </cell>
          <cell r="O46">
            <v>0</v>
          </cell>
          <cell r="P46">
            <v>0</v>
          </cell>
          <cell r="Q46">
            <v>0</v>
          </cell>
          <cell r="R46">
            <v>0</v>
          </cell>
          <cell r="S46">
            <v>0</v>
          </cell>
          <cell r="X46" t="str">
            <v>5/20-BC1-H5</v>
          </cell>
        </row>
        <row r="47">
          <cell r="A47" t="str">
            <v>BC1-H7-43240</v>
          </cell>
          <cell r="B47" t="str">
            <v>5/20-BC1-H7</v>
          </cell>
          <cell r="C47">
            <v>43240</v>
          </cell>
          <cell r="D47" t="str">
            <v>BC1</v>
          </cell>
          <cell r="E47" t="str">
            <v>H7</v>
          </cell>
          <cell r="F47">
            <v>43252</v>
          </cell>
          <cell r="G47" t="str">
            <v>JB</v>
          </cell>
          <cell r="H47">
            <v>0</v>
          </cell>
          <cell r="I47">
            <v>0</v>
          </cell>
          <cell r="J47">
            <v>0</v>
          </cell>
          <cell r="K47">
            <v>0</v>
          </cell>
          <cell r="L47">
            <v>0</v>
          </cell>
          <cell r="M47">
            <v>0</v>
          </cell>
          <cell r="N47">
            <v>0</v>
          </cell>
          <cell r="O47">
            <v>0</v>
          </cell>
          <cell r="P47">
            <v>0</v>
          </cell>
          <cell r="Q47">
            <v>0</v>
          </cell>
          <cell r="R47">
            <v>0</v>
          </cell>
          <cell r="S47">
            <v>0</v>
          </cell>
          <cell r="X47" t="str">
            <v>5/20-BC1-H7</v>
          </cell>
        </row>
        <row r="48">
          <cell r="A48" t="str">
            <v>BC2-B3-43240</v>
          </cell>
          <cell r="B48" t="str">
            <v>5/20-BC2-B3</v>
          </cell>
          <cell r="C48">
            <v>43240</v>
          </cell>
          <cell r="D48" t="str">
            <v>BC2</v>
          </cell>
          <cell r="E48" t="str">
            <v>B3</v>
          </cell>
          <cell r="F48">
            <v>43252</v>
          </cell>
          <cell r="G48" t="str">
            <v>DP</v>
          </cell>
          <cell r="H48">
            <v>0</v>
          </cell>
          <cell r="I48">
            <v>0</v>
          </cell>
          <cell r="J48">
            <v>0</v>
          </cell>
          <cell r="K48">
            <v>0</v>
          </cell>
          <cell r="L48">
            <v>0</v>
          </cell>
          <cell r="M48">
            <v>0</v>
          </cell>
          <cell r="N48">
            <v>0</v>
          </cell>
          <cell r="O48">
            <v>0</v>
          </cell>
          <cell r="P48">
            <v>0</v>
          </cell>
          <cell r="Q48">
            <v>0</v>
          </cell>
          <cell r="R48">
            <v>0</v>
          </cell>
          <cell r="S48">
            <v>0</v>
          </cell>
          <cell r="X48" t="str">
            <v>5/20-BC2-B3</v>
          </cell>
        </row>
        <row r="49">
          <cell r="A49" t="str">
            <v>BC2-C2-43240</v>
          </cell>
          <cell r="B49" t="str">
            <v>5/20-BC2-C2</v>
          </cell>
          <cell r="C49">
            <v>43240</v>
          </cell>
          <cell r="D49" t="str">
            <v>BC2</v>
          </cell>
          <cell r="E49" t="str">
            <v>C2</v>
          </cell>
          <cell r="F49">
            <v>43253</v>
          </cell>
          <cell r="G49" t="str">
            <v>DP</v>
          </cell>
          <cell r="H49">
            <v>0</v>
          </cell>
          <cell r="I49">
            <v>0</v>
          </cell>
          <cell r="J49">
            <v>0</v>
          </cell>
          <cell r="K49">
            <v>0</v>
          </cell>
          <cell r="L49">
            <v>0</v>
          </cell>
          <cell r="M49">
            <v>0</v>
          </cell>
          <cell r="N49">
            <v>0</v>
          </cell>
          <cell r="O49">
            <v>0</v>
          </cell>
          <cell r="P49">
            <v>0</v>
          </cell>
          <cell r="Q49">
            <v>0</v>
          </cell>
          <cell r="R49">
            <v>0</v>
          </cell>
          <cell r="S49">
            <v>0</v>
          </cell>
          <cell r="X49" t="str">
            <v>5/20-BC2-C2</v>
          </cell>
        </row>
        <row r="50">
          <cell r="A50" t="str">
            <v>BC2-H8-43240</v>
          </cell>
          <cell r="B50" t="str">
            <v>5/20-BC2-H8</v>
          </cell>
          <cell r="C50">
            <v>43240</v>
          </cell>
          <cell r="D50" t="str">
            <v>BC2</v>
          </cell>
          <cell r="E50" t="str">
            <v>H8</v>
          </cell>
          <cell r="F50">
            <v>43252</v>
          </cell>
          <cell r="G50" t="str">
            <v>TE</v>
          </cell>
          <cell r="H50">
            <v>0</v>
          </cell>
          <cell r="I50">
            <v>0</v>
          </cell>
          <cell r="J50">
            <v>0</v>
          </cell>
          <cell r="K50">
            <v>0</v>
          </cell>
          <cell r="L50">
            <v>0</v>
          </cell>
          <cell r="M50">
            <v>0</v>
          </cell>
          <cell r="N50">
            <v>0</v>
          </cell>
          <cell r="O50">
            <v>0</v>
          </cell>
          <cell r="P50">
            <v>0</v>
          </cell>
          <cell r="Q50">
            <v>0</v>
          </cell>
          <cell r="R50">
            <v>0</v>
          </cell>
          <cell r="S50">
            <v>0</v>
          </cell>
          <cell r="X50" t="str">
            <v>5/20-BC2-H8</v>
          </cell>
        </row>
        <row r="51">
          <cell r="A51" t="str">
            <v>BC1-A1-43241</v>
          </cell>
          <cell r="B51" t="str">
            <v>5/21-BC1-A1</v>
          </cell>
          <cell r="C51">
            <v>43241</v>
          </cell>
          <cell r="D51" t="str">
            <v>BC1</v>
          </cell>
          <cell r="E51" t="str">
            <v>A1</v>
          </cell>
          <cell r="F51">
            <v>43253</v>
          </cell>
          <cell r="G51" t="str">
            <v>IS</v>
          </cell>
          <cell r="H51">
            <v>0</v>
          </cell>
          <cell r="I51">
            <v>0</v>
          </cell>
          <cell r="J51">
            <v>0</v>
          </cell>
          <cell r="K51">
            <v>0</v>
          </cell>
          <cell r="L51">
            <v>0</v>
          </cell>
          <cell r="M51">
            <v>0</v>
          </cell>
          <cell r="N51">
            <v>0</v>
          </cell>
          <cell r="O51">
            <v>0</v>
          </cell>
          <cell r="P51">
            <v>0</v>
          </cell>
          <cell r="Q51">
            <v>0</v>
          </cell>
          <cell r="R51">
            <v>0</v>
          </cell>
          <cell r="S51">
            <v>0</v>
          </cell>
          <cell r="X51" t="str">
            <v>5/21-BC1-A1</v>
          </cell>
        </row>
        <row r="52">
          <cell r="A52" t="str">
            <v>HW2-C1-43242</v>
          </cell>
          <cell r="B52" t="str">
            <v>5/22-HW2-C1</v>
          </cell>
          <cell r="C52">
            <v>43242</v>
          </cell>
          <cell r="D52" t="str">
            <v>HW2</v>
          </cell>
          <cell r="E52" t="str">
            <v>C1</v>
          </cell>
          <cell r="F52">
            <v>43255</v>
          </cell>
          <cell r="G52" t="str">
            <v>JB</v>
          </cell>
          <cell r="H52">
            <v>589</v>
          </cell>
          <cell r="I52">
            <v>11827</v>
          </cell>
          <cell r="J52">
            <v>307</v>
          </cell>
          <cell r="K52">
            <v>12723</v>
          </cell>
          <cell r="L52">
            <v>0</v>
          </cell>
          <cell r="M52">
            <v>0</v>
          </cell>
          <cell r="N52">
            <v>0</v>
          </cell>
          <cell r="O52">
            <v>2</v>
          </cell>
          <cell r="P52">
            <v>0</v>
          </cell>
          <cell r="Q52">
            <v>0</v>
          </cell>
          <cell r="R52">
            <v>0</v>
          </cell>
          <cell r="S52">
            <v>2</v>
          </cell>
          <cell r="X52" t="str">
            <v>5/22-HW2-C1</v>
          </cell>
        </row>
        <row r="53">
          <cell r="A53" t="str">
            <v>HW1-D3-43242</v>
          </cell>
          <cell r="B53" t="str">
            <v>5/22-HW1-D3</v>
          </cell>
          <cell r="C53">
            <v>43242</v>
          </cell>
          <cell r="D53" t="str">
            <v>HW1</v>
          </cell>
          <cell r="E53" t="str">
            <v>D3</v>
          </cell>
          <cell r="F53">
            <v>43253</v>
          </cell>
          <cell r="G53" t="str">
            <v>TE</v>
          </cell>
          <cell r="H53">
            <v>0</v>
          </cell>
          <cell r="I53">
            <v>0</v>
          </cell>
          <cell r="J53">
            <v>0</v>
          </cell>
          <cell r="K53">
            <v>0</v>
          </cell>
          <cell r="L53">
            <v>0</v>
          </cell>
          <cell r="M53">
            <v>0</v>
          </cell>
          <cell r="N53">
            <v>0</v>
          </cell>
          <cell r="O53">
            <v>0</v>
          </cell>
          <cell r="P53">
            <v>0</v>
          </cell>
          <cell r="Q53">
            <v>0</v>
          </cell>
          <cell r="R53">
            <v>0</v>
          </cell>
          <cell r="S53">
            <v>0</v>
          </cell>
          <cell r="X53" t="str">
            <v>5/22-HW1-D3</v>
          </cell>
        </row>
        <row r="54">
          <cell r="A54" t="str">
            <v>HW1-D3-43242</v>
          </cell>
          <cell r="B54" t="str">
            <v>5/22-HW1-D3</v>
          </cell>
          <cell r="C54">
            <v>43242</v>
          </cell>
          <cell r="D54" t="str">
            <v>HW1</v>
          </cell>
          <cell r="E54" t="str">
            <v>D3</v>
          </cell>
          <cell r="F54">
            <v>43253</v>
          </cell>
          <cell r="G54" t="str">
            <v>TE</v>
          </cell>
          <cell r="H54"/>
          <cell r="I54">
            <v>269</v>
          </cell>
          <cell r="J54">
            <v>4507</v>
          </cell>
          <cell r="K54">
            <v>4776</v>
          </cell>
          <cell r="L54"/>
          <cell r="M54"/>
          <cell r="N54"/>
          <cell r="O54"/>
          <cell r="P54">
            <v>1</v>
          </cell>
          <cell r="Q54"/>
          <cell r="R54"/>
          <cell r="S54">
            <v>1</v>
          </cell>
          <cell r="X54" t="str">
            <v>5/22-HW1-D3</v>
          </cell>
        </row>
        <row r="55">
          <cell r="A55" t="str">
            <v>HW1-D6-43242</v>
          </cell>
          <cell r="B55" t="str">
            <v>5/22-HW1-D6</v>
          </cell>
          <cell r="C55">
            <v>43242</v>
          </cell>
          <cell r="D55" t="str">
            <v>HW1</v>
          </cell>
          <cell r="E55" t="str">
            <v>D6</v>
          </cell>
          <cell r="F55">
            <v>43255</v>
          </cell>
          <cell r="G55" t="str">
            <v>DP</v>
          </cell>
          <cell r="H55"/>
          <cell r="I55">
            <v>32</v>
          </cell>
          <cell r="J55">
            <v>7</v>
          </cell>
          <cell r="K55">
            <v>39</v>
          </cell>
          <cell r="L55"/>
          <cell r="M55"/>
          <cell r="N55"/>
          <cell r="O55"/>
          <cell r="P55"/>
          <cell r="Q55"/>
          <cell r="R55"/>
          <cell r="S55">
            <v>0</v>
          </cell>
          <cell r="X55" t="str">
            <v>5/22-HW1-D6</v>
          </cell>
        </row>
        <row r="56">
          <cell r="A56" t="str">
            <v>HW1-E1-43242</v>
          </cell>
          <cell r="B56" t="str">
            <v>5/22-HW1-E1</v>
          </cell>
          <cell r="C56">
            <v>43242</v>
          </cell>
          <cell r="D56" t="str">
            <v>HW1</v>
          </cell>
          <cell r="E56" t="str">
            <v>E1</v>
          </cell>
          <cell r="F56">
            <v>43253</v>
          </cell>
          <cell r="G56" t="str">
            <v>JB</v>
          </cell>
          <cell r="H56">
            <v>1</v>
          </cell>
          <cell r="I56">
            <v>0</v>
          </cell>
          <cell r="J56">
            <v>0</v>
          </cell>
          <cell r="K56">
            <v>1</v>
          </cell>
          <cell r="L56">
            <v>0</v>
          </cell>
          <cell r="M56">
            <v>0</v>
          </cell>
          <cell r="N56">
            <v>0</v>
          </cell>
          <cell r="O56">
            <v>0</v>
          </cell>
          <cell r="P56">
            <v>0</v>
          </cell>
          <cell r="Q56">
            <v>0</v>
          </cell>
          <cell r="R56">
            <v>0</v>
          </cell>
          <cell r="S56">
            <v>0</v>
          </cell>
          <cell r="X56" t="str">
            <v>5/22-HW1-E1</v>
          </cell>
        </row>
        <row r="57">
          <cell r="A57" t="str">
            <v>HW1-H5-43242</v>
          </cell>
          <cell r="B57" t="str">
            <v>5/22-HW1-H5</v>
          </cell>
          <cell r="C57">
            <v>43242</v>
          </cell>
          <cell r="D57" t="str">
            <v>HW1</v>
          </cell>
          <cell r="E57" t="str">
            <v>H5</v>
          </cell>
          <cell r="F57">
            <v>43255</v>
          </cell>
          <cell r="G57" t="str">
            <v>IS</v>
          </cell>
          <cell r="H57"/>
          <cell r="I57">
            <v>40</v>
          </cell>
          <cell r="J57"/>
          <cell r="K57">
            <v>40</v>
          </cell>
          <cell r="L57"/>
          <cell r="M57"/>
          <cell r="N57"/>
          <cell r="O57"/>
          <cell r="P57"/>
          <cell r="Q57"/>
          <cell r="R57"/>
          <cell r="S57">
            <v>0</v>
          </cell>
          <cell r="X57" t="str">
            <v>5/22-HW1-H5</v>
          </cell>
        </row>
        <row r="58">
          <cell r="A58" t="str">
            <v>HW2-B4-43242</v>
          </cell>
          <cell r="B58" t="str">
            <v>5/22-HW2-B4</v>
          </cell>
          <cell r="C58">
            <v>43242</v>
          </cell>
          <cell r="D58" t="str">
            <v>HW2</v>
          </cell>
          <cell r="E58" t="str">
            <v>B4</v>
          </cell>
          <cell r="F58">
            <v>43255</v>
          </cell>
          <cell r="G58" t="str">
            <v>IS</v>
          </cell>
          <cell r="H58">
            <v>525</v>
          </cell>
          <cell r="I58">
            <v>3933</v>
          </cell>
          <cell r="J58">
            <v>825</v>
          </cell>
          <cell r="K58">
            <v>5283</v>
          </cell>
          <cell r="L58"/>
          <cell r="M58"/>
          <cell r="N58"/>
          <cell r="O58"/>
          <cell r="P58">
            <v>1</v>
          </cell>
          <cell r="Q58"/>
          <cell r="R58"/>
          <cell r="S58">
            <v>1</v>
          </cell>
          <cell r="X58" t="str">
            <v>5/22-HW2-B4</v>
          </cell>
        </row>
        <row r="59">
          <cell r="A59" t="str">
            <v>HW2-D3-43242</v>
          </cell>
          <cell r="B59" t="str">
            <v>5/22-HW2-D3</v>
          </cell>
          <cell r="C59">
            <v>43242</v>
          </cell>
          <cell r="D59" t="str">
            <v>HW2</v>
          </cell>
          <cell r="E59" t="str">
            <v>D3</v>
          </cell>
          <cell r="F59">
            <v>43253</v>
          </cell>
          <cell r="G59" t="str">
            <v>TE</v>
          </cell>
          <cell r="H59">
            <v>1</v>
          </cell>
          <cell r="I59"/>
          <cell r="J59"/>
          <cell r="K59">
            <v>1</v>
          </cell>
          <cell r="L59"/>
          <cell r="M59"/>
          <cell r="N59"/>
          <cell r="O59"/>
          <cell r="P59"/>
          <cell r="Q59"/>
          <cell r="R59"/>
          <cell r="S59">
            <v>0</v>
          </cell>
          <cell r="X59" t="str">
            <v>5/22-HW2-D3</v>
          </cell>
        </row>
        <row r="60">
          <cell r="A60" t="str">
            <v>HW2-F5-43242</v>
          </cell>
          <cell r="B60" t="str">
            <v>5/22-HW2-F5</v>
          </cell>
          <cell r="C60">
            <v>43242</v>
          </cell>
          <cell r="D60" t="str">
            <v>HW2</v>
          </cell>
          <cell r="E60" t="str">
            <v>F5</v>
          </cell>
          <cell r="F60">
            <v>43253</v>
          </cell>
          <cell r="G60" t="str">
            <v>DP</v>
          </cell>
          <cell r="H60"/>
          <cell r="I60">
            <v>1</v>
          </cell>
          <cell r="J60"/>
          <cell r="K60">
            <v>1</v>
          </cell>
          <cell r="L60"/>
          <cell r="M60"/>
          <cell r="N60"/>
          <cell r="O60"/>
          <cell r="P60">
            <v>1</v>
          </cell>
          <cell r="Q60"/>
          <cell r="R60"/>
          <cell r="S60">
            <v>1</v>
          </cell>
          <cell r="X60" t="str">
            <v>5/22-HW2-F5</v>
          </cell>
        </row>
        <row r="61">
          <cell r="A61" t="str">
            <v>HW2-F8-43242</v>
          </cell>
          <cell r="B61" t="str">
            <v>5/22-HW2-F8</v>
          </cell>
          <cell r="C61">
            <v>43242</v>
          </cell>
          <cell r="D61" t="str">
            <v>HW2</v>
          </cell>
          <cell r="E61" t="str">
            <v>F8</v>
          </cell>
          <cell r="F61">
            <v>43254</v>
          </cell>
          <cell r="G61" t="str">
            <v>JB</v>
          </cell>
          <cell r="H61">
            <v>0</v>
          </cell>
          <cell r="I61">
            <v>0</v>
          </cell>
          <cell r="J61">
            <v>0</v>
          </cell>
          <cell r="K61">
            <v>0</v>
          </cell>
          <cell r="L61">
            <v>0</v>
          </cell>
          <cell r="M61">
            <v>0</v>
          </cell>
          <cell r="N61">
            <v>0</v>
          </cell>
          <cell r="O61">
            <v>0</v>
          </cell>
          <cell r="P61">
            <v>0</v>
          </cell>
          <cell r="Q61">
            <v>0</v>
          </cell>
          <cell r="R61">
            <v>0</v>
          </cell>
          <cell r="S61">
            <v>0</v>
          </cell>
          <cell r="X61" t="str">
            <v>5/22-HW2-F8</v>
          </cell>
        </row>
        <row r="62">
          <cell r="A62" t="str">
            <v>HW1-F1-43243</v>
          </cell>
          <cell r="B62" t="str">
            <v>5/23-HW1-F1</v>
          </cell>
          <cell r="C62">
            <v>43243</v>
          </cell>
          <cell r="D62" t="str">
            <v>HW1</v>
          </cell>
          <cell r="E62" t="str">
            <v>F1</v>
          </cell>
          <cell r="F62">
            <v>43257</v>
          </cell>
          <cell r="G62" t="str">
            <v>LV</v>
          </cell>
          <cell r="H62">
            <v>24</v>
          </cell>
          <cell r="I62">
            <v>508</v>
          </cell>
          <cell r="J62">
            <v>8</v>
          </cell>
          <cell r="K62">
            <v>540</v>
          </cell>
          <cell r="L62"/>
          <cell r="M62"/>
          <cell r="N62">
            <v>4</v>
          </cell>
          <cell r="O62"/>
          <cell r="P62"/>
          <cell r="Q62">
            <v>1</v>
          </cell>
          <cell r="R62">
            <v>1</v>
          </cell>
          <cell r="S62">
            <v>4</v>
          </cell>
          <cell r="X62" t="str">
            <v>5/23-HW1-F1</v>
          </cell>
        </row>
        <row r="63">
          <cell r="A63" t="str">
            <v>HW1-G1-43243</v>
          </cell>
          <cell r="B63" t="str">
            <v>5/23-HW1-G1</v>
          </cell>
          <cell r="C63">
            <v>43243</v>
          </cell>
          <cell r="D63" t="str">
            <v>HW1</v>
          </cell>
          <cell r="E63" t="str">
            <v>G1</v>
          </cell>
          <cell r="F63">
            <v>43257</v>
          </cell>
          <cell r="G63" t="str">
            <v>IS</v>
          </cell>
          <cell r="H63">
            <v>18</v>
          </cell>
          <cell r="I63">
            <v>52</v>
          </cell>
          <cell r="J63">
            <v>2</v>
          </cell>
          <cell r="K63">
            <v>72</v>
          </cell>
          <cell r="L63"/>
          <cell r="M63"/>
          <cell r="N63"/>
          <cell r="O63"/>
          <cell r="P63"/>
          <cell r="Q63"/>
          <cell r="R63"/>
          <cell r="S63">
            <v>0</v>
          </cell>
          <cell r="X63" t="str">
            <v>5/23-HW1-G1</v>
          </cell>
        </row>
        <row r="64">
          <cell r="A64" t="str">
            <v>HW2-F5-43243</v>
          </cell>
          <cell r="B64" t="str">
            <v>5/23-HW2-F5</v>
          </cell>
          <cell r="C64">
            <v>43243</v>
          </cell>
          <cell r="D64" t="str">
            <v>HW2</v>
          </cell>
          <cell r="E64" t="str">
            <v>F5</v>
          </cell>
          <cell r="F64">
            <v>43256</v>
          </cell>
          <cell r="G64" t="str">
            <v>JB</v>
          </cell>
          <cell r="H64">
            <v>41</v>
          </cell>
          <cell r="I64">
            <v>206</v>
          </cell>
          <cell r="J64">
            <v>0</v>
          </cell>
          <cell r="K64">
            <v>247</v>
          </cell>
          <cell r="L64">
            <v>0</v>
          </cell>
          <cell r="M64">
            <v>0</v>
          </cell>
          <cell r="N64">
            <v>1</v>
          </cell>
          <cell r="O64">
            <v>0</v>
          </cell>
          <cell r="P64">
            <v>0</v>
          </cell>
          <cell r="Q64">
            <v>0</v>
          </cell>
          <cell r="R64">
            <v>0</v>
          </cell>
          <cell r="S64">
            <v>1</v>
          </cell>
          <cell r="X64" t="str">
            <v>5/23-HW2-F5</v>
          </cell>
        </row>
        <row r="65">
          <cell r="A65" t="str">
            <v>HW2-G1-43243</v>
          </cell>
          <cell r="B65" t="str">
            <v>5/23-HW2-G1</v>
          </cell>
          <cell r="C65">
            <v>43243</v>
          </cell>
          <cell r="D65" t="str">
            <v>HW2</v>
          </cell>
          <cell r="E65" t="str">
            <v>G1</v>
          </cell>
          <cell r="F65">
            <v>43257</v>
          </cell>
          <cell r="G65" t="str">
            <v>IS</v>
          </cell>
          <cell r="H65">
            <v>80</v>
          </cell>
          <cell r="I65">
            <v>2432</v>
          </cell>
          <cell r="J65"/>
          <cell r="K65">
            <v>2512</v>
          </cell>
          <cell r="L65"/>
          <cell r="M65"/>
          <cell r="N65"/>
          <cell r="O65"/>
          <cell r="P65"/>
          <cell r="Q65"/>
          <cell r="R65"/>
          <cell r="S65">
            <v>0</v>
          </cell>
          <cell r="X65" t="str">
            <v>5/23-HW2-G1</v>
          </cell>
        </row>
        <row r="66">
          <cell r="A66" t="str">
            <v>HW2-G8-43243</v>
          </cell>
          <cell r="B66" t="str">
            <v>5/23-HW2-G8</v>
          </cell>
          <cell r="C66">
            <v>43243</v>
          </cell>
          <cell r="D66" t="str">
            <v>HW2</v>
          </cell>
          <cell r="E66" t="str">
            <v>G8</v>
          </cell>
          <cell r="F66">
            <v>43257</v>
          </cell>
          <cell r="G66" t="str">
            <v>TE</v>
          </cell>
          <cell r="H66"/>
          <cell r="I66"/>
          <cell r="J66"/>
          <cell r="K66">
            <v>0</v>
          </cell>
          <cell r="L66">
            <v>5</v>
          </cell>
          <cell r="M66">
            <v>1</v>
          </cell>
          <cell r="N66"/>
          <cell r="O66"/>
          <cell r="P66">
            <v>2</v>
          </cell>
          <cell r="Q66"/>
          <cell r="R66"/>
          <cell r="S66">
            <v>8</v>
          </cell>
          <cell r="X66" t="str">
            <v>5/23-HW2-G8</v>
          </cell>
        </row>
        <row r="67">
          <cell r="A67" t="str">
            <v>HW1-A3-43244</v>
          </cell>
          <cell r="B67" t="str">
            <v>5/24-HW1-A3</v>
          </cell>
          <cell r="C67">
            <v>43244</v>
          </cell>
          <cell r="D67" t="str">
            <v>HW1</v>
          </cell>
          <cell r="E67" t="str">
            <v>A3</v>
          </cell>
          <cell r="F67">
            <v>43257</v>
          </cell>
          <cell r="G67" t="str">
            <v>JB</v>
          </cell>
          <cell r="H67">
            <v>0</v>
          </cell>
          <cell r="I67">
            <v>0</v>
          </cell>
          <cell r="J67">
            <v>0</v>
          </cell>
          <cell r="K67">
            <v>0</v>
          </cell>
          <cell r="L67">
            <v>0</v>
          </cell>
          <cell r="M67">
            <v>0</v>
          </cell>
          <cell r="N67">
            <v>0</v>
          </cell>
          <cell r="O67">
            <v>0</v>
          </cell>
          <cell r="P67">
            <v>0</v>
          </cell>
          <cell r="Q67">
            <v>0</v>
          </cell>
          <cell r="R67">
            <v>0</v>
          </cell>
          <cell r="S67">
            <v>0</v>
          </cell>
          <cell r="X67" t="str">
            <v>5/24-HW1-A3</v>
          </cell>
        </row>
        <row r="68">
          <cell r="A68" t="str">
            <v>HW2-A3-43244</v>
          </cell>
          <cell r="B68" t="str">
            <v>5/24-HW2-A3</v>
          </cell>
          <cell r="C68">
            <v>43244</v>
          </cell>
          <cell r="D68" t="str">
            <v>HW2</v>
          </cell>
          <cell r="E68" t="str">
            <v>A3</v>
          </cell>
          <cell r="F68">
            <v>43257</v>
          </cell>
          <cell r="G68" t="str">
            <v>JB</v>
          </cell>
          <cell r="H68">
            <v>0</v>
          </cell>
          <cell r="I68">
            <v>32</v>
          </cell>
          <cell r="J68">
            <v>0</v>
          </cell>
          <cell r="K68">
            <v>32</v>
          </cell>
          <cell r="L68">
            <v>0</v>
          </cell>
          <cell r="M68">
            <v>0</v>
          </cell>
          <cell r="N68">
            <v>0</v>
          </cell>
          <cell r="O68">
            <v>0</v>
          </cell>
          <cell r="P68">
            <v>0</v>
          </cell>
          <cell r="Q68">
            <v>0</v>
          </cell>
          <cell r="R68">
            <v>0</v>
          </cell>
          <cell r="S68">
            <v>0</v>
          </cell>
          <cell r="X68" t="str">
            <v>5/24-HW2-A3</v>
          </cell>
        </row>
        <row r="69">
          <cell r="A69" t="str">
            <v>HW2-F7-43244</v>
          </cell>
          <cell r="B69" t="str">
            <v>5/24-HW2-F7</v>
          </cell>
          <cell r="C69">
            <v>43244</v>
          </cell>
          <cell r="D69" t="str">
            <v>HW2</v>
          </cell>
          <cell r="E69" t="str">
            <v>F7</v>
          </cell>
          <cell r="F69">
            <v>43257</v>
          </cell>
          <cell r="G69" t="str">
            <v>JB</v>
          </cell>
          <cell r="H69">
            <v>16</v>
          </cell>
          <cell r="I69">
            <v>180</v>
          </cell>
          <cell r="J69">
            <v>0</v>
          </cell>
          <cell r="K69">
            <v>196</v>
          </cell>
          <cell r="L69">
            <v>0</v>
          </cell>
          <cell r="M69">
            <v>0</v>
          </cell>
          <cell r="N69">
            <v>0</v>
          </cell>
          <cell r="O69">
            <v>0</v>
          </cell>
          <cell r="P69">
            <v>0</v>
          </cell>
          <cell r="Q69">
            <v>0</v>
          </cell>
          <cell r="R69">
            <v>0</v>
          </cell>
          <cell r="S69">
            <v>0</v>
          </cell>
          <cell r="X69" t="str">
            <v>5/24-HW2-F7</v>
          </cell>
        </row>
        <row r="70">
          <cell r="A70" t="str">
            <v>HW2-H2-43244</v>
          </cell>
          <cell r="B70" t="str">
            <v>5/24-HW2-H2</v>
          </cell>
          <cell r="C70">
            <v>43244</v>
          </cell>
          <cell r="D70" t="str">
            <v>HW2</v>
          </cell>
          <cell r="E70" t="str">
            <v>H2</v>
          </cell>
          <cell r="F70">
            <v>43257</v>
          </cell>
          <cell r="G70" t="str">
            <v>IS</v>
          </cell>
          <cell r="H70"/>
          <cell r="I70">
            <v>232</v>
          </cell>
          <cell r="J70"/>
          <cell r="K70">
            <v>232</v>
          </cell>
          <cell r="L70"/>
          <cell r="M70"/>
          <cell r="N70"/>
          <cell r="O70"/>
          <cell r="P70"/>
          <cell r="Q70"/>
          <cell r="R70"/>
          <cell r="S70">
            <v>0</v>
          </cell>
          <cell r="X70" t="str">
            <v>5/24-HW2-H2</v>
          </cell>
        </row>
        <row r="71">
          <cell r="A71" t="str">
            <v>PO1-B1-43248</v>
          </cell>
          <cell r="B71" t="str">
            <v>5/28-PO1-B1</v>
          </cell>
          <cell r="C71">
            <v>43248</v>
          </cell>
          <cell r="D71" t="str">
            <v>PO1</v>
          </cell>
          <cell r="E71" t="str">
            <v>B1</v>
          </cell>
          <cell r="F71">
            <v>43257</v>
          </cell>
          <cell r="G71" t="str">
            <v>TE</v>
          </cell>
          <cell r="H71">
            <v>12</v>
          </cell>
          <cell r="I71">
            <v>156</v>
          </cell>
          <cell r="J71">
            <v>7936</v>
          </cell>
          <cell r="K71">
            <v>8104</v>
          </cell>
          <cell r="L71"/>
          <cell r="M71"/>
          <cell r="N71"/>
          <cell r="O71"/>
          <cell r="P71"/>
          <cell r="Q71">
            <v>474</v>
          </cell>
          <cell r="R71"/>
          <cell r="S71">
            <v>0</v>
          </cell>
          <cell r="X71" t="e">
            <v>#N/A</v>
          </cell>
        </row>
        <row r="72">
          <cell r="A72" t="str">
            <v>PO1-C2-43248</v>
          </cell>
          <cell r="B72" t="str">
            <v>5/28-PO1-C2</v>
          </cell>
          <cell r="C72">
            <v>43248</v>
          </cell>
          <cell r="D72" t="str">
            <v>PO1</v>
          </cell>
          <cell r="E72" t="str">
            <v>C2</v>
          </cell>
          <cell r="F72">
            <v>43257</v>
          </cell>
          <cell r="G72" t="str">
            <v>DP</v>
          </cell>
          <cell r="I72">
            <v>152</v>
          </cell>
          <cell r="K72">
            <v>152</v>
          </cell>
          <cell r="L72">
            <v>0</v>
          </cell>
          <cell r="M72">
            <v>0</v>
          </cell>
          <cell r="N72">
            <v>0</v>
          </cell>
          <cell r="O72">
            <v>0</v>
          </cell>
          <cell r="P72">
            <v>0</v>
          </cell>
          <cell r="Q72">
            <v>0</v>
          </cell>
          <cell r="R72">
            <v>0</v>
          </cell>
          <cell r="S72">
            <v>0</v>
          </cell>
          <cell r="T72" t="str">
            <v>N</v>
          </cell>
          <cell r="U72" t="str">
            <v>1/4 Counted for Coccidia</v>
          </cell>
          <cell r="V72" t="str">
            <v>DP</v>
          </cell>
          <cell r="W72" t="str">
            <v>TE</v>
          </cell>
          <cell r="X72" t="str">
            <v>5/28-PO1-C2</v>
          </cell>
        </row>
        <row r="73">
          <cell r="A73" t="str">
            <v>PO1-H3-43248</v>
          </cell>
          <cell r="B73" t="str">
            <v>5/28-PO1-H3</v>
          </cell>
          <cell r="C73">
            <v>43248</v>
          </cell>
          <cell r="D73" t="str">
            <v>PO1</v>
          </cell>
          <cell r="E73" t="str">
            <v>H3</v>
          </cell>
          <cell r="F73">
            <v>43257</v>
          </cell>
          <cell r="G73" t="str">
            <v>TE</v>
          </cell>
          <cell r="H73"/>
          <cell r="I73">
            <v>4</v>
          </cell>
          <cell r="J73">
            <v>24</v>
          </cell>
          <cell r="K73">
            <v>28</v>
          </cell>
          <cell r="L73"/>
          <cell r="M73"/>
          <cell r="N73"/>
          <cell r="O73"/>
          <cell r="P73"/>
          <cell r="Q73"/>
          <cell r="R73"/>
          <cell r="S73">
            <v>0</v>
          </cell>
          <cell r="X73" t="str">
            <v>5/28-PO1-H3</v>
          </cell>
        </row>
        <row r="74">
          <cell r="A74" t="str">
            <v>PO1-H6-43248</v>
          </cell>
          <cell r="B74" t="str">
            <v>5/28-PO1-H6</v>
          </cell>
          <cell r="C74">
            <v>43248</v>
          </cell>
          <cell r="D74" t="str">
            <v>PO1</v>
          </cell>
          <cell r="E74" t="str">
            <v>H6</v>
          </cell>
          <cell r="F74">
            <v>43257</v>
          </cell>
          <cell r="G74" t="str">
            <v>LV</v>
          </cell>
          <cell r="H74">
            <v>0</v>
          </cell>
          <cell r="I74">
            <v>0</v>
          </cell>
          <cell r="J74">
            <v>0</v>
          </cell>
          <cell r="K74">
            <v>0</v>
          </cell>
          <cell r="L74">
            <v>0</v>
          </cell>
          <cell r="M74">
            <v>0</v>
          </cell>
          <cell r="N74">
            <v>0</v>
          </cell>
          <cell r="O74">
            <v>0</v>
          </cell>
          <cell r="P74">
            <v>0</v>
          </cell>
          <cell r="Q74">
            <v>0</v>
          </cell>
          <cell r="R74">
            <v>0</v>
          </cell>
          <cell r="S74">
            <v>0</v>
          </cell>
          <cell r="X74" t="str">
            <v>5/28-PO1-H6</v>
          </cell>
        </row>
        <row r="75">
          <cell r="A75" t="str">
            <v>PO1-H7-43248</v>
          </cell>
          <cell r="B75" t="str">
            <v>5/28-PO1-H7</v>
          </cell>
          <cell r="C75">
            <v>43248</v>
          </cell>
          <cell r="D75" t="str">
            <v>PO1</v>
          </cell>
          <cell r="E75" t="str">
            <v>H7</v>
          </cell>
          <cell r="F75">
            <v>43257</v>
          </cell>
          <cell r="G75" t="str">
            <v>TE</v>
          </cell>
          <cell r="H75"/>
          <cell r="I75"/>
          <cell r="J75"/>
          <cell r="K75">
            <v>0</v>
          </cell>
          <cell r="L75"/>
          <cell r="M75"/>
          <cell r="N75"/>
          <cell r="O75">
            <v>1</v>
          </cell>
          <cell r="P75"/>
          <cell r="Q75"/>
          <cell r="R75">
            <v>1</v>
          </cell>
          <cell r="S75">
            <v>1</v>
          </cell>
          <cell r="X75" t="str">
            <v>5/28-PO1-H7</v>
          </cell>
        </row>
        <row r="76">
          <cell r="A76" t="str">
            <v>PO2-A1-43248</v>
          </cell>
          <cell r="B76" t="str">
            <v>5/28-PO2-A1</v>
          </cell>
          <cell r="C76">
            <v>43248</v>
          </cell>
          <cell r="D76" t="str">
            <v>PO2</v>
          </cell>
          <cell r="E76" t="str">
            <v>A1</v>
          </cell>
          <cell r="F76">
            <v>43257</v>
          </cell>
          <cell r="G76" t="str">
            <v>LV</v>
          </cell>
          <cell r="H76"/>
          <cell r="I76">
            <v>248</v>
          </cell>
          <cell r="J76"/>
          <cell r="K76">
            <v>248</v>
          </cell>
          <cell r="L76">
            <v>18</v>
          </cell>
          <cell r="M76">
            <v>1</v>
          </cell>
          <cell r="N76"/>
          <cell r="O76"/>
          <cell r="P76"/>
          <cell r="Q76">
            <v>1</v>
          </cell>
          <cell r="R76"/>
          <cell r="S76">
            <v>19</v>
          </cell>
          <cell r="X76" t="str">
            <v>5/28-PO2-A1</v>
          </cell>
        </row>
        <row r="77">
          <cell r="A77" t="str">
            <v>PO2-E8-43248</v>
          </cell>
          <cell r="B77" t="str">
            <v>5/28-PO2-E8</v>
          </cell>
          <cell r="C77">
            <v>43248</v>
          </cell>
          <cell r="D77" t="str">
            <v>PO2</v>
          </cell>
          <cell r="E77" t="str">
            <v>E8</v>
          </cell>
          <cell r="F77">
            <v>43257</v>
          </cell>
          <cell r="G77" t="str">
            <v>DP</v>
          </cell>
          <cell r="H77">
            <v>0</v>
          </cell>
          <cell r="I77">
            <v>0</v>
          </cell>
          <cell r="J77">
            <v>0</v>
          </cell>
          <cell r="K77">
            <v>0</v>
          </cell>
          <cell r="L77">
            <v>0</v>
          </cell>
          <cell r="M77">
            <v>0</v>
          </cell>
          <cell r="N77">
            <v>0</v>
          </cell>
          <cell r="O77">
            <v>0</v>
          </cell>
          <cell r="P77">
            <v>0</v>
          </cell>
          <cell r="Q77">
            <v>0</v>
          </cell>
          <cell r="R77">
            <v>0</v>
          </cell>
          <cell r="S77">
            <v>0</v>
          </cell>
          <cell r="T77" t="str">
            <v>N</v>
          </cell>
          <cell r="U77" t="str">
            <v>1/4 Counted for Coccidia</v>
          </cell>
          <cell r="V77" t="str">
            <v>DP</v>
          </cell>
          <cell r="W77" t="str">
            <v>TE</v>
          </cell>
          <cell r="X77" t="str">
            <v>5/28-PO2-E8</v>
          </cell>
        </row>
        <row r="78">
          <cell r="A78" t="str">
            <v>PO2-F2-43248</v>
          </cell>
          <cell r="B78" t="str">
            <v>5/28-PO2-F2</v>
          </cell>
          <cell r="C78">
            <v>43248</v>
          </cell>
          <cell r="D78" t="str">
            <v>PO2</v>
          </cell>
          <cell r="E78" t="str">
            <v>F2</v>
          </cell>
          <cell r="F78">
            <v>43257</v>
          </cell>
          <cell r="G78" t="str">
            <v>JB</v>
          </cell>
          <cell r="H78">
            <v>0</v>
          </cell>
          <cell r="I78">
            <v>0</v>
          </cell>
          <cell r="J78">
            <v>0</v>
          </cell>
          <cell r="K78">
            <v>0</v>
          </cell>
          <cell r="L78">
            <v>14</v>
          </cell>
          <cell r="M78">
            <v>4</v>
          </cell>
          <cell r="N78">
            <v>0</v>
          </cell>
          <cell r="O78">
            <v>0</v>
          </cell>
          <cell r="P78">
            <v>0</v>
          </cell>
          <cell r="Q78">
            <v>0</v>
          </cell>
          <cell r="R78">
            <v>0</v>
          </cell>
          <cell r="S78">
            <v>18</v>
          </cell>
          <cell r="X78" t="str">
            <v>5/28-PO2-F2</v>
          </cell>
        </row>
        <row r="79">
          <cell r="A79" t="str">
            <v>PO2-G7-43248</v>
          </cell>
          <cell r="B79" t="str">
            <v>5/28-PO2-G7</v>
          </cell>
          <cell r="C79">
            <v>43248</v>
          </cell>
          <cell r="D79" t="str">
            <v>PO2</v>
          </cell>
          <cell r="E79" t="str">
            <v>G7</v>
          </cell>
          <cell r="F79">
            <v>43257</v>
          </cell>
          <cell r="G79" t="str">
            <v>LV</v>
          </cell>
          <cell r="H79"/>
          <cell r="I79">
            <v>2032</v>
          </cell>
          <cell r="J79"/>
          <cell r="K79">
            <v>2032</v>
          </cell>
          <cell r="L79"/>
          <cell r="M79"/>
          <cell r="N79"/>
          <cell r="O79"/>
          <cell r="P79"/>
          <cell r="Q79"/>
          <cell r="R79"/>
          <cell r="S79">
            <v>0</v>
          </cell>
          <cell r="X79" t="str">
            <v>5/28-PO2-G7</v>
          </cell>
        </row>
        <row r="80">
          <cell r="A80" t="str">
            <v>PO2-H4-43248</v>
          </cell>
          <cell r="B80" t="str">
            <v>5/28-PO2-H4</v>
          </cell>
          <cell r="C80">
            <v>43248</v>
          </cell>
          <cell r="D80" t="str">
            <v>PO2</v>
          </cell>
          <cell r="E80" t="str">
            <v>H4</v>
          </cell>
          <cell r="F80">
            <v>43257</v>
          </cell>
          <cell r="G80" t="str">
            <v>IS</v>
          </cell>
          <cell r="H80"/>
          <cell r="I80">
            <v>80</v>
          </cell>
          <cell r="J80"/>
          <cell r="K80">
            <v>80</v>
          </cell>
          <cell r="L80"/>
          <cell r="M80"/>
          <cell r="N80"/>
          <cell r="O80">
            <v>2</v>
          </cell>
          <cell r="P80"/>
          <cell r="Q80">
            <v>390</v>
          </cell>
          <cell r="R80"/>
          <cell r="S80">
            <v>2</v>
          </cell>
          <cell r="X80" t="str">
            <v>5/28-PO2-H4</v>
          </cell>
        </row>
        <row r="81">
          <cell r="A81" t="str">
            <v>PO2-H5-43248</v>
          </cell>
          <cell r="B81" t="str">
            <v>5/28-PO2-H5</v>
          </cell>
          <cell r="C81">
            <v>43248</v>
          </cell>
          <cell r="D81" t="str">
            <v>PO2</v>
          </cell>
          <cell r="E81" t="str">
            <v>H5</v>
          </cell>
          <cell r="F81">
            <v>43257</v>
          </cell>
          <cell r="G81" t="str">
            <v>DP</v>
          </cell>
          <cell r="H81">
            <v>12</v>
          </cell>
          <cell r="I81">
            <v>46</v>
          </cell>
          <cell r="J81">
            <v>28</v>
          </cell>
          <cell r="K81">
            <v>86</v>
          </cell>
          <cell r="L81">
            <v>0</v>
          </cell>
          <cell r="M81">
            <v>0</v>
          </cell>
          <cell r="N81">
            <v>0</v>
          </cell>
          <cell r="O81">
            <v>0</v>
          </cell>
          <cell r="P81">
            <v>0</v>
          </cell>
          <cell r="Q81">
            <v>0</v>
          </cell>
          <cell r="R81">
            <v>0</v>
          </cell>
          <cell r="S81">
            <v>0</v>
          </cell>
          <cell r="T81" t="str">
            <v>N</v>
          </cell>
          <cell r="U81" t="str">
            <v>1/4 Counted for Coccidia; 8E.del sporelated, 4E.del nonsporelated</v>
          </cell>
          <cell r="V81" t="str">
            <v>DP</v>
          </cell>
          <cell r="W81" t="str">
            <v>TE</v>
          </cell>
          <cell r="X81" t="str">
            <v>5/28-PO2-H5</v>
          </cell>
        </row>
        <row r="82">
          <cell r="A82" t="str">
            <v>PO2-H6-43249</v>
          </cell>
          <cell r="B82" t="str">
            <v>5/29-PO2-H6</v>
          </cell>
          <cell r="C82">
            <v>43249</v>
          </cell>
          <cell r="D82" t="str">
            <v>PO2</v>
          </cell>
          <cell r="E82" t="str">
            <v>H6</v>
          </cell>
          <cell r="F82">
            <v>43258</v>
          </cell>
          <cell r="G82" t="str">
            <v>JB</v>
          </cell>
          <cell r="H82">
            <v>208</v>
          </cell>
          <cell r="I82">
            <v>44396</v>
          </cell>
          <cell r="J82">
            <v>332</v>
          </cell>
          <cell r="K82">
            <v>44936</v>
          </cell>
          <cell r="L82">
            <v>0</v>
          </cell>
          <cell r="M82">
            <v>0</v>
          </cell>
          <cell r="N82">
            <v>0</v>
          </cell>
          <cell r="O82">
            <v>0</v>
          </cell>
          <cell r="P82">
            <v>0</v>
          </cell>
          <cell r="Q82">
            <v>0</v>
          </cell>
          <cell r="R82">
            <v>0</v>
          </cell>
          <cell r="S82">
            <v>0</v>
          </cell>
          <cell r="X82" t="str">
            <v>5/29-PO2-H6</v>
          </cell>
        </row>
        <row r="83">
          <cell r="A83" t="str">
            <v>PO1-A4-43250</v>
          </cell>
          <cell r="B83" t="str">
            <v>5/30-PO1-A4</v>
          </cell>
          <cell r="C83">
            <v>43250</v>
          </cell>
          <cell r="D83" t="str">
            <v>PO1</v>
          </cell>
          <cell r="E83" t="str">
            <v>A4</v>
          </cell>
          <cell r="F83">
            <v>43258</v>
          </cell>
          <cell r="G83" t="str">
            <v>IS</v>
          </cell>
          <cell r="H83">
            <v>0</v>
          </cell>
          <cell r="I83">
            <v>0</v>
          </cell>
          <cell r="J83">
            <v>0</v>
          </cell>
          <cell r="K83">
            <v>0</v>
          </cell>
          <cell r="L83">
            <v>0</v>
          </cell>
          <cell r="M83">
            <v>0</v>
          </cell>
          <cell r="N83">
            <v>0</v>
          </cell>
          <cell r="O83">
            <v>0</v>
          </cell>
          <cell r="P83">
            <v>0</v>
          </cell>
          <cell r="Q83">
            <v>0</v>
          </cell>
          <cell r="R83">
            <v>0</v>
          </cell>
          <cell r="S83">
            <v>0</v>
          </cell>
          <cell r="X83" t="str">
            <v>5/30-PO1-A4</v>
          </cell>
        </row>
        <row r="84">
          <cell r="A84" t="str">
            <v>PO2-A6-43250</v>
          </cell>
          <cell r="B84" t="str">
            <v>5/30-PO2-A6</v>
          </cell>
          <cell r="C84">
            <v>43250</v>
          </cell>
          <cell r="D84" t="str">
            <v>PO2</v>
          </cell>
          <cell r="E84" t="str">
            <v>A6</v>
          </cell>
          <cell r="F84">
            <v>43258</v>
          </cell>
          <cell r="G84" t="str">
            <v>LV</v>
          </cell>
          <cell r="H84">
            <v>25</v>
          </cell>
          <cell r="I84">
            <v>2308</v>
          </cell>
          <cell r="J84"/>
          <cell r="K84">
            <v>2333</v>
          </cell>
          <cell r="L84">
            <v>7</v>
          </cell>
          <cell r="M84"/>
          <cell r="N84"/>
          <cell r="O84"/>
          <cell r="P84"/>
          <cell r="Q84"/>
          <cell r="R84">
            <v>1</v>
          </cell>
          <cell r="S84">
            <v>7</v>
          </cell>
          <cell r="X84" t="str">
            <v>5/30-PO2-A6</v>
          </cell>
        </row>
        <row r="85">
          <cell r="A85" t="str">
            <v>PO2-C8-43250</v>
          </cell>
          <cell r="B85" t="str">
            <v>5/30-PO2-C8</v>
          </cell>
          <cell r="C85">
            <v>43250</v>
          </cell>
          <cell r="D85" t="str">
            <v>PO2</v>
          </cell>
          <cell r="E85" t="str">
            <v>C8</v>
          </cell>
          <cell r="F85">
            <v>43258</v>
          </cell>
          <cell r="G85" t="str">
            <v>TE</v>
          </cell>
          <cell r="H85">
            <v>16</v>
          </cell>
          <cell r="I85">
            <v>232</v>
          </cell>
          <cell r="J85">
            <v>5904</v>
          </cell>
          <cell r="K85">
            <v>6152</v>
          </cell>
          <cell r="L85"/>
          <cell r="M85"/>
          <cell r="N85"/>
          <cell r="O85"/>
          <cell r="P85"/>
          <cell r="Q85"/>
          <cell r="R85"/>
          <cell r="S85">
            <v>0</v>
          </cell>
          <cell r="X85" t="str">
            <v>5/30-PO2-C8</v>
          </cell>
        </row>
        <row r="86">
          <cell r="A86" t="str">
            <v>PO2-H3-43250</v>
          </cell>
          <cell r="B86" t="str">
            <v>5/30-PO2-H3</v>
          </cell>
          <cell r="C86">
            <v>43250</v>
          </cell>
          <cell r="D86" t="str">
            <v>PO2</v>
          </cell>
          <cell r="E86" t="str">
            <v>H3</v>
          </cell>
          <cell r="F86">
            <v>43258</v>
          </cell>
          <cell r="G86" t="str">
            <v>IS</v>
          </cell>
          <cell r="H86">
            <v>0</v>
          </cell>
          <cell r="I86">
            <v>188</v>
          </cell>
          <cell r="J86">
            <v>0</v>
          </cell>
          <cell r="K86">
            <v>188</v>
          </cell>
          <cell r="L86">
            <v>144</v>
          </cell>
          <cell r="M86">
            <v>44</v>
          </cell>
          <cell r="N86">
            <v>2</v>
          </cell>
          <cell r="O86">
            <v>0</v>
          </cell>
          <cell r="P86">
            <v>1</v>
          </cell>
          <cell r="Q86">
            <v>1013</v>
          </cell>
          <cell r="R86">
            <v>0</v>
          </cell>
          <cell r="S86">
            <v>191</v>
          </cell>
          <cell r="T86" t="str">
            <v>N</v>
          </cell>
          <cell r="U86" t="str">
            <v>1/4 Counted for Coccidia</v>
          </cell>
          <cell r="V86" t="str">
            <v>IS</v>
          </cell>
          <cell r="W86" t="str">
            <v>TE</v>
          </cell>
          <cell r="X86" t="str">
            <v>5/30-PO2-H3</v>
          </cell>
        </row>
        <row r="87">
          <cell r="A87" t="str">
            <v>SP1-F8-43251</v>
          </cell>
          <cell r="B87" t="str">
            <v>5/31-SP1-F8</v>
          </cell>
          <cell r="C87">
            <v>43251</v>
          </cell>
          <cell r="D87" t="str">
            <v>SP1</v>
          </cell>
          <cell r="E87" t="str">
            <v>F8</v>
          </cell>
          <cell r="F87">
            <v>43258</v>
          </cell>
          <cell r="G87" t="str">
            <v>LV</v>
          </cell>
          <cell r="H87"/>
          <cell r="I87">
            <v>176</v>
          </cell>
          <cell r="J87"/>
          <cell r="K87">
            <v>176</v>
          </cell>
          <cell r="L87"/>
          <cell r="M87"/>
          <cell r="N87"/>
          <cell r="O87"/>
          <cell r="P87"/>
          <cell r="Q87"/>
          <cell r="R87">
            <v>3</v>
          </cell>
          <cell r="S87">
            <v>0</v>
          </cell>
          <cell r="X87" t="e">
            <v>#N/A</v>
          </cell>
        </row>
        <row r="88">
          <cell r="A88" t="str">
            <v>SP1-G6-43251</v>
          </cell>
          <cell r="B88" t="str">
            <v>5/31-SP1-G6</v>
          </cell>
          <cell r="C88">
            <v>43251</v>
          </cell>
          <cell r="D88" t="str">
            <v>SP1</v>
          </cell>
          <cell r="E88" t="str">
            <v>G6</v>
          </cell>
          <cell r="F88">
            <v>43258</v>
          </cell>
          <cell r="G88" t="str">
            <v>DP</v>
          </cell>
          <cell r="I88">
            <v>86</v>
          </cell>
          <cell r="J88">
            <v>1</v>
          </cell>
          <cell r="K88">
            <v>87</v>
          </cell>
          <cell r="L88">
            <v>0</v>
          </cell>
          <cell r="M88">
            <v>0</v>
          </cell>
          <cell r="N88">
            <v>1</v>
          </cell>
          <cell r="O88">
            <v>0</v>
          </cell>
          <cell r="P88">
            <v>0</v>
          </cell>
          <cell r="Q88">
            <v>0</v>
          </cell>
          <cell r="R88">
            <v>0</v>
          </cell>
          <cell r="S88">
            <v>1</v>
          </cell>
          <cell r="T88" t="str">
            <v>N</v>
          </cell>
          <cell r="U88" t="str">
            <v>1/4 Counted for Coccidia; in quarter count no coccidia were found but at 10x, 87coccidia observed (86E.a 'A' &amp; 1E.a 'B') in remaining 75% of slide</v>
          </cell>
          <cell r="V88" t="str">
            <v>DP</v>
          </cell>
          <cell r="W88" t="str">
            <v>TE</v>
          </cell>
          <cell r="X88" t="str">
            <v>5/31-SP1-G6</v>
          </cell>
        </row>
        <row r="89">
          <cell r="A89" t="str">
            <v>SP1-C2-43252</v>
          </cell>
          <cell r="B89" t="str">
            <v>6/1-SP1-C2</v>
          </cell>
          <cell r="C89">
            <v>43252</v>
          </cell>
          <cell r="D89" t="str">
            <v>SP1</v>
          </cell>
          <cell r="E89" t="str">
            <v>C2</v>
          </cell>
          <cell r="F89">
            <v>43258</v>
          </cell>
          <cell r="G89" t="str">
            <v>TE</v>
          </cell>
          <cell r="H89">
            <v>0</v>
          </cell>
          <cell r="I89">
            <v>0</v>
          </cell>
          <cell r="J89">
            <v>0</v>
          </cell>
          <cell r="K89">
            <v>0</v>
          </cell>
          <cell r="L89">
            <v>0</v>
          </cell>
          <cell r="M89">
            <v>0</v>
          </cell>
          <cell r="N89">
            <v>0</v>
          </cell>
          <cell r="O89">
            <v>0</v>
          </cell>
          <cell r="P89">
            <v>0</v>
          </cell>
          <cell r="Q89">
            <v>0</v>
          </cell>
          <cell r="R89">
            <v>0</v>
          </cell>
          <cell r="S89">
            <v>0</v>
          </cell>
          <cell r="X89" t="str">
            <v>6/1-SP1-C2</v>
          </cell>
        </row>
        <row r="90">
          <cell r="A90" t="str">
            <v>SP2-E1-43252</v>
          </cell>
          <cell r="B90" t="str">
            <v>6/1-SP2-E1</v>
          </cell>
          <cell r="C90">
            <v>43252</v>
          </cell>
          <cell r="D90" t="str">
            <v>SP2</v>
          </cell>
          <cell r="E90" t="str">
            <v>E1</v>
          </cell>
          <cell r="F90">
            <v>43258</v>
          </cell>
          <cell r="G90" t="str">
            <v>IS</v>
          </cell>
          <cell r="H90">
            <v>20</v>
          </cell>
          <cell r="I90">
            <v>4252</v>
          </cell>
          <cell r="J90">
            <v>0</v>
          </cell>
          <cell r="K90">
            <v>4272</v>
          </cell>
          <cell r="L90">
            <v>0</v>
          </cell>
          <cell r="M90">
            <v>0</v>
          </cell>
          <cell r="N90">
            <v>0</v>
          </cell>
          <cell r="O90">
            <v>0</v>
          </cell>
          <cell r="P90">
            <v>0</v>
          </cell>
          <cell r="Q90">
            <v>0</v>
          </cell>
          <cell r="R90">
            <v>0</v>
          </cell>
          <cell r="S90">
            <v>0</v>
          </cell>
          <cell r="T90" t="str">
            <v>N</v>
          </cell>
          <cell r="U90" t="str">
            <v>1/4 Counted for Coccidia</v>
          </cell>
          <cell r="V90" t="str">
            <v>IS</v>
          </cell>
          <cell r="W90" t="str">
            <v>TE</v>
          </cell>
          <cell r="X90" t="str">
            <v>6/1-SP2-E1</v>
          </cell>
        </row>
        <row r="91">
          <cell r="A91" t="str">
            <v>SP2-F1-43252</v>
          </cell>
          <cell r="B91" t="str">
            <v>6/1-SP2-F1</v>
          </cell>
          <cell r="C91">
            <v>43252</v>
          </cell>
          <cell r="D91" t="str">
            <v>SP2</v>
          </cell>
          <cell r="E91" t="str">
            <v>F1</v>
          </cell>
          <cell r="F91">
            <v>43258</v>
          </cell>
          <cell r="G91" t="str">
            <v>TE</v>
          </cell>
          <cell r="H91">
            <v>0</v>
          </cell>
          <cell r="I91">
            <v>8</v>
          </cell>
          <cell r="J91">
            <v>20</v>
          </cell>
          <cell r="K91">
            <v>28</v>
          </cell>
          <cell r="L91">
            <v>0</v>
          </cell>
          <cell r="M91">
            <v>0</v>
          </cell>
          <cell r="N91">
            <v>0</v>
          </cell>
          <cell r="O91">
            <v>0</v>
          </cell>
          <cell r="P91">
            <v>0</v>
          </cell>
          <cell r="Q91">
            <v>0</v>
          </cell>
          <cell r="R91">
            <v>0</v>
          </cell>
          <cell r="S91">
            <v>0</v>
          </cell>
          <cell r="T91" t="str">
            <v>N</v>
          </cell>
          <cell r="U91" t="str">
            <v>1/4 Counted for Coccidia</v>
          </cell>
          <cell r="V91" t="str">
            <v>TE</v>
          </cell>
          <cell r="W91" t="str">
            <v>JB</v>
          </cell>
          <cell r="X91" t="str">
            <v>6/1-SP2-F1</v>
          </cell>
        </row>
        <row r="92">
          <cell r="A92" t="str">
            <v>SP2-G5-43252</v>
          </cell>
          <cell r="B92" t="str">
            <v>6/1-SP2-G5</v>
          </cell>
          <cell r="C92">
            <v>43252</v>
          </cell>
          <cell r="D92" t="str">
            <v>SP2</v>
          </cell>
          <cell r="E92" t="str">
            <v>G5</v>
          </cell>
          <cell r="F92">
            <v>43258</v>
          </cell>
          <cell r="G92" t="str">
            <v>LV</v>
          </cell>
          <cell r="H92">
            <v>0</v>
          </cell>
          <cell r="I92">
            <v>0</v>
          </cell>
          <cell r="J92">
            <v>0</v>
          </cell>
          <cell r="K92">
            <v>0</v>
          </cell>
          <cell r="L92">
            <v>0</v>
          </cell>
          <cell r="M92">
            <v>0</v>
          </cell>
          <cell r="N92">
            <v>0</v>
          </cell>
          <cell r="O92">
            <v>0</v>
          </cell>
          <cell r="P92">
            <v>0</v>
          </cell>
          <cell r="Q92">
            <v>0</v>
          </cell>
          <cell r="R92">
            <v>0</v>
          </cell>
          <cell r="S92">
            <v>0</v>
          </cell>
          <cell r="X92" t="str">
            <v>6/1-SP2-G5</v>
          </cell>
        </row>
        <row r="93">
          <cell r="A93" t="str">
            <v>SP1-D6-43253</v>
          </cell>
          <cell r="B93" t="str">
            <v>6/2-SP1-D6</v>
          </cell>
          <cell r="C93">
            <v>43253</v>
          </cell>
          <cell r="D93" t="str">
            <v>SP1</v>
          </cell>
          <cell r="E93" t="str">
            <v>D6</v>
          </cell>
          <cell r="F93">
            <v>43258</v>
          </cell>
          <cell r="G93" t="str">
            <v>DP</v>
          </cell>
          <cell r="H93">
            <v>52</v>
          </cell>
          <cell r="I93">
            <v>1532</v>
          </cell>
          <cell r="J93">
            <v>28</v>
          </cell>
          <cell r="K93">
            <v>1612</v>
          </cell>
          <cell r="L93">
            <v>0</v>
          </cell>
          <cell r="M93">
            <v>0</v>
          </cell>
          <cell r="N93">
            <v>0</v>
          </cell>
          <cell r="O93">
            <v>0</v>
          </cell>
          <cell r="P93">
            <v>0</v>
          </cell>
          <cell r="Q93">
            <v>0</v>
          </cell>
          <cell r="R93">
            <v>0</v>
          </cell>
          <cell r="S93">
            <v>0</v>
          </cell>
          <cell r="T93" t="str">
            <v>N</v>
          </cell>
          <cell r="U93" t="str">
            <v>1/4 Counted for Coccidia; 8/13E.del sporelated, 5/13E.del nonsporelated (13x4=52)</v>
          </cell>
          <cell r="V93" t="str">
            <v>DP</v>
          </cell>
          <cell r="W93" t="str">
            <v>TE</v>
          </cell>
          <cell r="X93" t="str">
            <v>6/2-SP1-D6</v>
          </cell>
        </row>
        <row r="94">
          <cell r="A94" t="str">
            <v>SP1-G5-43253</v>
          </cell>
          <cell r="B94" t="str">
            <v>6/2-SP1-G5</v>
          </cell>
          <cell r="C94">
            <v>43253</v>
          </cell>
          <cell r="D94" t="str">
            <v>SP1</v>
          </cell>
          <cell r="E94" t="str">
            <v>G5</v>
          </cell>
          <cell r="F94">
            <v>43258</v>
          </cell>
          <cell r="G94" t="str">
            <v>JB</v>
          </cell>
          <cell r="H94">
            <v>0</v>
          </cell>
          <cell r="I94">
            <v>192</v>
          </cell>
          <cell r="J94">
            <v>0</v>
          </cell>
          <cell r="K94">
            <v>192</v>
          </cell>
          <cell r="L94">
            <v>0</v>
          </cell>
          <cell r="M94">
            <v>0</v>
          </cell>
          <cell r="N94">
            <v>8</v>
          </cell>
          <cell r="O94">
            <v>1</v>
          </cell>
          <cell r="P94">
            <v>0</v>
          </cell>
          <cell r="Q94">
            <v>0</v>
          </cell>
          <cell r="R94">
            <v>1</v>
          </cell>
          <cell r="S94">
            <v>9</v>
          </cell>
          <cell r="X94" t="str">
            <v>6/2-SP1-G5</v>
          </cell>
        </row>
        <row r="95">
          <cell r="A95" t="str">
            <v>SP2-B4-43253</v>
          </cell>
          <cell r="B95" t="str">
            <v>6/2-SP2-B4</v>
          </cell>
          <cell r="C95">
            <v>43253</v>
          </cell>
          <cell r="D95" t="str">
            <v>SP2</v>
          </cell>
          <cell r="E95" t="str">
            <v>B4</v>
          </cell>
          <cell r="F95">
            <v>43258</v>
          </cell>
          <cell r="G95" t="str">
            <v>LV</v>
          </cell>
          <cell r="H95"/>
          <cell r="I95">
            <v>1372</v>
          </cell>
          <cell r="J95"/>
          <cell r="K95">
            <v>1372</v>
          </cell>
          <cell r="L95"/>
          <cell r="M95">
            <v>4</v>
          </cell>
          <cell r="N95"/>
          <cell r="O95"/>
          <cell r="P95"/>
          <cell r="Q95">
            <v>335</v>
          </cell>
          <cell r="R95"/>
          <cell r="S95">
            <v>4</v>
          </cell>
          <cell r="X95" t="e">
            <v>#N/A</v>
          </cell>
        </row>
        <row r="96">
          <cell r="A96" t="str">
            <v>SP2-F8-43253</v>
          </cell>
          <cell r="B96" t="str">
            <v>6/2-SP2-F8</v>
          </cell>
          <cell r="C96">
            <v>43253</v>
          </cell>
          <cell r="D96" t="str">
            <v>SP2</v>
          </cell>
          <cell r="E96" t="str">
            <v>F8</v>
          </cell>
          <cell r="F96">
            <v>43258</v>
          </cell>
          <cell r="G96" t="str">
            <v>LV</v>
          </cell>
          <cell r="H96">
            <v>0</v>
          </cell>
          <cell r="I96">
            <v>0</v>
          </cell>
          <cell r="J96">
            <v>0</v>
          </cell>
          <cell r="K96">
            <v>0</v>
          </cell>
          <cell r="L96">
            <v>0</v>
          </cell>
          <cell r="M96">
            <v>0</v>
          </cell>
          <cell r="N96">
            <v>0</v>
          </cell>
          <cell r="O96">
            <v>0</v>
          </cell>
          <cell r="P96">
            <v>0</v>
          </cell>
          <cell r="Q96">
            <v>0</v>
          </cell>
          <cell r="R96">
            <v>0</v>
          </cell>
          <cell r="S96">
            <v>0</v>
          </cell>
          <cell r="X96" t="str">
            <v>6/2-SP2-F8</v>
          </cell>
        </row>
        <row r="97">
          <cell r="A97" t="str">
            <v>SP2-H8-43253</v>
          </cell>
          <cell r="B97" t="str">
            <v>6/2-SP2-H8</v>
          </cell>
          <cell r="C97">
            <v>43253</v>
          </cell>
          <cell r="D97" t="str">
            <v>SP2</v>
          </cell>
          <cell r="E97" t="str">
            <v>H8</v>
          </cell>
          <cell r="F97">
            <v>43258</v>
          </cell>
          <cell r="G97" t="str">
            <v>TE</v>
          </cell>
          <cell r="H97">
            <v>0</v>
          </cell>
          <cell r="I97">
            <v>0</v>
          </cell>
          <cell r="J97">
            <v>0</v>
          </cell>
          <cell r="K97">
            <v>0</v>
          </cell>
          <cell r="L97">
            <v>0</v>
          </cell>
          <cell r="M97">
            <v>0</v>
          </cell>
          <cell r="N97">
            <v>0</v>
          </cell>
          <cell r="O97">
            <v>1</v>
          </cell>
          <cell r="P97">
            <v>0</v>
          </cell>
          <cell r="Q97">
            <v>0</v>
          </cell>
          <cell r="R97">
            <v>0</v>
          </cell>
          <cell r="S97">
            <v>1</v>
          </cell>
          <cell r="T97" t="str">
            <v>N</v>
          </cell>
          <cell r="U97" t="str">
            <v>1/4 Counted for Coccidia</v>
          </cell>
          <cell r="V97" t="str">
            <v>TE</v>
          </cell>
          <cell r="W97" t="str">
            <v>JB</v>
          </cell>
          <cell r="X97" t="str">
            <v>6/2-SP2-H8</v>
          </cell>
        </row>
        <row r="98">
          <cell r="A98" t="str">
            <v>BC1-C1-43257</v>
          </cell>
          <cell r="B98" t="str">
            <v>6/6-BC1-C1</v>
          </cell>
          <cell r="C98">
            <v>43257</v>
          </cell>
          <cell r="D98" t="str">
            <v>BC1</v>
          </cell>
          <cell r="E98" t="str">
            <v>C1</v>
          </cell>
          <cell r="F98">
            <v>43259</v>
          </cell>
          <cell r="G98" t="str">
            <v>JB</v>
          </cell>
          <cell r="H98">
            <v>0</v>
          </cell>
          <cell r="I98">
            <v>80</v>
          </cell>
          <cell r="J98">
            <v>0</v>
          </cell>
          <cell r="K98">
            <v>80</v>
          </cell>
          <cell r="L98">
            <v>0</v>
          </cell>
          <cell r="M98">
            <v>0</v>
          </cell>
          <cell r="N98">
            <v>0</v>
          </cell>
          <cell r="O98">
            <v>0</v>
          </cell>
          <cell r="P98">
            <v>0</v>
          </cell>
          <cell r="Q98">
            <v>0</v>
          </cell>
          <cell r="R98">
            <v>1</v>
          </cell>
          <cell r="S98">
            <v>0</v>
          </cell>
          <cell r="X98" t="str">
            <v>6/6-BC1-C1</v>
          </cell>
        </row>
        <row r="99">
          <cell r="A99" t="str">
            <v>BC1-E4-43257</v>
          </cell>
          <cell r="B99" t="str">
            <v>6/6-BC1-E4</v>
          </cell>
          <cell r="C99">
            <v>43257</v>
          </cell>
          <cell r="D99" t="str">
            <v>BC1</v>
          </cell>
          <cell r="E99" t="str">
            <v>E4</v>
          </cell>
          <cell r="F99">
            <v>43258</v>
          </cell>
          <cell r="G99" t="str">
            <v>JB</v>
          </cell>
          <cell r="H99">
            <v>0</v>
          </cell>
          <cell r="I99">
            <v>8</v>
          </cell>
          <cell r="J99">
            <v>0</v>
          </cell>
          <cell r="K99">
            <v>8</v>
          </cell>
          <cell r="L99">
            <v>0</v>
          </cell>
          <cell r="M99">
            <v>0</v>
          </cell>
          <cell r="N99">
            <v>0</v>
          </cell>
          <cell r="O99">
            <v>0</v>
          </cell>
          <cell r="P99">
            <v>0</v>
          </cell>
          <cell r="Q99">
            <v>0</v>
          </cell>
          <cell r="R99">
            <v>0</v>
          </cell>
          <cell r="S99">
            <v>0</v>
          </cell>
          <cell r="X99" t="str">
            <v>6/6-BC1-E4</v>
          </cell>
        </row>
        <row r="100">
          <cell r="A100" t="str">
            <v>BC1-F4-43257</v>
          </cell>
          <cell r="B100" t="str">
            <v>6/6-BC1-F4</v>
          </cell>
          <cell r="C100">
            <v>43257</v>
          </cell>
          <cell r="D100" t="str">
            <v>BC1</v>
          </cell>
          <cell r="E100" t="str">
            <v>F4</v>
          </cell>
          <cell r="F100">
            <v>43259</v>
          </cell>
          <cell r="G100" t="str">
            <v>TE</v>
          </cell>
          <cell r="H100">
            <v>4</v>
          </cell>
          <cell r="I100">
            <v>0</v>
          </cell>
          <cell r="J100">
            <v>0</v>
          </cell>
          <cell r="K100">
            <v>4</v>
          </cell>
          <cell r="L100">
            <v>0</v>
          </cell>
          <cell r="M100">
            <v>0</v>
          </cell>
          <cell r="N100">
            <v>1</v>
          </cell>
          <cell r="O100">
            <v>0</v>
          </cell>
          <cell r="P100">
            <v>0</v>
          </cell>
          <cell r="Q100">
            <v>0</v>
          </cell>
          <cell r="R100">
            <v>0</v>
          </cell>
          <cell r="S100">
            <v>1</v>
          </cell>
          <cell r="T100" t="str">
            <v>N</v>
          </cell>
          <cell r="U100" t="str">
            <v>1/4 Counted for Coccidia</v>
          </cell>
          <cell r="V100" t="str">
            <v>TE</v>
          </cell>
          <cell r="W100" t="str">
            <v>JB</v>
          </cell>
          <cell r="X100" t="str">
            <v>6/6-BC1-F4</v>
          </cell>
        </row>
        <row r="101">
          <cell r="A101" t="str">
            <v>BC1-G5-43257</v>
          </cell>
          <cell r="B101" t="str">
            <v>6/6-BC1-G5</v>
          </cell>
          <cell r="C101">
            <v>43257</v>
          </cell>
          <cell r="D101" t="str">
            <v>BC1</v>
          </cell>
          <cell r="E101" t="str">
            <v>G5</v>
          </cell>
          <cell r="F101">
            <v>43259</v>
          </cell>
          <cell r="G101" t="str">
            <v>DP</v>
          </cell>
          <cell r="H101">
            <v>0</v>
          </cell>
          <cell r="I101">
            <v>0</v>
          </cell>
          <cell r="J101">
            <v>0</v>
          </cell>
          <cell r="K101">
            <v>0</v>
          </cell>
          <cell r="L101">
            <v>0</v>
          </cell>
          <cell r="M101">
            <v>0</v>
          </cell>
          <cell r="N101">
            <v>0</v>
          </cell>
          <cell r="O101">
            <v>0</v>
          </cell>
          <cell r="P101">
            <v>0</v>
          </cell>
          <cell r="Q101">
            <v>0</v>
          </cell>
          <cell r="R101">
            <v>0</v>
          </cell>
          <cell r="S101">
            <v>0</v>
          </cell>
          <cell r="T101" t="str">
            <v>N</v>
          </cell>
          <cell r="U101" t="str">
            <v>1/4 Counted for Coccidia</v>
          </cell>
          <cell r="V101" t="str">
            <v>DP</v>
          </cell>
          <cell r="W101" t="str">
            <v>TE</v>
          </cell>
          <cell r="X101" t="str">
            <v>6/6-BC1-G5</v>
          </cell>
        </row>
        <row r="102">
          <cell r="A102" t="str">
            <v>BC1-H6-43257</v>
          </cell>
          <cell r="B102" t="str">
            <v>6/6-BC1-H6</v>
          </cell>
          <cell r="C102">
            <v>43257</v>
          </cell>
          <cell r="D102" t="str">
            <v>BC1</v>
          </cell>
          <cell r="E102" t="str">
            <v>H6</v>
          </cell>
          <cell r="F102">
            <v>43259</v>
          </cell>
          <cell r="G102" t="str">
            <v>LV</v>
          </cell>
          <cell r="H102"/>
          <cell r="I102"/>
          <cell r="J102">
            <v>1</v>
          </cell>
          <cell r="K102">
            <v>1</v>
          </cell>
          <cell r="L102">
            <v>6</v>
          </cell>
          <cell r="M102"/>
          <cell r="N102"/>
          <cell r="O102"/>
          <cell r="P102"/>
          <cell r="Q102">
            <v>4</v>
          </cell>
          <cell r="R102">
            <v>2</v>
          </cell>
          <cell r="S102">
            <v>6</v>
          </cell>
          <cell r="X102" t="str">
            <v>6/6-BC1-H6</v>
          </cell>
        </row>
        <row r="103">
          <cell r="A103" t="str">
            <v>BC2-A2-43257</v>
          </cell>
          <cell r="B103" t="str">
            <v>6/6-BC2-A2</v>
          </cell>
          <cell r="C103">
            <v>43257</v>
          </cell>
          <cell r="D103" t="str">
            <v>BC2</v>
          </cell>
          <cell r="E103" t="str">
            <v>A2</v>
          </cell>
          <cell r="F103">
            <v>43259</v>
          </cell>
          <cell r="G103" t="str">
            <v>IS</v>
          </cell>
          <cell r="H103">
            <v>0</v>
          </cell>
          <cell r="I103">
            <v>492</v>
          </cell>
          <cell r="J103">
            <v>0</v>
          </cell>
          <cell r="K103">
            <v>492</v>
          </cell>
          <cell r="L103">
            <v>0</v>
          </cell>
          <cell r="M103">
            <v>0</v>
          </cell>
          <cell r="N103">
            <v>0</v>
          </cell>
          <cell r="O103">
            <v>0</v>
          </cell>
          <cell r="P103">
            <v>0</v>
          </cell>
          <cell r="Q103">
            <v>0</v>
          </cell>
          <cell r="R103">
            <v>0</v>
          </cell>
          <cell r="S103">
            <v>0</v>
          </cell>
          <cell r="T103" t="str">
            <v>N</v>
          </cell>
          <cell r="U103" t="str">
            <v>1/4 Counted for Coccidia</v>
          </cell>
          <cell r="V103" t="str">
            <v>IS</v>
          </cell>
          <cell r="W103" t="str">
            <v>TE</v>
          </cell>
          <cell r="X103" t="str">
            <v>6/6-BC2-A2</v>
          </cell>
        </row>
        <row r="104">
          <cell r="A104" t="str">
            <v>BC2-E1-43257</v>
          </cell>
          <cell r="B104" t="str">
            <v>6/6-BC2-E1</v>
          </cell>
          <cell r="C104">
            <v>43257</v>
          </cell>
          <cell r="D104" t="str">
            <v>BC2</v>
          </cell>
          <cell r="E104" t="str">
            <v>E1</v>
          </cell>
          <cell r="F104">
            <v>43259</v>
          </cell>
          <cell r="G104" t="str">
            <v>DP</v>
          </cell>
          <cell r="I104">
            <v>4</v>
          </cell>
          <cell r="K104">
            <v>4</v>
          </cell>
          <cell r="L104">
            <v>0</v>
          </cell>
          <cell r="M104">
            <v>0</v>
          </cell>
          <cell r="N104">
            <v>0</v>
          </cell>
          <cell r="O104">
            <v>0</v>
          </cell>
          <cell r="P104">
            <v>0</v>
          </cell>
          <cell r="Q104">
            <v>0</v>
          </cell>
          <cell r="R104">
            <v>0</v>
          </cell>
          <cell r="S104">
            <v>0</v>
          </cell>
          <cell r="T104" t="str">
            <v>N</v>
          </cell>
          <cell r="U104" t="str">
            <v>1/4 Counted for Coccidia</v>
          </cell>
          <cell r="V104" t="str">
            <v>DP</v>
          </cell>
          <cell r="W104" t="str">
            <v>TE</v>
          </cell>
          <cell r="X104" t="str">
            <v>6/6-BC2-E1</v>
          </cell>
        </row>
        <row r="105">
          <cell r="A105" t="str">
            <v>BC1-C1-43258</v>
          </cell>
          <cell r="B105" t="str">
            <v>6/7-BC1-C1</v>
          </cell>
          <cell r="C105">
            <v>43258</v>
          </cell>
          <cell r="D105" t="str">
            <v>BC1</v>
          </cell>
          <cell r="E105" t="str">
            <v>C1</v>
          </cell>
          <cell r="F105">
            <v>43259</v>
          </cell>
          <cell r="G105" t="str">
            <v>LV</v>
          </cell>
          <cell r="H105"/>
          <cell r="I105">
            <v>18</v>
          </cell>
          <cell r="J105"/>
          <cell r="K105">
            <v>18</v>
          </cell>
          <cell r="L105"/>
          <cell r="M105"/>
          <cell r="N105"/>
          <cell r="O105"/>
          <cell r="P105"/>
          <cell r="Q105"/>
          <cell r="R105"/>
          <cell r="S105">
            <v>0</v>
          </cell>
          <cell r="X105" t="str">
            <v>6/7-BC1-C1</v>
          </cell>
        </row>
        <row r="106">
          <cell r="A106" t="str">
            <v>BC1-F8-43258</v>
          </cell>
          <cell r="B106" t="str">
            <v>6/7-BC1-F8</v>
          </cell>
          <cell r="C106">
            <v>43258</v>
          </cell>
          <cell r="D106" t="str">
            <v>BC1</v>
          </cell>
          <cell r="E106" t="str">
            <v>F8</v>
          </cell>
          <cell r="F106">
            <v>43259</v>
          </cell>
          <cell r="G106" t="str">
            <v>IS</v>
          </cell>
          <cell r="H106">
            <v>0</v>
          </cell>
          <cell r="I106">
            <v>120</v>
          </cell>
          <cell r="J106">
            <v>0</v>
          </cell>
          <cell r="K106">
            <v>120</v>
          </cell>
          <cell r="L106">
            <v>0</v>
          </cell>
          <cell r="M106">
            <v>0</v>
          </cell>
          <cell r="N106">
            <v>0</v>
          </cell>
          <cell r="O106">
            <v>0</v>
          </cell>
          <cell r="P106">
            <v>0</v>
          </cell>
          <cell r="Q106">
            <v>0</v>
          </cell>
          <cell r="R106">
            <v>0</v>
          </cell>
          <cell r="S106">
            <v>0</v>
          </cell>
          <cell r="T106" t="str">
            <v>N</v>
          </cell>
          <cell r="U106" t="str">
            <v>1/4 Counted for Coccidia</v>
          </cell>
          <cell r="V106" t="str">
            <v>IS</v>
          </cell>
          <cell r="W106" t="str">
            <v>TE</v>
          </cell>
          <cell r="X106" t="str">
            <v>6/7-BC1-F8</v>
          </cell>
        </row>
        <row r="107">
          <cell r="A107" t="str">
            <v>BC1-H5-43258</v>
          </cell>
          <cell r="B107" t="str">
            <v>6/7-BC1-H5</v>
          </cell>
          <cell r="C107">
            <v>43258</v>
          </cell>
          <cell r="D107" t="str">
            <v>BC1</v>
          </cell>
          <cell r="E107" t="str">
            <v>H5</v>
          </cell>
          <cell r="F107">
            <v>43259</v>
          </cell>
          <cell r="G107" t="str">
            <v>TE</v>
          </cell>
          <cell r="H107">
            <v>0</v>
          </cell>
          <cell r="I107">
            <v>0</v>
          </cell>
          <cell r="J107">
            <v>0</v>
          </cell>
          <cell r="K107">
            <v>0</v>
          </cell>
          <cell r="L107">
            <v>0</v>
          </cell>
          <cell r="M107">
            <v>0</v>
          </cell>
          <cell r="N107">
            <v>0</v>
          </cell>
          <cell r="O107">
            <v>0</v>
          </cell>
          <cell r="P107">
            <v>0</v>
          </cell>
          <cell r="Q107">
            <v>1</v>
          </cell>
          <cell r="R107">
            <v>0</v>
          </cell>
          <cell r="S107">
            <v>0</v>
          </cell>
          <cell r="T107" t="str">
            <v>N</v>
          </cell>
          <cell r="U107" t="str">
            <v>1/4 Counted for Coccidia</v>
          </cell>
          <cell r="V107" t="str">
            <v>TE</v>
          </cell>
          <cell r="W107" t="str">
            <v>JB</v>
          </cell>
          <cell r="X107" t="str">
            <v>6/7-BC1-H5</v>
          </cell>
        </row>
        <row r="108">
          <cell r="A108" t="str">
            <v>BC1-H7-43258</v>
          </cell>
          <cell r="B108" t="str">
            <v>6/7-BC1-H7</v>
          </cell>
          <cell r="C108">
            <v>43258</v>
          </cell>
          <cell r="D108" t="str">
            <v>BC1</v>
          </cell>
          <cell r="E108" t="str">
            <v>H7</v>
          </cell>
          <cell r="F108">
            <v>43259</v>
          </cell>
          <cell r="G108" t="str">
            <v>JB</v>
          </cell>
          <cell r="H108">
            <v>0</v>
          </cell>
          <cell r="I108">
            <v>416</v>
          </cell>
          <cell r="J108">
            <v>28</v>
          </cell>
          <cell r="K108">
            <v>444</v>
          </cell>
          <cell r="L108">
            <v>0</v>
          </cell>
          <cell r="M108">
            <v>0</v>
          </cell>
          <cell r="N108">
            <v>0</v>
          </cell>
          <cell r="O108">
            <v>0</v>
          </cell>
          <cell r="P108">
            <v>0</v>
          </cell>
          <cell r="Q108">
            <v>0</v>
          </cell>
          <cell r="R108">
            <v>0</v>
          </cell>
          <cell r="S108">
            <v>0</v>
          </cell>
          <cell r="X108" t="str">
            <v>6/7-BC1-H7</v>
          </cell>
        </row>
        <row r="109">
          <cell r="A109" t="str">
            <v>BC2-E7-43259</v>
          </cell>
          <cell r="B109" t="str">
            <v>6/8-BC2-E7</v>
          </cell>
          <cell r="C109">
            <v>43259</v>
          </cell>
          <cell r="D109" t="str">
            <v>BC2</v>
          </cell>
          <cell r="E109" t="str">
            <v>E7</v>
          </cell>
          <cell r="F109">
            <v>43252</v>
          </cell>
          <cell r="G109" t="str">
            <v>JB</v>
          </cell>
          <cell r="H109">
            <v>344</v>
          </cell>
          <cell r="I109">
            <v>728</v>
          </cell>
          <cell r="J109">
            <v>24</v>
          </cell>
          <cell r="K109">
            <v>1096</v>
          </cell>
          <cell r="L109">
            <v>0</v>
          </cell>
          <cell r="M109">
            <v>0</v>
          </cell>
          <cell r="N109">
            <v>0</v>
          </cell>
          <cell r="O109">
            <v>0</v>
          </cell>
          <cell r="P109">
            <v>0</v>
          </cell>
          <cell r="Q109">
            <v>0</v>
          </cell>
          <cell r="R109">
            <v>0</v>
          </cell>
          <cell r="S109">
            <v>0</v>
          </cell>
          <cell r="X109" t="str">
            <v>6/8-BC2-E7</v>
          </cell>
        </row>
        <row r="110">
          <cell r="A110" t="str">
            <v>HW1-C3-43260</v>
          </cell>
          <cell r="B110" t="str">
            <v>6/9-HW1-C3</v>
          </cell>
          <cell r="C110">
            <v>43260</v>
          </cell>
          <cell r="D110" t="str">
            <v>HW1</v>
          </cell>
          <cell r="E110" t="str">
            <v>C3</v>
          </cell>
          <cell r="F110">
            <v>43261</v>
          </cell>
          <cell r="G110" t="str">
            <v>IS</v>
          </cell>
          <cell r="H110">
            <v>656</v>
          </cell>
          <cell r="I110">
            <v>4502</v>
          </cell>
          <cell r="J110">
            <v>334</v>
          </cell>
          <cell r="K110">
            <v>5492</v>
          </cell>
          <cell r="L110">
            <v>0</v>
          </cell>
          <cell r="M110">
            <v>0</v>
          </cell>
          <cell r="N110">
            <v>0</v>
          </cell>
          <cell r="O110">
            <v>0</v>
          </cell>
          <cell r="P110">
            <v>0</v>
          </cell>
          <cell r="Q110">
            <v>0</v>
          </cell>
          <cell r="R110">
            <v>0</v>
          </cell>
          <cell r="S110">
            <v>0</v>
          </cell>
          <cell r="T110" t="str">
            <v>Y</v>
          </cell>
          <cell r="V110" t="str">
            <v>IS</v>
          </cell>
          <cell r="W110" t="str">
            <v>TE</v>
          </cell>
          <cell r="X110" t="str">
            <v>6/9-HW1-C3</v>
          </cell>
        </row>
        <row r="111">
          <cell r="A111" t="str">
            <v>HW1-D7-43260</v>
          </cell>
          <cell r="B111" t="str">
            <v>6/9-HW1-D7</v>
          </cell>
          <cell r="C111">
            <v>43260</v>
          </cell>
          <cell r="D111" t="str">
            <v>HW1</v>
          </cell>
          <cell r="E111" t="str">
            <v>D7</v>
          </cell>
          <cell r="F111">
            <v>43261</v>
          </cell>
          <cell r="G111" t="str">
            <v>JB</v>
          </cell>
          <cell r="H111">
            <v>46</v>
          </cell>
          <cell r="I111">
            <v>148</v>
          </cell>
          <cell r="J111">
            <v>8</v>
          </cell>
          <cell r="K111">
            <v>202</v>
          </cell>
          <cell r="L111">
            <v>0</v>
          </cell>
          <cell r="M111">
            <v>0</v>
          </cell>
          <cell r="N111">
            <v>0</v>
          </cell>
          <cell r="O111">
            <v>0</v>
          </cell>
          <cell r="P111">
            <v>0</v>
          </cell>
          <cell r="Q111">
            <v>0</v>
          </cell>
          <cell r="R111">
            <v>0</v>
          </cell>
          <cell r="S111">
            <v>0</v>
          </cell>
          <cell r="T111" t="str">
            <v>Y</v>
          </cell>
          <cell r="V111" t="str">
            <v>JB</v>
          </cell>
          <cell r="W111" t="str">
            <v>LV</v>
          </cell>
          <cell r="X111" t="str">
            <v>6/9-HW1-D7</v>
          </cell>
        </row>
        <row r="112">
          <cell r="A112" t="str">
            <v>HW1-E5-43260</v>
          </cell>
          <cell r="B112" t="str">
            <v>6/9-HW1-E5</v>
          </cell>
          <cell r="C112">
            <v>43260</v>
          </cell>
          <cell r="D112" t="str">
            <v>HW1</v>
          </cell>
          <cell r="E112" t="str">
            <v>E5</v>
          </cell>
          <cell r="F112">
            <v>43261</v>
          </cell>
          <cell r="G112" t="str">
            <v>IS</v>
          </cell>
          <cell r="H112">
            <v>0</v>
          </cell>
          <cell r="I112">
            <v>0</v>
          </cell>
          <cell r="J112">
            <v>0</v>
          </cell>
          <cell r="K112">
            <v>0</v>
          </cell>
          <cell r="L112">
            <v>0</v>
          </cell>
          <cell r="M112">
            <v>0</v>
          </cell>
          <cell r="N112">
            <v>0</v>
          </cell>
          <cell r="O112">
            <v>0</v>
          </cell>
          <cell r="P112">
            <v>0</v>
          </cell>
          <cell r="Q112">
            <v>0</v>
          </cell>
          <cell r="R112">
            <v>0</v>
          </cell>
          <cell r="S112">
            <v>0</v>
          </cell>
          <cell r="T112" t="str">
            <v>N</v>
          </cell>
          <cell r="U112" t="str">
            <v>1/4 Counted for Coccidia</v>
          </cell>
          <cell r="V112" t="str">
            <v>IS</v>
          </cell>
          <cell r="W112" t="str">
            <v>TE</v>
          </cell>
          <cell r="X112" t="str">
            <v>6/9-HW1-E5</v>
          </cell>
        </row>
        <row r="113">
          <cell r="A113" t="str">
            <v>HW1-F1-43260</v>
          </cell>
          <cell r="B113" t="str">
            <v>6/9-HW1-F1</v>
          </cell>
          <cell r="C113">
            <v>43260</v>
          </cell>
          <cell r="D113" t="str">
            <v>HW1</v>
          </cell>
          <cell r="E113" t="str">
            <v>F1</v>
          </cell>
          <cell r="F113">
            <v>43261</v>
          </cell>
          <cell r="G113" t="str">
            <v>LV</v>
          </cell>
          <cell r="H113">
            <v>164</v>
          </cell>
          <cell r="I113">
            <v>26412</v>
          </cell>
          <cell r="J113">
            <v>784</v>
          </cell>
          <cell r="K113">
            <v>27360</v>
          </cell>
          <cell r="L113"/>
          <cell r="M113"/>
          <cell r="N113"/>
          <cell r="O113"/>
          <cell r="P113"/>
          <cell r="Q113"/>
          <cell r="R113"/>
          <cell r="S113">
            <v>0</v>
          </cell>
          <cell r="X113" t="str">
            <v>6/9-HW1-F1</v>
          </cell>
        </row>
        <row r="114">
          <cell r="A114" t="str">
            <v>HW2-A3-43260</v>
          </cell>
          <cell r="B114" t="str">
            <v>6/9-HW2-A3</v>
          </cell>
          <cell r="C114">
            <v>43260</v>
          </cell>
          <cell r="D114" t="str">
            <v>HW2</v>
          </cell>
          <cell r="E114" t="str">
            <v>A3</v>
          </cell>
          <cell r="F114">
            <v>43261</v>
          </cell>
          <cell r="G114" t="str">
            <v>TE</v>
          </cell>
          <cell r="H114">
            <v>0</v>
          </cell>
          <cell r="I114">
            <v>0</v>
          </cell>
          <cell r="J114">
            <v>0</v>
          </cell>
          <cell r="K114">
            <v>0</v>
          </cell>
          <cell r="L114">
            <v>0</v>
          </cell>
          <cell r="M114">
            <v>0</v>
          </cell>
          <cell r="N114">
            <v>0</v>
          </cell>
          <cell r="O114">
            <v>0</v>
          </cell>
          <cell r="P114">
            <v>0</v>
          </cell>
          <cell r="Q114">
            <v>197</v>
          </cell>
          <cell r="R114">
            <v>0</v>
          </cell>
          <cell r="S114">
            <v>0</v>
          </cell>
          <cell r="T114" t="str">
            <v>Y</v>
          </cell>
          <cell r="V114" t="str">
            <v>TE</v>
          </cell>
          <cell r="W114" t="str">
            <v>JB</v>
          </cell>
          <cell r="X114" t="str">
            <v>6/9-HW2-A3</v>
          </cell>
        </row>
        <row r="115">
          <cell r="A115" t="str">
            <v>HW2-C5-43260</v>
          </cell>
          <cell r="B115" t="str">
            <v>6/9-HW2-C5</v>
          </cell>
          <cell r="C115">
            <v>43260</v>
          </cell>
          <cell r="D115" t="str">
            <v>HW2</v>
          </cell>
          <cell r="E115" t="str">
            <v>C5</v>
          </cell>
          <cell r="F115">
            <v>43261</v>
          </cell>
          <cell r="G115" t="str">
            <v>TE</v>
          </cell>
          <cell r="H115">
            <v>8</v>
          </cell>
          <cell r="I115">
            <v>0</v>
          </cell>
          <cell r="J115">
            <v>2</v>
          </cell>
          <cell r="K115">
            <v>10</v>
          </cell>
          <cell r="L115">
            <v>0</v>
          </cell>
          <cell r="M115">
            <v>0</v>
          </cell>
          <cell r="N115">
            <v>0</v>
          </cell>
          <cell r="O115">
            <v>0</v>
          </cell>
          <cell r="P115">
            <v>0</v>
          </cell>
          <cell r="Q115">
            <v>0</v>
          </cell>
          <cell r="R115">
            <v>0</v>
          </cell>
          <cell r="S115">
            <v>0</v>
          </cell>
          <cell r="T115" t="str">
            <v>Y</v>
          </cell>
          <cell r="V115" t="str">
            <v>TE</v>
          </cell>
          <cell r="W115" t="str">
            <v>JB</v>
          </cell>
          <cell r="X115" t="str">
            <v>6/9-HW2-C5</v>
          </cell>
        </row>
        <row r="116">
          <cell r="A116" t="str">
            <v>HW2-D2-43260</v>
          </cell>
          <cell r="B116" t="str">
            <v>6/9-HW2-D2</v>
          </cell>
          <cell r="C116">
            <v>43260</v>
          </cell>
          <cell r="D116" t="str">
            <v>HW2</v>
          </cell>
          <cell r="E116" t="str">
            <v>D2</v>
          </cell>
          <cell r="F116">
            <v>43261</v>
          </cell>
          <cell r="G116" t="str">
            <v>IS</v>
          </cell>
          <cell r="H116">
            <v>14</v>
          </cell>
          <cell r="I116">
            <v>414</v>
          </cell>
          <cell r="J116">
            <v>10</v>
          </cell>
          <cell r="K116">
            <v>438</v>
          </cell>
          <cell r="L116">
            <v>0</v>
          </cell>
          <cell r="M116">
            <v>0</v>
          </cell>
          <cell r="N116">
            <v>0</v>
          </cell>
          <cell r="O116">
            <v>0</v>
          </cell>
          <cell r="P116">
            <v>0</v>
          </cell>
          <cell r="Q116">
            <v>0</v>
          </cell>
          <cell r="R116">
            <v>0</v>
          </cell>
          <cell r="S116">
            <v>0</v>
          </cell>
          <cell r="T116" t="str">
            <v>Y</v>
          </cell>
          <cell r="V116" t="str">
            <v>IS</v>
          </cell>
          <cell r="W116" t="str">
            <v>TE</v>
          </cell>
          <cell r="X116" t="str">
            <v>6/9-HW2-D2</v>
          </cell>
        </row>
        <row r="117">
          <cell r="A117" t="str">
            <v>HW2-F8-43261</v>
          </cell>
          <cell r="B117" t="str">
            <v>6/10-HW2-F8</v>
          </cell>
          <cell r="C117">
            <v>43261</v>
          </cell>
          <cell r="D117" t="str">
            <v>HW2</v>
          </cell>
          <cell r="E117" t="str">
            <v>F8</v>
          </cell>
          <cell r="F117">
            <v>43265</v>
          </cell>
          <cell r="G117" t="str">
            <v>TE</v>
          </cell>
          <cell r="H117">
            <v>0</v>
          </cell>
          <cell r="I117">
            <v>0</v>
          </cell>
          <cell r="J117">
            <v>0</v>
          </cell>
          <cell r="K117">
            <v>0</v>
          </cell>
          <cell r="L117">
            <v>20</v>
          </cell>
          <cell r="M117">
            <v>0</v>
          </cell>
          <cell r="N117">
            <v>6</v>
          </cell>
          <cell r="O117">
            <v>0</v>
          </cell>
          <cell r="P117">
            <v>0</v>
          </cell>
          <cell r="Q117">
            <v>0</v>
          </cell>
          <cell r="R117">
            <v>0</v>
          </cell>
          <cell r="S117">
            <v>26</v>
          </cell>
          <cell r="T117" t="str">
            <v>Y</v>
          </cell>
          <cell r="V117" t="str">
            <v>TE</v>
          </cell>
          <cell r="W117" t="str">
            <v>JB</v>
          </cell>
          <cell r="X117" t="str">
            <v>6/10-HW2-F8</v>
          </cell>
        </row>
        <row r="118">
          <cell r="A118" t="str">
            <v>HW2-G7-43260</v>
          </cell>
          <cell r="B118" t="str">
            <v>6/9-HW2-G7</v>
          </cell>
          <cell r="C118">
            <v>43260</v>
          </cell>
          <cell r="D118" t="str">
            <v>HW2</v>
          </cell>
          <cell r="E118" t="str">
            <v>G7</v>
          </cell>
          <cell r="F118">
            <v>43261</v>
          </cell>
          <cell r="G118" t="str">
            <v>TE</v>
          </cell>
          <cell r="H118">
            <v>0</v>
          </cell>
          <cell r="I118">
            <v>0</v>
          </cell>
          <cell r="J118">
            <v>0</v>
          </cell>
          <cell r="K118">
            <v>0</v>
          </cell>
          <cell r="L118">
            <v>0</v>
          </cell>
          <cell r="M118">
            <v>0</v>
          </cell>
          <cell r="N118">
            <v>0</v>
          </cell>
          <cell r="O118">
            <v>0</v>
          </cell>
          <cell r="P118">
            <v>0</v>
          </cell>
          <cell r="Q118">
            <v>0</v>
          </cell>
          <cell r="R118">
            <v>0</v>
          </cell>
          <cell r="S118">
            <v>0</v>
          </cell>
          <cell r="T118" t="str">
            <v>Y</v>
          </cell>
          <cell r="V118" t="str">
            <v>TE</v>
          </cell>
          <cell r="W118" t="str">
            <v>JB</v>
          </cell>
          <cell r="X118" t="str">
            <v>6/9-HW2-G7</v>
          </cell>
        </row>
        <row r="119">
          <cell r="A119" t="str">
            <v>HW2-H2-43260</v>
          </cell>
          <cell r="B119" t="str">
            <v>6/9-HW2-H2</v>
          </cell>
          <cell r="C119">
            <v>43260</v>
          </cell>
          <cell r="D119" t="str">
            <v>HW2</v>
          </cell>
          <cell r="E119" t="str">
            <v>H2</v>
          </cell>
          <cell r="F119">
            <v>43261</v>
          </cell>
          <cell r="G119" t="str">
            <v>LV</v>
          </cell>
          <cell r="H119"/>
          <cell r="I119">
            <v>8</v>
          </cell>
          <cell r="J119"/>
          <cell r="K119">
            <v>8</v>
          </cell>
          <cell r="L119"/>
          <cell r="M119"/>
          <cell r="N119"/>
          <cell r="O119"/>
          <cell r="P119"/>
          <cell r="Q119"/>
          <cell r="R119"/>
          <cell r="S119">
            <v>0</v>
          </cell>
          <cell r="X119" t="str">
            <v>6/9-HW2-H2</v>
          </cell>
        </row>
        <row r="120">
          <cell r="A120" t="str">
            <v>HW2-H6-43260</v>
          </cell>
          <cell r="B120" t="str">
            <v>6/9-HW2-H6</v>
          </cell>
          <cell r="C120">
            <v>43260</v>
          </cell>
          <cell r="D120" t="str">
            <v>HW2</v>
          </cell>
          <cell r="E120" t="str">
            <v>H6</v>
          </cell>
          <cell r="F120">
            <v>43261</v>
          </cell>
          <cell r="G120" t="str">
            <v>JB</v>
          </cell>
          <cell r="H120">
            <v>0</v>
          </cell>
          <cell r="I120">
            <v>12</v>
          </cell>
          <cell r="J120">
            <v>0</v>
          </cell>
          <cell r="K120">
            <v>12</v>
          </cell>
          <cell r="L120">
            <v>0</v>
          </cell>
          <cell r="M120">
            <v>0</v>
          </cell>
          <cell r="N120">
            <v>0</v>
          </cell>
          <cell r="O120">
            <v>0</v>
          </cell>
          <cell r="P120">
            <v>0</v>
          </cell>
          <cell r="Q120">
            <v>0</v>
          </cell>
          <cell r="R120">
            <v>1</v>
          </cell>
          <cell r="S120">
            <v>0</v>
          </cell>
          <cell r="T120" t="str">
            <v>Y</v>
          </cell>
          <cell r="V120" t="str">
            <v>JB</v>
          </cell>
          <cell r="W120" t="str">
            <v>LV</v>
          </cell>
          <cell r="X120" t="str">
            <v>6/9-HW2-H6</v>
          </cell>
        </row>
        <row r="121">
          <cell r="A121" t="str">
            <v>HW2-B1-43260</v>
          </cell>
          <cell r="B121" t="str">
            <v>6/9-HW2-B1</v>
          </cell>
          <cell r="C121">
            <v>43260</v>
          </cell>
          <cell r="D121" t="str">
            <v>HW2</v>
          </cell>
          <cell r="E121" t="str">
            <v>B1</v>
          </cell>
          <cell r="F121">
            <v>43260</v>
          </cell>
          <cell r="G121" t="str">
            <v>DP</v>
          </cell>
          <cell r="H121">
            <v>2</v>
          </cell>
          <cell r="I121">
            <v>6</v>
          </cell>
          <cell r="K121">
            <v>8</v>
          </cell>
          <cell r="L121">
            <v>0</v>
          </cell>
          <cell r="M121">
            <v>0</v>
          </cell>
          <cell r="N121">
            <v>0</v>
          </cell>
          <cell r="O121">
            <v>0</v>
          </cell>
          <cell r="P121">
            <v>0</v>
          </cell>
          <cell r="Q121">
            <v>694</v>
          </cell>
          <cell r="R121">
            <v>0</v>
          </cell>
          <cell r="S121">
            <v>0</v>
          </cell>
          <cell r="T121" t="str">
            <v>Y</v>
          </cell>
          <cell r="V121" t="str">
            <v>DP</v>
          </cell>
          <cell r="W121" t="str">
            <v>TE</v>
          </cell>
          <cell r="X121" t="str">
            <v>6/9-HW2-B1</v>
          </cell>
        </row>
        <row r="122">
          <cell r="A122" t="str">
            <v>HW2-B3-43261</v>
          </cell>
          <cell r="B122" t="str">
            <v>6/10-HW2-B3</v>
          </cell>
          <cell r="C122">
            <v>43261</v>
          </cell>
          <cell r="D122" t="str">
            <v>HW2</v>
          </cell>
          <cell r="E122" t="str">
            <v>B3</v>
          </cell>
          <cell r="F122">
            <v>43260</v>
          </cell>
          <cell r="G122" t="str">
            <v>DP</v>
          </cell>
          <cell r="I122">
            <v>4</v>
          </cell>
          <cell r="K122">
            <v>4</v>
          </cell>
          <cell r="L122">
            <v>0</v>
          </cell>
          <cell r="M122">
            <v>0</v>
          </cell>
          <cell r="N122">
            <v>0</v>
          </cell>
          <cell r="O122">
            <v>0</v>
          </cell>
          <cell r="P122">
            <v>0</v>
          </cell>
          <cell r="Q122">
            <v>0</v>
          </cell>
          <cell r="R122">
            <v>0</v>
          </cell>
          <cell r="S122">
            <v>0</v>
          </cell>
          <cell r="T122" t="str">
            <v>N</v>
          </cell>
          <cell r="U122" t="str">
            <v>1/4 Counted for Coccidia</v>
          </cell>
          <cell r="V122" t="str">
            <v>DP</v>
          </cell>
          <cell r="W122" t="str">
            <v>TE</v>
          </cell>
          <cell r="X122" t="str">
            <v>6/10-HW2-B3</v>
          </cell>
        </row>
        <row r="123">
          <cell r="A123" t="str">
            <v>HW2-B4-43260</v>
          </cell>
          <cell r="B123" t="str">
            <v>6/9-HW2-B4</v>
          </cell>
          <cell r="C123">
            <v>43260</v>
          </cell>
          <cell r="D123" t="str">
            <v>HW2</v>
          </cell>
          <cell r="E123" t="str">
            <v>B4</v>
          </cell>
          <cell r="F123">
            <v>43260</v>
          </cell>
          <cell r="G123" t="str">
            <v>DP</v>
          </cell>
          <cell r="H123">
            <v>28</v>
          </cell>
          <cell r="I123">
            <v>2672</v>
          </cell>
          <cell r="J123">
            <v>212</v>
          </cell>
          <cell r="K123">
            <v>2912</v>
          </cell>
          <cell r="L123">
            <v>0</v>
          </cell>
          <cell r="M123">
            <v>0</v>
          </cell>
          <cell r="N123">
            <v>0</v>
          </cell>
          <cell r="O123">
            <v>0</v>
          </cell>
          <cell r="P123">
            <v>0</v>
          </cell>
          <cell r="Q123">
            <v>0</v>
          </cell>
          <cell r="R123">
            <v>0</v>
          </cell>
          <cell r="S123">
            <v>0</v>
          </cell>
          <cell r="T123" t="str">
            <v>Y</v>
          </cell>
          <cell r="V123" t="str">
            <v>DP</v>
          </cell>
          <cell r="W123" t="str">
            <v>TE</v>
          </cell>
          <cell r="X123" t="str">
            <v>6/9-HW2-B4</v>
          </cell>
        </row>
        <row r="124">
          <cell r="A124" t="str">
            <v>HW2-H2-43261</v>
          </cell>
          <cell r="B124" t="str">
            <v>6/10-HW2-H2</v>
          </cell>
          <cell r="C124">
            <v>43261</v>
          </cell>
          <cell r="D124" t="str">
            <v>HW2</v>
          </cell>
          <cell r="E124" t="str">
            <v>H2</v>
          </cell>
          <cell r="F124">
            <v>43263</v>
          </cell>
          <cell r="G124" t="str">
            <v>IS</v>
          </cell>
          <cell r="H124">
            <v>2</v>
          </cell>
          <cell r="I124">
            <v>52</v>
          </cell>
          <cell r="J124">
            <v>0</v>
          </cell>
          <cell r="K124">
            <v>54</v>
          </cell>
          <cell r="L124">
            <v>0</v>
          </cell>
          <cell r="M124">
            <v>0</v>
          </cell>
          <cell r="N124">
            <v>0</v>
          </cell>
          <cell r="O124">
            <v>0</v>
          </cell>
          <cell r="P124">
            <v>0</v>
          </cell>
          <cell r="Q124">
            <v>0</v>
          </cell>
          <cell r="R124">
            <v>1</v>
          </cell>
          <cell r="S124">
            <v>0</v>
          </cell>
          <cell r="T124" t="str">
            <v>Y</v>
          </cell>
          <cell r="V124" t="str">
            <v>IS</v>
          </cell>
          <cell r="W124" t="str">
            <v>TE</v>
          </cell>
          <cell r="X124" t="str">
            <v>6/10-HW2-H2</v>
          </cell>
        </row>
        <row r="125">
          <cell r="A125" t="str">
            <v>HW1-E8-43262</v>
          </cell>
          <cell r="B125" t="str">
            <v>6/11-HW1-E8</v>
          </cell>
          <cell r="C125">
            <v>43262</v>
          </cell>
          <cell r="D125" t="str">
            <v>HW1</v>
          </cell>
          <cell r="E125" t="str">
            <v>E8</v>
          </cell>
          <cell r="F125">
            <v>43266</v>
          </cell>
          <cell r="G125" t="str">
            <v>JB</v>
          </cell>
          <cell r="H125">
            <v>58</v>
          </cell>
          <cell r="I125">
            <v>588</v>
          </cell>
          <cell r="J125">
            <v>0</v>
          </cell>
          <cell r="K125">
            <v>646</v>
          </cell>
          <cell r="L125">
            <v>42</v>
          </cell>
          <cell r="M125">
            <v>35</v>
          </cell>
          <cell r="N125">
            <v>0</v>
          </cell>
          <cell r="O125">
            <v>0</v>
          </cell>
          <cell r="P125">
            <v>0</v>
          </cell>
          <cell r="Q125">
            <v>0</v>
          </cell>
          <cell r="R125">
            <v>0</v>
          </cell>
          <cell r="S125">
            <v>77</v>
          </cell>
          <cell r="T125" t="str">
            <v>Y</v>
          </cell>
          <cell r="V125" t="str">
            <v>JB</v>
          </cell>
          <cell r="W125" t="str">
            <v>LV</v>
          </cell>
          <cell r="X125" t="str">
            <v>6/11-HW1-E8</v>
          </cell>
        </row>
        <row r="126">
          <cell r="A126" t="str">
            <v>HW1-F2-43262</v>
          </cell>
          <cell r="B126" t="str">
            <v>6/11-HW1-F2</v>
          </cell>
          <cell r="C126">
            <v>43262</v>
          </cell>
          <cell r="D126" t="str">
            <v>HW1</v>
          </cell>
          <cell r="E126" t="str">
            <v>F2</v>
          </cell>
          <cell r="F126">
            <v>43265</v>
          </cell>
          <cell r="G126" t="str">
            <v>LV</v>
          </cell>
          <cell r="H126">
            <v>0</v>
          </cell>
          <cell r="I126">
            <v>52</v>
          </cell>
          <cell r="K126">
            <v>52</v>
          </cell>
          <cell r="L126">
            <v>0</v>
          </cell>
          <cell r="M126">
            <v>0</v>
          </cell>
          <cell r="N126">
            <v>0</v>
          </cell>
          <cell r="O126">
            <v>0</v>
          </cell>
          <cell r="P126">
            <v>0</v>
          </cell>
          <cell r="Q126">
            <v>0</v>
          </cell>
          <cell r="R126">
            <v>0</v>
          </cell>
          <cell r="S126">
            <v>0</v>
          </cell>
          <cell r="T126" t="str">
            <v>Y</v>
          </cell>
          <cell r="V126" t="str">
            <v>LV</v>
          </cell>
          <cell r="W126" t="str">
            <v>JB</v>
          </cell>
          <cell r="X126" t="str">
            <v>6/11-HW1-F2</v>
          </cell>
        </row>
        <row r="127">
          <cell r="A127" t="str">
            <v>HW2-G8-43262</v>
          </cell>
          <cell r="B127" t="str">
            <v>6/11-HW2-G8</v>
          </cell>
          <cell r="C127">
            <v>43262</v>
          </cell>
          <cell r="D127" t="str">
            <v>HW2</v>
          </cell>
          <cell r="E127" t="str">
            <v>G8</v>
          </cell>
          <cell r="F127">
            <v>43265</v>
          </cell>
          <cell r="G127" t="str">
            <v>DP</v>
          </cell>
          <cell r="H127">
            <v>44</v>
          </cell>
          <cell r="I127">
            <v>98</v>
          </cell>
          <cell r="K127">
            <v>142</v>
          </cell>
          <cell r="L127">
            <v>0</v>
          </cell>
          <cell r="M127">
            <v>0</v>
          </cell>
          <cell r="N127">
            <v>0</v>
          </cell>
          <cell r="O127">
            <v>0</v>
          </cell>
          <cell r="P127">
            <v>0</v>
          </cell>
          <cell r="Q127">
            <v>0</v>
          </cell>
          <cell r="R127">
            <v>0</v>
          </cell>
          <cell r="S127">
            <v>0</v>
          </cell>
          <cell r="T127" t="str">
            <v>Y</v>
          </cell>
          <cell r="V127" t="str">
            <v>DP</v>
          </cell>
          <cell r="W127" t="str">
            <v>TE</v>
          </cell>
          <cell r="X127" t="str">
            <v>6/11-HW2-G8</v>
          </cell>
        </row>
        <row r="128">
          <cell r="A128" t="str">
            <v>PO1-D3-43266</v>
          </cell>
          <cell r="B128" t="str">
            <v>6/15-PO1-D3</v>
          </cell>
          <cell r="C128">
            <v>43266</v>
          </cell>
          <cell r="D128" t="str">
            <v>PO1</v>
          </cell>
          <cell r="E128" t="str">
            <v>D3</v>
          </cell>
          <cell r="F128">
            <v>43268</v>
          </cell>
          <cell r="G128" t="str">
            <v>TE</v>
          </cell>
          <cell r="H128">
            <v>0</v>
          </cell>
          <cell r="I128">
            <v>0</v>
          </cell>
          <cell r="J128">
            <v>0</v>
          </cell>
          <cell r="K128">
            <v>0</v>
          </cell>
          <cell r="L128">
            <v>0</v>
          </cell>
          <cell r="M128">
            <v>0</v>
          </cell>
          <cell r="N128">
            <v>0</v>
          </cell>
          <cell r="O128">
            <v>0</v>
          </cell>
          <cell r="P128">
            <v>0</v>
          </cell>
          <cell r="Q128">
            <v>0</v>
          </cell>
          <cell r="R128">
            <v>0</v>
          </cell>
          <cell r="S128">
            <v>0</v>
          </cell>
          <cell r="T128" t="str">
            <v>Y</v>
          </cell>
          <cell r="V128" t="str">
            <v>TE</v>
          </cell>
          <cell r="W128" t="str">
            <v>JB</v>
          </cell>
          <cell r="X128" t="str">
            <v>6/15-PO1-D3</v>
          </cell>
        </row>
        <row r="129">
          <cell r="A129" t="str">
            <v>PO1-E2-43266</v>
          </cell>
          <cell r="B129" t="str">
            <v>6/15-PO1-E2</v>
          </cell>
          <cell r="C129">
            <v>43266</v>
          </cell>
          <cell r="D129" t="str">
            <v>PO1</v>
          </cell>
          <cell r="E129" t="str">
            <v>E2</v>
          </cell>
          <cell r="F129">
            <v>43267</v>
          </cell>
          <cell r="G129" t="str">
            <v>DP</v>
          </cell>
          <cell r="I129">
            <v>4</v>
          </cell>
          <cell r="K129">
            <v>4</v>
          </cell>
          <cell r="L129">
            <v>0</v>
          </cell>
          <cell r="M129">
            <v>0</v>
          </cell>
          <cell r="N129">
            <v>0</v>
          </cell>
          <cell r="O129">
            <v>0</v>
          </cell>
          <cell r="P129">
            <v>0</v>
          </cell>
          <cell r="Q129">
            <v>0</v>
          </cell>
          <cell r="R129">
            <v>0</v>
          </cell>
          <cell r="S129">
            <v>0</v>
          </cell>
          <cell r="T129" t="str">
            <v>Y</v>
          </cell>
          <cell r="V129" t="str">
            <v>DP</v>
          </cell>
          <cell r="W129" t="str">
            <v>TE</v>
          </cell>
          <cell r="X129" t="str">
            <v>6/15-PO1-E2</v>
          </cell>
        </row>
        <row r="130">
          <cell r="A130" t="str">
            <v>PO1-E4-43266</v>
          </cell>
          <cell r="B130" t="str">
            <v>6/15-PO1-E4</v>
          </cell>
          <cell r="C130">
            <v>43266</v>
          </cell>
          <cell r="D130" t="str">
            <v>PO1</v>
          </cell>
          <cell r="E130" t="str">
            <v>E4</v>
          </cell>
          <cell r="F130">
            <v>43267</v>
          </cell>
          <cell r="G130" t="str">
            <v>LV</v>
          </cell>
          <cell r="H130">
            <v>0</v>
          </cell>
          <cell r="I130">
            <v>0</v>
          </cell>
          <cell r="J130">
            <v>0</v>
          </cell>
          <cell r="K130">
            <v>0</v>
          </cell>
          <cell r="L130">
            <v>0</v>
          </cell>
          <cell r="M130">
            <v>0</v>
          </cell>
          <cell r="N130">
            <v>0</v>
          </cell>
          <cell r="O130">
            <v>0</v>
          </cell>
          <cell r="P130">
            <v>0</v>
          </cell>
          <cell r="Q130">
            <v>0</v>
          </cell>
          <cell r="R130">
            <v>0</v>
          </cell>
          <cell r="S130">
            <v>0</v>
          </cell>
          <cell r="T130" t="str">
            <v>Y</v>
          </cell>
          <cell r="V130" t="str">
            <v>LV</v>
          </cell>
          <cell r="W130" t="str">
            <v>JB</v>
          </cell>
          <cell r="X130" t="str">
            <v>6/15-PO1-E4</v>
          </cell>
        </row>
        <row r="131">
          <cell r="A131" t="str">
            <v>PO1-G8-43266</v>
          </cell>
          <cell r="B131" t="str">
            <v>6/15-PO1-G8</v>
          </cell>
          <cell r="C131">
            <v>43266</v>
          </cell>
          <cell r="D131" t="str">
            <v>PO1</v>
          </cell>
          <cell r="E131" t="str">
            <v>G8</v>
          </cell>
          <cell r="F131">
            <v>43267</v>
          </cell>
          <cell r="G131" t="str">
            <v>DP</v>
          </cell>
          <cell r="H131">
            <v>0</v>
          </cell>
          <cell r="I131">
            <v>0</v>
          </cell>
          <cell r="J131">
            <v>0</v>
          </cell>
          <cell r="K131">
            <v>0</v>
          </cell>
          <cell r="L131">
            <v>0</v>
          </cell>
          <cell r="M131">
            <v>0</v>
          </cell>
          <cell r="N131">
            <v>0</v>
          </cell>
          <cell r="O131">
            <v>0</v>
          </cell>
          <cell r="P131">
            <v>0</v>
          </cell>
          <cell r="Q131">
            <v>0</v>
          </cell>
          <cell r="R131">
            <v>0</v>
          </cell>
          <cell r="S131">
            <v>0</v>
          </cell>
          <cell r="T131" t="str">
            <v>Y</v>
          </cell>
          <cell r="V131" t="str">
            <v>DP</v>
          </cell>
          <cell r="W131" t="str">
            <v>TE</v>
          </cell>
          <cell r="X131" t="str">
            <v>6/15-PO1-G8</v>
          </cell>
        </row>
        <row r="132">
          <cell r="A132" t="str">
            <v>PO1-H7-43266</v>
          </cell>
          <cell r="B132" t="str">
            <v>6/15-PO1-H7</v>
          </cell>
          <cell r="C132">
            <v>43266</v>
          </cell>
          <cell r="D132" t="str">
            <v>PO1</v>
          </cell>
          <cell r="E132" t="str">
            <v>H7</v>
          </cell>
          <cell r="F132">
            <v>43267</v>
          </cell>
          <cell r="G132" t="str">
            <v>LV</v>
          </cell>
          <cell r="H132">
            <v>0</v>
          </cell>
          <cell r="I132">
            <v>0</v>
          </cell>
          <cell r="J132">
            <v>0</v>
          </cell>
          <cell r="K132">
            <v>0</v>
          </cell>
          <cell r="L132">
            <v>0</v>
          </cell>
          <cell r="M132">
            <v>0</v>
          </cell>
          <cell r="N132">
            <v>0</v>
          </cell>
          <cell r="O132">
            <v>0</v>
          </cell>
          <cell r="P132">
            <v>0</v>
          </cell>
          <cell r="Q132">
            <v>0</v>
          </cell>
          <cell r="R132">
            <v>0</v>
          </cell>
          <cell r="S132">
            <v>0</v>
          </cell>
          <cell r="T132" t="str">
            <v>Y</v>
          </cell>
          <cell r="V132" t="str">
            <v>LV</v>
          </cell>
          <cell r="W132" t="str">
            <v>JB</v>
          </cell>
          <cell r="X132" t="str">
            <v>6/15-PO1-H7</v>
          </cell>
        </row>
        <row r="133">
          <cell r="A133" t="str">
            <v>PO2-D1-43266</v>
          </cell>
          <cell r="B133" t="str">
            <v>6/15-PO2-D1</v>
          </cell>
          <cell r="C133">
            <v>43266</v>
          </cell>
          <cell r="D133" t="str">
            <v>PO2</v>
          </cell>
          <cell r="E133" t="str">
            <v>D1</v>
          </cell>
          <cell r="F133">
            <v>43267</v>
          </cell>
          <cell r="G133" t="str">
            <v>TE</v>
          </cell>
          <cell r="H133">
            <v>0</v>
          </cell>
          <cell r="I133">
            <v>0</v>
          </cell>
          <cell r="J133">
            <v>0</v>
          </cell>
          <cell r="K133">
            <v>0</v>
          </cell>
          <cell r="L133">
            <v>0</v>
          </cell>
          <cell r="M133">
            <v>0</v>
          </cell>
          <cell r="N133">
            <v>0</v>
          </cell>
          <cell r="O133">
            <v>0</v>
          </cell>
          <cell r="P133">
            <v>0</v>
          </cell>
          <cell r="Q133">
            <v>0</v>
          </cell>
          <cell r="R133">
            <v>0</v>
          </cell>
          <cell r="S133">
            <v>0</v>
          </cell>
          <cell r="T133" t="str">
            <v>Y</v>
          </cell>
          <cell r="V133" t="str">
            <v>TE</v>
          </cell>
          <cell r="W133" t="str">
            <v>JB</v>
          </cell>
          <cell r="X133" t="str">
            <v>6/15-PO2-D1</v>
          </cell>
        </row>
        <row r="134">
          <cell r="A134" t="str">
            <v>PO2-D8-43266</v>
          </cell>
          <cell r="B134" t="str">
            <v>6/15-PO2-D8</v>
          </cell>
          <cell r="C134">
            <v>43266</v>
          </cell>
          <cell r="D134" t="str">
            <v>PO2</v>
          </cell>
          <cell r="E134" t="str">
            <v>D8</v>
          </cell>
          <cell r="F134">
            <v>43267</v>
          </cell>
          <cell r="G134" t="str">
            <v>JB</v>
          </cell>
          <cell r="H134">
            <v>0</v>
          </cell>
          <cell r="I134">
            <v>0</v>
          </cell>
          <cell r="J134">
            <v>0</v>
          </cell>
          <cell r="K134">
            <v>0</v>
          </cell>
          <cell r="L134">
            <v>0</v>
          </cell>
          <cell r="M134">
            <v>0</v>
          </cell>
          <cell r="N134">
            <v>0</v>
          </cell>
          <cell r="O134">
            <v>0</v>
          </cell>
          <cell r="P134">
            <v>0</v>
          </cell>
          <cell r="Q134">
            <v>0</v>
          </cell>
          <cell r="R134">
            <v>0</v>
          </cell>
          <cell r="S134">
            <v>0</v>
          </cell>
          <cell r="T134" t="str">
            <v>Y</v>
          </cell>
          <cell r="V134" t="str">
            <v>JB</v>
          </cell>
          <cell r="W134" t="str">
            <v>LV</v>
          </cell>
          <cell r="X134" t="str">
            <v>6/15-PO2-D8</v>
          </cell>
        </row>
        <row r="135">
          <cell r="A135" t="str">
            <v>PO2-E3-43266</v>
          </cell>
          <cell r="B135" t="str">
            <v>6/15-PO2-E3</v>
          </cell>
          <cell r="C135">
            <v>43266</v>
          </cell>
          <cell r="D135" t="str">
            <v>PO2</v>
          </cell>
          <cell r="E135" t="str">
            <v>E3</v>
          </cell>
          <cell r="F135">
            <v>43267</v>
          </cell>
          <cell r="G135" t="str">
            <v>IS</v>
          </cell>
          <cell r="H135">
            <v>6</v>
          </cell>
          <cell r="I135">
            <v>732</v>
          </cell>
          <cell r="J135">
            <v>6</v>
          </cell>
          <cell r="K135">
            <v>744</v>
          </cell>
          <cell r="L135">
            <v>0</v>
          </cell>
          <cell r="M135">
            <v>0</v>
          </cell>
          <cell r="N135">
            <v>0</v>
          </cell>
          <cell r="O135">
            <v>0</v>
          </cell>
          <cell r="P135">
            <v>0</v>
          </cell>
          <cell r="Q135">
            <v>0</v>
          </cell>
          <cell r="R135">
            <v>0</v>
          </cell>
          <cell r="S135">
            <v>0</v>
          </cell>
          <cell r="T135" t="str">
            <v>Y</v>
          </cell>
          <cell r="V135" t="str">
            <v>IS</v>
          </cell>
          <cell r="W135" t="str">
            <v>TE</v>
          </cell>
          <cell r="X135" t="str">
            <v>6/15-PO2-E3</v>
          </cell>
        </row>
        <row r="136">
          <cell r="A136" t="str">
            <v>PO2-G1-43266</v>
          </cell>
          <cell r="B136" t="str">
            <v>6/15-PO2-G1</v>
          </cell>
          <cell r="C136">
            <v>43266</v>
          </cell>
          <cell r="D136" t="str">
            <v>PO2</v>
          </cell>
          <cell r="E136" t="str">
            <v>G1</v>
          </cell>
          <cell r="F136">
            <v>43267</v>
          </cell>
          <cell r="G136" t="str">
            <v>TE</v>
          </cell>
          <cell r="H136">
            <v>0</v>
          </cell>
          <cell r="I136">
            <v>0</v>
          </cell>
          <cell r="J136">
            <v>0</v>
          </cell>
          <cell r="K136">
            <v>0</v>
          </cell>
          <cell r="L136">
            <v>0</v>
          </cell>
          <cell r="M136">
            <v>0</v>
          </cell>
          <cell r="N136">
            <v>0</v>
          </cell>
          <cell r="O136">
            <v>0</v>
          </cell>
          <cell r="P136">
            <v>0</v>
          </cell>
          <cell r="Q136">
            <v>0</v>
          </cell>
          <cell r="R136">
            <v>0</v>
          </cell>
          <cell r="S136">
            <v>0</v>
          </cell>
          <cell r="T136" t="str">
            <v>Y</v>
          </cell>
          <cell r="V136" t="str">
            <v>TE</v>
          </cell>
          <cell r="W136" t="str">
            <v>JB</v>
          </cell>
          <cell r="X136" t="str">
            <v>6/15-PO2-G1</v>
          </cell>
        </row>
        <row r="137">
          <cell r="A137" t="str">
            <v>PO2-G6-43266</v>
          </cell>
          <cell r="B137" t="str">
            <v>6/15-PO2-G6</v>
          </cell>
          <cell r="C137">
            <v>43266</v>
          </cell>
          <cell r="D137" t="str">
            <v>PO2</v>
          </cell>
          <cell r="E137" t="str">
            <v>G6</v>
          </cell>
          <cell r="F137">
            <v>43267</v>
          </cell>
          <cell r="G137" t="str">
            <v>JB</v>
          </cell>
          <cell r="H137">
            <v>14</v>
          </cell>
          <cell r="I137">
            <v>740</v>
          </cell>
          <cell r="J137">
            <v>0</v>
          </cell>
          <cell r="K137">
            <v>754</v>
          </cell>
          <cell r="L137">
            <v>0</v>
          </cell>
          <cell r="M137">
            <v>0</v>
          </cell>
          <cell r="N137">
            <v>0</v>
          </cell>
          <cell r="O137">
            <v>0</v>
          </cell>
          <cell r="P137">
            <v>0</v>
          </cell>
          <cell r="Q137">
            <v>0</v>
          </cell>
          <cell r="R137">
            <v>0</v>
          </cell>
          <cell r="S137">
            <v>0</v>
          </cell>
          <cell r="T137" t="str">
            <v>Y</v>
          </cell>
          <cell r="V137" t="str">
            <v>JB</v>
          </cell>
          <cell r="W137" t="str">
            <v>LV</v>
          </cell>
          <cell r="X137" t="str">
            <v>6/15-PO2-G6</v>
          </cell>
        </row>
        <row r="138">
          <cell r="A138" t="str">
            <v>PO2-G7-43266</v>
          </cell>
          <cell r="B138" t="str">
            <v>6/15-PO2-G7</v>
          </cell>
          <cell r="C138">
            <v>43266</v>
          </cell>
          <cell r="D138" t="str">
            <v>PO2</v>
          </cell>
          <cell r="E138" t="str">
            <v>G7</v>
          </cell>
          <cell r="F138">
            <v>43267</v>
          </cell>
          <cell r="G138" t="str">
            <v>IS</v>
          </cell>
          <cell r="H138">
            <v>0</v>
          </cell>
          <cell r="I138">
            <v>124</v>
          </cell>
          <cell r="J138">
            <v>0</v>
          </cell>
          <cell r="K138">
            <v>124</v>
          </cell>
          <cell r="L138">
            <v>0</v>
          </cell>
          <cell r="M138">
            <v>0</v>
          </cell>
          <cell r="N138">
            <v>0</v>
          </cell>
          <cell r="O138">
            <v>0</v>
          </cell>
          <cell r="P138">
            <v>0</v>
          </cell>
          <cell r="Q138">
            <v>0</v>
          </cell>
          <cell r="R138">
            <v>0</v>
          </cell>
          <cell r="S138">
            <v>0</v>
          </cell>
          <cell r="T138" t="str">
            <v>Y</v>
          </cell>
          <cell r="V138" t="str">
            <v>IS</v>
          </cell>
          <cell r="W138" t="str">
            <v>TE</v>
          </cell>
          <cell r="X138" t="str">
            <v>6/15-PO2-G7</v>
          </cell>
        </row>
        <row r="139">
          <cell r="A139" t="str">
            <v>PO1-A4-43267</v>
          </cell>
          <cell r="B139" t="str">
            <v>6/16-PO1-A4</v>
          </cell>
          <cell r="C139">
            <v>43267</v>
          </cell>
          <cell r="D139" t="str">
            <v>PO1</v>
          </cell>
          <cell r="E139" t="str">
            <v>A4</v>
          </cell>
          <cell r="F139">
            <v>43268</v>
          </cell>
          <cell r="G139" t="str">
            <v>LV</v>
          </cell>
          <cell r="H139">
            <v>0</v>
          </cell>
          <cell r="I139">
            <v>0</v>
          </cell>
          <cell r="J139">
            <v>0</v>
          </cell>
          <cell r="K139">
            <v>0</v>
          </cell>
          <cell r="L139">
            <v>0</v>
          </cell>
          <cell r="M139">
            <v>0</v>
          </cell>
          <cell r="N139">
            <v>0</v>
          </cell>
          <cell r="O139">
            <v>0</v>
          </cell>
          <cell r="P139">
            <v>0</v>
          </cell>
          <cell r="Q139">
            <v>0</v>
          </cell>
          <cell r="R139">
            <v>0</v>
          </cell>
          <cell r="S139">
            <v>0</v>
          </cell>
          <cell r="T139" t="str">
            <v>Y</v>
          </cell>
          <cell r="V139" t="str">
            <v>LV</v>
          </cell>
          <cell r="W139" t="str">
            <v>JB</v>
          </cell>
          <cell r="X139" t="str">
            <v>6/16-PO1-A4</v>
          </cell>
        </row>
        <row r="140">
          <cell r="A140" t="str">
            <v>PO1-A7-43267</v>
          </cell>
          <cell r="B140" t="str">
            <v>6/16-PO1-A7</v>
          </cell>
          <cell r="C140">
            <v>43267</v>
          </cell>
          <cell r="D140" t="str">
            <v>PO1</v>
          </cell>
          <cell r="E140" t="str">
            <v>A7</v>
          </cell>
          <cell r="F140">
            <v>43268</v>
          </cell>
          <cell r="G140" t="str">
            <v>TE</v>
          </cell>
          <cell r="H140">
            <v>0</v>
          </cell>
          <cell r="I140">
            <v>0</v>
          </cell>
          <cell r="J140">
            <v>6</v>
          </cell>
          <cell r="K140">
            <v>6</v>
          </cell>
          <cell r="L140">
            <v>0</v>
          </cell>
          <cell r="M140">
            <v>0</v>
          </cell>
          <cell r="N140">
            <v>0</v>
          </cell>
          <cell r="O140">
            <v>0</v>
          </cell>
          <cell r="P140">
            <v>0</v>
          </cell>
          <cell r="Q140">
            <v>0</v>
          </cell>
          <cell r="R140">
            <v>0</v>
          </cell>
          <cell r="S140">
            <v>0</v>
          </cell>
          <cell r="T140" t="str">
            <v>Y</v>
          </cell>
          <cell r="V140" t="str">
            <v>TE</v>
          </cell>
          <cell r="W140" t="str">
            <v>JB</v>
          </cell>
          <cell r="X140" t="str">
            <v>6/16-PO1-A7</v>
          </cell>
        </row>
        <row r="141">
          <cell r="A141" t="str">
            <v>PO1-B5-43267</v>
          </cell>
          <cell r="B141" t="str">
            <v>6/16-PO1-B5</v>
          </cell>
          <cell r="C141">
            <v>43267</v>
          </cell>
          <cell r="D141" t="str">
            <v>PO1</v>
          </cell>
          <cell r="E141" t="str">
            <v>B5</v>
          </cell>
          <cell r="F141">
            <v>43268</v>
          </cell>
          <cell r="G141" t="str">
            <v>IS</v>
          </cell>
          <cell r="H141">
            <v>10</v>
          </cell>
          <cell r="I141">
            <v>60</v>
          </cell>
          <cell r="J141">
            <v>0</v>
          </cell>
          <cell r="K141">
            <v>70</v>
          </cell>
          <cell r="L141">
            <v>0</v>
          </cell>
          <cell r="M141">
            <v>0</v>
          </cell>
          <cell r="N141">
            <v>0</v>
          </cell>
          <cell r="O141">
            <v>0</v>
          </cell>
          <cell r="P141">
            <v>0</v>
          </cell>
          <cell r="Q141">
            <v>0</v>
          </cell>
          <cell r="R141">
            <v>0</v>
          </cell>
          <cell r="S141">
            <v>0</v>
          </cell>
          <cell r="T141" t="str">
            <v>Y</v>
          </cell>
          <cell r="V141" t="str">
            <v>IS</v>
          </cell>
          <cell r="W141" t="str">
            <v>TE</v>
          </cell>
          <cell r="X141" t="str">
            <v>6/16-PO1-B5</v>
          </cell>
        </row>
        <row r="142">
          <cell r="A142" t="str">
            <v>PO2-A2-43267</v>
          </cell>
          <cell r="B142" t="str">
            <v>6/16-PO2-A2</v>
          </cell>
          <cell r="C142">
            <v>43267</v>
          </cell>
          <cell r="D142" t="str">
            <v>PO2</v>
          </cell>
          <cell r="E142" t="str">
            <v>A2</v>
          </cell>
          <cell r="F142">
            <v>43268</v>
          </cell>
          <cell r="G142" t="str">
            <v>LV</v>
          </cell>
          <cell r="H142">
            <v>0</v>
          </cell>
          <cell r="I142">
            <v>132</v>
          </cell>
          <cell r="J142">
            <v>0</v>
          </cell>
          <cell r="K142">
            <v>132</v>
          </cell>
          <cell r="L142">
            <v>0</v>
          </cell>
          <cell r="M142">
            <v>0</v>
          </cell>
          <cell r="N142">
            <v>0</v>
          </cell>
          <cell r="O142">
            <v>0</v>
          </cell>
          <cell r="P142">
            <v>0</v>
          </cell>
          <cell r="Q142">
            <v>0</v>
          </cell>
          <cell r="R142">
            <v>0</v>
          </cell>
          <cell r="S142">
            <v>0</v>
          </cell>
          <cell r="T142" t="str">
            <v>Y</v>
          </cell>
          <cell r="U142" t="str">
            <v>25 big brown parasite like things</v>
          </cell>
          <cell r="V142" t="str">
            <v>LV</v>
          </cell>
          <cell r="W142" t="str">
            <v>JB</v>
          </cell>
          <cell r="X142" t="str">
            <v>6/16-PO2-A2</v>
          </cell>
        </row>
        <row r="143">
          <cell r="A143" t="str">
            <v>PO2-A4-43267</v>
          </cell>
          <cell r="B143" t="str">
            <v>6/16-PO2-A4</v>
          </cell>
          <cell r="C143">
            <v>43267</v>
          </cell>
          <cell r="D143" t="str">
            <v>PO2</v>
          </cell>
          <cell r="E143" t="str">
            <v>A4</v>
          </cell>
          <cell r="F143">
            <v>43268</v>
          </cell>
          <cell r="G143" t="str">
            <v>DP</v>
          </cell>
          <cell r="H143">
            <v>0</v>
          </cell>
          <cell r="I143">
            <v>0</v>
          </cell>
          <cell r="J143">
            <v>0</v>
          </cell>
          <cell r="K143">
            <v>0</v>
          </cell>
          <cell r="L143">
            <v>0</v>
          </cell>
          <cell r="M143">
            <v>0</v>
          </cell>
          <cell r="N143">
            <v>0</v>
          </cell>
          <cell r="O143">
            <v>0</v>
          </cell>
          <cell r="P143">
            <v>0</v>
          </cell>
          <cell r="Q143">
            <v>0</v>
          </cell>
          <cell r="R143">
            <v>0</v>
          </cell>
          <cell r="S143">
            <v>0</v>
          </cell>
          <cell r="T143" t="str">
            <v>Y</v>
          </cell>
          <cell r="V143" t="str">
            <v>DP</v>
          </cell>
          <cell r="W143" t="str">
            <v>TE</v>
          </cell>
          <cell r="X143" t="str">
            <v>6/16-PO2-A4</v>
          </cell>
        </row>
        <row r="144">
          <cell r="A144" t="str">
            <v>PO2-B6-43267</v>
          </cell>
          <cell r="B144" t="str">
            <v>6/16-PO2-B6</v>
          </cell>
          <cell r="C144">
            <v>43267</v>
          </cell>
          <cell r="D144" t="str">
            <v>PO2</v>
          </cell>
          <cell r="E144" t="str">
            <v>B6</v>
          </cell>
          <cell r="F144">
            <v>43268</v>
          </cell>
          <cell r="G144" t="str">
            <v>JB</v>
          </cell>
          <cell r="H144">
            <v>0</v>
          </cell>
          <cell r="I144">
            <v>326</v>
          </cell>
          <cell r="J144">
            <v>18</v>
          </cell>
          <cell r="K144">
            <v>344</v>
          </cell>
          <cell r="L144">
            <v>1</v>
          </cell>
          <cell r="M144">
            <v>0</v>
          </cell>
          <cell r="N144">
            <v>0</v>
          </cell>
          <cell r="O144">
            <v>0</v>
          </cell>
          <cell r="P144">
            <v>0</v>
          </cell>
          <cell r="Q144">
            <v>0</v>
          </cell>
          <cell r="R144">
            <v>0</v>
          </cell>
          <cell r="S144">
            <v>1</v>
          </cell>
          <cell r="T144" t="str">
            <v>Y</v>
          </cell>
          <cell r="V144" t="str">
            <v>JB</v>
          </cell>
          <cell r="W144" t="str">
            <v>LV</v>
          </cell>
          <cell r="X144" t="str">
            <v>6/16-PO2-B6</v>
          </cell>
        </row>
        <row r="145">
          <cell r="A145" t="str">
            <v>PO2-F1-43267</v>
          </cell>
          <cell r="B145" t="str">
            <v>6/16-PO2-F1</v>
          </cell>
          <cell r="C145">
            <v>43267</v>
          </cell>
          <cell r="D145" t="str">
            <v>PO2</v>
          </cell>
          <cell r="E145" t="str">
            <v>F1</v>
          </cell>
          <cell r="F145">
            <v>43268</v>
          </cell>
          <cell r="G145" t="str">
            <v>DP</v>
          </cell>
          <cell r="H145">
            <v>0</v>
          </cell>
          <cell r="I145">
            <v>74</v>
          </cell>
          <cell r="J145">
            <v>4</v>
          </cell>
          <cell r="K145">
            <v>78</v>
          </cell>
          <cell r="L145">
            <v>0</v>
          </cell>
          <cell r="M145">
            <v>0</v>
          </cell>
          <cell r="N145">
            <v>0</v>
          </cell>
          <cell r="O145">
            <v>0</v>
          </cell>
          <cell r="P145">
            <v>0</v>
          </cell>
          <cell r="Q145">
            <v>0</v>
          </cell>
          <cell r="R145">
            <v>0</v>
          </cell>
          <cell r="S145">
            <v>0</v>
          </cell>
          <cell r="T145" t="str">
            <v>Y</v>
          </cell>
          <cell r="V145" t="str">
            <v>DP</v>
          </cell>
          <cell r="W145" t="str">
            <v>TE</v>
          </cell>
          <cell r="X145" t="str">
            <v>6/16-PO2-F1</v>
          </cell>
        </row>
        <row r="146">
          <cell r="A146" t="str">
            <v>PO2-F8-43267</v>
          </cell>
          <cell r="B146" t="str">
            <v>6/16-PO2-F8</v>
          </cell>
          <cell r="C146">
            <v>43267</v>
          </cell>
          <cell r="D146" t="str">
            <v>PO2</v>
          </cell>
          <cell r="E146" t="str">
            <v>F8</v>
          </cell>
          <cell r="F146">
            <v>43268</v>
          </cell>
          <cell r="G146" t="str">
            <v>IS</v>
          </cell>
          <cell r="H146">
            <v>0</v>
          </cell>
          <cell r="I146">
            <v>0</v>
          </cell>
          <cell r="J146">
            <v>0</v>
          </cell>
          <cell r="K146">
            <v>0</v>
          </cell>
          <cell r="L146">
            <v>0</v>
          </cell>
          <cell r="M146">
            <v>0</v>
          </cell>
          <cell r="N146">
            <v>1</v>
          </cell>
          <cell r="O146">
            <v>0</v>
          </cell>
          <cell r="P146">
            <v>0</v>
          </cell>
          <cell r="Q146">
            <v>0</v>
          </cell>
          <cell r="R146">
            <v>0</v>
          </cell>
          <cell r="S146">
            <v>1</v>
          </cell>
          <cell r="T146" t="str">
            <v>Y</v>
          </cell>
          <cell r="V146" t="str">
            <v>IS</v>
          </cell>
          <cell r="W146" t="str">
            <v>TE</v>
          </cell>
          <cell r="X146" t="str">
            <v>6/16-PO2-F8</v>
          </cell>
        </row>
        <row r="147">
          <cell r="A147" t="str">
            <v>PO2-H4-43267</v>
          </cell>
          <cell r="B147" t="str">
            <v>6/16-PO2-H4</v>
          </cell>
          <cell r="C147">
            <v>43267</v>
          </cell>
          <cell r="D147" t="str">
            <v>PO2</v>
          </cell>
          <cell r="E147" t="str">
            <v>H4</v>
          </cell>
          <cell r="F147">
            <v>43268</v>
          </cell>
          <cell r="G147" t="str">
            <v>JB</v>
          </cell>
          <cell r="H147">
            <v>0</v>
          </cell>
          <cell r="I147">
            <v>0</v>
          </cell>
          <cell r="J147">
            <v>0</v>
          </cell>
          <cell r="K147">
            <v>0</v>
          </cell>
          <cell r="L147">
            <v>0</v>
          </cell>
          <cell r="M147">
            <v>0</v>
          </cell>
          <cell r="N147">
            <v>0</v>
          </cell>
          <cell r="O147">
            <v>0</v>
          </cell>
          <cell r="P147">
            <v>0</v>
          </cell>
          <cell r="Q147">
            <v>0</v>
          </cell>
          <cell r="R147">
            <v>0</v>
          </cell>
          <cell r="S147">
            <v>0</v>
          </cell>
          <cell r="T147" t="str">
            <v>Y</v>
          </cell>
          <cell r="V147" t="str">
            <v>JB</v>
          </cell>
          <cell r="W147" t="str">
            <v>LV</v>
          </cell>
          <cell r="X147" t="str">
            <v>6/16-PO2-H4</v>
          </cell>
        </row>
        <row r="148">
          <cell r="A148" t="str">
            <v>PO1-A4-43268</v>
          </cell>
          <cell r="B148" t="str">
            <v>6/17-PO1-A4</v>
          </cell>
          <cell r="C148">
            <v>43268</v>
          </cell>
          <cell r="D148" t="str">
            <v>PO1</v>
          </cell>
          <cell r="E148" t="str">
            <v>A4</v>
          </cell>
          <cell r="F148">
            <v>43269</v>
          </cell>
          <cell r="G148" t="str">
            <v>LV</v>
          </cell>
          <cell r="H148">
            <v>212</v>
          </cell>
          <cell r="I148">
            <v>22468</v>
          </cell>
          <cell r="J148">
            <v>144</v>
          </cell>
          <cell r="K148">
            <v>22824</v>
          </cell>
          <cell r="L148">
            <v>0</v>
          </cell>
          <cell r="M148">
            <v>0</v>
          </cell>
          <cell r="N148">
            <v>1</v>
          </cell>
          <cell r="O148">
            <v>0</v>
          </cell>
          <cell r="P148">
            <v>0</v>
          </cell>
          <cell r="Q148">
            <v>0</v>
          </cell>
          <cell r="R148">
            <v>1</v>
          </cell>
          <cell r="S148">
            <v>1</v>
          </cell>
          <cell r="T148" t="str">
            <v>N</v>
          </cell>
          <cell r="U148" t="str">
            <v>counted 1/4 on 40X, full slide on 10X</v>
          </cell>
          <cell r="V148" t="str">
            <v>LV</v>
          </cell>
          <cell r="W148" t="str">
            <v>JB</v>
          </cell>
          <cell r="X148" t="str">
            <v>6/17-PO1-A4</v>
          </cell>
        </row>
        <row r="149">
          <cell r="A149" t="str">
            <v>PO1-H2-43268</v>
          </cell>
          <cell r="B149" t="str">
            <v>6/17-PO1-H2</v>
          </cell>
          <cell r="C149">
            <v>43268</v>
          </cell>
          <cell r="D149" t="str">
            <v>PO1</v>
          </cell>
          <cell r="E149" t="str">
            <v>H2</v>
          </cell>
          <cell r="F149">
            <v>43269</v>
          </cell>
          <cell r="G149" t="str">
            <v>JB</v>
          </cell>
          <cell r="H149">
            <v>0</v>
          </cell>
          <cell r="I149">
            <v>28</v>
          </cell>
          <cell r="J149">
            <v>4</v>
          </cell>
          <cell r="K149">
            <v>32</v>
          </cell>
          <cell r="L149">
            <v>0</v>
          </cell>
          <cell r="M149">
            <v>0</v>
          </cell>
          <cell r="N149">
            <v>0</v>
          </cell>
          <cell r="O149">
            <v>0</v>
          </cell>
          <cell r="P149">
            <v>0</v>
          </cell>
          <cell r="Q149">
            <v>0</v>
          </cell>
          <cell r="R149">
            <v>0</v>
          </cell>
          <cell r="S149">
            <v>0</v>
          </cell>
          <cell r="T149" t="str">
            <v>Y</v>
          </cell>
          <cell r="V149" t="str">
            <v>JB</v>
          </cell>
          <cell r="W149" t="str">
            <v>LV</v>
          </cell>
          <cell r="X149" t="str">
            <v>6/17-PO1-H2</v>
          </cell>
        </row>
        <row r="150">
          <cell r="A150" t="str">
            <v>PO1-H7-43268</v>
          </cell>
          <cell r="B150" t="str">
            <v>6/17-PO1-H7</v>
          </cell>
          <cell r="C150">
            <v>43268</v>
          </cell>
          <cell r="D150" t="str">
            <v>PO1</v>
          </cell>
          <cell r="E150" t="str">
            <v>H7</v>
          </cell>
          <cell r="F150">
            <v>43269</v>
          </cell>
          <cell r="G150" t="str">
            <v>TE</v>
          </cell>
          <cell r="H150">
            <v>0</v>
          </cell>
          <cell r="I150">
            <v>0</v>
          </cell>
          <cell r="J150">
            <v>0</v>
          </cell>
          <cell r="K150">
            <v>0</v>
          </cell>
          <cell r="L150">
            <v>0</v>
          </cell>
          <cell r="M150">
            <v>0</v>
          </cell>
          <cell r="N150">
            <v>0</v>
          </cell>
          <cell r="O150">
            <v>0</v>
          </cell>
          <cell r="P150">
            <v>0</v>
          </cell>
          <cell r="Q150">
            <v>0</v>
          </cell>
          <cell r="R150">
            <v>1</v>
          </cell>
          <cell r="S150">
            <v>0</v>
          </cell>
          <cell r="T150" t="str">
            <v>Y</v>
          </cell>
          <cell r="V150" t="str">
            <v>TE</v>
          </cell>
          <cell r="W150" t="str">
            <v>JB</v>
          </cell>
          <cell r="X150" t="str">
            <v>6/17-PO1-H7</v>
          </cell>
        </row>
        <row r="151">
          <cell r="A151" t="str">
            <v>PO2-A4-43268</v>
          </cell>
          <cell r="B151" t="str">
            <v>6/17-PO2-A4</v>
          </cell>
          <cell r="C151">
            <v>43268</v>
          </cell>
          <cell r="D151" t="str">
            <v>PO2</v>
          </cell>
          <cell r="E151" t="str">
            <v>A4</v>
          </cell>
          <cell r="F151">
            <v>43269</v>
          </cell>
          <cell r="G151" t="str">
            <v>JB</v>
          </cell>
          <cell r="H151">
            <v>0</v>
          </cell>
          <cell r="I151">
            <v>0</v>
          </cell>
          <cell r="J151">
            <v>0</v>
          </cell>
          <cell r="K151">
            <v>0</v>
          </cell>
          <cell r="L151">
            <v>0</v>
          </cell>
          <cell r="M151">
            <v>0</v>
          </cell>
          <cell r="N151">
            <v>0</v>
          </cell>
          <cell r="O151">
            <v>0</v>
          </cell>
          <cell r="P151">
            <v>0</v>
          </cell>
          <cell r="Q151">
            <v>0</v>
          </cell>
          <cell r="R151">
            <v>0</v>
          </cell>
          <cell r="S151">
            <v>0</v>
          </cell>
          <cell r="T151" t="str">
            <v>Y</v>
          </cell>
          <cell r="V151" t="str">
            <v>JB</v>
          </cell>
          <cell r="W151" t="str">
            <v>LV</v>
          </cell>
          <cell r="X151" t="str">
            <v>6/17-PO2-A4</v>
          </cell>
        </row>
        <row r="152">
          <cell r="A152" t="str">
            <v>SP1-B8-43269</v>
          </cell>
          <cell r="B152" t="str">
            <v>6/18-SP1-B8</v>
          </cell>
          <cell r="C152">
            <v>43269</v>
          </cell>
          <cell r="D152" t="str">
            <v>SP1</v>
          </cell>
          <cell r="E152" t="str">
            <v>B8</v>
          </cell>
          <cell r="F152">
            <v>43271</v>
          </cell>
          <cell r="G152" t="str">
            <v>DP</v>
          </cell>
          <cell r="H152">
            <v>0</v>
          </cell>
          <cell r="I152">
            <v>0</v>
          </cell>
          <cell r="J152">
            <v>0</v>
          </cell>
          <cell r="K152">
            <v>0</v>
          </cell>
          <cell r="L152">
            <v>0</v>
          </cell>
          <cell r="M152">
            <v>19</v>
          </cell>
          <cell r="N152">
            <v>1</v>
          </cell>
          <cell r="O152">
            <v>0</v>
          </cell>
          <cell r="P152">
            <v>0</v>
          </cell>
          <cell r="Q152">
            <v>0</v>
          </cell>
          <cell r="R152">
            <v>0</v>
          </cell>
          <cell r="S152">
            <v>20</v>
          </cell>
          <cell r="T152" t="str">
            <v>Y</v>
          </cell>
          <cell r="V152" t="str">
            <v>DP</v>
          </cell>
          <cell r="W152" t="str">
            <v>TE</v>
          </cell>
          <cell r="X152" t="str">
            <v>6/18-SP1-B8</v>
          </cell>
        </row>
        <row r="153">
          <cell r="A153" t="str">
            <v>SP1-G1-43269</v>
          </cell>
          <cell r="B153" t="str">
            <v>6/18-SP1-G1</v>
          </cell>
          <cell r="C153">
            <v>43269</v>
          </cell>
          <cell r="D153" t="str">
            <v>SP1</v>
          </cell>
          <cell r="E153" t="str">
            <v>G1</v>
          </cell>
          <cell r="F153">
            <v>43270</v>
          </cell>
          <cell r="G153" t="str">
            <v>LV</v>
          </cell>
          <cell r="H153">
            <v>0</v>
          </cell>
          <cell r="I153">
            <v>221</v>
          </cell>
          <cell r="J153">
            <v>0</v>
          </cell>
          <cell r="K153">
            <v>221</v>
          </cell>
          <cell r="L153">
            <v>0</v>
          </cell>
          <cell r="M153">
            <v>0</v>
          </cell>
          <cell r="N153">
            <v>0</v>
          </cell>
          <cell r="O153">
            <v>0</v>
          </cell>
          <cell r="P153">
            <v>0</v>
          </cell>
          <cell r="Q153">
            <v>0</v>
          </cell>
          <cell r="R153">
            <v>0</v>
          </cell>
          <cell r="S153">
            <v>0</v>
          </cell>
          <cell r="T153" t="str">
            <v>Y</v>
          </cell>
          <cell r="V153" t="str">
            <v>LV</v>
          </cell>
          <cell r="W153" t="str">
            <v>JB</v>
          </cell>
          <cell r="X153" t="str">
            <v>6/18-SP1-G1</v>
          </cell>
        </row>
        <row r="154">
          <cell r="A154" t="str">
            <v>SP1-G7-43269</v>
          </cell>
          <cell r="B154" t="str">
            <v>6/18-SP1-G7</v>
          </cell>
          <cell r="C154">
            <v>43269</v>
          </cell>
          <cell r="D154" t="str">
            <v>SP1</v>
          </cell>
          <cell r="E154" t="str">
            <v>G7</v>
          </cell>
          <cell r="F154">
            <v>43270</v>
          </cell>
          <cell r="G154" t="str">
            <v>LV</v>
          </cell>
          <cell r="H154">
            <v>0</v>
          </cell>
          <cell r="I154">
            <v>76</v>
          </cell>
          <cell r="J154">
            <v>2</v>
          </cell>
          <cell r="K154">
            <v>78</v>
          </cell>
          <cell r="L154">
            <v>0</v>
          </cell>
          <cell r="M154">
            <v>0</v>
          </cell>
          <cell r="N154">
            <v>0</v>
          </cell>
          <cell r="O154">
            <v>0</v>
          </cell>
          <cell r="P154">
            <v>0</v>
          </cell>
          <cell r="Q154">
            <v>0</v>
          </cell>
          <cell r="R154">
            <v>0</v>
          </cell>
          <cell r="S154">
            <v>0</v>
          </cell>
          <cell r="T154" t="str">
            <v>N</v>
          </cell>
          <cell r="U154" t="str">
            <v>counted entire slide on 40x and 10x</v>
          </cell>
          <cell r="V154" t="str">
            <v>LV</v>
          </cell>
          <cell r="W154" t="str">
            <v>JB</v>
          </cell>
          <cell r="X154" t="str">
            <v>6/18-SP1-G7</v>
          </cell>
        </row>
        <row r="155">
          <cell r="A155" t="str">
            <v>SP1-G8-43269</v>
          </cell>
          <cell r="B155" t="str">
            <v>6/18-SP1-G8</v>
          </cell>
          <cell r="C155">
            <v>43269</v>
          </cell>
          <cell r="D155" t="str">
            <v>SP1</v>
          </cell>
          <cell r="E155" t="str">
            <v>G8</v>
          </cell>
          <cell r="F155">
            <v>43270</v>
          </cell>
          <cell r="G155" t="str">
            <v>LV</v>
          </cell>
          <cell r="H155">
            <v>1</v>
          </cell>
          <cell r="I155">
            <v>1</v>
          </cell>
          <cell r="J155">
            <v>0</v>
          </cell>
          <cell r="K155">
            <v>2</v>
          </cell>
          <cell r="L155">
            <v>0</v>
          </cell>
          <cell r="M155">
            <v>0</v>
          </cell>
          <cell r="N155">
            <v>36</v>
          </cell>
          <cell r="O155">
            <v>0</v>
          </cell>
          <cell r="P155">
            <v>0</v>
          </cell>
          <cell r="Q155">
            <v>0</v>
          </cell>
          <cell r="R155">
            <v>0</v>
          </cell>
          <cell r="S155">
            <v>36</v>
          </cell>
          <cell r="T155" t="str">
            <v>Y</v>
          </cell>
          <cell r="V155" t="str">
            <v>LV</v>
          </cell>
          <cell r="W155" t="str">
            <v>JB</v>
          </cell>
          <cell r="X155" t="str">
            <v>6/18-SP1-G8</v>
          </cell>
        </row>
        <row r="156">
          <cell r="A156" t="str">
            <v>SP1-H3-43269</v>
          </cell>
          <cell r="B156" t="str">
            <v>6/18-SP1-H3</v>
          </cell>
          <cell r="C156">
            <v>43269</v>
          </cell>
          <cell r="D156" t="str">
            <v>SP1</v>
          </cell>
          <cell r="E156" t="str">
            <v>H3</v>
          </cell>
          <cell r="F156">
            <v>43270</v>
          </cell>
          <cell r="G156" t="str">
            <v>JB</v>
          </cell>
          <cell r="H156">
            <v>0</v>
          </cell>
          <cell r="I156">
            <v>0</v>
          </cell>
          <cell r="J156">
            <v>0</v>
          </cell>
          <cell r="K156">
            <v>0</v>
          </cell>
          <cell r="L156">
            <v>0</v>
          </cell>
          <cell r="M156">
            <v>0</v>
          </cell>
          <cell r="N156">
            <v>0</v>
          </cell>
          <cell r="O156">
            <v>0</v>
          </cell>
          <cell r="P156">
            <v>0</v>
          </cell>
          <cell r="Q156">
            <v>118</v>
          </cell>
          <cell r="R156">
            <v>0</v>
          </cell>
          <cell r="S156">
            <v>0</v>
          </cell>
          <cell r="T156" t="str">
            <v>Y</v>
          </cell>
          <cell r="V156" t="str">
            <v>JB</v>
          </cell>
          <cell r="W156" t="str">
            <v>LV</v>
          </cell>
          <cell r="X156" t="str">
            <v>6/18-SP1-H3</v>
          </cell>
        </row>
        <row r="157">
          <cell r="A157" t="str">
            <v>SP1-H4-43269</v>
          </cell>
          <cell r="B157" t="str">
            <v>6/18-SP1-H4</v>
          </cell>
          <cell r="C157">
            <v>43269</v>
          </cell>
          <cell r="D157" t="str">
            <v>SP1</v>
          </cell>
          <cell r="E157" t="str">
            <v>H4</v>
          </cell>
          <cell r="F157">
            <v>43270</v>
          </cell>
          <cell r="G157" t="str">
            <v>TE</v>
          </cell>
          <cell r="H157">
            <v>74</v>
          </cell>
          <cell r="I157">
            <v>2</v>
          </cell>
          <cell r="J157">
            <v>4</v>
          </cell>
          <cell r="K157">
            <v>80</v>
          </cell>
          <cell r="L157">
            <v>0</v>
          </cell>
          <cell r="M157">
            <v>0</v>
          </cell>
          <cell r="N157">
            <v>27</v>
          </cell>
          <cell r="O157">
            <v>0</v>
          </cell>
          <cell r="P157">
            <v>0</v>
          </cell>
          <cell r="Q157">
            <v>0</v>
          </cell>
          <cell r="R157">
            <v>0</v>
          </cell>
          <cell r="S157">
            <v>27</v>
          </cell>
          <cell r="T157" t="str">
            <v>Y</v>
          </cell>
          <cell r="V157" t="str">
            <v>TE</v>
          </cell>
          <cell r="W157" t="str">
            <v>JB</v>
          </cell>
          <cell r="X157" t="str">
            <v>6/18-SP1-H4</v>
          </cell>
        </row>
        <row r="158">
          <cell r="A158" t="str">
            <v>SP2-A8-43269</v>
          </cell>
          <cell r="B158" t="str">
            <v>6/18-SP2-A8</v>
          </cell>
          <cell r="C158">
            <v>43269</v>
          </cell>
          <cell r="D158" t="str">
            <v>SP2</v>
          </cell>
          <cell r="E158" t="str">
            <v>A8</v>
          </cell>
          <cell r="F158">
            <v>43271</v>
          </cell>
          <cell r="G158" t="str">
            <v>JB</v>
          </cell>
          <cell r="H158">
            <v>0</v>
          </cell>
          <cell r="I158">
            <v>0</v>
          </cell>
          <cell r="J158">
            <v>0</v>
          </cell>
          <cell r="K158">
            <v>0</v>
          </cell>
          <cell r="L158">
            <v>0</v>
          </cell>
          <cell r="M158">
            <v>0</v>
          </cell>
          <cell r="N158">
            <v>2</v>
          </cell>
          <cell r="O158">
            <v>0</v>
          </cell>
          <cell r="P158">
            <v>0</v>
          </cell>
          <cell r="Q158">
            <v>0</v>
          </cell>
          <cell r="R158">
            <v>0</v>
          </cell>
          <cell r="S158">
            <v>2</v>
          </cell>
          <cell r="T158" t="str">
            <v>Y</v>
          </cell>
          <cell r="V158" t="str">
            <v>JB</v>
          </cell>
          <cell r="W158" t="str">
            <v>TE</v>
          </cell>
          <cell r="X158" t="str">
            <v>6/18-SP2-A8</v>
          </cell>
        </row>
        <row r="159">
          <cell r="A159" t="str">
            <v>SP2-B5-43269</v>
          </cell>
          <cell r="B159" t="str">
            <v>6/18-SP2-B5</v>
          </cell>
          <cell r="C159">
            <v>43269</v>
          </cell>
          <cell r="D159" t="str">
            <v>SP2</v>
          </cell>
          <cell r="E159" t="str">
            <v>B5</v>
          </cell>
          <cell r="F159">
            <v>43270</v>
          </cell>
          <cell r="G159" t="str">
            <v>DP</v>
          </cell>
          <cell r="H159">
            <v>4</v>
          </cell>
          <cell r="I159">
            <v>236</v>
          </cell>
          <cell r="J159">
            <v>2</v>
          </cell>
          <cell r="K159">
            <v>242</v>
          </cell>
          <cell r="L159">
            <v>0</v>
          </cell>
          <cell r="M159">
            <v>0</v>
          </cell>
          <cell r="N159">
            <v>0</v>
          </cell>
          <cell r="O159">
            <v>0</v>
          </cell>
          <cell r="P159">
            <v>0</v>
          </cell>
          <cell r="Q159">
            <v>0</v>
          </cell>
          <cell r="R159">
            <v>0</v>
          </cell>
          <cell r="S159">
            <v>0</v>
          </cell>
          <cell r="T159" t="str">
            <v>Y</v>
          </cell>
          <cell r="V159" t="str">
            <v>DP</v>
          </cell>
          <cell r="W159" t="str">
            <v>TE</v>
          </cell>
          <cell r="X159" t="str">
            <v>6/18-SP2-B5</v>
          </cell>
        </row>
        <row r="160">
          <cell r="A160" t="str">
            <v>SP2-C8-43269</v>
          </cell>
          <cell r="B160" t="str">
            <v>6/18-SP2-C8</v>
          </cell>
          <cell r="C160">
            <v>43269</v>
          </cell>
          <cell r="D160" t="str">
            <v>SP2</v>
          </cell>
          <cell r="E160" t="str">
            <v>C8</v>
          </cell>
          <cell r="F160">
            <v>43271</v>
          </cell>
          <cell r="G160" t="str">
            <v>IS</v>
          </cell>
          <cell r="H160">
            <v>2</v>
          </cell>
          <cell r="I160">
            <v>6</v>
          </cell>
          <cell r="J160">
            <v>0</v>
          </cell>
          <cell r="K160">
            <v>8</v>
          </cell>
          <cell r="L160">
            <v>0</v>
          </cell>
          <cell r="M160">
            <v>0</v>
          </cell>
          <cell r="N160">
            <v>0</v>
          </cell>
          <cell r="O160">
            <v>0</v>
          </cell>
          <cell r="P160">
            <v>0</v>
          </cell>
          <cell r="Q160">
            <v>0</v>
          </cell>
          <cell r="R160">
            <v>0</v>
          </cell>
          <cell r="S160">
            <v>0</v>
          </cell>
          <cell r="T160" t="str">
            <v>Y</v>
          </cell>
          <cell r="V160" t="str">
            <v>IS</v>
          </cell>
          <cell r="W160" t="str">
            <v>TE</v>
          </cell>
          <cell r="X160" t="str">
            <v>6/18-SP2-C8</v>
          </cell>
        </row>
        <row r="161">
          <cell r="A161" t="str">
            <v>SP2-F4-43269</v>
          </cell>
          <cell r="B161" t="str">
            <v>6/18-SP2-F4</v>
          </cell>
          <cell r="C161">
            <v>43269</v>
          </cell>
          <cell r="D161" t="str">
            <v>SP2</v>
          </cell>
          <cell r="E161" t="str">
            <v>F4</v>
          </cell>
          <cell r="F161">
            <v>43270</v>
          </cell>
          <cell r="G161" t="str">
            <v>DP</v>
          </cell>
          <cell r="H161">
            <v>134</v>
          </cell>
          <cell r="I161">
            <v>0</v>
          </cell>
          <cell r="J161">
            <v>0</v>
          </cell>
          <cell r="K161">
            <v>134</v>
          </cell>
          <cell r="L161">
            <v>0</v>
          </cell>
          <cell r="M161">
            <v>0</v>
          </cell>
          <cell r="N161">
            <v>0</v>
          </cell>
          <cell r="O161">
            <v>0</v>
          </cell>
          <cell r="P161">
            <v>0</v>
          </cell>
          <cell r="Q161">
            <v>0</v>
          </cell>
          <cell r="R161">
            <v>0</v>
          </cell>
          <cell r="S161">
            <v>0</v>
          </cell>
          <cell r="T161" t="str">
            <v>Y</v>
          </cell>
          <cell r="U161" t="str">
            <v>50/67E.del sporelated, 17/67E.del nonsporelated (67x2=134)</v>
          </cell>
          <cell r="V161" t="str">
            <v>DP</v>
          </cell>
          <cell r="W161" t="str">
            <v>TE</v>
          </cell>
          <cell r="X161" t="str">
            <v>6/18-SP2-F4</v>
          </cell>
        </row>
        <row r="162">
          <cell r="A162" t="str">
            <v>SP2-G7-43269</v>
          </cell>
          <cell r="B162" t="str">
            <v>6/18-SP2-G7</v>
          </cell>
          <cell r="C162">
            <v>43269</v>
          </cell>
          <cell r="D162" t="str">
            <v>SP2</v>
          </cell>
          <cell r="E162" t="str">
            <v>G7</v>
          </cell>
          <cell r="F162">
            <v>43271</v>
          </cell>
          <cell r="G162" t="str">
            <v>LV</v>
          </cell>
          <cell r="H162">
            <v>0</v>
          </cell>
          <cell r="I162">
            <v>0</v>
          </cell>
          <cell r="J162">
            <v>0</v>
          </cell>
          <cell r="K162">
            <v>0</v>
          </cell>
          <cell r="L162">
            <v>0</v>
          </cell>
          <cell r="M162">
            <v>0</v>
          </cell>
          <cell r="N162">
            <v>0</v>
          </cell>
          <cell r="O162">
            <v>0</v>
          </cell>
          <cell r="P162">
            <v>0</v>
          </cell>
          <cell r="Q162">
            <v>0</v>
          </cell>
          <cell r="R162">
            <v>0</v>
          </cell>
          <cell r="S162">
            <v>0</v>
          </cell>
          <cell r="V162" t="str">
            <v>LV</v>
          </cell>
          <cell r="W162" t="str">
            <v>TE</v>
          </cell>
          <cell r="X162" t="str">
            <v>6/18-SP2-G7</v>
          </cell>
        </row>
        <row r="163">
          <cell r="A163" t="str">
            <v>SP2-H5-43269</v>
          </cell>
          <cell r="B163" t="str">
            <v>6/18-SP2-H5</v>
          </cell>
          <cell r="C163">
            <v>43269</v>
          </cell>
          <cell r="D163" t="str">
            <v>SP2</v>
          </cell>
          <cell r="E163" t="str">
            <v>H5</v>
          </cell>
          <cell r="F163">
            <v>43270</v>
          </cell>
          <cell r="G163" t="str">
            <v>LV</v>
          </cell>
          <cell r="H163">
            <v>0</v>
          </cell>
          <cell r="I163">
            <v>0</v>
          </cell>
          <cell r="J163">
            <v>0</v>
          </cell>
          <cell r="K163">
            <v>0</v>
          </cell>
          <cell r="L163">
            <v>0</v>
          </cell>
          <cell r="M163">
            <v>0</v>
          </cell>
          <cell r="N163">
            <v>0</v>
          </cell>
          <cell r="O163">
            <v>0</v>
          </cell>
          <cell r="P163">
            <v>0</v>
          </cell>
          <cell r="Q163">
            <v>140</v>
          </cell>
          <cell r="R163">
            <v>0</v>
          </cell>
          <cell r="S163">
            <v>0</v>
          </cell>
          <cell r="T163" t="str">
            <v>Y</v>
          </cell>
          <cell r="V163" t="str">
            <v>LV</v>
          </cell>
          <cell r="W163" t="str">
            <v>JB</v>
          </cell>
          <cell r="X163" t="str">
            <v>6/18-SP2-H5</v>
          </cell>
        </row>
        <row r="164">
          <cell r="A164" t="str">
            <v>SP2-H7-43269</v>
          </cell>
          <cell r="B164" t="str">
            <v>6/18-SP2-H7</v>
          </cell>
          <cell r="C164">
            <v>43269</v>
          </cell>
          <cell r="D164" t="str">
            <v>SP2</v>
          </cell>
          <cell r="E164" t="str">
            <v>H7</v>
          </cell>
          <cell r="F164">
            <v>43270</v>
          </cell>
          <cell r="G164" t="str">
            <v>TE</v>
          </cell>
          <cell r="H164">
            <v>0</v>
          </cell>
          <cell r="I164">
            <v>0</v>
          </cell>
          <cell r="J164">
            <v>0</v>
          </cell>
          <cell r="K164">
            <v>0</v>
          </cell>
          <cell r="L164">
            <v>0</v>
          </cell>
          <cell r="M164">
            <v>0</v>
          </cell>
          <cell r="N164">
            <v>0</v>
          </cell>
          <cell r="O164">
            <v>0</v>
          </cell>
          <cell r="P164">
            <v>0</v>
          </cell>
          <cell r="Q164">
            <v>0</v>
          </cell>
          <cell r="R164">
            <v>0</v>
          </cell>
          <cell r="S164">
            <v>0</v>
          </cell>
          <cell r="T164" t="str">
            <v>Y</v>
          </cell>
          <cell r="V164" t="str">
            <v>TE</v>
          </cell>
          <cell r="W164" t="str">
            <v>JB</v>
          </cell>
          <cell r="X164" t="str">
            <v>6/18-SP2-H7</v>
          </cell>
        </row>
        <row r="165">
          <cell r="A165" t="str">
            <v>SP2-H2-43269.6179976852</v>
          </cell>
          <cell r="B165" t="str">
            <v>6/18-SP2-H2</v>
          </cell>
          <cell r="C165">
            <v>43269.617997685185</v>
          </cell>
          <cell r="D165" t="str">
            <v>SP2</v>
          </cell>
          <cell r="E165" t="str">
            <v>H2</v>
          </cell>
          <cell r="F165">
            <v>43270</v>
          </cell>
          <cell r="G165" t="str">
            <v>JB</v>
          </cell>
          <cell r="H165">
            <v>0</v>
          </cell>
          <cell r="I165">
            <v>0</v>
          </cell>
          <cell r="J165">
            <v>0</v>
          </cell>
          <cell r="K165">
            <v>0</v>
          </cell>
          <cell r="L165">
            <v>0</v>
          </cell>
          <cell r="M165">
            <v>0</v>
          </cell>
          <cell r="N165">
            <v>0</v>
          </cell>
          <cell r="O165">
            <v>0</v>
          </cell>
          <cell r="P165">
            <v>0</v>
          </cell>
          <cell r="Q165">
            <v>9</v>
          </cell>
          <cell r="R165">
            <v>0</v>
          </cell>
          <cell r="S165">
            <v>0</v>
          </cell>
          <cell r="T165" t="str">
            <v>Y</v>
          </cell>
          <cell r="V165" t="str">
            <v>JB</v>
          </cell>
          <cell r="W165" t="str">
            <v>LV</v>
          </cell>
          <cell r="X165" t="str">
            <v>6/18-SP2-H2</v>
          </cell>
        </row>
        <row r="166">
          <cell r="A166" t="str">
            <v>SP1-B1-43270</v>
          </cell>
          <cell r="B166" t="str">
            <v>6/19-SP1-B1</v>
          </cell>
          <cell r="C166">
            <v>43270</v>
          </cell>
          <cell r="D166" t="str">
            <v>SP1</v>
          </cell>
          <cell r="E166" t="str">
            <v>B1</v>
          </cell>
          <cell r="F166">
            <v>43271</v>
          </cell>
          <cell r="G166" t="str">
            <v>JB</v>
          </cell>
          <cell r="H166">
            <v>0</v>
          </cell>
          <cell r="I166">
            <v>0</v>
          </cell>
          <cell r="J166">
            <v>0</v>
          </cell>
          <cell r="K166">
            <v>0</v>
          </cell>
          <cell r="L166">
            <v>0</v>
          </cell>
          <cell r="M166">
            <v>0</v>
          </cell>
          <cell r="N166">
            <v>0</v>
          </cell>
          <cell r="O166">
            <v>0</v>
          </cell>
          <cell r="P166">
            <v>0</v>
          </cell>
          <cell r="Q166">
            <v>0</v>
          </cell>
          <cell r="R166">
            <v>0</v>
          </cell>
          <cell r="S166">
            <v>0</v>
          </cell>
          <cell r="T166" t="str">
            <v>Y</v>
          </cell>
          <cell r="V166" t="str">
            <v>JB</v>
          </cell>
          <cell r="W166" t="str">
            <v>TE</v>
          </cell>
          <cell r="X166" t="str">
            <v>6/19-SP1-B1</v>
          </cell>
        </row>
        <row r="167">
          <cell r="A167" t="str">
            <v>SP1-C1-43270</v>
          </cell>
          <cell r="B167" t="str">
            <v>6/19-SP1-C1</v>
          </cell>
          <cell r="C167">
            <v>43270</v>
          </cell>
          <cell r="D167" t="str">
            <v>SP1</v>
          </cell>
          <cell r="E167" t="str">
            <v>C1</v>
          </cell>
          <cell r="F167">
            <v>43271</v>
          </cell>
          <cell r="G167" t="str">
            <v>LV</v>
          </cell>
          <cell r="H167">
            <v>0</v>
          </cell>
          <cell r="I167">
            <v>0</v>
          </cell>
          <cell r="J167">
            <v>0</v>
          </cell>
          <cell r="K167">
            <v>0</v>
          </cell>
          <cell r="L167">
            <v>0</v>
          </cell>
          <cell r="M167">
            <v>0</v>
          </cell>
          <cell r="N167">
            <v>0</v>
          </cell>
          <cell r="O167">
            <v>0</v>
          </cell>
          <cell r="P167">
            <v>0</v>
          </cell>
          <cell r="Q167">
            <v>0</v>
          </cell>
          <cell r="R167">
            <v>0</v>
          </cell>
          <cell r="S167">
            <v>0</v>
          </cell>
          <cell r="V167" t="str">
            <v>LV</v>
          </cell>
          <cell r="W167" t="str">
            <v>TE</v>
          </cell>
          <cell r="X167" t="str">
            <v>6/19-SP1-C1</v>
          </cell>
        </row>
        <row r="168">
          <cell r="A168" t="str">
            <v>SP1-F2-43270</v>
          </cell>
          <cell r="B168" t="str">
            <v>6/19-SP1-F2</v>
          </cell>
          <cell r="C168">
            <v>43270</v>
          </cell>
          <cell r="D168" t="str">
            <v>SP1</v>
          </cell>
          <cell r="E168" t="str">
            <v>F2</v>
          </cell>
          <cell r="F168">
            <v>43271</v>
          </cell>
          <cell r="G168" t="str">
            <v>DP</v>
          </cell>
          <cell r="H168">
            <v>0</v>
          </cell>
          <cell r="I168">
            <v>166</v>
          </cell>
          <cell r="J168">
            <v>0</v>
          </cell>
          <cell r="K168">
            <v>166</v>
          </cell>
          <cell r="L168">
            <v>0</v>
          </cell>
          <cell r="M168">
            <v>0</v>
          </cell>
          <cell r="N168">
            <v>0</v>
          </cell>
          <cell r="O168">
            <v>0</v>
          </cell>
          <cell r="P168">
            <v>0</v>
          </cell>
          <cell r="Q168">
            <v>0</v>
          </cell>
          <cell r="R168">
            <v>0</v>
          </cell>
          <cell r="S168">
            <v>0</v>
          </cell>
          <cell r="T168" t="str">
            <v>Y</v>
          </cell>
          <cell r="V168" t="str">
            <v>DP</v>
          </cell>
          <cell r="W168" t="str">
            <v>TE</v>
          </cell>
          <cell r="X168" t="str">
            <v>6/19-SP1-F2</v>
          </cell>
        </row>
        <row r="169">
          <cell r="A169" t="str">
            <v>SP2-B3-43270</v>
          </cell>
          <cell r="B169" t="str">
            <v>6/19-SP2-B3</v>
          </cell>
          <cell r="C169">
            <v>43270</v>
          </cell>
          <cell r="D169" t="str">
            <v>SP2</v>
          </cell>
          <cell r="E169" t="str">
            <v>B3</v>
          </cell>
          <cell r="F169">
            <v>43271</v>
          </cell>
          <cell r="G169" t="str">
            <v>TE</v>
          </cell>
          <cell r="H169">
            <v>0</v>
          </cell>
          <cell r="I169">
            <v>0</v>
          </cell>
          <cell r="J169">
            <v>0</v>
          </cell>
          <cell r="K169">
            <v>0</v>
          </cell>
          <cell r="L169">
            <v>0</v>
          </cell>
          <cell r="M169">
            <v>0</v>
          </cell>
          <cell r="N169">
            <v>0</v>
          </cell>
          <cell r="O169">
            <v>0</v>
          </cell>
          <cell r="P169">
            <v>0</v>
          </cell>
          <cell r="Q169">
            <v>0</v>
          </cell>
          <cell r="R169">
            <v>1</v>
          </cell>
          <cell r="S169">
            <v>0</v>
          </cell>
          <cell r="T169" t="str">
            <v>Y</v>
          </cell>
          <cell r="V169" t="str">
            <v>TE</v>
          </cell>
          <cell r="W169" t="str">
            <v>JB</v>
          </cell>
          <cell r="X169" t="str">
            <v>6/19-SP2-B3</v>
          </cell>
        </row>
        <row r="170">
          <cell r="A170" t="str">
            <v>SP2-G1-43270</v>
          </cell>
          <cell r="B170" t="str">
            <v>6/19-SP2-G1</v>
          </cell>
          <cell r="C170">
            <v>43270</v>
          </cell>
          <cell r="D170" t="str">
            <v>SP2</v>
          </cell>
          <cell r="E170" t="str">
            <v>G1</v>
          </cell>
          <cell r="F170">
            <v>43274</v>
          </cell>
          <cell r="G170" t="str">
            <v>DP</v>
          </cell>
          <cell r="H170">
            <v>28</v>
          </cell>
          <cell r="I170">
            <v>390</v>
          </cell>
          <cell r="K170">
            <v>418</v>
          </cell>
          <cell r="S170">
            <v>0</v>
          </cell>
          <cell r="T170" t="str">
            <v>Y</v>
          </cell>
          <cell r="V170" t="str">
            <v>DP</v>
          </cell>
          <cell r="W170" t="str">
            <v>JB</v>
          </cell>
          <cell r="X170" t="str">
            <v>6/19-SP2-G1</v>
          </cell>
        </row>
        <row r="171">
          <cell r="A171" t="str">
            <v>SP2-A8-43270</v>
          </cell>
          <cell r="B171" t="str">
            <v>6/19-SP2-A8</v>
          </cell>
          <cell r="C171">
            <v>43270</v>
          </cell>
          <cell r="D171" t="str">
            <v>SP2</v>
          </cell>
          <cell r="E171" t="str">
            <v>A8</v>
          </cell>
          <cell r="F171">
            <v>43271</v>
          </cell>
          <cell r="G171" t="str">
            <v>TE</v>
          </cell>
          <cell r="H171">
            <v>0</v>
          </cell>
          <cell r="I171">
            <v>0</v>
          </cell>
          <cell r="J171">
            <v>0</v>
          </cell>
          <cell r="K171">
            <v>0</v>
          </cell>
          <cell r="L171">
            <v>0</v>
          </cell>
          <cell r="M171">
            <v>0</v>
          </cell>
          <cell r="N171">
            <v>0</v>
          </cell>
          <cell r="O171">
            <v>0</v>
          </cell>
          <cell r="P171">
            <v>0</v>
          </cell>
          <cell r="Q171">
            <v>0</v>
          </cell>
          <cell r="R171">
            <v>1</v>
          </cell>
          <cell r="S171">
            <v>0</v>
          </cell>
          <cell r="T171" t="str">
            <v>Y</v>
          </cell>
          <cell r="V171" t="str">
            <v>TE</v>
          </cell>
          <cell r="W171" t="str">
            <v>JB</v>
          </cell>
          <cell r="X171" t="str">
            <v>6/19-SP2-A8</v>
          </cell>
        </row>
        <row r="172">
          <cell r="A172" t="str">
            <v>SP1-B7-43271</v>
          </cell>
          <cell r="B172" t="str">
            <v>6/20-SP1-B7</v>
          </cell>
          <cell r="C172">
            <v>43271</v>
          </cell>
          <cell r="D172" t="str">
            <v>SP1</v>
          </cell>
          <cell r="E172" t="str">
            <v>B7</v>
          </cell>
          <cell r="F172">
            <v>43274</v>
          </cell>
          <cell r="G172" t="str">
            <v>DP</v>
          </cell>
          <cell r="H172">
            <v>108</v>
          </cell>
          <cell r="I172">
            <v>2080</v>
          </cell>
          <cell r="J172">
            <v>6</v>
          </cell>
          <cell r="K172">
            <v>2194</v>
          </cell>
          <cell r="N172">
            <v>11</v>
          </cell>
          <cell r="S172">
            <v>11</v>
          </cell>
          <cell r="T172" t="str">
            <v>Y</v>
          </cell>
          <cell r="V172" t="str">
            <v>DP</v>
          </cell>
          <cell r="W172" t="str">
            <v>JB</v>
          </cell>
          <cell r="X172" t="str">
            <v>6/20-SP1-B7</v>
          </cell>
        </row>
        <row r="173">
          <cell r="A173" t="str">
            <v>SP1-D3-43271</v>
          </cell>
          <cell r="B173" t="str">
            <v>6/20-SP1-D3</v>
          </cell>
          <cell r="C173">
            <v>43271</v>
          </cell>
          <cell r="D173" t="str">
            <v>SP1</v>
          </cell>
          <cell r="E173" t="str">
            <v>D3</v>
          </cell>
          <cell r="F173">
            <v>43275</v>
          </cell>
          <cell r="G173" t="str">
            <v>TE</v>
          </cell>
          <cell r="H173">
            <v>42</v>
          </cell>
          <cell r="I173">
            <v>0</v>
          </cell>
          <cell r="J173">
            <v>716</v>
          </cell>
          <cell r="K173">
            <v>758</v>
          </cell>
          <cell r="L173">
            <v>0</v>
          </cell>
          <cell r="M173">
            <v>0</v>
          </cell>
          <cell r="N173">
            <v>0</v>
          </cell>
          <cell r="O173">
            <v>0</v>
          </cell>
          <cell r="P173">
            <v>0</v>
          </cell>
          <cell r="Q173">
            <v>0</v>
          </cell>
          <cell r="R173">
            <v>0</v>
          </cell>
          <cell r="S173">
            <v>0</v>
          </cell>
          <cell r="T173" t="str">
            <v>Y</v>
          </cell>
          <cell r="V173" t="str">
            <v>TE</v>
          </cell>
          <cell r="W173" t="str">
            <v>JB</v>
          </cell>
          <cell r="X173" t="str">
            <v>6/20-SP1-D3</v>
          </cell>
        </row>
        <row r="174">
          <cell r="A174" t="str">
            <v>BC1-A7-43274</v>
          </cell>
          <cell r="B174" t="str">
            <v>6/23-BC1-A7</v>
          </cell>
          <cell r="C174">
            <v>43274</v>
          </cell>
          <cell r="D174" t="str">
            <v>BC1</v>
          </cell>
          <cell r="E174" t="str">
            <v>A7</v>
          </cell>
          <cell r="F174">
            <v>43275</v>
          </cell>
          <cell r="G174" t="str">
            <v>DP</v>
          </cell>
          <cell r="I174">
            <v>84</v>
          </cell>
          <cell r="J174">
            <v>2</v>
          </cell>
          <cell r="K174">
            <v>86</v>
          </cell>
          <cell r="S174">
            <v>0</v>
          </cell>
          <cell r="T174" t="str">
            <v>Y</v>
          </cell>
          <cell r="V174" t="str">
            <v>DP</v>
          </cell>
          <cell r="W174" t="str">
            <v>JB</v>
          </cell>
          <cell r="X174" t="str">
            <v>6/23-BC1-A7</v>
          </cell>
        </row>
        <row r="175">
          <cell r="A175" t="str">
            <v>BC1-B3-43274</v>
          </cell>
          <cell r="B175" t="str">
            <v>6/23-BC1-B3</v>
          </cell>
          <cell r="C175">
            <v>43274</v>
          </cell>
          <cell r="D175" t="str">
            <v>BC1</v>
          </cell>
          <cell r="E175" t="str">
            <v>B3</v>
          </cell>
          <cell r="F175">
            <v>43275</v>
          </cell>
          <cell r="G175" t="str">
            <v>LV</v>
          </cell>
          <cell r="H175">
            <v>0</v>
          </cell>
          <cell r="I175">
            <v>0</v>
          </cell>
          <cell r="J175">
            <v>0</v>
          </cell>
          <cell r="K175">
            <v>0</v>
          </cell>
          <cell r="L175">
            <v>0</v>
          </cell>
          <cell r="M175">
            <v>0</v>
          </cell>
          <cell r="N175">
            <v>0</v>
          </cell>
          <cell r="O175">
            <v>0</v>
          </cell>
          <cell r="P175">
            <v>0</v>
          </cell>
          <cell r="Q175">
            <v>0</v>
          </cell>
          <cell r="R175">
            <v>0</v>
          </cell>
          <cell r="S175">
            <v>0</v>
          </cell>
          <cell r="V175" t="str">
            <v>LV</v>
          </cell>
          <cell r="W175" t="str">
            <v>TE</v>
          </cell>
          <cell r="X175" t="str">
            <v>6/23-BC1-B3</v>
          </cell>
        </row>
        <row r="176">
          <cell r="A176" t="str">
            <v>BC1-C8-43274</v>
          </cell>
          <cell r="B176" t="str">
            <v>6/23-BC1-C8</v>
          </cell>
          <cell r="C176">
            <v>43274</v>
          </cell>
          <cell r="D176" t="str">
            <v>BC1</v>
          </cell>
          <cell r="E176" t="str">
            <v>C8</v>
          </cell>
          <cell r="F176">
            <v>43275</v>
          </cell>
          <cell r="G176" t="str">
            <v>JB</v>
          </cell>
          <cell r="H176">
            <v>106</v>
          </cell>
          <cell r="I176">
            <v>3212</v>
          </cell>
          <cell r="J176">
            <v>80</v>
          </cell>
          <cell r="K176">
            <v>3398</v>
          </cell>
          <cell r="L176">
            <v>0</v>
          </cell>
          <cell r="M176">
            <v>0</v>
          </cell>
          <cell r="N176">
            <v>0</v>
          </cell>
          <cell r="O176">
            <v>0</v>
          </cell>
          <cell r="P176">
            <v>0</v>
          </cell>
          <cell r="Q176">
            <v>0</v>
          </cell>
          <cell r="R176">
            <v>0</v>
          </cell>
          <cell r="S176">
            <v>0</v>
          </cell>
          <cell r="T176" t="str">
            <v>Y</v>
          </cell>
          <cell r="V176" t="str">
            <v>JB</v>
          </cell>
          <cell r="W176" t="str">
            <v>TE</v>
          </cell>
          <cell r="X176" t="str">
            <v>6/23-BC1-C8</v>
          </cell>
        </row>
        <row r="177">
          <cell r="A177" t="str">
            <v>BC1-D2-43274</v>
          </cell>
          <cell r="B177" t="str">
            <v>6/23-BC1-D2</v>
          </cell>
          <cell r="C177">
            <v>43274</v>
          </cell>
          <cell r="D177" t="str">
            <v>BC1</v>
          </cell>
          <cell r="E177" t="str">
            <v>D2</v>
          </cell>
          <cell r="F177">
            <v>43275</v>
          </cell>
          <cell r="G177" t="str">
            <v>IS</v>
          </cell>
          <cell r="H177">
            <v>0</v>
          </cell>
          <cell r="I177">
            <v>0</v>
          </cell>
          <cell r="J177">
            <v>0</v>
          </cell>
          <cell r="K177">
            <v>0</v>
          </cell>
          <cell r="L177">
            <v>0</v>
          </cell>
          <cell r="M177">
            <v>0</v>
          </cell>
          <cell r="N177">
            <v>0</v>
          </cell>
          <cell r="O177">
            <v>0</v>
          </cell>
          <cell r="P177">
            <v>0</v>
          </cell>
          <cell r="Q177">
            <v>0</v>
          </cell>
          <cell r="R177">
            <v>0</v>
          </cell>
          <cell r="S177">
            <v>0</v>
          </cell>
          <cell r="T177" t="str">
            <v>Y</v>
          </cell>
          <cell r="V177" t="str">
            <v>IS</v>
          </cell>
          <cell r="W177" t="str">
            <v>TE</v>
          </cell>
          <cell r="X177" t="str">
            <v>6/23-BC1-D2</v>
          </cell>
        </row>
        <row r="178">
          <cell r="A178" t="str">
            <v>BC1-H5-43274</v>
          </cell>
          <cell r="B178" t="str">
            <v>6/23-BC1-H5</v>
          </cell>
          <cell r="C178">
            <v>43274</v>
          </cell>
          <cell r="D178" t="str">
            <v>BC1</v>
          </cell>
          <cell r="E178" t="str">
            <v>H5</v>
          </cell>
          <cell r="F178">
            <v>43275</v>
          </cell>
          <cell r="G178" t="str">
            <v>TE</v>
          </cell>
          <cell r="H178">
            <v>552</v>
          </cell>
          <cell r="I178">
            <v>0</v>
          </cell>
          <cell r="J178">
            <v>4792</v>
          </cell>
          <cell r="K178">
            <v>5344</v>
          </cell>
          <cell r="L178">
            <v>0</v>
          </cell>
          <cell r="M178">
            <v>0</v>
          </cell>
          <cell r="N178">
            <v>0</v>
          </cell>
          <cell r="O178">
            <v>0</v>
          </cell>
          <cell r="P178">
            <v>0</v>
          </cell>
          <cell r="Q178">
            <v>0</v>
          </cell>
          <cell r="R178">
            <v>0</v>
          </cell>
          <cell r="S178">
            <v>0</v>
          </cell>
          <cell r="T178" t="str">
            <v>Y</v>
          </cell>
          <cell r="V178" t="str">
            <v>TE</v>
          </cell>
          <cell r="W178" t="str">
            <v>JB</v>
          </cell>
          <cell r="X178" t="str">
            <v>6/23-BC1-H5</v>
          </cell>
        </row>
        <row r="179">
          <cell r="A179" t="str">
            <v>BC1-H6-43274</v>
          </cell>
          <cell r="B179" t="str">
            <v>6/23-BC1-H6</v>
          </cell>
          <cell r="C179">
            <v>43274</v>
          </cell>
          <cell r="D179" t="str">
            <v>BC1</v>
          </cell>
          <cell r="E179" t="str">
            <v>H6</v>
          </cell>
          <cell r="F179">
            <v>43275</v>
          </cell>
          <cell r="G179" t="str">
            <v>IS</v>
          </cell>
          <cell r="H179">
            <v>0</v>
          </cell>
          <cell r="I179">
            <v>0</v>
          </cell>
          <cell r="J179">
            <v>0</v>
          </cell>
          <cell r="K179">
            <v>0</v>
          </cell>
          <cell r="L179">
            <v>0</v>
          </cell>
          <cell r="M179">
            <v>0</v>
          </cell>
          <cell r="N179">
            <v>0</v>
          </cell>
          <cell r="O179">
            <v>0</v>
          </cell>
          <cell r="P179">
            <v>0</v>
          </cell>
          <cell r="Q179">
            <v>0</v>
          </cell>
          <cell r="R179">
            <v>0</v>
          </cell>
          <cell r="S179">
            <v>0</v>
          </cell>
          <cell r="T179" t="str">
            <v>Y</v>
          </cell>
          <cell r="V179" t="str">
            <v>IS</v>
          </cell>
          <cell r="W179" t="str">
            <v>TE</v>
          </cell>
          <cell r="X179" t="str">
            <v>6/23-BC1-H6</v>
          </cell>
        </row>
        <row r="180">
          <cell r="A180" t="str">
            <v>BC2-A4-43274</v>
          </cell>
          <cell r="B180" t="str">
            <v>6/23-BC2-A4</v>
          </cell>
          <cell r="C180">
            <v>43274</v>
          </cell>
          <cell r="D180" t="str">
            <v>BC2</v>
          </cell>
          <cell r="E180" t="str">
            <v>A4</v>
          </cell>
          <cell r="F180">
            <v>43275</v>
          </cell>
          <cell r="G180" t="str">
            <v>DP</v>
          </cell>
          <cell r="H180">
            <v>0</v>
          </cell>
          <cell r="I180">
            <v>0</v>
          </cell>
          <cell r="J180">
            <v>0</v>
          </cell>
          <cell r="K180">
            <v>0</v>
          </cell>
          <cell r="L180">
            <v>0</v>
          </cell>
          <cell r="M180">
            <v>0</v>
          </cell>
          <cell r="N180">
            <v>0</v>
          </cell>
          <cell r="O180">
            <v>0</v>
          </cell>
          <cell r="P180">
            <v>0</v>
          </cell>
          <cell r="Q180">
            <v>0</v>
          </cell>
          <cell r="R180">
            <v>0</v>
          </cell>
          <cell r="S180">
            <v>0</v>
          </cell>
          <cell r="T180" t="str">
            <v>Y</v>
          </cell>
          <cell r="V180" t="str">
            <v>DP</v>
          </cell>
          <cell r="W180" t="str">
            <v>JB</v>
          </cell>
          <cell r="X180" t="str">
            <v>6/23-BC2-A4</v>
          </cell>
        </row>
        <row r="181">
          <cell r="A181" t="str">
            <v>BC2-A5-43274</v>
          </cell>
          <cell r="B181" t="str">
            <v>6/23-BC2-A5</v>
          </cell>
          <cell r="C181">
            <v>43274</v>
          </cell>
          <cell r="D181" t="str">
            <v>BC2</v>
          </cell>
          <cell r="E181" t="str">
            <v>A5</v>
          </cell>
          <cell r="F181">
            <v>43275</v>
          </cell>
          <cell r="G181" t="str">
            <v>JB</v>
          </cell>
          <cell r="H181">
            <v>0</v>
          </cell>
          <cell r="I181">
            <v>46</v>
          </cell>
          <cell r="J181">
            <v>8</v>
          </cell>
          <cell r="K181">
            <v>54</v>
          </cell>
          <cell r="L181">
            <v>13</v>
          </cell>
          <cell r="M181">
            <v>0</v>
          </cell>
          <cell r="N181">
            <v>0</v>
          </cell>
          <cell r="O181">
            <v>3</v>
          </cell>
          <cell r="P181">
            <v>0</v>
          </cell>
          <cell r="Q181">
            <v>0</v>
          </cell>
          <cell r="R181">
            <v>4</v>
          </cell>
          <cell r="S181">
            <v>16</v>
          </cell>
          <cell r="T181" t="str">
            <v>Y</v>
          </cell>
          <cell r="V181" t="str">
            <v>JB</v>
          </cell>
          <cell r="W181" t="str">
            <v>TE</v>
          </cell>
          <cell r="X181" t="str">
            <v>6/23-BC2-A5</v>
          </cell>
        </row>
        <row r="182">
          <cell r="A182" t="str">
            <v>BC2-D1-43274</v>
          </cell>
          <cell r="B182" t="str">
            <v>6/23-BC2-D1</v>
          </cell>
          <cell r="C182">
            <v>43274</v>
          </cell>
          <cell r="D182" t="str">
            <v>BC2</v>
          </cell>
          <cell r="E182" t="str">
            <v>D1</v>
          </cell>
          <cell r="F182">
            <v>43275</v>
          </cell>
          <cell r="G182" t="str">
            <v>LV</v>
          </cell>
          <cell r="I182">
            <v>26</v>
          </cell>
          <cell r="J182">
            <v>4</v>
          </cell>
          <cell r="K182">
            <v>30</v>
          </cell>
          <cell r="S182">
            <v>0</v>
          </cell>
          <cell r="V182" t="str">
            <v>LV</v>
          </cell>
          <cell r="W182" t="str">
            <v>TE</v>
          </cell>
          <cell r="X182" t="str">
            <v>6/23-BC2-D1</v>
          </cell>
        </row>
        <row r="183">
          <cell r="A183" t="str">
            <v>BC1-C6-43275</v>
          </cell>
          <cell r="B183" t="str">
            <v>6/24-BC1-C6</v>
          </cell>
          <cell r="C183">
            <v>43275</v>
          </cell>
          <cell r="D183" t="str">
            <v>BC1</v>
          </cell>
          <cell r="E183" t="str">
            <v>C6</v>
          </cell>
          <cell r="F183">
            <v>43277</v>
          </cell>
          <cell r="G183" t="str">
            <v>TE</v>
          </cell>
          <cell r="H183">
            <v>0</v>
          </cell>
          <cell r="I183">
            <v>0</v>
          </cell>
          <cell r="J183">
            <v>0</v>
          </cell>
          <cell r="K183">
            <v>0</v>
          </cell>
          <cell r="L183">
            <v>0</v>
          </cell>
          <cell r="M183">
            <v>0</v>
          </cell>
          <cell r="N183">
            <v>0</v>
          </cell>
          <cell r="O183">
            <v>0</v>
          </cell>
          <cell r="P183">
            <v>0</v>
          </cell>
          <cell r="Q183">
            <v>0</v>
          </cell>
          <cell r="R183">
            <v>0</v>
          </cell>
          <cell r="S183">
            <v>0</v>
          </cell>
          <cell r="T183" t="str">
            <v>Y</v>
          </cell>
          <cell r="V183" t="str">
            <v>TE</v>
          </cell>
          <cell r="W183" t="str">
            <v>JB</v>
          </cell>
          <cell r="X183" t="str">
            <v>6/24-BC1-C6</v>
          </cell>
        </row>
        <row r="184">
          <cell r="A184" t="str">
            <v>BC2-A1-43275</v>
          </cell>
          <cell r="B184" t="str">
            <v>6/24-BC2-A1</v>
          </cell>
          <cell r="C184">
            <v>43275</v>
          </cell>
          <cell r="D184" t="str">
            <v>BC2</v>
          </cell>
          <cell r="E184" t="str">
            <v>A1</v>
          </cell>
          <cell r="F184">
            <v>43277</v>
          </cell>
          <cell r="G184" t="str">
            <v>TE</v>
          </cell>
          <cell r="H184">
            <v>0</v>
          </cell>
          <cell r="I184">
            <v>34</v>
          </cell>
          <cell r="J184">
            <v>338</v>
          </cell>
          <cell r="K184">
            <v>372</v>
          </cell>
          <cell r="L184">
            <v>0</v>
          </cell>
          <cell r="M184">
            <v>0</v>
          </cell>
          <cell r="N184">
            <v>0</v>
          </cell>
          <cell r="O184">
            <v>0</v>
          </cell>
          <cell r="P184">
            <v>0</v>
          </cell>
          <cell r="Q184">
            <v>0</v>
          </cell>
          <cell r="R184">
            <v>0</v>
          </cell>
          <cell r="S184">
            <v>0</v>
          </cell>
          <cell r="T184" t="str">
            <v>Y</v>
          </cell>
          <cell r="V184" t="str">
            <v>TE</v>
          </cell>
          <cell r="W184" t="str">
            <v>JB</v>
          </cell>
          <cell r="X184" t="str">
            <v>6/24-BC2-A1</v>
          </cell>
        </row>
        <row r="185">
          <cell r="A185" t="str">
            <v>BC2-B7-43275</v>
          </cell>
          <cell r="B185" t="str">
            <v>6/24-BC2-B7</v>
          </cell>
          <cell r="C185">
            <v>43275</v>
          </cell>
          <cell r="D185" t="str">
            <v>BC2</v>
          </cell>
          <cell r="E185" t="str">
            <v>B7</v>
          </cell>
          <cell r="F185">
            <v>43277</v>
          </cell>
          <cell r="G185" t="str">
            <v>DP</v>
          </cell>
          <cell r="H185">
            <v>8</v>
          </cell>
          <cell r="I185">
            <v>792</v>
          </cell>
          <cell r="J185">
            <v>20</v>
          </cell>
          <cell r="K185">
            <v>820</v>
          </cell>
          <cell r="S185">
            <v>0</v>
          </cell>
          <cell r="T185" t="str">
            <v>Y</v>
          </cell>
          <cell r="V185" t="str">
            <v>DP</v>
          </cell>
          <cell r="W185" t="str">
            <v>JB</v>
          </cell>
          <cell r="X185" t="str">
            <v>6/24-BC2-B7</v>
          </cell>
        </row>
        <row r="186">
          <cell r="A186" t="str">
            <v>BC2-F2-43275</v>
          </cell>
          <cell r="B186" t="str">
            <v>6/24-BC2-F2</v>
          </cell>
          <cell r="C186">
            <v>43275</v>
          </cell>
          <cell r="D186" t="str">
            <v>BC2</v>
          </cell>
          <cell r="E186" t="str">
            <v>F2</v>
          </cell>
          <cell r="F186">
            <v>43277</v>
          </cell>
          <cell r="G186" t="str">
            <v>DP</v>
          </cell>
          <cell r="H186">
            <v>16</v>
          </cell>
          <cell r="I186">
            <v>262</v>
          </cell>
          <cell r="J186">
            <v>4</v>
          </cell>
          <cell r="K186">
            <v>282</v>
          </cell>
          <cell r="S186">
            <v>0</v>
          </cell>
          <cell r="T186" t="str">
            <v>Y</v>
          </cell>
          <cell r="V186" t="str">
            <v>DP</v>
          </cell>
          <cell r="W186" t="str">
            <v>JB</v>
          </cell>
          <cell r="X186" t="str">
            <v>6/24-BC2-F2</v>
          </cell>
        </row>
        <row r="187">
          <cell r="A187" t="str">
            <v>BC2-H2-43275</v>
          </cell>
          <cell r="B187" t="str">
            <v>6/24-BC2-H2</v>
          </cell>
          <cell r="C187">
            <v>43275</v>
          </cell>
          <cell r="D187" t="str">
            <v>BC2</v>
          </cell>
          <cell r="E187" t="str">
            <v>H2</v>
          </cell>
          <cell r="F187">
            <v>43277</v>
          </cell>
          <cell r="G187" t="str">
            <v>JB</v>
          </cell>
          <cell r="H187">
            <v>1250</v>
          </cell>
          <cell r="I187">
            <v>2718</v>
          </cell>
          <cell r="J187">
            <v>54</v>
          </cell>
          <cell r="K187">
            <v>4022</v>
          </cell>
          <cell r="L187">
            <v>0</v>
          </cell>
          <cell r="M187">
            <v>0</v>
          </cell>
          <cell r="N187">
            <v>0</v>
          </cell>
          <cell r="O187">
            <v>1</v>
          </cell>
          <cell r="P187">
            <v>0</v>
          </cell>
          <cell r="Q187">
            <v>0</v>
          </cell>
          <cell r="R187">
            <v>5</v>
          </cell>
          <cell r="S187">
            <v>1</v>
          </cell>
          <cell r="T187" t="str">
            <v>Y</v>
          </cell>
          <cell r="V187" t="str">
            <v>JB</v>
          </cell>
          <cell r="W187" t="str">
            <v>TE</v>
          </cell>
          <cell r="X187" t="str">
            <v>6/24-BC2-H2</v>
          </cell>
        </row>
        <row r="188">
          <cell r="A188" t="str">
            <v>BC2-H7-43275</v>
          </cell>
          <cell r="B188" t="str">
            <v>6/24-BC2-H7</v>
          </cell>
          <cell r="C188">
            <v>43275</v>
          </cell>
          <cell r="D188" t="str">
            <v>BC2</v>
          </cell>
          <cell r="E188" t="str">
            <v>H7</v>
          </cell>
          <cell r="F188">
            <v>43277</v>
          </cell>
          <cell r="G188" t="str">
            <v>JB</v>
          </cell>
          <cell r="H188">
            <v>0</v>
          </cell>
          <cell r="I188">
            <v>0</v>
          </cell>
          <cell r="J188">
            <v>0</v>
          </cell>
          <cell r="K188">
            <v>0</v>
          </cell>
          <cell r="L188">
            <v>0</v>
          </cell>
          <cell r="M188">
            <v>0</v>
          </cell>
          <cell r="N188">
            <v>0</v>
          </cell>
          <cell r="O188">
            <v>0</v>
          </cell>
          <cell r="P188">
            <v>0</v>
          </cell>
          <cell r="Q188">
            <v>0</v>
          </cell>
          <cell r="R188">
            <v>0</v>
          </cell>
          <cell r="S188">
            <v>0</v>
          </cell>
          <cell r="T188" t="str">
            <v>Y</v>
          </cell>
          <cell r="V188" t="str">
            <v>JB</v>
          </cell>
          <cell r="W188" t="str">
            <v>TE</v>
          </cell>
          <cell r="X188" t="str">
            <v>6/24-BC2-H7</v>
          </cell>
        </row>
        <row r="189">
          <cell r="A189" t="str">
            <v>BC2-H8-43275</v>
          </cell>
          <cell r="B189" t="str">
            <v>6/24-BC2-H8</v>
          </cell>
          <cell r="C189">
            <v>43275</v>
          </cell>
          <cell r="D189" t="str">
            <v>BC2</v>
          </cell>
          <cell r="E189" t="str">
            <v>H8</v>
          </cell>
          <cell r="F189">
            <v>43277</v>
          </cell>
          <cell r="G189" t="str">
            <v>JB</v>
          </cell>
          <cell r="H189">
            <v>0</v>
          </cell>
          <cell r="I189">
            <v>6</v>
          </cell>
          <cell r="J189">
            <v>0</v>
          </cell>
          <cell r="K189">
            <v>6</v>
          </cell>
          <cell r="L189">
            <v>0</v>
          </cell>
          <cell r="M189">
            <v>0</v>
          </cell>
          <cell r="N189">
            <v>0</v>
          </cell>
          <cell r="O189">
            <v>0</v>
          </cell>
          <cell r="P189">
            <v>0</v>
          </cell>
          <cell r="Q189">
            <v>0</v>
          </cell>
          <cell r="R189">
            <v>0</v>
          </cell>
          <cell r="S189">
            <v>0</v>
          </cell>
          <cell r="T189" t="str">
            <v>Y</v>
          </cell>
          <cell r="V189" t="str">
            <v>JB</v>
          </cell>
          <cell r="W189" t="str">
            <v>TE</v>
          </cell>
          <cell r="X189" t="str">
            <v>6/24-BC2-H8</v>
          </cell>
        </row>
        <row r="190">
          <cell r="A190" t="str">
            <v>BC1-H5-43276</v>
          </cell>
          <cell r="B190" t="str">
            <v>6/25-BC1-H5</v>
          </cell>
          <cell r="C190">
            <v>43276</v>
          </cell>
          <cell r="D190" t="str">
            <v>BC1</v>
          </cell>
          <cell r="E190" t="str">
            <v>H5</v>
          </cell>
          <cell r="F190">
            <v>43277</v>
          </cell>
          <cell r="G190" t="str">
            <v>DP</v>
          </cell>
          <cell r="H190">
            <v>0</v>
          </cell>
          <cell r="I190">
            <v>0</v>
          </cell>
          <cell r="J190">
            <v>0</v>
          </cell>
          <cell r="K190">
            <v>0</v>
          </cell>
          <cell r="L190">
            <v>0</v>
          </cell>
          <cell r="M190">
            <v>0</v>
          </cell>
          <cell r="N190">
            <v>0</v>
          </cell>
          <cell r="O190">
            <v>0</v>
          </cell>
          <cell r="P190">
            <v>0</v>
          </cell>
          <cell r="Q190">
            <v>0</v>
          </cell>
          <cell r="R190">
            <v>0</v>
          </cell>
          <cell r="S190">
            <v>0</v>
          </cell>
          <cell r="T190" t="str">
            <v>Y</v>
          </cell>
          <cell r="V190" t="str">
            <v>DP</v>
          </cell>
          <cell r="W190" t="str">
            <v>JB</v>
          </cell>
          <cell r="X190" t="str">
            <v>6/25-BC1-H5</v>
          </cell>
        </row>
        <row r="191">
          <cell r="A191" t="str">
            <v>BC2-A1-43276</v>
          </cell>
          <cell r="B191" t="str">
            <v>6/25-BC2-A1</v>
          </cell>
          <cell r="C191">
            <v>43276</v>
          </cell>
          <cell r="D191" t="str">
            <v>BC2</v>
          </cell>
          <cell r="E191" t="str">
            <v>A1</v>
          </cell>
          <cell r="F191">
            <v>43277</v>
          </cell>
          <cell r="G191" t="str">
            <v>TE</v>
          </cell>
          <cell r="H191">
            <v>0</v>
          </cell>
          <cell r="I191">
            <v>4</v>
          </cell>
          <cell r="J191">
            <v>14</v>
          </cell>
          <cell r="K191">
            <v>18</v>
          </cell>
          <cell r="L191">
            <v>0</v>
          </cell>
          <cell r="M191">
            <v>0</v>
          </cell>
          <cell r="N191">
            <v>0</v>
          </cell>
          <cell r="O191">
            <v>0</v>
          </cell>
          <cell r="P191">
            <v>0</v>
          </cell>
          <cell r="Q191">
            <v>0</v>
          </cell>
          <cell r="R191">
            <v>0</v>
          </cell>
          <cell r="S191">
            <v>0</v>
          </cell>
          <cell r="V191" t="str">
            <v>LV</v>
          </cell>
          <cell r="W191" t="str">
            <v>TE</v>
          </cell>
          <cell r="X191" t="str">
            <v>6/25-BC2-A1</v>
          </cell>
        </row>
        <row r="192">
          <cell r="A192" t="str">
            <v>HW1-B3-43277</v>
          </cell>
          <cell r="B192" t="str">
            <v>6/26-HW1-B3</v>
          </cell>
          <cell r="C192">
            <v>43277</v>
          </cell>
          <cell r="D192" t="str">
            <v>HW1</v>
          </cell>
          <cell r="E192" t="str">
            <v>B3</v>
          </cell>
          <cell r="F192">
            <v>43279</v>
          </cell>
          <cell r="G192" t="str">
            <v>DP</v>
          </cell>
          <cell r="H192">
            <v>24</v>
          </cell>
          <cell r="I192">
            <v>7832</v>
          </cell>
          <cell r="J192">
            <v>1200</v>
          </cell>
          <cell r="K192">
            <v>9056</v>
          </cell>
          <cell r="S192">
            <v>0</v>
          </cell>
          <cell r="T192" t="str">
            <v>N</v>
          </cell>
          <cell r="U192" t="str">
            <v>25% for Coccidia sp.</v>
          </cell>
          <cell r="V192" t="str">
            <v>DP</v>
          </cell>
          <cell r="W192" t="str">
            <v>JB</v>
          </cell>
          <cell r="X192" t="str">
            <v>6/26-HW1-B3</v>
          </cell>
        </row>
        <row r="193">
          <cell r="A193" t="str">
            <v>HW1-E1-43277</v>
          </cell>
          <cell r="B193" t="str">
            <v>6/26-HW1-E1</v>
          </cell>
          <cell r="C193">
            <v>43277</v>
          </cell>
          <cell r="D193" t="str">
            <v>HW1</v>
          </cell>
          <cell r="E193" t="str">
            <v>E1</v>
          </cell>
          <cell r="F193">
            <v>43279</v>
          </cell>
          <cell r="G193" t="str">
            <v>LV</v>
          </cell>
          <cell r="H193">
            <v>18</v>
          </cell>
          <cell r="I193">
            <v>2096</v>
          </cell>
          <cell r="J193">
            <v>28</v>
          </cell>
          <cell r="K193">
            <v>2142</v>
          </cell>
          <cell r="S193">
            <v>0</v>
          </cell>
          <cell r="V193" t="str">
            <v>LV</v>
          </cell>
          <cell r="W193" t="str">
            <v>TE</v>
          </cell>
          <cell r="X193" t="str">
            <v>6/26-HW1-E1</v>
          </cell>
        </row>
        <row r="194">
          <cell r="A194" t="str">
            <v>HW1-E4-43277</v>
          </cell>
          <cell r="B194" t="str">
            <v>6/26-HW1-E4</v>
          </cell>
          <cell r="C194">
            <v>43277</v>
          </cell>
          <cell r="D194" t="str">
            <v>HW1</v>
          </cell>
          <cell r="E194" t="str">
            <v>E4</v>
          </cell>
          <cell r="F194">
            <v>43278</v>
          </cell>
          <cell r="G194" t="str">
            <v>LV</v>
          </cell>
          <cell r="I194">
            <v>4</v>
          </cell>
          <cell r="K194">
            <v>4</v>
          </cell>
          <cell r="S194">
            <v>0</v>
          </cell>
          <cell r="V194" t="str">
            <v>LV</v>
          </cell>
          <cell r="W194" t="str">
            <v>TE</v>
          </cell>
          <cell r="X194" t="str">
            <v>6/26-HW1-E4</v>
          </cell>
        </row>
        <row r="195">
          <cell r="A195" t="str">
            <v>HW1-E6-43277</v>
          </cell>
          <cell r="B195" t="str">
            <v>6/26-HW1-E6</v>
          </cell>
          <cell r="C195">
            <v>43277</v>
          </cell>
          <cell r="D195" t="str">
            <v>HW1</v>
          </cell>
          <cell r="E195" t="str">
            <v>E6</v>
          </cell>
          <cell r="F195">
            <v>43279</v>
          </cell>
          <cell r="G195" t="str">
            <v>DP</v>
          </cell>
          <cell r="H195">
            <v>68</v>
          </cell>
          <cell r="J195">
            <v>2</v>
          </cell>
          <cell r="K195">
            <v>70</v>
          </cell>
          <cell r="S195">
            <v>0</v>
          </cell>
          <cell r="T195" t="str">
            <v>Y</v>
          </cell>
          <cell r="V195" t="str">
            <v>DP</v>
          </cell>
          <cell r="W195" t="str">
            <v>JB</v>
          </cell>
          <cell r="X195" t="str">
            <v>6/26-HW1-E6</v>
          </cell>
        </row>
        <row r="196">
          <cell r="A196" t="str">
            <v>HW1-F1-43277</v>
          </cell>
          <cell r="B196" t="str">
            <v>6/26-HW1-F1</v>
          </cell>
          <cell r="C196">
            <v>43277</v>
          </cell>
          <cell r="D196" t="str">
            <v>HW1</v>
          </cell>
          <cell r="E196" t="str">
            <v>F1</v>
          </cell>
          <cell r="F196">
            <v>43279</v>
          </cell>
          <cell r="G196" t="str">
            <v>JB</v>
          </cell>
          <cell r="H196">
            <v>1906</v>
          </cell>
          <cell r="I196">
            <v>146</v>
          </cell>
          <cell r="J196">
            <v>0</v>
          </cell>
          <cell r="K196">
            <v>2052</v>
          </cell>
          <cell r="L196">
            <v>0</v>
          </cell>
          <cell r="M196">
            <v>0</v>
          </cell>
          <cell r="N196">
            <v>0</v>
          </cell>
          <cell r="O196">
            <v>0</v>
          </cell>
          <cell r="P196">
            <v>0</v>
          </cell>
          <cell r="Q196">
            <v>0</v>
          </cell>
          <cell r="R196">
            <v>0</v>
          </cell>
          <cell r="S196">
            <v>0</v>
          </cell>
          <cell r="T196" t="str">
            <v>Y</v>
          </cell>
          <cell r="V196" t="str">
            <v>JB</v>
          </cell>
          <cell r="W196" t="str">
            <v>TE</v>
          </cell>
          <cell r="X196" t="str">
            <v>6/26-HW1-F1</v>
          </cell>
        </row>
        <row r="197">
          <cell r="A197" t="str">
            <v>HW1-H5-43277</v>
          </cell>
          <cell r="B197" t="str">
            <v>6/26-HW1-H5</v>
          </cell>
          <cell r="C197">
            <v>43277</v>
          </cell>
          <cell r="D197" t="str">
            <v>HW1</v>
          </cell>
          <cell r="E197" t="str">
            <v>H5</v>
          </cell>
          <cell r="F197">
            <v>43278</v>
          </cell>
          <cell r="G197" t="str">
            <v>JB</v>
          </cell>
          <cell r="H197">
            <v>0</v>
          </cell>
          <cell r="I197">
            <v>0</v>
          </cell>
          <cell r="J197">
            <v>0</v>
          </cell>
          <cell r="K197">
            <v>0</v>
          </cell>
          <cell r="L197">
            <v>9</v>
          </cell>
          <cell r="M197">
            <v>0</v>
          </cell>
          <cell r="N197">
            <v>8</v>
          </cell>
          <cell r="O197">
            <v>0</v>
          </cell>
          <cell r="P197">
            <v>0</v>
          </cell>
          <cell r="Q197">
            <v>0</v>
          </cell>
          <cell r="R197">
            <v>0</v>
          </cell>
          <cell r="S197">
            <v>17</v>
          </cell>
          <cell r="T197" t="str">
            <v>Y</v>
          </cell>
          <cell r="V197" t="str">
            <v>JB</v>
          </cell>
          <cell r="W197" t="str">
            <v>TE</v>
          </cell>
          <cell r="X197" t="str">
            <v>6/26-HW1-H5</v>
          </cell>
        </row>
        <row r="198">
          <cell r="A198" t="str">
            <v>HW1-H7-43277</v>
          </cell>
          <cell r="B198" t="str">
            <v>6/26-HW1-H7</v>
          </cell>
          <cell r="C198">
            <v>43277</v>
          </cell>
          <cell r="D198" t="str">
            <v>HW1</v>
          </cell>
          <cell r="E198" t="str">
            <v>H7</v>
          </cell>
          <cell r="F198">
            <v>43279</v>
          </cell>
          <cell r="G198" t="str">
            <v>TE</v>
          </cell>
          <cell r="I198">
            <v>34</v>
          </cell>
          <cell r="J198">
            <v>388</v>
          </cell>
          <cell r="K198">
            <v>422</v>
          </cell>
          <cell r="O198">
            <v>1</v>
          </cell>
          <cell r="P198">
            <v>1</v>
          </cell>
          <cell r="S198">
            <v>2</v>
          </cell>
          <cell r="V198" t="str">
            <v>LV</v>
          </cell>
          <cell r="W198" t="str">
            <v>TE</v>
          </cell>
          <cell r="X198" t="str">
            <v>6/26-HW1-H7</v>
          </cell>
        </row>
        <row r="199">
          <cell r="A199" t="str">
            <v>HW2-A3-43277</v>
          </cell>
          <cell r="B199" t="str">
            <v>6/26-HW2-A3</v>
          </cell>
          <cell r="C199">
            <v>43277</v>
          </cell>
          <cell r="D199" t="str">
            <v>HW2</v>
          </cell>
          <cell r="E199" t="str">
            <v>A3</v>
          </cell>
          <cell r="F199">
            <v>43278</v>
          </cell>
          <cell r="G199" t="str">
            <v>DP</v>
          </cell>
          <cell r="I199">
            <v>48</v>
          </cell>
          <cell r="J199">
            <v>2</v>
          </cell>
          <cell r="K199">
            <v>50</v>
          </cell>
          <cell r="P199">
            <v>1</v>
          </cell>
          <cell r="S199">
            <v>1</v>
          </cell>
          <cell r="T199" t="str">
            <v>Y</v>
          </cell>
          <cell r="V199" t="str">
            <v>DP</v>
          </cell>
          <cell r="W199" t="str">
            <v>JB</v>
          </cell>
          <cell r="X199" t="str">
            <v>6/26-HW2-A3</v>
          </cell>
        </row>
        <row r="200">
          <cell r="A200" t="str">
            <v>HW2-A4-43277</v>
          </cell>
          <cell r="B200" t="str">
            <v>6/26-HW2-A4</v>
          </cell>
          <cell r="C200">
            <v>43277</v>
          </cell>
          <cell r="D200" t="str">
            <v>HW2</v>
          </cell>
          <cell r="E200" t="str">
            <v>A4</v>
          </cell>
          <cell r="F200">
            <v>43279</v>
          </cell>
          <cell r="G200" t="str">
            <v>JB</v>
          </cell>
          <cell r="H200">
            <v>0</v>
          </cell>
          <cell r="I200">
            <v>72</v>
          </cell>
          <cell r="J200">
            <v>6</v>
          </cell>
          <cell r="K200">
            <v>78</v>
          </cell>
          <cell r="L200">
            <v>0</v>
          </cell>
          <cell r="M200">
            <v>0</v>
          </cell>
          <cell r="N200">
            <v>0</v>
          </cell>
          <cell r="O200">
            <v>0</v>
          </cell>
          <cell r="P200">
            <v>0</v>
          </cell>
          <cell r="Q200">
            <v>0</v>
          </cell>
          <cell r="R200">
            <v>0</v>
          </cell>
          <cell r="S200">
            <v>0</v>
          </cell>
          <cell r="T200" t="str">
            <v>Y</v>
          </cell>
          <cell r="V200" t="str">
            <v>JB</v>
          </cell>
          <cell r="W200" t="str">
            <v>TE</v>
          </cell>
          <cell r="X200" t="str">
            <v>6/26-HW2-A4</v>
          </cell>
        </row>
        <row r="201">
          <cell r="A201" t="str">
            <v>HW2-B4-43277</v>
          </cell>
          <cell r="B201" t="str">
            <v>6/26-HW2-B4</v>
          </cell>
          <cell r="C201">
            <v>43277</v>
          </cell>
          <cell r="D201" t="str">
            <v>HW2</v>
          </cell>
          <cell r="E201" t="str">
            <v>B4</v>
          </cell>
          <cell r="F201">
            <v>43279</v>
          </cell>
          <cell r="G201" t="str">
            <v>DP</v>
          </cell>
          <cell r="I201">
            <v>602</v>
          </cell>
          <cell r="J201">
            <v>24</v>
          </cell>
          <cell r="K201">
            <v>626</v>
          </cell>
          <cell r="S201">
            <v>0</v>
          </cell>
          <cell r="T201" t="str">
            <v>Y</v>
          </cell>
          <cell r="V201" t="str">
            <v>DP</v>
          </cell>
          <cell r="W201" t="str">
            <v>JB</v>
          </cell>
          <cell r="X201" t="str">
            <v>6/26-HW2-B4</v>
          </cell>
        </row>
        <row r="202">
          <cell r="A202" t="str">
            <v>HW2-D8-43277</v>
          </cell>
          <cell r="B202" t="str">
            <v>6/26-HW2-D8</v>
          </cell>
          <cell r="C202">
            <v>43277</v>
          </cell>
          <cell r="D202" t="str">
            <v>HW2</v>
          </cell>
          <cell r="E202" t="str">
            <v>D8</v>
          </cell>
          <cell r="F202">
            <v>43279</v>
          </cell>
          <cell r="G202" t="str">
            <v>TE</v>
          </cell>
          <cell r="H202">
            <v>0</v>
          </cell>
          <cell r="I202">
            <v>0</v>
          </cell>
          <cell r="J202">
            <v>0</v>
          </cell>
          <cell r="K202">
            <v>0</v>
          </cell>
          <cell r="L202">
            <v>0</v>
          </cell>
          <cell r="M202">
            <v>0</v>
          </cell>
          <cell r="N202">
            <v>0</v>
          </cell>
          <cell r="O202">
            <v>0</v>
          </cell>
          <cell r="P202">
            <v>0</v>
          </cell>
          <cell r="Q202">
            <v>0</v>
          </cell>
          <cell r="R202">
            <v>0</v>
          </cell>
          <cell r="S202">
            <v>0</v>
          </cell>
          <cell r="V202" t="str">
            <v>LV</v>
          </cell>
          <cell r="W202" t="str">
            <v>TE</v>
          </cell>
          <cell r="X202" t="str">
            <v>6/26-HW2-D8</v>
          </cell>
        </row>
        <row r="203">
          <cell r="A203" t="str">
            <v>HW2-E1-43277</v>
          </cell>
          <cell r="B203" t="str">
            <v>6/26-HW2-E1</v>
          </cell>
          <cell r="C203">
            <v>43277</v>
          </cell>
          <cell r="D203" t="str">
            <v>HW2</v>
          </cell>
          <cell r="E203" t="str">
            <v>E1</v>
          </cell>
          <cell r="F203">
            <v>43279</v>
          </cell>
          <cell r="G203" t="str">
            <v>TE</v>
          </cell>
          <cell r="I203">
            <v>14</v>
          </cell>
          <cell r="J203">
            <v>280</v>
          </cell>
          <cell r="K203">
            <v>294</v>
          </cell>
          <cell r="Q203">
            <v>9</v>
          </cell>
          <cell r="S203">
            <v>0</v>
          </cell>
          <cell r="V203" t="str">
            <v>LV</v>
          </cell>
          <cell r="W203" t="str">
            <v>TE</v>
          </cell>
          <cell r="X203" t="str">
            <v>6/26-HW2-E1</v>
          </cell>
        </row>
        <row r="204">
          <cell r="A204" t="str">
            <v>HW2-F2-43277</v>
          </cell>
          <cell r="B204" t="str">
            <v>6/26-HW2-F2</v>
          </cell>
          <cell r="C204">
            <v>43277</v>
          </cell>
          <cell r="D204" t="str">
            <v>HW2</v>
          </cell>
          <cell r="E204" t="str">
            <v>F2</v>
          </cell>
          <cell r="F204">
            <v>43279</v>
          </cell>
          <cell r="G204" t="str">
            <v>LV</v>
          </cell>
          <cell r="H204">
            <v>6</v>
          </cell>
          <cell r="I204">
            <v>72</v>
          </cell>
          <cell r="K204">
            <v>78</v>
          </cell>
          <cell r="S204">
            <v>0</v>
          </cell>
          <cell r="V204" t="str">
            <v>LV</v>
          </cell>
          <cell r="W204" t="str">
            <v>TE</v>
          </cell>
          <cell r="X204" t="str">
            <v>6/26-HW2-F2</v>
          </cell>
        </row>
        <row r="205">
          <cell r="A205" t="str">
            <v>HW1-F7-43277</v>
          </cell>
          <cell r="B205" t="str">
            <v>6/26-HW1-F7</v>
          </cell>
          <cell r="C205">
            <v>43277</v>
          </cell>
          <cell r="D205" t="str">
            <v>HW1</v>
          </cell>
          <cell r="E205" t="str">
            <v>F7</v>
          </cell>
          <cell r="F205">
            <v>43278</v>
          </cell>
          <cell r="G205" t="str">
            <v>JB</v>
          </cell>
          <cell r="H205">
            <v>0</v>
          </cell>
          <cell r="I205">
            <v>30</v>
          </cell>
          <cell r="J205">
            <v>0</v>
          </cell>
          <cell r="K205">
            <v>30</v>
          </cell>
          <cell r="L205">
            <v>7</v>
          </cell>
          <cell r="M205">
            <v>0</v>
          </cell>
          <cell r="N205">
            <v>0</v>
          </cell>
          <cell r="O205">
            <v>0</v>
          </cell>
          <cell r="P205">
            <v>0</v>
          </cell>
          <cell r="Q205">
            <v>0</v>
          </cell>
          <cell r="R205">
            <v>0</v>
          </cell>
          <cell r="S205">
            <v>7</v>
          </cell>
          <cell r="T205" t="str">
            <v>Y</v>
          </cell>
          <cell r="V205" t="str">
            <v>JB</v>
          </cell>
          <cell r="W205" t="str">
            <v>TE</v>
          </cell>
          <cell r="X205" t="str">
            <v>6/26-HW1-F7</v>
          </cell>
        </row>
        <row r="206">
          <cell r="A206" t="str">
            <v>HW2-F6-43277</v>
          </cell>
          <cell r="B206" t="str">
            <v>6/26-HW2-F6</v>
          </cell>
          <cell r="C206">
            <v>43277</v>
          </cell>
          <cell r="D206" t="str">
            <v>HW2</v>
          </cell>
          <cell r="E206" t="str">
            <v>F6</v>
          </cell>
          <cell r="F206">
            <v>43278</v>
          </cell>
          <cell r="G206" t="str">
            <v>LV</v>
          </cell>
          <cell r="H206">
            <v>0</v>
          </cell>
          <cell r="I206">
            <v>0</v>
          </cell>
          <cell r="J206">
            <v>0</v>
          </cell>
          <cell r="K206">
            <v>0</v>
          </cell>
          <cell r="L206">
            <v>0</v>
          </cell>
          <cell r="M206">
            <v>0</v>
          </cell>
          <cell r="N206">
            <v>0</v>
          </cell>
          <cell r="O206">
            <v>0</v>
          </cell>
          <cell r="P206">
            <v>0</v>
          </cell>
          <cell r="Q206">
            <v>0</v>
          </cell>
          <cell r="R206">
            <v>0</v>
          </cell>
          <cell r="S206">
            <v>0</v>
          </cell>
          <cell r="V206" t="str">
            <v>LV</v>
          </cell>
          <cell r="W206" t="str">
            <v>TE</v>
          </cell>
          <cell r="X206" t="str">
            <v>6/26-HW2-F6</v>
          </cell>
        </row>
        <row r="207">
          <cell r="A207" t="str">
            <v>HW2-G2-43277</v>
          </cell>
          <cell r="B207" t="str">
            <v>6/26-HW2-G2</v>
          </cell>
          <cell r="C207">
            <v>43277</v>
          </cell>
          <cell r="D207" t="str">
            <v>HW2</v>
          </cell>
          <cell r="E207" t="str">
            <v>G2</v>
          </cell>
          <cell r="F207">
            <v>43278</v>
          </cell>
          <cell r="G207" t="str">
            <v>DP</v>
          </cell>
          <cell r="H207">
            <v>4</v>
          </cell>
          <cell r="I207">
            <v>6188</v>
          </cell>
          <cell r="J207">
            <v>488</v>
          </cell>
          <cell r="K207">
            <v>6680</v>
          </cell>
          <cell r="Q207">
            <v>644</v>
          </cell>
          <cell r="S207">
            <v>0</v>
          </cell>
          <cell r="T207" t="str">
            <v>Y</v>
          </cell>
          <cell r="V207" t="str">
            <v>DP</v>
          </cell>
          <cell r="W207" t="str">
            <v>JB</v>
          </cell>
          <cell r="X207" t="str">
            <v>6/26-HW2-G2</v>
          </cell>
        </row>
        <row r="208">
          <cell r="A208" t="str">
            <v>HW2-G4-43277</v>
          </cell>
          <cell r="B208" t="str">
            <v>6/26-HW2-G4</v>
          </cell>
          <cell r="C208">
            <v>43277</v>
          </cell>
          <cell r="D208" t="str">
            <v>HW2</v>
          </cell>
          <cell r="E208" t="str">
            <v>G4</v>
          </cell>
          <cell r="F208">
            <v>43278</v>
          </cell>
          <cell r="G208" t="str">
            <v>TE</v>
          </cell>
          <cell r="I208">
            <v>38</v>
          </cell>
          <cell r="J208">
            <v>84</v>
          </cell>
          <cell r="K208">
            <v>122</v>
          </cell>
          <cell r="S208">
            <v>0</v>
          </cell>
          <cell r="V208" t="str">
            <v>LV</v>
          </cell>
          <cell r="W208" t="str">
            <v>TE</v>
          </cell>
          <cell r="X208" t="str">
            <v>6/26-HW2-G4</v>
          </cell>
        </row>
        <row r="209">
          <cell r="A209" t="str">
            <v>HW2-G7-43277</v>
          </cell>
          <cell r="B209" t="str">
            <v>6/26-HW2-G7</v>
          </cell>
          <cell r="C209">
            <v>43277</v>
          </cell>
          <cell r="D209" t="str">
            <v>HW2</v>
          </cell>
          <cell r="E209" t="str">
            <v>G7</v>
          </cell>
          <cell r="F209">
            <v>43279</v>
          </cell>
          <cell r="G209" t="str">
            <v>TE</v>
          </cell>
          <cell r="I209">
            <v>18</v>
          </cell>
          <cell r="J209">
            <v>72</v>
          </cell>
          <cell r="K209">
            <v>90</v>
          </cell>
          <cell r="R209">
            <v>3</v>
          </cell>
          <cell r="S209">
            <v>0</v>
          </cell>
          <cell r="V209" t="str">
            <v>LV</v>
          </cell>
          <cell r="W209" t="str">
            <v>TE</v>
          </cell>
          <cell r="X209" t="str">
            <v>6/26-HW2-G7</v>
          </cell>
        </row>
        <row r="210">
          <cell r="A210" t="str">
            <v>HW2-H5-43277</v>
          </cell>
          <cell r="B210" t="str">
            <v>6/26-HW2-H5</v>
          </cell>
          <cell r="C210">
            <v>43277</v>
          </cell>
          <cell r="D210" t="str">
            <v>HW2</v>
          </cell>
          <cell r="E210" t="str">
            <v>H5</v>
          </cell>
          <cell r="F210">
            <v>43279</v>
          </cell>
          <cell r="G210" t="str">
            <v>TE</v>
          </cell>
          <cell r="K210">
            <v>0</v>
          </cell>
          <cell r="R210">
            <v>3</v>
          </cell>
          <cell r="S210">
            <v>0</v>
          </cell>
          <cell r="V210" t="str">
            <v>LV</v>
          </cell>
          <cell r="W210" t="str">
            <v>TE</v>
          </cell>
          <cell r="X210" t="str">
            <v>6/26-HW2-H5</v>
          </cell>
        </row>
        <row r="211">
          <cell r="A211" t="str">
            <v>HW2-H7-43277</v>
          </cell>
          <cell r="B211" t="str">
            <v>6/26-HW2-H7</v>
          </cell>
          <cell r="C211">
            <v>43277</v>
          </cell>
          <cell r="D211" t="str">
            <v>HW2</v>
          </cell>
          <cell r="E211" t="str">
            <v>H7</v>
          </cell>
          <cell r="F211">
            <v>43279</v>
          </cell>
          <cell r="G211" t="str">
            <v>IS</v>
          </cell>
          <cell r="H211">
            <v>0</v>
          </cell>
          <cell r="I211">
            <v>0</v>
          </cell>
          <cell r="J211">
            <v>0</v>
          </cell>
          <cell r="K211">
            <v>0</v>
          </cell>
          <cell r="L211">
            <v>0</v>
          </cell>
          <cell r="M211">
            <v>0</v>
          </cell>
          <cell r="N211">
            <v>0</v>
          </cell>
          <cell r="O211">
            <v>0</v>
          </cell>
          <cell r="P211">
            <v>0</v>
          </cell>
          <cell r="Q211">
            <v>0</v>
          </cell>
          <cell r="R211">
            <v>0</v>
          </cell>
          <cell r="S211">
            <v>0</v>
          </cell>
          <cell r="T211" t="str">
            <v>Y</v>
          </cell>
          <cell r="V211" t="str">
            <v>IS</v>
          </cell>
          <cell r="W211" t="str">
            <v>TE</v>
          </cell>
          <cell r="X211" t="str">
            <v>6/26-HW2-H7</v>
          </cell>
        </row>
        <row r="212">
          <cell r="A212" t="str">
            <v>HW2-A1-43278</v>
          </cell>
          <cell r="B212" t="str">
            <v>6/27-HW2-A1</v>
          </cell>
          <cell r="C212">
            <v>43278</v>
          </cell>
          <cell r="D212" t="str">
            <v>HW2</v>
          </cell>
          <cell r="E212" t="str">
            <v>A1</v>
          </cell>
          <cell r="F212">
            <v>43279</v>
          </cell>
          <cell r="G212" t="str">
            <v>JB</v>
          </cell>
          <cell r="H212">
            <v>0</v>
          </cell>
          <cell r="I212">
            <v>14264</v>
          </cell>
          <cell r="J212">
            <v>88</v>
          </cell>
          <cell r="K212">
            <v>14352</v>
          </cell>
          <cell r="L212">
            <v>0</v>
          </cell>
          <cell r="M212">
            <v>0</v>
          </cell>
          <cell r="N212">
            <v>0</v>
          </cell>
          <cell r="O212">
            <v>0</v>
          </cell>
          <cell r="P212">
            <v>0</v>
          </cell>
          <cell r="Q212">
            <v>0</v>
          </cell>
          <cell r="R212">
            <v>0</v>
          </cell>
          <cell r="S212">
            <v>0</v>
          </cell>
          <cell r="T212" t="str">
            <v>N</v>
          </cell>
          <cell r="U212" t="str">
            <v>25% for Coccidia sp</v>
          </cell>
          <cell r="V212" t="str">
            <v>JB</v>
          </cell>
          <cell r="W212" t="str">
            <v>TE</v>
          </cell>
          <cell r="X212" t="str">
            <v>6/27-HW2-A1</v>
          </cell>
        </row>
        <row r="213">
          <cell r="A213" t="str">
            <v>HW2-G4-43278</v>
          </cell>
          <cell r="B213" t="str">
            <v>6/27-HW2-G4</v>
          </cell>
          <cell r="C213">
            <v>43278</v>
          </cell>
          <cell r="D213" t="str">
            <v>HW2</v>
          </cell>
          <cell r="E213" t="str">
            <v>G4</v>
          </cell>
          <cell r="F213">
            <v>43279</v>
          </cell>
          <cell r="G213" t="str">
            <v>LV</v>
          </cell>
          <cell r="H213">
            <v>0</v>
          </cell>
          <cell r="I213">
            <v>0</v>
          </cell>
          <cell r="J213">
            <v>0</v>
          </cell>
          <cell r="K213">
            <v>0</v>
          </cell>
          <cell r="L213">
            <v>0</v>
          </cell>
          <cell r="M213">
            <v>0</v>
          </cell>
          <cell r="N213">
            <v>0</v>
          </cell>
          <cell r="O213">
            <v>0</v>
          </cell>
          <cell r="P213">
            <v>0</v>
          </cell>
          <cell r="Q213">
            <v>0</v>
          </cell>
          <cell r="R213">
            <v>0</v>
          </cell>
          <cell r="S213">
            <v>0</v>
          </cell>
          <cell r="V213" t="str">
            <v>LV</v>
          </cell>
          <cell r="W213" t="str">
            <v>TE</v>
          </cell>
          <cell r="X213" t="str">
            <v>6/27-HW2-G4</v>
          </cell>
        </row>
        <row r="214">
          <cell r="A214" t="str">
            <v>HW2-G8-43278</v>
          </cell>
          <cell r="B214" t="str">
            <v>6/27-HW2-G8</v>
          </cell>
          <cell r="C214">
            <v>43278</v>
          </cell>
          <cell r="D214" t="str">
            <v>HW2</v>
          </cell>
          <cell r="E214" t="str">
            <v>G8</v>
          </cell>
          <cell r="F214">
            <v>43279</v>
          </cell>
          <cell r="G214" t="str">
            <v>IS</v>
          </cell>
          <cell r="H214">
            <v>6</v>
          </cell>
          <cell r="I214">
            <v>14</v>
          </cell>
          <cell r="J214">
            <v>4</v>
          </cell>
          <cell r="K214">
            <v>24</v>
          </cell>
          <cell r="N214">
            <v>2</v>
          </cell>
          <cell r="R214">
            <v>1</v>
          </cell>
          <cell r="S214">
            <v>2</v>
          </cell>
          <cell r="T214" t="str">
            <v>Y</v>
          </cell>
          <cell r="V214" t="str">
            <v>IS</v>
          </cell>
          <cell r="W214" t="str">
            <v>JB</v>
          </cell>
          <cell r="X214" t="str">
            <v>6/27-HW2-G8</v>
          </cell>
        </row>
        <row r="215">
          <cell r="A215" t="str">
            <v>HW2-H8-43278</v>
          </cell>
          <cell r="B215" t="str">
            <v>6/27-HW2-H8</v>
          </cell>
          <cell r="C215">
            <v>43278</v>
          </cell>
          <cell r="D215" t="str">
            <v>HW2</v>
          </cell>
          <cell r="E215" t="str">
            <v>H8</v>
          </cell>
          <cell r="F215">
            <v>43280</v>
          </cell>
          <cell r="G215" t="str">
            <v>LV</v>
          </cell>
          <cell r="I215">
            <v>36</v>
          </cell>
          <cell r="K215">
            <v>36</v>
          </cell>
          <cell r="L215">
            <v>4</v>
          </cell>
          <cell r="S215">
            <v>4</v>
          </cell>
          <cell r="V215" t="str">
            <v>LV</v>
          </cell>
          <cell r="W215" t="str">
            <v>TE</v>
          </cell>
          <cell r="X215" t="str">
            <v>6/27-HW2-H8</v>
          </cell>
        </row>
        <row r="216">
          <cell r="A216" t="str">
            <v>HW1-G1-43279</v>
          </cell>
          <cell r="B216" t="str">
            <v>6/28-HW1-G1</v>
          </cell>
          <cell r="C216">
            <v>43279</v>
          </cell>
          <cell r="D216" t="str">
            <v>HW1</v>
          </cell>
          <cell r="E216" t="str">
            <v>G1</v>
          </cell>
          <cell r="F216">
            <v>43280</v>
          </cell>
          <cell r="G216" t="str">
            <v>LV</v>
          </cell>
          <cell r="I216">
            <v>3106</v>
          </cell>
          <cell r="K216">
            <v>3106</v>
          </cell>
          <cell r="S216">
            <v>0</v>
          </cell>
          <cell r="V216" t="str">
            <v>LV</v>
          </cell>
          <cell r="W216" t="str">
            <v>TE</v>
          </cell>
          <cell r="X216" t="str">
            <v>6/28-HW1-G1</v>
          </cell>
        </row>
        <row r="217">
          <cell r="A217" t="str">
            <v>HW2-H2-43279</v>
          </cell>
          <cell r="B217" t="str">
            <v>6/28-HW2-H2</v>
          </cell>
          <cell r="C217">
            <v>43279</v>
          </cell>
          <cell r="D217" t="str">
            <v>HW2</v>
          </cell>
          <cell r="E217" t="str">
            <v>H2</v>
          </cell>
          <cell r="F217">
            <v>43280</v>
          </cell>
          <cell r="G217" t="str">
            <v>LV</v>
          </cell>
          <cell r="H217">
            <v>0</v>
          </cell>
          <cell r="I217">
            <v>0</v>
          </cell>
          <cell r="J217">
            <v>0</v>
          </cell>
          <cell r="K217">
            <v>0</v>
          </cell>
          <cell r="L217">
            <v>0</v>
          </cell>
          <cell r="M217">
            <v>0</v>
          </cell>
          <cell r="N217">
            <v>0</v>
          </cell>
          <cell r="O217">
            <v>0</v>
          </cell>
          <cell r="P217">
            <v>0</v>
          </cell>
          <cell r="Q217">
            <v>0</v>
          </cell>
          <cell r="R217">
            <v>0</v>
          </cell>
          <cell r="S217">
            <v>0</v>
          </cell>
          <cell r="V217" t="str">
            <v>LV</v>
          </cell>
          <cell r="W217" t="str">
            <v>TE</v>
          </cell>
          <cell r="X217" t="str">
            <v>6/28-HW2-H2</v>
          </cell>
        </row>
        <row r="218">
          <cell r="A218" t="str">
            <v>PO1-B5-43283</v>
          </cell>
          <cell r="B218" t="str">
            <v>7/2-PO1-B5</v>
          </cell>
          <cell r="C218">
            <v>43283</v>
          </cell>
          <cell r="D218" t="str">
            <v>PO1</v>
          </cell>
          <cell r="E218" t="str">
            <v>B5</v>
          </cell>
          <cell r="F218">
            <v>43288</v>
          </cell>
          <cell r="G218" t="str">
            <v>DP</v>
          </cell>
          <cell r="H218">
            <v>20</v>
          </cell>
          <cell r="I218">
            <v>1252</v>
          </cell>
          <cell r="K218">
            <v>1272</v>
          </cell>
          <cell r="Q218">
            <v>4</v>
          </cell>
          <cell r="S218">
            <v>0</v>
          </cell>
          <cell r="T218" t="str">
            <v>Y</v>
          </cell>
          <cell r="V218" t="str">
            <v>DP</v>
          </cell>
          <cell r="W218" t="str">
            <v>JB</v>
          </cell>
          <cell r="X218" t="str">
            <v>7/2-PO1-B5</v>
          </cell>
        </row>
        <row r="219">
          <cell r="A219" t="str">
            <v>PO1-C1-43283</v>
          </cell>
          <cell r="B219" t="str">
            <v>7/2-PO1-C1</v>
          </cell>
          <cell r="C219">
            <v>43283</v>
          </cell>
          <cell r="D219" t="str">
            <v>PO1</v>
          </cell>
          <cell r="E219" t="str">
            <v>C1</v>
          </cell>
          <cell r="F219">
            <v>43287</v>
          </cell>
          <cell r="G219" t="str">
            <v>TE</v>
          </cell>
          <cell r="K219">
            <v>0</v>
          </cell>
          <cell r="R219">
            <v>1</v>
          </cell>
          <cell r="S219">
            <v>0</v>
          </cell>
          <cell r="V219" t="str">
            <v>LV</v>
          </cell>
          <cell r="W219" t="str">
            <v>TE</v>
          </cell>
          <cell r="X219" t="str">
            <v>7/2-PO1-C1</v>
          </cell>
        </row>
        <row r="220">
          <cell r="A220" t="str">
            <v>PO1-E1-43283</v>
          </cell>
          <cell r="B220" t="str">
            <v>7/2-PO1-E1</v>
          </cell>
          <cell r="C220">
            <v>43283</v>
          </cell>
          <cell r="D220" t="str">
            <v>PO1</v>
          </cell>
          <cell r="E220" t="str">
            <v>E1</v>
          </cell>
          <cell r="F220">
            <v>43287</v>
          </cell>
          <cell r="G220" t="str">
            <v>DP</v>
          </cell>
          <cell r="I220">
            <v>4</v>
          </cell>
          <cell r="K220">
            <v>4</v>
          </cell>
          <cell r="S220">
            <v>0</v>
          </cell>
          <cell r="T220" t="str">
            <v>Y</v>
          </cell>
          <cell r="V220" t="str">
            <v>DP</v>
          </cell>
          <cell r="W220" t="str">
            <v>JB</v>
          </cell>
          <cell r="X220" t="str">
            <v>7/2-PO1-E1</v>
          </cell>
        </row>
        <row r="221">
          <cell r="A221" t="str">
            <v>PO1-F1-43283</v>
          </cell>
          <cell r="B221" t="str">
            <v>7/2-PO1-F1</v>
          </cell>
          <cell r="C221">
            <v>43283</v>
          </cell>
          <cell r="D221" t="str">
            <v>PO1</v>
          </cell>
          <cell r="E221" t="str">
            <v>F1</v>
          </cell>
          <cell r="F221">
            <v>43286</v>
          </cell>
          <cell r="G221" t="str">
            <v>DP</v>
          </cell>
          <cell r="H221">
            <v>2</v>
          </cell>
          <cell r="I221">
            <v>26</v>
          </cell>
          <cell r="K221">
            <v>28</v>
          </cell>
          <cell r="S221">
            <v>0</v>
          </cell>
          <cell r="T221" t="str">
            <v>Y</v>
          </cell>
          <cell r="V221" t="str">
            <v>DP</v>
          </cell>
          <cell r="W221" t="str">
            <v>JB</v>
          </cell>
          <cell r="X221" t="str">
            <v>7/2-PO1-F1</v>
          </cell>
        </row>
        <row r="222">
          <cell r="A222" t="str">
            <v>PO1-F6-43283</v>
          </cell>
          <cell r="B222" t="str">
            <v>7/2-PO1-F6</v>
          </cell>
          <cell r="C222">
            <v>43283</v>
          </cell>
          <cell r="D222" t="str">
            <v>PO1</v>
          </cell>
          <cell r="E222" t="str">
            <v>F6</v>
          </cell>
          <cell r="F222">
            <v>43287</v>
          </cell>
          <cell r="G222" t="str">
            <v>DP</v>
          </cell>
          <cell r="H222">
            <v>0</v>
          </cell>
          <cell r="I222">
            <v>0</v>
          </cell>
          <cell r="J222">
            <v>0</v>
          </cell>
          <cell r="K222">
            <v>0</v>
          </cell>
          <cell r="L222">
            <v>0</v>
          </cell>
          <cell r="M222">
            <v>0</v>
          </cell>
          <cell r="N222">
            <v>0</v>
          </cell>
          <cell r="O222">
            <v>0</v>
          </cell>
          <cell r="P222">
            <v>0</v>
          </cell>
          <cell r="Q222">
            <v>0</v>
          </cell>
          <cell r="R222">
            <v>0</v>
          </cell>
          <cell r="S222">
            <v>0</v>
          </cell>
          <cell r="T222" t="str">
            <v>Y</v>
          </cell>
          <cell r="V222" t="str">
            <v>DP</v>
          </cell>
          <cell r="W222" t="str">
            <v>JB</v>
          </cell>
          <cell r="X222" t="str">
            <v>7/2-PO1-F6</v>
          </cell>
        </row>
        <row r="223">
          <cell r="A223" t="str">
            <v>PO1-H4-43283</v>
          </cell>
          <cell r="B223" t="str">
            <v>7/2-PO1-H4</v>
          </cell>
          <cell r="C223">
            <v>43283</v>
          </cell>
          <cell r="D223" t="str">
            <v>PO1</v>
          </cell>
          <cell r="E223" t="str">
            <v>H4</v>
          </cell>
          <cell r="F223">
            <v>43286</v>
          </cell>
          <cell r="G223" t="str">
            <v>TE</v>
          </cell>
          <cell r="H223">
            <v>0</v>
          </cell>
          <cell r="I223">
            <v>0</v>
          </cell>
          <cell r="J223">
            <v>0</v>
          </cell>
          <cell r="K223">
            <v>0</v>
          </cell>
          <cell r="L223">
            <v>0</v>
          </cell>
          <cell r="M223">
            <v>0</v>
          </cell>
          <cell r="N223">
            <v>0</v>
          </cell>
          <cell r="O223">
            <v>0</v>
          </cell>
          <cell r="P223">
            <v>0</v>
          </cell>
          <cell r="Q223">
            <v>0</v>
          </cell>
          <cell r="R223">
            <v>0</v>
          </cell>
          <cell r="S223">
            <v>0</v>
          </cell>
          <cell r="V223" t="str">
            <v>LV</v>
          </cell>
          <cell r="W223" t="str">
            <v>TE</v>
          </cell>
          <cell r="X223" t="str">
            <v>7/2-PO1-H4</v>
          </cell>
        </row>
        <row r="224">
          <cell r="A224" t="str">
            <v>PO2-A1-43283</v>
          </cell>
          <cell r="B224" t="str">
            <v>7/2-PO2-A1</v>
          </cell>
          <cell r="C224">
            <v>43283</v>
          </cell>
          <cell r="D224" t="str">
            <v>PO2</v>
          </cell>
          <cell r="E224" t="str">
            <v>A1</v>
          </cell>
          <cell r="F224">
            <v>43287</v>
          </cell>
          <cell r="G224" t="str">
            <v>JB</v>
          </cell>
          <cell r="H224">
            <v>0</v>
          </cell>
          <cell r="I224">
            <v>0</v>
          </cell>
          <cell r="J224">
            <v>0</v>
          </cell>
          <cell r="K224">
            <v>0</v>
          </cell>
          <cell r="L224">
            <v>0</v>
          </cell>
          <cell r="M224">
            <v>0</v>
          </cell>
          <cell r="N224">
            <v>0</v>
          </cell>
          <cell r="O224">
            <v>0</v>
          </cell>
          <cell r="P224">
            <v>0</v>
          </cell>
          <cell r="Q224">
            <v>0</v>
          </cell>
          <cell r="R224">
            <v>0</v>
          </cell>
          <cell r="S224">
            <v>0</v>
          </cell>
          <cell r="T224" t="str">
            <v>Y</v>
          </cell>
          <cell r="V224" t="str">
            <v>JB</v>
          </cell>
          <cell r="W224" t="str">
            <v>TE</v>
          </cell>
          <cell r="X224" t="str">
            <v>7/2-PO2-A1</v>
          </cell>
        </row>
        <row r="225">
          <cell r="A225" t="str">
            <v>PO2-A2-43283</v>
          </cell>
          <cell r="B225" t="str">
            <v>7/2-PO2-A2</v>
          </cell>
          <cell r="C225">
            <v>43283</v>
          </cell>
          <cell r="D225" t="str">
            <v>PO2</v>
          </cell>
          <cell r="E225" t="str">
            <v>A2</v>
          </cell>
          <cell r="F225">
            <v>43288</v>
          </cell>
          <cell r="G225" t="str">
            <v>DP</v>
          </cell>
          <cell r="H225">
            <v>0</v>
          </cell>
          <cell r="I225">
            <v>0</v>
          </cell>
          <cell r="J225">
            <v>0</v>
          </cell>
          <cell r="K225">
            <v>0</v>
          </cell>
          <cell r="L225">
            <v>0</v>
          </cell>
          <cell r="M225">
            <v>0</v>
          </cell>
          <cell r="N225">
            <v>0</v>
          </cell>
          <cell r="O225">
            <v>0</v>
          </cell>
          <cell r="P225">
            <v>0</v>
          </cell>
          <cell r="Q225">
            <v>0</v>
          </cell>
          <cell r="R225">
            <v>0</v>
          </cell>
          <cell r="S225">
            <v>0</v>
          </cell>
          <cell r="T225" t="str">
            <v>Y</v>
          </cell>
          <cell r="U225"/>
          <cell r="V225" t="str">
            <v>DP</v>
          </cell>
          <cell r="W225" t="str">
            <v>JB</v>
          </cell>
          <cell r="X225" t="str">
            <v>7/2-PO2-A2</v>
          </cell>
          <cell r="Y225" t="str">
            <v>duplicate, one should be A7</v>
          </cell>
        </row>
        <row r="226">
          <cell r="A226" t="str">
            <v>PO2-A2-43283</v>
          </cell>
          <cell r="B226" t="str">
            <v>7/2-PO2-A2</v>
          </cell>
          <cell r="C226">
            <v>43283</v>
          </cell>
          <cell r="D226" t="str">
            <v>PO2</v>
          </cell>
          <cell r="E226" t="str">
            <v>A2</v>
          </cell>
          <cell r="F226">
            <v>43288</v>
          </cell>
          <cell r="G226" t="str">
            <v>JB</v>
          </cell>
          <cell r="H226">
            <v>148</v>
          </cell>
          <cell r="I226">
            <v>2232</v>
          </cell>
          <cell r="J226">
            <v>0</v>
          </cell>
          <cell r="K226">
            <v>2380</v>
          </cell>
          <cell r="L226">
            <v>0</v>
          </cell>
          <cell r="M226">
            <v>0</v>
          </cell>
          <cell r="N226">
            <v>0</v>
          </cell>
          <cell r="O226">
            <v>0</v>
          </cell>
          <cell r="P226">
            <v>0</v>
          </cell>
          <cell r="Q226">
            <v>0</v>
          </cell>
          <cell r="R226">
            <v>2</v>
          </cell>
          <cell r="S226">
            <v>0</v>
          </cell>
          <cell r="T226" t="str">
            <v>Y</v>
          </cell>
          <cell r="U226"/>
          <cell r="V226" t="str">
            <v>JB</v>
          </cell>
          <cell r="W226" t="str">
            <v>TE</v>
          </cell>
          <cell r="X226" t="str">
            <v>7/2-PO2-A2</v>
          </cell>
          <cell r="Y226" t="str">
            <v>duplicate, one should be A7</v>
          </cell>
        </row>
        <row r="227">
          <cell r="A227" t="str">
            <v>PO2-A8-43283</v>
          </cell>
          <cell r="B227" t="str">
            <v>7/2-PO2-A8</v>
          </cell>
          <cell r="C227">
            <v>43283</v>
          </cell>
          <cell r="D227" t="str">
            <v>PO2</v>
          </cell>
          <cell r="E227" t="str">
            <v>A8</v>
          </cell>
          <cell r="F227">
            <v>43287</v>
          </cell>
          <cell r="G227" t="str">
            <v>TE</v>
          </cell>
          <cell r="H227">
            <v>0</v>
          </cell>
          <cell r="I227">
            <v>0</v>
          </cell>
          <cell r="J227">
            <v>0</v>
          </cell>
          <cell r="K227">
            <v>0</v>
          </cell>
          <cell r="L227">
            <v>0</v>
          </cell>
          <cell r="M227">
            <v>0</v>
          </cell>
          <cell r="N227">
            <v>0</v>
          </cell>
          <cell r="O227">
            <v>0</v>
          </cell>
          <cell r="P227">
            <v>0</v>
          </cell>
          <cell r="Q227">
            <v>0</v>
          </cell>
          <cell r="R227">
            <v>0</v>
          </cell>
          <cell r="S227">
            <v>0</v>
          </cell>
          <cell r="V227" t="str">
            <v>LV</v>
          </cell>
          <cell r="W227" t="str">
            <v>TE</v>
          </cell>
          <cell r="X227" t="str">
            <v>7/2-PO2-A8</v>
          </cell>
        </row>
        <row r="228">
          <cell r="A228" t="str">
            <v>PO2-B5-43283</v>
          </cell>
          <cell r="B228" t="str">
            <v>7/2-PO2-B5</v>
          </cell>
          <cell r="C228">
            <v>43283</v>
          </cell>
          <cell r="D228" t="str">
            <v>PO2</v>
          </cell>
          <cell r="E228" t="str">
            <v>B5</v>
          </cell>
          <cell r="F228">
            <v>43286</v>
          </cell>
          <cell r="G228" t="str">
            <v>JB</v>
          </cell>
          <cell r="H228">
            <v>0</v>
          </cell>
          <cell r="I228">
            <v>0</v>
          </cell>
          <cell r="J228">
            <v>0</v>
          </cell>
          <cell r="K228">
            <v>0</v>
          </cell>
          <cell r="L228">
            <v>0</v>
          </cell>
          <cell r="M228">
            <v>0</v>
          </cell>
          <cell r="N228">
            <v>0</v>
          </cell>
          <cell r="O228">
            <v>0</v>
          </cell>
          <cell r="P228">
            <v>0</v>
          </cell>
          <cell r="Q228">
            <v>0</v>
          </cell>
          <cell r="R228">
            <v>0</v>
          </cell>
          <cell r="S228">
            <v>0</v>
          </cell>
          <cell r="T228" t="str">
            <v>Y</v>
          </cell>
          <cell r="V228" t="str">
            <v>JB</v>
          </cell>
          <cell r="W228" t="str">
            <v>TE</v>
          </cell>
          <cell r="X228" t="str">
            <v>7/2-PO2-B5</v>
          </cell>
        </row>
        <row r="229">
          <cell r="A229" t="str">
            <v>PO2-D1-43283</v>
          </cell>
          <cell r="B229" t="str">
            <v>7/2-PO2-D1</v>
          </cell>
          <cell r="C229">
            <v>43283</v>
          </cell>
          <cell r="D229" t="str">
            <v>PO2</v>
          </cell>
          <cell r="E229" t="str">
            <v>D1</v>
          </cell>
          <cell r="F229">
            <v>43288</v>
          </cell>
          <cell r="G229" t="str">
            <v>TE</v>
          </cell>
          <cell r="H229">
            <v>0</v>
          </cell>
          <cell r="I229">
            <v>0</v>
          </cell>
          <cell r="J229">
            <v>0</v>
          </cell>
          <cell r="K229">
            <v>0</v>
          </cell>
          <cell r="L229">
            <v>0</v>
          </cell>
          <cell r="M229">
            <v>0</v>
          </cell>
          <cell r="N229">
            <v>0</v>
          </cell>
          <cell r="O229">
            <v>0</v>
          </cell>
          <cell r="P229">
            <v>0</v>
          </cell>
          <cell r="Q229">
            <v>0</v>
          </cell>
          <cell r="R229">
            <v>0</v>
          </cell>
          <cell r="S229">
            <v>0</v>
          </cell>
          <cell r="V229" t="str">
            <v>LV</v>
          </cell>
          <cell r="W229" t="str">
            <v>TE</v>
          </cell>
          <cell r="X229" t="str">
            <v>7/2-PO2-D1</v>
          </cell>
        </row>
        <row r="230">
          <cell r="A230" t="str">
            <v>PO2-D8-43283</v>
          </cell>
          <cell r="B230" t="str">
            <v>7/2-PO2-D8</v>
          </cell>
          <cell r="C230">
            <v>43283</v>
          </cell>
          <cell r="D230" t="str">
            <v>PO2</v>
          </cell>
          <cell r="E230" t="str">
            <v>D8</v>
          </cell>
          <cell r="F230">
            <v>43287</v>
          </cell>
          <cell r="G230" t="str">
            <v>DP</v>
          </cell>
          <cell r="H230">
            <v>0</v>
          </cell>
          <cell r="I230">
            <v>0</v>
          </cell>
          <cell r="J230">
            <v>0</v>
          </cell>
          <cell r="K230">
            <v>0</v>
          </cell>
          <cell r="L230">
            <v>0</v>
          </cell>
          <cell r="M230">
            <v>0</v>
          </cell>
          <cell r="N230">
            <v>0</v>
          </cell>
          <cell r="O230">
            <v>0</v>
          </cell>
          <cell r="P230">
            <v>0</v>
          </cell>
          <cell r="Q230">
            <v>0</v>
          </cell>
          <cell r="R230">
            <v>0</v>
          </cell>
          <cell r="S230">
            <v>0</v>
          </cell>
          <cell r="T230" t="str">
            <v>Y</v>
          </cell>
          <cell r="V230" t="str">
            <v>DP</v>
          </cell>
          <cell r="W230" t="str">
            <v>JB</v>
          </cell>
          <cell r="X230" t="str">
            <v>7/2-PO2-D8</v>
          </cell>
        </row>
        <row r="231">
          <cell r="A231" t="str">
            <v>PO2-E7-43283</v>
          </cell>
          <cell r="B231" t="str">
            <v>7/2-PO2-E7</v>
          </cell>
          <cell r="C231">
            <v>43283</v>
          </cell>
          <cell r="D231" t="str">
            <v>PO2</v>
          </cell>
          <cell r="E231" t="str">
            <v>E7</v>
          </cell>
          <cell r="F231">
            <v>43288</v>
          </cell>
          <cell r="G231" t="str">
            <v>TE</v>
          </cell>
          <cell r="H231">
            <v>4</v>
          </cell>
          <cell r="J231">
            <v>18</v>
          </cell>
          <cell r="K231">
            <v>22</v>
          </cell>
          <cell r="S231">
            <v>0</v>
          </cell>
          <cell r="V231" t="str">
            <v>LV</v>
          </cell>
          <cell r="W231" t="str">
            <v>TE</v>
          </cell>
          <cell r="X231" t="str">
            <v>7/2-PO2-E7</v>
          </cell>
        </row>
        <row r="232">
          <cell r="A232" t="str">
            <v>PO2-G6-43283</v>
          </cell>
          <cell r="B232" t="str">
            <v>7/2-PO2-G6</v>
          </cell>
          <cell r="C232">
            <v>43283</v>
          </cell>
          <cell r="D232" t="str">
            <v>PO2</v>
          </cell>
          <cell r="E232" t="str">
            <v>G6</v>
          </cell>
          <cell r="F232">
            <v>43287</v>
          </cell>
          <cell r="G232" t="str">
            <v>JB</v>
          </cell>
          <cell r="H232">
            <v>0</v>
          </cell>
          <cell r="I232">
            <v>24</v>
          </cell>
          <cell r="J232">
            <v>0</v>
          </cell>
          <cell r="K232">
            <v>24</v>
          </cell>
          <cell r="L232">
            <v>0</v>
          </cell>
          <cell r="M232">
            <v>0</v>
          </cell>
          <cell r="N232">
            <v>0</v>
          </cell>
          <cell r="O232">
            <v>0</v>
          </cell>
          <cell r="P232">
            <v>0</v>
          </cell>
          <cell r="Q232">
            <v>0</v>
          </cell>
          <cell r="R232">
            <v>0</v>
          </cell>
          <cell r="S232">
            <v>0</v>
          </cell>
          <cell r="T232" t="str">
            <v>Y</v>
          </cell>
          <cell r="V232" t="str">
            <v>JB</v>
          </cell>
          <cell r="W232" t="str">
            <v>TE</v>
          </cell>
          <cell r="X232" t="str">
            <v>7/2-PO2-G6</v>
          </cell>
        </row>
        <row r="233">
          <cell r="A233" t="str">
            <v>PO2-G8-43283</v>
          </cell>
          <cell r="B233" t="str">
            <v>7/2-PO2-G8</v>
          </cell>
          <cell r="C233">
            <v>43283</v>
          </cell>
          <cell r="D233" t="str">
            <v>PO2</v>
          </cell>
          <cell r="E233" t="str">
            <v>G8</v>
          </cell>
          <cell r="F233">
            <v>43287</v>
          </cell>
          <cell r="G233" t="str">
            <v>DP</v>
          </cell>
          <cell r="H233">
            <v>2</v>
          </cell>
          <cell r="I233">
            <v>76</v>
          </cell>
          <cell r="J233">
            <v>2</v>
          </cell>
          <cell r="K233">
            <v>80</v>
          </cell>
          <cell r="S233">
            <v>0</v>
          </cell>
          <cell r="T233" t="str">
            <v>Y</v>
          </cell>
          <cell r="V233" t="str">
            <v>DP</v>
          </cell>
          <cell r="W233" t="str">
            <v>JB</v>
          </cell>
          <cell r="X233" t="str">
            <v>7/2-PO2-G8</v>
          </cell>
        </row>
        <row r="234">
          <cell r="A234" t="str">
            <v>PO2-H3-43283</v>
          </cell>
          <cell r="B234" t="str">
            <v>7/2-PO2-H3</v>
          </cell>
          <cell r="C234">
            <v>43283</v>
          </cell>
          <cell r="D234" t="str">
            <v>PO2</v>
          </cell>
          <cell r="E234" t="str">
            <v>H3</v>
          </cell>
          <cell r="F234">
            <v>43287</v>
          </cell>
          <cell r="G234" t="str">
            <v>TE</v>
          </cell>
          <cell r="H234">
            <v>278</v>
          </cell>
          <cell r="J234">
            <v>34</v>
          </cell>
          <cell r="K234">
            <v>312</v>
          </cell>
          <cell r="R234">
            <v>1</v>
          </cell>
          <cell r="S234">
            <v>0</v>
          </cell>
          <cell r="V234" t="str">
            <v>LV</v>
          </cell>
          <cell r="W234" t="str">
            <v>TE</v>
          </cell>
          <cell r="X234" t="str">
            <v>7/2-PO2-H3</v>
          </cell>
        </row>
        <row r="235">
          <cell r="A235" t="str">
            <v>PO2-H7-43283</v>
          </cell>
          <cell r="B235" t="str">
            <v>7/2-PO2-H7</v>
          </cell>
          <cell r="C235">
            <v>43283</v>
          </cell>
          <cell r="D235" t="str">
            <v>PO2</v>
          </cell>
          <cell r="E235" t="str">
            <v>H7</v>
          </cell>
          <cell r="F235">
            <v>43287</v>
          </cell>
          <cell r="G235" t="str">
            <v>TE</v>
          </cell>
          <cell r="K235">
            <v>0</v>
          </cell>
          <cell r="R235">
            <v>1</v>
          </cell>
          <cell r="S235">
            <v>0</v>
          </cell>
          <cell r="V235" t="str">
            <v>LV</v>
          </cell>
          <cell r="W235" t="str">
            <v>TE</v>
          </cell>
          <cell r="X235" t="str">
            <v>7/2-PO2-H7</v>
          </cell>
        </row>
        <row r="236">
          <cell r="A236" t="str">
            <v>PO1-A4-43284</v>
          </cell>
          <cell r="B236" t="str">
            <v>7/3-PO1-A4</v>
          </cell>
          <cell r="C236">
            <v>43284</v>
          </cell>
          <cell r="D236" t="str">
            <v>PO1</v>
          </cell>
          <cell r="E236" t="str">
            <v>A4</v>
          </cell>
          <cell r="F236">
            <v>43288</v>
          </cell>
          <cell r="G236" t="str">
            <v>JB</v>
          </cell>
          <cell r="H236">
            <v>0</v>
          </cell>
          <cell r="I236">
            <v>608</v>
          </cell>
          <cell r="J236">
            <v>0</v>
          </cell>
          <cell r="K236">
            <v>608</v>
          </cell>
          <cell r="L236">
            <v>0</v>
          </cell>
          <cell r="M236">
            <v>0</v>
          </cell>
          <cell r="N236">
            <v>0</v>
          </cell>
          <cell r="O236">
            <v>0</v>
          </cell>
          <cell r="P236">
            <v>0</v>
          </cell>
          <cell r="Q236">
            <v>0</v>
          </cell>
          <cell r="R236">
            <v>0</v>
          </cell>
          <cell r="S236">
            <v>0</v>
          </cell>
          <cell r="T236" t="str">
            <v>Y</v>
          </cell>
          <cell r="V236" t="str">
            <v>JB</v>
          </cell>
          <cell r="W236" t="str">
            <v>TE</v>
          </cell>
          <cell r="X236" t="str">
            <v>7/3-PO1-A4</v>
          </cell>
        </row>
        <row r="237">
          <cell r="A237" t="str">
            <v>PO1-B8-43284</v>
          </cell>
          <cell r="B237" t="str">
            <v>7/3-PO1-B8</v>
          </cell>
          <cell r="C237">
            <v>43284</v>
          </cell>
          <cell r="D237" t="str">
            <v>PO1</v>
          </cell>
          <cell r="E237" t="str">
            <v>B8</v>
          </cell>
          <cell r="F237">
            <v>43292</v>
          </cell>
          <cell r="G237" t="str">
            <v>TE</v>
          </cell>
          <cell r="K237">
            <v>0</v>
          </cell>
          <cell r="R237">
            <v>1</v>
          </cell>
          <cell r="S237">
            <v>0</v>
          </cell>
          <cell r="V237" t="str">
            <v>LV</v>
          </cell>
          <cell r="W237" t="str">
            <v>TE</v>
          </cell>
          <cell r="X237" t="str">
            <v>7/3-PO1-B8</v>
          </cell>
        </row>
        <row r="238">
          <cell r="A238" t="str">
            <v>PO1-C8-43284</v>
          </cell>
          <cell r="B238" t="str">
            <v>7/3-PO1-C8</v>
          </cell>
          <cell r="C238">
            <v>43284</v>
          </cell>
          <cell r="D238" t="str">
            <v>PO1</v>
          </cell>
          <cell r="E238" t="str">
            <v>C8</v>
          </cell>
          <cell r="F238">
            <v>43292</v>
          </cell>
          <cell r="G238" t="str">
            <v>DP</v>
          </cell>
          <cell r="I238">
            <v>39</v>
          </cell>
          <cell r="K238">
            <v>39</v>
          </cell>
          <cell r="S238">
            <v>0</v>
          </cell>
          <cell r="T238" t="str">
            <v>Y</v>
          </cell>
          <cell r="V238" t="str">
            <v>DP</v>
          </cell>
          <cell r="W238" t="str">
            <v>JB</v>
          </cell>
          <cell r="X238" t="str">
            <v>7/3-PO1-C8</v>
          </cell>
        </row>
        <row r="239">
          <cell r="A239" t="str">
            <v>PO1-D8-43284</v>
          </cell>
          <cell r="B239" t="str">
            <v>7/3-PO1-D8</v>
          </cell>
          <cell r="C239">
            <v>43284</v>
          </cell>
          <cell r="D239" t="str">
            <v>PO1</v>
          </cell>
          <cell r="E239" t="str">
            <v>D8</v>
          </cell>
          <cell r="F239">
            <v>43292</v>
          </cell>
          <cell r="G239" t="str">
            <v>JB</v>
          </cell>
          <cell r="H239">
            <v>0</v>
          </cell>
          <cell r="I239">
            <v>144</v>
          </cell>
          <cell r="J239">
            <v>0</v>
          </cell>
          <cell r="K239">
            <v>144</v>
          </cell>
          <cell r="L239">
            <v>0</v>
          </cell>
          <cell r="M239">
            <v>0</v>
          </cell>
          <cell r="N239">
            <v>0</v>
          </cell>
          <cell r="O239">
            <v>0</v>
          </cell>
          <cell r="P239">
            <v>0</v>
          </cell>
          <cell r="Q239">
            <v>0</v>
          </cell>
          <cell r="R239">
            <v>0</v>
          </cell>
          <cell r="S239">
            <v>0</v>
          </cell>
          <cell r="T239" t="str">
            <v>Y</v>
          </cell>
          <cell r="V239" t="str">
            <v>JB</v>
          </cell>
          <cell r="W239" t="str">
            <v>TE</v>
          </cell>
          <cell r="X239" t="str">
            <v>7/3-PO1-D8</v>
          </cell>
        </row>
        <row r="240">
          <cell r="A240" t="str">
            <v>PO1-F1-43284</v>
          </cell>
          <cell r="B240" t="str">
            <v>7/3-PO1-F1</v>
          </cell>
          <cell r="C240">
            <v>43284</v>
          </cell>
          <cell r="D240" t="str">
            <v>PO1</v>
          </cell>
          <cell r="E240" t="str">
            <v>F1</v>
          </cell>
          <cell r="F240">
            <v>43292</v>
          </cell>
          <cell r="G240" t="str">
            <v>TE</v>
          </cell>
          <cell r="K240">
            <v>0</v>
          </cell>
          <cell r="O240">
            <v>1</v>
          </cell>
          <cell r="S240">
            <v>1</v>
          </cell>
          <cell r="U240" t="str">
            <v>6416 blastocystus</v>
          </cell>
          <cell r="V240" t="str">
            <v>LV</v>
          </cell>
          <cell r="W240" t="str">
            <v>TE</v>
          </cell>
          <cell r="X240" t="str">
            <v>7/3-PO1-F1</v>
          </cell>
        </row>
        <row r="241">
          <cell r="A241" t="str">
            <v>PO2-H2-43284</v>
          </cell>
          <cell r="B241" t="str">
            <v>7/3-PO2-H2</v>
          </cell>
          <cell r="C241">
            <v>43284</v>
          </cell>
          <cell r="D241" t="str">
            <v>PO2</v>
          </cell>
          <cell r="E241" t="str">
            <v>H2</v>
          </cell>
          <cell r="F241">
            <v>43292</v>
          </cell>
          <cell r="G241" t="str">
            <v>LV</v>
          </cell>
          <cell r="I241">
            <v>48</v>
          </cell>
          <cell r="K241">
            <v>48</v>
          </cell>
          <cell r="L241">
            <v>9</v>
          </cell>
          <cell r="S241">
            <v>9</v>
          </cell>
          <cell r="U241" t="str">
            <v>754 blastocystis</v>
          </cell>
          <cell r="V241" t="str">
            <v>LV</v>
          </cell>
          <cell r="W241" t="str">
            <v>TE</v>
          </cell>
          <cell r="X241" t="str">
            <v>7/3-PO2-H2</v>
          </cell>
        </row>
        <row r="242">
          <cell r="A242" t="str">
            <v>PO2-A4-43285</v>
          </cell>
          <cell r="B242" t="str">
            <v>7/4-PO2-A4</v>
          </cell>
          <cell r="C242">
            <v>43285</v>
          </cell>
          <cell r="D242" t="str">
            <v>PO2</v>
          </cell>
          <cell r="E242" t="str">
            <v>A4</v>
          </cell>
          <cell r="F242">
            <v>43292</v>
          </cell>
          <cell r="G242" t="str">
            <v>LV</v>
          </cell>
          <cell r="I242">
            <v>44</v>
          </cell>
          <cell r="K242">
            <v>44</v>
          </cell>
          <cell r="S242">
            <v>0</v>
          </cell>
          <cell r="U242" t="str">
            <v>2 blastocystis</v>
          </cell>
          <cell r="V242" t="str">
            <v>LV</v>
          </cell>
          <cell r="W242" t="str">
            <v>TE</v>
          </cell>
          <cell r="X242" t="str">
            <v>7/4-PO2-A4</v>
          </cell>
        </row>
        <row r="243">
          <cell r="A243" t="str">
            <v>PO2-C8-43285</v>
          </cell>
          <cell r="B243" t="str">
            <v>7/4-PO2-C8</v>
          </cell>
          <cell r="C243">
            <v>43285</v>
          </cell>
          <cell r="D243" t="str">
            <v>PO2</v>
          </cell>
          <cell r="E243" t="str">
            <v>C8</v>
          </cell>
          <cell r="F243">
            <v>43294</v>
          </cell>
          <cell r="G243" t="str">
            <v>DP</v>
          </cell>
          <cell r="I243">
            <v>3144</v>
          </cell>
          <cell r="J243">
            <v>40</v>
          </cell>
          <cell r="K243">
            <v>3184</v>
          </cell>
          <cell r="L243">
            <v>159</v>
          </cell>
          <cell r="M243">
            <v>6</v>
          </cell>
          <cell r="S243">
            <v>165</v>
          </cell>
          <cell r="T243" t="str">
            <v>N</v>
          </cell>
          <cell r="U243" t="str">
            <v>25% for Coccidia sp.</v>
          </cell>
          <cell r="V243" t="str">
            <v>DP</v>
          </cell>
          <cell r="W243" t="str">
            <v>JB</v>
          </cell>
          <cell r="X243" t="str">
            <v>7/4-PO2-C8</v>
          </cell>
        </row>
        <row r="244">
          <cell r="A244" t="str">
            <v>PO2-F1-43285</v>
          </cell>
          <cell r="B244" t="str">
            <v>7/4-PO2-F1</v>
          </cell>
          <cell r="C244">
            <v>43285</v>
          </cell>
          <cell r="D244" t="str">
            <v>PO2</v>
          </cell>
          <cell r="E244" t="str">
            <v>F1</v>
          </cell>
          <cell r="F244">
            <v>43292</v>
          </cell>
          <cell r="G244" t="str">
            <v>JB</v>
          </cell>
          <cell r="H244">
            <v>0</v>
          </cell>
          <cell r="I244">
            <v>0</v>
          </cell>
          <cell r="J244">
            <v>0</v>
          </cell>
          <cell r="K244">
            <v>0</v>
          </cell>
          <cell r="L244">
            <v>0</v>
          </cell>
          <cell r="M244">
            <v>0</v>
          </cell>
          <cell r="N244">
            <v>0</v>
          </cell>
          <cell r="O244">
            <v>0</v>
          </cell>
          <cell r="P244">
            <v>0</v>
          </cell>
          <cell r="Q244">
            <v>0</v>
          </cell>
          <cell r="R244">
            <v>0</v>
          </cell>
          <cell r="S244">
            <v>0</v>
          </cell>
          <cell r="T244" t="str">
            <v>Y</v>
          </cell>
          <cell r="U244" t="str">
            <v>Blastocystus: 10252</v>
          </cell>
          <cell r="V244" t="str">
            <v>JB</v>
          </cell>
          <cell r="W244" t="str">
            <v>TE</v>
          </cell>
          <cell r="X244" t="str">
            <v>7/4-PO2-F1</v>
          </cell>
        </row>
        <row r="245">
          <cell r="A245" t="str">
            <v>SP1-A3-43286</v>
          </cell>
          <cell r="B245" t="str">
            <v>7/5-SP1-A3</v>
          </cell>
          <cell r="C245">
            <v>43286</v>
          </cell>
          <cell r="D245" t="str">
            <v>SP1</v>
          </cell>
          <cell r="E245" t="str">
            <v>A3</v>
          </cell>
          <cell r="F245">
            <v>43294</v>
          </cell>
          <cell r="G245" t="str">
            <v>JB</v>
          </cell>
          <cell r="H245">
            <v>0</v>
          </cell>
          <cell r="I245">
            <v>1262</v>
          </cell>
          <cell r="J245">
            <v>0</v>
          </cell>
          <cell r="K245">
            <v>1262</v>
          </cell>
          <cell r="L245">
            <v>0</v>
          </cell>
          <cell r="M245">
            <v>0</v>
          </cell>
          <cell r="N245">
            <v>0</v>
          </cell>
          <cell r="O245">
            <v>0</v>
          </cell>
          <cell r="P245">
            <v>0</v>
          </cell>
          <cell r="Q245">
            <v>0</v>
          </cell>
          <cell r="R245">
            <v>0</v>
          </cell>
          <cell r="S245">
            <v>0</v>
          </cell>
          <cell r="T245" t="str">
            <v>Y</v>
          </cell>
          <cell r="V245" t="str">
            <v>JB</v>
          </cell>
          <cell r="W245" t="str">
            <v>TE</v>
          </cell>
          <cell r="X245" t="str">
            <v>7/5-SP1-A3</v>
          </cell>
        </row>
        <row r="246">
          <cell r="A246" t="str">
            <v>SP1-B4-43286</v>
          </cell>
          <cell r="B246" t="str">
            <v>7/5-SP1-B4</v>
          </cell>
          <cell r="C246">
            <v>43286</v>
          </cell>
          <cell r="D246" t="str">
            <v>SP1</v>
          </cell>
          <cell r="E246" t="str">
            <v>B4</v>
          </cell>
          <cell r="F246">
            <v>43295</v>
          </cell>
          <cell r="G246" t="str">
            <v>DP</v>
          </cell>
          <cell r="H246">
            <v>0</v>
          </cell>
          <cell r="I246">
            <v>0</v>
          </cell>
          <cell r="J246">
            <v>0</v>
          </cell>
          <cell r="K246">
            <v>0</v>
          </cell>
          <cell r="L246">
            <v>0</v>
          </cell>
          <cell r="M246">
            <v>0</v>
          </cell>
          <cell r="N246">
            <v>0</v>
          </cell>
          <cell r="O246">
            <v>0</v>
          </cell>
          <cell r="P246">
            <v>0</v>
          </cell>
          <cell r="Q246">
            <v>0</v>
          </cell>
          <cell r="R246">
            <v>0</v>
          </cell>
          <cell r="S246">
            <v>0</v>
          </cell>
          <cell r="T246" t="str">
            <v>Y</v>
          </cell>
          <cell r="V246" t="str">
            <v>DP</v>
          </cell>
          <cell r="W246" t="str">
            <v>JB</v>
          </cell>
          <cell r="X246" t="str">
            <v>7/5-SP1-B4</v>
          </cell>
        </row>
        <row r="247">
          <cell r="A247" t="str">
            <v>SP1-B8-43286</v>
          </cell>
          <cell r="B247" t="str">
            <v>7/5-SP1-B8</v>
          </cell>
          <cell r="C247">
            <v>43286</v>
          </cell>
          <cell r="D247" t="str">
            <v>SP1</v>
          </cell>
          <cell r="E247" t="str">
            <v>B8</v>
          </cell>
          <cell r="F247">
            <v>43295</v>
          </cell>
          <cell r="G247" t="str">
            <v>JB</v>
          </cell>
          <cell r="H247">
            <v>512</v>
          </cell>
          <cell r="I247">
            <v>26540</v>
          </cell>
          <cell r="J247">
            <v>0</v>
          </cell>
          <cell r="K247">
            <v>27052</v>
          </cell>
          <cell r="L247">
            <v>0</v>
          </cell>
          <cell r="M247">
            <v>0</v>
          </cell>
          <cell r="N247">
            <v>362</v>
          </cell>
          <cell r="O247">
            <v>0</v>
          </cell>
          <cell r="P247">
            <v>0</v>
          </cell>
          <cell r="Q247">
            <v>0</v>
          </cell>
          <cell r="R247">
            <v>1</v>
          </cell>
          <cell r="S247">
            <v>362</v>
          </cell>
          <cell r="T247" t="str">
            <v>Y</v>
          </cell>
          <cell r="U247" t="str">
            <v>25% for Coccidia sp; 15 Blastocystus</v>
          </cell>
          <cell r="V247" t="str">
            <v>JB</v>
          </cell>
          <cell r="W247" t="str">
            <v>TE</v>
          </cell>
          <cell r="X247" t="str">
            <v>7/5-SP1-B8</v>
          </cell>
        </row>
        <row r="248">
          <cell r="A248" t="str">
            <v>SP1-D8-43286</v>
          </cell>
          <cell r="B248" t="str">
            <v>7/5-SP1-D8</v>
          </cell>
          <cell r="C248">
            <v>43286</v>
          </cell>
          <cell r="D248" t="str">
            <v>SP1</v>
          </cell>
          <cell r="E248" t="str">
            <v>D8</v>
          </cell>
          <cell r="F248">
            <v>43295</v>
          </cell>
          <cell r="G248" t="str">
            <v>DP</v>
          </cell>
          <cell r="H248">
            <v>710</v>
          </cell>
          <cell r="I248">
            <v>4464</v>
          </cell>
          <cell r="J248">
            <v>40</v>
          </cell>
          <cell r="K248">
            <v>5214</v>
          </cell>
          <cell r="S248">
            <v>0</v>
          </cell>
          <cell r="T248" t="str">
            <v>Y</v>
          </cell>
          <cell r="V248" t="str">
            <v>DP</v>
          </cell>
          <cell r="W248" t="str">
            <v>JB</v>
          </cell>
          <cell r="X248" t="str">
            <v>7/5-SP1-D8</v>
          </cell>
        </row>
        <row r="249">
          <cell r="A249" t="str">
            <v>SP1-E1-43286</v>
          </cell>
          <cell r="B249" t="str">
            <v>7/5-SP1-E1</v>
          </cell>
          <cell r="C249">
            <v>43286</v>
          </cell>
          <cell r="D249" t="str">
            <v>SP1</v>
          </cell>
          <cell r="E249" t="str">
            <v>E1</v>
          </cell>
          <cell r="F249">
            <v>43294</v>
          </cell>
          <cell r="G249" t="str">
            <v>TE</v>
          </cell>
          <cell r="H249">
            <v>0</v>
          </cell>
          <cell r="I249">
            <v>0</v>
          </cell>
          <cell r="J249">
            <v>0</v>
          </cell>
          <cell r="K249">
            <v>0</v>
          </cell>
          <cell r="L249">
            <v>0</v>
          </cell>
          <cell r="M249">
            <v>0</v>
          </cell>
          <cell r="N249">
            <v>0</v>
          </cell>
          <cell r="O249">
            <v>0</v>
          </cell>
          <cell r="P249">
            <v>0</v>
          </cell>
          <cell r="Q249">
            <v>0</v>
          </cell>
          <cell r="R249">
            <v>0</v>
          </cell>
          <cell r="S249">
            <v>0</v>
          </cell>
          <cell r="T249" t="str">
            <v>Y</v>
          </cell>
          <cell r="U249" t="str">
            <v>2532 Blastocystis</v>
          </cell>
          <cell r="V249" t="str">
            <v>TE</v>
          </cell>
          <cell r="W249" t="str">
            <v>LV/IS</v>
          </cell>
          <cell r="X249" t="str">
            <v>7/5-SP1-E1</v>
          </cell>
        </row>
        <row r="250">
          <cell r="A250" t="str">
            <v>SP1-F3-43286</v>
          </cell>
          <cell r="B250" t="str">
            <v>7/5-SP1-F3</v>
          </cell>
          <cell r="C250">
            <v>43286</v>
          </cell>
          <cell r="D250" t="str">
            <v>SP1</v>
          </cell>
          <cell r="E250" t="str">
            <v>F3</v>
          </cell>
          <cell r="F250">
            <v>43293</v>
          </cell>
          <cell r="G250" t="str">
            <v>JB</v>
          </cell>
          <cell r="H250">
            <v>0</v>
          </cell>
          <cell r="I250">
            <v>1542</v>
          </cell>
          <cell r="J250">
            <v>0</v>
          </cell>
          <cell r="K250">
            <v>1542</v>
          </cell>
          <cell r="L250">
            <v>0</v>
          </cell>
          <cell r="M250">
            <v>0</v>
          </cell>
          <cell r="N250">
            <v>0</v>
          </cell>
          <cell r="O250">
            <v>0</v>
          </cell>
          <cell r="P250">
            <v>0</v>
          </cell>
          <cell r="Q250">
            <v>0</v>
          </cell>
          <cell r="R250">
            <v>0</v>
          </cell>
          <cell r="S250">
            <v>0</v>
          </cell>
          <cell r="T250" t="str">
            <v>Y</v>
          </cell>
          <cell r="V250" t="str">
            <v>JB</v>
          </cell>
          <cell r="W250" t="str">
            <v>TE</v>
          </cell>
          <cell r="X250" t="str">
            <v>7/5-SP1-F3</v>
          </cell>
        </row>
        <row r="251">
          <cell r="A251" t="str">
            <v>SP1-G4-43286</v>
          </cell>
          <cell r="B251" t="str">
            <v>7/5-SP1-G4</v>
          </cell>
          <cell r="C251">
            <v>43286</v>
          </cell>
          <cell r="D251" t="str">
            <v>SP1</v>
          </cell>
          <cell r="E251" t="str">
            <v>G4</v>
          </cell>
          <cell r="F251">
            <v>43293</v>
          </cell>
          <cell r="G251" t="str">
            <v>TE</v>
          </cell>
          <cell r="H251">
            <v>0</v>
          </cell>
          <cell r="I251">
            <v>0</v>
          </cell>
          <cell r="J251">
            <v>0</v>
          </cell>
          <cell r="K251">
            <v>0</v>
          </cell>
          <cell r="L251">
            <v>0</v>
          </cell>
          <cell r="M251">
            <v>0</v>
          </cell>
          <cell r="N251">
            <v>0</v>
          </cell>
          <cell r="O251">
            <v>0</v>
          </cell>
          <cell r="P251">
            <v>0</v>
          </cell>
          <cell r="Q251">
            <v>0</v>
          </cell>
          <cell r="R251">
            <v>0</v>
          </cell>
          <cell r="S251">
            <v>0</v>
          </cell>
          <cell r="V251" t="str">
            <v>LV</v>
          </cell>
          <cell r="W251" t="str">
            <v>TE</v>
          </cell>
          <cell r="X251" t="str">
            <v>7/5-SP1-G4</v>
          </cell>
        </row>
        <row r="252">
          <cell r="A252" t="str">
            <v>SP2-A2-43286</v>
          </cell>
          <cell r="B252" t="str">
            <v>7/5-SP2-A2</v>
          </cell>
          <cell r="C252">
            <v>43286</v>
          </cell>
          <cell r="D252" t="str">
            <v>SP2</v>
          </cell>
          <cell r="E252" t="str">
            <v>A2</v>
          </cell>
          <cell r="F252">
            <v>43294</v>
          </cell>
          <cell r="G252" t="str">
            <v>DP</v>
          </cell>
          <cell r="H252">
            <v>0</v>
          </cell>
          <cell r="I252">
            <v>0</v>
          </cell>
          <cell r="J252">
            <v>0</v>
          </cell>
          <cell r="K252">
            <v>0</v>
          </cell>
          <cell r="L252">
            <v>0</v>
          </cell>
          <cell r="M252">
            <v>0</v>
          </cell>
          <cell r="N252">
            <v>0</v>
          </cell>
          <cell r="O252">
            <v>0</v>
          </cell>
          <cell r="P252">
            <v>0</v>
          </cell>
          <cell r="Q252">
            <v>0</v>
          </cell>
          <cell r="R252">
            <v>0</v>
          </cell>
          <cell r="S252">
            <v>0</v>
          </cell>
          <cell r="T252" t="str">
            <v>Y</v>
          </cell>
          <cell r="V252" t="str">
            <v>DP</v>
          </cell>
          <cell r="W252" t="str">
            <v>JB</v>
          </cell>
          <cell r="X252" t="str">
            <v>7/5-SP2-A2</v>
          </cell>
        </row>
        <row r="253">
          <cell r="A253" t="str">
            <v>SP2-A4-43286</v>
          </cell>
          <cell r="B253" t="str">
            <v>7/5-SP2-A4</v>
          </cell>
          <cell r="C253">
            <v>43286</v>
          </cell>
          <cell r="D253" t="str">
            <v>SP2</v>
          </cell>
          <cell r="E253" t="str">
            <v>A4</v>
          </cell>
          <cell r="F253">
            <v>43293</v>
          </cell>
          <cell r="G253" t="str">
            <v>TE</v>
          </cell>
          <cell r="H253">
            <v>124</v>
          </cell>
          <cell r="I253">
            <v>24</v>
          </cell>
          <cell r="J253">
            <v>10</v>
          </cell>
          <cell r="K253">
            <v>158</v>
          </cell>
          <cell r="S253">
            <v>0</v>
          </cell>
          <cell r="V253" t="str">
            <v>LV</v>
          </cell>
          <cell r="W253" t="str">
            <v>TE</v>
          </cell>
          <cell r="X253" t="str">
            <v>7/5-SP2-A4</v>
          </cell>
        </row>
        <row r="254">
          <cell r="A254" t="str">
            <v>SP2-B5-43286</v>
          </cell>
          <cell r="B254" t="str">
            <v>7/5-SP2-B5</v>
          </cell>
          <cell r="C254">
            <v>43286</v>
          </cell>
          <cell r="D254" t="str">
            <v>SP2</v>
          </cell>
          <cell r="E254" t="str">
            <v>B5</v>
          </cell>
          <cell r="F254">
            <v>43294</v>
          </cell>
          <cell r="G254" t="str">
            <v>DP</v>
          </cell>
          <cell r="H254">
            <v>30</v>
          </cell>
          <cell r="I254">
            <v>2758</v>
          </cell>
          <cell r="J254">
            <v>22</v>
          </cell>
          <cell r="K254">
            <v>2810</v>
          </cell>
          <cell r="Q254">
            <v>17</v>
          </cell>
          <cell r="S254">
            <v>0</v>
          </cell>
          <cell r="T254" t="str">
            <v>N</v>
          </cell>
          <cell r="U254" t="str">
            <v>25% for Coccidia sp.</v>
          </cell>
          <cell r="V254" t="str">
            <v>DP</v>
          </cell>
          <cell r="W254" t="str">
            <v>JB</v>
          </cell>
          <cell r="X254" t="str">
            <v>7/5-SP2-B5</v>
          </cell>
        </row>
        <row r="255">
          <cell r="A255" t="str">
            <v>SP2-B8-43286</v>
          </cell>
          <cell r="B255" t="str">
            <v>7/5-SP2-B8</v>
          </cell>
          <cell r="C255">
            <v>43286</v>
          </cell>
          <cell r="D255" t="str">
            <v>SP2</v>
          </cell>
          <cell r="E255" t="str">
            <v>B8</v>
          </cell>
          <cell r="F255">
            <v>43295</v>
          </cell>
          <cell r="G255" t="str">
            <v>TE</v>
          </cell>
          <cell r="H255">
            <v>4</v>
          </cell>
          <cell r="I255">
            <v>18</v>
          </cell>
          <cell r="J255">
            <v>10</v>
          </cell>
          <cell r="K255">
            <v>32</v>
          </cell>
          <cell r="L255">
            <v>0</v>
          </cell>
          <cell r="M255">
            <v>0</v>
          </cell>
          <cell r="N255">
            <v>0</v>
          </cell>
          <cell r="O255">
            <v>0</v>
          </cell>
          <cell r="P255">
            <v>0</v>
          </cell>
          <cell r="Q255">
            <v>41</v>
          </cell>
          <cell r="R255">
            <v>0</v>
          </cell>
          <cell r="S255">
            <v>0</v>
          </cell>
          <cell r="T255" t="str">
            <v>Y</v>
          </cell>
          <cell r="V255" t="str">
            <v>TE</v>
          </cell>
          <cell r="W255" t="str">
            <v>LV/IS</v>
          </cell>
          <cell r="X255" t="str">
            <v>7/5-SP2-B8</v>
          </cell>
        </row>
        <row r="256">
          <cell r="A256" t="str">
            <v>SP2-E3-43286</v>
          </cell>
          <cell r="B256" t="str">
            <v>7/5-SP2-E3</v>
          </cell>
          <cell r="C256">
            <v>43286</v>
          </cell>
          <cell r="D256" t="str">
            <v>SP2</v>
          </cell>
          <cell r="E256" t="str">
            <v>E3</v>
          </cell>
          <cell r="F256">
            <v>43293</v>
          </cell>
          <cell r="G256" t="str">
            <v>JB</v>
          </cell>
          <cell r="H256">
            <v>0</v>
          </cell>
          <cell r="I256">
            <v>0</v>
          </cell>
          <cell r="J256">
            <v>0</v>
          </cell>
          <cell r="K256">
            <v>0</v>
          </cell>
          <cell r="L256">
            <v>0</v>
          </cell>
          <cell r="M256">
            <v>0</v>
          </cell>
          <cell r="N256">
            <v>0</v>
          </cell>
          <cell r="O256">
            <v>0</v>
          </cell>
          <cell r="P256">
            <v>0</v>
          </cell>
          <cell r="Q256">
            <v>0</v>
          </cell>
          <cell r="R256">
            <v>0</v>
          </cell>
          <cell r="S256">
            <v>0</v>
          </cell>
          <cell r="T256" t="str">
            <v>Y</v>
          </cell>
          <cell r="V256" t="str">
            <v>JB</v>
          </cell>
          <cell r="W256" t="str">
            <v>TE</v>
          </cell>
          <cell r="X256" t="str">
            <v>7/5-SP2-E3</v>
          </cell>
        </row>
        <row r="257">
          <cell r="A257" t="str">
            <v>SP2-E7-43286</v>
          </cell>
          <cell r="B257" t="str">
            <v>7/5-SP2-E7</v>
          </cell>
          <cell r="C257">
            <v>43286</v>
          </cell>
          <cell r="D257" t="str">
            <v>SP2</v>
          </cell>
          <cell r="E257" t="str">
            <v>E7</v>
          </cell>
          <cell r="F257">
            <v>43294</v>
          </cell>
          <cell r="G257" t="str">
            <v>TE</v>
          </cell>
          <cell r="H257">
            <v>0</v>
          </cell>
          <cell r="I257">
            <v>0</v>
          </cell>
          <cell r="J257">
            <v>0</v>
          </cell>
          <cell r="K257">
            <v>0</v>
          </cell>
          <cell r="L257">
            <v>0</v>
          </cell>
          <cell r="M257">
            <v>0</v>
          </cell>
          <cell r="N257">
            <v>0</v>
          </cell>
          <cell r="O257">
            <v>0</v>
          </cell>
          <cell r="P257">
            <v>0</v>
          </cell>
          <cell r="Q257">
            <v>0</v>
          </cell>
          <cell r="R257">
            <v>0</v>
          </cell>
          <cell r="S257">
            <v>0</v>
          </cell>
          <cell r="T257" t="str">
            <v>Y</v>
          </cell>
          <cell r="V257" t="str">
            <v>TE</v>
          </cell>
          <cell r="W257" t="str">
            <v>LV/IS</v>
          </cell>
          <cell r="X257" t="str">
            <v>7/5-SP2-E7</v>
          </cell>
        </row>
        <row r="258">
          <cell r="A258" t="str">
            <v>SP2-F3-43286</v>
          </cell>
          <cell r="B258" t="str">
            <v>7/5-SP2-F3</v>
          </cell>
          <cell r="C258">
            <v>43286</v>
          </cell>
          <cell r="D258" t="str">
            <v>SP2</v>
          </cell>
          <cell r="E258" t="str">
            <v>F3</v>
          </cell>
          <cell r="F258">
            <v>43294</v>
          </cell>
          <cell r="G258" t="str">
            <v>TE</v>
          </cell>
          <cell r="H258">
            <v>2</v>
          </cell>
          <cell r="J258">
            <v>48</v>
          </cell>
          <cell r="K258">
            <v>50</v>
          </cell>
          <cell r="L258">
            <v>0</v>
          </cell>
          <cell r="M258">
            <v>0</v>
          </cell>
          <cell r="N258">
            <v>0</v>
          </cell>
          <cell r="O258">
            <v>0</v>
          </cell>
          <cell r="P258">
            <v>0</v>
          </cell>
          <cell r="Q258">
            <v>0</v>
          </cell>
          <cell r="R258">
            <v>0</v>
          </cell>
          <cell r="S258">
            <v>0</v>
          </cell>
          <cell r="T258" t="str">
            <v>Y</v>
          </cell>
          <cell r="V258" t="str">
            <v>TE</v>
          </cell>
          <cell r="W258" t="str">
            <v>LV/IS</v>
          </cell>
          <cell r="X258" t="str">
            <v>7/5-SP2-F3</v>
          </cell>
        </row>
        <row r="259">
          <cell r="A259" t="str">
            <v>SP2-F8-43286</v>
          </cell>
          <cell r="B259" t="str">
            <v>7/5-SP2-F8</v>
          </cell>
          <cell r="C259">
            <v>43286</v>
          </cell>
          <cell r="D259" t="str">
            <v>SP2</v>
          </cell>
          <cell r="E259" t="str">
            <v>F8</v>
          </cell>
          <cell r="F259">
            <v>43293</v>
          </cell>
          <cell r="G259" t="str">
            <v>TE</v>
          </cell>
          <cell r="H259">
            <v>0</v>
          </cell>
          <cell r="I259">
            <v>0</v>
          </cell>
          <cell r="J259">
            <v>0</v>
          </cell>
          <cell r="K259">
            <v>0</v>
          </cell>
          <cell r="L259">
            <v>0</v>
          </cell>
          <cell r="M259">
            <v>0</v>
          </cell>
          <cell r="N259">
            <v>0</v>
          </cell>
          <cell r="O259">
            <v>0</v>
          </cell>
          <cell r="P259">
            <v>0</v>
          </cell>
          <cell r="Q259">
            <v>0</v>
          </cell>
          <cell r="R259">
            <v>0</v>
          </cell>
          <cell r="S259">
            <v>0</v>
          </cell>
          <cell r="V259" t="str">
            <v>LV</v>
          </cell>
          <cell r="W259" t="str">
            <v>TE</v>
          </cell>
          <cell r="X259" t="str">
            <v>7/5-SP2-F8</v>
          </cell>
        </row>
        <row r="260">
          <cell r="A260" t="str">
            <v>SP2-G1-43286</v>
          </cell>
          <cell r="B260" t="str">
            <v>7/5-SP2-G1</v>
          </cell>
          <cell r="C260">
            <v>43286</v>
          </cell>
          <cell r="D260" t="str">
            <v>SP2</v>
          </cell>
          <cell r="E260" t="str">
            <v>G1</v>
          </cell>
          <cell r="F260">
            <v>43293</v>
          </cell>
          <cell r="G260" t="str">
            <v>TE</v>
          </cell>
          <cell r="H260">
            <v>0</v>
          </cell>
          <cell r="I260">
            <v>0</v>
          </cell>
          <cell r="J260">
            <v>0</v>
          </cell>
          <cell r="K260">
            <v>0</v>
          </cell>
          <cell r="L260">
            <v>0</v>
          </cell>
          <cell r="M260">
            <v>0</v>
          </cell>
          <cell r="N260">
            <v>0</v>
          </cell>
          <cell r="O260">
            <v>0</v>
          </cell>
          <cell r="P260">
            <v>0</v>
          </cell>
          <cell r="Q260">
            <v>0</v>
          </cell>
          <cell r="R260">
            <v>0</v>
          </cell>
          <cell r="S260">
            <v>0</v>
          </cell>
          <cell r="V260" t="str">
            <v>LV</v>
          </cell>
          <cell r="W260" t="str">
            <v>TE</v>
          </cell>
          <cell r="X260" t="str">
            <v>7/5-SP2-G1</v>
          </cell>
        </row>
        <row r="261">
          <cell r="A261" t="str">
            <v>SP2-G2-43286</v>
          </cell>
          <cell r="B261" t="str">
            <v>7/5-SP2-G2</v>
          </cell>
          <cell r="C261">
            <v>43286</v>
          </cell>
          <cell r="D261" t="str">
            <v>SP2</v>
          </cell>
          <cell r="E261" t="str">
            <v>G2</v>
          </cell>
          <cell r="F261">
            <v>43295</v>
          </cell>
          <cell r="G261" t="str">
            <v>JB</v>
          </cell>
          <cell r="H261">
            <v>0</v>
          </cell>
          <cell r="I261">
            <v>0</v>
          </cell>
          <cell r="J261">
            <v>0</v>
          </cell>
          <cell r="K261">
            <v>0</v>
          </cell>
          <cell r="L261">
            <v>0</v>
          </cell>
          <cell r="M261">
            <v>0</v>
          </cell>
          <cell r="N261">
            <v>58</v>
          </cell>
          <cell r="O261">
            <v>0</v>
          </cell>
          <cell r="P261">
            <v>0</v>
          </cell>
          <cell r="Q261">
            <v>0</v>
          </cell>
          <cell r="R261">
            <v>0</v>
          </cell>
          <cell r="S261">
            <v>58</v>
          </cell>
          <cell r="T261" t="str">
            <v>Y</v>
          </cell>
          <cell r="U261" t="str">
            <v>Blastocystus: 2795</v>
          </cell>
          <cell r="V261" t="str">
            <v>JB</v>
          </cell>
          <cell r="W261" t="str">
            <v>TE</v>
          </cell>
          <cell r="X261" t="str">
            <v>7/5-SP2-G2</v>
          </cell>
        </row>
        <row r="262">
          <cell r="A262" t="str">
            <v>SP2-H7-43286</v>
          </cell>
          <cell r="B262" t="str">
            <v>7/5-SP2-H7</v>
          </cell>
          <cell r="C262">
            <v>43286</v>
          </cell>
          <cell r="D262" t="str">
            <v>SP2</v>
          </cell>
          <cell r="E262" t="str">
            <v>H7</v>
          </cell>
          <cell r="F262">
            <v>43294</v>
          </cell>
          <cell r="G262" t="str">
            <v>DP</v>
          </cell>
          <cell r="H262">
            <v>10</v>
          </cell>
          <cell r="I262">
            <v>892</v>
          </cell>
          <cell r="J262">
            <v>10</v>
          </cell>
          <cell r="K262">
            <v>912</v>
          </cell>
          <cell r="S262">
            <v>0</v>
          </cell>
          <cell r="T262" t="str">
            <v>Y</v>
          </cell>
          <cell r="V262" t="str">
            <v>DP</v>
          </cell>
          <cell r="W262" t="str">
            <v>JB</v>
          </cell>
          <cell r="X262" t="str">
            <v>7/5-SP2-H7</v>
          </cell>
        </row>
        <row r="263">
          <cell r="A263" t="str">
            <v>SP2-H8-43286</v>
          </cell>
          <cell r="B263" t="str">
            <v>7/5-SP2-H8</v>
          </cell>
          <cell r="C263">
            <v>43286</v>
          </cell>
          <cell r="D263" t="str">
            <v>SP2</v>
          </cell>
          <cell r="E263" t="str">
            <v>H8</v>
          </cell>
          <cell r="F263">
            <v>43293</v>
          </cell>
          <cell r="G263" t="str">
            <v>TE</v>
          </cell>
          <cell r="H263">
            <v>108</v>
          </cell>
          <cell r="I263">
            <v>32</v>
          </cell>
          <cell r="J263">
            <v>598</v>
          </cell>
          <cell r="K263">
            <v>738</v>
          </cell>
          <cell r="R263">
            <v>1</v>
          </cell>
          <cell r="S263">
            <v>0</v>
          </cell>
          <cell r="V263" t="str">
            <v>LV</v>
          </cell>
          <cell r="W263" t="str">
            <v>TE</v>
          </cell>
          <cell r="X263" t="str">
            <v>7/5-SP2-H8</v>
          </cell>
        </row>
        <row r="264">
          <cell r="A264" t="str">
            <v>SP2-G8-43287</v>
          </cell>
          <cell r="B264" t="str">
            <v>7/6-SP2-G8</v>
          </cell>
          <cell r="C264">
            <v>43287</v>
          </cell>
          <cell r="D264" t="str">
            <v>SP2</v>
          </cell>
          <cell r="E264" t="str">
            <v>G8</v>
          </cell>
          <cell r="F264">
            <v>43295</v>
          </cell>
          <cell r="G264" t="str">
            <v>IS</v>
          </cell>
          <cell r="H264">
            <v>4432</v>
          </cell>
          <cell r="I264">
            <v>6668</v>
          </cell>
          <cell r="J264">
            <v>48</v>
          </cell>
          <cell r="K264">
            <v>11148</v>
          </cell>
          <cell r="O264">
            <v>2</v>
          </cell>
          <cell r="P264">
            <v>10</v>
          </cell>
          <cell r="R264">
            <v>1</v>
          </cell>
          <cell r="S264">
            <v>12</v>
          </cell>
          <cell r="T264" t="str">
            <v>N</v>
          </cell>
          <cell r="U264" t="str">
            <v>25% for Coccidia sp.</v>
          </cell>
          <cell r="V264" t="str">
            <v>IS</v>
          </cell>
          <cell r="W264" t="str">
            <v>JB</v>
          </cell>
          <cell r="X264" t="str">
            <v>7/6-SP2-G8</v>
          </cell>
        </row>
        <row r="265">
          <cell r="A265" t="str">
            <v>SP1-A2-43288</v>
          </cell>
          <cell r="B265" t="str">
            <v>7/7-SP1-A2</v>
          </cell>
          <cell r="C265">
            <v>43288</v>
          </cell>
          <cell r="D265" t="str">
            <v>SP1</v>
          </cell>
          <cell r="E265" t="str">
            <v>A2</v>
          </cell>
          <cell r="F265">
            <v>43296</v>
          </cell>
          <cell r="G265" t="str">
            <v>JB</v>
          </cell>
          <cell r="H265">
            <v>0</v>
          </cell>
          <cell r="I265">
            <v>0</v>
          </cell>
          <cell r="J265">
            <v>0</v>
          </cell>
          <cell r="K265">
            <v>0</v>
          </cell>
          <cell r="L265">
            <v>0</v>
          </cell>
          <cell r="M265">
            <v>0</v>
          </cell>
          <cell r="N265">
            <v>0</v>
          </cell>
          <cell r="O265">
            <v>0</v>
          </cell>
          <cell r="P265">
            <v>0</v>
          </cell>
          <cell r="Q265">
            <v>0</v>
          </cell>
          <cell r="R265">
            <v>3</v>
          </cell>
          <cell r="S265">
            <v>0</v>
          </cell>
          <cell r="T265" t="str">
            <v>Y</v>
          </cell>
          <cell r="U265"/>
          <cell r="V265" t="str">
            <v>JB</v>
          </cell>
          <cell r="W265" t="str">
            <v>TE</v>
          </cell>
          <cell r="X265" t="str">
            <v>7/7-SP1-A2</v>
          </cell>
          <cell r="Y265" t="str">
            <v>two A2's and no A7</v>
          </cell>
        </row>
        <row r="266">
          <cell r="A266" t="str">
            <v>SP1-A2-43288</v>
          </cell>
          <cell r="B266" t="str">
            <v>7/7-SP1-A2</v>
          </cell>
          <cell r="C266">
            <v>43288</v>
          </cell>
          <cell r="D266" t="str">
            <v>SP1</v>
          </cell>
          <cell r="E266" t="str">
            <v>A2</v>
          </cell>
          <cell r="F266">
            <v>43295</v>
          </cell>
          <cell r="G266" t="str">
            <v>TE</v>
          </cell>
          <cell r="H266">
            <v>8</v>
          </cell>
          <cell r="I266">
            <v>48</v>
          </cell>
          <cell r="J266">
            <v>128</v>
          </cell>
          <cell r="K266">
            <v>184</v>
          </cell>
          <cell r="L266">
            <v>0</v>
          </cell>
          <cell r="M266">
            <v>0</v>
          </cell>
          <cell r="N266">
            <v>0</v>
          </cell>
          <cell r="O266">
            <v>2</v>
          </cell>
          <cell r="P266">
            <v>0</v>
          </cell>
          <cell r="Q266">
            <v>0</v>
          </cell>
          <cell r="R266">
            <v>8</v>
          </cell>
          <cell r="S266">
            <v>2</v>
          </cell>
          <cell r="T266" t="str">
            <v>Y</v>
          </cell>
          <cell r="U266"/>
          <cell r="V266" t="str">
            <v>TE</v>
          </cell>
          <cell r="W266" t="str">
            <v>LV/IS</v>
          </cell>
          <cell r="X266" t="str">
            <v>7/7-SP1-A2</v>
          </cell>
          <cell r="Y266" t="str">
            <v>two A2's and no A7</v>
          </cell>
        </row>
        <row r="267">
          <cell r="A267" t="str">
            <v>SP1-B7-43288</v>
          </cell>
          <cell r="B267" t="str">
            <v>7/7-SP1-B7</v>
          </cell>
          <cell r="C267">
            <v>43288</v>
          </cell>
          <cell r="D267" t="str">
            <v>SP1</v>
          </cell>
          <cell r="E267" t="str">
            <v>B7</v>
          </cell>
          <cell r="F267">
            <v>43295</v>
          </cell>
          <cell r="G267" t="str">
            <v>DP</v>
          </cell>
          <cell r="H267">
            <v>0</v>
          </cell>
          <cell r="I267">
            <v>0</v>
          </cell>
          <cell r="J267">
            <v>0</v>
          </cell>
          <cell r="K267">
            <v>0</v>
          </cell>
          <cell r="L267">
            <v>0</v>
          </cell>
          <cell r="M267">
            <v>0</v>
          </cell>
          <cell r="N267">
            <v>0</v>
          </cell>
          <cell r="O267">
            <v>0</v>
          </cell>
          <cell r="P267">
            <v>0</v>
          </cell>
          <cell r="Q267">
            <v>0</v>
          </cell>
          <cell r="R267">
            <v>0</v>
          </cell>
          <cell r="S267">
            <v>0</v>
          </cell>
          <cell r="T267" t="str">
            <v>Y</v>
          </cell>
          <cell r="V267" t="str">
            <v>DP</v>
          </cell>
          <cell r="W267" t="str">
            <v>JB</v>
          </cell>
          <cell r="X267" t="str">
            <v>7/7-SP1-B7</v>
          </cell>
        </row>
        <row r="268">
          <cell r="A268" t="str">
            <v>SP2-E3-43288</v>
          </cell>
          <cell r="B268" t="str">
            <v>7/7-SP2-E3</v>
          </cell>
          <cell r="C268">
            <v>43288</v>
          </cell>
          <cell r="D268" t="str">
            <v>SP2</v>
          </cell>
          <cell r="E268" t="str">
            <v>E3</v>
          </cell>
          <cell r="F268">
            <v>43295</v>
          </cell>
          <cell r="G268" t="str">
            <v>TE</v>
          </cell>
          <cell r="H268">
            <v>732</v>
          </cell>
          <cell r="J268">
            <v>23696</v>
          </cell>
          <cell r="K268">
            <v>24428</v>
          </cell>
          <cell r="L268">
            <v>0</v>
          </cell>
          <cell r="M268">
            <v>0</v>
          </cell>
          <cell r="N268">
            <v>0</v>
          </cell>
          <cell r="O268">
            <v>0</v>
          </cell>
          <cell r="P268">
            <v>0</v>
          </cell>
          <cell r="Q268">
            <v>0</v>
          </cell>
          <cell r="R268">
            <v>0</v>
          </cell>
          <cell r="S268">
            <v>0</v>
          </cell>
          <cell r="T268" t="str">
            <v>N</v>
          </cell>
          <cell r="U268" t="str">
            <v>25% for Coccidia sp</v>
          </cell>
          <cell r="V268" t="str">
            <v>TE</v>
          </cell>
          <cell r="W268" t="str">
            <v>LV/IS</v>
          </cell>
          <cell r="X268" t="str">
            <v>7/7-SP2-E3</v>
          </cell>
        </row>
        <row r="269">
          <cell r="A269" t="str">
            <v>BC1-A7-43292</v>
          </cell>
          <cell r="B269" t="str">
            <v>7/11-BC1-A7</v>
          </cell>
          <cell r="C269">
            <v>43292</v>
          </cell>
          <cell r="D269" t="str">
            <v>BC1</v>
          </cell>
          <cell r="E269" t="str">
            <v>A7</v>
          </cell>
          <cell r="F269">
            <v>43297</v>
          </cell>
          <cell r="G269" t="str">
            <v>TE</v>
          </cell>
          <cell r="H269">
            <v>0</v>
          </cell>
          <cell r="I269">
            <v>0</v>
          </cell>
          <cell r="J269">
            <v>0</v>
          </cell>
          <cell r="K269">
            <v>0</v>
          </cell>
          <cell r="L269">
            <v>0</v>
          </cell>
          <cell r="M269">
            <v>0</v>
          </cell>
          <cell r="N269">
            <v>0</v>
          </cell>
          <cell r="O269">
            <v>0</v>
          </cell>
          <cell r="P269">
            <v>0</v>
          </cell>
          <cell r="Q269">
            <v>0</v>
          </cell>
          <cell r="R269">
            <v>0</v>
          </cell>
          <cell r="S269">
            <v>0</v>
          </cell>
          <cell r="T269" t="str">
            <v>Y</v>
          </cell>
          <cell r="V269" t="str">
            <v>TE</v>
          </cell>
          <cell r="W269" t="str">
            <v>LV/IS</v>
          </cell>
          <cell r="X269" t="str">
            <v>7/11-BC1-A7</v>
          </cell>
        </row>
        <row r="270">
          <cell r="A270" t="str">
            <v>BC1-A7-43292</v>
          </cell>
          <cell r="B270" t="str">
            <v>7/11-BC1-A7</v>
          </cell>
          <cell r="C270">
            <v>43292</v>
          </cell>
          <cell r="D270" t="str">
            <v>BC1</v>
          </cell>
          <cell r="E270" t="str">
            <v>A7</v>
          </cell>
          <cell r="F270">
            <v>43301</v>
          </cell>
          <cell r="G270" t="str">
            <v>TE</v>
          </cell>
          <cell r="H270">
            <v>6</v>
          </cell>
          <cell r="I270">
            <v>50</v>
          </cell>
          <cell r="J270">
            <v>112</v>
          </cell>
          <cell r="K270">
            <v>168</v>
          </cell>
          <cell r="L270">
            <v>0</v>
          </cell>
          <cell r="M270">
            <v>0</v>
          </cell>
          <cell r="N270">
            <v>0</v>
          </cell>
          <cell r="O270">
            <v>0</v>
          </cell>
          <cell r="P270">
            <v>0</v>
          </cell>
          <cell r="Q270">
            <v>0</v>
          </cell>
          <cell r="R270">
            <v>0</v>
          </cell>
          <cell r="S270">
            <v>0</v>
          </cell>
          <cell r="T270" t="str">
            <v>Y</v>
          </cell>
          <cell r="V270" t="str">
            <v>TE</v>
          </cell>
          <cell r="W270" t="str">
            <v>LV/IS</v>
          </cell>
          <cell r="X270" t="str">
            <v>7/11-BC1-A7</v>
          </cell>
        </row>
        <row r="271">
          <cell r="A271" t="str">
            <v>BC1-A8-43292</v>
          </cell>
          <cell r="B271" t="str">
            <v>7/11-BC1-A8</v>
          </cell>
          <cell r="C271">
            <v>43292</v>
          </cell>
          <cell r="D271" t="str">
            <v>BC1</v>
          </cell>
          <cell r="E271" t="str">
            <v>A8</v>
          </cell>
          <cell r="F271">
            <v>43297</v>
          </cell>
          <cell r="G271" t="str">
            <v>IS</v>
          </cell>
          <cell r="I271">
            <v>290</v>
          </cell>
          <cell r="K271">
            <v>290</v>
          </cell>
          <cell r="S271">
            <v>0</v>
          </cell>
          <cell r="T271" t="str">
            <v>N</v>
          </cell>
          <cell r="U271" t="str">
            <v>50% counted for Blastocystus, total on 100%: 1324</v>
          </cell>
          <cell r="V271" t="str">
            <v>IS</v>
          </cell>
          <cell r="W271" t="str">
            <v>JB</v>
          </cell>
          <cell r="X271" t="str">
            <v>7/11-BC1-A8</v>
          </cell>
        </row>
        <row r="272">
          <cell r="A272" t="str">
            <v>BC1-C8-43292</v>
          </cell>
          <cell r="B272" t="str">
            <v>7/11-BC1-C8</v>
          </cell>
          <cell r="C272">
            <v>43292</v>
          </cell>
          <cell r="D272" t="str">
            <v>BC1</v>
          </cell>
          <cell r="E272" t="str">
            <v>C8</v>
          </cell>
          <cell r="F272">
            <v>43297</v>
          </cell>
          <cell r="G272" t="str">
            <v>JB</v>
          </cell>
          <cell r="H272">
            <v>0</v>
          </cell>
          <cell r="I272">
            <v>13332</v>
          </cell>
          <cell r="J272">
            <v>0</v>
          </cell>
          <cell r="K272">
            <v>13332</v>
          </cell>
          <cell r="L272">
            <v>0</v>
          </cell>
          <cell r="M272">
            <v>0</v>
          </cell>
          <cell r="N272">
            <v>0</v>
          </cell>
          <cell r="O272">
            <v>0</v>
          </cell>
          <cell r="P272">
            <v>0</v>
          </cell>
          <cell r="Q272">
            <v>0</v>
          </cell>
          <cell r="R272">
            <v>0</v>
          </cell>
          <cell r="S272">
            <v>0</v>
          </cell>
          <cell r="T272" t="str">
            <v>N</v>
          </cell>
          <cell r="U272" t="str">
            <v>25% for Coccidia sp. ; a lot of blueberry seeds</v>
          </cell>
          <cell r="V272" t="str">
            <v>JB</v>
          </cell>
          <cell r="W272" t="str">
            <v>TE</v>
          </cell>
          <cell r="X272" t="str">
            <v>7/11-BC1-C8</v>
          </cell>
        </row>
        <row r="273">
          <cell r="A273" t="str">
            <v>BC1-E8-43292</v>
          </cell>
          <cell r="B273" t="str">
            <v>7/11-BC1-E8</v>
          </cell>
          <cell r="C273">
            <v>43292</v>
          </cell>
          <cell r="D273" t="str">
            <v>BC1</v>
          </cell>
          <cell r="E273" t="str">
            <v>E8</v>
          </cell>
          <cell r="F273">
            <v>43297</v>
          </cell>
          <cell r="G273" t="str">
            <v>DP</v>
          </cell>
          <cell r="H273">
            <v>4</v>
          </cell>
          <cell r="N273">
            <v>22</v>
          </cell>
          <cell r="R273">
            <v>1</v>
          </cell>
          <cell r="S273">
            <v>22</v>
          </cell>
          <cell r="T273" t="str">
            <v>Y</v>
          </cell>
          <cell r="V273" t="str">
            <v>DP</v>
          </cell>
          <cell r="W273" t="str">
            <v>JB</v>
          </cell>
          <cell r="X273" t="str">
            <v>7/11-BC1-E8</v>
          </cell>
        </row>
        <row r="274">
          <cell r="A274" t="str">
            <v>BC1-G7-43292</v>
          </cell>
          <cell r="B274" t="str">
            <v>7/11-BC1-G7</v>
          </cell>
          <cell r="C274">
            <v>43292</v>
          </cell>
          <cell r="D274" t="str">
            <v>BC1</v>
          </cell>
          <cell r="E274" t="str">
            <v>G7</v>
          </cell>
          <cell r="F274">
            <v>43297</v>
          </cell>
          <cell r="G274" t="str">
            <v>TE</v>
          </cell>
          <cell r="H274">
            <v>0</v>
          </cell>
          <cell r="I274">
            <v>0</v>
          </cell>
          <cell r="J274">
            <v>4</v>
          </cell>
          <cell r="K274">
            <v>4</v>
          </cell>
          <cell r="L274">
            <v>0</v>
          </cell>
          <cell r="M274">
            <v>0</v>
          </cell>
          <cell r="N274">
            <v>0</v>
          </cell>
          <cell r="O274">
            <v>0</v>
          </cell>
          <cell r="P274">
            <v>0</v>
          </cell>
          <cell r="Q274">
            <v>0</v>
          </cell>
          <cell r="R274">
            <v>0</v>
          </cell>
          <cell r="S274">
            <v>0</v>
          </cell>
          <cell r="T274" t="str">
            <v>Y</v>
          </cell>
          <cell r="U274" t="str">
            <v>2 blastocystis</v>
          </cell>
          <cell r="V274" t="str">
            <v>TE</v>
          </cell>
          <cell r="W274" t="str">
            <v>LV/IS</v>
          </cell>
          <cell r="X274" t="str">
            <v>7/11-BC1-G7</v>
          </cell>
        </row>
        <row r="275">
          <cell r="A275" t="str">
            <v>BC1-G8-43292</v>
          </cell>
          <cell r="B275" t="str">
            <v>7/11-BC1-G8</v>
          </cell>
          <cell r="C275">
            <v>43292</v>
          </cell>
          <cell r="D275" t="str">
            <v>BC1</v>
          </cell>
          <cell r="E275" t="str">
            <v>G8</v>
          </cell>
          <cell r="F275">
            <v>43301</v>
          </cell>
          <cell r="G275" t="str">
            <v>DP</v>
          </cell>
          <cell r="H275">
            <v>6</v>
          </cell>
          <cell r="I275">
            <v>462</v>
          </cell>
          <cell r="J275">
            <v>30</v>
          </cell>
          <cell r="S275">
            <v>0</v>
          </cell>
          <cell r="T275" t="str">
            <v>Y</v>
          </cell>
          <cell r="V275" t="str">
            <v>DP</v>
          </cell>
          <cell r="W275" t="str">
            <v>JB</v>
          </cell>
          <cell r="X275" t="str">
            <v>7/11-BC1-G8</v>
          </cell>
        </row>
        <row r="276">
          <cell r="A276" t="str">
            <v>BC2-A3-43292</v>
          </cell>
          <cell r="B276" t="str">
            <v>7/11-BC2-A3</v>
          </cell>
          <cell r="C276">
            <v>43292</v>
          </cell>
          <cell r="D276" t="str">
            <v>BC2</v>
          </cell>
          <cell r="E276" t="str">
            <v>A3</v>
          </cell>
          <cell r="F276">
            <v>43296</v>
          </cell>
          <cell r="G276" t="str">
            <v>JB</v>
          </cell>
          <cell r="H276">
            <v>422</v>
          </cell>
          <cell r="I276">
            <v>2210</v>
          </cell>
          <cell r="J276">
            <v>0</v>
          </cell>
          <cell r="K276">
            <v>2632</v>
          </cell>
          <cell r="L276">
            <v>1</v>
          </cell>
          <cell r="M276">
            <v>0</v>
          </cell>
          <cell r="N276">
            <v>0</v>
          </cell>
          <cell r="O276">
            <v>0</v>
          </cell>
          <cell r="P276">
            <v>0</v>
          </cell>
          <cell r="Q276">
            <v>0</v>
          </cell>
          <cell r="R276">
            <v>1</v>
          </cell>
          <cell r="S276">
            <v>1</v>
          </cell>
          <cell r="T276" t="str">
            <v>Y</v>
          </cell>
          <cell r="V276" t="str">
            <v>JB</v>
          </cell>
          <cell r="W276" t="str">
            <v>TE</v>
          </cell>
          <cell r="X276" t="str">
            <v>7/11-BC2-A3</v>
          </cell>
        </row>
        <row r="277">
          <cell r="A277" t="str">
            <v>BC2-B3-43292</v>
          </cell>
          <cell r="B277" t="str">
            <v>7/11-BC2-B3</v>
          </cell>
          <cell r="C277">
            <v>43292</v>
          </cell>
          <cell r="D277" t="str">
            <v>BC2</v>
          </cell>
          <cell r="E277" t="str">
            <v>B3</v>
          </cell>
          <cell r="F277">
            <v>43301</v>
          </cell>
          <cell r="G277" t="str">
            <v>TE</v>
          </cell>
          <cell r="H277">
            <v>0</v>
          </cell>
          <cell r="I277">
            <v>0</v>
          </cell>
          <cell r="J277">
            <v>11</v>
          </cell>
          <cell r="K277">
            <v>11</v>
          </cell>
          <cell r="L277">
            <v>0</v>
          </cell>
          <cell r="M277">
            <v>0</v>
          </cell>
          <cell r="N277">
            <v>0</v>
          </cell>
          <cell r="O277">
            <v>0</v>
          </cell>
          <cell r="P277">
            <v>0</v>
          </cell>
          <cell r="Q277">
            <v>0</v>
          </cell>
          <cell r="R277">
            <v>0</v>
          </cell>
          <cell r="S277">
            <v>0</v>
          </cell>
          <cell r="T277" t="str">
            <v>N</v>
          </cell>
          <cell r="U277" t="str">
            <v>36%; Power outage</v>
          </cell>
          <cell r="V277" t="str">
            <v>TE</v>
          </cell>
          <cell r="W277" t="str">
            <v>LV/IS</v>
          </cell>
          <cell r="X277" t="str">
            <v>7/11-BC2-B3</v>
          </cell>
        </row>
        <row r="278">
          <cell r="A278" t="str">
            <v>BC2-B6-43292</v>
          </cell>
          <cell r="B278" t="str">
            <v>7/11-BC2-B6</v>
          </cell>
          <cell r="C278">
            <v>43292</v>
          </cell>
          <cell r="D278" t="str">
            <v>BC2</v>
          </cell>
          <cell r="E278" t="str">
            <v>B6</v>
          </cell>
          <cell r="F278">
            <v>43296</v>
          </cell>
          <cell r="G278" t="str">
            <v>TE</v>
          </cell>
          <cell r="H278">
            <v>0</v>
          </cell>
          <cell r="I278">
            <v>0</v>
          </cell>
          <cell r="J278">
            <v>0</v>
          </cell>
          <cell r="K278">
            <v>0</v>
          </cell>
          <cell r="L278">
            <v>0</v>
          </cell>
          <cell r="M278">
            <v>0</v>
          </cell>
          <cell r="N278">
            <v>0</v>
          </cell>
          <cell r="O278">
            <v>0</v>
          </cell>
          <cell r="P278">
            <v>0</v>
          </cell>
          <cell r="Q278">
            <v>0</v>
          </cell>
          <cell r="R278">
            <v>0</v>
          </cell>
          <cell r="S278">
            <v>0</v>
          </cell>
          <cell r="T278" t="str">
            <v>Y</v>
          </cell>
          <cell r="V278" t="str">
            <v>TE</v>
          </cell>
          <cell r="W278" t="str">
            <v>LV/IS</v>
          </cell>
          <cell r="X278" t="str">
            <v>7/11-BC2-B6</v>
          </cell>
        </row>
        <row r="279">
          <cell r="A279" t="str">
            <v>BC2-E1-43292</v>
          </cell>
          <cell r="B279" t="str">
            <v>7/11-BC2-E1</v>
          </cell>
          <cell r="C279">
            <v>43292</v>
          </cell>
          <cell r="D279" t="str">
            <v>BC2</v>
          </cell>
          <cell r="E279" t="str">
            <v>E1</v>
          </cell>
          <cell r="F279">
            <v>43297</v>
          </cell>
          <cell r="G279" t="str">
            <v>TE</v>
          </cell>
          <cell r="H279">
            <v>0</v>
          </cell>
          <cell r="I279">
            <v>0</v>
          </cell>
          <cell r="J279">
            <v>0</v>
          </cell>
          <cell r="K279">
            <v>0</v>
          </cell>
          <cell r="L279">
            <v>0</v>
          </cell>
          <cell r="M279">
            <v>0</v>
          </cell>
          <cell r="N279">
            <v>0</v>
          </cell>
          <cell r="O279">
            <v>0</v>
          </cell>
          <cell r="P279">
            <v>0</v>
          </cell>
          <cell r="Q279">
            <v>0</v>
          </cell>
          <cell r="R279">
            <v>0</v>
          </cell>
          <cell r="S279">
            <v>0</v>
          </cell>
          <cell r="T279" t="str">
            <v>Y</v>
          </cell>
          <cell r="V279" t="str">
            <v>TE</v>
          </cell>
          <cell r="W279" t="str">
            <v>LV/IS</v>
          </cell>
          <cell r="X279" t="str">
            <v>7/11-BC2-E1</v>
          </cell>
        </row>
        <row r="280">
          <cell r="A280" t="str">
            <v>BC2-E5-43292</v>
          </cell>
          <cell r="B280" t="str">
            <v>7/11-BC2-E5</v>
          </cell>
          <cell r="C280">
            <v>43292</v>
          </cell>
          <cell r="D280" t="str">
            <v>BC2</v>
          </cell>
          <cell r="E280" t="str">
            <v>E5</v>
          </cell>
          <cell r="F280">
            <v>43297</v>
          </cell>
          <cell r="G280" t="str">
            <v>DP</v>
          </cell>
          <cell r="I280">
            <v>170</v>
          </cell>
          <cell r="S280">
            <v>0</v>
          </cell>
          <cell r="T280" t="str">
            <v>Y</v>
          </cell>
          <cell r="V280" t="str">
            <v>DP</v>
          </cell>
          <cell r="W280" t="str">
            <v>JB</v>
          </cell>
          <cell r="X280" t="str">
            <v>7/11-BC2-E5</v>
          </cell>
        </row>
        <row r="281">
          <cell r="A281" t="str">
            <v>BC2-G1-43292</v>
          </cell>
          <cell r="B281" t="str">
            <v>7/11-BC2-G1</v>
          </cell>
          <cell r="C281">
            <v>43292</v>
          </cell>
          <cell r="D281" t="str">
            <v>BC2</v>
          </cell>
          <cell r="E281" t="str">
            <v>G1</v>
          </cell>
          <cell r="F281">
            <v>43296</v>
          </cell>
          <cell r="G281" t="str">
            <v>DP</v>
          </cell>
          <cell r="H281">
            <v>224</v>
          </cell>
          <cell r="I281">
            <v>1758</v>
          </cell>
          <cell r="J281">
            <v>18</v>
          </cell>
          <cell r="Q281">
            <v>166</v>
          </cell>
          <cell r="S281">
            <v>0</v>
          </cell>
          <cell r="T281" t="str">
            <v>Y</v>
          </cell>
          <cell r="V281" t="str">
            <v>DP</v>
          </cell>
          <cell r="W281" t="str">
            <v>JB</v>
          </cell>
          <cell r="X281" t="str">
            <v>7/11-BC2-G1</v>
          </cell>
        </row>
        <row r="282">
          <cell r="A282" t="str">
            <v>BC2-H3-43292</v>
          </cell>
          <cell r="B282" t="str">
            <v>7/11-BC2-H3</v>
          </cell>
          <cell r="C282">
            <v>43292</v>
          </cell>
          <cell r="D282" t="str">
            <v>BC2</v>
          </cell>
          <cell r="E282" t="str">
            <v>H3</v>
          </cell>
          <cell r="F282">
            <v>43297</v>
          </cell>
          <cell r="G282" t="str">
            <v>JB</v>
          </cell>
          <cell r="H282">
            <v>0</v>
          </cell>
          <cell r="I282">
            <v>138</v>
          </cell>
          <cell r="J282">
            <v>0</v>
          </cell>
          <cell r="K282">
            <v>138</v>
          </cell>
          <cell r="L282">
            <v>0</v>
          </cell>
          <cell r="M282">
            <v>0</v>
          </cell>
          <cell r="N282">
            <v>307</v>
          </cell>
          <cell r="O282">
            <v>0</v>
          </cell>
          <cell r="P282">
            <v>0</v>
          </cell>
          <cell r="Q282">
            <v>0</v>
          </cell>
          <cell r="R282">
            <v>0</v>
          </cell>
          <cell r="S282">
            <v>307</v>
          </cell>
          <cell r="T282" t="str">
            <v>Y</v>
          </cell>
          <cell r="V282" t="str">
            <v>JB</v>
          </cell>
          <cell r="W282" t="str">
            <v>TE</v>
          </cell>
          <cell r="X282" t="str">
            <v>7/11-BC2-H3</v>
          </cell>
        </row>
        <row r="283">
          <cell r="A283" t="str">
            <v>BC1-G7-43293</v>
          </cell>
          <cell r="B283" t="str">
            <v>7/12-BC1-G7</v>
          </cell>
          <cell r="C283">
            <v>43293</v>
          </cell>
          <cell r="D283" t="str">
            <v>BC1</v>
          </cell>
          <cell r="E283" t="str">
            <v>G7</v>
          </cell>
          <cell r="F283">
            <v>43301</v>
          </cell>
          <cell r="G283" t="str">
            <v>TE</v>
          </cell>
          <cell r="H283">
            <v>0</v>
          </cell>
          <cell r="I283">
            <v>0</v>
          </cell>
          <cell r="J283">
            <v>0</v>
          </cell>
          <cell r="K283">
            <v>0</v>
          </cell>
          <cell r="L283">
            <v>0</v>
          </cell>
          <cell r="M283">
            <v>0</v>
          </cell>
          <cell r="N283">
            <v>0</v>
          </cell>
          <cell r="O283">
            <v>0</v>
          </cell>
          <cell r="P283">
            <v>0</v>
          </cell>
          <cell r="Q283">
            <v>0</v>
          </cell>
          <cell r="R283">
            <v>0</v>
          </cell>
          <cell r="S283">
            <v>0</v>
          </cell>
          <cell r="T283" t="str">
            <v>Y</v>
          </cell>
          <cell r="V283" t="str">
            <v>TE</v>
          </cell>
          <cell r="W283" t="str">
            <v>LV/IS</v>
          </cell>
          <cell r="X283" t="str">
            <v>7/12-BC1-G7</v>
          </cell>
        </row>
        <row r="284">
          <cell r="A284" t="str">
            <v>BC2-C8-43293</v>
          </cell>
          <cell r="B284" t="str">
            <v>7/12-BC2-C8</v>
          </cell>
          <cell r="C284">
            <v>43293</v>
          </cell>
          <cell r="D284" t="str">
            <v>BC2</v>
          </cell>
          <cell r="E284" t="str">
            <v>C8</v>
          </cell>
          <cell r="F284">
            <v>43301</v>
          </cell>
          <cell r="G284" t="str">
            <v>JB</v>
          </cell>
          <cell r="H284">
            <v>0</v>
          </cell>
          <cell r="I284">
            <v>0</v>
          </cell>
          <cell r="J284">
            <v>0</v>
          </cell>
          <cell r="K284">
            <v>0</v>
          </cell>
          <cell r="L284">
            <v>0</v>
          </cell>
          <cell r="M284">
            <v>0</v>
          </cell>
          <cell r="N284">
            <v>0</v>
          </cell>
          <cell r="O284">
            <v>0</v>
          </cell>
          <cell r="P284">
            <v>0</v>
          </cell>
          <cell r="Q284">
            <v>0</v>
          </cell>
          <cell r="R284">
            <v>0</v>
          </cell>
          <cell r="S284">
            <v>0</v>
          </cell>
          <cell r="T284" t="str">
            <v>Y</v>
          </cell>
          <cell r="V284" t="str">
            <v>JB</v>
          </cell>
          <cell r="W284" t="str">
            <v>TE</v>
          </cell>
          <cell r="X284" t="str">
            <v>7/12-BC2-C8</v>
          </cell>
        </row>
        <row r="285">
          <cell r="A285" t="str">
            <v>BC2-G7-43293</v>
          </cell>
          <cell r="B285" t="str">
            <v>7/12-BC2-G7</v>
          </cell>
          <cell r="C285">
            <v>43293</v>
          </cell>
          <cell r="D285" t="str">
            <v>BC2</v>
          </cell>
          <cell r="E285" t="str">
            <v>G7</v>
          </cell>
          <cell r="F285">
            <v>43301</v>
          </cell>
          <cell r="G285" t="str">
            <v>DP</v>
          </cell>
          <cell r="H285">
            <v>80</v>
          </cell>
          <cell r="I285">
            <v>15020</v>
          </cell>
          <cell r="J285">
            <v>348</v>
          </cell>
          <cell r="S285">
            <v>0</v>
          </cell>
          <cell r="T285" t="str">
            <v>N</v>
          </cell>
          <cell r="U285" t="str">
            <v>25% for Coccidia sp.</v>
          </cell>
          <cell r="V285" t="str">
            <v>DP</v>
          </cell>
          <cell r="W285" t="str">
            <v>JB</v>
          </cell>
          <cell r="X285" t="str">
            <v>7/12-BC2-G7</v>
          </cell>
        </row>
        <row r="286">
          <cell r="A286" t="str">
            <v>BC2-H2-43293</v>
          </cell>
          <cell r="B286" t="str">
            <v>7/12-BC2-H2</v>
          </cell>
          <cell r="C286">
            <v>43293</v>
          </cell>
          <cell r="D286" t="str">
            <v>BC2</v>
          </cell>
          <cell r="E286" t="str">
            <v>H2</v>
          </cell>
          <cell r="F286">
            <v>43301</v>
          </cell>
          <cell r="G286" t="str">
            <v>JB</v>
          </cell>
          <cell r="H286">
            <v>4</v>
          </cell>
          <cell r="I286">
            <v>38</v>
          </cell>
          <cell r="J286">
            <v>0</v>
          </cell>
          <cell r="K286">
            <v>42</v>
          </cell>
          <cell r="L286">
            <v>0</v>
          </cell>
          <cell r="M286">
            <v>0</v>
          </cell>
          <cell r="N286">
            <v>125</v>
          </cell>
          <cell r="O286">
            <v>0</v>
          </cell>
          <cell r="P286">
            <v>0</v>
          </cell>
          <cell r="Q286">
            <v>0</v>
          </cell>
          <cell r="R286">
            <v>0</v>
          </cell>
          <cell r="S286">
            <v>125</v>
          </cell>
          <cell r="T286" t="str">
            <v>Y</v>
          </cell>
          <cell r="U286" t="str">
            <v>3 big Capillaria sp (not americana) with 4 bubbles inside. Picture on back of sheet and picture sent to Sarah</v>
          </cell>
          <cell r="V286" t="str">
            <v>JB</v>
          </cell>
          <cell r="W286" t="str">
            <v>TE</v>
          </cell>
          <cell r="X286" t="str">
            <v>7/12-BC2-H2</v>
          </cell>
        </row>
        <row r="287">
          <cell r="A287" t="str">
            <v>HW1-A5-43294</v>
          </cell>
          <cell r="B287" t="str">
            <v>7/13-HW1-A5</v>
          </cell>
          <cell r="C287">
            <v>43294</v>
          </cell>
          <cell r="D287" t="str">
            <v>HW1</v>
          </cell>
          <cell r="E287" t="str">
            <v>A5</v>
          </cell>
          <cell r="F287">
            <v>43303</v>
          </cell>
          <cell r="G287" t="str">
            <v>DP</v>
          </cell>
          <cell r="H287">
            <v>0</v>
          </cell>
          <cell r="I287">
            <v>68</v>
          </cell>
          <cell r="J287">
            <v>6</v>
          </cell>
          <cell r="K287">
            <v>74</v>
          </cell>
          <cell r="L287">
            <v>0</v>
          </cell>
          <cell r="M287">
            <v>0</v>
          </cell>
          <cell r="N287">
            <v>0</v>
          </cell>
          <cell r="O287">
            <v>0</v>
          </cell>
          <cell r="P287">
            <v>0</v>
          </cell>
          <cell r="Q287">
            <v>0</v>
          </cell>
          <cell r="R287">
            <v>0</v>
          </cell>
          <cell r="S287">
            <v>0</v>
          </cell>
          <cell r="T287" t="str">
            <v>Y</v>
          </cell>
          <cell r="V287" t="str">
            <v>JB</v>
          </cell>
          <cell r="W287" t="str">
            <v>TE</v>
          </cell>
          <cell r="X287" t="str">
            <v>7/13-HW1-A5</v>
          </cell>
        </row>
        <row r="288">
          <cell r="A288" t="str">
            <v>HW1-A6-43294</v>
          </cell>
          <cell r="B288" t="str">
            <v>7/13-HW1-A6</v>
          </cell>
          <cell r="C288">
            <v>43294</v>
          </cell>
          <cell r="D288" t="str">
            <v>HW1</v>
          </cell>
          <cell r="E288" t="str">
            <v>A6</v>
          </cell>
          <cell r="F288">
            <v>43303</v>
          </cell>
          <cell r="G288" t="str">
            <v>JB</v>
          </cell>
          <cell r="H288">
            <v>0</v>
          </cell>
          <cell r="I288">
            <v>602</v>
          </cell>
          <cell r="J288">
            <v>0</v>
          </cell>
          <cell r="K288">
            <v>602</v>
          </cell>
          <cell r="L288">
            <v>0</v>
          </cell>
          <cell r="M288">
            <v>0</v>
          </cell>
          <cell r="N288">
            <v>0</v>
          </cell>
          <cell r="O288">
            <v>0</v>
          </cell>
          <cell r="P288">
            <v>0</v>
          </cell>
          <cell r="Q288">
            <v>0</v>
          </cell>
          <cell r="R288">
            <v>0</v>
          </cell>
          <cell r="S288">
            <v>0</v>
          </cell>
          <cell r="T288" t="str">
            <v>Y</v>
          </cell>
          <cell r="V288" t="str">
            <v>JB</v>
          </cell>
          <cell r="W288" t="str">
            <v>TE</v>
          </cell>
          <cell r="X288" t="str">
            <v>7/13-HW1-A6</v>
          </cell>
        </row>
        <row r="289">
          <cell r="A289" t="str">
            <v>HW1-H1-43294</v>
          </cell>
          <cell r="B289" t="str">
            <v>7/13-HW1-H1</v>
          </cell>
          <cell r="C289">
            <v>43294</v>
          </cell>
          <cell r="D289" t="str">
            <v>HW1</v>
          </cell>
          <cell r="E289" t="str">
            <v>H1</v>
          </cell>
          <cell r="F289">
            <v>43302</v>
          </cell>
          <cell r="G289" t="str">
            <v>TE</v>
          </cell>
          <cell r="H289">
            <v>0</v>
          </cell>
          <cell r="I289">
            <v>18</v>
          </cell>
          <cell r="J289">
            <v>98</v>
          </cell>
          <cell r="K289">
            <v>116</v>
          </cell>
          <cell r="L289">
            <v>0</v>
          </cell>
          <cell r="M289">
            <v>0</v>
          </cell>
          <cell r="N289">
            <v>0</v>
          </cell>
          <cell r="O289">
            <v>0</v>
          </cell>
          <cell r="P289">
            <v>0</v>
          </cell>
          <cell r="Q289">
            <v>0</v>
          </cell>
          <cell r="R289">
            <v>0</v>
          </cell>
          <cell r="S289">
            <v>0</v>
          </cell>
          <cell r="T289" t="str">
            <v>Y</v>
          </cell>
          <cell r="V289" t="str">
            <v>TE</v>
          </cell>
          <cell r="W289" t="str">
            <v>LV/IS</v>
          </cell>
          <cell r="X289" t="str">
            <v>7/13-HW1-H1</v>
          </cell>
        </row>
        <row r="290">
          <cell r="A290" t="str">
            <v>HW1-H7-43294</v>
          </cell>
          <cell r="B290" t="str">
            <v>7/13-HW1-H7</v>
          </cell>
          <cell r="C290">
            <v>43294</v>
          </cell>
          <cell r="D290" t="str">
            <v>HW1</v>
          </cell>
          <cell r="E290" t="str">
            <v>H7</v>
          </cell>
          <cell r="F290">
            <v>43303</v>
          </cell>
          <cell r="G290" t="str">
            <v>TE</v>
          </cell>
          <cell r="H290">
            <v>0</v>
          </cell>
          <cell r="I290">
            <v>0</v>
          </cell>
          <cell r="J290">
            <v>1</v>
          </cell>
          <cell r="K290">
            <v>1</v>
          </cell>
          <cell r="L290">
            <v>0</v>
          </cell>
          <cell r="M290">
            <v>0</v>
          </cell>
          <cell r="N290">
            <v>5</v>
          </cell>
          <cell r="O290">
            <v>0</v>
          </cell>
          <cell r="P290">
            <v>0</v>
          </cell>
          <cell r="Q290">
            <v>0</v>
          </cell>
          <cell r="R290">
            <v>0</v>
          </cell>
          <cell r="S290">
            <v>5</v>
          </cell>
          <cell r="T290" t="str">
            <v>Y</v>
          </cell>
          <cell r="V290" t="str">
            <v>TE</v>
          </cell>
          <cell r="W290" t="str">
            <v>LV/IS</v>
          </cell>
          <cell r="X290" t="str">
            <v>7/13-HW1-H7</v>
          </cell>
        </row>
        <row r="291">
          <cell r="A291" t="str">
            <v>HW2-C8-43294</v>
          </cell>
          <cell r="B291" t="str">
            <v>7/13-HW2-C8</v>
          </cell>
          <cell r="C291">
            <v>43294</v>
          </cell>
          <cell r="D291" t="str">
            <v>HW2</v>
          </cell>
          <cell r="E291" t="str">
            <v>C8</v>
          </cell>
          <cell r="F291">
            <v>43302</v>
          </cell>
          <cell r="G291" t="str">
            <v>LV</v>
          </cell>
          <cell r="H291">
            <v>0</v>
          </cell>
          <cell r="I291">
            <v>54</v>
          </cell>
          <cell r="J291">
            <v>0</v>
          </cell>
          <cell r="K291">
            <v>54</v>
          </cell>
          <cell r="L291">
            <v>0</v>
          </cell>
          <cell r="M291">
            <v>0</v>
          </cell>
          <cell r="N291">
            <v>116</v>
          </cell>
          <cell r="O291">
            <v>0</v>
          </cell>
          <cell r="P291">
            <v>0</v>
          </cell>
          <cell r="Q291">
            <v>0</v>
          </cell>
          <cell r="R291">
            <v>0</v>
          </cell>
          <cell r="S291">
            <v>116</v>
          </cell>
          <cell r="T291" t="str">
            <v>Y</v>
          </cell>
          <cell r="V291" t="str">
            <v>TE</v>
          </cell>
          <cell r="W291" t="str">
            <v>LV/IS</v>
          </cell>
          <cell r="X291" t="str">
            <v>7/13-HW2-C8</v>
          </cell>
        </row>
        <row r="292">
          <cell r="A292" t="str">
            <v>HW2-D4-43294</v>
          </cell>
          <cell r="B292" t="str">
            <v>7/13-HW2-D4</v>
          </cell>
          <cell r="C292">
            <v>43294</v>
          </cell>
          <cell r="D292" t="str">
            <v>HW2</v>
          </cell>
          <cell r="E292" t="str">
            <v>D4</v>
          </cell>
          <cell r="F292">
            <v>43303</v>
          </cell>
          <cell r="G292" t="str">
            <v>JB</v>
          </cell>
          <cell r="H292">
            <v>0</v>
          </cell>
          <cell r="I292">
            <v>3142</v>
          </cell>
          <cell r="J292">
            <v>0</v>
          </cell>
          <cell r="K292">
            <v>3142</v>
          </cell>
          <cell r="L292">
            <v>0</v>
          </cell>
          <cell r="M292">
            <v>0</v>
          </cell>
          <cell r="N292">
            <v>0</v>
          </cell>
          <cell r="O292">
            <v>0</v>
          </cell>
          <cell r="P292">
            <v>0</v>
          </cell>
          <cell r="Q292">
            <v>0</v>
          </cell>
          <cell r="R292">
            <v>0</v>
          </cell>
          <cell r="S292">
            <v>0</v>
          </cell>
          <cell r="T292" t="str">
            <v>Y</v>
          </cell>
          <cell r="V292" t="str">
            <v>JB</v>
          </cell>
          <cell r="W292" t="str">
            <v>TE</v>
          </cell>
          <cell r="X292" t="str">
            <v>7/13-HW2-D4</v>
          </cell>
        </row>
        <row r="293">
          <cell r="A293" t="str">
            <v>HW2-F1-43294</v>
          </cell>
          <cell r="B293" t="str">
            <v>7/13-HW2-F1</v>
          </cell>
          <cell r="C293">
            <v>43294</v>
          </cell>
          <cell r="D293" t="str">
            <v>HW2</v>
          </cell>
          <cell r="E293" t="str">
            <v>F1</v>
          </cell>
          <cell r="F293">
            <v>43302</v>
          </cell>
          <cell r="G293" t="str">
            <v>JB</v>
          </cell>
          <cell r="H293">
            <v>0</v>
          </cell>
          <cell r="I293">
            <v>28</v>
          </cell>
          <cell r="J293">
            <v>0</v>
          </cell>
          <cell r="K293">
            <v>28</v>
          </cell>
          <cell r="L293">
            <v>0</v>
          </cell>
          <cell r="M293">
            <v>0</v>
          </cell>
          <cell r="N293">
            <v>0</v>
          </cell>
          <cell r="O293">
            <v>0</v>
          </cell>
          <cell r="P293">
            <v>0</v>
          </cell>
          <cell r="Q293">
            <v>0</v>
          </cell>
          <cell r="R293">
            <v>0</v>
          </cell>
          <cell r="S293">
            <v>0</v>
          </cell>
          <cell r="T293" t="str">
            <v>Y</v>
          </cell>
          <cell r="U293" t="str">
            <v>478 Blastocystus</v>
          </cell>
          <cell r="V293" t="str">
            <v>JB</v>
          </cell>
          <cell r="W293" t="str">
            <v>TE</v>
          </cell>
          <cell r="X293" t="str">
            <v>7/13-HW2-F1</v>
          </cell>
        </row>
        <row r="294">
          <cell r="A294" t="str">
            <v>HW1-A2-43295</v>
          </cell>
          <cell r="B294" t="str">
            <v>7/14-HW1-A2</v>
          </cell>
          <cell r="C294">
            <v>43295</v>
          </cell>
          <cell r="D294" t="str">
            <v>HW1</v>
          </cell>
          <cell r="E294" t="str">
            <v>A2</v>
          </cell>
          <cell r="F294">
            <v>43304</v>
          </cell>
          <cell r="G294" t="str">
            <v>LV</v>
          </cell>
          <cell r="I294">
            <v>2</v>
          </cell>
          <cell r="K294">
            <v>2</v>
          </cell>
          <cell r="S294">
            <v>0</v>
          </cell>
          <cell r="T294" t="str">
            <v>Y</v>
          </cell>
          <cell r="V294" t="str">
            <v>LV</v>
          </cell>
          <cell r="W294" t="str">
            <v>LV/IS</v>
          </cell>
          <cell r="X294" t="str">
            <v>7/14-HW1-A2</v>
          </cell>
        </row>
        <row r="295">
          <cell r="A295" t="str">
            <v>HW2-A4-43295</v>
          </cell>
          <cell r="B295" t="str">
            <v>7/14-HW2-A4</v>
          </cell>
          <cell r="C295">
            <v>43295</v>
          </cell>
          <cell r="D295" t="str">
            <v>HW2</v>
          </cell>
          <cell r="E295" t="str">
            <v>A4</v>
          </cell>
          <cell r="F295">
            <v>43303</v>
          </cell>
          <cell r="G295" t="str">
            <v>TE</v>
          </cell>
          <cell r="H295">
            <v>0</v>
          </cell>
          <cell r="I295">
            <v>146</v>
          </cell>
          <cell r="J295">
            <v>272</v>
          </cell>
          <cell r="K295">
            <v>418</v>
          </cell>
          <cell r="L295">
            <v>0</v>
          </cell>
          <cell r="M295">
            <v>0</v>
          </cell>
          <cell r="N295">
            <v>0</v>
          </cell>
          <cell r="O295">
            <v>0</v>
          </cell>
          <cell r="P295">
            <v>0</v>
          </cell>
          <cell r="Q295">
            <v>0</v>
          </cell>
          <cell r="R295">
            <v>0</v>
          </cell>
          <cell r="S295">
            <v>0</v>
          </cell>
          <cell r="T295" t="str">
            <v>Y</v>
          </cell>
          <cell r="V295" t="str">
            <v>TE</v>
          </cell>
          <cell r="W295" t="str">
            <v>LV/IS</v>
          </cell>
          <cell r="X295" t="str">
            <v>7/14-HW2-A4</v>
          </cell>
        </row>
        <row r="296">
          <cell r="A296" t="str">
            <v>HW2-C7-43295</v>
          </cell>
          <cell r="B296" t="str">
            <v>7/14-HW2-C7</v>
          </cell>
          <cell r="C296">
            <v>43295</v>
          </cell>
          <cell r="D296" t="str">
            <v>HW2</v>
          </cell>
          <cell r="E296" t="str">
            <v>C7</v>
          </cell>
          <cell r="F296">
            <v>43304</v>
          </cell>
          <cell r="G296" t="str">
            <v>LV</v>
          </cell>
          <cell r="H296">
            <v>9</v>
          </cell>
          <cell r="I296">
            <v>668</v>
          </cell>
          <cell r="J296">
            <v>0</v>
          </cell>
          <cell r="K296">
            <v>677</v>
          </cell>
          <cell r="L296">
            <v>0</v>
          </cell>
          <cell r="M296">
            <v>0</v>
          </cell>
          <cell r="N296">
            <v>0</v>
          </cell>
          <cell r="O296">
            <v>0</v>
          </cell>
          <cell r="P296">
            <v>0</v>
          </cell>
          <cell r="Q296">
            <v>0</v>
          </cell>
          <cell r="R296">
            <v>0</v>
          </cell>
          <cell r="S296">
            <v>0</v>
          </cell>
          <cell r="T296" t="str">
            <v>N</v>
          </cell>
          <cell r="U296" t="str">
            <v>counted entire slide on 40x and 10x</v>
          </cell>
          <cell r="V296" t="str">
            <v>LV</v>
          </cell>
          <cell r="W296" t="str">
            <v>LV/IS</v>
          </cell>
          <cell r="X296" t="str">
            <v>7/14-HW2-C7</v>
          </cell>
        </row>
        <row r="297">
          <cell r="A297" t="str">
            <v>PO1-A3-43296</v>
          </cell>
          <cell r="B297" t="str">
            <v>7/15-PO1-A3</v>
          </cell>
          <cell r="C297">
            <v>43296</v>
          </cell>
          <cell r="D297" t="str">
            <v>PO1</v>
          </cell>
          <cell r="E297" t="str">
            <v>A3</v>
          </cell>
          <cell r="F297">
            <v>43304</v>
          </cell>
          <cell r="G297" t="str">
            <v>TE</v>
          </cell>
          <cell r="H297">
            <v>0</v>
          </cell>
          <cell r="I297">
            <v>0</v>
          </cell>
          <cell r="J297">
            <v>0</v>
          </cell>
          <cell r="K297">
            <v>0</v>
          </cell>
          <cell r="L297">
            <v>0</v>
          </cell>
          <cell r="M297">
            <v>0</v>
          </cell>
          <cell r="N297">
            <v>0</v>
          </cell>
          <cell r="O297">
            <v>0</v>
          </cell>
          <cell r="P297">
            <v>0</v>
          </cell>
          <cell r="Q297">
            <v>0</v>
          </cell>
          <cell r="R297">
            <v>0</v>
          </cell>
          <cell r="S297">
            <v>0</v>
          </cell>
          <cell r="T297" t="str">
            <v>Y</v>
          </cell>
          <cell r="V297" t="str">
            <v>LV</v>
          </cell>
          <cell r="W297" t="str">
            <v>LV/IS</v>
          </cell>
          <cell r="X297" t="str">
            <v>7/15-PO1-A3</v>
          </cell>
        </row>
        <row r="298">
          <cell r="A298" t="str">
            <v>PO1-A3-43296</v>
          </cell>
          <cell r="B298" t="str">
            <v>7/15-PO1-A3</v>
          </cell>
          <cell r="C298">
            <v>43296</v>
          </cell>
          <cell r="D298" t="str">
            <v>PO1</v>
          </cell>
          <cell r="E298" t="str">
            <v>A3</v>
          </cell>
          <cell r="F298">
            <v>43304</v>
          </cell>
          <cell r="G298" t="str">
            <v>IS</v>
          </cell>
          <cell r="N298">
            <v>1</v>
          </cell>
          <cell r="S298">
            <v>1</v>
          </cell>
          <cell r="T298" t="str">
            <v>Y</v>
          </cell>
          <cell r="U298" t="str">
            <v>35 blastocystis</v>
          </cell>
          <cell r="V298" t="str">
            <v>LV</v>
          </cell>
          <cell r="W298" t="str">
            <v>LV/IS</v>
          </cell>
          <cell r="X298" t="str">
            <v>7/15-PO1-A3</v>
          </cell>
        </row>
        <row r="299">
          <cell r="A299" t="str">
            <v>PO1-D8-43296</v>
          </cell>
          <cell r="B299" t="str">
            <v>7/15-PO1-D8</v>
          </cell>
          <cell r="C299">
            <v>43296</v>
          </cell>
          <cell r="D299" t="str">
            <v>PO1</v>
          </cell>
          <cell r="E299" t="str">
            <v>D8</v>
          </cell>
          <cell r="F299">
            <v>43304</v>
          </cell>
          <cell r="G299" t="str">
            <v>JB</v>
          </cell>
          <cell r="H299">
            <v>0</v>
          </cell>
          <cell r="I299">
            <v>0</v>
          </cell>
          <cell r="J299">
            <v>0</v>
          </cell>
          <cell r="K299">
            <v>0</v>
          </cell>
          <cell r="L299">
            <v>0</v>
          </cell>
          <cell r="M299">
            <v>0</v>
          </cell>
          <cell r="N299">
            <v>0</v>
          </cell>
          <cell r="O299">
            <v>0</v>
          </cell>
          <cell r="P299">
            <v>0</v>
          </cell>
          <cell r="Q299">
            <v>0</v>
          </cell>
          <cell r="R299">
            <v>0</v>
          </cell>
          <cell r="S299">
            <v>0</v>
          </cell>
          <cell r="T299" t="str">
            <v>Y</v>
          </cell>
          <cell r="V299" t="str">
            <v>LV</v>
          </cell>
          <cell r="W299" t="str">
            <v>LV/IS</v>
          </cell>
          <cell r="X299" t="str">
            <v>7/15-PO1-D8</v>
          </cell>
        </row>
        <row r="300">
          <cell r="A300" t="str">
            <v>PO1-E8-43296</v>
          </cell>
          <cell r="B300" t="str">
            <v>7/15-PO1-E8</v>
          </cell>
          <cell r="C300">
            <v>43296</v>
          </cell>
          <cell r="D300" t="str">
            <v>PO1</v>
          </cell>
          <cell r="E300" t="str">
            <v>E8</v>
          </cell>
          <cell r="F300">
            <v>43305</v>
          </cell>
          <cell r="G300" t="str">
            <v>TE</v>
          </cell>
          <cell r="H300">
            <v>172</v>
          </cell>
          <cell r="I300">
            <v>210</v>
          </cell>
          <cell r="J300">
            <v>2186</v>
          </cell>
          <cell r="K300">
            <v>2568</v>
          </cell>
          <cell r="S300">
            <v>0</v>
          </cell>
          <cell r="T300" t="str">
            <v>Y</v>
          </cell>
          <cell r="V300" t="str">
            <v>LV</v>
          </cell>
          <cell r="W300" t="str">
            <v>LV/IS</v>
          </cell>
          <cell r="X300" t="str">
            <v>7/15-PO1-E8</v>
          </cell>
        </row>
        <row r="301">
          <cell r="A301" t="str">
            <v>PO1-G2-43296</v>
          </cell>
          <cell r="B301" t="str">
            <v>7/15-PO1-G2</v>
          </cell>
          <cell r="C301">
            <v>43296</v>
          </cell>
          <cell r="D301" t="str">
            <v>PO1</v>
          </cell>
          <cell r="E301" t="str">
            <v>G2</v>
          </cell>
          <cell r="F301">
            <v>43304</v>
          </cell>
          <cell r="G301" t="str">
            <v>DP</v>
          </cell>
          <cell r="H301">
            <v>6</v>
          </cell>
          <cell r="I301">
            <v>326</v>
          </cell>
          <cell r="J301">
            <v>10</v>
          </cell>
          <cell r="K301">
            <v>342</v>
          </cell>
          <cell r="Q301">
            <v>3</v>
          </cell>
          <cell r="S301">
            <v>0</v>
          </cell>
          <cell r="T301" t="str">
            <v>Y</v>
          </cell>
          <cell r="V301" t="str">
            <v>LV</v>
          </cell>
          <cell r="W301" t="str">
            <v>LV/IS</v>
          </cell>
          <cell r="X301" t="str">
            <v>7/15-PO1-G2</v>
          </cell>
        </row>
        <row r="302">
          <cell r="A302" t="str">
            <v>PO2-A3-43296</v>
          </cell>
          <cell r="B302" t="str">
            <v>7/15-PO2-A3</v>
          </cell>
          <cell r="C302">
            <v>43296</v>
          </cell>
          <cell r="D302" t="str">
            <v>PO2</v>
          </cell>
          <cell r="E302" t="str">
            <v>A3</v>
          </cell>
          <cell r="F302">
            <v>43304</v>
          </cell>
          <cell r="G302" t="str">
            <v>JB</v>
          </cell>
          <cell r="H302">
            <v>0</v>
          </cell>
          <cell r="I302">
            <v>110</v>
          </cell>
          <cell r="J302">
            <v>0</v>
          </cell>
          <cell r="K302">
            <v>110</v>
          </cell>
          <cell r="L302">
            <v>0</v>
          </cell>
          <cell r="M302">
            <v>0</v>
          </cell>
          <cell r="N302">
            <v>0</v>
          </cell>
          <cell r="O302">
            <v>0</v>
          </cell>
          <cell r="P302">
            <v>0</v>
          </cell>
          <cell r="Q302">
            <v>0</v>
          </cell>
          <cell r="R302">
            <v>2</v>
          </cell>
          <cell r="S302">
            <v>0</v>
          </cell>
          <cell r="T302" t="str">
            <v>Y</v>
          </cell>
          <cell r="V302" t="str">
            <v>LV</v>
          </cell>
          <cell r="W302" t="str">
            <v>LV/IS</v>
          </cell>
          <cell r="X302" t="str">
            <v>7/15-PO2-A3</v>
          </cell>
        </row>
        <row r="303">
          <cell r="A303" t="str">
            <v>PO2-B2-43296</v>
          </cell>
          <cell r="B303" t="str">
            <v>7/15-PO2-B2</v>
          </cell>
          <cell r="C303">
            <v>43296</v>
          </cell>
          <cell r="D303" t="str">
            <v>PO2</v>
          </cell>
          <cell r="E303" t="str">
            <v>B2</v>
          </cell>
          <cell r="F303">
            <v>43305</v>
          </cell>
          <cell r="G303" t="str">
            <v>IS</v>
          </cell>
          <cell r="H303">
            <v>0</v>
          </cell>
          <cell r="I303">
            <v>0</v>
          </cell>
          <cell r="J303">
            <v>0</v>
          </cell>
          <cell r="K303">
            <v>0</v>
          </cell>
          <cell r="L303">
            <v>0</v>
          </cell>
          <cell r="M303">
            <v>0</v>
          </cell>
          <cell r="N303">
            <v>0</v>
          </cell>
          <cell r="O303">
            <v>0</v>
          </cell>
          <cell r="P303">
            <v>0</v>
          </cell>
          <cell r="Q303">
            <v>0</v>
          </cell>
          <cell r="R303">
            <v>0</v>
          </cell>
          <cell r="S303">
            <v>0</v>
          </cell>
          <cell r="T303" t="str">
            <v>Y</v>
          </cell>
          <cell r="V303" t="str">
            <v>LV</v>
          </cell>
          <cell r="W303" t="str">
            <v>LV/IS</v>
          </cell>
          <cell r="X303" t="str">
            <v>7/15-PO2-B2</v>
          </cell>
        </row>
        <row r="304">
          <cell r="A304" t="str">
            <v>PO2-H3-43296</v>
          </cell>
          <cell r="B304" t="str">
            <v>7/15-PO2-H3</v>
          </cell>
          <cell r="C304">
            <v>43296</v>
          </cell>
          <cell r="D304" t="str">
            <v>PO2</v>
          </cell>
          <cell r="E304" t="str">
            <v>H3</v>
          </cell>
          <cell r="F304">
            <v>43304</v>
          </cell>
          <cell r="G304" t="str">
            <v>LV</v>
          </cell>
          <cell r="H304">
            <v>0</v>
          </cell>
          <cell r="I304">
            <v>0</v>
          </cell>
          <cell r="J304">
            <v>0</v>
          </cell>
          <cell r="K304">
            <v>0</v>
          </cell>
          <cell r="L304">
            <v>0</v>
          </cell>
          <cell r="M304">
            <v>0</v>
          </cell>
          <cell r="N304">
            <v>0</v>
          </cell>
          <cell r="O304">
            <v>0</v>
          </cell>
          <cell r="P304">
            <v>0</v>
          </cell>
          <cell r="Q304">
            <v>0</v>
          </cell>
          <cell r="R304">
            <v>0</v>
          </cell>
          <cell r="S304">
            <v>0</v>
          </cell>
          <cell r="T304" t="str">
            <v>Y</v>
          </cell>
          <cell r="V304" t="str">
            <v>LV</v>
          </cell>
          <cell r="W304" t="str">
            <v>LV/IS</v>
          </cell>
          <cell r="X304" t="str">
            <v>7/15-PO2-H3</v>
          </cell>
        </row>
        <row r="305">
          <cell r="A305" t="str">
            <v>PO2-F1-43297</v>
          </cell>
          <cell r="B305" t="str">
            <v>7/16-PO2-F1</v>
          </cell>
          <cell r="C305">
            <v>43297</v>
          </cell>
          <cell r="D305" t="str">
            <v>PO2</v>
          </cell>
          <cell r="E305" t="str">
            <v>F1</v>
          </cell>
          <cell r="F305">
            <v>43305</v>
          </cell>
          <cell r="G305" t="str">
            <v>JB</v>
          </cell>
          <cell r="H305">
            <v>414</v>
          </cell>
          <cell r="I305">
            <v>3084</v>
          </cell>
          <cell r="J305">
            <v>92</v>
          </cell>
          <cell r="K305">
            <v>3590</v>
          </cell>
          <cell r="P305">
            <v>4</v>
          </cell>
          <cell r="S305">
            <v>4</v>
          </cell>
          <cell r="T305" t="str">
            <v>Y</v>
          </cell>
          <cell r="U305" t="str">
            <v xml:space="preserve">7 Blastocystis </v>
          </cell>
          <cell r="V305" t="str">
            <v>LV</v>
          </cell>
          <cell r="W305" t="str">
            <v>LV/IS</v>
          </cell>
          <cell r="X305" t="str">
            <v>7/16-PO2-F1</v>
          </cell>
        </row>
        <row r="306">
          <cell r="A306" t="str">
            <v>SP1-A5-43301</v>
          </cell>
          <cell r="B306" t="str">
            <v>7/20-SP1-A5</v>
          </cell>
          <cell r="C306">
            <v>43301</v>
          </cell>
          <cell r="D306" t="str">
            <v>SP1</v>
          </cell>
          <cell r="E306" t="str">
            <v>A5</v>
          </cell>
          <cell r="F306">
            <v>43305</v>
          </cell>
          <cell r="G306" t="str">
            <v>TE</v>
          </cell>
          <cell r="H306">
            <v>4</v>
          </cell>
          <cell r="I306">
            <v>40</v>
          </cell>
          <cell r="J306">
            <v>270</v>
          </cell>
          <cell r="K306">
            <v>314</v>
          </cell>
          <cell r="S306">
            <v>0</v>
          </cell>
          <cell r="T306" t="str">
            <v>Y</v>
          </cell>
          <cell r="V306" t="str">
            <v>LV</v>
          </cell>
          <cell r="W306" t="str">
            <v>LV/IS</v>
          </cell>
          <cell r="X306" t="str">
            <v>7/20-SP1-A5</v>
          </cell>
        </row>
        <row r="307">
          <cell r="A307" t="str">
            <v>SP1-A6-43301</v>
          </cell>
          <cell r="B307" t="str">
            <v>7/20-SP1-A6</v>
          </cell>
          <cell r="C307">
            <v>43301</v>
          </cell>
          <cell r="D307" t="str">
            <v>SP1</v>
          </cell>
          <cell r="E307" t="str">
            <v>A6</v>
          </cell>
          <cell r="F307">
            <v>43304</v>
          </cell>
          <cell r="G307" t="str">
            <v>TE</v>
          </cell>
          <cell r="H307">
            <v>0</v>
          </cell>
          <cell r="I307">
            <v>0</v>
          </cell>
          <cell r="J307">
            <v>2</v>
          </cell>
          <cell r="K307">
            <v>2</v>
          </cell>
          <cell r="L307">
            <v>0</v>
          </cell>
          <cell r="M307">
            <v>0</v>
          </cell>
          <cell r="N307">
            <v>0</v>
          </cell>
          <cell r="O307">
            <v>0</v>
          </cell>
          <cell r="P307">
            <v>0</v>
          </cell>
          <cell r="Q307">
            <v>0</v>
          </cell>
          <cell r="R307">
            <v>0</v>
          </cell>
          <cell r="S307">
            <v>0</v>
          </cell>
          <cell r="T307" t="str">
            <v>Y</v>
          </cell>
          <cell r="V307" t="str">
            <v>LV</v>
          </cell>
          <cell r="W307" t="str">
            <v>LV/IS</v>
          </cell>
          <cell r="X307" t="str">
            <v>7/20-SP1-A6</v>
          </cell>
        </row>
        <row r="308">
          <cell r="A308" t="str">
            <v>SP1-A8-43301</v>
          </cell>
          <cell r="B308" t="str">
            <v>7/20-SP1-A8</v>
          </cell>
          <cell r="C308">
            <v>43301</v>
          </cell>
          <cell r="D308" t="str">
            <v>SP1</v>
          </cell>
          <cell r="E308" t="str">
            <v>A8</v>
          </cell>
          <cell r="F308">
            <v>43304</v>
          </cell>
          <cell r="G308" t="str">
            <v>LV</v>
          </cell>
          <cell r="H308">
            <v>0</v>
          </cell>
          <cell r="I308">
            <v>0</v>
          </cell>
          <cell r="J308">
            <v>0</v>
          </cell>
          <cell r="K308">
            <v>0</v>
          </cell>
          <cell r="L308">
            <v>0</v>
          </cell>
          <cell r="M308">
            <v>0</v>
          </cell>
          <cell r="N308">
            <v>0</v>
          </cell>
          <cell r="O308">
            <v>0</v>
          </cell>
          <cell r="P308">
            <v>0</v>
          </cell>
          <cell r="Q308">
            <v>0</v>
          </cell>
          <cell r="R308">
            <v>0</v>
          </cell>
          <cell r="S308">
            <v>0</v>
          </cell>
          <cell r="T308" t="str">
            <v>Y</v>
          </cell>
          <cell r="V308" t="str">
            <v>LV</v>
          </cell>
          <cell r="W308" t="str">
            <v>LV/IS</v>
          </cell>
          <cell r="X308" t="str">
            <v>7/20-SP1-A8</v>
          </cell>
        </row>
        <row r="309">
          <cell r="A309" t="str">
            <v>SP2-B3-43301</v>
          </cell>
          <cell r="B309" t="str">
            <v>7/20-SP2-B3</v>
          </cell>
          <cell r="C309">
            <v>43301</v>
          </cell>
          <cell r="D309" t="str">
            <v>SP2</v>
          </cell>
          <cell r="E309" t="str">
            <v>B3</v>
          </cell>
          <cell r="F309">
            <v>43304</v>
          </cell>
          <cell r="G309" t="str">
            <v>DP</v>
          </cell>
          <cell r="H309">
            <v>108</v>
          </cell>
          <cell r="I309">
            <v>8</v>
          </cell>
          <cell r="K309">
            <v>116</v>
          </cell>
          <cell r="Q309">
            <v>226</v>
          </cell>
          <cell r="S309">
            <v>0</v>
          </cell>
          <cell r="T309" t="str">
            <v>Y</v>
          </cell>
          <cell r="V309" t="str">
            <v>LV</v>
          </cell>
          <cell r="W309" t="str">
            <v>LV/IS</v>
          </cell>
          <cell r="X309" t="str">
            <v>7/20-SP2-B3</v>
          </cell>
        </row>
        <row r="310">
          <cell r="A310" t="str">
            <v>BC1-A1-43303</v>
          </cell>
          <cell r="B310" t="str">
            <v>7/22-BC1-A1</v>
          </cell>
          <cell r="C310">
            <v>43303</v>
          </cell>
          <cell r="D310" t="str">
            <v>BC1</v>
          </cell>
          <cell r="E310" t="str">
            <v>A1</v>
          </cell>
          <cell r="F310">
            <v>43305</v>
          </cell>
          <cell r="G310" t="str">
            <v>DP</v>
          </cell>
          <cell r="H310">
            <v>18</v>
          </cell>
          <cell r="I310">
            <v>32</v>
          </cell>
          <cell r="J310">
            <v>4</v>
          </cell>
          <cell r="K310">
            <v>54</v>
          </cell>
          <cell r="S310">
            <v>0</v>
          </cell>
          <cell r="T310" t="str">
            <v>Y</v>
          </cell>
          <cell r="V310" t="str">
            <v>DP</v>
          </cell>
          <cell r="W310" t="str">
            <v>LV/IS</v>
          </cell>
          <cell r="X310" t="str">
            <v>7/22-BC1-A1</v>
          </cell>
        </row>
        <row r="311">
          <cell r="A311" t="str">
            <v>BC1-A7-43303</v>
          </cell>
          <cell r="B311" t="str">
            <v>7/22-BC1-A7</v>
          </cell>
          <cell r="C311">
            <v>43303</v>
          </cell>
          <cell r="D311" t="str">
            <v>BC1</v>
          </cell>
          <cell r="E311" t="str">
            <v>A7</v>
          </cell>
          <cell r="F311">
            <v>43304</v>
          </cell>
          <cell r="G311" t="str">
            <v>DP</v>
          </cell>
          <cell r="I311">
            <v>31388</v>
          </cell>
          <cell r="J311">
            <v>519</v>
          </cell>
          <cell r="K311">
            <v>31907</v>
          </cell>
          <cell r="S311">
            <v>0</v>
          </cell>
          <cell r="T311" t="str">
            <v>N</v>
          </cell>
          <cell r="U311" t="str">
            <v>1/4 Counted for Coccidia</v>
          </cell>
          <cell r="V311" t="str">
            <v>LV</v>
          </cell>
          <cell r="W311" t="str">
            <v>LV/IS</v>
          </cell>
          <cell r="X311" t="str">
            <v>7/22-BC1-A7</v>
          </cell>
        </row>
        <row r="312">
          <cell r="A312" t="str">
            <v>BC1-C1-43303</v>
          </cell>
          <cell r="B312" t="str">
            <v>7/22-BC1-C1</v>
          </cell>
          <cell r="C312">
            <v>43303</v>
          </cell>
          <cell r="D312" t="str">
            <v>BC1</v>
          </cell>
          <cell r="E312" t="str">
            <v>C1</v>
          </cell>
          <cell r="F312">
            <v>43305</v>
          </cell>
          <cell r="G312" t="str">
            <v>JB</v>
          </cell>
          <cell r="H312">
            <v>0</v>
          </cell>
          <cell r="I312">
            <v>0</v>
          </cell>
          <cell r="J312">
            <v>0</v>
          </cell>
          <cell r="K312">
            <v>0</v>
          </cell>
          <cell r="L312">
            <v>0</v>
          </cell>
          <cell r="M312">
            <v>0</v>
          </cell>
          <cell r="N312">
            <v>0</v>
          </cell>
          <cell r="O312">
            <v>0</v>
          </cell>
          <cell r="P312">
            <v>0</v>
          </cell>
          <cell r="Q312">
            <v>0</v>
          </cell>
          <cell r="R312">
            <v>0</v>
          </cell>
          <cell r="S312">
            <v>0</v>
          </cell>
          <cell r="T312" t="str">
            <v>Y</v>
          </cell>
          <cell r="V312" t="str">
            <v>LV</v>
          </cell>
          <cell r="W312" t="str">
            <v>LV/IS</v>
          </cell>
          <cell r="X312" t="str">
            <v>7/22-BC1-C1</v>
          </cell>
        </row>
        <row r="313">
          <cell r="A313" t="str">
            <v>BC1-H6-43303</v>
          </cell>
          <cell r="B313" t="str">
            <v>7/22-BC1-H6</v>
          </cell>
          <cell r="C313">
            <v>43303</v>
          </cell>
          <cell r="D313" t="str">
            <v>BC1</v>
          </cell>
          <cell r="E313" t="str">
            <v>H6</v>
          </cell>
          <cell r="F313">
            <v>43304</v>
          </cell>
          <cell r="G313" t="str">
            <v>IS</v>
          </cell>
          <cell r="I313">
            <v>2</v>
          </cell>
          <cell r="J313">
            <v>2</v>
          </cell>
          <cell r="K313">
            <v>4</v>
          </cell>
          <cell r="S313">
            <v>0</v>
          </cell>
          <cell r="T313" t="str">
            <v>Y</v>
          </cell>
          <cell r="V313" t="str">
            <v>LV</v>
          </cell>
          <cell r="W313" t="str">
            <v>LV/IS</v>
          </cell>
          <cell r="X313" t="str">
            <v>7/22-BC1-H6</v>
          </cell>
        </row>
        <row r="314">
          <cell r="A314" t="str">
            <v>BC2-D3-43303</v>
          </cell>
          <cell r="B314" t="str">
            <v>7/22-BC2-D3</v>
          </cell>
          <cell r="C314">
            <v>43303</v>
          </cell>
          <cell r="D314" t="str">
            <v>BC2</v>
          </cell>
          <cell r="E314" t="str">
            <v>D3</v>
          </cell>
          <cell r="F314">
            <v>43305</v>
          </cell>
          <cell r="G314" t="str">
            <v>JB</v>
          </cell>
          <cell r="H314">
            <v>934</v>
          </cell>
          <cell r="I314">
            <v>1412</v>
          </cell>
          <cell r="J314">
            <v>228</v>
          </cell>
          <cell r="K314">
            <v>2574</v>
          </cell>
          <cell r="L314">
            <v>0</v>
          </cell>
          <cell r="M314">
            <v>0</v>
          </cell>
          <cell r="N314">
            <v>0</v>
          </cell>
          <cell r="O314">
            <v>0</v>
          </cell>
          <cell r="P314">
            <v>0</v>
          </cell>
          <cell r="Q314">
            <v>0</v>
          </cell>
          <cell r="R314">
            <v>4</v>
          </cell>
          <cell r="S314">
            <v>0</v>
          </cell>
          <cell r="T314" t="str">
            <v>Y</v>
          </cell>
          <cell r="V314" t="str">
            <v>LV</v>
          </cell>
          <cell r="W314" t="str">
            <v>LV/IS</v>
          </cell>
          <cell r="X314" t="str">
            <v>7/22-BC2-D3</v>
          </cell>
        </row>
        <row r="315">
          <cell r="A315" t="str">
            <v>BC1-D2-43304</v>
          </cell>
          <cell r="B315" t="str">
            <v>7/23-BC1-D2</v>
          </cell>
          <cell r="C315">
            <v>43304</v>
          </cell>
          <cell r="D315" t="str">
            <v>BC1</v>
          </cell>
          <cell r="E315" t="str">
            <v>D2</v>
          </cell>
          <cell r="F315">
            <v>43305</v>
          </cell>
          <cell r="G315" t="str">
            <v>DP</v>
          </cell>
          <cell r="H315">
            <v>180</v>
          </cell>
          <cell r="I315">
            <v>22708</v>
          </cell>
          <cell r="J315">
            <v>1272</v>
          </cell>
          <cell r="K315">
            <v>24160</v>
          </cell>
          <cell r="S315">
            <v>0</v>
          </cell>
          <cell r="T315" t="str">
            <v>N</v>
          </cell>
          <cell r="U315" t="str">
            <v>1/4 Counted for Coccidia</v>
          </cell>
          <cell r="V315" t="str">
            <v>LV</v>
          </cell>
          <cell r="W315" t="str">
            <v>LV/IS</v>
          </cell>
          <cell r="X315" t="str">
            <v>7/23-BC1-D2</v>
          </cell>
        </row>
        <row r="316">
          <cell r="A316" t="str">
            <v>BC2-H6-46892</v>
          </cell>
          <cell r="B316" t="str">
            <v>5/19-BC2-H6</v>
          </cell>
          <cell r="C316">
            <v>46892</v>
          </cell>
          <cell r="D316" t="str">
            <v>BC2</v>
          </cell>
          <cell r="E316" t="str">
            <v>H6</v>
          </cell>
          <cell r="F316">
            <v>43252</v>
          </cell>
          <cell r="G316" t="str">
            <v>TE</v>
          </cell>
          <cell r="H316">
            <v>0</v>
          </cell>
          <cell r="I316">
            <v>0</v>
          </cell>
          <cell r="J316">
            <v>0</v>
          </cell>
          <cell r="K316">
            <v>0</v>
          </cell>
          <cell r="L316">
            <v>0</v>
          </cell>
          <cell r="M316">
            <v>0</v>
          </cell>
          <cell r="N316">
            <v>0</v>
          </cell>
          <cell r="O316">
            <v>0</v>
          </cell>
          <cell r="P316">
            <v>0</v>
          </cell>
          <cell r="Q316">
            <v>0</v>
          </cell>
          <cell r="R316">
            <v>0</v>
          </cell>
          <cell r="S316">
            <v>0</v>
          </cell>
          <cell r="X316" t="str">
            <v>5/19-BC2-H6</v>
          </cell>
        </row>
      </sheetData>
      <sheetData sheetId="1"/>
      <sheetData sheetId="2"/>
      <sheetData sheetId="3"/>
    </sheetDataSet>
  </externalBook>
</externalLink>
</file>

<file path=xl/persons/person.xml><?xml version="1.0" encoding="utf-8"?>
<personList xmlns="http://schemas.microsoft.com/office/spreadsheetml/2018/threadedcomments" xmlns:x="http://schemas.openxmlformats.org/spreadsheetml/2006/main">
  <person displayName="Budischak, Sarah" id="{B7EA2D7A-1729-E142-B0F5-6C2F1601D75B}" userId="S::sbudischak@cmc.edu::4bedea68-af68-4374-b24f-e8bda4d34fd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N536" dT="2019-03-15T23:52:05.39" personId="{B7EA2D7A-1729-E142-B0F5-6C2F1601D75B}" id="{ECD801A0-DCD0-6443-AEF7-CAFCECE19B0D}">
    <text>scar from previous infection</text>
  </threadedComment>
  <threadedComment ref="U585" dT="2019-03-12T00:14:42.27" personId="{B7EA2D7A-1729-E142-B0F5-6C2F1601D75B}" id="{888C6CC7-7F11-2141-846A-DFF5E9FDBF9F}">
    <text>changed from E8 to F8</text>
  </threadedComment>
  <threadedComment ref="U622" dT="2019-03-12T00:14:08.72" personId="{B7EA2D7A-1729-E142-B0F5-6C2F1601D75B}" id="{920916B8-B3E1-AA46-A3CB-CFA3FB62A4AB}">
    <text>changed to F3 from F7</text>
  </threadedComment>
  <threadedComment ref="AS680" dT="2019-03-12T21:24:03.16" personId="{B7EA2D7A-1729-E142-B0F5-6C2F1601D75B}" id="{AF19757F-4AB4-D648-A6FD-296FF9CC8150}">
    <text>changed from -0.007 to 0.001</text>
  </threadedComment>
  <threadedComment ref="AS682" dT="2019-03-12T21:24:03.16" personId="{B7EA2D7A-1729-E142-B0F5-6C2F1601D75B}" id="{035308AF-0776-1440-AB34-A1DD665E5808}">
    <text>changed from -0.014 to 0.001</text>
  </threadedComment>
  <threadedComment ref="AS694" dT="2019-03-12T21:27:25.53" personId="{B7EA2D7A-1729-E142-B0F5-6C2F1601D75B}" id="{10A632A4-9EE4-FC43-9612-15D6757E1D9E}">
    <text>changed from -0.024 to 0.001</text>
  </threadedComment>
  <threadedComment ref="U711" dT="2019-03-11T23:54:47.00" personId="{B7EA2D7A-1729-E142-B0F5-6C2F1601D75B}" id="{4F0BEE5E-E4E8-E849-BD4F-3F8E58A24CE8}">
    <text>changed to D5 from B5</text>
  </threadedComment>
  <threadedComment ref="AN724" dT="2019-03-15T23:52:05.39" personId="{B7EA2D7A-1729-E142-B0F5-6C2F1601D75B}" id="{83E9F026-AAC7-564E-A532-4ED6AA27D70D}">
    <text>scar from previous infection</text>
  </threadedComment>
  <threadedComment ref="AS729" dT="2019-03-12T21:24:03.16" personId="{B7EA2D7A-1729-E142-B0F5-6C2F1601D75B}" id="{02EF7D56-02F5-1B44-A712-9BED31E7C82B}">
    <text>changed from -0.003 to 0.001</text>
  </threadedComment>
  <threadedComment ref="AN731" dT="2019-03-15T23:52:05.39" personId="{B7EA2D7A-1729-E142-B0F5-6C2F1601D75B}" id="{BC90623F-3901-444A-8DC1-68AB10547D0A}">
    <text>scar from previous infection</text>
  </threadedComment>
  <threadedComment ref="Q1186" dT="2019-03-15T22:33:46.80" personId="{B7EA2D7A-1729-E142-B0F5-6C2F1601D75B}" id="{D109737F-7779-9A4D-8173-21D7D73B9FA7}">
    <text>Year since previous treatment - not quite same as treated or control so intentionally left blank</text>
  </threadedComment>
  <threadedComment ref="Q1195" dT="2019-03-15T22:33:46.80" personId="{B7EA2D7A-1729-E142-B0F5-6C2F1601D75B}" id="{35974687-1C30-AF4D-B83D-255E13A367D3}">
    <text>Year since previous treatment - not quite same as treated or control so intentionally left blank</text>
  </threadedComment>
  <threadedComment ref="Q1230" dT="2019-03-15T22:33:46.80" personId="{B7EA2D7A-1729-E142-B0F5-6C2F1601D75B}" id="{1890FAE5-8104-4848-8636-B2D77BFBEFC4}">
    <text>Year since previous treatment - not quite same as treated or control so intentionally left blank</text>
  </threadedComment>
  <threadedComment ref="AS1260" dT="2019-03-12T21:18:40.36" personId="{B7EA2D7A-1729-E142-B0F5-6C2F1601D75B}" id="{25CE1730-AF46-0B40-8314-C930B69D5427}">
    <text>changed from -0.011 to 0.001</text>
  </threadedComment>
  <threadedComment ref="AS1304" dT="2019-03-12T21:35:43.19" personId="{B7EA2D7A-1729-E142-B0F5-6C2F1601D75B}" id="{D508300D-0B03-C049-A36D-96A29DBF95CC}">
    <text>changed from -0.008 to 0.001</text>
  </threadedComment>
  <threadedComment ref="AS1322" dT="2019-03-12T21:24:03.16" personId="{B7EA2D7A-1729-E142-B0F5-6C2F1601D75B}" id="{11D9BC9A-D5CE-6740-BFFA-DD360E3D443B}">
    <text>changed from -0.009 to 0.001</text>
  </threadedComment>
  <threadedComment ref="AS1357" dT="2019-03-12T21:19:37.82" personId="{B7EA2D7A-1729-E142-B0F5-6C2F1601D75B}" id="{CF714319-E30C-EC4A-8FBD-58C1EC5D1D00}">
    <text>changed from -0.034 to 0.001</text>
  </threadedComment>
  <threadedComment ref="AS1370" dT="2019-03-12T21:24:03.16" personId="{B7EA2D7A-1729-E142-B0F5-6C2F1601D75B}" id="{22E20EEC-EEB0-4248-A44C-4309E68DE709}">
    <text>changed from -0.027 to 0.001</text>
  </threadedComment>
  <threadedComment ref="AS1410" dT="2019-03-12T21:24:03.16" personId="{B7EA2D7A-1729-E142-B0F5-6C2F1601D75B}" id="{CF78FED3-9006-5745-BBB7-A59A851DA99B}">
    <text>changed from -0.009 to 0.001</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sheetPr>
  <dimension ref="A1:KB2660"/>
  <sheetViews>
    <sheetView tabSelected="1" zoomScale="110" zoomScaleNormal="110" workbookViewId="0">
      <pane ySplit="1" topLeftCell="A7" activePane="bottomLeft" state="frozen"/>
      <selection pane="bottomLeft" activeCell="Y974" sqref="Y974"/>
    </sheetView>
  </sheetViews>
  <sheetFormatPr baseColWidth="10" defaultColWidth="8.83203125" defaultRowHeight="15" x14ac:dyDescent="0.2"/>
  <cols>
    <col min="1" max="1" width="2.83203125" style="18" customWidth="1"/>
    <col min="2" max="2" width="8.83203125" style="16"/>
    <col min="3" max="3" width="8.83203125" style="16" customWidth="1"/>
    <col min="4" max="4" width="16.33203125" style="16" customWidth="1"/>
    <col min="5" max="5" width="14" style="16" customWidth="1"/>
    <col min="6" max="6" width="8.83203125" style="16" hidden="1" customWidth="1"/>
    <col min="7" max="7" width="8.83203125" style="16" customWidth="1"/>
    <col min="8" max="8" width="5.6640625" style="16" hidden="1" customWidth="1"/>
    <col min="9" max="9" width="5.33203125" style="16" hidden="1" customWidth="1"/>
    <col min="10" max="10" width="8.83203125" style="21" customWidth="1"/>
    <col min="11" max="11" width="6.33203125" style="21" customWidth="1"/>
    <col min="12" max="12" width="8.83203125" style="16" hidden="1" customWidth="1"/>
    <col min="13" max="14" width="8.83203125" style="21" hidden="1" customWidth="1"/>
    <col min="15" max="15" width="8.83203125" style="21" customWidth="1"/>
    <col min="16" max="16" width="9.1640625" style="16" hidden="1" customWidth="1"/>
    <col min="17" max="17" width="8.5" style="16" customWidth="1"/>
    <col min="18" max="19" width="12.1640625" style="16" customWidth="1"/>
    <col min="20" max="21" width="6.5" style="16" customWidth="1"/>
    <col min="22" max="22" width="8.83203125" style="16" customWidth="1"/>
    <col min="23" max="23" width="8.83203125" style="16" hidden="1" customWidth="1"/>
    <col min="24" max="25" width="8.83203125" style="16" customWidth="1"/>
    <col min="26" max="33" width="8.83203125" style="16" hidden="1" customWidth="1"/>
    <col min="34" max="35" width="8.83203125" style="16" customWidth="1"/>
    <col min="36" max="36" width="8.83203125" style="16" hidden="1" customWidth="1"/>
    <col min="37" max="37" width="8.83203125" style="16" customWidth="1"/>
    <col min="38" max="38" width="6.5" style="16" customWidth="1"/>
    <col min="39" max="39" width="6" style="16" customWidth="1"/>
    <col min="40" max="40" width="7.5" style="16" customWidth="1"/>
    <col min="41" max="41" width="9.1640625" style="16" customWidth="1"/>
    <col min="42" max="43" width="8.83203125" style="16" customWidth="1"/>
    <col min="44" max="45" width="9.1640625" style="16" customWidth="1"/>
    <col min="46" max="47" width="10.5" style="16" customWidth="1"/>
    <col min="48" max="48" width="6.6640625" style="16" customWidth="1"/>
    <col min="49" max="49" width="9" style="16" customWidth="1"/>
    <col min="50" max="52" width="8.83203125" style="16" customWidth="1"/>
    <col min="53" max="53" width="9.1640625" style="16" customWidth="1"/>
    <col min="54" max="61" width="8.83203125" style="16" customWidth="1"/>
    <col min="62" max="62" width="9.1640625" style="16" customWidth="1"/>
    <col min="63" max="73" width="8.83203125" style="16" customWidth="1"/>
    <col min="74" max="74" width="9.6640625" style="16" customWidth="1"/>
    <col min="75" max="76" width="8.83203125" style="16" customWidth="1"/>
    <col min="77" max="77" width="10.6640625" style="16" customWidth="1"/>
    <col min="78" max="84" width="8.83203125" style="16" customWidth="1"/>
    <col min="85" max="87" width="8.83203125" style="16" hidden="1" customWidth="1"/>
    <col min="88" max="90" width="8.83203125" style="16" customWidth="1"/>
    <col min="91" max="96" width="8.83203125" style="16" hidden="1" customWidth="1"/>
    <col min="97" max="110" width="8.83203125" style="16" customWidth="1"/>
    <col min="111" max="111" width="7.1640625" style="16" customWidth="1"/>
    <col min="112" max="112" width="14.83203125" style="16" customWidth="1"/>
    <col min="113" max="116" width="8.83203125" style="16" customWidth="1"/>
    <col min="117" max="117" width="15.1640625" style="16" customWidth="1"/>
    <col min="118" max="118" width="16" style="16" customWidth="1"/>
    <col min="119" max="119" width="8.83203125" style="16" customWidth="1"/>
    <col min="120" max="120" width="11.33203125" style="16" customWidth="1"/>
    <col min="121" max="121" width="17.6640625" style="16" customWidth="1"/>
    <col min="122" max="123" width="8.83203125" style="16" customWidth="1"/>
    <col min="124" max="274" width="8.83203125" style="18"/>
    <col min="275" max="16384" width="8.83203125" style="16"/>
  </cols>
  <sheetData>
    <row r="1" spans="1:288" s="2" customFormat="1" ht="51" x14ac:dyDescent="0.2">
      <c r="A1" s="1" t="s">
        <v>1287</v>
      </c>
      <c r="B1" s="2" t="s">
        <v>0</v>
      </c>
      <c r="C1" s="3" t="s">
        <v>1</v>
      </c>
      <c r="D1" s="3" t="s">
        <v>1292</v>
      </c>
      <c r="E1" s="3" t="s">
        <v>1157</v>
      </c>
      <c r="F1" s="3" t="s">
        <v>2</v>
      </c>
      <c r="G1" s="3" t="s">
        <v>297</v>
      </c>
      <c r="H1" s="4" t="s">
        <v>3</v>
      </c>
      <c r="I1" s="4" t="s">
        <v>4</v>
      </c>
      <c r="J1" s="5" t="s">
        <v>5</v>
      </c>
      <c r="K1" s="5" t="s">
        <v>6</v>
      </c>
      <c r="L1" t="s">
        <v>376</v>
      </c>
      <c r="M1" s="5" t="s">
        <v>7</v>
      </c>
      <c r="N1" s="5" t="s">
        <v>8</v>
      </c>
      <c r="O1" s="5" t="s">
        <v>306</v>
      </c>
      <c r="P1" s="3" t="s">
        <v>9</v>
      </c>
      <c r="Q1" s="6" t="s">
        <v>10</v>
      </c>
      <c r="R1" s="6" t="s">
        <v>11</v>
      </c>
      <c r="S1" s="6" t="s">
        <v>1296</v>
      </c>
      <c r="T1" s="7" t="s">
        <v>12</v>
      </c>
      <c r="U1" s="8" t="s">
        <v>13</v>
      </c>
      <c r="V1" s="4" t="s">
        <v>14</v>
      </c>
      <c r="W1" s="4" t="s">
        <v>15</v>
      </c>
      <c r="X1" s="3" t="s">
        <v>16</v>
      </c>
      <c r="Y1" s="4" t="s">
        <v>17</v>
      </c>
      <c r="Z1" s="3" t="s">
        <v>18</v>
      </c>
      <c r="AA1" s="4" t="s">
        <v>19</v>
      </c>
      <c r="AB1" s="3" t="s">
        <v>20</v>
      </c>
      <c r="AC1" s="3" t="s">
        <v>21</v>
      </c>
      <c r="AD1" s="3" t="s">
        <v>22</v>
      </c>
      <c r="AE1" s="4" t="s">
        <v>23</v>
      </c>
      <c r="AF1" s="3" t="s">
        <v>24</v>
      </c>
      <c r="AG1" s="4" t="s">
        <v>25</v>
      </c>
      <c r="AH1" s="3" t="s">
        <v>26</v>
      </c>
      <c r="AI1" s="3" t="s">
        <v>27</v>
      </c>
      <c r="AJ1" s="3" t="s">
        <v>319</v>
      </c>
      <c r="AK1" s="3" t="s">
        <v>28</v>
      </c>
      <c r="AL1" s="4" t="s">
        <v>29</v>
      </c>
      <c r="AM1" s="3" t="s">
        <v>30</v>
      </c>
      <c r="AN1" s="3" t="s">
        <v>31</v>
      </c>
      <c r="AO1" s="3" t="s">
        <v>32</v>
      </c>
      <c r="AP1" s="3" t="s">
        <v>33</v>
      </c>
      <c r="AQ1" s="4" t="s">
        <v>34</v>
      </c>
      <c r="AR1" s="3" t="s">
        <v>35</v>
      </c>
      <c r="AS1" s="3" t="s">
        <v>1277</v>
      </c>
      <c r="AT1" s="3" t="s">
        <v>36</v>
      </c>
      <c r="AU1" s="3" t="s">
        <v>1158</v>
      </c>
      <c r="AV1" s="3" t="s">
        <v>37</v>
      </c>
      <c r="AW1" s="158" t="s">
        <v>38</v>
      </c>
      <c r="AX1" s="158" t="s">
        <v>39</v>
      </c>
      <c r="AY1" s="158" t="s">
        <v>40</v>
      </c>
      <c r="AZ1" s="153" t="s">
        <v>41</v>
      </c>
      <c r="BA1" s="154" t="s">
        <v>42</v>
      </c>
      <c r="BB1" s="154" t="s">
        <v>43</v>
      </c>
      <c r="BC1" s="155" t="s">
        <v>44</v>
      </c>
      <c r="BD1" s="156" t="s">
        <v>45</v>
      </c>
      <c r="BE1" s="156" t="s">
        <v>46</v>
      </c>
      <c r="BF1" s="157" t="s">
        <v>47</v>
      </c>
      <c r="BG1" s="156" t="s">
        <v>48</v>
      </c>
      <c r="BH1" s="156" t="s">
        <v>49</v>
      </c>
      <c r="BI1" s="155" t="s">
        <v>50</v>
      </c>
      <c r="BJ1" s="156" t="s">
        <v>51</v>
      </c>
      <c r="BK1" s="156" t="s">
        <v>52</v>
      </c>
      <c r="BL1" s="159" t="s">
        <v>53</v>
      </c>
      <c r="BM1" s="160" t="s">
        <v>54</v>
      </c>
      <c r="BN1" s="160" t="s">
        <v>55</v>
      </c>
      <c r="BO1" s="159" t="s">
        <v>384</v>
      </c>
      <c r="BP1" s="159" t="s">
        <v>385</v>
      </c>
      <c r="BQ1" s="159" t="s">
        <v>386</v>
      </c>
      <c r="BR1" s="161" t="s">
        <v>56</v>
      </c>
      <c r="BS1" s="162" t="s">
        <v>57</v>
      </c>
      <c r="BT1" s="163" t="s">
        <v>58</v>
      </c>
      <c r="BU1" s="161" t="s">
        <v>59</v>
      </c>
      <c r="BV1" s="163" t="s">
        <v>60</v>
      </c>
      <c r="BW1" s="163" t="s">
        <v>61</v>
      </c>
      <c r="BX1" s="161" t="s">
        <v>62</v>
      </c>
      <c r="BY1" s="163" t="s">
        <v>63</v>
      </c>
      <c r="BZ1" s="163" t="s">
        <v>64</v>
      </c>
      <c r="CA1" s="161" t="s">
        <v>65</v>
      </c>
      <c r="CB1" s="163" t="s">
        <v>66</v>
      </c>
      <c r="CC1" s="162" t="s">
        <v>67</v>
      </c>
      <c r="CD1" s="163" t="s">
        <v>68</v>
      </c>
      <c r="CE1" s="163" t="s">
        <v>69</v>
      </c>
      <c r="CF1" s="163" t="s">
        <v>70</v>
      </c>
      <c r="CG1" s="138" t="s">
        <v>71</v>
      </c>
      <c r="CH1" s="139" t="s">
        <v>72</v>
      </c>
      <c r="CI1" s="139" t="s">
        <v>73</v>
      </c>
      <c r="CJ1" s="113" t="s">
        <v>74</v>
      </c>
      <c r="CK1" s="9" t="s">
        <v>75</v>
      </c>
      <c r="CL1" s="9" t="s">
        <v>76</v>
      </c>
      <c r="CM1" s="10" t="s">
        <v>77</v>
      </c>
      <c r="CN1" s="11" t="s">
        <v>78</v>
      </c>
      <c r="CO1" s="11" t="s">
        <v>79</v>
      </c>
      <c r="CP1" s="10" t="s">
        <v>80</v>
      </c>
      <c r="CQ1" s="11" t="s">
        <v>81</v>
      </c>
      <c r="CR1" s="11" t="s">
        <v>82</v>
      </c>
      <c r="CS1" s="164" t="s">
        <v>83</v>
      </c>
      <c r="CT1" s="165" t="s">
        <v>84</v>
      </c>
      <c r="CU1" s="165" t="s">
        <v>1291</v>
      </c>
      <c r="CV1" s="165" t="s">
        <v>85</v>
      </c>
      <c r="CW1" s="4" t="s">
        <v>86</v>
      </c>
      <c r="CX1" s="3" t="s">
        <v>87</v>
      </c>
      <c r="CY1" s="3" t="s">
        <v>88</v>
      </c>
      <c r="CZ1" s="4" t="s">
        <v>89</v>
      </c>
      <c r="DA1" s="3" t="s">
        <v>90</v>
      </c>
      <c r="DB1" s="3" t="s">
        <v>91</v>
      </c>
      <c r="DC1" s="10" t="s">
        <v>92</v>
      </c>
      <c r="DD1" s="10" t="s">
        <v>93</v>
      </c>
      <c r="DE1" s="10" t="s">
        <v>94</v>
      </c>
      <c r="DF1" s="140" t="s">
        <v>1156</v>
      </c>
      <c r="DG1" s="115" t="s">
        <v>371</v>
      </c>
      <c r="DH1" s="115" t="s">
        <v>373</v>
      </c>
      <c r="DI1" s="4" t="s">
        <v>95</v>
      </c>
      <c r="DJ1" s="4" t="s">
        <v>379</v>
      </c>
      <c r="DK1" s="4" t="s">
        <v>97</v>
      </c>
      <c r="DL1" s="4" t="s">
        <v>380</v>
      </c>
      <c r="DM1" s="4" t="s">
        <v>99</v>
      </c>
      <c r="DN1" s="4" t="s">
        <v>381</v>
      </c>
      <c r="DO1" s="4" t="s">
        <v>101</v>
      </c>
      <c r="DP1" s="4" t="s">
        <v>382</v>
      </c>
      <c r="DQ1" s="4" t="s">
        <v>103</v>
      </c>
      <c r="DR1" s="113" t="s">
        <v>383</v>
      </c>
      <c r="DS1" s="113" t="s">
        <v>105</v>
      </c>
      <c r="DT1" s="146" t="s">
        <v>1162</v>
      </c>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row>
    <row r="2" spans="1:288" s="19" customFormat="1" x14ac:dyDescent="0.2">
      <c r="A2" s="18"/>
      <c r="B2" s="18">
        <v>2017</v>
      </c>
      <c r="C2" s="37">
        <v>42976</v>
      </c>
      <c r="D2" s="37" t="str">
        <f>CONCATENATE(J2,"-",C2)</f>
        <v>114-42976</v>
      </c>
      <c r="E2" s="20" t="str">
        <f>CONCATENATE(T2,"-",U2,"-",C2)</f>
        <v>PO2-B2-42976</v>
      </c>
      <c r="F2" s="37" t="s">
        <v>224</v>
      </c>
      <c r="G2" s="37" t="s">
        <v>107</v>
      </c>
      <c r="H2" s="18" t="s">
        <v>268</v>
      </c>
      <c r="I2" s="16">
        <v>0</v>
      </c>
      <c r="J2" s="36">
        <v>114</v>
      </c>
      <c r="K2" s="36">
        <v>2306</v>
      </c>
      <c r="L2" s="16">
        <v>1</v>
      </c>
      <c r="M2" s="21">
        <f>VLOOKUP($K2,'[4]blood tubes 2017'!$D$1:$L$947,8,FALSE)</f>
        <v>0</v>
      </c>
      <c r="N2" s="15">
        <v>0</v>
      </c>
      <c r="O2" s="15" t="s">
        <v>119</v>
      </c>
      <c r="P2" s="18" t="s">
        <v>119</v>
      </c>
      <c r="Q2" s="16">
        <v>0</v>
      </c>
      <c r="R2" s="18" t="s">
        <v>111</v>
      </c>
      <c r="S2" s="18"/>
      <c r="T2" s="18" t="s">
        <v>127</v>
      </c>
      <c r="U2" s="18" t="s">
        <v>130</v>
      </c>
      <c r="V2" s="18" t="s">
        <v>142</v>
      </c>
      <c r="W2" s="16">
        <f>AI2/AG2</f>
        <v>1.103448275862069</v>
      </c>
      <c r="X2" s="18" t="s">
        <v>115</v>
      </c>
      <c r="Y2" s="18" t="s">
        <v>110</v>
      </c>
      <c r="Z2" s="18">
        <v>3</v>
      </c>
      <c r="AA2" s="18"/>
      <c r="AB2" s="18"/>
      <c r="AC2" s="18"/>
      <c r="AD2" s="18"/>
      <c r="AE2" s="18" t="s">
        <v>123</v>
      </c>
      <c r="AF2" s="18" t="s">
        <v>123</v>
      </c>
      <c r="AG2" s="18">
        <f>AH2-AI2</f>
        <v>87</v>
      </c>
      <c r="AH2" s="18">
        <v>183</v>
      </c>
      <c r="AI2" s="18">
        <v>96</v>
      </c>
      <c r="AJ2" s="18"/>
      <c r="AK2" s="18">
        <v>19.5</v>
      </c>
      <c r="AL2" s="18">
        <v>0</v>
      </c>
      <c r="AM2" s="18">
        <v>0</v>
      </c>
      <c r="AN2" s="18">
        <v>0</v>
      </c>
      <c r="AO2" s="18">
        <v>0</v>
      </c>
      <c r="AP2" s="18">
        <f>SUM(AL2:AN2)</f>
        <v>0</v>
      </c>
      <c r="AQ2" s="18">
        <v>1.9370000000000001</v>
      </c>
      <c r="AR2" s="18">
        <f>AP2-1.472</f>
        <v>-1.472</v>
      </c>
      <c r="AS2" s="18">
        <f>AQ2-1.472</f>
        <v>0.46500000000000008</v>
      </c>
      <c r="AT2" s="18" t="str">
        <f>VLOOKUP(K2,'[5]FECs - good data'!$C$1:$P$575,13,FALSE)</f>
        <v>TE</v>
      </c>
      <c r="AU2" s="18" t="s">
        <v>1293</v>
      </c>
      <c r="AV2" s="16">
        <v>0</v>
      </c>
      <c r="AW2" s="18">
        <f>IF(AX2&gt;0,1,0)</f>
        <v>0</v>
      </c>
      <c r="AX2" s="18">
        <f>SUM(BA2,BM2,CT2)</f>
        <v>0</v>
      </c>
      <c r="AY2" s="18">
        <f>SUM(BB2,BN2,CV2)</f>
        <v>0</v>
      </c>
      <c r="AZ2" s="18">
        <f>IF(BA2&gt;0,1,0)</f>
        <v>0</v>
      </c>
      <c r="BA2" s="18">
        <f>SUM(BC2,BF2,BI2)</f>
        <v>0</v>
      </c>
      <c r="BB2" s="18">
        <f>SUM(BE2,BH2,BK2)</f>
        <v>0</v>
      </c>
      <c r="BC2" s="18">
        <f>IF(BD2&gt;0,1,0)</f>
        <v>0</v>
      </c>
      <c r="BD2" s="18">
        <f>VLOOKUP($K2,'[5]FECs - good data'!$C$1:$Z$574,14,FALSE)</f>
        <v>0</v>
      </c>
      <c r="BE2" s="18">
        <f>BD2/AS2</f>
        <v>0</v>
      </c>
      <c r="BF2" s="18">
        <f>IF(BG2&gt;0,1,0)</f>
        <v>0</v>
      </c>
      <c r="BG2" s="25">
        <f>VLOOKUP($K2,'[5]FECs - good data'!$C$1:$Z$574,15,FALSE)</f>
        <v>0</v>
      </c>
      <c r="BH2" s="18">
        <f>BG2/AS2</f>
        <v>0</v>
      </c>
      <c r="BI2" s="18">
        <f>IF(BJ2&gt;0,1,0)</f>
        <v>0</v>
      </c>
      <c r="BJ2" s="18">
        <f>VLOOKUP($K2,'[5]FECs - good data'!$C$1:$Z$574,16,FALSE)</f>
        <v>0</v>
      </c>
      <c r="BK2" s="18">
        <f>BJ2/AS2</f>
        <v>0</v>
      </c>
      <c r="BL2" s="18">
        <f>IF(BM2&gt;0,1,0)</f>
        <v>0</v>
      </c>
      <c r="BM2" s="18">
        <f>SUM(BR2,BU2,BX2,CA2,CD2,CG2,CJ2,CM2,CP2)</f>
        <v>0</v>
      </c>
      <c r="BN2" s="18">
        <f>SUM(BW2,BZ2,CC2,CF2,CI2,CL2,CO2,CR2,BT2)</f>
        <v>0</v>
      </c>
      <c r="BO2" s="18">
        <f>IF(BP2&gt;0,1,0)</f>
        <v>0</v>
      </c>
      <c r="BP2" s="18">
        <f>SUM(BU2,BX2,CA2,CD2,BR2)</f>
        <v>0</v>
      </c>
      <c r="BQ2" s="18">
        <f>SUM(BZ2,CC2,CF2,BT2,BW2)</f>
        <v>0</v>
      </c>
      <c r="BR2" s="18">
        <f>IF(BS2&gt;0,1,0)</f>
        <v>0</v>
      </c>
      <c r="BS2" s="18">
        <f>VLOOKUP($K2,'[5]FECs - good data'!$C$1:$Z$574,17,FALSE)</f>
        <v>0</v>
      </c>
      <c r="BT2" s="25">
        <f>BS2/AS2</f>
        <v>0</v>
      </c>
      <c r="BU2" s="18">
        <f>IF(BV2&gt;0,1,0)</f>
        <v>0</v>
      </c>
      <c r="BV2" s="18">
        <f>VLOOKUP($K2,'[5]FECs - good data'!$C$1:$Z$574,18,FALSE)</f>
        <v>0</v>
      </c>
      <c r="BW2" s="18">
        <f>BV2/AS2</f>
        <v>0</v>
      </c>
      <c r="BX2" s="18">
        <f>IF(BY2&gt;0,1,0)</f>
        <v>0</v>
      </c>
      <c r="BY2" s="18">
        <f>VLOOKUP($K2,'[5]FECs - good data'!$C$1:$Z$574,19,FALSE)</f>
        <v>0</v>
      </c>
      <c r="BZ2" s="18">
        <f>BY2/AS2</f>
        <v>0</v>
      </c>
      <c r="CA2" s="18">
        <f>IF(CB2&gt;0,1,0)</f>
        <v>0</v>
      </c>
      <c r="CB2" s="18">
        <f>VLOOKUP($K2,'[5]FECs - good data'!$C$1:$Z$574,20,FALSE)</f>
        <v>0</v>
      </c>
      <c r="CC2" s="18">
        <f>CB2/AS2</f>
        <v>0</v>
      </c>
      <c r="CD2" s="25">
        <f>IF(CE2&gt;0,1,0)</f>
        <v>0</v>
      </c>
      <c r="CE2" s="18">
        <f>VLOOKUP($K2,'[5]FECs - good data'!$C$1:$Z$574,21,FALSE)</f>
        <v>0</v>
      </c>
      <c r="CF2" s="18">
        <f>CE2/AS2</f>
        <v>0</v>
      </c>
      <c r="CG2" s="18">
        <f>IF(CH2&gt;0,1,0)</f>
        <v>0</v>
      </c>
      <c r="CH2" s="18">
        <f>VLOOKUP($K2,'[5]FECs - good data'!$C$1:$Z$574,22,FALSE)</f>
        <v>0</v>
      </c>
      <c r="CI2" s="18">
        <f>CH2/AS2</f>
        <v>0</v>
      </c>
      <c r="CJ2" s="18">
        <f>IF(CK2&gt;0,1,0)</f>
        <v>0</v>
      </c>
      <c r="CK2" s="18">
        <f>VLOOKUP($K2,'[5]FECs - good data'!$C$1:$Z$674,24,FALSE)</f>
        <v>0</v>
      </c>
      <c r="CL2" s="18">
        <f>CK2/AS2</f>
        <v>0</v>
      </c>
      <c r="CM2" s="18"/>
      <c r="CN2" s="18"/>
      <c r="CO2" s="18"/>
      <c r="CP2" s="18"/>
      <c r="CQ2" s="18"/>
      <c r="CR2" s="18"/>
      <c r="CS2" s="18">
        <f>IF(CT2&gt;0,1,0)</f>
        <v>0</v>
      </c>
      <c r="CT2" s="18">
        <f>SUM(CW2+CZ2,DC2)</f>
        <v>0</v>
      </c>
      <c r="CU2" s="18"/>
      <c r="CV2" s="18">
        <f>SUM(CY2,DB2,DE2)</f>
        <v>0</v>
      </c>
      <c r="CW2" s="18">
        <f>IF(CX2&gt;0,1,0)</f>
        <v>0</v>
      </c>
      <c r="CX2" s="18">
        <f>VLOOKUP($K2,'[5]FECs - good data'!$C$1:$Z$574,22,FALSE)</f>
        <v>0</v>
      </c>
      <c r="CY2" s="18">
        <f>CX2/AS2</f>
        <v>0</v>
      </c>
      <c r="CZ2" s="18">
        <f>IF(DA2&gt;0,1,0)</f>
        <v>0</v>
      </c>
      <c r="DA2" s="18">
        <f>VLOOKUP($K2,'[5]FECs - good data'!$C$1:$Z$5982,23,FALSE)</f>
        <v>0</v>
      </c>
      <c r="DB2" s="18">
        <f>DA2/AS2</f>
        <v>0</v>
      </c>
      <c r="DC2" s="18"/>
      <c r="DD2" s="18"/>
      <c r="DE2" s="18"/>
      <c r="DF2" s="16">
        <f>VLOOKUP(K2,'[3]RNA Seq summary tables'!$V$3:$V$99,1,FALSE)</f>
        <v>2306</v>
      </c>
      <c r="DG2" s="16"/>
      <c r="DH2" s="16"/>
      <c r="DI2" s="18"/>
      <c r="DJ2" s="18"/>
      <c r="DK2" s="18"/>
      <c r="DL2" s="18"/>
      <c r="DM2" s="18"/>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18"/>
      <c r="FG2" s="18"/>
      <c r="FH2" s="18"/>
      <c r="FI2" s="18"/>
      <c r="FJ2" s="18"/>
      <c r="FK2" s="18"/>
      <c r="FL2" s="18"/>
      <c r="FM2" s="18"/>
      <c r="FN2" s="18"/>
      <c r="FO2" s="18"/>
      <c r="FP2" s="18"/>
      <c r="FQ2" s="18"/>
      <c r="FR2" s="18"/>
      <c r="FS2" s="18"/>
      <c r="FT2" s="18"/>
      <c r="FU2" s="18"/>
      <c r="FV2" s="18"/>
      <c r="FW2" s="18"/>
      <c r="FX2" s="18"/>
      <c r="FY2" s="18"/>
      <c r="FZ2" s="18"/>
      <c r="GA2" s="18"/>
      <c r="GB2" s="18"/>
      <c r="GC2" s="18"/>
      <c r="GD2" s="18"/>
      <c r="GE2" s="18"/>
      <c r="GF2" s="18"/>
      <c r="GG2" s="18"/>
      <c r="GH2" s="18"/>
      <c r="GI2" s="18"/>
      <c r="GJ2" s="18"/>
      <c r="GK2" s="18"/>
      <c r="GL2" s="18"/>
      <c r="GM2" s="18"/>
      <c r="GN2" s="18"/>
      <c r="GO2" s="18"/>
      <c r="GP2" s="18"/>
      <c r="GQ2" s="18"/>
      <c r="GR2" s="18"/>
      <c r="GS2" s="18"/>
      <c r="GT2" s="18"/>
      <c r="GU2" s="18"/>
      <c r="GV2" s="18"/>
      <c r="GW2" s="18"/>
      <c r="GX2" s="18"/>
      <c r="GY2" s="18"/>
      <c r="GZ2" s="18"/>
      <c r="HA2" s="18"/>
      <c r="HB2" s="18"/>
      <c r="HC2" s="18"/>
      <c r="HD2" s="18"/>
      <c r="HE2" s="18"/>
      <c r="HF2" s="18"/>
      <c r="HG2" s="18"/>
      <c r="HH2" s="18"/>
      <c r="HI2" s="18"/>
      <c r="HJ2" s="18"/>
      <c r="HK2" s="18"/>
      <c r="HL2" s="18"/>
      <c r="HM2" s="18"/>
      <c r="HN2" s="18"/>
      <c r="HO2" s="18"/>
      <c r="HP2" s="18"/>
      <c r="HQ2" s="18"/>
      <c r="HR2" s="18"/>
      <c r="HS2" s="18"/>
      <c r="HT2" s="18"/>
      <c r="HU2" s="18"/>
      <c r="HV2" s="18"/>
      <c r="HW2" s="18"/>
      <c r="HX2" s="18"/>
      <c r="HY2" s="18"/>
      <c r="HZ2" s="18"/>
      <c r="IA2" s="18"/>
      <c r="IB2" s="18"/>
      <c r="IC2" s="18"/>
      <c r="ID2" s="18"/>
      <c r="IE2" s="18"/>
      <c r="IF2" s="18"/>
      <c r="IG2" s="18"/>
      <c r="IH2" s="18"/>
      <c r="II2" s="18"/>
      <c r="IJ2" s="18"/>
      <c r="IK2" s="18"/>
      <c r="IL2" s="18"/>
      <c r="IM2" s="18"/>
      <c r="IN2" s="18"/>
      <c r="IO2" s="18"/>
      <c r="IP2" s="18"/>
      <c r="IQ2" s="18"/>
      <c r="IR2" s="18"/>
      <c r="IS2" s="18"/>
      <c r="IT2" s="18"/>
      <c r="IU2" s="18"/>
      <c r="IV2" s="18"/>
      <c r="IW2" s="18"/>
      <c r="IX2" s="18"/>
      <c r="IY2" s="18"/>
      <c r="IZ2" s="18"/>
      <c r="JA2" s="18"/>
      <c r="JB2" s="18"/>
      <c r="JC2" s="18"/>
      <c r="JD2" s="18"/>
      <c r="JE2" s="18"/>
      <c r="JF2" s="18"/>
      <c r="JG2" s="18"/>
      <c r="JH2" s="18"/>
      <c r="JI2" s="18"/>
      <c r="JJ2" s="18"/>
      <c r="JK2" s="18"/>
      <c r="JL2" s="18"/>
      <c r="JM2" s="18"/>
      <c r="JN2" s="18"/>
      <c r="JO2" s="16"/>
      <c r="JP2" s="16"/>
      <c r="JQ2" s="16"/>
      <c r="JR2" s="16"/>
      <c r="JS2" s="16"/>
      <c r="JT2" s="16"/>
      <c r="JU2" s="16"/>
      <c r="JV2" s="16"/>
      <c r="JW2" s="16"/>
      <c r="JX2" s="16"/>
      <c r="JY2" s="16"/>
      <c r="JZ2" s="16"/>
      <c r="KA2" s="16"/>
      <c r="KB2" s="16"/>
    </row>
    <row r="3" spans="1:288" x14ac:dyDescent="0.2">
      <c r="A3" s="30"/>
      <c r="B3" s="30">
        <v>2016</v>
      </c>
      <c r="C3" s="85">
        <v>42524</v>
      </c>
      <c r="D3" s="31" t="str">
        <f>CONCATENATE(J3,"-",C3)</f>
        <v>926-42524</v>
      </c>
      <c r="E3" s="20" t="str">
        <f>CONCATENATE(T3,"-",U3,"-",C3)</f>
        <v>SP2-A6-42524</v>
      </c>
      <c r="F3" s="31" t="s">
        <v>106</v>
      </c>
      <c r="G3" s="85" t="s">
        <v>107</v>
      </c>
      <c r="H3" s="34" t="s">
        <v>146</v>
      </c>
      <c r="I3" s="34">
        <v>1</v>
      </c>
      <c r="J3" s="35">
        <v>926</v>
      </c>
      <c r="K3" s="35">
        <v>1351</v>
      </c>
      <c r="L3" s="34">
        <v>0</v>
      </c>
      <c r="M3" s="35">
        <f>VLOOKUP(K3,'[7]MLBS 2016 SNV-nem Coinfection d'!$C$1:$G$238,4,FALSE)</f>
        <v>0</v>
      </c>
      <c r="N3" s="35">
        <v>0</v>
      </c>
      <c r="O3" s="35" t="s">
        <v>119</v>
      </c>
      <c r="P3" s="34" t="s">
        <v>119</v>
      </c>
      <c r="Q3" s="34">
        <v>0</v>
      </c>
      <c r="R3" s="34" t="s">
        <v>111</v>
      </c>
      <c r="S3" s="34"/>
      <c r="T3" s="34" t="s">
        <v>137</v>
      </c>
      <c r="U3" s="34" t="s">
        <v>147</v>
      </c>
      <c r="V3" s="34" t="s">
        <v>114</v>
      </c>
      <c r="W3" s="34">
        <f>AI3/AG3</f>
        <v>0.7</v>
      </c>
      <c r="X3" s="34" t="s">
        <v>115</v>
      </c>
      <c r="Y3" s="34" t="s">
        <v>110</v>
      </c>
      <c r="Z3" s="34">
        <v>3</v>
      </c>
      <c r="AA3" s="34"/>
      <c r="AB3" s="34"/>
      <c r="AC3" s="34"/>
      <c r="AD3" s="34"/>
      <c r="AE3" s="34" t="s">
        <v>123</v>
      </c>
      <c r="AF3" s="34" t="s">
        <v>123</v>
      </c>
      <c r="AG3" s="34">
        <f>AH3-AI3</f>
        <v>100</v>
      </c>
      <c r="AH3" s="34">
        <v>170</v>
      </c>
      <c r="AI3" s="34">
        <v>70</v>
      </c>
      <c r="AJ3" s="34"/>
      <c r="AK3" s="34">
        <v>21</v>
      </c>
      <c r="AL3" s="34">
        <v>0</v>
      </c>
      <c r="AM3" s="34">
        <v>1</v>
      </c>
      <c r="AN3" s="34">
        <v>0</v>
      </c>
      <c r="AO3" s="34">
        <f>IF(SUM(AL3:AN3)&gt;0,1,0)</f>
        <v>1</v>
      </c>
      <c r="AP3" s="34">
        <f>SUM(AL3:AN3)</f>
        <v>1</v>
      </c>
      <c r="AQ3" s="34"/>
      <c r="AR3" s="34">
        <v>0.379</v>
      </c>
      <c r="AS3" s="30">
        <v>0.379</v>
      </c>
      <c r="AT3" s="12" t="s">
        <v>117</v>
      </c>
      <c r="AU3" s="12"/>
      <c r="AV3" s="30"/>
      <c r="AW3" s="33">
        <v>1</v>
      </c>
      <c r="AX3" s="30"/>
      <c r="AY3" s="30">
        <v>2796.8337700000002</v>
      </c>
      <c r="AZ3" s="30">
        <v>1</v>
      </c>
      <c r="BA3" s="30"/>
      <c r="BB3" s="30">
        <v>2796.8337700000002</v>
      </c>
      <c r="BC3" s="30">
        <v>1</v>
      </c>
      <c r="BD3" s="30">
        <v>10</v>
      </c>
      <c r="BE3" s="30">
        <v>26.385224300000001</v>
      </c>
      <c r="BF3" s="30">
        <v>1</v>
      </c>
      <c r="BG3" s="34">
        <v>1042</v>
      </c>
      <c r="BH3" s="30">
        <f>1042/AS3</f>
        <v>2749.34036939314</v>
      </c>
      <c r="BI3" s="30">
        <v>1</v>
      </c>
      <c r="BJ3" s="30">
        <v>8</v>
      </c>
      <c r="BK3" s="30">
        <f>8/AS3</f>
        <v>21.108179419525065</v>
      </c>
      <c r="BL3" s="30">
        <f>IF(BM3&gt;0,1,0)</f>
        <v>0</v>
      </c>
      <c r="BM3" s="30">
        <f>SUM(BR3,BU3,BX3,CA3,CD3,CG3,CJ3,CM3,CP3)</f>
        <v>0</v>
      </c>
      <c r="BN3" s="30">
        <f>SUM(BW3,BZ3,CC3,CF3,CI3,CL3,CO3,CR3,BT3)</f>
        <v>0</v>
      </c>
      <c r="BO3" s="30">
        <f>IF(BP3&gt;0,1,0)</f>
        <v>0</v>
      </c>
      <c r="BP3" s="30">
        <f>SUM(BU3,BX3,CA3,CD3,BR3)</f>
        <v>0</v>
      </c>
      <c r="BQ3" s="30">
        <f>SUM(BZ3,CC3,CF3,BT3,BW3)</f>
        <v>0</v>
      </c>
      <c r="BR3" s="30">
        <v>0</v>
      </c>
      <c r="BS3" s="30">
        <v>0</v>
      </c>
      <c r="BT3" s="34">
        <f>BS3/AS3</f>
        <v>0</v>
      </c>
      <c r="BU3" s="30">
        <v>0</v>
      </c>
      <c r="BV3" s="30">
        <v>0</v>
      </c>
      <c r="BW3" s="30">
        <f>BV3/AS3</f>
        <v>0</v>
      </c>
      <c r="BX3" s="30">
        <v>0</v>
      </c>
      <c r="BY3" s="30">
        <v>0</v>
      </c>
      <c r="BZ3" s="30">
        <f>BY3/AS3</f>
        <v>0</v>
      </c>
      <c r="CA3" s="33">
        <v>0</v>
      </c>
      <c r="CB3" s="30">
        <v>0</v>
      </c>
      <c r="CC3" s="30">
        <v>0</v>
      </c>
      <c r="CD3" s="34">
        <v>0</v>
      </c>
      <c r="CE3" s="30">
        <v>0</v>
      </c>
      <c r="CF3" s="30">
        <v>0</v>
      </c>
      <c r="CG3" s="30"/>
      <c r="CH3" s="30"/>
      <c r="CI3" s="30"/>
      <c r="CJ3" s="30"/>
      <c r="CK3" s="30"/>
      <c r="CL3" s="30"/>
      <c r="CM3" s="30"/>
      <c r="CN3" s="30"/>
      <c r="CO3" s="30"/>
      <c r="CP3" s="30" t="s">
        <v>123</v>
      </c>
      <c r="CQ3" s="30">
        <v>0</v>
      </c>
      <c r="CR3" s="30">
        <v>0</v>
      </c>
      <c r="CS3" s="30">
        <f>IF(CT3&gt;0,1,0)</f>
        <v>0</v>
      </c>
      <c r="CT3" s="34">
        <f>SUM(CW3,CZ3,DC3)</f>
        <v>0</v>
      </c>
      <c r="CU3" s="34"/>
      <c r="CV3" s="30">
        <v>0</v>
      </c>
      <c r="CW3" s="34">
        <v>0</v>
      </c>
      <c r="CX3" s="30">
        <v>0</v>
      </c>
      <c r="CY3" s="30">
        <v>0</v>
      </c>
      <c r="CZ3" s="30">
        <v>0</v>
      </c>
      <c r="DA3" s="30">
        <v>0</v>
      </c>
      <c r="DB3" s="30">
        <v>0</v>
      </c>
      <c r="DC3" s="34">
        <v>0</v>
      </c>
      <c r="DD3" s="34">
        <v>0</v>
      </c>
      <c r="DE3" s="34">
        <v>0</v>
      </c>
      <c r="DF3" s="16" t="e">
        <f>VLOOKUP(K3,'[3]RNA Seq summary tables'!$V$3:$V$99,1,FALSE)</f>
        <v>#N/A</v>
      </c>
      <c r="DG3" s="23"/>
      <c r="DH3" s="23"/>
      <c r="DI3" s="34"/>
      <c r="DJ3" s="34"/>
      <c r="DK3" s="34"/>
      <c r="DL3" s="34"/>
      <c r="DM3" s="34"/>
      <c r="DN3" s="34"/>
      <c r="DO3" s="34"/>
      <c r="DP3" s="34"/>
      <c r="DQ3" s="34"/>
      <c r="DR3" s="34"/>
      <c r="DS3" s="34"/>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70"/>
      <c r="JP3" s="23"/>
      <c r="JQ3" s="23"/>
      <c r="JR3" s="23"/>
      <c r="JS3" s="23"/>
      <c r="JT3" s="23"/>
      <c r="JU3" s="23"/>
      <c r="JV3" s="23"/>
      <c r="JW3" s="23"/>
      <c r="JX3" s="23"/>
      <c r="JY3" s="23"/>
      <c r="JZ3" s="23"/>
      <c r="KA3" s="23"/>
      <c r="KB3" s="23"/>
    </row>
    <row r="4" spans="1:288" s="26" customFormat="1" x14ac:dyDescent="0.2">
      <c r="A4" s="18"/>
      <c r="B4" s="16">
        <v>2016</v>
      </c>
      <c r="C4" s="20">
        <v>42537</v>
      </c>
      <c r="D4" s="20" t="str">
        <f>CONCATENATE(J4,"-",C4)</f>
        <v>926-42537</v>
      </c>
      <c r="E4" s="20" t="str">
        <f>CONCATENATE(T4,"-",U4,"-",C4)</f>
        <v>SP2-B7-42537</v>
      </c>
      <c r="F4" s="20" t="s">
        <v>106</v>
      </c>
      <c r="G4" s="20" t="s">
        <v>107</v>
      </c>
      <c r="H4" s="16"/>
      <c r="I4" s="16">
        <v>0</v>
      </c>
      <c r="J4" s="21">
        <v>926</v>
      </c>
      <c r="K4" s="21">
        <v>1382</v>
      </c>
      <c r="L4" s="16">
        <v>0</v>
      </c>
      <c r="M4" s="15">
        <f>VLOOKUP(K4,'[7]MLBS 2016 SNV-nem Coinfection d'!$C$1:$G$238,4,FALSE)</f>
        <v>0</v>
      </c>
      <c r="N4" s="15">
        <v>0</v>
      </c>
      <c r="O4" s="15" t="s">
        <v>119</v>
      </c>
      <c r="P4" s="16" t="s">
        <v>119</v>
      </c>
      <c r="Q4" s="16">
        <v>0</v>
      </c>
      <c r="R4" s="16">
        <v>13</v>
      </c>
      <c r="S4" s="16"/>
      <c r="T4" s="16" t="s">
        <v>137</v>
      </c>
      <c r="U4" s="16" t="s">
        <v>168</v>
      </c>
      <c r="V4" s="16" t="s">
        <v>114</v>
      </c>
      <c r="W4" s="16">
        <f>AI4/AG4</f>
        <v>0.75757575757575757</v>
      </c>
      <c r="X4" s="16" t="s">
        <v>121</v>
      </c>
      <c r="Y4" s="16" t="s">
        <v>110</v>
      </c>
      <c r="Z4" s="16">
        <v>3</v>
      </c>
      <c r="AA4" s="16" t="s">
        <v>119</v>
      </c>
      <c r="AB4" s="16" t="s">
        <v>116</v>
      </c>
      <c r="AC4" s="16" t="s">
        <v>116</v>
      </c>
      <c r="AD4" s="16" t="s">
        <v>116</v>
      </c>
      <c r="AE4" s="16"/>
      <c r="AF4" s="16"/>
      <c r="AG4" s="16">
        <f>AH4-AI4</f>
        <v>99</v>
      </c>
      <c r="AH4" s="16">
        <v>174</v>
      </c>
      <c r="AI4" s="16">
        <v>75</v>
      </c>
      <c r="AJ4" s="16"/>
      <c r="AK4" s="16">
        <v>28.5</v>
      </c>
      <c r="AL4" s="16">
        <v>0</v>
      </c>
      <c r="AM4" s="16">
        <v>1</v>
      </c>
      <c r="AN4" s="16">
        <v>0</v>
      </c>
      <c r="AO4" s="16">
        <f>IF(SUM(AL4:AN4)&gt;0,1,0)</f>
        <v>1</v>
      </c>
      <c r="AP4" s="16">
        <f>SUM(AL4:AN4)</f>
        <v>1</v>
      </c>
      <c r="AQ4" s="16"/>
      <c r="AR4" s="16">
        <v>0.68400000000000005</v>
      </c>
      <c r="AS4" s="16">
        <v>0.68400000000000005</v>
      </c>
      <c r="AT4" s="18" t="s">
        <v>117</v>
      </c>
      <c r="AU4" s="18"/>
      <c r="AV4" s="16">
        <v>1</v>
      </c>
      <c r="AW4" s="18">
        <v>0</v>
      </c>
      <c r="AX4" s="16"/>
      <c r="AY4" s="16">
        <v>0</v>
      </c>
      <c r="AZ4" s="18">
        <v>0</v>
      </c>
      <c r="BA4" s="16"/>
      <c r="BB4" s="16">
        <v>0</v>
      </c>
      <c r="BC4" s="18">
        <v>0</v>
      </c>
      <c r="BD4" s="16">
        <v>0</v>
      </c>
      <c r="BE4" s="16">
        <v>0</v>
      </c>
      <c r="BF4" s="18">
        <v>0</v>
      </c>
      <c r="BG4" s="23">
        <v>0</v>
      </c>
      <c r="BH4" s="16">
        <v>0</v>
      </c>
      <c r="BI4" s="18">
        <v>0</v>
      </c>
      <c r="BJ4" s="16">
        <v>0</v>
      </c>
      <c r="BK4" s="16">
        <v>0</v>
      </c>
      <c r="BL4" s="16">
        <f>IF(BM4&gt;0,1,0)</f>
        <v>0</v>
      </c>
      <c r="BM4" s="16">
        <f>SUM(BR4,BU4,BX4,CA4,CD4,CG4,CJ4,CM4,CP4)</f>
        <v>0</v>
      </c>
      <c r="BN4" s="16">
        <f>SUM(BW4,BZ4,CC4,CF4,CI4,CL4,CO4,CR4,BT4)</f>
        <v>0</v>
      </c>
      <c r="BO4" s="16">
        <f>IF(BP4&gt;0,1,0)</f>
        <v>0</v>
      </c>
      <c r="BP4" s="16">
        <f>SUM(BU4,BX4,CA4,CD4,BR4)</f>
        <v>0</v>
      </c>
      <c r="BQ4" s="16">
        <f>SUM(BZ4,CC4,CF4,BT4,BW4)</f>
        <v>0</v>
      </c>
      <c r="BR4" s="18">
        <v>0</v>
      </c>
      <c r="BS4" s="16">
        <v>0</v>
      </c>
      <c r="BT4" s="23">
        <f>BS4/AS4</f>
        <v>0</v>
      </c>
      <c r="BU4" s="18">
        <v>0</v>
      </c>
      <c r="BV4" s="16">
        <v>0</v>
      </c>
      <c r="BW4" s="18">
        <f>BV4/AS4</f>
        <v>0</v>
      </c>
      <c r="BX4" s="18">
        <v>0</v>
      </c>
      <c r="BY4" s="16">
        <v>0</v>
      </c>
      <c r="BZ4" s="16">
        <f>BY4/AS4</f>
        <v>0</v>
      </c>
      <c r="CA4" s="24">
        <v>0</v>
      </c>
      <c r="CB4" s="16">
        <v>0</v>
      </c>
      <c r="CC4" s="16">
        <v>0</v>
      </c>
      <c r="CD4" s="25">
        <v>0</v>
      </c>
      <c r="CE4" s="16">
        <v>0</v>
      </c>
      <c r="CF4" s="16">
        <v>0</v>
      </c>
      <c r="CG4" s="16"/>
      <c r="CH4" s="16"/>
      <c r="CI4" s="16"/>
      <c r="CJ4" s="16"/>
      <c r="CK4" s="16"/>
      <c r="CL4" s="16"/>
      <c r="CM4" s="16"/>
      <c r="CN4" s="16"/>
      <c r="CO4" s="16"/>
      <c r="CP4" s="16" t="s">
        <v>123</v>
      </c>
      <c r="CQ4" s="16">
        <v>0</v>
      </c>
      <c r="CR4" s="16">
        <v>0</v>
      </c>
      <c r="CS4" s="18">
        <f>IF(CT4&gt;0,1,0)</f>
        <v>0</v>
      </c>
      <c r="CT4" s="25">
        <f>SUM(CW4,CZ4,DC4)</f>
        <v>0</v>
      </c>
      <c r="CU4" s="25"/>
      <c r="CV4" s="16">
        <v>0</v>
      </c>
      <c r="CW4" s="25">
        <v>0</v>
      </c>
      <c r="CX4" s="16">
        <v>0</v>
      </c>
      <c r="CY4" s="16">
        <v>0</v>
      </c>
      <c r="CZ4" s="18">
        <v>0</v>
      </c>
      <c r="DA4" s="16">
        <v>0</v>
      </c>
      <c r="DB4" s="16">
        <v>0</v>
      </c>
      <c r="DC4" s="18">
        <v>0</v>
      </c>
      <c r="DD4" s="16">
        <v>0</v>
      </c>
      <c r="DE4" s="16">
        <v>0</v>
      </c>
      <c r="DF4" s="16" t="e">
        <f>VLOOKUP(K4,'[3]RNA Seq summary tables'!$V$3:$V$99,1,FALSE)</f>
        <v>#N/A</v>
      </c>
      <c r="DG4" s="16"/>
      <c r="DH4" s="16"/>
      <c r="DI4" s="16"/>
      <c r="DJ4" s="16"/>
      <c r="DK4" s="16"/>
      <c r="DL4" s="16"/>
      <c r="DM4" s="16"/>
      <c r="DN4" s="16"/>
      <c r="DO4" s="16"/>
      <c r="DP4" s="16"/>
      <c r="DQ4" s="16"/>
      <c r="DR4" s="16"/>
      <c r="DS4" s="16"/>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c r="IX4" s="18"/>
      <c r="IY4" s="18"/>
      <c r="IZ4" s="18"/>
      <c r="JA4" s="18"/>
      <c r="JB4" s="18"/>
      <c r="JC4" s="18"/>
      <c r="JD4" s="18"/>
      <c r="JE4" s="18"/>
      <c r="JF4" s="18"/>
      <c r="JG4" s="18"/>
      <c r="JH4" s="18"/>
      <c r="JI4" s="18"/>
      <c r="JJ4" s="18"/>
      <c r="JK4" s="18"/>
      <c r="JL4" s="18"/>
      <c r="JM4" s="18"/>
      <c r="JN4" s="18"/>
      <c r="JO4" s="16"/>
      <c r="JP4" s="16"/>
      <c r="JQ4" s="16"/>
      <c r="JR4" s="16"/>
      <c r="JS4" s="16"/>
      <c r="JT4" s="16"/>
      <c r="JU4" s="16"/>
      <c r="JV4" s="16"/>
      <c r="JW4" s="16"/>
      <c r="JX4" s="16"/>
      <c r="JY4" s="16"/>
      <c r="JZ4" s="16"/>
      <c r="KA4" s="16"/>
      <c r="KB4" s="16"/>
    </row>
    <row r="5" spans="1:288" s="26" customFormat="1" x14ac:dyDescent="0.2">
      <c r="A5" s="18"/>
      <c r="B5" s="16">
        <v>2016</v>
      </c>
      <c r="C5" s="20">
        <v>42552</v>
      </c>
      <c r="D5" s="20" t="str">
        <f>CONCATENATE(J5,"-",C5)</f>
        <v>926-42552</v>
      </c>
      <c r="E5" s="20" t="str">
        <f>CONCATENATE(T5,"-",U5,"-",C5)</f>
        <v>SP2-B6-42552</v>
      </c>
      <c r="F5" s="20" t="s">
        <v>106</v>
      </c>
      <c r="G5" s="20" t="s">
        <v>107</v>
      </c>
      <c r="H5" s="16"/>
      <c r="I5" s="16">
        <v>0</v>
      </c>
      <c r="J5" s="21">
        <v>926</v>
      </c>
      <c r="K5" s="21">
        <v>1449</v>
      </c>
      <c r="L5" s="18">
        <v>0</v>
      </c>
      <c r="M5" s="15">
        <f>VLOOKUP(K5,'[7]MLBS 2016 SNV-nem Coinfection d'!$C$1:$G$238,4,FALSE)</f>
        <v>0</v>
      </c>
      <c r="N5" s="15">
        <v>0</v>
      </c>
      <c r="O5" s="15" t="s">
        <v>119</v>
      </c>
      <c r="P5" s="16" t="s">
        <v>119</v>
      </c>
      <c r="Q5" s="16">
        <v>0</v>
      </c>
      <c r="R5" s="16">
        <v>15</v>
      </c>
      <c r="S5" s="16"/>
      <c r="T5" s="16" t="s">
        <v>137</v>
      </c>
      <c r="U5" s="16" t="s">
        <v>132</v>
      </c>
      <c r="V5" s="16" t="s">
        <v>114</v>
      </c>
      <c r="W5" s="16">
        <f>AI5/AG5</f>
        <v>0.76530612244897955</v>
      </c>
      <c r="X5" s="16" t="s">
        <v>121</v>
      </c>
      <c r="Y5" s="16" t="s">
        <v>110</v>
      </c>
      <c r="Z5" s="16">
        <v>3</v>
      </c>
      <c r="AA5" s="16" t="s">
        <v>161</v>
      </c>
      <c r="AB5" s="16" t="s">
        <v>123</v>
      </c>
      <c r="AC5" s="16" t="s">
        <v>123</v>
      </c>
      <c r="AD5" s="16" t="s">
        <v>116</v>
      </c>
      <c r="AE5" s="16"/>
      <c r="AF5" s="16"/>
      <c r="AG5" s="16">
        <f>AH5-AI5</f>
        <v>98</v>
      </c>
      <c r="AH5" s="16">
        <v>173</v>
      </c>
      <c r="AI5" s="16">
        <v>75</v>
      </c>
      <c r="AJ5" s="16"/>
      <c r="AK5" s="16">
        <v>25</v>
      </c>
      <c r="AL5" s="16">
        <v>0</v>
      </c>
      <c r="AM5" s="18"/>
      <c r="AN5" s="16">
        <v>0</v>
      </c>
      <c r="AO5" s="16">
        <f>IF(SUM(AL5:AN5)&gt;0, 1,0)</f>
        <v>0</v>
      </c>
      <c r="AP5" s="16"/>
      <c r="AQ5" s="16">
        <f>1.725</f>
        <v>1.7250000000000001</v>
      </c>
      <c r="AR5" s="16">
        <v>0.248</v>
      </c>
      <c r="AS5" s="16">
        <v>0.248</v>
      </c>
      <c r="AT5" s="16" t="s">
        <v>124</v>
      </c>
      <c r="AU5" s="16"/>
      <c r="AV5" s="16"/>
      <c r="AW5" s="22">
        <v>1</v>
      </c>
      <c r="AX5" s="16">
        <v>4</v>
      </c>
      <c r="AY5" s="16">
        <f>(846+4576+74+69)/AS5</f>
        <v>22439.516129032258</v>
      </c>
      <c r="AZ5" s="18">
        <v>1</v>
      </c>
      <c r="BA5" s="16">
        <v>3</v>
      </c>
      <c r="BB5" s="16">
        <f>(846+4576+74)/AS5</f>
        <v>22161.290322580644</v>
      </c>
      <c r="BC5" s="16">
        <v>1</v>
      </c>
      <c r="BD5" s="16">
        <v>846</v>
      </c>
      <c r="BE5" s="16">
        <f>846/AS5</f>
        <v>3411.2903225806454</v>
      </c>
      <c r="BF5" s="18">
        <v>1</v>
      </c>
      <c r="BG5" s="23">
        <v>4576</v>
      </c>
      <c r="BH5" s="16">
        <f>4576/AS5</f>
        <v>18451.612903225807</v>
      </c>
      <c r="BI5" s="16">
        <v>1</v>
      </c>
      <c r="BJ5" s="16">
        <v>74</v>
      </c>
      <c r="BK5" s="16">
        <f>74/AS5</f>
        <v>298.38709677419354</v>
      </c>
      <c r="BL5" s="16">
        <f>IF(BM5&gt;0,1,0)</f>
        <v>1</v>
      </c>
      <c r="BM5" s="16">
        <f>SUM(BR5,BU5,BX5,CA5,CD5,CG5,CJ5,CM5,CP5)</f>
        <v>1</v>
      </c>
      <c r="BN5" s="16">
        <f>SUM(BW5,BZ5,CC5,CF5,CI5,CL5,CO5,CR5,BT5)</f>
        <v>278.22580645161293</v>
      </c>
      <c r="BO5" s="16">
        <f>IF(BP5&gt;0,1,0)</f>
        <v>1</v>
      </c>
      <c r="BP5" s="16">
        <f>SUM(BU5,BX5,CA5,CD5,BR5)</f>
        <v>1</v>
      </c>
      <c r="BQ5" s="16">
        <f>SUM(BZ5,CC5,CF5,BT5,BW5)</f>
        <v>278.22580645161293</v>
      </c>
      <c r="BR5" s="18">
        <v>0</v>
      </c>
      <c r="BS5" s="16">
        <v>0</v>
      </c>
      <c r="BT5" s="23">
        <f>BS5/AS5</f>
        <v>0</v>
      </c>
      <c r="BU5" s="18">
        <v>0</v>
      </c>
      <c r="BV5" s="16">
        <v>0</v>
      </c>
      <c r="BW5" s="18">
        <f>BV5/AS5</f>
        <v>0</v>
      </c>
      <c r="BX5" s="24">
        <v>1</v>
      </c>
      <c r="BY5" s="16">
        <v>69</v>
      </c>
      <c r="BZ5" s="16">
        <f>BY5/AS5</f>
        <v>278.22580645161293</v>
      </c>
      <c r="CA5" s="24">
        <v>0</v>
      </c>
      <c r="CB5" s="16">
        <v>0</v>
      </c>
      <c r="CC5" s="16">
        <v>0</v>
      </c>
      <c r="CD5" s="23">
        <v>0</v>
      </c>
      <c r="CE5" s="16">
        <v>0</v>
      </c>
      <c r="CF5" s="16">
        <v>0</v>
      </c>
      <c r="CG5" s="16"/>
      <c r="CH5" s="16"/>
      <c r="CI5" s="16"/>
      <c r="CJ5" s="16"/>
      <c r="CK5" s="16"/>
      <c r="CL5" s="16"/>
      <c r="CM5" s="16"/>
      <c r="CN5" s="16"/>
      <c r="CO5" s="16"/>
      <c r="CP5" s="16" t="s">
        <v>123</v>
      </c>
      <c r="CQ5" s="16">
        <v>0</v>
      </c>
      <c r="CR5" s="16">
        <v>0</v>
      </c>
      <c r="CS5" s="18">
        <f>IF(CT5&gt;0,1,0)</f>
        <v>0</v>
      </c>
      <c r="CT5" s="25">
        <f>SUM(CW5,CZ5,DC5)</f>
        <v>0</v>
      </c>
      <c r="CU5" s="25"/>
      <c r="CV5" s="16">
        <v>0</v>
      </c>
      <c r="CW5" s="25">
        <v>0</v>
      </c>
      <c r="CX5" s="16">
        <v>0</v>
      </c>
      <c r="CY5" s="16">
        <v>0</v>
      </c>
      <c r="CZ5" s="18">
        <v>0</v>
      </c>
      <c r="DA5" s="16">
        <v>0</v>
      </c>
      <c r="DB5" s="16">
        <v>0</v>
      </c>
      <c r="DC5" s="18">
        <v>0</v>
      </c>
      <c r="DD5" s="16">
        <v>0</v>
      </c>
      <c r="DE5" s="16">
        <v>0</v>
      </c>
      <c r="DF5" s="16" t="e">
        <f>VLOOKUP(K5,'[3]RNA Seq summary tables'!$V$3:$V$99,1,FALSE)</f>
        <v>#N/A</v>
      </c>
      <c r="DG5" s="16"/>
      <c r="DH5" s="16"/>
      <c r="DI5" s="16"/>
      <c r="DJ5" s="16"/>
      <c r="DK5" s="16"/>
      <c r="DL5" s="16"/>
      <c r="DM5" s="16"/>
      <c r="DN5" s="16"/>
      <c r="DO5" s="16"/>
      <c r="DP5" s="16"/>
      <c r="DQ5" s="16"/>
      <c r="DR5" s="16"/>
      <c r="DS5" s="16"/>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6"/>
      <c r="JP5" s="16"/>
      <c r="JQ5" s="16"/>
      <c r="JR5" s="16"/>
      <c r="JS5" s="16"/>
      <c r="JT5" s="16"/>
      <c r="JU5" s="16"/>
      <c r="JV5" s="16"/>
      <c r="JW5" s="16"/>
      <c r="JX5" s="16"/>
      <c r="JY5" s="16"/>
      <c r="JZ5" s="16"/>
      <c r="KA5" s="16"/>
      <c r="KB5" s="16"/>
    </row>
    <row r="6" spans="1:288" s="30" customFormat="1" x14ac:dyDescent="0.2">
      <c r="A6" s="18"/>
      <c r="B6" s="16">
        <v>2016</v>
      </c>
      <c r="C6" s="20">
        <v>42579</v>
      </c>
      <c r="D6" s="20" t="str">
        <f>CONCATENATE(J6,"-",C6)</f>
        <v>926-42579</v>
      </c>
      <c r="E6" s="20" t="str">
        <f>CONCATENATE(T6,"-",U6,"-",C6)</f>
        <v>SP2-B8-42579</v>
      </c>
      <c r="F6" s="20" t="s">
        <v>106</v>
      </c>
      <c r="G6" s="20" t="s">
        <v>107</v>
      </c>
      <c r="H6" s="16"/>
      <c r="I6" s="16">
        <v>0</v>
      </c>
      <c r="J6" s="21">
        <v>926</v>
      </c>
      <c r="K6" s="21">
        <v>1516</v>
      </c>
      <c r="L6" s="18">
        <v>0</v>
      </c>
      <c r="M6" s="15">
        <f>VLOOKUP(K6,'[7]MLBS 2016 SNV-nem Coinfection d'!$C$1:$G$238,4,FALSE)</f>
        <v>0</v>
      </c>
      <c r="N6" s="15">
        <v>0</v>
      </c>
      <c r="O6" s="15" t="s">
        <v>119</v>
      </c>
      <c r="P6" s="16" t="s">
        <v>119</v>
      </c>
      <c r="Q6" s="16">
        <v>0</v>
      </c>
      <c r="R6" s="16">
        <v>27</v>
      </c>
      <c r="S6" s="16"/>
      <c r="T6" s="16" t="s">
        <v>137</v>
      </c>
      <c r="U6" s="16" t="s">
        <v>209</v>
      </c>
      <c r="V6" s="16" t="s">
        <v>114</v>
      </c>
      <c r="W6" s="16">
        <f>AI6/AG6</f>
        <v>0.77</v>
      </c>
      <c r="X6" s="16" t="s">
        <v>121</v>
      </c>
      <c r="Y6" s="16" t="s">
        <v>110</v>
      </c>
      <c r="Z6" s="16">
        <v>3</v>
      </c>
      <c r="AA6" s="16" t="s">
        <v>119</v>
      </c>
      <c r="AB6" s="16" t="s">
        <v>116</v>
      </c>
      <c r="AC6" s="16" t="s">
        <v>123</v>
      </c>
      <c r="AD6" s="16" t="s">
        <v>116</v>
      </c>
      <c r="AE6" s="16"/>
      <c r="AF6" s="16"/>
      <c r="AG6" s="16">
        <f>AH6-AI6</f>
        <v>100</v>
      </c>
      <c r="AH6" s="16">
        <v>177</v>
      </c>
      <c r="AI6" s="16">
        <v>77</v>
      </c>
      <c r="AJ6" s="16"/>
      <c r="AK6" s="16">
        <v>33</v>
      </c>
      <c r="AL6" s="16">
        <v>0</v>
      </c>
      <c r="AM6" s="16">
        <v>0</v>
      </c>
      <c r="AN6" s="16">
        <v>0</v>
      </c>
      <c r="AO6" s="16">
        <f>IF(SUM(AL6:AN6)&gt;0,1,0)</f>
        <v>0</v>
      </c>
      <c r="AP6" s="16">
        <f>SUM(AL6:AN6)</f>
        <v>0</v>
      </c>
      <c r="AQ6" s="16">
        <v>2.1349999999999998</v>
      </c>
      <c r="AR6" s="16">
        <v>0.65800000000000003</v>
      </c>
      <c r="AS6" s="16">
        <v>0.65800000000000003</v>
      </c>
      <c r="AT6" s="16" t="s">
        <v>205</v>
      </c>
      <c r="AU6" s="16"/>
      <c r="AV6" s="16"/>
      <c r="AW6" s="22">
        <v>1</v>
      </c>
      <c r="AX6" s="16">
        <v>3</v>
      </c>
      <c r="AY6" s="16">
        <f>(283+1052+25)/AS6</f>
        <v>2066.8693009118542</v>
      </c>
      <c r="AZ6" s="18">
        <v>1</v>
      </c>
      <c r="BA6" s="16">
        <v>3</v>
      </c>
      <c r="BB6" s="16">
        <f>AY6</f>
        <v>2066.8693009118542</v>
      </c>
      <c r="BC6" s="16">
        <v>1</v>
      </c>
      <c r="BD6" s="16">
        <v>283</v>
      </c>
      <c r="BE6" s="16">
        <f>283/AS6</f>
        <v>430.09118541033433</v>
      </c>
      <c r="BF6" s="18">
        <v>1</v>
      </c>
      <c r="BG6" s="23">
        <v>1052</v>
      </c>
      <c r="BH6" s="16">
        <f>BG6/AS6</f>
        <v>1598.7841945288753</v>
      </c>
      <c r="BI6" s="16">
        <v>1</v>
      </c>
      <c r="BJ6" s="16">
        <v>25</v>
      </c>
      <c r="BK6" s="16">
        <f>25/AS6</f>
        <v>37.993920972644375</v>
      </c>
      <c r="BL6" s="16">
        <f>IF(BM6&gt;0,1,0)</f>
        <v>0</v>
      </c>
      <c r="BM6" s="16">
        <f>SUM(BR6,BU6,BX6,CA6,CD6,CG6,CJ6,CM6,CP6)</f>
        <v>0</v>
      </c>
      <c r="BN6" s="16">
        <f>SUM(BW6,BZ6,CC6,CF6,CI6,CL6,CO6,CR6,BT6)</f>
        <v>0</v>
      </c>
      <c r="BO6" s="16">
        <f>IF(BP6&gt;0,1,0)</f>
        <v>0</v>
      </c>
      <c r="BP6" s="16">
        <f>SUM(BU6,BX6,CA6,CD6,BR6)</f>
        <v>0</v>
      </c>
      <c r="BQ6" s="16">
        <f>SUM(BZ6,CC6,CF6,BT6,BW6)</f>
        <v>0</v>
      </c>
      <c r="BR6" s="18">
        <v>0</v>
      </c>
      <c r="BS6" s="16">
        <v>0</v>
      </c>
      <c r="BT6" s="23">
        <f>BS6/AS6</f>
        <v>0</v>
      </c>
      <c r="BU6" s="18">
        <v>0</v>
      </c>
      <c r="BV6" s="16">
        <v>0</v>
      </c>
      <c r="BW6" s="18">
        <f>BV6/AS6</f>
        <v>0</v>
      </c>
      <c r="BX6" s="18">
        <v>0</v>
      </c>
      <c r="BY6" s="16">
        <v>0</v>
      </c>
      <c r="BZ6" s="16">
        <f>BY6/AS6</f>
        <v>0</v>
      </c>
      <c r="CA6" s="24">
        <v>0</v>
      </c>
      <c r="CB6" s="16">
        <v>0</v>
      </c>
      <c r="CC6" s="16">
        <v>0</v>
      </c>
      <c r="CD6" s="25">
        <v>0</v>
      </c>
      <c r="CE6" s="16">
        <v>0</v>
      </c>
      <c r="CF6" s="16">
        <v>0</v>
      </c>
      <c r="CG6" s="16"/>
      <c r="CH6" s="16"/>
      <c r="CI6" s="16"/>
      <c r="CJ6" s="16"/>
      <c r="CK6" s="16"/>
      <c r="CL6" s="16"/>
      <c r="CM6" s="16"/>
      <c r="CN6" s="16"/>
      <c r="CO6" s="16"/>
      <c r="CP6" s="16" t="s">
        <v>123</v>
      </c>
      <c r="CQ6" s="16">
        <v>0</v>
      </c>
      <c r="CR6" s="16">
        <v>0</v>
      </c>
      <c r="CS6" s="18">
        <f>IF(CT6&gt;0,1,0)</f>
        <v>0</v>
      </c>
      <c r="CT6" s="25">
        <f>SUM(CW6,CZ6,DC6)</f>
        <v>0</v>
      </c>
      <c r="CU6" s="25"/>
      <c r="CV6" s="16">
        <v>0</v>
      </c>
      <c r="CW6" s="25">
        <v>0</v>
      </c>
      <c r="CX6" s="16">
        <v>0</v>
      </c>
      <c r="CY6" s="16">
        <v>0</v>
      </c>
      <c r="CZ6" s="18">
        <v>0</v>
      </c>
      <c r="DA6" s="16">
        <v>0</v>
      </c>
      <c r="DB6" s="16">
        <v>0</v>
      </c>
      <c r="DC6" s="18">
        <v>0</v>
      </c>
      <c r="DD6" s="16">
        <v>0</v>
      </c>
      <c r="DE6" s="16">
        <v>0</v>
      </c>
      <c r="DF6" s="16" t="e">
        <f>VLOOKUP(K6,'[3]RNA Seq summary tables'!$V$3:$V$99,1,FALSE)</f>
        <v>#N/A</v>
      </c>
      <c r="DG6" s="16"/>
      <c r="DH6" s="16"/>
      <c r="DI6" s="16"/>
      <c r="DJ6" s="16"/>
      <c r="DK6" s="16"/>
      <c r="DL6" s="16"/>
      <c r="DM6" s="16"/>
      <c r="DN6" s="16"/>
      <c r="DO6" s="16"/>
      <c r="DP6" s="16"/>
      <c r="DQ6" s="16"/>
      <c r="DR6" s="16"/>
      <c r="DS6" s="16"/>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6"/>
      <c r="JP6" s="18"/>
      <c r="JQ6" s="18"/>
      <c r="JR6" s="16"/>
      <c r="JS6" s="16"/>
      <c r="JT6" s="16"/>
      <c r="JU6" s="16"/>
      <c r="JV6" s="16"/>
      <c r="JW6" s="16"/>
      <c r="JX6" s="16"/>
      <c r="JY6" s="16"/>
      <c r="JZ6" s="16"/>
      <c r="KA6" s="16"/>
      <c r="KB6" s="16"/>
    </row>
    <row r="7" spans="1:288" s="26" customFormat="1" x14ac:dyDescent="0.2">
      <c r="A7" s="18">
        <v>1</v>
      </c>
      <c r="B7" s="16">
        <v>2016</v>
      </c>
      <c r="C7" s="37">
        <v>42593</v>
      </c>
      <c r="D7" s="37" t="str">
        <f>CONCATENATE(J7,"-",C7)</f>
        <v>926-42593</v>
      </c>
      <c r="E7" s="20" t="str">
        <f>CONCATENATE(T7,"-",U7,"-",C7)</f>
        <v>SP2-A8-42593</v>
      </c>
      <c r="F7" s="20" t="s">
        <v>227</v>
      </c>
      <c r="G7" s="37" t="s">
        <v>107</v>
      </c>
      <c r="H7" s="30" t="s">
        <v>228</v>
      </c>
      <c r="I7" s="16">
        <v>0</v>
      </c>
      <c r="J7" s="36">
        <v>926</v>
      </c>
      <c r="K7" s="32">
        <v>1545</v>
      </c>
      <c r="L7" s="16"/>
      <c r="M7" s="15">
        <v>0</v>
      </c>
      <c r="N7" s="15">
        <v>0</v>
      </c>
      <c r="O7" s="15" t="s">
        <v>119</v>
      </c>
      <c r="P7" s="18" t="s">
        <v>119</v>
      </c>
      <c r="Q7" s="16">
        <v>0</v>
      </c>
      <c r="R7" s="18">
        <v>14</v>
      </c>
      <c r="S7" s="18"/>
      <c r="T7" s="18" t="s">
        <v>137</v>
      </c>
      <c r="U7" s="18" t="s">
        <v>194</v>
      </c>
      <c r="V7" s="18" t="s">
        <v>114</v>
      </c>
      <c r="W7" s="16">
        <f>AI7/AG7</f>
        <v>1.0740740740740742</v>
      </c>
      <c r="X7" s="18" t="s">
        <v>121</v>
      </c>
      <c r="Y7" s="18" t="s">
        <v>110</v>
      </c>
      <c r="Z7" s="18">
        <v>3</v>
      </c>
      <c r="AA7" s="18" t="s">
        <v>161</v>
      </c>
      <c r="AB7" s="18" t="s">
        <v>116</v>
      </c>
      <c r="AC7" s="18" t="s">
        <v>123</v>
      </c>
      <c r="AD7" s="18" t="s">
        <v>116</v>
      </c>
      <c r="AE7" s="18"/>
      <c r="AF7" s="18"/>
      <c r="AG7" s="18">
        <f>AH7-AI7</f>
        <v>81</v>
      </c>
      <c r="AH7" s="18">
        <v>168</v>
      </c>
      <c r="AI7" s="18">
        <v>87</v>
      </c>
      <c r="AJ7" s="18"/>
      <c r="AK7" s="18">
        <v>17.5</v>
      </c>
      <c r="AL7" s="16">
        <v>0</v>
      </c>
      <c r="AM7" s="16">
        <v>0</v>
      </c>
      <c r="AN7" s="16">
        <v>0</v>
      </c>
      <c r="AO7" s="16">
        <f>IF(SUM(AL7:AN7)&gt;0,1,0)</f>
        <v>0</v>
      </c>
      <c r="AP7" s="16">
        <f>SUM(AL7:AN7)</f>
        <v>0</v>
      </c>
      <c r="AQ7" s="18"/>
      <c r="AR7" s="18">
        <v>1.089</v>
      </c>
      <c r="AS7" s="18">
        <v>1.089</v>
      </c>
      <c r="AT7" s="18" t="s">
        <v>212</v>
      </c>
      <c r="AU7" s="18"/>
      <c r="AV7" s="18"/>
      <c r="AW7" s="22">
        <v>1</v>
      </c>
      <c r="AX7" s="24">
        <v>3</v>
      </c>
      <c r="AY7" s="24">
        <f>(22+356+6)/1.089</f>
        <v>352.6170798898072</v>
      </c>
      <c r="AZ7" s="18">
        <v>1</v>
      </c>
      <c r="BA7" s="24">
        <v>3</v>
      </c>
      <c r="BB7" s="24">
        <f>(22+356+6)/1.089</f>
        <v>352.6170798898072</v>
      </c>
      <c r="BC7" s="16">
        <v>1</v>
      </c>
      <c r="BD7" s="24">
        <v>22</v>
      </c>
      <c r="BE7" s="24">
        <f>22/1.089</f>
        <v>20.202020202020204</v>
      </c>
      <c r="BF7" s="18">
        <v>1</v>
      </c>
      <c r="BG7" s="53">
        <v>356</v>
      </c>
      <c r="BH7" s="24">
        <f>356/1.089</f>
        <v>326.90541781450872</v>
      </c>
      <c r="BI7" s="16">
        <v>1</v>
      </c>
      <c r="BJ7" s="24">
        <v>6</v>
      </c>
      <c r="BK7" s="24">
        <f>6/1.089</f>
        <v>5.5096418732782375</v>
      </c>
      <c r="BL7" s="16">
        <f>IF(BM7&gt;0,1,0)</f>
        <v>0</v>
      </c>
      <c r="BM7" s="16">
        <f>SUM(BR7,BU7,BX7,CA7,CD7,CG7,CJ7,CM7,CP7)</f>
        <v>0</v>
      </c>
      <c r="BN7" s="16">
        <f>SUM(BW7,BZ7,CC7,CF7,CI7,CL7,CO7,CR7,BT7)</f>
        <v>0</v>
      </c>
      <c r="BO7" s="16">
        <f>IF(BP7&gt;0,1,0)</f>
        <v>0</v>
      </c>
      <c r="BP7" s="16">
        <f>SUM(BU7,BX7,CA7,CD7,BR7)</f>
        <v>0</v>
      </c>
      <c r="BQ7" s="16">
        <f>SUM(BZ7,CC7,CF7,BT7,BW7)</f>
        <v>0</v>
      </c>
      <c r="BR7" s="18">
        <v>0</v>
      </c>
      <c r="BS7" s="24">
        <v>0</v>
      </c>
      <c r="BT7" s="23">
        <f>BS7/AS7</f>
        <v>0</v>
      </c>
      <c r="BU7" s="18">
        <v>0</v>
      </c>
      <c r="BV7" s="24">
        <v>0</v>
      </c>
      <c r="BW7" s="18">
        <f>BV7/AS7</f>
        <v>0</v>
      </c>
      <c r="BX7" s="18">
        <v>0</v>
      </c>
      <c r="BY7" s="24">
        <v>0</v>
      </c>
      <c r="BZ7" s="16">
        <f>BY7/AS7</f>
        <v>0</v>
      </c>
      <c r="CA7" s="24">
        <v>0</v>
      </c>
      <c r="CB7" s="24">
        <v>0</v>
      </c>
      <c r="CC7" s="24">
        <v>0</v>
      </c>
      <c r="CD7" s="25">
        <v>0</v>
      </c>
      <c r="CE7" s="24">
        <v>0</v>
      </c>
      <c r="CF7" s="24">
        <v>0</v>
      </c>
      <c r="CG7" s="24"/>
      <c r="CH7" s="24"/>
      <c r="CI7" s="24"/>
      <c r="CJ7" s="24"/>
      <c r="CK7" s="24"/>
      <c r="CL7" s="24"/>
      <c r="CM7" s="24"/>
      <c r="CN7" s="24"/>
      <c r="CO7" s="24"/>
      <c r="CP7" s="24" t="s">
        <v>123</v>
      </c>
      <c r="CQ7" s="24">
        <v>0</v>
      </c>
      <c r="CR7" s="24">
        <v>0</v>
      </c>
      <c r="CS7" s="18">
        <f>IF(CT7&gt;0,1,0)</f>
        <v>0</v>
      </c>
      <c r="CT7" s="25">
        <f>SUM(CW7,CZ7,DC7)</f>
        <v>0</v>
      </c>
      <c r="CU7" s="25"/>
      <c r="CV7" s="24">
        <v>0</v>
      </c>
      <c r="CW7" s="25">
        <v>0</v>
      </c>
      <c r="CX7" s="24">
        <v>0</v>
      </c>
      <c r="CY7" s="24">
        <v>0</v>
      </c>
      <c r="CZ7" s="18">
        <v>0</v>
      </c>
      <c r="DA7" s="24">
        <v>0</v>
      </c>
      <c r="DB7" s="24">
        <v>0</v>
      </c>
      <c r="DC7" s="18">
        <v>0</v>
      </c>
      <c r="DD7" s="24">
        <v>0</v>
      </c>
      <c r="DE7" s="24">
        <v>0</v>
      </c>
      <c r="DF7" s="16" t="e">
        <f>VLOOKUP(K7,'[3]RNA Seq summary tables'!$V$3:$V$99,1,FALSE)</f>
        <v>#N/A</v>
      </c>
      <c r="DG7" s="16"/>
      <c r="DH7" s="16"/>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c r="IX7" s="18"/>
      <c r="IY7" s="18"/>
      <c r="IZ7" s="18"/>
      <c r="JA7" s="18"/>
      <c r="JB7" s="18"/>
      <c r="JC7" s="18"/>
      <c r="JD7" s="18"/>
      <c r="JE7" s="18"/>
      <c r="JF7" s="18"/>
      <c r="JG7" s="18"/>
      <c r="JH7" s="18"/>
      <c r="JI7" s="18"/>
      <c r="JJ7" s="18"/>
      <c r="JK7" s="18"/>
      <c r="JL7" s="18"/>
      <c r="JM7" s="18"/>
      <c r="JN7" s="18"/>
      <c r="JO7" s="16"/>
      <c r="JP7" s="16"/>
      <c r="JQ7" s="16"/>
      <c r="JR7" s="16"/>
      <c r="JS7" s="16"/>
      <c r="JT7" s="16"/>
      <c r="JU7" s="16"/>
      <c r="JV7" s="16"/>
      <c r="JW7" s="16"/>
      <c r="JX7" s="16"/>
      <c r="JY7" s="16"/>
      <c r="JZ7" s="16"/>
      <c r="KA7" s="16"/>
      <c r="KB7" s="16"/>
    </row>
    <row r="8" spans="1:288" s="26" customFormat="1" x14ac:dyDescent="0.2">
      <c r="A8" s="18"/>
      <c r="B8" s="16">
        <v>2016</v>
      </c>
      <c r="C8" s="20">
        <v>42525</v>
      </c>
      <c r="D8" s="20" t="str">
        <f>CONCATENATE(J8,"-",C8)</f>
        <v>928-42525</v>
      </c>
      <c r="E8" s="20" t="str">
        <f>CONCATENATE(T8,"-",U8,"-",C8)</f>
        <v>SP1-H8-42525</v>
      </c>
      <c r="F8" s="20" t="s">
        <v>106</v>
      </c>
      <c r="G8" s="20" t="s">
        <v>107</v>
      </c>
      <c r="H8" s="16"/>
      <c r="I8" s="16">
        <v>0</v>
      </c>
      <c r="J8" s="21">
        <v>928</v>
      </c>
      <c r="K8" s="21">
        <v>1415</v>
      </c>
      <c r="L8" s="16">
        <v>0</v>
      </c>
      <c r="M8" s="15">
        <f>VLOOKUP(K8,'[7]MLBS 2016 SNV-nem Coinfection d'!$C$1:$G$238,4,FALSE)</f>
        <v>0</v>
      </c>
      <c r="N8" s="15">
        <v>0</v>
      </c>
      <c r="O8" s="15" t="s">
        <v>119</v>
      </c>
      <c r="P8" s="16" t="s">
        <v>119</v>
      </c>
      <c r="Q8" s="16">
        <v>0</v>
      </c>
      <c r="R8" s="16" t="s">
        <v>111</v>
      </c>
      <c r="S8" s="16"/>
      <c r="T8" s="16" t="s">
        <v>140</v>
      </c>
      <c r="U8" s="16" t="s">
        <v>152</v>
      </c>
      <c r="V8" s="16" t="s">
        <v>114</v>
      </c>
      <c r="W8" s="16">
        <f>AI8/AG8</f>
        <v>0.8666666666666667</v>
      </c>
      <c r="X8" s="16" t="s">
        <v>121</v>
      </c>
      <c r="Y8" s="16" t="s">
        <v>110</v>
      </c>
      <c r="Z8" s="16">
        <v>3</v>
      </c>
      <c r="AA8" s="16" t="s">
        <v>119</v>
      </c>
      <c r="AB8" s="16" t="s">
        <v>123</v>
      </c>
      <c r="AC8" s="16" t="s">
        <v>123</v>
      </c>
      <c r="AD8" s="16" t="s">
        <v>123</v>
      </c>
      <c r="AE8" s="16"/>
      <c r="AF8" s="16"/>
      <c r="AG8" s="16">
        <f>AH8-AI8</f>
        <v>75</v>
      </c>
      <c r="AH8" s="16">
        <v>140</v>
      </c>
      <c r="AI8" s="16">
        <v>65</v>
      </c>
      <c r="AJ8" s="16"/>
      <c r="AK8" s="16">
        <v>16</v>
      </c>
      <c r="AL8" s="16">
        <v>1</v>
      </c>
      <c r="AM8" s="16">
        <v>1</v>
      </c>
      <c r="AN8" s="16">
        <v>0</v>
      </c>
      <c r="AO8" s="16">
        <f>IF(SUM(AL8:AN8)&gt;0,1,0)</f>
        <v>1</v>
      </c>
      <c r="AP8" s="16">
        <f>SUM(AL8:AN8)</f>
        <v>2</v>
      </c>
      <c r="AQ8" s="16">
        <f>AS8+1.477</f>
        <v>1.7830000000000001</v>
      </c>
      <c r="AR8" s="16">
        <v>0.30599999999999999</v>
      </c>
      <c r="AS8" s="16">
        <v>0.30599999999999999</v>
      </c>
      <c r="AT8" s="16" t="s">
        <v>124</v>
      </c>
      <c r="AU8" s="16"/>
      <c r="AV8" s="16"/>
      <c r="AW8" s="22">
        <v>1</v>
      </c>
      <c r="AX8" s="16"/>
      <c r="AY8" s="16">
        <f>(427+15+1)/AS8</f>
        <v>1447.7124183006536</v>
      </c>
      <c r="AZ8" s="18">
        <v>1</v>
      </c>
      <c r="BA8" s="16"/>
      <c r="BB8" s="16">
        <f>(427+1+15)/AS8</f>
        <v>1447.7124183006536</v>
      </c>
      <c r="BC8" s="16">
        <v>1</v>
      </c>
      <c r="BD8" s="16">
        <v>1</v>
      </c>
      <c r="BE8" s="16">
        <f>1/AS8</f>
        <v>3.2679738562091503</v>
      </c>
      <c r="BF8" s="18">
        <v>1</v>
      </c>
      <c r="BG8" s="23">
        <v>427</v>
      </c>
      <c r="BH8" s="16">
        <f>427/AS8</f>
        <v>1395.4248366013071</v>
      </c>
      <c r="BI8" s="16">
        <v>1</v>
      </c>
      <c r="BJ8" s="16">
        <v>15</v>
      </c>
      <c r="BK8" s="16">
        <f>15/AS8</f>
        <v>49.019607843137258</v>
      </c>
      <c r="BL8" s="16">
        <f>IF(BM8&gt;0,1,0)</f>
        <v>0</v>
      </c>
      <c r="BM8" s="16">
        <f>SUM(BR8,BU8,BX8,CA8,CD8,CG8,CJ8,CM8,CP8)</f>
        <v>0</v>
      </c>
      <c r="BN8" s="16">
        <f>SUM(BW8,BZ8,CC8,CF8,CI8,CL8,CO8,CR8,BT8)</f>
        <v>0</v>
      </c>
      <c r="BO8" s="16">
        <f>IF(BP8&gt;0,1,0)</f>
        <v>0</v>
      </c>
      <c r="BP8" s="16">
        <f>SUM(BU8,BX8,CA8,CD8,BR8)</f>
        <v>0</v>
      </c>
      <c r="BQ8" s="16">
        <f>SUM(BZ8,CC8,CF8,BT8,BW8)</f>
        <v>0</v>
      </c>
      <c r="BR8" s="18">
        <v>0</v>
      </c>
      <c r="BS8" s="16">
        <v>0</v>
      </c>
      <c r="BT8" s="23">
        <f>BS8/AS8</f>
        <v>0</v>
      </c>
      <c r="BU8" s="18">
        <v>0</v>
      </c>
      <c r="BV8" s="16">
        <v>0</v>
      </c>
      <c r="BW8" s="18">
        <f>BV8/AS8</f>
        <v>0</v>
      </c>
      <c r="BX8" s="18">
        <v>0</v>
      </c>
      <c r="BY8" s="16">
        <v>0</v>
      </c>
      <c r="BZ8" s="16">
        <f>BY8/AS8</f>
        <v>0</v>
      </c>
      <c r="CA8" s="24">
        <v>0</v>
      </c>
      <c r="CB8" s="16">
        <v>0</v>
      </c>
      <c r="CC8" s="16">
        <v>0</v>
      </c>
      <c r="CD8" s="25">
        <v>0</v>
      </c>
      <c r="CE8" s="16">
        <v>0</v>
      </c>
      <c r="CF8" s="16">
        <v>0</v>
      </c>
      <c r="CG8" s="16"/>
      <c r="CH8" s="16"/>
      <c r="CI8" s="16"/>
      <c r="CJ8" s="16"/>
      <c r="CK8" s="16"/>
      <c r="CL8" s="16"/>
      <c r="CM8" s="16"/>
      <c r="CN8" s="16"/>
      <c r="CO8" s="16"/>
      <c r="CP8" s="16" t="s">
        <v>123</v>
      </c>
      <c r="CQ8" s="16">
        <v>0</v>
      </c>
      <c r="CR8" s="16">
        <v>0</v>
      </c>
      <c r="CS8" s="18">
        <f>IF(CT8&gt;0,1,0)</f>
        <v>0</v>
      </c>
      <c r="CT8" s="25">
        <f>SUM(CW8,CZ8,DC8)</f>
        <v>0</v>
      </c>
      <c r="CU8" s="25"/>
      <c r="CV8" s="16">
        <v>0</v>
      </c>
      <c r="CW8" s="25">
        <v>0</v>
      </c>
      <c r="CX8" s="16">
        <v>0</v>
      </c>
      <c r="CY8" s="16">
        <v>0</v>
      </c>
      <c r="CZ8" s="18">
        <v>0</v>
      </c>
      <c r="DA8" s="16">
        <v>0</v>
      </c>
      <c r="DB8" s="16">
        <v>0</v>
      </c>
      <c r="DC8" s="18">
        <v>0</v>
      </c>
      <c r="DD8" s="16">
        <v>0</v>
      </c>
      <c r="DE8" s="16">
        <v>0</v>
      </c>
      <c r="DF8" s="16" t="e">
        <f>VLOOKUP(K8,'[3]RNA Seq summary tables'!$V$3:$V$99,1,FALSE)</f>
        <v>#N/A</v>
      </c>
      <c r="DG8" s="16"/>
      <c r="DH8" s="16"/>
      <c r="DI8" s="16"/>
      <c r="DJ8" s="16"/>
      <c r="DK8" s="16"/>
      <c r="DL8" s="16"/>
      <c r="DM8" s="16"/>
      <c r="DN8" s="16"/>
      <c r="DO8" s="16"/>
      <c r="DP8" s="16"/>
      <c r="DQ8" s="16"/>
      <c r="DR8" s="16"/>
      <c r="DS8" s="16"/>
      <c r="DT8" s="25"/>
      <c r="DU8" s="25"/>
      <c r="DV8" s="25"/>
      <c r="DW8" s="25"/>
      <c r="DX8" s="25"/>
      <c r="DY8" s="25"/>
      <c r="DZ8" s="25"/>
      <c r="EA8" s="25"/>
      <c r="EB8" s="25"/>
      <c r="EC8" s="25"/>
      <c r="ED8" s="25"/>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c r="IX8" s="18"/>
      <c r="IY8" s="18"/>
      <c r="IZ8" s="18"/>
      <c r="JA8" s="18"/>
      <c r="JB8" s="18"/>
      <c r="JC8" s="18"/>
      <c r="JD8" s="18"/>
      <c r="JE8" s="18"/>
      <c r="JF8" s="18"/>
      <c r="JG8" s="18"/>
      <c r="JH8" s="18"/>
      <c r="JI8" s="18"/>
      <c r="JJ8" s="18"/>
      <c r="JK8" s="18"/>
      <c r="JL8" s="18"/>
      <c r="JM8" s="18"/>
      <c r="JN8" s="18"/>
      <c r="JP8" s="16"/>
      <c r="JQ8" s="16"/>
      <c r="JR8" s="16"/>
      <c r="JS8" s="16"/>
      <c r="JT8" s="16"/>
      <c r="JU8" s="16"/>
      <c r="JV8" s="16"/>
      <c r="JW8" s="16"/>
      <c r="JX8" s="16"/>
      <c r="JY8" s="16"/>
      <c r="JZ8" s="16"/>
      <c r="KA8" s="16"/>
      <c r="KB8" s="16"/>
    </row>
    <row r="9" spans="1:288" s="26" customFormat="1" x14ac:dyDescent="0.2">
      <c r="A9" s="18"/>
      <c r="B9" s="16">
        <v>2016</v>
      </c>
      <c r="C9" s="20">
        <v>42528</v>
      </c>
      <c r="D9" s="20" t="str">
        <f>CONCATENATE(J9,"-",C9)</f>
        <v>930-42528</v>
      </c>
      <c r="E9" s="20" t="str">
        <f>CONCATENATE(T9,"-",U9,"-",C9)</f>
        <v>BC2-G1-42528</v>
      </c>
      <c r="F9" s="20" t="s">
        <v>106</v>
      </c>
      <c r="G9" s="20" t="s">
        <v>107</v>
      </c>
      <c r="H9" s="16"/>
      <c r="I9" s="16">
        <v>0</v>
      </c>
      <c r="J9" s="21">
        <v>930</v>
      </c>
      <c r="K9" s="21">
        <v>1412</v>
      </c>
      <c r="L9" s="16">
        <v>0</v>
      </c>
      <c r="M9" s="15">
        <f>VLOOKUP(K9,'[7]MLBS 2016 SNV-nem Coinfection d'!$C$1:$G$238,4,FALSE)</f>
        <v>0</v>
      </c>
      <c r="N9" s="15">
        <v>0</v>
      </c>
      <c r="O9" s="15" t="s">
        <v>119</v>
      </c>
      <c r="P9" s="16" t="s">
        <v>119</v>
      </c>
      <c r="Q9" s="16">
        <v>0</v>
      </c>
      <c r="R9" s="16" t="s">
        <v>111</v>
      </c>
      <c r="S9" s="16"/>
      <c r="T9" s="16" t="s">
        <v>154</v>
      </c>
      <c r="U9" s="16" t="s">
        <v>155</v>
      </c>
      <c r="V9" s="16" t="s">
        <v>114</v>
      </c>
      <c r="W9" s="16">
        <f>AI9/AG9</f>
        <v>0.84210526315789469</v>
      </c>
      <c r="X9" s="16" t="s">
        <v>121</v>
      </c>
      <c r="Y9" s="16" t="s">
        <v>110</v>
      </c>
      <c r="Z9" s="16">
        <v>3</v>
      </c>
      <c r="AA9" s="16" t="s">
        <v>119</v>
      </c>
      <c r="AB9" s="16" t="s">
        <v>123</v>
      </c>
      <c r="AC9" s="16" t="s">
        <v>123</v>
      </c>
      <c r="AD9" s="16" t="s">
        <v>123</v>
      </c>
      <c r="AE9" s="16"/>
      <c r="AF9" s="16"/>
      <c r="AG9" s="16">
        <f>140-64</f>
        <v>76</v>
      </c>
      <c r="AH9" s="16">
        <v>140</v>
      </c>
      <c r="AI9" s="16">
        <v>64</v>
      </c>
      <c r="AJ9" s="16"/>
      <c r="AK9" s="16">
        <v>16</v>
      </c>
      <c r="AL9" s="16">
        <v>0</v>
      </c>
      <c r="AM9" s="16">
        <v>0</v>
      </c>
      <c r="AN9" s="16">
        <v>0</v>
      </c>
      <c r="AO9" s="16">
        <f>IF(SUM(AL9:AN9)&gt;0,1,0)</f>
        <v>0</v>
      </c>
      <c r="AP9" s="16">
        <f>SUM(AL9:AN9)</f>
        <v>0</v>
      </c>
      <c r="AQ9" s="16"/>
      <c r="AR9" s="16">
        <v>0.24299999999999999</v>
      </c>
      <c r="AS9" s="16">
        <v>0.24299999999999999</v>
      </c>
      <c r="AT9" s="18" t="s">
        <v>117</v>
      </c>
      <c r="AU9" s="18"/>
      <c r="AV9" s="16"/>
      <c r="AW9" s="22">
        <v>1</v>
      </c>
      <c r="AX9" s="16"/>
      <c r="AY9" s="16">
        <f>4974/0.243</f>
        <v>20469.135802469136</v>
      </c>
      <c r="AZ9" s="18">
        <v>1</v>
      </c>
      <c r="BA9" s="16"/>
      <c r="BB9" s="16">
        <f>4974/0.243</f>
        <v>20469.135802469136</v>
      </c>
      <c r="BC9" s="16">
        <v>1</v>
      </c>
      <c r="BD9" s="16">
        <v>2</v>
      </c>
      <c r="BE9" s="16">
        <f>2/0.243</f>
        <v>8.2304526748971192</v>
      </c>
      <c r="BF9" s="18">
        <v>1</v>
      </c>
      <c r="BG9" s="23">
        <v>4971</v>
      </c>
      <c r="BH9" s="16">
        <f>4971/0.243</f>
        <v>20456.790123456791</v>
      </c>
      <c r="BI9" s="16">
        <v>1</v>
      </c>
      <c r="BJ9" s="16">
        <v>1</v>
      </c>
      <c r="BK9" s="16">
        <f>1/0.243</f>
        <v>4.1152263374485596</v>
      </c>
      <c r="BL9" s="16">
        <f>IF(BM9&gt;0,1,0)</f>
        <v>0</v>
      </c>
      <c r="BM9" s="16">
        <f>SUM(BR9,BU9,BX9,CA9,CD9,CG9,CJ9,CM9,CP9)</f>
        <v>0</v>
      </c>
      <c r="BN9" s="16">
        <f>SUM(BW9,BZ9,CC9,CF9,CI9,CL9,CO9,CR9,BT9)</f>
        <v>0</v>
      </c>
      <c r="BO9" s="16">
        <f>IF(BP9&gt;0,1,0)</f>
        <v>0</v>
      </c>
      <c r="BP9" s="16">
        <f>SUM(BU9,BX9,CA9,CD9,BR9)</f>
        <v>0</v>
      </c>
      <c r="BQ9" s="16">
        <f>SUM(BZ9,CC9,CF9,BT9,BW9)</f>
        <v>0</v>
      </c>
      <c r="BR9" s="18">
        <v>0</v>
      </c>
      <c r="BS9" s="16">
        <v>0</v>
      </c>
      <c r="BT9" s="23">
        <f>BS9/AS9</f>
        <v>0</v>
      </c>
      <c r="BU9" s="18">
        <v>0</v>
      </c>
      <c r="BV9" s="16">
        <v>0</v>
      </c>
      <c r="BW9" s="18">
        <f>BV9/AS9</f>
        <v>0</v>
      </c>
      <c r="BX9" s="18">
        <v>0</v>
      </c>
      <c r="BY9" s="16">
        <v>0</v>
      </c>
      <c r="BZ9" s="16">
        <f>BY9/AS9</f>
        <v>0</v>
      </c>
      <c r="CA9" s="24">
        <v>0</v>
      </c>
      <c r="CB9" s="16">
        <v>0</v>
      </c>
      <c r="CC9" s="16">
        <v>0</v>
      </c>
      <c r="CD9" s="25">
        <v>0</v>
      </c>
      <c r="CE9" s="16">
        <v>0</v>
      </c>
      <c r="CF9" s="16">
        <v>0</v>
      </c>
      <c r="CG9" s="16"/>
      <c r="CH9" s="16"/>
      <c r="CI9" s="16"/>
      <c r="CJ9" s="16"/>
      <c r="CK9" s="16"/>
      <c r="CL9" s="16"/>
      <c r="CM9" s="16"/>
      <c r="CN9" s="16"/>
      <c r="CO9" s="16"/>
      <c r="CP9" s="16" t="s">
        <v>123</v>
      </c>
      <c r="CQ9" s="16">
        <v>0</v>
      </c>
      <c r="CR9" s="16">
        <v>0</v>
      </c>
      <c r="CS9" s="18">
        <f>IF(CT9&gt;0,1,0)</f>
        <v>0</v>
      </c>
      <c r="CT9" s="25">
        <f>SUM(CW9,CZ9,DC9)</f>
        <v>0</v>
      </c>
      <c r="CU9" s="25"/>
      <c r="CV9" s="16">
        <v>0</v>
      </c>
      <c r="CW9" s="25">
        <v>0</v>
      </c>
      <c r="CX9" s="16">
        <v>0</v>
      </c>
      <c r="CY9" s="16">
        <v>0</v>
      </c>
      <c r="CZ9" s="18">
        <v>0</v>
      </c>
      <c r="DA9" s="16">
        <v>0</v>
      </c>
      <c r="DB9" s="16">
        <v>0</v>
      </c>
      <c r="DC9" s="18">
        <v>0</v>
      </c>
      <c r="DD9" s="16">
        <v>0</v>
      </c>
      <c r="DE9" s="16">
        <v>0</v>
      </c>
      <c r="DF9" s="16" t="e">
        <f>VLOOKUP(K9,'[3]RNA Seq summary tables'!$V$3:$V$99,1,FALSE)</f>
        <v>#N/A</v>
      </c>
      <c r="DG9" s="16"/>
      <c r="DH9" s="16"/>
      <c r="DI9" s="16"/>
      <c r="DJ9" s="16"/>
      <c r="DK9" s="16"/>
      <c r="DL9" s="16"/>
      <c r="DM9" s="16"/>
      <c r="DN9" s="16"/>
      <c r="DO9" s="16"/>
      <c r="DP9" s="16"/>
      <c r="DQ9" s="16"/>
      <c r="DR9" s="16"/>
      <c r="DS9" s="16"/>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c r="IX9" s="18"/>
      <c r="IY9" s="18"/>
      <c r="IZ9" s="18"/>
      <c r="JA9" s="18"/>
      <c r="JB9" s="18"/>
      <c r="JC9" s="18"/>
      <c r="JD9" s="18"/>
      <c r="JE9" s="18"/>
      <c r="JF9" s="18"/>
      <c r="JG9" s="18"/>
      <c r="JH9" s="18"/>
      <c r="JI9" s="18"/>
      <c r="JJ9" s="18"/>
      <c r="JK9" s="18"/>
      <c r="JL9" s="18"/>
      <c r="JM9" s="18"/>
      <c r="JN9" s="18"/>
      <c r="JO9" s="19"/>
      <c r="JP9" s="16"/>
      <c r="JQ9" s="16"/>
      <c r="JR9" s="16"/>
      <c r="JS9" s="16"/>
      <c r="JT9" s="16"/>
      <c r="JU9" s="16"/>
      <c r="JV9" s="16"/>
      <c r="JW9" s="16"/>
      <c r="JX9" s="16"/>
      <c r="JY9" s="16"/>
      <c r="JZ9" s="16"/>
      <c r="KA9" s="16"/>
      <c r="KB9" s="16"/>
    </row>
    <row r="10" spans="1:288" s="18" customFormat="1" x14ac:dyDescent="0.2">
      <c r="B10" s="16">
        <v>2016</v>
      </c>
      <c r="C10" s="20">
        <v>42541</v>
      </c>
      <c r="D10" s="20" t="str">
        <f>CONCATENATE(J10,"-",C10)</f>
        <v>930-42541</v>
      </c>
      <c r="E10" s="20" t="str">
        <f>CONCATENATE(T10,"-",U10,"-",C10)</f>
        <v>BC2-B2-42541</v>
      </c>
      <c r="F10" s="20" t="s">
        <v>106</v>
      </c>
      <c r="G10" s="20" t="s">
        <v>107</v>
      </c>
      <c r="H10" s="16"/>
      <c r="I10" s="16">
        <v>0</v>
      </c>
      <c r="J10" s="15">
        <v>930</v>
      </c>
      <c r="K10" s="15">
        <v>1392</v>
      </c>
      <c r="L10" s="16">
        <v>0</v>
      </c>
      <c r="M10" s="15">
        <f>VLOOKUP(K10,'[7]MLBS 2016 SNV-nem Coinfection d'!$C$1:$G$238,4,FALSE)</f>
        <v>0</v>
      </c>
      <c r="N10" s="15">
        <v>0</v>
      </c>
      <c r="O10" s="15" t="s">
        <v>119</v>
      </c>
      <c r="P10" s="23" t="s">
        <v>119</v>
      </c>
      <c r="Q10" s="16">
        <v>0</v>
      </c>
      <c r="R10" s="23">
        <v>13</v>
      </c>
      <c r="S10" s="23"/>
      <c r="T10" s="23" t="s">
        <v>154</v>
      </c>
      <c r="U10" s="23" t="s">
        <v>130</v>
      </c>
      <c r="V10" s="23" t="s">
        <v>114</v>
      </c>
      <c r="W10" s="16">
        <f>AI10/AG10</f>
        <v>0.79518072289156627</v>
      </c>
      <c r="X10" s="23" t="s">
        <v>121</v>
      </c>
      <c r="Y10" s="23" t="s">
        <v>110</v>
      </c>
      <c r="Z10" s="16">
        <v>3</v>
      </c>
      <c r="AA10" s="16" t="s">
        <v>119</v>
      </c>
      <c r="AB10" s="16" t="s">
        <v>123</v>
      </c>
      <c r="AC10" s="16" t="s">
        <v>123</v>
      </c>
      <c r="AD10" s="16" t="s">
        <v>123</v>
      </c>
      <c r="AE10" s="16"/>
      <c r="AF10" s="16"/>
      <c r="AG10" s="16">
        <f>AH10-AI10</f>
        <v>83</v>
      </c>
      <c r="AH10" s="16">
        <v>149</v>
      </c>
      <c r="AI10" s="16">
        <v>66</v>
      </c>
      <c r="AJ10" s="16"/>
      <c r="AK10" s="16">
        <v>18.5</v>
      </c>
      <c r="AL10" s="16">
        <v>0</v>
      </c>
      <c r="AM10" s="16">
        <v>0</v>
      </c>
      <c r="AN10" s="16">
        <v>0</v>
      </c>
      <c r="AO10" s="16">
        <f>IF(SUM(AL10:AN10)&gt;0,1,0)</f>
        <v>0</v>
      </c>
      <c r="AP10" s="16">
        <f>SUM(AL10:AN10)</f>
        <v>0</v>
      </c>
      <c r="AQ10" s="16"/>
      <c r="AR10" s="16">
        <v>0.122</v>
      </c>
      <c r="AS10" s="16">
        <v>0.122</v>
      </c>
      <c r="AT10" s="18" t="s">
        <v>117</v>
      </c>
      <c r="AV10" s="16"/>
      <c r="AW10" s="22">
        <v>1</v>
      </c>
      <c r="AX10" s="16"/>
      <c r="AY10" s="16">
        <f>3/0.122</f>
        <v>24.590163934426229</v>
      </c>
      <c r="AZ10" s="18">
        <v>1</v>
      </c>
      <c r="BA10" s="16"/>
      <c r="BB10" s="16">
        <f>3/0.122</f>
        <v>24.590163934426229</v>
      </c>
      <c r="BC10" s="18">
        <v>0</v>
      </c>
      <c r="BD10" s="16">
        <v>0</v>
      </c>
      <c r="BE10" s="16">
        <v>0</v>
      </c>
      <c r="BF10" s="18">
        <v>1</v>
      </c>
      <c r="BG10" s="23">
        <v>3</v>
      </c>
      <c r="BH10" s="16">
        <f>3/0.122</f>
        <v>24.590163934426229</v>
      </c>
      <c r="BI10" s="18">
        <v>0</v>
      </c>
      <c r="BJ10" s="16">
        <v>0</v>
      </c>
      <c r="BK10" s="16">
        <v>0</v>
      </c>
      <c r="BL10" s="16">
        <f>IF(BM10&gt;0,1,0)</f>
        <v>0</v>
      </c>
      <c r="BM10" s="16">
        <f>SUM(BR10,BU10,BX10,CA10,CD10,CG10,CJ10,CM10,CP10)</f>
        <v>0</v>
      </c>
      <c r="BN10" s="16">
        <f>SUM(BW10,BZ10,CC10,CF10,CI10,CL10,CO10,CR10,BT10)</f>
        <v>0</v>
      </c>
      <c r="BO10" s="16">
        <f>IF(BP10&gt;0,1,0)</f>
        <v>0</v>
      </c>
      <c r="BP10" s="16">
        <f>SUM(BU10,BX10,CA10,CD10,BR10)</f>
        <v>0</v>
      </c>
      <c r="BQ10" s="16">
        <f>SUM(BZ10,CC10,CF10,BT10,BW10)</f>
        <v>0</v>
      </c>
      <c r="BR10" s="18">
        <v>0</v>
      </c>
      <c r="BS10" s="16">
        <v>0</v>
      </c>
      <c r="BT10" s="23">
        <f>BS10/AS10</f>
        <v>0</v>
      </c>
      <c r="BU10" s="18">
        <v>0</v>
      </c>
      <c r="BV10" s="16">
        <v>0</v>
      </c>
      <c r="BW10" s="18">
        <f>BV10/AS10</f>
        <v>0</v>
      </c>
      <c r="BX10" s="18">
        <v>0</v>
      </c>
      <c r="BY10" s="16">
        <v>0</v>
      </c>
      <c r="BZ10" s="16">
        <f>BY10/AS10</f>
        <v>0</v>
      </c>
      <c r="CA10" s="24">
        <v>0</v>
      </c>
      <c r="CB10" s="16">
        <v>0</v>
      </c>
      <c r="CC10" s="16">
        <v>0</v>
      </c>
      <c r="CD10" s="25">
        <v>0</v>
      </c>
      <c r="CE10" s="16">
        <v>0</v>
      </c>
      <c r="CF10" s="16">
        <v>0</v>
      </c>
      <c r="CG10" s="16"/>
      <c r="CH10" s="16"/>
      <c r="CI10" s="16"/>
      <c r="CJ10" s="16"/>
      <c r="CK10" s="16"/>
      <c r="CL10" s="16"/>
      <c r="CM10" s="16"/>
      <c r="CN10" s="16"/>
      <c r="CO10" s="16"/>
      <c r="CP10" s="16" t="s">
        <v>123</v>
      </c>
      <c r="CQ10" s="16">
        <v>0</v>
      </c>
      <c r="CR10" s="16">
        <v>0</v>
      </c>
      <c r="CS10" s="18">
        <f>IF(CT10&gt;0,1,0)</f>
        <v>0</v>
      </c>
      <c r="CT10" s="25">
        <f>SUM(CW10,CZ10,DC10)</f>
        <v>0</v>
      </c>
      <c r="CU10" s="25"/>
      <c r="CV10" s="16">
        <v>0</v>
      </c>
      <c r="CW10" s="25">
        <v>0</v>
      </c>
      <c r="CX10" s="16">
        <v>0</v>
      </c>
      <c r="CY10" s="16">
        <v>0</v>
      </c>
      <c r="CZ10" s="18">
        <v>0</v>
      </c>
      <c r="DA10" s="16">
        <v>0</v>
      </c>
      <c r="DB10" s="16">
        <v>0</v>
      </c>
      <c r="DC10" s="18">
        <v>0</v>
      </c>
      <c r="DD10" s="16">
        <v>0</v>
      </c>
      <c r="DE10" s="16">
        <v>0</v>
      </c>
      <c r="DF10" s="16" t="e">
        <f>VLOOKUP(K10,'[3]RNA Seq summary tables'!$V$3:$V$99,1,FALSE)</f>
        <v>#N/A</v>
      </c>
      <c r="DG10" s="16"/>
      <c r="DH10" s="16"/>
      <c r="DI10" s="16"/>
      <c r="DJ10" s="16"/>
      <c r="DK10" s="16"/>
      <c r="DL10" s="16"/>
      <c r="DM10" s="16"/>
      <c r="DN10" s="16"/>
      <c r="DO10" s="16"/>
      <c r="DP10" s="16"/>
      <c r="DQ10" s="16"/>
      <c r="DR10" s="16"/>
      <c r="DS10" s="16"/>
      <c r="JO10" s="16"/>
      <c r="JP10" s="16"/>
      <c r="JQ10" s="16"/>
      <c r="JR10" s="38"/>
      <c r="JS10" s="38"/>
      <c r="JT10" s="38"/>
      <c r="JU10" s="38"/>
      <c r="JV10" s="38"/>
      <c r="JW10" s="38"/>
      <c r="JX10" s="38"/>
      <c r="JY10" s="38"/>
      <c r="JZ10" s="38"/>
      <c r="KA10" s="38"/>
      <c r="KB10" s="38"/>
    </row>
    <row r="11" spans="1:288" s="19" customFormat="1" x14ac:dyDescent="0.2">
      <c r="A11" s="18"/>
      <c r="B11" s="16">
        <v>2016</v>
      </c>
      <c r="C11" s="20">
        <v>42528</v>
      </c>
      <c r="D11" s="20" t="str">
        <f>CONCATENATE(J11,"-",C11)</f>
        <v>932-42528</v>
      </c>
      <c r="E11" s="20" t="str">
        <f>CONCATENATE(T11,"-",U11,"-",C11)</f>
        <v>BC2-D1-42528</v>
      </c>
      <c r="F11" s="20" t="s">
        <v>106</v>
      </c>
      <c r="G11" s="20" t="s">
        <v>107</v>
      </c>
      <c r="H11" s="16"/>
      <c r="I11" s="16">
        <v>0</v>
      </c>
      <c r="J11" s="15">
        <v>932</v>
      </c>
      <c r="K11" s="15">
        <v>1413</v>
      </c>
      <c r="L11" s="16">
        <v>0</v>
      </c>
      <c r="M11" s="15">
        <f>VLOOKUP(K11,'[7]MLBS 2016 SNV-nem Coinfection d'!$C$1:$G$238,4,FALSE)</f>
        <v>0</v>
      </c>
      <c r="N11" s="15">
        <v>0</v>
      </c>
      <c r="O11" s="15" t="s">
        <v>119</v>
      </c>
      <c r="P11" s="23" t="s">
        <v>119</v>
      </c>
      <c r="Q11" s="16">
        <v>0</v>
      </c>
      <c r="R11" s="23" t="s">
        <v>111</v>
      </c>
      <c r="S11" s="23"/>
      <c r="T11" s="23" t="s">
        <v>154</v>
      </c>
      <c r="U11" s="23" t="s">
        <v>157</v>
      </c>
      <c r="V11" s="23" t="s">
        <v>114</v>
      </c>
      <c r="W11" s="16">
        <f>AI11/AG11</f>
        <v>0.79012345679012341</v>
      </c>
      <c r="X11" s="23" t="s">
        <v>121</v>
      </c>
      <c r="Y11" s="23" t="s">
        <v>110</v>
      </c>
      <c r="Z11" s="16">
        <v>3</v>
      </c>
      <c r="AA11" s="16" t="s">
        <v>119</v>
      </c>
      <c r="AB11" s="16" t="s">
        <v>123</v>
      </c>
      <c r="AC11" s="16" t="s">
        <v>123</v>
      </c>
      <c r="AD11" s="16" t="s">
        <v>123</v>
      </c>
      <c r="AE11" s="16"/>
      <c r="AF11" s="16"/>
      <c r="AG11" s="16">
        <f>145-64</f>
        <v>81</v>
      </c>
      <c r="AH11" s="16">
        <v>145</v>
      </c>
      <c r="AI11" s="16">
        <v>64</v>
      </c>
      <c r="AJ11" s="16"/>
      <c r="AK11" s="16">
        <v>14</v>
      </c>
      <c r="AL11" s="16">
        <v>0</v>
      </c>
      <c r="AM11" s="16">
        <v>0</v>
      </c>
      <c r="AN11" s="16">
        <v>0</v>
      </c>
      <c r="AO11" s="16">
        <f>IF(SUM(AL11:AN11)&gt;0,1,0)</f>
        <v>0</v>
      </c>
      <c r="AP11" s="16">
        <f>SUM(AL11:AN11)</f>
        <v>0</v>
      </c>
      <c r="AQ11" s="16">
        <f>AS11+1.477</f>
        <v>1.7090000000000001</v>
      </c>
      <c r="AR11" s="16">
        <v>0.23200000000000001</v>
      </c>
      <c r="AS11" s="16">
        <v>0.23200000000000001</v>
      </c>
      <c r="AT11" s="16" t="s">
        <v>124</v>
      </c>
      <c r="AU11" s="16"/>
      <c r="AV11" s="16"/>
      <c r="AW11" s="22">
        <v>1</v>
      </c>
      <c r="AX11" s="16"/>
      <c r="AY11" s="16">
        <f>21/AS11</f>
        <v>90.517241379310335</v>
      </c>
      <c r="AZ11" s="18">
        <v>0</v>
      </c>
      <c r="BA11" s="16"/>
      <c r="BB11" s="16">
        <v>0</v>
      </c>
      <c r="BC11" s="18">
        <v>0</v>
      </c>
      <c r="BD11" s="16">
        <v>0</v>
      </c>
      <c r="BE11" s="16">
        <v>0</v>
      </c>
      <c r="BF11" s="18">
        <v>0</v>
      </c>
      <c r="BG11" s="23">
        <v>0</v>
      </c>
      <c r="BH11" s="16">
        <v>0</v>
      </c>
      <c r="BI11" s="18">
        <v>0</v>
      </c>
      <c r="BJ11" s="16">
        <v>0</v>
      </c>
      <c r="BK11" s="16">
        <v>0</v>
      </c>
      <c r="BL11" s="16">
        <f>IF(BM11&gt;0,1,0)</f>
        <v>1</v>
      </c>
      <c r="BM11" s="16">
        <f>SUM(BR11,BU11,BX11,CA11,CD11,CG11,CJ11,CM11,CP11)</f>
        <v>1</v>
      </c>
      <c r="BN11" s="16">
        <f>SUM(BW11,BZ11,CC11,CF11,CI11,CL11,CO11,CR11,BT11)</f>
        <v>90.517241379310335</v>
      </c>
      <c r="BO11" s="16">
        <f>IF(BP11&gt;0,1,0)</f>
        <v>1</v>
      </c>
      <c r="BP11" s="16">
        <f>SUM(BU11,BX11,CA11,CD11,BR11)</f>
        <v>1</v>
      </c>
      <c r="BQ11" s="16">
        <f>SUM(BZ11,CC11,CF11,BT11,BW11)</f>
        <v>90.517241379310335</v>
      </c>
      <c r="BR11" s="18">
        <v>0</v>
      </c>
      <c r="BS11" s="16">
        <v>0</v>
      </c>
      <c r="BT11" s="23">
        <f>BS11/AS11</f>
        <v>0</v>
      </c>
      <c r="BU11" s="18">
        <v>0</v>
      </c>
      <c r="BV11" s="16">
        <v>0</v>
      </c>
      <c r="BW11" s="18">
        <f>BV11/AS11</f>
        <v>0</v>
      </c>
      <c r="BX11" s="24">
        <v>1</v>
      </c>
      <c r="BY11" s="16">
        <v>21</v>
      </c>
      <c r="BZ11" s="16">
        <f>BY11/AS11</f>
        <v>90.517241379310335</v>
      </c>
      <c r="CA11" s="24">
        <v>0</v>
      </c>
      <c r="CB11" s="16">
        <v>0</v>
      </c>
      <c r="CC11" s="16">
        <v>0</v>
      </c>
      <c r="CD11" s="25">
        <v>0</v>
      </c>
      <c r="CE11" s="16">
        <v>0</v>
      </c>
      <c r="CF11" s="16">
        <v>0</v>
      </c>
      <c r="CG11" s="16"/>
      <c r="CH11" s="16"/>
      <c r="CI11" s="16"/>
      <c r="CJ11" s="16"/>
      <c r="CK11" s="16"/>
      <c r="CL11" s="16"/>
      <c r="CM11" s="16"/>
      <c r="CN11" s="16"/>
      <c r="CO11" s="16"/>
      <c r="CP11" s="16" t="s">
        <v>123</v>
      </c>
      <c r="CQ11" s="16">
        <v>0</v>
      </c>
      <c r="CR11" s="16">
        <v>0</v>
      </c>
      <c r="CS11" s="18">
        <f>IF(CT11&gt;0,1,0)</f>
        <v>0</v>
      </c>
      <c r="CT11" s="25">
        <f>SUM(CW11,CZ11,DC11)</f>
        <v>0</v>
      </c>
      <c r="CU11" s="25"/>
      <c r="CV11" s="16">
        <v>0</v>
      </c>
      <c r="CW11" s="25">
        <v>0</v>
      </c>
      <c r="CX11" s="16">
        <v>0</v>
      </c>
      <c r="CY11" s="16">
        <v>0</v>
      </c>
      <c r="CZ11" s="18">
        <v>0</v>
      </c>
      <c r="DA11" s="16">
        <v>0</v>
      </c>
      <c r="DB11" s="16">
        <v>0</v>
      </c>
      <c r="DC11" s="18">
        <v>0</v>
      </c>
      <c r="DD11" s="16">
        <v>0</v>
      </c>
      <c r="DE11" s="16">
        <v>0</v>
      </c>
      <c r="DF11" s="16" t="e">
        <f>VLOOKUP(K11,'[3]RNA Seq summary tables'!$V$3:$V$99,1,FALSE)</f>
        <v>#N/A</v>
      </c>
      <c r="DG11" s="16"/>
      <c r="DH11" s="16"/>
      <c r="DI11" s="16"/>
      <c r="DJ11" s="16"/>
      <c r="DK11" s="16"/>
      <c r="DL11" s="16"/>
      <c r="DM11" s="16"/>
      <c r="DN11" s="16"/>
      <c r="DO11" s="16"/>
      <c r="DP11" s="16"/>
      <c r="DQ11" s="16"/>
      <c r="DR11" s="16"/>
      <c r="DS11" s="16"/>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c r="IX11" s="18"/>
      <c r="IY11" s="18"/>
      <c r="IZ11" s="18"/>
      <c r="JA11" s="18"/>
      <c r="JB11" s="18"/>
      <c r="JC11" s="18"/>
      <c r="JD11" s="18"/>
      <c r="JE11" s="18"/>
      <c r="JF11" s="18"/>
      <c r="JG11" s="18"/>
      <c r="JH11" s="18"/>
      <c r="JI11" s="18"/>
      <c r="JJ11" s="18"/>
      <c r="JK11" s="18"/>
      <c r="JL11" s="18"/>
      <c r="JM11" s="18"/>
      <c r="JN11" s="18"/>
      <c r="JP11" s="16"/>
      <c r="JQ11" s="16"/>
      <c r="JR11" s="16"/>
      <c r="JS11" s="16"/>
      <c r="JT11" s="16"/>
      <c r="JU11" s="16"/>
      <c r="JV11" s="16"/>
      <c r="JW11" s="16"/>
      <c r="JX11" s="16"/>
      <c r="JY11" s="16"/>
      <c r="JZ11" s="16"/>
      <c r="KA11" s="16"/>
      <c r="KB11" s="16"/>
    </row>
    <row r="12" spans="1:288" s="26" customFormat="1" x14ac:dyDescent="0.2">
      <c r="A12" s="18"/>
      <c r="B12" s="16">
        <v>2016</v>
      </c>
      <c r="C12" s="43">
        <v>42541</v>
      </c>
      <c r="D12" s="43" t="str">
        <f>CONCATENATE(J12,"-",C12)</f>
        <v>933-42541</v>
      </c>
      <c r="E12" s="20" t="str">
        <f>CONCATENATE(T12,"-",U12,"-",C12)</f>
        <v>BC1-H1-42541</v>
      </c>
      <c r="F12" s="20" t="s">
        <v>106</v>
      </c>
      <c r="G12" s="43" t="s">
        <v>107</v>
      </c>
      <c r="H12" s="23"/>
      <c r="I12" s="16">
        <v>0</v>
      </c>
      <c r="J12" s="15">
        <v>933</v>
      </c>
      <c r="K12" s="15">
        <v>1399</v>
      </c>
      <c r="L12" s="23">
        <v>0</v>
      </c>
      <c r="M12" s="15">
        <f>VLOOKUP(K12,'[7]MLBS 2016 SNV-nem Coinfection d'!$C$1:$G$238,4,FALSE)</f>
        <v>0</v>
      </c>
      <c r="N12" s="15">
        <v>0</v>
      </c>
      <c r="O12" s="15" t="s">
        <v>119</v>
      </c>
      <c r="P12" s="23" t="s">
        <v>119</v>
      </c>
      <c r="Q12" s="16">
        <v>0</v>
      </c>
      <c r="R12" s="23" t="s">
        <v>111</v>
      </c>
      <c r="S12" s="23"/>
      <c r="T12" s="23" t="s">
        <v>159</v>
      </c>
      <c r="U12" s="23" t="s">
        <v>191</v>
      </c>
      <c r="V12" s="23" t="s">
        <v>114</v>
      </c>
      <c r="W12" s="16">
        <f>AI12/AG12</f>
        <v>0.88043478260869568</v>
      </c>
      <c r="X12" s="23" t="s">
        <v>115</v>
      </c>
      <c r="Y12" s="23" t="s">
        <v>110</v>
      </c>
      <c r="Z12" s="23">
        <v>3</v>
      </c>
      <c r="AA12" s="23"/>
      <c r="AB12" s="23"/>
      <c r="AC12" s="23"/>
      <c r="AD12" s="23"/>
      <c r="AE12" s="23" t="s">
        <v>123</v>
      </c>
      <c r="AF12" s="23" t="s">
        <v>123</v>
      </c>
      <c r="AG12" s="23">
        <f>AH12-AI12</f>
        <v>92</v>
      </c>
      <c r="AH12" s="23">
        <v>173</v>
      </c>
      <c r="AI12" s="23">
        <v>81</v>
      </c>
      <c r="AJ12" s="23"/>
      <c r="AK12" s="23">
        <v>27</v>
      </c>
      <c r="AL12" s="23">
        <v>0</v>
      </c>
      <c r="AM12" s="23">
        <v>0</v>
      </c>
      <c r="AN12" s="23">
        <v>0</v>
      </c>
      <c r="AO12" s="23">
        <f>IF(SUM(AL12:AN12)&gt;0,1,0)</f>
        <v>0</v>
      </c>
      <c r="AP12" s="23">
        <f>SUM(AL12:AN12)</f>
        <v>0</v>
      </c>
      <c r="AQ12" s="23">
        <v>1.655</v>
      </c>
      <c r="AR12" s="23">
        <v>0.188</v>
      </c>
      <c r="AS12" s="23">
        <v>0.188</v>
      </c>
      <c r="AT12" s="23" t="s">
        <v>124</v>
      </c>
      <c r="AU12" s="23"/>
      <c r="AV12" s="23"/>
      <c r="AW12" s="50">
        <v>1</v>
      </c>
      <c r="AX12" s="23"/>
      <c r="AY12" s="23">
        <f>(119+655+6)/AS12</f>
        <v>4148.9361702127662</v>
      </c>
      <c r="AZ12" s="18">
        <v>1</v>
      </c>
      <c r="BA12" s="23"/>
      <c r="BB12" s="23">
        <f>AY12</f>
        <v>4148.9361702127662</v>
      </c>
      <c r="BC12" s="16">
        <v>1</v>
      </c>
      <c r="BD12" s="23">
        <v>119</v>
      </c>
      <c r="BE12" s="23">
        <f>119/AS12</f>
        <v>632.97872340425533</v>
      </c>
      <c r="BF12" s="18">
        <v>1</v>
      </c>
      <c r="BG12" s="23">
        <v>655</v>
      </c>
      <c r="BH12" s="23">
        <f>655/AS12</f>
        <v>3484.0425531914893</v>
      </c>
      <c r="BI12" s="16">
        <v>1</v>
      </c>
      <c r="BJ12" s="23">
        <v>6</v>
      </c>
      <c r="BK12" s="23">
        <f>6/AS12</f>
        <v>31.914893617021278</v>
      </c>
      <c r="BL12" s="16">
        <f>IF(BM12&gt;0,1,0)</f>
        <v>0</v>
      </c>
      <c r="BM12" s="16">
        <f>SUM(BR12,BU12,BX12,CA12,CD12,CG12,CJ12,CM12,CP12)</f>
        <v>0</v>
      </c>
      <c r="BN12" s="16">
        <f>SUM(BW12,BZ12,CC12,CF12,CI12,CL12,CO12,CR12,BT12)</f>
        <v>0</v>
      </c>
      <c r="BO12" s="16">
        <f>IF(BP12&gt;0,1,0)</f>
        <v>0</v>
      </c>
      <c r="BP12" s="16">
        <f>SUM(BU12,BX12,CA12,CD12,BR12)</f>
        <v>0</v>
      </c>
      <c r="BQ12" s="16">
        <f>SUM(BZ12,CC12,CF12,BT12,BW12)</f>
        <v>0</v>
      </c>
      <c r="BR12" s="18">
        <v>0</v>
      </c>
      <c r="BS12" s="23">
        <v>0</v>
      </c>
      <c r="BT12" s="23">
        <f>BS12/AS12</f>
        <v>0</v>
      </c>
      <c r="BU12" s="18">
        <v>0</v>
      </c>
      <c r="BV12" s="23">
        <v>0</v>
      </c>
      <c r="BW12" s="18">
        <f>BV12/AS12</f>
        <v>0</v>
      </c>
      <c r="BX12" s="18">
        <v>0</v>
      </c>
      <c r="BY12" s="23">
        <v>0</v>
      </c>
      <c r="BZ12" s="16">
        <f>BY12/AS12</f>
        <v>0</v>
      </c>
      <c r="CA12" s="24">
        <v>0</v>
      </c>
      <c r="CB12" s="23">
        <v>0</v>
      </c>
      <c r="CC12" s="23">
        <v>0</v>
      </c>
      <c r="CD12" s="25">
        <v>0</v>
      </c>
      <c r="CE12" s="23">
        <v>0</v>
      </c>
      <c r="CF12" s="23">
        <v>0</v>
      </c>
      <c r="CG12" s="23"/>
      <c r="CH12" s="23"/>
      <c r="CI12" s="23"/>
      <c r="CJ12" s="23"/>
      <c r="CK12" s="23"/>
      <c r="CL12" s="23"/>
      <c r="CM12" s="23"/>
      <c r="CN12" s="23"/>
      <c r="CO12" s="23"/>
      <c r="CP12" s="23" t="s">
        <v>123</v>
      </c>
      <c r="CQ12" s="23">
        <v>0</v>
      </c>
      <c r="CR12" s="23">
        <v>0</v>
      </c>
      <c r="CS12" s="18">
        <f>IF(CT12&gt;0,1,0)</f>
        <v>0</v>
      </c>
      <c r="CT12" s="25">
        <f>SUM(CW12,CZ12,DC12)</f>
        <v>0</v>
      </c>
      <c r="CU12" s="25"/>
      <c r="CV12" s="23">
        <v>0</v>
      </c>
      <c r="CW12" s="25">
        <v>0</v>
      </c>
      <c r="CX12" s="23">
        <v>0</v>
      </c>
      <c r="CY12" s="23">
        <v>0</v>
      </c>
      <c r="CZ12" s="25">
        <v>0</v>
      </c>
      <c r="DA12" s="23">
        <v>0</v>
      </c>
      <c r="DB12" s="23">
        <v>0</v>
      </c>
      <c r="DC12" s="25">
        <v>0</v>
      </c>
      <c r="DD12" s="23">
        <v>0</v>
      </c>
      <c r="DE12" s="23">
        <v>0</v>
      </c>
      <c r="DF12" s="16" t="e">
        <f>VLOOKUP(K12,'[3]RNA Seq summary tables'!$V$3:$V$99,1,FALSE)</f>
        <v>#N/A</v>
      </c>
      <c r="DG12" s="16"/>
      <c r="DH12" s="16"/>
      <c r="DI12" s="23"/>
      <c r="DJ12" s="23"/>
      <c r="DK12" s="23"/>
      <c r="DL12" s="23"/>
      <c r="DM12" s="23"/>
      <c r="DN12" s="23"/>
      <c r="DO12" s="23"/>
      <c r="DP12" s="23"/>
      <c r="DQ12" s="23"/>
      <c r="DR12" s="23"/>
      <c r="DS12" s="23"/>
      <c r="DT12" s="25"/>
      <c r="DU12" s="25"/>
      <c r="DV12" s="25"/>
      <c r="DW12" s="25"/>
      <c r="DX12" s="25"/>
      <c r="DY12" s="25"/>
      <c r="DZ12" s="25"/>
      <c r="EA12" s="25"/>
      <c r="EB12" s="25"/>
      <c r="EC12" s="25"/>
      <c r="ED12" s="25"/>
      <c r="EE12" s="25"/>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6"/>
      <c r="JP12" s="18"/>
      <c r="JQ12" s="18"/>
      <c r="JR12" s="38"/>
      <c r="JS12" s="38"/>
      <c r="JT12" s="38"/>
      <c r="JU12" s="38"/>
      <c r="JV12" s="38"/>
      <c r="JW12" s="38"/>
      <c r="JX12" s="38"/>
      <c r="JY12" s="38"/>
      <c r="JZ12" s="38"/>
      <c r="KA12" s="38"/>
      <c r="KB12" s="38"/>
    </row>
    <row r="13" spans="1:288" s="19" customFormat="1" x14ac:dyDescent="0.2">
      <c r="A13" s="18"/>
      <c r="B13" s="16">
        <v>2016</v>
      </c>
      <c r="C13" s="20">
        <v>42528</v>
      </c>
      <c r="D13" s="20" t="str">
        <f>CONCATENATE(J13,"-",C13)</f>
        <v>934-42528</v>
      </c>
      <c r="E13" s="20" t="str">
        <f>CONCATENATE(T13,"-",U13,"-",C13)</f>
        <v>BC1-B3-42528</v>
      </c>
      <c r="F13" s="20" t="s">
        <v>106</v>
      </c>
      <c r="G13" s="20" t="s">
        <v>107</v>
      </c>
      <c r="H13" s="16"/>
      <c r="I13" s="16">
        <v>0</v>
      </c>
      <c r="J13" s="21">
        <v>934</v>
      </c>
      <c r="K13" s="21">
        <v>1418</v>
      </c>
      <c r="L13" s="16">
        <v>0</v>
      </c>
      <c r="M13" s="15">
        <f>VLOOKUP(K13,'[7]MLBS 2016 SNV-nem Coinfection d'!$C$1:$G$238,4,FALSE)</f>
        <v>0</v>
      </c>
      <c r="N13" s="15">
        <v>0</v>
      </c>
      <c r="O13" s="15" t="s">
        <v>119</v>
      </c>
      <c r="P13" s="16" t="s">
        <v>119</v>
      </c>
      <c r="Q13" s="16">
        <v>0</v>
      </c>
      <c r="R13" s="16" t="s">
        <v>111</v>
      </c>
      <c r="S13" s="16"/>
      <c r="T13" s="16" t="s">
        <v>159</v>
      </c>
      <c r="U13" s="16" t="s">
        <v>131</v>
      </c>
      <c r="V13" s="16" t="s">
        <v>114</v>
      </c>
      <c r="W13" s="16">
        <f>AI13/AG13</f>
        <v>0.87671232876712324</v>
      </c>
      <c r="X13" s="16" t="s">
        <v>121</v>
      </c>
      <c r="Y13" s="16" t="s">
        <v>145</v>
      </c>
      <c r="Z13" s="16">
        <v>1</v>
      </c>
      <c r="AA13" s="16" t="s">
        <v>119</v>
      </c>
      <c r="AB13" s="16" t="s">
        <v>123</v>
      </c>
      <c r="AC13" s="16" t="s">
        <v>123</v>
      </c>
      <c r="AD13" s="16" t="s">
        <v>123</v>
      </c>
      <c r="AE13" s="16"/>
      <c r="AF13" s="16"/>
      <c r="AG13" s="16">
        <f>137-64</f>
        <v>73</v>
      </c>
      <c r="AH13" s="16">
        <v>137</v>
      </c>
      <c r="AI13" s="16">
        <v>64</v>
      </c>
      <c r="AJ13" s="16"/>
      <c r="AK13" s="16">
        <v>12.5</v>
      </c>
      <c r="AL13" s="16">
        <v>0</v>
      </c>
      <c r="AM13" s="16">
        <v>0</v>
      </c>
      <c r="AN13" s="16">
        <v>0</v>
      </c>
      <c r="AO13" s="16">
        <f>IF(SUM(AL13:AN13)&gt;0,1,0)</f>
        <v>0</v>
      </c>
      <c r="AP13" s="16">
        <f>SUM(AL13:AN13)</f>
        <v>0</v>
      </c>
      <c r="AQ13" s="16"/>
      <c r="AR13" s="16">
        <v>0.13300000000000001</v>
      </c>
      <c r="AS13" s="16">
        <v>0.13300000000000001</v>
      </c>
      <c r="AT13" s="18" t="s">
        <v>117</v>
      </c>
      <c r="AU13" s="18"/>
      <c r="AV13" s="16"/>
      <c r="AW13" s="22">
        <v>1</v>
      </c>
      <c r="AX13" s="16"/>
      <c r="AY13" s="16">
        <f>1132/0.133</f>
        <v>8511.2781954887214</v>
      </c>
      <c r="AZ13" s="18">
        <v>1</v>
      </c>
      <c r="BA13" s="16"/>
      <c r="BB13" s="16">
        <f>1132/0.133</f>
        <v>8511.2781954887214</v>
      </c>
      <c r="BC13" s="16">
        <v>1</v>
      </c>
      <c r="BD13" s="16">
        <v>7</v>
      </c>
      <c r="BE13" s="16">
        <f>7/0.133</f>
        <v>52.631578947368418</v>
      </c>
      <c r="BF13" s="18">
        <v>1</v>
      </c>
      <c r="BG13" s="23">
        <v>1125</v>
      </c>
      <c r="BH13" s="16">
        <f>1125/0.133</f>
        <v>8458.6466165413531</v>
      </c>
      <c r="BI13" s="18">
        <v>0</v>
      </c>
      <c r="BJ13" s="16">
        <v>0</v>
      </c>
      <c r="BK13" s="16">
        <v>0</v>
      </c>
      <c r="BL13" s="16">
        <f>IF(BM13&gt;0,1,0)</f>
        <v>0</v>
      </c>
      <c r="BM13" s="16">
        <f>SUM(BR13,BU13,BX13,CA13,CD13,CG13,CJ13,CM13,CP13)</f>
        <v>0</v>
      </c>
      <c r="BN13" s="16">
        <f>SUM(BW13,BZ13,CC13,CF13,CI13,CL13,CO13,CR13,BT13)</f>
        <v>0</v>
      </c>
      <c r="BO13" s="16">
        <f>IF(BP13&gt;0,1,0)</f>
        <v>0</v>
      </c>
      <c r="BP13" s="16">
        <f>SUM(BU13,BX13,CA13,CD13,BR13)</f>
        <v>0</v>
      </c>
      <c r="BQ13" s="16">
        <f>SUM(BZ13,CC13,CF13,BT13,BW13)</f>
        <v>0</v>
      </c>
      <c r="BR13" s="18">
        <v>0</v>
      </c>
      <c r="BS13" s="16">
        <v>0</v>
      </c>
      <c r="BT13" s="23">
        <f>BS13/AS13</f>
        <v>0</v>
      </c>
      <c r="BU13" s="18">
        <v>0</v>
      </c>
      <c r="BV13" s="16">
        <v>0</v>
      </c>
      <c r="BW13" s="18">
        <f>BV13/AS13</f>
        <v>0</v>
      </c>
      <c r="BX13" s="18">
        <v>0</v>
      </c>
      <c r="BY13" s="16">
        <v>0</v>
      </c>
      <c r="BZ13" s="16">
        <f>BY13/AS13</f>
        <v>0</v>
      </c>
      <c r="CA13" s="24">
        <v>0</v>
      </c>
      <c r="CB13" s="16">
        <v>0</v>
      </c>
      <c r="CC13" s="16">
        <v>0</v>
      </c>
      <c r="CD13" s="25">
        <v>0</v>
      </c>
      <c r="CE13" s="16">
        <v>0</v>
      </c>
      <c r="CF13" s="16">
        <v>0</v>
      </c>
      <c r="CG13" s="16"/>
      <c r="CH13" s="16"/>
      <c r="CI13" s="16"/>
      <c r="CJ13" s="16"/>
      <c r="CK13" s="16"/>
      <c r="CL13" s="16"/>
      <c r="CM13" s="16"/>
      <c r="CN13" s="16"/>
      <c r="CO13" s="16"/>
      <c r="CP13" s="16" t="s">
        <v>123</v>
      </c>
      <c r="CQ13" s="16">
        <v>0</v>
      </c>
      <c r="CR13" s="16">
        <v>0</v>
      </c>
      <c r="CS13" s="18">
        <f>IF(CT13&gt;0,1,0)</f>
        <v>0</v>
      </c>
      <c r="CT13" s="25">
        <f>SUM(CW13,CZ13,DC13)</f>
        <v>0</v>
      </c>
      <c r="CU13" s="25"/>
      <c r="CV13" s="16">
        <v>0</v>
      </c>
      <c r="CW13" s="25">
        <v>0</v>
      </c>
      <c r="CX13" s="16">
        <v>0</v>
      </c>
      <c r="CY13" s="16">
        <v>0</v>
      </c>
      <c r="CZ13" s="18">
        <v>0</v>
      </c>
      <c r="DA13" s="16">
        <v>0</v>
      </c>
      <c r="DB13" s="16">
        <v>0</v>
      </c>
      <c r="DC13" s="18">
        <v>0</v>
      </c>
      <c r="DD13" s="16">
        <v>0</v>
      </c>
      <c r="DE13" s="16">
        <v>0</v>
      </c>
      <c r="DF13" s="16" t="e">
        <f>VLOOKUP(K13,'[3]RNA Seq summary tables'!$V$3:$V$99,1,FALSE)</f>
        <v>#N/A</v>
      </c>
      <c r="DG13" s="16"/>
      <c r="DH13" s="16"/>
      <c r="DI13" s="16"/>
      <c r="DJ13" s="16"/>
      <c r="DK13" s="16"/>
      <c r="DL13" s="16"/>
      <c r="DM13" s="16"/>
      <c r="DN13" s="16"/>
      <c r="DO13" s="16"/>
      <c r="DP13" s="16"/>
      <c r="DQ13" s="16"/>
      <c r="DR13" s="16"/>
      <c r="DS13" s="16"/>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26"/>
      <c r="JP13" s="16"/>
      <c r="JQ13" s="16"/>
      <c r="JR13" s="16"/>
      <c r="JS13" s="16"/>
      <c r="JT13" s="16"/>
      <c r="JU13" s="16"/>
      <c r="JV13" s="16"/>
      <c r="JW13" s="16"/>
      <c r="JX13" s="16"/>
      <c r="JY13" s="16"/>
      <c r="JZ13" s="16"/>
      <c r="KA13" s="16"/>
      <c r="KB13" s="16"/>
    </row>
    <row r="14" spans="1:288" s="26" customFormat="1" x14ac:dyDescent="0.2">
      <c r="A14" s="51">
        <v>1</v>
      </c>
      <c r="B14" s="18">
        <v>2016</v>
      </c>
      <c r="C14" s="37">
        <v>42541</v>
      </c>
      <c r="D14" s="37" t="str">
        <f>CONCATENATE(J14,"-",C14)</f>
        <v>934-42541</v>
      </c>
      <c r="E14" s="20" t="str">
        <f>CONCATENATE(T14,"-",U14,"-",C14)</f>
        <v>BC1-D1-42541</v>
      </c>
      <c r="F14" s="20" t="s">
        <v>106</v>
      </c>
      <c r="G14" s="37" t="s">
        <v>107</v>
      </c>
      <c r="H14" s="18" t="s">
        <v>192</v>
      </c>
      <c r="I14" s="16">
        <v>0</v>
      </c>
      <c r="J14" s="36">
        <v>934</v>
      </c>
      <c r="K14" s="52" t="s">
        <v>193</v>
      </c>
      <c r="L14" s="18">
        <v>0</v>
      </c>
      <c r="M14" s="15">
        <v>0</v>
      </c>
      <c r="N14" s="15">
        <v>0</v>
      </c>
      <c r="O14" s="15" t="s">
        <v>119</v>
      </c>
      <c r="P14" s="18" t="s">
        <v>119</v>
      </c>
      <c r="Q14" s="16">
        <v>0</v>
      </c>
      <c r="R14" s="18">
        <v>13</v>
      </c>
      <c r="S14" s="18"/>
      <c r="T14" s="18" t="s">
        <v>159</v>
      </c>
      <c r="U14" s="18" t="s">
        <v>157</v>
      </c>
      <c r="V14" s="18" t="s">
        <v>114</v>
      </c>
      <c r="W14" s="16">
        <f>AI14/AG14</f>
        <v>0.88607594936708856</v>
      </c>
      <c r="X14" s="18" t="s">
        <v>121</v>
      </c>
      <c r="Y14" s="18" t="s">
        <v>122</v>
      </c>
      <c r="Z14" s="18">
        <v>2.6</v>
      </c>
      <c r="AA14" s="18" t="s">
        <v>119</v>
      </c>
      <c r="AB14" s="18" t="s">
        <v>123</v>
      </c>
      <c r="AC14" s="18" t="s">
        <v>123</v>
      </c>
      <c r="AD14" s="18" t="s">
        <v>123</v>
      </c>
      <c r="AE14" s="18"/>
      <c r="AF14" s="18"/>
      <c r="AG14" s="18">
        <f>AH14-AI14</f>
        <v>79</v>
      </c>
      <c r="AH14" s="18">
        <v>149</v>
      </c>
      <c r="AI14" s="18">
        <v>70</v>
      </c>
      <c r="AJ14" s="18"/>
      <c r="AK14" s="18">
        <v>16.5</v>
      </c>
      <c r="AL14" s="18">
        <v>0</v>
      </c>
      <c r="AM14" s="18">
        <v>1</v>
      </c>
      <c r="AN14" s="18">
        <v>0</v>
      </c>
      <c r="AO14" s="18">
        <f>IF(SUM(AL14:AN14)&gt;0,1,0)</f>
        <v>1</v>
      </c>
      <c r="AP14" s="18">
        <f>SUM(AL14:AN14)</f>
        <v>1</v>
      </c>
      <c r="AQ14" s="18"/>
      <c r="AR14" s="18">
        <v>0.16900000000000001</v>
      </c>
      <c r="AS14" s="18">
        <v>0.16900000000000001</v>
      </c>
      <c r="AT14" s="18" t="s">
        <v>117</v>
      </c>
      <c r="AU14" s="18"/>
      <c r="AV14" s="18"/>
      <c r="AW14" s="24">
        <v>1</v>
      </c>
      <c r="AX14" s="18">
        <v>2</v>
      </c>
      <c r="AY14" s="18">
        <f>48/0.169</f>
        <v>284.02366863905326</v>
      </c>
      <c r="AZ14" s="18">
        <v>0</v>
      </c>
      <c r="BA14" s="18"/>
      <c r="BB14" s="18">
        <v>0</v>
      </c>
      <c r="BC14" s="18">
        <v>0</v>
      </c>
      <c r="BD14" s="18">
        <v>0</v>
      </c>
      <c r="BE14" s="18">
        <v>0</v>
      </c>
      <c r="BF14" s="18">
        <v>0</v>
      </c>
      <c r="BG14" s="25">
        <v>0</v>
      </c>
      <c r="BH14" s="18">
        <v>0</v>
      </c>
      <c r="BI14" s="18">
        <v>0</v>
      </c>
      <c r="BJ14" s="18">
        <v>0</v>
      </c>
      <c r="BK14" s="18">
        <v>0</v>
      </c>
      <c r="BL14" s="18">
        <f>IF(BM14&gt;0,1,0)</f>
        <v>0</v>
      </c>
      <c r="BM14" s="18">
        <f>SUM(BR14,BU14,BX14,CA14,CD14,CG14,CJ14,CM14,CP14)</f>
        <v>0</v>
      </c>
      <c r="BN14" s="18">
        <f>SUM(BW14,BZ14,CC14,CF14,CI14,CL14,CO14,CR14,BT14)</f>
        <v>0</v>
      </c>
      <c r="BO14" s="18">
        <f>IF(BP14&gt;0,1,0)</f>
        <v>0</v>
      </c>
      <c r="BP14" s="18">
        <f>SUM(BU14,BX14,CA14,CD14,BR14)</f>
        <v>0</v>
      </c>
      <c r="BQ14" s="18">
        <f>SUM(BZ14,CC14,CF14,BT14,BW14)</f>
        <v>0</v>
      </c>
      <c r="BR14" s="18">
        <v>0</v>
      </c>
      <c r="BS14" s="18">
        <v>0</v>
      </c>
      <c r="BT14" s="25">
        <f>BS14/AS14</f>
        <v>0</v>
      </c>
      <c r="BU14" s="18">
        <v>0</v>
      </c>
      <c r="BV14" s="18">
        <v>0</v>
      </c>
      <c r="BW14" s="18">
        <f>BV14/AS14</f>
        <v>0</v>
      </c>
      <c r="BX14" s="18">
        <v>0</v>
      </c>
      <c r="BY14" s="18">
        <v>0</v>
      </c>
      <c r="BZ14" s="18">
        <f>BY14/AS14</f>
        <v>0</v>
      </c>
      <c r="CA14" s="24">
        <v>0</v>
      </c>
      <c r="CB14" s="18">
        <v>0</v>
      </c>
      <c r="CC14" s="18">
        <v>0</v>
      </c>
      <c r="CD14" s="25">
        <v>0</v>
      </c>
      <c r="CE14" s="18">
        <v>0</v>
      </c>
      <c r="CF14" s="18">
        <v>0</v>
      </c>
      <c r="CG14" s="18"/>
      <c r="CH14" s="18"/>
      <c r="CI14" s="18"/>
      <c r="CJ14" s="18"/>
      <c r="CK14" s="18"/>
      <c r="CL14" s="18"/>
      <c r="CM14" s="18"/>
      <c r="CN14" s="18"/>
      <c r="CO14" s="18"/>
      <c r="CP14" s="18" t="s">
        <v>123</v>
      </c>
      <c r="CQ14" s="18">
        <v>0</v>
      </c>
      <c r="CR14" s="18">
        <v>0</v>
      </c>
      <c r="CS14" s="18">
        <f>IF(CT14&gt;0,1,0)</f>
        <v>1</v>
      </c>
      <c r="CT14" s="25">
        <f>SUM(CW14,CZ14,DC14)</f>
        <v>2</v>
      </c>
      <c r="CU14" s="25"/>
      <c r="CV14" s="18">
        <f>48/0.169</f>
        <v>284.02366863905326</v>
      </c>
      <c r="CW14" s="53">
        <v>1</v>
      </c>
      <c r="CX14" s="18">
        <v>44</v>
      </c>
      <c r="CY14" s="18">
        <f>44/0.169</f>
        <v>260.35502958579877</v>
      </c>
      <c r="CZ14" s="18">
        <v>1</v>
      </c>
      <c r="DA14" s="18">
        <v>4</v>
      </c>
      <c r="DB14" s="18">
        <f>4/0.169</f>
        <v>23.668639053254438</v>
      </c>
      <c r="DC14" s="18">
        <v>0</v>
      </c>
      <c r="DD14" s="18">
        <v>0</v>
      </c>
      <c r="DE14" s="18">
        <v>0</v>
      </c>
      <c r="DF14" s="16" t="e">
        <f>VLOOKUP(K14,'[3]RNA Seq summary tables'!$V$3:$V$99,1,FALSE)</f>
        <v>#N/A</v>
      </c>
      <c r="DG14" s="16"/>
      <c r="DH14" s="16"/>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39"/>
      <c r="JP14" s="16"/>
      <c r="JQ14" s="16"/>
      <c r="JR14" s="38"/>
      <c r="JS14" s="38"/>
      <c r="JT14" s="38"/>
      <c r="JU14" s="38"/>
      <c r="JV14" s="38"/>
      <c r="JW14" s="38"/>
      <c r="JX14" s="38"/>
      <c r="JY14" s="38"/>
      <c r="JZ14" s="38"/>
      <c r="KA14" s="38"/>
      <c r="KB14" s="38"/>
    </row>
    <row r="15" spans="1:288" s="19" customFormat="1" x14ac:dyDescent="0.2">
      <c r="A15" s="18"/>
      <c r="B15" s="16">
        <v>2016</v>
      </c>
      <c r="C15" s="43">
        <v>42557</v>
      </c>
      <c r="D15" s="43" t="str">
        <f>CONCATENATE(J15,"-",C15)</f>
        <v>934-42557</v>
      </c>
      <c r="E15" s="20" t="str">
        <f>CONCATENATE(T15,"-",U15,"-",C15)</f>
        <v>BC1-G1-42557</v>
      </c>
      <c r="F15" s="20" t="s">
        <v>106</v>
      </c>
      <c r="G15" s="43" t="s">
        <v>107</v>
      </c>
      <c r="H15" s="23"/>
      <c r="I15" s="16">
        <v>0</v>
      </c>
      <c r="J15" s="15">
        <v>934</v>
      </c>
      <c r="K15" s="15">
        <v>1453</v>
      </c>
      <c r="L15" s="18">
        <v>0</v>
      </c>
      <c r="M15" s="15">
        <f>VLOOKUP(K15,'[7]MLBS 2016 SNV-nem Coinfection d'!$C$1:$G$238,4,FALSE)</f>
        <v>0</v>
      </c>
      <c r="N15" s="15">
        <v>0</v>
      </c>
      <c r="O15" s="15" t="s">
        <v>119</v>
      </c>
      <c r="P15" s="23" t="s">
        <v>119</v>
      </c>
      <c r="Q15" s="16">
        <v>0</v>
      </c>
      <c r="R15" s="23">
        <v>16</v>
      </c>
      <c r="S15" s="23"/>
      <c r="T15" s="23" t="s">
        <v>159</v>
      </c>
      <c r="U15" s="23" t="s">
        <v>155</v>
      </c>
      <c r="V15" s="23" t="s">
        <v>114</v>
      </c>
      <c r="W15" s="16">
        <f>AI15/AG15</f>
        <v>0.84883720930232553</v>
      </c>
      <c r="X15" s="23" t="s">
        <v>121</v>
      </c>
      <c r="Y15" s="23" t="s">
        <v>110</v>
      </c>
      <c r="Z15" s="23">
        <v>3</v>
      </c>
      <c r="AA15" s="23" t="s">
        <v>161</v>
      </c>
      <c r="AB15" s="23" t="s">
        <v>123</v>
      </c>
      <c r="AC15" s="23" t="s">
        <v>123</v>
      </c>
      <c r="AD15" s="23" t="s">
        <v>116</v>
      </c>
      <c r="AE15" s="23"/>
      <c r="AF15" s="23"/>
      <c r="AG15" s="23">
        <f>AH15-AI15</f>
        <v>86</v>
      </c>
      <c r="AH15" s="23">
        <v>159</v>
      </c>
      <c r="AI15" s="23">
        <v>73</v>
      </c>
      <c r="AJ15" s="23"/>
      <c r="AK15" s="23">
        <v>17.5</v>
      </c>
      <c r="AL15" s="23">
        <v>0</v>
      </c>
      <c r="AM15" s="23">
        <v>0</v>
      </c>
      <c r="AN15" s="23">
        <v>0</v>
      </c>
      <c r="AO15" s="23">
        <f>IF(SUM(AL15:AN15)&gt;0,1,0)</f>
        <v>0</v>
      </c>
      <c r="AP15" s="23">
        <f>SUM(AL15:AN15)</f>
        <v>0</v>
      </c>
      <c r="AQ15" s="23"/>
      <c r="AR15" s="23">
        <v>0.46899999999999997</v>
      </c>
      <c r="AS15" s="23">
        <v>0.46899999999999997</v>
      </c>
      <c r="AT15" s="18" t="s">
        <v>117</v>
      </c>
      <c r="AU15" s="18"/>
      <c r="AV15" s="23"/>
      <c r="AW15" s="50">
        <v>1</v>
      </c>
      <c r="AX15" s="23">
        <v>6</v>
      </c>
      <c r="AY15" s="23">
        <f>(26+112+5+1+8+1)/0.469</f>
        <v>326.22601279317701</v>
      </c>
      <c r="AZ15" s="18">
        <v>1</v>
      </c>
      <c r="BA15" s="23">
        <v>3</v>
      </c>
      <c r="BB15" s="23">
        <f>(26+112+5)/0.469</f>
        <v>304.90405117270791</v>
      </c>
      <c r="BC15" s="16">
        <v>1</v>
      </c>
      <c r="BD15" s="23">
        <v>26</v>
      </c>
      <c r="BE15" s="23">
        <f>26/0.469</f>
        <v>55.437100213219622</v>
      </c>
      <c r="BF15" s="18">
        <v>1</v>
      </c>
      <c r="BG15" s="23">
        <v>112</v>
      </c>
      <c r="BH15" s="23">
        <f>112/0.469</f>
        <v>238.80597014925374</v>
      </c>
      <c r="BI15" s="16">
        <v>1</v>
      </c>
      <c r="BJ15" s="23">
        <v>5</v>
      </c>
      <c r="BK15" s="23">
        <f>5/0.469</f>
        <v>10.660980810234543</v>
      </c>
      <c r="BL15" s="16">
        <f>IF(BM15&gt;0,1,0)</f>
        <v>1</v>
      </c>
      <c r="BM15" s="16">
        <f>SUM(BR15,BU15,BX15,CA15,CD15,CG15,CJ15,CM15,CP15)</f>
        <v>1</v>
      </c>
      <c r="BN15" s="16">
        <f>SUM(BW15,BZ15,CC15,CF15,CI15,CL15,CO15,CR15,BT15)</f>
        <v>2.1321961620469083</v>
      </c>
      <c r="BO15" s="16">
        <f>IF(BP15&gt;0,1,0)</f>
        <v>1</v>
      </c>
      <c r="BP15" s="16">
        <f>SUM(BU15,BX15,CA15,CD15,BR15)</f>
        <v>1</v>
      </c>
      <c r="BQ15" s="16">
        <f>SUM(BZ15,CC15,CF15,BT15,BW15)</f>
        <v>2.1321961620469083</v>
      </c>
      <c r="BR15" s="18">
        <v>0</v>
      </c>
      <c r="BS15" s="23">
        <v>0</v>
      </c>
      <c r="BT15" s="23">
        <f>BS15/AS15</f>
        <v>0</v>
      </c>
      <c r="BU15" s="18">
        <v>0</v>
      </c>
      <c r="BV15" s="23">
        <v>0</v>
      </c>
      <c r="BW15" s="18">
        <f>BV15/AS15</f>
        <v>0</v>
      </c>
      <c r="BX15" s="24">
        <v>1</v>
      </c>
      <c r="BY15" s="23">
        <v>1</v>
      </c>
      <c r="BZ15" s="16">
        <f>BY15/AS15</f>
        <v>2.1321961620469083</v>
      </c>
      <c r="CA15" s="24">
        <v>0</v>
      </c>
      <c r="CB15" s="23">
        <v>0</v>
      </c>
      <c r="CC15" s="23">
        <v>0</v>
      </c>
      <c r="CD15" s="23">
        <v>0</v>
      </c>
      <c r="CE15" s="23">
        <v>0</v>
      </c>
      <c r="CF15" s="23">
        <v>0</v>
      </c>
      <c r="CG15" s="23"/>
      <c r="CH15" s="23"/>
      <c r="CI15" s="23"/>
      <c r="CJ15" s="23"/>
      <c r="CK15" s="23"/>
      <c r="CL15" s="23"/>
      <c r="CM15" s="23"/>
      <c r="CN15" s="23"/>
      <c r="CO15" s="23"/>
      <c r="CP15" s="23" t="s">
        <v>123</v>
      </c>
      <c r="CQ15" s="23">
        <v>0</v>
      </c>
      <c r="CR15" s="23">
        <v>0</v>
      </c>
      <c r="CS15" s="18">
        <f>IF(CT15&gt;0,1,0)</f>
        <v>1</v>
      </c>
      <c r="CT15" s="25">
        <f>SUM(CW15,CZ15,DC15)</f>
        <v>2</v>
      </c>
      <c r="CU15" s="25"/>
      <c r="CV15" s="23">
        <f>9/0.469</f>
        <v>19.189765458422176</v>
      </c>
      <c r="CW15" s="22">
        <v>1</v>
      </c>
      <c r="CX15" s="23">
        <v>8</v>
      </c>
      <c r="CY15" s="23">
        <f>8/0.469</f>
        <v>17.057569296375267</v>
      </c>
      <c r="CZ15" s="23">
        <v>1</v>
      </c>
      <c r="DA15" s="23">
        <v>1</v>
      </c>
      <c r="DB15" s="23">
        <f>1/0.469</f>
        <v>2.1321961620469083</v>
      </c>
      <c r="DC15" s="25">
        <v>0</v>
      </c>
      <c r="DD15" s="23">
        <v>0</v>
      </c>
      <c r="DE15" s="23">
        <v>0</v>
      </c>
      <c r="DF15" s="16" t="e">
        <f>VLOOKUP(K15,'[3]RNA Seq summary tables'!$V$3:$V$99,1,FALSE)</f>
        <v>#N/A</v>
      </c>
      <c r="DG15" s="16">
        <v>1</v>
      </c>
      <c r="DH15" s="16" t="str">
        <f>VLOOKUP(D15,'[8]Data with duplicates'!$B$1:$J$70,9,FALSE)</f>
        <v>sample.25</v>
      </c>
      <c r="DI15" s="23"/>
      <c r="DJ15" s="23"/>
      <c r="DK15" s="23"/>
      <c r="DL15" s="23"/>
      <c r="DM15" s="23"/>
      <c r="DN15" s="23"/>
      <c r="DO15" s="23"/>
      <c r="DP15" s="23"/>
      <c r="DQ15" s="23"/>
      <c r="DR15" s="23"/>
      <c r="DS15" s="23"/>
      <c r="DT15" s="25"/>
      <c r="DU15" s="25"/>
      <c r="DV15" s="25"/>
      <c r="DW15" s="25"/>
      <c r="DX15" s="25"/>
      <c r="DY15" s="25"/>
      <c r="DZ15" s="25"/>
      <c r="EA15" s="25"/>
      <c r="EB15" s="25"/>
      <c r="EC15" s="25"/>
      <c r="ED15" s="25"/>
      <c r="EE15" s="25"/>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c r="IJ15" s="18"/>
      <c r="IK15" s="18"/>
      <c r="IL15" s="18"/>
      <c r="IM15" s="18"/>
      <c r="IN15" s="18"/>
      <c r="IO15" s="18"/>
      <c r="IP15" s="18"/>
      <c r="IQ15" s="18"/>
      <c r="IR15" s="18"/>
      <c r="IS15" s="18"/>
      <c r="IT15" s="18"/>
      <c r="IU15" s="18"/>
      <c r="IV15" s="18"/>
      <c r="IW15" s="18"/>
      <c r="IX15" s="18"/>
      <c r="IY15" s="18"/>
      <c r="IZ15" s="18"/>
      <c r="JA15" s="18"/>
      <c r="JB15" s="18"/>
      <c r="JC15" s="18"/>
      <c r="JD15" s="18"/>
      <c r="JE15" s="18"/>
      <c r="JF15" s="18"/>
      <c r="JG15" s="18"/>
      <c r="JH15" s="18"/>
      <c r="JI15" s="18"/>
      <c r="JJ15" s="18"/>
      <c r="JK15" s="18"/>
      <c r="JL15" s="18"/>
      <c r="JM15" s="18"/>
      <c r="JN15" s="18"/>
      <c r="JO15" s="16"/>
      <c r="JP15" s="16"/>
      <c r="JQ15" s="16"/>
      <c r="JR15" s="16"/>
      <c r="JS15" s="16"/>
      <c r="JT15" s="16"/>
      <c r="JU15" s="16"/>
      <c r="JV15" s="16"/>
      <c r="JW15" s="16"/>
      <c r="JX15" s="16"/>
      <c r="JY15" s="16"/>
      <c r="JZ15" s="16"/>
      <c r="KA15" s="16"/>
      <c r="KB15" s="16"/>
    </row>
    <row r="16" spans="1:288" s="19" customFormat="1" x14ac:dyDescent="0.2">
      <c r="A16" s="18"/>
      <c r="B16" s="16">
        <v>2016</v>
      </c>
      <c r="C16" s="20">
        <v>42570</v>
      </c>
      <c r="D16" s="20" t="str">
        <f>CONCATENATE(J16,"-",C16)</f>
        <v>934-42570</v>
      </c>
      <c r="E16" s="20" t="str">
        <f>CONCATENATE(T16,"-",U16,"-",C16)</f>
        <v>BC1-H1-42570</v>
      </c>
      <c r="F16" s="20" t="s">
        <v>106</v>
      </c>
      <c r="G16" s="20" t="s">
        <v>107</v>
      </c>
      <c r="H16" s="16"/>
      <c r="I16" s="16">
        <v>0</v>
      </c>
      <c r="J16" s="21">
        <v>934</v>
      </c>
      <c r="K16" s="21">
        <v>1493</v>
      </c>
      <c r="L16" s="18">
        <v>0</v>
      </c>
      <c r="M16" s="15">
        <f>VLOOKUP(K16,'[7]MLBS 2016 SNV-nem Coinfection d'!$C$1:$G$238,4,FALSE)</f>
        <v>0</v>
      </c>
      <c r="N16" s="15">
        <v>0</v>
      </c>
      <c r="O16" s="15" t="s">
        <v>119</v>
      </c>
      <c r="P16" s="16" t="s">
        <v>119</v>
      </c>
      <c r="Q16" s="16">
        <v>0</v>
      </c>
      <c r="R16" s="16">
        <v>13</v>
      </c>
      <c r="S16" s="16"/>
      <c r="T16" s="16" t="s">
        <v>159</v>
      </c>
      <c r="U16" s="16" t="s">
        <v>191</v>
      </c>
      <c r="V16" s="16" t="s">
        <v>114</v>
      </c>
      <c r="W16" s="16">
        <f>AI16/AG16</f>
        <v>0.78723404255319152</v>
      </c>
      <c r="X16" s="16" t="s">
        <v>121</v>
      </c>
      <c r="Y16" s="16" t="s">
        <v>110</v>
      </c>
      <c r="Z16" s="16">
        <v>3</v>
      </c>
      <c r="AA16" s="16" t="s">
        <v>161</v>
      </c>
      <c r="AB16" s="16" t="s">
        <v>123</v>
      </c>
      <c r="AC16" s="16" t="s">
        <v>123</v>
      </c>
      <c r="AD16" s="16" t="s">
        <v>116</v>
      </c>
      <c r="AE16" s="16"/>
      <c r="AF16" s="16"/>
      <c r="AG16" s="16">
        <f>AH16-AI16</f>
        <v>94</v>
      </c>
      <c r="AH16" s="16">
        <v>168</v>
      </c>
      <c r="AI16" s="16">
        <v>74</v>
      </c>
      <c r="AJ16" s="16"/>
      <c r="AK16" s="16">
        <v>17.5</v>
      </c>
      <c r="AL16" s="16">
        <v>1</v>
      </c>
      <c r="AM16" s="16">
        <v>0</v>
      </c>
      <c r="AN16" s="16">
        <v>0</v>
      </c>
      <c r="AO16" s="16">
        <f>IF(SUM(AL16:AN16)&gt;0,1,0)</f>
        <v>1</v>
      </c>
      <c r="AP16" s="16">
        <f>SUM(AL16:AN16)</f>
        <v>1</v>
      </c>
      <c r="AQ16" s="16">
        <v>1.7050000000000001</v>
      </c>
      <c r="AR16" s="16">
        <v>0.22800000000000001</v>
      </c>
      <c r="AS16" s="16">
        <v>0.22800000000000001</v>
      </c>
      <c r="AT16" s="16" t="s">
        <v>205</v>
      </c>
      <c r="AU16" s="16"/>
      <c r="AV16" s="16"/>
      <c r="AW16" s="22">
        <v>1</v>
      </c>
      <c r="AX16" s="16">
        <v>2</v>
      </c>
      <c r="AY16" s="16">
        <f xml:space="preserve"> (2+54)/AS16</f>
        <v>245.61403508771929</v>
      </c>
      <c r="AZ16" s="18">
        <v>1</v>
      </c>
      <c r="BA16" s="16">
        <v>1</v>
      </c>
      <c r="BB16" s="16">
        <f>2/AS16</f>
        <v>8.7719298245614024</v>
      </c>
      <c r="BC16" s="18">
        <v>0</v>
      </c>
      <c r="BD16" s="16">
        <v>0</v>
      </c>
      <c r="BE16" s="16">
        <v>0</v>
      </c>
      <c r="BF16" s="18">
        <v>1</v>
      </c>
      <c r="BG16" s="23">
        <v>2</v>
      </c>
      <c r="BH16" s="16">
        <f>2/AS16</f>
        <v>8.7719298245614024</v>
      </c>
      <c r="BI16" s="18">
        <v>0</v>
      </c>
      <c r="BJ16" s="16">
        <v>0</v>
      </c>
      <c r="BK16" s="16">
        <v>0</v>
      </c>
      <c r="BL16" s="16">
        <f>IF(BM16&gt;0,1,0)</f>
        <v>1</v>
      </c>
      <c r="BM16" s="16">
        <f>SUM(BR16,BU16,BX16,CA16,CD16,CG16,CJ16,CM16,CP16)</f>
        <v>1</v>
      </c>
      <c r="BN16" s="16">
        <f>SUM(BW16,BZ16,CC16,CF16,CI16,CL16,CO16,CR16,BT16)</f>
        <v>236.84210526315789</v>
      </c>
      <c r="BO16" s="16">
        <f>IF(BP16&gt;0,1,0)</f>
        <v>1</v>
      </c>
      <c r="BP16" s="16">
        <f>SUM(BU16,BX16,CA16,CD16,BR16)</f>
        <v>1</v>
      </c>
      <c r="BQ16" s="16">
        <f>SUM(BZ16,CC16,CF16,BT16,BW16)</f>
        <v>236.84210526315789</v>
      </c>
      <c r="BR16" s="18">
        <v>0</v>
      </c>
      <c r="BS16" s="16">
        <v>0</v>
      </c>
      <c r="BT16" s="23">
        <f>BS16/AS16</f>
        <v>0</v>
      </c>
      <c r="BU16" s="18">
        <v>0</v>
      </c>
      <c r="BV16" s="16">
        <v>0</v>
      </c>
      <c r="BW16" s="18">
        <f>BV16/AS16</f>
        <v>0</v>
      </c>
      <c r="BX16" s="24">
        <v>1</v>
      </c>
      <c r="BY16" s="16">
        <v>54</v>
      </c>
      <c r="BZ16" s="16">
        <f>BY16/AS16</f>
        <v>236.84210526315789</v>
      </c>
      <c r="CA16" s="24">
        <v>0</v>
      </c>
      <c r="CB16" s="16">
        <v>0</v>
      </c>
      <c r="CC16" s="16">
        <v>0</v>
      </c>
      <c r="CD16" s="25">
        <v>0</v>
      </c>
      <c r="CE16" s="16">
        <v>0</v>
      </c>
      <c r="CF16" s="16">
        <v>0</v>
      </c>
      <c r="CG16" s="16"/>
      <c r="CH16" s="16"/>
      <c r="CI16" s="16"/>
      <c r="CJ16" s="16"/>
      <c r="CK16" s="16"/>
      <c r="CL16" s="16"/>
      <c r="CM16" s="16"/>
      <c r="CN16" s="16"/>
      <c r="CO16" s="16"/>
      <c r="CP16" s="16" t="s">
        <v>123</v>
      </c>
      <c r="CQ16" s="16">
        <v>0</v>
      </c>
      <c r="CR16" s="16">
        <v>0</v>
      </c>
      <c r="CS16" s="18">
        <f>IF(CT16&gt;0,1,0)</f>
        <v>0</v>
      </c>
      <c r="CT16" s="25">
        <f>SUM(CW16,CZ16,DC16)</f>
        <v>0</v>
      </c>
      <c r="CU16" s="25"/>
      <c r="CV16" s="16">
        <v>0</v>
      </c>
      <c r="CW16" s="25">
        <v>0</v>
      </c>
      <c r="CX16" s="16">
        <v>0</v>
      </c>
      <c r="CY16" s="16">
        <v>0</v>
      </c>
      <c r="CZ16" s="18">
        <v>0</v>
      </c>
      <c r="DA16" s="16">
        <v>0</v>
      </c>
      <c r="DB16" s="16">
        <v>0</v>
      </c>
      <c r="DC16" s="18">
        <v>0</v>
      </c>
      <c r="DD16" s="16">
        <v>0</v>
      </c>
      <c r="DE16" s="16">
        <v>0</v>
      </c>
      <c r="DF16" s="16" t="e">
        <f>VLOOKUP(K16,'[3]RNA Seq summary tables'!$V$3:$V$99,1,FALSE)</f>
        <v>#N/A</v>
      </c>
      <c r="DG16" s="16">
        <v>1</v>
      </c>
      <c r="DH16" s="16" t="str">
        <f>VLOOKUP(D16,'[8]Data with duplicates'!$B$1:$J$70,9,FALSE)</f>
        <v>sample.26</v>
      </c>
      <c r="DI16" s="16"/>
      <c r="DJ16" s="16"/>
      <c r="DK16" s="16"/>
      <c r="DL16" s="16"/>
      <c r="DM16" s="16"/>
      <c r="DN16" s="16"/>
      <c r="DO16" s="16"/>
      <c r="DP16" s="16"/>
      <c r="DQ16" s="16"/>
      <c r="DR16" s="16"/>
      <c r="DS16" s="16"/>
      <c r="DT16" s="25"/>
      <c r="DU16" s="25"/>
      <c r="DV16" s="25"/>
      <c r="DW16" s="25"/>
      <c r="DX16" s="25"/>
      <c r="DY16" s="25"/>
      <c r="DZ16" s="25"/>
      <c r="EA16" s="25"/>
      <c r="EB16" s="25"/>
      <c r="EC16" s="25"/>
      <c r="ED16" s="25"/>
      <c r="EE16" s="25"/>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c r="IJ16" s="18"/>
      <c r="IK16" s="18"/>
      <c r="IL16" s="18"/>
      <c r="IM16" s="18"/>
      <c r="IN16" s="18"/>
      <c r="IO16" s="18"/>
      <c r="IP16" s="18"/>
      <c r="IQ16" s="18"/>
      <c r="IR16" s="18"/>
      <c r="IS16" s="18"/>
      <c r="IT16" s="18"/>
      <c r="IU16" s="18"/>
      <c r="IV16" s="18"/>
      <c r="IW16" s="18"/>
      <c r="IX16" s="18"/>
      <c r="IY16" s="18"/>
      <c r="IZ16" s="18"/>
      <c r="JA16" s="18"/>
      <c r="JB16" s="18"/>
      <c r="JC16" s="18"/>
      <c r="JD16" s="18"/>
      <c r="JE16" s="18"/>
      <c r="JF16" s="18"/>
      <c r="JG16" s="18"/>
      <c r="JH16" s="18"/>
      <c r="JI16" s="18"/>
      <c r="JJ16" s="18"/>
      <c r="JK16" s="18"/>
      <c r="JL16" s="18"/>
      <c r="JM16" s="18"/>
      <c r="JN16" s="18"/>
      <c r="JO16" s="16"/>
      <c r="JP16" s="16"/>
      <c r="JQ16" s="16"/>
      <c r="JR16" s="16"/>
      <c r="JS16" s="16"/>
      <c r="JT16" s="16"/>
      <c r="JU16" s="16"/>
      <c r="JV16" s="16"/>
      <c r="JW16" s="16"/>
      <c r="JX16" s="16"/>
      <c r="JY16" s="16"/>
      <c r="JZ16" s="16"/>
      <c r="KA16" s="16"/>
      <c r="KB16" s="16"/>
    </row>
    <row r="17" spans="1:288" s="26" customFormat="1" x14ac:dyDescent="0.2">
      <c r="A17" s="18"/>
      <c r="B17" s="16">
        <v>2016</v>
      </c>
      <c r="C17" s="20">
        <v>42528</v>
      </c>
      <c r="D17" s="20" t="str">
        <f>CONCATENATE(J17,"-",C17)</f>
        <v>935-42528</v>
      </c>
      <c r="E17" s="20" t="str">
        <f>CONCATENATE(T17,"-",U17,"-",C17)</f>
        <v>BC1-B5-42528</v>
      </c>
      <c r="F17" s="20" t="s">
        <v>106</v>
      </c>
      <c r="G17" s="20" t="s">
        <v>107</v>
      </c>
      <c r="H17" s="16"/>
      <c r="I17" s="16">
        <v>0</v>
      </c>
      <c r="J17" s="21">
        <v>935</v>
      </c>
      <c r="K17" s="21">
        <v>1426</v>
      </c>
      <c r="L17" s="16">
        <v>0</v>
      </c>
      <c r="M17" s="15">
        <f>VLOOKUP(K17,'[7]MLBS 2016 SNV-nem Coinfection d'!$C$1:$G$238,4,FALSE)</f>
        <v>0</v>
      </c>
      <c r="N17" s="15">
        <v>0</v>
      </c>
      <c r="O17" s="15" t="s">
        <v>119</v>
      </c>
      <c r="P17" s="16" t="s">
        <v>119</v>
      </c>
      <c r="Q17" s="16">
        <v>0</v>
      </c>
      <c r="R17" s="16" t="s">
        <v>111</v>
      </c>
      <c r="S17" s="16"/>
      <c r="T17" s="16" t="s">
        <v>159</v>
      </c>
      <c r="U17" s="16" t="s">
        <v>160</v>
      </c>
      <c r="V17" s="16" t="s">
        <v>114</v>
      </c>
      <c r="W17" s="16">
        <f>AI17/AG17</f>
        <v>0.9882352941176471</v>
      </c>
      <c r="X17" s="16" t="s">
        <v>121</v>
      </c>
      <c r="Y17" s="16" t="s">
        <v>110</v>
      </c>
      <c r="Z17" s="16">
        <v>3</v>
      </c>
      <c r="AA17" s="16" t="s">
        <v>161</v>
      </c>
      <c r="AB17" s="16" t="s">
        <v>116</v>
      </c>
      <c r="AC17" s="16" t="s">
        <v>123</v>
      </c>
      <c r="AD17" s="16" t="s">
        <v>116</v>
      </c>
      <c r="AE17" s="16"/>
      <c r="AF17" s="16"/>
      <c r="AG17" s="16">
        <f>169-84</f>
        <v>85</v>
      </c>
      <c r="AH17" s="16">
        <v>169</v>
      </c>
      <c r="AI17" s="16">
        <v>84</v>
      </c>
      <c r="AJ17" s="16"/>
      <c r="AK17" s="16">
        <v>18</v>
      </c>
      <c r="AL17" s="16">
        <v>0</v>
      </c>
      <c r="AM17" s="16">
        <v>0</v>
      </c>
      <c r="AN17" s="16">
        <v>0</v>
      </c>
      <c r="AO17" s="16">
        <f>IF(SUM(AL17:AN17)&gt;0,1,0)</f>
        <v>0</v>
      </c>
      <c r="AP17" s="16">
        <f>SUM(AL17:AN17)</f>
        <v>0</v>
      </c>
      <c r="AQ17" s="16">
        <f>AS17+1.477</f>
        <v>1.7450000000000001</v>
      </c>
      <c r="AR17" s="16">
        <v>0.26800000000000002</v>
      </c>
      <c r="AS17" s="16">
        <v>0.26800000000000002</v>
      </c>
      <c r="AT17" s="16" t="s">
        <v>124</v>
      </c>
      <c r="AU17" s="16"/>
      <c r="AV17" s="16"/>
      <c r="AW17" s="22">
        <v>1</v>
      </c>
      <c r="AX17" s="16"/>
      <c r="AY17" s="16">
        <f>(30+39+6)/AS17</f>
        <v>279.85074626865668</v>
      </c>
      <c r="AZ17" s="18">
        <v>1</v>
      </c>
      <c r="BA17" s="16"/>
      <c r="BB17" s="16">
        <f>(30+39+6)/AS17</f>
        <v>279.85074626865668</v>
      </c>
      <c r="BC17" s="16">
        <v>1</v>
      </c>
      <c r="BD17" s="16">
        <v>30</v>
      </c>
      <c r="BE17" s="16">
        <f>30/AS17</f>
        <v>111.94029850746269</v>
      </c>
      <c r="BF17" s="18">
        <v>1</v>
      </c>
      <c r="BG17" s="23">
        <v>39</v>
      </c>
      <c r="BH17" s="16">
        <f>39/AS17</f>
        <v>145.52238805970148</v>
      </c>
      <c r="BI17" s="16">
        <v>1</v>
      </c>
      <c r="BJ17" s="16">
        <v>6</v>
      </c>
      <c r="BK17" s="16">
        <f>6/AS17</f>
        <v>22.388059701492537</v>
      </c>
      <c r="BL17" s="16">
        <f>IF(BM17&gt;0,1,0)</f>
        <v>0</v>
      </c>
      <c r="BM17" s="16">
        <f>SUM(BR17,BU17,BX17,CA17,CD17,CG17,CJ17,CM17,CP17)</f>
        <v>0</v>
      </c>
      <c r="BN17" s="16">
        <f>SUM(BW17,BZ17,CC17,CF17,CI17,CL17,CO17,CR17,BT17)</f>
        <v>0</v>
      </c>
      <c r="BO17" s="16">
        <f>IF(BP17&gt;0,1,0)</f>
        <v>0</v>
      </c>
      <c r="BP17" s="16">
        <f>SUM(BU17,BX17,CA17,CD17,BR17)</f>
        <v>0</v>
      </c>
      <c r="BQ17" s="16">
        <f>SUM(BZ17,CC17,CF17,BT17,BW17)</f>
        <v>0</v>
      </c>
      <c r="BR17" s="18">
        <v>0</v>
      </c>
      <c r="BS17" s="16">
        <v>0</v>
      </c>
      <c r="BT17" s="23">
        <f>BS17/AS17</f>
        <v>0</v>
      </c>
      <c r="BU17" s="18">
        <v>0</v>
      </c>
      <c r="BV17" s="16">
        <v>0</v>
      </c>
      <c r="BW17" s="18">
        <f>BV17/AS17</f>
        <v>0</v>
      </c>
      <c r="BX17" s="18">
        <v>0</v>
      </c>
      <c r="BY17" s="16">
        <v>0</v>
      </c>
      <c r="BZ17" s="16">
        <f>BY17/AS17</f>
        <v>0</v>
      </c>
      <c r="CA17" s="24">
        <v>0</v>
      </c>
      <c r="CB17" s="16">
        <v>0</v>
      </c>
      <c r="CC17" s="16">
        <v>0</v>
      </c>
      <c r="CD17" s="25">
        <v>0</v>
      </c>
      <c r="CE17" s="16">
        <v>0</v>
      </c>
      <c r="CF17" s="16">
        <v>0</v>
      </c>
      <c r="CG17" s="16"/>
      <c r="CH17" s="16"/>
      <c r="CI17" s="16"/>
      <c r="CJ17" s="16"/>
      <c r="CK17" s="16"/>
      <c r="CL17" s="16"/>
      <c r="CM17" s="16"/>
      <c r="CN17" s="16"/>
      <c r="CO17" s="16"/>
      <c r="CP17" s="16" t="s">
        <v>123</v>
      </c>
      <c r="CQ17" s="16">
        <v>0</v>
      </c>
      <c r="CR17" s="16">
        <v>0</v>
      </c>
      <c r="CS17" s="18">
        <f>IF(CT17&gt;0,1,0)</f>
        <v>0</v>
      </c>
      <c r="CT17" s="25">
        <f>SUM(CW17,CZ17,DC17)</f>
        <v>0</v>
      </c>
      <c r="CU17" s="25"/>
      <c r="CV17" s="16">
        <v>0</v>
      </c>
      <c r="CW17" s="25">
        <v>0</v>
      </c>
      <c r="CX17" s="16">
        <v>0</v>
      </c>
      <c r="CY17" s="16">
        <v>0</v>
      </c>
      <c r="CZ17" s="18">
        <v>0</v>
      </c>
      <c r="DA17" s="16">
        <v>0</v>
      </c>
      <c r="DB17" s="16">
        <v>0</v>
      </c>
      <c r="DC17" s="18">
        <v>0</v>
      </c>
      <c r="DD17" s="16">
        <v>0</v>
      </c>
      <c r="DE17" s="16">
        <v>0</v>
      </c>
      <c r="DF17" s="16" t="e">
        <f>VLOOKUP(K17,'[3]RNA Seq summary tables'!$V$3:$V$99,1,FALSE)</f>
        <v>#N/A</v>
      </c>
      <c r="DG17" s="16"/>
      <c r="DH17" s="16"/>
      <c r="DI17" s="16"/>
      <c r="DJ17" s="16"/>
      <c r="DK17" s="16"/>
      <c r="DL17" s="16"/>
      <c r="DM17" s="16"/>
      <c r="DN17" s="16"/>
      <c r="DO17" s="16"/>
      <c r="DP17" s="16"/>
      <c r="DQ17" s="16"/>
      <c r="DR17" s="16"/>
      <c r="DS17" s="16"/>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c r="IJ17" s="18"/>
      <c r="IK17" s="18"/>
      <c r="IL17" s="18"/>
      <c r="IM17" s="18"/>
      <c r="IN17" s="18"/>
      <c r="IO17" s="18"/>
      <c r="IP17" s="18"/>
      <c r="IQ17" s="18"/>
      <c r="IR17" s="18"/>
      <c r="IS17" s="18"/>
      <c r="IT17" s="18"/>
      <c r="IU17" s="18"/>
      <c r="IV17" s="18"/>
      <c r="IW17" s="18"/>
      <c r="IX17" s="18"/>
      <c r="IY17" s="18"/>
      <c r="IZ17" s="18"/>
      <c r="JA17" s="18"/>
      <c r="JB17" s="18"/>
      <c r="JC17" s="18"/>
      <c r="JD17" s="18"/>
      <c r="JE17" s="18"/>
      <c r="JF17" s="18"/>
      <c r="JG17" s="18"/>
      <c r="JH17" s="18"/>
      <c r="JI17" s="18"/>
      <c r="JJ17" s="18"/>
      <c r="JK17" s="18"/>
      <c r="JL17" s="18"/>
      <c r="JM17" s="18"/>
      <c r="JN17" s="18"/>
      <c r="JP17" s="16"/>
      <c r="JQ17" s="16"/>
      <c r="JR17" s="16"/>
      <c r="JS17" s="16"/>
      <c r="JT17" s="16"/>
      <c r="JU17" s="16"/>
      <c r="JV17" s="16"/>
      <c r="JW17" s="16"/>
      <c r="JX17" s="16"/>
      <c r="JY17" s="16"/>
      <c r="JZ17" s="16"/>
      <c r="KA17" s="16"/>
      <c r="KB17" s="16"/>
    </row>
    <row r="18" spans="1:288" s="26" customFormat="1" x14ac:dyDescent="0.2">
      <c r="A18" s="18"/>
      <c r="B18" s="16">
        <v>2016</v>
      </c>
      <c r="C18" s="20">
        <v>42541</v>
      </c>
      <c r="D18" s="20" t="str">
        <f>CONCATENATE(J18,"-",C18)</f>
        <v>935-42541</v>
      </c>
      <c r="E18" s="20" t="str">
        <f>CONCATENATE(T18,"-",U18,"-",C18)</f>
        <v>BC1-A8-42541</v>
      </c>
      <c r="F18" s="20" t="s">
        <v>106</v>
      </c>
      <c r="G18" s="20" t="s">
        <v>107</v>
      </c>
      <c r="H18" s="16"/>
      <c r="I18" s="16">
        <v>0</v>
      </c>
      <c r="J18" s="21">
        <v>935</v>
      </c>
      <c r="K18" s="21">
        <v>1396</v>
      </c>
      <c r="L18" s="16">
        <v>0</v>
      </c>
      <c r="M18" s="15">
        <f>VLOOKUP(K18,'[7]MLBS 2016 SNV-nem Coinfection d'!$C$1:$G$238,4,FALSE)</f>
        <v>0</v>
      </c>
      <c r="N18" s="15">
        <v>0</v>
      </c>
      <c r="O18" s="15" t="s">
        <v>119</v>
      </c>
      <c r="P18" s="16" t="s">
        <v>119</v>
      </c>
      <c r="Q18" s="16">
        <v>0</v>
      </c>
      <c r="R18" s="16">
        <v>13</v>
      </c>
      <c r="S18" s="16"/>
      <c r="T18" s="16" t="s">
        <v>159</v>
      </c>
      <c r="U18" s="16" t="s">
        <v>194</v>
      </c>
      <c r="V18" s="16" t="s">
        <v>114</v>
      </c>
      <c r="W18" s="16">
        <f>AI18/AG18</f>
        <v>0.89130434782608692</v>
      </c>
      <c r="X18" s="16" t="s">
        <v>121</v>
      </c>
      <c r="Y18" s="16" t="s">
        <v>110</v>
      </c>
      <c r="Z18" s="16">
        <v>3</v>
      </c>
      <c r="AA18" s="16" t="s">
        <v>119</v>
      </c>
      <c r="AB18" s="16" t="s">
        <v>116</v>
      </c>
      <c r="AC18" s="16" t="s">
        <v>123</v>
      </c>
      <c r="AD18" s="16" t="s">
        <v>116</v>
      </c>
      <c r="AE18" s="16"/>
      <c r="AF18" s="16"/>
      <c r="AG18" s="16">
        <f>AH18-AI18</f>
        <v>92</v>
      </c>
      <c r="AH18" s="16">
        <v>174</v>
      </c>
      <c r="AI18" s="16">
        <v>82</v>
      </c>
      <c r="AJ18" s="16"/>
      <c r="AK18" s="16">
        <v>21.5</v>
      </c>
      <c r="AL18" s="16">
        <v>0</v>
      </c>
      <c r="AM18" s="16">
        <v>0</v>
      </c>
      <c r="AN18" s="16">
        <v>0</v>
      </c>
      <c r="AO18" s="16">
        <f>IF(SUM(AL18:AN18)&gt;0,1,0)</f>
        <v>0</v>
      </c>
      <c r="AP18" s="16">
        <f>SUM(AL18:AN18)</f>
        <v>0</v>
      </c>
      <c r="AQ18" s="16"/>
      <c r="AR18" s="16">
        <v>0.20699999999999999</v>
      </c>
      <c r="AS18" s="16">
        <v>0.20699999999999999</v>
      </c>
      <c r="AT18" s="18" t="s">
        <v>117</v>
      </c>
      <c r="AU18" s="18"/>
      <c r="AV18" s="16">
        <v>1</v>
      </c>
      <c r="AW18" s="18">
        <v>0</v>
      </c>
      <c r="AX18" s="16"/>
      <c r="AY18" s="16">
        <v>0</v>
      </c>
      <c r="AZ18" s="18">
        <v>0</v>
      </c>
      <c r="BA18" s="16"/>
      <c r="BB18" s="16">
        <v>0</v>
      </c>
      <c r="BC18" s="18">
        <v>0</v>
      </c>
      <c r="BD18" s="16">
        <v>0</v>
      </c>
      <c r="BE18" s="16">
        <v>0</v>
      </c>
      <c r="BF18" s="18">
        <v>0</v>
      </c>
      <c r="BG18" s="23">
        <v>0</v>
      </c>
      <c r="BH18" s="16">
        <v>0</v>
      </c>
      <c r="BI18" s="18">
        <v>0</v>
      </c>
      <c r="BJ18" s="16">
        <v>0</v>
      </c>
      <c r="BK18" s="16">
        <v>0</v>
      </c>
      <c r="BL18" s="16">
        <f>IF(BM18&gt;0,1,0)</f>
        <v>0</v>
      </c>
      <c r="BM18" s="16">
        <f>SUM(BR18,BU18,BX18,CA18,CD18,CG18,CJ18,CM18,CP18)</f>
        <v>0</v>
      </c>
      <c r="BN18" s="16">
        <f>SUM(BW18,BZ18,CC18,CF18,CI18,CL18,CO18,CR18,BT18)</f>
        <v>0</v>
      </c>
      <c r="BO18" s="16">
        <f>IF(BP18&gt;0,1,0)</f>
        <v>0</v>
      </c>
      <c r="BP18" s="16">
        <f>SUM(BU18,BX18,CA18,CD18,BR18)</f>
        <v>0</v>
      </c>
      <c r="BQ18" s="16">
        <f>SUM(BZ18,CC18,CF18,BT18,BW18)</f>
        <v>0</v>
      </c>
      <c r="BR18" s="18">
        <v>0</v>
      </c>
      <c r="BS18" s="16">
        <v>0</v>
      </c>
      <c r="BT18" s="23">
        <f>BS18/AS18</f>
        <v>0</v>
      </c>
      <c r="BU18" s="18">
        <v>0</v>
      </c>
      <c r="BV18" s="16">
        <v>0</v>
      </c>
      <c r="BW18" s="18">
        <f>BV18/AS18</f>
        <v>0</v>
      </c>
      <c r="BX18" s="18">
        <v>0</v>
      </c>
      <c r="BY18" s="16">
        <v>0</v>
      </c>
      <c r="BZ18" s="16">
        <f>BY18/AS18</f>
        <v>0</v>
      </c>
      <c r="CA18" s="24">
        <v>0</v>
      </c>
      <c r="CB18" s="16">
        <v>0</v>
      </c>
      <c r="CC18" s="16">
        <v>0</v>
      </c>
      <c r="CD18" s="25">
        <v>0</v>
      </c>
      <c r="CE18" s="16">
        <v>0</v>
      </c>
      <c r="CF18" s="16">
        <v>0</v>
      </c>
      <c r="CG18" s="16"/>
      <c r="CH18" s="16"/>
      <c r="CI18" s="16"/>
      <c r="CJ18" s="16"/>
      <c r="CK18" s="16"/>
      <c r="CL18" s="16"/>
      <c r="CM18" s="16"/>
      <c r="CN18" s="16"/>
      <c r="CO18" s="16"/>
      <c r="CP18" s="16" t="s">
        <v>123</v>
      </c>
      <c r="CQ18" s="16">
        <v>0</v>
      </c>
      <c r="CR18" s="16">
        <v>0</v>
      </c>
      <c r="CS18" s="18">
        <f>IF(CT18&gt;0,1,0)</f>
        <v>0</v>
      </c>
      <c r="CT18" s="25">
        <f>SUM(CW18,CZ18,DC18)</f>
        <v>0</v>
      </c>
      <c r="CU18" s="25"/>
      <c r="CV18" s="16">
        <v>0</v>
      </c>
      <c r="CW18" s="25">
        <v>0</v>
      </c>
      <c r="CX18" s="16">
        <v>0</v>
      </c>
      <c r="CY18" s="16">
        <v>0</v>
      </c>
      <c r="CZ18" s="18">
        <v>0</v>
      </c>
      <c r="DA18" s="16">
        <v>0</v>
      </c>
      <c r="DB18" s="16">
        <v>0</v>
      </c>
      <c r="DC18" s="18">
        <v>0</v>
      </c>
      <c r="DD18" s="16">
        <v>0</v>
      </c>
      <c r="DE18" s="16">
        <v>0</v>
      </c>
      <c r="DF18" s="16" t="e">
        <f>VLOOKUP(K18,'[3]RNA Seq summary tables'!$V$3:$V$99,1,FALSE)</f>
        <v>#N/A</v>
      </c>
      <c r="DG18" s="16"/>
      <c r="DH18" s="16"/>
      <c r="DI18" s="16"/>
      <c r="DJ18" s="16"/>
      <c r="DK18" s="16"/>
      <c r="DL18" s="16"/>
      <c r="DM18" s="16"/>
      <c r="DN18" s="16"/>
      <c r="DO18" s="16"/>
      <c r="DP18" s="16"/>
      <c r="DQ18" s="16"/>
      <c r="DR18" s="16"/>
      <c r="DS18" s="16"/>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c r="IJ18" s="18"/>
      <c r="IK18" s="18"/>
      <c r="IL18" s="18"/>
      <c r="IM18" s="18"/>
      <c r="IN18" s="18"/>
      <c r="IO18" s="18"/>
      <c r="IP18" s="18"/>
      <c r="IQ18" s="18"/>
      <c r="IR18" s="18"/>
      <c r="IS18" s="18"/>
      <c r="IT18" s="18"/>
      <c r="IU18" s="18"/>
      <c r="IV18" s="18"/>
      <c r="IW18" s="18"/>
      <c r="IX18" s="18"/>
      <c r="IY18" s="18"/>
      <c r="IZ18" s="18"/>
      <c r="JA18" s="18"/>
      <c r="JB18" s="18"/>
      <c r="JC18" s="18"/>
      <c r="JD18" s="18"/>
      <c r="JE18" s="18"/>
      <c r="JF18" s="18"/>
      <c r="JG18" s="18"/>
      <c r="JH18" s="18"/>
      <c r="JI18" s="18"/>
      <c r="JJ18" s="18"/>
      <c r="JK18" s="18"/>
      <c r="JL18" s="18"/>
      <c r="JM18" s="18"/>
      <c r="JN18" s="18"/>
      <c r="JO18" s="39"/>
      <c r="JP18" s="16"/>
      <c r="JQ18" s="16"/>
      <c r="JR18" s="38"/>
      <c r="JS18" s="38"/>
      <c r="JT18" s="38"/>
      <c r="JU18" s="38"/>
      <c r="JV18" s="38"/>
      <c r="JW18" s="38"/>
      <c r="JX18" s="38"/>
      <c r="JY18" s="38"/>
      <c r="JZ18" s="38"/>
      <c r="KA18" s="38"/>
      <c r="KB18" s="38"/>
    </row>
    <row r="19" spans="1:288" s="26" customFormat="1" x14ac:dyDescent="0.2">
      <c r="A19" s="18"/>
      <c r="B19" s="16">
        <v>2016</v>
      </c>
      <c r="C19" s="20">
        <v>42558</v>
      </c>
      <c r="D19" s="20" t="str">
        <f>CONCATENATE(J19,"-",C19)</f>
        <v>935-42558</v>
      </c>
      <c r="E19" s="20" t="str">
        <f>CONCATENATE(T19,"-",U19,"-",C19)</f>
        <v>BC1-A4-42558</v>
      </c>
      <c r="F19" s="20" t="s">
        <v>106</v>
      </c>
      <c r="G19" s="20" t="s">
        <v>107</v>
      </c>
      <c r="H19" s="16"/>
      <c r="I19" s="16">
        <v>0</v>
      </c>
      <c r="J19" s="21">
        <v>935</v>
      </c>
      <c r="K19" s="21">
        <v>1458</v>
      </c>
      <c r="L19" s="18">
        <v>0</v>
      </c>
      <c r="M19" s="15">
        <f>VLOOKUP(K19,'[7]MLBS 2016 SNV-nem Coinfection d'!$C$1:$G$238,4,FALSE)</f>
        <v>0</v>
      </c>
      <c r="N19" s="15">
        <v>0</v>
      </c>
      <c r="O19" s="15" t="s">
        <v>119</v>
      </c>
      <c r="P19" s="16" t="s">
        <v>119</v>
      </c>
      <c r="Q19" s="16">
        <v>0</v>
      </c>
      <c r="R19" s="16">
        <v>17</v>
      </c>
      <c r="S19" s="16"/>
      <c r="T19" s="16" t="s">
        <v>159</v>
      </c>
      <c r="U19" s="16" t="s">
        <v>134</v>
      </c>
      <c r="V19" s="16" t="s">
        <v>114</v>
      </c>
      <c r="W19" s="16">
        <f>AI19/AG19</f>
        <v>0.98837209302325579</v>
      </c>
      <c r="X19" s="16" t="s">
        <v>121</v>
      </c>
      <c r="Y19" s="16" t="s">
        <v>110</v>
      </c>
      <c r="Z19" s="16">
        <v>3</v>
      </c>
      <c r="AA19" s="16" t="s">
        <v>119</v>
      </c>
      <c r="AB19" s="16" t="s">
        <v>116</v>
      </c>
      <c r="AC19" s="16" t="s">
        <v>123</v>
      </c>
      <c r="AD19" s="16" t="s">
        <v>116</v>
      </c>
      <c r="AE19" s="16"/>
      <c r="AF19" s="16"/>
      <c r="AG19" s="16">
        <f>AH19-AI19</f>
        <v>86</v>
      </c>
      <c r="AH19" s="16">
        <v>171</v>
      </c>
      <c r="AI19" s="16">
        <v>85</v>
      </c>
      <c r="AJ19" s="16"/>
      <c r="AK19" s="16">
        <v>20</v>
      </c>
      <c r="AL19" s="16">
        <v>0</v>
      </c>
      <c r="AM19" s="16">
        <v>0</v>
      </c>
      <c r="AN19" s="16">
        <v>0</v>
      </c>
      <c r="AO19" s="16">
        <f>IF(SUM(AL19:AN19)&gt;0,1,0)</f>
        <v>0</v>
      </c>
      <c r="AP19" s="16">
        <f>SUM(AL19:AN19)</f>
        <v>0</v>
      </c>
      <c r="AQ19" s="16">
        <v>2.04</v>
      </c>
      <c r="AR19" s="16">
        <v>0.56299999999999994</v>
      </c>
      <c r="AS19" s="16">
        <v>0.56299999999999994</v>
      </c>
      <c r="AT19" s="16" t="s">
        <v>124</v>
      </c>
      <c r="AU19" s="16"/>
      <c r="AV19" s="16"/>
      <c r="AW19" s="22">
        <v>1</v>
      </c>
      <c r="AX19" s="16">
        <v>2</v>
      </c>
      <c r="AY19" s="16">
        <f>7/AS19</f>
        <v>12.433392539964478</v>
      </c>
      <c r="AZ19" s="18">
        <v>1</v>
      </c>
      <c r="BA19" s="16">
        <v>1</v>
      </c>
      <c r="BB19" s="16">
        <f>2/AS19</f>
        <v>3.5523978685612794</v>
      </c>
      <c r="BC19" s="18">
        <v>0</v>
      </c>
      <c r="BD19" s="16">
        <v>0</v>
      </c>
      <c r="BE19" s="16">
        <v>0</v>
      </c>
      <c r="BF19" s="18">
        <v>1</v>
      </c>
      <c r="BG19" s="23">
        <v>2</v>
      </c>
      <c r="BH19" s="16">
        <f>2/AS19</f>
        <v>3.5523978685612794</v>
      </c>
      <c r="BI19" s="18">
        <v>0</v>
      </c>
      <c r="BJ19" s="16">
        <v>0</v>
      </c>
      <c r="BK19" s="16">
        <v>0</v>
      </c>
      <c r="BL19" s="16">
        <f>IF(BM19&gt;0,1,0)</f>
        <v>1</v>
      </c>
      <c r="BM19" s="16">
        <f>SUM(BR19,BU19,BX19,CA19,CD19,CG19,CJ19,CM19,CP19)</f>
        <v>1</v>
      </c>
      <c r="BN19" s="16">
        <f>SUM(BW19,BZ19,CC19,CF19,CI19,CL19,CO19,CR19,BT19)</f>
        <v>8.8809946714031973</v>
      </c>
      <c r="BO19" s="16">
        <f>IF(BP19&gt;0,1,0)</f>
        <v>1</v>
      </c>
      <c r="BP19" s="16">
        <f>SUM(BU19,BX19,CA19,CD19,BR19)</f>
        <v>1</v>
      </c>
      <c r="BQ19" s="16">
        <f>SUM(BZ19,CC19,CF19,BT19,BW19)</f>
        <v>8.8809946714031973</v>
      </c>
      <c r="BR19" s="18">
        <v>0</v>
      </c>
      <c r="BS19" s="16">
        <v>0</v>
      </c>
      <c r="BT19" s="23">
        <f>BS19/AS19</f>
        <v>0</v>
      </c>
      <c r="BU19" s="18">
        <v>0</v>
      </c>
      <c r="BV19" s="16">
        <v>0</v>
      </c>
      <c r="BW19" s="18">
        <f>BV19/AS19</f>
        <v>0</v>
      </c>
      <c r="BX19" s="24">
        <v>1</v>
      </c>
      <c r="BY19" s="16">
        <v>5</v>
      </c>
      <c r="BZ19" s="16">
        <f>BY19/AS19</f>
        <v>8.8809946714031973</v>
      </c>
      <c r="CA19" s="24">
        <v>0</v>
      </c>
      <c r="CB19" s="16">
        <v>0</v>
      </c>
      <c r="CC19" s="16">
        <v>0</v>
      </c>
      <c r="CD19" s="25">
        <v>0</v>
      </c>
      <c r="CE19" s="16">
        <v>0</v>
      </c>
      <c r="CF19" s="16">
        <v>0</v>
      </c>
      <c r="CG19" s="16"/>
      <c r="CH19" s="16"/>
      <c r="CI19" s="16"/>
      <c r="CJ19" s="16"/>
      <c r="CK19" s="16"/>
      <c r="CL19" s="16"/>
      <c r="CM19" s="16"/>
      <c r="CN19" s="16"/>
      <c r="CO19" s="16"/>
      <c r="CP19" s="16" t="s">
        <v>123</v>
      </c>
      <c r="CQ19" s="16">
        <v>0</v>
      </c>
      <c r="CR19" s="16">
        <v>0</v>
      </c>
      <c r="CS19" s="18">
        <f>IF(CT19&gt;0,1,0)</f>
        <v>0</v>
      </c>
      <c r="CT19" s="25">
        <f>SUM(CW19,CZ19,DC19)</f>
        <v>0</v>
      </c>
      <c r="CU19" s="25"/>
      <c r="CV19" s="16">
        <v>0</v>
      </c>
      <c r="CW19" s="25">
        <v>0</v>
      </c>
      <c r="CX19" s="16">
        <v>0</v>
      </c>
      <c r="CY19" s="16">
        <v>0</v>
      </c>
      <c r="CZ19" s="18">
        <v>0</v>
      </c>
      <c r="DA19" s="16">
        <v>0</v>
      </c>
      <c r="DB19" s="16">
        <v>0</v>
      </c>
      <c r="DC19" s="18">
        <v>0</v>
      </c>
      <c r="DD19" s="16">
        <v>0</v>
      </c>
      <c r="DE19" s="16">
        <v>0</v>
      </c>
      <c r="DF19" s="16" t="e">
        <f>VLOOKUP(K19,'[3]RNA Seq summary tables'!$V$3:$V$99,1,FALSE)</f>
        <v>#N/A</v>
      </c>
      <c r="DG19" s="16">
        <v>1</v>
      </c>
      <c r="DH19" s="16" t="str">
        <f>VLOOKUP(D19,'[8]Data with duplicates'!$B$1:$J$70,9,FALSE)</f>
        <v>sample.27</v>
      </c>
      <c r="DI19" s="16"/>
      <c r="DJ19" s="16"/>
      <c r="DK19" s="16"/>
      <c r="DL19" s="16"/>
      <c r="DM19" s="16"/>
      <c r="DN19" s="16"/>
      <c r="DO19" s="16"/>
      <c r="DP19" s="16"/>
      <c r="DQ19" s="16"/>
      <c r="DR19" s="16"/>
      <c r="DS19" s="16"/>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18"/>
      <c r="HN19" s="18"/>
      <c r="HO19" s="18"/>
      <c r="HP19" s="18"/>
      <c r="HQ19" s="18"/>
      <c r="HR19" s="18"/>
      <c r="HS19" s="18"/>
      <c r="HT19" s="18"/>
      <c r="HU19" s="18"/>
      <c r="HV19" s="18"/>
      <c r="HW19" s="18"/>
      <c r="HX19" s="18"/>
      <c r="HY19" s="18"/>
      <c r="HZ19" s="18"/>
      <c r="IA19" s="18"/>
      <c r="IB19" s="18"/>
      <c r="IC19" s="18"/>
      <c r="ID19" s="18"/>
      <c r="IE19" s="18"/>
      <c r="IF19" s="18"/>
      <c r="IG19" s="18"/>
      <c r="IH19" s="18"/>
      <c r="II19" s="18"/>
      <c r="IJ19" s="18"/>
      <c r="IK19" s="18"/>
      <c r="IL19" s="18"/>
      <c r="IM19" s="18"/>
      <c r="IN19" s="18"/>
      <c r="IO19" s="18"/>
      <c r="IP19" s="18"/>
      <c r="IQ19" s="18"/>
      <c r="IR19" s="18"/>
      <c r="IS19" s="18"/>
      <c r="IT19" s="18"/>
      <c r="IU19" s="18"/>
      <c r="IV19" s="18"/>
      <c r="IW19" s="18"/>
      <c r="IX19" s="18"/>
      <c r="IY19" s="18"/>
      <c r="IZ19" s="18"/>
      <c r="JA19" s="18"/>
      <c r="JB19" s="18"/>
      <c r="JC19" s="18"/>
      <c r="JD19" s="18"/>
      <c r="JE19" s="18"/>
      <c r="JF19" s="18"/>
      <c r="JG19" s="18"/>
      <c r="JH19" s="18"/>
      <c r="JI19" s="18"/>
      <c r="JJ19" s="18"/>
      <c r="JK19" s="18"/>
      <c r="JL19" s="18"/>
      <c r="JM19" s="18"/>
      <c r="JN19" s="18"/>
      <c r="JO19" s="16"/>
      <c r="JP19" s="16"/>
      <c r="JQ19" s="16"/>
      <c r="JR19" s="16"/>
      <c r="JS19" s="16"/>
      <c r="JT19" s="16"/>
      <c r="JU19" s="16"/>
      <c r="JV19" s="16"/>
      <c r="JW19" s="16"/>
      <c r="JX19" s="16"/>
      <c r="JY19" s="16"/>
      <c r="JZ19" s="16"/>
      <c r="KA19" s="16"/>
      <c r="KB19" s="16"/>
    </row>
    <row r="20" spans="1:288" s="26" customFormat="1" x14ac:dyDescent="0.2">
      <c r="A20" s="18"/>
      <c r="B20" s="16">
        <v>2016</v>
      </c>
      <c r="C20" s="20">
        <v>42528</v>
      </c>
      <c r="D20" s="20" t="str">
        <f>CONCATENATE(J20,"-",C20)</f>
        <v>936-42528</v>
      </c>
      <c r="E20" s="20" t="str">
        <f>CONCATENATE(T20,"-",U20,"-",C20)</f>
        <v>BC1-C2-42528</v>
      </c>
      <c r="F20" s="20" t="s">
        <v>106</v>
      </c>
      <c r="G20" s="20" t="s">
        <v>107</v>
      </c>
      <c r="H20" s="16"/>
      <c r="I20" s="16">
        <v>0</v>
      </c>
      <c r="J20" s="21">
        <v>936</v>
      </c>
      <c r="K20" s="21">
        <v>1419</v>
      </c>
      <c r="L20" s="16">
        <v>0</v>
      </c>
      <c r="M20" s="15">
        <f>VLOOKUP(K20,'[7]MLBS 2016 SNV-nem Coinfection d'!$C$1:$G$238,4,FALSE)</f>
        <v>0</v>
      </c>
      <c r="N20" s="15">
        <v>0</v>
      </c>
      <c r="O20" s="15" t="s">
        <v>119</v>
      </c>
      <c r="P20" s="16" t="s">
        <v>119</v>
      </c>
      <c r="Q20" s="16">
        <v>0</v>
      </c>
      <c r="R20" s="16" t="s">
        <v>111</v>
      </c>
      <c r="S20" s="16"/>
      <c r="T20" s="16" t="s">
        <v>159</v>
      </c>
      <c r="U20" s="16" t="s">
        <v>162</v>
      </c>
      <c r="V20" s="16" t="s">
        <v>114</v>
      </c>
      <c r="W20" s="16">
        <f>AI20/AG20</f>
        <v>0.85365853658536583</v>
      </c>
      <c r="X20" s="16" t="s">
        <v>121</v>
      </c>
      <c r="Y20" s="16" t="s">
        <v>122</v>
      </c>
      <c r="Z20" s="16">
        <v>2.6</v>
      </c>
      <c r="AA20" s="16" t="s">
        <v>119</v>
      </c>
      <c r="AB20" s="16" t="s">
        <v>123</v>
      </c>
      <c r="AC20" s="16" t="s">
        <v>123</v>
      </c>
      <c r="AD20" s="16" t="s">
        <v>123</v>
      </c>
      <c r="AE20" s="16"/>
      <c r="AF20" s="16"/>
      <c r="AG20" s="16">
        <f>152-70</f>
        <v>82</v>
      </c>
      <c r="AH20" s="16">
        <v>152</v>
      </c>
      <c r="AI20" s="16">
        <v>70</v>
      </c>
      <c r="AJ20" s="16"/>
      <c r="AK20" s="16">
        <v>14.5</v>
      </c>
      <c r="AL20" s="16">
        <v>0</v>
      </c>
      <c r="AM20" s="16">
        <v>0</v>
      </c>
      <c r="AN20" s="16">
        <v>0</v>
      </c>
      <c r="AO20" s="16">
        <f>IF(SUM(AL20:AN20)&gt;0,1,0)</f>
        <v>0</v>
      </c>
      <c r="AP20" s="16">
        <f>SUM(AL20:AN20)</f>
        <v>0</v>
      </c>
      <c r="AQ20" s="16"/>
      <c r="AR20" s="16">
        <v>0.14299999999999999</v>
      </c>
      <c r="AS20" s="16">
        <v>0.14299999999999999</v>
      </c>
      <c r="AT20" s="18" t="s">
        <v>117</v>
      </c>
      <c r="AU20" s="18"/>
      <c r="AV20" s="16"/>
      <c r="AW20" s="22">
        <v>1</v>
      </c>
      <c r="AX20" s="16"/>
      <c r="AY20" s="16">
        <f>2197/0.143</f>
        <v>15363.636363636366</v>
      </c>
      <c r="AZ20" s="18">
        <v>1</v>
      </c>
      <c r="BA20" s="16"/>
      <c r="BB20" s="16">
        <f>2197/0.143</f>
        <v>15363.636363636366</v>
      </c>
      <c r="BC20" s="16">
        <v>1</v>
      </c>
      <c r="BD20" s="16">
        <v>30</v>
      </c>
      <c r="BE20" s="16">
        <f>30/0.143</f>
        <v>209.79020979020981</v>
      </c>
      <c r="BF20" s="18">
        <v>1</v>
      </c>
      <c r="BG20" s="23">
        <v>2164</v>
      </c>
      <c r="BH20" s="16">
        <f>2164/0.143</f>
        <v>15132.867132867133</v>
      </c>
      <c r="BI20" s="16">
        <v>1</v>
      </c>
      <c r="BJ20" s="16">
        <v>3</v>
      </c>
      <c r="BK20" s="16">
        <f>3/0.143</f>
        <v>20.97902097902098</v>
      </c>
      <c r="BL20" s="16">
        <f>IF(BM20&gt;0,1,0)</f>
        <v>0</v>
      </c>
      <c r="BM20" s="16">
        <f>SUM(BR20,BU20,BX20,CA20,CD20,CG20,CJ20,CM20,CP20)</f>
        <v>0</v>
      </c>
      <c r="BN20" s="16">
        <f>SUM(BW20,BZ20,CC20,CF20,CI20,CL20,CO20,CR20,BT20)</f>
        <v>0</v>
      </c>
      <c r="BO20" s="16">
        <f>IF(BP20&gt;0,1,0)</f>
        <v>0</v>
      </c>
      <c r="BP20" s="16">
        <f>SUM(BU20,BX20,CA20,CD20,BR20)</f>
        <v>0</v>
      </c>
      <c r="BQ20" s="16">
        <f>SUM(BZ20,CC20,CF20,BT20,BW20)</f>
        <v>0</v>
      </c>
      <c r="BR20" s="18">
        <v>0</v>
      </c>
      <c r="BS20" s="16">
        <v>0</v>
      </c>
      <c r="BT20" s="23">
        <f>BS20/AS20</f>
        <v>0</v>
      </c>
      <c r="BU20" s="18">
        <v>0</v>
      </c>
      <c r="BV20" s="16">
        <v>0</v>
      </c>
      <c r="BW20" s="18">
        <f>BV20/AS20</f>
        <v>0</v>
      </c>
      <c r="BX20" s="18">
        <v>0</v>
      </c>
      <c r="BY20" s="16">
        <v>0</v>
      </c>
      <c r="BZ20" s="16">
        <f>BY20/AS20</f>
        <v>0</v>
      </c>
      <c r="CA20" s="24">
        <v>0</v>
      </c>
      <c r="CB20" s="16">
        <v>0</v>
      </c>
      <c r="CC20" s="16">
        <v>0</v>
      </c>
      <c r="CD20" s="25">
        <v>0</v>
      </c>
      <c r="CE20" s="16">
        <v>0</v>
      </c>
      <c r="CF20" s="16">
        <v>0</v>
      </c>
      <c r="CG20" s="16"/>
      <c r="CH20" s="16"/>
      <c r="CI20" s="16"/>
      <c r="CJ20" s="16"/>
      <c r="CK20" s="16"/>
      <c r="CL20" s="16"/>
      <c r="CM20" s="16"/>
      <c r="CN20" s="16"/>
      <c r="CO20" s="16"/>
      <c r="CP20" s="16" t="s">
        <v>123</v>
      </c>
      <c r="CQ20" s="16">
        <v>0</v>
      </c>
      <c r="CR20" s="16">
        <v>0</v>
      </c>
      <c r="CS20" s="18">
        <f>IF(CT20&gt;0,1,0)</f>
        <v>0</v>
      </c>
      <c r="CT20" s="25">
        <f>SUM(CW20,CZ20,DC20)</f>
        <v>0</v>
      </c>
      <c r="CU20" s="25"/>
      <c r="CV20" s="16">
        <v>0</v>
      </c>
      <c r="CW20" s="25">
        <v>0</v>
      </c>
      <c r="CX20" s="16">
        <v>0</v>
      </c>
      <c r="CY20" s="16">
        <v>0</v>
      </c>
      <c r="CZ20" s="18">
        <v>0</v>
      </c>
      <c r="DA20" s="16">
        <v>0</v>
      </c>
      <c r="DB20" s="16">
        <v>0</v>
      </c>
      <c r="DC20" s="18">
        <v>0</v>
      </c>
      <c r="DD20" s="16">
        <v>0</v>
      </c>
      <c r="DE20" s="16">
        <v>0</v>
      </c>
      <c r="DF20" s="16" t="e">
        <f>VLOOKUP(K20,'[3]RNA Seq summary tables'!$V$3:$V$99,1,FALSE)</f>
        <v>#N/A</v>
      </c>
      <c r="DG20" s="16"/>
      <c r="DH20" s="16"/>
      <c r="DI20" s="16"/>
      <c r="DJ20" s="16"/>
      <c r="DK20" s="16"/>
      <c r="DL20" s="16"/>
      <c r="DM20" s="16"/>
      <c r="DN20" s="16"/>
      <c r="DO20" s="16"/>
      <c r="DP20" s="16"/>
      <c r="DQ20" s="16"/>
      <c r="DR20" s="16"/>
      <c r="DS20" s="16"/>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8"/>
      <c r="HA20" s="18"/>
      <c r="HB20" s="18"/>
      <c r="HC20" s="18"/>
      <c r="HD20" s="18"/>
      <c r="HE20" s="18"/>
      <c r="HF20" s="18"/>
      <c r="HG20" s="18"/>
      <c r="HH20" s="18"/>
      <c r="HI20" s="18"/>
      <c r="HJ20" s="18"/>
      <c r="HK20" s="18"/>
      <c r="HL20" s="18"/>
      <c r="HM20" s="18"/>
      <c r="HN20" s="18"/>
      <c r="HO20" s="18"/>
      <c r="HP20" s="18"/>
      <c r="HQ20" s="18"/>
      <c r="HR20" s="18"/>
      <c r="HS20" s="18"/>
      <c r="HT20" s="18"/>
      <c r="HU20" s="18"/>
      <c r="HV20" s="18"/>
      <c r="HW20" s="18"/>
      <c r="HX20" s="18"/>
      <c r="HY20" s="18"/>
      <c r="HZ20" s="18"/>
      <c r="IA20" s="18"/>
      <c r="IB20" s="18"/>
      <c r="IC20" s="18"/>
      <c r="ID20" s="18"/>
      <c r="IE20" s="18"/>
      <c r="IF20" s="18"/>
      <c r="IG20" s="18"/>
      <c r="IH20" s="18"/>
      <c r="II20" s="18"/>
      <c r="IJ20" s="18"/>
      <c r="IK20" s="18"/>
      <c r="IL20" s="18"/>
      <c r="IM20" s="18"/>
      <c r="IN20" s="18"/>
      <c r="IO20" s="18"/>
      <c r="IP20" s="18"/>
      <c r="IQ20" s="18"/>
      <c r="IR20" s="18"/>
      <c r="IS20" s="18"/>
      <c r="IT20" s="18"/>
      <c r="IU20" s="18"/>
      <c r="IV20" s="18"/>
      <c r="IW20" s="18"/>
      <c r="IX20" s="18"/>
      <c r="IY20" s="18"/>
      <c r="IZ20" s="18"/>
      <c r="JA20" s="18"/>
      <c r="JB20" s="18"/>
      <c r="JC20" s="18"/>
      <c r="JD20" s="18"/>
      <c r="JE20" s="18"/>
      <c r="JF20" s="18"/>
      <c r="JG20" s="18"/>
      <c r="JH20" s="18"/>
      <c r="JI20" s="18"/>
      <c r="JJ20" s="18"/>
      <c r="JK20" s="18"/>
      <c r="JL20" s="18"/>
      <c r="JM20" s="18"/>
      <c r="JN20" s="18"/>
      <c r="JP20" s="16"/>
      <c r="JQ20" s="16"/>
      <c r="JR20" s="16"/>
      <c r="JS20" s="16"/>
      <c r="JT20" s="16"/>
      <c r="JU20" s="16"/>
      <c r="JV20" s="16"/>
      <c r="JW20" s="16"/>
      <c r="JX20" s="16"/>
      <c r="JY20" s="16"/>
      <c r="JZ20" s="16"/>
      <c r="KA20" s="16"/>
      <c r="KB20" s="16"/>
    </row>
    <row r="21" spans="1:288" s="26" customFormat="1" x14ac:dyDescent="0.2">
      <c r="A21" s="18"/>
      <c r="B21" s="16">
        <v>2016</v>
      </c>
      <c r="C21" s="20">
        <v>42541</v>
      </c>
      <c r="D21" s="20" t="str">
        <f>CONCATENATE(J21,"-",C21)</f>
        <v>936-42541</v>
      </c>
      <c r="E21" s="20" t="str">
        <f>CONCATENATE(T21,"-",U21,"-",C21)</f>
        <v>BC1-G7-42541</v>
      </c>
      <c r="F21" s="20" t="s">
        <v>106</v>
      </c>
      <c r="G21" s="20" t="s">
        <v>107</v>
      </c>
      <c r="H21" s="16"/>
      <c r="I21" s="16">
        <v>0</v>
      </c>
      <c r="J21" s="21">
        <v>936</v>
      </c>
      <c r="K21" s="21">
        <v>1398</v>
      </c>
      <c r="L21" s="16">
        <v>0</v>
      </c>
      <c r="M21" s="15">
        <f>VLOOKUP(K21,'[7]MLBS 2016 SNV-nem Coinfection d'!$C$1:$G$238,4,FALSE)</f>
        <v>0</v>
      </c>
      <c r="N21" s="15">
        <v>0</v>
      </c>
      <c r="O21" s="15" t="s">
        <v>119</v>
      </c>
      <c r="P21" s="16" t="s">
        <v>119</v>
      </c>
      <c r="Q21" s="16">
        <v>0</v>
      </c>
      <c r="R21" s="16">
        <v>13</v>
      </c>
      <c r="S21" s="16"/>
      <c r="T21" s="16" t="s">
        <v>159</v>
      </c>
      <c r="U21" s="16" t="s">
        <v>156</v>
      </c>
      <c r="V21" s="16" t="s">
        <v>114</v>
      </c>
      <c r="W21" s="16">
        <f>AI21/AG21</f>
        <v>0.81176470588235294</v>
      </c>
      <c r="X21" s="16" t="s">
        <v>121</v>
      </c>
      <c r="Y21" s="16" t="s">
        <v>110</v>
      </c>
      <c r="Z21" s="16">
        <v>3</v>
      </c>
      <c r="AA21" s="16" t="s">
        <v>161</v>
      </c>
      <c r="AB21" s="16" t="s">
        <v>123</v>
      </c>
      <c r="AC21" s="16" t="s">
        <v>123</v>
      </c>
      <c r="AD21" s="16" t="s">
        <v>116</v>
      </c>
      <c r="AE21" s="16"/>
      <c r="AF21" s="16"/>
      <c r="AG21" s="16">
        <f>AH21-AI21</f>
        <v>85</v>
      </c>
      <c r="AH21" s="16">
        <v>154</v>
      </c>
      <c r="AI21" s="16">
        <v>69</v>
      </c>
      <c r="AJ21" s="16"/>
      <c r="AK21" s="16">
        <v>18</v>
      </c>
      <c r="AL21" s="16">
        <v>0</v>
      </c>
      <c r="AM21" s="16">
        <v>0</v>
      </c>
      <c r="AN21" s="16">
        <v>0</v>
      </c>
      <c r="AO21" s="16">
        <f>IF(SUM(AL21:AN21)&gt;0,1,0)</f>
        <v>0</v>
      </c>
      <c r="AP21" s="16">
        <f>SUM(AL21:AN21)</f>
        <v>0</v>
      </c>
      <c r="AQ21" s="16"/>
      <c r="AR21" s="16">
        <v>0.17599999999999999</v>
      </c>
      <c r="AS21" s="16">
        <v>0.17599999999999999</v>
      </c>
      <c r="AT21" s="18" t="s">
        <v>117</v>
      </c>
      <c r="AU21" s="18"/>
      <c r="AV21" s="16"/>
      <c r="AW21" s="22">
        <v>1</v>
      </c>
      <c r="AX21" s="16">
        <v>2</v>
      </c>
      <c r="AY21" s="16">
        <f>60/0.176</f>
        <v>340.90909090909093</v>
      </c>
      <c r="AZ21" s="18">
        <v>1</v>
      </c>
      <c r="BA21" s="16"/>
      <c r="BB21" s="16">
        <f>60/0.176</f>
        <v>340.90909090909093</v>
      </c>
      <c r="BC21" s="16">
        <v>1</v>
      </c>
      <c r="BD21" s="16">
        <v>3</v>
      </c>
      <c r="BE21" s="16">
        <f>3/0.176</f>
        <v>17.045454545454547</v>
      </c>
      <c r="BF21" s="16"/>
      <c r="BG21" s="23">
        <v>57</v>
      </c>
      <c r="BH21" s="16">
        <f>57/0.176</f>
        <v>323.86363636363637</v>
      </c>
      <c r="BI21" s="18">
        <v>0</v>
      </c>
      <c r="BJ21" s="16">
        <v>0</v>
      </c>
      <c r="BK21" s="16">
        <v>0</v>
      </c>
      <c r="BL21" s="16">
        <f>IF(BM21&gt;0,1,0)</f>
        <v>0</v>
      </c>
      <c r="BM21" s="16">
        <f>SUM(BR21,BU21,BX21,CA21,CD21,CG21,CJ21,CM21,CP21)</f>
        <v>0</v>
      </c>
      <c r="BN21" s="16">
        <f>SUM(BW21,BZ21,CC21,CF21,CI21,CL21,CO21,CR21,BT21)</f>
        <v>0</v>
      </c>
      <c r="BO21" s="16">
        <f>IF(BP21&gt;0,1,0)</f>
        <v>0</v>
      </c>
      <c r="BP21" s="16">
        <f>SUM(BU21,BX21,CA21,CD21,BR21)</f>
        <v>0</v>
      </c>
      <c r="BQ21" s="16">
        <f>SUM(BZ21,CC21,CF21,BT21,BW21)</f>
        <v>0</v>
      </c>
      <c r="BR21" s="18">
        <v>0</v>
      </c>
      <c r="BS21" s="16">
        <v>0</v>
      </c>
      <c r="BT21" s="23">
        <f>BS21/AS21</f>
        <v>0</v>
      </c>
      <c r="BU21" s="18">
        <v>0</v>
      </c>
      <c r="BV21" s="16">
        <v>0</v>
      </c>
      <c r="BW21" s="18">
        <f>BV21/AS21</f>
        <v>0</v>
      </c>
      <c r="BX21" s="18">
        <v>0</v>
      </c>
      <c r="BY21" s="16">
        <v>0</v>
      </c>
      <c r="BZ21" s="16">
        <f>BY21/AS21</f>
        <v>0</v>
      </c>
      <c r="CA21" s="24">
        <v>0</v>
      </c>
      <c r="CB21" s="16">
        <v>0</v>
      </c>
      <c r="CC21" s="16">
        <v>0</v>
      </c>
      <c r="CD21" s="25">
        <v>0</v>
      </c>
      <c r="CE21" s="16">
        <v>0</v>
      </c>
      <c r="CF21" s="16">
        <v>0</v>
      </c>
      <c r="CG21" s="16"/>
      <c r="CH21" s="16"/>
      <c r="CI21" s="16"/>
      <c r="CJ21" s="16"/>
      <c r="CK21" s="16"/>
      <c r="CL21" s="16"/>
      <c r="CM21" s="16"/>
      <c r="CN21" s="16"/>
      <c r="CO21" s="16"/>
      <c r="CP21" s="16" t="s">
        <v>123</v>
      </c>
      <c r="CQ21" s="16">
        <v>0</v>
      </c>
      <c r="CR21" s="16">
        <v>0</v>
      </c>
      <c r="CS21" s="18">
        <f>IF(CT21&gt;0,1,0)</f>
        <v>0</v>
      </c>
      <c r="CT21" s="25">
        <f>SUM(CW21,CZ21,DC21)</f>
        <v>0</v>
      </c>
      <c r="CU21" s="25"/>
      <c r="CV21" s="16">
        <v>0</v>
      </c>
      <c r="CW21" s="25">
        <v>0</v>
      </c>
      <c r="CX21" s="16">
        <v>0</v>
      </c>
      <c r="CY21" s="16">
        <v>0</v>
      </c>
      <c r="CZ21" s="18">
        <v>0</v>
      </c>
      <c r="DA21" s="16">
        <v>0</v>
      </c>
      <c r="DB21" s="16">
        <v>0</v>
      </c>
      <c r="DC21" s="18">
        <v>0</v>
      </c>
      <c r="DD21" s="16">
        <v>0</v>
      </c>
      <c r="DE21" s="16">
        <v>0</v>
      </c>
      <c r="DF21" s="16" t="e">
        <f>VLOOKUP(K21,'[3]RNA Seq summary tables'!$V$3:$V$99,1,FALSE)</f>
        <v>#N/A</v>
      </c>
      <c r="DG21" s="16"/>
      <c r="DH21" s="16"/>
      <c r="DI21" s="16"/>
      <c r="DJ21" s="16"/>
      <c r="DK21" s="16"/>
      <c r="DL21" s="16"/>
      <c r="DM21" s="16"/>
      <c r="DN21" s="16"/>
      <c r="DO21" s="16"/>
      <c r="DP21" s="16"/>
      <c r="DQ21" s="16"/>
      <c r="DR21" s="16"/>
      <c r="DS21" s="16"/>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c r="IJ21" s="18"/>
      <c r="IK21" s="18"/>
      <c r="IL21" s="18"/>
      <c r="IM21" s="18"/>
      <c r="IN21" s="18"/>
      <c r="IO21" s="18"/>
      <c r="IP21" s="18"/>
      <c r="IQ21" s="18"/>
      <c r="IR21" s="18"/>
      <c r="IS21" s="18"/>
      <c r="IT21" s="18"/>
      <c r="IU21" s="18"/>
      <c r="IV21" s="18"/>
      <c r="IW21" s="18"/>
      <c r="IX21" s="18"/>
      <c r="IY21" s="18"/>
      <c r="IZ21" s="18"/>
      <c r="JA21" s="18"/>
      <c r="JB21" s="18"/>
      <c r="JC21" s="18"/>
      <c r="JD21" s="18"/>
      <c r="JE21" s="18"/>
      <c r="JF21" s="18"/>
      <c r="JG21" s="18"/>
      <c r="JH21" s="18"/>
      <c r="JI21" s="18"/>
      <c r="JJ21" s="18"/>
      <c r="JK21" s="18"/>
      <c r="JL21" s="18"/>
      <c r="JM21" s="18"/>
      <c r="JN21" s="18"/>
      <c r="JO21" s="18"/>
      <c r="JR21" s="38"/>
      <c r="JS21" s="38"/>
      <c r="JT21" s="38"/>
      <c r="JU21" s="38"/>
      <c r="JV21" s="38"/>
      <c r="JW21" s="38"/>
      <c r="JX21" s="38"/>
      <c r="JY21" s="38"/>
      <c r="JZ21" s="38"/>
      <c r="KA21" s="38"/>
      <c r="KB21" s="38"/>
    </row>
    <row r="22" spans="1:288" s="19" customFormat="1" x14ac:dyDescent="0.2">
      <c r="A22" s="18"/>
      <c r="B22" s="16">
        <v>2016</v>
      </c>
      <c r="C22" s="20">
        <v>42541</v>
      </c>
      <c r="D22" s="20" t="str">
        <f>CONCATENATE(J22,"-",C22)</f>
        <v>937-42541</v>
      </c>
      <c r="E22" s="20" t="str">
        <f>CONCATENATE(T22,"-",U22,"-",C22)</f>
        <v>BC1-F7-42541</v>
      </c>
      <c r="F22" s="20" t="s">
        <v>106</v>
      </c>
      <c r="G22" s="20" t="s">
        <v>107</v>
      </c>
      <c r="H22" s="16"/>
      <c r="I22" s="16">
        <v>0</v>
      </c>
      <c r="J22" s="21">
        <v>937</v>
      </c>
      <c r="K22" s="21">
        <v>1397</v>
      </c>
      <c r="L22" s="16">
        <v>0</v>
      </c>
      <c r="M22" s="15">
        <f>VLOOKUP(K22,'[7]MLBS 2016 SNV-nem Coinfection d'!$C$1:$G$238,4,FALSE)</f>
        <v>0</v>
      </c>
      <c r="N22" s="15">
        <v>0</v>
      </c>
      <c r="O22" s="15" t="s">
        <v>119</v>
      </c>
      <c r="P22" s="16" t="s">
        <v>119</v>
      </c>
      <c r="Q22" s="16">
        <v>0</v>
      </c>
      <c r="R22" s="16" t="s">
        <v>111</v>
      </c>
      <c r="S22" s="16"/>
      <c r="T22" s="16" t="s">
        <v>159</v>
      </c>
      <c r="U22" s="16" t="s">
        <v>189</v>
      </c>
      <c r="V22" s="16" t="s">
        <v>114</v>
      </c>
      <c r="W22" s="16">
        <f>AI22/AG22</f>
        <v>0.86585365853658536</v>
      </c>
      <c r="X22" s="16" t="s">
        <v>115</v>
      </c>
      <c r="Y22" s="16" t="s">
        <v>122</v>
      </c>
      <c r="Z22" s="16">
        <v>2.9</v>
      </c>
      <c r="AA22" s="16"/>
      <c r="AB22" s="16"/>
      <c r="AC22" s="16"/>
      <c r="AD22" s="16"/>
      <c r="AE22" s="16" t="s">
        <v>123</v>
      </c>
      <c r="AF22" s="16" t="s">
        <v>123</v>
      </c>
      <c r="AG22" s="16">
        <f>AH22-AI22</f>
        <v>82</v>
      </c>
      <c r="AH22" s="16">
        <v>153</v>
      </c>
      <c r="AI22" s="16">
        <v>71</v>
      </c>
      <c r="AJ22" s="16"/>
      <c r="AK22" s="16">
        <v>16.5</v>
      </c>
      <c r="AL22" s="16">
        <v>0</v>
      </c>
      <c r="AM22" s="16">
        <v>0</v>
      </c>
      <c r="AN22" s="16">
        <v>0</v>
      </c>
      <c r="AO22" s="16">
        <f>IF(SUM(AL22:AN22)&gt;0,1,0)</f>
        <v>0</v>
      </c>
      <c r="AP22" s="16">
        <f>SUM(AL22:AN22)</f>
        <v>0</v>
      </c>
      <c r="AQ22" s="16">
        <f>1.477+0.062</f>
        <v>1.5390000000000001</v>
      </c>
      <c r="AR22" s="16">
        <v>6.2E-2</v>
      </c>
      <c r="AS22" s="16">
        <v>6.2E-2</v>
      </c>
      <c r="AT22" s="16" t="s">
        <v>124</v>
      </c>
      <c r="AU22" s="16"/>
      <c r="AV22" s="16"/>
      <c r="AW22" s="22">
        <v>1</v>
      </c>
      <c r="AX22" s="16"/>
      <c r="AY22" s="16">
        <f>3/AS22</f>
        <v>48.387096774193552</v>
      </c>
      <c r="AZ22" s="18">
        <v>1</v>
      </c>
      <c r="BA22" s="16"/>
      <c r="BB22" s="16">
        <f>2/AS22</f>
        <v>32.258064516129032</v>
      </c>
      <c r="BC22" s="16">
        <v>1</v>
      </c>
      <c r="BD22" s="16">
        <v>1</v>
      </c>
      <c r="BE22" s="16">
        <f>1/AS22</f>
        <v>16.129032258064516</v>
      </c>
      <c r="BF22" s="18">
        <v>1</v>
      </c>
      <c r="BG22" s="23">
        <v>1</v>
      </c>
      <c r="BH22" s="16">
        <f>1/AS22</f>
        <v>16.129032258064516</v>
      </c>
      <c r="BI22" s="18">
        <v>0</v>
      </c>
      <c r="BJ22" s="16">
        <v>0</v>
      </c>
      <c r="BK22" s="16">
        <v>0</v>
      </c>
      <c r="BL22" s="16">
        <f>IF(BM22&gt;0,1,0)</f>
        <v>0</v>
      </c>
      <c r="BM22" s="16">
        <f>SUM(BR22,BU22,BX22,CA22,CD22,CG22,CJ22,CM22,CP22)</f>
        <v>0</v>
      </c>
      <c r="BN22" s="16">
        <f>SUM(BW22,BZ22,CC22,CF22,CI22,CL22,CO22,CR22,BT22)</f>
        <v>0</v>
      </c>
      <c r="BO22" s="16">
        <f>IF(BP22&gt;0,1,0)</f>
        <v>0</v>
      </c>
      <c r="BP22" s="16">
        <f>SUM(BU22,BX22,CA22,CD22,BR22)</f>
        <v>0</v>
      </c>
      <c r="BQ22" s="16">
        <f>SUM(BZ22,CC22,CF22,BT22,BW22)</f>
        <v>0</v>
      </c>
      <c r="BR22" s="18">
        <v>0</v>
      </c>
      <c r="BS22" s="16">
        <v>0</v>
      </c>
      <c r="BT22" s="23">
        <f>BS22/AS22</f>
        <v>0</v>
      </c>
      <c r="BU22" s="18">
        <v>0</v>
      </c>
      <c r="BV22" s="16">
        <v>0</v>
      </c>
      <c r="BW22" s="18">
        <f>BV22/AS22</f>
        <v>0</v>
      </c>
      <c r="BX22" s="18">
        <v>0</v>
      </c>
      <c r="BY22" s="16">
        <v>0</v>
      </c>
      <c r="BZ22" s="16">
        <f>BY22/AS22</f>
        <v>0</v>
      </c>
      <c r="CA22" s="24">
        <v>0</v>
      </c>
      <c r="CB22" s="16">
        <v>0</v>
      </c>
      <c r="CC22" s="16">
        <v>0</v>
      </c>
      <c r="CD22" s="25">
        <v>0</v>
      </c>
      <c r="CE22" s="16">
        <v>0</v>
      </c>
      <c r="CF22" s="16">
        <v>0</v>
      </c>
      <c r="CG22" s="16"/>
      <c r="CH22" s="16"/>
      <c r="CI22" s="16"/>
      <c r="CJ22" s="16"/>
      <c r="CK22" s="16"/>
      <c r="CL22" s="16"/>
      <c r="CM22" s="16"/>
      <c r="CN22" s="16"/>
      <c r="CO22" s="16"/>
      <c r="CP22" s="16" t="s">
        <v>123</v>
      </c>
      <c r="CQ22" s="16">
        <v>0</v>
      </c>
      <c r="CR22" s="16">
        <v>0</v>
      </c>
      <c r="CS22" s="18">
        <f>IF(CT22&gt;0,1,0)</f>
        <v>1</v>
      </c>
      <c r="CT22" s="25">
        <f>SUM(CW22,CZ22,DC22)</f>
        <v>1</v>
      </c>
      <c r="CU22" s="25"/>
      <c r="CV22" s="16">
        <f>1/AS22</f>
        <v>16.129032258064516</v>
      </c>
      <c r="CW22" s="25">
        <v>0</v>
      </c>
      <c r="CX22" s="16">
        <v>0</v>
      </c>
      <c r="CY22" s="16">
        <v>0</v>
      </c>
      <c r="CZ22" s="16">
        <v>1</v>
      </c>
      <c r="DA22" s="16">
        <v>1</v>
      </c>
      <c r="DB22" s="16">
        <f>1/AS22</f>
        <v>16.129032258064516</v>
      </c>
      <c r="DC22" s="18">
        <v>0</v>
      </c>
      <c r="DD22" s="16">
        <v>0</v>
      </c>
      <c r="DE22" s="16">
        <v>0</v>
      </c>
      <c r="DF22" s="16" t="e">
        <f>VLOOKUP(K22,'[3]RNA Seq summary tables'!$V$3:$V$99,1,FALSE)</f>
        <v>#N/A</v>
      </c>
      <c r="DG22" s="16"/>
      <c r="DH22" s="16"/>
      <c r="DI22" s="16"/>
      <c r="DJ22" s="16"/>
      <c r="DK22" s="16"/>
      <c r="DL22" s="16"/>
      <c r="DM22" s="16"/>
      <c r="DN22" s="16"/>
      <c r="DO22" s="16"/>
      <c r="DP22" s="16"/>
      <c r="DQ22" s="16"/>
      <c r="DR22" s="16"/>
      <c r="DS22" s="16"/>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c r="IX22" s="18"/>
      <c r="IY22" s="18"/>
      <c r="IZ22" s="18"/>
      <c r="JA22" s="18"/>
      <c r="JB22" s="18"/>
      <c r="JC22" s="18"/>
      <c r="JD22" s="18"/>
      <c r="JE22" s="18"/>
      <c r="JF22" s="18"/>
      <c r="JG22" s="18"/>
      <c r="JH22" s="18"/>
      <c r="JI22" s="18"/>
      <c r="JJ22" s="18"/>
      <c r="JK22" s="18"/>
      <c r="JL22" s="18"/>
      <c r="JM22" s="18"/>
      <c r="JN22" s="18"/>
      <c r="JO22" s="39"/>
      <c r="JP22" s="16"/>
      <c r="JQ22" s="16"/>
      <c r="JR22" s="38"/>
      <c r="JS22" s="38"/>
      <c r="JT22" s="38"/>
      <c r="JU22" s="38"/>
      <c r="JV22" s="38"/>
      <c r="JW22" s="38"/>
      <c r="JX22" s="38"/>
      <c r="JY22" s="38"/>
      <c r="JZ22" s="38"/>
      <c r="KA22" s="38"/>
      <c r="KB22" s="38"/>
    </row>
    <row r="23" spans="1:288" s="19" customFormat="1" x14ac:dyDescent="0.2">
      <c r="A23" s="18"/>
      <c r="B23" s="16">
        <v>2016</v>
      </c>
      <c r="C23" s="20">
        <v>42552</v>
      </c>
      <c r="D23" s="20" t="str">
        <f>CONCATENATE(J23,"-",C23)</f>
        <v>938-42552</v>
      </c>
      <c r="E23" s="20" t="str">
        <f>CONCATENATE(T23,"-",U23,"-",C23)</f>
        <v>SP1-A6-42552</v>
      </c>
      <c r="F23" s="20" t="s">
        <v>106</v>
      </c>
      <c r="G23" s="20" t="s">
        <v>107</v>
      </c>
      <c r="H23" s="16" t="s">
        <v>203</v>
      </c>
      <c r="I23" s="16">
        <v>0</v>
      </c>
      <c r="J23" s="21">
        <v>938</v>
      </c>
      <c r="K23" s="21">
        <v>1448</v>
      </c>
      <c r="L23" s="18">
        <v>0</v>
      </c>
      <c r="M23" s="15">
        <f>VLOOKUP(K23,'[7]MLBS 2016 SNV-nem Coinfection d'!$C$1:$G$238,4,FALSE)</f>
        <v>0</v>
      </c>
      <c r="N23" s="15">
        <v>0</v>
      </c>
      <c r="O23" s="15" t="s">
        <v>119</v>
      </c>
      <c r="P23" s="16" t="s">
        <v>119</v>
      </c>
      <c r="Q23" s="16">
        <v>0</v>
      </c>
      <c r="R23" s="16" t="s">
        <v>111</v>
      </c>
      <c r="S23" s="16"/>
      <c r="T23" s="16" t="s">
        <v>140</v>
      </c>
      <c r="U23" s="16" t="s">
        <v>147</v>
      </c>
      <c r="V23" s="16" t="s">
        <v>142</v>
      </c>
      <c r="W23" s="16">
        <f>AI23/AG23</f>
        <v>0.55844155844155841</v>
      </c>
      <c r="X23" s="16" t="s">
        <v>115</v>
      </c>
      <c r="Y23" s="16" t="s">
        <v>110</v>
      </c>
      <c r="Z23" s="16">
        <v>3</v>
      </c>
      <c r="AA23" s="16"/>
      <c r="AB23" s="16"/>
      <c r="AC23" s="16"/>
      <c r="AD23" s="16"/>
      <c r="AE23" s="16" t="s">
        <v>123</v>
      </c>
      <c r="AF23" s="16" t="s">
        <v>123</v>
      </c>
      <c r="AG23" s="16">
        <f>AH23-AI23</f>
        <v>77</v>
      </c>
      <c r="AH23" s="16">
        <v>120</v>
      </c>
      <c r="AI23" s="18">
        <v>43</v>
      </c>
      <c r="AJ23" s="81" t="s">
        <v>320</v>
      </c>
      <c r="AK23" s="16">
        <v>15.5</v>
      </c>
      <c r="AL23" s="16">
        <v>0</v>
      </c>
      <c r="AM23" s="16">
        <v>0</v>
      </c>
      <c r="AN23" s="16">
        <v>0</v>
      </c>
      <c r="AO23" s="16">
        <f>IF(SUM(AL23:AN23)&gt;0,1,0)</f>
        <v>0</v>
      </c>
      <c r="AP23" s="16">
        <f>SUM(AL23:AN23)</f>
        <v>0</v>
      </c>
      <c r="AQ23" s="16">
        <v>1.6120000000000001</v>
      </c>
      <c r="AR23" s="16">
        <v>0.13500000000000001</v>
      </c>
      <c r="AS23" s="16">
        <v>0.13500000000000001</v>
      </c>
      <c r="AT23" s="16" t="s">
        <v>124</v>
      </c>
      <c r="AU23" s="16"/>
      <c r="AV23" s="16"/>
      <c r="AW23" s="22">
        <v>1</v>
      </c>
      <c r="AX23" s="16">
        <v>2</v>
      </c>
      <c r="AY23" s="16">
        <f>(5+10)/AS23</f>
        <v>111.1111111111111</v>
      </c>
      <c r="AZ23" s="18">
        <v>1</v>
      </c>
      <c r="BA23" s="16">
        <v>2</v>
      </c>
      <c r="BB23" s="16">
        <f>AY23</f>
        <v>111.1111111111111</v>
      </c>
      <c r="BC23" s="16">
        <v>1</v>
      </c>
      <c r="BD23" s="16">
        <v>5</v>
      </c>
      <c r="BE23" s="16">
        <f>5/AS23</f>
        <v>37.037037037037038</v>
      </c>
      <c r="BF23" s="18">
        <v>1</v>
      </c>
      <c r="BG23" s="23">
        <v>10</v>
      </c>
      <c r="BH23" s="16">
        <f>10/AS23</f>
        <v>74.074074074074076</v>
      </c>
      <c r="BI23" s="18">
        <v>0</v>
      </c>
      <c r="BJ23" s="16">
        <v>0</v>
      </c>
      <c r="BK23" s="16">
        <v>0</v>
      </c>
      <c r="BL23" s="16">
        <f>IF(BM23&gt;0,1,0)</f>
        <v>0</v>
      </c>
      <c r="BM23" s="16">
        <f>SUM(BR23,BU23,BX23,CA23,CD23,CG23,CJ23,CM23,CP23)</f>
        <v>0</v>
      </c>
      <c r="BN23" s="16">
        <f>SUM(BW23,BZ23,CC23,CF23,CI23,CL23,CO23,CR23,BT23)</f>
        <v>0</v>
      </c>
      <c r="BO23" s="16">
        <f>IF(BP23&gt;0,1,0)</f>
        <v>0</v>
      </c>
      <c r="BP23" s="16">
        <f>SUM(BU23,BX23,CA23,CD23,BR23)</f>
        <v>0</v>
      </c>
      <c r="BQ23" s="16">
        <f>SUM(BZ23,CC23,CF23,BT23,BW23)</f>
        <v>0</v>
      </c>
      <c r="BR23" s="18">
        <v>0</v>
      </c>
      <c r="BS23" s="16">
        <v>0</v>
      </c>
      <c r="BT23" s="23">
        <f>BS23/AS23</f>
        <v>0</v>
      </c>
      <c r="BU23" s="18">
        <v>0</v>
      </c>
      <c r="BV23" s="16">
        <v>0</v>
      </c>
      <c r="BW23" s="18">
        <f>BV23/AS23</f>
        <v>0</v>
      </c>
      <c r="BX23" s="18">
        <v>0</v>
      </c>
      <c r="BY23" s="16">
        <v>0</v>
      </c>
      <c r="BZ23" s="16">
        <f>BY23/AS23</f>
        <v>0</v>
      </c>
      <c r="CA23" s="24">
        <v>0</v>
      </c>
      <c r="CB23" s="16">
        <v>0</v>
      </c>
      <c r="CC23" s="16">
        <v>0</v>
      </c>
      <c r="CD23" s="25">
        <v>0</v>
      </c>
      <c r="CE23" s="16">
        <v>0</v>
      </c>
      <c r="CF23" s="16">
        <v>0</v>
      </c>
      <c r="CG23" s="16"/>
      <c r="CH23" s="16"/>
      <c r="CI23" s="16"/>
      <c r="CJ23" s="16"/>
      <c r="CK23" s="16"/>
      <c r="CL23" s="16"/>
      <c r="CM23" s="16"/>
      <c r="CN23" s="16"/>
      <c r="CO23" s="16"/>
      <c r="CP23" s="16" t="s">
        <v>123</v>
      </c>
      <c r="CQ23" s="16">
        <v>0</v>
      </c>
      <c r="CR23" s="16">
        <v>0</v>
      </c>
      <c r="CS23" s="18">
        <f>IF(CT23&gt;0,1,0)</f>
        <v>0</v>
      </c>
      <c r="CT23" s="25">
        <f>SUM(CW23,CZ23,DC23)</f>
        <v>0</v>
      </c>
      <c r="CU23" s="25"/>
      <c r="CV23" s="16">
        <v>0</v>
      </c>
      <c r="CW23" s="25">
        <v>0</v>
      </c>
      <c r="CX23" s="16">
        <v>0</v>
      </c>
      <c r="CY23" s="16">
        <v>0</v>
      </c>
      <c r="CZ23" s="18">
        <v>0</v>
      </c>
      <c r="DA23" s="16">
        <v>0</v>
      </c>
      <c r="DB23" s="16">
        <v>0</v>
      </c>
      <c r="DC23" s="18">
        <v>0</v>
      </c>
      <c r="DD23" s="16">
        <v>0</v>
      </c>
      <c r="DE23" s="16">
        <v>0</v>
      </c>
      <c r="DF23" s="16" t="e">
        <f>VLOOKUP(K23,'[3]RNA Seq summary tables'!$V$3:$V$99,1,FALSE)</f>
        <v>#N/A</v>
      </c>
      <c r="DG23" s="16"/>
      <c r="DH23" s="16"/>
      <c r="DI23" s="16"/>
      <c r="DJ23" s="16"/>
      <c r="DK23" s="16"/>
      <c r="DL23" s="16"/>
      <c r="DM23" s="16"/>
      <c r="DN23" s="16"/>
      <c r="DO23" s="16"/>
      <c r="DP23" s="16"/>
      <c r="DQ23" s="16"/>
      <c r="DR23" s="16"/>
      <c r="DS23" s="16"/>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c r="IJ23" s="18"/>
      <c r="IK23" s="18"/>
      <c r="IL23" s="18"/>
      <c r="IM23" s="18"/>
      <c r="IN23" s="18"/>
      <c r="IO23" s="18"/>
      <c r="IP23" s="18"/>
      <c r="IQ23" s="18"/>
      <c r="IR23" s="18"/>
      <c r="IS23" s="18"/>
      <c r="IT23" s="18"/>
      <c r="IU23" s="18"/>
      <c r="IV23" s="18"/>
      <c r="IW23" s="18"/>
      <c r="IX23" s="18"/>
      <c r="IY23" s="18"/>
      <c r="IZ23" s="18"/>
      <c r="JA23" s="18"/>
      <c r="JB23" s="18"/>
      <c r="JC23" s="18"/>
      <c r="JD23" s="18"/>
      <c r="JE23" s="18"/>
      <c r="JF23" s="18"/>
      <c r="JG23" s="18"/>
      <c r="JH23" s="18"/>
      <c r="JI23" s="18"/>
      <c r="JJ23" s="18"/>
      <c r="JK23" s="18"/>
      <c r="JL23" s="18"/>
      <c r="JM23" s="18"/>
      <c r="JN23" s="18"/>
      <c r="JO23" s="16"/>
      <c r="JP23" s="16"/>
      <c r="JQ23" s="16"/>
      <c r="JR23" s="16"/>
      <c r="JS23" s="16"/>
      <c r="JT23" s="16"/>
      <c r="JU23" s="16"/>
      <c r="JV23" s="16"/>
      <c r="JW23" s="16"/>
      <c r="JX23" s="16"/>
      <c r="JY23" s="16"/>
      <c r="JZ23" s="16"/>
      <c r="KA23" s="16"/>
      <c r="KB23" s="16"/>
    </row>
    <row r="24" spans="1:288" s="19" customFormat="1" x14ac:dyDescent="0.2">
      <c r="A24" s="18"/>
      <c r="B24" s="16">
        <v>2016</v>
      </c>
      <c r="C24" s="20">
        <v>42520</v>
      </c>
      <c r="D24" s="20" t="str">
        <f>CONCATENATE(J24,"-",C24)</f>
        <v>940-42520</v>
      </c>
      <c r="E24" s="20" t="str">
        <f>CONCATENATE(T24,"-",U24,"-",C24)</f>
        <v>HW2-B2-42520</v>
      </c>
      <c r="F24" s="20" t="s">
        <v>106</v>
      </c>
      <c r="G24" s="20" t="s">
        <v>107</v>
      </c>
      <c r="H24" s="16"/>
      <c r="I24" s="16">
        <v>0</v>
      </c>
      <c r="J24" s="21">
        <v>940</v>
      </c>
      <c r="K24" s="21">
        <v>1343</v>
      </c>
      <c r="L24" s="16">
        <v>0</v>
      </c>
      <c r="M24" s="15">
        <f>VLOOKUP(K24,'[7]MLBS 2016 SNV-nem Coinfection d'!$C$1:$G$238,4,FALSE)</f>
        <v>0</v>
      </c>
      <c r="N24" s="15">
        <v>0</v>
      </c>
      <c r="O24" s="15" t="s">
        <v>119</v>
      </c>
      <c r="P24" s="16" t="s">
        <v>119</v>
      </c>
      <c r="Q24" s="16">
        <v>0</v>
      </c>
      <c r="R24" s="16" t="s">
        <v>111</v>
      </c>
      <c r="S24" s="16"/>
      <c r="T24" s="16" t="s">
        <v>129</v>
      </c>
      <c r="U24" s="16" t="s">
        <v>130</v>
      </c>
      <c r="V24" s="16" t="s">
        <v>114</v>
      </c>
      <c r="W24" s="16">
        <f>AI24/AG24</f>
        <v>0.81176470588235294</v>
      </c>
      <c r="X24" s="16" t="s">
        <v>121</v>
      </c>
      <c r="Y24" s="16" t="s">
        <v>110</v>
      </c>
      <c r="Z24" s="16">
        <v>3</v>
      </c>
      <c r="AA24" s="16" t="s">
        <v>123</v>
      </c>
      <c r="AB24" s="16" t="s">
        <v>123</v>
      </c>
      <c r="AC24" s="16" t="s">
        <v>123</v>
      </c>
      <c r="AD24" s="16" t="s">
        <v>123</v>
      </c>
      <c r="AE24" s="16"/>
      <c r="AF24" s="16"/>
      <c r="AG24" s="16">
        <f>AH24-AI24</f>
        <v>85</v>
      </c>
      <c r="AH24" s="16">
        <v>154</v>
      </c>
      <c r="AI24" s="16">
        <v>69</v>
      </c>
      <c r="AJ24" s="16"/>
      <c r="AK24" s="16">
        <v>14.5</v>
      </c>
      <c r="AL24" s="16">
        <v>0</v>
      </c>
      <c r="AM24" s="16">
        <v>0</v>
      </c>
      <c r="AN24" s="16">
        <v>0</v>
      </c>
      <c r="AO24" s="16">
        <f>IF(SUM(AL24:AN24)&gt;0,1,0)</f>
        <v>0</v>
      </c>
      <c r="AP24" s="16">
        <f>SUM(AL24:AN24)</f>
        <v>0</v>
      </c>
      <c r="AQ24" s="16"/>
      <c r="AR24" s="16">
        <v>0.59499999999999997</v>
      </c>
      <c r="AS24" s="16">
        <v>0.59499999999999997</v>
      </c>
      <c r="AT24" s="18" t="s">
        <v>117</v>
      </c>
      <c r="AU24" s="18"/>
      <c r="AV24" s="16">
        <v>1</v>
      </c>
      <c r="AW24" s="18">
        <v>0</v>
      </c>
      <c r="AX24" s="16"/>
      <c r="AY24" s="16">
        <v>0</v>
      </c>
      <c r="AZ24" s="18">
        <v>0</v>
      </c>
      <c r="BA24" s="16"/>
      <c r="BB24" s="16">
        <v>0</v>
      </c>
      <c r="BC24" s="18">
        <v>0</v>
      </c>
      <c r="BD24" s="16">
        <v>0</v>
      </c>
      <c r="BE24" s="16">
        <v>0</v>
      </c>
      <c r="BF24" s="18">
        <v>0</v>
      </c>
      <c r="BG24" s="23">
        <v>0</v>
      </c>
      <c r="BH24" s="16">
        <v>0</v>
      </c>
      <c r="BI24" s="18">
        <v>0</v>
      </c>
      <c r="BJ24" s="16">
        <v>0</v>
      </c>
      <c r="BK24" s="16">
        <v>0</v>
      </c>
      <c r="BL24" s="16">
        <f>IF(BM24&gt;0,1,0)</f>
        <v>0</v>
      </c>
      <c r="BM24" s="16">
        <f>SUM(BR24,BU24,BX24,CA24,CD24,CG24,CJ24,CM24,CP24)</f>
        <v>0</v>
      </c>
      <c r="BN24" s="16">
        <f>SUM(BW24,BZ24,CC24,CF24,CI24,CL24,CO24,CR24,BT24)</f>
        <v>0</v>
      </c>
      <c r="BO24" s="16">
        <f>IF(BP24&gt;0,1,0)</f>
        <v>0</v>
      </c>
      <c r="BP24" s="16">
        <f>SUM(BU24,BX24,CA24,CD24,BR24)</f>
        <v>0</v>
      </c>
      <c r="BQ24" s="16">
        <f>SUM(BZ24,CC24,CF24,BT24,BW24)</f>
        <v>0</v>
      </c>
      <c r="BR24" s="18">
        <v>0</v>
      </c>
      <c r="BS24" s="16">
        <v>0</v>
      </c>
      <c r="BT24" s="23">
        <f>BS24/AS24</f>
        <v>0</v>
      </c>
      <c r="BU24" s="18">
        <v>0</v>
      </c>
      <c r="BV24" s="16">
        <v>0</v>
      </c>
      <c r="BW24" s="18">
        <f>BV24/AS24</f>
        <v>0</v>
      </c>
      <c r="BX24" s="18">
        <v>0</v>
      </c>
      <c r="BY24" s="16">
        <v>0</v>
      </c>
      <c r="BZ24" s="16">
        <f>BY24/AS24</f>
        <v>0</v>
      </c>
      <c r="CA24" s="24">
        <v>0</v>
      </c>
      <c r="CB24" s="16">
        <v>0</v>
      </c>
      <c r="CC24" s="16">
        <v>0</v>
      </c>
      <c r="CD24" s="25">
        <v>0</v>
      </c>
      <c r="CE24" s="16">
        <v>0</v>
      </c>
      <c r="CF24" s="16">
        <v>0</v>
      </c>
      <c r="CG24" s="16"/>
      <c r="CH24" s="16"/>
      <c r="CI24" s="16"/>
      <c r="CJ24" s="16"/>
      <c r="CK24" s="16"/>
      <c r="CL24" s="16"/>
      <c r="CM24" s="16"/>
      <c r="CN24" s="16"/>
      <c r="CO24" s="16"/>
      <c r="CP24" s="16" t="s">
        <v>123</v>
      </c>
      <c r="CQ24" s="16">
        <v>0</v>
      </c>
      <c r="CR24" s="16">
        <v>0</v>
      </c>
      <c r="CS24" s="18">
        <f>IF(CT24&gt;0,1,0)</f>
        <v>0</v>
      </c>
      <c r="CT24" s="25">
        <f>SUM(CW24,CZ24,DC24)</f>
        <v>0</v>
      </c>
      <c r="CU24" s="25"/>
      <c r="CV24" s="16">
        <v>0</v>
      </c>
      <c r="CW24" s="25">
        <v>0</v>
      </c>
      <c r="CX24" s="16">
        <v>0</v>
      </c>
      <c r="CY24" s="16">
        <v>0</v>
      </c>
      <c r="CZ24" s="18">
        <v>0</v>
      </c>
      <c r="DA24" s="16">
        <v>0</v>
      </c>
      <c r="DB24" s="16">
        <v>0</v>
      </c>
      <c r="DC24" s="18">
        <v>0</v>
      </c>
      <c r="DD24" s="16">
        <v>0</v>
      </c>
      <c r="DE24" s="16">
        <v>0</v>
      </c>
      <c r="DF24" s="16" t="e">
        <f>VLOOKUP(K24,'[3]RNA Seq summary tables'!$V$3:$V$99,1,FALSE)</f>
        <v>#N/A</v>
      </c>
      <c r="DG24" s="16"/>
      <c r="DH24" s="16"/>
      <c r="DI24" s="16"/>
      <c r="DJ24" s="16"/>
      <c r="DK24" s="16"/>
      <c r="DL24" s="16"/>
      <c r="DM24" s="16"/>
      <c r="DN24" s="16"/>
      <c r="DO24" s="16"/>
      <c r="DP24" s="16"/>
      <c r="DQ24" s="16"/>
      <c r="DR24" s="16"/>
      <c r="DS24" s="16"/>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c r="IX24" s="18"/>
      <c r="IY24" s="18"/>
      <c r="IZ24" s="18"/>
      <c r="JA24" s="18"/>
      <c r="JB24" s="18"/>
      <c r="JC24" s="18"/>
      <c r="JD24" s="18"/>
      <c r="JE24" s="18"/>
      <c r="JF24" s="18"/>
      <c r="JG24" s="18"/>
      <c r="JH24" s="18"/>
      <c r="JI24" s="18"/>
      <c r="JJ24" s="18"/>
      <c r="JK24" s="18"/>
      <c r="JL24" s="18"/>
      <c r="JM24" s="18"/>
      <c r="JN24" s="18"/>
      <c r="JO24" s="30"/>
      <c r="JP24" s="16"/>
      <c r="JQ24" s="16"/>
      <c r="JR24" s="16"/>
      <c r="JS24" s="16"/>
      <c r="JT24" s="16"/>
      <c r="JU24" s="16"/>
      <c r="JV24" s="16"/>
      <c r="JW24" s="16"/>
      <c r="JX24" s="16"/>
      <c r="JY24" s="16"/>
      <c r="JZ24" s="16"/>
      <c r="KA24" s="16"/>
      <c r="KB24" s="16"/>
    </row>
    <row r="25" spans="1:288" s="19" customFormat="1" x14ac:dyDescent="0.2">
      <c r="A25" s="18"/>
      <c r="B25" s="16">
        <v>2016</v>
      </c>
      <c r="C25" s="20">
        <v>42534</v>
      </c>
      <c r="D25" s="20" t="str">
        <f>CONCATENATE(J25,"-",C25)</f>
        <v>940-42534</v>
      </c>
      <c r="E25" s="20" t="str">
        <f>CONCATENATE(T25,"-",U25,"-",C25)</f>
        <v>HW2-D8-42534</v>
      </c>
      <c r="F25" s="20" t="s">
        <v>106</v>
      </c>
      <c r="G25" s="20" t="s">
        <v>107</v>
      </c>
      <c r="H25" s="16"/>
      <c r="I25" s="16">
        <v>0</v>
      </c>
      <c r="J25" s="21">
        <v>940</v>
      </c>
      <c r="K25" s="21">
        <v>1369</v>
      </c>
      <c r="L25" s="16">
        <v>0</v>
      </c>
      <c r="M25" s="15">
        <f>VLOOKUP(K25,'[7]MLBS 2016 SNV-nem Coinfection d'!$C$1:$G$238,4,FALSE)</f>
        <v>0</v>
      </c>
      <c r="N25" s="15">
        <v>0</v>
      </c>
      <c r="O25" s="15" t="s">
        <v>119</v>
      </c>
      <c r="P25" s="16" t="s">
        <v>119</v>
      </c>
      <c r="Q25" s="16">
        <v>0</v>
      </c>
      <c r="R25" s="16">
        <v>14</v>
      </c>
      <c r="S25" s="16"/>
      <c r="T25" s="16" t="s">
        <v>129</v>
      </c>
      <c r="U25" s="16" t="s">
        <v>178</v>
      </c>
      <c r="V25" s="16" t="s">
        <v>114</v>
      </c>
      <c r="W25" s="16">
        <f>AI25/AG25</f>
        <v>0.81395348837209303</v>
      </c>
      <c r="X25" s="16" t="s">
        <v>121</v>
      </c>
      <c r="Y25" s="16" t="s">
        <v>110</v>
      </c>
      <c r="Z25" s="16">
        <v>3</v>
      </c>
      <c r="AA25" s="16" t="s">
        <v>161</v>
      </c>
      <c r="AB25" s="16" t="s">
        <v>123</v>
      </c>
      <c r="AC25" s="16" t="s">
        <v>123</v>
      </c>
      <c r="AD25" s="16" t="s">
        <v>123</v>
      </c>
      <c r="AE25" s="16"/>
      <c r="AF25" s="16"/>
      <c r="AG25" s="16">
        <f>AH25-AI25</f>
        <v>86</v>
      </c>
      <c r="AH25" s="16">
        <v>156</v>
      </c>
      <c r="AI25" s="16">
        <v>70</v>
      </c>
      <c r="AJ25" s="16"/>
      <c r="AK25" s="16">
        <v>18.5</v>
      </c>
      <c r="AL25" s="16">
        <v>0</v>
      </c>
      <c r="AM25" s="16">
        <v>0</v>
      </c>
      <c r="AN25" s="16">
        <v>0</v>
      </c>
      <c r="AO25" s="16">
        <f>IF(SUM(AL25:AN25)&gt;0,1,0)</f>
        <v>0</v>
      </c>
      <c r="AP25" s="16">
        <f>SUM(AL25:AN25)</f>
        <v>0</v>
      </c>
      <c r="AQ25" s="16">
        <f>0.176+1.477</f>
        <v>1.653</v>
      </c>
      <c r="AR25" s="16">
        <v>0.17599999999999999</v>
      </c>
      <c r="AS25" s="16">
        <v>0.17599999999999999</v>
      </c>
      <c r="AT25" s="16" t="s">
        <v>124</v>
      </c>
      <c r="AU25" s="16"/>
      <c r="AV25" s="16"/>
      <c r="AW25" s="22">
        <v>1</v>
      </c>
      <c r="AX25" s="16"/>
      <c r="AY25" s="16">
        <f>(29+125+1+1118+141)/AS25</f>
        <v>8034.0909090909099</v>
      </c>
      <c r="AZ25" s="18">
        <v>1</v>
      </c>
      <c r="BA25" s="16"/>
      <c r="BB25" s="16">
        <f>(29+125+1)/AS25</f>
        <v>880.68181818181824</v>
      </c>
      <c r="BC25" s="16">
        <v>1</v>
      </c>
      <c r="BD25" s="16">
        <v>29</v>
      </c>
      <c r="BE25" s="16">
        <f>29/AS25</f>
        <v>164.77272727272728</v>
      </c>
      <c r="BF25" s="18">
        <v>1</v>
      </c>
      <c r="BG25" s="23">
        <v>125</v>
      </c>
      <c r="BH25" s="16">
        <f>125/AS25</f>
        <v>710.22727272727275</v>
      </c>
      <c r="BI25" s="16">
        <v>1</v>
      </c>
      <c r="BJ25" s="16">
        <v>1</v>
      </c>
      <c r="BK25" s="16">
        <f>1/AS25</f>
        <v>5.6818181818181825</v>
      </c>
      <c r="BL25" s="16">
        <f>IF(BM25&gt;0,1,0)</f>
        <v>0</v>
      </c>
      <c r="BM25" s="16">
        <f>SUM(BR25,BU25,BX25,CA25,CD25,CG25,CJ25,CM25,CP25)</f>
        <v>0</v>
      </c>
      <c r="BN25" s="16">
        <f>SUM(BW25,BZ25,CC25,CF25,CI25,CL25,CO25,CR25,BT25)</f>
        <v>0</v>
      </c>
      <c r="BO25" s="16">
        <f>IF(BP25&gt;0,1,0)</f>
        <v>0</v>
      </c>
      <c r="BP25" s="16">
        <f>SUM(BU25,BX25,CA25,CD25,BR25)</f>
        <v>0</v>
      </c>
      <c r="BQ25" s="16">
        <f>SUM(BZ25,CC25,CF25,BT25,BW25)</f>
        <v>0</v>
      </c>
      <c r="BR25" s="18">
        <v>0</v>
      </c>
      <c r="BS25" s="16">
        <v>0</v>
      </c>
      <c r="BT25" s="23">
        <f>BS25/AS25</f>
        <v>0</v>
      </c>
      <c r="BU25" s="18">
        <v>0</v>
      </c>
      <c r="BV25" s="16">
        <v>0</v>
      </c>
      <c r="BW25" s="18">
        <f>BV25/AS25</f>
        <v>0</v>
      </c>
      <c r="BX25" s="18">
        <v>0</v>
      </c>
      <c r="BY25" s="16">
        <v>0</v>
      </c>
      <c r="BZ25" s="16">
        <f>BY25/AS25</f>
        <v>0</v>
      </c>
      <c r="CA25" s="24">
        <v>0</v>
      </c>
      <c r="CB25" s="16">
        <v>0</v>
      </c>
      <c r="CC25" s="16">
        <v>0</v>
      </c>
      <c r="CD25" s="25">
        <v>0</v>
      </c>
      <c r="CE25" s="16">
        <v>0</v>
      </c>
      <c r="CF25" s="16">
        <v>0</v>
      </c>
      <c r="CG25" s="16"/>
      <c r="CH25" s="16"/>
      <c r="CI25" s="16"/>
      <c r="CJ25" s="16"/>
      <c r="CK25" s="16"/>
      <c r="CL25" s="16"/>
      <c r="CM25" s="16"/>
      <c r="CN25" s="16"/>
      <c r="CO25" s="16"/>
      <c r="CP25" s="16" t="s">
        <v>123</v>
      </c>
      <c r="CQ25" s="16">
        <v>0</v>
      </c>
      <c r="CR25" s="16">
        <v>0</v>
      </c>
      <c r="CS25" s="18">
        <f>IF(CT25&gt;0,1,0)</f>
        <v>1</v>
      </c>
      <c r="CT25" s="25">
        <f>SUM(CW25,CZ25,DC25)</f>
        <v>2</v>
      </c>
      <c r="CU25" s="25"/>
      <c r="CV25" s="16">
        <f>(1118+141)/AS25</f>
        <v>7153.409090909091</v>
      </c>
      <c r="CW25" s="22">
        <v>1</v>
      </c>
      <c r="CX25" s="16">
        <v>1118</v>
      </c>
      <c r="CY25" s="16">
        <f>1118/AS25</f>
        <v>6352.2727272727279</v>
      </c>
      <c r="CZ25" s="16">
        <v>1</v>
      </c>
      <c r="DA25" s="16">
        <v>141</v>
      </c>
      <c r="DB25" s="16">
        <f>141/AS25</f>
        <v>801.13636363636374</v>
      </c>
      <c r="DC25" s="18">
        <v>0</v>
      </c>
      <c r="DD25" s="16">
        <v>0</v>
      </c>
      <c r="DE25" s="16">
        <v>0</v>
      </c>
      <c r="DF25" s="16" t="e">
        <f>VLOOKUP(K25,'[3]RNA Seq summary tables'!$V$3:$V$99,1,FALSE)</f>
        <v>#N/A</v>
      </c>
      <c r="DG25" s="16"/>
      <c r="DH25" s="16"/>
      <c r="DI25" s="16"/>
      <c r="DJ25" s="16"/>
      <c r="DK25" s="16"/>
      <c r="DL25" s="16"/>
      <c r="DM25" s="16"/>
      <c r="DN25" s="16"/>
      <c r="DO25" s="16"/>
      <c r="DP25" s="16"/>
      <c r="DQ25" s="16"/>
      <c r="DR25" s="16"/>
      <c r="DS25" s="16"/>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c r="GZ25" s="18"/>
      <c r="HA25" s="18"/>
      <c r="HB25" s="18"/>
      <c r="HC25" s="18"/>
      <c r="HD25" s="18"/>
      <c r="HE25" s="18"/>
      <c r="HF25" s="18"/>
      <c r="HG25" s="18"/>
      <c r="HH25" s="18"/>
      <c r="HI25" s="18"/>
      <c r="HJ25" s="18"/>
      <c r="HK25" s="18"/>
      <c r="HL25" s="18"/>
      <c r="HM25" s="18"/>
      <c r="HN25" s="18"/>
      <c r="HO25" s="18"/>
      <c r="HP25" s="18"/>
      <c r="HQ25" s="18"/>
      <c r="HR25" s="18"/>
      <c r="HS25" s="18"/>
      <c r="HT25" s="18"/>
      <c r="HU25" s="18"/>
      <c r="HV25" s="18"/>
      <c r="HW25" s="18"/>
      <c r="HX25" s="18"/>
      <c r="HY25" s="18"/>
      <c r="HZ25" s="18"/>
      <c r="IA25" s="18"/>
      <c r="IB25" s="18"/>
      <c r="IC25" s="18"/>
      <c r="ID25" s="18"/>
      <c r="IE25" s="18"/>
      <c r="IF25" s="18"/>
      <c r="IG25" s="18"/>
      <c r="IH25" s="18"/>
      <c r="II25" s="18"/>
      <c r="IJ25" s="18"/>
      <c r="IK25" s="18"/>
      <c r="IL25" s="18"/>
      <c r="IM25" s="18"/>
      <c r="IN25" s="18"/>
      <c r="IO25" s="18"/>
      <c r="IP25" s="18"/>
      <c r="IQ25" s="18"/>
      <c r="IR25" s="18"/>
      <c r="IS25" s="18"/>
      <c r="IT25" s="18"/>
      <c r="IU25" s="18"/>
      <c r="IV25" s="18"/>
      <c r="IW25" s="18"/>
      <c r="IX25" s="18"/>
      <c r="IY25" s="18"/>
      <c r="IZ25" s="18"/>
      <c r="JA25" s="18"/>
      <c r="JB25" s="18"/>
      <c r="JC25" s="18"/>
      <c r="JD25" s="18"/>
      <c r="JE25" s="18"/>
      <c r="JF25" s="18"/>
      <c r="JG25" s="18"/>
      <c r="JH25" s="18"/>
      <c r="JI25" s="18"/>
      <c r="JJ25" s="18"/>
      <c r="JK25" s="18"/>
      <c r="JL25" s="18"/>
      <c r="JM25" s="18"/>
      <c r="JN25" s="18"/>
      <c r="JO25" s="16"/>
      <c r="JP25" s="16"/>
      <c r="JQ25" s="16"/>
      <c r="JR25" s="16"/>
      <c r="JS25" s="16"/>
      <c r="JT25" s="16"/>
      <c r="JU25" s="16"/>
      <c r="JV25" s="16"/>
      <c r="JW25" s="16"/>
      <c r="JX25" s="16"/>
      <c r="JY25" s="16"/>
      <c r="JZ25" s="16"/>
      <c r="KA25" s="16"/>
      <c r="KB25" s="16"/>
    </row>
    <row r="26" spans="1:288" s="26" customFormat="1" x14ac:dyDescent="0.2">
      <c r="A26" s="18"/>
      <c r="B26" s="16">
        <v>2016</v>
      </c>
      <c r="C26" s="20">
        <v>42548</v>
      </c>
      <c r="D26" s="20" t="str">
        <f>CONCATENATE(J26,"-",C26)</f>
        <v>940-42548</v>
      </c>
      <c r="E26" s="20" t="str">
        <f>CONCATENATE(T26,"-",U26,"-",C26)</f>
        <v>HW2-F7-42548</v>
      </c>
      <c r="F26" s="20" t="s">
        <v>106</v>
      </c>
      <c r="G26" s="20" t="s">
        <v>107</v>
      </c>
      <c r="H26" s="16"/>
      <c r="I26" s="16">
        <v>0</v>
      </c>
      <c r="J26" s="21">
        <v>940</v>
      </c>
      <c r="K26" s="21">
        <v>1430</v>
      </c>
      <c r="L26" s="18">
        <v>0</v>
      </c>
      <c r="M26" s="15">
        <f>VLOOKUP(K26,'[7]MLBS 2016 SNV-nem Coinfection d'!$C$1:$G$238,4,FALSE)</f>
        <v>0</v>
      </c>
      <c r="N26" s="15">
        <v>0</v>
      </c>
      <c r="O26" s="15" t="s">
        <v>119</v>
      </c>
      <c r="P26" s="16" t="s">
        <v>119</v>
      </c>
      <c r="Q26" s="16">
        <v>0</v>
      </c>
      <c r="R26" s="16">
        <v>14</v>
      </c>
      <c r="S26" s="16"/>
      <c r="T26" s="16" t="s">
        <v>129</v>
      </c>
      <c r="U26" s="16" t="s">
        <v>189</v>
      </c>
      <c r="V26" s="16" t="s">
        <v>114</v>
      </c>
      <c r="W26" s="16">
        <f>AI26/AG26</f>
        <v>0.89743589743589747</v>
      </c>
      <c r="X26" s="16" t="s">
        <v>121</v>
      </c>
      <c r="Y26" s="16" t="s">
        <v>110</v>
      </c>
      <c r="Z26" s="16">
        <v>3</v>
      </c>
      <c r="AA26" s="16" t="s">
        <v>119</v>
      </c>
      <c r="AB26" s="16" t="s">
        <v>123</v>
      </c>
      <c r="AC26" s="16" t="s">
        <v>123</v>
      </c>
      <c r="AD26" s="16" t="s">
        <v>123</v>
      </c>
      <c r="AE26" s="16"/>
      <c r="AF26" s="16"/>
      <c r="AG26" s="16">
        <f>AH26-AI26</f>
        <v>78</v>
      </c>
      <c r="AH26" s="16">
        <v>148</v>
      </c>
      <c r="AI26" s="16">
        <v>70</v>
      </c>
      <c r="AJ26" s="16"/>
      <c r="AK26" s="16">
        <v>18.5</v>
      </c>
      <c r="AL26" s="16">
        <v>0</v>
      </c>
      <c r="AM26" s="16">
        <v>0</v>
      </c>
      <c r="AN26" s="16">
        <v>0</v>
      </c>
      <c r="AO26" s="16">
        <f>IF(SUM(AL26:AN26)&gt;0,1,0)</f>
        <v>0</v>
      </c>
      <c r="AP26" s="16">
        <f>SUM(AL26:AN26)</f>
        <v>0</v>
      </c>
      <c r="AQ26" s="16"/>
      <c r="AR26" s="16">
        <v>0.215</v>
      </c>
      <c r="AS26" s="16">
        <v>0.215</v>
      </c>
      <c r="AT26" s="18" t="s">
        <v>117</v>
      </c>
      <c r="AU26" s="18"/>
      <c r="AV26" s="16"/>
      <c r="AW26" s="22">
        <v>1</v>
      </c>
      <c r="AX26" s="16">
        <v>2</v>
      </c>
      <c r="AY26" s="16">
        <f>18/0.215</f>
        <v>83.720930232558146</v>
      </c>
      <c r="AZ26" s="18">
        <v>1</v>
      </c>
      <c r="BA26" s="16">
        <v>2</v>
      </c>
      <c r="BB26" s="16">
        <f>18/0.215</f>
        <v>83.720930232558146</v>
      </c>
      <c r="BC26" s="16">
        <v>1</v>
      </c>
      <c r="BD26" s="16">
        <v>1</v>
      </c>
      <c r="BE26" s="16">
        <f>1/0.215</f>
        <v>4.6511627906976747</v>
      </c>
      <c r="BF26" s="18">
        <v>1</v>
      </c>
      <c r="BG26" s="23">
        <v>17</v>
      </c>
      <c r="BH26" s="16">
        <f>17/0.215</f>
        <v>79.069767441860463</v>
      </c>
      <c r="BI26" s="18">
        <v>0</v>
      </c>
      <c r="BJ26" s="16">
        <v>0</v>
      </c>
      <c r="BK26" s="16">
        <v>0</v>
      </c>
      <c r="BL26" s="16">
        <f>IF(BM26&gt;0,1,0)</f>
        <v>0</v>
      </c>
      <c r="BM26" s="16">
        <f>SUM(BR26,BU26,BX26,CA26,CD26,CG26,CJ26,CM26,CP26)</f>
        <v>0</v>
      </c>
      <c r="BN26" s="16">
        <f>SUM(BW26,BZ26,CC26,CF26,CI26,CL26,CO26,CR26,BT26)</f>
        <v>0</v>
      </c>
      <c r="BO26" s="16">
        <f>IF(BP26&gt;0,1,0)</f>
        <v>0</v>
      </c>
      <c r="BP26" s="16">
        <f>SUM(BU26,BX26,CA26,CD26,BR26)</f>
        <v>0</v>
      </c>
      <c r="BQ26" s="16">
        <f>SUM(BZ26,CC26,CF26,BT26,BW26)</f>
        <v>0</v>
      </c>
      <c r="BR26" s="18">
        <v>0</v>
      </c>
      <c r="BS26" s="16">
        <v>0</v>
      </c>
      <c r="BT26" s="23">
        <f>BS26/AS26</f>
        <v>0</v>
      </c>
      <c r="BU26" s="18">
        <v>0</v>
      </c>
      <c r="BV26" s="16">
        <v>0</v>
      </c>
      <c r="BW26" s="18">
        <f>BV26/AS26</f>
        <v>0</v>
      </c>
      <c r="BX26" s="18">
        <v>0</v>
      </c>
      <c r="BY26" s="16">
        <v>0</v>
      </c>
      <c r="BZ26" s="16">
        <f>BY26/AS26</f>
        <v>0</v>
      </c>
      <c r="CA26" s="24">
        <v>0</v>
      </c>
      <c r="CB26" s="16">
        <v>0</v>
      </c>
      <c r="CC26" s="16">
        <v>0</v>
      </c>
      <c r="CD26" s="25">
        <v>0</v>
      </c>
      <c r="CE26" s="16">
        <v>0</v>
      </c>
      <c r="CF26" s="16">
        <v>0</v>
      </c>
      <c r="CG26" s="16"/>
      <c r="CH26" s="16"/>
      <c r="CI26" s="16"/>
      <c r="CJ26" s="16"/>
      <c r="CK26" s="16"/>
      <c r="CL26" s="16"/>
      <c r="CM26" s="16"/>
      <c r="CN26" s="16"/>
      <c r="CO26" s="16"/>
      <c r="CP26" s="16" t="s">
        <v>123</v>
      </c>
      <c r="CQ26" s="16">
        <v>0</v>
      </c>
      <c r="CR26" s="16">
        <v>0</v>
      </c>
      <c r="CS26" s="18">
        <f>IF(CT26&gt;0,1,0)</f>
        <v>0</v>
      </c>
      <c r="CT26" s="25">
        <f>SUM(CW26,CZ26,DC26)</f>
        <v>0</v>
      </c>
      <c r="CU26" s="25"/>
      <c r="CV26" s="16">
        <v>0</v>
      </c>
      <c r="CW26" s="25">
        <v>0</v>
      </c>
      <c r="CX26" s="16">
        <v>0</v>
      </c>
      <c r="CY26" s="16">
        <v>0</v>
      </c>
      <c r="CZ26" s="18">
        <v>0</v>
      </c>
      <c r="DA26" s="16">
        <v>0</v>
      </c>
      <c r="DB26" s="16">
        <v>0</v>
      </c>
      <c r="DC26" s="18">
        <v>0</v>
      </c>
      <c r="DD26" s="16">
        <v>0</v>
      </c>
      <c r="DE26" s="16">
        <v>0</v>
      </c>
      <c r="DF26" s="16" t="e">
        <f>VLOOKUP(K26,'[3]RNA Seq summary tables'!$V$3:$V$99,1,FALSE)</f>
        <v>#N/A</v>
      </c>
      <c r="DG26" s="16"/>
      <c r="DH26" s="16"/>
      <c r="DI26" s="16"/>
      <c r="DJ26" s="16"/>
      <c r="DK26" s="16"/>
      <c r="DL26" s="16"/>
      <c r="DM26" s="16"/>
      <c r="DN26" s="16"/>
      <c r="DO26" s="16"/>
      <c r="DP26" s="16"/>
      <c r="DQ26" s="16"/>
      <c r="DR26" s="16"/>
      <c r="DS26" s="16"/>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c r="IJ26" s="18"/>
      <c r="IK26" s="18"/>
      <c r="IL26" s="18"/>
      <c r="IM26" s="18"/>
      <c r="IN26" s="18"/>
      <c r="IO26" s="18"/>
      <c r="IP26" s="18"/>
      <c r="IQ26" s="18"/>
      <c r="IR26" s="18"/>
      <c r="IS26" s="18"/>
      <c r="IT26" s="18"/>
      <c r="IU26" s="18"/>
      <c r="IV26" s="18"/>
      <c r="IW26" s="18"/>
      <c r="IX26" s="18"/>
      <c r="IY26" s="18"/>
      <c r="IZ26" s="18"/>
      <c r="JA26" s="18"/>
      <c r="JB26" s="18"/>
      <c r="JC26" s="18"/>
      <c r="JD26" s="18"/>
      <c r="JE26" s="18"/>
      <c r="JF26" s="18"/>
      <c r="JG26" s="18"/>
      <c r="JH26" s="18"/>
      <c r="JI26" s="18"/>
      <c r="JJ26" s="18"/>
      <c r="JK26" s="18"/>
      <c r="JL26" s="18"/>
      <c r="JM26" s="18"/>
      <c r="JN26" s="18"/>
      <c r="JO26" s="16"/>
      <c r="JP26" s="16"/>
      <c r="JQ26" s="16"/>
      <c r="JR26" s="16"/>
      <c r="JS26" s="16"/>
      <c r="JT26" s="16"/>
      <c r="JU26" s="16"/>
      <c r="JV26" s="16"/>
      <c r="JW26" s="16"/>
      <c r="JX26" s="16"/>
      <c r="JY26" s="16"/>
      <c r="JZ26" s="16"/>
      <c r="KA26" s="16"/>
      <c r="KB26" s="16"/>
    </row>
    <row r="27" spans="1:288" s="26" customFormat="1" x14ac:dyDescent="0.2">
      <c r="A27" s="18"/>
      <c r="B27" s="16">
        <v>2016</v>
      </c>
      <c r="C27" s="20">
        <v>42562</v>
      </c>
      <c r="D27" s="20" t="str">
        <f>CONCATENATE(J27,"-",C27)</f>
        <v>940-42562</v>
      </c>
      <c r="E27" s="20" t="str">
        <f>CONCATENATE(T27,"-",U27,"-",C27)</f>
        <v>HW2-B8-42562</v>
      </c>
      <c r="F27" s="20" t="s">
        <v>106</v>
      </c>
      <c r="G27" s="20" t="s">
        <v>107</v>
      </c>
      <c r="H27" s="16"/>
      <c r="I27" s="16">
        <v>0</v>
      </c>
      <c r="J27" s="21">
        <v>940</v>
      </c>
      <c r="K27" s="21">
        <v>1475</v>
      </c>
      <c r="L27" s="18">
        <v>0</v>
      </c>
      <c r="M27" s="15">
        <f>VLOOKUP(K27,'[7]MLBS 2016 SNV-nem Coinfection d'!$C$1:$G$238,4,FALSE)</f>
        <v>0</v>
      </c>
      <c r="N27" s="15">
        <v>0</v>
      </c>
      <c r="O27" s="15" t="s">
        <v>119</v>
      </c>
      <c r="P27" s="16" t="s">
        <v>119</v>
      </c>
      <c r="Q27" s="16">
        <v>0</v>
      </c>
      <c r="R27" s="16">
        <v>14</v>
      </c>
      <c r="S27" s="16"/>
      <c r="T27" s="16" t="s">
        <v>129</v>
      </c>
      <c r="U27" s="16" t="s">
        <v>209</v>
      </c>
      <c r="V27" s="16" t="s">
        <v>114</v>
      </c>
      <c r="W27" s="16">
        <f>AI27/AG27</f>
        <v>0.86419753086419748</v>
      </c>
      <c r="X27" s="16" t="s">
        <v>121</v>
      </c>
      <c r="Y27" s="16" t="s">
        <v>110</v>
      </c>
      <c r="Z27" s="16">
        <v>3</v>
      </c>
      <c r="AA27" s="16" t="s">
        <v>119</v>
      </c>
      <c r="AB27" s="16" t="s">
        <v>123</v>
      </c>
      <c r="AC27" s="16" t="s">
        <v>123</v>
      </c>
      <c r="AD27" s="16" t="s">
        <v>123</v>
      </c>
      <c r="AE27" s="16"/>
      <c r="AF27" s="16"/>
      <c r="AG27" s="16">
        <f>AH27-AI27</f>
        <v>81</v>
      </c>
      <c r="AH27" s="16">
        <v>151</v>
      </c>
      <c r="AI27" s="16">
        <v>70</v>
      </c>
      <c r="AJ27" s="16"/>
      <c r="AK27" s="16">
        <v>18</v>
      </c>
      <c r="AL27" s="16">
        <v>0</v>
      </c>
      <c r="AM27" s="16">
        <v>0</v>
      </c>
      <c r="AN27" s="16">
        <v>0</v>
      </c>
      <c r="AO27" s="16">
        <f>IF(SUM(AL27:AN27)&gt;0,1,0)</f>
        <v>0</v>
      </c>
      <c r="AP27" s="16">
        <f>SUM(AL27:AN27)</f>
        <v>0</v>
      </c>
      <c r="AQ27" s="16">
        <v>1.8560000000000001</v>
      </c>
      <c r="AR27" s="16">
        <v>0.379</v>
      </c>
      <c r="AS27" s="16">
        <v>0.379</v>
      </c>
      <c r="AT27" s="16" t="s">
        <v>205</v>
      </c>
      <c r="AU27" s="16"/>
      <c r="AV27" s="16"/>
      <c r="AW27" s="22">
        <v>1</v>
      </c>
      <c r="AX27" s="16">
        <v>5</v>
      </c>
      <c r="AY27" s="16">
        <f>(13+359+5+384+107)/AS27</f>
        <v>2290.2374670184695</v>
      </c>
      <c r="AZ27" s="18">
        <v>1</v>
      </c>
      <c r="BA27" s="16"/>
      <c r="BB27" s="16">
        <f>(113+359+5)/AS27</f>
        <v>1258.5751978891819</v>
      </c>
      <c r="BC27" s="16">
        <v>1</v>
      </c>
      <c r="BD27" s="16">
        <v>13</v>
      </c>
      <c r="BE27" s="16">
        <f>13/AS27</f>
        <v>34.300791556728235</v>
      </c>
      <c r="BF27" s="18">
        <v>1</v>
      </c>
      <c r="BG27" s="23">
        <v>359</v>
      </c>
      <c r="BH27" s="16">
        <f>359/AS27</f>
        <v>947.22955145118738</v>
      </c>
      <c r="BI27" s="16">
        <v>1</v>
      </c>
      <c r="BJ27" s="16">
        <v>5</v>
      </c>
      <c r="BK27" s="16">
        <f>5/AS27</f>
        <v>13.192612137203167</v>
      </c>
      <c r="BL27" s="16">
        <f>IF(BM27&gt;0,1,0)</f>
        <v>0</v>
      </c>
      <c r="BM27" s="16">
        <f>SUM(BR27,BU27,BX27,CA27,CD27,CG27,CJ27,CM27,CP27)</f>
        <v>0</v>
      </c>
      <c r="BN27" s="16">
        <f>SUM(BW27,BZ27,CC27,CF27,CI27,CL27,CO27,CR27,BT27)</f>
        <v>0</v>
      </c>
      <c r="BO27" s="16">
        <f>IF(BP27&gt;0,1,0)</f>
        <v>0</v>
      </c>
      <c r="BP27" s="16">
        <f>SUM(BU27,BX27,CA27,CD27,BR27)</f>
        <v>0</v>
      </c>
      <c r="BQ27" s="16">
        <f>SUM(BZ27,CC27,CF27,BT27,BW27)</f>
        <v>0</v>
      </c>
      <c r="BR27" s="18">
        <v>0</v>
      </c>
      <c r="BS27" s="16">
        <v>0</v>
      </c>
      <c r="BT27" s="23">
        <f>BS27/AS27</f>
        <v>0</v>
      </c>
      <c r="BU27" s="18">
        <v>0</v>
      </c>
      <c r="BV27" s="16">
        <v>0</v>
      </c>
      <c r="BW27" s="18">
        <f>BV27/AS27</f>
        <v>0</v>
      </c>
      <c r="BX27" s="18">
        <v>0</v>
      </c>
      <c r="BY27" s="16">
        <v>0</v>
      </c>
      <c r="BZ27" s="16">
        <f>BY27/AS27</f>
        <v>0</v>
      </c>
      <c r="CA27" s="24">
        <v>0</v>
      </c>
      <c r="CB27" s="16">
        <v>0</v>
      </c>
      <c r="CC27" s="16">
        <v>0</v>
      </c>
      <c r="CD27" s="25">
        <v>0</v>
      </c>
      <c r="CE27" s="16">
        <v>0</v>
      </c>
      <c r="CF27" s="16">
        <v>0</v>
      </c>
      <c r="CG27" s="16"/>
      <c r="CH27" s="16"/>
      <c r="CI27" s="16"/>
      <c r="CJ27" s="16"/>
      <c r="CK27" s="16"/>
      <c r="CL27" s="16"/>
      <c r="CM27" s="16"/>
      <c r="CN27" s="16"/>
      <c r="CO27" s="16"/>
      <c r="CP27" s="16" t="s">
        <v>123</v>
      </c>
      <c r="CQ27" s="16">
        <v>0</v>
      </c>
      <c r="CR27" s="16">
        <v>0</v>
      </c>
      <c r="CS27" s="18">
        <f>IF(CT27&gt;0,1,0)</f>
        <v>1</v>
      </c>
      <c r="CT27" s="25">
        <f>SUM(CW27,CZ27,DC27)</f>
        <v>2</v>
      </c>
      <c r="CU27" s="25"/>
      <c r="CV27" s="16">
        <f>(384+107)/AS27</f>
        <v>1295.514511873351</v>
      </c>
      <c r="CW27" s="22">
        <v>1</v>
      </c>
      <c r="CX27" s="16">
        <v>384</v>
      </c>
      <c r="CY27" s="16">
        <f>384/AS27</f>
        <v>1013.1926121372031</v>
      </c>
      <c r="CZ27" s="16">
        <v>1</v>
      </c>
      <c r="DA27" s="16">
        <v>107</v>
      </c>
      <c r="DB27" s="16">
        <f>107/AS27</f>
        <v>282.32189973614777</v>
      </c>
      <c r="DC27" s="18">
        <v>0</v>
      </c>
      <c r="DD27" s="16">
        <v>0</v>
      </c>
      <c r="DE27" s="16">
        <v>0</v>
      </c>
      <c r="DF27" s="16" t="e">
        <f>VLOOKUP(K27,'[3]RNA Seq summary tables'!$V$3:$V$99,1,FALSE)</f>
        <v>#N/A</v>
      </c>
      <c r="DG27" s="16"/>
      <c r="DH27" s="16"/>
      <c r="DI27" s="16"/>
      <c r="DJ27" s="16"/>
      <c r="DK27" s="16"/>
      <c r="DL27" s="16"/>
      <c r="DM27" s="16"/>
      <c r="DN27" s="16"/>
      <c r="DO27" s="16"/>
      <c r="DP27" s="16"/>
      <c r="DQ27" s="16"/>
      <c r="DR27" s="16"/>
      <c r="DS27" s="16"/>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c r="IX27" s="18"/>
      <c r="IY27" s="18"/>
      <c r="IZ27" s="18"/>
      <c r="JA27" s="18"/>
      <c r="JB27" s="18"/>
      <c r="JC27" s="18"/>
      <c r="JD27" s="18"/>
      <c r="JE27" s="18"/>
      <c r="JF27" s="18"/>
      <c r="JG27" s="18"/>
      <c r="JH27" s="18"/>
      <c r="JI27" s="18"/>
      <c r="JJ27" s="18"/>
      <c r="JK27" s="18"/>
      <c r="JL27" s="18"/>
      <c r="JM27" s="18"/>
      <c r="JN27" s="18"/>
      <c r="JO27" s="16"/>
      <c r="JP27" s="16"/>
      <c r="JQ27" s="16"/>
      <c r="JR27" s="16"/>
      <c r="JS27" s="16"/>
      <c r="JT27" s="16"/>
      <c r="JU27" s="16"/>
      <c r="JV27" s="16"/>
      <c r="JW27" s="16"/>
      <c r="JX27" s="16"/>
      <c r="JY27" s="16"/>
      <c r="JZ27" s="16"/>
      <c r="KA27" s="16"/>
      <c r="KB27" s="16"/>
    </row>
    <row r="28" spans="1:288" s="26" customFormat="1" x14ac:dyDescent="0.2">
      <c r="A28" s="18"/>
      <c r="B28" s="16">
        <v>2016</v>
      </c>
      <c r="C28" s="20">
        <v>42576</v>
      </c>
      <c r="D28" s="20" t="str">
        <f>CONCATENATE(J28,"-",C28)</f>
        <v>940-42576</v>
      </c>
      <c r="E28" s="20" t="str">
        <f>CONCATENATE(T28,"-",U28,"-",C28)</f>
        <v>HW2-C7-42576</v>
      </c>
      <c r="F28" s="20" t="s">
        <v>106</v>
      </c>
      <c r="G28" s="20" t="s">
        <v>107</v>
      </c>
      <c r="H28" s="16"/>
      <c r="I28" s="16">
        <v>0</v>
      </c>
      <c r="J28" s="21">
        <v>940</v>
      </c>
      <c r="K28" s="21">
        <v>1507</v>
      </c>
      <c r="L28" s="18">
        <v>0</v>
      </c>
      <c r="M28" s="15">
        <f>VLOOKUP(K28,'[7]MLBS 2016 SNV-nem Coinfection d'!$C$1:$G$238,4,FALSE)</f>
        <v>0</v>
      </c>
      <c r="N28" s="15">
        <v>0</v>
      </c>
      <c r="O28" s="15" t="s">
        <v>119</v>
      </c>
      <c r="P28" s="16" t="s">
        <v>119</v>
      </c>
      <c r="Q28" s="16">
        <v>0</v>
      </c>
      <c r="R28" s="16">
        <v>14</v>
      </c>
      <c r="S28" s="16"/>
      <c r="T28" s="16" t="s">
        <v>129</v>
      </c>
      <c r="U28" s="16" t="s">
        <v>207</v>
      </c>
      <c r="V28" s="16" t="s">
        <v>114</v>
      </c>
      <c r="W28" s="16">
        <f>AI28/AG28</f>
        <v>0.7931034482758621</v>
      </c>
      <c r="X28" s="16" t="s">
        <v>121</v>
      </c>
      <c r="Y28" s="16" t="s">
        <v>110</v>
      </c>
      <c r="Z28" s="16">
        <v>3</v>
      </c>
      <c r="AA28" s="16" t="s">
        <v>119</v>
      </c>
      <c r="AB28" s="16" t="s">
        <v>123</v>
      </c>
      <c r="AC28" s="16" t="s">
        <v>123</v>
      </c>
      <c r="AD28" s="16" t="s">
        <v>123</v>
      </c>
      <c r="AE28" s="16"/>
      <c r="AF28" s="16"/>
      <c r="AG28" s="16">
        <f>AH28-AI28</f>
        <v>87</v>
      </c>
      <c r="AH28" s="16">
        <v>156</v>
      </c>
      <c r="AI28" s="16">
        <v>69</v>
      </c>
      <c r="AJ28" s="16"/>
      <c r="AK28" s="16">
        <v>19.5</v>
      </c>
      <c r="AL28" s="16">
        <v>0</v>
      </c>
      <c r="AM28" s="16">
        <v>0</v>
      </c>
      <c r="AN28" s="16">
        <v>0</v>
      </c>
      <c r="AO28" s="16">
        <f>IF(SUM(AL28:AN28)&gt;0,1,0)</f>
        <v>0</v>
      </c>
      <c r="AP28" s="16">
        <f>SUM(AL28:AN28)</f>
        <v>0</v>
      </c>
      <c r="AQ28" s="16">
        <v>1.8049999999999999</v>
      </c>
      <c r="AR28" s="16">
        <v>0.32800000000000001</v>
      </c>
      <c r="AS28" s="16">
        <v>0.32800000000000001</v>
      </c>
      <c r="AT28" s="16" t="s">
        <v>205</v>
      </c>
      <c r="AU28" s="16"/>
      <c r="AV28" s="16"/>
      <c r="AW28" s="22">
        <v>1</v>
      </c>
      <c r="AX28" s="16">
        <v>2</v>
      </c>
      <c r="AY28" s="16">
        <f>(25+17)/AS28</f>
        <v>128.04878048780486</v>
      </c>
      <c r="AZ28" s="18">
        <v>0</v>
      </c>
      <c r="BA28" s="16">
        <v>0</v>
      </c>
      <c r="BB28" s="16">
        <v>0</v>
      </c>
      <c r="BC28" s="18">
        <v>0</v>
      </c>
      <c r="BD28" s="16">
        <v>0</v>
      </c>
      <c r="BE28" s="16">
        <v>0</v>
      </c>
      <c r="BF28" s="18">
        <v>0</v>
      </c>
      <c r="BG28" s="23">
        <v>0</v>
      </c>
      <c r="BH28" s="16">
        <v>0</v>
      </c>
      <c r="BI28" s="18">
        <v>0</v>
      </c>
      <c r="BJ28" s="16">
        <v>0</v>
      </c>
      <c r="BK28" s="16">
        <v>0</v>
      </c>
      <c r="BL28" s="16">
        <f>IF(BM28&gt;0,1,0)</f>
        <v>0</v>
      </c>
      <c r="BM28" s="16">
        <f>SUM(BR28,BU28,BX28,CA28,CD28,CG28,CJ28,CM28,CP28)</f>
        <v>0</v>
      </c>
      <c r="BN28" s="16">
        <f>SUM(BW28,BZ28,CC28,CF28,CI28,CL28,CO28,CR28,BT28)</f>
        <v>0</v>
      </c>
      <c r="BO28" s="16">
        <f>IF(BP28&gt;0,1,0)</f>
        <v>0</v>
      </c>
      <c r="BP28" s="16">
        <f>SUM(BU28,BX28,CA28,CD28,BR28)</f>
        <v>0</v>
      </c>
      <c r="BQ28" s="16">
        <f>SUM(BZ28,CC28,CF28,BT28,BW28)</f>
        <v>0</v>
      </c>
      <c r="BR28" s="18">
        <v>0</v>
      </c>
      <c r="BS28" s="16">
        <v>0</v>
      </c>
      <c r="BT28" s="23">
        <f>BS28/AS28</f>
        <v>0</v>
      </c>
      <c r="BU28" s="18">
        <v>0</v>
      </c>
      <c r="BV28" s="16">
        <v>0</v>
      </c>
      <c r="BW28" s="18">
        <f>BV28/AS28</f>
        <v>0</v>
      </c>
      <c r="BX28" s="18">
        <v>0</v>
      </c>
      <c r="BY28" s="16">
        <v>0</v>
      </c>
      <c r="BZ28" s="16">
        <f>BY28/AS28</f>
        <v>0</v>
      </c>
      <c r="CA28" s="24">
        <v>0</v>
      </c>
      <c r="CB28" s="16">
        <v>0</v>
      </c>
      <c r="CC28" s="16">
        <v>0</v>
      </c>
      <c r="CD28" s="25">
        <v>0</v>
      </c>
      <c r="CE28" s="16">
        <v>0</v>
      </c>
      <c r="CF28" s="16">
        <v>0</v>
      </c>
      <c r="CG28" s="16"/>
      <c r="CH28" s="16"/>
      <c r="CI28" s="16"/>
      <c r="CJ28" s="16"/>
      <c r="CK28" s="16"/>
      <c r="CL28" s="16"/>
      <c r="CM28" s="16"/>
      <c r="CN28" s="16"/>
      <c r="CO28" s="16"/>
      <c r="CP28" s="16" t="s">
        <v>123</v>
      </c>
      <c r="CQ28" s="16">
        <v>0</v>
      </c>
      <c r="CR28" s="16">
        <v>0</v>
      </c>
      <c r="CS28" s="18">
        <f>IF(CT28&gt;0,1,0)</f>
        <v>1</v>
      </c>
      <c r="CT28" s="25">
        <f>SUM(CW28,CZ28,DC28)</f>
        <v>2</v>
      </c>
      <c r="CU28" s="25"/>
      <c r="CV28" s="16">
        <f>(25+17)/AS28</f>
        <v>128.04878048780486</v>
      </c>
      <c r="CW28" s="22">
        <v>1</v>
      </c>
      <c r="CX28" s="16">
        <v>25</v>
      </c>
      <c r="CY28" s="16">
        <f>25/AS28</f>
        <v>76.219512195121951</v>
      </c>
      <c r="CZ28" s="16">
        <v>1</v>
      </c>
      <c r="DA28" s="16">
        <v>17</v>
      </c>
      <c r="DB28" s="16">
        <f>17/AS28</f>
        <v>51.829268292682926</v>
      </c>
      <c r="DC28" s="18">
        <v>0</v>
      </c>
      <c r="DD28" s="16">
        <v>0</v>
      </c>
      <c r="DE28" s="16">
        <v>0</v>
      </c>
      <c r="DF28" s="16" t="e">
        <f>VLOOKUP(K28,'[3]RNA Seq summary tables'!$V$3:$V$99,1,FALSE)</f>
        <v>#N/A</v>
      </c>
      <c r="DG28" s="16"/>
      <c r="DH28" s="16"/>
      <c r="DI28" s="16"/>
      <c r="DJ28" s="16"/>
      <c r="DK28" s="16"/>
      <c r="DL28" s="16"/>
      <c r="DM28" s="16"/>
      <c r="DN28" s="16"/>
      <c r="DO28" s="16"/>
      <c r="DP28" s="16"/>
      <c r="DQ28" s="16"/>
      <c r="DR28" s="16"/>
      <c r="DS28" s="16"/>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6"/>
      <c r="JP28" s="16"/>
      <c r="JQ28" s="16"/>
      <c r="JR28" s="16"/>
      <c r="JS28" s="16"/>
      <c r="JT28" s="16"/>
      <c r="JU28" s="16"/>
      <c r="JV28" s="16"/>
      <c r="JW28" s="16"/>
      <c r="JX28" s="16"/>
      <c r="JY28" s="16"/>
      <c r="JZ28" s="16"/>
      <c r="KA28" s="16"/>
      <c r="KB28" s="16"/>
    </row>
    <row r="29" spans="1:288" s="26" customFormat="1" x14ac:dyDescent="0.2">
      <c r="A29" s="18"/>
      <c r="B29" s="16">
        <v>2016</v>
      </c>
      <c r="C29" s="37">
        <v>42590</v>
      </c>
      <c r="D29" s="37" t="str">
        <f>CONCATENATE(J29,"-",C29)</f>
        <v>940-42590</v>
      </c>
      <c r="E29" s="20" t="str">
        <f>CONCATENATE(T29,"-",U29,"-",C29)</f>
        <v>HW2-A7-42590</v>
      </c>
      <c r="F29" s="20" t="s">
        <v>224</v>
      </c>
      <c r="G29" s="20" t="s">
        <v>107</v>
      </c>
      <c r="H29" s="18"/>
      <c r="I29" s="16">
        <v>0</v>
      </c>
      <c r="J29" s="36">
        <v>940</v>
      </c>
      <c r="K29" s="36">
        <v>1535</v>
      </c>
      <c r="L29" s="18">
        <v>0</v>
      </c>
      <c r="M29" s="15">
        <f>VLOOKUP(K29,'[7]MLBS 2016 SNV-nem Coinfection d'!$C$1:$G$238,4,FALSE)</f>
        <v>0</v>
      </c>
      <c r="N29" s="15">
        <v>0</v>
      </c>
      <c r="O29" s="15" t="s">
        <v>119</v>
      </c>
      <c r="P29" s="18" t="s">
        <v>119</v>
      </c>
      <c r="Q29" s="16">
        <v>0</v>
      </c>
      <c r="R29" s="18">
        <v>14</v>
      </c>
      <c r="S29" s="18"/>
      <c r="T29" s="18" t="s">
        <v>129</v>
      </c>
      <c r="U29" s="18" t="s">
        <v>120</v>
      </c>
      <c r="V29" s="18" t="s">
        <v>114</v>
      </c>
      <c r="W29" s="16">
        <f>AI29/AG29</f>
        <v>0.8202247191011236</v>
      </c>
      <c r="X29" s="18" t="s">
        <v>121</v>
      </c>
      <c r="Y29" s="18" t="s">
        <v>110</v>
      </c>
      <c r="Z29" s="18">
        <v>3</v>
      </c>
      <c r="AA29" s="18" t="s">
        <v>161</v>
      </c>
      <c r="AB29" s="18" t="s">
        <v>116</v>
      </c>
      <c r="AC29" s="18" t="s">
        <v>116</v>
      </c>
      <c r="AD29" s="18" t="s">
        <v>116</v>
      </c>
      <c r="AE29" s="18"/>
      <c r="AF29" s="18"/>
      <c r="AG29" s="18">
        <f>AH29-AI29</f>
        <v>89</v>
      </c>
      <c r="AH29" s="18">
        <v>162</v>
      </c>
      <c r="AI29" s="18">
        <v>73</v>
      </c>
      <c r="AJ29" s="18"/>
      <c r="AK29" s="18">
        <v>26</v>
      </c>
      <c r="AL29" s="16">
        <v>1</v>
      </c>
      <c r="AM29" s="16">
        <v>0</v>
      </c>
      <c r="AN29" s="16">
        <v>0</v>
      </c>
      <c r="AO29" s="16">
        <f>IF(SUM(AL29:AN29)&gt;0,1,0)</f>
        <v>1</v>
      </c>
      <c r="AP29" s="16">
        <f>SUM(AL29:AN29)</f>
        <v>1</v>
      </c>
      <c r="AQ29" s="18"/>
      <c r="AR29" s="18">
        <v>0.52800000000000002</v>
      </c>
      <c r="AS29" s="18">
        <v>0.52800000000000002</v>
      </c>
      <c r="AT29" s="18" t="s">
        <v>212</v>
      </c>
      <c r="AU29" s="18"/>
      <c r="AV29" s="18"/>
      <c r="AW29" s="22">
        <v>1</v>
      </c>
      <c r="AX29" s="18">
        <v>2</v>
      </c>
      <c r="AY29" s="18">
        <f>(626+5)/0.528</f>
        <v>1195.0757575757575</v>
      </c>
      <c r="AZ29" s="18">
        <v>0</v>
      </c>
      <c r="BA29" s="18">
        <v>0</v>
      </c>
      <c r="BB29" s="18">
        <v>0</v>
      </c>
      <c r="BC29" s="18">
        <v>0</v>
      </c>
      <c r="BD29" s="18">
        <v>0</v>
      </c>
      <c r="BE29" s="18">
        <v>0</v>
      </c>
      <c r="BF29" s="18">
        <v>0</v>
      </c>
      <c r="BG29" s="25">
        <v>0</v>
      </c>
      <c r="BH29" s="18">
        <v>0</v>
      </c>
      <c r="BI29" s="18">
        <v>0</v>
      </c>
      <c r="BJ29" s="18">
        <v>0</v>
      </c>
      <c r="BK29" s="18">
        <v>0</v>
      </c>
      <c r="BL29" s="16">
        <f>IF(BM29&gt;0,1,0)</f>
        <v>1</v>
      </c>
      <c r="BM29" s="16">
        <f>SUM(BR29,BU29,BX29,CA29,CD29,CG29,CJ29,CM29,CP29)</f>
        <v>1</v>
      </c>
      <c r="BN29" s="16">
        <f>SUM(BW29,BZ29,CC29,CF29,CI29,CL29,CO29,CR29,BT29)</f>
        <v>9.4696969696969688</v>
      </c>
      <c r="BO29" s="16">
        <f>IF(BP29&gt;0,1,0)</f>
        <v>1</v>
      </c>
      <c r="BP29" s="16">
        <f>SUM(BU29,BX29,CA29,CD29,BR29)</f>
        <v>1</v>
      </c>
      <c r="BQ29" s="16">
        <f>SUM(BZ29,CC29,CF29,BT29,BW29)</f>
        <v>9.4696969696969688</v>
      </c>
      <c r="BR29" s="18">
        <v>1</v>
      </c>
      <c r="BS29" s="18">
        <v>5</v>
      </c>
      <c r="BT29" s="23">
        <f>BS29/AS29</f>
        <v>9.4696969696969688</v>
      </c>
      <c r="BU29" s="18">
        <v>0</v>
      </c>
      <c r="BV29" s="18">
        <v>0</v>
      </c>
      <c r="BW29" s="18">
        <f>BV29/AS29</f>
        <v>0</v>
      </c>
      <c r="BX29" s="24">
        <v>0</v>
      </c>
      <c r="BY29" s="18">
        <v>0</v>
      </c>
      <c r="BZ29" s="16">
        <f>BY29/AS29</f>
        <v>0</v>
      </c>
      <c r="CA29" s="24">
        <v>0</v>
      </c>
      <c r="CB29" s="18">
        <v>0</v>
      </c>
      <c r="CC29" s="18">
        <v>0</v>
      </c>
      <c r="CD29" s="23">
        <v>0</v>
      </c>
      <c r="CE29" s="18">
        <v>0</v>
      </c>
      <c r="CF29" s="18">
        <v>0</v>
      </c>
      <c r="CG29" s="18"/>
      <c r="CH29" s="18"/>
      <c r="CI29" s="18"/>
      <c r="CJ29" s="18"/>
      <c r="CK29" s="18"/>
      <c r="CL29" s="18"/>
      <c r="CM29" s="18"/>
      <c r="CN29" s="18"/>
      <c r="CO29" s="18"/>
      <c r="CP29" s="18" t="s">
        <v>123</v>
      </c>
      <c r="CQ29" s="18">
        <v>0</v>
      </c>
      <c r="CR29" s="18">
        <v>0</v>
      </c>
      <c r="CS29" s="18">
        <f>IF(CT29&gt;0,1,0)</f>
        <v>1</v>
      </c>
      <c r="CT29" s="25">
        <f>SUM(CW29,CZ29,DC29)</f>
        <v>1</v>
      </c>
      <c r="CU29" s="25"/>
      <c r="CV29" s="18">
        <f>626/0.528</f>
        <v>1185.6060606060605</v>
      </c>
      <c r="CW29" s="22">
        <v>1</v>
      </c>
      <c r="CX29" s="18">
        <v>626</v>
      </c>
      <c r="CY29" s="18">
        <f>626/0.528</f>
        <v>1185.6060606060605</v>
      </c>
      <c r="CZ29" s="18">
        <v>0</v>
      </c>
      <c r="DA29" s="18">
        <v>0</v>
      </c>
      <c r="DB29" s="18">
        <v>0</v>
      </c>
      <c r="DC29" s="18">
        <v>0</v>
      </c>
      <c r="DD29" s="18">
        <v>0</v>
      </c>
      <c r="DE29" s="18">
        <v>0</v>
      </c>
      <c r="DF29" s="16" t="e">
        <f>VLOOKUP(K29,'[3]RNA Seq summary tables'!$V$3:$V$99,1,FALSE)</f>
        <v>#N/A</v>
      </c>
      <c r="DG29" s="16"/>
      <c r="DH29" s="16"/>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c r="GZ29" s="18"/>
      <c r="HA29" s="18"/>
      <c r="HB29" s="18"/>
      <c r="HC29" s="18"/>
      <c r="HD29" s="18"/>
      <c r="HE29" s="18"/>
      <c r="HF29" s="18"/>
      <c r="HG29" s="18"/>
      <c r="HH29" s="18"/>
      <c r="HI29" s="18"/>
      <c r="HJ29" s="18"/>
      <c r="HK29" s="18"/>
      <c r="HL29" s="18"/>
      <c r="HM29" s="18"/>
      <c r="HN29" s="18"/>
      <c r="HO29" s="18"/>
      <c r="HP29" s="18"/>
      <c r="HQ29" s="18"/>
      <c r="HR29" s="18"/>
      <c r="HS29" s="18"/>
      <c r="HT29" s="18"/>
      <c r="HU29" s="18"/>
      <c r="HV29" s="18"/>
      <c r="HW29" s="18"/>
      <c r="HX29" s="18"/>
      <c r="HY29" s="18"/>
      <c r="HZ29" s="18"/>
      <c r="IA29" s="18"/>
      <c r="IB29" s="18"/>
      <c r="IC29" s="18"/>
      <c r="ID29" s="18"/>
      <c r="IE29" s="18"/>
      <c r="IF29" s="18"/>
      <c r="IG29" s="18"/>
      <c r="IH29" s="18"/>
      <c r="II29" s="18"/>
      <c r="IJ29" s="18"/>
      <c r="IK29" s="18"/>
      <c r="IL29" s="18"/>
      <c r="IM29" s="18"/>
      <c r="IN29" s="18"/>
      <c r="IO29" s="18"/>
      <c r="IP29" s="18"/>
      <c r="IQ29" s="18"/>
      <c r="IR29" s="18"/>
      <c r="IS29" s="18"/>
      <c r="IT29" s="18"/>
      <c r="IU29" s="18"/>
      <c r="IV29" s="18"/>
      <c r="IW29" s="18"/>
      <c r="IX29" s="18"/>
      <c r="IY29" s="18"/>
      <c r="IZ29" s="18"/>
      <c r="JA29" s="18"/>
      <c r="JB29" s="18"/>
      <c r="JC29" s="18"/>
      <c r="JD29" s="18"/>
      <c r="JE29" s="18"/>
      <c r="JF29" s="18"/>
      <c r="JG29" s="18"/>
      <c r="JH29" s="18"/>
      <c r="JI29" s="18"/>
      <c r="JJ29" s="18"/>
      <c r="JK29" s="18"/>
      <c r="JL29" s="18"/>
      <c r="JM29" s="18"/>
      <c r="JN29" s="18"/>
      <c r="JO29" s="16"/>
      <c r="JP29" s="16"/>
      <c r="JQ29" s="16"/>
      <c r="JR29" s="16"/>
      <c r="JS29" s="16"/>
      <c r="JT29" s="16"/>
      <c r="JU29" s="16"/>
      <c r="JV29" s="16"/>
      <c r="JW29" s="16"/>
      <c r="JX29" s="16"/>
      <c r="JY29" s="16"/>
      <c r="JZ29" s="16"/>
      <c r="KA29" s="16"/>
      <c r="KB29" s="16"/>
    </row>
    <row r="30" spans="1:288" s="26" customFormat="1" x14ac:dyDescent="0.2">
      <c r="A30" s="18"/>
      <c r="B30" s="16">
        <v>2016</v>
      </c>
      <c r="C30" s="20">
        <v>42520</v>
      </c>
      <c r="D30" s="20" t="str">
        <f>CONCATENATE(J30,"-",C30)</f>
        <v>942-42520</v>
      </c>
      <c r="E30" s="20" t="str">
        <f>CONCATENATE(T30,"-",U30,"-",C30)</f>
        <v>HW2-B6-42520</v>
      </c>
      <c r="F30" s="20" t="s">
        <v>106</v>
      </c>
      <c r="G30" s="20" t="s">
        <v>107</v>
      </c>
      <c r="H30" s="16"/>
      <c r="I30" s="16">
        <v>0</v>
      </c>
      <c r="J30" s="21">
        <v>942</v>
      </c>
      <c r="K30" s="21">
        <v>1345</v>
      </c>
      <c r="L30" s="16">
        <v>0</v>
      </c>
      <c r="M30" s="15">
        <f>VLOOKUP(K30,'[7]MLBS 2016 SNV-nem Coinfection d'!$C$1:$G$238,4,FALSE)</f>
        <v>0</v>
      </c>
      <c r="N30" s="15">
        <v>0</v>
      </c>
      <c r="O30" s="15" t="s">
        <v>119</v>
      </c>
      <c r="P30" s="16" t="s">
        <v>119</v>
      </c>
      <c r="Q30" s="16">
        <v>0</v>
      </c>
      <c r="R30" s="16" t="s">
        <v>111</v>
      </c>
      <c r="S30" s="16"/>
      <c r="T30" s="16" t="s">
        <v>129</v>
      </c>
      <c r="U30" s="16" t="s">
        <v>132</v>
      </c>
      <c r="V30" s="16" t="s">
        <v>114</v>
      </c>
      <c r="W30" s="16">
        <f>AI30/AG30</f>
        <v>1</v>
      </c>
      <c r="X30" s="16" t="s">
        <v>115</v>
      </c>
      <c r="Y30" s="16" t="s">
        <v>110</v>
      </c>
      <c r="Z30" s="16">
        <v>3</v>
      </c>
      <c r="AA30" s="16"/>
      <c r="AB30" s="16"/>
      <c r="AC30" s="16"/>
      <c r="AD30" s="16"/>
      <c r="AE30" s="16" t="s">
        <v>123</v>
      </c>
      <c r="AF30" s="16" t="s">
        <v>123</v>
      </c>
      <c r="AG30" s="16">
        <f>AH30-AI30</f>
        <v>80</v>
      </c>
      <c r="AH30" s="16">
        <v>160</v>
      </c>
      <c r="AI30" s="16">
        <v>80</v>
      </c>
      <c r="AJ30" s="16"/>
      <c r="AK30" s="16">
        <v>21.5</v>
      </c>
      <c r="AL30" s="16">
        <v>0</v>
      </c>
      <c r="AM30" s="16">
        <v>0</v>
      </c>
      <c r="AN30" s="16">
        <v>0</v>
      </c>
      <c r="AO30" s="16">
        <f>IF(SUM(AL30:AN30)&gt;0,1,0)</f>
        <v>0</v>
      </c>
      <c r="AP30" s="16">
        <f>SUM(AL30:AN30)</f>
        <v>0</v>
      </c>
      <c r="AQ30" s="16">
        <f>1.477+AS30</f>
        <v>2.0979999999999999</v>
      </c>
      <c r="AR30" s="16">
        <v>0.621</v>
      </c>
      <c r="AS30" s="16">
        <v>0.621</v>
      </c>
      <c r="AT30" s="16" t="s">
        <v>124</v>
      </c>
      <c r="AU30" s="16"/>
      <c r="AV30" s="16"/>
      <c r="AW30" s="22">
        <v>1</v>
      </c>
      <c r="AX30" s="16"/>
      <c r="AY30" s="16">
        <f>1/0.621</f>
        <v>1.6103059581320451</v>
      </c>
      <c r="AZ30" s="18">
        <v>0</v>
      </c>
      <c r="BA30" s="16"/>
      <c r="BB30" s="16">
        <v>0</v>
      </c>
      <c r="BC30" s="18">
        <v>0</v>
      </c>
      <c r="BD30" s="16">
        <v>0</v>
      </c>
      <c r="BE30" s="16">
        <v>0</v>
      </c>
      <c r="BF30" s="18">
        <v>0</v>
      </c>
      <c r="BG30" s="23">
        <v>0</v>
      </c>
      <c r="BH30" s="16">
        <v>0</v>
      </c>
      <c r="BI30" s="18">
        <v>0</v>
      </c>
      <c r="BJ30" s="16">
        <v>0</v>
      </c>
      <c r="BK30" s="16">
        <v>0</v>
      </c>
      <c r="BL30" s="16">
        <f>IF(BM30&gt;0,1,0)</f>
        <v>1</v>
      </c>
      <c r="BM30" s="16">
        <f>SUM(BR30,BU30,BX30,CA30,CD30,CG30,CJ30,CM30,CP30)</f>
        <v>1</v>
      </c>
      <c r="BN30" s="16">
        <f>SUM(BW30,BZ30,CC30,CF30,CI30,CL30,CO30,CR30,BT30)</f>
        <v>1.6103059581320451</v>
      </c>
      <c r="BO30" s="16">
        <f>IF(BP30&gt;0,1,0)</f>
        <v>1</v>
      </c>
      <c r="BP30" s="16">
        <f>SUM(BU30,BX30,CA30,CD30,BR30)</f>
        <v>1</v>
      </c>
      <c r="BQ30" s="16">
        <f>SUM(BZ30,CC30,CF30,BT30,BW30)</f>
        <v>1.6103059581320451</v>
      </c>
      <c r="BR30" s="18">
        <v>0</v>
      </c>
      <c r="BS30" s="16">
        <v>0</v>
      </c>
      <c r="BT30" s="23">
        <f>BS30/AS30</f>
        <v>0</v>
      </c>
      <c r="BU30" s="18">
        <v>0</v>
      </c>
      <c r="BV30" s="16">
        <v>0</v>
      </c>
      <c r="BW30" s="18">
        <f>BV30/AS30</f>
        <v>0</v>
      </c>
      <c r="BX30" s="24">
        <v>1</v>
      </c>
      <c r="BY30" s="16">
        <v>1</v>
      </c>
      <c r="BZ30" s="16">
        <f>BY30/AS30</f>
        <v>1.6103059581320451</v>
      </c>
      <c r="CA30" s="24">
        <v>0</v>
      </c>
      <c r="CB30" s="16">
        <v>0</v>
      </c>
      <c r="CC30" s="16">
        <v>0</v>
      </c>
      <c r="CD30" s="25">
        <v>0</v>
      </c>
      <c r="CE30" s="16">
        <v>0</v>
      </c>
      <c r="CF30" s="16">
        <v>0</v>
      </c>
      <c r="CG30" s="16"/>
      <c r="CH30" s="16"/>
      <c r="CI30" s="16"/>
      <c r="CJ30" s="16"/>
      <c r="CK30" s="16"/>
      <c r="CL30" s="16"/>
      <c r="CM30" s="16"/>
      <c r="CN30" s="16"/>
      <c r="CO30" s="16"/>
      <c r="CP30" s="16" t="s">
        <v>123</v>
      </c>
      <c r="CQ30" s="16">
        <v>0</v>
      </c>
      <c r="CR30" s="16">
        <v>0</v>
      </c>
      <c r="CS30" s="18">
        <f>IF(CT30&gt;0,1,0)</f>
        <v>0</v>
      </c>
      <c r="CT30" s="25">
        <f>SUM(CW30,CZ30,DC30)</f>
        <v>0</v>
      </c>
      <c r="CU30" s="25"/>
      <c r="CV30" s="16">
        <v>0</v>
      </c>
      <c r="CW30" s="25">
        <v>0</v>
      </c>
      <c r="CX30" s="16">
        <v>0</v>
      </c>
      <c r="CY30" s="16">
        <v>0</v>
      </c>
      <c r="CZ30" s="18">
        <v>0</v>
      </c>
      <c r="DA30" s="16">
        <v>0</v>
      </c>
      <c r="DB30" s="16">
        <v>0</v>
      </c>
      <c r="DC30" s="18">
        <v>0</v>
      </c>
      <c r="DD30" s="16">
        <v>0</v>
      </c>
      <c r="DE30" s="16">
        <v>0</v>
      </c>
      <c r="DF30" s="16" t="e">
        <f>VLOOKUP(K30,'[3]RNA Seq summary tables'!$V$3:$V$99,1,FALSE)</f>
        <v>#N/A</v>
      </c>
      <c r="DG30" s="16"/>
      <c r="DH30" s="16"/>
      <c r="DI30" s="16"/>
      <c r="DJ30" s="16"/>
      <c r="DK30" s="16"/>
      <c r="DL30" s="16"/>
      <c r="DM30" s="16"/>
      <c r="DN30" s="16"/>
      <c r="DO30" s="16"/>
      <c r="DP30" s="16"/>
      <c r="DQ30" s="16"/>
      <c r="DR30" s="16"/>
      <c r="DS30" s="16"/>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c r="IJ30" s="18"/>
      <c r="IK30" s="18"/>
      <c r="IL30" s="18"/>
      <c r="IM30" s="18"/>
      <c r="IN30" s="18"/>
      <c r="IO30" s="18"/>
      <c r="IP30" s="18"/>
      <c r="IQ30" s="18"/>
      <c r="IR30" s="18"/>
      <c r="IS30" s="18"/>
      <c r="IT30" s="18"/>
      <c r="IU30" s="18"/>
      <c r="IV30" s="18"/>
      <c r="IW30" s="18"/>
      <c r="IX30" s="18"/>
      <c r="IY30" s="18"/>
      <c r="IZ30" s="18"/>
      <c r="JA30" s="18"/>
      <c r="JB30" s="18"/>
      <c r="JC30" s="18"/>
      <c r="JD30" s="18"/>
      <c r="JE30" s="18"/>
      <c r="JF30" s="18"/>
      <c r="JG30" s="18"/>
      <c r="JH30" s="18"/>
      <c r="JI30" s="18"/>
      <c r="JJ30" s="18"/>
      <c r="JK30" s="18"/>
      <c r="JL30" s="18"/>
      <c r="JM30" s="18"/>
      <c r="JN30" s="18"/>
      <c r="JP30" s="16"/>
      <c r="JQ30" s="16"/>
      <c r="JR30" s="16"/>
      <c r="JS30" s="16"/>
      <c r="JT30" s="16"/>
      <c r="JU30" s="16"/>
      <c r="JV30" s="16"/>
      <c r="JW30" s="16"/>
      <c r="JX30" s="16"/>
      <c r="JY30" s="16"/>
      <c r="JZ30" s="16"/>
      <c r="KA30" s="16"/>
      <c r="KB30" s="16"/>
    </row>
    <row r="31" spans="1:288" s="30" customFormat="1" x14ac:dyDescent="0.2">
      <c r="A31" s="18"/>
      <c r="B31" s="16">
        <v>2016</v>
      </c>
      <c r="C31" s="20">
        <v>42534</v>
      </c>
      <c r="D31" s="20" t="str">
        <f>CONCATENATE(J31,"-",C31)</f>
        <v>942-42534</v>
      </c>
      <c r="E31" s="20" t="str">
        <f>CONCATENATE(T31,"-",U31,"-",C31)</f>
        <v>HW2-A4-42534</v>
      </c>
      <c r="F31" s="20" t="s">
        <v>106</v>
      </c>
      <c r="G31" s="20" t="s">
        <v>107</v>
      </c>
      <c r="H31" s="16"/>
      <c r="I31" s="16">
        <v>0</v>
      </c>
      <c r="J31" s="21">
        <v>942</v>
      </c>
      <c r="K31" s="21">
        <v>1368</v>
      </c>
      <c r="L31" s="16">
        <v>0</v>
      </c>
      <c r="M31" s="15">
        <f>VLOOKUP(K31,'[7]MLBS 2016 SNV-nem Coinfection d'!$C$1:$G$238,4,FALSE)</f>
        <v>0</v>
      </c>
      <c r="N31" s="15">
        <v>0</v>
      </c>
      <c r="O31" s="15" t="s">
        <v>119</v>
      </c>
      <c r="P31" s="16" t="s">
        <v>119</v>
      </c>
      <c r="Q31" s="16">
        <v>0</v>
      </c>
      <c r="R31" s="16">
        <v>14</v>
      </c>
      <c r="S31" s="16"/>
      <c r="T31" s="16" t="s">
        <v>129</v>
      </c>
      <c r="U31" s="16" t="s">
        <v>134</v>
      </c>
      <c r="V31" s="16" t="s">
        <v>114</v>
      </c>
      <c r="W31" s="16">
        <f>AI31/AG31</f>
        <v>0.92307692307692313</v>
      </c>
      <c r="X31" s="16" t="s">
        <v>115</v>
      </c>
      <c r="Y31" s="16" t="s">
        <v>110</v>
      </c>
      <c r="Z31" s="16">
        <v>3</v>
      </c>
      <c r="AA31" s="16"/>
      <c r="AB31" s="16"/>
      <c r="AC31" s="16"/>
      <c r="AD31" s="16"/>
      <c r="AE31" s="16" t="s">
        <v>123</v>
      </c>
      <c r="AF31" s="16" t="s">
        <v>123</v>
      </c>
      <c r="AG31" s="16">
        <f>AH31-AI31</f>
        <v>91</v>
      </c>
      <c r="AH31" s="16">
        <v>175</v>
      </c>
      <c r="AI31" s="16">
        <v>84</v>
      </c>
      <c r="AJ31" s="16"/>
      <c r="AK31" s="16">
        <v>20.5</v>
      </c>
      <c r="AL31" s="16">
        <v>0</v>
      </c>
      <c r="AM31" s="16">
        <v>0</v>
      </c>
      <c r="AN31" s="16">
        <v>0</v>
      </c>
      <c r="AO31" s="16">
        <f>IF(SUM(AL31:AN31)&gt;0,1,0)</f>
        <v>0</v>
      </c>
      <c r="AP31" s="16">
        <f>SUM(AL31:AN31)</f>
        <v>0</v>
      </c>
      <c r="AQ31" s="16">
        <f>0.202+1.477</f>
        <v>1.679</v>
      </c>
      <c r="AR31" s="16">
        <v>0.20200000000000001</v>
      </c>
      <c r="AS31" s="16">
        <v>0.20200000000000001</v>
      </c>
      <c r="AT31" s="16" t="s">
        <v>124</v>
      </c>
      <c r="AU31" s="16"/>
      <c r="AV31" s="16"/>
      <c r="AW31" s="22">
        <v>1</v>
      </c>
      <c r="AX31" s="16"/>
      <c r="AY31" s="16">
        <f>4/AS31</f>
        <v>19.801980198019802</v>
      </c>
      <c r="AZ31" s="18">
        <v>0</v>
      </c>
      <c r="BA31" s="16"/>
      <c r="BB31" s="16">
        <v>0</v>
      </c>
      <c r="BC31" s="18">
        <v>0</v>
      </c>
      <c r="BD31" s="16">
        <v>0</v>
      </c>
      <c r="BE31" s="16">
        <v>0</v>
      </c>
      <c r="BF31" s="18">
        <v>0</v>
      </c>
      <c r="BG31" s="23">
        <v>0</v>
      </c>
      <c r="BH31" s="16">
        <v>0</v>
      </c>
      <c r="BI31" s="18">
        <v>0</v>
      </c>
      <c r="BJ31" s="16">
        <v>0</v>
      </c>
      <c r="BK31" s="16">
        <v>0</v>
      </c>
      <c r="BL31" s="16">
        <f>IF(BM31&gt;0,1,0)</f>
        <v>1</v>
      </c>
      <c r="BM31" s="16">
        <f>SUM(BR31,BU31,BX31,CA31,CD31,CG31,CJ31,CM31,CP31)</f>
        <v>1</v>
      </c>
      <c r="BN31" s="16">
        <f>SUM(BW31,BZ31,CC31,CF31,CI31,CL31,CO31,CR31,BT31)</f>
        <v>19.801980198019802</v>
      </c>
      <c r="BO31" s="16">
        <f>IF(BP31&gt;0,1,0)</f>
        <v>1</v>
      </c>
      <c r="BP31" s="16">
        <f>SUM(BU31,BX31,CA31,CD31,BR31)</f>
        <v>1</v>
      </c>
      <c r="BQ31" s="16">
        <f>SUM(BZ31,CC31,CF31,BT31,BW31)</f>
        <v>19.801980198019802</v>
      </c>
      <c r="BR31" s="18">
        <v>0</v>
      </c>
      <c r="BS31" s="16">
        <v>0</v>
      </c>
      <c r="BT31" s="23">
        <f>BS31/AS31</f>
        <v>0</v>
      </c>
      <c r="BU31" s="18">
        <v>0</v>
      </c>
      <c r="BV31" s="16">
        <v>0</v>
      </c>
      <c r="BW31" s="18">
        <f>BV31/AS31</f>
        <v>0</v>
      </c>
      <c r="BX31" s="24">
        <v>1</v>
      </c>
      <c r="BY31" s="16">
        <v>4</v>
      </c>
      <c r="BZ31" s="16">
        <f>BY31/AS31</f>
        <v>19.801980198019802</v>
      </c>
      <c r="CA31" s="24">
        <v>0</v>
      </c>
      <c r="CB31" s="16">
        <v>0</v>
      </c>
      <c r="CC31" s="16">
        <v>0</v>
      </c>
      <c r="CD31" s="25">
        <v>0</v>
      </c>
      <c r="CE31" s="16">
        <v>0</v>
      </c>
      <c r="CF31" s="16">
        <v>0</v>
      </c>
      <c r="CG31" s="16"/>
      <c r="CH31" s="16"/>
      <c r="CI31" s="16"/>
      <c r="CJ31" s="16"/>
      <c r="CK31" s="16"/>
      <c r="CL31" s="16"/>
      <c r="CM31" s="16"/>
      <c r="CN31" s="16"/>
      <c r="CO31" s="16"/>
      <c r="CP31" s="16" t="s">
        <v>123</v>
      </c>
      <c r="CQ31" s="16">
        <v>0</v>
      </c>
      <c r="CR31" s="16">
        <v>0</v>
      </c>
      <c r="CS31" s="18">
        <f>IF(CT31&gt;0,1,0)</f>
        <v>0</v>
      </c>
      <c r="CT31" s="25">
        <f>SUM(CW31,CZ31,DC31)</f>
        <v>0</v>
      </c>
      <c r="CU31" s="25"/>
      <c r="CV31" s="16">
        <v>0</v>
      </c>
      <c r="CW31" s="25">
        <v>0</v>
      </c>
      <c r="CX31" s="16">
        <v>0</v>
      </c>
      <c r="CY31" s="16">
        <v>0</v>
      </c>
      <c r="CZ31" s="18">
        <v>0</v>
      </c>
      <c r="DA31" s="16">
        <v>0</v>
      </c>
      <c r="DB31" s="16">
        <v>0</v>
      </c>
      <c r="DC31" s="18">
        <v>0</v>
      </c>
      <c r="DD31" s="16">
        <v>0</v>
      </c>
      <c r="DE31" s="16">
        <v>0</v>
      </c>
      <c r="DF31" s="16" t="e">
        <f>VLOOKUP(K31,'[3]RNA Seq summary tables'!$V$3:$V$99,1,FALSE)</f>
        <v>#N/A</v>
      </c>
      <c r="DG31" s="16"/>
      <c r="DH31" s="16"/>
      <c r="DI31" s="16"/>
      <c r="DJ31" s="16"/>
      <c r="DK31" s="16"/>
      <c r="DL31" s="16"/>
      <c r="DM31" s="16"/>
      <c r="DN31" s="16"/>
      <c r="DO31" s="16"/>
      <c r="DP31" s="16"/>
      <c r="DQ31" s="16"/>
      <c r="DR31" s="16"/>
      <c r="DS31" s="16"/>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c r="GN31" s="18"/>
      <c r="GO31" s="18"/>
      <c r="GP31" s="18"/>
      <c r="GQ31" s="18"/>
      <c r="GR31" s="18"/>
      <c r="GS31" s="18"/>
      <c r="GT31" s="18"/>
      <c r="GU31" s="18"/>
      <c r="GV31" s="18"/>
      <c r="GW31" s="18"/>
      <c r="GX31" s="18"/>
      <c r="GY31" s="18"/>
      <c r="GZ31" s="18"/>
      <c r="HA31" s="18"/>
      <c r="HB31" s="18"/>
      <c r="HC31" s="18"/>
      <c r="HD31" s="18"/>
      <c r="HE31" s="18"/>
      <c r="HF31" s="18"/>
      <c r="HG31" s="18"/>
      <c r="HH31" s="18"/>
      <c r="HI31" s="18"/>
      <c r="HJ31" s="18"/>
      <c r="HK31" s="18"/>
      <c r="HL31" s="18"/>
      <c r="HM31" s="18"/>
      <c r="HN31" s="18"/>
      <c r="HO31" s="18"/>
      <c r="HP31" s="18"/>
      <c r="HQ31" s="18"/>
      <c r="HR31" s="18"/>
      <c r="HS31" s="18"/>
      <c r="HT31" s="18"/>
      <c r="HU31" s="18"/>
      <c r="HV31" s="18"/>
      <c r="HW31" s="18"/>
      <c r="HX31" s="18"/>
      <c r="HY31" s="18"/>
      <c r="HZ31" s="18"/>
      <c r="IA31" s="18"/>
      <c r="IB31" s="18"/>
      <c r="IC31" s="18"/>
      <c r="ID31" s="18"/>
      <c r="IE31" s="18"/>
      <c r="IF31" s="18"/>
      <c r="IG31" s="18"/>
      <c r="IH31" s="18"/>
      <c r="II31" s="18"/>
      <c r="IJ31" s="18"/>
      <c r="IK31" s="18"/>
      <c r="IL31" s="18"/>
      <c r="IM31" s="18"/>
      <c r="IN31" s="18"/>
      <c r="IO31" s="18"/>
      <c r="IP31" s="18"/>
      <c r="IQ31" s="18"/>
      <c r="IR31" s="18"/>
      <c r="IS31" s="18"/>
      <c r="IT31" s="18"/>
      <c r="IU31" s="18"/>
      <c r="IV31" s="18"/>
      <c r="IW31" s="18"/>
      <c r="IX31" s="18"/>
      <c r="IY31" s="18"/>
      <c r="IZ31" s="18"/>
      <c r="JA31" s="18"/>
      <c r="JB31" s="18"/>
      <c r="JC31" s="18"/>
      <c r="JD31" s="18"/>
      <c r="JE31" s="18"/>
      <c r="JF31" s="18"/>
      <c r="JG31" s="18"/>
      <c r="JH31" s="18"/>
      <c r="JI31" s="18"/>
      <c r="JJ31" s="18"/>
      <c r="JK31" s="18"/>
      <c r="JL31" s="18"/>
      <c r="JM31" s="18"/>
      <c r="JN31" s="18"/>
      <c r="JO31" s="16"/>
      <c r="JP31" s="18"/>
      <c r="JQ31" s="18"/>
      <c r="JR31" s="16"/>
      <c r="JS31" s="16"/>
      <c r="JT31" s="16"/>
      <c r="JU31" s="16"/>
      <c r="JV31" s="16"/>
      <c r="JW31" s="16"/>
      <c r="JX31" s="16"/>
      <c r="JY31" s="16"/>
      <c r="JZ31" s="16"/>
      <c r="KA31" s="16"/>
      <c r="KB31" s="16"/>
    </row>
    <row r="32" spans="1:288" s="30" customFormat="1" x14ac:dyDescent="0.2">
      <c r="A32" s="18"/>
      <c r="B32" s="16">
        <v>2016</v>
      </c>
      <c r="C32" s="20">
        <v>42550</v>
      </c>
      <c r="D32" s="20" t="str">
        <f>CONCATENATE(J32,"-",C32)</f>
        <v>942-42550</v>
      </c>
      <c r="E32" s="20" t="str">
        <f>CONCATENATE(T32,"-",U32,"-",C32)</f>
        <v>HW2-H8-42550</v>
      </c>
      <c r="F32" s="20" t="s">
        <v>106</v>
      </c>
      <c r="G32" s="20" t="s">
        <v>107</v>
      </c>
      <c r="H32" s="16"/>
      <c r="I32" s="16">
        <v>0</v>
      </c>
      <c r="J32" s="21">
        <v>942</v>
      </c>
      <c r="K32" s="21">
        <v>1436</v>
      </c>
      <c r="L32" s="18">
        <v>0</v>
      </c>
      <c r="M32" s="15">
        <f>VLOOKUP(K32,'[7]MLBS 2016 SNV-nem Coinfection d'!$C$1:$G$238,4,FALSE)</f>
        <v>0</v>
      </c>
      <c r="N32" s="15">
        <v>0</v>
      </c>
      <c r="O32" s="15" t="s">
        <v>119</v>
      </c>
      <c r="P32" s="16" t="s">
        <v>119</v>
      </c>
      <c r="Q32" s="16">
        <v>0</v>
      </c>
      <c r="R32" s="16">
        <v>16</v>
      </c>
      <c r="S32" s="16"/>
      <c r="T32" s="16" t="s">
        <v>129</v>
      </c>
      <c r="U32" s="16" t="s">
        <v>152</v>
      </c>
      <c r="V32" s="16" t="s">
        <v>114</v>
      </c>
      <c r="W32" s="16">
        <f>AI32/AG32</f>
        <v>0.90217391304347827</v>
      </c>
      <c r="X32" s="16" t="s">
        <v>115</v>
      </c>
      <c r="Y32" s="16" t="s">
        <v>110</v>
      </c>
      <c r="Z32" s="16">
        <v>3</v>
      </c>
      <c r="AA32" s="16"/>
      <c r="AB32" s="16"/>
      <c r="AC32" s="16"/>
      <c r="AD32" s="16"/>
      <c r="AE32" s="16" t="s">
        <v>116</v>
      </c>
      <c r="AF32" s="16" t="s">
        <v>116</v>
      </c>
      <c r="AG32" s="16">
        <f>AH32-AI32</f>
        <v>92</v>
      </c>
      <c r="AH32" s="16">
        <v>175</v>
      </c>
      <c r="AI32" s="16">
        <v>83</v>
      </c>
      <c r="AJ32" s="16"/>
      <c r="AK32" s="16">
        <v>23</v>
      </c>
      <c r="AL32" s="16">
        <v>1</v>
      </c>
      <c r="AM32" s="16">
        <v>1</v>
      </c>
      <c r="AN32" s="16">
        <v>0</v>
      </c>
      <c r="AO32" s="16">
        <f>IF(SUM(AL32:AN32)&gt;0,1,0)</f>
        <v>1</v>
      </c>
      <c r="AP32" s="16">
        <f>SUM(AL32:AN32)</f>
        <v>2</v>
      </c>
      <c r="AQ32" s="16"/>
      <c r="AR32" s="16">
        <v>7.1999999999999995E-2</v>
      </c>
      <c r="AS32" s="16">
        <v>7.1999999999999995E-2</v>
      </c>
      <c r="AT32" s="18" t="s">
        <v>117</v>
      </c>
      <c r="AU32" s="18"/>
      <c r="AV32" s="16"/>
      <c r="AW32" s="22">
        <v>1</v>
      </c>
      <c r="AX32" s="16">
        <v>4</v>
      </c>
      <c r="AY32" s="16">
        <f>(16+95+1+3)/0.072</f>
        <v>1597.2222222222224</v>
      </c>
      <c r="AZ32" s="18">
        <v>1</v>
      </c>
      <c r="BA32" s="16">
        <v>3</v>
      </c>
      <c r="BB32" s="16">
        <f>(16+95+1)/0.072</f>
        <v>1555.5555555555557</v>
      </c>
      <c r="BC32" s="16">
        <v>1</v>
      </c>
      <c r="BD32" s="16">
        <v>16</v>
      </c>
      <c r="BE32" s="16">
        <f>16/0.072</f>
        <v>222.22222222222223</v>
      </c>
      <c r="BF32" s="18">
        <v>1</v>
      </c>
      <c r="BG32" s="23">
        <v>95</v>
      </c>
      <c r="BH32" s="16">
        <f>95/0.072</f>
        <v>1319.4444444444446</v>
      </c>
      <c r="BI32" s="16">
        <v>1</v>
      </c>
      <c r="BJ32" s="16">
        <v>1</v>
      </c>
      <c r="BK32" s="16" t="s">
        <v>199</v>
      </c>
      <c r="BL32" s="16">
        <f>IF(BM32&gt;0,1,0)</f>
        <v>1</v>
      </c>
      <c r="BM32" s="16">
        <f>SUM(BR32,BU32,BX32,CA32,CD32,CG32,CJ32,CM32,CP32)</f>
        <v>1</v>
      </c>
      <c r="BN32" s="16">
        <f>SUM(BW32,BZ32,CC32,CF32,CI32,CL32,CO32,CR32,BT32)</f>
        <v>41.666666666666671</v>
      </c>
      <c r="BO32" s="16">
        <f>IF(BP32&gt;0,1,0)</f>
        <v>1</v>
      </c>
      <c r="BP32" s="16">
        <f>SUM(BU32,BX32,CA32,CD32,BR32)</f>
        <v>1</v>
      </c>
      <c r="BQ32" s="16">
        <f>SUM(BZ32,CC32,CF32,BT32,BW32)</f>
        <v>41.666666666666671</v>
      </c>
      <c r="BR32" s="18">
        <v>1</v>
      </c>
      <c r="BS32" s="16">
        <v>3</v>
      </c>
      <c r="BT32" s="23">
        <f>BS32/AS32</f>
        <v>41.666666666666671</v>
      </c>
      <c r="BU32" s="16">
        <v>0</v>
      </c>
      <c r="BV32" s="16">
        <v>0</v>
      </c>
      <c r="BW32" s="18">
        <f>BV32/AS32</f>
        <v>0</v>
      </c>
      <c r="BX32" s="24">
        <v>0</v>
      </c>
      <c r="BY32" s="16">
        <v>0</v>
      </c>
      <c r="BZ32" s="16">
        <f>BY32/AS32</f>
        <v>0</v>
      </c>
      <c r="CA32" s="24">
        <v>0</v>
      </c>
      <c r="CB32" s="16">
        <v>0</v>
      </c>
      <c r="CC32" s="16">
        <v>0</v>
      </c>
      <c r="CD32" s="23">
        <v>0</v>
      </c>
      <c r="CE32" s="16">
        <v>0</v>
      </c>
      <c r="CF32" s="16">
        <v>0</v>
      </c>
      <c r="CG32" s="16"/>
      <c r="CH32" s="16"/>
      <c r="CI32" s="16"/>
      <c r="CJ32" s="16"/>
      <c r="CK32" s="16"/>
      <c r="CL32" s="16"/>
      <c r="CM32" s="16"/>
      <c r="CN32" s="16"/>
      <c r="CO32" s="16"/>
      <c r="CP32" s="16" t="s">
        <v>123</v>
      </c>
      <c r="CQ32" s="16">
        <v>0</v>
      </c>
      <c r="CR32" s="16">
        <v>0</v>
      </c>
      <c r="CS32" s="18">
        <f>IF(CT32&gt;0,1,0)</f>
        <v>0</v>
      </c>
      <c r="CT32" s="25">
        <f>SUM(CW32,CZ32,DC32)</f>
        <v>0</v>
      </c>
      <c r="CU32" s="25"/>
      <c r="CV32" s="16">
        <v>0</v>
      </c>
      <c r="CW32" s="25">
        <v>0</v>
      </c>
      <c r="CX32" s="16">
        <v>0</v>
      </c>
      <c r="CY32" s="16">
        <v>0</v>
      </c>
      <c r="CZ32" s="18">
        <v>0</v>
      </c>
      <c r="DA32" s="16">
        <v>0</v>
      </c>
      <c r="DB32" s="16">
        <v>0</v>
      </c>
      <c r="DC32" s="18">
        <v>0</v>
      </c>
      <c r="DD32" s="16">
        <v>0</v>
      </c>
      <c r="DE32" s="16">
        <v>0</v>
      </c>
      <c r="DF32" s="16" t="e">
        <f>VLOOKUP(K32,'[3]RNA Seq summary tables'!$V$3:$V$99,1,FALSE)</f>
        <v>#N/A</v>
      </c>
      <c r="DG32" s="16"/>
      <c r="DH32" s="16"/>
      <c r="DI32" s="16"/>
      <c r="DJ32" s="16"/>
      <c r="DK32" s="16"/>
      <c r="DL32" s="16"/>
      <c r="DM32" s="16"/>
      <c r="DN32" s="16"/>
      <c r="DO32" s="16"/>
      <c r="DP32" s="16"/>
      <c r="DQ32" s="16"/>
      <c r="DR32" s="16"/>
      <c r="DS32" s="16"/>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c r="GZ32" s="18"/>
      <c r="HA32" s="18"/>
      <c r="HB32" s="18"/>
      <c r="HC32" s="18"/>
      <c r="HD32" s="18"/>
      <c r="HE32" s="18"/>
      <c r="HF32" s="18"/>
      <c r="HG32" s="18"/>
      <c r="HH32" s="18"/>
      <c r="HI32" s="18"/>
      <c r="HJ32" s="18"/>
      <c r="HK32" s="18"/>
      <c r="HL32" s="18"/>
      <c r="HM32" s="18"/>
      <c r="HN32" s="18"/>
      <c r="HO32" s="18"/>
      <c r="HP32" s="18"/>
      <c r="HQ32" s="18"/>
      <c r="HR32" s="18"/>
      <c r="HS32" s="18"/>
      <c r="HT32" s="18"/>
      <c r="HU32" s="18"/>
      <c r="HV32" s="18"/>
      <c r="HW32" s="18"/>
      <c r="HX32" s="18"/>
      <c r="HY32" s="18"/>
      <c r="HZ32" s="18"/>
      <c r="IA32" s="18"/>
      <c r="IB32" s="18"/>
      <c r="IC32" s="18"/>
      <c r="ID32" s="18"/>
      <c r="IE32" s="18"/>
      <c r="IF32" s="18"/>
      <c r="IG32" s="18"/>
      <c r="IH32" s="18"/>
      <c r="II32" s="18"/>
      <c r="IJ32" s="18"/>
      <c r="IK32" s="18"/>
      <c r="IL32" s="18"/>
      <c r="IM32" s="18"/>
      <c r="IN32" s="18"/>
      <c r="IO32" s="18"/>
      <c r="IP32" s="18"/>
      <c r="IQ32" s="18"/>
      <c r="IR32" s="18"/>
      <c r="IS32" s="18"/>
      <c r="IT32" s="18"/>
      <c r="IU32" s="18"/>
      <c r="IV32" s="18"/>
      <c r="IW32" s="18"/>
      <c r="IX32" s="18"/>
      <c r="IY32" s="18"/>
      <c r="IZ32" s="18"/>
      <c r="JA32" s="18"/>
      <c r="JB32" s="18"/>
      <c r="JC32" s="18"/>
      <c r="JD32" s="18"/>
      <c r="JE32" s="18"/>
      <c r="JF32" s="18"/>
      <c r="JG32" s="18"/>
      <c r="JH32" s="18"/>
      <c r="JI32" s="18"/>
      <c r="JJ32" s="18"/>
      <c r="JK32" s="18"/>
      <c r="JL32" s="18"/>
      <c r="JM32" s="18"/>
      <c r="JN32" s="18"/>
      <c r="JO32" s="16"/>
      <c r="JP32" s="16"/>
      <c r="JQ32" s="16"/>
      <c r="JR32" s="16"/>
      <c r="JS32" s="16"/>
      <c r="JT32" s="16"/>
      <c r="JU32" s="16"/>
      <c r="JV32" s="16"/>
      <c r="JW32" s="16"/>
      <c r="JX32" s="16"/>
      <c r="JY32" s="16"/>
      <c r="JZ32" s="16"/>
      <c r="KA32" s="16"/>
      <c r="KB32" s="16"/>
    </row>
    <row r="33" spans="1:288" x14ac:dyDescent="0.2">
      <c r="B33" s="16">
        <v>2016</v>
      </c>
      <c r="C33" s="20">
        <v>42520</v>
      </c>
      <c r="D33" s="20" t="str">
        <f>CONCATENATE(J33,"-",C33)</f>
        <v>944-42520</v>
      </c>
      <c r="E33" s="20" t="str">
        <f>CONCATENATE(T33,"-",U33,"-",C33)</f>
        <v>HW1-E7-42520</v>
      </c>
      <c r="F33" s="20" t="s">
        <v>106</v>
      </c>
      <c r="G33" s="20" t="s">
        <v>107</v>
      </c>
      <c r="I33" s="16">
        <v>0</v>
      </c>
      <c r="J33" s="21">
        <v>944</v>
      </c>
      <c r="K33" s="21">
        <v>1347</v>
      </c>
      <c r="L33" s="16">
        <v>0</v>
      </c>
      <c r="M33" s="15">
        <f>VLOOKUP(K33,'[7]MLBS 2016 SNV-nem Coinfection d'!$C$1:$G$238,4,FALSE)</f>
        <v>0</v>
      </c>
      <c r="N33" s="15">
        <v>0</v>
      </c>
      <c r="O33" s="15" t="s">
        <v>119</v>
      </c>
      <c r="P33" s="16" t="s">
        <v>119</v>
      </c>
      <c r="Q33" s="16">
        <v>0</v>
      </c>
      <c r="R33" s="16" t="s">
        <v>111</v>
      </c>
      <c r="T33" s="16" t="s">
        <v>133</v>
      </c>
      <c r="U33" s="16" t="s">
        <v>135</v>
      </c>
      <c r="V33" s="16" t="s">
        <v>114</v>
      </c>
      <c r="W33" s="16">
        <f>AI33/AG33</f>
        <v>0.70967741935483875</v>
      </c>
      <c r="X33" s="16" t="s">
        <v>115</v>
      </c>
      <c r="Y33" s="16" t="s">
        <v>110</v>
      </c>
      <c r="Z33" s="16">
        <v>3</v>
      </c>
      <c r="AE33" s="16" t="s">
        <v>123</v>
      </c>
      <c r="AF33" s="16" t="s">
        <v>123</v>
      </c>
      <c r="AG33" s="16">
        <f>AH33-AI33</f>
        <v>93</v>
      </c>
      <c r="AH33" s="16">
        <v>159</v>
      </c>
      <c r="AI33" s="16">
        <v>66</v>
      </c>
      <c r="AK33" s="16">
        <v>25</v>
      </c>
      <c r="AL33" s="16">
        <v>0</v>
      </c>
      <c r="AM33" s="16">
        <v>0</v>
      </c>
      <c r="AN33" s="16">
        <v>0</v>
      </c>
      <c r="AO33" s="16">
        <f>IF(SUM(AL33:AN33)&gt;0,1,0)</f>
        <v>0</v>
      </c>
      <c r="AP33" s="16">
        <f>SUM(AL33:AN33)</f>
        <v>0</v>
      </c>
      <c r="AQ33" s="16">
        <f>AS33+1.477</f>
        <v>1.9670000000000001</v>
      </c>
      <c r="AR33" s="16">
        <v>0.49</v>
      </c>
      <c r="AS33" s="16">
        <v>0.49</v>
      </c>
      <c r="AT33" s="18" t="s">
        <v>117</v>
      </c>
      <c r="AU33" s="18"/>
      <c r="AV33" s="16">
        <v>1</v>
      </c>
      <c r="AW33" s="18">
        <v>0</v>
      </c>
      <c r="AX33" s="23"/>
      <c r="AY33" s="23">
        <v>0</v>
      </c>
      <c r="AZ33" s="18">
        <v>0</v>
      </c>
      <c r="BA33" s="23"/>
      <c r="BB33" s="16">
        <v>0</v>
      </c>
      <c r="BC33" s="18">
        <v>0</v>
      </c>
      <c r="BD33" s="16">
        <v>0</v>
      </c>
      <c r="BE33" s="16">
        <v>0</v>
      </c>
      <c r="BF33" s="18">
        <v>0</v>
      </c>
      <c r="BG33" s="23">
        <v>0</v>
      </c>
      <c r="BH33" s="16">
        <v>0</v>
      </c>
      <c r="BI33" s="18">
        <v>0</v>
      </c>
      <c r="BJ33" s="16">
        <v>0</v>
      </c>
      <c r="BK33" s="16">
        <v>0</v>
      </c>
      <c r="BL33" s="16">
        <f>IF(BM33&gt;0,1,0)</f>
        <v>0</v>
      </c>
      <c r="BM33" s="16">
        <f>SUM(BR33,BU33,BX33,CA33,CD33,CG33,CJ33,CM33,CP33)</f>
        <v>0</v>
      </c>
      <c r="BN33" s="16">
        <f>SUM(BW33,BZ33,CC33,CF33,CI33,CL33,CO33,CR33,BT33)</f>
        <v>0</v>
      </c>
      <c r="BO33" s="16">
        <f>IF(BP33&gt;0,1,0)</f>
        <v>0</v>
      </c>
      <c r="BP33" s="16">
        <f>SUM(BU33,BX33,CA33,CD33,BR33)</f>
        <v>0</v>
      </c>
      <c r="BQ33" s="16">
        <f>SUM(BZ33,CC33,CF33,BT33,BW33)</f>
        <v>0</v>
      </c>
      <c r="BR33" s="18">
        <v>0</v>
      </c>
      <c r="BS33" s="16">
        <v>0</v>
      </c>
      <c r="BT33" s="23">
        <f>BS33/AS33</f>
        <v>0</v>
      </c>
      <c r="BU33" s="18">
        <v>0</v>
      </c>
      <c r="BV33" s="16">
        <v>0</v>
      </c>
      <c r="BW33" s="18">
        <f>BV33/AS33</f>
        <v>0</v>
      </c>
      <c r="BX33" s="18">
        <v>0</v>
      </c>
      <c r="BY33" s="16">
        <v>0</v>
      </c>
      <c r="BZ33" s="16">
        <f>BY33/AS33</f>
        <v>0</v>
      </c>
      <c r="CA33" s="24">
        <v>0</v>
      </c>
      <c r="CB33" s="16">
        <v>0</v>
      </c>
      <c r="CC33" s="16">
        <v>0</v>
      </c>
      <c r="CD33" s="25">
        <v>0</v>
      </c>
      <c r="CE33" s="16">
        <v>0</v>
      </c>
      <c r="CF33" s="16">
        <v>0</v>
      </c>
      <c r="CP33" s="16" t="s">
        <v>123</v>
      </c>
      <c r="CQ33" s="16">
        <v>0</v>
      </c>
      <c r="CR33" s="16">
        <v>0</v>
      </c>
      <c r="CS33" s="18">
        <f>IF(CT33&gt;0,1,0)</f>
        <v>0</v>
      </c>
      <c r="CT33" s="25">
        <f>SUM(CW33,CZ33,DC33)</f>
        <v>0</v>
      </c>
      <c r="CU33" s="25"/>
      <c r="CV33" s="16">
        <v>0</v>
      </c>
      <c r="CW33" s="25">
        <v>0</v>
      </c>
      <c r="CX33" s="16">
        <v>0</v>
      </c>
      <c r="CY33" s="16">
        <v>0</v>
      </c>
      <c r="CZ33" s="18">
        <v>0</v>
      </c>
      <c r="DA33" s="16">
        <v>0</v>
      </c>
      <c r="DB33" s="16">
        <v>0</v>
      </c>
      <c r="DC33" s="18">
        <v>0</v>
      </c>
      <c r="DD33" s="16">
        <v>0</v>
      </c>
      <c r="DE33" s="16">
        <v>0</v>
      </c>
      <c r="DF33" s="16" t="e">
        <f>VLOOKUP(K33,'[3]RNA Seq summary tables'!$V$3:$V$99,1,FALSE)</f>
        <v>#N/A</v>
      </c>
      <c r="JO33" s="18"/>
    </row>
    <row r="34" spans="1:288" x14ac:dyDescent="0.2">
      <c r="B34" s="16">
        <v>2016</v>
      </c>
      <c r="C34" s="20">
        <v>42523</v>
      </c>
      <c r="D34" s="20" t="str">
        <f>CONCATENATE(J34,"-",C34)</f>
        <v>946-42523</v>
      </c>
      <c r="E34" s="20" t="str">
        <f>CONCATENATE(T34,"-",U34,"-",C34)</f>
        <v>SP2-F8-42523</v>
      </c>
      <c r="F34" s="20" t="s">
        <v>106</v>
      </c>
      <c r="G34" s="20" t="s">
        <v>107</v>
      </c>
      <c r="I34" s="16">
        <v>0</v>
      </c>
      <c r="J34" s="21">
        <v>946</v>
      </c>
      <c r="K34" s="21">
        <v>1429</v>
      </c>
      <c r="L34" s="16">
        <v>0</v>
      </c>
      <c r="M34" s="15">
        <f>VLOOKUP(K34,'[7]MLBS 2016 SNV-nem Coinfection d'!$C$1:$G$238,4,FALSE)</f>
        <v>0</v>
      </c>
      <c r="N34" s="15">
        <v>0</v>
      </c>
      <c r="O34" s="15" t="s">
        <v>119</v>
      </c>
      <c r="P34" s="16" t="s">
        <v>119</v>
      </c>
      <c r="Q34" s="16">
        <v>0</v>
      </c>
      <c r="R34" s="16" t="s">
        <v>111</v>
      </c>
      <c r="T34" s="16" t="s">
        <v>137</v>
      </c>
      <c r="U34" s="16" t="s">
        <v>138</v>
      </c>
      <c r="V34" s="16" t="s">
        <v>114</v>
      </c>
      <c r="W34" s="16">
        <f>AI34/AG34</f>
        <v>0.88888888888888884</v>
      </c>
      <c r="X34" s="16" t="s">
        <v>115</v>
      </c>
      <c r="Y34" s="16" t="s">
        <v>110</v>
      </c>
      <c r="Z34" s="16">
        <v>3</v>
      </c>
      <c r="AE34" s="16" t="s">
        <v>123</v>
      </c>
      <c r="AF34" s="16" t="s">
        <v>123</v>
      </c>
      <c r="AG34" s="16">
        <f>AH34-AI34</f>
        <v>90</v>
      </c>
      <c r="AH34" s="16">
        <v>170</v>
      </c>
      <c r="AI34" s="16">
        <v>80</v>
      </c>
      <c r="AK34" s="16">
        <v>19.5</v>
      </c>
      <c r="AL34" s="16">
        <v>0</v>
      </c>
      <c r="AM34" s="16">
        <v>0</v>
      </c>
      <c r="AN34" s="16">
        <v>0</v>
      </c>
      <c r="AO34" s="16">
        <f>IF(SUM(AL34:AN34)&gt;0,1,0)</f>
        <v>0</v>
      </c>
      <c r="AP34" s="16">
        <f>SUM(AL34:AN34)</f>
        <v>0</v>
      </c>
      <c r="AQ34" s="16">
        <f>0.205+1.477</f>
        <v>1.6820000000000002</v>
      </c>
      <c r="AR34" s="16">
        <v>0.20499999999999999</v>
      </c>
      <c r="AS34" s="16">
        <v>0.20499999999999999</v>
      </c>
      <c r="AT34" s="16" t="s">
        <v>124</v>
      </c>
      <c r="AW34" s="22">
        <v>1</v>
      </c>
      <c r="AY34" s="16">
        <f>8/AS34</f>
        <v>39.024390243902438</v>
      </c>
      <c r="AZ34" s="18">
        <v>0</v>
      </c>
      <c r="BB34" s="16">
        <v>0</v>
      </c>
      <c r="BC34" s="18">
        <v>0</v>
      </c>
      <c r="BD34" s="16">
        <v>0</v>
      </c>
      <c r="BE34" s="16">
        <v>0</v>
      </c>
      <c r="BF34" s="18">
        <v>0</v>
      </c>
      <c r="BG34" s="23">
        <v>0</v>
      </c>
      <c r="BH34" s="16">
        <v>0</v>
      </c>
      <c r="BI34" s="18">
        <v>0</v>
      </c>
      <c r="BJ34" s="16">
        <v>0</v>
      </c>
      <c r="BK34" s="16">
        <v>0</v>
      </c>
      <c r="BL34" s="16">
        <f>IF(BM34&gt;0,1,0)</f>
        <v>1</v>
      </c>
      <c r="BM34" s="16">
        <f>SUM(BR34,BU34,BX34,CA34,CD34,CG34,CJ34,CM34,CP34)</f>
        <v>1</v>
      </c>
      <c r="BN34" s="16">
        <f>SUM(BW34,BZ34,CC34,CF34,CI34,CL34,CO34,CR34,BT34)</f>
        <v>34.146341463414636</v>
      </c>
      <c r="BO34" s="16">
        <f>IF(BP34&gt;0,1,0)</f>
        <v>1</v>
      </c>
      <c r="BP34" s="16">
        <f>SUM(BU34,BX34,CA34,CD34,BR34)</f>
        <v>1</v>
      </c>
      <c r="BQ34" s="16">
        <f>SUM(BZ34,CC34,CF34,BT34,BW34)</f>
        <v>34.146341463414636</v>
      </c>
      <c r="BR34" s="18">
        <v>0</v>
      </c>
      <c r="BS34" s="16">
        <v>0</v>
      </c>
      <c r="BT34" s="23">
        <f>BS34/AS34</f>
        <v>0</v>
      </c>
      <c r="BU34" s="18">
        <v>0</v>
      </c>
      <c r="BV34" s="16">
        <v>0</v>
      </c>
      <c r="BW34" s="18">
        <f>BV34/AS34</f>
        <v>0</v>
      </c>
      <c r="BX34" s="24">
        <v>1</v>
      </c>
      <c r="BY34" s="16">
        <v>7</v>
      </c>
      <c r="BZ34" s="16">
        <f>BY34/AS34</f>
        <v>34.146341463414636</v>
      </c>
      <c r="CA34" s="24">
        <v>0</v>
      </c>
      <c r="CB34" s="16">
        <v>0</v>
      </c>
      <c r="CC34" s="16">
        <v>0</v>
      </c>
      <c r="CD34" s="25">
        <v>0</v>
      </c>
      <c r="CE34" s="16">
        <v>0</v>
      </c>
      <c r="CF34" s="16">
        <v>0</v>
      </c>
      <c r="CP34" s="16" t="s">
        <v>123</v>
      </c>
      <c r="CQ34" s="16">
        <v>0</v>
      </c>
      <c r="CR34" s="16">
        <v>0</v>
      </c>
      <c r="CS34" s="18">
        <f>IF(CT34&gt;0,1,0)</f>
        <v>1</v>
      </c>
      <c r="CT34" s="25">
        <f>SUM(CW34,CZ34,DC34)</f>
        <v>1</v>
      </c>
      <c r="CU34" s="25"/>
      <c r="CV34" s="16">
        <f>1/0.205</f>
        <v>4.8780487804878048</v>
      </c>
      <c r="CW34" s="22">
        <v>1</v>
      </c>
      <c r="CX34" s="16">
        <v>1</v>
      </c>
      <c r="CY34" s="16">
        <f>1/0.205</f>
        <v>4.8780487804878048</v>
      </c>
      <c r="CZ34" s="18">
        <v>0</v>
      </c>
      <c r="DA34" s="16">
        <v>0</v>
      </c>
      <c r="DB34" s="16">
        <v>0</v>
      </c>
      <c r="DC34" s="18">
        <v>0</v>
      </c>
      <c r="DD34" s="16">
        <v>0</v>
      </c>
      <c r="DE34" s="16">
        <v>0</v>
      </c>
      <c r="DF34" s="16" t="e">
        <f>VLOOKUP(K34,'[3]RNA Seq summary tables'!$V$3:$V$99,1,FALSE)</f>
        <v>#N/A</v>
      </c>
      <c r="JO34" s="19"/>
      <c r="JR34" s="18"/>
      <c r="JS34" s="18"/>
      <c r="JT34" s="18"/>
      <c r="JU34" s="18"/>
      <c r="JV34" s="18"/>
      <c r="JW34" s="18"/>
      <c r="JX34" s="18"/>
      <c r="JY34" s="18"/>
      <c r="JZ34" s="18"/>
      <c r="KA34" s="18"/>
      <c r="KB34" s="18"/>
    </row>
    <row r="35" spans="1:288" s="18" customFormat="1" x14ac:dyDescent="0.2">
      <c r="B35" s="16">
        <v>2016</v>
      </c>
      <c r="C35" s="20">
        <v>42539</v>
      </c>
      <c r="D35" s="20" t="str">
        <f>CONCATENATE(J35,"-",C35)</f>
        <v>946-42539</v>
      </c>
      <c r="E35" s="20" t="str">
        <f>CONCATENATE(T35,"-",U35,"-",C35)</f>
        <v>SP2-C8-42539</v>
      </c>
      <c r="F35" s="20" t="s">
        <v>106</v>
      </c>
      <c r="G35" s="20" t="s">
        <v>107</v>
      </c>
      <c r="H35" s="16"/>
      <c r="I35" s="16">
        <v>0</v>
      </c>
      <c r="J35" s="15">
        <v>946</v>
      </c>
      <c r="K35" s="15">
        <v>1389</v>
      </c>
      <c r="L35" s="16">
        <v>0</v>
      </c>
      <c r="M35" s="15">
        <f>VLOOKUP(K35,'[7]MLBS 2016 SNV-nem Coinfection d'!$C$1:$G$238,4,FALSE)</f>
        <v>0</v>
      </c>
      <c r="N35" s="15">
        <v>0</v>
      </c>
      <c r="O35" s="15" t="s">
        <v>119</v>
      </c>
      <c r="P35" s="23" t="s">
        <v>119</v>
      </c>
      <c r="Q35" s="16">
        <v>0</v>
      </c>
      <c r="R35" s="23">
        <v>16</v>
      </c>
      <c r="S35" s="23"/>
      <c r="T35" s="23" t="s">
        <v>137</v>
      </c>
      <c r="U35" s="23" t="s">
        <v>188</v>
      </c>
      <c r="V35" s="23" t="s">
        <v>114</v>
      </c>
      <c r="W35" s="16">
        <f>AI35/AG35</f>
        <v>0.85869565217391308</v>
      </c>
      <c r="X35" s="23" t="s">
        <v>115</v>
      </c>
      <c r="Y35" s="23" t="s">
        <v>110</v>
      </c>
      <c r="Z35" s="23">
        <v>3</v>
      </c>
      <c r="AA35" s="23"/>
      <c r="AB35" s="23"/>
      <c r="AC35" s="16"/>
      <c r="AD35" s="16"/>
      <c r="AE35" s="16" t="s">
        <v>123</v>
      </c>
      <c r="AF35" s="16" t="s">
        <v>123</v>
      </c>
      <c r="AG35" s="16">
        <f>AH35-AI35</f>
        <v>92</v>
      </c>
      <c r="AH35" s="16">
        <v>171</v>
      </c>
      <c r="AI35" s="16">
        <v>79</v>
      </c>
      <c r="AJ35" s="16"/>
      <c r="AK35" s="16">
        <v>21.5</v>
      </c>
      <c r="AL35" s="16">
        <v>0</v>
      </c>
      <c r="AM35" s="16">
        <v>0</v>
      </c>
      <c r="AN35" s="16">
        <v>0</v>
      </c>
      <c r="AO35" s="16">
        <f>IF(SUM(AL35:AN35)&gt;0,1,0)</f>
        <v>0</v>
      </c>
      <c r="AP35" s="16">
        <f>SUM(AL35:AN35)</f>
        <v>0</v>
      </c>
      <c r="AQ35" s="16">
        <f>AS35+1.477</f>
        <v>1.6480000000000001</v>
      </c>
      <c r="AR35" s="16">
        <v>0.17100000000000001</v>
      </c>
      <c r="AS35" s="16">
        <v>0.17100000000000001</v>
      </c>
      <c r="AT35" s="16" t="s">
        <v>124</v>
      </c>
      <c r="AU35" s="16"/>
      <c r="AV35" s="16"/>
      <c r="AW35" s="22">
        <v>1</v>
      </c>
      <c r="AX35" s="16"/>
      <c r="AY35" s="16">
        <f>149/AS35</f>
        <v>871.34502923976606</v>
      </c>
      <c r="AZ35" s="18">
        <v>0</v>
      </c>
      <c r="BA35" s="16"/>
      <c r="BB35" s="16">
        <v>0</v>
      </c>
      <c r="BC35" s="18">
        <v>0</v>
      </c>
      <c r="BD35" s="16">
        <v>0</v>
      </c>
      <c r="BE35" s="16">
        <v>0</v>
      </c>
      <c r="BF35" s="18">
        <v>0</v>
      </c>
      <c r="BG35" s="23">
        <v>0</v>
      </c>
      <c r="BH35" s="16">
        <v>0</v>
      </c>
      <c r="BI35" s="18">
        <v>0</v>
      </c>
      <c r="BJ35" s="16">
        <v>0</v>
      </c>
      <c r="BK35" s="16">
        <v>0</v>
      </c>
      <c r="BL35" s="16">
        <f>IF(BM35&gt;0,1,0)</f>
        <v>1</v>
      </c>
      <c r="BM35" s="16">
        <f>SUM(BR35,BU35,BX35,CA35,CD35,CG35,CJ35,CM35,CP35)</f>
        <v>1</v>
      </c>
      <c r="BN35" s="16">
        <f>SUM(BW35,BZ35,CC35,CF35,CI35,CL35,CO35,CR35,BT35)</f>
        <v>871.34502923976606</v>
      </c>
      <c r="BO35" s="16">
        <f>IF(BP35&gt;0,1,0)</f>
        <v>1</v>
      </c>
      <c r="BP35" s="16">
        <f>SUM(BU35,BX35,CA35,CD35,BR35)</f>
        <v>1</v>
      </c>
      <c r="BQ35" s="16">
        <f>SUM(BZ35,CC35,CF35,BT35,BW35)</f>
        <v>871.34502923976606</v>
      </c>
      <c r="BR35" s="18">
        <v>0</v>
      </c>
      <c r="BS35" s="16">
        <v>0</v>
      </c>
      <c r="BT35" s="23">
        <f>BS35/AS35</f>
        <v>0</v>
      </c>
      <c r="BU35" s="18">
        <v>0</v>
      </c>
      <c r="BV35" s="16">
        <v>0</v>
      </c>
      <c r="BW35" s="18">
        <f>BV35/AS35</f>
        <v>0</v>
      </c>
      <c r="BX35" s="24">
        <v>1</v>
      </c>
      <c r="BY35" s="16">
        <v>149</v>
      </c>
      <c r="BZ35" s="16">
        <f>BY35/AS35</f>
        <v>871.34502923976606</v>
      </c>
      <c r="CA35" s="24">
        <v>0</v>
      </c>
      <c r="CB35" s="16">
        <v>0</v>
      </c>
      <c r="CC35" s="16">
        <v>0</v>
      </c>
      <c r="CD35" s="25">
        <v>0</v>
      </c>
      <c r="CE35" s="16">
        <v>0</v>
      </c>
      <c r="CF35" s="16">
        <v>0</v>
      </c>
      <c r="CG35" s="16"/>
      <c r="CH35" s="16"/>
      <c r="CI35" s="16"/>
      <c r="CJ35" s="16"/>
      <c r="CK35" s="16"/>
      <c r="CL35" s="16"/>
      <c r="CM35" s="16"/>
      <c r="CN35" s="16"/>
      <c r="CO35" s="16"/>
      <c r="CP35" s="16" t="s">
        <v>123</v>
      </c>
      <c r="CQ35" s="16">
        <v>0</v>
      </c>
      <c r="CR35" s="16">
        <v>0</v>
      </c>
      <c r="CS35" s="18">
        <f>IF(CT35&gt;0,1,0)</f>
        <v>0</v>
      </c>
      <c r="CT35" s="25">
        <f>SUM(CW35,CZ35,DC35)</f>
        <v>0</v>
      </c>
      <c r="CU35" s="25"/>
      <c r="CV35" s="16">
        <v>0</v>
      </c>
      <c r="CW35" s="25">
        <v>0</v>
      </c>
      <c r="CX35" s="16">
        <v>0</v>
      </c>
      <c r="CY35" s="16">
        <v>0</v>
      </c>
      <c r="CZ35" s="18">
        <v>0</v>
      </c>
      <c r="DA35" s="16">
        <v>0</v>
      </c>
      <c r="DB35" s="16">
        <v>0</v>
      </c>
      <c r="DC35" s="18">
        <v>0</v>
      </c>
      <c r="DD35" s="16">
        <v>0</v>
      </c>
      <c r="DE35" s="16">
        <v>0</v>
      </c>
      <c r="DF35" s="16" t="e">
        <f>VLOOKUP(K35,'[3]RNA Seq summary tables'!$V$3:$V$99,1,FALSE)</f>
        <v>#N/A</v>
      </c>
      <c r="DG35" s="16"/>
      <c r="DH35" s="16"/>
      <c r="DI35" s="16"/>
      <c r="DJ35" s="16"/>
      <c r="DK35" s="16"/>
      <c r="DL35" s="16"/>
      <c r="DM35" s="16"/>
      <c r="DN35" s="16"/>
      <c r="DO35" s="16"/>
      <c r="DP35" s="16"/>
      <c r="DQ35" s="16"/>
      <c r="DR35" s="16"/>
      <c r="DS35" s="16"/>
      <c r="JP35" s="16"/>
      <c r="JQ35" s="16"/>
      <c r="JR35" s="38"/>
      <c r="JS35" s="38"/>
      <c r="JT35" s="38"/>
      <c r="JU35" s="38"/>
      <c r="JV35" s="38"/>
      <c r="JW35" s="38"/>
      <c r="JX35" s="38"/>
      <c r="JY35" s="38"/>
      <c r="JZ35" s="38"/>
      <c r="KA35" s="38"/>
      <c r="KB35" s="38"/>
    </row>
    <row r="36" spans="1:288" x14ac:dyDescent="0.2">
      <c r="A36" s="30"/>
      <c r="B36" s="30">
        <v>2016</v>
      </c>
      <c r="C36" s="31">
        <v>42524</v>
      </c>
      <c r="D36" s="31" t="str">
        <f>CONCATENATE(J36,"-",C36)</f>
        <v>947-42524</v>
      </c>
      <c r="E36" s="20" t="str">
        <f>CONCATENATE(T36,"-",U36,"-",C36)</f>
        <v>SP2-D3-42524</v>
      </c>
      <c r="F36" s="31" t="s">
        <v>106</v>
      </c>
      <c r="G36" s="31" t="s">
        <v>107</v>
      </c>
      <c r="H36" s="30" t="s">
        <v>148</v>
      </c>
      <c r="I36" s="30">
        <v>1</v>
      </c>
      <c r="J36" s="35">
        <v>947</v>
      </c>
      <c r="K36" s="35">
        <v>1353</v>
      </c>
      <c r="L36" s="30">
        <v>0</v>
      </c>
      <c r="M36" s="35">
        <f>VLOOKUP(K36,'[7]MLBS 2016 SNV-nem Coinfection d'!$C$1:$G$238,4,FALSE)</f>
        <v>0</v>
      </c>
      <c r="N36" s="35">
        <v>0</v>
      </c>
      <c r="O36" s="35" t="s">
        <v>119</v>
      </c>
      <c r="P36" s="34" t="s">
        <v>119</v>
      </c>
      <c r="Q36" s="30">
        <v>0</v>
      </c>
      <c r="R36" s="34" t="s">
        <v>111</v>
      </c>
      <c r="S36" s="34"/>
      <c r="T36" s="34" t="s">
        <v>137</v>
      </c>
      <c r="U36" s="34" t="s">
        <v>149</v>
      </c>
      <c r="V36" s="34" t="s">
        <v>114</v>
      </c>
      <c r="W36" s="30">
        <f>AI36/AG36</f>
        <v>0.9285714285714286</v>
      </c>
      <c r="X36" s="34" t="s">
        <v>121</v>
      </c>
      <c r="Y36" s="34" t="s">
        <v>110</v>
      </c>
      <c r="Z36" s="34">
        <v>3</v>
      </c>
      <c r="AA36" s="34" t="s">
        <v>119</v>
      </c>
      <c r="AB36" s="34" t="s">
        <v>123</v>
      </c>
      <c r="AC36" s="30" t="s">
        <v>123</v>
      </c>
      <c r="AD36" s="30" t="s">
        <v>123</v>
      </c>
      <c r="AE36" s="30"/>
      <c r="AF36" s="30"/>
      <c r="AG36" s="30">
        <f>AH36-AI36</f>
        <v>70</v>
      </c>
      <c r="AH36" s="30">
        <v>135</v>
      </c>
      <c r="AI36" s="30">
        <v>65</v>
      </c>
      <c r="AJ36" s="30"/>
      <c r="AK36" s="30">
        <v>16.5</v>
      </c>
      <c r="AL36" s="30">
        <v>0</v>
      </c>
      <c r="AM36" s="30">
        <v>0</v>
      </c>
      <c r="AN36" s="30">
        <v>0</v>
      </c>
      <c r="AO36" s="30">
        <f>IF(SUM(AL36:AN36)&gt;0,1,0)</f>
        <v>0</v>
      </c>
      <c r="AP36" s="30">
        <f>SUM(AL36:AN36)</f>
        <v>0</v>
      </c>
      <c r="AQ36" s="30"/>
      <c r="AR36" s="30">
        <v>0.27200000000000002</v>
      </c>
      <c r="AS36" s="30">
        <v>0.27200000000000002</v>
      </c>
      <c r="AT36" s="12" t="s">
        <v>117</v>
      </c>
      <c r="AU36" s="12"/>
      <c r="AV36" s="30"/>
      <c r="AW36" s="33">
        <v>1</v>
      </c>
      <c r="AX36" s="34"/>
      <c r="AY36" s="34">
        <v>3.6760000000000002</v>
      </c>
      <c r="AZ36" s="30">
        <v>0</v>
      </c>
      <c r="BA36" s="34"/>
      <c r="BB36" s="30">
        <v>0</v>
      </c>
      <c r="BC36" s="30">
        <v>0</v>
      </c>
      <c r="BD36" s="30">
        <v>0</v>
      </c>
      <c r="BE36" s="30">
        <v>0</v>
      </c>
      <c r="BF36" s="30">
        <v>0</v>
      </c>
      <c r="BG36" s="34">
        <v>0</v>
      </c>
      <c r="BH36" s="30">
        <v>0</v>
      </c>
      <c r="BI36" s="30">
        <v>0</v>
      </c>
      <c r="BJ36" s="30">
        <v>0</v>
      </c>
      <c r="BK36" s="30">
        <v>0</v>
      </c>
      <c r="BL36" s="30">
        <f>IF(BM36&gt;0,1,0)</f>
        <v>0</v>
      </c>
      <c r="BM36" s="30">
        <f>SUM(BR36,BU36,BX36,CA36,CD36,CG36,CJ36,CM36,CP36)</f>
        <v>0</v>
      </c>
      <c r="BN36" s="30">
        <f>SUM(BW36,BZ36,CC36,CF36,CI36,CL36,CO36,CR36,BT36)</f>
        <v>3.6764705882352939</v>
      </c>
      <c r="BO36" s="16">
        <f>IF(BP36&gt;0,1,0)</f>
        <v>0</v>
      </c>
      <c r="BP36" s="16">
        <f>SUM(BU36,BX36,CA36,CD36,BR36)</f>
        <v>0</v>
      </c>
      <c r="BQ36" s="16">
        <f>SUM(BZ36,CC36,CF36,BT36,BW36)</f>
        <v>3.6764705882352939</v>
      </c>
      <c r="BR36" s="30">
        <v>0</v>
      </c>
      <c r="BS36" s="30">
        <v>0</v>
      </c>
      <c r="BT36" s="34">
        <f>BS36/AS36</f>
        <v>0</v>
      </c>
      <c r="BU36" s="30">
        <v>0</v>
      </c>
      <c r="BV36" s="30">
        <v>1</v>
      </c>
      <c r="BW36" s="30">
        <f>BV36/AS36</f>
        <v>3.6764705882352939</v>
      </c>
      <c r="BX36" s="33">
        <v>0</v>
      </c>
      <c r="BY36" s="30">
        <v>0</v>
      </c>
      <c r="BZ36" s="30">
        <f>BY36/AS36</f>
        <v>0</v>
      </c>
      <c r="CA36" s="33">
        <v>0</v>
      </c>
      <c r="CB36" s="30">
        <v>0</v>
      </c>
      <c r="CC36" s="30">
        <v>0</v>
      </c>
      <c r="CD36" s="34">
        <v>0</v>
      </c>
      <c r="CE36" s="30">
        <v>0</v>
      </c>
      <c r="CF36" s="30">
        <v>0</v>
      </c>
      <c r="CG36" s="30"/>
      <c r="CH36" s="30"/>
      <c r="CI36" s="30"/>
      <c r="CJ36" s="30"/>
      <c r="CK36" s="30"/>
      <c r="CL36" s="30"/>
      <c r="CM36" s="30"/>
      <c r="CN36" s="30"/>
      <c r="CO36" s="30"/>
      <c r="CP36" s="30" t="s">
        <v>123</v>
      </c>
      <c r="CQ36" s="30">
        <v>0</v>
      </c>
      <c r="CR36" s="30">
        <v>0</v>
      </c>
      <c r="CS36" s="30">
        <f>IF(CT36&gt;0,1,0)</f>
        <v>0</v>
      </c>
      <c r="CT36" s="34">
        <f>SUM(CW36,CZ36,DC36)</f>
        <v>0</v>
      </c>
      <c r="CU36" s="34"/>
      <c r="CV36" s="30">
        <v>0</v>
      </c>
      <c r="CW36" s="34">
        <v>0</v>
      </c>
      <c r="CX36" s="30">
        <v>0</v>
      </c>
      <c r="CY36" s="30">
        <v>0</v>
      </c>
      <c r="CZ36" s="30">
        <v>0</v>
      </c>
      <c r="DA36" s="30">
        <v>0</v>
      </c>
      <c r="DB36" s="30">
        <v>0</v>
      </c>
      <c r="DC36" s="30">
        <v>0</v>
      </c>
      <c r="DD36" s="30">
        <v>0</v>
      </c>
      <c r="DE36" s="30">
        <v>0</v>
      </c>
      <c r="DF36" s="16" t="e">
        <f>VLOOKUP(K36,'[3]RNA Seq summary tables'!$V$3:$V$99,1,FALSE)</f>
        <v>#N/A</v>
      </c>
      <c r="DI36" s="30"/>
      <c r="DJ36" s="30"/>
      <c r="DK36" s="30"/>
      <c r="DL36" s="30"/>
      <c r="DM36" s="30"/>
      <c r="DN36" s="30"/>
      <c r="DO36" s="30"/>
      <c r="DP36" s="30"/>
      <c r="DQ36" s="30"/>
      <c r="DR36" s="30"/>
      <c r="DS36" s="30"/>
      <c r="JO36" s="26"/>
    </row>
    <row r="37" spans="1:288" x14ac:dyDescent="0.2">
      <c r="B37" s="16">
        <v>2016</v>
      </c>
      <c r="C37" s="20">
        <v>42537</v>
      </c>
      <c r="D37" s="20" t="str">
        <f>CONCATENATE(J37,"-",C37)</f>
        <v>947-42537</v>
      </c>
      <c r="E37" s="20" t="str">
        <f>CONCATENATE(T37,"-",U37,"-",C37)</f>
        <v>SP2-A2-42537</v>
      </c>
      <c r="F37" s="20" t="s">
        <v>106</v>
      </c>
      <c r="G37" s="20" t="s">
        <v>107</v>
      </c>
      <c r="I37" s="16">
        <v>0</v>
      </c>
      <c r="J37" s="15">
        <v>947</v>
      </c>
      <c r="K37" s="15">
        <v>1380</v>
      </c>
      <c r="L37" s="16">
        <v>0</v>
      </c>
      <c r="M37" s="15">
        <f>VLOOKUP(K37,'[7]MLBS 2016 SNV-nem Coinfection d'!$C$1:$G$238,4,FALSE)</f>
        <v>0</v>
      </c>
      <c r="N37" s="15">
        <v>0</v>
      </c>
      <c r="O37" s="15" t="s">
        <v>119</v>
      </c>
      <c r="P37" s="23" t="s">
        <v>119</v>
      </c>
      <c r="Q37" s="16">
        <v>0</v>
      </c>
      <c r="R37" s="23">
        <v>13</v>
      </c>
      <c r="S37" s="23"/>
      <c r="T37" s="23" t="s">
        <v>137</v>
      </c>
      <c r="U37" s="23" t="s">
        <v>171</v>
      </c>
      <c r="V37" s="23" t="s">
        <v>114</v>
      </c>
      <c r="W37" s="16">
        <f>AI37/AG37</f>
        <v>0.87209302325581395</v>
      </c>
      <c r="X37" s="23" t="s">
        <v>115</v>
      </c>
      <c r="Y37" s="23" t="s">
        <v>110</v>
      </c>
      <c r="Z37" s="23">
        <v>3</v>
      </c>
      <c r="AA37" s="23"/>
      <c r="AB37" s="23"/>
      <c r="AE37" s="16" t="s">
        <v>116</v>
      </c>
      <c r="AF37" s="16" t="s">
        <v>116</v>
      </c>
      <c r="AG37" s="16">
        <f>AH37-AI37</f>
        <v>86</v>
      </c>
      <c r="AH37" s="16">
        <v>161</v>
      </c>
      <c r="AI37" s="16">
        <v>75</v>
      </c>
      <c r="AK37" s="16">
        <v>18.5</v>
      </c>
      <c r="AL37" s="16">
        <v>0</v>
      </c>
      <c r="AM37" s="16">
        <v>0</v>
      </c>
      <c r="AN37" s="16">
        <v>0</v>
      </c>
      <c r="AO37" s="16">
        <f>IF(SUM(AL37:AN37)&gt;0,1,0)</f>
        <v>0</v>
      </c>
      <c r="AP37" s="16">
        <f>SUM(AL37:AN37)</f>
        <v>0</v>
      </c>
      <c r="AQ37" s="16">
        <v>1.776</v>
      </c>
      <c r="AR37" s="16">
        <v>0.29899999999999999</v>
      </c>
      <c r="AS37" s="16">
        <v>0.29899999999999999</v>
      </c>
      <c r="AT37" s="16" t="s">
        <v>124</v>
      </c>
      <c r="AW37" s="22">
        <v>1</v>
      </c>
      <c r="AY37" s="16">
        <f>(730+1204+252)/AS37</f>
        <v>7311.0367892976592</v>
      </c>
      <c r="AZ37" s="18">
        <v>1</v>
      </c>
      <c r="BB37" s="16">
        <f>AY37</f>
        <v>7311.0367892976592</v>
      </c>
      <c r="BC37" s="16">
        <v>1</v>
      </c>
      <c r="BD37" s="16">
        <v>730</v>
      </c>
      <c r="BE37" s="16">
        <f>730/AS37</f>
        <v>2441.4715719063547</v>
      </c>
      <c r="BF37" s="18">
        <v>1</v>
      </c>
      <c r="BG37" s="23">
        <v>1204</v>
      </c>
      <c r="BH37" s="16">
        <f>1204/AS37</f>
        <v>4026.7558528428094</v>
      </c>
      <c r="BI37" s="16">
        <v>1</v>
      </c>
      <c r="BJ37" s="16">
        <v>252</v>
      </c>
      <c r="BK37" s="16">
        <f>252/AS37</f>
        <v>842.80936454849507</v>
      </c>
      <c r="BL37" s="16">
        <f>IF(BM37&gt;0,1,0)</f>
        <v>0</v>
      </c>
      <c r="BM37" s="16">
        <f>SUM(BR37,BU37,BX37,CA37,CD37,CG37,CJ37,CM37,CP37)</f>
        <v>0</v>
      </c>
      <c r="BN37" s="16">
        <f>SUM(BW37,BZ37,CC37,CF37,CI37,CL37,CO37,CR37,BT37)</f>
        <v>0</v>
      </c>
      <c r="BO37" s="16">
        <f>IF(BP37&gt;0,1,0)</f>
        <v>0</v>
      </c>
      <c r="BP37" s="16">
        <f>SUM(BU37,BX37,CA37,CD37,BR37)</f>
        <v>0</v>
      </c>
      <c r="BQ37" s="16">
        <f>SUM(BZ37,CC37,CF37,BT37,BW37)</f>
        <v>0</v>
      </c>
      <c r="BR37" s="18">
        <v>0</v>
      </c>
      <c r="BS37" s="16">
        <v>0</v>
      </c>
      <c r="BT37" s="23">
        <f>BS37/AS37</f>
        <v>0</v>
      </c>
      <c r="BU37" s="18">
        <v>0</v>
      </c>
      <c r="BV37" s="16">
        <v>0</v>
      </c>
      <c r="BW37" s="18">
        <f>BV37/AS37</f>
        <v>0</v>
      </c>
      <c r="BX37" s="18">
        <v>0</v>
      </c>
      <c r="BY37" s="16">
        <v>0</v>
      </c>
      <c r="BZ37" s="16">
        <f>BY37/AS37</f>
        <v>0</v>
      </c>
      <c r="CA37" s="24">
        <v>0</v>
      </c>
      <c r="CB37" s="16">
        <v>0</v>
      </c>
      <c r="CC37" s="16">
        <v>0</v>
      </c>
      <c r="CD37" s="25">
        <v>0</v>
      </c>
      <c r="CE37" s="16">
        <v>0</v>
      </c>
      <c r="CF37" s="16">
        <v>0</v>
      </c>
      <c r="CP37" s="16" t="s">
        <v>123</v>
      </c>
      <c r="CQ37" s="16">
        <v>0</v>
      </c>
      <c r="CR37" s="16">
        <v>0</v>
      </c>
      <c r="CS37" s="18">
        <f>IF(CT37&gt;0,1,0)</f>
        <v>0</v>
      </c>
      <c r="CT37" s="25">
        <f>SUM(CW37,CZ37,DC37)</f>
        <v>0</v>
      </c>
      <c r="CU37" s="25"/>
      <c r="CV37" s="16">
        <v>0</v>
      </c>
      <c r="CW37" s="25">
        <v>0</v>
      </c>
      <c r="CX37" s="16">
        <v>0</v>
      </c>
      <c r="CY37" s="16">
        <v>0</v>
      </c>
      <c r="CZ37" s="18">
        <v>0</v>
      </c>
      <c r="DA37" s="16">
        <v>0</v>
      </c>
      <c r="DB37" s="16">
        <v>0</v>
      </c>
      <c r="DC37" s="18">
        <v>0</v>
      </c>
      <c r="DD37" s="16">
        <v>0</v>
      </c>
      <c r="DE37" s="16">
        <v>0</v>
      </c>
      <c r="DF37" s="16" t="e">
        <f>VLOOKUP(K37,'[3]RNA Seq summary tables'!$V$3:$V$99,1,FALSE)</f>
        <v>#N/A</v>
      </c>
    </row>
    <row r="38" spans="1:288" x14ac:dyDescent="0.2">
      <c r="B38" s="16">
        <v>2016</v>
      </c>
      <c r="C38" s="20">
        <v>42551</v>
      </c>
      <c r="D38" s="20" t="str">
        <f>CONCATENATE(J38,"-",C38)</f>
        <v>947-42551</v>
      </c>
      <c r="E38" s="20" t="str">
        <f>CONCATENATE(T38,"-",U38,"-",C38)</f>
        <v>SP2-A3-42551</v>
      </c>
      <c r="F38" s="20" t="s">
        <v>106</v>
      </c>
      <c r="G38" s="20" t="s">
        <v>107</v>
      </c>
      <c r="I38" s="16">
        <v>0</v>
      </c>
      <c r="J38" s="15">
        <v>947</v>
      </c>
      <c r="K38" s="15">
        <v>1442</v>
      </c>
      <c r="L38" s="18">
        <v>0</v>
      </c>
      <c r="M38" s="15">
        <f>VLOOKUP(K38,'[7]MLBS 2016 SNV-nem Coinfection d'!$C$1:$G$238,4,FALSE)</f>
        <v>0</v>
      </c>
      <c r="N38" s="15">
        <v>0</v>
      </c>
      <c r="O38" s="15" t="s">
        <v>119</v>
      </c>
      <c r="P38" s="23" t="s">
        <v>119</v>
      </c>
      <c r="Q38" s="16">
        <v>0</v>
      </c>
      <c r="R38" s="23">
        <v>14</v>
      </c>
      <c r="S38" s="23"/>
      <c r="T38" s="23" t="s">
        <v>137</v>
      </c>
      <c r="U38" s="23" t="s">
        <v>201</v>
      </c>
      <c r="V38" s="23" t="s">
        <v>114</v>
      </c>
      <c r="W38" s="16">
        <f>AI38/AG38</f>
        <v>0.86206896551724133</v>
      </c>
      <c r="X38" s="23" t="s">
        <v>115</v>
      </c>
      <c r="Y38" s="23" t="s">
        <v>110</v>
      </c>
      <c r="Z38" s="23">
        <v>3</v>
      </c>
      <c r="AA38" s="23"/>
      <c r="AB38" s="23"/>
      <c r="AE38" s="16" t="s">
        <v>116</v>
      </c>
      <c r="AF38" s="16" t="s">
        <v>116</v>
      </c>
      <c r="AG38" s="16">
        <f>AH38-AI38</f>
        <v>87</v>
      </c>
      <c r="AH38" s="16">
        <v>162</v>
      </c>
      <c r="AI38" s="16">
        <v>75</v>
      </c>
      <c r="AK38" s="16">
        <v>18</v>
      </c>
      <c r="AL38" s="16">
        <v>0</v>
      </c>
      <c r="AM38" s="16">
        <v>0</v>
      </c>
      <c r="AN38" s="16">
        <v>0</v>
      </c>
      <c r="AO38" s="16">
        <f>IF(SUM(AL38:AN38)&gt;0,1,0)</f>
        <v>0</v>
      </c>
      <c r="AP38" s="16">
        <f>SUM(AL38:AN38)</f>
        <v>0</v>
      </c>
      <c r="AQ38" s="16">
        <v>1.7569999999999999</v>
      </c>
      <c r="AR38" s="16">
        <v>0.28000000000000003</v>
      </c>
      <c r="AS38" s="16">
        <v>0.28000000000000003</v>
      </c>
      <c r="AT38" s="16" t="s">
        <v>124</v>
      </c>
      <c r="AW38" s="22">
        <v>1</v>
      </c>
      <c r="AY38" s="16">
        <f>(31+12)/AS38</f>
        <v>153.57142857142856</v>
      </c>
      <c r="AZ38" s="18">
        <v>0</v>
      </c>
      <c r="BB38" s="16">
        <v>0</v>
      </c>
      <c r="BC38" s="18">
        <v>0</v>
      </c>
      <c r="BD38" s="16">
        <v>0</v>
      </c>
      <c r="BE38" s="16">
        <v>0</v>
      </c>
      <c r="BF38" s="18">
        <v>0</v>
      </c>
      <c r="BG38" s="23">
        <v>0</v>
      </c>
      <c r="BH38" s="16">
        <v>0</v>
      </c>
      <c r="BI38" s="18">
        <v>0</v>
      </c>
      <c r="BJ38" s="16">
        <v>0</v>
      </c>
      <c r="BK38" s="16">
        <v>0</v>
      </c>
      <c r="BL38" s="16">
        <f>IF(BM38&gt;0,1,0)</f>
        <v>0</v>
      </c>
      <c r="BM38" s="16">
        <f>SUM(BR38,BU38,BX38,CA38,CD38,CG38,CJ38,CM38,CP38)</f>
        <v>0</v>
      </c>
      <c r="BN38" s="16">
        <f>SUM(BW38,BZ38,CC38,CF38,CI38,CL38,CO38,CR38,BT38)</f>
        <v>0</v>
      </c>
      <c r="BO38" s="16">
        <f>IF(BP38&gt;0,1,0)</f>
        <v>0</v>
      </c>
      <c r="BP38" s="16">
        <f>SUM(BU38,BX38,CA38,CD38,BR38)</f>
        <v>0</v>
      </c>
      <c r="BQ38" s="16">
        <f>SUM(BZ38,CC38,CF38,BT38,BW38)</f>
        <v>0</v>
      </c>
      <c r="BR38" s="18">
        <v>0</v>
      </c>
      <c r="BS38" s="16">
        <v>0</v>
      </c>
      <c r="BT38" s="23">
        <f>BS38/AS38</f>
        <v>0</v>
      </c>
      <c r="BU38" s="18">
        <v>0</v>
      </c>
      <c r="BV38" s="16">
        <v>0</v>
      </c>
      <c r="BW38" s="18">
        <f>BV38/AS38</f>
        <v>0</v>
      </c>
      <c r="BX38" s="18">
        <v>0</v>
      </c>
      <c r="BY38" s="16">
        <v>0</v>
      </c>
      <c r="BZ38" s="16">
        <f>BY38/AS38</f>
        <v>0</v>
      </c>
      <c r="CA38" s="24">
        <v>0</v>
      </c>
      <c r="CB38" s="16">
        <v>0</v>
      </c>
      <c r="CC38" s="16">
        <v>0</v>
      </c>
      <c r="CD38" s="25">
        <v>0</v>
      </c>
      <c r="CE38" s="16">
        <v>0</v>
      </c>
      <c r="CF38" s="16">
        <v>0</v>
      </c>
      <c r="CP38" s="16" t="s">
        <v>123</v>
      </c>
      <c r="CQ38" s="16">
        <v>0</v>
      </c>
      <c r="CR38" s="16">
        <v>0</v>
      </c>
      <c r="CS38" s="18">
        <f>IF(CT38&gt;0,1,0)</f>
        <v>1</v>
      </c>
      <c r="CT38" s="25">
        <f>SUM(CW38,CZ38,DC38)</f>
        <v>2</v>
      </c>
      <c r="CU38" s="25"/>
      <c r="CV38" s="16">
        <f>AY38</f>
        <v>153.57142857142856</v>
      </c>
      <c r="CW38" s="22">
        <v>1</v>
      </c>
      <c r="CX38" s="16">
        <v>31</v>
      </c>
      <c r="CY38" s="16">
        <f>31/AS38</f>
        <v>110.71428571428571</v>
      </c>
      <c r="CZ38" s="16">
        <v>1</v>
      </c>
      <c r="DA38" s="16">
        <v>12</v>
      </c>
      <c r="DB38" s="16">
        <f>12/AS38</f>
        <v>42.857142857142854</v>
      </c>
      <c r="DC38" s="18">
        <v>0</v>
      </c>
      <c r="DD38" s="16">
        <v>0</v>
      </c>
      <c r="DE38" s="16">
        <v>0</v>
      </c>
      <c r="DF38" s="16" t="e">
        <f>VLOOKUP(K38,'[3]RNA Seq summary tables'!$V$3:$V$99,1,FALSE)</f>
        <v>#N/A</v>
      </c>
      <c r="JO38" s="26"/>
    </row>
    <row r="39" spans="1:288" x14ac:dyDescent="0.2">
      <c r="B39" s="16">
        <v>2016</v>
      </c>
      <c r="C39" s="20">
        <v>42565</v>
      </c>
      <c r="D39" s="20" t="str">
        <f>CONCATENATE(J39,"-",C39)</f>
        <v>947-42565</v>
      </c>
      <c r="E39" s="20" t="str">
        <f>CONCATENATE(T39,"-",U39,"-",C39)</f>
        <v>SP2-A1-42565</v>
      </c>
      <c r="F39" s="20" t="s">
        <v>106</v>
      </c>
      <c r="G39" s="20" t="s">
        <v>107</v>
      </c>
      <c r="I39" s="16">
        <v>0</v>
      </c>
      <c r="J39" s="15">
        <v>947</v>
      </c>
      <c r="K39" s="15">
        <v>1484</v>
      </c>
      <c r="L39" s="18">
        <v>0</v>
      </c>
      <c r="M39" s="15">
        <f>VLOOKUP(K39,'[7]MLBS 2016 SNV-nem Coinfection d'!$C$1:$G$238,4,FALSE)</f>
        <v>0</v>
      </c>
      <c r="N39" s="15">
        <v>0</v>
      </c>
      <c r="O39" s="15" t="s">
        <v>119</v>
      </c>
      <c r="P39" s="23" t="s">
        <v>119</v>
      </c>
      <c r="Q39" s="16">
        <v>0</v>
      </c>
      <c r="R39" s="23">
        <v>14</v>
      </c>
      <c r="S39" s="23"/>
      <c r="T39" s="23" t="s">
        <v>137</v>
      </c>
      <c r="U39" s="23" t="s">
        <v>210</v>
      </c>
      <c r="V39" s="23" t="s">
        <v>114</v>
      </c>
      <c r="W39" s="16">
        <f>AI39/AG39</f>
        <v>0.8764044943820225</v>
      </c>
      <c r="X39" s="23" t="s">
        <v>115</v>
      </c>
      <c r="Y39" s="23" t="s">
        <v>110</v>
      </c>
      <c r="Z39" s="23">
        <v>3</v>
      </c>
      <c r="AA39" s="23"/>
      <c r="AB39" s="23"/>
      <c r="AE39" s="16" t="s">
        <v>116</v>
      </c>
      <c r="AF39" s="16" t="s">
        <v>116</v>
      </c>
      <c r="AG39" s="16">
        <v>89</v>
      </c>
      <c r="AH39" s="16">
        <v>167</v>
      </c>
      <c r="AI39" s="16">
        <v>78</v>
      </c>
      <c r="AK39" s="16">
        <v>20</v>
      </c>
      <c r="AL39" s="16">
        <v>0</v>
      </c>
      <c r="AM39" s="16">
        <v>0</v>
      </c>
      <c r="AN39" s="16">
        <v>0</v>
      </c>
      <c r="AO39" s="16">
        <f>IF(SUM(AL39:AN39)&gt;0,1,0)</f>
        <v>0</v>
      </c>
      <c r="AP39" s="16">
        <f>SUM(AL39:AN39)</f>
        <v>0</v>
      </c>
      <c r="AQ39" s="16">
        <f>-0.138+1.477</f>
        <v>1.339</v>
      </c>
      <c r="AR39" s="16">
        <v>0.13800000000000001</v>
      </c>
      <c r="AS39" s="16">
        <v>0.13800000000000001</v>
      </c>
      <c r="AT39" s="16" t="s">
        <v>205</v>
      </c>
      <c r="AW39" s="22">
        <v>1</v>
      </c>
      <c r="AX39" s="16">
        <v>5</v>
      </c>
      <c r="AY39" s="16">
        <f>(18+213+1+14+16)/AS39</f>
        <v>1898.550724637681</v>
      </c>
      <c r="AZ39" s="18">
        <v>1</v>
      </c>
      <c r="BA39" s="16">
        <v>3</v>
      </c>
      <c r="BB39" s="16">
        <f>(18+213+1)/AS39</f>
        <v>1681.159420289855</v>
      </c>
      <c r="BC39" s="16">
        <v>1</v>
      </c>
      <c r="BD39" s="16">
        <v>18</v>
      </c>
      <c r="BE39" s="16">
        <f>18/AS39</f>
        <v>130.43478260869563</v>
      </c>
      <c r="BF39" s="18">
        <v>1</v>
      </c>
      <c r="BG39" s="23">
        <v>213</v>
      </c>
      <c r="BH39" s="16">
        <f>213/AS39</f>
        <v>1543.478260869565</v>
      </c>
      <c r="BI39" s="16">
        <v>1</v>
      </c>
      <c r="BJ39" s="16">
        <v>1</v>
      </c>
      <c r="BK39" s="16">
        <f>1/AS39</f>
        <v>7.2463768115942022</v>
      </c>
      <c r="BL39" s="16">
        <f>IF(BM39&gt;0,1,0)</f>
        <v>1</v>
      </c>
      <c r="BM39" s="16">
        <f>SUM(BR39,BU39,BX39,CA39,CD39,CG39,CJ39,CM39,CP39)</f>
        <v>2</v>
      </c>
      <c r="BN39" s="16">
        <f>SUM(BW39,BZ39,CC39,CF39,CI39,CL39,CO39,CR39,BT39)</f>
        <v>217.39130434782606</v>
      </c>
      <c r="BO39" s="16">
        <f>IF(BP39&gt;0,1,0)</f>
        <v>1</v>
      </c>
      <c r="BP39" s="16">
        <f>SUM(BU39,BX39,CA39,CD39,BR39)</f>
        <v>2</v>
      </c>
      <c r="BQ39" s="16">
        <f>SUM(BZ39,CC39,CF39,BT39,BW39)</f>
        <v>217.39130434782606</v>
      </c>
      <c r="BR39" s="18">
        <v>0</v>
      </c>
      <c r="BS39" s="16">
        <v>0</v>
      </c>
      <c r="BT39" s="23">
        <f>BS39/AS39</f>
        <v>0</v>
      </c>
      <c r="BU39" s="18">
        <v>1</v>
      </c>
      <c r="BV39" s="16">
        <v>14</v>
      </c>
      <c r="BW39" s="18">
        <f>BV39/AS39</f>
        <v>101.44927536231883</v>
      </c>
      <c r="BX39" s="24">
        <v>1</v>
      </c>
      <c r="BY39" s="16">
        <v>16</v>
      </c>
      <c r="BZ39" s="16">
        <f>BY39/AS39</f>
        <v>115.94202898550724</v>
      </c>
      <c r="CA39" s="24">
        <v>0</v>
      </c>
      <c r="CB39" s="16">
        <v>0</v>
      </c>
      <c r="CC39" s="16">
        <v>0</v>
      </c>
      <c r="CD39" s="23">
        <v>0</v>
      </c>
      <c r="CE39" s="16">
        <v>0</v>
      </c>
      <c r="CF39" s="16">
        <v>0</v>
      </c>
      <c r="CP39" s="16" t="s">
        <v>211</v>
      </c>
      <c r="CQ39" s="16">
        <v>0</v>
      </c>
      <c r="CR39" s="16">
        <v>0</v>
      </c>
      <c r="CS39" s="18">
        <f>IF(CT39&gt;0,1,0)</f>
        <v>0</v>
      </c>
      <c r="CT39" s="25">
        <f>SUM(CW39,CZ39,DC39)</f>
        <v>0</v>
      </c>
      <c r="CU39" s="25"/>
      <c r="CV39" s="16">
        <v>0</v>
      </c>
      <c r="CW39" s="25">
        <v>0</v>
      </c>
      <c r="CX39" s="16">
        <v>0</v>
      </c>
      <c r="CY39" s="16">
        <v>0</v>
      </c>
      <c r="CZ39" s="18">
        <v>0</v>
      </c>
      <c r="DA39" s="16">
        <v>0</v>
      </c>
      <c r="DB39" s="16">
        <v>0</v>
      </c>
      <c r="DC39" s="18">
        <v>0</v>
      </c>
      <c r="DD39" s="16">
        <v>0</v>
      </c>
      <c r="DE39" s="16">
        <v>0</v>
      </c>
      <c r="DF39" s="16" t="e">
        <f>VLOOKUP(K39,'[3]RNA Seq summary tables'!$V$3:$V$99,1,FALSE)</f>
        <v>#N/A</v>
      </c>
    </row>
    <row r="40" spans="1:288" x14ac:dyDescent="0.2">
      <c r="B40" s="16">
        <v>2016</v>
      </c>
      <c r="C40" s="20">
        <v>42579</v>
      </c>
      <c r="D40" s="20" t="str">
        <f>CONCATENATE(J40,"-",C40)</f>
        <v>947-42579</v>
      </c>
      <c r="E40" s="20" t="str">
        <f>CONCATENATE(T40,"-",U40,"-",C40)</f>
        <v>SP2-G2-42579</v>
      </c>
      <c r="F40" s="20" t="s">
        <v>106</v>
      </c>
      <c r="G40" s="20" t="s">
        <v>107</v>
      </c>
      <c r="I40" s="16">
        <v>0</v>
      </c>
      <c r="J40" s="15">
        <v>947</v>
      </c>
      <c r="K40" s="15">
        <v>1518</v>
      </c>
      <c r="L40" s="18">
        <v>0</v>
      </c>
      <c r="M40" s="15">
        <f>VLOOKUP(K40,'[7]MLBS 2016 SNV-nem Coinfection d'!$C$1:$G$238,4,FALSE)</f>
        <v>0</v>
      </c>
      <c r="N40" s="15">
        <v>0</v>
      </c>
      <c r="O40" s="15" t="s">
        <v>119</v>
      </c>
      <c r="P40" s="23" t="s">
        <v>119</v>
      </c>
      <c r="Q40" s="16">
        <v>0</v>
      </c>
      <c r="R40" s="23">
        <v>14</v>
      </c>
      <c r="S40" s="23"/>
      <c r="T40" s="23" t="s">
        <v>137</v>
      </c>
      <c r="U40" s="23" t="s">
        <v>128</v>
      </c>
      <c r="V40" s="23" t="s">
        <v>114</v>
      </c>
      <c r="W40" s="16">
        <f>AI40/AG40</f>
        <v>0.80434782608695654</v>
      </c>
      <c r="X40" s="23" t="s">
        <v>115</v>
      </c>
      <c r="Y40" s="23" t="s">
        <v>110</v>
      </c>
      <c r="Z40" s="23">
        <v>3</v>
      </c>
      <c r="AA40" s="23"/>
      <c r="AB40" s="23"/>
      <c r="AE40" s="16" t="s">
        <v>123</v>
      </c>
      <c r="AF40" s="16" t="s">
        <v>123</v>
      </c>
      <c r="AG40" s="16">
        <f>AH40-AI40</f>
        <v>92</v>
      </c>
      <c r="AH40" s="16">
        <v>166</v>
      </c>
      <c r="AI40" s="16">
        <v>74</v>
      </c>
      <c r="AK40" s="16">
        <v>23.5</v>
      </c>
      <c r="AL40" s="16">
        <v>0</v>
      </c>
      <c r="AM40" s="16">
        <v>0</v>
      </c>
      <c r="AN40" s="16">
        <v>1</v>
      </c>
      <c r="AO40" s="16">
        <f>IF(SUM(AL40:AN40)&gt;0,1,0)</f>
        <v>1</v>
      </c>
      <c r="AP40" s="16">
        <f>SUM(AL40:AN40)</f>
        <v>1</v>
      </c>
      <c r="AQ40" s="16">
        <v>1.571</v>
      </c>
      <c r="AR40" s="16">
        <v>9.4E-2</v>
      </c>
      <c r="AS40" s="16">
        <v>9.4E-2</v>
      </c>
      <c r="AT40" s="16" t="s">
        <v>205</v>
      </c>
      <c r="AW40" s="22">
        <v>1</v>
      </c>
      <c r="AX40" s="16">
        <v>4</v>
      </c>
      <c r="AY40" s="16">
        <f>(22+43+3+13)/AS40</f>
        <v>861.70212765957444</v>
      </c>
      <c r="AZ40" s="18">
        <v>1</v>
      </c>
      <c r="BA40" s="16">
        <v>3</v>
      </c>
      <c r="BB40" s="16">
        <f>(22+43+3)/AS40</f>
        <v>723.40425531914889</v>
      </c>
      <c r="BC40" s="16">
        <v>1</v>
      </c>
      <c r="BD40" s="16">
        <v>22</v>
      </c>
      <c r="BE40" s="16">
        <f>(22)/AS40</f>
        <v>234.04255319148936</v>
      </c>
      <c r="BF40" s="18">
        <v>1</v>
      </c>
      <c r="BG40" s="23">
        <v>43</v>
      </c>
      <c r="BH40" s="16">
        <f>(43)/AS40</f>
        <v>457.44680851063828</v>
      </c>
      <c r="BI40" s="16">
        <v>1</v>
      </c>
      <c r="BJ40" s="16">
        <v>3</v>
      </c>
      <c r="BK40" s="16">
        <f>3/AS40</f>
        <v>31.914893617021278</v>
      </c>
      <c r="BL40" s="16">
        <f>IF(BM40&gt;0,1,0)</f>
        <v>1</v>
      </c>
      <c r="BM40" s="16">
        <f>SUM(BR40,BU40,BX40,CA40,CD40,CG40,CJ40,CM40,CP40)</f>
        <v>1</v>
      </c>
      <c r="BN40" s="16">
        <f>SUM(BW40,BZ40,CC40,CF40,CI40,CL40,CO40,CR40,BT40)</f>
        <v>138.29787234042553</v>
      </c>
      <c r="BO40" s="16">
        <f>IF(BP40&gt;0,1,0)</f>
        <v>1</v>
      </c>
      <c r="BP40" s="16">
        <f>SUM(BU40,BX40,CA40,CD40,BR40)</f>
        <v>1</v>
      </c>
      <c r="BQ40" s="16">
        <f>SUM(BZ40,CC40,CF40,BT40,BW40)</f>
        <v>138.29787234042553</v>
      </c>
      <c r="BR40" s="18">
        <v>0</v>
      </c>
      <c r="BS40" s="16">
        <v>0</v>
      </c>
      <c r="BT40" s="23">
        <f>BS40/AS40</f>
        <v>0</v>
      </c>
      <c r="BU40" s="18">
        <v>0</v>
      </c>
      <c r="BV40" s="16">
        <v>0</v>
      </c>
      <c r="BW40" s="18">
        <f>BV40/AS40</f>
        <v>0</v>
      </c>
      <c r="BX40" s="24">
        <v>1</v>
      </c>
      <c r="BY40" s="16">
        <v>13</v>
      </c>
      <c r="BZ40" s="16">
        <f>BY40/AS40</f>
        <v>138.29787234042553</v>
      </c>
      <c r="CA40" s="24">
        <v>0</v>
      </c>
      <c r="CB40" s="16">
        <v>0</v>
      </c>
      <c r="CC40" s="16">
        <v>0</v>
      </c>
      <c r="CD40" s="23">
        <v>0</v>
      </c>
      <c r="CE40" s="16">
        <v>0</v>
      </c>
      <c r="CF40" s="16">
        <v>0</v>
      </c>
      <c r="CP40" s="16" t="s">
        <v>123</v>
      </c>
      <c r="CQ40" s="16">
        <v>0</v>
      </c>
      <c r="CR40" s="16">
        <v>0</v>
      </c>
      <c r="CS40" s="18">
        <f>IF(CT40&gt;0,1,0)</f>
        <v>0</v>
      </c>
      <c r="CT40" s="25">
        <f>SUM(CW40,CZ40,DC40)</f>
        <v>0</v>
      </c>
      <c r="CU40" s="25"/>
      <c r="CV40" s="16">
        <v>0</v>
      </c>
      <c r="CW40" s="25">
        <v>0</v>
      </c>
      <c r="CX40" s="16">
        <v>0</v>
      </c>
      <c r="CY40" s="16">
        <v>0</v>
      </c>
      <c r="CZ40" s="18">
        <v>0</v>
      </c>
      <c r="DA40" s="16">
        <v>0</v>
      </c>
      <c r="DB40" s="16">
        <v>0</v>
      </c>
      <c r="DC40" s="18">
        <v>0</v>
      </c>
      <c r="DD40" s="16">
        <v>0</v>
      </c>
      <c r="DE40" s="16">
        <v>0</v>
      </c>
      <c r="DF40" s="16" t="e">
        <f>VLOOKUP(K40,'[3]RNA Seq summary tables'!$V$3:$V$99,1,FALSE)</f>
        <v>#N/A</v>
      </c>
    </row>
    <row r="41" spans="1:288" x14ac:dyDescent="0.2">
      <c r="B41" s="16">
        <v>2016</v>
      </c>
      <c r="C41" s="20">
        <v>42593</v>
      </c>
      <c r="D41" s="20" t="str">
        <f>CONCATENATE(J41,"-",C41)</f>
        <v>947-42593</v>
      </c>
      <c r="E41" s="20" t="str">
        <f>CONCATENATE(T41,"-",U41,"-",C41)</f>
        <v>SP2-C4-42593</v>
      </c>
      <c r="F41" s="20" t="s">
        <v>227</v>
      </c>
      <c r="G41" s="20" t="s">
        <v>107</v>
      </c>
      <c r="H41" s="23" t="s">
        <v>223</v>
      </c>
      <c r="I41" s="16">
        <v>0</v>
      </c>
      <c r="J41" s="15">
        <v>947</v>
      </c>
      <c r="K41" s="15">
        <v>1546</v>
      </c>
      <c r="L41" s="18">
        <v>1</v>
      </c>
      <c r="M41" s="15">
        <f>VLOOKUP(K41,'[7]MLBS 2016 SNV-nem Coinfection d'!$C$1:$G$238,4,FALSE)</f>
        <v>0</v>
      </c>
      <c r="N41" s="15">
        <v>0</v>
      </c>
      <c r="O41" s="15" t="s">
        <v>119</v>
      </c>
      <c r="P41" s="23" t="s">
        <v>119</v>
      </c>
      <c r="Q41" s="16">
        <v>0</v>
      </c>
      <c r="R41" s="23">
        <v>14</v>
      </c>
      <c r="S41" s="23"/>
      <c r="T41" s="23" t="s">
        <v>137</v>
      </c>
      <c r="U41" s="23" t="s">
        <v>229</v>
      </c>
      <c r="V41" s="23" t="s">
        <v>114</v>
      </c>
      <c r="W41" s="16">
        <f>AI41/AG41</f>
        <v>0.89772727272727271</v>
      </c>
      <c r="X41" s="23" t="s">
        <v>115</v>
      </c>
      <c r="Y41" s="23" t="s">
        <v>110</v>
      </c>
      <c r="Z41" s="23">
        <v>3</v>
      </c>
      <c r="AA41" s="23"/>
      <c r="AB41" s="23"/>
      <c r="AE41" s="16" t="s">
        <v>116</v>
      </c>
      <c r="AF41" s="16" t="s">
        <v>116</v>
      </c>
      <c r="AG41" s="16">
        <f>AH41-AI41</f>
        <v>88</v>
      </c>
      <c r="AH41" s="16">
        <v>167</v>
      </c>
      <c r="AI41" s="16">
        <v>79</v>
      </c>
      <c r="AK41" s="16">
        <v>24.5</v>
      </c>
      <c r="AL41" s="16">
        <v>0</v>
      </c>
      <c r="AM41" s="16">
        <v>0</v>
      </c>
      <c r="AN41" s="16">
        <v>1</v>
      </c>
      <c r="AO41" s="16">
        <f>IF(SUM(AL41:AN41)&gt;0,1,0)</f>
        <v>1</v>
      </c>
      <c r="AP41" s="16">
        <f>SUM(AL41:AN41)</f>
        <v>1</v>
      </c>
      <c r="AQ41" s="16">
        <v>1.7</v>
      </c>
      <c r="AR41" s="16">
        <v>0.223</v>
      </c>
      <c r="AS41" s="16">
        <v>0.223</v>
      </c>
      <c r="AT41" s="16" t="s">
        <v>205</v>
      </c>
      <c r="AW41" s="22">
        <v>1</v>
      </c>
      <c r="AX41" s="24">
        <v>2</v>
      </c>
      <c r="AY41" s="16">
        <f>(8+9)/AS41</f>
        <v>76.233183856502237</v>
      </c>
      <c r="AZ41" s="18">
        <v>1</v>
      </c>
      <c r="BA41" s="24">
        <v>1</v>
      </c>
      <c r="BB41" s="16">
        <f>8/AS41</f>
        <v>35.874439461883405</v>
      </c>
      <c r="BC41" s="18">
        <v>0</v>
      </c>
      <c r="BD41" s="24">
        <v>0</v>
      </c>
      <c r="BE41" s="16">
        <v>0</v>
      </c>
      <c r="BF41" s="18">
        <v>1</v>
      </c>
      <c r="BG41" s="53">
        <v>8</v>
      </c>
      <c r="BH41" s="16">
        <f>BB41</f>
        <v>35.874439461883405</v>
      </c>
      <c r="BI41" s="18">
        <v>0</v>
      </c>
      <c r="BJ41" s="24">
        <v>0</v>
      </c>
      <c r="BK41" s="16">
        <v>0</v>
      </c>
      <c r="BL41" s="16">
        <f>IF(BM41&gt;0,1,0)</f>
        <v>1</v>
      </c>
      <c r="BM41" s="16">
        <f>SUM(BR41,BU41,BX41,CA41,CD41,CG41,CJ41,CM41,CP41)</f>
        <v>1</v>
      </c>
      <c r="BN41" s="16">
        <f>SUM(BW41,BZ41,CC41,CF41,CI41,CL41,CO41,CR41,BT41)</f>
        <v>40.358744394618832</v>
      </c>
      <c r="BO41" s="16">
        <f>IF(BP41&gt;0,1,0)</f>
        <v>1</v>
      </c>
      <c r="BP41" s="16">
        <f>SUM(BU41,BX41,CA41,CD41,BR41)</f>
        <v>1</v>
      </c>
      <c r="BQ41" s="16">
        <f>SUM(BZ41,CC41,CF41,BT41,BW41)</f>
        <v>40.358744394618832</v>
      </c>
      <c r="BR41" s="18">
        <v>0</v>
      </c>
      <c r="BS41" s="24">
        <v>0</v>
      </c>
      <c r="BT41" s="23">
        <f>BS41/AS41</f>
        <v>0</v>
      </c>
      <c r="BU41" s="18">
        <v>0</v>
      </c>
      <c r="BV41" s="24">
        <v>0</v>
      </c>
      <c r="BW41" s="18">
        <f>BV41/AS41</f>
        <v>0</v>
      </c>
      <c r="BX41" s="24">
        <v>1</v>
      </c>
      <c r="BY41" s="24">
        <v>9</v>
      </c>
      <c r="BZ41" s="16">
        <f>BY41/AS41</f>
        <v>40.358744394618832</v>
      </c>
      <c r="CA41" s="24">
        <v>0</v>
      </c>
      <c r="CB41" s="24">
        <v>0</v>
      </c>
      <c r="CC41" s="24">
        <v>0</v>
      </c>
      <c r="CD41" s="25">
        <v>0</v>
      </c>
      <c r="CE41" s="24">
        <v>0</v>
      </c>
      <c r="CF41" s="24">
        <v>0</v>
      </c>
      <c r="CG41" s="24"/>
      <c r="CH41" s="24"/>
      <c r="CI41" s="24"/>
      <c r="CJ41" s="24"/>
      <c r="CK41" s="24"/>
      <c r="CL41" s="24"/>
      <c r="CM41" s="24"/>
      <c r="CN41" s="24"/>
      <c r="CO41" s="24"/>
      <c r="CP41" s="24" t="s">
        <v>123</v>
      </c>
      <c r="CQ41" s="24">
        <v>0</v>
      </c>
      <c r="CR41" s="24">
        <v>0</v>
      </c>
      <c r="CS41" s="18">
        <f>IF(CT41&gt;0,1,0)</f>
        <v>0</v>
      </c>
      <c r="CT41" s="25">
        <f>SUM(CW41,CZ41,DC41)</f>
        <v>0</v>
      </c>
      <c r="CU41" s="25"/>
      <c r="CV41" s="24">
        <v>0</v>
      </c>
      <c r="CW41" s="25">
        <v>0</v>
      </c>
      <c r="CX41" s="24">
        <v>0</v>
      </c>
      <c r="CY41" s="24">
        <v>0</v>
      </c>
      <c r="CZ41" s="18">
        <v>0</v>
      </c>
      <c r="DA41" s="24">
        <v>0</v>
      </c>
      <c r="DB41" s="24">
        <v>0</v>
      </c>
      <c r="DC41" s="18">
        <v>0</v>
      </c>
      <c r="DD41" s="24">
        <v>0</v>
      </c>
      <c r="DE41" s="24">
        <v>0</v>
      </c>
      <c r="DF41" s="16">
        <f>VLOOKUP(K41,'[3]RNA Seq summary tables'!$V$3:$V$99,1,FALSE)</f>
        <v>1546</v>
      </c>
    </row>
    <row r="42" spans="1:288" x14ac:dyDescent="0.2">
      <c r="B42" s="16">
        <v>2017</v>
      </c>
      <c r="C42" s="66">
        <v>42887</v>
      </c>
      <c r="D42" s="66" t="str">
        <f>CONCATENATE(J42,"-",C42)</f>
        <v>949-42887</v>
      </c>
      <c r="E42" s="20" t="str">
        <f>CONCATENATE(T42,"-",U42,"-",C42)</f>
        <v>SP1-D6-42887</v>
      </c>
      <c r="F42" s="20" t="s">
        <v>106</v>
      </c>
      <c r="G42" s="20" t="s">
        <v>107</v>
      </c>
      <c r="H42" s="16" t="s">
        <v>169</v>
      </c>
      <c r="I42" s="16">
        <v>0</v>
      </c>
      <c r="J42" s="15">
        <v>949</v>
      </c>
      <c r="K42" s="15">
        <v>1591</v>
      </c>
      <c r="L42" s="18">
        <v>0</v>
      </c>
      <c r="M42" s="21">
        <f>VLOOKUP($K42,'[4]blood tubes 2017'!$D$1:$L$647,8,FALSE)</f>
        <v>0</v>
      </c>
      <c r="N42" s="15">
        <v>0</v>
      </c>
      <c r="O42" s="15" t="s">
        <v>119</v>
      </c>
      <c r="P42" s="23" t="s">
        <v>119</v>
      </c>
      <c r="Q42" s="16">
        <v>0</v>
      </c>
      <c r="R42" s="23" t="s">
        <v>111</v>
      </c>
      <c r="S42" s="23"/>
      <c r="T42" s="23" t="s">
        <v>140</v>
      </c>
      <c r="U42" s="23" t="s">
        <v>186</v>
      </c>
      <c r="V42" s="25" t="s">
        <v>142</v>
      </c>
      <c r="W42" s="16">
        <f>AI42/AG42</f>
        <v>1.0224719101123596</v>
      </c>
      <c r="X42" s="23" t="s">
        <v>115</v>
      </c>
      <c r="Y42" s="23" t="s">
        <v>110</v>
      </c>
      <c r="Z42" s="23">
        <v>3</v>
      </c>
      <c r="AA42" s="23"/>
      <c r="AB42" s="23"/>
      <c r="AE42" s="16" t="s">
        <v>116</v>
      </c>
      <c r="AF42" s="16" t="s">
        <v>116</v>
      </c>
      <c r="AG42" s="16">
        <f>AH42-AI42</f>
        <v>89</v>
      </c>
      <c r="AH42" s="16">
        <v>180</v>
      </c>
      <c r="AI42" s="16">
        <v>91</v>
      </c>
      <c r="AK42" s="16">
        <v>19</v>
      </c>
      <c r="AL42" s="16">
        <v>0</v>
      </c>
      <c r="AM42" s="16">
        <v>0</v>
      </c>
      <c r="AN42" s="16">
        <v>0</v>
      </c>
      <c r="AO42" s="16">
        <v>0</v>
      </c>
      <c r="AP42" s="16">
        <f>SUM(AL42:AN42)</f>
        <v>0</v>
      </c>
      <c r="AQ42" s="16">
        <v>2.3029999999999999</v>
      </c>
      <c r="AR42" s="16">
        <f>AP42-1.472</f>
        <v>-1.472</v>
      </c>
      <c r="AS42" s="16">
        <f>AQ42-1.472</f>
        <v>0.83099999999999996</v>
      </c>
      <c r="AT42" s="16" t="s">
        <v>233</v>
      </c>
      <c r="AV42" s="16">
        <v>1</v>
      </c>
      <c r="AW42" s="18">
        <f>IF(AX42&gt;0,1,0)</f>
        <v>0</v>
      </c>
      <c r="AX42" s="18">
        <f>SUM(BA42,BM42,CT42)</f>
        <v>0</v>
      </c>
      <c r="AY42" s="18">
        <f>SUM(BB42,BN42,CV42)</f>
        <v>0</v>
      </c>
      <c r="AZ42" s="18">
        <f>IF(BA42&gt;0,1,0)</f>
        <v>0</v>
      </c>
      <c r="BA42" s="18">
        <f>SUM(BC42,BF42,BI42)</f>
        <v>0</v>
      </c>
      <c r="BB42" s="18">
        <f>SUM(BE42,BH42,BK42)</f>
        <v>0</v>
      </c>
      <c r="BC42" s="18">
        <f>IF(BD42&gt;0,1,0)</f>
        <v>0</v>
      </c>
      <c r="BD42" s="18">
        <f>VLOOKUP($K42,'[5]FECs - good data'!$C$1:$Z$574,14,FALSE)</f>
        <v>0</v>
      </c>
      <c r="BE42" s="16">
        <f>BD42/AS42</f>
        <v>0</v>
      </c>
      <c r="BF42" s="16">
        <f>IF(BG42&gt;0,1,0)</f>
        <v>0</v>
      </c>
      <c r="BG42" s="23">
        <f>VLOOKUP($K42,'[5]FECs - good data'!$C$1:$Z$574,15,FALSE)</f>
        <v>0</v>
      </c>
      <c r="BH42" s="16">
        <f>BG42/AS42</f>
        <v>0</v>
      </c>
      <c r="BI42" s="16">
        <f>IF(BJ42&gt;0,1,0)</f>
        <v>0</v>
      </c>
      <c r="BJ42" s="16">
        <f>VLOOKUP($K42,'[5]FECs - good data'!$C$1:$Z$574,16,FALSE)</f>
        <v>0</v>
      </c>
      <c r="BK42" s="16">
        <f>BJ42/AS42</f>
        <v>0</v>
      </c>
      <c r="BL42" s="16">
        <f>IF(BM42&gt;0,1,0)</f>
        <v>0</v>
      </c>
      <c r="BM42" s="16">
        <f>SUM(BR42,BU42,BX42,CA42,CD42,CG42,CJ42,CM42,CP42)</f>
        <v>0</v>
      </c>
      <c r="BN42" s="16">
        <f>SUM(BW42,BZ42,CC42,CF42,CI42,CL42,CO42,CR42,BT42)</f>
        <v>0</v>
      </c>
      <c r="BO42" s="16">
        <f>IF(BP42&gt;0,1,0)</f>
        <v>0</v>
      </c>
      <c r="BP42" s="16">
        <f>SUM(BU42,BX42,CA42,CD42,BR42)</f>
        <v>0</v>
      </c>
      <c r="BQ42" s="16">
        <f>SUM(BZ42,CC42,CF42,BT42,BW42)</f>
        <v>0</v>
      </c>
      <c r="BR42" s="16">
        <f>IF(BS42&gt;0,1,0)</f>
        <v>0</v>
      </c>
      <c r="BS42" s="16">
        <f>VLOOKUP($K42,'[5]FECs - good data'!$C$1:$Z$574,17,FALSE)</f>
        <v>0</v>
      </c>
      <c r="BT42" s="23">
        <f>BS42/AS42</f>
        <v>0</v>
      </c>
      <c r="BU42" s="16">
        <f>IF(BV42&gt;0,1,0)</f>
        <v>0</v>
      </c>
      <c r="BV42" s="16">
        <f>VLOOKUP($K42,'[5]FECs - good data'!$C$1:$Z$574,18,FALSE)</f>
        <v>0</v>
      </c>
      <c r="BW42" s="16">
        <f>BV42/AS42</f>
        <v>0</v>
      </c>
      <c r="BX42" s="16">
        <f>IF(BY42&gt;0,1,0)</f>
        <v>0</v>
      </c>
      <c r="BY42" s="16">
        <f>VLOOKUP($K42,'[5]FECs - good data'!$C$1:$Z$574,19,FALSE)</f>
        <v>0</v>
      </c>
      <c r="BZ42" s="16">
        <f>BY42/AS42</f>
        <v>0</v>
      </c>
      <c r="CA42" s="16">
        <f>IF(CB42&gt;0,1,0)</f>
        <v>0</v>
      </c>
      <c r="CB42" s="16">
        <f>VLOOKUP($K42,'[5]FECs - good data'!$C$1:$Z$574,20,FALSE)</f>
        <v>0</v>
      </c>
      <c r="CC42" s="16">
        <f>CB42/AS42</f>
        <v>0</v>
      </c>
      <c r="CD42" s="23">
        <f>IF(CE42&gt;0,1,0)</f>
        <v>0</v>
      </c>
      <c r="CE42" s="16">
        <f>VLOOKUP($K42,'[5]FECs - good data'!$C$1:$Z$574,21,FALSE)</f>
        <v>0</v>
      </c>
      <c r="CF42" s="16">
        <f>CE42/AS42</f>
        <v>0</v>
      </c>
      <c r="CG42" s="16">
        <f>IF(CH42&gt;0,1,0)</f>
        <v>0</v>
      </c>
      <c r="CH42" s="16">
        <f>VLOOKUP($K42,'[5]FECs - good data'!$C$1:$Z$574,22,FALSE)</f>
        <v>0</v>
      </c>
      <c r="CI42" s="16">
        <f>CH42/AS42</f>
        <v>0</v>
      </c>
      <c r="CJ42" s="16">
        <f>IF(CK42&gt;0,1,0)</f>
        <v>0</v>
      </c>
      <c r="CK42" s="16">
        <f>VLOOKUP($K42,'[5]FECs - good data'!$C$1:$Z$674,24,FALSE)</f>
        <v>0</v>
      </c>
      <c r="CL42" s="16">
        <f>CK42/AS42</f>
        <v>0</v>
      </c>
      <c r="CS42" s="16">
        <f>IF(CT42&gt;0,1,0)</f>
        <v>0</v>
      </c>
      <c r="CT42" s="16">
        <f>SUM(CW42+CZ42,DC42)</f>
        <v>0</v>
      </c>
      <c r="CV42" s="16">
        <f>SUM(CY42,DB42,DE42)</f>
        <v>0</v>
      </c>
      <c r="CW42" s="16">
        <f>IF(CX42&gt;0,1,0)</f>
        <v>0</v>
      </c>
      <c r="CX42" s="16">
        <f>VLOOKUP($K42,'[5]FECs - good data'!$C$1:$Z$574,22,FALSE)</f>
        <v>0</v>
      </c>
      <c r="CY42" s="16">
        <f>CX42/AS42</f>
        <v>0</v>
      </c>
      <c r="CZ42" s="16">
        <f>IF(DA42&gt;0,1,0)</f>
        <v>0</v>
      </c>
      <c r="DA42" s="16">
        <f>VLOOKUP($K42,'[5]FECs - good data'!$C$1:$Z$5982,23,FALSE)</f>
        <v>0</v>
      </c>
      <c r="DB42" s="16">
        <f>DA42/AS42</f>
        <v>0</v>
      </c>
      <c r="DC42" s="16">
        <v>0</v>
      </c>
      <c r="DD42" s="16">
        <f>VLOOKUP($K42,'[5]FECs - good data'!$C$1:$Z$574,23,FALSE)</f>
        <v>0</v>
      </c>
      <c r="DE42" s="16">
        <f>DD42/AS42</f>
        <v>0</v>
      </c>
      <c r="DF42" s="16" t="e">
        <f>VLOOKUP(K42,'[3]RNA Seq summary tables'!$V$3:$V$99,1,FALSE)</f>
        <v>#N/A</v>
      </c>
      <c r="DG42" s="16">
        <v>1</v>
      </c>
      <c r="DH42" s="16" t="str">
        <f>VLOOKUP(D42,'[6]workflow 3.2018'!$A$1:$S$237,2,FALSE)</f>
        <v>2017MLBS_3</v>
      </c>
      <c r="DI42" s="16">
        <v>15</v>
      </c>
      <c r="DK42" s="16">
        <v>82</v>
      </c>
      <c r="DM42" s="16">
        <v>3</v>
      </c>
      <c r="DO42" s="16">
        <v>0</v>
      </c>
      <c r="DQ42" s="16">
        <v>0</v>
      </c>
      <c r="DR42" s="16">
        <v>100</v>
      </c>
    </row>
    <row r="43" spans="1:288" x14ac:dyDescent="0.2">
      <c r="B43" s="16">
        <v>2017</v>
      </c>
      <c r="C43" s="20">
        <v>42958</v>
      </c>
      <c r="D43" s="20" t="str">
        <f>CONCATENATE(J43,"-",C43)</f>
        <v>949-42958</v>
      </c>
      <c r="E43" s="20" t="str">
        <f>CONCATENATE(T43,"-",U43,"-",C43)</f>
        <v>SP1-E5-42958</v>
      </c>
      <c r="F43" s="20" t="s">
        <v>106</v>
      </c>
      <c r="G43" s="20" t="s">
        <v>107</v>
      </c>
      <c r="H43" s="16" t="s">
        <v>169</v>
      </c>
      <c r="I43" s="16">
        <v>0</v>
      </c>
      <c r="J43" s="15">
        <v>949</v>
      </c>
      <c r="K43" s="15">
        <v>2127</v>
      </c>
      <c r="L43" s="18">
        <v>0</v>
      </c>
      <c r="M43" s="21">
        <f>VLOOKUP($K43,'[4]blood tubes 2017'!$D$1:$L$647,8,FALSE)</f>
        <v>0</v>
      </c>
      <c r="N43" s="15">
        <v>0</v>
      </c>
      <c r="O43" s="15" t="s">
        <v>119</v>
      </c>
      <c r="P43" s="23" t="s">
        <v>119</v>
      </c>
      <c r="Q43" s="16">
        <v>0</v>
      </c>
      <c r="R43" s="23">
        <v>71</v>
      </c>
      <c r="S43" s="23"/>
      <c r="T43" s="23" t="s">
        <v>140</v>
      </c>
      <c r="U43" s="23" t="s">
        <v>158</v>
      </c>
      <c r="V43" s="25" t="s">
        <v>142</v>
      </c>
      <c r="W43" s="16">
        <f>AI43/AG43</f>
        <v>0.97826086956521741</v>
      </c>
      <c r="X43" s="23" t="s">
        <v>115</v>
      </c>
      <c r="Y43" s="23" t="s">
        <v>110</v>
      </c>
      <c r="Z43" s="23">
        <v>3</v>
      </c>
      <c r="AA43" s="23"/>
      <c r="AB43" s="23"/>
      <c r="AE43" s="16" t="s">
        <v>123</v>
      </c>
      <c r="AF43" s="16" t="s">
        <v>123</v>
      </c>
      <c r="AG43" s="16">
        <f>AH43-AI43</f>
        <v>92</v>
      </c>
      <c r="AH43" s="16">
        <v>182</v>
      </c>
      <c r="AI43" s="16">
        <v>90</v>
      </c>
      <c r="AK43" s="16">
        <v>19.5</v>
      </c>
      <c r="AL43" s="16">
        <v>1</v>
      </c>
      <c r="AM43" s="16">
        <v>0</v>
      </c>
      <c r="AN43" s="16">
        <v>0</v>
      </c>
      <c r="AO43" s="16">
        <v>1</v>
      </c>
      <c r="AP43" s="16">
        <f>SUM(AL43:AN43)</f>
        <v>1</v>
      </c>
      <c r="AQ43" s="16">
        <v>1.829</v>
      </c>
      <c r="AR43" s="16">
        <f>AP43-1.472</f>
        <v>-0.47199999999999998</v>
      </c>
      <c r="AS43" s="16">
        <f>AQ43-1.472</f>
        <v>0.35699999999999998</v>
      </c>
      <c r="AT43" s="41" t="str">
        <f>VLOOKUP(K43,'[5]FECs - good data'!$C$1:$P$575,13,FALSE)</f>
        <v>missing</v>
      </c>
      <c r="AU43" s="41"/>
      <c r="AV43" s="41"/>
      <c r="AW43" s="41"/>
      <c r="AX43" s="41"/>
      <c r="AY43" s="41"/>
      <c r="AZ43" s="41"/>
      <c r="BA43" s="41"/>
      <c r="BB43" s="41"/>
      <c r="BC43" s="41"/>
      <c r="BD43" s="41"/>
      <c r="BE43" s="41"/>
      <c r="BF43" s="41"/>
      <c r="BG43" s="28"/>
      <c r="BH43" s="41"/>
      <c r="BI43" s="41"/>
      <c r="BJ43" s="41"/>
      <c r="BK43" s="41"/>
      <c r="BL43" s="41"/>
      <c r="BM43" s="41"/>
      <c r="BN43" s="41"/>
      <c r="BO43" s="41"/>
      <c r="BP43" s="41"/>
      <c r="BQ43" s="41"/>
      <c r="BR43" s="41"/>
      <c r="BS43" s="41"/>
      <c r="BT43" s="28"/>
      <c r="BU43" s="41"/>
      <c r="BV43" s="41"/>
      <c r="BW43" s="41"/>
      <c r="BX43" s="41"/>
      <c r="BY43" s="41"/>
      <c r="BZ43" s="41"/>
      <c r="CA43" s="41"/>
      <c r="CB43" s="41"/>
      <c r="CC43" s="41"/>
      <c r="CD43" s="28"/>
      <c r="CE43" s="41"/>
      <c r="CF43" s="41"/>
      <c r="CG43" s="41"/>
      <c r="CH43" s="41"/>
      <c r="CI43" s="41"/>
      <c r="CJ43" s="41"/>
      <c r="CK43" s="41"/>
      <c r="CL43" s="41"/>
      <c r="CM43" s="41"/>
      <c r="CN43" s="41"/>
      <c r="CO43" s="41"/>
      <c r="CP43" s="41"/>
      <c r="CQ43" s="41"/>
      <c r="CR43" s="41"/>
      <c r="CS43" s="41"/>
      <c r="CT43" s="41"/>
      <c r="CU43" s="41"/>
      <c r="CV43" s="41"/>
      <c r="CW43" s="41"/>
      <c r="CX43" s="41"/>
      <c r="CY43" s="41"/>
      <c r="CZ43" s="41"/>
      <c r="DA43" s="41"/>
      <c r="DB43" s="41"/>
      <c r="DC43" s="41"/>
      <c r="DD43" s="41"/>
      <c r="DE43" s="41"/>
      <c r="DF43" s="16" t="e">
        <f>VLOOKUP(K43,'[3]RNA Seq summary tables'!$V$3:$V$99,1,FALSE)</f>
        <v>#N/A</v>
      </c>
      <c r="DG43" s="16">
        <v>1</v>
      </c>
      <c r="DH43" s="16" t="str">
        <f>VLOOKUP(D43,'[6]workflow 3.2018'!$A$1:$S$237,2,FALSE)</f>
        <v>2017MLBS_135</v>
      </c>
      <c r="JO43" s="38"/>
      <c r="JP43" s="38"/>
      <c r="JQ43" s="38"/>
    </row>
    <row r="44" spans="1:288" x14ac:dyDescent="0.2">
      <c r="B44" s="16">
        <v>2016</v>
      </c>
      <c r="C44" s="20">
        <v>42522</v>
      </c>
      <c r="D44" s="20" t="str">
        <f>CONCATENATE(J44,"-",C44)</f>
        <v>950-42522</v>
      </c>
      <c r="E44" s="20" t="str">
        <f>CONCATENATE(T44,"-",U44,"-",C44)</f>
        <v>HW1-B6-42522</v>
      </c>
      <c r="F44" s="20" t="s">
        <v>106</v>
      </c>
      <c r="G44" s="20" t="s">
        <v>107</v>
      </c>
      <c r="I44" s="16">
        <v>0</v>
      </c>
      <c r="J44" s="15">
        <v>950</v>
      </c>
      <c r="K44" s="15">
        <v>1428</v>
      </c>
      <c r="L44" s="16">
        <v>0</v>
      </c>
      <c r="M44" s="15">
        <f>VLOOKUP(K44,'[7]MLBS 2016 SNV-nem Coinfection d'!$C$1:$G$238,4,FALSE)</f>
        <v>0</v>
      </c>
      <c r="N44" s="15">
        <v>0</v>
      </c>
      <c r="O44" s="15" t="s">
        <v>119</v>
      </c>
      <c r="P44" s="23" t="s">
        <v>119</v>
      </c>
      <c r="Q44" s="16">
        <v>0</v>
      </c>
      <c r="R44" s="23" t="s">
        <v>111</v>
      </c>
      <c r="S44" s="23"/>
      <c r="T44" s="23" t="s">
        <v>133</v>
      </c>
      <c r="U44" s="23" t="s">
        <v>132</v>
      </c>
      <c r="V44" s="23" t="s">
        <v>114</v>
      </c>
      <c r="W44" s="16">
        <f>AI44/AG44</f>
        <v>0.83116883116883122</v>
      </c>
      <c r="X44" s="23" t="s">
        <v>115</v>
      </c>
      <c r="Y44" s="23" t="s">
        <v>110</v>
      </c>
      <c r="Z44" s="23">
        <v>3</v>
      </c>
      <c r="AA44" s="23"/>
      <c r="AB44" s="23"/>
      <c r="AE44" s="16" t="s">
        <v>123</v>
      </c>
      <c r="AF44" s="16" t="s">
        <v>123</v>
      </c>
      <c r="AG44" s="16">
        <f>AH44-AI44</f>
        <v>77</v>
      </c>
      <c r="AH44" s="16">
        <v>141</v>
      </c>
      <c r="AI44" s="16">
        <v>64</v>
      </c>
      <c r="AK44" s="16">
        <v>15</v>
      </c>
      <c r="AL44" s="16">
        <v>1</v>
      </c>
      <c r="AM44" s="16">
        <v>0</v>
      </c>
      <c r="AN44" s="16">
        <v>0</v>
      </c>
      <c r="AO44" s="16">
        <f>IF(SUM(AL44:AN44)&gt;0,1,0)</f>
        <v>1</v>
      </c>
      <c r="AP44" s="16">
        <f>SUM(AL44:AN44)</f>
        <v>1</v>
      </c>
      <c r="AR44" s="16">
        <v>0.246</v>
      </c>
      <c r="AS44" s="16">
        <v>0.246</v>
      </c>
      <c r="AT44" s="18" t="s">
        <v>117</v>
      </c>
      <c r="AU44" s="18"/>
      <c r="AV44" s="16">
        <v>1</v>
      </c>
      <c r="AW44" s="18">
        <v>0</v>
      </c>
      <c r="AY44" s="16">
        <v>0</v>
      </c>
      <c r="AZ44" s="18">
        <v>0</v>
      </c>
      <c r="BB44" s="16">
        <v>0</v>
      </c>
      <c r="BC44" s="18">
        <v>0</v>
      </c>
      <c r="BD44" s="16">
        <v>0</v>
      </c>
      <c r="BE44" s="16">
        <v>0</v>
      </c>
      <c r="BF44" s="18">
        <v>0</v>
      </c>
      <c r="BG44" s="23">
        <v>0</v>
      </c>
      <c r="BH44" s="16">
        <v>0</v>
      </c>
      <c r="BI44" s="18">
        <v>0</v>
      </c>
      <c r="BJ44" s="16">
        <v>0</v>
      </c>
      <c r="BK44" s="16">
        <v>0</v>
      </c>
      <c r="BL44" s="16">
        <f>IF(BM44&gt;0,1,0)</f>
        <v>0</v>
      </c>
      <c r="BM44" s="16">
        <f>SUM(BR44,BU44,BX44,CA44,CD44,CG44,CJ44,CM44,CP44)</f>
        <v>0</v>
      </c>
      <c r="BN44" s="16">
        <f>SUM(BW44,BZ44,CC44,CF44,CI44,CL44,CO44,CR44,BT44)</f>
        <v>0</v>
      </c>
      <c r="BO44" s="16">
        <f>IF(BP44&gt;0,1,0)</f>
        <v>0</v>
      </c>
      <c r="BP44" s="16">
        <f>SUM(BU44,BX44,CA44,CD44,BR44)</f>
        <v>0</v>
      </c>
      <c r="BQ44" s="16">
        <f>SUM(BZ44,CC44,CF44,BT44,BW44)</f>
        <v>0</v>
      </c>
      <c r="BR44" s="18">
        <v>0</v>
      </c>
      <c r="BS44" s="16">
        <v>0</v>
      </c>
      <c r="BT44" s="23">
        <f>BS44/AS44</f>
        <v>0</v>
      </c>
      <c r="BU44" s="18">
        <v>0</v>
      </c>
      <c r="BV44" s="16">
        <v>0</v>
      </c>
      <c r="BW44" s="18">
        <f>BV44/AS44</f>
        <v>0</v>
      </c>
      <c r="BX44" s="18">
        <v>0</v>
      </c>
      <c r="BY44" s="16">
        <v>0</v>
      </c>
      <c r="BZ44" s="16">
        <f>BY44/AS44</f>
        <v>0</v>
      </c>
      <c r="CA44" s="24">
        <v>0</v>
      </c>
      <c r="CB44" s="16">
        <v>0</v>
      </c>
      <c r="CC44" s="16">
        <v>0</v>
      </c>
      <c r="CD44" s="25">
        <v>0</v>
      </c>
      <c r="CE44" s="16">
        <v>0</v>
      </c>
      <c r="CF44" s="16">
        <v>0</v>
      </c>
      <c r="CP44" s="16" t="s">
        <v>123</v>
      </c>
      <c r="CQ44" s="16">
        <v>0</v>
      </c>
      <c r="CR44" s="16">
        <v>0</v>
      </c>
      <c r="CS44" s="18">
        <f>IF(CT44&gt;0,1,0)</f>
        <v>0</v>
      </c>
      <c r="CT44" s="25">
        <f>SUM(CW44,CZ44,DC44)</f>
        <v>0</v>
      </c>
      <c r="CU44" s="25"/>
      <c r="CV44" s="16">
        <v>0</v>
      </c>
      <c r="CW44" s="25">
        <v>0</v>
      </c>
      <c r="CX44" s="16">
        <v>0</v>
      </c>
      <c r="CY44" s="16">
        <v>0</v>
      </c>
      <c r="CZ44" s="18">
        <v>0</v>
      </c>
      <c r="DA44" s="16">
        <v>0</v>
      </c>
      <c r="DB44" s="16">
        <v>0</v>
      </c>
      <c r="DC44" s="18">
        <v>0</v>
      </c>
      <c r="DD44" s="16">
        <v>0</v>
      </c>
      <c r="DE44" s="16">
        <v>0</v>
      </c>
      <c r="DF44" s="16" t="e">
        <f>VLOOKUP(K44,'[3]RNA Seq summary tables'!$V$3:$V$99,1,FALSE)</f>
        <v>#N/A</v>
      </c>
      <c r="JO44" s="26"/>
    </row>
    <row r="45" spans="1:288" x14ac:dyDescent="0.2">
      <c r="B45" s="16">
        <v>2016</v>
      </c>
      <c r="C45" s="20">
        <v>42530</v>
      </c>
      <c r="D45" s="20" t="str">
        <f>CONCATENATE(J45,"-",C45)</f>
        <v>952-42530</v>
      </c>
      <c r="E45" s="20" t="str">
        <f>CONCATENATE(T45,"-",U45,"-",C45)</f>
        <v>PO1-B7-42530</v>
      </c>
      <c r="F45" s="20" t="s">
        <v>106</v>
      </c>
      <c r="G45" s="20" t="s">
        <v>107</v>
      </c>
      <c r="I45" s="16">
        <v>0</v>
      </c>
      <c r="J45" s="15">
        <v>952</v>
      </c>
      <c r="K45" s="15">
        <v>1357</v>
      </c>
      <c r="L45" s="16">
        <v>0</v>
      </c>
      <c r="M45" s="15">
        <f>VLOOKUP(K45,'[7]MLBS 2016 SNV-nem Coinfection d'!$C$1:$G$238,4,FALSE)</f>
        <v>0</v>
      </c>
      <c r="N45" s="15">
        <v>0</v>
      </c>
      <c r="O45" s="15" t="s">
        <v>119</v>
      </c>
      <c r="P45" s="23" t="s">
        <v>119</v>
      </c>
      <c r="Q45" s="16">
        <v>0</v>
      </c>
      <c r="R45" s="23" t="s">
        <v>111</v>
      </c>
      <c r="S45" s="23"/>
      <c r="T45" s="23" t="s">
        <v>112</v>
      </c>
      <c r="U45" s="23" t="s">
        <v>168</v>
      </c>
      <c r="V45" s="23" t="s">
        <v>114</v>
      </c>
      <c r="W45" s="16">
        <f>AI45/AG45</f>
        <v>0.77500000000000002</v>
      </c>
      <c r="X45" s="23" t="s">
        <v>115</v>
      </c>
      <c r="Y45" s="23" t="s">
        <v>122</v>
      </c>
      <c r="Z45" s="23">
        <v>2.6</v>
      </c>
      <c r="AA45" s="23"/>
      <c r="AB45" s="23"/>
      <c r="AE45" s="16" t="s">
        <v>123</v>
      </c>
      <c r="AF45" s="16" t="s">
        <v>123</v>
      </c>
      <c r="AG45" s="16">
        <f>AH45-AI45</f>
        <v>80</v>
      </c>
      <c r="AH45" s="16">
        <v>142</v>
      </c>
      <c r="AI45" s="16">
        <v>62</v>
      </c>
      <c r="AK45" s="16">
        <v>15.5</v>
      </c>
      <c r="AL45" s="16">
        <v>0</v>
      </c>
      <c r="AM45" s="16">
        <v>1</v>
      </c>
      <c r="AN45" s="16">
        <v>0</v>
      </c>
      <c r="AO45" s="16">
        <f>IF(SUM(AL45:AN45)&gt;0,1,0)</f>
        <v>1</v>
      </c>
      <c r="AP45" s="16">
        <f>SUM(AL45:AN45)</f>
        <v>1</v>
      </c>
      <c r="AQ45" s="16">
        <f>0.158+1.477</f>
        <v>1.635</v>
      </c>
      <c r="AR45" s="16">
        <v>0.158</v>
      </c>
      <c r="AS45" s="16">
        <v>0.158</v>
      </c>
      <c r="AT45" s="16" t="s">
        <v>124</v>
      </c>
      <c r="AW45" s="22">
        <v>1</v>
      </c>
      <c r="AY45" s="16">
        <f>(345+2167+18+1)/AS45</f>
        <v>16018.987341772152</v>
      </c>
      <c r="AZ45" s="18">
        <v>1</v>
      </c>
      <c r="BB45" s="16">
        <f>(345+2167+18)/AS45</f>
        <v>16012.658227848102</v>
      </c>
      <c r="BC45" s="16">
        <v>1</v>
      </c>
      <c r="BD45" s="16">
        <v>345</v>
      </c>
      <c r="BE45" s="16">
        <f>345/AS45</f>
        <v>2183.5443037974683</v>
      </c>
      <c r="BF45" s="18">
        <v>1</v>
      </c>
      <c r="BG45" s="23">
        <v>2167</v>
      </c>
      <c r="BH45" s="16">
        <f>2167/AS45</f>
        <v>13715.189873417721</v>
      </c>
      <c r="BI45" s="16">
        <v>1</v>
      </c>
      <c r="BJ45" s="16">
        <v>18</v>
      </c>
      <c r="BK45" s="16">
        <f>17/AS45</f>
        <v>107.59493670886076</v>
      </c>
      <c r="BL45" s="16">
        <f>IF(BM45&gt;0,1,0)</f>
        <v>0</v>
      </c>
      <c r="BM45" s="16">
        <f>SUM(BR45,BU45,BX45,CA45,CD45,CG45,CJ45,CM45,CP45)</f>
        <v>0</v>
      </c>
      <c r="BN45" s="16">
        <f>SUM(BW45,BZ45,CC45,CF45,CI45,CL45,CO45,CR45,BT45)</f>
        <v>0</v>
      </c>
      <c r="BO45" s="16">
        <f>IF(BP45&gt;0,1,0)</f>
        <v>0</v>
      </c>
      <c r="BP45" s="16">
        <f>SUM(BU45,BX45,CA45,CD45,BR45)</f>
        <v>0</v>
      </c>
      <c r="BQ45" s="16">
        <f>SUM(BZ45,CC45,CF45,BT45,BW45)</f>
        <v>0</v>
      </c>
      <c r="BR45" s="18">
        <v>0</v>
      </c>
      <c r="BS45" s="16">
        <v>0</v>
      </c>
      <c r="BT45" s="23">
        <f>BS45/AS45</f>
        <v>0</v>
      </c>
      <c r="BU45" s="18">
        <v>0</v>
      </c>
      <c r="BV45" s="16">
        <v>0</v>
      </c>
      <c r="BW45" s="18">
        <f>BV45/AS45</f>
        <v>0</v>
      </c>
      <c r="BX45" s="18">
        <v>0</v>
      </c>
      <c r="BY45" s="16">
        <v>0</v>
      </c>
      <c r="BZ45" s="16">
        <f>BY45/AS45</f>
        <v>0</v>
      </c>
      <c r="CA45" s="24">
        <v>0</v>
      </c>
      <c r="CB45" s="16">
        <v>0</v>
      </c>
      <c r="CC45" s="16">
        <v>0</v>
      </c>
      <c r="CD45" s="25">
        <v>0</v>
      </c>
      <c r="CE45" s="16">
        <v>0</v>
      </c>
      <c r="CF45" s="16">
        <v>0</v>
      </c>
      <c r="CP45" s="16" t="s">
        <v>123</v>
      </c>
      <c r="CQ45" s="16">
        <v>0</v>
      </c>
      <c r="CR45" s="16">
        <v>0</v>
      </c>
      <c r="CS45" s="18">
        <f>IF(CT45&gt;0,1,0)</f>
        <v>1</v>
      </c>
      <c r="CT45" s="25">
        <f>SUM(CW45,CZ45,DC45)</f>
        <v>1</v>
      </c>
      <c r="CU45" s="25"/>
      <c r="CV45" s="16">
        <f>1/AS45</f>
        <v>6.3291139240506329</v>
      </c>
      <c r="CW45" s="25">
        <v>0</v>
      </c>
      <c r="CX45" s="16">
        <v>0</v>
      </c>
      <c r="CY45" s="16">
        <v>0</v>
      </c>
      <c r="CZ45" s="16">
        <v>1</v>
      </c>
      <c r="DA45" s="16">
        <v>1</v>
      </c>
      <c r="DB45" s="16">
        <f>1/AS45</f>
        <v>6.3291139240506329</v>
      </c>
      <c r="DC45" s="18">
        <v>0</v>
      </c>
      <c r="DD45" s="16">
        <v>0</v>
      </c>
      <c r="DE45" s="16">
        <v>0</v>
      </c>
      <c r="DF45" s="16" t="e">
        <f>VLOOKUP(K45,'[3]RNA Seq summary tables'!$V$3:$V$99,1,FALSE)</f>
        <v>#N/A</v>
      </c>
      <c r="JO45" s="30"/>
    </row>
    <row r="46" spans="1:288" x14ac:dyDescent="0.2">
      <c r="B46" s="16">
        <v>2016</v>
      </c>
      <c r="C46" s="43">
        <v>42545</v>
      </c>
      <c r="D46" s="20" t="str">
        <f>CONCATENATE(J46,"-",C46)</f>
        <v>952-42545</v>
      </c>
      <c r="E46" s="20" t="str">
        <f>CONCATENATE(T46,"-",U46,"-",C46)</f>
        <v>PO1-D5-42545</v>
      </c>
      <c r="F46" s="20" t="s">
        <v>106</v>
      </c>
      <c r="G46" s="43" t="s">
        <v>107</v>
      </c>
      <c r="H46" s="23"/>
      <c r="I46" s="23">
        <v>0</v>
      </c>
      <c r="J46" s="15">
        <v>952</v>
      </c>
      <c r="K46" s="15">
        <v>1406</v>
      </c>
      <c r="L46" s="25">
        <v>0</v>
      </c>
      <c r="M46" s="15">
        <f>VLOOKUP(K46,'[7]MLBS 2016 SNV-nem Coinfection d'!$C$1:$G$238,4,FALSE)</f>
        <v>0</v>
      </c>
      <c r="N46" s="15">
        <v>0</v>
      </c>
      <c r="O46" s="15" t="s">
        <v>119</v>
      </c>
      <c r="P46" s="23" t="s">
        <v>119</v>
      </c>
      <c r="Q46" s="23">
        <v>0</v>
      </c>
      <c r="R46" s="23">
        <v>15</v>
      </c>
      <c r="S46" s="23"/>
      <c r="T46" s="23" t="s">
        <v>112</v>
      </c>
      <c r="U46" s="23" t="s">
        <v>183</v>
      </c>
      <c r="V46" s="23" t="s">
        <v>114</v>
      </c>
      <c r="W46" s="23">
        <f>AI46/AG46</f>
        <v>0.86419753086419748</v>
      </c>
      <c r="X46" s="23" t="s">
        <v>115</v>
      </c>
      <c r="Y46" s="23" t="s">
        <v>122</v>
      </c>
      <c r="Z46" s="23">
        <v>2.9</v>
      </c>
      <c r="AA46" s="23"/>
      <c r="AB46" s="23"/>
      <c r="AC46" s="23"/>
      <c r="AD46" s="23"/>
      <c r="AE46" s="23" t="s">
        <v>123</v>
      </c>
      <c r="AF46" s="23" t="s">
        <v>123</v>
      </c>
      <c r="AG46" s="23">
        <f>AH46-AI46</f>
        <v>81</v>
      </c>
      <c r="AH46" s="23">
        <v>151</v>
      </c>
      <c r="AI46" s="23">
        <v>70</v>
      </c>
      <c r="AJ46" s="23"/>
      <c r="AK46" s="23">
        <v>18.5</v>
      </c>
      <c r="AL46" s="23">
        <v>0</v>
      </c>
      <c r="AM46" s="23">
        <v>0</v>
      </c>
      <c r="AN46" s="23">
        <v>0</v>
      </c>
      <c r="AO46" s="23">
        <f>IF(SUM(AL46:AN46)&gt;0,1,0)</f>
        <v>0</v>
      </c>
      <c r="AP46" s="23">
        <f>SUM(AL46:AN46)</f>
        <v>0</v>
      </c>
      <c r="AQ46" s="23">
        <f>1.477+0.584</f>
        <v>2.0609999999999999</v>
      </c>
      <c r="AR46" s="23">
        <v>0.58399999999999996</v>
      </c>
      <c r="AS46" s="16">
        <v>0.58399999999999996</v>
      </c>
      <c r="AT46" s="16" t="s">
        <v>124</v>
      </c>
      <c r="AW46" s="24">
        <v>1</v>
      </c>
      <c r="AX46" s="18"/>
      <c r="AY46" s="18">
        <f>(460+50)/AS46</f>
        <v>873.28767123287673</v>
      </c>
      <c r="AZ46" s="18">
        <v>0</v>
      </c>
      <c r="BA46" s="18">
        <v>0</v>
      </c>
      <c r="BB46" s="18">
        <v>0</v>
      </c>
      <c r="BC46" s="18">
        <v>0</v>
      </c>
      <c r="BD46" s="18">
        <v>0</v>
      </c>
      <c r="BE46" s="18">
        <v>0</v>
      </c>
      <c r="BF46" s="18">
        <v>0</v>
      </c>
      <c r="BG46" s="23">
        <v>0</v>
      </c>
      <c r="BH46" s="18">
        <v>0</v>
      </c>
      <c r="BI46" s="18">
        <v>0</v>
      </c>
      <c r="BJ46" s="18">
        <v>0</v>
      </c>
      <c r="BK46" s="18">
        <v>0</v>
      </c>
      <c r="BL46" s="16">
        <f>IF(BM46&gt;0,1,0)</f>
        <v>0</v>
      </c>
      <c r="BM46" s="16">
        <f>SUM(BR46,BU46,BX46,CA46,CD46,CG46,CJ46,CM46,CP46)</f>
        <v>0</v>
      </c>
      <c r="BN46" s="18">
        <f>SUM(BW46,BZ46,CC46,CF46,CI46,CL46,CO46,CR46,BT46)</f>
        <v>0</v>
      </c>
      <c r="BO46" s="18">
        <f>IF(BP46&gt;0,1,0)</f>
        <v>0</v>
      </c>
      <c r="BP46" s="18">
        <f>SUM(BU46,BX46,CA46,CD46,BR46)</f>
        <v>0</v>
      </c>
      <c r="BQ46" s="18">
        <f>SUM(BZ46,CC46,CF46,BT46,BW46)</f>
        <v>0</v>
      </c>
      <c r="BR46" s="18">
        <v>0</v>
      </c>
      <c r="BS46" s="18">
        <v>0</v>
      </c>
      <c r="BT46" s="25">
        <f>BS46/AS46</f>
        <v>0</v>
      </c>
      <c r="BU46" s="18">
        <v>0</v>
      </c>
      <c r="BV46" s="18">
        <v>0</v>
      </c>
      <c r="BW46" s="18">
        <f>BV46/AS46</f>
        <v>0</v>
      </c>
      <c r="BX46" s="18">
        <v>0</v>
      </c>
      <c r="BY46" s="18">
        <v>0</v>
      </c>
      <c r="BZ46" s="18">
        <f>BY46/AS46</f>
        <v>0</v>
      </c>
      <c r="CA46" s="24">
        <v>0</v>
      </c>
      <c r="CB46" s="18">
        <v>0</v>
      </c>
      <c r="CC46" s="18">
        <v>0</v>
      </c>
      <c r="CD46" s="25">
        <v>0</v>
      </c>
      <c r="CE46" s="18">
        <v>0</v>
      </c>
      <c r="CF46" s="18">
        <v>0</v>
      </c>
      <c r="CG46" s="18"/>
      <c r="CH46" s="18"/>
      <c r="CI46" s="18"/>
      <c r="CJ46" s="18"/>
      <c r="CK46" s="18"/>
      <c r="CL46" s="18"/>
      <c r="CM46" s="18"/>
      <c r="CN46" s="18"/>
      <c r="CO46" s="18"/>
      <c r="CP46" s="18" t="s">
        <v>123</v>
      </c>
      <c r="CQ46" s="18">
        <v>0</v>
      </c>
      <c r="CR46" s="18">
        <v>0</v>
      </c>
      <c r="CS46" s="18">
        <f>IF(CT46&gt;0,1,0)</f>
        <v>1</v>
      </c>
      <c r="CT46" s="25">
        <f>SUM(CW46,CZ46,DC46)</f>
        <v>2</v>
      </c>
      <c r="CU46" s="25"/>
      <c r="CV46" s="18">
        <f>(460+50)/AS46</f>
        <v>873.28767123287673</v>
      </c>
      <c r="CW46" s="24">
        <v>1</v>
      </c>
      <c r="CX46" s="18">
        <v>460</v>
      </c>
      <c r="CY46" s="18">
        <f>460/AS46</f>
        <v>787.67123287671234</v>
      </c>
      <c r="CZ46" s="18">
        <v>1</v>
      </c>
      <c r="DA46" s="18">
        <v>50</v>
      </c>
      <c r="DB46" s="18">
        <f>50/AS46</f>
        <v>85.616438356164394</v>
      </c>
      <c r="DC46" s="25">
        <v>0</v>
      </c>
      <c r="DD46" s="25">
        <v>0</v>
      </c>
      <c r="DE46" s="25">
        <v>0</v>
      </c>
      <c r="DF46" s="16" t="e">
        <f>VLOOKUP(K46,'[3]RNA Seq summary tables'!$V$3:$V$99,1,FALSE)</f>
        <v>#N/A</v>
      </c>
      <c r="DG46" s="23"/>
      <c r="DH46" s="23"/>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25"/>
      <c r="FN46" s="25"/>
      <c r="FO46" s="25"/>
      <c r="FP46" s="25"/>
      <c r="FQ46" s="25"/>
      <c r="FR46" s="25"/>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25"/>
      <c r="HS46" s="25"/>
      <c r="HT46" s="25"/>
      <c r="HU46" s="25"/>
      <c r="HV46" s="25"/>
      <c r="HW46" s="25"/>
      <c r="HX46" s="25"/>
      <c r="HY46" s="25"/>
      <c r="HZ46" s="25"/>
      <c r="IA46" s="25"/>
      <c r="IB46" s="25"/>
      <c r="IC46" s="25"/>
      <c r="ID46" s="25"/>
      <c r="IE46" s="25"/>
      <c r="IF46" s="25"/>
      <c r="IG46" s="25"/>
      <c r="IH46" s="25"/>
      <c r="II46" s="25"/>
      <c r="IJ46" s="25"/>
      <c r="IK46" s="25"/>
      <c r="IL46" s="25"/>
      <c r="IM46" s="25"/>
      <c r="IN46" s="25"/>
      <c r="IO46" s="25"/>
      <c r="IP46" s="25"/>
      <c r="IQ46" s="25"/>
      <c r="IR46" s="25"/>
      <c r="IS46" s="25"/>
      <c r="IT46" s="25"/>
      <c r="IU46" s="25"/>
      <c r="IV46" s="25"/>
      <c r="IW46" s="25"/>
      <c r="IX46" s="25"/>
      <c r="IY46" s="25"/>
      <c r="IZ46" s="25"/>
      <c r="JA46" s="25"/>
      <c r="JB46" s="25"/>
      <c r="JC46" s="25"/>
      <c r="JD46" s="25"/>
      <c r="JE46" s="25"/>
      <c r="JF46" s="25"/>
      <c r="JG46" s="25"/>
      <c r="JH46" s="25"/>
      <c r="JI46" s="25"/>
      <c r="JJ46" s="25"/>
      <c r="JK46" s="25"/>
      <c r="JL46" s="25"/>
      <c r="JM46" s="25"/>
      <c r="JN46" s="25"/>
      <c r="JO46" s="23"/>
      <c r="JP46" s="23"/>
      <c r="JQ46" s="23"/>
      <c r="JR46" s="23"/>
      <c r="JS46" s="23"/>
      <c r="JT46" s="23"/>
      <c r="JU46" s="23"/>
      <c r="JV46" s="23"/>
      <c r="JW46" s="23"/>
      <c r="JX46" s="23"/>
      <c r="JY46" s="23"/>
      <c r="JZ46" s="23"/>
      <c r="KA46" s="23"/>
      <c r="KB46" s="23"/>
    </row>
    <row r="47" spans="1:288" x14ac:dyDescent="0.2">
      <c r="B47" s="16">
        <v>2016</v>
      </c>
      <c r="C47" s="20">
        <v>42559</v>
      </c>
      <c r="D47" s="20" t="str">
        <f>CONCATENATE(J47,"-",C47)</f>
        <v>952-42559</v>
      </c>
      <c r="E47" s="20" t="str">
        <f>CONCATENATE(T47,"-",U47,"-",C47)</f>
        <v>PO1-H6-42559</v>
      </c>
      <c r="F47" s="20" t="s">
        <v>106</v>
      </c>
      <c r="G47" s="20" t="s">
        <v>107</v>
      </c>
      <c r="I47" s="16">
        <v>0</v>
      </c>
      <c r="J47" s="15">
        <v>952</v>
      </c>
      <c r="K47" s="15">
        <v>1464</v>
      </c>
      <c r="L47" s="18">
        <v>0</v>
      </c>
      <c r="M47" s="15">
        <f>VLOOKUP(K47,'[7]MLBS 2016 SNV-nem Coinfection d'!$C$1:$G$238,4,FALSE)</f>
        <v>0</v>
      </c>
      <c r="N47" s="15">
        <v>0</v>
      </c>
      <c r="O47" s="15" t="s">
        <v>119</v>
      </c>
      <c r="P47" s="23" t="s">
        <v>119</v>
      </c>
      <c r="Q47" s="16">
        <v>0</v>
      </c>
      <c r="R47" s="23">
        <v>14</v>
      </c>
      <c r="S47" s="23"/>
      <c r="T47" s="23" t="s">
        <v>112</v>
      </c>
      <c r="U47" s="23" t="s">
        <v>141</v>
      </c>
      <c r="V47" s="23" t="s">
        <v>114</v>
      </c>
      <c r="W47" s="16">
        <f>AI47/AG47</f>
        <v>0.88607594936708856</v>
      </c>
      <c r="X47" s="23" t="s">
        <v>115</v>
      </c>
      <c r="Y47" s="23" t="s">
        <v>110</v>
      </c>
      <c r="Z47" s="23">
        <v>3</v>
      </c>
      <c r="AA47" s="23"/>
      <c r="AB47" s="23"/>
      <c r="AE47" s="16" t="s">
        <v>116</v>
      </c>
      <c r="AF47" s="16" t="s">
        <v>116</v>
      </c>
      <c r="AG47" s="16">
        <f>AH47-AI47</f>
        <v>79</v>
      </c>
      <c r="AH47" s="16">
        <v>149</v>
      </c>
      <c r="AI47" s="16">
        <v>70</v>
      </c>
      <c r="AK47" s="16">
        <v>21</v>
      </c>
      <c r="AL47" s="16">
        <v>0</v>
      </c>
      <c r="AM47" s="16">
        <v>0</v>
      </c>
      <c r="AN47" s="16">
        <v>0</v>
      </c>
      <c r="AO47" s="16">
        <f>IF(SUM(AL47:AN47)&gt;0,1,0)</f>
        <v>0</v>
      </c>
      <c r="AP47" s="16">
        <f>SUM(AL47:AN47)</f>
        <v>0</v>
      </c>
      <c r="AQ47" s="16">
        <v>2.0699999999999998</v>
      </c>
      <c r="AR47" s="16">
        <v>0.59299999999999997</v>
      </c>
      <c r="AS47" s="16">
        <v>0.59299999999999997</v>
      </c>
      <c r="AT47" s="16" t="s">
        <v>124</v>
      </c>
      <c r="AW47" s="22">
        <v>1</v>
      </c>
      <c r="AX47" s="16">
        <v>4</v>
      </c>
      <c r="AY47" s="16">
        <f>(3+46+337+36)/AS47</f>
        <v>711.63575042158516</v>
      </c>
      <c r="AZ47" s="18">
        <v>1</v>
      </c>
      <c r="BA47" s="16">
        <v>1</v>
      </c>
      <c r="BB47" s="16">
        <f>3/AS47</f>
        <v>5.0590219224283306</v>
      </c>
      <c r="BC47" s="18">
        <v>0</v>
      </c>
      <c r="BD47" s="16">
        <v>0</v>
      </c>
      <c r="BE47" s="16">
        <v>0</v>
      </c>
      <c r="BF47" s="18">
        <v>1</v>
      </c>
      <c r="BG47" s="23">
        <v>3</v>
      </c>
      <c r="BH47" s="16">
        <f>3/AS47</f>
        <v>5.0590219224283306</v>
      </c>
      <c r="BI47" s="18">
        <v>0</v>
      </c>
      <c r="BJ47" s="16">
        <v>0</v>
      </c>
      <c r="BK47" s="16">
        <v>0</v>
      </c>
      <c r="BL47" s="16">
        <f>IF(BM47&gt;0,1,0)</f>
        <v>1</v>
      </c>
      <c r="BM47" s="16">
        <f>SUM(BR47,BU47,BX47,CA47,CD47,CG47,CJ47,CM47,CP47)</f>
        <v>1</v>
      </c>
      <c r="BN47" s="16">
        <f>SUM(BW47,BZ47,CC47,CF47,CI47,CL47,CO47,CR47,BT47)</f>
        <v>77.571669477234408</v>
      </c>
      <c r="BO47" s="16">
        <f>IF(BP47&gt;0,1,0)</f>
        <v>1</v>
      </c>
      <c r="BP47" s="16">
        <f>SUM(BU47,BX47,CA47,CD47,BR47)</f>
        <v>1</v>
      </c>
      <c r="BQ47" s="16">
        <f>SUM(BZ47,CC47,CF47,BT47,BW47)</f>
        <v>77.571669477234408</v>
      </c>
      <c r="BR47" s="18">
        <v>0</v>
      </c>
      <c r="BS47" s="16">
        <v>0</v>
      </c>
      <c r="BT47" s="23">
        <f>BS47/AS47</f>
        <v>0</v>
      </c>
      <c r="BU47" s="18">
        <v>0</v>
      </c>
      <c r="BV47" s="16">
        <v>0</v>
      </c>
      <c r="BW47" s="18">
        <f>BV47/AS47</f>
        <v>0</v>
      </c>
      <c r="BX47" s="24">
        <v>1</v>
      </c>
      <c r="BY47" s="16">
        <v>46</v>
      </c>
      <c r="BZ47" s="16">
        <f>BY47/AS47</f>
        <v>77.571669477234408</v>
      </c>
      <c r="CA47" s="24">
        <v>0</v>
      </c>
      <c r="CB47" s="16">
        <v>0</v>
      </c>
      <c r="CC47" s="16">
        <v>0</v>
      </c>
      <c r="CD47" s="25">
        <v>0</v>
      </c>
      <c r="CE47" s="16">
        <v>0</v>
      </c>
      <c r="CF47" s="16">
        <v>0</v>
      </c>
      <c r="CP47" s="16" t="s">
        <v>123</v>
      </c>
      <c r="CQ47" s="16">
        <v>0</v>
      </c>
      <c r="CR47" s="16">
        <v>0</v>
      </c>
      <c r="CS47" s="18">
        <f>IF(CT47&gt;0,1,0)</f>
        <v>1</v>
      </c>
      <c r="CT47" s="25">
        <f>SUM(CW47,CZ47,DC47)</f>
        <v>2</v>
      </c>
      <c r="CU47" s="25"/>
      <c r="CV47" s="16">
        <f>(337+36)/AS47</f>
        <v>629.00505902192242</v>
      </c>
      <c r="CW47" s="22">
        <v>1</v>
      </c>
      <c r="CX47" s="16">
        <v>337</v>
      </c>
      <c r="CY47" s="16">
        <f>337/AS47</f>
        <v>568.29679595278253</v>
      </c>
      <c r="CZ47" s="16">
        <v>1</v>
      </c>
      <c r="DA47" s="16">
        <v>36</v>
      </c>
      <c r="DB47" s="16">
        <f>36/AS47</f>
        <v>60.708263069139967</v>
      </c>
      <c r="DC47" s="18">
        <v>0</v>
      </c>
      <c r="DD47" s="16">
        <v>0</v>
      </c>
      <c r="DE47" s="16">
        <v>0</v>
      </c>
      <c r="DF47" s="16" t="e">
        <f>VLOOKUP(K47,'[3]RNA Seq summary tables'!$V$3:$V$99,1,FALSE)</f>
        <v>#N/A</v>
      </c>
      <c r="DG47" s="16">
        <v>1</v>
      </c>
      <c r="DH47" s="16" t="str">
        <f>VLOOKUP(D47,'[8]Data with duplicates'!$B$1:$J$70,9,FALSE)</f>
        <v>sample.30</v>
      </c>
    </row>
    <row r="48" spans="1:288" x14ac:dyDescent="0.2">
      <c r="B48" s="16">
        <v>2016</v>
      </c>
      <c r="C48" s="20">
        <v>42530</v>
      </c>
      <c r="D48" s="20" t="str">
        <f>CONCATENATE(J48,"-",C48)</f>
        <v>953-42530</v>
      </c>
      <c r="E48" s="20" t="str">
        <f>CONCATENATE(T48,"-",U48,"-",C48)</f>
        <v>PO1-C2-42530</v>
      </c>
      <c r="F48" s="20" t="s">
        <v>106</v>
      </c>
      <c r="G48" s="20" t="s">
        <v>107</v>
      </c>
      <c r="H48" s="16" t="s">
        <v>169</v>
      </c>
      <c r="I48" s="16">
        <v>0</v>
      </c>
      <c r="J48" s="15">
        <v>953</v>
      </c>
      <c r="K48" s="15">
        <v>1358</v>
      </c>
      <c r="L48" s="16">
        <v>0</v>
      </c>
      <c r="M48" s="15">
        <f>VLOOKUP(K48,'[7]MLBS 2016 SNV-nem Coinfection d'!$C$1:$G$238,4,FALSE)</f>
        <v>0</v>
      </c>
      <c r="N48" s="15">
        <v>0</v>
      </c>
      <c r="O48" s="15" t="s">
        <v>119</v>
      </c>
      <c r="P48" s="23" t="s">
        <v>119</v>
      </c>
      <c r="Q48" s="16">
        <v>0</v>
      </c>
      <c r="R48" s="23" t="s">
        <v>111</v>
      </c>
      <c r="S48" s="23"/>
      <c r="T48" s="23" t="s">
        <v>112</v>
      </c>
      <c r="U48" s="23" t="s">
        <v>162</v>
      </c>
      <c r="V48" s="23" t="s">
        <v>142</v>
      </c>
      <c r="W48" s="16">
        <f>AI48/AG48</f>
        <v>1.0731707317073171</v>
      </c>
      <c r="X48" s="23" t="s">
        <v>121</v>
      </c>
      <c r="Y48" s="23" t="s">
        <v>122</v>
      </c>
      <c r="Z48" s="23">
        <v>2.2999999999999998</v>
      </c>
      <c r="AA48" s="23" t="s">
        <v>119</v>
      </c>
      <c r="AB48" s="23" t="s">
        <v>123</v>
      </c>
      <c r="AC48" s="16" t="s">
        <v>123</v>
      </c>
      <c r="AD48" s="16" t="s">
        <v>123</v>
      </c>
      <c r="AG48" s="16">
        <f>AH48-AI48</f>
        <v>82</v>
      </c>
      <c r="AH48" s="16">
        <v>170</v>
      </c>
      <c r="AI48" s="16">
        <v>88</v>
      </c>
      <c r="AK48" s="16">
        <v>15.5</v>
      </c>
      <c r="AL48" s="16">
        <v>1</v>
      </c>
      <c r="AM48" s="16">
        <v>0</v>
      </c>
      <c r="AN48" s="16">
        <v>0</v>
      </c>
      <c r="AO48" s="16">
        <f>IF(SUM(AL48:AN48)&gt;0,1,0)</f>
        <v>1</v>
      </c>
      <c r="AP48" s="16">
        <f>SUM(AL48:AN48)</f>
        <v>1</v>
      </c>
      <c r="AR48" s="16">
        <v>0.22</v>
      </c>
      <c r="AS48" s="16">
        <v>0.22</v>
      </c>
      <c r="AT48" s="18" t="s">
        <v>117</v>
      </c>
      <c r="AU48" s="18"/>
      <c r="AW48" s="22">
        <v>1</v>
      </c>
      <c r="AY48" s="16">
        <f>1/0.22</f>
        <v>4.5454545454545459</v>
      </c>
      <c r="AZ48" s="18">
        <v>1</v>
      </c>
      <c r="BB48" s="16">
        <f>1/0.22</f>
        <v>4.5454545454545459</v>
      </c>
      <c r="BC48" s="18">
        <v>0</v>
      </c>
      <c r="BD48" s="16">
        <v>0</v>
      </c>
      <c r="BE48" s="16">
        <v>0</v>
      </c>
      <c r="BF48" s="18">
        <v>1</v>
      </c>
      <c r="BG48" s="23">
        <v>1</v>
      </c>
      <c r="BH48" s="16">
        <f>1/0.22</f>
        <v>4.5454545454545459</v>
      </c>
      <c r="BI48" s="18">
        <v>0</v>
      </c>
      <c r="BJ48" s="16">
        <v>0</v>
      </c>
      <c r="BK48" s="16">
        <v>0</v>
      </c>
      <c r="BL48" s="16">
        <f>IF(BM48&gt;0,1,0)</f>
        <v>0</v>
      </c>
      <c r="BM48" s="16">
        <f>SUM(BR48,BU48,BX48,CA48,CD48,CG48,CJ48,CM48,CP48)</f>
        <v>0</v>
      </c>
      <c r="BN48" s="16">
        <f>SUM(BW48,BZ48,CC48,CF48,CI48,CL48,CO48,CR48,BT48)</f>
        <v>0</v>
      </c>
      <c r="BO48" s="16">
        <f>IF(BP48&gt;0,1,0)</f>
        <v>0</v>
      </c>
      <c r="BP48" s="16">
        <f>SUM(BU48,BX48,CA48,CD48,BR48)</f>
        <v>0</v>
      </c>
      <c r="BQ48" s="16">
        <f>SUM(BZ48,CC48,CF48,BT48,BW48)</f>
        <v>0</v>
      </c>
      <c r="BR48" s="18">
        <v>0</v>
      </c>
      <c r="BS48" s="16">
        <v>0</v>
      </c>
      <c r="BT48" s="23">
        <f>BS48/AS48</f>
        <v>0</v>
      </c>
      <c r="BU48" s="18">
        <v>0</v>
      </c>
      <c r="BV48" s="16">
        <v>0</v>
      </c>
      <c r="BW48" s="18">
        <f>BV48/AS48</f>
        <v>0</v>
      </c>
      <c r="BX48" s="18">
        <v>0</v>
      </c>
      <c r="BY48" s="16">
        <v>0</v>
      </c>
      <c r="BZ48" s="16">
        <f>BY48/AS48</f>
        <v>0</v>
      </c>
      <c r="CA48" s="24">
        <v>0</v>
      </c>
      <c r="CB48" s="16">
        <v>0</v>
      </c>
      <c r="CC48" s="16">
        <v>0</v>
      </c>
      <c r="CD48" s="25">
        <v>0</v>
      </c>
      <c r="CE48" s="16">
        <v>0</v>
      </c>
      <c r="CF48" s="16">
        <v>0</v>
      </c>
      <c r="CP48" s="16" t="s">
        <v>123</v>
      </c>
      <c r="CQ48" s="16">
        <v>0</v>
      </c>
      <c r="CR48" s="16">
        <v>0</v>
      </c>
      <c r="CS48" s="18">
        <f>IF(CT48&gt;0,1,0)</f>
        <v>0</v>
      </c>
      <c r="CT48" s="25">
        <f>SUM(CW48,CZ48,DC48)</f>
        <v>0</v>
      </c>
      <c r="CU48" s="25"/>
      <c r="CV48" s="16">
        <v>0</v>
      </c>
      <c r="CW48" s="25">
        <v>0</v>
      </c>
      <c r="CX48" s="16">
        <v>0</v>
      </c>
      <c r="CY48" s="16">
        <v>0</v>
      </c>
      <c r="CZ48" s="18">
        <v>0</v>
      </c>
      <c r="DA48" s="16">
        <v>0</v>
      </c>
      <c r="DB48" s="16">
        <v>0</v>
      </c>
      <c r="DC48" s="18">
        <v>0</v>
      </c>
      <c r="DD48" s="16">
        <v>0</v>
      </c>
      <c r="DE48" s="16">
        <v>0</v>
      </c>
      <c r="DF48" s="16" t="e">
        <f>VLOOKUP(K48,'[3]RNA Seq summary tables'!$V$3:$V$99,1,FALSE)</f>
        <v>#N/A</v>
      </c>
      <c r="JO48" s="30"/>
    </row>
    <row r="49" spans="1:288" x14ac:dyDescent="0.2">
      <c r="B49" s="16">
        <v>2016</v>
      </c>
      <c r="C49" s="20">
        <v>42560</v>
      </c>
      <c r="D49" s="20" t="str">
        <f>CONCATENATE(J49,"-",C49)</f>
        <v>953-42560</v>
      </c>
      <c r="E49" s="20" t="str">
        <f>CONCATENATE(T49,"-",U49,"-",C49)</f>
        <v>PO1-E4-42560</v>
      </c>
      <c r="F49" s="20" t="s">
        <v>106</v>
      </c>
      <c r="G49" s="20" t="s">
        <v>107</v>
      </c>
      <c r="H49" s="16" t="s">
        <v>169</v>
      </c>
      <c r="I49" s="16">
        <v>0</v>
      </c>
      <c r="J49" s="21">
        <v>953</v>
      </c>
      <c r="K49" s="21">
        <v>1468</v>
      </c>
      <c r="L49" s="18">
        <v>0</v>
      </c>
      <c r="M49" s="15">
        <f>VLOOKUP(K49,'[7]MLBS 2016 SNV-nem Coinfection d'!$C$1:$G$238,4,FALSE)</f>
        <v>0</v>
      </c>
      <c r="N49" s="15">
        <v>0</v>
      </c>
      <c r="O49" s="15" t="s">
        <v>119</v>
      </c>
      <c r="P49" s="16" t="s">
        <v>119</v>
      </c>
      <c r="Q49" s="16">
        <v>0</v>
      </c>
      <c r="R49" s="16">
        <v>30</v>
      </c>
      <c r="T49" s="16" t="s">
        <v>112</v>
      </c>
      <c r="U49" s="16" t="s">
        <v>206</v>
      </c>
      <c r="V49" s="16" t="s">
        <v>142</v>
      </c>
      <c r="W49" s="16">
        <f>AI49/AG49</f>
        <v>1.0833333333333333</v>
      </c>
      <c r="X49" s="16" t="s">
        <v>121</v>
      </c>
      <c r="Y49" s="16" t="s">
        <v>110</v>
      </c>
      <c r="Z49" s="16">
        <v>3</v>
      </c>
      <c r="AA49" s="16" t="s">
        <v>119</v>
      </c>
      <c r="AB49" s="16" t="s">
        <v>116</v>
      </c>
      <c r="AC49" s="16" t="s">
        <v>123</v>
      </c>
      <c r="AD49" s="16" t="s">
        <v>116</v>
      </c>
      <c r="AG49" s="16">
        <f>AH49-AI49</f>
        <v>84</v>
      </c>
      <c r="AH49" s="16">
        <v>175</v>
      </c>
      <c r="AI49" s="16">
        <v>91</v>
      </c>
      <c r="AK49" s="16">
        <v>17.5</v>
      </c>
      <c r="AL49" s="16">
        <v>0</v>
      </c>
      <c r="AM49" s="16">
        <v>0</v>
      </c>
      <c r="AN49" s="16">
        <v>0</v>
      </c>
      <c r="AO49" s="16">
        <f>IF(SUM(AL49:AN49)&gt;0,1,0)</f>
        <v>0</v>
      </c>
      <c r="AP49" s="16">
        <f>SUM(AL49:AN49)</f>
        <v>0</v>
      </c>
      <c r="AQ49" s="16">
        <v>2.0230000000000001</v>
      </c>
      <c r="AR49" s="16">
        <v>0.54600000000000004</v>
      </c>
      <c r="AS49" s="16">
        <v>0.54600000000000004</v>
      </c>
      <c r="AT49" s="16" t="s">
        <v>205</v>
      </c>
      <c r="AV49" s="16">
        <v>1</v>
      </c>
      <c r="AW49" s="18">
        <v>0</v>
      </c>
      <c r="AX49" s="16">
        <v>0</v>
      </c>
      <c r="AY49" s="16">
        <v>0</v>
      </c>
      <c r="AZ49" s="18">
        <v>0</v>
      </c>
      <c r="BA49" s="16">
        <v>0</v>
      </c>
      <c r="BB49" s="16">
        <v>0</v>
      </c>
      <c r="BC49" s="18">
        <v>0</v>
      </c>
      <c r="BD49" s="16">
        <v>0</v>
      </c>
      <c r="BE49" s="16">
        <v>0</v>
      </c>
      <c r="BF49" s="18">
        <v>0</v>
      </c>
      <c r="BG49" s="23">
        <v>0</v>
      </c>
      <c r="BH49" s="16">
        <v>0</v>
      </c>
      <c r="BI49" s="18">
        <v>0</v>
      </c>
      <c r="BJ49" s="16">
        <v>0</v>
      </c>
      <c r="BK49" s="16">
        <v>0</v>
      </c>
      <c r="BL49" s="16">
        <f>IF(BM49&gt;0,1,0)</f>
        <v>0</v>
      </c>
      <c r="BM49" s="16">
        <f>SUM(BR49,BU49,BX49,CA49,CD49,CG49,CJ49,CM49,CP49)</f>
        <v>0</v>
      </c>
      <c r="BN49" s="16">
        <f>SUM(BW49,BZ49,CC49,CF49,CI49,CL49,CO49,CR49,BT49)</f>
        <v>0</v>
      </c>
      <c r="BO49" s="16">
        <f>IF(BP49&gt;0,1,0)</f>
        <v>0</v>
      </c>
      <c r="BP49" s="16">
        <f>SUM(BU49,BX49,CA49,CD49,BR49)</f>
        <v>0</v>
      </c>
      <c r="BQ49" s="16">
        <f>SUM(BZ49,CC49,CF49,BT49,BW49)</f>
        <v>0</v>
      </c>
      <c r="BR49" s="18">
        <v>0</v>
      </c>
      <c r="BS49" s="16">
        <v>0</v>
      </c>
      <c r="BT49" s="23">
        <f>BS49/AS49</f>
        <v>0</v>
      </c>
      <c r="BU49" s="18">
        <v>0</v>
      </c>
      <c r="BV49" s="16">
        <v>0</v>
      </c>
      <c r="BW49" s="18">
        <f>BV49/AS49</f>
        <v>0</v>
      </c>
      <c r="BX49" s="18">
        <v>0</v>
      </c>
      <c r="BY49" s="16">
        <v>0</v>
      </c>
      <c r="BZ49" s="16">
        <f>BY49/AS49</f>
        <v>0</v>
      </c>
      <c r="CA49" s="24">
        <v>0</v>
      </c>
      <c r="CB49" s="16">
        <v>0</v>
      </c>
      <c r="CC49" s="16">
        <v>0</v>
      </c>
      <c r="CD49" s="25">
        <v>0</v>
      </c>
      <c r="CE49" s="16">
        <v>0</v>
      </c>
      <c r="CF49" s="16">
        <v>0</v>
      </c>
      <c r="CP49" s="16" t="s">
        <v>123</v>
      </c>
      <c r="CQ49" s="16">
        <v>0</v>
      </c>
      <c r="CR49" s="16">
        <v>0</v>
      </c>
      <c r="CS49" s="18">
        <f>IF(CT49&gt;0,1,0)</f>
        <v>0</v>
      </c>
      <c r="CT49" s="25">
        <f>SUM(CW49,CZ49,DC49)</f>
        <v>0</v>
      </c>
      <c r="CU49" s="25"/>
      <c r="CV49" s="16">
        <v>0</v>
      </c>
      <c r="CW49" s="25">
        <v>0</v>
      </c>
      <c r="CX49" s="16">
        <v>0</v>
      </c>
      <c r="CY49" s="16">
        <v>0</v>
      </c>
      <c r="CZ49" s="18">
        <v>0</v>
      </c>
      <c r="DA49" s="16">
        <v>0</v>
      </c>
      <c r="DB49" s="16">
        <v>0</v>
      </c>
      <c r="DC49" s="18">
        <v>0</v>
      </c>
      <c r="DD49" s="16">
        <v>0</v>
      </c>
      <c r="DE49" s="16">
        <v>0</v>
      </c>
      <c r="DF49" s="16" t="e">
        <f>VLOOKUP(K49,'[3]RNA Seq summary tables'!$V$3:$V$99,1,FALSE)</f>
        <v>#N/A</v>
      </c>
      <c r="DG49" s="16">
        <v>1</v>
      </c>
      <c r="DH49" s="16" t="str">
        <f>VLOOKUP(D49,'[8]Data with duplicates'!$B$1:$J$70,9,FALSE)</f>
        <v>sample.31</v>
      </c>
    </row>
    <row r="50" spans="1:288" x14ac:dyDescent="0.2">
      <c r="B50" s="16">
        <v>2016</v>
      </c>
      <c r="C50" s="20">
        <v>42530</v>
      </c>
      <c r="D50" s="20" t="str">
        <f>CONCATENATE(J50,"-",C50)</f>
        <v>954-42530</v>
      </c>
      <c r="E50" s="20" t="str">
        <f>CONCATENATE(T50,"-",U50,"-",C50)</f>
        <v>PO1-F6-42530</v>
      </c>
      <c r="F50" s="20" t="s">
        <v>106</v>
      </c>
      <c r="G50" s="20" t="s">
        <v>107</v>
      </c>
      <c r="I50" s="16">
        <v>0</v>
      </c>
      <c r="J50" s="21">
        <v>954</v>
      </c>
      <c r="K50" s="21">
        <v>1359</v>
      </c>
      <c r="L50" s="16">
        <v>0</v>
      </c>
      <c r="M50" s="15">
        <f>VLOOKUP(K50,'[7]MLBS 2016 SNV-nem Coinfection d'!$C$1:$G$238,4,FALSE)</f>
        <v>0</v>
      </c>
      <c r="N50" s="15">
        <v>0</v>
      </c>
      <c r="O50" s="15" t="s">
        <v>119</v>
      </c>
      <c r="P50" s="16" t="s">
        <v>119</v>
      </c>
      <c r="Q50" s="16">
        <v>0</v>
      </c>
      <c r="R50" s="16" t="s">
        <v>111</v>
      </c>
      <c r="T50" s="16" t="s">
        <v>112</v>
      </c>
      <c r="U50" s="16" t="s">
        <v>170</v>
      </c>
      <c r="V50" s="16" t="s">
        <v>114</v>
      </c>
      <c r="W50" s="16">
        <f>AI50/AG50</f>
        <v>0.84615384615384615</v>
      </c>
      <c r="X50" s="16" t="s">
        <v>115</v>
      </c>
      <c r="Y50" s="16" t="s">
        <v>110</v>
      </c>
      <c r="Z50" s="16">
        <v>3</v>
      </c>
      <c r="AE50" s="16" t="s">
        <v>123</v>
      </c>
      <c r="AF50" s="16" t="s">
        <v>123</v>
      </c>
      <c r="AG50" s="16">
        <f>AH50-AI50</f>
        <v>78</v>
      </c>
      <c r="AH50" s="16">
        <v>144</v>
      </c>
      <c r="AI50" s="16">
        <v>66</v>
      </c>
      <c r="AK50" s="16">
        <v>14.5</v>
      </c>
      <c r="AL50" s="16">
        <v>0</v>
      </c>
      <c r="AM50" s="16">
        <v>0</v>
      </c>
      <c r="AN50" s="16">
        <v>0</v>
      </c>
      <c r="AO50" s="16">
        <f>IF(SUM(AL50:AN50)&gt;0,1,0)</f>
        <v>0</v>
      </c>
      <c r="AP50" s="16">
        <f>SUM(AL50:AN50)</f>
        <v>0</v>
      </c>
      <c r="AQ50" s="16">
        <f>1.477+0.262</f>
        <v>1.7390000000000001</v>
      </c>
      <c r="AR50" s="16">
        <v>0.26200000000000001</v>
      </c>
      <c r="AS50" s="16">
        <v>0.26200000000000001</v>
      </c>
      <c r="AT50" s="16" t="s">
        <v>124</v>
      </c>
      <c r="AV50" s="16">
        <v>1</v>
      </c>
      <c r="AW50" s="18">
        <v>0</v>
      </c>
      <c r="AY50" s="16">
        <v>0</v>
      </c>
      <c r="AZ50" s="18">
        <v>0</v>
      </c>
      <c r="BB50" s="16">
        <v>0</v>
      </c>
      <c r="BC50" s="18">
        <v>0</v>
      </c>
      <c r="BD50" s="16">
        <v>0</v>
      </c>
      <c r="BE50" s="16">
        <v>0</v>
      </c>
      <c r="BF50" s="18">
        <v>0</v>
      </c>
      <c r="BG50" s="23">
        <v>0</v>
      </c>
      <c r="BH50" s="16">
        <v>0</v>
      </c>
      <c r="BI50" s="18">
        <v>0</v>
      </c>
      <c r="BJ50" s="16">
        <v>0</v>
      </c>
      <c r="BK50" s="16">
        <v>0</v>
      </c>
      <c r="BL50" s="16">
        <f>IF(BM50&gt;0,1,0)</f>
        <v>0</v>
      </c>
      <c r="BM50" s="16">
        <f>SUM(BR50,BU50,BX50,CA50,CD50,CG50,CJ50,CM50,CP50)</f>
        <v>0</v>
      </c>
      <c r="BN50" s="16">
        <f>SUM(BW50,BZ50,CC50,CF50,CI50,CL50,CO50,CR50,BT50)</f>
        <v>0</v>
      </c>
      <c r="BO50" s="16">
        <f>IF(BP50&gt;0,1,0)</f>
        <v>0</v>
      </c>
      <c r="BP50" s="16">
        <f>SUM(BU50,BX50,CA50,CD50,BR50)</f>
        <v>0</v>
      </c>
      <c r="BQ50" s="16">
        <f>SUM(BZ50,CC50,CF50,BT50,BW50)</f>
        <v>0</v>
      </c>
      <c r="BR50" s="18">
        <v>0</v>
      </c>
      <c r="BS50" s="16">
        <v>0</v>
      </c>
      <c r="BT50" s="23">
        <f>BS50/AS50</f>
        <v>0</v>
      </c>
      <c r="BU50" s="18">
        <v>0</v>
      </c>
      <c r="BV50" s="16">
        <v>0</v>
      </c>
      <c r="BW50" s="18">
        <f>BV50/AS50</f>
        <v>0</v>
      </c>
      <c r="BX50" s="18">
        <v>0</v>
      </c>
      <c r="BY50" s="16">
        <v>0</v>
      </c>
      <c r="BZ50" s="16">
        <f>BY50/AS50</f>
        <v>0</v>
      </c>
      <c r="CA50" s="24">
        <v>0</v>
      </c>
      <c r="CB50" s="16">
        <v>0</v>
      </c>
      <c r="CC50" s="16">
        <v>0</v>
      </c>
      <c r="CD50" s="25">
        <v>0</v>
      </c>
      <c r="CE50" s="16">
        <v>0</v>
      </c>
      <c r="CF50" s="16">
        <v>0</v>
      </c>
      <c r="CP50" s="16" t="s">
        <v>123</v>
      </c>
      <c r="CQ50" s="16">
        <v>0</v>
      </c>
      <c r="CR50" s="16">
        <v>0</v>
      </c>
      <c r="CS50" s="18">
        <f>IF(CT50&gt;0,1,0)</f>
        <v>0</v>
      </c>
      <c r="CT50" s="25">
        <f>SUM(CW50,CZ50,DC50)</f>
        <v>0</v>
      </c>
      <c r="CU50" s="25"/>
      <c r="CV50" s="16">
        <v>0</v>
      </c>
      <c r="CW50" s="25">
        <v>0</v>
      </c>
      <c r="CX50" s="16">
        <v>0</v>
      </c>
      <c r="CY50" s="16">
        <v>0</v>
      </c>
      <c r="CZ50" s="18">
        <v>0</v>
      </c>
      <c r="DA50" s="16">
        <v>0</v>
      </c>
      <c r="DB50" s="16">
        <v>0</v>
      </c>
      <c r="DC50" s="18">
        <v>0</v>
      </c>
      <c r="DD50" s="16">
        <v>0</v>
      </c>
      <c r="DE50" s="16">
        <v>0</v>
      </c>
      <c r="DF50" s="16" t="e">
        <f>VLOOKUP(K50,'[3]RNA Seq summary tables'!$V$3:$V$99,1,FALSE)</f>
        <v>#N/A</v>
      </c>
    </row>
    <row r="51" spans="1:288" x14ac:dyDescent="0.2">
      <c r="A51" s="18">
        <v>1</v>
      </c>
      <c r="B51" s="16">
        <v>2016</v>
      </c>
      <c r="C51" s="20">
        <v>42573</v>
      </c>
      <c r="D51" s="20" t="str">
        <f>CONCATENATE(J51,"-",C51)</f>
        <v>954-42573</v>
      </c>
      <c r="E51" s="20" t="str">
        <f>CONCATENATE(T51,"-",U51,"-",C51)</f>
        <v>PO2-B3-42573</v>
      </c>
      <c r="F51" s="20" t="s">
        <v>106</v>
      </c>
      <c r="G51" s="20" t="s">
        <v>107</v>
      </c>
      <c r="H51" s="30" t="s">
        <v>219</v>
      </c>
      <c r="I51" s="16">
        <v>0</v>
      </c>
      <c r="J51" s="21">
        <v>954</v>
      </c>
      <c r="K51" s="32">
        <v>1545</v>
      </c>
      <c r="M51" s="15">
        <v>0</v>
      </c>
      <c r="N51" s="15">
        <v>0</v>
      </c>
      <c r="O51" s="15" t="s">
        <v>119</v>
      </c>
      <c r="P51" s="16" t="s">
        <v>119</v>
      </c>
      <c r="Q51" s="16">
        <v>0</v>
      </c>
      <c r="R51" s="16">
        <v>43</v>
      </c>
      <c r="T51" s="16" t="s">
        <v>127</v>
      </c>
      <c r="U51" s="16" t="s">
        <v>131</v>
      </c>
      <c r="V51" s="16" t="s">
        <v>114</v>
      </c>
      <c r="W51" s="16">
        <f>AI51/AG51</f>
        <v>0.87804878048780488</v>
      </c>
      <c r="X51" s="16" t="s">
        <v>115</v>
      </c>
      <c r="Y51" s="16" t="s">
        <v>110</v>
      </c>
      <c r="Z51" s="16">
        <v>3</v>
      </c>
      <c r="AE51" s="16" t="s">
        <v>116</v>
      </c>
      <c r="AF51" s="16" t="s">
        <v>116</v>
      </c>
      <c r="AG51" s="16">
        <f>AH51-AI51</f>
        <v>82</v>
      </c>
      <c r="AH51" s="16">
        <v>154</v>
      </c>
      <c r="AI51" s="16">
        <v>72</v>
      </c>
      <c r="AK51" s="16">
        <v>20</v>
      </c>
      <c r="AL51" s="16">
        <v>0</v>
      </c>
      <c r="AM51" s="16">
        <v>0</v>
      </c>
      <c r="AN51" s="16">
        <v>0</v>
      </c>
      <c r="AO51" s="16">
        <f>IF(SUM(AL51:AN51)&gt;0,1,0)</f>
        <v>0</v>
      </c>
      <c r="AP51" s="16">
        <f>SUM(AL51:AN51)</f>
        <v>0</v>
      </c>
      <c r="AQ51" s="64">
        <v>1.71</v>
      </c>
      <c r="AR51" s="16">
        <v>0.223</v>
      </c>
      <c r="AS51" s="16">
        <v>0.223</v>
      </c>
      <c r="AT51" s="16" t="s">
        <v>205</v>
      </c>
      <c r="AW51" s="22">
        <v>1</v>
      </c>
      <c r="AX51" s="16">
        <v>4</v>
      </c>
      <c r="AY51" s="16">
        <f>(1+7+375+145)/AS51</f>
        <v>2367.7130044843047</v>
      </c>
      <c r="AZ51" s="18">
        <v>1</v>
      </c>
      <c r="BA51" s="16">
        <v>2</v>
      </c>
      <c r="BB51" s="16">
        <f>8/AS51</f>
        <v>35.874439461883405</v>
      </c>
      <c r="BC51" s="16">
        <v>1</v>
      </c>
      <c r="BD51" s="16">
        <v>1</v>
      </c>
      <c r="BE51" s="16">
        <f>1/AS51</f>
        <v>4.4843049327354256</v>
      </c>
      <c r="BF51" s="18">
        <v>1</v>
      </c>
      <c r="BG51" s="23">
        <v>7</v>
      </c>
      <c r="BH51" s="16">
        <f>7/AS51</f>
        <v>31.390134529147982</v>
      </c>
      <c r="BI51" s="18">
        <v>0</v>
      </c>
      <c r="BJ51" s="16">
        <v>0</v>
      </c>
      <c r="BK51" s="16">
        <v>0</v>
      </c>
      <c r="BL51" s="16">
        <f>IF(BM51&gt;0,1,0)</f>
        <v>0</v>
      </c>
      <c r="BM51" s="16">
        <f>SUM(BR51,BU51,BX51,CA51,CD51,CG51,CJ51,CM51,CP51)</f>
        <v>0</v>
      </c>
      <c r="BN51" s="16">
        <f>SUM(BW51,BZ51,CC51,CF51,CI51,CL51,CO51,CR51,BT51)</f>
        <v>0</v>
      </c>
      <c r="BO51" s="16">
        <f>IF(BP51&gt;0,1,0)</f>
        <v>0</v>
      </c>
      <c r="BP51" s="16">
        <f>SUM(BU51,BX51,CA51,CD51,BR51)</f>
        <v>0</v>
      </c>
      <c r="BQ51" s="16">
        <f>SUM(BZ51,CC51,CF51,BT51,BW51)</f>
        <v>0</v>
      </c>
      <c r="BR51" s="18">
        <v>0</v>
      </c>
      <c r="BS51" s="16">
        <v>0</v>
      </c>
      <c r="BT51" s="23">
        <f>BS51/AS51</f>
        <v>0</v>
      </c>
      <c r="BU51" s="18">
        <v>0</v>
      </c>
      <c r="BV51" s="16">
        <v>0</v>
      </c>
      <c r="BW51" s="18">
        <f>BV51/AS51</f>
        <v>0</v>
      </c>
      <c r="BX51" s="18">
        <v>0</v>
      </c>
      <c r="BY51" s="16">
        <v>0</v>
      </c>
      <c r="BZ51" s="16">
        <f>BY51/AS51</f>
        <v>0</v>
      </c>
      <c r="CA51" s="24">
        <v>0</v>
      </c>
      <c r="CB51" s="16">
        <v>0</v>
      </c>
      <c r="CC51" s="16">
        <v>0</v>
      </c>
      <c r="CD51" s="25">
        <v>0</v>
      </c>
      <c r="CE51" s="16">
        <v>0</v>
      </c>
      <c r="CF51" s="16">
        <v>0</v>
      </c>
      <c r="CP51" s="16" t="s">
        <v>123</v>
      </c>
      <c r="CQ51" s="16">
        <v>0</v>
      </c>
      <c r="CR51" s="16">
        <v>0</v>
      </c>
      <c r="CS51" s="18">
        <f>IF(CT51&gt;0,1,0)</f>
        <v>1</v>
      </c>
      <c r="CT51" s="25">
        <f>SUM(CW51,CZ51,DC51)</f>
        <v>2</v>
      </c>
      <c r="CU51" s="25"/>
      <c r="CV51" s="16">
        <f>(375+145)/AS51</f>
        <v>2331.8385650224213</v>
      </c>
      <c r="CW51" s="22">
        <v>1</v>
      </c>
      <c r="CX51" s="16">
        <v>375</v>
      </c>
      <c r="CY51" s="16">
        <f>375/AS51</f>
        <v>1681.6143497757848</v>
      </c>
      <c r="CZ51" s="16">
        <v>1</v>
      </c>
      <c r="DA51" s="16">
        <v>145</v>
      </c>
      <c r="DB51" s="16">
        <f>145/AS51</f>
        <v>650.22421524663673</v>
      </c>
      <c r="DC51" s="18">
        <v>0</v>
      </c>
      <c r="DD51" s="16">
        <v>0</v>
      </c>
      <c r="DE51" s="16">
        <v>0</v>
      </c>
      <c r="DF51" s="16" t="e">
        <f>VLOOKUP(K51,'[3]RNA Seq summary tables'!$V$3:$V$99,1,FALSE)</f>
        <v>#N/A</v>
      </c>
      <c r="JR51" s="26"/>
      <c r="JS51" s="26"/>
      <c r="JT51" s="26"/>
      <c r="JU51" s="26"/>
      <c r="JV51" s="26"/>
      <c r="JW51" s="26"/>
      <c r="JX51" s="26"/>
      <c r="JY51" s="26"/>
      <c r="JZ51" s="26"/>
      <c r="KA51" s="26"/>
      <c r="KB51" s="26"/>
    </row>
    <row r="52" spans="1:288" x14ac:dyDescent="0.2">
      <c r="B52" s="16">
        <v>2016</v>
      </c>
      <c r="C52" s="37">
        <v>42600</v>
      </c>
      <c r="D52" s="37" t="str">
        <f>CONCATENATE(J52,"-",C52)</f>
        <v>954-42600</v>
      </c>
      <c r="E52" s="20" t="str">
        <f>CONCATENATE(T52,"-",U52,"-",C52)</f>
        <v>PO2-A7-42600</v>
      </c>
      <c r="F52" s="20" t="s">
        <v>227</v>
      </c>
      <c r="G52" s="20" t="s">
        <v>107</v>
      </c>
      <c r="H52" s="18"/>
      <c r="I52" s="16">
        <v>0</v>
      </c>
      <c r="J52" s="36">
        <v>954</v>
      </c>
      <c r="K52" s="36">
        <v>1554</v>
      </c>
      <c r="L52" s="18">
        <v>0</v>
      </c>
      <c r="M52" s="15">
        <f>VLOOKUP(K52,'[7]MLBS 2016 SNV-nem Coinfection d'!$C$1:$G$238,4,FALSE)</f>
        <v>0</v>
      </c>
      <c r="N52" s="15">
        <v>0</v>
      </c>
      <c r="O52" s="15" t="s">
        <v>119</v>
      </c>
      <c r="P52" s="18" t="s">
        <v>119</v>
      </c>
      <c r="Q52" s="16">
        <v>0</v>
      </c>
      <c r="R52" s="18">
        <v>27</v>
      </c>
      <c r="S52" s="18"/>
      <c r="T52" s="18" t="s">
        <v>127</v>
      </c>
      <c r="U52" s="18" t="s">
        <v>120</v>
      </c>
      <c r="V52" s="18" t="s">
        <v>114</v>
      </c>
      <c r="W52" s="16">
        <f>AI52/AG52</f>
        <v>0.91139240506329111</v>
      </c>
      <c r="X52" s="18" t="s">
        <v>115</v>
      </c>
      <c r="Y52" s="18" t="s">
        <v>110</v>
      </c>
      <c r="Z52" s="18">
        <v>3</v>
      </c>
      <c r="AA52" s="18"/>
      <c r="AB52" s="18"/>
      <c r="AC52" s="18"/>
      <c r="AD52" s="18"/>
      <c r="AE52" s="18" t="s">
        <v>123</v>
      </c>
      <c r="AF52" s="18" t="s">
        <v>123</v>
      </c>
      <c r="AG52" s="18">
        <f>AH52-AI52</f>
        <v>79</v>
      </c>
      <c r="AH52" s="18">
        <v>151</v>
      </c>
      <c r="AI52" s="18">
        <v>72</v>
      </c>
      <c r="AJ52" s="18"/>
      <c r="AK52" s="18">
        <v>25.5</v>
      </c>
      <c r="AL52" s="16">
        <v>0</v>
      </c>
      <c r="AM52" s="16">
        <v>0</v>
      </c>
      <c r="AN52" s="16">
        <v>1</v>
      </c>
      <c r="AO52" s="16">
        <f>IF(SUM(AL52:AN52)&gt;0,1,0)</f>
        <v>1</v>
      </c>
      <c r="AP52" s="16">
        <f>SUM(AL52:AN52)</f>
        <v>1</v>
      </c>
      <c r="AQ52" s="18"/>
      <c r="AR52" s="18">
        <v>0.41199999999999998</v>
      </c>
      <c r="AS52" s="18">
        <v>0.41199999999999998</v>
      </c>
      <c r="AT52" s="18" t="s">
        <v>212</v>
      </c>
      <c r="AU52" s="18"/>
      <c r="AV52" s="18"/>
      <c r="AW52" s="22">
        <v>1</v>
      </c>
      <c r="AX52" s="24">
        <v>5</v>
      </c>
      <c r="AY52" s="24">
        <f>(74+1+10+1414+376)/0.412</f>
        <v>4550.9708737864084</v>
      </c>
      <c r="AZ52" s="18">
        <v>1</v>
      </c>
      <c r="BA52" s="24">
        <v>2</v>
      </c>
      <c r="BB52" s="24">
        <f>75/0.412</f>
        <v>182.03883495145632</v>
      </c>
      <c r="BC52" s="18">
        <v>0</v>
      </c>
      <c r="BD52" s="24">
        <v>0</v>
      </c>
      <c r="BE52" s="24">
        <v>0</v>
      </c>
      <c r="BF52" s="18">
        <v>1</v>
      </c>
      <c r="BG52" s="53">
        <v>74</v>
      </c>
      <c r="BH52" s="24">
        <f>74/0.412</f>
        <v>179.61165048543691</v>
      </c>
      <c r="BI52" s="16">
        <v>1</v>
      </c>
      <c r="BJ52" s="24">
        <v>1</v>
      </c>
      <c r="BK52" s="24">
        <f>1/0.412</f>
        <v>2.4271844660194177</v>
      </c>
      <c r="BL52" s="16">
        <f>IF(BM52&gt;0,1,0)</f>
        <v>1</v>
      </c>
      <c r="BM52" s="16">
        <f>SUM(BR52,BU52,BX52,CA52,CD52,CG52,CJ52,CM52,CP52)</f>
        <v>1</v>
      </c>
      <c r="BN52" s="16">
        <f>SUM(BW52,BZ52,CC52,CF52,CI52,CL52,CO52,CR52,BT52)</f>
        <v>24.271844660194176</v>
      </c>
      <c r="BO52" s="16">
        <f>IF(BP52&gt;0,1,0)</f>
        <v>1</v>
      </c>
      <c r="BP52" s="16">
        <f>SUM(BU52,BX52,CA52,CD52,BR52)</f>
        <v>1</v>
      </c>
      <c r="BQ52" s="16">
        <f>SUM(BZ52,CC52,CF52,BT52,BW52)</f>
        <v>24.271844660194176</v>
      </c>
      <c r="BR52" s="18">
        <v>0</v>
      </c>
      <c r="BS52" s="24">
        <v>0</v>
      </c>
      <c r="BT52" s="23">
        <f>BS52/AS52</f>
        <v>0</v>
      </c>
      <c r="BU52" s="18">
        <v>0</v>
      </c>
      <c r="BV52" s="24">
        <v>0</v>
      </c>
      <c r="BW52" s="18">
        <f>BV52/AS52</f>
        <v>0</v>
      </c>
      <c r="BX52" s="24">
        <v>1</v>
      </c>
      <c r="BY52" s="24">
        <v>10</v>
      </c>
      <c r="BZ52" s="16">
        <f>BY52/AS52</f>
        <v>24.271844660194176</v>
      </c>
      <c r="CA52" s="24">
        <v>0</v>
      </c>
      <c r="CB52" s="24">
        <v>0</v>
      </c>
      <c r="CC52" s="24">
        <v>0</v>
      </c>
      <c r="CD52" s="23">
        <v>0</v>
      </c>
      <c r="CE52" s="24">
        <v>0</v>
      </c>
      <c r="CF52" s="24">
        <v>0</v>
      </c>
      <c r="CG52" s="24"/>
      <c r="CH52" s="24"/>
      <c r="CI52" s="24"/>
      <c r="CJ52" s="24"/>
      <c r="CK52" s="24"/>
      <c r="CL52" s="24"/>
      <c r="CM52" s="24"/>
      <c r="CN52" s="24"/>
      <c r="CO52" s="24"/>
      <c r="CP52" s="24" t="s">
        <v>123</v>
      </c>
      <c r="CQ52" s="24">
        <v>0</v>
      </c>
      <c r="CR52" s="24">
        <v>0</v>
      </c>
      <c r="CS52" s="18">
        <f>IF(CT52&gt;0,1,0)</f>
        <v>1</v>
      </c>
      <c r="CT52" s="25">
        <f>SUM(CW52,CZ52,DC52)</f>
        <v>2</v>
      </c>
      <c r="CU52" s="25"/>
      <c r="CV52" s="24">
        <f>(1414+376)/0.412</f>
        <v>4344.6601941747576</v>
      </c>
      <c r="CW52" s="22">
        <v>1</v>
      </c>
      <c r="CX52" s="24">
        <v>1414</v>
      </c>
      <c r="CY52" s="24">
        <f>1414/0.412</f>
        <v>3432.0388349514565</v>
      </c>
      <c r="CZ52" s="16">
        <v>1</v>
      </c>
      <c r="DA52" s="24">
        <v>376</v>
      </c>
      <c r="DB52" s="24">
        <f>376/0.412</f>
        <v>912.62135922330106</v>
      </c>
      <c r="DC52" s="18">
        <v>0</v>
      </c>
      <c r="DD52" s="24">
        <v>0</v>
      </c>
      <c r="DE52" s="24">
        <v>0</v>
      </c>
      <c r="DF52" s="16" t="e">
        <f>VLOOKUP(K52,'[3]RNA Seq summary tables'!$V$3:$V$99,1,FALSE)</f>
        <v>#N/A</v>
      </c>
      <c r="DG52" s="16">
        <v>1</v>
      </c>
      <c r="DH52" s="16" t="str">
        <f>VLOOKUP(D52,'[8]Data with duplicates'!$B$1:$J$70,9,FALSE)</f>
        <v>sample.32</v>
      </c>
      <c r="DI52" s="18"/>
      <c r="DJ52" s="18"/>
      <c r="DK52" s="18"/>
      <c r="DL52" s="18"/>
      <c r="DM52" s="18"/>
      <c r="DN52" s="18"/>
      <c r="DO52" s="18"/>
      <c r="DP52" s="18"/>
      <c r="DQ52" s="18"/>
      <c r="DR52" s="18"/>
      <c r="DS52" s="18"/>
    </row>
    <row r="53" spans="1:288" x14ac:dyDescent="0.2">
      <c r="B53" s="16">
        <v>2016</v>
      </c>
      <c r="C53" s="20">
        <v>42613</v>
      </c>
      <c r="D53" s="20" t="str">
        <f>CONCATENATE(J53,"-",C53)</f>
        <v>954-42613</v>
      </c>
      <c r="E53" s="20" t="str">
        <f>CONCATENATE(T53,"-",U53,"-",C53)</f>
        <v>PO2-A7-42613</v>
      </c>
      <c r="F53" s="20" t="s">
        <v>227</v>
      </c>
      <c r="G53" s="20" t="s">
        <v>107</v>
      </c>
      <c r="I53" s="16">
        <v>0</v>
      </c>
      <c r="J53" s="21">
        <v>954</v>
      </c>
      <c r="K53" s="21">
        <v>1571</v>
      </c>
      <c r="L53" s="18">
        <v>0</v>
      </c>
      <c r="M53" s="15">
        <f>VLOOKUP(K53,'[7]MLBS 2016 SNV-nem Coinfection d'!$C$1:$G$238,4,FALSE)</f>
        <v>0</v>
      </c>
      <c r="N53" s="15">
        <v>0</v>
      </c>
      <c r="O53" s="15" t="s">
        <v>119</v>
      </c>
      <c r="P53" s="16" t="s">
        <v>119</v>
      </c>
      <c r="Q53" s="16">
        <v>0</v>
      </c>
      <c r="R53" s="16">
        <v>13</v>
      </c>
      <c r="T53" s="16" t="s">
        <v>127</v>
      </c>
      <c r="U53" s="16" t="s">
        <v>120</v>
      </c>
      <c r="V53" s="16" t="s">
        <v>114</v>
      </c>
      <c r="W53" s="16">
        <f>AI53/AG53</f>
        <v>0.97368421052631582</v>
      </c>
      <c r="X53" s="16" t="s">
        <v>115</v>
      </c>
      <c r="Y53" s="16" t="s">
        <v>110</v>
      </c>
      <c r="Z53" s="16">
        <v>3</v>
      </c>
      <c r="AE53" s="16" t="s">
        <v>116</v>
      </c>
      <c r="AF53" s="16" t="s">
        <v>116</v>
      </c>
      <c r="AG53" s="16">
        <f>AH53-AI53</f>
        <v>76</v>
      </c>
      <c r="AH53" s="16">
        <v>150</v>
      </c>
      <c r="AI53" s="16">
        <v>74</v>
      </c>
      <c r="AK53" s="16">
        <v>23</v>
      </c>
      <c r="AL53" s="16">
        <v>0</v>
      </c>
      <c r="AM53" s="16">
        <v>0</v>
      </c>
      <c r="AN53" s="16">
        <v>0</v>
      </c>
      <c r="AO53" s="16">
        <f>IF(SUM(AL53:AN53)&gt;0,1,0)</f>
        <v>0</v>
      </c>
      <c r="AP53" s="16">
        <f>SUM(AL53:AN53)</f>
        <v>0</v>
      </c>
      <c r="AR53" s="16">
        <v>0.20100000000000001</v>
      </c>
      <c r="AS53" s="16">
        <v>0.20100000000000001</v>
      </c>
      <c r="AT53" s="16" t="s">
        <v>212</v>
      </c>
      <c r="AW53" s="22">
        <v>1</v>
      </c>
      <c r="AX53" s="22">
        <v>1</v>
      </c>
      <c r="AY53" s="22">
        <f>2/0.201</f>
        <v>9.9502487562189046</v>
      </c>
      <c r="AZ53" s="18">
        <v>0</v>
      </c>
      <c r="BA53" s="22">
        <v>0</v>
      </c>
      <c r="BB53" s="22">
        <v>0</v>
      </c>
      <c r="BC53" s="18">
        <v>0</v>
      </c>
      <c r="BD53" s="22">
        <v>0</v>
      </c>
      <c r="BE53" s="22">
        <v>0</v>
      </c>
      <c r="BF53" s="18">
        <v>0</v>
      </c>
      <c r="BG53" s="50">
        <v>0</v>
      </c>
      <c r="BH53" s="22">
        <v>0</v>
      </c>
      <c r="BI53" s="18">
        <v>0</v>
      </c>
      <c r="BJ53" s="22">
        <v>0</v>
      </c>
      <c r="BK53" s="22">
        <v>0</v>
      </c>
      <c r="BL53" s="16">
        <f>IF(BM53&gt;0,1,0)</f>
        <v>1</v>
      </c>
      <c r="BM53" s="16">
        <f>SUM(BR53,BU53,BX53,CA53,CD53,CG53,CJ53,CM53,CP53)</f>
        <v>1</v>
      </c>
      <c r="BN53" s="16">
        <f>SUM(BW53,BZ53,CC53,CF53,CI53,CL53,CO53,CR53,BT53)</f>
        <v>9.9502487562189046</v>
      </c>
      <c r="BO53" s="16">
        <f>IF(BP53&gt;0,1,0)</f>
        <v>1</v>
      </c>
      <c r="BP53" s="16">
        <f>SUM(BU53,BX53,CA53,CD53,BR53)</f>
        <v>1</v>
      </c>
      <c r="BQ53" s="16">
        <f>SUM(BZ53,CC53,CF53,BT53,BW53)</f>
        <v>9.9502487562189046</v>
      </c>
      <c r="BR53" s="18">
        <v>0</v>
      </c>
      <c r="BS53" s="22">
        <v>0</v>
      </c>
      <c r="BT53" s="23">
        <f>BS53/AS53</f>
        <v>0</v>
      </c>
      <c r="BU53" s="18">
        <v>0</v>
      </c>
      <c r="BV53" s="22">
        <v>0</v>
      </c>
      <c r="BW53" s="18">
        <f>BV53/AS53</f>
        <v>0</v>
      </c>
      <c r="BX53" s="24">
        <v>1</v>
      </c>
      <c r="BY53" s="22">
        <v>2</v>
      </c>
      <c r="BZ53" s="16">
        <f>BY53/AS53</f>
        <v>9.9502487562189046</v>
      </c>
      <c r="CA53" s="24">
        <v>0</v>
      </c>
      <c r="CB53" s="22">
        <v>0</v>
      </c>
      <c r="CC53" s="22">
        <v>0</v>
      </c>
      <c r="CD53" s="25">
        <v>0</v>
      </c>
      <c r="CE53" s="22">
        <v>0</v>
      </c>
      <c r="CF53" s="22">
        <v>0</v>
      </c>
      <c r="CG53" s="22"/>
      <c r="CH53" s="22"/>
      <c r="CI53" s="22"/>
      <c r="CJ53" s="22"/>
      <c r="CK53" s="22"/>
      <c r="CL53" s="22"/>
      <c r="CM53" s="22"/>
      <c r="CN53" s="22"/>
      <c r="CO53" s="22"/>
      <c r="CP53" s="22" t="s">
        <v>123</v>
      </c>
      <c r="CQ53" s="22">
        <v>0</v>
      </c>
      <c r="CR53" s="22">
        <v>0</v>
      </c>
      <c r="CS53" s="18">
        <f>IF(CT53&gt;0,1,0)</f>
        <v>0</v>
      </c>
      <c r="CT53" s="25">
        <f>SUM(CW53,CZ53,DC53)</f>
        <v>0</v>
      </c>
      <c r="CU53" s="25"/>
      <c r="CV53" s="22">
        <v>0</v>
      </c>
      <c r="CW53" s="25">
        <v>0</v>
      </c>
      <c r="CX53" s="22">
        <v>0</v>
      </c>
      <c r="CY53" s="22">
        <v>0</v>
      </c>
      <c r="CZ53" s="18">
        <v>0</v>
      </c>
      <c r="DA53" s="22">
        <v>0</v>
      </c>
      <c r="DB53" s="22">
        <v>0</v>
      </c>
      <c r="DC53" s="18">
        <v>0</v>
      </c>
      <c r="DD53" s="22">
        <v>0</v>
      </c>
      <c r="DE53" s="22">
        <v>0</v>
      </c>
      <c r="DF53" s="16" t="e">
        <f>VLOOKUP(K53,'[3]RNA Seq summary tables'!$V$3:$V$99,1,FALSE)</f>
        <v>#N/A</v>
      </c>
      <c r="DG53" s="16">
        <v>1</v>
      </c>
      <c r="DH53" s="16" t="str">
        <f>VLOOKUP(D53,'[8]Data with duplicates'!$B$1:$J$70,9,FALSE)</f>
        <v>sample.33</v>
      </c>
    </row>
    <row r="54" spans="1:288" x14ac:dyDescent="0.2">
      <c r="B54" s="16">
        <v>2016</v>
      </c>
      <c r="C54" s="20">
        <v>42530</v>
      </c>
      <c r="D54" s="20" t="str">
        <f>CONCATENATE(J54,"-",C54)</f>
        <v>955-42530</v>
      </c>
      <c r="E54" s="20" t="str">
        <f>CONCATENATE(T54,"-",U54,"-",C54)</f>
        <v>PO2-A2-42530</v>
      </c>
      <c r="F54" s="20" t="s">
        <v>106</v>
      </c>
      <c r="G54" s="20" t="s">
        <v>107</v>
      </c>
      <c r="I54" s="16">
        <v>0</v>
      </c>
      <c r="J54" s="21">
        <v>955</v>
      </c>
      <c r="K54" s="21">
        <v>1422</v>
      </c>
      <c r="L54" s="16">
        <v>0</v>
      </c>
      <c r="M54" s="15">
        <f>VLOOKUP(K54,'[7]MLBS 2016 SNV-nem Coinfection d'!$C$1:$G$238,4,FALSE)</f>
        <v>0</v>
      </c>
      <c r="N54" s="15">
        <v>0</v>
      </c>
      <c r="O54" s="15" t="s">
        <v>119</v>
      </c>
      <c r="P54" s="16" t="s">
        <v>119</v>
      </c>
      <c r="Q54" s="16">
        <v>0</v>
      </c>
      <c r="R54" s="16" t="s">
        <v>111</v>
      </c>
      <c r="T54" s="16" t="s">
        <v>127</v>
      </c>
      <c r="U54" s="16" t="s">
        <v>171</v>
      </c>
      <c r="V54" s="16" t="s">
        <v>114</v>
      </c>
      <c r="W54" s="16">
        <f>AI54/AG54</f>
        <v>0.84337349397590367</v>
      </c>
      <c r="X54" s="16" t="s">
        <v>121</v>
      </c>
      <c r="Y54" s="16" t="s">
        <v>110</v>
      </c>
      <c r="Z54" s="16">
        <v>3</v>
      </c>
      <c r="AA54" s="16" t="s">
        <v>161</v>
      </c>
      <c r="AB54" s="16" t="s">
        <v>123</v>
      </c>
      <c r="AC54" s="16" t="s">
        <v>123</v>
      </c>
      <c r="AD54" s="16" t="s">
        <v>116</v>
      </c>
      <c r="AG54" s="16">
        <f>AH54-AI54</f>
        <v>83</v>
      </c>
      <c r="AH54" s="16">
        <v>153</v>
      </c>
      <c r="AI54" s="16">
        <v>70</v>
      </c>
      <c r="AK54" s="16">
        <v>12.5</v>
      </c>
      <c r="AL54" s="16">
        <v>0</v>
      </c>
      <c r="AM54" s="16">
        <v>0</v>
      </c>
      <c r="AN54" s="16">
        <v>0</v>
      </c>
      <c r="AO54" s="16">
        <f>IF(SUM(AL54:AN54)&gt;0,1,0)</f>
        <v>0</v>
      </c>
      <c r="AP54" s="16">
        <f>SUM(AL54:AN54)</f>
        <v>0</v>
      </c>
      <c r="AQ54" s="16">
        <f>0.164+1.477</f>
        <v>1.641</v>
      </c>
      <c r="AR54" s="16">
        <v>0.16400000000000001</v>
      </c>
      <c r="AS54" s="16">
        <v>0.16400000000000001</v>
      </c>
      <c r="AT54" s="16" t="s">
        <v>124</v>
      </c>
      <c r="AW54" s="22">
        <v>1</v>
      </c>
      <c r="AY54" s="16">
        <f>17/AS54</f>
        <v>103.65853658536585</v>
      </c>
      <c r="AZ54" s="18">
        <v>1</v>
      </c>
      <c r="BB54" s="16">
        <f>AY54</f>
        <v>103.65853658536585</v>
      </c>
      <c r="BC54" s="16">
        <v>1</v>
      </c>
      <c r="BD54" s="16">
        <v>11</v>
      </c>
      <c r="BE54" s="16">
        <f>11/AS54</f>
        <v>67.073170731707307</v>
      </c>
      <c r="BF54" s="18">
        <v>1</v>
      </c>
      <c r="BG54" s="23">
        <v>6</v>
      </c>
      <c r="BH54" s="16">
        <f>6/AS54</f>
        <v>36.585365853658537</v>
      </c>
      <c r="BI54" s="18">
        <v>0</v>
      </c>
      <c r="BJ54" s="16">
        <v>0</v>
      </c>
      <c r="BK54" s="16">
        <v>0</v>
      </c>
      <c r="BL54" s="16">
        <f>IF(BM54&gt;0,1,0)</f>
        <v>0</v>
      </c>
      <c r="BM54" s="16">
        <f>SUM(BR54,BU54,BX54,CA54,CD54,CG54,CJ54,CM54,CP54)</f>
        <v>0</v>
      </c>
      <c r="BN54" s="16">
        <f>SUM(BW54,BZ54,CC54,CF54,CI54,CL54,CO54,CR54,BT54)</f>
        <v>0</v>
      </c>
      <c r="BO54" s="16">
        <f>IF(BP54&gt;0,1,0)</f>
        <v>0</v>
      </c>
      <c r="BP54" s="16">
        <f>SUM(BU54,BX54,CA54,CD54,BR54)</f>
        <v>0</v>
      </c>
      <c r="BQ54" s="16">
        <f>SUM(BZ54,CC54,CF54,BT54,BW54)</f>
        <v>0</v>
      </c>
      <c r="BR54" s="18">
        <v>0</v>
      </c>
      <c r="BS54" s="16">
        <v>0</v>
      </c>
      <c r="BT54" s="23">
        <f>BS54/AS54</f>
        <v>0</v>
      </c>
      <c r="BU54" s="18">
        <v>0</v>
      </c>
      <c r="BV54" s="16">
        <v>0</v>
      </c>
      <c r="BW54" s="18">
        <f>BV54/AS54</f>
        <v>0</v>
      </c>
      <c r="BX54" s="18">
        <v>0</v>
      </c>
      <c r="BY54" s="16">
        <v>0</v>
      </c>
      <c r="BZ54" s="16">
        <f>BY54/AS54</f>
        <v>0</v>
      </c>
      <c r="CA54" s="24">
        <v>0</v>
      </c>
      <c r="CB54" s="16">
        <v>0</v>
      </c>
      <c r="CC54" s="16">
        <v>0</v>
      </c>
      <c r="CD54" s="25">
        <v>0</v>
      </c>
      <c r="CE54" s="16">
        <v>0</v>
      </c>
      <c r="CF54" s="16">
        <v>0</v>
      </c>
      <c r="CP54" s="16" t="s">
        <v>123</v>
      </c>
      <c r="CQ54" s="16">
        <v>0</v>
      </c>
      <c r="CR54" s="16">
        <v>0</v>
      </c>
      <c r="CS54" s="18">
        <f>IF(CT54&gt;0,1,0)</f>
        <v>0</v>
      </c>
      <c r="CT54" s="25">
        <f>SUM(CW54,CZ54,DC54)</f>
        <v>0</v>
      </c>
      <c r="CU54" s="25"/>
      <c r="CV54" s="16">
        <v>0</v>
      </c>
      <c r="CW54" s="25">
        <v>0</v>
      </c>
      <c r="CX54" s="16">
        <v>0</v>
      </c>
      <c r="CY54" s="16">
        <v>0</v>
      </c>
      <c r="CZ54" s="18">
        <v>0</v>
      </c>
      <c r="DA54" s="16">
        <v>0</v>
      </c>
      <c r="DB54" s="16">
        <v>0</v>
      </c>
      <c r="DC54" s="18">
        <v>0</v>
      </c>
      <c r="DD54" s="16">
        <v>0</v>
      </c>
      <c r="DE54" s="16">
        <v>0</v>
      </c>
      <c r="DF54" s="16" t="e">
        <f>VLOOKUP(K54,'[3]RNA Seq summary tables'!$V$3:$V$99,1,FALSE)</f>
        <v>#N/A</v>
      </c>
    </row>
    <row r="55" spans="1:288" x14ac:dyDescent="0.2">
      <c r="B55" s="16">
        <v>2016</v>
      </c>
      <c r="C55" s="20">
        <v>42545</v>
      </c>
      <c r="D55" s="20" t="str">
        <f>CONCATENATE(J55,"-",C55)</f>
        <v>955-42545</v>
      </c>
      <c r="E55" s="20" t="str">
        <f>CONCATENATE(T55,"-",U55,"-",C55)</f>
        <v>PO2-B4-42545</v>
      </c>
      <c r="F55" s="20" t="s">
        <v>106</v>
      </c>
      <c r="G55" s="20" t="s">
        <v>107</v>
      </c>
      <c r="I55" s="16">
        <v>0</v>
      </c>
      <c r="J55" s="21">
        <v>955</v>
      </c>
      <c r="K55" s="21">
        <v>1409</v>
      </c>
      <c r="L55" s="18">
        <v>0</v>
      </c>
      <c r="M55" s="15">
        <f>VLOOKUP(K55,'[7]MLBS 2016 SNV-nem Coinfection d'!$C$1:$G$238,4,FALSE)</f>
        <v>0</v>
      </c>
      <c r="N55" s="15">
        <v>0</v>
      </c>
      <c r="O55" s="15" t="s">
        <v>119</v>
      </c>
      <c r="P55" s="16" t="s">
        <v>119</v>
      </c>
      <c r="Q55" s="16">
        <v>0</v>
      </c>
      <c r="R55" s="16">
        <v>15</v>
      </c>
      <c r="T55" s="16" t="s">
        <v>127</v>
      </c>
      <c r="U55" s="16" t="s">
        <v>144</v>
      </c>
      <c r="V55" s="16" t="s">
        <v>114</v>
      </c>
      <c r="W55" s="16">
        <f>AI55/AG55</f>
        <v>0.86746987951807231</v>
      </c>
      <c r="X55" s="16" t="s">
        <v>121</v>
      </c>
      <c r="Y55" s="16" t="s">
        <v>110</v>
      </c>
      <c r="Z55" s="16">
        <v>3</v>
      </c>
      <c r="AA55" s="16" t="s">
        <v>161</v>
      </c>
      <c r="AB55" s="16" t="s">
        <v>123</v>
      </c>
      <c r="AC55" s="16" t="s">
        <v>123</v>
      </c>
      <c r="AD55" s="16" t="s">
        <v>116</v>
      </c>
      <c r="AG55" s="16">
        <f>AH55-AI55</f>
        <v>83</v>
      </c>
      <c r="AH55" s="16">
        <v>155</v>
      </c>
      <c r="AI55" s="16">
        <v>72</v>
      </c>
      <c r="AK55" s="16">
        <v>20</v>
      </c>
      <c r="AL55" s="16">
        <v>0</v>
      </c>
      <c r="AM55" s="16">
        <v>0</v>
      </c>
      <c r="AN55" s="16">
        <v>0</v>
      </c>
      <c r="AO55" s="16">
        <f>IF(SUM(AL55:AN55)&gt;0,1,0)</f>
        <v>0</v>
      </c>
      <c r="AP55" s="16">
        <f>SUM(AL55:AN55)</f>
        <v>0</v>
      </c>
      <c r="AQ55" s="16">
        <f>0.371+1.477</f>
        <v>1.8480000000000001</v>
      </c>
      <c r="AR55" s="16">
        <v>0.371</v>
      </c>
      <c r="AS55" s="16">
        <v>0.371</v>
      </c>
      <c r="AT55" s="16" t="s">
        <v>124</v>
      </c>
      <c r="AW55" s="24">
        <v>1</v>
      </c>
      <c r="AX55" s="18"/>
      <c r="AY55" s="18">
        <f>3/AS55</f>
        <v>8.0862533692722369</v>
      </c>
      <c r="AZ55" s="18">
        <v>1</v>
      </c>
      <c r="BA55" s="18"/>
      <c r="BB55" s="18">
        <f>3/AS55</f>
        <v>8.0862533692722369</v>
      </c>
      <c r="BC55" s="18">
        <v>1</v>
      </c>
      <c r="BD55" s="18">
        <v>3</v>
      </c>
      <c r="BE55" s="18">
        <f>3/AS55</f>
        <v>8.0862533692722369</v>
      </c>
      <c r="BF55" s="18">
        <v>0</v>
      </c>
      <c r="BG55" s="23">
        <v>0</v>
      </c>
      <c r="BH55" s="18">
        <v>0</v>
      </c>
      <c r="BI55" s="18">
        <v>0</v>
      </c>
      <c r="BJ55" s="18">
        <v>0</v>
      </c>
      <c r="BK55" s="18">
        <v>0</v>
      </c>
      <c r="BL55" s="16">
        <f>IF(BM55&gt;0,1,0)</f>
        <v>0</v>
      </c>
      <c r="BM55" s="16">
        <f>SUM(BR55,BU55,BX55,CA55,CD55,CG55,CJ55,CM55,CP55)</f>
        <v>0</v>
      </c>
      <c r="BN55" s="18">
        <f>SUM(BW55,BZ55,CC55,CF55,CI55,CL55,CO55,CR55,BT55)</f>
        <v>0</v>
      </c>
      <c r="BO55" s="18">
        <f>IF(BP55&gt;0,1,0)</f>
        <v>0</v>
      </c>
      <c r="BP55" s="18">
        <f>SUM(BU55,BX55,CA55,CD55,BR55)</f>
        <v>0</v>
      </c>
      <c r="BQ55" s="18">
        <f>SUM(BZ55,CC55,CF55,BT55,BW55)</f>
        <v>0</v>
      </c>
      <c r="BR55" s="18">
        <v>0</v>
      </c>
      <c r="BS55" s="18">
        <v>0</v>
      </c>
      <c r="BT55" s="25">
        <f>BS55/AS55</f>
        <v>0</v>
      </c>
      <c r="BU55" s="18">
        <v>0</v>
      </c>
      <c r="BV55" s="18">
        <v>0</v>
      </c>
      <c r="BW55" s="18">
        <f>BV55/AS55</f>
        <v>0</v>
      </c>
      <c r="BX55" s="18">
        <v>0</v>
      </c>
      <c r="BY55" s="18">
        <v>0</v>
      </c>
      <c r="BZ55" s="18">
        <f>BY55/AS55</f>
        <v>0</v>
      </c>
      <c r="CA55" s="24">
        <v>0</v>
      </c>
      <c r="CB55" s="18">
        <v>0</v>
      </c>
      <c r="CC55" s="18">
        <v>0</v>
      </c>
      <c r="CD55" s="25">
        <v>0</v>
      </c>
      <c r="CE55" s="18">
        <v>0</v>
      </c>
      <c r="CF55" s="18">
        <v>0</v>
      </c>
      <c r="CG55" s="18"/>
      <c r="CH55" s="18"/>
      <c r="CI55" s="18"/>
      <c r="CJ55" s="18"/>
      <c r="CK55" s="18"/>
      <c r="CL55" s="18"/>
      <c r="CM55" s="18"/>
      <c r="CN55" s="18"/>
      <c r="CO55" s="18"/>
      <c r="CP55" s="18" t="s">
        <v>123</v>
      </c>
      <c r="CQ55" s="18">
        <v>0</v>
      </c>
      <c r="CR55" s="18">
        <v>0</v>
      </c>
      <c r="CS55" s="18">
        <f>IF(CT55&gt;0,1,0)</f>
        <v>0</v>
      </c>
      <c r="CT55" s="25">
        <f>SUM(CW55,CZ55,DC55)</f>
        <v>0</v>
      </c>
      <c r="CU55" s="25"/>
      <c r="CV55" s="18">
        <v>0</v>
      </c>
      <c r="CW55" s="25">
        <v>0</v>
      </c>
      <c r="CX55" s="18">
        <v>0</v>
      </c>
      <c r="CY55" s="18">
        <v>0</v>
      </c>
      <c r="CZ55" s="18">
        <v>0</v>
      </c>
      <c r="DA55" s="18">
        <v>0</v>
      </c>
      <c r="DB55" s="18">
        <v>0</v>
      </c>
      <c r="DC55" s="18">
        <v>0</v>
      </c>
      <c r="DD55" s="18">
        <v>0</v>
      </c>
      <c r="DE55" s="18">
        <v>0</v>
      </c>
      <c r="DF55" s="16" t="e">
        <f>VLOOKUP(K55,'[3]RNA Seq summary tables'!$V$3:$V$99,1,FALSE)</f>
        <v>#N/A</v>
      </c>
      <c r="DI55" s="18"/>
      <c r="DJ55" s="18"/>
      <c r="DK55" s="18"/>
      <c r="DL55" s="18"/>
      <c r="DM55" s="18"/>
      <c r="DN55" s="18"/>
      <c r="DO55" s="18"/>
      <c r="DP55" s="18"/>
      <c r="DQ55" s="18"/>
      <c r="DR55" s="18"/>
      <c r="DS55" s="18"/>
    </row>
    <row r="56" spans="1:288" x14ac:dyDescent="0.2">
      <c r="B56" s="16">
        <v>2016</v>
      </c>
      <c r="C56" s="20">
        <v>42572</v>
      </c>
      <c r="D56" s="20" t="str">
        <f>CONCATENATE(J56,"-",C56)</f>
        <v>956-42572</v>
      </c>
      <c r="E56" s="20" t="str">
        <f>CONCATENATE(T56,"-",U56,"-",C56)</f>
        <v>PO1-H8-42572</v>
      </c>
      <c r="F56" s="20" t="s">
        <v>106</v>
      </c>
      <c r="G56" s="20" t="s">
        <v>107</v>
      </c>
      <c r="I56" s="16">
        <v>0</v>
      </c>
      <c r="J56" s="21">
        <v>956</v>
      </c>
      <c r="K56" s="21">
        <v>1499</v>
      </c>
      <c r="L56" s="18">
        <v>0</v>
      </c>
      <c r="M56" s="15">
        <f>VLOOKUP(K56,'[7]MLBS 2016 SNV-nem Coinfection d'!$C$1:$G$238,4,FALSE)</f>
        <v>0</v>
      </c>
      <c r="N56" s="15">
        <v>0</v>
      </c>
      <c r="O56" s="15" t="s">
        <v>119</v>
      </c>
      <c r="P56" s="16" t="s">
        <v>119</v>
      </c>
      <c r="Q56" s="16">
        <v>0</v>
      </c>
      <c r="R56" s="16" t="s">
        <v>111</v>
      </c>
      <c r="T56" s="16" t="s">
        <v>112</v>
      </c>
      <c r="U56" s="16" t="s">
        <v>152</v>
      </c>
      <c r="V56" s="16" t="s">
        <v>114</v>
      </c>
      <c r="W56" s="16">
        <f>AI56/AG56</f>
        <v>0.87209302325581395</v>
      </c>
      <c r="X56" s="16" t="s">
        <v>115</v>
      </c>
      <c r="Y56" s="16" t="s">
        <v>110</v>
      </c>
      <c r="Z56" s="16">
        <v>3</v>
      </c>
      <c r="AE56" s="16" t="s">
        <v>116</v>
      </c>
      <c r="AG56" s="16">
        <f>AH56-AI56</f>
        <v>86</v>
      </c>
      <c r="AH56" s="16">
        <v>161</v>
      </c>
      <c r="AI56" s="16">
        <v>75</v>
      </c>
      <c r="AK56" s="16">
        <v>17</v>
      </c>
      <c r="AL56" s="16">
        <v>0</v>
      </c>
      <c r="AM56" s="16">
        <v>0</v>
      </c>
      <c r="AN56" s="16">
        <v>0</v>
      </c>
      <c r="AO56" s="16">
        <f>IF(SUM(AL56:AN56)&gt;0,1,0)</f>
        <v>0</v>
      </c>
      <c r="AP56" s="16">
        <f>SUM(AL56:AN56)</f>
        <v>0</v>
      </c>
      <c r="AR56" s="16">
        <v>0.53500000000000003</v>
      </c>
      <c r="AS56" s="16">
        <v>0.53500000000000003</v>
      </c>
      <c r="AT56" s="18" t="s">
        <v>117</v>
      </c>
      <c r="AU56" s="18"/>
      <c r="AW56" s="22">
        <v>1</v>
      </c>
      <c r="AX56" s="16">
        <v>1</v>
      </c>
      <c r="AY56" s="16">
        <f>43/0.535</f>
        <v>80.373831775700936</v>
      </c>
      <c r="AZ56" s="18">
        <v>1</v>
      </c>
      <c r="BA56" s="16">
        <v>1</v>
      </c>
      <c r="BB56" s="16">
        <f>43/0.535</f>
        <v>80.373831775700936</v>
      </c>
      <c r="BC56" s="18">
        <v>0</v>
      </c>
      <c r="BD56" s="16">
        <v>0</v>
      </c>
      <c r="BE56" s="16">
        <v>0</v>
      </c>
      <c r="BF56" s="18">
        <v>1</v>
      </c>
      <c r="BG56" s="23">
        <v>43</v>
      </c>
      <c r="BH56" s="16">
        <f>43/0.535</f>
        <v>80.373831775700936</v>
      </c>
      <c r="BI56" s="18">
        <v>0</v>
      </c>
      <c r="BJ56" s="16">
        <v>0</v>
      </c>
      <c r="BK56" s="16">
        <v>0</v>
      </c>
      <c r="BL56" s="16">
        <f>IF(BM56&gt;0,1,0)</f>
        <v>0</v>
      </c>
      <c r="BM56" s="16">
        <f>SUM(BR56,BU56,BX56,CA56,CD56,CG56,CJ56,CM56,CP56)</f>
        <v>0</v>
      </c>
      <c r="BN56" s="16">
        <f>SUM(BW56,BZ56,CC56,CF56,CI56,CL56,CO56,CR56,BT56)</f>
        <v>0</v>
      </c>
      <c r="BO56" s="16">
        <f>IF(BP56&gt;0,1,0)</f>
        <v>0</v>
      </c>
      <c r="BP56" s="16">
        <f>SUM(BU56,BX56,CA56,CD56,BR56)</f>
        <v>0</v>
      </c>
      <c r="BQ56" s="16">
        <f>SUM(BZ56,CC56,CF56,BT56,BW56)</f>
        <v>0</v>
      </c>
      <c r="BR56" s="18">
        <v>0</v>
      </c>
      <c r="BS56" s="16">
        <v>0</v>
      </c>
      <c r="BT56" s="23">
        <f>BS56/AS56</f>
        <v>0</v>
      </c>
      <c r="BU56" s="18">
        <v>0</v>
      </c>
      <c r="BV56" s="16">
        <v>0</v>
      </c>
      <c r="BW56" s="18">
        <f>BV56/AS56</f>
        <v>0</v>
      </c>
      <c r="BX56" s="18">
        <v>0</v>
      </c>
      <c r="BY56" s="16">
        <v>0</v>
      </c>
      <c r="BZ56" s="16">
        <f>BY56/AS56</f>
        <v>0</v>
      </c>
      <c r="CA56" s="24">
        <v>0</v>
      </c>
      <c r="CB56" s="16">
        <v>0</v>
      </c>
      <c r="CC56" s="16">
        <v>0</v>
      </c>
      <c r="CD56" s="25">
        <v>0</v>
      </c>
      <c r="CE56" s="16">
        <v>0</v>
      </c>
      <c r="CF56" s="16">
        <v>0</v>
      </c>
      <c r="CP56" s="16" t="s">
        <v>123</v>
      </c>
      <c r="CQ56" s="16">
        <v>0</v>
      </c>
      <c r="CR56" s="16">
        <v>0</v>
      </c>
      <c r="CS56" s="18">
        <f>IF(CT56&gt;0,1,0)</f>
        <v>0</v>
      </c>
      <c r="CT56" s="25">
        <f>SUM(CW56,CZ56,DC56)</f>
        <v>0</v>
      </c>
      <c r="CU56" s="25"/>
      <c r="CV56" s="16">
        <v>0</v>
      </c>
      <c r="CW56" s="25">
        <v>0</v>
      </c>
      <c r="CX56" s="16">
        <v>0</v>
      </c>
      <c r="CY56" s="16">
        <v>0</v>
      </c>
      <c r="CZ56" s="18">
        <v>0</v>
      </c>
      <c r="DA56" s="16">
        <v>0</v>
      </c>
      <c r="DB56" s="16">
        <v>0</v>
      </c>
      <c r="DC56" s="18">
        <v>0</v>
      </c>
      <c r="DD56" s="16">
        <v>0</v>
      </c>
      <c r="DE56" s="16">
        <v>0</v>
      </c>
      <c r="DF56" s="16" t="e">
        <f>VLOOKUP(K56,'[3]RNA Seq summary tables'!$V$3:$V$99,1,FALSE)</f>
        <v>#N/A</v>
      </c>
      <c r="DG56" s="16">
        <v>1</v>
      </c>
      <c r="DH56" s="16" t="str">
        <f>VLOOKUP(D56,'[8]Data with duplicates'!$B$1:$J$70,9,FALSE)</f>
        <v>sample.36</v>
      </c>
    </row>
    <row r="57" spans="1:288" x14ac:dyDescent="0.2">
      <c r="B57" s="16">
        <v>2016</v>
      </c>
      <c r="C57" s="20">
        <v>42586</v>
      </c>
      <c r="D57" s="20" t="str">
        <f>CONCATENATE(J57,"-",C57)</f>
        <v>956-42586</v>
      </c>
      <c r="E57" s="20" t="str">
        <f>CONCATENATE(T57,"-",U57,"-",C57)</f>
        <v>PO1-G5-42586</v>
      </c>
      <c r="F57" s="20" t="s">
        <v>106</v>
      </c>
      <c r="G57" s="20" t="s">
        <v>107</v>
      </c>
      <c r="H57" s="16" t="s">
        <v>307</v>
      </c>
      <c r="I57" s="16">
        <v>0</v>
      </c>
      <c r="J57" s="21">
        <v>956</v>
      </c>
      <c r="K57" s="21">
        <v>1530</v>
      </c>
      <c r="L57" s="18">
        <v>0</v>
      </c>
      <c r="M57" s="15">
        <f>VLOOKUP(K57,'[7]MLBS 2016 SNV-nem Coinfection d'!$C$1:$G$238,4,FALSE)</f>
        <v>0</v>
      </c>
      <c r="N57" s="15">
        <v>0</v>
      </c>
      <c r="O57" s="15" t="s">
        <v>119</v>
      </c>
      <c r="P57" s="16" t="s">
        <v>119</v>
      </c>
      <c r="Q57" s="16">
        <v>0</v>
      </c>
      <c r="R57" s="16">
        <v>14</v>
      </c>
      <c r="T57" s="16" t="s">
        <v>112</v>
      </c>
      <c r="U57" s="16" t="s">
        <v>200</v>
      </c>
      <c r="V57" s="16" t="s">
        <v>114</v>
      </c>
      <c r="W57" s="16">
        <f>AI57/AG57</f>
        <v>0.8539325842696629</v>
      </c>
      <c r="X57" s="16" t="s">
        <v>115</v>
      </c>
      <c r="Y57" s="16" t="s">
        <v>110</v>
      </c>
      <c r="Z57" s="16">
        <v>3</v>
      </c>
      <c r="AE57" s="16" t="s">
        <v>116</v>
      </c>
      <c r="AF57" s="16" t="s">
        <v>116</v>
      </c>
      <c r="AG57" s="16">
        <f>AH57-AI57</f>
        <v>89</v>
      </c>
      <c r="AH57" s="16">
        <v>165</v>
      </c>
      <c r="AI57" s="16">
        <v>76</v>
      </c>
      <c r="AK57" s="16">
        <v>22</v>
      </c>
      <c r="AL57" s="16">
        <v>0</v>
      </c>
      <c r="AM57" s="16">
        <v>0</v>
      </c>
      <c r="AN57" s="16">
        <v>0</v>
      </c>
      <c r="AO57" s="16">
        <f>IF(SUM(AL57:AN57)&gt;0,1,0)</f>
        <v>0</v>
      </c>
      <c r="AP57" s="16">
        <f>SUM(AL57:AN57)</f>
        <v>0</v>
      </c>
      <c r="AQ57" s="16">
        <v>2.125</v>
      </c>
      <c r="AR57" s="18">
        <v>0.64800000000000002</v>
      </c>
      <c r="AS57" s="18">
        <v>0.64800000000000002</v>
      </c>
      <c r="AT57" s="16" t="s">
        <v>205</v>
      </c>
      <c r="AW57" s="22">
        <v>1</v>
      </c>
      <c r="AX57" s="18">
        <v>3</v>
      </c>
      <c r="AY57" s="16">
        <f>(568+477+1206)/AS57</f>
        <v>3473.7654320987654</v>
      </c>
      <c r="AZ57" s="18">
        <v>1</v>
      </c>
      <c r="BA57" s="18">
        <v>3</v>
      </c>
      <c r="BB57" s="16">
        <f>AY57</f>
        <v>3473.7654320987654</v>
      </c>
      <c r="BC57" s="16">
        <v>1</v>
      </c>
      <c r="BD57" s="18">
        <v>568</v>
      </c>
      <c r="BE57" s="16">
        <f>568/AS57</f>
        <v>876.54320987654319</v>
      </c>
      <c r="BF57" s="18">
        <v>1</v>
      </c>
      <c r="BG57" s="25">
        <v>477</v>
      </c>
      <c r="BH57" s="16">
        <f>477/AS57</f>
        <v>736.11111111111109</v>
      </c>
      <c r="BI57" s="16">
        <v>1</v>
      </c>
      <c r="BJ57" s="18">
        <v>1206</v>
      </c>
      <c r="BK57" s="16">
        <f>1206/AS57</f>
        <v>1861.1111111111111</v>
      </c>
      <c r="BL57" s="16">
        <f>IF(BM57&gt;0,1,0)</f>
        <v>0</v>
      </c>
      <c r="BM57" s="16">
        <f>SUM(BR57,BU57,BX57,CA57,CD57,CG57,CJ57,CM57,CP57)</f>
        <v>0</v>
      </c>
      <c r="BN57" s="16">
        <f>SUM(BW57,BZ57,CC57,CF57,CI57,CL57,CO57,CR57,BT57)</f>
        <v>0</v>
      </c>
      <c r="BO57" s="16">
        <f>IF(BP57&gt;0,1,0)</f>
        <v>0</v>
      </c>
      <c r="BP57" s="16">
        <f>SUM(BU57,BX57,CA57,CD57,BR57)</f>
        <v>0</v>
      </c>
      <c r="BQ57" s="16">
        <f>SUM(BZ57,CC57,CF57,BT57,BW57)</f>
        <v>0</v>
      </c>
      <c r="BR57" s="18">
        <v>0</v>
      </c>
      <c r="BS57" s="18">
        <v>0</v>
      </c>
      <c r="BT57" s="23">
        <f>BS57/AS57</f>
        <v>0</v>
      </c>
      <c r="BU57" s="18">
        <v>0</v>
      </c>
      <c r="BV57" s="18">
        <v>0</v>
      </c>
      <c r="BW57" s="18">
        <f>BV57/AS57</f>
        <v>0</v>
      </c>
      <c r="BX57" s="18">
        <v>0</v>
      </c>
      <c r="BY57" s="18">
        <v>0</v>
      </c>
      <c r="BZ57" s="16">
        <f>BY57/AS57</f>
        <v>0</v>
      </c>
      <c r="CA57" s="24">
        <v>0</v>
      </c>
      <c r="CB57" s="18">
        <v>0</v>
      </c>
      <c r="CC57" s="18">
        <v>0</v>
      </c>
      <c r="CD57" s="25">
        <v>0</v>
      </c>
      <c r="CE57" s="18">
        <v>0</v>
      </c>
      <c r="CF57" s="18">
        <v>0</v>
      </c>
      <c r="CG57" s="18"/>
      <c r="CH57" s="18"/>
      <c r="CI57" s="18"/>
      <c r="CJ57" s="18"/>
      <c r="CK57" s="18"/>
      <c r="CL57" s="18"/>
      <c r="CM57" s="18"/>
      <c r="CN57" s="18"/>
      <c r="CO57" s="18"/>
      <c r="CP57" s="18" t="s">
        <v>123</v>
      </c>
      <c r="CQ57" s="18">
        <v>0</v>
      </c>
      <c r="CR57" s="18">
        <v>0</v>
      </c>
      <c r="CS57" s="18">
        <f>IF(CT57&gt;0,1,0)</f>
        <v>0</v>
      </c>
      <c r="CT57" s="25">
        <f>SUM(CW57,CZ57,DC57)</f>
        <v>0</v>
      </c>
      <c r="CU57" s="25"/>
      <c r="CV57" s="18">
        <v>0</v>
      </c>
      <c r="CW57" s="25">
        <v>0</v>
      </c>
      <c r="CX57" s="18">
        <v>0</v>
      </c>
      <c r="CY57" s="18">
        <v>0</v>
      </c>
      <c r="CZ57" s="18">
        <v>0</v>
      </c>
      <c r="DA57" s="18">
        <v>0</v>
      </c>
      <c r="DB57" s="18">
        <v>0</v>
      </c>
      <c r="DC57" s="18">
        <v>0</v>
      </c>
      <c r="DD57" s="18">
        <v>0</v>
      </c>
      <c r="DE57" s="18">
        <v>0</v>
      </c>
      <c r="DF57" s="16" t="e">
        <f>VLOOKUP(K57,'[3]RNA Seq summary tables'!$V$3:$V$99,1,FALSE)</f>
        <v>#N/A</v>
      </c>
      <c r="DG57" s="16">
        <v>1</v>
      </c>
      <c r="DH57" s="16" t="str">
        <f>VLOOKUP(D57,'[8]Data with duplicates'!$B$1:$J$70,9,FALSE)</f>
        <v>sample.37</v>
      </c>
    </row>
    <row r="58" spans="1:288" x14ac:dyDescent="0.2">
      <c r="B58" s="16">
        <v>2016</v>
      </c>
      <c r="C58" s="20">
        <v>42530</v>
      </c>
      <c r="D58" s="20" t="str">
        <f>CONCATENATE(J58,"-",C58)</f>
        <v>957-42530</v>
      </c>
      <c r="E58" s="20" t="str">
        <f>CONCATENATE(T58,"-",U58,"-",C58)</f>
        <v>PO2-C5-42530</v>
      </c>
      <c r="F58" s="20" t="s">
        <v>106</v>
      </c>
      <c r="G58" s="20" t="s">
        <v>107</v>
      </c>
      <c r="I58" s="16">
        <v>0</v>
      </c>
      <c r="J58" s="21">
        <v>957</v>
      </c>
      <c r="K58" s="21">
        <v>1364</v>
      </c>
      <c r="L58" s="16">
        <v>0</v>
      </c>
      <c r="M58" s="15">
        <f>VLOOKUP(K58,'[7]MLBS 2016 SNV-nem Coinfection d'!$C$1:$G$238,4,FALSE)</f>
        <v>0</v>
      </c>
      <c r="N58" s="15">
        <v>0</v>
      </c>
      <c r="O58" s="15" t="s">
        <v>119</v>
      </c>
      <c r="P58" s="16" t="s">
        <v>119</v>
      </c>
      <c r="Q58" s="16">
        <v>0</v>
      </c>
      <c r="R58" s="16" t="s">
        <v>111</v>
      </c>
      <c r="T58" s="16" t="s">
        <v>127</v>
      </c>
      <c r="U58" s="16" t="s">
        <v>172</v>
      </c>
      <c r="V58" s="16" t="s">
        <v>114</v>
      </c>
      <c r="W58" s="16">
        <f>AI58/AG58</f>
        <v>0.83132530120481929</v>
      </c>
      <c r="X58" s="16" t="s">
        <v>115</v>
      </c>
      <c r="Y58" s="16" t="s">
        <v>122</v>
      </c>
      <c r="Z58" s="16">
        <v>2.2999999999999998</v>
      </c>
      <c r="AE58" s="16" t="s">
        <v>123</v>
      </c>
      <c r="AF58" s="16" t="s">
        <v>123</v>
      </c>
      <c r="AG58" s="16">
        <f>AH58-AI58</f>
        <v>83</v>
      </c>
      <c r="AH58" s="16">
        <v>152</v>
      </c>
      <c r="AI58" s="16">
        <v>69</v>
      </c>
      <c r="AK58" s="16">
        <v>15</v>
      </c>
      <c r="AL58" s="16">
        <v>0</v>
      </c>
      <c r="AM58" s="16">
        <v>0</v>
      </c>
      <c r="AN58" s="16">
        <v>0</v>
      </c>
      <c r="AO58" s="16">
        <f>IF(SUM(AL58:AN58)&gt;0,1,0)</f>
        <v>0</v>
      </c>
      <c r="AP58" s="16">
        <f>SUM(AL58:AN58)</f>
        <v>0</v>
      </c>
      <c r="AQ58" s="16">
        <f>1.477+AS58</f>
        <v>1.6800000000000002</v>
      </c>
      <c r="AR58" s="16">
        <v>0.20300000000000001</v>
      </c>
      <c r="AS58" s="16">
        <v>0.20300000000000001</v>
      </c>
      <c r="AT58" s="16" t="s">
        <v>124</v>
      </c>
      <c r="AV58" s="16">
        <v>1</v>
      </c>
      <c r="AW58" s="18">
        <v>0</v>
      </c>
      <c r="AY58" s="16">
        <v>0</v>
      </c>
      <c r="AZ58" s="18">
        <v>0</v>
      </c>
      <c r="BB58" s="16">
        <v>0</v>
      </c>
      <c r="BC58" s="18">
        <v>0</v>
      </c>
      <c r="BD58" s="16">
        <v>0</v>
      </c>
      <c r="BE58" s="16">
        <v>0</v>
      </c>
      <c r="BF58" s="18">
        <v>0</v>
      </c>
      <c r="BG58" s="23">
        <v>0</v>
      </c>
      <c r="BH58" s="16">
        <v>0</v>
      </c>
      <c r="BI58" s="18">
        <v>0</v>
      </c>
      <c r="BJ58" s="16">
        <v>0</v>
      </c>
      <c r="BK58" s="16">
        <v>0</v>
      </c>
      <c r="BL58" s="16">
        <f>IF(BM58&gt;0,1,0)</f>
        <v>0</v>
      </c>
      <c r="BM58" s="16">
        <f>SUM(BR58,BU58,BX58,CA58,CD58,CG58,CJ58,CM58,CP58)</f>
        <v>0</v>
      </c>
      <c r="BN58" s="16">
        <f>SUM(BW58,BZ58,CC58,CF58,CI58,CL58,CO58,CR58,BT58)</f>
        <v>0</v>
      </c>
      <c r="BO58" s="16">
        <f>IF(BP58&gt;0,1,0)</f>
        <v>0</v>
      </c>
      <c r="BP58" s="16">
        <f>SUM(BU58,BX58,CA58,CD58,BR58)</f>
        <v>0</v>
      </c>
      <c r="BQ58" s="16">
        <f>SUM(BZ58,CC58,CF58,BT58,BW58)</f>
        <v>0</v>
      </c>
      <c r="BR58" s="18">
        <v>0</v>
      </c>
      <c r="BS58" s="16">
        <v>0</v>
      </c>
      <c r="BT58" s="23">
        <f>BS58/AS58</f>
        <v>0</v>
      </c>
      <c r="BU58" s="18">
        <v>0</v>
      </c>
      <c r="BV58" s="16">
        <v>0</v>
      </c>
      <c r="BW58" s="18">
        <f>BV58/AS58</f>
        <v>0</v>
      </c>
      <c r="BX58" s="18">
        <v>0</v>
      </c>
      <c r="BY58" s="16">
        <v>0</v>
      </c>
      <c r="BZ58" s="16">
        <f>BY58/AS58</f>
        <v>0</v>
      </c>
      <c r="CA58" s="24">
        <v>0</v>
      </c>
      <c r="CB58" s="16">
        <v>0</v>
      </c>
      <c r="CC58" s="16">
        <v>0</v>
      </c>
      <c r="CD58" s="25">
        <v>0</v>
      </c>
      <c r="CE58" s="16">
        <v>0</v>
      </c>
      <c r="CF58" s="16">
        <v>0</v>
      </c>
      <c r="CP58" s="16" t="s">
        <v>123</v>
      </c>
      <c r="CQ58" s="16">
        <v>0</v>
      </c>
      <c r="CR58" s="16">
        <v>0</v>
      </c>
      <c r="CS58" s="18">
        <f>IF(CT58&gt;0,1,0)</f>
        <v>0</v>
      </c>
      <c r="CT58" s="25">
        <f>SUM(CW58,CZ58,DC58)</f>
        <v>0</v>
      </c>
      <c r="CU58" s="25"/>
      <c r="CV58" s="16">
        <v>0</v>
      </c>
      <c r="CW58" s="25">
        <v>0</v>
      </c>
      <c r="CX58" s="16">
        <v>0</v>
      </c>
      <c r="CY58" s="16">
        <v>0</v>
      </c>
      <c r="CZ58" s="18">
        <v>0</v>
      </c>
      <c r="DA58" s="16">
        <v>0</v>
      </c>
      <c r="DB58" s="16">
        <v>0</v>
      </c>
      <c r="DC58" s="18">
        <v>0</v>
      </c>
      <c r="DD58" s="16">
        <v>0</v>
      </c>
      <c r="DE58" s="16">
        <v>0</v>
      </c>
      <c r="DF58" s="16" t="e">
        <f>VLOOKUP(K58,'[3]RNA Seq summary tables'!$V$3:$V$99,1,FALSE)</f>
        <v>#N/A</v>
      </c>
      <c r="JR58" s="18"/>
      <c r="JS58" s="18"/>
      <c r="JT58" s="18"/>
      <c r="JU58" s="18"/>
      <c r="JV58" s="18"/>
      <c r="JW58" s="18"/>
      <c r="JX58" s="18"/>
      <c r="JY58" s="18"/>
      <c r="JZ58" s="18"/>
      <c r="KA58" s="18"/>
      <c r="KB58" s="18"/>
    </row>
    <row r="59" spans="1:288" x14ac:dyDescent="0.2">
      <c r="B59" s="16">
        <v>2016</v>
      </c>
      <c r="C59" s="20">
        <v>42546</v>
      </c>
      <c r="D59" s="20" t="str">
        <f>CONCATENATE(J59,"-",C59)</f>
        <v>957-42546</v>
      </c>
      <c r="E59" s="20" t="str">
        <f>CONCATENATE(T59,"-",U59,"-",C59)</f>
        <v>PO2-D8-42546</v>
      </c>
      <c r="F59" s="20" t="s">
        <v>106</v>
      </c>
      <c r="G59" s="20" t="s">
        <v>107</v>
      </c>
      <c r="I59" s="16">
        <v>0</v>
      </c>
      <c r="J59" s="21">
        <v>957</v>
      </c>
      <c r="K59" s="21">
        <v>1420</v>
      </c>
      <c r="L59" s="18">
        <v>0</v>
      </c>
      <c r="M59" s="15">
        <f>VLOOKUP(K59,'[7]MLBS 2016 SNV-nem Coinfection d'!$C$1:$G$238,4,FALSE)</f>
        <v>0</v>
      </c>
      <c r="N59" s="15">
        <v>0</v>
      </c>
      <c r="O59" s="15" t="s">
        <v>119</v>
      </c>
      <c r="P59" s="16" t="s">
        <v>119</v>
      </c>
      <c r="Q59" s="16">
        <v>0</v>
      </c>
      <c r="R59" s="16">
        <v>16</v>
      </c>
      <c r="T59" s="16" t="s">
        <v>127</v>
      </c>
      <c r="U59" s="16" t="s">
        <v>178</v>
      </c>
      <c r="V59" s="16" t="s">
        <v>114</v>
      </c>
      <c r="W59" s="16">
        <f>AI59/AG59</f>
        <v>0.8089887640449438</v>
      </c>
      <c r="X59" s="16" t="s">
        <v>115</v>
      </c>
      <c r="Y59" s="16" t="s">
        <v>110</v>
      </c>
      <c r="Z59" s="16">
        <v>3</v>
      </c>
      <c r="AE59" s="16" t="s">
        <v>123</v>
      </c>
      <c r="AF59" s="16" t="s">
        <v>123</v>
      </c>
      <c r="AG59" s="16">
        <f>AH59-AI59</f>
        <v>89</v>
      </c>
      <c r="AH59" s="16">
        <v>161</v>
      </c>
      <c r="AI59" s="16">
        <v>72</v>
      </c>
      <c r="AK59" s="16">
        <v>16</v>
      </c>
      <c r="AL59" s="16">
        <v>0</v>
      </c>
      <c r="AM59" s="16">
        <v>0</v>
      </c>
      <c r="AN59" s="16">
        <v>0</v>
      </c>
      <c r="AO59" s="16">
        <f>IF(SUM(AL59:AN59)&gt;0,1,0)</f>
        <v>0</v>
      </c>
      <c r="AP59" s="16">
        <f>SUM(AL59:AN59)</f>
        <v>0</v>
      </c>
      <c r="AQ59" s="16">
        <v>1.6259999999999999</v>
      </c>
      <c r="AR59" s="16">
        <v>0.14899999999999999</v>
      </c>
      <c r="AS59" s="16">
        <v>0.14899999999999999</v>
      </c>
      <c r="AT59" s="16" t="s">
        <v>124</v>
      </c>
      <c r="AW59" s="24">
        <v>1</v>
      </c>
      <c r="AX59" s="18"/>
      <c r="AY59" s="18">
        <f>(157+46+15)/AS59</f>
        <v>1463.0872483221476</v>
      </c>
      <c r="AZ59" s="18">
        <v>1</v>
      </c>
      <c r="BA59" s="18"/>
      <c r="BB59" s="18">
        <f>AY59</f>
        <v>1463.0872483221476</v>
      </c>
      <c r="BC59" s="18">
        <v>1</v>
      </c>
      <c r="BD59" s="18">
        <v>157</v>
      </c>
      <c r="BE59" s="18">
        <f>157/AS59</f>
        <v>1053.6912751677853</v>
      </c>
      <c r="BF59" s="18">
        <v>1</v>
      </c>
      <c r="BG59" s="23">
        <v>46</v>
      </c>
      <c r="BH59" s="16">
        <f>46/AS59</f>
        <v>308.72483221476512</v>
      </c>
      <c r="BI59" s="16">
        <v>1</v>
      </c>
      <c r="BJ59" s="16">
        <v>15</v>
      </c>
      <c r="BK59" s="16">
        <f>15/AS59</f>
        <v>100.67114093959732</v>
      </c>
      <c r="BL59" s="16">
        <f>IF(BM59&gt;0,1,0)</f>
        <v>0</v>
      </c>
      <c r="BM59" s="16">
        <f>SUM(BR59,BU59,BX59,CA59,CD59,CG59,CJ59,CM59,CP59)</f>
        <v>0</v>
      </c>
      <c r="BN59" s="18">
        <f>SUM(BW59,BZ59,CC59,CF59,CI59,CL59,CO59,CR59,BT59)</f>
        <v>0</v>
      </c>
      <c r="BO59" s="18">
        <f>IF(BP59&gt;0,1,0)</f>
        <v>0</v>
      </c>
      <c r="BP59" s="18">
        <f>SUM(BU59,BX59,CA59,CD59,BR59)</f>
        <v>0</v>
      </c>
      <c r="BQ59" s="18">
        <f>SUM(BZ59,CC59,CF59,BT59,BW59)</f>
        <v>0</v>
      </c>
      <c r="BR59" s="18">
        <v>0</v>
      </c>
      <c r="BS59" s="18">
        <v>0</v>
      </c>
      <c r="BT59" s="25">
        <f>BS59/AS59</f>
        <v>0</v>
      </c>
      <c r="BU59" s="18">
        <v>0</v>
      </c>
      <c r="BV59" s="18">
        <v>0</v>
      </c>
      <c r="BW59" s="18">
        <f>BV59/AS59</f>
        <v>0</v>
      </c>
      <c r="BX59" s="18">
        <v>0</v>
      </c>
      <c r="BY59" s="18">
        <v>0</v>
      </c>
      <c r="BZ59" s="18">
        <f>BY59/AS59</f>
        <v>0</v>
      </c>
      <c r="CA59" s="24">
        <v>0</v>
      </c>
      <c r="CB59" s="18">
        <v>0</v>
      </c>
      <c r="CC59" s="18">
        <v>0</v>
      </c>
      <c r="CD59" s="25">
        <v>0</v>
      </c>
      <c r="CE59" s="18">
        <v>0</v>
      </c>
      <c r="CF59" s="18">
        <v>0</v>
      </c>
      <c r="CG59" s="18"/>
      <c r="CH59" s="18"/>
      <c r="CI59" s="18"/>
      <c r="CJ59" s="18"/>
      <c r="CK59" s="18"/>
      <c r="CL59" s="18"/>
      <c r="CM59" s="18"/>
      <c r="CN59" s="18"/>
      <c r="CO59" s="18"/>
      <c r="CP59" s="18" t="s">
        <v>123</v>
      </c>
      <c r="CQ59" s="18">
        <v>0</v>
      </c>
      <c r="CR59" s="18">
        <v>0</v>
      </c>
      <c r="CS59" s="18">
        <f>IF(CT59&gt;0,1,0)</f>
        <v>0</v>
      </c>
      <c r="CT59" s="25">
        <f>SUM(CW59,CZ59,DC59)</f>
        <v>0</v>
      </c>
      <c r="CU59" s="25"/>
      <c r="CV59" s="18">
        <v>0</v>
      </c>
      <c r="CW59" s="25">
        <v>0</v>
      </c>
      <c r="CX59" s="18">
        <v>0</v>
      </c>
      <c r="CY59" s="18">
        <v>0</v>
      </c>
      <c r="CZ59" s="18">
        <v>0</v>
      </c>
      <c r="DA59" s="18">
        <v>0</v>
      </c>
      <c r="DB59" s="18">
        <v>0</v>
      </c>
      <c r="DC59" s="18">
        <v>0</v>
      </c>
      <c r="DD59" s="18">
        <v>0</v>
      </c>
      <c r="DE59" s="18">
        <v>0</v>
      </c>
      <c r="DF59" s="16" t="e">
        <f>VLOOKUP(K59,'[3]RNA Seq summary tables'!$V$3:$V$99,1,FALSE)</f>
        <v>#N/A</v>
      </c>
      <c r="DI59" s="18"/>
      <c r="DJ59" s="18"/>
      <c r="DK59" s="18"/>
      <c r="DL59" s="18"/>
      <c r="DM59" s="18"/>
      <c r="DN59" s="18"/>
      <c r="DO59" s="18"/>
      <c r="DP59" s="18"/>
      <c r="DQ59" s="18"/>
      <c r="DR59" s="18"/>
      <c r="DS59" s="18"/>
    </row>
    <row r="60" spans="1:288" x14ac:dyDescent="0.2">
      <c r="B60" s="16">
        <v>2016</v>
      </c>
      <c r="C60" s="20">
        <v>42559</v>
      </c>
      <c r="D60" s="20" t="str">
        <f>CONCATENATE(J60,"-",C60)</f>
        <v>957-42559</v>
      </c>
      <c r="E60" s="20" t="str">
        <f>CONCATENATE(T60,"-",U60,"-",C60)</f>
        <v>PO2-E4-42559</v>
      </c>
      <c r="F60" s="20" t="s">
        <v>106</v>
      </c>
      <c r="G60" s="20" t="s">
        <v>107</v>
      </c>
      <c r="I60" s="16">
        <v>0</v>
      </c>
      <c r="J60" s="21">
        <v>957</v>
      </c>
      <c r="K60" s="21">
        <v>1467</v>
      </c>
      <c r="L60" s="18">
        <v>0</v>
      </c>
      <c r="M60" s="15">
        <f>VLOOKUP(K60,'[7]MLBS 2016 SNV-nem Coinfection d'!$C$1:$G$238,4,FALSE)</f>
        <v>0</v>
      </c>
      <c r="N60" s="15">
        <v>0</v>
      </c>
      <c r="O60" s="15" t="s">
        <v>119</v>
      </c>
      <c r="P60" s="16" t="s">
        <v>119</v>
      </c>
      <c r="Q60" s="16">
        <v>0</v>
      </c>
      <c r="R60" s="16">
        <v>13</v>
      </c>
      <c r="T60" s="16" t="s">
        <v>127</v>
      </c>
      <c r="U60" s="16" t="s">
        <v>206</v>
      </c>
      <c r="V60" s="16" t="s">
        <v>114</v>
      </c>
      <c r="W60" s="16">
        <f>AI60/AG60</f>
        <v>0.87058823529411766</v>
      </c>
      <c r="X60" s="16" t="s">
        <v>115</v>
      </c>
      <c r="Y60" s="16" t="s">
        <v>110</v>
      </c>
      <c r="Z60" s="16">
        <v>3</v>
      </c>
      <c r="AE60" s="16" t="s">
        <v>116</v>
      </c>
      <c r="AF60" s="16" t="s">
        <v>116</v>
      </c>
      <c r="AG60" s="16">
        <f>AH60-AI60</f>
        <v>85</v>
      </c>
      <c r="AH60" s="16">
        <v>159</v>
      </c>
      <c r="AI60" s="16">
        <v>74</v>
      </c>
      <c r="AK60" s="16">
        <v>18</v>
      </c>
      <c r="AL60" s="16">
        <v>0</v>
      </c>
      <c r="AM60" s="16">
        <v>0</v>
      </c>
      <c r="AN60" s="16">
        <v>0</v>
      </c>
      <c r="AO60" s="16">
        <f>IF(SUM(AL60:AN60)&gt;0,1,0)</f>
        <v>0</v>
      </c>
      <c r="AP60" s="16">
        <f>SUM(AL60:AN60)</f>
        <v>0</v>
      </c>
      <c r="AQ60" s="16">
        <v>1.86</v>
      </c>
      <c r="AR60" s="16">
        <v>0.38300000000000001</v>
      </c>
      <c r="AS60" s="16">
        <v>0.38300000000000001</v>
      </c>
      <c r="AT60" s="16" t="s">
        <v>124</v>
      </c>
      <c r="AW60" s="22">
        <v>1</v>
      </c>
      <c r="AX60" s="16">
        <v>2</v>
      </c>
      <c r="AY60" s="16">
        <f>(14+70)/AS60</f>
        <v>219.32114882506528</v>
      </c>
      <c r="AZ60" s="18">
        <v>1</v>
      </c>
      <c r="BA60" s="16">
        <v>2</v>
      </c>
      <c r="BB60" s="16">
        <f>AY60</f>
        <v>219.32114882506528</v>
      </c>
      <c r="BC60" s="16">
        <v>1</v>
      </c>
      <c r="BD60" s="16">
        <v>14</v>
      </c>
      <c r="BE60" s="16">
        <f>14/AS60</f>
        <v>36.553524804177542</v>
      </c>
      <c r="BF60" s="18">
        <v>1</v>
      </c>
      <c r="BG60" s="23">
        <v>70</v>
      </c>
      <c r="BH60" s="16">
        <f>70/AS60</f>
        <v>182.76762402088772</v>
      </c>
      <c r="BI60" s="18">
        <v>0</v>
      </c>
      <c r="BJ60" s="16">
        <v>0</v>
      </c>
      <c r="BK60" s="16">
        <v>0</v>
      </c>
      <c r="BL60" s="16">
        <f>IF(BM60&gt;0,1,0)</f>
        <v>0</v>
      </c>
      <c r="BM60" s="16">
        <f>SUM(BR60,BU60,BX60,CA60,CD60,CG60,CJ60,CM60,CP60)</f>
        <v>0</v>
      </c>
      <c r="BN60" s="16">
        <f>SUM(BW60,BZ60,CC60,CF60,CI60,CL60,CO60,CR60,BT60)</f>
        <v>0</v>
      </c>
      <c r="BO60" s="16">
        <f>IF(BP60&gt;0,1,0)</f>
        <v>0</v>
      </c>
      <c r="BP60" s="16">
        <f>SUM(BU60,BX60,CA60,CD60,BR60)</f>
        <v>0</v>
      </c>
      <c r="BQ60" s="16">
        <f>SUM(BZ60,CC60,CF60,BT60,BW60)</f>
        <v>0</v>
      </c>
      <c r="BR60" s="18">
        <v>0</v>
      </c>
      <c r="BS60" s="16">
        <v>0</v>
      </c>
      <c r="BT60" s="23">
        <f>BS60/AS60</f>
        <v>0</v>
      </c>
      <c r="BU60" s="18">
        <v>0</v>
      </c>
      <c r="BV60" s="16">
        <v>0</v>
      </c>
      <c r="BW60" s="18">
        <f>BV60/AS60</f>
        <v>0</v>
      </c>
      <c r="BX60" s="18">
        <v>0</v>
      </c>
      <c r="BY60" s="16">
        <v>0</v>
      </c>
      <c r="BZ60" s="16">
        <f>BY60/AS60</f>
        <v>0</v>
      </c>
      <c r="CA60" s="24">
        <v>0</v>
      </c>
      <c r="CB60" s="16">
        <v>0</v>
      </c>
      <c r="CC60" s="16">
        <v>0</v>
      </c>
      <c r="CD60" s="25">
        <v>0</v>
      </c>
      <c r="CE60" s="16">
        <v>0</v>
      </c>
      <c r="CF60" s="16">
        <v>0</v>
      </c>
      <c r="CP60" s="16" t="s">
        <v>123</v>
      </c>
      <c r="CQ60" s="16">
        <v>0</v>
      </c>
      <c r="CR60" s="16">
        <v>0</v>
      </c>
      <c r="CS60" s="18">
        <f>IF(CT60&gt;0,1,0)</f>
        <v>0</v>
      </c>
      <c r="CT60" s="25">
        <f>SUM(CW60,CZ60,DC60)</f>
        <v>0</v>
      </c>
      <c r="CU60" s="25"/>
      <c r="CV60" s="16">
        <v>0</v>
      </c>
      <c r="CW60" s="25">
        <v>0</v>
      </c>
      <c r="CX60" s="16">
        <v>0</v>
      </c>
      <c r="CY60" s="16">
        <v>0</v>
      </c>
      <c r="CZ60" s="18">
        <v>0</v>
      </c>
      <c r="DA60" s="16">
        <v>0</v>
      </c>
      <c r="DB60" s="16">
        <v>0</v>
      </c>
      <c r="DC60" s="18">
        <v>0</v>
      </c>
      <c r="DD60" s="16">
        <v>0</v>
      </c>
      <c r="DE60" s="16">
        <v>0</v>
      </c>
      <c r="DF60" s="16" t="e">
        <f>VLOOKUP(K60,'[3]RNA Seq summary tables'!$V$3:$V$99,1,FALSE)</f>
        <v>#N/A</v>
      </c>
      <c r="JO60" s="26"/>
    </row>
    <row r="61" spans="1:288" x14ac:dyDescent="0.2">
      <c r="B61" s="16">
        <v>2016</v>
      </c>
      <c r="C61" s="43">
        <v>42530</v>
      </c>
      <c r="D61" s="20" t="str">
        <f>CONCATENATE(J61,"-",C61)</f>
        <v>958-42530</v>
      </c>
      <c r="E61" s="20" t="str">
        <f>CONCATENATE(T61,"-",U61,"-",C61)</f>
        <v>PO2-G4-42530</v>
      </c>
      <c r="F61" s="20" t="s">
        <v>106</v>
      </c>
      <c r="G61" s="43" t="s">
        <v>107</v>
      </c>
      <c r="H61" s="23"/>
      <c r="I61" s="16">
        <v>0</v>
      </c>
      <c r="J61" s="15">
        <v>958</v>
      </c>
      <c r="K61" s="15">
        <v>1361</v>
      </c>
      <c r="L61" s="16">
        <v>0</v>
      </c>
      <c r="M61" s="15">
        <f>VLOOKUP(K61,'[7]MLBS 2016 SNV-nem Coinfection d'!$C$1:$G$238,4,FALSE)</f>
        <v>0</v>
      </c>
      <c r="N61" s="15">
        <v>0</v>
      </c>
      <c r="O61" s="15" t="s">
        <v>119</v>
      </c>
      <c r="P61" s="23" t="s">
        <v>119</v>
      </c>
      <c r="Q61" s="16">
        <v>0</v>
      </c>
      <c r="R61" s="23" t="s">
        <v>111</v>
      </c>
      <c r="S61" s="23"/>
      <c r="T61" s="23" t="s">
        <v>127</v>
      </c>
      <c r="U61" s="23" t="s">
        <v>173</v>
      </c>
      <c r="V61" s="23" t="s">
        <v>114</v>
      </c>
      <c r="W61" s="16">
        <f>AI61/AG61</f>
        <v>0.74257425742574257</v>
      </c>
      <c r="X61" s="23" t="s">
        <v>115</v>
      </c>
      <c r="Y61" s="23" t="s">
        <v>110</v>
      </c>
      <c r="Z61" s="23">
        <v>3</v>
      </c>
      <c r="AA61" s="23"/>
      <c r="AB61" s="23"/>
      <c r="AC61" s="23"/>
      <c r="AD61" s="23"/>
      <c r="AE61" s="23" t="s">
        <v>123</v>
      </c>
      <c r="AF61" s="23" t="s">
        <v>123</v>
      </c>
      <c r="AG61" s="25">
        <f>AH61-AI61</f>
        <v>101</v>
      </c>
      <c r="AH61" s="25">
        <v>176</v>
      </c>
      <c r="AI61" s="25">
        <v>75</v>
      </c>
      <c r="AJ61" s="25"/>
      <c r="AK61" s="23">
        <v>25.5</v>
      </c>
      <c r="AL61" s="23">
        <v>0</v>
      </c>
      <c r="AM61" s="23">
        <v>0</v>
      </c>
      <c r="AN61" s="23">
        <v>0</v>
      </c>
      <c r="AO61" s="23">
        <f>IF(SUM(AL61:AN61)&gt;0,1,0)</f>
        <v>0</v>
      </c>
      <c r="AP61" s="23">
        <f>SUM(AL61:AN61)</f>
        <v>0</v>
      </c>
      <c r="AQ61" s="23">
        <f>1.477+0.014</f>
        <v>1.4910000000000001</v>
      </c>
      <c r="AR61" s="23">
        <v>1.4E-2</v>
      </c>
      <c r="AS61" s="23">
        <v>1.4E-2</v>
      </c>
      <c r="AT61" s="23" t="s">
        <v>124</v>
      </c>
      <c r="AU61" s="23"/>
      <c r="AV61" s="23"/>
      <c r="AW61" s="50">
        <v>1</v>
      </c>
      <c r="AX61" s="23"/>
      <c r="AY61" s="23">
        <f>2/AS61</f>
        <v>142.85714285714286</v>
      </c>
      <c r="AZ61" s="18">
        <v>0</v>
      </c>
      <c r="BA61" s="23"/>
      <c r="BB61" s="23">
        <v>0</v>
      </c>
      <c r="BC61" s="18">
        <v>0</v>
      </c>
      <c r="BD61" s="23">
        <v>0</v>
      </c>
      <c r="BE61" s="23">
        <v>0</v>
      </c>
      <c r="BF61" s="18">
        <v>0</v>
      </c>
      <c r="BG61" s="23">
        <v>0</v>
      </c>
      <c r="BH61" s="23">
        <v>0</v>
      </c>
      <c r="BI61" s="18">
        <v>0</v>
      </c>
      <c r="BJ61" s="23">
        <v>0</v>
      </c>
      <c r="BK61" s="23">
        <v>0</v>
      </c>
      <c r="BL61" s="16">
        <f>IF(BM61&gt;0,1,0)</f>
        <v>1</v>
      </c>
      <c r="BM61" s="16">
        <f>SUM(BR61,BU61,BX61,CA61,CD61,CG61,CJ61,CM61,CP61)</f>
        <v>1</v>
      </c>
      <c r="BN61" s="16">
        <f>SUM(BW61,BZ61,CC61,CF61,CI61,CL61,CO61,CR61,BT61)</f>
        <v>142.85714285714286</v>
      </c>
      <c r="BO61" s="16">
        <f>IF(BP61&gt;0,1,0)</f>
        <v>1</v>
      </c>
      <c r="BP61" s="16">
        <f>SUM(BU61,BX61,CA61,CD61,BR61)</f>
        <v>1</v>
      </c>
      <c r="BQ61" s="16">
        <f>SUM(BZ61,CC61,CF61,BT61,BW61)</f>
        <v>142.85714285714286</v>
      </c>
      <c r="BR61" s="18">
        <v>0</v>
      </c>
      <c r="BS61" s="23">
        <v>0</v>
      </c>
      <c r="BT61" s="23">
        <f>BS61/AS61</f>
        <v>0</v>
      </c>
      <c r="BU61" s="18">
        <v>0</v>
      </c>
      <c r="BV61" s="23">
        <v>0</v>
      </c>
      <c r="BW61" s="18">
        <f>BV61/AS61</f>
        <v>0</v>
      </c>
      <c r="BX61" s="24">
        <v>1</v>
      </c>
      <c r="BY61" s="23">
        <v>2</v>
      </c>
      <c r="BZ61" s="16">
        <f>BY61/AS61</f>
        <v>142.85714285714286</v>
      </c>
      <c r="CA61" s="24">
        <v>0</v>
      </c>
      <c r="CB61" s="23">
        <v>0</v>
      </c>
      <c r="CC61" s="23">
        <v>0</v>
      </c>
      <c r="CD61" s="25">
        <v>0</v>
      </c>
      <c r="CE61" s="23">
        <v>0</v>
      </c>
      <c r="CF61" s="23">
        <v>0</v>
      </c>
      <c r="CG61" s="23"/>
      <c r="CH61" s="23"/>
      <c r="CI61" s="23"/>
      <c r="CJ61" s="23"/>
      <c r="CK61" s="23"/>
      <c r="CL61" s="23"/>
      <c r="CM61" s="23"/>
      <c r="CN61" s="23"/>
      <c r="CO61" s="23"/>
      <c r="CP61" s="23" t="s">
        <v>123</v>
      </c>
      <c r="CQ61" s="23">
        <v>0</v>
      </c>
      <c r="CR61" s="23">
        <v>0</v>
      </c>
      <c r="CS61" s="18">
        <f>IF(CT61&gt;0,1,0)</f>
        <v>0</v>
      </c>
      <c r="CT61" s="25">
        <f>SUM(CW61,CZ61,DC61)</f>
        <v>0</v>
      </c>
      <c r="CU61" s="25"/>
      <c r="CV61" s="23">
        <v>0</v>
      </c>
      <c r="CW61" s="25">
        <v>0</v>
      </c>
      <c r="CX61" s="23">
        <v>0</v>
      </c>
      <c r="CY61" s="23">
        <v>0</v>
      </c>
      <c r="CZ61" s="25">
        <v>0</v>
      </c>
      <c r="DA61" s="23">
        <v>0</v>
      </c>
      <c r="DB61" s="23">
        <v>0</v>
      </c>
      <c r="DC61" s="25">
        <v>0</v>
      </c>
      <c r="DD61" s="23">
        <v>0</v>
      </c>
      <c r="DE61" s="23">
        <v>0</v>
      </c>
      <c r="DF61" s="16" t="e">
        <f>VLOOKUP(K61,'[3]RNA Seq summary tables'!$V$3:$V$99,1,FALSE)</f>
        <v>#N/A</v>
      </c>
      <c r="DI61" s="23"/>
      <c r="DJ61" s="23"/>
      <c r="DK61" s="23"/>
      <c r="DL61" s="23"/>
      <c r="DM61" s="23"/>
      <c r="DN61" s="23"/>
      <c r="DO61" s="23"/>
      <c r="DP61" s="23"/>
      <c r="DQ61" s="23"/>
      <c r="DR61" s="23"/>
      <c r="DS61" s="23"/>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c r="HH61" s="25"/>
      <c r="HI61" s="25"/>
      <c r="HJ61" s="25"/>
      <c r="HK61" s="25"/>
      <c r="HL61" s="25"/>
      <c r="HM61" s="25"/>
      <c r="HN61" s="25"/>
      <c r="HO61" s="25"/>
      <c r="HP61" s="25"/>
      <c r="HQ61" s="25"/>
      <c r="HR61" s="25"/>
      <c r="HS61" s="25"/>
      <c r="HT61" s="25"/>
      <c r="HU61" s="25"/>
      <c r="HV61" s="25"/>
      <c r="HW61" s="25"/>
      <c r="HX61" s="25"/>
      <c r="HY61" s="25"/>
      <c r="HZ61" s="25"/>
      <c r="IA61" s="25"/>
      <c r="IB61" s="25"/>
      <c r="IC61" s="25"/>
      <c r="ID61" s="25"/>
      <c r="IE61" s="25"/>
      <c r="IF61" s="25"/>
      <c r="IG61" s="25"/>
      <c r="IH61" s="25"/>
      <c r="II61" s="25"/>
      <c r="IJ61" s="25"/>
      <c r="IK61" s="25"/>
      <c r="IL61" s="25"/>
      <c r="IM61" s="25"/>
      <c r="IN61" s="25"/>
      <c r="IO61" s="25"/>
      <c r="IP61" s="25"/>
      <c r="IQ61" s="25"/>
      <c r="IR61" s="25"/>
      <c r="IS61" s="25"/>
      <c r="IT61" s="25"/>
      <c r="IU61" s="25"/>
      <c r="IV61" s="25"/>
      <c r="IW61" s="25"/>
      <c r="IX61" s="25"/>
      <c r="IY61" s="25"/>
      <c r="IZ61" s="25"/>
      <c r="JA61" s="25"/>
      <c r="JB61" s="25"/>
      <c r="JC61" s="25"/>
      <c r="JD61" s="25"/>
      <c r="JE61" s="25"/>
      <c r="JF61" s="25"/>
      <c r="JG61" s="25"/>
      <c r="JH61" s="25"/>
      <c r="JI61" s="25"/>
      <c r="JJ61" s="25"/>
      <c r="JK61" s="25"/>
      <c r="JL61" s="25"/>
      <c r="JM61" s="25"/>
      <c r="JN61" s="25"/>
      <c r="JO61" s="23"/>
      <c r="JP61" s="23"/>
      <c r="JQ61" s="23"/>
      <c r="JR61" s="23"/>
      <c r="JS61" s="23"/>
      <c r="JT61" s="23"/>
      <c r="JU61" s="23"/>
      <c r="JV61" s="23"/>
      <c r="JW61" s="23"/>
      <c r="JX61" s="23"/>
      <c r="JY61" s="23"/>
      <c r="JZ61" s="23"/>
      <c r="KA61" s="23"/>
      <c r="KB61" s="23"/>
    </row>
    <row r="62" spans="1:288" x14ac:dyDescent="0.2">
      <c r="B62" s="16">
        <v>2016</v>
      </c>
      <c r="C62" s="20">
        <v>42531</v>
      </c>
      <c r="D62" s="20" t="str">
        <f>CONCATENATE(J62,"-",C62)</f>
        <v>960-42531</v>
      </c>
      <c r="E62" s="20" t="str">
        <f>CONCATENATE(T62,"-",U62,"-",C62)</f>
        <v>PO1-D7-42531</v>
      </c>
      <c r="F62" s="20" t="s">
        <v>106</v>
      </c>
      <c r="G62" s="20" t="s">
        <v>107</v>
      </c>
      <c r="I62" s="16">
        <v>0</v>
      </c>
      <c r="J62" s="21">
        <v>960</v>
      </c>
      <c r="K62" s="21">
        <v>1365</v>
      </c>
      <c r="L62" s="16">
        <v>0</v>
      </c>
      <c r="M62" s="15">
        <f>VLOOKUP(K62,'[7]MLBS 2016 SNV-nem Coinfection d'!$C$1:$G$238,4,FALSE)</f>
        <v>0</v>
      </c>
      <c r="N62" s="15">
        <v>0</v>
      </c>
      <c r="O62" s="15" t="s">
        <v>119</v>
      </c>
      <c r="P62" s="16" t="s">
        <v>119</v>
      </c>
      <c r="Q62" s="16">
        <v>0</v>
      </c>
      <c r="R62" s="16" t="s">
        <v>111</v>
      </c>
      <c r="T62" s="16" t="s">
        <v>112</v>
      </c>
      <c r="U62" s="16" t="s">
        <v>177</v>
      </c>
      <c r="V62" s="16" t="s">
        <v>114</v>
      </c>
      <c r="W62" s="16">
        <f>AI62/AG62</f>
        <v>0.82278481012658233</v>
      </c>
      <c r="X62" s="16" t="s">
        <v>115</v>
      </c>
      <c r="Y62" s="16" t="s">
        <v>122</v>
      </c>
      <c r="Z62" s="16">
        <v>2.6</v>
      </c>
      <c r="AE62" s="16" t="s">
        <v>123</v>
      </c>
      <c r="AF62" s="16" t="s">
        <v>123</v>
      </c>
      <c r="AG62" s="16">
        <f>AH62-AI62</f>
        <v>79</v>
      </c>
      <c r="AH62" s="16">
        <v>144</v>
      </c>
      <c r="AI62" s="16">
        <v>65</v>
      </c>
      <c r="AK62" s="16">
        <v>26.5</v>
      </c>
      <c r="AL62" s="16">
        <v>0</v>
      </c>
      <c r="AM62" s="16">
        <v>0</v>
      </c>
      <c r="AN62" s="16">
        <v>0</v>
      </c>
      <c r="AO62" s="16">
        <f>IF(SUM(AL62:AN62)&gt;0,1,0)</f>
        <v>0</v>
      </c>
      <c r="AP62" s="16">
        <f>SUM(AL62:AN62)</f>
        <v>0</v>
      </c>
      <c r="AR62" s="16">
        <v>0.188</v>
      </c>
      <c r="AS62" s="16">
        <v>0.188</v>
      </c>
      <c r="AT62" s="18" t="s">
        <v>117</v>
      </c>
      <c r="AU62" s="18"/>
      <c r="AW62" s="22">
        <v>1</v>
      </c>
      <c r="AY62" s="16">
        <f>24/0.188</f>
        <v>127.65957446808511</v>
      </c>
      <c r="AZ62" s="18">
        <v>1</v>
      </c>
      <c r="BB62" s="16">
        <f>24/0.188</f>
        <v>127.65957446808511</v>
      </c>
      <c r="BC62" s="16">
        <v>1</v>
      </c>
      <c r="BD62" s="16">
        <v>2</v>
      </c>
      <c r="BE62" s="16">
        <f>2/0.188</f>
        <v>10.638297872340425</v>
      </c>
      <c r="BF62" s="18">
        <v>1</v>
      </c>
      <c r="BG62" s="23">
        <v>22</v>
      </c>
      <c r="BH62" s="16">
        <f>22/0.188</f>
        <v>117.02127659574468</v>
      </c>
      <c r="BI62" s="18">
        <v>0</v>
      </c>
      <c r="BJ62" s="16">
        <v>0</v>
      </c>
      <c r="BK62" s="16">
        <v>0</v>
      </c>
      <c r="BL62" s="16">
        <f>IF(BM62&gt;0,1,0)</f>
        <v>0</v>
      </c>
      <c r="BM62" s="16">
        <f>SUM(BR62,BU62,BX62,CA62,CD62,CG62,CJ62,CM62,CP62)</f>
        <v>0</v>
      </c>
      <c r="BN62" s="16">
        <f>SUM(BW62,BZ62,CC62,CF62,CI62,CL62,CO62,CR62,BT62)</f>
        <v>0</v>
      </c>
      <c r="BO62" s="16">
        <f>IF(BP62&gt;0,1,0)</f>
        <v>0</v>
      </c>
      <c r="BP62" s="16">
        <f>SUM(BU62,BX62,CA62,CD62,BR62)</f>
        <v>0</v>
      </c>
      <c r="BQ62" s="16">
        <f>SUM(BZ62,CC62,CF62,BT62,BW62)</f>
        <v>0</v>
      </c>
      <c r="BR62" s="18">
        <v>0</v>
      </c>
      <c r="BS62" s="16">
        <v>0</v>
      </c>
      <c r="BT62" s="23">
        <f>BS62/AS62</f>
        <v>0</v>
      </c>
      <c r="BU62" s="18">
        <v>0</v>
      </c>
      <c r="BV62" s="16">
        <v>0</v>
      </c>
      <c r="BW62" s="18">
        <f>BV62/AS62</f>
        <v>0</v>
      </c>
      <c r="BX62" s="18">
        <v>0</v>
      </c>
      <c r="BY62" s="16">
        <v>0</v>
      </c>
      <c r="BZ62" s="16">
        <f>BY62/AS62</f>
        <v>0</v>
      </c>
      <c r="CA62" s="24">
        <v>0</v>
      </c>
      <c r="CB62" s="16">
        <v>0</v>
      </c>
      <c r="CC62" s="16">
        <v>0</v>
      </c>
      <c r="CD62" s="25">
        <v>0</v>
      </c>
      <c r="CE62" s="16">
        <v>0</v>
      </c>
      <c r="CF62" s="16">
        <v>0</v>
      </c>
      <c r="CP62" s="16" t="s">
        <v>123</v>
      </c>
      <c r="CQ62" s="16">
        <v>0</v>
      </c>
      <c r="CR62" s="16">
        <v>0</v>
      </c>
      <c r="CS62" s="18">
        <f>IF(CT62&gt;0,1,0)</f>
        <v>0</v>
      </c>
      <c r="CT62" s="25">
        <f>SUM(CW62,CZ62,DC62)</f>
        <v>0</v>
      </c>
      <c r="CU62" s="25"/>
      <c r="CV62" s="16">
        <v>0</v>
      </c>
      <c r="CW62" s="25">
        <v>0</v>
      </c>
      <c r="CX62" s="16">
        <v>0</v>
      </c>
      <c r="CY62" s="16">
        <v>0</v>
      </c>
      <c r="CZ62" s="18">
        <v>0</v>
      </c>
      <c r="DA62" s="16">
        <v>0</v>
      </c>
      <c r="DB62" s="16">
        <v>0</v>
      </c>
      <c r="DC62" s="18">
        <v>0</v>
      </c>
      <c r="DD62" s="16">
        <v>0</v>
      </c>
      <c r="DE62" s="16">
        <v>0</v>
      </c>
      <c r="DF62" s="16" t="e">
        <f>VLOOKUP(K62,'[3]RNA Seq summary tables'!$V$3:$V$99,1,FALSE)</f>
        <v>#N/A</v>
      </c>
    </row>
    <row r="63" spans="1:288" x14ac:dyDescent="0.2">
      <c r="B63" s="16">
        <v>2016</v>
      </c>
      <c r="C63" s="20">
        <v>42559</v>
      </c>
      <c r="D63" s="20" t="str">
        <f>CONCATENATE(J63,"-",C63)</f>
        <v>960-42559</v>
      </c>
      <c r="E63" s="20" t="str">
        <f>CONCATENATE(T63,"-",U63,"-",C63)</f>
        <v>PO1-C7-42559</v>
      </c>
      <c r="F63" s="20" t="s">
        <v>106</v>
      </c>
      <c r="G63" s="20" t="s">
        <v>107</v>
      </c>
      <c r="I63" s="16">
        <v>0</v>
      </c>
      <c r="J63" s="21">
        <v>960</v>
      </c>
      <c r="K63" s="21">
        <v>1461</v>
      </c>
      <c r="L63" s="18">
        <v>0</v>
      </c>
      <c r="M63" s="15">
        <f>VLOOKUP(K63,'[7]MLBS 2016 SNV-nem Coinfection d'!$C$1:$G$238,4,FALSE)</f>
        <v>0</v>
      </c>
      <c r="N63" s="15">
        <v>0</v>
      </c>
      <c r="O63" s="15" t="s">
        <v>119</v>
      </c>
      <c r="P63" s="16" t="s">
        <v>119</v>
      </c>
      <c r="Q63" s="16">
        <v>0</v>
      </c>
      <c r="R63" s="16">
        <v>28</v>
      </c>
      <c r="T63" s="16" t="s">
        <v>112</v>
      </c>
      <c r="U63" s="16" t="s">
        <v>207</v>
      </c>
      <c r="V63" s="16" t="s">
        <v>114</v>
      </c>
      <c r="W63" s="16">
        <f>AI63/AG63</f>
        <v>0.74725274725274726</v>
      </c>
      <c r="X63" s="16" t="s">
        <v>115</v>
      </c>
      <c r="Y63" s="16" t="s">
        <v>110</v>
      </c>
      <c r="Z63" s="16">
        <v>3</v>
      </c>
      <c r="AE63" s="16" t="s">
        <v>116</v>
      </c>
      <c r="AF63" s="16" t="s">
        <v>116</v>
      </c>
      <c r="AG63" s="16">
        <f>AH63-AI63</f>
        <v>91</v>
      </c>
      <c r="AH63" s="16">
        <v>159</v>
      </c>
      <c r="AI63" s="16">
        <v>68</v>
      </c>
      <c r="AK63" s="16">
        <v>21</v>
      </c>
      <c r="AL63" s="16">
        <v>0</v>
      </c>
      <c r="AM63" s="16">
        <v>0</v>
      </c>
      <c r="AN63" s="16">
        <v>0</v>
      </c>
      <c r="AO63" s="16">
        <f>IF(SUM(AL63:AN63)&gt;0,1,0)</f>
        <v>0</v>
      </c>
      <c r="AP63" s="16">
        <f>SUM(AL63:AN63)</f>
        <v>0</v>
      </c>
      <c r="AQ63" s="16">
        <v>1.8</v>
      </c>
      <c r="AR63" s="16">
        <v>0.32300000000000001</v>
      </c>
      <c r="AS63" s="16">
        <v>0.32300000000000001</v>
      </c>
      <c r="AT63" s="16" t="s">
        <v>205</v>
      </c>
      <c r="AW63" s="22">
        <v>1</v>
      </c>
      <c r="AX63" s="16">
        <v>4</v>
      </c>
      <c r="AY63" s="16">
        <f>(8+22+1+8)/AS63</f>
        <v>120.74303405572755</v>
      </c>
      <c r="AZ63" s="18">
        <v>1</v>
      </c>
      <c r="BA63" s="16">
        <v>3</v>
      </c>
      <c r="BB63" s="16">
        <f>31/AS63</f>
        <v>95.975232198142407</v>
      </c>
      <c r="BC63" s="16">
        <v>1</v>
      </c>
      <c r="BD63" s="16">
        <v>8</v>
      </c>
      <c r="BE63" s="16">
        <f>8/AS63</f>
        <v>24.767801857585138</v>
      </c>
      <c r="BF63" s="18">
        <v>1</v>
      </c>
      <c r="BG63" s="23">
        <v>22</v>
      </c>
      <c r="BH63" s="16">
        <f>22/AS63</f>
        <v>68.111455108359138</v>
      </c>
      <c r="BI63" s="16">
        <v>1</v>
      </c>
      <c r="BJ63" s="16">
        <v>1</v>
      </c>
      <c r="BK63" s="16">
        <f>1/AS63</f>
        <v>3.0959752321981422</v>
      </c>
      <c r="BL63" s="16">
        <f>IF(BM63&gt;0,1,0)</f>
        <v>1</v>
      </c>
      <c r="BM63" s="16">
        <f>SUM(BR63,BU63,BX63,CA63,CD63,CG63,CJ63,CM63,CP63)</f>
        <v>1</v>
      </c>
      <c r="BN63" s="16">
        <f>SUM(BW63,BZ63,CC63,CF63,CI63,CL63,CO63,CR63,BT63)</f>
        <v>24.767801857585138</v>
      </c>
      <c r="BO63" s="16">
        <f>IF(BP63&gt;0,1,0)</f>
        <v>1</v>
      </c>
      <c r="BP63" s="16">
        <f>SUM(BU63,BX63,CA63,CD63,BR63)</f>
        <v>1</v>
      </c>
      <c r="BQ63" s="16">
        <f>SUM(BZ63,CC63,CF63,BT63,BW63)</f>
        <v>24.767801857585138</v>
      </c>
      <c r="BR63" s="18">
        <v>0</v>
      </c>
      <c r="BS63" s="16">
        <v>0</v>
      </c>
      <c r="BT63" s="23">
        <f>BS63/AS63</f>
        <v>0</v>
      </c>
      <c r="BU63" s="18">
        <v>0</v>
      </c>
      <c r="BV63" s="16">
        <v>0</v>
      </c>
      <c r="BW63" s="18">
        <f>BV63/AS63</f>
        <v>0</v>
      </c>
      <c r="BX63" s="24">
        <v>1</v>
      </c>
      <c r="BY63" s="16">
        <v>8</v>
      </c>
      <c r="BZ63" s="16">
        <f>BY63/AS63</f>
        <v>24.767801857585138</v>
      </c>
      <c r="CA63" s="24">
        <v>0</v>
      </c>
      <c r="CB63" s="16">
        <v>0</v>
      </c>
      <c r="CC63" s="16">
        <v>0</v>
      </c>
      <c r="CD63" s="23">
        <v>0</v>
      </c>
      <c r="CE63" s="16">
        <v>0</v>
      </c>
      <c r="CF63" s="16">
        <v>0</v>
      </c>
      <c r="CP63" s="16" t="s">
        <v>123</v>
      </c>
      <c r="CQ63" s="16">
        <v>0</v>
      </c>
      <c r="CR63" s="16">
        <v>0</v>
      </c>
      <c r="CS63" s="18">
        <f>IF(CT63&gt;0,1,0)</f>
        <v>0</v>
      </c>
      <c r="CT63" s="25">
        <f>SUM(CW63,CZ63,DC63)</f>
        <v>0</v>
      </c>
      <c r="CU63" s="25"/>
      <c r="CV63" s="16">
        <v>0</v>
      </c>
      <c r="CW63" s="25">
        <v>0</v>
      </c>
      <c r="CX63" s="16">
        <v>0</v>
      </c>
      <c r="CY63" s="16">
        <v>0</v>
      </c>
      <c r="CZ63" s="18">
        <v>0</v>
      </c>
      <c r="DA63" s="16">
        <v>0</v>
      </c>
      <c r="DB63" s="16">
        <v>0</v>
      </c>
      <c r="DC63" s="18">
        <v>0</v>
      </c>
      <c r="DD63" s="16">
        <v>0</v>
      </c>
      <c r="DE63" s="16">
        <v>0</v>
      </c>
      <c r="DF63" s="16" t="e">
        <f>VLOOKUP(K63,'[3]RNA Seq summary tables'!$V$3:$V$99,1,FALSE)</f>
        <v>#N/A</v>
      </c>
      <c r="DG63" s="16">
        <v>1</v>
      </c>
      <c r="DH63" s="16" t="str">
        <f>VLOOKUP(D63,'[8]Data with duplicates'!$B$1:$J$70,9,FALSE)</f>
        <v>sample.38</v>
      </c>
    </row>
    <row r="64" spans="1:288" x14ac:dyDescent="0.2">
      <c r="B64" s="16">
        <v>2016</v>
      </c>
      <c r="C64" s="20">
        <v>42531</v>
      </c>
      <c r="D64" s="20" t="str">
        <f>CONCATENATE(J64,"-",C64)</f>
        <v>961-42531</v>
      </c>
      <c r="E64" s="20" t="str">
        <f>CONCATENATE(T64,"-",U64,"-",C64)</f>
        <v>PO1-G1-42531</v>
      </c>
      <c r="F64" s="20" t="s">
        <v>106</v>
      </c>
      <c r="G64" s="20" t="s">
        <v>107</v>
      </c>
      <c r="I64" s="16">
        <v>0</v>
      </c>
      <c r="J64" s="21">
        <v>961</v>
      </c>
      <c r="K64" s="21">
        <v>1366</v>
      </c>
      <c r="L64" s="16">
        <v>0</v>
      </c>
      <c r="M64" s="15">
        <f>VLOOKUP(K64,'[7]MLBS 2016 SNV-nem Coinfection d'!$C$1:$G$238,4,FALSE)</f>
        <v>0</v>
      </c>
      <c r="N64" s="15">
        <v>0</v>
      </c>
      <c r="O64" s="15" t="s">
        <v>119</v>
      </c>
      <c r="P64" s="16" t="s">
        <v>119</v>
      </c>
      <c r="Q64" s="16">
        <v>0</v>
      </c>
      <c r="R64" s="16" t="s">
        <v>111</v>
      </c>
      <c r="T64" s="16" t="s">
        <v>112</v>
      </c>
      <c r="U64" s="16" t="s">
        <v>155</v>
      </c>
      <c r="V64" s="16" t="s">
        <v>114</v>
      </c>
      <c r="W64" s="16">
        <f>AI64/AG64</f>
        <v>0.78947368421052633</v>
      </c>
      <c r="X64" s="16" t="s">
        <v>115</v>
      </c>
      <c r="Y64" s="16" t="s">
        <v>122</v>
      </c>
      <c r="Z64" s="16">
        <v>2.2999999999999998</v>
      </c>
      <c r="AE64" s="16" t="s">
        <v>123</v>
      </c>
      <c r="AF64" s="16" t="s">
        <v>123</v>
      </c>
      <c r="AG64" s="16">
        <f>AH64-AI64</f>
        <v>76</v>
      </c>
      <c r="AH64" s="16">
        <v>136</v>
      </c>
      <c r="AI64" s="16">
        <v>60</v>
      </c>
      <c r="AK64" s="16">
        <v>13</v>
      </c>
      <c r="AL64" s="16">
        <v>1</v>
      </c>
      <c r="AM64" s="16">
        <v>1</v>
      </c>
      <c r="AN64" s="16">
        <v>0</v>
      </c>
      <c r="AO64" s="16">
        <f>IF(SUM(AL64:AN64)&gt;0,1,0)</f>
        <v>1</v>
      </c>
      <c r="AP64" s="16">
        <f>SUM(AL64:AN64)</f>
        <v>2</v>
      </c>
      <c r="AQ64" s="16">
        <f>0.259+1.477</f>
        <v>1.7360000000000002</v>
      </c>
      <c r="AR64" s="16">
        <v>0.25900000000000001</v>
      </c>
      <c r="AS64" s="16">
        <v>0.25900000000000001</v>
      </c>
      <c r="AT64" s="16" t="s">
        <v>124</v>
      </c>
      <c r="AW64" s="22">
        <v>1</v>
      </c>
      <c r="AY64" s="16">
        <f>(147+796+22)/AS64</f>
        <v>3725.868725868726</v>
      </c>
      <c r="AZ64" s="18">
        <v>1</v>
      </c>
      <c r="BB64" s="16">
        <f>AY64</f>
        <v>3725.868725868726</v>
      </c>
      <c r="BC64" s="16">
        <v>1</v>
      </c>
      <c r="BD64" s="16">
        <v>147</v>
      </c>
      <c r="BE64" s="16">
        <f>147/AS64</f>
        <v>567.56756756756749</v>
      </c>
      <c r="BF64" s="18">
        <v>1</v>
      </c>
      <c r="BG64" s="23">
        <v>796</v>
      </c>
      <c r="BH64" s="16">
        <f>796/AS64</f>
        <v>3073.3590733590731</v>
      </c>
      <c r="BI64" s="16">
        <v>1</v>
      </c>
      <c r="BJ64" s="16">
        <v>22</v>
      </c>
      <c r="BK64" s="16">
        <f>22/AS64</f>
        <v>84.942084942084946</v>
      </c>
      <c r="BL64" s="16">
        <f>IF(BM64&gt;0,1,0)</f>
        <v>0</v>
      </c>
      <c r="BM64" s="16">
        <f>SUM(BR64,BU64,BX64,CA64,CD64,CG64,CJ64,CM64,CP64)</f>
        <v>0</v>
      </c>
      <c r="BN64" s="16">
        <f>SUM(BW64,BZ64,CC64,CF64,CI64,CL64,CO64,CR64,BT64)</f>
        <v>0</v>
      </c>
      <c r="BO64" s="16">
        <f>IF(BP64&gt;0,1,0)</f>
        <v>0</v>
      </c>
      <c r="BP64" s="16">
        <f>SUM(BU64,BX64,CA64,CD64,BR64)</f>
        <v>0</v>
      </c>
      <c r="BQ64" s="16">
        <f>SUM(BZ64,CC64,CF64,BT64,BW64)</f>
        <v>0</v>
      </c>
      <c r="BR64" s="18">
        <v>0</v>
      </c>
      <c r="BS64" s="16">
        <v>0</v>
      </c>
      <c r="BT64" s="23">
        <f>BS64/AS64</f>
        <v>0</v>
      </c>
      <c r="BU64" s="18">
        <v>0</v>
      </c>
      <c r="BV64" s="16">
        <v>0</v>
      </c>
      <c r="BW64" s="18">
        <f>BV64/AS64</f>
        <v>0</v>
      </c>
      <c r="BX64" s="18">
        <v>0</v>
      </c>
      <c r="BY64" s="16">
        <v>0</v>
      </c>
      <c r="BZ64" s="16">
        <f>BY64/AS64</f>
        <v>0</v>
      </c>
      <c r="CA64" s="24">
        <v>0</v>
      </c>
      <c r="CB64" s="16">
        <v>0</v>
      </c>
      <c r="CC64" s="16">
        <v>0</v>
      </c>
      <c r="CD64" s="25">
        <v>0</v>
      </c>
      <c r="CE64" s="16">
        <v>0</v>
      </c>
      <c r="CF64" s="16">
        <v>0</v>
      </c>
      <c r="CP64" s="16" t="s">
        <v>123</v>
      </c>
      <c r="CQ64" s="16">
        <v>0</v>
      </c>
      <c r="CR64" s="16">
        <v>0</v>
      </c>
      <c r="CS64" s="18">
        <f>IF(CT64&gt;0,1,0)</f>
        <v>0</v>
      </c>
      <c r="CT64" s="25">
        <f>SUM(CW64,CZ64,DC64)</f>
        <v>0</v>
      </c>
      <c r="CU64" s="25"/>
      <c r="CV64" s="16">
        <v>0</v>
      </c>
      <c r="CW64" s="25">
        <v>0</v>
      </c>
      <c r="CX64" s="16">
        <v>0</v>
      </c>
      <c r="CY64" s="16">
        <v>0</v>
      </c>
      <c r="CZ64" s="18">
        <v>0</v>
      </c>
      <c r="DA64" s="16">
        <v>0</v>
      </c>
      <c r="DB64" s="16">
        <v>0</v>
      </c>
      <c r="DC64" s="18">
        <v>0</v>
      </c>
      <c r="DD64" s="16">
        <v>0</v>
      </c>
      <c r="DE64" s="16">
        <v>0</v>
      </c>
      <c r="DF64" s="16" t="e">
        <f>VLOOKUP(K64,'[3]RNA Seq summary tables'!$V$3:$V$99,1,FALSE)</f>
        <v>#N/A</v>
      </c>
    </row>
    <row r="65" spans="1:288" x14ac:dyDescent="0.2">
      <c r="B65" s="16">
        <v>2016</v>
      </c>
      <c r="C65" s="20">
        <v>42534</v>
      </c>
      <c r="D65" s="20" t="str">
        <f>CONCATENATE(J65,"-",C65)</f>
        <v>963-42534</v>
      </c>
      <c r="E65" s="20" t="str">
        <f>CONCATENATE(T65,"-",U65,"-",C65)</f>
        <v>HW1-H3-42534</v>
      </c>
      <c r="F65" s="20" t="s">
        <v>106</v>
      </c>
      <c r="G65" s="20" t="s">
        <v>107</v>
      </c>
      <c r="I65" s="16">
        <v>0</v>
      </c>
      <c r="J65" s="21">
        <v>963</v>
      </c>
      <c r="K65" s="21">
        <v>1372</v>
      </c>
      <c r="L65" s="16">
        <v>0</v>
      </c>
      <c r="M65" s="15">
        <f>VLOOKUP(K65,'[7]MLBS 2016 SNV-nem Coinfection d'!$C$1:$G$238,4,FALSE)</f>
        <v>0</v>
      </c>
      <c r="N65" s="15">
        <v>0</v>
      </c>
      <c r="O65" s="15" t="s">
        <v>119</v>
      </c>
      <c r="P65" s="16" t="s">
        <v>119</v>
      </c>
      <c r="Q65" s="16">
        <v>0</v>
      </c>
      <c r="R65" s="16" t="s">
        <v>111</v>
      </c>
      <c r="T65" s="16" t="s">
        <v>133</v>
      </c>
      <c r="U65" s="16" t="s">
        <v>174</v>
      </c>
      <c r="V65" s="16" t="s">
        <v>114</v>
      </c>
      <c r="W65" s="16">
        <f>AI65/AG65</f>
        <v>0.80769230769230771</v>
      </c>
      <c r="X65" s="16" t="s">
        <v>115</v>
      </c>
      <c r="Y65" s="16" t="s">
        <v>110</v>
      </c>
      <c r="Z65" s="16">
        <v>3</v>
      </c>
      <c r="AE65" s="16" t="s">
        <v>123</v>
      </c>
      <c r="AF65" s="16" t="s">
        <v>123</v>
      </c>
      <c r="AG65" s="16">
        <f>AH65-AI65</f>
        <v>78</v>
      </c>
      <c r="AH65" s="16">
        <v>141</v>
      </c>
      <c r="AI65" s="16">
        <v>63</v>
      </c>
      <c r="AK65" s="16">
        <v>14</v>
      </c>
      <c r="AL65" s="16">
        <v>0</v>
      </c>
      <c r="AM65" s="16">
        <v>1</v>
      </c>
      <c r="AN65" s="16">
        <v>0</v>
      </c>
      <c r="AO65" s="16">
        <f>IF(SUM(AL65:AN65)&gt;0,1,0)</f>
        <v>1</v>
      </c>
      <c r="AP65" s="16">
        <f>SUM(AL65:AN65)</f>
        <v>1</v>
      </c>
      <c r="AR65" s="16">
        <v>0.59</v>
      </c>
      <c r="AS65" s="16">
        <v>0.59</v>
      </c>
      <c r="AT65" s="18" t="s">
        <v>117</v>
      </c>
      <c r="AU65" s="18"/>
      <c r="AW65" s="22">
        <v>1</v>
      </c>
      <c r="AY65" s="16">
        <f>92/0.59</f>
        <v>155.93220338983051</v>
      </c>
      <c r="AZ65" s="18">
        <v>0</v>
      </c>
      <c r="BA65" s="16">
        <v>0</v>
      </c>
      <c r="BB65" s="16">
        <v>0</v>
      </c>
      <c r="BC65" s="18">
        <v>0</v>
      </c>
      <c r="BD65" s="16">
        <v>0</v>
      </c>
      <c r="BE65" s="16">
        <v>0</v>
      </c>
      <c r="BF65" s="18">
        <v>0</v>
      </c>
      <c r="BG65" s="23">
        <v>0</v>
      </c>
      <c r="BH65" s="16">
        <v>0</v>
      </c>
      <c r="BI65" s="18">
        <v>0</v>
      </c>
      <c r="BJ65" s="16">
        <v>0</v>
      </c>
      <c r="BK65" s="16">
        <v>0</v>
      </c>
      <c r="BL65" s="16">
        <f>IF(BM65&gt;0,1,0)</f>
        <v>0</v>
      </c>
      <c r="BM65" s="16">
        <f>SUM(BR65,BU65,BX65,CA65,CD65,CG65,CJ65,CM65,CP65)</f>
        <v>0</v>
      </c>
      <c r="BN65" s="16">
        <f>SUM(BW65,BZ65,CC65,CF65,CI65,CL65,CO65,CR65,BT65)</f>
        <v>0</v>
      </c>
      <c r="BO65" s="16">
        <f>IF(BP65&gt;0,1,0)</f>
        <v>0</v>
      </c>
      <c r="BP65" s="16">
        <f>SUM(BU65,BX65,CA65,CD65,BR65)</f>
        <v>0</v>
      </c>
      <c r="BQ65" s="16">
        <f>SUM(BZ65,CC65,CF65,BT65,BW65)</f>
        <v>0</v>
      </c>
      <c r="BR65" s="18">
        <v>0</v>
      </c>
      <c r="BS65" s="16">
        <v>0</v>
      </c>
      <c r="BT65" s="23">
        <f>BS65/AS65</f>
        <v>0</v>
      </c>
      <c r="BU65" s="18">
        <v>0</v>
      </c>
      <c r="BV65" s="16">
        <v>0</v>
      </c>
      <c r="BW65" s="18">
        <f>BV65/AS65</f>
        <v>0</v>
      </c>
      <c r="BX65" s="18">
        <v>0</v>
      </c>
      <c r="BY65" s="16">
        <v>0</v>
      </c>
      <c r="BZ65" s="16">
        <f>BY65/AS65</f>
        <v>0</v>
      </c>
      <c r="CA65" s="24">
        <v>0</v>
      </c>
      <c r="CB65" s="16">
        <v>0</v>
      </c>
      <c r="CC65" s="16">
        <v>0</v>
      </c>
      <c r="CD65" s="25">
        <v>0</v>
      </c>
      <c r="CE65" s="16">
        <v>0</v>
      </c>
      <c r="CF65" s="16">
        <v>0</v>
      </c>
      <c r="CP65" s="16" t="s">
        <v>123</v>
      </c>
      <c r="CQ65" s="16">
        <v>0</v>
      </c>
      <c r="CR65" s="16">
        <v>0</v>
      </c>
      <c r="CS65" s="18">
        <f>IF(CT65&gt;0,1,0)</f>
        <v>1</v>
      </c>
      <c r="CT65" s="25">
        <f>SUM(CW65,CZ65,DC65)</f>
        <v>2</v>
      </c>
      <c r="CU65" s="25"/>
      <c r="CV65" s="16">
        <f>92/0.59</f>
        <v>155.93220338983051</v>
      </c>
      <c r="CW65" s="22">
        <v>1</v>
      </c>
      <c r="CX65" s="16">
        <v>62</v>
      </c>
      <c r="CY65" s="16">
        <f>62/0.59</f>
        <v>105.08474576271188</v>
      </c>
      <c r="CZ65" s="16">
        <v>1</v>
      </c>
      <c r="DA65" s="16">
        <v>30</v>
      </c>
      <c r="DB65" s="16">
        <f>30/0.59</f>
        <v>50.847457627118644</v>
      </c>
      <c r="DC65" s="18">
        <v>0</v>
      </c>
      <c r="DD65" s="16">
        <v>0</v>
      </c>
      <c r="DE65" s="16">
        <v>0</v>
      </c>
      <c r="DF65" s="16" t="e">
        <f>VLOOKUP(K65,'[3]RNA Seq summary tables'!$V$3:$V$99,1,FALSE)</f>
        <v>#N/A</v>
      </c>
      <c r="JP65" s="26"/>
      <c r="JQ65" s="26"/>
    </row>
    <row r="66" spans="1:288" s="18" customFormat="1" x14ac:dyDescent="0.2">
      <c r="B66" s="16">
        <v>2016</v>
      </c>
      <c r="C66" s="43">
        <v>42535</v>
      </c>
      <c r="D66" s="43" t="str">
        <f>CONCATENATE(J66,"-",C66)</f>
        <v>965-42535</v>
      </c>
      <c r="E66" s="20" t="str">
        <f>CONCATENATE(T66,"-",U66,"-",C66)</f>
        <v>HW2-E8-42535</v>
      </c>
      <c r="F66" s="20" t="s">
        <v>106</v>
      </c>
      <c r="G66" s="43" t="s">
        <v>107</v>
      </c>
      <c r="H66" s="23"/>
      <c r="I66" s="16">
        <v>0</v>
      </c>
      <c r="J66" s="15">
        <v>965</v>
      </c>
      <c r="K66" s="15">
        <v>1374</v>
      </c>
      <c r="L66" s="23">
        <v>0</v>
      </c>
      <c r="M66" s="15">
        <f>VLOOKUP(K66,'[7]MLBS 2016 SNV-nem Coinfection d'!$C$1:$G$238,4,FALSE)</f>
        <v>0</v>
      </c>
      <c r="N66" s="15">
        <v>0</v>
      </c>
      <c r="O66" s="15" t="s">
        <v>119</v>
      </c>
      <c r="P66" s="23" t="s">
        <v>119</v>
      </c>
      <c r="Q66" s="16">
        <v>0</v>
      </c>
      <c r="R66" s="23" t="s">
        <v>111</v>
      </c>
      <c r="S66" s="23"/>
      <c r="T66" s="23" t="s">
        <v>129</v>
      </c>
      <c r="U66" s="23" t="s">
        <v>181</v>
      </c>
      <c r="V66" s="23" t="s">
        <v>114</v>
      </c>
      <c r="W66" s="16">
        <f>AI66/AG66</f>
        <v>0.85</v>
      </c>
      <c r="X66" s="23" t="s">
        <v>115</v>
      </c>
      <c r="Y66" s="23" t="s">
        <v>110</v>
      </c>
      <c r="Z66" s="23">
        <v>3</v>
      </c>
      <c r="AA66" s="23"/>
      <c r="AB66" s="23"/>
      <c r="AC66" s="23"/>
      <c r="AD66" s="23"/>
      <c r="AE66" s="23" t="s">
        <v>123</v>
      </c>
      <c r="AF66" s="23" t="s">
        <v>123</v>
      </c>
      <c r="AG66" s="23">
        <f>AH66-AI66</f>
        <v>80</v>
      </c>
      <c r="AH66" s="23">
        <v>148</v>
      </c>
      <c r="AI66" s="23">
        <v>68</v>
      </c>
      <c r="AJ66" s="23"/>
      <c r="AK66" s="23">
        <v>16</v>
      </c>
      <c r="AL66" s="23">
        <v>1</v>
      </c>
      <c r="AM66" s="23">
        <v>0</v>
      </c>
      <c r="AN66" s="23">
        <v>0</v>
      </c>
      <c r="AO66" s="23">
        <f>IF(SUM(AL66:AN66)&gt;0,1,0)</f>
        <v>1</v>
      </c>
      <c r="AP66" s="23">
        <f>SUM(AL66:AN66)</f>
        <v>1</v>
      </c>
      <c r="AQ66" s="23">
        <f>0.066+1.477</f>
        <v>1.5430000000000001</v>
      </c>
      <c r="AR66" s="23">
        <v>6.6000000000000003E-2</v>
      </c>
      <c r="AS66" s="23">
        <v>6.6000000000000003E-2</v>
      </c>
      <c r="AT66" s="23" t="s">
        <v>124</v>
      </c>
      <c r="AU66" s="23"/>
      <c r="AV66" s="23">
        <v>1</v>
      </c>
      <c r="AW66" s="25">
        <v>0</v>
      </c>
      <c r="AX66" s="23"/>
      <c r="AY66" s="23">
        <v>0</v>
      </c>
      <c r="AZ66" s="18">
        <v>0</v>
      </c>
      <c r="BA66" s="23"/>
      <c r="BB66" s="23">
        <v>0</v>
      </c>
      <c r="BC66" s="18">
        <v>0</v>
      </c>
      <c r="BD66" s="23">
        <v>0</v>
      </c>
      <c r="BE66" s="23">
        <v>0</v>
      </c>
      <c r="BF66" s="18">
        <v>0</v>
      </c>
      <c r="BG66" s="23">
        <v>0</v>
      </c>
      <c r="BH66" s="23">
        <v>0</v>
      </c>
      <c r="BI66" s="18">
        <v>0</v>
      </c>
      <c r="BJ66" s="23">
        <v>0</v>
      </c>
      <c r="BK66" s="23">
        <v>0</v>
      </c>
      <c r="BL66" s="16">
        <f>IF(BM66&gt;0,1,0)</f>
        <v>0</v>
      </c>
      <c r="BM66" s="16">
        <f>SUM(BR66,BU66,BX66,CA66,CD66,CG66,CJ66,CM66,CP66)</f>
        <v>0</v>
      </c>
      <c r="BN66" s="16">
        <f>SUM(BW66,BZ66,CC66,CF66,CI66,CL66,CO66,CR66,BT66)</f>
        <v>0</v>
      </c>
      <c r="BO66" s="16">
        <f>IF(BP66&gt;0,1,0)</f>
        <v>0</v>
      </c>
      <c r="BP66" s="16">
        <f>SUM(BU66,BX66,CA66,CD66,BR66)</f>
        <v>0</v>
      </c>
      <c r="BQ66" s="16">
        <f>SUM(BZ66,CC66,CF66,BT66,BW66)</f>
        <v>0</v>
      </c>
      <c r="BR66" s="18">
        <v>0</v>
      </c>
      <c r="BS66" s="23">
        <v>0</v>
      </c>
      <c r="BT66" s="23">
        <f>BS66/AS66</f>
        <v>0</v>
      </c>
      <c r="BU66" s="18">
        <v>0</v>
      </c>
      <c r="BV66" s="23">
        <v>0</v>
      </c>
      <c r="BW66" s="18">
        <f>BV66/AS66</f>
        <v>0</v>
      </c>
      <c r="BX66" s="18">
        <v>0</v>
      </c>
      <c r="BY66" s="23">
        <v>0</v>
      </c>
      <c r="BZ66" s="16">
        <f>BY66/AS66</f>
        <v>0</v>
      </c>
      <c r="CA66" s="24">
        <v>0</v>
      </c>
      <c r="CB66" s="23">
        <v>0</v>
      </c>
      <c r="CC66" s="23">
        <v>0</v>
      </c>
      <c r="CD66" s="25">
        <v>0</v>
      </c>
      <c r="CE66" s="23">
        <v>0</v>
      </c>
      <c r="CF66" s="23">
        <v>0</v>
      </c>
      <c r="CG66" s="23"/>
      <c r="CH66" s="23"/>
      <c r="CI66" s="23"/>
      <c r="CJ66" s="23"/>
      <c r="CK66" s="23"/>
      <c r="CL66" s="23"/>
      <c r="CM66" s="23"/>
      <c r="CN66" s="23"/>
      <c r="CO66" s="23"/>
      <c r="CP66" s="23" t="s">
        <v>123</v>
      </c>
      <c r="CQ66" s="23">
        <v>0</v>
      </c>
      <c r="CR66" s="23">
        <v>0</v>
      </c>
      <c r="CS66" s="18">
        <f>IF(CT66&gt;0,1,0)</f>
        <v>0</v>
      </c>
      <c r="CT66" s="25">
        <f>SUM(CW66,CZ66,DC66)</f>
        <v>0</v>
      </c>
      <c r="CU66" s="25"/>
      <c r="CV66" s="23">
        <v>0</v>
      </c>
      <c r="CW66" s="25">
        <v>0</v>
      </c>
      <c r="CX66" s="23">
        <v>0</v>
      </c>
      <c r="CY66" s="23">
        <v>0</v>
      </c>
      <c r="CZ66" s="18">
        <v>0</v>
      </c>
      <c r="DA66" s="23">
        <v>0</v>
      </c>
      <c r="DB66" s="23">
        <v>0</v>
      </c>
      <c r="DC66" s="18">
        <v>0</v>
      </c>
      <c r="DD66" s="23">
        <v>0</v>
      </c>
      <c r="DE66" s="23">
        <v>0</v>
      </c>
      <c r="DF66" s="16" t="e">
        <f>VLOOKUP(K66,'[3]RNA Seq summary tables'!$V$3:$V$99,1,FALSE)</f>
        <v>#N/A</v>
      </c>
      <c r="DG66" s="16"/>
      <c r="DH66" s="16"/>
      <c r="DI66" s="23"/>
      <c r="DJ66" s="23"/>
      <c r="DK66" s="23"/>
      <c r="DL66" s="23"/>
      <c r="DM66" s="23"/>
      <c r="DN66" s="23"/>
      <c r="DO66" s="23"/>
      <c r="DP66" s="23"/>
      <c r="DQ66" s="23"/>
      <c r="DR66" s="23"/>
      <c r="DS66" s="23"/>
      <c r="JO66" s="16"/>
      <c r="JP66" s="16"/>
      <c r="JQ66" s="16"/>
      <c r="JR66" s="16"/>
      <c r="JS66" s="16"/>
      <c r="JT66" s="16"/>
      <c r="JU66" s="16"/>
      <c r="JV66" s="16"/>
      <c r="JW66" s="16"/>
      <c r="JX66" s="16"/>
      <c r="JY66" s="16"/>
      <c r="JZ66" s="16"/>
      <c r="KA66" s="16"/>
      <c r="KB66" s="16"/>
    </row>
    <row r="67" spans="1:288" s="39" customFormat="1" x14ac:dyDescent="0.2">
      <c r="A67" s="18"/>
      <c r="B67" s="16">
        <v>2016</v>
      </c>
      <c r="C67" s="20">
        <v>42537</v>
      </c>
      <c r="D67" s="20" t="str">
        <f>CONCATENATE(J67,"-",C67)</f>
        <v>967-42537</v>
      </c>
      <c r="E67" s="20" t="str">
        <f>CONCATENATE(T67,"-",U67,"-",C67)</f>
        <v>SP1-F4-42537</v>
      </c>
      <c r="F67" s="20" t="s">
        <v>106</v>
      </c>
      <c r="G67" s="20" t="s">
        <v>107</v>
      </c>
      <c r="H67" s="16"/>
      <c r="I67" s="16">
        <v>0</v>
      </c>
      <c r="J67" s="21">
        <v>967</v>
      </c>
      <c r="K67" s="21">
        <v>1377</v>
      </c>
      <c r="L67" s="16">
        <v>0</v>
      </c>
      <c r="M67" s="15">
        <f>VLOOKUP(K67,'[7]MLBS 2016 SNV-nem Coinfection d'!$C$1:$G$238,4,FALSE)</f>
        <v>0</v>
      </c>
      <c r="N67" s="15">
        <v>0</v>
      </c>
      <c r="O67" s="15" t="s">
        <v>119</v>
      </c>
      <c r="P67" s="16" t="s">
        <v>119</v>
      </c>
      <c r="Q67" s="16">
        <v>0</v>
      </c>
      <c r="R67" s="16" t="s">
        <v>111</v>
      </c>
      <c r="S67" s="16"/>
      <c r="T67" s="16" t="s">
        <v>140</v>
      </c>
      <c r="U67" s="16" t="s">
        <v>184</v>
      </c>
      <c r="V67" s="16" t="s">
        <v>142</v>
      </c>
      <c r="W67" s="16">
        <f>AI67/AG67</f>
        <v>1.1538461538461537</v>
      </c>
      <c r="X67" s="16" t="s">
        <v>121</v>
      </c>
      <c r="Y67" s="16" t="s">
        <v>110</v>
      </c>
      <c r="Z67" s="16">
        <v>3</v>
      </c>
      <c r="AA67" s="16" t="s">
        <v>161</v>
      </c>
      <c r="AB67" s="16" t="s">
        <v>123</v>
      </c>
      <c r="AC67" s="16" t="s">
        <v>123</v>
      </c>
      <c r="AD67" s="16" t="s">
        <v>116</v>
      </c>
      <c r="AE67" s="16"/>
      <c r="AF67" s="16"/>
      <c r="AG67" s="16">
        <f>AH67-AI67</f>
        <v>78</v>
      </c>
      <c r="AH67" s="16">
        <v>168</v>
      </c>
      <c r="AI67" s="16">
        <v>90</v>
      </c>
      <c r="AJ67" s="16"/>
      <c r="AK67" s="16">
        <v>15</v>
      </c>
      <c r="AL67" s="16">
        <v>0</v>
      </c>
      <c r="AM67" s="16">
        <v>0</v>
      </c>
      <c r="AN67" s="16">
        <v>0</v>
      </c>
      <c r="AO67" s="16">
        <f>IF(SUM(AL67:AN67)&gt;0,1,0)</f>
        <v>0</v>
      </c>
      <c r="AP67" s="16">
        <f>SUM(AL67:AN67)</f>
        <v>0</v>
      </c>
      <c r="AQ67" s="16">
        <f>1.477+AS67</f>
        <v>1.806</v>
      </c>
      <c r="AR67" s="16">
        <v>0.32900000000000001</v>
      </c>
      <c r="AS67" s="16">
        <v>0.32900000000000001</v>
      </c>
      <c r="AT67" s="16" t="s">
        <v>124</v>
      </c>
      <c r="AU67" s="16"/>
      <c r="AV67" s="16"/>
      <c r="AW67" s="22">
        <v>1</v>
      </c>
      <c r="AX67" s="16"/>
      <c r="AY67" s="16">
        <f>1/AS67</f>
        <v>3.0395136778115499</v>
      </c>
      <c r="AZ67" s="18">
        <v>0</v>
      </c>
      <c r="BA67" s="16"/>
      <c r="BB67" s="16">
        <v>0</v>
      </c>
      <c r="BC67" s="18">
        <v>0</v>
      </c>
      <c r="BD67" s="16">
        <v>0</v>
      </c>
      <c r="BE67" s="16">
        <v>0</v>
      </c>
      <c r="BF67" s="18">
        <v>0</v>
      </c>
      <c r="BG67" s="23">
        <v>0</v>
      </c>
      <c r="BH67" s="16">
        <v>0</v>
      </c>
      <c r="BI67" s="18">
        <v>0</v>
      </c>
      <c r="BJ67" s="16">
        <v>0</v>
      </c>
      <c r="BK67" s="16">
        <v>0</v>
      </c>
      <c r="BL67" s="16">
        <f>IF(BM67&gt;0,1,0)</f>
        <v>0</v>
      </c>
      <c r="BM67" s="16">
        <f>SUM(BR67,BU67,BX67,CA67,CD67,CG67,CJ67,CM67,CP67)</f>
        <v>0</v>
      </c>
      <c r="BN67" s="16">
        <f>SUM(BW67,BZ67,CC67,CF67,CI67,CL67,CO67,CR67,BT67)</f>
        <v>0</v>
      </c>
      <c r="BO67" s="16">
        <f>IF(BP67&gt;0,1,0)</f>
        <v>0</v>
      </c>
      <c r="BP67" s="16">
        <f>SUM(BU67,BX67,CA67,CD67,BR67)</f>
        <v>0</v>
      </c>
      <c r="BQ67" s="16">
        <f>SUM(BZ67,CC67,CF67,BT67,BW67)</f>
        <v>0</v>
      </c>
      <c r="BR67" s="18">
        <v>0</v>
      </c>
      <c r="BS67" s="16">
        <v>0</v>
      </c>
      <c r="BT67" s="23">
        <f>BS67/AS67</f>
        <v>0</v>
      </c>
      <c r="BU67" s="18">
        <v>0</v>
      </c>
      <c r="BV67" s="16">
        <v>0</v>
      </c>
      <c r="BW67" s="18">
        <f>BV67/AS67</f>
        <v>0</v>
      </c>
      <c r="BX67" s="18">
        <v>0</v>
      </c>
      <c r="BY67" s="16">
        <v>0</v>
      </c>
      <c r="BZ67" s="16">
        <f>BY67/AS67</f>
        <v>0</v>
      </c>
      <c r="CA67" s="24">
        <v>0</v>
      </c>
      <c r="CB67" s="16">
        <v>0</v>
      </c>
      <c r="CC67" s="16">
        <v>0</v>
      </c>
      <c r="CD67" s="25">
        <v>0</v>
      </c>
      <c r="CE67" s="16">
        <v>0</v>
      </c>
      <c r="CF67" s="16">
        <v>0</v>
      </c>
      <c r="CG67" s="16"/>
      <c r="CH67" s="16"/>
      <c r="CI67" s="16"/>
      <c r="CJ67" s="16"/>
      <c r="CK67" s="16"/>
      <c r="CL67" s="16"/>
      <c r="CM67" s="16"/>
      <c r="CN67" s="16"/>
      <c r="CO67" s="16"/>
      <c r="CP67" s="16" t="s">
        <v>123</v>
      </c>
      <c r="CQ67" s="16">
        <v>0</v>
      </c>
      <c r="CR67" s="16">
        <v>0</v>
      </c>
      <c r="CS67" s="18">
        <f>IF(CT67&gt;0,1,0)</f>
        <v>1</v>
      </c>
      <c r="CT67" s="25">
        <f>SUM(CW67,CZ67,DC67)</f>
        <v>1</v>
      </c>
      <c r="CU67" s="25"/>
      <c r="CV67" s="16">
        <v>0</v>
      </c>
      <c r="CW67" s="22">
        <v>1</v>
      </c>
      <c r="CX67" s="16">
        <v>1</v>
      </c>
      <c r="CY67" s="16">
        <f>1/AS67</f>
        <v>3.0395136778115499</v>
      </c>
      <c r="CZ67" s="18">
        <v>0</v>
      </c>
      <c r="DA67" s="16">
        <v>0</v>
      </c>
      <c r="DB67" s="16">
        <v>0</v>
      </c>
      <c r="DC67" s="18">
        <v>0</v>
      </c>
      <c r="DD67" s="16">
        <v>0</v>
      </c>
      <c r="DE67" s="16">
        <v>0</v>
      </c>
      <c r="DF67" s="16" t="e">
        <f>VLOOKUP(K67,'[3]RNA Seq summary tables'!$V$3:$V$99,1,FALSE)</f>
        <v>#N/A</v>
      </c>
      <c r="DG67" s="16"/>
      <c r="DH67" s="16"/>
      <c r="DI67" s="16"/>
      <c r="DJ67" s="16"/>
      <c r="DK67" s="16"/>
      <c r="DL67" s="16"/>
      <c r="DM67" s="16"/>
      <c r="DN67" s="16"/>
      <c r="DO67" s="16"/>
      <c r="DP67" s="16"/>
      <c r="DQ67" s="16"/>
      <c r="DR67" s="16"/>
      <c r="DS67" s="16"/>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c r="FG67" s="18"/>
      <c r="FH67" s="18"/>
      <c r="FI67" s="18"/>
      <c r="FJ67" s="18"/>
      <c r="FK67" s="18"/>
      <c r="FL67" s="18"/>
      <c r="FM67" s="18"/>
      <c r="FN67" s="18"/>
      <c r="FO67" s="18"/>
      <c r="FP67" s="18"/>
      <c r="FQ67" s="18"/>
      <c r="FR67" s="18"/>
      <c r="FS67" s="18"/>
      <c r="FT67" s="18"/>
      <c r="FU67" s="18"/>
      <c r="FV67" s="18"/>
      <c r="FW67" s="18"/>
      <c r="FX67" s="18"/>
      <c r="FY67" s="18"/>
      <c r="FZ67" s="18"/>
      <c r="GA67" s="18"/>
      <c r="GB67" s="18"/>
      <c r="GC67" s="18"/>
      <c r="GD67" s="18"/>
      <c r="GE67" s="18"/>
      <c r="GF67" s="18"/>
      <c r="GG67" s="18"/>
      <c r="GH67" s="18"/>
      <c r="GI67" s="18"/>
      <c r="GJ67" s="18"/>
      <c r="GK67" s="18"/>
      <c r="GL67" s="18"/>
      <c r="GM67" s="18"/>
      <c r="GN67" s="18"/>
      <c r="GO67" s="18"/>
      <c r="GP67" s="18"/>
      <c r="GQ67" s="18"/>
      <c r="GR67" s="18"/>
      <c r="GS67" s="18"/>
      <c r="GT67" s="18"/>
      <c r="GU67" s="18"/>
      <c r="GV67" s="18"/>
      <c r="GW67" s="18"/>
      <c r="GX67" s="18"/>
      <c r="GY67" s="18"/>
      <c r="GZ67" s="18"/>
      <c r="HA67" s="18"/>
      <c r="HB67" s="18"/>
      <c r="HC67" s="18"/>
      <c r="HD67" s="18"/>
      <c r="HE67" s="18"/>
      <c r="HF67" s="18"/>
      <c r="HG67" s="18"/>
      <c r="HH67" s="18"/>
      <c r="HI67" s="18"/>
      <c r="HJ67" s="18"/>
      <c r="HK67" s="18"/>
      <c r="HL67" s="18"/>
      <c r="HM67" s="18"/>
      <c r="HN67" s="18"/>
      <c r="HO67" s="18"/>
      <c r="HP67" s="18"/>
      <c r="HQ67" s="18"/>
      <c r="HR67" s="18"/>
      <c r="HS67" s="18"/>
      <c r="HT67" s="18"/>
      <c r="HU67" s="18"/>
      <c r="HV67" s="18"/>
      <c r="HW67" s="18"/>
      <c r="HX67" s="18"/>
      <c r="HY67" s="18"/>
      <c r="HZ67" s="18"/>
      <c r="IA67" s="18"/>
      <c r="IB67" s="18"/>
      <c r="IC67" s="18"/>
      <c r="ID67" s="18"/>
      <c r="IE67" s="18"/>
      <c r="IF67" s="18"/>
      <c r="IG67" s="18"/>
      <c r="IH67" s="18"/>
      <c r="II67" s="18"/>
      <c r="IJ67" s="18"/>
      <c r="IK67" s="18"/>
      <c r="IL67" s="18"/>
      <c r="IM67" s="18"/>
      <c r="IN67" s="18"/>
      <c r="IO67" s="18"/>
      <c r="IP67" s="18"/>
      <c r="IQ67" s="18"/>
      <c r="IR67" s="18"/>
      <c r="IS67" s="18"/>
      <c r="IT67" s="18"/>
      <c r="IU67" s="18"/>
      <c r="IV67" s="18"/>
      <c r="IW67" s="18"/>
      <c r="IX67" s="18"/>
      <c r="IY67" s="18"/>
      <c r="IZ67" s="18"/>
      <c r="JA67" s="18"/>
      <c r="JB67" s="18"/>
      <c r="JC67" s="18"/>
      <c r="JD67" s="18"/>
      <c r="JE67" s="18"/>
      <c r="JF67" s="18"/>
      <c r="JG67" s="18"/>
      <c r="JH67" s="18"/>
      <c r="JI67" s="18"/>
      <c r="JJ67" s="18"/>
      <c r="JK67" s="18"/>
      <c r="JL67" s="18"/>
      <c r="JM67" s="18"/>
      <c r="JN67" s="18"/>
      <c r="JO67" s="16"/>
      <c r="JP67" s="16"/>
      <c r="JQ67" s="16"/>
      <c r="JR67" s="16"/>
      <c r="JS67" s="16"/>
      <c r="JT67" s="16"/>
      <c r="JU67" s="16"/>
      <c r="JV67" s="16"/>
      <c r="JW67" s="16"/>
      <c r="JX67" s="16"/>
      <c r="JY67" s="16"/>
      <c r="JZ67" s="16"/>
      <c r="KA67" s="16"/>
      <c r="KB67" s="16"/>
    </row>
    <row r="68" spans="1:288" s="39" customFormat="1" x14ac:dyDescent="0.2">
      <c r="A68" s="18"/>
      <c r="B68" s="16">
        <v>2016</v>
      </c>
      <c r="C68" s="20">
        <v>42537</v>
      </c>
      <c r="D68" s="20" t="str">
        <f>CONCATENATE(J68,"-",C68)</f>
        <v>969-42537</v>
      </c>
      <c r="E68" s="20" t="str">
        <f>CONCATENATE(T68,"-",U68,"-",C68)</f>
        <v>SP2-D6-42537</v>
      </c>
      <c r="F68" s="20" t="s">
        <v>106</v>
      </c>
      <c r="G68" s="20" t="s">
        <v>107</v>
      </c>
      <c r="H68" s="16"/>
      <c r="I68" s="16">
        <v>0</v>
      </c>
      <c r="J68" s="21">
        <v>969</v>
      </c>
      <c r="K68" s="21">
        <v>1383</v>
      </c>
      <c r="L68" s="16">
        <v>0</v>
      </c>
      <c r="M68" s="15">
        <f>VLOOKUP(K68,'[7]MLBS 2016 SNV-nem Coinfection d'!$C$1:$G$238,4,FALSE)</f>
        <v>0</v>
      </c>
      <c r="N68" s="15">
        <v>0</v>
      </c>
      <c r="O68" s="15" t="s">
        <v>119</v>
      </c>
      <c r="P68" s="16" t="s">
        <v>119</v>
      </c>
      <c r="Q68" s="16">
        <v>0</v>
      </c>
      <c r="R68" s="16" t="s">
        <v>111</v>
      </c>
      <c r="S68" s="16"/>
      <c r="T68" s="16" t="s">
        <v>137</v>
      </c>
      <c r="U68" s="16" t="s">
        <v>186</v>
      </c>
      <c r="V68" s="16" t="s">
        <v>114</v>
      </c>
      <c r="W68" s="16">
        <f>AI68/AG68</f>
        <v>0.79012345679012341</v>
      </c>
      <c r="X68" s="16" t="s">
        <v>115</v>
      </c>
      <c r="Y68" s="16" t="s">
        <v>122</v>
      </c>
      <c r="Z68" s="16">
        <v>2.6</v>
      </c>
      <c r="AA68" s="16"/>
      <c r="AB68" s="16"/>
      <c r="AC68" s="16"/>
      <c r="AD68" s="16"/>
      <c r="AE68" s="16" t="s">
        <v>116</v>
      </c>
      <c r="AF68" s="16" t="s">
        <v>116</v>
      </c>
      <c r="AG68" s="16">
        <f>AH68-AI68</f>
        <v>81</v>
      </c>
      <c r="AH68" s="16">
        <v>145</v>
      </c>
      <c r="AI68" s="16">
        <v>64</v>
      </c>
      <c r="AJ68" s="16"/>
      <c r="AK68" s="16">
        <v>16.5</v>
      </c>
      <c r="AL68" s="16">
        <v>0</v>
      </c>
      <c r="AM68" s="16">
        <v>0</v>
      </c>
      <c r="AN68" s="16">
        <v>0</v>
      </c>
      <c r="AO68" s="16">
        <f>IF(SUM(AL68:AN68)&gt;0,1,0)</f>
        <v>0</v>
      </c>
      <c r="AP68" s="16">
        <f>SUM(AL68:AN68)</f>
        <v>0</v>
      </c>
      <c r="AQ68" s="16">
        <f>1.477+0.438</f>
        <v>1.915</v>
      </c>
      <c r="AR68" s="16">
        <v>0.438</v>
      </c>
      <c r="AS68" s="16">
        <v>0.438</v>
      </c>
      <c r="AT68" s="16" t="s">
        <v>124</v>
      </c>
      <c r="AU68" s="16"/>
      <c r="AV68" s="16"/>
      <c r="AW68" s="22">
        <v>1</v>
      </c>
      <c r="AX68" s="16"/>
      <c r="AY68" s="16">
        <f>(918+2016+369+136+36)/AS68</f>
        <v>7933.7899543378999</v>
      </c>
      <c r="AZ68" s="18">
        <v>1</v>
      </c>
      <c r="BA68" s="16"/>
      <c r="BB68" s="16">
        <f>(918+2016+369)/AS68</f>
        <v>7541.0958904109593</v>
      </c>
      <c r="BC68" s="16">
        <v>1</v>
      </c>
      <c r="BD68" s="16">
        <v>918</v>
      </c>
      <c r="BE68" s="16">
        <f>918/AS68</f>
        <v>2095.8904109589039</v>
      </c>
      <c r="BF68" s="18">
        <v>1</v>
      </c>
      <c r="BG68" s="23">
        <v>2016</v>
      </c>
      <c r="BH68" s="16">
        <f>2016/AS68</f>
        <v>4602.7397260273974</v>
      </c>
      <c r="BI68" s="16">
        <v>1</v>
      </c>
      <c r="BJ68" s="16">
        <v>369</v>
      </c>
      <c r="BK68" s="16">
        <f>369/AS68</f>
        <v>842.46575342465758</v>
      </c>
      <c r="BL68" s="16">
        <f>IF(BM68&gt;0,1,0)</f>
        <v>0</v>
      </c>
      <c r="BM68" s="16">
        <f>SUM(BR68,BU68,BX68,CA68,CD68,CG68,CJ68,CM68,CP68)</f>
        <v>0</v>
      </c>
      <c r="BN68" s="16">
        <f>SUM(BW68,BZ68,CC68,CF68,CI68,CL68,CO68,CR68,BT68)</f>
        <v>0</v>
      </c>
      <c r="BO68" s="16">
        <f>IF(BP68&gt;0,1,0)</f>
        <v>0</v>
      </c>
      <c r="BP68" s="16">
        <f>SUM(BU68,BX68,CA68,CD68,BR68)</f>
        <v>0</v>
      </c>
      <c r="BQ68" s="16">
        <f>SUM(BZ68,CC68,CF68,BT68,BW68)</f>
        <v>0</v>
      </c>
      <c r="BR68" s="18">
        <v>0</v>
      </c>
      <c r="BS68" s="16">
        <v>0</v>
      </c>
      <c r="BT68" s="23">
        <f>BS68/AS68</f>
        <v>0</v>
      </c>
      <c r="BU68" s="18">
        <v>0</v>
      </c>
      <c r="BV68" s="16">
        <v>0</v>
      </c>
      <c r="BW68" s="18">
        <f>BV68/AS68</f>
        <v>0</v>
      </c>
      <c r="BX68" s="18">
        <v>0</v>
      </c>
      <c r="BY68" s="16">
        <v>0</v>
      </c>
      <c r="BZ68" s="16">
        <f>BY68/AS68</f>
        <v>0</v>
      </c>
      <c r="CA68" s="24">
        <v>0</v>
      </c>
      <c r="CB68" s="16">
        <v>0</v>
      </c>
      <c r="CC68" s="16">
        <v>0</v>
      </c>
      <c r="CD68" s="25">
        <v>0</v>
      </c>
      <c r="CE68" s="16">
        <v>0</v>
      </c>
      <c r="CF68" s="16">
        <v>0</v>
      </c>
      <c r="CG68" s="16"/>
      <c r="CH68" s="16"/>
      <c r="CI68" s="16"/>
      <c r="CJ68" s="16"/>
      <c r="CK68" s="16"/>
      <c r="CL68" s="16"/>
      <c r="CM68" s="16"/>
      <c r="CN68" s="16"/>
      <c r="CO68" s="16"/>
      <c r="CP68" s="16" t="s">
        <v>123</v>
      </c>
      <c r="CQ68" s="16">
        <v>0</v>
      </c>
      <c r="CR68" s="16">
        <v>0</v>
      </c>
      <c r="CS68" s="18">
        <f>IF(CT68&gt;0,1,0)</f>
        <v>1</v>
      </c>
      <c r="CT68" s="25">
        <f>SUM(CW68,CZ68,DC68)</f>
        <v>2</v>
      </c>
      <c r="CU68" s="25"/>
      <c r="CV68" s="16">
        <f>(136+36)/AS68</f>
        <v>392.69406392694066</v>
      </c>
      <c r="CW68" s="22">
        <v>1</v>
      </c>
      <c r="CX68" s="16">
        <v>136</v>
      </c>
      <c r="CY68" s="16">
        <f>136/AS68</f>
        <v>310.50228310502285</v>
      </c>
      <c r="CZ68" s="16">
        <v>1</v>
      </c>
      <c r="DA68" s="16">
        <v>36</v>
      </c>
      <c r="DB68" s="16">
        <f>36/AS68</f>
        <v>82.191780821917803</v>
      </c>
      <c r="DC68" s="18">
        <v>0</v>
      </c>
      <c r="DD68" s="16">
        <v>0</v>
      </c>
      <c r="DE68" s="16">
        <v>0</v>
      </c>
      <c r="DF68" s="16" t="e">
        <f>VLOOKUP(K68,'[3]RNA Seq summary tables'!$V$3:$V$99,1,FALSE)</f>
        <v>#N/A</v>
      </c>
      <c r="DG68" s="16"/>
      <c r="DH68" s="16"/>
      <c r="DI68" s="16"/>
      <c r="DJ68" s="16"/>
      <c r="DK68" s="16"/>
      <c r="DL68" s="16"/>
      <c r="DM68" s="16"/>
      <c r="DN68" s="16"/>
      <c r="DO68" s="16"/>
      <c r="DP68" s="16"/>
      <c r="DQ68" s="16"/>
      <c r="DR68" s="16"/>
      <c r="DS68" s="16"/>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c r="FM68" s="18"/>
      <c r="FN68" s="18"/>
      <c r="FO68" s="18"/>
      <c r="FP68" s="18"/>
      <c r="FQ68" s="18"/>
      <c r="FR68" s="18"/>
      <c r="FS68" s="18"/>
      <c r="FT68" s="18"/>
      <c r="FU68" s="18"/>
      <c r="FV68" s="18"/>
      <c r="FW68" s="18"/>
      <c r="FX68" s="18"/>
      <c r="FY68" s="18"/>
      <c r="FZ68" s="18"/>
      <c r="GA68" s="18"/>
      <c r="GB68" s="18"/>
      <c r="GC68" s="18"/>
      <c r="GD68" s="18"/>
      <c r="GE68" s="18"/>
      <c r="GF68" s="18"/>
      <c r="GG68" s="18"/>
      <c r="GH68" s="18"/>
      <c r="GI68" s="18"/>
      <c r="GJ68" s="18"/>
      <c r="GK68" s="18"/>
      <c r="GL68" s="18"/>
      <c r="GM68" s="18"/>
      <c r="GN68" s="18"/>
      <c r="GO68" s="18"/>
      <c r="GP68" s="18"/>
      <c r="GQ68" s="18"/>
      <c r="GR68" s="18"/>
      <c r="GS68" s="18"/>
      <c r="GT68" s="18"/>
      <c r="GU68" s="18"/>
      <c r="GV68" s="18"/>
      <c r="GW68" s="18"/>
      <c r="GX68" s="18"/>
      <c r="GY68" s="18"/>
      <c r="GZ68" s="18"/>
      <c r="HA68" s="18"/>
      <c r="HB68" s="18"/>
      <c r="HC68" s="18"/>
      <c r="HD68" s="18"/>
      <c r="HE68" s="18"/>
      <c r="HF68" s="18"/>
      <c r="HG68" s="18"/>
      <c r="HH68" s="18"/>
      <c r="HI68" s="18"/>
      <c r="HJ68" s="18"/>
      <c r="HK68" s="18"/>
      <c r="HL68" s="18"/>
      <c r="HM68" s="18"/>
      <c r="HN68" s="18"/>
      <c r="HO68" s="18"/>
      <c r="HP68" s="18"/>
      <c r="HQ68" s="18"/>
      <c r="HR68" s="18"/>
      <c r="HS68" s="18"/>
      <c r="HT68" s="18"/>
      <c r="HU68" s="18"/>
      <c r="HV68" s="18"/>
      <c r="HW68" s="18"/>
      <c r="HX68" s="18"/>
      <c r="HY68" s="18"/>
      <c r="HZ68" s="18"/>
      <c r="IA68" s="18"/>
      <c r="IB68" s="18"/>
      <c r="IC68" s="18"/>
      <c r="ID68" s="18"/>
      <c r="IE68" s="18"/>
      <c r="IF68" s="18"/>
      <c r="IG68" s="18"/>
      <c r="IH68" s="18"/>
      <c r="II68" s="18"/>
      <c r="IJ68" s="18"/>
      <c r="IK68" s="18"/>
      <c r="IL68" s="18"/>
      <c r="IM68" s="18"/>
      <c r="IN68" s="18"/>
      <c r="IO68" s="18"/>
      <c r="IP68" s="18"/>
      <c r="IQ68" s="18"/>
      <c r="IR68" s="18"/>
      <c r="IS68" s="18"/>
      <c r="IT68" s="18"/>
      <c r="IU68" s="18"/>
      <c r="IV68" s="18"/>
      <c r="IW68" s="18"/>
      <c r="IX68" s="18"/>
      <c r="IY68" s="18"/>
      <c r="IZ68" s="18"/>
      <c r="JA68" s="18"/>
      <c r="JB68" s="18"/>
      <c r="JC68" s="18"/>
      <c r="JD68" s="18"/>
      <c r="JE68" s="18"/>
      <c r="JF68" s="18"/>
      <c r="JG68" s="18"/>
      <c r="JH68" s="18"/>
      <c r="JI68" s="18"/>
      <c r="JJ68" s="18"/>
      <c r="JK68" s="18"/>
      <c r="JL68" s="18"/>
      <c r="JM68" s="18"/>
      <c r="JN68" s="18"/>
      <c r="JO68" s="16"/>
      <c r="JP68" s="62"/>
      <c r="JQ68" s="62"/>
      <c r="JR68" s="16"/>
      <c r="JS68" s="16"/>
      <c r="JT68" s="16"/>
      <c r="JU68" s="16"/>
      <c r="JV68" s="16"/>
      <c r="JW68" s="16"/>
      <c r="JX68" s="16"/>
      <c r="JY68" s="16"/>
      <c r="JZ68" s="16"/>
      <c r="KA68" s="16"/>
      <c r="KB68" s="16"/>
    </row>
    <row r="69" spans="1:288" s="39" customFormat="1" x14ac:dyDescent="0.2">
      <c r="A69" s="18"/>
      <c r="B69" s="16">
        <v>2016</v>
      </c>
      <c r="C69" s="20">
        <v>42551</v>
      </c>
      <c r="D69" s="20" t="str">
        <f>CONCATENATE(J69,"-",C69)</f>
        <v>969-42551</v>
      </c>
      <c r="E69" s="20" t="str">
        <f>CONCATENATE(T69,"-",U69,"-",C69)</f>
        <v>SP1-G4-42551</v>
      </c>
      <c r="F69" s="20" t="s">
        <v>106</v>
      </c>
      <c r="G69" s="20" t="s">
        <v>107</v>
      </c>
      <c r="H69" s="16"/>
      <c r="I69" s="16">
        <v>0</v>
      </c>
      <c r="J69" s="21">
        <v>969</v>
      </c>
      <c r="K69" s="21">
        <v>1441</v>
      </c>
      <c r="L69" s="18">
        <v>0</v>
      </c>
      <c r="M69" s="15">
        <f>VLOOKUP(K69,'[7]MLBS 2016 SNV-nem Coinfection d'!$C$1:$G$238,4,FALSE)</f>
        <v>0</v>
      </c>
      <c r="N69" s="15">
        <v>0</v>
      </c>
      <c r="O69" s="15" t="s">
        <v>119</v>
      </c>
      <c r="P69" s="16" t="s">
        <v>119</v>
      </c>
      <c r="Q69" s="16">
        <v>0</v>
      </c>
      <c r="R69" s="16">
        <v>14</v>
      </c>
      <c r="S69" s="16"/>
      <c r="T69" s="16" t="s">
        <v>140</v>
      </c>
      <c r="U69" s="16" t="s">
        <v>173</v>
      </c>
      <c r="V69" s="16" t="s">
        <v>114</v>
      </c>
      <c r="W69" s="16">
        <f>AI69/AG69</f>
        <v>0.77380952380952384</v>
      </c>
      <c r="X69" s="16" t="s">
        <v>115</v>
      </c>
      <c r="Y69" s="16" t="s">
        <v>110</v>
      </c>
      <c r="Z69" s="16">
        <v>3</v>
      </c>
      <c r="AA69" s="16"/>
      <c r="AB69" s="16"/>
      <c r="AC69" s="16"/>
      <c r="AD69" s="16"/>
      <c r="AE69" s="16" t="s">
        <v>116</v>
      </c>
      <c r="AF69" s="16" t="s">
        <v>116</v>
      </c>
      <c r="AG69" s="16">
        <f>AH69-AI69</f>
        <v>84</v>
      </c>
      <c r="AH69" s="16">
        <v>149</v>
      </c>
      <c r="AI69" s="16">
        <v>65</v>
      </c>
      <c r="AJ69" s="16"/>
      <c r="AK69" s="16">
        <v>17.5</v>
      </c>
      <c r="AL69" s="16">
        <v>1</v>
      </c>
      <c r="AM69" s="16">
        <v>0</v>
      </c>
      <c r="AN69" s="16">
        <v>0</v>
      </c>
      <c r="AO69" s="16">
        <f>IF(SUM(AL69:AN69)&gt;0,1,0)</f>
        <v>1</v>
      </c>
      <c r="AP69" s="16">
        <f>SUM(AL69:AN69)</f>
        <v>1</v>
      </c>
      <c r="AQ69" s="16">
        <v>1.7410000000000001</v>
      </c>
      <c r="AR69" s="16">
        <v>0.26400000000000001</v>
      </c>
      <c r="AS69" s="16">
        <v>0.26400000000000001</v>
      </c>
      <c r="AT69" s="16" t="s">
        <v>124</v>
      </c>
      <c r="AU69" s="16"/>
      <c r="AV69" s="16"/>
      <c r="AW69" s="22">
        <v>1</v>
      </c>
      <c r="AX69" s="16"/>
      <c r="AY69" s="16">
        <f>(299+3928+27+13+276+80)/AS69</f>
        <v>17511.363636363636</v>
      </c>
      <c r="AZ69" s="18">
        <v>1</v>
      </c>
      <c r="BA69" s="16"/>
      <c r="BB69" s="16">
        <f>(299+3928+27)/AS69</f>
        <v>16113.636363636362</v>
      </c>
      <c r="BC69" s="16">
        <v>1</v>
      </c>
      <c r="BD69" s="16">
        <v>299</v>
      </c>
      <c r="BE69" s="16">
        <f>299/AS69</f>
        <v>1132.5757575757575</v>
      </c>
      <c r="BF69" s="18">
        <v>1</v>
      </c>
      <c r="BG69" s="23">
        <v>3928</v>
      </c>
      <c r="BH69" s="16">
        <f>3928/AS69</f>
        <v>14878.787878787878</v>
      </c>
      <c r="BI69" s="16">
        <v>1</v>
      </c>
      <c r="BJ69" s="16">
        <v>27</v>
      </c>
      <c r="BK69" s="16">
        <f>27/AS69</f>
        <v>102.27272727272727</v>
      </c>
      <c r="BL69" s="16">
        <f>IF(BM69&gt;0,1,0)</f>
        <v>1</v>
      </c>
      <c r="BM69" s="16">
        <f>SUM(BR69,BU69,BX69,CA69,CD69,CG69,CJ69,CM69,CP69)</f>
        <v>1</v>
      </c>
      <c r="BN69" s="16">
        <f>SUM(BW69,BZ69,CC69,CF69,CI69,CL69,CO69,CR69,BT69)</f>
        <v>49.242424242424242</v>
      </c>
      <c r="BO69" s="16">
        <f>IF(BP69&gt;0,1,0)</f>
        <v>1</v>
      </c>
      <c r="BP69" s="16">
        <f>SUM(BU69,BX69,CA69,CD69,BR69)</f>
        <v>1</v>
      </c>
      <c r="BQ69" s="16">
        <f>SUM(BZ69,CC69,CF69,BT69,BW69)</f>
        <v>49.242424242424242</v>
      </c>
      <c r="BR69" s="18">
        <v>0</v>
      </c>
      <c r="BS69" s="16">
        <v>0</v>
      </c>
      <c r="BT69" s="23">
        <f>BS69/AS69</f>
        <v>0</v>
      </c>
      <c r="BU69" s="18">
        <v>0</v>
      </c>
      <c r="BV69" s="16">
        <v>0</v>
      </c>
      <c r="BW69" s="18">
        <f>BV69/AS69</f>
        <v>0</v>
      </c>
      <c r="BX69" s="24">
        <v>1</v>
      </c>
      <c r="BY69" s="16">
        <v>13</v>
      </c>
      <c r="BZ69" s="16">
        <f>BY69/AS69</f>
        <v>49.242424242424242</v>
      </c>
      <c r="CA69" s="24">
        <v>0</v>
      </c>
      <c r="CB69" s="16">
        <v>0</v>
      </c>
      <c r="CC69" s="16">
        <v>0</v>
      </c>
      <c r="CD69" s="23">
        <v>0</v>
      </c>
      <c r="CE69" s="16">
        <v>0</v>
      </c>
      <c r="CF69" s="16">
        <v>0</v>
      </c>
      <c r="CG69" s="16"/>
      <c r="CH69" s="16"/>
      <c r="CI69" s="16"/>
      <c r="CJ69" s="16"/>
      <c r="CK69" s="16"/>
      <c r="CL69" s="16"/>
      <c r="CM69" s="16"/>
      <c r="CN69" s="16"/>
      <c r="CO69" s="16"/>
      <c r="CP69" s="16" t="s">
        <v>123</v>
      </c>
      <c r="CQ69" s="16">
        <v>0</v>
      </c>
      <c r="CR69" s="16">
        <v>0</v>
      </c>
      <c r="CS69" s="18">
        <f>IF(CT69&gt;0,1,0)</f>
        <v>1</v>
      </c>
      <c r="CT69" s="25">
        <f>SUM(CW69,CZ69,DC69)</f>
        <v>2</v>
      </c>
      <c r="CU69" s="25"/>
      <c r="CV69" s="16">
        <f>(276+80)/AS69</f>
        <v>1348.4848484848485</v>
      </c>
      <c r="CW69" s="22">
        <v>1</v>
      </c>
      <c r="CX69" s="16">
        <v>276</v>
      </c>
      <c r="CY69" s="16">
        <f>276/AS69</f>
        <v>1045.4545454545455</v>
      </c>
      <c r="CZ69" s="16">
        <v>1</v>
      </c>
      <c r="DA69" s="16">
        <v>80</v>
      </c>
      <c r="DB69" s="16">
        <f>80/AS69</f>
        <v>303.030303030303</v>
      </c>
      <c r="DC69" s="18">
        <v>0</v>
      </c>
      <c r="DD69" s="16">
        <v>0</v>
      </c>
      <c r="DE69" s="16">
        <v>0</v>
      </c>
      <c r="DF69" s="16" t="e">
        <f>VLOOKUP(K69,'[3]RNA Seq summary tables'!$V$3:$V$99,1,FALSE)</f>
        <v>#N/A</v>
      </c>
      <c r="DG69" s="16"/>
      <c r="DH69" s="16"/>
      <c r="DI69" s="16"/>
      <c r="DJ69" s="16"/>
      <c r="DK69" s="16"/>
      <c r="DL69" s="16"/>
      <c r="DM69" s="16"/>
      <c r="DN69" s="16"/>
      <c r="DO69" s="16"/>
      <c r="DP69" s="16"/>
      <c r="DQ69" s="16"/>
      <c r="DR69" s="16"/>
      <c r="DS69" s="16"/>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6"/>
      <c r="JP69" s="16"/>
      <c r="JQ69" s="16"/>
      <c r="JR69" s="16"/>
      <c r="JS69" s="16"/>
      <c r="JT69" s="16"/>
      <c r="JU69" s="16"/>
      <c r="JV69" s="16"/>
      <c r="JW69" s="16"/>
      <c r="JX69" s="16"/>
      <c r="JY69" s="16"/>
      <c r="JZ69" s="16"/>
      <c r="KA69" s="16"/>
      <c r="KB69" s="16"/>
    </row>
    <row r="70" spans="1:288" x14ac:dyDescent="0.2">
      <c r="A70" s="26"/>
      <c r="B70" s="26">
        <v>2016</v>
      </c>
      <c r="C70" s="44">
        <v>42538</v>
      </c>
      <c r="D70" s="44" t="str">
        <f>CONCATENATE(J70,"-",C70)</f>
        <v>971-42538</v>
      </c>
      <c r="E70" s="20" t="str">
        <f>CONCATENATE(T70,"-",U70,"-",C70)</f>
        <v>SP1-F8-42538</v>
      </c>
      <c r="F70" s="20" t="s">
        <v>106</v>
      </c>
      <c r="G70" s="44" t="s">
        <v>107</v>
      </c>
      <c r="H70" s="26"/>
      <c r="I70" s="16">
        <v>0</v>
      </c>
      <c r="J70" s="45">
        <v>971</v>
      </c>
      <c r="K70" s="45">
        <v>1385</v>
      </c>
      <c r="L70" s="16">
        <v>1</v>
      </c>
      <c r="M70" s="46">
        <f>VLOOKUP(K70,'[7]MLBS 2016 SNV-nem Coinfection d'!$C$1:$G$238,4,FALSE)</f>
        <v>1</v>
      </c>
      <c r="N70" s="46">
        <f>VLOOKUP(K70,'[7]MLBS 2016 SNV-nem Coinfection d'!$C$1:$G$238,5,FALSE)</f>
        <v>67</v>
      </c>
      <c r="O70" s="15" t="s">
        <v>119</v>
      </c>
      <c r="P70" s="26" t="s">
        <v>119</v>
      </c>
      <c r="Q70" s="26">
        <v>0</v>
      </c>
      <c r="R70" s="26" t="s">
        <v>111</v>
      </c>
      <c r="S70" s="26"/>
      <c r="T70" s="26" t="s">
        <v>140</v>
      </c>
      <c r="U70" s="26" t="s">
        <v>138</v>
      </c>
      <c r="V70" s="26" t="s">
        <v>114</v>
      </c>
      <c r="W70" s="16">
        <f>AI70/AG70</f>
        <v>0.8666666666666667</v>
      </c>
      <c r="X70" s="26" t="s">
        <v>121</v>
      </c>
      <c r="Y70" s="26" t="s">
        <v>122</v>
      </c>
      <c r="Z70" s="26">
        <v>2.6</v>
      </c>
      <c r="AA70" s="26" t="s">
        <v>119</v>
      </c>
      <c r="AB70" s="26" t="s">
        <v>123</v>
      </c>
      <c r="AC70" s="26" t="s">
        <v>123</v>
      </c>
      <c r="AD70" s="26" t="s">
        <v>123</v>
      </c>
      <c r="AE70" s="26"/>
      <c r="AF70" s="26"/>
      <c r="AG70" s="26">
        <f>AH70-AI70</f>
        <v>75</v>
      </c>
      <c r="AH70" s="26">
        <v>140</v>
      </c>
      <c r="AI70" s="26">
        <v>65</v>
      </c>
      <c r="AJ70" s="26"/>
      <c r="AK70" s="26">
        <v>14.5</v>
      </c>
      <c r="AL70" s="26">
        <v>0</v>
      </c>
      <c r="AM70" s="26">
        <v>0</v>
      </c>
      <c r="AN70" s="26">
        <v>0</v>
      </c>
      <c r="AO70" s="26">
        <f>IF(SUM(AL70:AN70)&gt;0,1,0)</f>
        <v>0</v>
      </c>
      <c r="AP70" s="26">
        <f>SUM(AL70:AN70)</f>
        <v>0</v>
      </c>
      <c r="AQ70" s="26">
        <f>1.477+AS70</f>
        <v>2.1379999999999999</v>
      </c>
      <c r="AR70" s="26">
        <v>0.66100000000000003</v>
      </c>
      <c r="AS70" s="26">
        <v>0.66100000000000003</v>
      </c>
      <c r="AT70" s="26" t="s">
        <v>124</v>
      </c>
      <c r="AU70" s="26"/>
      <c r="AV70" s="26"/>
      <c r="AW70" s="47">
        <v>1</v>
      </c>
      <c r="AX70" s="26"/>
      <c r="AY70" s="26">
        <f>15/AS70</f>
        <v>22.6928895612708</v>
      </c>
      <c r="AZ70" s="26">
        <v>0</v>
      </c>
      <c r="BA70" s="26"/>
      <c r="BB70" s="26">
        <v>0</v>
      </c>
      <c r="BC70" s="26">
        <v>0</v>
      </c>
      <c r="BD70" s="26">
        <v>0</v>
      </c>
      <c r="BE70" s="26">
        <v>0</v>
      </c>
      <c r="BF70" s="26">
        <v>0</v>
      </c>
      <c r="BG70" s="48">
        <v>0</v>
      </c>
      <c r="BH70" s="26">
        <v>0</v>
      </c>
      <c r="BI70" s="26">
        <v>0</v>
      </c>
      <c r="BJ70" s="26">
        <v>0</v>
      </c>
      <c r="BK70" s="26">
        <v>0</v>
      </c>
      <c r="BL70" s="26">
        <f>IF(BM70&gt;0,1,0)</f>
        <v>1</v>
      </c>
      <c r="BM70" s="26">
        <f>SUM(BR70,BU70,BX70,CA70,CD70,CG70,CJ70,CM70,CP70)</f>
        <v>1</v>
      </c>
      <c r="BN70" s="26">
        <f>SUM(BW70,BZ70,CC70,CF70,CI70,CL70,CO70,CR70,BT70)</f>
        <v>22.6928895612708</v>
      </c>
      <c r="BO70" s="16">
        <f>IF(BP70&gt;0,1,0)</f>
        <v>1</v>
      </c>
      <c r="BP70" s="16">
        <f>SUM(BU70,BX70,CA70,CD70,BR70)</f>
        <v>1</v>
      </c>
      <c r="BQ70" s="16">
        <f>SUM(BZ70,CC70,CF70,BT70,BW70)</f>
        <v>22.6928895612708</v>
      </c>
      <c r="BR70" s="26">
        <v>0</v>
      </c>
      <c r="BS70" s="26">
        <v>0</v>
      </c>
      <c r="BT70" s="48">
        <f>BS70/AS70</f>
        <v>0</v>
      </c>
      <c r="BU70" s="26">
        <v>0</v>
      </c>
      <c r="BV70" s="26">
        <v>0</v>
      </c>
      <c r="BW70" s="26">
        <f>BV70/AS70</f>
        <v>0</v>
      </c>
      <c r="BX70" s="47">
        <v>1</v>
      </c>
      <c r="BY70" s="26">
        <v>15</v>
      </c>
      <c r="BZ70" s="26">
        <f>BY70/AS70</f>
        <v>22.6928895612708</v>
      </c>
      <c r="CA70" s="47">
        <v>0</v>
      </c>
      <c r="CB70" s="26">
        <v>0</v>
      </c>
      <c r="CC70" s="26">
        <v>0</v>
      </c>
      <c r="CD70" s="48">
        <v>0</v>
      </c>
      <c r="CE70" s="26">
        <v>0</v>
      </c>
      <c r="CF70" s="26">
        <v>0</v>
      </c>
      <c r="CG70" s="26"/>
      <c r="CH70" s="26"/>
      <c r="CI70" s="26"/>
      <c r="CJ70" s="26"/>
      <c r="CK70" s="26"/>
      <c r="CL70" s="26"/>
      <c r="CM70" s="26"/>
      <c r="CN70" s="26"/>
      <c r="CO70" s="26"/>
      <c r="CP70" s="26" t="s">
        <v>123</v>
      </c>
      <c r="CQ70" s="26">
        <v>0</v>
      </c>
      <c r="CR70" s="26">
        <v>0</v>
      </c>
      <c r="CS70" s="26">
        <f>IF(CT70&gt;0,1,0)</f>
        <v>0</v>
      </c>
      <c r="CT70" s="48">
        <f>SUM(CW70,CZ70,DC70)</f>
        <v>0</v>
      </c>
      <c r="CU70" s="48"/>
      <c r="CV70" s="26">
        <v>0</v>
      </c>
      <c r="CW70" s="48">
        <v>0</v>
      </c>
      <c r="CX70" s="26">
        <v>0</v>
      </c>
      <c r="CY70" s="26">
        <v>0</v>
      </c>
      <c r="CZ70" s="26">
        <v>0</v>
      </c>
      <c r="DA70" s="26">
        <v>0</v>
      </c>
      <c r="DB70" s="26">
        <v>0</v>
      </c>
      <c r="DC70" s="26">
        <v>0</v>
      </c>
      <c r="DD70" s="26">
        <v>0</v>
      </c>
      <c r="DE70" s="26">
        <v>0</v>
      </c>
      <c r="DF70" s="16">
        <f>VLOOKUP(K70,'[3]RNA Seq summary tables'!$V$3:$V$99,1,FALSE)</f>
        <v>1385</v>
      </c>
      <c r="DI70" s="26"/>
      <c r="DJ70" s="26"/>
      <c r="DK70" s="26"/>
      <c r="DL70" s="26"/>
      <c r="DM70" s="26"/>
      <c r="DN70" s="26"/>
      <c r="DO70" s="26"/>
      <c r="DP70" s="26"/>
      <c r="DQ70" s="26"/>
      <c r="DR70" s="26"/>
      <c r="DS70" s="26"/>
      <c r="JP70" s="26"/>
      <c r="JQ70" s="26"/>
    </row>
    <row r="71" spans="1:288" x14ac:dyDescent="0.2">
      <c r="B71" s="16">
        <v>2016</v>
      </c>
      <c r="C71" s="37">
        <v>42551</v>
      </c>
      <c r="D71" s="37" t="str">
        <f>CONCATENATE(J71,"-",C71)</f>
        <v>971-42551</v>
      </c>
      <c r="E71" s="20" t="str">
        <f>CONCATENATE(T71,"-",U71,"-",C71)</f>
        <v>SP1-F8-42551</v>
      </c>
      <c r="F71" s="20" t="s">
        <v>106</v>
      </c>
      <c r="G71" s="37" t="s">
        <v>107</v>
      </c>
      <c r="H71" s="18"/>
      <c r="I71" s="16">
        <v>0</v>
      </c>
      <c r="J71" s="36">
        <v>971</v>
      </c>
      <c r="K71" s="21" t="s">
        <v>153</v>
      </c>
      <c r="L71" s="18">
        <v>0</v>
      </c>
      <c r="M71" s="15"/>
      <c r="N71" s="15"/>
      <c r="O71" s="15" t="s">
        <v>119</v>
      </c>
      <c r="P71" s="18" t="s">
        <v>119</v>
      </c>
      <c r="Q71" s="16">
        <v>0</v>
      </c>
      <c r="R71" s="18">
        <v>13</v>
      </c>
      <c r="S71" s="18"/>
      <c r="T71" s="18" t="s">
        <v>140</v>
      </c>
      <c r="U71" s="18" t="s">
        <v>138</v>
      </c>
      <c r="V71" s="18" t="s">
        <v>114</v>
      </c>
      <c r="W71" s="16">
        <f>AI71/AG71</f>
        <v>0.78749999999999998</v>
      </c>
      <c r="X71" s="18" t="s">
        <v>121</v>
      </c>
      <c r="Y71" s="18" t="s">
        <v>110</v>
      </c>
      <c r="Z71" s="18">
        <v>3</v>
      </c>
      <c r="AA71" s="18" t="s">
        <v>119</v>
      </c>
      <c r="AB71" s="18" t="s">
        <v>123</v>
      </c>
      <c r="AC71" s="18" t="s">
        <v>123</v>
      </c>
      <c r="AD71" s="18" t="s">
        <v>123</v>
      </c>
      <c r="AE71" s="18"/>
      <c r="AF71" s="18"/>
      <c r="AG71" s="18">
        <f>AH71-AI71</f>
        <v>80</v>
      </c>
      <c r="AH71" s="18">
        <v>143</v>
      </c>
      <c r="AI71" s="18">
        <v>63</v>
      </c>
      <c r="AJ71" s="18"/>
      <c r="AK71" s="18">
        <v>14.5</v>
      </c>
      <c r="AL71" s="16">
        <v>0</v>
      </c>
      <c r="AM71" s="16">
        <v>0</v>
      </c>
      <c r="AN71" s="16">
        <v>0</v>
      </c>
      <c r="AO71" s="16">
        <f>IF(SUM(AL71:AN71)&gt;0,1,0)</f>
        <v>0</v>
      </c>
      <c r="AP71" s="16">
        <f>SUM(AL71:AN71)</f>
        <v>0</v>
      </c>
      <c r="AQ71" s="18">
        <f>0.116+1.477</f>
        <v>1.5930000000000002</v>
      </c>
      <c r="AR71" s="18">
        <v>0.11600000000000001</v>
      </c>
      <c r="AS71" s="18">
        <v>0.11600000000000001</v>
      </c>
      <c r="AT71" s="18" t="s">
        <v>124</v>
      </c>
      <c r="AU71" s="18"/>
      <c r="AV71" s="18">
        <v>1</v>
      </c>
      <c r="AW71" s="18">
        <v>0</v>
      </c>
      <c r="AX71" s="18"/>
      <c r="AY71" s="18">
        <v>0</v>
      </c>
      <c r="AZ71" s="18">
        <v>0</v>
      </c>
      <c r="BA71" s="18"/>
      <c r="BB71" s="18">
        <v>0</v>
      </c>
      <c r="BC71" s="18">
        <v>0</v>
      </c>
      <c r="BD71" s="18">
        <v>0</v>
      </c>
      <c r="BE71" s="18">
        <v>0</v>
      </c>
      <c r="BF71" s="18">
        <v>0</v>
      </c>
      <c r="BG71" s="25">
        <v>0</v>
      </c>
      <c r="BH71" s="18">
        <v>0</v>
      </c>
      <c r="BI71" s="18">
        <v>0</v>
      </c>
      <c r="BJ71" s="18">
        <v>0</v>
      </c>
      <c r="BK71" s="18">
        <v>0</v>
      </c>
      <c r="BL71" s="16">
        <f>IF(BM71&gt;0,1,0)</f>
        <v>0</v>
      </c>
      <c r="BM71" s="16">
        <f>SUM(BR71,BU71,BX71,CA71,CD71,CG71,CJ71,CM71,CP71)</f>
        <v>0</v>
      </c>
      <c r="BN71" s="16">
        <f>SUM(BW71,BZ71,CC71,CF71,CI71,CL71,CO71,CR71,BT71)</f>
        <v>0</v>
      </c>
      <c r="BO71" s="16">
        <f>IF(BP71&gt;0,1,0)</f>
        <v>0</v>
      </c>
      <c r="BP71" s="16">
        <f>SUM(BU71,BX71,CA71,CD71,BR71)</f>
        <v>0</v>
      </c>
      <c r="BQ71" s="16">
        <f>SUM(BZ71,CC71,CF71,BT71,BW71)</f>
        <v>0</v>
      </c>
      <c r="BR71" s="18">
        <v>0</v>
      </c>
      <c r="BS71" s="18">
        <v>0</v>
      </c>
      <c r="BT71" s="23">
        <f>BS71/AS71</f>
        <v>0</v>
      </c>
      <c r="BU71" s="18">
        <v>0</v>
      </c>
      <c r="BV71" s="18">
        <v>0</v>
      </c>
      <c r="BW71" s="18">
        <f>BV71/AS71</f>
        <v>0</v>
      </c>
      <c r="BX71" s="18">
        <v>0</v>
      </c>
      <c r="BY71" s="18">
        <v>0</v>
      </c>
      <c r="BZ71" s="16">
        <f>BY71/AS71</f>
        <v>0</v>
      </c>
      <c r="CA71" s="24">
        <v>0</v>
      </c>
      <c r="CB71" s="18">
        <v>0</v>
      </c>
      <c r="CC71" s="18">
        <v>0</v>
      </c>
      <c r="CD71" s="25">
        <v>0</v>
      </c>
      <c r="CE71" s="18">
        <v>0</v>
      </c>
      <c r="CF71" s="18">
        <v>0</v>
      </c>
      <c r="CG71" s="18"/>
      <c r="CH71" s="18"/>
      <c r="CI71" s="18"/>
      <c r="CJ71" s="18"/>
      <c r="CK71" s="18"/>
      <c r="CL71" s="18"/>
      <c r="CM71" s="18"/>
      <c r="CN71" s="18"/>
      <c r="CO71" s="18"/>
      <c r="CP71" s="18" t="s">
        <v>123</v>
      </c>
      <c r="CQ71" s="18">
        <v>0</v>
      </c>
      <c r="CR71" s="18">
        <v>0</v>
      </c>
      <c r="CS71" s="18">
        <f>IF(CT71&gt;0,1,0)</f>
        <v>0</v>
      </c>
      <c r="CT71" s="25">
        <f>SUM(CW71,CZ71,DC71)</f>
        <v>0</v>
      </c>
      <c r="CU71" s="25"/>
      <c r="CV71" s="18">
        <v>0</v>
      </c>
      <c r="CW71" s="25">
        <v>0</v>
      </c>
      <c r="CX71" s="18">
        <v>0</v>
      </c>
      <c r="CY71" s="18">
        <v>0</v>
      </c>
      <c r="CZ71" s="18">
        <v>0</v>
      </c>
      <c r="DA71" s="18">
        <v>0</v>
      </c>
      <c r="DB71" s="18">
        <v>0</v>
      </c>
      <c r="DC71" s="18">
        <v>0</v>
      </c>
      <c r="DD71" s="18">
        <v>0</v>
      </c>
      <c r="DE71" s="18">
        <v>0</v>
      </c>
      <c r="DF71" s="16" t="e">
        <f>VLOOKUP(K71,'[3]RNA Seq summary tables'!$V$3:$V$99,1,FALSE)</f>
        <v>#N/A</v>
      </c>
      <c r="DI71" s="18"/>
      <c r="DJ71" s="18"/>
      <c r="DK71" s="18"/>
      <c r="DL71" s="18"/>
      <c r="DM71" s="18"/>
      <c r="DN71" s="18"/>
      <c r="DO71" s="18"/>
      <c r="DP71" s="18"/>
      <c r="DQ71" s="18"/>
      <c r="DR71" s="18"/>
      <c r="DS71" s="18"/>
    </row>
    <row r="72" spans="1:288" x14ac:dyDescent="0.2">
      <c r="B72" s="16">
        <v>2016</v>
      </c>
      <c r="C72" s="20">
        <v>42538</v>
      </c>
      <c r="D72" s="20" t="str">
        <f>CONCATENATE(J72,"-",C72)</f>
        <v>973-42538</v>
      </c>
      <c r="E72" s="20" t="str">
        <f>CONCATENATE(T72,"-",U72,"-",C72)</f>
        <v>SP2-G3-42538</v>
      </c>
      <c r="F72" s="20" t="s">
        <v>106</v>
      </c>
      <c r="G72" s="20" t="s">
        <v>107</v>
      </c>
      <c r="I72" s="16">
        <v>0</v>
      </c>
      <c r="J72" s="21">
        <v>973</v>
      </c>
      <c r="K72" s="21">
        <v>1387</v>
      </c>
      <c r="L72" s="16">
        <v>0</v>
      </c>
      <c r="M72" s="15">
        <f>VLOOKUP(K72,'[7]MLBS 2016 SNV-nem Coinfection d'!$C$1:$G$238,4,FALSE)</f>
        <v>0</v>
      </c>
      <c r="N72" s="15">
        <v>0</v>
      </c>
      <c r="O72" s="15" t="s">
        <v>119</v>
      </c>
      <c r="P72" s="16" t="s">
        <v>119</v>
      </c>
      <c r="Q72" s="16">
        <v>0</v>
      </c>
      <c r="R72" s="16" t="s">
        <v>111</v>
      </c>
      <c r="T72" s="16" t="s">
        <v>137</v>
      </c>
      <c r="U72" s="16" t="s">
        <v>179</v>
      </c>
      <c r="V72" s="16" t="s">
        <v>114</v>
      </c>
      <c r="W72" s="16">
        <f>AI72/AG72</f>
        <v>0.74444444444444446</v>
      </c>
      <c r="X72" s="16" t="s">
        <v>115</v>
      </c>
      <c r="Y72" s="16" t="s">
        <v>110</v>
      </c>
      <c r="Z72" s="16">
        <v>3</v>
      </c>
      <c r="AE72" s="16" t="s">
        <v>116</v>
      </c>
      <c r="AF72" s="16" t="s">
        <v>116</v>
      </c>
      <c r="AG72" s="16">
        <f>AH72-AI72</f>
        <v>90</v>
      </c>
      <c r="AH72" s="16">
        <v>157</v>
      </c>
      <c r="AI72" s="16">
        <v>67</v>
      </c>
      <c r="AK72" s="16">
        <v>20.5</v>
      </c>
      <c r="AL72" s="16">
        <v>0</v>
      </c>
      <c r="AM72" s="16">
        <v>0</v>
      </c>
      <c r="AN72" s="16">
        <v>0</v>
      </c>
      <c r="AO72" s="16">
        <f>IF(SUM(AL72:AN72)&gt;0,1,0)</f>
        <v>0</v>
      </c>
      <c r="AP72" s="16">
        <f>SUM(AL72:AN72)</f>
        <v>0</v>
      </c>
      <c r="AQ72" s="16">
        <f>1.477+AS72</f>
        <v>1.7690000000000001</v>
      </c>
      <c r="AR72" s="16">
        <v>0.29199999999999998</v>
      </c>
      <c r="AS72" s="16">
        <v>0.29199999999999998</v>
      </c>
      <c r="AT72" s="16" t="s">
        <v>124</v>
      </c>
      <c r="AW72" s="22">
        <v>1</v>
      </c>
      <c r="AY72" s="16">
        <f>15/AS72</f>
        <v>51.369863013698634</v>
      </c>
      <c r="AZ72" s="18">
        <v>1</v>
      </c>
      <c r="BB72" s="16">
        <f>13/AS72</f>
        <v>44.520547945205479</v>
      </c>
      <c r="BC72" s="16">
        <v>1</v>
      </c>
      <c r="BD72" s="16">
        <v>9</v>
      </c>
      <c r="BE72" s="16">
        <f>9/AS72</f>
        <v>30.82191780821918</v>
      </c>
      <c r="BF72" s="18">
        <v>1</v>
      </c>
      <c r="BG72" s="23">
        <v>2</v>
      </c>
      <c r="BH72" s="16">
        <f>2/AS72</f>
        <v>6.8493150684931514</v>
      </c>
      <c r="BI72" s="16">
        <v>1</v>
      </c>
      <c r="BJ72" s="16">
        <v>2</v>
      </c>
      <c r="BK72" s="16">
        <f>2/AS72</f>
        <v>6.8493150684931514</v>
      </c>
      <c r="BL72" s="16">
        <f>IF(BM72&gt;0,1,0)</f>
        <v>1</v>
      </c>
      <c r="BM72" s="16">
        <f>SUM(BR72,BU72,BX72,CA72,CD72,CG72,CJ72,CM72,CP72)</f>
        <v>2</v>
      </c>
      <c r="BN72" s="16">
        <f>SUM(BW72,BZ72,CC72,CF72,CI72,CL72,CO72,CR72,BT72)</f>
        <v>6.8493150684931514</v>
      </c>
      <c r="BO72" s="16">
        <f>IF(BP72&gt;0,1,0)</f>
        <v>1</v>
      </c>
      <c r="BP72" s="16">
        <f>SUM(BU72,BX72,CA72,CD72,BR72)</f>
        <v>2</v>
      </c>
      <c r="BQ72" s="16">
        <f>SUM(BZ72,CC72,CF72,BT72,BW72)</f>
        <v>6.8493150684931514</v>
      </c>
      <c r="BR72" s="18">
        <v>0</v>
      </c>
      <c r="BS72" s="16">
        <v>0</v>
      </c>
      <c r="BT72" s="23">
        <f>BS72/AS72</f>
        <v>0</v>
      </c>
      <c r="BU72" s="18">
        <v>0</v>
      </c>
      <c r="BV72" s="16">
        <v>0</v>
      </c>
      <c r="BW72" s="18">
        <f>BV72/AS72</f>
        <v>0</v>
      </c>
      <c r="BX72" s="24">
        <v>1</v>
      </c>
      <c r="BY72" s="16">
        <v>1</v>
      </c>
      <c r="BZ72" s="16">
        <f>BY72/AS72</f>
        <v>3.4246575342465757</v>
      </c>
      <c r="CA72" s="24">
        <v>1</v>
      </c>
      <c r="CB72" s="16">
        <v>1</v>
      </c>
      <c r="CC72" s="16">
        <f>1/AS72</f>
        <v>3.4246575342465757</v>
      </c>
      <c r="CD72" s="23">
        <v>0</v>
      </c>
      <c r="CE72" s="16">
        <v>0</v>
      </c>
      <c r="CF72" s="16">
        <v>0</v>
      </c>
      <c r="CP72" s="16" t="s">
        <v>123</v>
      </c>
      <c r="CQ72" s="16">
        <v>0</v>
      </c>
      <c r="CR72" s="16">
        <v>0</v>
      </c>
      <c r="CS72" s="18">
        <f>IF(CT72&gt;0,1,0)</f>
        <v>0</v>
      </c>
      <c r="CT72" s="25">
        <f>SUM(CW72,CZ72,DC72)</f>
        <v>0</v>
      </c>
      <c r="CU72" s="25"/>
      <c r="CV72" s="16">
        <v>0</v>
      </c>
      <c r="CW72" s="25">
        <v>0</v>
      </c>
      <c r="CX72" s="16">
        <v>0</v>
      </c>
      <c r="CY72" s="16">
        <v>0</v>
      </c>
      <c r="CZ72" s="18">
        <v>0</v>
      </c>
      <c r="DA72" s="16">
        <v>0</v>
      </c>
      <c r="DB72" s="16">
        <v>0</v>
      </c>
      <c r="DC72" s="18">
        <v>0</v>
      </c>
      <c r="DD72" s="16">
        <v>0</v>
      </c>
      <c r="DE72" s="16">
        <v>0</v>
      </c>
      <c r="DF72" s="16" t="e">
        <f>VLOOKUP(K72,'[3]RNA Seq summary tables'!$V$3:$V$99,1,FALSE)</f>
        <v>#N/A</v>
      </c>
      <c r="JR72" s="38"/>
      <c r="JS72" s="38"/>
      <c r="JT72" s="38"/>
      <c r="JU72" s="38"/>
      <c r="JV72" s="38"/>
      <c r="JW72" s="38"/>
      <c r="JX72" s="38"/>
      <c r="JY72" s="38"/>
      <c r="JZ72" s="38"/>
      <c r="KA72" s="38"/>
      <c r="KB72" s="38"/>
    </row>
    <row r="73" spans="1:288" s="39" customFormat="1" x14ac:dyDescent="0.2">
      <c r="A73" s="18"/>
      <c r="B73" s="16">
        <v>2016</v>
      </c>
      <c r="C73" s="20">
        <v>42551</v>
      </c>
      <c r="D73" s="20" t="str">
        <f>CONCATENATE(J73,"-",C73)</f>
        <v>973-42551</v>
      </c>
      <c r="E73" s="20" t="str">
        <f>CONCATENATE(T73,"-",U73,"-",C73)</f>
        <v>SP2-H2-42551</v>
      </c>
      <c r="F73" s="20" t="s">
        <v>106</v>
      </c>
      <c r="G73" s="20" t="s">
        <v>107</v>
      </c>
      <c r="H73" s="16"/>
      <c r="I73" s="16">
        <v>0</v>
      </c>
      <c r="J73" s="21">
        <v>973</v>
      </c>
      <c r="K73" s="21">
        <v>1446</v>
      </c>
      <c r="L73" s="18">
        <v>0</v>
      </c>
      <c r="M73" s="15">
        <f>VLOOKUP(K73,'[7]MLBS 2016 SNV-nem Coinfection d'!$C$1:$G$238,4,FALSE)</f>
        <v>0</v>
      </c>
      <c r="N73" s="15">
        <v>0</v>
      </c>
      <c r="O73" s="15" t="s">
        <v>119</v>
      </c>
      <c r="P73" s="16" t="s">
        <v>119</v>
      </c>
      <c r="Q73" s="16">
        <v>0</v>
      </c>
      <c r="R73" s="16">
        <v>13</v>
      </c>
      <c r="S73" s="16"/>
      <c r="T73" s="16" t="s">
        <v>137</v>
      </c>
      <c r="U73" s="16" t="s">
        <v>190</v>
      </c>
      <c r="V73" s="16" t="s">
        <v>114</v>
      </c>
      <c r="W73" s="16">
        <f>AI73/AG73</f>
        <v>0.80232558139534882</v>
      </c>
      <c r="X73" s="16" t="s">
        <v>115</v>
      </c>
      <c r="Y73" s="16" t="s">
        <v>110</v>
      </c>
      <c r="Z73" s="16">
        <v>3</v>
      </c>
      <c r="AA73" s="16"/>
      <c r="AB73" s="16"/>
      <c r="AC73" s="16"/>
      <c r="AD73" s="16"/>
      <c r="AE73" s="16" t="s">
        <v>116</v>
      </c>
      <c r="AF73" s="16" t="s">
        <v>116</v>
      </c>
      <c r="AG73" s="16">
        <f>AH73-AI73</f>
        <v>86</v>
      </c>
      <c r="AH73" s="16">
        <v>155</v>
      </c>
      <c r="AI73" s="16">
        <v>69</v>
      </c>
      <c r="AJ73" s="16"/>
      <c r="AK73" s="16">
        <v>21.5</v>
      </c>
      <c r="AL73" s="16">
        <v>0</v>
      </c>
      <c r="AM73" s="16">
        <v>0</v>
      </c>
      <c r="AN73" s="16">
        <v>0</v>
      </c>
      <c r="AO73" s="16">
        <f>IF(SUM(AL73:AN73)&gt;0,1,0)</f>
        <v>0</v>
      </c>
      <c r="AP73" s="16">
        <f>SUM(AL73:AN73)</f>
        <v>0</v>
      </c>
      <c r="AQ73" s="16"/>
      <c r="AR73" s="16">
        <v>0.128</v>
      </c>
      <c r="AS73" s="16">
        <v>0.128</v>
      </c>
      <c r="AT73" s="18" t="s">
        <v>117</v>
      </c>
      <c r="AU73" s="18"/>
      <c r="AV73" s="16"/>
      <c r="AW73" s="22">
        <v>1</v>
      </c>
      <c r="AX73" s="16">
        <v>4</v>
      </c>
      <c r="AY73" s="16">
        <f>(4+12+10+7)/0.128</f>
        <v>257.8125</v>
      </c>
      <c r="AZ73" s="18">
        <v>1</v>
      </c>
      <c r="BA73" s="16">
        <v>3</v>
      </c>
      <c r="BB73" s="16">
        <f>(4+12+10)/0.128</f>
        <v>203.125</v>
      </c>
      <c r="BC73" s="16">
        <v>1</v>
      </c>
      <c r="BD73" s="16">
        <v>4</v>
      </c>
      <c r="BE73" s="16">
        <f>4/0.128</f>
        <v>31.25</v>
      </c>
      <c r="BF73" s="18">
        <v>1</v>
      </c>
      <c r="BG73" s="23">
        <v>12</v>
      </c>
      <c r="BH73" s="16">
        <f>12/0.128</f>
        <v>93.75</v>
      </c>
      <c r="BI73" s="16">
        <v>1</v>
      </c>
      <c r="BJ73" s="16">
        <v>10</v>
      </c>
      <c r="BK73" s="16">
        <f>10/0.128</f>
        <v>78.125</v>
      </c>
      <c r="BL73" s="16">
        <f>IF(BM73&gt;0,1,0)</f>
        <v>1</v>
      </c>
      <c r="BM73" s="16">
        <f>SUM(BR73,BU73,BX73,CA73,CD73,CG73,CJ73,CM73,CP73)</f>
        <v>1</v>
      </c>
      <c r="BN73" s="16">
        <f>SUM(BW73,BZ73,CC73,CF73,CI73,CL73,CO73,CR73,BT73)</f>
        <v>54.6875</v>
      </c>
      <c r="BO73" s="16">
        <f>IF(BP73&gt;0,1,0)</f>
        <v>1</v>
      </c>
      <c r="BP73" s="16">
        <f>SUM(BU73,BX73,CA73,CD73,BR73)</f>
        <v>1</v>
      </c>
      <c r="BQ73" s="16">
        <f>SUM(BZ73,CC73,CF73,BT73,BW73)</f>
        <v>54.6875</v>
      </c>
      <c r="BR73" s="18">
        <v>0</v>
      </c>
      <c r="BS73" s="16">
        <v>0</v>
      </c>
      <c r="BT73" s="23">
        <f>BS73/AS73</f>
        <v>0</v>
      </c>
      <c r="BU73" s="18">
        <v>0</v>
      </c>
      <c r="BV73" s="16">
        <v>0</v>
      </c>
      <c r="BW73" s="18">
        <f>BV73/AS73</f>
        <v>0</v>
      </c>
      <c r="BX73" s="24">
        <v>1</v>
      </c>
      <c r="BY73" s="16">
        <v>7</v>
      </c>
      <c r="BZ73" s="16">
        <f>BY73/AS73</f>
        <v>54.6875</v>
      </c>
      <c r="CA73" s="24">
        <v>0</v>
      </c>
      <c r="CB73" s="16">
        <v>0</v>
      </c>
      <c r="CC73" s="16">
        <v>0</v>
      </c>
      <c r="CD73" s="23">
        <v>0</v>
      </c>
      <c r="CE73" s="16">
        <v>0</v>
      </c>
      <c r="CF73" s="16">
        <v>0</v>
      </c>
      <c r="CG73" s="16"/>
      <c r="CH73" s="16"/>
      <c r="CI73" s="16"/>
      <c r="CJ73" s="16"/>
      <c r="CK73" s="16"/>
      <c r="CL73" s="16"/>
      <c r="CM73" s="16"/>
      <c r="CN73" s="16"/>
      <c r="CO73" s="16"/>
      <c r="CP73" s="16" t="s">
        <v>123</v>
      </c>
      <c r="CQ73" s="16">
        <v>0</v>
      </c>
      <c r="CR73" s="16">
        <v>0</v>
      </c>
      <c r="CS73" s="18">
        <f>IF(CT73&gt;0,1,0)</f>
        <v>0</v>
      </c>
      <c r="CT73" s="25">
        <f>SUM(CW73,CZ73,DC73)</f>
        <v>0</v>
      </c>
      <c r="CU73" s="25"/>
      <c r="CV73" s="16">
        <v>0</v>
      </c>
      <c r="CW73" s="25">
        <v>0</v>
      </c>
      <c r="CX73" s="16">
        <v>0</v>
      </c>
      <c r="CY73" s="16">
        <v>0</v>
      </c>
      <c r="CZ73" s="18">
        <v>0</v>
      </c>
      <c r="DA73" s="16">
        <v>0</v>
      </c>
      <c r="DB73" s="16">
        <v>0</v>
      </c>
      <c r="DC73" s="18">
        <v>0</v>
      </c>
      <c r="DD73" s="16">
        <v>0</v>
      </c>
      <c r="DE73" s="16">
        <v>0</v>
      </c>
      <c r="DF73" s="16" t="e">
        <f>VLOOKUP(K73,'[3]RNA Seq summary tables'!$V$3:$V$99,1,FALSE)</f>
        <v>#N/A</v>
      </c>
      <c r="DG73" s="16"/>
      <c r="DH73" s="16"/>
      <c r="DI73" s="16"/>
      <c r="DJ73" s="16"/>
      <c r="DK73" s="16"/>
      <c r="DL73" s="16"/>
      <c r="DM73" s="16"/>
      <c r="DN73" s="16"/>
      <c r="DO73" s="16"/>
      <c r="DP73" s="16"/>
      <c r="DQ73" s="16"/>
      <c r="DR73" s="16"/>
      <c r="DS73" s="16"/>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c r="FG73" s="18"/>
      <c r="FH73" s="18"/>
      <c r="FI73" s="18"/>
      <c r="FJ73" s="18"/>
      <c r="FK73" s="18"/>
      <c r="FL73" s="18"/>
      <c r="FM73" s="18"/>
      <c r="FN73" s="18"/>
      <c r="FO73" s="18"/>
      <c r="FP73" s="18"/>
      <c r="FQ73" s="18"/>
      <c r="FR73" s="18"/>
      <c r="FS73" s="18"/>
      <c r="FT73" s="18"/>
      <c r="FU73" s="18"/>
      <c r="FV73" s="18"/>
      <c r="FW73" s="18"/>
      <c r="FX73" s="18"/>
      <c r="FY73" s="18"/>
      <c r="FZ73" s="18"/>
      <c r="GA73" s="18"/>
      <c r="GB73" s="18"/>
      <c r="GC73" s="18"/>
      <c r="GD73" s="18"/>
      <c r="GE73" s="18"/>
      <c r="GF73" s="18"/>
      <c r="GG73" s="18"/>
      <c r="GH73" s="18"/>
      <c r="GI73" s="18"/>
      <c r="GJ73" s="18"/>
      <c r="GK73" s="18"/>
      <c r="GL73" s="18"/>
      <c r="GM73" s="18"/>
      <c r="GN73" s="18"/>
      <c r="GO73" s="18"/>
      <c r="GP73" s="18"/>
      <c r="GQ73" s="18"/>
      <c r="GR73" s="18"/>
      <c r="GS73" s="18"/>
      <c r="GT73" s="18"/>
      <c r="GU73" s="18"/>
      <c r="GV73" s="18"/>
      <c r="GW73" s="18"/>
      <c r="GX73" s="18"/>
      <c r="GY73" s="18"/>
      <c r="GZ73" s="18"/>
      <c r="HA73" s="18"/>
      <c r="HB73" s="18"/>
      <c r="HC73" s="18"/>
      <c r="HD73" s="18"/>
      <c r="HE73" s="18"/>
      <c r="HF73" s="18"/>
      <c r="HG73" s="18"/>
      <c r="HH73" s="18"/>
      <c r="HI73" s="18"/>
      <c r="HJ73" s="18"/>
      <c r="HK73" s="18"/>
      <c r="HL73" s="18"/>
      <c r="HM73" s="18"/>
      <c r="HN73" s="18"/>
      <c r="HO73" s="18"/>
      <c r="HP73" s="18"/>
      <c r="HQ73" s="18"/>
      <c r="HR73" s="18"/>
      <c r="HS73" s="18"/>
      <c r="HT73" s="18"/>
      <c r="HU73" s="18"/>
      <c r="HV73" s="18"/>
      <c r="HW73" s="18"/>
      <c r="HX73" s="18"/>
      <c r="HY73" s="18"/>
      <c r="HZ73" s="18"/>
      <c r="IA73" s="18"/>
      <c r="IB73" s="18"/>
      <c r="IC73" s="18"/>
      <c r="ID73" s="18"/>
      <c r="IE73" s="18"/>
      <c r="IF73" s="18"/>
      <c r="IG73" s="18"/>
      <c r="IH73" s="18"/>
      <c r="II73" s="18"/>
      <c r="IJ73" s="18"/>
      <c r="IK73" s="18"/>
      <c r="IL73" s="18"/>
      <c r="IM73" s="18"/>
      <c r="IN73" s="18"/>
      <c r="IO73" s="18"/>
      <c r="IP73" s="18"/>
      <c r="IQ73" s="18"/>
      <c r="IR73" s="18"/>
      <c r="IS73" s="18"/>
      <c r="IT73" s="18"/>
      <c r="IU73" s="18"/>
      <c r="IV73" s="18"/>
      <c r="IW73" s="18"/>
      <c r="IX73" s="18"/>
      <c r="IY73" s="18"/>
      <c r="IZ73" s="18"/>
      <c r="JA73" s="18"/>
      <c r="JB73" s="18"/>
      <c r="JC73" s="18"/>
      <c r="JD73" s="18"/>
      <c r="JE73" s="18"/>
      <c r="JF73" s="18"/>
      <c r="JG73" s="18"/>
      <c r="JH73" s="18"/>
      <c r="JI73" s="18"/>
      <c r="JJ73" s="18"/>
      <c r="JK73" s="18"/>
      <c r="JL73" s="18"/>
      <c r="JM73" s="18"/>
      <c r="JN73" s="18"/>
      <c r="JO73" s="16"/>
      <c r="JP73" s="16"/>
      <c r="JQ73" s="16"/>
      <c r="JR73" s="16"/>
      <c r="JS73" s="16"/>
      <c r="JT73" s="16"/>
      <c r="JU73" s="16"/>
      <c r="JV73" s="16"/>
      <c r="JW73" s="16"/>
      <c r="JX73" s="16"/>
      <c r="JY73" s="16"/>
      <c r="JZ73" s="16"/>
      <c r="KA73" s="16"/>
      <c r="KB73" s="16"/>
    </row>
    <row r="74" spans="1:288" s="39" customFormat="1" x14ac:dyDescent="0.2">
      <c r="A74" s="18"/>
      <c r="B74" s="16">
        <v>2016</v>
      </c>
      <c r="C74" s="37">
        <v>42566</v>
      </c>
      <c r="D74" s="37" t="str">
        <f>CONCATENATE(J74,"-",C74)</f>
        <v>973-42566</v>
      </c>
      <c r="E74" s="20" t="str">
        <f>CONCATENATE(T74,"-",U74,"-",C74)</f>
        <v>SP1-H3-42566</v>
      </c>
      <c r="F74" s="20" t="s">
        <v>106</v>
      </c>
      <c r="G74" s="20" t="s">
        <v>107</v>
      </c>
      <c r="H74" s="18"/>
      <c r="I74" s="16">
        <v>0</v>
      </c>
      <c r="J74" s="36">
        <v>973</v>
      </c>
      <c r="K74" s="36">
        <v>1487</v>
      </c>
      <c r="L74" s="18">
        <v>0</v>
      </c>
      <c r="M74" s="15">
        <f>VLOOKUP(K74,'[7]MLBS 2016 SNV-nem Coinfection d'!$C$1:$G$238,4,FALSE)</f>
        <v>0</v>
      </c>
      <c r="N74" s="15">
        <v>0</v>
      </c>
      <c r="O74" s="15" t="s">
        <v>119</v>
      </c>
      <c r="P74" s="18" t="s">
        <v>119</v>
      </c>
      <c r="Q74" s="16">
        <v>0</v>
      </c>
      <c r="R74" s="18">
        <v>15</v>
      </c>
      <c r="S74" s="18"/>
      <c r="T74" s="18" t="s">
        <v>140</v>
      </c>
      <c r="U74" s="18" t="s">
        <v>174</v>
      </c>
      <c r="V74" s="18" t="s">
        <v>114</v>
      </c>
      <c r="W74" s="16">
        <f>AI74/AG74</f>
        <v>0.7752808988764045</v>
      </c>
      <c r="X74" s="18" t="s">
        <v>115</v>
      </c>
      <c r="Y74" s="18" t="s">
        <v>110</v>
      </c>
      <c r="Z74" s="18">
        <v>3</v>
      </c>
      <c r="AA74" s="18"/>
      <c r="AB74" s="18"/>
      <c r="AC74" s="18"/>
      <c r="AD74" s="18"/>
      <c r="AE74" s="18" t="s">
        <v>116</v>
      </c>
      <c r="AF74" s="18" t="s">
        <v>116</v>
      </c>
      <c r="AG74" s="18">
        <v>89</v>
      </c>
      <c r="AH74" s="18">
        <v>158</v>
      </c>
      <c r="AI74" s="18">
        <v>69</v>
      </c>
      <c r="AJ74" s="18"/>
      <c r="AK74" s="18">
        <v>25.5</v>
      </c>
      <c r="AL74" s="16">
        <v>1</v>
      </c>
      <c r="AM74" s="16">
        <v>0</v>
      </c>
      <c r="AN74" s="16">
        <v>0</v>
      </c>
      <c r="AO74" s="16">
        <f>IF(SUM(AL74:AN74)&gt;0,1,0)</f>
        <v>1</v>
      </c>
      <c r="AP74" s="16">
        <f>SUM(AL74:AN74)</f>
        <v>1</v>
      </c>
      <c r="AQ74" s="18"/>
      <c r="AR74" s="18">
        <v>0.14099999999999999</v>
      </c>
      <c r="AS74" s="18">
        <v>0.14099999999999999</v>
      </c>
      <c r="AT74" s="18" t="s">
        <v>212</v>
      </c>
      <c r="AU74" s="18"/>
      <c r="AV74" s="18"/>
      <c r="AW74" s="22">
        <v>1</v>
      </c>
      <c r="AX74" s="18">
        <v>4</v>
      </c>
      <c r="AY74" s="18">
        <f>(101+1686+14+20)/0.141</f>
        <v>12914.893617021278</v>
      </c>
      <c r="AZ74" s="18">
        <v>1</v>
      </c>
      <c r="BA74" s="18">
        <v>3</v>
      </c>
      <c r="BB74" s="18">
        <f>(BD74+BG74+BJ74)/AS74</f>
        <v>12773.049645390072</v>
      </c>
      <c r="BC74" s="16">
        <v>1</v>
      </c>
      <c r="BD74" s="18">
        <v>101</v>
      </c>
      <c r="BE74" s="18">
        <f>BD74/AS74</f>
        <v>716.3120567375887</v>
      </c>
      <c r="BF74" s="18">
        <v>1</v>
      </c>
      <c r="BG74" s="25">
        <v>1686</v>
      </c>
      <c r="BH74" s="18">
        <f>BG74/AS74</f>
        <v>11957.44680851064</v>
      </c>
      <c r="BI74" s="16">
        <v>1</v>
      </c>
      <c r="BJ74" s="18">
        <v>14</v>
      </c>
      <c r="BK74" s="18"/>
      <c r="BL74" s="16">
        <f>IF(BM74&gt;0,1,0)</f>
        <v>1</v>
      </c>
      <c r="BM74" s="16">
        <f>SUM(BR74,BU74,BX74,CA74,CD74,CG74,CJ74,CM74,CP74)</f>
        <v>1</v>
      </c>
      <c r="BN74" s="16">
        <f>SUM(BW74,BZ74,CC74,CF74,CI74,CL74,CO74,CR74,BT74)</f>
        <v>141.84397163120568</v>
      </c>
      <c r="BO74" s="16">
        <f>IF(BP74&gt;0,1,0)</f>
        <v>1</v>
      </c>
      <c r="BP74" s="16">
        <f>SUM(BU74,BX74,CA74,CD74,BR74)</f>
        <v>1</v>
      </c>
      <c r="BQ74" s="16">
        <f>SUM(BZ74,CC74,CF74,BT74,BW74)</f>
        <v>141.84397163120568</v>
      </c>
      <c r="BR74" s="18">
        <v>0</v>
      </c>
      <c r="BS74" s="18">
        <v>0</v>
      </c>
      <c r="BT74" s="23">
        <f>BS74/AS74</f>
        <v>0</v>
      </c>
      <c r="BU74" s="18">
        <v>0</v>
      </c>
      <c r="BV74" s="18">
        <v>0</v>
      </c>
      <c r="BW74" s="18">
        <f>BV74/AS74</f>
        <v>0</v>
      </c>
      <c r="BX74" s="24">
        <v>1</v>
      </c>
      <c r="BY74" s="18">
        <v>20</v>
      </c>
      <c r="BZ74" s="16">
        <f>BY74/AS74</f>
        <v>141.84397163120568</v>
      </c>
      <c r="CA74" s="24">
        <v>0</v>
      </c>
      <c r="CB74" s="18">
        <v>0</v>
      </c>
      <c r="CC74" s="18">
        <v>0</v>
      </c>
      <c r="CD74" s="23">
        <v>0</v>
      </c>
      <c r="CE74" s="18">
        <v>0</v>
      </c>
      <c r="CF74" s="18">
        <v>0</v>
      </c>
      <c r="CG74" s="18"/>
      <c r="CH74" s="18"/>
      <c r="CI74" s="18"/>
      <c r="CJ74" s="18"/>
      <c r="CK74" s="18"/>
      <c r="CL74" s="18"/>
      <c r="CM74" s="18"/>
      <c r="CN74" s="18"/>
      <c r="CO74" s="18"/>
      <c r="CP74" s="18" t="s">
        <v>123</v>
      </c>
      <c r="CQ74" s="18">
        <v>0</v>
      </c>
      <c r="CR74" s="18">
        <v>0</v>
      </c>
      <c r="CS74" s="18">
        <f>IF(CT74&gt;0,1,0)</f>
        <v>1</v>
      </c>
      <c r="CT74" s="25">
        <f>SUM(CW74,CZ74,DC74)</f>
        <v>1</v>
      </c>
      <c r="CU74" s="25"/>
      <c r="CV74" s="18">
        <f>CX74/0.141</f>
        <v>148.93617021276597</v>
      </c>
      <c r="CW74" s="22">
        <v>1</v>
      </c>
      <c r="CX74" s="18">
        <v>21</v>
      </c>
      <c r="CY74" s="18">
        <f>CX74/AS74</f>
        <v>148.93617021276597</v>
      </c>
      <c r="CZ74" s="18">
        <v>0</v>
      </c>
      <c r="DA74" s="18">
        <v>0</v>
      </c>
      <c r="DB74" s="18">
        <v>0</v>
      </c>
      <c r="DC74" s="18">
        <v>0</v>
      </c>
      <c r="DD74" s="18">
        <v>0</v>
      </c>
      <c r="DE74" s="18">
        <v>0</v>
      </c>
      <c r="DF74" s="16" t="e">
        <f>VLOOKUP(K74,'[3]RNA Seq summary tables'!$V$3:$V$99,1,FALSE)</f>
        <v>#N/A</v>
      </c>
      <c r="DG74" s="16"/>
      <c r="DH74" s="16"/>
      <c r="DI74" s="18"/>
      <c r="DJ74" s="18"/>
      <c r="DK74" s="18"/>
      <c r="DL74" s="18"/>
      <c r="DM74" s="18"/>
      <c r="DN74" s="18"/>
      <c r="DO74" s="18"/>
      <c r="DP74" s="18"/>
      <c r="DQ74" s="18"/>
      <c r="DR74" s="18"/>
      <c r="DS74" s="18"/>
      <c r="DT74" s="18"/>
      <c r="DU74" s="18"/>
      <c r="DV74" s="18"/>
      <c r="DW74" s="18"/>
      <c r="DX74" s="18"/>
      <c r="DY74" s="18"/>
      <c r="DZ74" s="18"/>
      <c r="EA74" s="18"/>
      <c r="EB74" s="18"/>
      <c r="EC74" s="18"/>
      <c r="ED74" s="18"/>
      <c r="EE74" s="18"/>
      <c r="EF74" s="18"/>
      <c r="EG74" s="18"/>
      <c r="EH74" s="18"/>
      <c r="EI74" s="18"/>
      <c r="EJ74" s="18"/>
      <c r="EK74" s="18"/>
      <c r="EL74" s="18"/>
      <c r="EM74" s="18"/>
      <c r="EN74" s="18"/>
      <c r="EO74" s="18"/>
      <c r="EP74" s="18"/>
      <c r="EQ74" s="18"/>
      <c r="ER74" s="18"/>
      <c r="ES74" s="18"/>
      <c r="ET74" s="18"/>
      <c r="EU74" s="18"/>
      <c r="EV74" s="18"/>
      <c r="EW74" s="18"/>
      <c r="EX74" s="18"/>
      <c r="EY74" s="18"/>
      <c r="EZ74" s="18"/>
      <c r="FA74" s="18"/>
      <c r="FB74" s="18"/>
      <c r="FC74" s="18"/>
      <c r="FD74" s="18"/>
      <c r="FE74" s="18"/>
      <c r="FF74" s="18"/>
      <c r="FG74" s="18"/>
      <c r="FH74" s="18"/>
      <c r="FI74" s="18"/>
      <c r="FJ74" s="18"/>
      <c r="FK74" s="18"/>
      <c r="FL74" s="18"/>
      <c r="FM74" s="18"/>
      <c r="FN74" s="18"/>
      <c r="FO74" s="18"/>
      <c r="FP74" s="18"/>
      <c r="FQ74" s="18"/>
      <c r="FR74" s="18"/>
      <c r="FS74" s="18"/>
      <c r="FT74" s="18"/>
      <c r="FU74" s="18"/>
      <c r="FV74" s="18"/>
      <c r="FW74" s="18"/>
      <c r="FX74" s="18"/>
      <c r="FY74" s="18"/>
      <c r="FZ74" s="18"/>
      <c r="GA74" s="18"/>
      <c r="GB74" s="18"/>
      <c r="GC74" s="18"/>
      <c r="GD74" s="18"/>
      <c r="GE74" s="18"/>
      <c r="GF74" s="18"/>
      <c r="GG74" s="18"/>
      <c r="GH74" s="18"/>
      <c r="GI74" s="18"/>
      <c r="GJ74" s="18"/>
      <c r="GK74" s="18"/>
      <c r="GL74" s="18"/>
      <c r="GM74" s="18"/>
      <c r="GN74" s="18"/>
      <c r="GO74" s="18"/>
      <c r="GP74" s="18"/>
      <c r="GQ74" s="18"/>
      <c r="GR74" s="18"/>
      <c r="GS74" s="18"/>
      <c r="GT74" s="18"/>
      <c r="GU74" s="18"/>
      <c r="GV74" s="18"/>
      <c r="GW74" s="18"/>
      <c r="GX74" s="18"/>
      <c r="GY74" s="18"/>
      <c r="GZ74" s="18"/>
      <c r="HA74" s="18"/>
      <c r="HB74" s="18"/>
      <c r="HC74" s="18"/>
      <c r="HD74" s="18"/>
      <c r="HE74" s="18"/>
      <c r="HF74" s="18"/>
      <c r="HG74" s="18"/>
      <c r="HH74" s="18"/>
      <c r="HI74" s="18"/>
      <c r="HJ74" s="18"/>
      <c r="HK74" s="18"/>
      <c r="HL74" s="18"/>
      <c r="HM74" s="18"/>
      <c r="HN74" s="18"/>
      <c r="HO74" s="18"/>
      <c r="HP74" s="18"/>
      <c r="HQ74" s="18"/>
      <c r="HR74" s="18"/>
      <c r="HS74" s="18"/>
      <c r="HT74" s="18"/>
      <c r="HU74" s="18"/>
      <c r="HV74" s="18"/>
      <c r="HW74" s="18"/>
      <c r="HX74" s="18"/>
      <c r="HY74" s="18"/>
      <c r="HZ74" s="18"/>
      <c r="IA74" s="18"/>
      <c r="IB74" s="18"/>
      <c r="IC74" s="18"/>
      <c r="ID74" s="18"/>
      <c r="IE74" s="18"/>
      <c r="IF74" s="18"/>
      <c r="IG74" s="18"/>
      <c r="IH74" s="18"/>
      <c r="II74" s="18"/>
      <c r="IJ74" s="18"/>
      <c r="IK74" s="18"/>
      <c r="IL74" s="18"/>
      <c r="IM74" s="18"/>
      <c r="IN74" s="18"/>
      <c r="IO74" s="18"/>
      <c r="IP74" s="18"/>
      <c r="IQ74" s="18"/>
      <c r="IR74" s="18"/>
      <c r="IS74" s="18"/>
      <c r="IT74" s="18"/>
      <c r="IU74" s="18"/>
      <c r="IV74" s="18"/>
      <c r="IW74" s="18"/>
      <c r="IX74" s="18"/>
      <c r="IY74" s="18"/>
      <c r="IZ74" s="18"/>
      <c r="JA74" s="18"/>
      <c r="JB74" s="18"/>
      <c r="JC74" s="18"/>
      <c r="JD74" s="18"/>
      <c r="JE74" s="18"/>
      <c r="JF74" s="18"/>
      <c r="JG74" s="18"/>
      <c r="JH74" s="18"/>
      <c r="JI74" s="18"/>
      <c r="JJ74" s="18"/>
      <c r="JK74" s="18"/>
      <c r="JL74" s="18"/>
      <c r="JM74" s="18"/>
      <c r="JN74" s="18"/>
      <c r="JO74" s="16"/>
      <c r="JP74" s="16"/>
      <c r="JQ74" s="16"/>
      <c r="JR74" s="16"/>
      <c r="JS74" s="16"/>
      <c r="JT74" s="16"/>
      <c r="JU74" s="16"/>
      <c r="JV74" s="16"/>
      <c r="JW74" s="16"/>
      <c r="JX74" s="16"/>
      <c r="JY74" s="16"/>
      <c r="JZ74" s="16"/>
      <c r="KA74" s="16"/>
      <c r="KB74" s="16"/>
    </row>
    <row r="75" spans="1:288" s="18" customFormat="1" x14ac:dyDescent="0.2">
      <c r="B75" s="16">
        <v>2016</v>
      </c>
      <c r="C75" s="20">
        <v>42579</v>
      </c>
      <c r="D75" s="20" t="str">
        <f>CONCATENATE(J75,"-",C75)</f>
        <v>973-42579</v>
      </c>
      <c r="E75" s="20" t="str">
        <f>CONCATENATE(T75,"-",U75,"-",C75)</f>
        <v>SP1-G1-42579</v>
      </c>
      <c r="F75" s="20" t="s">
        <v>106</v>
      </c>
      <c r="G75" s="20" t="s">
        <v>107</v>
      </c>
      <c r="H75" s="16"/>
      <c r="I75" s="16">
        <v>0</v>
      </c>
      <c r="J75" s="21">
        <v>973</v>
      </c>
      <c r="K75" s="21">
        <v>1515</v>
      </c>
      <c r="L75" s="18">
        <v>0</v>
      </c>
      <c r="M75" s="15">
        <f>VLOOKUP(K75,'[7]MLBS 2016 SNV-nem Coinfection d'!$C$1:$G$238,4,FALSE)</f>
        <v>0</v>
      </c>
      <c r="N75" s="15">
        <v>0</v>
      </c>
      <c r="O75" s="15" t="s">
        <v>119</v>
      </c>
      <c r="P75" s="16" t="s">
        <v>119</v>
      </c>
      <c r="Q75" s="16">
        <v>0</v>
      </c>
      <c r="R75" s="16">
        <v>13</v>
      </c>
      <c r="S75" s="16"/>
      <c r="T75" s="16" t="s">
        <v>140</v>
      </c>
      <c r="U75" s="16" t="s">
        <v>155</v>
      </c>
      <c r="V75" s="16" t="s">
        <v>114</v>
      </c>
      <c r="W75" s="16">
        <f>AI75/AG75</f>
        <v>0.80232558139534882</v>
      </c>
      <c r="X75" s="16" t="s">
        <v>115</v>
      </c>
      <c r="Y75" s="16" t="s">
        <v>110</v>
      </c>
      <c r="Z75" s="16">
        <v>3</v>
      </c>
      <c r="AA75" s="16"/>
      <c r="AB75" s="16"/>
      <c r="AC75" s="16"/>
      <c r="AD75" s="16"/>
      <c r="AE75" s="16" t="s">
        <v>123</v>
      </c>
      <c r="AF75" s="16" t="s">
        <v>123</v>
      </c>
      <c r="AG75" s="16">
        <f>AH75-AI75</f>
        <v>86</v>
      </c>
      <c r="AH75" s="16">
        <v>155</v>
      </c>
      <c r="AI75" s="16">
        <v>69</v>
      </c>
      <c r="AJ75" s="16"/>
      <c r="AK75" s="16">
        <v>25.5</v>
      </c>
      <c r="AL75" s="16">
        <v>1</v>
      </c>
      <c r="AM75" s="16">
        <v>0</v>
      </c>
      <c r="AN75" s="16">
        <v>1</v>
      </c>
      <c r="AO75" s="16">
        <f>IF(SUM(AL75:AN75)&gt;0,1,0)</f>
        <v>1</v>
      </c>
      <c r="AP75" s="16">
        <f>SUM(AL75:AN75)</f>
        <v>2</v>
      </c>
      <c r="AQ75" s="16">
        <v>1.802</v>
      </c>
      <c r="AR75" s="16">
        <v>0.32500000000000001</v>
      </c>
      <c r="AS75" s="16">
        <v>0.32500000000000001</v>
      </c>
      <c r="AT75" s="16" t="s">
        <v>205</v>
      </c>
      <c r="AU75" s="16"/>
      <c r="AV75" s="16"/>
      <c r="AW75" s="22">
        <v>1</v>
      </c>
      <c r="AX75" s="16">
        <v>4</v>
      </c>
      <c r="AY75" s="16">
        <f>(98+291+5+12)/AS75</f>
        <v>1249.2307692307693</v>
      </c>
      <c r="AZ75" s="18">
        <v>1</v>
      </c>
      <c r="BA75" s="16">
        <v>3</v>
      </c>
      <c r="BB75" s="16">
        <f>(98+291+5)/AS75</f>
        <v>1212.3076923076924</v>
      </c>
      <c r="BC75" s="16">
        <v>1</v>
      </c>
      <c r="BD75" s="16">
        <v>98</v>
      </c>
      <c r="BE75" s="16">
        <f>(98)/AS75</f>
        <v>301.53846153846155</v>
      </c>
      <c r="BF75" s="18">
        <v>1</v>
      </c>
      <c r="BG75" s="23">
        <v>291</v>
      </c>
      <c r="BH75" s="16">
        <f>(291)/AS75</f>
        <v>895.38461538461536</v>
      </c>
      <c r="BI75" s="16">
        <v>1</v>
      </c>
      <c r="BJ75" s="16">
        <v>5</v>
      </c>
      <c r="BK75" s="16">
        <f>5/AS75</f>
        <v>15.384615384615383</v>
      </c>
      <c r="BL75" s="16">
        <f>IF(BM75&gt;0,1,0)</f>
        <v>1</v>
      </c>
      <c r="BM75" s="16">
        <f>SUM(BR75,BU75,BX75,CA75,CD75,CG75,CJ75,CM75,CP75)</f>
        <v>1</v>
      </c>
      <c r="BN75" s="16">
        <f>SUM(BW75,BZ75,CC75,CF75,CI75,CL75,CO75,CR75,BT75)</f>
        <v>36.92307692307692</v>
      </c>
      <c r="BO75" s="16">
        <f>IF(BP75&gt;0,1,0)</f>
        <v>1</v>
      </c>
      <c r="BP75" s="16">
        <f>SUM(BU75,BX75,CA75,CD75,BR75)</f>
        <v>1</v>
      </c>
      <c r="BQ75" s="16">
        <f>SUM(BZ75,CC75,CF75,BT75,BW75)</f>
        <v>36.92307692307692</v>
      </c>
      <c r="BR75" s="18">
        <v>0</v>
      </c>
      <c r="BS75" s="16">
        <v>0</v>
      </c>
      <c r="BT75" s="23">
        <f>BS75/AS75</f>
        <v>0</v>
      </c>
      <c r="BU75" s="18">
        <v>0</v>
      </c>
      <c r="BV75" s="16">
        <v>0</v>
      </c>
      <c r="BW75" s="18">
        <f>BV75/AS75</f>
        <v>0</v>
      </c>
      <c r="BX75" s="24">
        <v>1</v>
      </c>
      <c r="BY75" s="16">
        <v>12</v>
      </c>
      <c r="BZ75" s="16">
        <f>BY75/AS75</f>
        <v>36.92307692307692</v>
      </c>
      <c r="CA75" s="24">
        <v>0</v>
      </c>
      <c r="CB75" s="16">
        <v>0</v>
      </c>
      <c r="CC75" s="16">
        <v>0</v>
      </c>
      <c r="CD75" s="23">
        <v>0</v>
      </c>
      <c r="CE75" s="16">
        <v>0</v>
      </c>
      <c r="CF75" s="16">
        <v>0</v>
      </c>
      <c r="CG75" s="16"/>
      <c r="CH75" s="16"/>
      <c r="CI75" s="16"/>
      <c r="CJ75" s="16"/>
      <c r="CK75" s="16"/>
      <c r="CL75" s="16"/>
      <c r="CM75" s="16"/>
      <c r="CN75" s="16"/>
      <c r="CO75" s="16"/>
      <c r="CP75" s="16" t="s">
        <v>123</v>
      </c>
      <c r="CQ75" s="16">
        <v>0</v>
      </c>
      <c r="CR75" s="16">
        <v>0</v>
      </c>
      <c r="CS75" s="18">
        <f>IF(CT75&gt;0,1,0)</f>
        <v>0</v>
      </c>
      <c r="CT75" s="25">
        <f>SUM(CW75,CZ75,DC75)</f>
        <v>0</v>
      </c>
      <c r="CU75" s="25"/>
      <c r="CV75" s="16">
        <v>0</v>
      </c>
      <c r="CW75" s="25">
        <v>0</v>
      </c>
      <c r="CX75" s="16">
        <v>0</v>
      </c>
      <c r="CY75" s="16">
        <v>0</v>
      </c>
      <c r="CZ75" s="18">
        <v>0</v>
      </c>
      <c r="DA75" s="16">
        <v>0</v>
      </c>
      <c r="DB75" s="16">
        <v>0</v>
      </c>
      <c r="DC75" s="18">
        <v>0</v>
      </c>
      <c r="DD75" s="16">
        <v>0</v>
      </c>
      <c r="DE75" s="16">
        <v>0</v>
      </c>
      <c r="DF75" s="16" t="e">
        <f>VLOOKUP(K75,'[3]RNA Seq summary tables'!$V$3:$V$99,1,FALSE)</f>
        <v>#N/A</v>
      </c>
      <c r="DG75" s="16"/>
      <c r="DH75" s="16"/>
      <c r="DI75" s="16"/>
      <c r="DJ75" s="16"/>
      <c r="DK75" s="16"/>
      <c r="DL75" s="16"/>
      <c r="DM75" s="16"/>
      <c r="DN75" s="16"/>
      <c r="DO75" s="16"/>
      <c r="DP75" s="16"/>
      <c r="DQ75" s="16"/>
      <c r="DR75" s="16"/>
      <c r="DS75" s="16"/>
      <c r="JO75" s="16"/>
      <c r="JP75" s="16"/>
      <c r="JQ75" s="16"/>
    </row>
    <row r="76" spans="1:288" s="39" customFormat="1" x14ac:dyDescent="0.2">
      <c r="A76" s="18"/>
      <c r="B76" s="16">
        <v>2016</v>
      </c>
      <c r="C76" s="20">
        <v>42595</v>
      </c>
      <c r="D76" s="20" t="str">
        <f>CONCATENATE(J76,"-",C76)</f>
        <v>973-42595</v>
      </c>
      <c r="E76" s="20" t="str">
        <f>CONCATENATE(T76,"-",U76,"-",C76)</f>
        <v>SP1-H3-42595</v>
      </c>
      <c r="F76" s="20" t="s">
        <v>227</v>
      </c>
      <c r="G76" s="20" t="s">
        <v>107</v>
      </c>
      <c r="H76" s="16"/>
      <c r="I76" s="16">
        <v>0</v>
      </c>
      <c r="J76" s="21">
        <v>973</v>
      </c>
      <c r="K76" s="21" t="s">
        <v>153</v>
      </c>
      <c r="L76" s="18">
        <v>0</v>
      </c>
      <c r="M76" s="15"/>
      <c r="N76" s="15"/>
      <c r="O76" s="15" t="s">
        <v>119</v>
      </c>
      <c r="P76" s="16" t="s">
        <v>119</v>
      </c>
      <c r="Q76" s="16">
        <v>0</v>
      </c>
      <c r="R76" s="16">
        <v>16</v>
      </c>
      <c r="S76" s="16"/>
      <c r="T76" s="16" t="s">
        <v>140</v>
      </c>
      <c r="U76" s="16" t="s">
        <v>174</v>
      </c>
      <c r="V76" s="16" t="s">
        <v>114</v>
      </c>
      <c r="W76" s="16">
        <f>AI76/AG76</f>
        <v>0.7021276595744681</v>
      </c>
      <c r="X76" s="16" t="s">
        <v>115</v>
      </c>
      <c r="Y76" s="16" t="s">
        <v>110</v>
      </c>
      <c r="Z76" s="16">
        <v>3</v>
      </c>
      <c r="AA76" s="16"/>
      <c r="AB76" s="16"/>
      <c r="AC76" s="16"/>
      <c r="AD76" s="16"/>
      <c r="AE76" s="16" t="s">
        <v>116</v>
      </c>
      <c r="AF76" s="16" t="s">
        <v>116</v>
      </c>
      <c r="AG76" s="16">
        <f>AH76-AI76</f>
        <v>94</v>
      </c>
      <c r="AH76" s="16">
        <v>160</v>
      </c>
      <c r="AI76" s="16">
        <v>66</v>
      </c>
      <c r="AJ76" s="16"/>
      <c r="AK76" s="16">
        <v>22.5</v>
      </c>
      <c r="AL76" s="16">
        <v>0</v>
      </c>
      <c r="AM76" s="16">
        <v>0</v>
      </c>
      <c r="AN76" s="16">
        <v>0</v>
      </c>
      <c r="AO76" s="16">
        <f>IF(SUM(AL76:AN76)&gt;0,1,0)</f>
        <v>0</v>
      </c>
      <c r="AP76" s="16">
        <f>SUM(AL76:AN76)</f>
        <v>0</v>
      </c>
      <c r="AQ76" s="16">
        <v>1.7210000000000001</v>
      </c>
      <c r="AR76" s="18">
        <v>0.24399999999999999</v>
      </c>
      <c r="AS76" s="18">
        <v>0.24399999999999999</v>
      </c>
      <c r="AT76" s="16" t="s">
        <v>205</v>
      </c>
      <c r="AU76" s="16"/>
      <c r="AV76" s="16"/>
      <c r="AW76" s="22">
        <v>1</v>
      </c>
      <c r="AX76" s="24">
        <v>4</v>
      </c>
      <c r="AY76" s="16">
        <f>(5+33+2+5)/AS76</f>
        <v>184.42622950819671</v>
      </c>
      <c r="AZ76" s="18">
        <v>1</v>
      </c>
      <c r="BA76" s="24">
        <v>3</v>
      </c>
      <c r="BB76" s="16">
        <f>(5+33+2)/AS76</f>
        <v>163.9344262295082</v>
      </c>
      <c r="BC76" s="16">
        <v>1</v>
      </c>
      <c r="BD76" s="24">
        <v>5</v>
      </c>
      <c r="BE76" s="16">
        <f>5/AS76</f>
        <v>20.491803278688526</v>
      </c>
      <c r="BF76" s="18">
        <v>1</v>
      </c>
      <c r="BG76" s="53">
        <v>33</v>
      </c>
      <c r="BH76" s="16">
        <f>33/AS76</f>
        <v>135.24590163934425</v>
      </c>
      <c r="BI76" s="16">
        <v>1</v>
      </c>
      <c r="BJ76" s="24">
        <v>2</v>
      </c>
      <c r="BK76" s="16">
        <f>2/AS76</f>
        <v>8.1967213114754092</v>
      </c>
      <c r="BL76" s="16">
        <f>IF(BM76&gt;0,1,0)</f>
        <v>1</v>
      </c>
      <c r="BM76" s="16">
        <f>SUM(BR76,BU76,BX76,CA76,CD76,CG76,CJ76,CM76,CP76)</f>
        <v>1</v>
      </c>
      <c r="BN76" s="16">
        <f>SUM(BW76,BZ76,CC76,CF76,CI76,CL76,CO76,CR76,BT76)</f>
        <v>20.491803278688526</v>
      </c>
      <c r="BO76" s="16">
        <f>IF(BP76&gt;0,1,0)</f>
        <v>1</v>
      </c>
      <c r="BP76" s="16">
        <f>SUM(BU76,BX76,CA76,CD76,BR76)</f>
        <v>1</v>
      </c>
      <c r="BQ76" s="16">
        <f>SUM(BZ76,CC76,CF76,BT76,BW76)</f>
        <v>20.491803278688526</v>
      </c>
      <c r="BR76" s="18">
        <v>0</v>
      </c>
      <c r="BS76" s="24">
        <v>0</v>
      </c>
      <c r="BT76" s="23">
        <f>BS76/AS76</f>
        <v>0</v>
      </c>
      <c r="BU76" s="18">
        <v>0</v>
      </c>
      <c r="BV76" s="24">
        <v>0</v>
      </c>
      <c r="BW76" s="18">
        <f>BV76/AS76</f>
        <v>0</v>
      </c>
      <c r="BX76" s="24">
        <v>1</v>
      </c>
      <c r="BY76" s="24">
        <v>5</v>
      </c>
      <c r="BZ76" s="16">
        <f>BY76/AS76</f>
        <v>20.491803278688526</v>
      </c>
      <c r="CA76" s="24">
        <v>0</v>
      </c>
      <c r="CB76" s="24">
        <v>0</v>
      </c>
      <c r="CC76" s="24">
        <v>0</v>
      </c>
      <c r="CD76" s="23">
        <v>0</v>
      </c>
      <c r="CE76" s="24">
        <v>0</v>
      </c>
      <c r="CF76" s="24">
        <v>0</v>
      </c>
      <c r="CG76" s="24"/>
      <c r="CH76" s="24"/>
      <c r="CI76" s="24"/>
      <c r="CJ76" s="24"/>
      <c r="CK76" s="24"/>
      <c r="CL76" s="24"/>
      <c r="CM76" s="24"/>
      <c r="CN76" s="24"/>
      <c r="CO76" s="24"/>
      <c r="CP76" s="24" t="s">
        <v>123</v>
      </c>
      <c r="CQ76" s="24">
        <v>0</v>
      </c>
      <c r="CR76" s="24">
        <v>0</v>
      </c>
      <c r="CS76" s="18">
        <f>IF(CT76&gt;0,1,0)</f>
        <v>0</v>
      </c>
      <c r="CT76" s="25">
        <f>SUM(CW76,CZ76,DC76)</f>
        <v>0</v>
      </c>
      <c r="CU76" s="25"/>
      <c r="CV76" s="24">
        <v>0</v>
      </c>
      <c r="CW76" s="25">
        <v>0</v>
      </c>
      <c r="CX76" s="24">
        <v>0</v>
      </c>
      <c r="CY76" s="24">
        <v>0</v>
      </c>
      <c r="CZ76" s="18">
        <v>0</v>
      </c>
      <c r="DA76" s="24">
        <v>0</v>
      </c>
      <c r="DB76" s="24">
        <v>0</v>
      </c>
      <c r="DC76" s="18">
        <v>0</v>
      </c>
      <c r="DD76" s="24">
        <v>0</v>
      </c>
      <c r="DE76" s="24">
        <v>0</v>
      </c>
      <c r="DF76" s="16" t="e">
        <f>VLOOKUP(K76,'[3]RNA Seq summary tables'!$V$3:$V$99,1,FALSE)</f>
        <v>#N/A</v>
      </c>
      <c r="DG76" s="16"/>
      <c r="DH76" s="16"/>
      <c r="DI76" s="16"/>
      <c r="DJ76" s="16"/>
      <c r="DK76" s="16"/>
      <c r="DL76" s="16"/>
      <c r="DM76" s="16"/>
      <c r="DN76" s="16"/>
      <c r="DO76" s="16"/>
      <c r="DP76" s="16"/>
      <c r="DQ76" s="16"/>
      <c r="DR76" s="16"/>
      <c r="DS76" s="16"/>
      <c r="DT76" s="18"/>
      <c r="DU76" s="18"/>
      <c r="DV76" s="18"/>
      <c r="DW76" s="18"/>
      <c r="DX76" s="18"/>
      <c r="DY76" s="18"/>
      <c r="DZ76" s="18"/>
      <c r="EA76" s="18"/>
      <c r="EB76" s="18"/>
      <c r="EC76" s="18"/>
      <c r="ED76" s="18"/>
      <c r="EE76" s="18"/>
      <c r="EF76" s="18"/>
      <c r="EG76" s="18"/>
      <c r="EH76" s="18"/>
      <c r="EI76" s="18"/>
      <c r="EJ76" s="18"/>
      <c r="EK76" s="18"/>
      <c r="EL76" s="18"/>
      <c r="EM76" s="18"/>
      <c r="EN76" s="18"/>
      <c r="EO76" s="18"/>
      <c r="EP76" s="18"/>
      <c r="EQ76" s="18"/>
      <c r="ER76" s="18"/>
      <c r="ES76" s="18"/>
      <c r="ET76" s="18"/>
      <c r="EU76" s="18"/>
      <c r="EV76" s="18"/>
      <c r="EW76" s="18"/>
      <c r="EX76" s="18"/>
      <c r="EY76" s="18"/>
      <c r="EZ76" s="18"/>
      <c r="FA76" s="18"/>
      <c r="FB76" s="18"/>
      <c r="FC76" s="18"/>
      <c r="FD76" s="18"/>
      <c r="FE76" s="18"/>
      <c r="FF76" s="18"/>
      <c r="FG76" s="18"/>
      <c r="FH76" s="18"/>
      <c r="FI76" s="18"/>
      <c r="FJ76" s="18"/>
      <c r="FK76" s="18"/>
      <c r="FL76" s="18"/>
      <c r="FM76" s="18"/>
      <c r="FN76" s="18"/>
      <c r="FO76" s="18"/>
      <c r="FP76" s="18"/>
      <c r="FQ76" s="18"/>
      <c r="FR76" s="18"/>
      <c r="FS76" s="18"/>
      <c r="FT76" s="18"/>
      <c r="FU76" s="18"/>
      <c r="FV76" s="18"/>
      <c r="FW76" s="18"/>
      <c r="FX76" s="18"/>
      <c r="FY76" s="18"/>
      <c r="FZ76" s="18"/>
      <c r="GA76" s="18"/>
      <c r="GB76" s="18"/>
      <c r="GC76" s="18"/>
      <c r="GD76" s="18"/>
      <c r="GE76" s="18"/>
      <c r="GF76" s="18"/>
      <c r="GG76" s="18"/>
      <c r="GH76" s="18"/>
      <c r="GI76" s="18"/>
      <c r="GJ76" s="18"/>
      <c r="GK76" s="18"/>
      <c r="GL76" s="18"/>
      <c r="GM76" s="18"/>
      <c r="GN76" s="18"/>
      <c r="GO76" s="18"/>
      <c r="GP76" s="18"/>
      <c r="GQ76" s="18"/>
      <c r="GR76" s="18"/>
      <c r="GS76" s="18"/>
      <c r="GT76" s="18"/>
      <c r="GU76" s="18"/>
      <c r="GV76" s="18"/>
      <c r="GW76" s="18"/>
      <c r="GX76" s="18"/>
      <c r="GY76" s="18"/>
      <c r="GZ76" s="18"/>
      <c r="HA76" s="18"/>
      <c r="HB76" s="18"/>
      <c r="HC76" s="18"/>
      <c r="HD76" s="18"/>
      <c r="HE76" s="18"/>
      <c r="HF76" s="18"/>
      <c r="HG76" s="18"/>
      <c r="HH76" s="18"/>
      <c r="HI76" s="18"/>
      <c r="HJ76" s="18"/>
      <c r="HK76" s="18"/>
      <c r="HL76" s="18"/>
      <c r="HM76" s="18"/>
      <c r="HN76" s="18"/>
      <c r="HO76" s="18"/>
      <c r="HP76" s="18"/>
      <c r="HQ76" s="18"/>
      <c r="HR76" s="18"/>
      <c r="HS76" s="18"/>
      <c r="HT76" s="18"/>
      <c r="HU76" s="18"/>
      <c r="HV76" s="18"/>
      <c r="HW76" s="18"/>
      <c r="HX76" s="18"/>
      <c r="HY76" s="18"/>
      <c r="HZ76" s="18"/>
      <c r="IA76" s="18"/>
      <c r="IB76" s="18"/>
      <c r="IC76" s="18"/>
      <c r="ID76" s="18"/>
      <c r="IE76" s="18"/>
      <c r="IF76" s="18"/>
      <c r="IG76" s="18"/>
      <c r="IH76" s="18"/>
      <c r="II76" s="18"/>
      <c r="IJ76" s="18"/>
      <c r="IK76" s="18"/>
      <c r="IL76" s="18"/>
      <c r="IM76" s="18"/>
      <c r="IN76" s="18"/>
      <c r="IO76" s="18"/>
      <c r="IP76" s="18"/>
      <c r="IQ76" s="18"/>
      <c r="IR76" s="18"/>
      <c r="IS76" s="18"/>
      <c r="IT76" s="18"/>
      <c r="IU76" s="18"/>
      <c r="IV76" s="18"/>
      <c r="IW76" s="18"/>
      <c r="IX76" s="18"/>
      <c r="IY76" s="18"/>
      <c r="IZ76" s="18"/>
      <c r="JA76" s="18"/>
      <c r="JB76" s="18"/>
      <c r="JC76" s="18"/>
      <c r="JD76" s="18"/>
      <c r="JE76" s="18"/>
      <c r="JF76" s="18"/>
      <c r="JG76" s="18"/>
      <c r="JH76" s="18"/>
      <c r="JI76" s="18"/>
      <c r="JJ76" s="18"/>
      <c r="JK76" s="18"/>
      <c r="JL76" s="18"/>
      <c r="JM76" s="18"/>
      <c r="JN76" s="18"/>
      <c r="JO76" s="16"/>
      <c r="JP76" s="16"/>
      <c r="JQ76" s="16"/>
      <c r="JR76" s="16"/>
      <c r="JS76" s="16"/>
      <c r="JT76" s="16"/>
      <c r="JU76" s="16"/>
      <c r="JV76" s="16"/>
      <c r="JW76" s="16"/>
      <c r="JX76" s="16"/>
      <c r="JY76" s="16"/>
      <c r="JZ76" s="16"/>
      <c r="KA76" s="16"/>
      <c r="KB76" s="16"/>
    </row>
    <row r="77" spans="1:288" x14ac:dyDescent="0.2">
      <c r="B77" s="16">
        <v>2016</v>
      </c>
      <c r="C77" s="20">
        <v>42539</v>
      </c>
      <c r="D77" s="20" t="str">
        <f>CONCATENATE(J77,"-",C77)</f>
        <v>975-42539</v>
      </c>
      <c r="E77" s="20" t="str">
        <f>CONCATENATE(T77,"-",U77,"-",C77)</f>
        <v>SP2-F7-42539</v>
      </c>
      <c r="F77" s="20" t="s">
        <v>106</v>
      </c>
      <c r="G77" s="20" t="s">
        <v>107</v>
      </c>
      <c r="I77" s="16">
        <v>0</v>
      </c>
      <c r="J77" s="21">
        <v>975</v>
      </c>
      <c r="K77" s="21">
        <v>1390</v>
      </c>
      <c r="L77" s="16">
        <v>0</v>
      </c>
      <c r="M77" s="15">
        <f>VLOOKUP(K77,'[7]MLBS 2016 SNV-nem Coinfection d'!$C$1:$G$238,4,FALSE)</f>
        <v>0</v>
      </c>
      <c r="N77" s="15">
        <v>0</v>
      </c>
      <c r="O77" s="15" t="s">
        <v>119</v>
      </c>
      <c r="P77" s="16" t="s">
        <v>119</v>
      </c>
      <c r="Q77" s="16">
        <v>0</v>
      </c>
      <c r="R77" s="16" t="s">
        <v>111</v>
      </c>
      <c r="T77" s="16" t="s">
        <v>137</v>
      </c>
      <c r="U77" s="16" t="s">
        <v>189</v>
      </c>
      <c r="V77" s="16" t="s">
        <v>114</v>
      </c>
      <c r="W77" s="16">
        <f>AI77/AG77</f>
        <v>0.85555555555555551</v>
      </c>
      <c r="X77" s="16" t="s">
        <v>115</v>
      </c>
      <c r="Y77" s="16" t="s">
        <v>122</v>
      </c>
      <c r="Z77" s="16">
        <v>2.6</v>
      </c>
      <c r="AE77" s="16" t="s">
        <v>116</v>
      </c>
      <c r="AF77" s="16" t="s">
        <v>116</v>
      </c>
      <c r="AG77" s="16">
        <f>AH77-AI77</f>
        <v>90</v>
      </c>
      <c r="AH77" s="16">
        <v>167</v>
      </c>
      <c r="AI77" s="16">
        <v>77</v>
      </c>
      <c r="AK77" s="16">
        <v>16</v>
      </c>
      <c r="AL77" s="16">
        <v>0</v>
      </c>
      <c r="AM77" s="16">
        <v>0</v>
      </c>
      <c r="AN77" s="16">
        <v>0</v>
      </c>
      <c r="AO77" s="16">
        <f>IF(SUM(AL77:AN77)&gt;0,1,0)</f>
        <v>0</v>
      </c>
      <c r="AP77" s="16">
        <f>SUM(AL77:AN77)</f>
        <v>0</v>
      </c>
      <c r="AQ77" s="16">
        <f>1.477+AS77</f>
        <v>1.629</v>
      </c>
      <c r="AR77" s="16">
        <v>0.152</v>
      </c>
      <c r="AS77" s="16">
        <v>0.152</v>
      </c>
      <c r="AT77" s="16" t="s">
        <v>124</v>
      </c>
      <c r="AW77" s="22">
        <v>1</v>
      </c>
      <c r="AY77" s="16">
        <f>10/AS77</f>
        <v>65.789473684210535</v>
      </c>
      <c r="AZ77" s="18">
        <v>1</v>
      </c>
      <c r="BB77" s="16">
        <f>1/AS77</f>
        <v>6.5789473684210531</v>
      </c>
      <c r="BC77" s="16">
        <v>1</v>
      </c>
      <c r="BD77" s="16">
        <v>1</v>
      </c>
      <c r="BE77" s="16">
        <f>1/AS77</f>
        <v>6.5789473684210531</v>
      </c>
      <c r="BF77" s="18">
        <v>0</v>
      </c>
      <c r="BG77" s="23">
        <v>0</v>
      </c>
      <c r="BH77" s="16">
        <v>0</v>
      </c>
      <c r="BI77" s="18">
        <v>0</v>
      </c>
      <c r="BJ77" s="16">
        <v>0</v>
      </c>
      <c r="BK77" s="16">
        <v>0</v>
      </c>
      <c r="BL77" s="16">
        <f>IF(BM77&gt;0,1,0)</f>
        <v>1</v>
      </c>
      <c r="BM77" s="16">
        <f>SUM(BR77,BU77,BX77,CA77,CD77,CG77,CJ77,CM77,CP77)</f>
        <v>2</v>
      </c>
      <c r="BN77" s="16">
        <f>SUM(BW77,BZ77,CC77,CF77,CI77,CL77,CO77,CR77,BT77)</f>
        <v>59.21052631578948</v>
      </c>
      <c r="BO77" s="16">
        <f>IF(BP77&gt;0,1,0)</f>
        <v>1</v>
      </c>
      <c r="BP77" s="16">
        <f>SUM(BU77,BX77,CA77,CD77,BR77)</f>
        <v>2</v>
      </c>
      <c r="BQ77" s="16">
        <f>SUM(BZ77,CC77,CF77,BT77,BW77)</f>
        <v>59.21052631578948</v>
      </c>
      <c r="BR77" s="18">
        <v>1</v>
      </c>
      <c r="BS77" s="16">
        <v>1</v>
      </c>
      <c r="BT77" s="23">
        <f>BS77/AS77</f>
        <v>6.5789473684210531</v>
      </c>
      <c r="BU77" s="16">
        <v>1</v>
      </c>
      <c r="BV77" s="16">
        <v>8</v>
      </c>
      <c r="BW77" s="18">
        <f>BV77/AS77</f>
        <v>52.631578947368425</v>
      </c>
      <c r="BX77" s="24">
        <v>0</v>
      </c>
      <c r="BY77" s="16">
        <v>0</v>
      </c>
      <c r="BZ77" s="16">
        <f>BY77/AS77</f>
        <v>0</v>
      </c>
      <c r="CA77" s="24">
        <v>0</v>
      </c>
      <c r="CB77" s="16">
        <v>0</v>
      </c>
      <c r="CC77" s="16">
        <v>0</v>
      </c>
      <c r="CD77" s="23">
        <v>0</v>
      </c>
      <c r="CE77" s="16">
        <v>0</v>
      </c>
      <c r="CF77" s="16">
        <v>0</v>
      </c>
      <c r="CP77" s="16" t="s">
        <v>123</v>
      </c>
      <c r="CQ77" s="16">
        <v>0</v>
      </c>
      <c r="CR77" s="16">
        <v>0</v>
      </c>
      <c r="CS77" s="18">
        <f>IF(CT77&gt;0,1,0)</f>
        <v>0</v>
      </c>
      <c r="CT77" s="25">
        <f>SUM(CW77,CZ77,DC77)</f>
        <v>0</v>
      </c>
      <c r="CU77" s="25"/>
      <c r="CV77" s="16">
        <v>0</v>
      </c>
      <c r="CW77" s="25">
        <v>0</v>
      </c>
      <c r="CX77" s="16">
        <v>0</v>
      </c>
      <c r="CY77" s="16">
        <v>0</v>
      </c>
      <c r="CZ77" s="18">
        <v>0</v>
      </c>
      <c r="DA77" s="16">
        <v>0</v>
      </c>
      <c r="DB77" s="16">
        <v>0</v>
      </c>
      <c r="DC77" s="18">
        <v>0</v>
      </c>
      <c r="DD77" s="16">
        <v>0</v>
      </c>
      <c r="DE77" s="16">
        <v>0</v>
      </c>
      <c r="DF77" s="16" t="e">
        <f>VLOOKUP(K77,'[3]RNA Seq summary tables'!$V$3:$V$99,1,FALSE)</f>
        <v>#N/A</v>
      </c>
      <c r="JO77" s="39"/>
      <c r="JP77" s="30"/>
      <c r="JQ77" s="30"/>
      <c r="JR77" s="38"/>
      <c r="JS77" s="38"/>
      <c r="JT77" s="38"/>
      <c r="JU77" s="38"/>
      <c r="JV77" s="38"/>
      <c r="JW77" s="38"/>
      <c r="JX77" s="38"/>
      <c r="JY77" s="38"/>
      <c r="JZ77" s="38"/>
      <c r="KA77" s="38"/>
      <c r="KB77" s="38"/>
    </row>
    <row r="78" spans="1:288" x14ac:dyDescent="0.2">
      <c r="B78" s="16">
        <v>2016</v>
      </c>
      <c r="C78" s="43">
        <v>42541</v>
      </c>
      <c r="D78" s="43" t="str">
        <f>CONCATENATE(J78,"-",C78)</f>
        <v>977-42541</v>
      </c>
      <c r="E78" s="20" t="str">
        <f>CONCATENATE(T78,"-",U78,"-",C78)</f>
        <v>BC2-F7-42541</v>
      </c>
      <c r="F78" s="20" t="s">
        <v>106</v>
      </c>
      <c r="G78" s="43" t="s">
        <v>107</v>
      </c>
      <c r="H78" s="23"/>
      <c r="I78" s="16">
        <v>0</v>
      </c>
      <c r="J78" s="15">
        <v>977</v>
      </c>
      <c r="K78" s="15">
        <v>1393</v>
      </c>
      <c r="L78" s="23">
        <v>0</v>
      </c>
      <c r="M78" s="15">
        <f>VLOOKUP(K78,'[7]MLBS 2016 SNV-nem Coinfection d'!$C$1:$G$238,4,FALSE)</f>
        <v>0</v>
      </c>
      <c r="N78" s="15">
        <v>0</v>
      </c>
      <c r="O78" s="15" t="s">
        <v>119</v>
      </c>
      <c r="P78" s="23" t="s">
        <v>119</v>
      </c>
      <c r="Q78" s="16">
        <v>0</v>
      </c>
      <c r="R78" s="23" t="s">
        <v>111</v>
      </c>
      <c r="S78" s="23"/>
      <c r="T78" s="23" t="s">
        <v>154</v>
      </c>
      <c r="U78" s="23" t="s">
        <v>189</v>
      </c>
      <c r="V78" s="23" t="s">
        <v>142</v>
      </c>
      <c r="W78" s="16">
        <f>AI78/AG78</f>
        <v>1.0285714285714285</v>
      </c>
      <c r="X78" s="23" t="s">
        <v>121</v>
      </c>
      <c r="Y78" s="23" t="s">
        <v>145</v>
      </c>
      <c r="Z78" s="23">
        <v>1</v>
      </c>
      <c r="AA78" s="23" t="s">
        <v>119</v>
      </c>
      <c r="AB78" s="23" t="s">
        <v>123</v>
      </c>
      <c r="AC78" s="23" t="s">
        <v>123</v>
      </c>
      <c r="AD78" s="23" t="s">
        <v>123</v>
      </c>
      <c r="AE78" s="23"/>
      <c r="AF78" s="23"/>
      <c r="AG78" s="23">
        <f>AH78-AI78</f>
        <v>70</v>
      </c>
      <c r="AH78" s="23">
        <v>142</v>
      </c>
      <c r="AI78" s="23">
        <v>72</v>
      </c>
      <c r="AJ78" s="23"/>
      <c r="AK78" s="23">
        <v>9</v>
      </c>
      <c r="AL78" s="23">
        <v>0</v>
      </c>
      <c r="AM78" s="23">
        <v>0</v>
      </c>
      <c r="AN78" s="23">
        <v>0</v>
      </c>
      <c r="AO78" s="23">
        <f>IF(SUM(AL78:AN78)&gt;0,1,0)</f>
        <v>0</v>
      </c>
      <c r="AP78" s="23">
        <f>SUM(AL78:AN78)</f>
        <v>0</v>
      </c>
      <c r="AQ78" s="23"/>
      <c r="AR78" s="23">
        <v>5.6000000000000001E-2</v>
      </c>
      <c r="AS78" s="23">
        <v>5.6000000000000001E-2</v>
      </c>
      <c r="AT78" s="25" t="s">
        <v>117</v>
      </c>
      <c r="AU78" s="25"/>
      <c r="AV78" s="23">
        <v>1</v>
      </c>
      <c r="AW78" s="25">
        <v>0</v>
      </c>
      <c r="AX78" s="23"/>
      <c r="AY78" s="23">
        <v>0</v>
      </c>
      <c r="AZ78" s="18">
        <v>0</v>
      </c>
      <c r="BA78" s="23"/>
      <c r="BB78" s="23">
        <v>0</v>
      </c>
      <c r="BC78" s="18">
        <v>0</v>
      </c>
      <c r="BD78" s="23">
        <v>0</v>
      </c>
      <c r="BE78" s="23">
        <v>0</v>
      </c>
      <c r="BF78" s="18">
        <v>0</v>
      </c>
      <c r="BG78" s="23">
        <v>0</v>
      </c>
      <c r="BH78" s="23">
        <v>0</v>
      </c>
      <c r="BI78" s="18">
        <v>0</v>
      </c>
      <c r="BJ78" s="23">
        <v>0</v>
      </c>
      <c r="BK78" s="23">
        <v>0</v>
      </c>
      <c r="BL78" s="16">
        <f>IF(BM78&gt;0,1,0)</f>
        <v>0</v>
      </c>
      <c r="BM78" s="16">
        <f>SUM(BR78,BU78,BX78,CA78,CD78,CG78,CJ78,CM78,CP78)</f>
        <v>0</v>
      </c>
      <c r="BN78" s="16">
        <f>SUM(BW78,BZ78,CC78,CF78,CI78,CL78,CO78,CR78,BT78)</f>
        <v>0</v>
      </c>
      <c r="BO78" s="16">
        <f>IF(BP78&gt;0,1,0)</f>
        <v>0</v>
      </c>
      <c r="BP78" s="16">
        <f>SUM(BU78,BX78,CA78,CD78,BR78)</f>
        <v>0</v>
      </c>
      <c r="BQ78" s="16">
        <f>SUM(BZ78,CC78,CF78,BT78,BW78)</f>
        <v>0</v>
      </c>
      <c r="BR78" s="18">
        <v>0</v>
      </c>
      <c r="BS78" s="23">
        <v>0</v>
      </c>
      <c r="BT78" s="23">
        <f>BS78/AS78</f>
        <v>0</v>
      </c>
      <c r="BU78" s="18">
        <v>0</v>
      </c>
      <c r="BV78" s="23">
        <v>0</v>
      </c>
      <c r="BW78" s="18">
        <f>BV78/AS78</f>
        <v>0</v>
      </c>
      <c r="BX78" s="18">
        <v>0</v>
      </c>
      <c r="BY78" s="23">
        <v>0</v>
      </c>
      <c r="BZ78" s="16">
        <f>BY78/AS78</f>
        <v>0</v>
      </c>
      <c r="CA78" s="24">
        <v>0</v>
      </c>
      <c r="CB78" s="23">
        <v>0</v>
      </c>
      <c r="CC78" s="23">
        <v>0</v>
      </c>
      <c r="CD78" s="25">
        <v>0</v>
      </c>
      <c r="CE78" s="23">
        <v>0</v>
      </c>
      <c r="CF78" s="23">
        <v>0</v>
      </c>
      <c r="CG78" s="23"/>
      <c r="CH78" s="23"/>
      <c r="CI78" s="23"/>
      <c r="CJ78" s="23"/>
      <c r="CK78" s="23"/>
      <c r="CL78" s="23"/>
      <c r="CM78" s="23"/>
      <c r="CN78" s="23"/>
      <c r="CO78" s="23"/>
      <c r="CP78" s="23" t="s">
        <v>123</v>
      </c>
      <c r="CQ78" s="23">
        <v>0</v>
      </c>
      <c r="CR78" s="23">
        <v>0</v>
      </c>
      <c r="CS78" s="18">
        <f>IF(CT78&gt;0,1,0)</f>
        <v>0</v>
      </c>
      <c r="CT78" s="25">
        <f>SUM(CW78,CZ78,DC78)</f>
        <v>0</v>
      </c>
      <c r="CU78" s="25"/>
      <c r="CV78" s="23">
        <v>0</v>
      </c>
      <c r="CW78" s="25">
        <v>0</v>
      </c>
      <c r="CX78" s="23">
        <v>0</v>
      </c>
      <c r="CY78" s="23">
        <v>0</v>
      </c>
      <c r="CZ78" s="23">
        <v>0</v>
      </c>
      <c r="DA78" s="23">
        <v>0</v>
      </c>
      <c r="DB78" s="23">
        <v>0</v>
      </c>
      <c r="DC78" s="25">
        <v>0</v>
      </c>
      <c r="DD78" s="23">
        <v>0</v>
      </c>
      <c r="DE78" s="23">
        <v>0</v>
      </c>
      <c r="DF78" s="16" t="e">
        <f>VLOOKUP(K78,'[3]RNA Seq summary tables'!$V$3:$V$99,1,FALSE)</f>
        <v>#N/A</v>
      </c>
      <c r="DI78" s="23"/>
      <c r="DJ78" s="23"/>
      <c r="DK78" s="23"/>
      <c r="DL78" s="23"/>
      <c r="DM78" s="23"/>
      <c r="DN78" s="23"/>
      <c r="DO78" s="23"/>
      <c r="DP78" s="23"/>
      <c r="DQ78" s="23"/>
      <c r="DR78" s="23"/>
      <c r="DS78" s="23"/>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3"/>
      <c r="JP78" s="23"/>
      <c r="JQ78" s="23"/>
      <c r="JR78" s="117"/>
      <c r="JS78" s="117"/>
      <c r="JT78" s="117"/>
      <c r="JU78" s="117"/>
      <c r="JV78" s="117"/>
      <c r="JW78" s="117"/>
      <c r="JX78" s="117"/>
      <c r="JY78" s="117"/>
      <c r="JZ78" s="117"/>
      <c r="KA78" s="117"/>
      <c r="KB78" s="117"/>
    </row>
    <row r="79" spans="1:288" x14ac:dyDescent="0.2">
      <c r="B79" s="16">
        <v>2016</v>
      </c>
      <c r="C79" s="20">
        <v>42542</v>
      </c>
      <c r="D79" s="20" t="str">
        <f>CONCATENATE(J79,"-",C79)</f>
        <v>979-42542</v>
      </c>
      <c r="E79" s="20" t="str">
        <f>CONCATENATE(T79,"-",U79,"-",C79)</f>
        <v>BC2-D5-42542</v>
      </c>
      <c r="F79" s="20" t="s">
        <v>106</v>
      </c>
      <c r="G79" s="20" t="s">
        <v>107</v>
      </c>
      <c r="I79" s="16">
        <v>0</v>
      </c>
      <c r="J79" s="21">
        <v>979</v>
      </c>
      <c r="K79" s="21">
        <v>1400</v>
      </c>
      <c r="L79" s="18">
        <v>0</v>
      </c>
      <c r="M79" s="15">
        <f>VLOOKUP(K79,'[7]MLBS 2016 SNV-nem Coinfection d'!$C$1:$G$238,4,FALSE)</f>
        <v>0</v>
      </c>
      <c r="N79" s="15">
        <v>0</v>
      </c>
      <c r="O79" s="15" t="s">
        <v>119</v>
      </c>
      <c r="P79" s="16" t="s">
        <v>119</v>
      </c>
      <c r="Q79" s="16">
        <v>0</v>
      </c>
      <c r="R79" s="16" t="s">
        <v>111</v>
      </c>
      <c r="T79" s="16" t="s">
        <v>154</v>
      </c>
      <c r="U79" s="16" t="s">
        <v>183</v>
      </c>
      <c r="V79" s="16" t="s">
        <v>142</v>
      </c>
      <c r="W79" s="16">
        <f>AI79/AG79</f>
        <v>1.139240506329114</v>
      </c>
      <c r="X79" s="16" t="s">
        <v>115</v>
      </c>
      <c r="Y79" s="16" t="s">
        <v>110</v>
      </c>
      <c r="Z79" s="16">
        <v>3</v>
      </c>
      <c r="AE79" s="16" t="s">
        <v>116</v>
      </c>
      <c r="AF79" s="16" t="s">
        <v>116</v>
      </c>
      <c r="AG79" s="16">
        <f>AH79-AI79</f>
        <v>79</v>
      </c>
      <c r="AH79" s="16">
        <v>169</v>
      </c>
      <c r="AI79" s="16">
        <v>90</v>
      </c>
      <c r="AK79" s="16">
        <v>16</v>
      </c>
      <c r="AL79" s="16">
        <v>1</v>
      </c>
      <c r="AM79" s="16">
        <v>0</v>
      </c>
      <c r="AN79" s="16">
        <v>0</v>
      </c>
      <c r="AO79" s="16">
        <f>IF(SUM(AL79:AN79)&gt;0,1,0)</f>
        <v>1</v>
      </c>
      <c r="AP79" s="16">
        <f>SUM(AL79:AN79)</f>
        <v>1</v>
      </c>
      <c r="AR79" s="16">
        <v>0.245</v>
      </c>
      <c r="AS79" s="16">
        <v>0.245</v>
      </c>
      <c r="AT79" s="18" t="s">
        <v>117</v>
      </c>
      <c r="AU79" s="18"/>
      <c r="AW79" s="22">
        <v>1</v>
      </c>
      <c r="AX79" s="16">
        <v>1</v>
      </c>
      <c r="AY79" s="16">
        <f>10/0.245</f>
        <v>40.816326530612244</v>
      </c>
      <c r="AZ79" s="18">
        <v>1</v>
      </c>
      <c r="BA79" s="16">
        <v>1</v>
      </c>
      <c r="BB79" s="16">
        <f>10/0.245</f>
        <v>40.816326530612244</v>
      </c>
      <c r="BC79" s="18">
        <v>0</v>
      </c>
      <c r="BD79" s="16">
        <v>0</v>
      </c>
      <c r="BE79" s="16">
        <v>0</v>
      </c>
      <c r="BF79" s="18">
        <v>1</v>
      </c>
      <c r="BG79" s="23">
        <v>10</v>
      </c>
      <c r="BH79" s="16">
        <f>10/0.245</f>
        <v>40.816326530612244</v>
      </c>
      <c r="BI79" s="18">
        <v>0</v>
      </c>
      <c r="BJ79" s="16">
        <v>0</v>
      </c>
      <c r="BK79" s="16">
        <v>0</v>
      </c>
      <c r="BL79" s="16">
        <f>IF(BM79&gt;0,1,0)</f>
        <v>0</v>
      </c>
      <c r="BM79" s="16">
        <f>SUM(BR79,BU79,BX79,CA79,CD79,CG79,CJ79,CM79,CP79)</f>
        <v>0</v>
      </c>
      <c r="BN79" s="16">
        <f>SUM(BW79,BZ79,CC79,CF79,CI79,CL79,CO79,CR79,BT79)</f>
        <v>0</v>
      </c>
      <c r="BO79" s="18">
        <f>IF(BP79&gt;0,1,0)</f>
        <v>0</v>
      </c>
      <c r="BP79" s="18">
        <f>SUM(BU79,BX79,CA79,CD79,BR79)</f>
        <v>0</v>
      </c>
      <c r="BQ79" s="18">
        <f>SUM(BZ79,CC79,CF79,BT79,BW79)</f>
        <v>0</v>
      </c>
      <c r="BR79" s="18">
        <v>0</v>
      </c>
      <c r="BS79" s="16">
        <v>0</v>
      </c>
      <c r="BT79" s="23">
        <f>BS79/AS79</f>
        <v>0</v>
      </c>
      <c r="BU79" s="18">
        <v>0</v>
      </c>
      <c r="BV79" s="16">
        <v>0</v>
      </c>
      <c r="BW79" s="18">
        <f>BV79/AS79</f>
        <v>0</v>
      </c>
      <c r="BX79" s="18">
        <v>0</v>
      </c>
      <c r="BY79" s="16">
        <v>0</v>
      </c>
      <c r="BZ79" s="16">
        <f>BY79/AS79</f>
        <v>0</v>
      </c>
      <c r="CA79" s="24">
        <v>0</v>
      </c>
      <c r="CB79" s="16">
        <v>0</v>
      </c>
      <c r="CC79" s="16">
        <v>0</v>
      </c>
      <c r="CD79" s="25">
        <v>0</v>
      </c>
      <c r="CE79" s="16">
        <v>0</v>
      </c>
      <c r="CF79" s="16">
        <v>0</v>
      </c>
      <c r="CP79" s="16" t="s">
        <v>123</v>
      </c>
      <c r="CQ79" s="16">
        <v>0</v>
      </c>
      <c r="CR79" s="16">
        <v>0</v>
      </c>
      <c r="CS79" s="18">
        <f>IF(CT79&gt;0,1,0)</f>
        <v>0</v>
      </c>
      <c r="CT79" s="25">
        <f>SUM(CW79,CZ79,DC79)</f>
        <v>0</v>
      </c>
      <c r="CU79" s="25"/>
      <c r="CV79" s="16">
        <v>0</v>
      </c>
      <c r="CW79" s="25">
        <v>0</v>
      </c>
      <c r="CX79" s="16">
        <v>0</v>
      </c>
      <c r="CY79" s="16">
        <v>0</v>
      </c>
      <c r="CZ79" s="18">
        <v>0</v>
      </c>
      <c r="DA79" s="16">
        <v>0</v>
      </c>
      <c r="DB79" s="16">
        <v>0</v>
      </c>
      <c r="DC79" s="18">
        <v>0</v>
      </c>
      <c r="DD79" s="16">
        <v>0</v>
      </c>
      <c r="DE79" s="16">
        <v>0</v>
      </c>
      <c r="DF79" s="16" t="e">
        <f>VLOOKUP(K79,'[3]RNA Seq summary tables'!$V$3:$V$99,1,FALSE)</f>
        <v>#N/A</v>
      </c>
      <c r="JR79" s="38"/>
      <c r="JS79" s="38"/>
      <c r="JT79" s="38"/>
      <c r="JU79" s="38"/>
      <c r="JV79" s="38"/>
      <c r="JW79" s="38"/>
      <c r="JX79" s="38"/>
      <c r="JY79" s="38"/>
      <c r="JZ79" s="38"/>
      <c r="KA79" s="38"/>
      <c r="KB79" s="38"/>
    </row>
    <row r="80" spans="1:288" x14ac:dyDescent="0.2">
      <c r="B80" s="16">
        <v>2016</v>
      </c>
      <c r="C80" s="20">
        <v>42545</v>
      </c>
      <c r="D80" s="20" t="str">
        <f>CONCATENATE(J80,"-",C80)</f>
        <v>981-42545</v>
      </c>
      <c r="E80" s="20" t="str">
        <f>CONCATENATE(T80,"-",U80,"-",C80)</f>
        <v>PO1-A4-42545</v>
      </c>
      <c r="F80" s="20" t="s">
        <v>106</v>
      </c>
      <c r="G80" s="20" t="s">
        <v>107</v>
      </c>
      <c r="I80" s="16">
        <v>0</v>
      </c>
      <c r="J80" s="21">
        <v>981</v>
      </c>
      <c r="K80" s="21">
        <v>1405</v>
      </c>
      <c r="L80" s="18">
        <v>0</v>
      </c>
      <c r="M80" s="15">
        <f>VLOOKUP(K80,'[7]MLBS 2016 SNV-nem Coinfection d'!$C$1:$G$238,4,FALSE)</f>
        <v>0</v>
      </c>
      <c r="N80" s="15">
        <v>0</v>
      </c>
      <c r="O80" s="15" t="s">
        <v>119</v>
      </c>
      <c r="P80" s="16" t="s">
        <v>119</v>
      </c>
      <c r="Q80" s="16">
        <v>0</v>
      </c>
      <c r="R80" s="16" t="s">
        <v>111</v>
      </c>
      <c r="T80" s="16" t="s">
        <v>112</v>
      </c>
      <c r="U80" s="16" t="s">
        <v>134</v>
      </c>
      <c r="V80" s="16" t="s">
        <v>114</v>
      </c>
      <c r="W80" s="16">
        <f>AI80/AG80</f>
        <v>0.7752808988764045</v>
      </c>
      <c r="X80" s="16" t="s">
        <v>121</v>
      </c>
      <c r="Y80" s="16" t="s">
        <v>110</v>
      </c>
      <c r="Z80" s="16">
        <v>3</v>
      </c>
      <c r="AA80" s="16" t="s">
        <v>119</v>
      </c>
      <c r="AB80" s="16" t="s">
        <v>123</v>
      </c>
      <c r="AC80" s="16" t="s">
        <v>123</v>
      </c>
      <c r="AD80" s="16" t="s">
        <v>123</v>
      </c>
      <c r="AG80" s="16">
        <f>AH80-AI80</f>
        <v>89</v>
      </c>
      <c r="AH80" s="16">
        <v>158</v>
      </c>
      <c r="AI80" s="16">
        <v>69</v>
      </c>
      <c r="AK80" s="16">
        <v>17</v>
      </c>
      <c r="AL80" s="16">
        <v>0</v>
      </c>
      <c r="AM80" s="16">
        <v>1</v>
      </c>
      <c r="AN80" s="16">
        <v>0</v>
      </c>
      <c r="AO80" s="16">
        <f>IF(SUM(AL80:AN80)&gt;0,1,0)</f>
        <v>1</v>
      </c>
      <c r="AP80" s="16">
        <f>SUM(AL80:AN80)</f>
        <v>1</v>
      </c>
      <c r="AQ80" s="16">
        <f>0.221+1.477</f>
        <v>1.6980000000000002</v>
      </c>
      <c r="AR80" s="16">
        <v>0.221</v>
      </c>
      <c r="AS80" s="16">
        <v>0.221</v>
      </c>
      <c r="AT80" s="16" t="s">
        <v>124</v>
      </c>
      <c r="AW80" s="24">
        <v>1</v>
      </c>
      <c r="AX80" s="18"/>
      <c r="AY80" s="18">
        <f>(19+119+7)/AS80</f>
        <v>656.10859728506784</v>
      </c>
      <c r="AZ80" s="18">
        <v>1</v>
      </c>
      <c r="BA80" s="18"/>
      <c r="BB80" s="18">
        <f>AY80</f>
        <v>656.10859728506784</v>
      </c>
      <c r="BC80" s="18">
        <v>1</v>
      </c>
      <c r="BD80" s="18">
        <v>19</v>
      </c>
      <c r="BE80" s="18">
        <f>19/AS80</f>
        <v>85.972850678733025</v>
      </c>
      <c r="BF80" s="18">
        <v>1</v>
      </c>
      <c r="BG80" s="23">
        <v>119</v>
      </c>
      <c r="BH80" s="16">
        <f>119/AS80</f>
        <v>538.46153846153845</v>
      </c>
      <c r="BI80" s="16">
        <v>1</v>
      </c>
      <c r="BJ80" s="16">
        <v>7</v>
      </c>
      <c r="BK80" s="16">
        <f>7/AS80</f>
        <v>31.674208144796381</v>
      </c>
      <c r="BL80" s="16">
        <f>IF(BM80&gt;0,1,0)</f>
        <v>0</v>
      </c>
      <c r="BM80" s="16">
        <f>SUM(BR80,BU80,BX80,CA80,CD80,CG80,CJ80,CM80,CP80)</f>
        <v>0</v>
      </c>
      <c r="BN80" s="16">
        <f>SUM(BW80,BZ80,CC80,CF80,CI80,CL80,CO80,CR80,BT80)</f>
        <v>0</v>
      </c>
      <c r="BO80" s="16">
        <f>IF(BP80&gt;0,1,0)</f>
        <v>0</v>
      </c>
      <c r="BP80" s="16">
        <f>SUM(BU80,BX80,CA80,CD80,BR80)</f>
        <v>0</v>
      </c>
      <c r="BQ80" s="16">
        <f>SUM(BZ80,CC80,CF80,BT80,BW80)</f>
        <v>0</v>
      </c>
      <c r="BR80" s="18">
        <v>0</v>
      </c>
      <c r="BS80" s="16">
        <v>0</v>
      </c>
      <c r="BT80" s="23">
        <f>BS80/AS80</f>
        <v>0</v>
      </c>
      <c r="BU80" s="18">
        <v>0</v>
      </c>
      <c r="BV80" s="16">
        <v>0</v>
      </c>
      <c r="BW80" s="18">
        <f>BV80/AS80</f>
        <v>0</v>
      </c>
      <c r="BX80" s="18">
        <v>0</v>
      </c>
      <c r="BY80" s="16">
        <v>0</v>
      </c>
      <c r="BZ80" s="16">
        <f>BY80/AS80</f>
        <v>0</v>
      </c>
      <c r="CA80" s="24">
        <v>0</v>
      </c>
      <c r="CB80" s="16">
        <v>0</v>
      </c>
      <c r="CC80" s="16">
        <v>0</v>
      </c>
      <c r="CD80" s="25">
        <v>0</v>
      </c>
      <c r="CE80" s="16">
        <v>0</v>
      </c>
      <c r="CF80" s="16">
        <v>0</v>
      </c>
      <c r="CP80" s="16" t="s">
        <v>123</v>
      </c>
      <c r="CQ80" s="16">
        <v>0</v>
      </c>
      <c r="CR80" s="16">
        <v>0</v>
      </c>
      <c r="CS80" s="18">
        <f>IF(CT80&gt;0,1,0)</f>
        <v>0</v>
      </c>
      <c r="CT80" s="25">
        <f>SUM(CW80,CZ80,DC80)</f>
        <v>0</v>
      </c>
      <c r="CU80" s="25"/>
      <c r="CV80" s="16">
        <v>0</v>
      </c>
      <c r="CW80" s="25">
        <v>0</v>
      </c>
      <c r="CX80" s="16">
        <v>0</v>
      </c>
      <c r="CY80" s="16">
        <v>0</v>
      </c>
      <c r="CZ80" s="18">
        <v>0</v>
      </c>
      <c r="DA80" s="16">
        <v>0</v>
      </c>
      <c r="DB80" s="16">
        <v>0</v>
      </c>
      <c r="DC80" s="18">
        <v>0</v>
      </c>
      <c r="DD80" s="16">
        <v>0</v>
      </c>
      <c r="DE80" s="16">
        <v>0</v>
      </c>
      <c r="DF80" s="16" t="e">
        <f>VLOOKUP(K80,'[3]RNA Seq summary tables'!$V$3:$V$99,1,FALSE)</f>
        <v>#N/A</v>
      </c>
    </row>
    <row r="81" spans="1:288" x14ac:dyDescent="0.2">
      <c r="B81" s="16">
        <v>2016</v>
      </c>
      <c r="C81" s="20">
        <v>42559</v>
      </c>
      <c r="D81" s="20" t="str">
        <f>CONCATENATE(J81,"-",C81)</f>
        <v>981-42559</v>
      </c>
      <c r="E81" s="20" t="str">
        <f>CONCATENATE(T81,"-",U81,"-",C81)</f>
        <v>PO1-A4-42559</v>
      </c>
      <c r="F81" s="20" t="s">
        <v>106</v>
      </c>
      <c r="G81" s="20" t="s">
        <v>107</v>
      </c>
      <c r="I81" s="16">
        <v>0</v>
      </c>
      <c r="J81" s="21">
        <v>981</v>
      </c>
      <c r="K81" s="21">
        <v>1459</v>
      </c>
      <c r="L81" s="16">
        <v>1</v>
      </c>
      <c r="M81" s="15">
        <f>VLOOKUP(K81,'[7]MLBS 2016 SNV-nem Coinfection d'!$C$1:$G$238,4,FALSE)</f>
        <v>0</v>
      </c>
      <c r="N81" s="15">
        <v>0</v>
      </c>
      <c r="O81" s="15" t="s">
        <v>119</v>
      </c>
      <c r="P81" s="16" t="s">
        <v>119</v>
      </c>
      <c r="Q81" s="16">
        <v>0</v>
      </c>
      <c r="R81" s="16">
        <v>14</v>
      </c>
      <c r="T81" s="16" t="s">
        <v>112</v>
      </c>
      <c r="U81" s="16" t="s">
        <v>134</v>
      </c>
      <c r="V81" s="16" t="s">
        <v>114</v>
      </c>
      <c r="W81" s="16">
        <f>AI81/AG81</f>
        <v>0.7640449438202247</v>
      </c>
      <c r="X81" s="16" t="s">
        <v>121</v>
      </c>
      <c r="Y81" s="16" t="s">
        <v>110</v>
      </c>
      <c r="Z81" s="16">
        <v>3</v>
      </c>
      <c r="AA81" s="16" t="s">
        <v>161</v>
      </c>
      <c r="AB81" s="16" t="s">
        <v>116</v>
      </c>
      <c r="AC81" s="16" t="s">
        <v>123</v>
      </c>
      <c r="AD81" s="16" t="s">
        <v>116</v>
      </c>
      <c r="AG81" s="16">
        <f>AH81-AI81</f>
        <v>89</v>
      </c>
      <c r="AH81" s="16">
        <v>157</v>
      </c>
      <c r="AI81" s="16">
        <v>68</v>
      </c>
      <c r="AK81" s="16">
        <v>21</v>
      </c>
      <c r="AL81" s="16">
        <v>0</v>
      </c>
      <c r="AM81" s="16">
        <v>0</v>
      </c>
      <c r="AN81" s="16">
        <v>0</v>
      </c>
      <c r="AO81" s="16">
        <f>IF(SUM(AL81:AN81)&gt;0,1,0)</f>
        <v>0</v>
      </c>
      <c r="AP81" s="16">
        <f>SUM(AL81:AN81)</f>
        <v>0</v>
      </c>
      <c r="AR81" s="16">
        <v>0.85899999999999999</v>
      </c>
      <c r="AS81" s="16">
        <v>0.85899999999999999</v>
      </c>
      <c r="AT81" s="18" t="s">
        <v>117</v>
      </c>
      <c r="AU81" s="18"/>
      <c r="AW81" s="22">
        <v>1</v>
      </c>
      <c r="AX81" s="16">
        <v>6</v>
      </c>
      <c r="AY81" s="16">
        <f>(53+415+26+89+214+65)/0.859</f>
        <v>1003.4924330616997</v>
      </c>
      <c r="AZ81" s="18">
        <v>1</v>
      </c>
      <c r="BA81" s="16">
        <v>3</v>
      </c>
      <c r="BB81" s="16">
        <f>(53+415+26)/0.859</f>
        <v>575.08731082654253</v>
      </c>
      <c r="BC81" s="16">
        <v>1</v>
      </c>
      <c r="BD81" s="16">
        <v>53</v>
      </c>
      <c r="BE81" s="16">
        <f>53/0.859</f>
        <v>61.699650756693828</v>
      </c>
      <c r="BF81" s="18">
        <v>1</v>
      </c>
      <c r="BG81" s="23">
        <v>415</v>
      </c>
      <c r="BH81" s="16">
        <f>415/0.859</f>
        <v>483.11990686845172</v>
      </c>
      <c r="BI81" s="16">
        <v>1</v>
      </c>
      <c r="BJ81" s="16">
        <v>26</v>
      </c>
      <c r="BK81" s="16">
        <f>26/0.859</f>
        <v>30.267753201396975</v>
      </c>
      <c r="BL81" s="16">
        <f>IF(BM81&gt;0,1,0)</f>
        <v>1</v>
      </c>
      <c r="BM81" s="16">
        <f>SUM(BR81,BU81,BX81,CA81,CD81,CG81,CJ81,CM81,CP81)</f>
        <v>1</v>
      </c>
      <c r="BN81" s="16">
        <f>SUM(BW81,BZ81,CC81,CF81,CI81,CL81,CO81,CR81,BT81)</f>
        <v>103.60884749708964</v>
      </c>
      <c r="BO81" s="16">
        <f>IF(BP81&gt;0,1,0)</f>
        <v>1</v>
      </c>
      <c r="BP81" s="16">
        <f>SUM(BU81,BX81,CA81,CD81,BR81)</f>
        <v>1</v>
      </c>
      <c r="BQ81" s="16">
        <f>SUM(BZ81,CC81,CF81,BT81,BW81)</f>
        <v>103.60884749708964</v>
      </c>
      <c r="BR81" s="18">
        <v>0</v>
      </c>
      <c r="BS81" s="16">
        <v>0</v>
      </c>
      <c r="BT81" s="23">
        <f>BS81/AS81</f>
        <v>0</v>
      </c>
      <c r="BU81" s="18">
        <v>0</v>
      </c>
      <c r="BV81" s="16">
        <v>0</v>
      </c>
      <c r="BW81" s="18">
        <f>BV81/AS81</f>
        <v>0</v>
      </c>
      <c r="BX81" s="24">
        <v>1</v>
      </c>
      <c r="BY81" s="16">
        <v>89</v>
      </c>
      <c r="BZ81" s="16">
        <f>BY81/AS81</f>
        <v>103.60884749708964</v>
      </c>
      <c r="CA81" s="24">
        <v>0</v>
      </c>
      <c r="CB81" s="16">
        <v>0</v>
      </c>
      <c r="CC81" s="16">
        <v>0</v>
      </c>
      <c r="CD81" s="23">
        <v>0</v>
      </c>
      <c r="CE81" s="16">
        <v>0</v>
      </c>
      <c r="CF81" s="16">
        <v>0</v>
      </c>
      <c r="CP81" s="16" t="s">
        <v>123</v>
      </c>
      <c r="CQ81" s="16">
        <v>0</v>
      </c>
      <c r="CR81" s="16">
        <v>0</v>
      </c>
      <c r="CS81" s="18">
        <f>IF(CT81&gt;0,1,0)</f>
        <v>1</v>
      </c>
      <c r="CT81" s="25">
        <f>SUM(CW81,CZ81,DC81)</f>
        <v>2</v>
      </c>
      <c r="CU81" s="25"/>
      <c r="CV81" s="16">
        <f>(214+65)/0.859</f>
        <v>324.79627473806755</v>
      </c>
      <c r="CW81" s="22">
        <v>1</v>
      </c>
      <c r="CX81" s="16">
        <v>214</v>
      </c>
      <c r="CY81" s="16">
        <f>214/0.859</f>
        <v>249.12689173457508</v>
      </c>
      <c r="CZ81" s="16">
        <v>1</v>
      </c>
      <c r="DA81" s="16">
        <v>65</v>
      </c>
      <c r="DB81" s="16">
        <f>65/0.859</f>
        <v>75.669383003492428</v>
      </c>
      <c r="DC81" s="18">
        <v>0</v>
      </c>
      <c r="DD81" s="16">
        <v>0</v>
      </c>
      <c r="DE81" s="16">
        <v>0</v>
      </c>
      <c r="DF81" s="16">
        <f>VLOOKUP(K81,'[3]RNA Seq summary tables'!$V$3:$V$99,1,FALSE)</f>
        <v>1459</v>
      </c>
      <c r="DG81" s="16">
        <v>1</v>
      </c>
      <c r="DH81" s="16" t="str">
        <f>VLOOKUP(D81,'[8]Data with duplicates'!$B$1:$J$70,9,FALSE)</f>
        <v>sample.41</v>
      </c>
      <c r="JP81" s="18"/>
      <c r="JQ81" s="18"/>
    </row>
    <row r="82" spans="1:288" x14ac:dyDescent="0.2">
      <c r="B82" s="16">
        <v>2016</v>
      </c>
      <c r="C82" s="37">
        <v>42574</v>
      </c>
      <c r="D82" s="37" t="str">
        <f>CONCATENATE(J82,"-",C82)</f>
        <v>981-42574</v>
      </c>
      <c r="E82" s="20" t="str">
        <f>CONCATENATE(T82,"-",U82,"-",C82)</f>
        <v>PO1-B2-42574</v>
      </c>
      <c r="F82" s="20" t="s">
        <v>106</v>
      </c>
      <c r="G82" s="20" t="s">
        <v>107</v>
      </c>
      <c r="H82" s="18"/>
      <c r="I82" s="16">
        <v>0</v>
      </c>
      <c r="J82" s="36">
        <v>981</v>
      </c>
      <c r="K82" s="36">
        <v>1504</v>
      </c>
      <c r="L82" s="18">
        <v>0</v>
      </c>
      <c r="M82" s="15">
        <f>VLOOKUP(K82,'[7]MLBS 2016 SNV-nem Coinfection d'!$C$1:$G$238,4,FALSE)</f>
        <v>0</v>
      </c>
      <c r="N82" s="15">
        <v>0</v>
      </c>
      <c r="O82" s="15" t="s">
        <v>119</v>
      </c>
      <c r="P82" s="18" t="s">
        <v>119</v>
      </c>
      <c r="Q82" s="16">
        <v>0</v>
      </c>
      <c r="R82" s="18">
        <v>15</v>
      </c>
      <c r="S82" s="18"/>
      <c r="T82" s="18" t="s">
        <v>112</v>
      </c>
      <c r="U82" s="18" t="s">
        <v>130</v>
      </c>
      <c r="V82" s="18" t="s">
        <v>114</v>
      </c>
      <c r="W82" s="16">
        <f>AI82/AG82</f>
        <v>0.8045977011494253</v>
      </c>
      <c r="X82" s="18" t="s">
        <v>121</v>
      </c>
      <c r="Y82" s="18" t="s">
        <v>110</v>
      </c>
      <c r="Z82" s="18">
        <v>3</v>
      </c>
      <c r="AA82" s="18" t="s">
        <v>119</v>
      </c>
      <c r="AB82" s="18" t="s">
        <v>123</v>
      </c>
      <c r="AC82" s="18" t="s">
        <v>123</v>
      </c>
      <c r="AD82" s="18" t="s">
        <v>123</v>
      </c>
      <c r="AE82" s="18"/>
      <c r="AF82" s="18"/>
      <c r="AG82" s="18">
        <f>AH82-AI82</f>
        <v>87</v>
      </c>
      <c r="AH82" s="18">
        <v>157</v>
      </c>
      <c r="AI82" s="18">
        <v>70</v>
      </c>
      <c r="AJ82" s="18"/>
      <c r="AK82" s="18">
        <v>20.5</v>
      </c>
      <c r="AL82" s="16">
        <v>0</v>
      </c>
      <c r="AM82" s="16">
        <v>0</v>
      </c>
      <c r="AN82" s="16">
        <v>0</v>
      </c>
      <c r="AO82" s="16">
        <f>IF(SUM(AL82:AN82)&gt;0,1,0)</f>
        <v>0</v>
      </c>
      <c r="AP82" s="16">
        <f>SUM(AL82:AN82)</f>
        <v>0</v>
      </c>
      <c r="AQ82" s="18"/>
      <c r="AR82" s="18">
        <v>0.51500000000000001</v>
      </c>
      <c r="AS82" s="18">
        <v>0.51500000000000001</v>
      </c>
      <c r="AT82" s="18" t="s">
        <v>212</v>
      </c>
      <c r="AU82" s="18"/>
      <c r="AV82" s="18"/>
      <c r="AW82" s="22">
        <v>1</v>
      </c>
      <c r="AX82" s="18">
        <v>2</v>
      </c>
      <c r="AY82" s="18">
        <f>257/0.515</f>
        <v>499.02912621359224</v>
      </c>
      <c r="AZ82" s="18">
        <v>1</v>
      </c>
      <c r="BA82" s="18">
        <v>10</v>
      </c>
      <c r="BB82" s="18">
        <f>10/0.515</f>
        <v>19.417475728155338</v>
      </c>
      <c r="BC82" s="16">
        <v>1</v>
      </c>
      <c r="BD82" s="18">
        <v>247</v>
      </c>
      <c r="BE82" s="18">
        <f>247/0.515</f>
        <v>479.61165048543688</v>
      </c>
      <c r="BF82" s="18">
        <v>0</v>
      </c>
      <c r="BG82" s="25">
        <v>0</v>
      </c>
      <c r="BH82" s="18">
        <v>0</v>
      </c>
      <c r="BI82" s="18">
        <v>0</v>
      </c>
      <c r="BJ82" s="18">
        <v>0</v>
      </c>
      <c r="BK82" s="18">
        <v>0</v>
      </c>
      <c r="BL82" s="16">
        <f>IF(BM82&gt;0,1,0)</f>
        <v>0</v>
      </c>
      <c r="BM82" s="16">
        <f>SUM(BR82,BU82,BX82,CA82,CD82,CG82,CJ82,CM82,CP82)</f>
        <v>0</v>
      </c>
      <c r="BN82" s="16">
        <f>SUM(BW82,BZ82,CC82,CF82,CI82,CL82,CO82,CR82,BT82)</f>
        <v>0</v>
      </c>
      <c r="BO82" s="16">
        <f>IF(BP82&gt;0,1,0)</f>
        <v>0</v>
      </c>
      <c r="BP82" s="16">
        <f>SUM(BU82,BX82,CA82,CD82,BR82)</f>
        <v>0</v>
      </c>
      <c r="BQ82" s="16">
        <f>SUM(BZ82,CC82,CF82,BT82,BW82)</f>
        <v>0</v>
      </c>
      <c r="BR82" s="18">
        <v>0</v>
      </c>
      <c r="BS82" s="18">
        <v>0</v>
      </c>
      <c r="BT82" s="23">
        <f>BS82/AS82</f>
        <v>0</v>
      </c>
      <c r="BU82" s="18">
        <v>0</v>
      </c>
      <c r="BV82" s="18">
        <v>0</v>
      </c>
      <c r="BW82" s="18">
        <f>BV82/AS82</f>
        <v>0</v>
      </c>
      <c r="BX82" s="18">
        <v>0</v>
      </c>
      <c r="BY82" s="18">
        <v>0</v>
      </c>
      <c r="BZ82" s="16">
        <f>BY82/AS82</f>
        <v>0</v>
      </c>
      <c r="CA82" s="24">
        <v>0</v>
      </c>
      <c r="CB82" s="18">
        <v>0</v>
      </c>
      <c r="CC82" s="18">
        <v>0</v>
      </c>
      <c r="CD82" s="25">
        <v>0</v>
      </c>
      <c r="CE82" s="18">
        <v>0</v>
      </c>
      <c r="CF82" s="18">
        <v>0</v>
      </c>
      <c r="CG82" s="18"/>
      <c r="CH82" s="18"/>
      <c r="CI82" s="18"/>
      <c r="CJ82" s="18"/>
      <c r="CK82" s="18"/>
      <c r="CL82" s="18"/>
      <c r="CM82" s="18"/>
      <c r="CN82" s="18"/>
      <c r="CO82" s="18"/>
      <c r="CP82" s="18" t="s">
        <v>123</v>
      </c>
      <c r="CQ82" s="18">
        <v>0</v>
      </c>
      <c r="CR82" s="18">
        <v>0</v>
      </c>
      <c r="CS82" s="18">
        <f>IF(CT82&gt;0,1,0)</f>
        <v>0</v>
      </c>
      <c r="CT82" s="25">
        <f>SUM(CW82,CZ82,DC82)</f>
        <v>0</v>
      </c>
      <c r="CU82" s="25"/>
      <c r="CV82" s="18">
        <v>0</v>
      </c>
      <c r="CW82" s="25">
        <v>0</v>
      </c>
      <c r="CX82" s="18">
        <v>0</v>
      </c>
      <c r="CY82" s="18">
        <v>0</v>
      </c>
      <c r="CZ82" s="18">
        <v>0</v>
      </c>
      <c r="DA82" s="18">
        <v>0</v>
      </c>
      <c r="DB82" s="18">
        <v>0</v>
      </c>
      <c r="DC82" s="18">
        <v>0</v>
      </c>
      <c r="DD82" s="18">
        <v>0</v>
      </c>
      <c r="DE82" s="18">
        <v>0</v>
      </c>
      <c r="DF82" s="16" t="e">
        <f>VLOOKUP(K82,'[3]RNA Seq summary tables'!$V$3:$V$99,1,FALSE)</f>
        <v>#N/A</v>
      </c>
      <c r="DG82" s="16">
        <v>1</v>
      </c>
      <c r="DH82" s="16" t="str">
        <f>VLOOKUP(D82,'[8]Data with duplicates'!$B$1:$J$70,9,FALSE)</f>
        <v>sample.44</v>
      </c>
      <c r="DI82" s="18"/>
      <c r="DJ82" s="18"/>
      <c r="DK82" s="18"/>
      <c r="DL82" s="18"/>
      <c r="DM82" s="18"/>
      <c r="DN82" s="18"/>
      <c r="DO82" s="18"/>
      <c r="DP82" s="18"/>
      <c r="DQ82" s="18"/>
      <c r="DR82" s="18"/>
      <c r="DS82" s="18"/>
    </row>
    <row r="83" spans="1:288" x14ac:dyDescent="0.2">
      <c r="B83" s="16">
        <v>2016</v>
      </c>
      <c r="C83" s="37">
        <v>42586</v>
      </c>
      <c r="D83" s="37" t="str">
        <f>CONCATENATE(J83,"-",C83)</f>
        <v>981-42586</v>
      </c>
      <c r="E83" s="20" t="str">
        <f>CONCATENATE(T83,"-",U83,"-",C83)</f>
        <v>PO1-A3-42586</v>
      </c>
      <c r="F83" s="20" t="s">
        <v>106</v>
      </c>
      <c r="G83" s="20" t="s">
        <v>107</v>
      </c>
      <c r="H83" s="18" t="s">
        <v>223</v>
      </c>
      <c r="I83" s="16">
        <v>0</v>
      </c>
      <c r="J83" s="36">
        <v>981</v>
      </c>
      <c r="K83" s="36">
        <v>1529</v>
      </c>
      <c r="L83" s="18">
        <v>0</v>
      </c>
      <c r="M83" s="15">
        <f>VLOOKUP(K83,'[7]MLBS 2016 SNV-nem Coinfection d'!$C$1:$G$238,4,FALSE)</f>
        <v>0</v>
      </c>
      <c r="N83" s="15">
        <v>0</v>
      </c>
      <c r="O83" s="15" t="s">
        <v>119</v>
      </c>
      <c r="P83" s="18" t="s">
        <v>119</v>
      </c>
      <c r="Q83" s="16">
        <v>0</v>
      </c>
      <c r="R83" s="18">
        <v>12</v>
      </c>
      <c r="S83" s="18"/>
      <c r="T83" s="18" t="s">
        <v>112</v>
      </c>
      <c r="U83" s="18" t="s">
        <v>201</v>
      </c>
      <c r="V83" s="18" t="s">
        <v>114</v>
      </c>
      <c r="W83" s="16">
        <f>AI83/AG83</f>
        <v>0.58490566037735847</v>
      </c>
      <c r="X83" s="18" t="s">
        <v>121</v>
      </c>
      <c r="Y83" s="18" t="s">
        <v>110</v>
      </c>
      <c r="Z83" s="18">
        <v>3</v>
      </c>
      <c r="AA83" s="18" t="s">
        <v>119</v>
      </c>
      <c r="AB83" s="18" t="s">
        <v>123</v>
      </c>
      <c r="AC83" s="18" t="s">
        <v>123</v>
      </c>
      <c r="AD83" s="18" t="s">
        <v>123</v>
      </c>
      <c r="AE83" s="18"/>
      <c r="AF83" s="18"/>
      <c r="AG83" s="18">
        <f>AH83-AI83</f>
        <v>106</v>
      </c>
      <c r="AH83" s="18">
        <v>168</v>
      </c>
      <c r="AI83" s="18">
        <v>62</v>
      </c>
      <c r="AJ83" s="18"/>
      <c r="AK83" s="18">
        <v>23</v>
      </c>
      <c r="AL83" s="16">
        <v>0</v>
      </c>
      <c r="AM83" s="16">
        <v>0</v>
      </c>
      <c r="AN83" s="16">
        <v>0</v>
      </c>
      <c r="AO83" s="16">
        <f>IF(SUM(AL83:AN83)&gt;0,1,0)</f>
        <v>0</v>
      </c>
      <c r="AP83" s="16">
        <f>SUM(AL83:AN83)</f>
        <v>0</v>
      </c>
      <c r="AQ83" s="18"/>
      <c r="AR83" s="18">
        <v>0.27800000000000002</v>
      </c>
      <c r="AS83" s="18">
        <v>0.27800000000000002</v>
      </c>
      <c r="AT83" s="18" t="s">
        <v>212</v>
      </c>
      <c r="AU83" s="18"/>
      <c r="AV83" s="18"/>
      <c r="AW83" s="22">
        <v>1</v>
      </c>
      <c r="AX83" s="18">
        <v>3</v>
      </c>
      <c r="AY83" s="18">
        <f>(43+797+1)/0.278</f>
        <v>3025.1798561151077</v>
      </c>
      <c r="AZ83" s="18">
        <v>1</v>
      </c>
      <c r="BA83" s="18">
        <v>3</v>
      </c>
      <c r="BB83" s="18">
        <f>(44+797)/0.278</f>
        <v>3025.1798561151077</v>
      </c>
      <c r="BC83" s="16">
        <v>1</v>
      </c>
      <c r="BD83" s="18">
        <v>43</v>
      </c>
      <c r="BE83" s="18">
        <f>43/0.278</f>
        <v>154.67625899280574</v>
      </c>
      <c r="BF83" s="18">
        <v>1</v>
      </c>
      <c r="BG83" s="25">
        <v>797</v>
      </c>
      <c r="BH83" s="18">
        <f>797/0.278</f>
        <v>2866.9064748201436</v>
      </c>
      <c r="BI83" s="16">
        <v>1</v>
      </c>
      <c r="BJ83" s="18">
        <v>1</v>
      </c>
      <c r="BK83" s="18">
        <f>1/0.278</f>
        <v>3.5971223021582732</v>
      </c>
      <c r="BL83" s="16">
        <f>IF(BM83&gt;0,1,0)</f>
        <v>0</v>
      </c>
      <c r="BM83" s="16">
        <f>SUM(BR83,BU83,BX83,CA83,CD83,CG83,CJ83,CM83,CP83)</f>
        <v>0</v>
      </c>
      <c r="BN83" s="16">
        <f>SUM(BW83,BZ83,CC83,CF83,CI83,CL83,CO83,CR83,BT83)</f>
        <v>0</v>
      </c>
      <c r="BO83" s="16">
        <f>IF(BP83&gt;0,1,0)</f>
        <v>0</v>
      </c>
      <c r="BP83" s="16">
        <f>SUM(BU83,BX83,CA83,CD83,BR83)</f>
        <v>0</v>
      </c>
      <c r="BQ83" s="16">
        <f>SUM(BZ83,CC83,CF83,BT83,BW83)</f>
        <v>0</v>
      </c>
      <c r="BR83" s="18">
        <v>0</v>
      </c>
      <c r="BS83" s="18">
        <v>0</v>
      </c>
      <c r="BT83" s="23">
        <f>BS83/AS83</f>
        <v>0</v>
      </c>
      <c r="BU83" s="18">
        <v>0</v>
      </c>
      <c r="BV83" s="18">
        <v>0</v>
      </c>
      <c r="BW83" s="18">
        <f>BV83/AS83</f>
        <v>0</v>
      </c>
      <c r="BX83" s="18">
        <v>0</v>
      </c>
      <c r="BY83" s="18">
        <v>0</v>
      </c>
      <c r="BZ83" s="16">
        <f>BY83/AS83</f>
        <v>0</v>
      </c>
      <c r="CA83" s="24">
        <v>0</v>
      </c>
      <c r="CB83" s="18">
        <v>0</v>
      </c>
      <c r="CC83" s="18">
        <v>0</v>
      </c>
      <c r="CD83" s="25">
        <v>0</v>
      </c>
      <c r="CE83" s="18">
        <v>0</v>
      </c>
      <c r="CF83" s="18">
        <v>0</v>
      </c>
      <c r="CG83" s="18"/>
      <c r="CH83" s="18"/>
      <c r="CI83" s="18"/>
      <c r="CJ83" s="18"/>
      <c r="CK83" s="18"/>
      <c r="CL83" s="18"/>
      <c r="CM83" s="18"/>
      <c r="CN83" s="18"/>
      <c r="CO83" s="18"/>
      <c r="CP83" s="18" t="s">
        <v>123</v>
      </c>
      <c r="CQ83" s="18">
        <v>0</v>
      </c>
      <c r="CR83" s="18">
        <v>0</v>
      </c>
      <c r="CS83" s="18">
        <f>IF(CT83&gt;0,1,0)</f>
        <v>0</v>
      </c>
      <c r="CT83" s="25">
        <f>SUM(CW83,CZ83,DC83)</f>
        <v>0</v>
      </c>
      <c r="CU83" s="25"/>
      <c r="CV83" s="18">
        <v>0</v>
      </c>
      <c r="CW83" s="25">
        <v>0</v>
      </c>
      <c r="CX83" s="18">
        <v>0</v>
      </c>
      <c r="CY83" s="18">
        <v>0</v>
      </c>
      <c r="CZ83" s="18">
        <v>0</v>
      </c>
      <c r="DA83" s="18">
        <v>0</v>
      </c>
      <c r="DB83" s="18">
        <v>0</v>
      </c>
      <c r="DC83" s="18">
        <v>0</v>
      </c>
      <c r="DD83" s="18">
        <v>0</v>
      </c>
      <c r="DE83" s="18">
        <v>0</v>
      </c>
      <c r="DF83" s="16" t="e">
        <f>VLOOKUP(K83,'[3]RNA Seq summary tables'!$V$3:$V$99,1,FALSE)</f>
        <v>#N/A</v>
      </c>
      <c r="DG83" s="16">
        <v>1</v>
      </c>
      <c r="DH83" s="16" t="str">
        <f>VLOOKUP(D83,'[8]Data with duplicates'!$B$1:$J$70,9,FALSE)</f>
        <v>sample.45</v>
      </c>
      <c r="DI83" s="18"/>
      <c r="DJ83" s="18"/>
      <c r="DK83" s="18"/>
      <c r="DL83" s="18"/>
      <c r="DM83" s="18"/>
      <c r="DN83" s="18"/>
      <c r="DO83" s="18"/>
      <c r="DP83" s="18"/>
      <c r="DQ83" s="18"/>
      <c r="DR83" s="18"/>
      <c r="DS83" s="18"/>
    </row>
    <row r="84" spans="1:288" x14ac:dyDescent="0.2">
      <c r="B84" s="16">
        <v>2016</v>
      </c>
      <c r="C84" s="37">
        <v>42601</v>
      </c>
      <c r="D84" s="37" t="str">
        <f>CONCATENATE(J84,"-",C84)</f>
        <v>981-42601</v>
      </c>
      <c r="E84" s="20" t="str">
        <f>CONCATENATE(T84,"-",U84,"-",C84)</f>
        <v>PO1-C2-42601</v>
      </c>
      <c r="F84" s="20" t="s">
        <v>227</v>
      </c>
      <c r="G84" s="20" t="s">
        <v>107</v>
      </c>
      <c r="H84" s="18"/>
      <c r="I84" s="16">
        <v>0</v>
      </c>
      <c r="J84" s="36">
        <v>981</v>
      </c>
      <c r="K84" s="36">
        <v>1555</v>
      </c>
      <c r="L84" s="16">
        <v>1</v>
      </c>
      <c r="M84" s="15">
        <f>VLOOKUP(K84,'[7]MLBS 2016 SNV-nem Coinfection d'!$C$1:$G$238,4,FALSE)</f>
        <v>0</v>
      </c>
      <c r="N84" s="15">
        <v>0</v>
      </c>
      <c r="O84" s="15" t="s">
        <v>119</v>
      </c>
      <c r="P84" s="18" t="s">
        <v>119</v>
      </c>
      <c r="Q84" s="16">
        <v>0</v>
      </c>
      <c r="R84" s="18">
        <v>15</v>
      </c>
      <c r="S84" s="18"/>
      <c r="T84" s="18" t="s">
        <v>112</v>
      </c>
      <c r="U84" s="18" t="s">
        <v>162</v>
      </c>
      <c r="V84" s="18" t="s">
        <v>114</v>
      </c>
      <c r="W84" s="16">
        <f>AI84/AG84</f>
        <v>0.76344086021505375</v>
      </c>
      <c r="X84" s="18" t="s">
        <v>121</v>
      </c>
      <c r="Y84" s="18" t="s">
        <v>110</v>
      </c>
      <c r="Z84" s="18">
        <v>3</v>
      </c>
      <c r="AA84" s="18" t="s">
        <v>161</v>
      </c>
      <c r="AB84" s="18" t="s">
        <v>116</v>
      </c>
      <c r="AC84" s="18" t="s">
        <v>123</v>
      </c>
      <c r="AD84" s="18" t="s">
        <v>116</v>
      </c>
      <c r="AE84" s="18"/>
      <c r="AF84" s="18"/>
      <c r="AG84" s="18">
        <f>AH84-AI84</f>
        <v>93</v>
      </c>
      <c r="AH84" s="18">
        <v>164</v>
      </c>
      <c r="AI84" s="18">
        <v>71</v>
      </c>
      <c r="AJ84" s="18"/>
      <c r="AK84" s="18">
        <v>28</v>
      </c>
      <c r="AL84" s="16">
        <v>0</v>
      </c>
      <c r="AM84" s="16">
        <v>0</v>
      </c>
      <c r="AN84" s="16">
        <v>1</v>
      </c>
      <c r="AO84" s="16">
        <f>IF(SUM(AL84:AN84)&gt;0,1,0)</f>
        <v>1</v>
      </c>
      <c r="AP84" s="16">
        <f>SUM(AL84:AN84)</f>
        <v>1</v>
      </c>
      <c r="AQ84" s="18"/>
      <c r="AR84" s="18">
        <v>0.55000000000000004</v>
      </c>
      <c r="AS84" s="18">
        <v>0.55000000000000004</v>
      </c>
      <c r="AT84" s="18" t="s">
        <v>212</v>
      </c>
      <c r="AU84" s="18"/>
      <c r="AV84" s="18">
        <v>1</v>
      </c>
      <c r="AW84" s="18">
        <v>0</v>
      </c>
      <c r="AX84" s="24">
        <v>0</v>
      </c>
      <c r="AY84" s="24">
        <v>0</v>
      </c>
      <c r="AZ84" s="18">
        <v>0</v>
      </c>
      <c r="BA84" s="24">
        <v>0</v>
      </c>
      <c r="BB84" s="24">
        <v>0</v>
      </c>
      <c r="BC84" s="18">
        <v>0</v>
      </c>
      <c r="BD84" s="24">
        <v>0</v>
      </c>
      <c r="BE84" s="24">
        <v>0</v>
      </c>
      <c r="BF84" s="18">
        <v>0</v>
      </c>
      <c r="BG84" s="53">
        <v>0</v>
      </c>
      <c r="BH84" s="24">
        <v>0</v>
      </c>
      <c r="BI84" s="18">
        <v>0</v>
      </c>
      <c r="BJ84" s="24">
        <v>0</v>
      </c>
      <c r="BK84" s="24">
        <v>0</v>
      </c>
      <c r="BL84" s="16">
        <f>IF(BM84&gt;0,1,0)</f>
        <v>0</v>
      </c>
      <c r="BM84" s="16">
        <f>SUM(BR84,BU84,BX84,CA84,CD84,CG84,CJ84,CM84,CP84)</f>
        <v>0</v>
      </c>
      <c r="BN84" s="16">
        <f>SUM(BW84,BZ84,CC84,CF84,CI84,CL84,CO84,CR84,BT84)</f>
        <v>0</v>
      </c>
      <c r="BO84" s="16">
        <f>IF(BP84&gt;0,1,0)</f>
        <v>0</v>
      </c>
      <c r="BP84" s="16">
        <f>SUM(BU84,BX84,CA84,CD84,BR84)</f>
        <v>0</v>
      </c>
      <c r="BQ84" s="16">
        <f>SUM(BZ84,CC84,CF84,BT84,BW84)</f>
        <v>0</v>
      </c>
      <c r="BR84" s="18">
        <v>0</v>
      </c>
      <c r="BS84" s="24">
        <v>0</v>
      </c>
      <c r="BT84" s="23">
        <f>BS84/AS84</f>
        <v>0</v>
      </c>
      <c r="BU84" s="18">
        <v>0</v>
      </c>
      <c r="BV84" s="24">
        <v>0</v>
      </c>
      <c r="BW84" s="18">
        <f>BV84/AS84</f>
        <v>0</v>
      </c>
      <c r="BX84" s="18">
        <v>0</v>
      </c>
      <c r="BY84" s="24">
        <v>0</v>
      </c>
      <c r="BZ84" s="16">
        <f>BY84/AS84</f>
        <v>0</v>
      </c>
      <c r="CA84" s="24">
        <v>0</v>
      </c>
      <c r="CB84" s="24">
        <v>0</v>
      </c>
      <c r="CC84" s="24">
        <v>0</v>
      </c>
      <c r="CD84" s="25">
        <v>0</v>
      </c>
      <c r="CE84" s="24">
        <v>0</v>
      </c>
      <c r="CF84" s="24">
        <v>0</v>
      </c>
      <c r="CG84" s="24"/>
      <c r="CH84" s="24"/>
      <c r="CI84" s="24"/>
      <c r="CJ84" s="24"/>
      <c r="CK84" s="24"/>
      <c r="CL84" s="24"/>
      <c r="CM84" s="24"/>
      <c r="CN84" s="24"/>
      <c r="CO84" s="24"/>
      <c r="CP84" s="24" t="s">
        <v>123</v>
      </c>
      <c r="CQ84" s="24">
        <v>0</v>
      </c>
      <c r="CR84" s="24">
        <v>0</v>
      </c>
      <c r="CS84" s="18">
        <f>IF(CT84&gt;0,1,0)</f>
        <v>0</v>
      </c>
      <c r="CT84" s="25">
        <f>SUM(CW84,CZ84,DC84)</f>
        <v>0</v>
      </c>
      <c r="CU84" s="25"/>
      <c r="CV84" s="24">
        <v>0</v>
      </c>
      <c r="CW84" s="25">
        <v>0</v>
      </c>
      <c r="CX84" s="24">
        <v>0</v>
      </c>
      <c r="CY84" s="24">
        <v>0</v>
      </c>
      <c r="CZ84" s="18">
        <v>0</v>
      </c>
      <c r="DA84" s="24">
        <v>0</v>
      </c>
      <c r="DB84" s="24">
        <v>0</v>
      </c>
      <c r="DC84" s="18">
        <v>0</v>
      </c>
      <c r="DD84" s="24">
        <v>0</v>
      </c>
      <c r="DE84" s="24">
        <v>0</v>
      </c>
      <c r="DF84" s="16">
        <f>VLOOKUP(K84,'[3]RNA Seq summary tables'!$V$3:$V$99,1,FALSE)</f>
        <v>1555</v>
      </c>
      <c r="DG84" s="16">
        <v>1</v>
      </c>
      <c r="DH84" s="16" t="str">
        <f>VLOOKUP(D84,'[8]Data with duplicates'!$B$1:$J$70,9,FALSE)</f>
        <v>sample.42</v>
      </c>
      <c r="DI84" s="18"/>
      <c r="DJ84" s="18"/>
      <c r="DK84" s="18"/>
      <c r="DL84" s="18"/>
      <c r="DM84" s="18"/>
      <c r="DN84" s="18"/>
      <c r="DO84" s="18"/>
      <c r="DP84" s="18"/>
      <c r="DQ84" s="18"/>
      <c r="DR84" s="18"/>
      <c r="DS84" s="18"/>
      <c r="JP84" s="26"/>
      <c r="JQ84" s="26"/>
      <c r="JR84" s="18"/>
      <c r="JS84" s="18"/>
      <c r="JT84" s="18"/>
      <c r="JU84" s="18"/>
      <c r="JV84" s="18"/>
      <c r="JW84" s="18"/>
      <c r="JX84" s="18"/>
      <c r="JY84" s="18"/>
      <c r="JZ84" s="18"/>
      <c r="KA84" s="18"/>
      <c r="KB84" s="18"/>
    </row>
    <row r="85" spans="1:288" x14ac:dyDescent="0.2">
      <c r="B85" s="16">
        <v>2016</v>
      </c>
      <c r="C85" s="20">
        <v>42613</v>
      </c>
      <c r="D85" s="20" t="str">
        <f>CONCATENATE(J85,"-",C85)</f>
        <v>981-42613</v>
      </c>
      <c r="E85" s="20" t="str">
        <f>CONCATENATE(T85,"-",U85,"-",C85)</f>
        <v>PO1-B1-42613</v>
      </c>
      <c r="F85" s="20" t="s">
        <v>227</v>
      </c>
      <c r="G85" s="20" t="s">
        <v>107</v>
      </c>
      <c r="I85" s="16">
        <v>0</v>
      </c>
      <c r="J85" s="21">
        <v>981</v>
      </c>
      <c r="K85" s="21">
        <v>1573</v>
      </c>
      <c r="L85" s="18">
        <v>0</v>
      </c>
      <c r="M85" s="15">
        <f>VLOOKUP(K85,'[7]MLBS 2016 SNV-nem Coinfection d'!$C$1:$G$238,4,FALSE)</f>
        <v>0</v>
      </c>
      <c r="N85" s="15">
        <v>0</v>
      </c>
      <c r="O85" s="15" t="s">
        <v>119</v>
      </c>
      <c r="P85" s="16" t="s">
        <v>119</v>
      </c>
      <c r="Q85" s="16">
        <v>0</v>
      </c>
      <c r="R85" s="16">
        <v>12</v>
      </c>
      <c r="T85" s="16" t="s">
        <v>112</v>
      </c>
      <c r="U85" s="16" t="s">
        <v>113</v>
      </c>
      <c r="V85" s="16" t="s">
        <v>114</v>
      </c>
      <c r="W85" s="16">
        <f>AI85/AG85</f>
        <v>0.76595744680851063</v>
      </c>
      <c r="X85" s="16" t="s">
        <v>121</v>
      </c>
      <c r="Y85" s="16" t="s">
        <v>110</v>
      </c>
      <c r="Z85" s="16">
        <v>3</v>
      </c>
      <c r="AA85" s="16" t="s">
        <v>161</v>
      </c>
      <c r="AB85" s="16" t="s">
        <v>116</v>
      </c>
      <c r="AC85" s="16" t="s">
        <v>123</v>
      </c>
      <c r="AD85" s="16" t="s">
        <v>116</v>
      </c>
      <c r="AG85" s="16">
        <f>AH85-AI85</f>
        <v>94</v>
      </c>
      <c r="AH85" s="16">
        <v>166</v>
      </c>
      <c r="AI85" s="16">
        <v>72</v>
      </c>
      <c r="AK85" s="16">
        <v>29.5</v>
      </c>
      <c r="AL85" s="16">
        <v>0</v>
      </c>
      <c r="AM85" s="16">
        <v>0</v>
      </c>
      <c r="AN85" s="16">
        <v>1</v>
      </c>
      <c r="AO85" s="16">
        <f>IF(SUM(AL85:AN85)&gt;0,1,0)</f>
        <v>1</v>
      </c>
      <c r="AP85" s="16">
        <f>SUM(AL85:AN85)</f>
        <v>1</v>
      </c>
      <c r="AR85" s="16">
        <v>0.32300000000000001</v>
      </c>
      <c r="AS85" s="16">
        <v>0.32300000000000001</v>
      </c>
      <c r="AT85" s="16" t="s">
        <v>212</v>
      </c>
      <c r="AW85" s="22">
        <v>1</v>
      </c>
      <c r="AX85" s="22">
        <v>1</v>
      </c>
      <c r="AY85" s="22">
        <f>30/0.323</f>
        <v>92.879256965944265</v>
      </c>
      <c r="AZ85" s="18">
        <v>0</v>
      </c>
      <c r="BA85" s="22">
        <v>0</v>
      </c>
      <c r="BB85" s="22">
        <v>0</v>
      </c>
      <c r="BC85" s="18">
        <v>0</v>
      </c>
      <c r="BD85" s="22">
        <v>0</v>
      </c>
      <c r="BE85" s="22">
        <v>0</v>
      </c>
      <c r="BF85" s="18">
        <v>0</v>
      </c>
      <c r="BG85" s="50">
        <v>0</v>
      </c>
      <c r="BH85" s="22">
        <v>0</v>
      </c>
      <c r="BI85" s="18">
        <v>0</v>
      </c>
      <c r="BJ85" s="22">
        <v>0</v>
      </c>
      <c r="BK85" s="22">
        <v>0</v>
      </c>
      <c r="BL85" s="16">
        <f>IF(BM85&gt;0,1,0)</f>
        <v>1</v>
      </c>
      <c r="BM85" s="16">
        <f>SUM(BR85,BU85,BX85,CA85,CD85,CG85,CJ85,CM85,CP85)</f>
        <v>1</v>
      </c>
      <c r="BN85" s="16">
        <f>SUM(BW85,BZ85,CC85,CF85,CI85,CL85,CO85,CR85,BT85)</f>
        <v>92.879256965944265</v>
      </c>
      <c r="BO85" s="16">
        <f>IF(BP85&gt;0,1,0)</f>
        <v>1</v>
      </c>
      <c r="BP85" s="16">
        <f>SUM(BU85,BX85,CA85,CD85,BR85)</f>
        <v>1</v>
      </c>
      <c r="BQ85" s="16">
        <f>SUM(BZ85,CC85,CF85,BT85,BW85)</f>
        <v>92.879256965944265</v>
      </c>
      <c r="BR85" s="18">
        <v>0</v>
      </c>
      <c r="BS85" s="22">
        <v>0</v>
      </c>
      <c r="BT85" s="23">
        <f>BS85/AS85</f>
        <v>0</v>
      </c>
      <c r="BU85" s="18">
        <v>0</v>
      </c>
      <c r="BV85" s="22">
        <v>0</v>
      </c>
      <c r="BW85" s="18">
        <f>BV85/AS85</f>
        <v>0</v>
      </c>
      <c r="BX85" s="24">
        <v>1</v>
      </c>
      <c r="BY85" s="22">
        <v>30</v>
      </c>
      <c r="BZ85" s="16">
        <f>BY85/AS85</f>
        <v>92.879256965944265</v>
      </c>
      <c r="CA85" s="24">
        <v>0</v>
      </c>
      <c r="CB85" s="22">
        <v>0</v>
      </c>
      <c r="CC85" s="22">
        <v>0</v>
      </c>
      <c r="CD85" s="25">
        <v>0</v>
      </c>
      <c r="CE85" s="22">
        <v>0</v>
      </c>
      <c r="CF85" s="22">
        <v>0</v>
      </c>
      <c r="CG85" s="22"/>
      <c r="CH85" s="22"/>
      <c r="CI85" s="22"/>
      <c r="CJ85" s="22"/>
      <c r="CK85" s="22"/>
      <c r="CL85" s="22"/>
      <c r="CM85" s="22"/>
      <c r="CN85" s="22"/>
      <c r="CO85" s="22"/>
      <c r="CP85" s="22" t="s">
        <v>123</v>
      </c>
      <c r="CQ85" s="22">
        <v>0</v>
      </c>
      <c r="CR85" s="22">
        <v>0</v>
      </c>
      <c r="CS85" s="18">
        <f>IF(CT85&gt;0,1,0)</f>
        <v>0</v>
      </c>
      <c r="CT85" s="25">
        <f>SUM(CW85,CZ85,DC85)</f>
        <v>0</v>
      </c>
      <c r="CU85" s="25"/>
      <c r="CV85" s="22">
        <v>0</v>
      </c>
      <c r="CW85" s="25">
        <v>0</v>
      </c>
      <c r="CX85" s="22">
        <v>0</v>
      </c>
      <c r="CY85" s="22">
        <v>0</v>
      </c>
      <c r="CZ85" s="18">
        <v>0</v>
      </c>
      <c r="DA85" s="22">
        <v>0</v>
      </c>
      <c r="DB85" s="22">
        <v>0</v>
      </c>
      <c r="DC85" s="18">
        <v>0</v>
      </c>
      <c r="DD85" s="22">
        <v>0</v>
      </c>
      <c r="DE85" s="22">
        <v>0</v>
      </c>
      <c r="DF85" s="16" t="e">
        <f>VLOOKUP(K85,'[3]RNA Seq summary tables'!$V$3:$V$99,1,FALSE)</f>
        <v>#N/A</v>
      </c>
      <c r="DG85" s="16">
        <v>1</v>
      </c>
      <c r="DH85" s="16" t="str">
        <f>VLOOKUP(D85,'[8]Data with duplicates'!$B$1:$J$70,9,FALSE)</f>
        <v>sample.43</v>
      </c>
      <c r="JP85" s="18"/>
      <c r="JQ85" s="18"/>
      <c r="JR85" s="27"/>
      <c r="JS85" s="27"/>
      <c r="JT85" s="27"/>
      <c r="JU85" s="27"/>
      <c r="JV85" s="27"/>
      <c r="JW85" s="27"/>
      <c r="JX85" s="27"/>
      <c r="JY85" s="27"/>
      <c r="JZ85" s="27"/>
      <c r="KA85" s="27"/>
      <c r="KB85" s="27"/>
    </row>
    <row r="86" spans="1:288" x14ac:dyDescent="0.2">
      <c r="A86" s="29"/>
      <c r="B86" s="29">
        <v>2016</v>
      </c>
      <c r="C86" s="54">
        <v>42545</v>
      </c>
      <c r="D86" s="54" t="str">
        <f>CONCATENATE(J86,"-",C86)</f>
        <v>982-42545</v>
      </c>
      <c r="E86" s="20" t="str">
        <f>CONCATENATE(T86,"-",U86,"-",C86)</f>
        <v>PO1-H3-42545</v>
      </c>
      <c r="F86" s="20" t="s">
        <v>106</v>
      </c>
      <c r="G86" s="54" t="s">
        <v>107</v>
      </c>
      <c r="H86" s="29"/>
      <c r="I86" s="16">
        <v>0</v>
      </c>
      <c r="J86" s="55">
        <v>982</v>
      </c>
      <c r="K86" s="55">
        <v>1407</v>
      </c>
      <c r="L86" s="16">
        <v>1</v>
      </c>
      <c r="M86" s="56">
        <f>VLOOKUP(K86,'[7]MLBS 2016 SNV-nem Coinfection d'!$C$1:$G$238,4,FALSE)</f>
        <v>0</v>
      </c>
      <c r="N86" s="56">
        <v>0</v>
      </c>
      <c r="O86" s="15" t="s">
        <v>119</v>
      </c>
      <c r="P86" s="29" t="s">
        <v>119</v>
      </c>
      <c r="Q86" s="29">
        <v>0</v>
      </c>
      <c r="R86" s="29" t="s">
        <v>111</v>
      </c>
      <c r="S86" s="29"/>
      <c r="T86" s="29" t="s">
        <v>112</v>
      </c>
      <c r="U86" s="29" t="s">
        <v>174</v>
      </c>
      <c r="V86" s="29" t="s">
        <v>114</v>
      </c>
      <c r="W86" s="16">
        <f>AI86/AG86</f>
        <v>0.87368421052631584</v>
      </c>
      <c r="X86" s="29" t="s">
        <v>121</v>
      </c>
      <c r="Y86" s="29" t="s">
        <v>110</v>
      </c>
      <c r="Z86" s="29">
        <v>3</v>
      </c>
      <c r="AA86" s="29" t="s">
        <v>119</v>
      </c>
      <c r="AB86" s="29" t="s">
        <v>123</v>
      </c>
      <c r="AC86" s="29" t="s">
        <v>123</v>
      </c>
      <c r="AD86" s="29" t="s">
        <v>123</v>
      </c>
      <c r="AE86" s="29"/>
      <c r="AF86" s="29"/>
      <c r="AG86" s="29">
        <f>AH86-AI86</f>
        <v>95</v>
      </c>
      <c r="AH86" s="29">
        <v>178</v>
      </c>
      <c r="AI86" s="29">
        <v>83</v>
      </c>
      <c r="AJ86" s="29"/>
      <c r="AK86" s="29">
        <v>23</v>
      </c>
      <c r="AL86" s="29">
        <v>0</v>
      </c>
      <c r="AM86" s="29">
        <v>0</v>
      </c>
      <c r="AN86" s="29">
        <v>0</v>
      </c>
      <c r="AO86" s="29">
        <f>IF(SUM(AL86:AN86)&gt;0,1,0)</f>
        <v>0</v>
      </c>
      <c r="AP86" s="29">
        <f>SUM(AL86:AN86)</f>
        <v>0</v>
      </c>
      <c r="AQ86" s="29">
        <f>0.429+1.477</f>
        <v>1.9060000000000001</v>
      </c>
      <c r="AR86" s="29">
        <v>0.42899999999999999</v>
      </c>
      <c r="AS86" s="29">
        <v>0.42899999999999999</v>
      </c>
      <c r="AT86" s="29" t="s">
        <v>124</v>
      </c>
      <c r="AU86" s="29"/>
      <c r="AV86" s="29"/>
      <c r="AW86" s="57">
        <v>1</v>
      </c>
      <c r="AX86" s="29"/>
      <c r="AY86" s="29">
        <f>8/AS86</f>
        <v>18.648018648018649</v>
      </c>
      <c r="AZ86" s="29">
        <v>1</v>
      </c>
      <c r="BA86" s="29"/>
      <c r="BB86" s="29">
        <f>AY86</f>
        <v>18.648018648018649</v>
      </c>
      <c r="BC86" s="29">
        <v>1</v>
      </c>
      <c r="BD86" s="29">
        <v>6</v>
      </c>
      <c r="BE86" s="29">
        <f>6/AS86</f>
        <v>13.986013986013987</v>
      </c>
      <c r="BF86" s="29">
        <v>1</v>
      </c>
      <c r="BG86" s="58">
        <v>2</v>
      </c>
      <c r="BH86" s="29">
        <f>2/AS86</f>
        <v>4.6620046620046622</v>
      </c>
      <c r="BI86" s="29">
        <v>0</v>
      </c>
      <c r="BJ86" s="29">
        <v>0</v>
      </c>
      <c r="BK86" s="29">
        <v>0</v>
      </c>
      <c r="BL86" s="29">
        <f>IF(BM86&gt;0,1,0)</f>
        <v>0</v>
      </c>
      <c r="BM86" s="29">
        <f>SUM(BR86,BU86,BX86,CA86,CD86,CG86,CJ86,CM86,CP86)</f>
        <v>0</v>
      </c>
      <c r="BN86" s="29">
        <f>SUM(BW86,BZ86,CC86,CF86,CI86,CL86,CO86,CR86,BT86)</f>
        <v>0</v>
      </c>
      <c r="BO86" s="29">
        <f>IF(BP86&gt;0,1,0)</f>
        <v>0</v>
      </c>
      <c r="BP86" s="29">
        <f>SUM(BU86,BX86,CA86,CD86,BR86)</f>
        <v>0</v>
      </c>
      <c r="BQ86" s="29">
        <f>SUM(BZ86,CC86,CF86,BT86,BW86)</f>
        <v>0</v>
      </c>
      <c r="BR86" s="29">
        <v>0</v>
      </c>
      <c r="BS86" s="29">
        <v>0</v>
      </c>
      <c r="BT86" s="58">
        <f>BS86/AS86</f>
        <v>0</v>
      </c>
      <c r="BU86" s="29">
        <v>0</v>
      </c>
      <c r="BV86" s="29">
        <v>0</v>
      </c>
      <c r="BW86" s="29">
        <f>BV86/AS86</f>
        <v>0</v>
      </c>
      <c r="BX86" s="29">
        <v>0</v>
      </c>
      <c r="BY86" s="29">
        <v>0</v>
      </c>
      <c r="BZ86" s="29">
        <f>BY86/AS86</f>
        <v>0</v>
      </c>
      <c r="CA86" s="57">
        <v>0</v>
      </c>
      <c r="CB86" s="29">
        <v>0</v>
      </c>
      <c r="CC86" s="29">
        <v>0</v>
      </c>
      <c r="CD86" s="58">
        <v>0</v>
      </c>
      <c r="CE86" s="29">
        <v>0</v>
      </c>
      <c r="CF86" s="29">
        <v>0</v>
      </c>
      <c r="CG86" s="29"/>
      <c r="CH86" s="29"/>
      <c r="CI86" s="29"/>
      <c r="CJ86" s="29"/>
      <c r="CK86" s="29"/>
      <c r="CL86" s="29"/>
      <c r="CM86" s="29"/>
      <c r="CN86" s="29"/>
      <c r="CO86" s="29"/>
      <c r="CP86" s="29" t="s">
        <v>123</v>
      </c>
      <c r="CQ86" s="29">
        <v>0</v>
      </c>
      <c r="CR86" s="29">
        <v>0</v>
      </c>
      <c r="CS86" s="29">
        <f>IF(CT86&gt;0,1,0)</f>
        <v>0</v>
      </c>
      <c r="CT86" s="58">
        <f>SUM(CW86,CZ86,DC86)</f>
        <v>0</v>
      </c>
      <c r="CU86" s="58"/>
      <c r="CV86" s="29">
        <v>0</v>
      </c>
      <c r="CW86" s="58">
        <v>0</v>
      </c>
      <c r="CX86" s="29">
        <v>0</v>
      </c>
      <c r="CY86" s="29">
        <v>0</v>
      </c>
      <c r="CZ86" s="29">
        <v>0</v>
      </c>
      <c r="DA86" s="29">
        <v>0</v>
      </c>
      <c r="DB86" s="29">
        <v>0</v>
      </c>
      <c r="DC86" s="29">
        <v>0</v>
      </c>
      <c r="DD86" s="29">
        <v>0</v>
      </c>
      <c r="DE86" s="29">
        <v>0</v>
      </c>
      <c r="DF86" s="16">
        <f>VLOOKUP(K86,'[3]RNA Seq summary tables'!$V$3:$V$99,1,FALSE)</f>
        <v>1407</v>
      </c>
      <c r="DI86" s="29"/>
      <c r="DJ86" s="29"/>
      <c r="DK86" s="29"/>
      <c r="DL86" s="29"/>
      <c r="DM86" s="29"/>
      <c r="DN86" s="29"/>
      <c r="DO86" s="29"/>
      <c r="DP86" s="29"/>
      <c r="DQ86" s="29"/>
      <c r="DR86" s="29"/>
      <c r="DS86" s="29"/>
      <c r="JP86" s="26"/>
      <c r="JQ86" s="26"/>
    </row>
    <row r="87" spans="1:288" x14ac:dyDescent="0.2">
      <c r="A87" s="26"/>
      <c r="B87" s="26">
        <v>2016</v>
      </c>
      <c r="C87" s="44">
        <v>42559</v>
      </c>
      <c r="D87" s="44" t="str">
        <f>CONCATENATE(J87,"-",C87)</f>
        <v>982-42559</v>
      </c>
      <c r="E87" s="20" t="str">
        <f>CONCATENATE(T87,"-",U87,"-",C87)</f>
        <v>PO1-H5-42559</v>
      </c>
      <c r="F87" s="20" t="s">
        <v>106</v>
      </c>
      <c r="G87" s="44" t="s">
        <v>107</v>
      </c>
      <c r="H87" s="26"/>
      <c r="I87" s="16">
        <v>0</v>
      </c>
      <c r="J87" s="45">
        <v>982</v>
      </c>
      <c r="K87" s="45">
        <v>1463</v>
      </c>
      <c r="L87" s="16">
        <v>1</v>
      </c>
      <c r="M87" s="46">
        <f>VLOOKUP(K87,'[7]MLBS 2016 SNV-nem Coinfection d'!$C$1:$G$238,4,FALSE)</f>
        <v>1</v>
      </c>
      <c r="N87" s="46">
        <f>VLOOKUP(K87,'[7]MLBS 2016 SNV-nem Coinfection d'!$C$1:$G$238,5,FALSE)</f>
        <v>1064</v>
      </c>
      <c r="O87" s="15" t="s">
        <v>119</v>
      </c>
      <c r="P87" s="26" t="s">
        <v>119</v>
      </c>
      <c r="Q87" s="26">
        <v>0</v>
      </c>
      <c r="R87" s="26">
        <v>14</v>
      </c>
      <c r="S87" s="26"/>
      <c r="T87" s="26" t="s">
        <v>112</v>
      </c>
      <c r="U87" s="26" t="s">
        <v>180</v>
      </c>
      <c r="V87" s="26" t="s">
        <v>114</v>
      </c>
      <c r="W87" s="16">
        <f>AI87/AG87</f>
        <v>0.87234042553191493</v>
      </c>
      <c r="X87" s="26" t="s">
        <v>121</v>
      </c>
      <c r="Y87" s="26" t="s">
        <v>110</v>
      </c>
      <c r="Z87" s="26">
        <v>3</v>
      </c>
      <c r="AA87" s="26" t="s">
        <v>119</v>
      </c>
      <c r="AB87" s="26" t="s">
        <v>123</v>
      </c>
      <c r="AC87" s="26" t="s">
        <v>123</v>
      </c>
      <c r="AD87" s="26" t="s">
        <v>123</v>
      </c>
      <c r="AE87" s="26"/>
      <c r="AF87" s="26"/>
      <c r="AG87" s="26">
        <f>AH87-AI87</f>
        <v>94</v>
      </c>
      <c r="AH87" s="26">
        <v>176</v>
      </c>
      <c r="AI87" s="26">
        <v>82</v>
      </c>
      <c r="AJ87" s="26"/>
      <c r="AK87" s="26">
        <v>24</v>
      </c>
      <c r="AL87" s="26">
        <v>0</v>
      </c>
      <c r="AM87" s="26">
        <v>0</v>
      </c>
      <c r="AN87" s="26">
        <v>0</v>
      </c>
      <c r="AO87" s="26">
        <f>IF(SUM(AL87:AN87)&gt;0,1,0)</f>
        <v>0</v>
      </c>
      <c r="AP87" s="26">
        <f>SUM(AL87:AN87)</f>
        <v>0</v>
      </c>
      <c r="AQ87" s="26"/>
      <c r="AR87" s="26">
        <v>0.27100000000000002</v>
      </c>
      <c r="AS87" s="26">
        <v>0.27100000000000002</v>
      </c>
      <c r="AT87" s="26" t="s">
        <v>117</v>
      </c>
      <c r="AU87" s="26"/>
      <c r="AV87" s="26"/>
      <c r="AW87" s="47">
        <v>1</v>
      </c>
      <c r="AX87" s="26">
        <v>4</v>
      </c>
      <c r="AY87" s="26">
        <f>(4+42+1+1)/0.271</f>
        <v>177.12177121771217</v>
      </c>
      <c r="AZ87" s="26">
        <v>1</v>
      </c>
      <c r="BA87" s="26">
        <v>3</v>
      </c>
      <c r="BB87" s="26">
        <f>(4+42+1)/0.271</f>
        <v>173.43173431734317</v>
      </c>
      <c r="BC87" s="26">
        <v>1</v>
      </c>
      <c r="BD87" s="26">
        <v>4</v>
      </c>
      <c r="BE87" s="26">
        <f>4/0.271</f>
        <v>14.760147601476014</v>
      </c>
      <c r="BF87" s="26">
        <v>1</v>
      </c>
      <c r="BG87" s="48">
        <v>42</v>
      </c>
      <c r="BH87" s="26">
        <f>42/0.271</f>
        <v>154.98154981549814</v>
      </c>
      <c r="BI87" s="26">
        <v>1</v>
      </c>
      <c r="BJ87" s="26">
        <v>1</v>
      </c>
      <c r="BK87" s="26">
        <f>1/0.271</f>
        <v>3.6900369003690034</v>
      </c>
      <c r="BL87" s="26">
        <f>IF(BM87&gt;0,1,0)</f>
        <v>1</v>
      </c>
      <c r="BM87" s="26">
        <f>SUM(BR87,BU87,BX87,CA87,CD87,CG87,CJ87,CM87,CP87)</f>
        <v>1</v>
      </c>
      <c r="BN87" s="26">
        <f>SUM(BW87,BZ87,CC87,CF87,CI87,CL87,CO87,CR87,BT87)</f>
        <v>3.6900369003690034</v>
      </c>
      <c r="BO87" s="16">
        <f>IF(BP87&gt;0,1,0)</f>
        <v>1</v>
      </c>
      <c r="BP87" s="16">
        <f>SUM(BU87,BX87,CA87,CD87,BR87)</f>
        <v>1</v>
      </c>
      <c r="BQ87" s="16">
        <f>SUM(BZ87,CC87,CF87,BT87,BW87)</f>
        <v>3.6900369003690034</v>
      </c>
      <c r="BR87" s="26">
        <v>0</v>
      </c>
      <c r="BS87" s="26">
        <v>0</v>
      </c>
      <c r="BT87" s="48">
        <f>BS87/AS87</f>
        <v>0</v>
      </c>
      <c r="BU87" s="26">
        <v>0</v>
      </c>
      <c r="BV87" s="26">
        <v>0</v>
      </c>
      <c r="BW87" s="26">
        <f>BV87/AS87</f>
        <v>0</v>
      </c>
      <c r="BX87" s="47">
        <v>1</v>
      </c>
      <c r="BY87" s="26">
        <v>1</v>
      </c>
      <c r="BZ87" s="26">
        <f>BY87/AS87</f>
        <v>3.6900369003690034</v>
      </c>
      <c r="CA87" s="47">
        <v>0</v>
      </c>
      <c r="CB87" s="26">
        <v>0</v>
      </c>
      <c r="CC87" s="26">
        <v>0</v>
      </c>
      <c r="CD87" s="48">
        <v>0</v>
      </c>
      <c r="CE87" s="26">
        <v>0</v>
      </c>
      <c r="CF87" s="26">
        <v>0</v>
      </c>
      <c r="CG87" s="26"/>
      <c r="CH87" s="26"/>
      <c r="CI87" s="26"/>
      <c r="CJ87" s="26"/>
      <c r="CK87" s="26"/>
      <c r="CL87" s="26"/>
      <c r="CM87" s="26"/>
      <c r="CN87" s="26"/>
      <c r="CO87" s="26"/>
      <c r="CP87" s="26" t="s">
        <v>123</v>
      </c>
      <c r="CQ87" s="26">
        <v>0</v>
      </c>
      <c r="CR87" s="26">
        <v>0</v>
      </c>
      <c r="CS87" s="26">
        <f>IF(CT87&gt;0,1,0)</f>
        <v>0</v>
      </c>
      <c r="CT87" s="48">
        <f>SUM(CW87,CZ87,DC87)</f>
        <v>0</v>
      </c>
      <c r="CU87" s="48"/>
      <c r="CV87" s="26">
        <v>0</v>
      </c>
      <c r="CW87" s="48">
        <v>0</v>
      </c>
      <c r="CX87" s="26">
        <v>0</v>
      </c>
      <c r="CY87" s="26">
        <v>0</v>
      </c>
      <c r="CZ87" s="26">
        <v>0</v>
      </c>
      <c r="DA87" s="26">
        <v>0</v>
      </c>
      <c r="DB87" s="26">
        <v>0</v>
      </c>
      <c r="DC87" s="26">
        <v>0</v>
      </c>
      <c r="DD87" s="26">
        <v>0</v>
      </c>
      <c r="DE87" s="26">
        <v>0</v>
      </c>
      <c r="DF87" s="16">
        <f>VLOOKUP(K87,'[3]RNA Seq summary tables'!$V$3:$V$99,1,FALSE)</f>
        <v>1463</v>
      </c>
      <c r="DG87" s="16">
        <v>1</v>
      </c>
      <c r="DH87" s="16" t="str">
        <f>VLOOKUP(D87,'[8]Data with duplicates'!$B$1:$J$70,9,FALSE)</f>
        <v>sample.46</v>
      </c>
      <c r="DI87" s="26"/>
      <c r="DJ87" s="26"/>
      <c r="DK87" s="26"/>
      <c r="DL87" s="26"/>
      <c r="DM87" s="26"/>
      <c r="DN87" s="26"/>
      <c r="DO87" s="26"/>
      <c r="DP87" s="26"/>
      <c r="DQ87" s="26"/>
      <c r="DR87" s="26"/>
      <c r="DS87" s="26"/>
      <c r="JP87" s="19"/>
      <c r="JQ87" s="19"/>
    </row>
    <row r="88" spans="1:288" x14ac:dyDescent="0.2">
      <c r="A88" s="29"/>
      <c r="B88" s="29">
        <v>2016</v>
      </c>
      <c r="C88" s="54">
        <v>42572</v>
      </c>
      <c r="D88" s="54" t="str">
        <f>CONCATENATE(J88,"-",C88)</f>
        <v>982-42572</v>
      </c>
      <c r="E88" s="20" t="str">
        <f>CONCATENATE(T88,"-",U88,"-",C88)</f>
        <v>PO1-G6-42572</v>
      </c>
      <c r="F88" s="20" t="s">
        <v>106</v>
      </c>
      <c r="G88" s="54" t="s">
        <v>107</v>
      </c>
      <c r="H88" s="29"/>
      <c r="I88" s="16">
        <v>0</v>
      </c>
      <c r="J88" s="55">
        <v>982</v>
      </c>
      <c r="K88" s="55">
        <v>1498</v>
      </c>
      <c r="L88" s="16">
        <v>1</v>
      </c>
      <c r="M88" s="56">
        <f>VLOOKUP(K88,'[7]MLBS 2016 SNV-nem Coinfection d'!$C$1:$G$238,4,FALSE)</f>
        <v>0</v>
      </c>
      <c r="N88" s="56">
        <v>0</v>
      </c>
      <c r="O88" s="15" t="s">
        <v>119</v>
      </c>
      <c r="P88" s="29" t="s">
        <v>119</v>
      </c>
      <c r="Q88" s="29">
        <v>0</v>
      </c>
      <c r="R88" s="29">
        <v>13</v>
      </c>
      <c r="S88" s="29"/>
      <c r="T88" s="29" t="s">
        <v>112</v>
      </c>
      <c r="U88" s="29" t="s">
        <v>218</v>
      </c>
      <c r="V88" s="29" t="s">
        <v>114</v>
      </c>
      <c r="W88" s="16">
        <f>AI88/AG88</f>
        <v>0.85416666666666663</v>
      </c>
      <c r="X88" s="29" t="s">
        <v>121</v>
      </c>
      <c r="Y88" s="29" t="s">
        <v>110</v>
      </c>
      <c r="Z88" s="29">
        <v>3</v>
      </c>
      <c r="AA88" s="29" t="s">
        <v>119</v>
      </c>
      <c r="AB88" s="29" t="s">
        <v>116</v>
      </c>
      <c r="AC88" s="29" t="s">
        <v>123</v>
      </c>
      <c r="AD88" s="29" t="s">
        <v>116</v>
      </c>
      <c r="AE88" s="29"/>
      <c r="AF88" s="29"/>
      <c r="AG88" s="29">
        <f>AH88-AI88</f>
        <v>96</v>
      </c>
      <c r="AH88" s="29">
        <v>178</v>
      </c>
      <c r="AI88" s="29">
        <v>82</v>
      </c>
      <c r="AJ88" s="29"/>
      <c r="AK88" s="29">
        <v>27.5</v>
      </c>
      <c r="AL88" s="29">
        <v>1</v>
      </c>
      <c r="AM88" s="29">
        <v>0</v>
      </c>
      <c r="AN88" s="29">
        <v>0</v>
      </c>
      <c r="AO88" s="29">
        <f>IF(SUM(AL88:AN88)&gt;0,1,0)</f>
        <v>1</v>
      </c>
      <c r="AP88" s="29">
        <f>SUM(AL88:AN88)</f>
        <v>1</v>
      </c>
      <c r="AQ88" s="29"/>
      <c r="AR88" s="29">
        <v>0.28399999999999997</v>
      </c>
      <c r="AS88" s="29">
        <v>0.28399999999999997</v>
      </c>
      <c r="AT88" s="29" t="s">
        <v>117</v>
      </c>
      <c r="AU88" s="29"/>
      <c r="AV88" s="29"/>
      <c r="AW88" s="57">
        <v>1</v>
      </c>
      <c r="AX88" s="29">
        <v>1</v>
      </c>
      <c r="AY88" s="29">
        <f>1/0.284</f>
        <v>3.5211267605633805</v>
      </c>
      <c r="AZ88" s="29">
        <v>1</v>
      </c>
      <c r="BA88" s="29">
        <v>1</v>
      </c>
      <c r="BB88" s="29">
        <f>1/0.284</f>
        <v>3.5211267605633805</v>
      </c>
      <c r="BC88" s="29">
        <v>0</v>
      </c>
      <c r="BD88" s="29">
        <v>0</v>
      </c>
      <c r="BE88" s="29">
        <v>0</v>
      </c>
      <c r="BF88" s="29">
        <v>1</v>
      </c>
      <c r="BG88" s="58">
        <v>1</v>
      </c>
      <c r="BH88" s="29">
        <f>1/0.284</f>
        <v>3.5211267605633805</v>
      </c>
      <c r="BI88" s="29">
        <v>0</v>
      </c>
      <c r="BJ88" s="29">
        <v>0</v>
      </c>
      <c r="BK88" s="29">
        <v>0</v>
      </c>
      <c r="BL88" s="29">
        <f>IF(BM88&gt;0,1,0)</f>
        <v>0</v>
      </c>
      <c r="BM88" s="29">
        <f>SUM(BR88,BU88,BX88,CA88,CD88,CG88,CJ88,CM88,CP88)</f>
        <v>0</v>
      </c>
      <c r="BN88" s="29">
        <f>SUM(BW88,BZ88,CC88,CF88,CI88,CL88,CO88,CR88,BT88)</f>
        <v>0</v>
      </c>
      <c r="BO88" s="29">
        <f>IF(BP88&gt;0,1,0)</f>
        <v>0</v>
      </c>
      <c r="BP88" s="29">
        <f>SUM(BU88,BX88,CA88,CD88,BR88)</f>
        <v>0</v>
      </c>
      <c r="BQ88" s="29">
        <f>SUM(BZ88,CC88,CF88,BT88,BW88)</f>
        <v>0</v>
      </c>
      <c r="BR88" s="29">
        <v>0</v>
      </c>
      <c r="BS88" s="29">
        <v>0</v>
      </c>
      <c r="BT88" s="58">
        <f>BS88/AS88</f>
        <v>0</v>
      </c>
      <c r="BU88" s="29">
        <v>0</v>
      </c>
      <c r="BV88" s="29">
        <v>0</v>
      </c>
      <c r="BW88" s="29">
        <f>BV88/AS88</f>
        <v>0</v>
      </c>
      <c r="BX88" s="29">
        <v>0</v>
      </c>
      <c r="BY88" s="29">
        <v>0</v>
      </c>
      <c r="BZ88" s="29">
        <f>BY88/AS88</f>
        <v>0</v>
      </c>
      <c r="CA88" s="57">
        <v>0</v>
      </c>
      <c r="CB88" s="29">
        <v>0</v>
      </c>
      <c r="CC88" s="29">
        <v>0</v>
      </c>
      <c r="CD88" s="58">
        <v>0</v>
      </c>
      <c r="CE88" s="29">
        <v>0</v>
      </c>
      <c r="CF88" s="29">
        <v>0</v>
      </c>
      <c r="CG88" s="29"/>
      <c r="CH88" s="29"/>
      <c r="CI88" s="29"/>
      <c r="CJ88" s="29"/>
      <c r="CK88" s="29"/>
      <c r="CL88" s="29"/>
      <c r="CM88" s="29"/>
      <c r="CN88" s="29"/>
      <c r="CO88" s="29"/>
      <c r="CP88" s="29" t="s">
        <v>123</v>
      </c>
      <c r="CQ88" s="29">
        <v>0</v>
      </c>
      <c r="CR88" s="29">
        <v>0</v>
      </c>
      <c r="CS88" s="29">
        <f>IF(CT88&gt;0,1,0)</f>
        <v>0</v>
      </c>
      <c r="CT88" s="58">
        <f>SUM(CW88,CZ88,DC88)</f>
        <v>0</v>
      </c>
      <c r="CU88" s="58"/>
      <c r="CV88" s="29">
        <v>0</v>
      </c>
      <c r="CW88" s="58">
        <v>0</v>
      </c>
      <c r="CX88" s="29">
        <v>0</v>
      </c>
      <c r="CY88" s="29">
        <v>0</v>
      </c>
      <c r="CZ88" s="29">
        <v>0</v>
      </c>
      <c r="DA88" s="29">
        <v>0</v>
      </c>
      <c r="DB88" s="29">
        <v>0</v>
      </c>
      <c r="DC88" s="29">
        <v>0</v>
      </c>
      <c r="DD88" s="29">
        <v>0</v>
      </c>
      <c r="DE88" s="29">
        <v>0</v>
      </c>
      <c r="DF88" s="16">
        <f>VLOOKUP(K88,'[3]RNA Seq summary tables'!$V$3:$V$99,1,FALSE)</f>
        <v>1498</v>
      </c>
      <c r="DG88" s="16">
        <v>1</v>
      </c>
      <c r="DH88" s="16" t="str">
        <f>VLOOKUP(D88,'[8]Data with duplicates'!$B$1:$J$70,9,FALSE)</f>
        <v>sample.49</v>
      </c>
      <c r="DI88" s="29"/>
      <c r="DJ88" s="29"/>
      <c r="DK88" s="29"/>
      <c r="DL88" s="29"/>
      <c r="DM88" s="29"/>
      <c r="DN88" s="29"/>
      <c r="DO88" s="29"/>
      <c r="DP88" s="29"/>
      <c r="DQ88" s="29"/>
      <c r="DR88" s="29"/>
      <c r="DS88" s="29"/>
      <c r="JP88" s="19"/>
      <c r="JQ88" s="19"/>
    </row>
    <row r="89" spans="1:288" x14ac:dyDescent="0.2">
      <c r="A89" s="26"/>
      <c r="B89" s="26">
        <v>2016</v>
      </c>
      <c r="C89" s="44">
        <v>42588</v>
      </c>
      <c r="D89" s="44" t="str">
        <f>CONCATENATE(J89,"-",C89)</f>
        <v>982-42588</v>
      </c>
      <c r="E89" s="20" t="str">
        <f>CONCATENATE(T89,"-",U89,"-",C89)</f>
        <v>PO1-H1-42588</v>
      </c>
      <c r="F89" s="20" t="s">
        <v>106</v>
      </c>
      <c r="G89" s="44" t="s">
        <v>107</v>
      </c>
      <c r="H89" s="48" t="s">
        <v>223</v>
      </c>
      <c r="I89" s="16">
        <v>0</v>
      </c>
      <c r="J89" s="45">
        <v>982</v>
      </c>
      <c r="K89" s="45">
        <v>1533</v>
      </c>
      <c r="L89" s="16">
        <v>1</v>
      </c>
      <c r="M89" s="46">
        <f>VLOOKUP(K89,'[7]MLBS 2016 SNV-nem Coinfection d'!$C$1:$G$238,4,FALSE)</f>
        <v>1</v>
      </c>
      <c r="N89" s="46">
        <f>VLOOKUP(K89,'[7]MLBS 2016 SNV-nem Coinfection d'!$C$1:$G$238,5,FALSE)</f>
        <v>4256</v>
      </c>
      <c r="O89" s="15" t="s">
        <v>119</v>
      </c>
      <c r="P89" s="26" t="s">
        <v>119</v>
      </c>
      <c r="Q89" s="26">
        <v>0</v>
      </c>
      <c r="R89" s="26">
        <v>16</v>
      </c>
      <c r="S89" s="26"/>
      <c r="T89" s="26" t="s">
        <v>112</v>
      </c>
      <c r="U89" s="26" t="s">
        <v>191</v>
      </c>
      <c r="V89" s="26" t="s">
        <v>114</v>
      </c>
      <c r="W89" s="16">
        <f>AI89/AG89</f>
        <v>0.90217391304347827</v>
      </c>
      <c r="X89" s="26" t="s">
        <v>121</v>
      </c>
      <c r="Y89" s="26" t="s">
        <v>110</v>
      </c>
      <c r="Z89" s="26">
        <v>3</v>
      </c>
      <c r="AA89" s="26" t="s">
        <v>119</v>
      </c>
      <c r="AB89" s="26" t="s">
        <v>123</v>
      </c>
      <c r="AC89" s="26" t="s">
        <v>123</v>
      </c>
      <c r="AD89" s="26" t="s">
        <v>123</v>
      </c>
      <c r="AE89" s="26"/>
      <c r="AF89" s="26"/>
      <c r="AG89" s="26">
        <f>AH89-AI89</f>
        <v>92</v>
      </c>
      <c r="AH89" s="26">
        <v>175</v>
      </c>
      <c r="AI89" s="26">
        <v>83</v>
      </c>
      <c r="AJ89" s="26"/>
      <c r="AK89" s="26">
        <v>21.5</v>
      </c>
      <c r="AL89" s="26">
        <v>1</v>
      </c>
      <c r="AM89" s="26">
        <v>0</v>
      </c>
      <c r="AN89" s="26">
        <v>0</v>
      </c>
      <c r="AO89" s="26">
        <f>IF(SUM(AL89:AN89)&gt;0,1,0)</f>
        <v>1</v>
      </c>
      <c r="AP89" s="26">
        <f>SUM(AL89:AN89)</f>
        <v>1</v>
      </c>
      <c r="AQ89" s="26">
        <v>1.742</v>
      </c>
      <c r="AR89" s="26">
        <v>0.26500000000000001</v>
      </c>
      <c r="AS89" s="26">
        <v>0.26500000000000001</v>
      </c>
      <c r="AT89" s="26" t="s">
        <v>205</v>
      </c>
      <c r="AU89" s="26"/>
      <c r="AV89" s="26"/>
      <c r="AW89" s="47">
        <v>1</v>
      </c>
      <c r="AX89" s="26">
        <v>3</v>
      </c>
      <c r="AY89" s="26">
        <f>(417+1365+48)/AS89</f>
        <v>6905.6603773584902</v>
      </c>
      <c r="AZ89" s="26">
        <v>1</v>
      </c>
      <c r="BA89" s="26">
        <v>3</v>
      </c>
      <c r="BB89" s="26">
        <f>AY89</f>
        <v>6905.6603773584902</v>
      </c>
      <c r="BC89" s="26">
        <v>1</v>
      </c>
      <c r="BD89" s="26">
        <v>417</v>
      </c>
      <c r="BE89" s="26">
        <f>417/AS89</f>
        <v>1573.5849056603772</v>
      </c>
      <c r="BF89" s="26">
        <v>1</v>
      </c>
      <c r="BG89" s="48">
        <v>1365</v>
      </c>
      <c r="BH89" s="26">
        <f>1365/AS89</f>
        <v>5150.9433962264147</v>
      </c>
      <c r="BI89" s="26">
        <v>1</v>
      </c>
      <c r="BJ89" s="26">
        <v>48</v>
      </c>
      <c r="BK89" s="26">
        <f>48/AS89</f>
        <v>181.1320754716981</v>
      </c>
      <c r="BL89" s="26">
        <f>IF(BM89&gt;0,1,0)</f>
        <v>0</v>
      </c>
      <c r="BM89" s="26">
        <f>SUM(BR89,BU89,BX89,CA89,CD89,CG89,CJ89,CM89,CP89)</f>
        <v>0</v>
      </c>
      <c r="BN89" s="26">
        <f>SUM(BW89,BZ89,CC89,CF89,CI89,CL89,CO89,CR89,BT89)</f>
        <v>0</v>
      </c>
      <c r="BO89" s="26">
        <f>IF(BP89&gt;0,1,0)</f>
        <v>0</v>
      </c>
      <c r="BP89" s="26">
        <f>SUM(BU89,BX89,CA89,CD89,BR89)</f>
        <v>0</v>
      </c>
      <c r="BQ89" s="26">
        <f>SUM(BZ89,CC89,CF89,BT89,BW89)</f>
        <v>0</v>
      </c>
      <c r="BR89" s="26">
        <v>0</v>
      </c>
      <c r="BS89" s="26">
        <v>0</v>
      </c>
      <c r="BT89" s="48">
        <f>BS89/AS89</f>
        <v>0</v>
      </c>
      <c r="BU89" s="26">
        <v>0</v>
      </c>
      <c r="BV89" s="26">
        <v>0</v>
      </c>
      <c r="BW89" s="26">
        <f>BV89/AS89</f>
        <v>0</v>
      </c>
      <c r="BX89" s="26">
        <v>0</v>
      </c>
      <c r="BY89" s="26">
        <v>0</v>
      </c>
      <c r="BZ89" s="26">
        <f>BY89/AS89</f>
        <v>0</v>
      </c>
      <c r="CA89" s="47">
        <v>0</v>
      </c>
      <c r="CB89" s="26">
        <v>0</v>
      </c>
      <c r="CC89" s="26">
        <v>0</v>
      </c>
      <c r="CD89" s="48">
        <v>0</v>
      </c>
      <c r="CE89" s="26">
        <v>0</v>
      </c>
      <c r="CF89" s="26">
        <v>0</v>
      </c>
      <c r="CG89" s="26"/>
      <c r="CH89" s="26"/>
      <c r="CI89" s="26"/>
      <c r="CJ89" s="26"/>
      <c r="CK89" s="26"/>
      <c r="CL89" s="26"/>
      <c r="CM89" s="26"/>
      <c r="CN89" s="26"/>
      <c r="CO89" s="26"/>
      <c r="CP89" s="26" t="s">
        <v>123</v>
      </c>
      <c r="CQ89" s="26">
        <v>0</v>
      </c>
      <c r="CR89" s="26">
        <v>0</v>
      </c>
      <c r="CS89" s="26">
        <f>IF(CT89&gt;0,1,0)</f>
        <v>0</v>
      </c>
      <c r="CT89" s="48">
        <f>SUM(CW89,CZ89,DC89)</f>
        <v>0</v>
      </c>
      <c r="CU89" s="48"/>
      <c r="CV89" s="26">
        <v>0</v>
      </c>
      <c r="CW89" s="48">
        <v>0</v>
      </c>
      <c r="CX89" s="26">
        <v>0</v>
      </c>
      <c r="CY89" s="26">
        <v>0</v>
      </c>
      <c r="CZ89" s="26">
        <v>0</v>
      </c>
      <c r="DA89" s="26">
        <v>0</v>
      </c>
      <c r="DB89" s="26">
        <v>0</v>
      </c>
      <c r="DC89" s="26">
        <v>0</v>
      </c>
      <c r="DD89" s="26">
        <v>0</v>
      </c>
      <c r="DE89" s="26">
        <v>0</v>
      </c>
      <c r="DF89" s="16">
        <f>VLOOKUP(K89,'[3]RNA Seq summary tables'!$V$3:$V$99,1,FALSE)</f>
        <v>1533</v>
      </c>
      <c r="DG89" s="16">
        <v>1</v>
      </c>
      <c r="DH89" s="16" t="str">
        <f>VLOOKUP(D89,'[8]Data with duplicates'!$B$1:$J$70,9,FALSE)</f>
        <v>sample.50</v>
      </c>
      <c r="DI89" s="26"/>
      <c r="DJ89" s="26"/>
      <c r="DK89" s="26"/>
      <c r="DL89" s="26"/>
      <c r="DM89" s="26"/>
      <c r="DN89" s="26"/>
      <c r="DO89" s="26"/>
      <c r="DP89" s="26"/>
      <c r="DQ89" s="26"/>
      <c r="DR89" s="26"/>
      <c r="DS89" s="26"/>
      <c r="JP89" s="26"/>
      <c r="JQ89" s="26"/>
    </row>
    <row r="90" spans="1:288" x14ac:dyDescent="0.2">
      <c r="A90" s="26"/>
      <c r="B90" s="26">
        <v>2016</v>
      </c>
      <c r="C90" s="44">
        <v>42601</v>
      </c>
      <c r="D90" s="44" t="str">
        <f>CONCATENATE(J90,"-",C90)</f>
        <v>982-42601</v>
      </c>
      <c r="E90" s="20" t="str">
        <f>CONCATENATE(T90,"-",U90,"-",C90)</f>
        <v>PO1-H3-42601</v>
      </c>
      <c r="F90" s="20" t="s">
        <v>227</v>
      </c>
      <c r="G90" s="44" t="s">
        <v>107</v>
      </c>
      <c r="H90" s="26"/>
      <c r="I90" s="16">
        <v>0</v>
      </c>
      <c r="J90" s="45">
        <v>982</v>
      </c>
      <c r="K90" s="45">
        <v>1556</v>
      </c>
      <c r="L90" s="16">
        <v>1</v>
      </c>
      <c r="M90" s="46">
        <f>VLOOKUP(K90,'[7]MLBS 2016 SNV-nem Coinfection d'!$C$1:$G$238,4,FALSE)</f>
        <v>1</v>
      </c>
      <c r="N90" s="46">
        <f>VLOOKUP(K90,'[7]MLBS 2016 SNV-nem Coinfection d'!$C$1:$G$238,5,FALSE)</f>
        <v>266</v>
      </c>
      <c r="O90" s="15" t="s">
        <v>119</v>
      </c>
      <c r="P90" s="26" t="s">
        <v>119</v>
      </c>
      <c r="Q90" s="26">
        <v>0</v>
      </c>
      <c r="R90" s="26">
        <v>13</v>
      </c>
      <c r="S90" s="26"/>
      <c r="T90" s="26" t="s">
        <v>112</v>
      </c>
      <c r="U90" s="26" t="s">
        <v>174</v>
      </c>
      <c r="V90" s="26" t="s">
        <v>114</v>
      </c>
      <c r="W90" s="16">
        <f>AI90/AG90</f>
        <v>0.86315789473684212</v>
      </c>
      <c r="X90" s="26" t="s">
        <v>121</v>
      </c>
      <c r="Y90" s="26" t="s">
        <v>110</v>
      </c>
      <c r="Z90" s="26">
        <v>3</v>
      </c>
      <c r="AA90" s="26" t="s">
        <v>161</v>
      </c>
      <c r="AB90" s="26" t="s">
        <v>116</v>
      </c>
      <c r="AC90" s="26" t="s">
        <v>123</v>
      </c>
      <c r="AD90" s="26" t="s">
        <v>116</v>
      </c>
      <c r="AE90" s="26"/>
      <c r="AF90" s="26"/>
      <c r="AG90" s="26">
        <f>AH90-AI90</f>
        <v>95</v>
      </c>
      <c r="AH90" s="26">
        <v>177</v>
      </c>
      <c r="AI90" s="26">
        <v>82</v>
      </c>
      <c r="AJ90" s="26"/>
      <c r="AK90" s="26">
        <v>31</v>
      </c>
      <c r="AL90" s="26">
        <v>0</v>
      </c>
      <c r="AM90" s="26">
        <v>0</v>
      </c>
      <c r="AN90" s="26">
        <v>0</v>
      </c>
      <c r="AO90" s="26">
        <f>IF(SUM(AL90:AN90)&gt;0,1,0)</f>
        <v>0</v>
      </c>
      <c r="AP90" s="26">
        <f>SUM(AL90:AN90)</f>
        <v>0</v>
      </c>
      <c r="AQ90" s="26"/>
      <c r="AR90" s="26">
        <v>0.52300000000000002</v>
      </c>
      <c r="AS90" s="26">
        <v>0.52300000000000002</v>
      </c>
      <c r="AT90" s="26" t="s">
        <v>212</v>
      </c>
      <c r="AU90" s="26"/>
      <c r="AV90" s="26"/>
      <c r="AW90" s="47">
        <v>1</v>
      </c>
      <c r="AX90" s="47">
        <v>4</v>
      </c>
      <c r="AY90" s="47">
        <f>(28+636+2+18)/0.523</f>
        <v>1307.8393881453155</v>
      </c>
      <c r="AZ90" s="26">
        <v>1</v>
      </c>
      <c r="BA90" s="47">
        <v>3</v>
      </c>
      <c r="BB90" s="47">
        <f>666/0.523</f>
        <v>1273.4225621414914</v>
      </c>
      <c r="BC90" s="26">
        <v>1</v>
      </c>
      <c r="BD90" s="47">
        <v>28</v>
      </c>
      <c r="BE90" s="47">
        <f>28/0.523</f>
        <v>53.537284894837477</v>
      </c>
      <c r="BF90" s="26">
        <v>1</v>
      </c>
      <c r="BG90" s="173">
        <v>636</v>
      </c>
      <c r="BH90" s="47">
        <f>636/0.523</f>
        <v>1216.0611854684512</v>
      </c>
      <c r="BI90" s="26">
        <v>1</v>
      </c>
      <c r="BJ90" s="47">
        <v>2</v>
      </c>
      <c r="BK90" s="47">
        <f>2/0.523</f>
        <v>3.8240917782026767</v>
      </c>
      <c r="BL90" s="26">
        <f>IF(BM90&gt;0,1,0)</f>
        <v>1</v>
      </c>
      <c r="BM90" s="26">
        <f>SUM(BR90,BU90,BX90,CA90,CD90,CG90,CJ90,CM90,CP90)</f>
        <v>1</v>
      </c>
      <c r="BN90" s="26">
        <f>SUM(BW90,BZ90,CC90,CF90,CI90,CL90,CO90,CR90,BT90)</f>
        <v>34.416826003824092</v>
      </c>
      <c r="BO90" s="16">
        <f>IF(BP90&gt;0,1,0)</f>
        <v>1</v>
      </c>
      <c r="BP90" s="16">
        <f>SUM(BU90,BX90,CA90,CD90,BR90)</f>
        <v>1</v>
      </c>
      <c r="BQ90" s="16">
        <f>SUM(BZ90,CC90,CF90,BT90,BW90)</f>
        <v>34.416826003824092</v>
      </c>
      <c r="BR90" s="26">
        <v>0</v>
      </c>
      <c r="BS90" s="47">
        <v>0</v>
      </c>
      <c r="BT90" s="48">
        <f>BS90/AS90</f>
        <v>0</v>
      </c>
      <c r="BU90" s="26">
        <v>0</v>
      </c>
      <c r="BV90" s="47">
        <v>0</v>
      </c>
      <c r="BW90" s="26">
        <f>BV90/AS90</f>
        <v>0</v>
      </c>
      <c r="BX90" s="47">
        <v>1</v>
      </c>
      <c r="BY90" s="47">
        <v>18</v>
      </c>
      <c r="BZ90" s="26">
        <f>BY90/AS90</f>
        <v>34.416826003824092</v>
      </c>
      <c r="CA90" s="47">
        <v>0</v>
      </c>
      <c r="CB90" s="47">
        <v>0</v>
      </c>
      <c r="CC90" s="47">
        <v>0</v>
      </c>
      <c r="CD90" s="48">
        <v>0</v>
      </c>
      <c r="CE90" s="47">
        <v>0</v>
      </c>
      <c r="CF90" s="47">
        <v>0</v>
      </c>
      <c r="CG90" s="47"/>
      <c r="CH90" s="47"/>
      <c r="CI90" s="47"/>
      <c r="CJ90" s="47"/>
      <c r="CK90" s="47"/>
      <c r="CL90" s="47"/>
      <c r="CM90" s="47"/>
      <c r="CN90" s="47"/>
      <c r="CO90" s="47"/>
      <c r="CP90" s="47" t="s">
        <v>123</v>
      </c>
      <c r="CQ90" s="47">
        <v>0</v>
      </c>
      <c r="CR90" s="47">
        <v>0</v>
      </c>
      <c r="CS90" s="26">
        <f>IF(CT90&gt;0,1,0)</f>
        <v>0</v>
      </c>
      <c r="CT90" s="48">
        <f>SUM(CW90,CZ90,DC90)</f>
        <v>0</v>
      </c>
      <c r="CU90" s="48"/>
      <c r="CV90" s="47">
        <v>0</v>
      </c>
      <c r="CW90" s="48">
        <v>0</v>
      </c>
      <c r="CX90" s="47">
        <v>0</v>
      </c>
      <c r="CY90" s="47">
        <v>0</v>
      </c>
      <c r="CZ90" s="26">
        <v>0</v>
      </c>
      <c r="DA90" s="47">
        <v>0</v>
      </c>
      <c r="DB90" s="47">
        <v>0</v>
      </c>
      <c r="DC90" s="26">
        <v>0</v>
      </c>
      <c r="DD90" s="47">
        <v>0</v>
      </c>
      <c r="DE90" s="47">
        <v>0</v>
      </c>
      <c r="DF90" s="16">
        <f>VLOOKUP(K90,'[3]RNA Seq summary tables'!$V$3:$V$99,1,FALSE)</f>
        <v>1556</v>
      </c>
      <c r="DG90" s="16">
        <v>1</v>
      </c>
      <c r="DH90" s="16" t="str">
        <f>VLOOKUP(D90,'[8]Data with duplicates'!$B$1:$J$70,9,FALSE)</f>
        <v>sample.47</v>
      </c>
      <c r="DI90" s="26"/>
      <c r="DJ90" s="26"/>
      <c r="DK90" s="26"/>
      <c r="DL90" s="26"/>
      <c r="DM90" s="26"/>
      <c r="DN90" s="26"/>
      <c r="DO90" s="26"/>
      <c r="DP90" s="26"/>
      <c r="DQ90" s="26"/>
      <c r="DR90" s="26"/>
      <c r="DS90" s="26"/>
      <c r="JP90" s="26"/>
      <c r="JQ90" s="26"/>
      <c r="JR90" s="18"/>
      <c r="JS90" s="18"/>
      <c r="JT90" s="18"/>
      <c r="JU90" s="18"/>
      <c r="JV90" s="18"/>
      <c r="JW90" s="18"/>
      <c r="JX90" s="18"/>
      <c r="JY90" s="18"/>
      <c r="JZ90" s="18"/>
      <c r="KA90" s="18"/>
      <c r="KB90" s="18"/>
    </row>
    <row r="91" spans="1:288" x14ac:dyDescent="0.2">
      <c r="A91" s="29"/>
      <c r="B91" s="29">
        <v>2016</v>
      </c>
      <c r="C91" s="54">
        <v>42614</v>
      </c>
      <c r="D91" s="54" t="str">
        <f>CONCATENATE(J91,"-",C91)</f>
        <v>982-42614</v>
      </c>
      <c r="E91" s="20" t="str">
        <f>CONCATENATE(T91,"-",U91,"-",C91)</f>
        <v>PO1-H8-42614</v>
      </c>
      <c r="F91" s="20" t="s">
        <v>227</v>
      </c>
      <c r="G91" s="54" t="s">
        <v>107</v>
      </c>
      <c r="H91" s="29"/>
      <c r="I91" s="16">
        <v>0</v>
      </c>
      <c r="J91" s="55">
        <v>982</v>
      </c>
      <c r="K91" s="55">
        <v>1574</v>
      </c>
      <c r="L91" s="16">
        <v>1</v>
      </c>
      <c r="M91" s="56">
        <f>VLOOKUP(K91,'[7]MLBS 2016 SNV-nem Coinfection d'!$C$1:$G$238,4,FALSE)</f>
        <v>0</v>
      </c>
      <c r="N91" s="56">
        <v>0</v>
      </c>
      <c r="O91" s="15" t="s">
        <v>119</v>
      </c>
      <c r="P91" s="29" t="s">
        <v>119</v>
      </c>
      <c r="Q91" s="29">
        <v>0</v>
      </c>
      <c r="R91" s="29">
        <v>13</v>
      </c>
      <c r="S91" s="29"/>
      <c r="T91" s="29" t="s">
        <v>112</v>
      </c>
      <c r="U91" s="29" t="s">
        <v>152</v>
      </c>
      <c r="V91" s="29" t="s">
        <v>114</v>
      </c>
      <c r="W91" s="16">
        <f>AI91/AG91</f>
        <v>0.88541666666666663</v>
      </c>
      <c r="X91" s="29" t="s">
        <v>121</v>
      </c>
      <c r="Y91" s="29" t="s">
        <v>110</v>
      </c>
      <c r="Z91" s="29">
        <v>3</v>
      </c>
      <c r="AA91" s="29" t="s">
        <v>161</v>
      </c>
      <c r="AB91" s="29" t="s">
        <v>116</v>
      </c>
      <c r="AC91" s="29" t="s">
        <v>123</v>
      </c>
      <c r="AD91" s="29" t="s">
        <v>116</v>
      </c>
      <c r="AE91" s="29"/>
      <c r="AF91" s="29"/>
      <c r="AG91" s="29">
        <f>AH91-AI91</f>
        <v>96</v>
      </c>
      <c r="AH91" s="29">
        <v>181</v>
      </c>
      <c r="AI91" s="29">
        <v>85</v>
      </c>
      <c r="AJ91" s="29"/>
      <c r="AK91" s="29">
        <v>29</v>
      </c>
      <c r="AL91" s="29">
        <v>0</v>
      </c>
      <c r="AM91" s="29">
        <v>0</v>
      </c>
      <c r="AN91" s="29">
        <v>0</v>
      </c>
      <c r="AO91" s="29">
        <f>IF(SUM(AL91:AN91)&gt;0,1,0)</f>
        <v>0</v>
      </c>
      <c r="AP91" s="29">
        <f>SUM(AL91:AN91)</f>
        <v>0</v>
      </c>
      <c r="AQ91" s="29"/>
      <c r="AR91" s="29">
        <v>0.313</v>
      </c>
      <c r="AS91" s="29">
        <v>0.313</v>
      </c>
      <c r="AT91" s="29" t="s">
        <v>212</v>
      </c>
      <c r="AU91" s="29"/>
      <c r="AV91" s="29"/>
      <c r="AW91" s="57">
        <v>1</v>
      </c>
      <c r="AX91" s="29">
        <v>1</v>
      </c>
      <c r="AY91" s="29">
        <f>58/0.313</f>
        <v>185.30351437699682</v>
      </c>
      <c r="AZ91" s="29">
        <v>0</v>
      </c>
      <c r="BA91" s="29">
        <v>0</v>
      </c>
      <c r="BB91" s="29">
        <v>0</v>
      </c>
      <c r="BC91" s="29">
        <v>0</v>
      </c>
      <c r="BD91" s="29">
        <v>0</v>
      </c>
      <c r="BE91" s="29">
        <v>0</v>
      </c>
      <c r="BF91" s="29">
        <v>0</v>
      </c>
      <c r="BG91" s="58">
        <v>0</v>
      </c>
      <c r="BH91" s="29">
        <v>0</v>
      </c>
      <c r="BI91" s="29">
        <v>0</v>
      </c>
      <c r="BJ91" s="29">
        <v>0</v>
      </c>
      <c r="BK91" s="29">
        <v>0</v>
      </c>
      <c r="BL91" s="29">
        <f>IF(BM91&gt;0,1,0)</f>
        <v>1</v>
      </c>
      <c r="BM91" s="29">
        <f>SUM(BR91,BU91,BX91,CA91,CD91,CG91,CJ91,CM91,CP91)</f>
        <v>1</v>
      </c>
      <c r="BN91" s="29">
        <f>SUM(BW91,BZ91,CC91,CF91,CI91,CL91,CO91,CR91,BT91)</f>
        <v>185.30351437699682</v>
      </c>
      <c r="BO91" s="16">
        <f>IF(BP91&gt;0,1,0)</f>
        <v>1</v>
      </c>
      <c r="BP91" s="16">
        <f>SUM(BU91,BX91,CA91,CD91,BR91)</f>
        <v>1</v>
      </c>
      <c r="BQ91" s="16">
        <f>SUM(BZ91,CC91,CF91,BT91,BW91)</f>
        <v>185.30351437699682</v>
      </c>
      <c r="BR91" s="29">
        <v>0</v>
      </c>
      <c r="BS91" s="29">
        <v>0</v>
      </c>
      <c r="BT91" s="58">
        <f>BS91/AS91</f>
        <v>0</v>
      </c>
      <c r="BU91" s="29">
        <v>0</v>
      </c>
      <c r="BV91" s="29">
        <v>0</v>
      </c>
      <c r="BW91" s="29">
        <f>BV91/AS91</f>
        <v>0</v>
      </c>
      <c r="BX91" s="57">
        <v>1</v>
      </c>
      <c r="BY91" s="29">
        <v>58</v>
      </c>
      <c r="BZ91" s="29">
        <f>BY91/AS91</f>
        <v>185.30351437699682</v>
      </c>
      <c r="CA91" s="57">
        <v>0</v>
      </c>
      <c r="CB91" s="29">
        <v>0</v>
      </c>
      <c r="CC91" s="29">
        <v>0</v>
      </c>
      <c r="CD91" s="58">
        <v>0</v>
      </c>
      <c r="CE91" s="29">
        <v>0</v>
      </c>
      <c r="CF91" s="29">
        <v>0</v>
      </c>
      <c r="CG91" s="29"/>
      <c r="CH91" s="29"/>
      <c r="CI91" s="29"/>
      <c r="CJ91" s="29"/>
      <c r="CK91" s="29"/>
      <c r="CL91" s="29"/>
      <c r="CM91" s="29"/>
      <c r="CN91" s="29"/>
      <c r="CO91" s="29"/>
      <c r="CP91" s="29" t="s">
        <v>123</v>
      </c>
      <c r="CQ91" s="29">
        <v>0</v>
      </c>
      <c r="CR91" s="29">
        <v>0</v>
      </c>
      <c r="CS91" s="29">
        <f>IF(CT91&gt;0,1,0)</f>
        <v>0</v>
      </c>
      <c r="CT91" s="58">
        <f>SUM(CW91,CZ91,DC91)</f>
        <v>0</v>
      </c>
      <c r="CU91" s="58"/>
      <c r="CV91" s="29">
        <v>0</v>
      </c>
      <c r="CW91" s="58">
        <v>0</v>
      </c>
      <c r="CX91" s="29">
        <v>0</v>
      </c>
      <c r="CY91" s="29">
        <v>0</v>
      </c>
      <c r="CZ91" s="29">
        <v>0</v>
      </c>
      <c r="DA91" s="29">
        <v>0</v>
      </c>
      <c r="DB91" s="29">
        <v>0</v>
      </c>
      <c r="DC91" s="29">
        <v>0</v>
      </c>
      <c r="DD91" s="29">
        <v>0</v>
      </c>
      <c r="DE91" s="29">
        <v>0</v>
      </c>
      <c r="DF91" s="16">
        <f>VLOOKUP(K91,'[3]RNA Seq summary tables'!$V$3:$V$99,1,FALSE)</f>
        <v>1574</v>
      </c>
      <c r="DG91" s="16">
        <v>1</v>
      </c>
      <c r="DH91" s="16" t="str">
        <f>VLOOKUP(D91,'[8]Data with duplicates'!$B$1:$J$70,9,FALSE)</f>
        <v>sample.48</v>
      </c>
      <c r="DI91" s="29"/>
      <c r="DJ91" s="29"/>
      <c r="DK91" s="29"/>
      <c r="DL91" s="29"/>
      <c r="DM91" s="29"/>
      <c r="DN91" s="29"/>
      <c r="DO91" s="29"/>
      <c r="DP91" s="29"/>
      <c r="DQ91" s="29"/>
      <c r="DR91" s="29"/>
      <c r="DS91" s="29"/>
    </row>
    <row r="92" spans="1:288" x14ac:dyDescent="0.2">
      <c r="B92" s="16">
        <v>2016</v>
      </c>
      <c r="C92" s="20">
        <v>42545</v>
      </c>
      <c r="D92" s="20" t="str">
        <f>CONCATENATE(J92,"-",C92)</f>
        <v>983-42545</v>
      </c>
      <c r="E92" s="20" t="str">
        <f>CONCATENATE(T92,"-",U92,"-",C92)</f>
        <v>PO2-B1-42545</v>
      </c>
      <c r="F92" s="20" t="s">
        <v>106</v>
      </c>
      <c r="G92" s="20" t="s">
        <v>107</v>
      </c>
      <c r="H92" s="59" t="s">
        <v>197</v>
      </c>
      <c r="I92" s="16">
        <v>0</v>
      </c>
      <c r="J92" s="21">
        <v>983</v>
      </c>
      <c r="K92" s="21">
        <v>1408</v>
      </c>
      <c r="L92" s="18">
        <v>0</v>
      </c>
      <c r="M92" s="15">
        <f>VLOOKUP(K92,'[7]MLBS 2016 SNV-nem Coinfection d'!$C$1:$G$238,4,FALSE)</f>
        <v>0</v>
      </c>
      <c r="N92" s="15">
        <v>0</v>
      </c>
      <c r="O92" s="15" t="s">
        <v>119</v>
      </c>
      <c r="P92" s="16" t="s">
        <v>119</v>
      </c>
      <c r="Q92" s="16">
        <v>0</v>
      </c>
      <c r="R92" s="16" t="s">
        <v>111</v>
      </c>
      <c r="T92" s="16" t="s">
        <v>127</v>
      </c>
      <c r="U92" s="16" t="s">
        <v>113</v>
      </c>
      <c r="V92" s="16" t="s">
        <v>114</v>
      </c>
      <c r="W92" s="16">
        <f>AI92/AG92</f>
        <v>0.88235294117647056</v>
      </c>
      <c r="X92" s="16" t="s">
        <v>121</v>
      </c>
      <c r="Y92" s="16" t="s">
        <v>145</v>
      </c>
      <c r="Z92" s="16">
        <v>1</v>
      </c>
      <c r="AA92" s="16" t="s">
        <v>119</v>
      </c>
      <c r="AB92" s="16" t="s">
        <v>123</v>
      </c>
      <c r="AC92" s="16" t="s">
        <v>123</v>
      </c>
      <c r="AD92" s="16" t="s">
        <v>123</v>
      </c>
      <c r="AG92" s="16">
        <f>AH92-AI92</f>
        <v>68</v>
      </c>
      <c r="AH92" s="16">
        <v>128</v>
      </c>
      <c r="AI92" s="16">
        <v>60</v>
      </c>
      <c r="AK92" s="16">
        <v>11</v>
      </c>
      <c r="AL92" s="16">
        <v>0</v>
      </c>
      <c r="AM92" s="16">
        <v>0</v>
      </c>
      <c r="AN92" s="16">
        <v>0</v>
      </c>
      <c r="AO92" s="16">
        <f>IF(SUM(AL92:AN92)&gt;0,1,0)</f>
        <v>0</v>
      </c>
      <c r="AP92" s="16">
        <f>SUM(AL92:AN92)</f>
        <v>0</v>
      </c>
      <c r="AR92" s="16">
        <v>0.33400000000000002</v>
      </c>
      <c r="AS92" s="16">
        <v>0.33400000000000002</v>
      </c>
      <c r="AT92" s="30" t="s">
        <v>117</v>
      </c>
      <c r="AU92" s="30"/>
      <c r="AW92" s="24">
        <v>1</v>
      </c>
      <c r="AX92" s="18">
        <v>3</v>
      </c>
      <c r="AY92" s="18"/>
      <c r="AZ92" s="18">
        <v>1</v>
      </c>
      <c r="BA92" s="18">
        <v>2</v>
      </c>
      <c r="BB92" s="18"/>
      <c r="BC92" s="18">
        <v>1</v>
      </c>
      <c r="BD92" s="18">
        <v>194</v>
      </c>
      <c r="BE92" s="18">
        <f>BD92/AS92</f>
        <v>580.83832335329339</v>
      </c>
      <c r="BF92" s="18">
        <v>1</v>
      </c>
      <c r="BG92" s="34"/>
      <c r="BH92" s="18"/>
      <c r="BI92" s="18">
        <v>0</v>
      </c>
      <c r="BJ92" s="18">
        <v>0</v>
      </c>
      <c r="BK92" s="18">
        <v>0</v>
      </c>
      <c r="BL92" s="16">
        <f>IF(BM92&gt;0,1,0)</f>
        <v>0</v>
      </c>
      <c r="BM92" s="16">
        <f>SUM(BR92,BU92,BX92,CA92,CD92,CG92,CJ92,CM92,CP92)</f>
        <v>0</v>
      </c>
      <c r="BN92" s="18">
        <f>SUM(BW92,BZ92,CC92,CF92,CI92,CL92,CO92,CR92,BT92)</f>
        <v>0</v>
      </c>
      <c r="BO92" s="18">
        <f>IF(BP92&gt;0,1,0)</f>
        <v>0</v>
      </c>
      <c r="BP92" s="18">
        <f>SUM(BU92,BX92,CA92,CD92,BR92)</f>
        <v>0</v>
      </c>
      <c r="BQ92" s="18">
        <f>SUM(BZ92,CC92,CF92,BT92,BW92)</f>
        <v>0</v>
      </c>
      <c r="BR92" s="18">
        <v>0</v>
      </c>
      <c r="BS92" s="18">
        <v>0</v>
      </c>
      <c r="BT92" s="25">
        <f>BS92/AS92</f>
        <v>0</v>
      </c>
      <c r="BU92" s="18">
        <v>0</v>
      </c>
      <c r="BV92" s="18">
        <v>0</v>
      </c>
      <c r="BW92" s="18">
        <f>BV92/AS92</f>
        <v>0</v>
      </c>
      <c r="BX92" s="18">
        <v>0</v>
      </c>
      <c r="BY92" s="18">
        <v>0</v>
      </c>
      <c r="BZ92" s="18">
        <f>BY92/AS92</f>
        <v>0</v>
      </c>
      <c r="CA92" s="24">
        <v>0</v>
      </c>
      <c r="CB92" s="18">
        <v>0</v>
      </c>
      <c r="CC92" s="18">
        <v>0</v>
      </c>
      <c r="CD92" s="25">
        <v>0</v>
      </c>
      <c r="CE92" s="18">
        <v>0</v>
      </c>
      <c r="CF92" s="18">
        <v>0</v>
      </c>
      <c r="CG92" s="18"/>
      <c r="CH92" s="18"/>
      <c r="CI92" s="18"/>
      <c r="CJ92" s="18"/>
      <c r="CK92" s="18"/>
      <c r="CL92" s="18"/>
      <c r="CM92" s="18"/>
      <c r="CN92" s="18"/>
      <c r="CO92" s="18"/>
      <c r="CP92" s="18" t="s">
        <v>123</v>
      </c>
      <c r="CQ92" s="18">
        <v>0</v>
      </c>
      <c r="CR92" s="18">
        <v>0</v>
      </c>
      <c r="CS92" s="18">
        <f>IF(CT92&gt;0,1,0)</f>
        <v>0</v>
      </c>
      <c r="CT92" s="25">
        <f>SUM(CW92,CZ92,DC92)</f>
        <v>0</v>
      </c>
      <c r="CU92" s="25"/>
      <c r="CV92" s="18">
        <v>0</v>
      </c>
      <c r="CW92" s="25">
        <v>0</v>
      </c>
      <c r="CX92" s="18">
        <v>0</v>
      </c>
      <c r="CY92" s="18">
        <v>0</v>
      </c>
      <c r="CZ92" s="18">
        <v>0</v>
      </c>
      <c r="DA92" s="18">
        <v>0</v>
      </c>
      <c r="DB92" s="18">
        <v>0</v>
      </c>
      <c r="DC92" s="18">
        <v>0</v>
      </c>
      <c r="DD92" s="18">
        <v>0</v>
      </c>
      <c r="DE92" s="18">
        <v>0</v>
      </c>
      <c r="DF92" s="16" t="e">
        <f>VLOOKUP(K92,'[3]RNA Seq summary tables'!$V$3:$V$99,1,FALSE)</f>
        <v>#N/A</v>
      </c>
      <c r="DI92" s="18"/>
      <c r="DJ92" s="18"/>
      <c r="DK92" s="18"/>
      <c r="DL92" s="18"/>
      <c r="DM92" s="18"/>
      <c r="DN92" s="18"/>
      <c r="DO92" s="18"/>
      <c r="DP92" s="18"/>
      <c r="DQ92" s="18"/>
      <c r="DR92" s="18"/>
      <c r="DS92" s="18"/>
    </row>
    <row r="93" spans="1:288" x14ac:dyDescent="0.2">
      <c r="B93" s="16">
        <v>2016</v>
      </c>
      <c r="C93" s="20">
        <v>42559</v>
      </c>
      <c r="D93" s="20" t="str">
        <f>CONCATENATE(J93,"-",C93)</f>
        <v>983-42559</v>
      </c>
      <c r="E93" s="20" t="str">
        <f>CONCATENATE(T93,"-",U93,"-",C93)</f>
        <v>PO2-C1-42559</v>
      </c>
      <c r="F93" s="20" t="s">
        <v>106</v>
      </c>
      <c r="G93" s="20" t="s">
        <v>107</v>
      </c>
      <c r="I93" s="16">
        <v>0</v>
      </c>
      <c r="J93" s="21">
        <v>983</v>
      </c>
      <c r="K93" s="21">
        <v>1465</v>
      </c>
      <c r="L93" s="18">
        <v>0</v>
      </c>
      <c r="M93" s="15">
        <f>VLOOKUP(K93,'[7]MLBS 2016 SNV-nem Coinfection d'!$C$1:$G$238,4,FALSE)</f>
        <v>0</v>
      </c>
      <c r="N93" s="15">
        <v>0</v>
      </c>
      <c r="O93" s="15" t="s">
        <v>119</v>
      </c>
      <c r="P93" s="16" t="s">
        <v>119</v>
      </c>
      <c r="Q93" s="16">
        <v>0</v>
      </c>
      <c r="R93" s="16">
        <v>14</v>
      </c>
      <c r="T93" s="16" t="s">
        <v>127</v>
      </c>
      <c r="U93" s="16" t="s">
        <v>150</v>
      </c>
      <c r="V93" s="16" t="s">
        <v>114</v>
      </c>
      <c r="W93" s="16">
        <f>AI93/AG93</f>
        <v>0.74683544303797467</v>
      </c>
      <c r="X93" s="16" t="s">
        <v>121</v>
      </c>
      <c r="Y93" s="16" t="s">
        <v>122</v>
      </c>
      <c r="Z93" s="16">
        <v>2.2999999999999998</v>
      </c>
      <c r="AA93" s="16" t="s">
        <v>119</v>
      </c>
      <c r="AB93" s="16" t="s">
        <v>123</v>
      </c>
      <c r="AC93" s="16" t="s">
        <v>123</v>
      </c>
      <c r="AD93" s="16" t="s">
        <v>123</v>
      </c>
      <c r="AG93" s="16">
        <f>AH93-AI93</f>
        <v>79</v>
      </c>
      <c r="AH93" s="16">
        <v>138</v>
      </c>
      <c r="AI93" s="16">
        <v>59</v>
      </c>
      <c r="AK93" s="16">
        <v>15.5</v>
      </c>
      <c r="AL93" s="16">
        <v>0</v>
      </c>
      <c r="AM93" s="16">
        <v>0</v>
      </c>
      <c r="AN93" s="16">
        <v>0</v>
      </c>
      <c r="AO93" s="16">
        <f>IF(SUM(AL93:AN93)&gt;0,1,0)</f>
        <v>0</v>
      </c>
      <c r="AP93" s="16">
        <f>SUM(AL93:AN93)</f>
        <v>0</v>
      </c>
      <c r="AQ93" s="16">
        <v>1.718</v>
      </c>
      <c r="AR93" s="16">
        <v>0.24099999999999999</v>
      </c>
      <c r="AS93" s="16">
        <v>0.24099999999999999</v>
      </c>
      <c r="AT93" s="16" t="s">
        <v>124</v>
      </c>
      <c r="AW93" s="22">
        <v>1</v>
      </c>
      <c r="AX93" s="16">
        <v>1</v>
      </c>
      <c r="AY93" s="16">
        <f>4/AS93</f>
        <v>16.597510373443985</v>
      </c>
      <c r="AZ93" s="18">
        <v>1</v>
      </c>
      <c r="BA93" s="16">
        <v>1</v>
      </c>
      <c r="BB93" s="16">
        <f>AY93</f>
        <v>16.597510373443985</v>
      </c>
      <c r="BC93" s="18">
        <v>0</v>
      </c>
      <c r="BD93" s="16">
        <v>0</v>
      </c>
      <c r="BE93" s="16">
        <v>0</v>
      </c>
      <c r="BF93" s="18">
        <v>1</v>
      </c>
      <c r="BG93" s="23">
        <v>4</v>
      </c>
      <c r="BH93" s="16">
        <f>4/AS93</f>
        <v>16.597510373443985</v>
      </c>
      <c r="BI93" s="18">
        <v>0</v>
      </c>
      <c r="BJ93" s="16">
        <v>0</v>
      </c>
      <c r="BK93" s="16">
        <v>0</v>
      </c>
      <c r="BL93" s="16">
        <f>IF(BM93&gt;0,1,0)</f>
        <v>0</v>
      </c>
      <c r="BM93" s="16">
        <f>SUM(BR93,BU93,BX93,CA93,CD93,CG93,CJ93,CM93,CP93)</f>
        <v>0</v>
      </c>
      <c r="BN93" s="16">
        <f>SUM(BW93,BZ93,CC93,CF93,CI93,CL93,CO93,CR93,BT93)</f>
        <v>0</v>
      </c>
      <c r="BO93" s="16">
        <f>IF(BP93&gt;0,1,0)</f>
        <v>0</v>
      </c>
      <c r="BP93" s="16">
        <f>SUM(BU93,BX93,CA93,CD93,BR93)</f>
        <v>0</v>
      </c>
      <c r="BQ93" s="16">
        <f>SUM(BZ93,CC93,CF93,BT93,BW93)</f>
        <v>0</v>
      </c>
      <c r="BR93" s="18">
        <v>0</v>
      </c>
      <c r="BS93" s="16">
        <v>0</v>
      </c>
      <c r="BT93" s="23">
        <f>BS93/AS93</f>
        <v>0</v>
      </c>
      <c r="BU93" s="18">
        <v>0</v>
      </c>
      <c r="BV93" s="16">
        <v>0</v>
      </c>
      <c r="BW93" s="18">
        <f>BV93/AS93</f>
        <v>0</v>
      </c>
      <c r="BX93" s="18">
        <v>0</v>
      </c>
      <c r="BY93" s="16">
        <v>0</v>
      </c>
      <c r="BZ93" s="16">
        <f>BY93/AS93</f>
        <v>0</v>
      </c>
      <c r="CA93" s="24">
        <v>0</v>
      </c>
      <c r="CB93" s="16">
        <v>0</v>
      </c>
      <c r="CC93" s="16">
        <v>0</v>
      </c>
      <c r="CD93" s="25">
        <v>0</v>
      </c>
      <c r="CE93" s="16">
        <v>0</v>
      </c>
      <c r="CF93" s="16">
        <v>0</v>
      </c>
      <c r="CP93" s="16" t="s">
        <v>123</v>
      </c>
      <c r="CQ93" s="16">
        <v>0</v>
      </c>
      <c r="CR93" s="16">
        <v>0</v>
      </c>
      <c r="CS93" s="18">
        <f>IF(CT93&gt;0,1,0)</f>
        <v>0</v>
      </c>
      <c r="CT93" s="25">
        <f>SUM(CW93,CZ93,DC93)</f>
        <v>0</v>
      </c>
      <c r="CU93" s="25"/>
      <c r="CV93" s="16">
        <v>0</v>
      </c>
      <c r="CW93" s="25">
        <v>0</v>
      </c>
      <c r="CX93" s="16">
        <v>0</v>
      </c>
      <c r="CY93" s="16">
        <v>0</v>
      </c>
      <c r="CZ93" s="18">
        <v>0</v>
      </c>
      <c r="DA93" s="16">
        <v>0</v>
      </c>
      <c r="DB93" s="16">
        <v>0</v>
      </c>
      <c r="DC93" s="18">
        <v>0</v>
      </c>
      <c r="DD93" s="16">
        <v>0</v>
      </c>
      <c r="DE93" s="16">
        <v>0</v>
      </c>
      <c r="DF93" s="16" t="e">
        <f>VLOOKUP(K93,'[3]RNA Seq summary tables'!$V$3:$V$99,1,FALSE)</f>
        <v>#N/A</v>
      </c>
    </row>
    <row r="94" spans="1:288" x14ac:dyDescent="0.2">
      <c r="B94" s="16">
        <v>2016</v>
      </c>
      <c r="C94" s="20">
        <v>42548</v>
      </c>
      <c r="D94" s="20" t="str">
        <f>CONCATENATE(J94,"-",C94)</f>
        <v>985-42548</v>
      </c>
      <c r="E94" s="20" t="str">
        <f>CONCATENATE(T94,"-",U94,"-",C94)</f>
        <v>HW2-E8-42548</v>
      </c>
      <c r="F94" s="20" t="s">
        <v>106</v>
      </c>
      <c r="G94" s="20" t="s">
        <v>107</v>
      </c>
      <c r="I94" s="16">
        <v>0</v>
      </c>
      <c r="J94" s="21">
        <v>985</v>
      </c>
      <c r="K94" s="21">
        <v>1427</v>
      </c>
      <c r="L94" s="18">
        <v>0</v>
      </c>
      <c r="M94" s="15">
        <f>VLOOKUP(K94,'[7]MLBS 2016 SNV-nem Coinfection d'!$C$1:$G$238,4,FALSE)</f>
        <v>0</v>
      </c>
      <c r="N94" s="15">
        <v>0</v>
      </c>
      <c r="O94" s="15" t="s">
        <v>119</v>
      </c>
      <c r="P94" s="16" t="s">
        <v>119</v>
      </c>
      <c r="Q94" s="16">
        <v>0</v>
      </c>
      <c r="R94" s="16" t="s">
        <v>111</v>
      </c>
      <c r="T94" s="16" t="s">
        <v>129</v>
      </c>
      <c r="U94" s="16" t="s">
        <v>181</v>
      </c>
      <c r="V94" s="16" t="s">
        <v>114</v>
      </c>
      <c r="W94" s="16">
        <f>AI94/AG94</f>
        <v>0.79518072289156627</v>
      </c>
      <c r="X94" s="16" t="s">
        <v>115</v>
      </c>
      <c r="Y94" s="16" t="s">
        <v>110</v>
      </c>
      <c r="Z94" s="16">
        <v>3</v>
      </c>
      <c r="AE94" s="16" t="s">
        <v>123</v>
      </c>
      <c r="AF94" s="16" t="s">
        <v>123</v>
      </c>
      <c r="AG94" s="16">
        <f>AH94-AI94</f>
        <v>83</v>
      </c>
      <c r="AH94" s="16">
        <v>149</v>
      </c>
      <c r="AI94" s="16">
        <v>66</v>
      </c>
      <c r="AK94" s="16">
        <v>15.5</v>
      </c>
      <c r="AL94" s="16">
        <v>0</v>
      </c>
      <c r="AM94" s="16">
        <v>0</v>
      </c>
      <c r="AN94" s="16">
        <v>0</v>
      </c>
      <c r="AO94" s="16">
        <f>IF(SUM(AL94:AN94)&gt;0,1,0)</f>
        <v>0</v>
      </c>
      <c r="AP94" s="16">
        <f>SUM(AL94:AN94)</f>
        <v>0</v>
      </c>
      <c r="AQ94" s="16">
        <v>1.6759999999999999</v>
      </c>
      <c r="AR94" s="16">
        <v>0.19900000000000001</v>
      </c>
      <c r="AS94" s="16">
        <v>0.19900000000000001</v>
      </c>
      <c r="AT94" s="16" t="s">
        <v>124</v>
      </c>
      <c r="AW94" s="22">
        <v>1</v>
      </c>
      <c r="AY94" s="16">
        <f>1/AS94</f>
        <v>5.0251256281407031</v>
      </c>
      <c r="AZ94" s="18">
        <v>0</v>
      </c>
      <c r="BB94" s="16">
        <v>0</v>
      </c>
      <c r="BC94" s="18">
        <v>0</v>
      </c>
      <c r="BD94" s="16">
        <v>0</v>
      </c>
      <c r="BE94" s="16">
        <v>0</v>
      </c>
      <c r="BF94" s="18">
        <v>0</v>
      </c>
      <c r="BG94" s="23">
        <v>0</v>
      </c>
      <c r="BH94" s="16">
        <v>0</v>
      </c>
      <c r="BI94" s="18">
        <v>0</v>
      </c>
      <c r="BJ94" s="16">
        <v>0</v>
      </c>
      <c r="BK94" s="16">
        <v>0</v>
      </c>
      <c r="BL94" s="16">
        <f>IF(BM94&gt;0,1,0)</f>
        <v>1</v>
      </c>
      <c r="BM94" s="16">
        <f>SUM(BR94,BU94,BX94,CA94,CD94,CG94,CJ94,CM94,CP94)</f>
        <v>1</v>
      </c>
      <c r="BN94" s="16">
        <f>SUM(BW94,BZ94,CC94,CF94,CI94,CL94,CO94,CR94,BT94)</f>
        <v>5.0251256281407031</v>
      </c>
      <c r="BO94" s="16">
        <f>IF(BP94&gt;0,1,0)</f>
        <v>1</v>
      </c>
      <c r="BP94" s="16">
        <f>SUM(BU94,BX94,CA94,CD94,BR94)</f>
        <v>1</v>
      </c>
      <c r="BQ94" s="16">
        <f>SUM(BZ94,CC94,CF94,BT94,BW94)</f>
        <v>5.0251256281407031</v>
      </c>
      <c r="BR94" s="18">
        <v>0</v>
      </c>
      <c r="BS94" s="16">
        <v>0</v>
      </c>
      <c r="BT94" s="23">
        <f>BS94/AS94</f>
        <v>0</v>
      </c>
      <c r="BU94" s="18">
        <v>0</v>
      </c>
      <c r="BV94" s="16">
        <v>0</v>
      </c>
      <c r="BW94" s="18">
        <f>BV94/AS94</f>
        <v>0</v>
      </c>
      <c r="BX94" s="24">
        <v>1</v>
      </c>
      <c r="BY94" s="16">
        <v>1</v>
      </c>
      <c r="BZ94" s="16">
        <f>BY94/AS94</f>
        <v>5.0251256281407031</v>
      </c>
      <c r="CA94" s="24">
        <v>0</v>
      </c>
      <c r="CB94" s="16">
        <v>0</v>
      </c>
      <c r="CC94" s="16">
        <v>0</v>
      </c>
      <c r="CD94" s="25">
        <v>0</v>
      </c>
      <c r="CE94" s="16">
        <v>0</v>
      </c>
      <c r="CF94" s="16">
        <v>0</v>
      </c>
      <c r="CP94" s="16" t="s">
        <v>123</v>
      </c>
      <c r="CQ94" s="16">
        <v>0</v>
      </c>
      <c r="CR94" s="16">
        <v>0</v>
      </c>
      <c r="CS94" s="18">
        <f>IF(CT94&gt;0,1,0)</f>
        <v>0</v>
      </c>
      <c r="CT94" s="25">
        <f>SUM(CW94,CZ94,DC94)</f>
        <v>0</v>
      </c>
      <c r="CU94" s="25"/>
      <c r="CV94" s="16">
        <v>0</v>
      </c>
      <c r="CW94" s="25">
        <v>0</v>
      </c>
      <c r="CX94" s="16">
        <v>0</v>
      </c>
      <c r="CY94" s="16">
        <v>0</v>
      </c>
      <c r="CZ94" s="18">
        <v>0</v>
      </c>
      <c r="DA94" s="16">
        <v>0</v>
      </c>
      <c r="DB94" s="16">
        <v>0</v>
      </c>
      <c r="DC94" s="18">
        <v>0</v>
      </c>
      <c r="DD94" s="16">
        <v>0</v>
      </c>
      <c r="DE94" s="16">
        <v>0</v>
      </c>
      <c r="DF94" s="16" t="e">
        <f>VLOOKUP(K94,'[3]RNA Seq summary tables'!$V$3:$V$99,1,FALSE)</f>
        <v>#N/A</v>
      </c>
    </row>
    <row r="95" spans="1:288" x14ac:dyDescent="0.2">
      <c r="B95" s="16">
        <v>2016</v>
      </c>
      <c r="C95" s="20">
        <v>42549</v>
      </c>
      <c r="D95" s="20" t="str">
        <f>CONCATENATE(J95,"-",C95)</f>
        <v>987-42549</v>
      </c>
      <c r="E95" s="20" t="str">
        <f>CONCATENATE(T95,"-",U95,"-",C95)</f>
        <v>HW1-H6-42549</v>
      </c>
      <c r="F95" s="20" t="s">
        <v>106</v>
      </c>
      <c r="G95" s="20" t="s">
        <v>107</v>
      </c>
      <c r="I95" s="16">
        <v>0</v>
      </c>
      <c r="J95" s="21">
        <v>987</v>
      </c>
      <c r="K95" s="21">
        <v>1434</v>
      </c>
      <c r="L95" s="18">
        <v>0</v>
      </c>
      <c r="M95" s="15">
        <f>VLOOKUP(K95,'[7]MLBS 2016 SNV-nem Coinfection d'!$C$1:$G$238,4,FALSE)</f>
        <v>0</v>
      </c>
      <c r="N95" s="15">
        <v>0</v>
      </c>
      <c r="O95" s="15" t="s">
        <v>119</v>
      </c>
      <c r="P95" s="16" t="s">
        <v>119</v>
      </c>
      <c r="Q95" s="16">
        <v>0</v>
      </c>
      <c r="R95" s="16" t="s">
        <v>111</v>
      </c>
      <c r="T95" s="16" t="s">
        <v>133</v>
      </c>
      <c r="U95" s="16" t="s">
        <v>141</v>
      </c>
      <c r="V95" s="16" t="s">
        <v>114</v>
      </c>
      <c r="W95" s="16">
        <f>AI95/AG95</f>
        <v>0.91666666666666663</v>
      </c>
      <c r="X95" s="16" t="s">
        <v>115</v>
      </c>
      <c r="Y95" s="16" t="s">
        <v>122</v>
      </c>
      <c r="Z95" s="16">
        <v>2.9</v>
      </c>
      <c r="AE95" s="16" t="s">
        <v>116</v>
      </c>
      <c r="AF95" s="16" t="s">
        <v>116</v>
      </c>
      <c r="AG95" s="16">
        <f>AH95-AI95</f>
        <v>84</v>
      </c>
      <c r="AH95" s="16">
        <v>161</v>
      </c>
      <c r="AI95" s="16">
        <v>77</v>
      </c>
      <c r="AK95" s="16">
        <v>18</v>
      </c>
      <c r="AL95" s="16">
        <v>0</v>
      </c>
      <c r="AM95" s="16">
        <v>0</v>
      </c>
      <c r="AN95" s="16">
        <v>0</v>
      </c>
      <c r="AO95" s="16">
        <f>IF(SUM(AL95:AN95)&gt;0,1,0)</f>
        <v>0</v>
      </c>
      <c r="AP95" s="16">
        <f>SUM(AL95:AN95)</f>
        <v>0</v>
      </c>
      <c r="AQ95" s="16">
        <v>1.8360000000000001</v>
      </c>
      <c r="AR95" s="16">
        <v>0.35899999999999999</v>
      </c>
      <c r="AS95" s="16">
        <v>0.35899999999999999</v>
      </c>
      <c r="AT95" s="16" t="s">
        <v>124</v>
      </c>
      <c r="AW95" s="22">
        <v>1</v>
      </c>
      <c r="AY95" s="16">
        <f>(548+5381+101+1+1+57+17)/AS95</f>
        <v>17008.356545961004</v>
      </c>
      <c r="AZ95" s="18">
        <v>1</v>
      </c>
      <c r="BB95" s="16">
        <f>(548+5381+101)/AS95</f>
        <v>16796.657381615598</v>
      </c>
      <c r="BC95" s="16">
        <v>1</v>
      </c>
      <c r="BD95" s="16">
        <v>548</v>
      </c>
      <c r="BE95" s="16">
        <f>548/AS95</f>
        <v>1526.4623955431755</v>
      </c>
      <c r="BF95" s="18">
        <v>1</v>
      </c>
      <c r="BG95" s="23">
        <v>5381</v>
      </c>
      <c r="BH95" s="16">
        <f>5381/AS95</f>
        <v>14988.857938718664</v>
      </c>
      <c r="BI95" s="16">
        <v>1</v>
      </c>
      <c r="BJ95" s="16">
        <v>101</v>
      </c>
      <c r="BK95" s="16">
        <f>101/AS95</f>
        <v>281.33704735376045</v>
      </c>
      <c r="BL95" s="16">
        <f>IF(BM95&gt;0,1,0)</f>
        <v>1</v>
      </c>
      <c r="BM95" s="16">
        <f>SUM(BR95,BU95,BX95,CA95,CD95,CG95,CJ95,CM95,CP95)</f>
        <v>2</v>
      </c>
      <c r="BN95" s="16">
        <f>SUM(BW95,BZ95,CC95,CF95,CI95,CL95,CO95,CR95,BT95)</f>
        <v>5.5710306406685239</v>
      </c>
      <c r="BO95" s="16">
        <f>IF(BP95&gt;0,1,0)</f>
        <v>1</v>
      </c>
      <c r="BP95" s="16">
        <f>SUM(BU95,BX95,CA95,CD95,BR95)</f>
        <v>2</v>
      </c>
      <c r="BQ95" s="16">
        <f>SUM(BZ95,CC95,CF95,BT95,BW95)</f>
        <v>5.5710306406685239</v>
      </c>
      <c r="BR95" s="18">
        <v>1</v>
      </c>
      <c r="BS95" s="16">
        <v>1</v>
      </c>
      <c r="BT95" s="23">
        <f>BS95/AS95</f>
        <v>2.785515320334262</v>
      </c>
      <c r="BU95" s="16">
        <v>0</v>
      </c>
      <c r="BV95" s="16">
        <v>0</v>
      </c>
      <c r="BW95" s="18">
        <f>BV95/AS95</f>
        <v>0</v>
      </c>
      <c r="BX95" s="24">
        <v>0</v>
      </c>
      <c r="BY95" s="16">
        <v>0</v>
      </c>
      <c r="BZ95" s="16">
        <f>BY95/AS95</f>
        <v>0</v>
      </c>
      <c r="CA95" s="16">
        <v>0</v>
      </c>
      <c r="CB95" s="16">
        <v>0</v>
      </c>
      <c r="CC95" s="16">
        <v>0</v>
      </c>
      <c r="CD95" s="23">
        <v>1</v>
      </c>
      <c r="CE95" s="16">
        <v>1</v>
      </c>
      <c r="CF95" s="16">
        <f>1/AS95</f>
        <v>2.785515320334262</v>
      </c>
      <c r="CP95" s="16" t="s">
        <v>123</v>
      </c>
      <c r="CQ95" s="16">
        <v>0</v>
      </c>
      <c r="CR95" s="16">
        <v>0</v>
      </c>
      <c r="CS95" s="18">
        <f>IF(CT95&gt;0,1,0)</f>
        <v>1</v>
      </c>
      <c r="CT95" s="25">
        <f>SUM(CW95,CZ95,DC95)</f>
        <v>2</v>
      </c>
      <c r="CU95" s="25"/>
      <c r="CV95" s="16">
        <f>(57+17)/AS95</f>
        <v>206.12813370473538</v>
      </c>
      <c r="CW95" s="22">
        <v>1</v>
      </c>
      <c r="CX95" s="16">
        <v>57</v>
      </c>
      <c r="CY95" s="16">
        <f>57/AS95</f>
        <v>158.77437325905294</v>
      </c>
      <c r="CZ95" s="16">
        <v>1</v>
      </c>
      <c r="DA95" s="16">
        <v>17</v>
      </c>
      <c r="DB95" s="16">
        <f>17/AS95</f>
        <v>47.353760445682454</v>
      </c>
      <c r="DC95" s="18">
        <v>0</v>
      </c>
      <c r="DD95" s="16">
        <v>0</v>
      </c>
      <c r="DE95" s="16">
        <v>0</v>
      </c>
      <c r="DF95" s="16" t="e">
        <f>VLOOKUP(K95,'[3]RNA Seq summary tables'!$V$3:$V$99,1,FALSE)</f>
        <v>#N/A</v>
      </c>
    </row>
    <row r="96" spans="1:288" x14ac:dyDescent="0.2">
      <c r="B96" s="16">
        <v>2016</v>
      </c>
      <c r="C96" s="20">
        <v>42551</v>
      </c>
      <c r="D96" s="20" t="str">
        <f>CONCATENATE(J96,"-",C96)</f>
        <v>988-42551</v>
      </c>
      <c r="E96" s="20" t="str">
        <f>CONCATENATE(T96,"-",U96,"-",C96)</f>
        <v>SP2-H7-42551</v>
      </c>
      <c r="F96" s="20" t="s">
        <v>106</v>
      </c>
      <c r="G96" s="20" t="s">
        <v>107</v>
      </c>
      <c r="I96" s="16">
        <v>0</v>
      </c>
      <c r="J96" s="21">
        <v>988</v>
      </c>
      <c r="K96" s="21">
        <v>1447</v>
      </c>
      <c r="L96" s="18">
        <v>0</v>
      </c>
      <c r="M96" s="15">
        <f>VLOOKUP(K96,'[7]MLBS 2016 SNV-nem Coinfection d'!$C$1:$G$238,4,FALSE)</f>
        <v>0</v>
      </c>
      <c r="N96" s="15">
        <v>0</v>
      </c>
      <c r="O96" s="15" t="s">
        <v>119</v>
      </c>
      <c r="P96" s="16" t="s">
        <v>119</v>
      </c>
      <c r="Q96" s="16">
        <v>0</v>
      </c>
      <c r="R96" s="16" t="s">
        <v>111</v>
      </c>
      <c r="T96" s="16" t="s">
        <v>137</v>
      </c>
      <c r="U96" s="16" t="s">
        <v>202</v>
      </c>
      <c r="V96" s="16" t="s">
        <v>114</v>
      </c>
      <c r="W96" s="16">
        <f>AI96/AG96</f>
        <v>0.89855072463768115</v>
      </c>
      <c r="X96" s="16" t="s">
        <v>115</v>
      </c>
      <c r="Y96" s="16" t="s">
        <v>122</v>
      </c>
      <c r="Z96" s="16">
        <v>2.2999999999999998</v>
      </c>
      <c r="AE96" s="16" t="s">
        <v>123</v>
      </c>
      <c r="AF96" s="16" t="s">
        <v>123</v>
      </c>
      <c r="AG96" s="16">
        <f>AH96-AI96</f>
        <v>69</v>
      </c>
      <c r="AH96" s="16">
        <v>131</v>
      </c>
      <c r="AI96" s="16">
        <v>62</v>
      </c>
      <c r="AK96" s="16">
        <v>10.5</v>
      </c>
      <c r="AL96" s="16">
        <v>1</v>
      </c>
      <c r="AM96" s="16">
        <v>0</v>
      </c>
      <c r="AN96" s="16">
        <v>0</v>
      </c>
      <c r="AO96" s="16">
        <f>IF(SUM(AL96:AN96)&gt;0,1,0)</f>
        <v>1</v>
      </c>
      <c r="AP96" s="16">
        <f>SUM(AL96:AN96)</f>
        <v>1</v>
      </c>
      <c r="AR96" s="16">
        <v>8.7999999999999995E-2</v>
      </c>
      <c r="AS96" s="16">
        <v>8.7999999999999995E-2</v>
      </c>
      <c r="AT96" s="18" t="s">
        <v>117</v>
      </c>
      <c r="AU96" s="18"/>
      <c r="AV96" s="16">
        <v>1</v>
      </c>
      <c r="AW96" s="18">
        <v>0</v>
      </c>
      <c r="AX96" s="16">
        <v>0</v>
      </c>
      <c r="AY96" s="16">
        <v>0</v>
      </c>
      <c r="AZ96" s="18">
        <v>0</v>
      </c>
      <c r="BA96" s="16">
        <v>0</v>
      </c>
      <c r="BB96" s="16">
        <v>0</v>
      </c>
      <c r="BC96" s="18">
        <v>0</v>
      </c>
      <c r="BD96" s="16">
        <v>0</v>
      </c>
      <c r="BE96" s="16">
        <v>0</v>
      </c>
      <c r="BF96" s="18">
        <v>0</v>
      </c>
      <c r="BG96" s="23">
        <v>0</v>
      </c>
      <c r="BH96" s="16">
        <v>0</v>
      </c>
      <c r="BI96" s="18">
        <v>0</v>
      </c>
      <c r="BJ96" s="16">
        <v>0</v>
      </c>
      <c r="BK96" s="16">
        <v>0</v>
      </c>
      <c r="BL96" s="16">
        <f>IF(BM96&gt;0,1,0)</f>
        <v>0</v>
      </c>
      <c r="BM96" s="16">
        <f>SUM(BR96,BU96,BX96,CA96,CD96,CG96,CJ96,CM96,CP96)</f>
        <v>0</v>
      </c>
      <c r="BN96" s="16">
        <f>SUM(BW96,BZ96,CC96,CF96,CI96,CL96,CO96,CR96,BT96)</f>
        <v>0</v>
      </c>
      <c r="BO96" s="16">
        <f>IF(BP96&gt;0,1,0)</f>
        <v>0</v>
      </c>
      <c r="BP96" s="16">
        <f>SUM(BU96,BX96,CA96,CD96,BR96)</f>
        <v>0</v>
      </c>
      <c r="BQ96" s="16">
        <f>SUM(BZ96,CC96,CF96,BT96,BW96)</f>
        <v>0</v>
      </c>
      <c r="BR96" s="18">
        <v>0</v>
      </c>
      <c r="BS96" s="16">
        <v>0</v>
      </c>
      <c r="BT96" s="23">
        <f>BS96/AS96</f>
        <v>0</v>
      </c>
      <c r="BU96" s="18">
        <v>0</v>
      </c>
      <c r="BV96" s="16">
        <v>0</v>
      </c>
      <c r="BW96" s="18">
        <f>BV96/AS96</f>
        <v>0</v>
      </c>
      <c r="BX96" s="18">
        <v>0</v>
      </c>
      <c r="BY96" s="16">
        <v>0</v>
      </c>
      <c r="BZ96" s="16">
        <f>BY96/AS96</f>
        <v>0</v>
      </c>
      <c r="CA96" s="24">
        <v>0</v>
      </c>
      <c r="CB96" s="16">
        <v>0</v>
      </c>
      <c r="CC96" s="16">
        <v>0</v>
      </c>
      <c r="CD96" s="25">
        <v>0</v>
      </c>
      <c r="CE96" s="16">
        <v>0</v>
      </c>
      <c r="CF96" s="16">
        <v>0</v>
      </c>
      <c r="CP96" s="16" t="s">
        <v>123</v>
      </c>
      <c r="CQ96" s="16">
        <v>0</v>
      </c>
      <c r="CR96" s="16">
        <v>0</v>
      </c>
      <c r="CS96" s="18">
        <f>IF(CT96&gt;0,1,0)</f>
        <v>0</v>
      </c>
      <c r="CT96" s="25">
        <f>SUM(CW96,CZ96,DC96)</f>
        <v>0</v>
      </c>
      <c r="CU96" s="25"/>
      <c r="CV96" s="16">
        <v>0</v>
      </c>
      <c r="CW96" s="25">
        <v>0</v>
      </c>
      <c r="CX96" s="16">
        <v>0</v>
      </c>
      <c r="CY96" s="16">
        <v>0</v>
      </c>
      <c r="CZ96" s="18">
        <v>0</v>
      </c>
      <c r="DA96" s="16">
        <v>0</v>
      </c>
      <c r="DB96" s="16">
        <v>0</v>
      </c>
      <c r="DC96" s="18">
        <v>0</v>
      </c>
      <c r="DD96" s="16">
        <v>0</v>
      </c>
      <c r="DE96" s="16">
        <v>0</v>
      </c>
      <c r="DF96" s="16" t="e">
        <f>VLOOKUP(K96,'[3]RNA Seq summary tables'!$V$3:$V$99,1,FALSE)</f>
        <v>#N/A</v>
      </c>
    </row>
    <row r="97" spans="1:288" x14ac:dyDescent="0.2">
      <c r="B97" s="16">
        <v>2016</v>
      </c>
      <c r="C97" s="43">
        <v>42565</v>
      </c>
      <c r="D97" s="43" t="str">
        <f>CONCATENATE(J97,"-",C97)</f>
        <v>988-42565</v>
      </c>
      <c r="E97" s="20" t="str">
        <f>CONCATENATE(T97,"-",U97,"-",C97)</f>
        <v>SP1-C6-42565</v>
      </c>
      <c r="F97" s="20" t="s">
        <v>106</v>
      </c>
      <c r="G97" s="43" t="s">
        <v>107</v>
      </c>
      <c r="H97" s="23"/>
      <c r="I97" s="16">
        <v>0</v>
      </c>
      <c r="J97" s="15">
        <v>988</v>
      </c>
      <c r="K97" s="15">
        <v>1479</v>
      </c>
      <c r="L97" s="18">
        <v>0</v>
      </c>
      <c r="M97" s="15">
        <f>VLOOKUP(K97,'[7]MLBS 2016 SNV-nem Coinfection d'!$C$1:$G$238,4,FALSE)</f>
        <v>0</v>
      </c>
      <c r="N97" s="15">
        <v>0</v>
      </c>
      <c r="O97" s="15" t="s">
        <v>119</v>
      </c>
      <c r="P97" s="23" t="s">
        <v>119</v>
      </c>
      <c r="Q97" s="16">
        <v>0</v>
      </c>
      <c r="R97" s="23">
        <v>14</v>
      </c>
      <c r="S97" s="23"/>
      <c r="T97" s="23" t="s">
        <v>140</v>
      </c>
      <c r="U97" s="23" t="s">
        <v>213</v>
      </c>
      <c r="V97" s="23" t="s">
        <v>114</v>
      </c>
      <c r="W97" s="16">
        <f>AI97/AG97</f>
        <v>0.8441558441558441</v>
      </c>
      <c r="X97" s="23" t="s">
        <v>115</v>
      </c>
      <c r="Y97" s="23" t="s">
        <v>110</v>
      </c>
      <c r="Z97" s="23">
        <v>3</v>
      </c>
      <c r="AA97" s="23"/>
      <c r="AB97" s="23"/>
      <c r="AC97" s="23"/>
      <c r="AD97" s="23"/>
      <c r="AE97" s="23" t="s">
        <v>116</v>
      </c>
      <c r="AF97" s="23" t="s">
        <v>214</v>
      </c>
      <c r="AG97" s="23">
        <v>77</v>
      </c>
      <c r="AH97" s="23">
        <v>142</v>
      </c>
      <c r="AI97" s="23">
        <v>65</v>
      </c>
      <c r="AJ97" s="23"/>
      <c r="AK97" s="23">
        <v>14</v>
      </c>
      <c r="AL97" s="23">
        <v>0</v>
      </c>
      <c r="AM97" s="23">
        <v>0</v>
      </c>
      <c r="AN97" s="23">
        <v>0</v>
      </c>
      <c r="AO97" s="23">
        <f>IF(SUM(AL97:AN97)&gt;0,1,0)</f>
        <v>0</v>
      </c>
      <c r="AP97" s="23">
        <f>SUM(AL97:AN97)</f>
        <v>0</v>
      </c>
      <c r="AQ97" s="23">
        <f>1.477+AS97</f>
        <v>1.621</v>
      </c>
      <c r="AR97" s="23">
        <v>0.14399999999999999</v>
      </c>
      <c r="AS97" s="23">
        <v>0.14399999999999999</v>
      </c>
      <c r="AT97" s="23" t="s">
        <v>124</v>
      </c>
      <c r="AU97" s="23"/>
      <c r="AV97" s="23"/>
      <c r="AW97" s="50">
        <v>1</v>
      </c>
      <c r="AX97" s="23">
        <v>1</v>
      </c>
      <c r="AY97" s="23">
        <f>42/AS97</f>
        <v>291.66666666666669</v>
      </c>
      <c r="AZ97" s="18">
        <v>0</v>
      </c>
      <c r="BA97" s="23">
        <v>0</v>
      </c>
      <c r="BB97" s="23">
        <v>0</v>
      </c>
      <c r="BC97" s="18">
        <v>0</v>
      </c>
      <c r="BD97" s="23">
        <v>0</v>
      </c>
      <c r="BE97" s="23">
        <v>0</v>
      </c>
      <c r="BF97" s="18">
        <v>0</v>
      </c>
      <c r="BG97" s="23">
        <v>0</v>
      </c>
      <c r="BH97" s="23">
        <v>0</v>
      </c>
      <c r="BI97" s="18">
        <v>0</v>
      </c>
      <c r="BJ97" s="23">
        <v>0</v>
      </c>
      <c r="BK97" s="23">
        <v>0</v>
      </c>
      <c r="BL97" s="16">
        <f>IF(BM97&gt;0,1,0)</f>
        <v>1</v>
      </c>
      <c r="BM97" s="16">
        <f>SUM(BR97,BU97,BX97,CA97,CD97,CG97,CJ97,CM97,CP97)</f>
        <v>1</v>
      </c>
      <c r="BN97" s="16">
        <f>SUM(BW97,BZ97,CC97,CF97,CI97,CL97,CO97,CR97,BT97)</f>
        <v>291.66666666666669</v>
      </c>
      <c r="BO97" s="16">
        <f>IF(BP97&gt;0,1,0)</f>
        <v>1</v>
      </c>
      <c r="BP97" s="16">
        <f>SUM(BU97,BX97,CA97,CD97,BR97)</f>
        <v>1</v>
      </c>
      <c r="BQ97" s="16">
        <f>SUM(BZ97,CC97,CF97,BT97,BW97)</f>
        <v>291.66666666666669</v>
      </c>
      <c r="BR97" s="18">
        <v>0</v>
      </c>
      <c r="BS97" s="23">
        <v>0</v>
      </c>
      <c r="BT97" s="23">
        <f>BS97/AS97</f>
        <v>0</v>
      </c>
      <c r="BU97" s="18">
        <v>0</v>
      </c>
      <c r="BV97" s="23">
        <v>0</v>
      </c>
      <c r="BW97" s="18">
        <f>BV97/AS97</f>
        <v>0</v>
      </c>
      <c r="BX97" s="24">
        <v>1</v>
      </c>
      <c r="BY97" s="23">
        <v>42</v>
      </c>
      <c r="BZ97" s="16">
        <f>BY97/AS97</f>
        <v>291.66666666666669</v>
      </c>
      <c r="CA97" s="24">
        <v>0</v>
      </c>
      <c r="CB97" s="23">
        <v>0</v>
      </c>
      <c r="CC97" s="23">
        <v>0</v>
      </c>
      <c r="CD97" s="25">
        <v>0</v>
      </c>
      <c r="CE97" s="23">
        <v>0</v>
      </c>
      <c r="CF97" s="23">
        <v>0</v>
      </c>
      <c r="CG97" s="23"/>
      <c r="CH97" s="23"/>
      <c r="CI97" s="23"/>
      <c r="CJ97" s="23"/>
      <c r="CK97" s="23"/>
      <c r="CL97" s="23"/>
      <c r="CM97" s="23"/>
      <c r="CN97" s="23"/>
      <c r="CO97" s="23"/>
      <c r="CP97" s="23" t="s">
        <v>123</v>
      </c>
      <c r="CQ97" s="23">
        <v>0</v>
      </c>
      <c r="CR97" s="23">
        <v>0</v>
      </c>
      <c r="CS97" s="18">
        <f>IF(CT97&gt;0,1,0)</f>
        <v>0</v>
      </c>
      <c r="CT97" s="25">
        <f>SUM(CW97,CZ97,DC97)</f>
        <v>0</v>
      </c>
      <c r="CU97" s="25"/>
      <c r="CV97" s="23">
        <v>0</v>
      </c>
      <c r="CW97" s="25">
        <v>0</v>
      </c>
      <c r="CX97" s="23">
        <v>0</v>
      </c>
      <c r="CY97" s="23">
        <v>0</v>
      </c>
      <c r="CZ97" s="25">
        <v>0</v>
      </c>
      <c r="DA97" s="23">
        <v>0</v>
      </c>
      <c r="DB97" s="23">
        <v>0</v>
      </c>
      <c r="DC97" s="25">
        <v>0</v>
      </c>
      <c r="DD97" s="23">
        <v>0</v>
      </c>
      <c r="DE97" s="23">
        <v>0</v>
      </c>
      <c r="DF97" s="16" t="e">
        <f>VLOOKUP(K97,'[3]RNA Seq summary tables'!$V$3:$V$99,1,FALSE)</f>
        <v>#N/A</v>
      </c>
      <c r="DI97" s="23"/>
      <c r="DJ97" s="23"/>
      <c r="DK97" s="23"/>
      <c r="DL97" s="23"/>
      <c r="DM97" s="23"/>
      <c r="DN97" s="23"/>
      <c r="DO97" s="23"/>
      <c r="DP97" s="23"/>
      <c r="DQ97" s="23"/>
      <c r="DR97" s="23"/>
      <c r="DS97" s="23"/>
      <c r="DT97" s="25"/>
      <c r="DU97" s="25"/>
      <c r="DV97" s="25"/>
      <c r="DW97" s="25"/>
      <c r="DX97" s="25"/>
      <c r="DY97" s="25"/>
      <c r="DZ97" s="25"/>
      <c r="EA97" s="25"/>
      <c r="EB97" s="25"/>
      <c r="EC97" s="25"/>
      <c r="ED97" s="25"/>
      <c r="EE97" s="25"/>
      <c r="JO97" s="26"/>
    </row>
    <row r="98" spans="1:288" x14ac:dyDescent="0.2">
      <c r="B98" s="16">
        <v>2016</v>
      </c>
      <c r="C98" s="37">
        <v>42579</v>
      </c>
      <c r="D98" s="37" t="str">
        <f>CONCATENATE(J98,"-",C98)</f>
        <v>988-42579</v>
      </c>
      <c r="E98" s="20" t="str">
        <f>CONCATENATE(T98,"-",U98,"-",C98)</f>
        <v>SP2-H5-42579</v>
      </c>
      <c r="F98" s="20" t="s">
        <v>106</v>
      </c>
      <c r="G98" s="20" t="s">
        <v>107</v>
      </c>
      <c r="H98" s="18"/>
      <c r="I98" s="16">
        <v>0</v>
      </c>
      <c r="J98" s="36">
        <v>988</v>
      </c>
      <c r="K98" s="36">
        <v>1519</v>
      </c>
      <c r="L98" s="18">
        <v>0</v>
      </c>
      <c r="M98" s="15">
        <f>VLOOKUP(K98,'[7]MLBS 2016 SNV-nem Coinfection d'!$C$1:$G$238,4,FALSE)</f>
        <v>0</v>
      </c>
      <c r="N98" s="15">
        <v>0</v>
      </c>
      <c r="O98" s="15" t="s">
        <v>119</v>
      </c>
      <c r="P98" s="18" t="s">
        <v>119</v>
      </c>
      <c r="Q98" s="16">
        <v>0</v>
      </c>
      <c r="R98" s="18">
        <v>14</v>
      </c>
      <c r="S98" s="18"/>
      <c r="T98" s="18" t="s">
        <v>137</v>
      </c>
      <c r="U98" s="18" t="s">
        <v>180</v>
      </c>
      <c r="V98" s="18" t="s">
        <v>114</v>
      </c>
      <c r="W98" s="16">
        <f>AI98/AG98</f>
        <v>0.86250000000000004</v>
      </c>
      <c r="X98" s="18" t="s">
        <v>115</v>
      </c>
      <c r="Y98" s="18" t="s">
        <v>110</v>
      </c>
      <c r="Z98" s="18">
        <v>3</v>
      </c>
      <c r="AA98" s="18"/>
      <c r="AB98" s="18"/>
      <c r="AC98" s="18"/>
      <c r="AD98" s="18"/>
      <c r="AE98" s="18" t="s">
        <v>123</v>
      </c>
      <c r="AF98" s="18" t="s">
        <v>123</v>
      </c>
      <c r="AG98" s="18">
        <f>AH98-AI98</f>
        <v>80</v>
      </c>
      <c r="AH98" s="18">
        <v>149</v>
      </c>
      <c r="AI98" s="18">
        <v>69</v>
      </c>
      <c r="AJ98" s="18"/>
      <c r="AK98" s="18">
        <v>15</v>
      </c>
      <c r="AL98" s="16">
        <v>0</v>
      </c>
      <c r="AM98" s="16">
        <v>0</v>
      </c>
      <c r="AN98" s="16">
        <v>0</v>
      </c>
      <c r="AO98" s="16">
        <f>IF(SUM(AL98:AN98)&gt;0,1,0)</f>
        <v>0</v>
      </c>
      <c r="AP98" s="16">
        <f>SUM(AL98:AN98)</f>
        <v>0</v>
      </c>
      <c r="AQ98" s="18"/>
      <c r="AR98" s="18">
        <v>0.25600000000000001</v>
      </c>
      <c r="AS98" s="18">
        <v>0.25600000000000001</v>
      </c>
      <c r="AT98" s="18" t="s">
        <v>212</v>
      </c>
      <c r="AU98" s="18"/>
      <c r="AV98" s="18"/>
      <c r="AW98" s="22">
        <v>1</v>
      </c>
      <c r="AX98" s="18">
        <v>1</v>
      </c>
      <c r="AY98" s="18">
        <f>6/0.256</f>
        <v>23.4375</v>
      </c>
      <c r="AZ98" s="18">
        <v>0</v>
      </c>
      <c r="BA98" s="18">
        <v>0</v>
      </c>
      <c r="BB98" s="18">
        <v>0</v>
      </c>
      <c r="BC98" s="18">
        <v>0</v>
      </c>
      <c r="BD98" s="18">
        <v>0</v>
      </c>
      <c r="BE98" s="18">
        <v>0</v>
      </c>
      <c r="BF98" s="18">
        <v>0</v>
      </c>
      <c r="BG98" s="25">
        <v>0</v>
      </c>
      <c r="BH98" s="18">
        <v>0</v>
      </c>
      <c r="BI98" s="18">
        <v>0</v>
      </c>
      <c r="BJ98" s="18">
        <v>0</v>
      </c>
      <c r="BK98" s="18">
        <v>0</v>
      </c>
      <c r="BL98" s="16">
        <f>IF(BM98&gt;0,1,0)</f>
        <v>1</v>
      </c>
      <c r="BM98" s="16">
        <f>SUM(BR98,BU98,BX98,CA98,CD98,CG98,CJ98,CM98,CP98)</f>
        <v>1</v>
      </c>
      <c r="BN98" s="16">
        <f>SUM(BW98,BZ98,CC98,CF98,CI98,CL98,CO98,CR98,BT98)</f>
        <v>23.4375</v>
      </c>
      <c r="BO98" s="16">
        <f>IF(BP98&gt;0,1,0)</f>
        <v>1</v>
      </c>
      <c r="BP98" s="16">
        <f>SUM(BU98,BX98,CA98,CD98,BR98)</f>
        <v>1</v>
      </c>
      <c r="BQ98" s="16">
        <f>SUM(BZ98,CC98,CF98,BT98,BW98)</f>
        <v>23.4375</v>
      </c>
      <c r="BR98" s="18">
        <v>0</v>
      </c>
      <c r="BS98" s="18">
        <v>0</v>
      </c>
      <c r="BT98" s="23">
        <f>BS98/AS98</f>
        <v>0</v>
      </c>
      <c r="BU98" s="18">
        <v>0</v>
      </c>
      <c r="BV98" s="18">
        <v>0</v>
      </c>
      <c r="BW98" s="18">
        <f>BV98/AS98</f>
        <v>0</v>
      </c>
      <c r="BX98" s="24">
        <v>1</v>
      </c>
      <c r="BY98" s="18">
        <v>6</v>
      </c>
      <c r="BZ98" s="16">
        <f>BY98/AS98</f>
        <v>23.4375</v>
      </c>
      <c r="CA98" s="24">
        <v>0</v>
      </c>
      <c r="CB98" s="18">
        <v>0</v>
      </c>
      <c r="CC98" s="18">
        <v>0</v>
      </c>
      <c r="CD98" s="25">
        <v>0</v>
      </c>
      <c r="CE98" s="18">
        <v>0</v>
      </c>
      <c r="CF98" s="18">
        <v>0</v>
      </c>
      <c r="CG98" s="18"/>
      <c r="CH98" s="18"/>
      <c r="CI98" s="18"/>
      <c r="CJ98" s="18"/>
      <c r="CK98" s="18"/>
      <c r="CL98" s="18"/>
      <c r="CM98" s="18"/>
      <c r="CN98" s="18"/>
      <c r="CO98" s="18"/>
      <c r="CP98" s="18" t="s">
        <v>123</v>
      </c>
      <c r="CQ98" s="18">
        <v>0</v>
      </c>
      <c r="CR98" s="18">
        <v>0</v>
      </c>
      <c r="CS98" s="18">
        <f>IF(CT98&gt;0,1,0)</f>
        <v>0</v>
      </c>
      <c r="CT98" s="25">
        <f>SUM(CW98,CZ98,DC98)</f>
        <v>0</v>
      </c>
      <c r="CU98" s="25"/>
      <c r="CV98" s="18">
        <v>0</v>
      </c>
      <c r="CW98" s="25">
        <v>0</v>
      </c>
      <c r="CX98" s="18">
        <v>0</v>
      </c>
      <c r="CY98" s="18">
        <v>0</v>
      </c>
      <c r="CZ98" s="18">
        <v>0</v>
      </c>
      <c r="DA98" s="18">
        <v>0</v>
      </c>
      <c r="DB98" s="18">
        <v>0</v>
      </c>
      <c r="DC98" s="18">
        <v>0</v>
      </c>
      <c r="DD98" s="18">
        <v>0</v>
      </c>
      <c r="DE98" s="18">
        <v>0</v>
      </c>
      <c r="DF98" s="16" t="e">
        <f>VLOOKUP(K98,'[3]RNA Seq summary tables'!$V$3:$V$99,1,FALSE)</f>
        <v>#N/A</v>
      </c>
      <c r="DI98" s="18"/>
      <c r="DJ98" s="18"/>
      <c r="DK98" s="18"/>
      <c r="DL98" s="18"/>
      <c r="DM98" s="18"/>
      <c r="DN98" s="18"/>
      <c r="DO98" s="18"/>
      <c r="DP98" s="18"/>
      <c r="DQ98" s="18"/>
      <c r="DR98" s="18"/>
      <c r="DS98" s="18"/>
    </row>
    <row r="99" spans="1:288" x14ac:dyDescent="0.2">
      <c r="B99" s="16">
        <v>2016</v>
      </c>
      <c r="C99" s="20">
        <v>42595</v>
      </c>
      <c r="D99" s="20" t="str">
        <f>CONCATENATE(J99,"-",C99)</f>
        <v>988-42595</v>
      </c>
      <c r="E99" s="20" t="str">
        <f>CONCATENATE(T99,"-",U99,"-",C99)</f>
        <v>SP1-G8-42595</v>
      </c>
      <c r="F99" s="20" t="s">
        <v>227</v>
      </c>
      <c r="G99" s="20" t="s">
        <v>107</v>
      </c>
      <c r="I99" s="16">
        <v>0</v>
      </c>
      <c r="J99" s="21">
        <v>988</v>
      </c>
      <c r="K99" s="21">
        <v>1550</v>
      </c>
      <c r="L99" s="16">
        <v>1</v>
      </c>
      <c r="M99" s="15">
        <f>VLOOKUP(K99,'[7]MLBS 2016 SNV-nem Coinfection d'!$C$1:$G$238,4,FALSE)</f>
        <v>0</v>
      </c>
      <c r="N99" s="15">
        <v>0</v>
      </c>
      <c r="O99" s="15" t="s">
        <v>119</v>
      </c>
      <c r="P99" s="16" t="s">
        <v>119</v>
      </c>
      <c r="Q99" s="16">
        <v>0</v>
      </c>
      <c r="R99" s="16">
        <v>16</v>
      </c>
      <c r="T99" s="16" t="s">
        <v>140</v>
      </c>
      <c r="U99" s="16" t="s">
        <v>216</v>
      </c>
      <c r="V99" s="16" t="s">
        <v>114</v>
      </c>
      <c r="W99" s="16">
        <f>AI99/AG99</f>
        <v>0.92207792207792205</v>
      </c>
      <c r="X99" s="16" t="s">
        <v>115</v>
      </c>
      <c r="Y99" s="16" t="s">
        <v>110</v>
      </c>
      <c r="Z99" s="16">
        <v>3</v>
      </c>
      <c r="AE99" s="16" t="s">
        <v>116</v>
      </c>
      <c r="AF99" s="16" t="s">
        <v>116</v>
      </c>
      <c r="AG99" s="16">
        <f>AH99-AI99</f>
        <v>77</v>
      </c>
      <c r="AH99" s="16">
        <v>148</v>
      </c>
      <c r="AI99" s="16">
        <v>71</v>
      </c>
      <c r="AK99" s="16">
        <v>17</v>
      </c>
      <c r="AL99" s="16">
        <v>0</v>
      </c>
      <c r="AM99" s="16">
        <v>0</v>
      </c>
      <c r="AN99" s="16">
        <v>0</v>
      </c>
      <c r="AO99" s="16">
        <f>IF(SUM(AL99:AN99)&gt;0,1,0)</f>
        <v>0</v>
      </c>
      <c r="AP99" s="16">
        <f>SUM(AL99:AN99)</f>
        <v>0</v>
      </c>
      <c r="AQ99" s="16">
        <v>1.577</v>
      </c>
      <c r="AR99" s="16">
        <v>0.1</v>
      </c>
      <c r="AS99" s="16">
        <v>0.1</v>
      </c>
      <c r="AT99" s="16" t="s">
        <v>205</v>
      </c>
      <c r="AW99" s="22">
        <v>1</v>
      </c>
      <c r="AX99" s="16">
        <v>4</v>
      </c>
      <c r="AY99" s="16">
        <f>(457+2340+26+221)/AS99</f>
        <v>30440</v>
      </c>
      <c r="AZ99" s="18">
        <v>1</v>
      </c>
      <c r="BA99" s="16">
        <v>3</v>
      </c>
      <c r="BB99" s="16">
        <f>(457+2340+26)/AS99</f>
        <v>28230</v>
      </c>
      <c r="BC99" s="16">
        <v>1</v>
      </c>
      <c r="BD99" s="16">
        <v>457</v>
      </c>
      <c r="BE99" s="16">
        <f>457/AS99</f>
        <v>4570</v>
      </c>
      <c r="BF99" s="18">
        <v>1</v>
      </c>
      <c r="BG99" s="23">
        <v>2340</v>
      </c>
      <c r="BH99" s="16">
        <f>2340/AS99</f>
        <v>23400</v>
      </c>
      <c r="BI99" s="16">
        <v>1</v>
      </c>
      <c r="BJ99" s="16">
        <v>26</v>
      </c>
      <c r="BK99" s="16">
        <f>26/AS99</f>
        <v>260</v>
      </c>
      <c r="BL99" s="16">
        <f>IF(BM99&gt;0,1,0)</f>
        <v>1</v>
      </c>
      <c r="BM99" s="16">
        <f>SUM(BR99,BU99,BX99,CA99,CD99,CG99,CJ99,CM99,CP99)</f>
        <v>1</v>
      </c>
      <c r="BN99" s="16">
        <f>SUM(BW99,BZ99,CC99,CF99,CI99,CL99,CO99,CR99,BT99)</f>
        <v>2210</v>
      </c>
      <c r="BO99" s="16">
        <f>IF(BP99&gt;0,1,0)</f>
        <v>1</v>
      </c>
      <c r="BP99" s="16">
        <f>SUM(BU99,BX99,CA99,CD99,BR99)</f>
        <v>1</v>
      </c>
      <c r="BQ99" s="16">
        <f>SUM(BZ99,CC99,CF99,BT99,BW99)</f>
        <v>2210</v>
      </c>
      <c r="BR99" s="18">
        <v>0</v>
      </c>
      <c r="BS99" s="16">
        <v>0</v>
      </c>
      <c r="BT99" s="23">
        <f>BS99/AS99</f>
        <v>0</v>
      </c>
      <c r="BU99" s="18">
        <v>0</v>
      </c>
      <c r="BV99" s="16">
        <v>0</v>
      </c>
      <c r="BW99" s="18">
        <f>BV99/AS99</f>
        <v>0</v>
      </c>
      <c r="BX99" s="24">
        <v>1</v>
      </c>
      <c r="BY99" s="16">
        <v>221</v>
      </c>
      <c r="BZ99" s="16">
        <f>BY99/AS99</f>
        <v>2210</v>
      </c>
      <c r="CA99" s="24">
        <v>0</v>
      </c>
      <c r="CB99" s="16">
        <v>0</v>
      </c>
      <c r="CC99" s="16">
        <v>0</v>
      </c>
      <c r="CD99" s="23">
        <v>0</v>
      </c>
      <c r="CE99" s="16">
        <v>0</v>
      </c>
      <c r="CF99" s="16">
        <v>0</v>
      </c>
      <c r="CP99" s="16" t="s">
        <v>123</v>
      </c>
      <c r="CQ99" s="16">
        <v>0</v>
      </c>
      <c r="CR99" s="16">
        <v>0</v>
      </c>
      <c r="CS99" s="18">
        <f>IF(CT99&gt;0,1,0)</f>
        <v>0</v>
      </c>
      <c r="CT99" s="25">
        <f>SUM(CW99,CZ99,DC99)</f>
        <v>0</v>
      </c>
      <c r="CU99" s="25"/>
      <c r="CV99" s="16">
        <v>0</v>
      </c>
      <c r="CW99" s="25">
        <v>0</v>
      </c>
      <c r="CX99" s="16">
        <v>0</v>
      </c>
      <c r="CY99" s="16">
        <v>0</v>
      </c>
      <c r="CZ99" s="18">
        <v>0</v>
      </c>
      <c r="DA99" s="16">
        <v>0</v>
      </c>
      <c r="DB99" s="16">
        <v>0</v>
      </c>
      <c r="DC99" s="18">
        <v>0</v>
      </c>
      <c r="DD99" s="16">
        <v>0</v>
      </c>
      <c r="DE99" s="16">
        <v>0</v>
      </c>
      <c r="DF99" s="16">
        <f>VLOOKUP(K99,'[3]RNA Seq summary tables'!$V$3:$V$99,1,FALSE)</f>
        <v>1550</v>
      </c>
      <c r="JP99" s="26"/>
      <c r="JQ99" s="26"/>
    </row>
    <row r="100" spans="1:288" x14ac:dyDescent="0.2">
      <c r="B100" s="16">
        <v>2016</v>
      </c>
      <c r="C100" s="20">
        <v>42557</v>
      </c>
      <c r="D100" s="20" t="str">
        <f>CONCATENATE(J100,"-",C100)</f>
        <v>991-42557</v>
      </c>
      <c r="E100" s="20" t="str">
        <f>CONCATENATE(T100,"-",U100,"-",C100)</f>
        <v>BC1-A4-42557</v>
      </c>
      <c r="F100" s="20" t="s">
        <v>106</v>
      </c>
      <c r="G100" s="20" t="s">
        <v>107</v>
      </c>
      <c r="I100" s="16">
        <v>0</v>
      </c>
      <c r="J100" s="21">
        <v>991</v>
      </c>
      <c r="K100" s="21">
        <v>1452</v>
      </c>
      <c r="L100" s="18">
        <v>0</v>
      </c>
      <c r="M100" s="15">
        <f>VLOOKUP(K100,'[7]MLBS 2016 SNV-nem Coinfection d'!$C$1:$G$238,4,FALSE)</f>
        <v>0</v>
      </c>
      <c r="N100" s="15">
        <v>0</v>
      </c>
      <c r="O100" s="15" t="s">
        <v>119</v>
      </c>
      <c r="P100" s="16" t="s">
        <v>119</v>
      </c>
      <c r="Q100" s="16">
        <v>0</v>
      </c>
      <c r="R100" s="16" t="s">
        <v>111</v>
      </c>
      <c r="T100" s="16" t="s">
        <v>159</v>
      </c>
      <c r="U100" s="16" t="s">
        <v>134</v>
      </c>
      <c r="V100" s="16" t="s">
        <v>142</v>
      </c>
      <c r="W100" s="16">
        <f>AI100/AG100</f>
        <v>1.0126582278481013</v>
      </c>
      <c r="X100" s="16" t="s">
        <v>115</v>
      </c>
      <c r="Y100" s="16" t="s">
        <v>122</v>
      </c>
      <c r="Z100" s="16">
        <v>2.6</v>
      </c>
      <c r="AE100" s="16" t="s">
        <v>116</v>
      </c>
      <c r="AF100" s="16" t="s">
        <v>116</v>
      </c>
      <c r="AG100" s="16">
        <f>AH100-AI100</f>
        <v>79</v>
      </c>
      <c r="AH100" s="16">
        <v>159</v>
      </c>
      <c r="AI100" s="16">
        <v>80</v>
      </c>
      <c r="AK100" s="16">
        <v>12</v>
      </c>
      <c r="AL100" s="16">
        <v>0</v>
      </c>
      <c r="AM100" s="16">
        <v>0</v>
      </c>
      <c r="AN100" s="16">
        <v>0</v>
      </c>
      <c r="AO100" s="16">
        <f>IF(SUM(AL100:AN100)&gt;0,1,0)</f>
        <v>0</v>
      </c>
      <c r="AP100" s="16">
        <f>SUM(AL100:AN100)</f>
        <v>0</v>
      </c>
      <c r="AQ100" s="16">
        <v>1.593</v>
      </c>
      <c r="AR100" s="16">
        <v>0.11600000000000001</v>
      </c>
      <c r="AS100" s="16">
        <v>0.11600000000000001</v>
      </c>
      <c r="AT100" s="16" t="s">
        <v>124</v>
      </c>
      <c r="AV100" s="16">
        <v>1</v>
      </c>
      <c r="AW100" s="18">
        <v>0</v>
      </c>
      <c r="AX100" s="16">
        <v>0</v>
      </c>
      <c r="AY100" s="16">
        <v>0</v>
      </c>
      <c r="AZ100" s="18">
        <v>0</v>
      </c>
      <c r="BA100" s="16">
        <v>0</v>
      </c>
      <c r="BB100" s="16">
        <v>0</v>
      </c>
      <c r="BC100" s="18">
        <v>0</v>
      </c>
      <c r="BD100" s="16">
        <v>0</v>
      </c>
      <c r="BE100" s="16">
        <v>0</v>
      </c>
      <c r="BF100" s="18">
        <v>0</v>
      </c>
      <c r="BG100" s="23">
        <v>0</v>
      </c>
      <c r="BH100" s="16">
        <v>0</v>
      </c>
      <c r="BI100" s="18">
        <v>0</v>
      </c>
      <c r="BJ100" s="16">
        <v>0</v>
      </c>
      <c r="BK100" s="16">
        <v>0</v>
      </c>
      <c r="BL100" s="16">
        <f>IF(BM100&gt;0,1,0)</f>
        <v>0</v>
      </c>
      <c r="BM100" s="16">
        <f>SUM(BR100,BU100,BX100,CA100,CD100,CG100,CJ100,CM100,CP100)</f>
        <v>0</v>
      </c>
      <c r="BN100" s="16">
        <f>SUM(BW100,BZ100,CC100,CF100,CI100,CL100,CO100,CR100,BT100)</f>
        <v>0</v>
      </c>
      <c r="BO100" s="16">
        <f>IF(BP100&gt;0,1,0)</f>
        <v>0</v>
      </c>
      <c r="BP100" s="16">
        <f>SUM(BU100,BX100,CA100,CD100,BR100)</f>
        <v>0</v>
      </c>
      <c r="BQ100" s="16">
        <f>SUM(BZ100,CC100,CF100,BT100,BW100)</f>
        <v>0</v>
      </c>
      <c r="BR100" s="18">
        <v>0</v>
      </c>
      <c r="BS100" s="16">
        <v>0</v>
      </c>
      <c r="BT100" s="23">
        <f>BS100/AS100</f>
        <v>0</v>
      </c>
      <c r="BU100" s="18">
        <v>0</v>
      </c>
      <c r="BV100" s="16">
        <v>0</v>
      </c>
      <c r="BW100" s="18">
        <f>BV100/AS100</f>
        <v>0</v>
      </c>
      <c r="BX100" s="18">
        <v>0</v>
      </c>
      <c r="BY100" s="16">
        <v>0</v>
      </c>
      <c r="BZ100" s="16">
        <f>BY100/AS100</f>
        <v>0</v>
      </c>
      <c r="CA100" s="24">
        <v>0</v>
      </c>
      <c r="CB100" s="16">
        <v>0</v>
      </c>
      <c r="CC100" s="16">
        <v>0</v>
      </c>
      <c r="CD100" s="25">
        <v>0</v>
      </c>
      <c r="CE100" s="16">
        <v>0</v>
      </c>
      <c r="CF100" s="16">
        <v>0</v>
      </c>
      <c r="CP100" s="16" t="s">
        <v>123</v>
      </c>
      <c r="CQ100" s="16">
        <v>0</v>
      </c>
      <c r="CR100" s="16">
        <v>0</v>
      </c>
      <c r="CS100" s="18">
        <f>IF(CT100&gt;0,1,0)</f>
        <v>0</v>
      </c>
      <c r="CT100" s="25">
        <f>SUM(CW100,CZ100,DC100)</f>
        <v>0</v>
      </c>
      <c r="CU100" s="25"/>
      <c r="CV100" s="16">
        <v>0</v>
      </c>
      <c r="CW100" s="25">
        <v>0</v>
      </c>
      <c r="CX100" s="16">
        <v>0</v>
      </c>
      <c r="CY100" s="16">
        <v>0</v>
      </c>
      <c r="CZ100" s="18">
        <v>0</v>
      </c>
      <c r="DA100" s="16">
        <v>0</v>
      </c>
      <c r="DB100" s="16">
        <v>0</v>
      </c>
      <c r="DC100" s="18">
        <v>0</v>
      </c>
      <c r="DD100" s="16">
        <v>0</v>
      </c>
      <c r="DE100" s="16">
        <v>0</v>
      </c>
      <c r="DF100" s="16" t="e">
        <f>VLOOKUP(K100,'[3]RNA Seq summary tables'!$V$3:$V$99,1,FALSE)</f>
        <v>#N/A</v>
      </c>
      <c r="DG100" s="16">
        <v>1</v>
      </c>
      <c r="DH100" s="16" t="str">
        <f>VLOOKUP(D100,'[8]Data with duplicates'!$B$1:$J$70,9,FALSE)</f>
        <v>sample.51</v>
      </c>
    </row>
    <row r="101" spans="1:288" x14ac:dyDescent="0.2">
      <c r="B101" s="16">
        <v>2016</v>
      </c>
      <c r="C101" s="20">
        <v>42557</v>
      </c>
      <c r="D101" s="20" t="str">
        <f>CONCATENATE(J101,"-",C101)</f>
        <v>992-42557</v>
      </c>
      <c r="E101" s="20" t="str">
        <f>CONCATENATE(T101,"-",U101,"-",C101)</f>
        <v>BC1-G3-42557</v>
      </c>
      <c r="F101" s="20" t="s">
        <v>106</v>
      </c>
      <c r="G101" s="20" t="s">
        <v>107</v>
      </c>
      <c r="I101" s="16">
        <v>0</v>
      </c>
      <c r="J101" s="21">
        <v>992</v>
      </c>
      <c r="K101" s="21">
        <v>1454</v>
      </c>
      <c r="L101" s="18">
        <v>0</v>
      </c>
      <c r="M101" s="15">
        <f>VLOOKUP(K101,'[7]MLBS 2016 SNV-nem Coinfection d'!$C$1:$G$238,4,FALSE)</f>
        <v>0</v>
      </c>
      <c r="N101" s="15">
        <v>0</v>
      </c>
      <c r="O101" s="15" t="s">
        <v>119</v>
      </c>
      <c r="P101" s="16" t="s">
        <v>119</v>
      </c>
      <c r="Q101" s="16">
        <v>0</v>
      </c>
      <c r="R101" s="16" t="s">
        <v>111</v>
      </c>
      <c r="T101" s="16" t="s">
        <v>159</v>
      </c>
      <c r="U101" s="16" t="s">
        <v>179</v>
      </c>
      <c r="V101" s="16" t="s">
        <v>114</v>
      </c>
      <c r="W101" s="16">
        <f>AI101/AG101</f>
        <v>0.88311688311688308</v>
      </c>
      <c r="X101" s="16" t="s">
        <v>115</v>
      </c>
      <c r="Y101" s="16" t="s">
        <v>122</v>
      </c>
      <c r="Z101" s="16">
        <v>2.2999999999999998</v>
      </c>
      <c r="AE101" s="16" t="s">
        <v>123</v>
      </c>
      <c r="AF101" s="16" t="s">
        <v>123</v>
      </c>
      <c r="AG101" s="16">
        <f>AH101-AI101</f>
        <v>77</v>
      </c>
      <c r="AH101" s="16">
        <v>145</v>
      </c>
      <c r="AI101" s="16">
        <v>68</v>
      </c>
      <c r="AK101" s="16">
        <v>15.5</v>
      </c>
      <c r="AL101" s="16">
        <v>1</v>
      </c>
      <c r="AM101" s="16">
        <v>0</v>
      </c>
      <c r="AN101" s="16">
        <v>0</v>
      </c>
      <c r="AO101" s="16">
        <f>IF(SUM(AL101:AN101)&gt;0,1,0)</f>
        <v>1</v>
      </c>
      <c r="AP101" s="16">
        <f>SUM(AL101:AN101)</f>
        <v>1</v>
      </c>
      <c r="AQ101" s="16">
        <v>1.56</v>
      </c>
      <c r="AR101" s="16">
        <v>8.3000000000000004E-2</v>
      </c>
      <c r="AS101" s="16">
        <v>8.3000000000000004E-2</v>
      </c>
      <c r="AT101" s="16" t="s">
        <v>205</v>
      </c>
      <c r="AV101" s="16">
        <v>1</v>
      </c>
      <c r="AW101" s="18">
        <v>0</v>
      </c>
      <c r="AX101" s="16">
        <v>0</v>
      </c>
      <c r="AY101" s="16">
        <v>0</v>
      </c>
      <c r="AZ101" s="18">
        <v>0</v>
      </c>
      <c r="BA101" s="16">
        <v>0</v>
      </c>
      <c r="BB101" s="16">
        <v>0</v>
      </c>
      <c r="BC101" s="18">
        <v>0</v>
      </c>
      <c r="BD101" s="16">
        <v>0</v>
      </c>
      <c r="BE101" s="16">
        <v>0</v>
      </c>
      <c r="BF101" s="18">
        <v>0</v>
      </c>
      <c r="BG101" s="23">
        <v>0</v>
      </c>
      <c r="BH101" s="16">
        <v>0</v>
      </c>
      <c r="BI101" s="18">
        <v>0</v>
      </c>
      <c r="BJ101" s="16">
        <v>0</v>
      </c>
      <c r="BK101" s="16">
        <v>0</v>
      </c>
      <c r="BL101" s="16">
        <f>IF(BM101&gt;0,1,0)</f>
        <v>0</v>
      </c>
      <c r="BM101" s="16">
        <f>SUM(BR101,BU101,BX101,CA101,CD101,CG101,CJ101,CM101,CP101)</f>
        <v>0</v>
      </c>
      <c r="BN101" s="16">
        <f>SUM(BW101,BZ101,CC101,CF101,CI101,CL101,CO101,CR101,BT101)</f>
        <v>0</v>
      </c>
      <c r="BO101" s="16">
        <f>IF(BP101&gt;0,1,0)</f>
        <v>0</v>
      </c>
      <c r="BP101" s="16">
        <f>SUM(BU101,BX101,CA101,CD101,BR101)</f>
        <v>0</v>
      </c>
      <c r="BQ101" s="16">
        <f>SUM(BZ101,CC101,CF101,BT101,BW101)</f>
        <v>0</v>
      </c>
      <c r="BR101" s="18">
        <v>0</v>
      </c>
      <c r="BS101" s="16">
        <v>0</v>
      </c>
      <c r="BT101" s="23">
        <f>BS101/AS101</f>
        <v>0</v>
      </c>
      <c r="BU101" s="18">
        <v>0</v>
      </c>
      <c r="BV101" s="16">
        <v>0</v>
      </c>
      <c r="BW101" s="18">
        <f>BV101/AS101</f>
        <v>0</v>
      </c>
      <c r="BX101" s="18">
        <v>0</v>
      </c>
      <c r="BY101" s="16">
        <v>0</v>
      </c>
      <c r="BZ101" s="16">
        <f>BY101/AS101</f>
        <v>0</v>
      </c>
      <c r="CA101" s="24">
        <v>0</v>
      </c>
      <c r="CB101" s="16">
        <v>0</v>
      </c>
      <c r="CC101" s="16">
        <v>0</v>
      </c>
      <c r="CD101" s="25">
        <v>0</v>
      </c>
      <c r="CE101" s="16">
        <v>0</v>
      </c>
      <c r="CF101" s="16">
        <v>0</v>
      </c>
      <c r="CP101" s="16" t="s">
        <v>123</v>
      </c>
      <c r="CQ101" s="16">
        <v>0</v>
      </c>
      <c r="CR101" s="16">
        <v>0</v>
      </c>
      <c r="CS101" s="18">
        <f>IF(CT101&gt;0,1,0)</f>
        <v>0</v>
      </c>
      <c r="CT101" s="25">
        <f>SUM(CW101,CZ101,DC101)</f>
        <v>0</v>
      </c>
      <c r="CU101" s="25"/>
      <c r="CV101" s="16">
        <v>0</v>
      </c>
      <c r="CW101" s="25">
        <v>0</v>
      </c>
      <c r="CX101" s="16">
        <v>0</v>
      </c>
      <c r="CY101" s="16">
        <v>0</v>
      </c>
      <c r="CZ101" s="18">
        <v>0</v>
      </c>
      <c r="DA101" s="16">
        <v>0</v>
      </c>
      <c r="DB101" s="16">
        <v>0</v>
      </c>
      <c r="DC101" s="18">
        <v>0</v>
      </c>
      <c r="DD101" s="16">
        <v>0</v>
      </c>
      <c r="DE101" s="16">
        <v>0</v>
      </c>
      <c r="DF101" s="16" t="e">
        <f>VLOOKUP(K101,'[3]RNA Seq summary tables'!$V$3:$V$99,1,FALSE)</f>
        <v>#N/A</v>
      </c>
      <c r="DG101" s="16">
        <v>1</v>
      </c>
      <c r="DH101" s="16" t="str">
        <f>VLOOKUP(D101,'[8]Data with duplicates'!$B$1:$J$70,9,FALSE)</f>
        <v>sample.52</v>
      </c>
    </row>
    <row r="102" spans="1:288" x14ac:dyDescent="0.2">
      <c r="B102" s="16">
        <v>2016</v>
      </c>
      <c r="C102" s="20">
        <v>42569</v>
      </c>
      <c r="D102" s="20" t="str">
        <f>CONCATENATE(J102,"-",C102)</f>
        <v>992-42569</v>
      </c>
      <c r="E102" s="20" t="str">
        <f>CONCATENATE(T102,"-",U102,"-",C102)</f>
        <v>BC2-D3-42569</v>
      </c>
      <c r="F102" s="20" t="s">
        <v>106</v>
      </c>
      <c r="G102" s="20" t="s">
        <v>107</v>
      </c>
      <c r="I102" s="16">
        <v>0</v>
      </c>
      <c r="J102" s="21">
        <v>992</v>
      </c>
      <c r="K102" s="21">
        <v>1489</v>
      </c>
      <c r="L102" s="18">
        <v>0</v>
      </c>
      <c r="M102" s="15">
        <f>VLOOKUP(K102,'[7]MLBS 2016 SNV-nem Coinfection d'!$C$1:$G$238,4,FALSE)</f>
        <v>0</v>
      </c>
      <c r="N102" s="15">
        <v>0</v>
      </c>
      <c r="O102" s="15" t="s">
        <v>119</v>
      </c>
      <c r="P102" s="16" t="s">
        <v>119</v>
      </c>
      <c r="Q102" s="16">
        <v>0</v>
      </c>
      <c r="R102" s="16">
        <v>12</v>
      </c>
      <c r="T102" s="16" t="s">
        <v>154</v>
      </c>
      <c r="U102" s="16" t="s">
        <v>149</v>
      </c>
      <c r="V102" s="16" t="s">
        <v>114</v>
      </c>
      <c r="W102" s="16">
        <f>AI102/AG102</f>
        <v>0.87654320987654322</v>
      </c>
      <c r="X102" s="16" t="s">
        <v>115</v>
      </c>
      <c r="Y102" s="16" t="s">
        <v>110</v>
      </c>
      <c r="Z102" s="16">
        <v>3</v>
      </c>
      <c r="AE102" s="16" t="s">
        <v>123</v>
      </c>
      <c r="AF102" s="16" t="s">
        <v>123</v>
      </c>
      <c r="AG102" s="16">
        <f>AH102-AI102</f>
        <v>81</v>
      </c>
      <c r="AH102" s="16">
        <v>152</v>
      </c>
      <c r="AI102" s="18">
        <v>71</v>
      </c>
      <c r="AJ102" s="18"/>
      <c r="AK102" s="16">
        <v>16</v>
      </c>
      <c r="AL102" s="16">
        <v>0</v>
      </c>
      <c r="AM102" s="16">
        <v>0</v>
      </c>
      <c r="AN102" s="16">
        <v>0</v>
      </c>
      <c r="AO102" s="16">
        <f>IF(SUM(AL102:AN102)&gt;0,1,0)</f>
        <v>0</v>
      </c>
      <c r="AP102" s="16">
        <f>SUM(AL102:AN102)</f>
        <v>0</v>
      </c>
      <c r="AQ102" s="16">
        <v>2.0150000000000001</v>
      </c>
      <c r="AR102" s="16">
        <v>0.53800000000000003</v>
      </c>
      <c r="AS102" s="16">
        <v>0.53800000000000003</v>
      </c>
      <c r="AT102" s="16" t="s">
        <v>205</v>
      </c>
      <c r="AW102" s="22">
        <v>1</v>
      </c>
      <c r="AX102" s="16">
        <v>3</v>
      </c>
      <c r="AY102" s="16">
        <f xml:space="preserve"> (162 + 896 + 7)/AS102</f>
        <v>1979.5539033457248</v>
      </c>
      <c r="AZ102" s="18">
        <v>1</v>
      </c>
      <c r="BA102" s="16">
        <v>3</v>
      </c>
      <c r="BB102" s="16">
        <f>AY102</f>
        <v>1979.5539033457248</v>
      </c>
      <c r="BC102" s="16">
        <v>1</v>
      </c>
      <c r="BD102" s="16">
        <v>162</v>
      </c>
      <c r="BE102" s="16">
        <f>162/AS102</f>
        <v>301.11524163568771</v>
      </c>
      <c r="BF102" s="18">
        <v>1</v>
      </c>
      <c r="BG102" s="23">
        <v>896</v>
      </c>
      <c r="BH102" s="16">
        <f>BG102/AS102</f>
        <v>1665.4275092936803</v>
      </c>
      <c r="BI102" s="16">
        <v>1</v>
      </c>
      <c r="BJ102" s="16">
        <v>7</v>
      </c>
      <c r="BK102" s="16">
        <f>7/AS102</f>
        <v>13.011152416356877</v>
      </c>
      <c r="BL102" s="16">
        <f>IF(BM102&gt;0,1,0)</f>
        <v>0</v>
      </c>
      <c r="BM102" s="16">
        <f>SUM(BR102,BU102,BX102,CA102,CD102,CG102,CJ102,CM102,CP102)</f>
        <v>0</v>
      </c>
      <c r="BN102" s="16">
        <f>SUM(BW102,BZ102,CC102,CF102,CI102,CL102,CO102,CR102,BT102)</f>
        <v>0</v>
      </c>
      <c r="BO102" s="16">
        <f>IF(BP102&gt;0,1,0)</f>
        <v>0</v>
      </c>
      <c r="BP102" s="16">
        <f>SUM(BU102,BX102,CA102,CD102,BR102)</f>
        <v>0</v>
      </c>
      <c r="BQ102" s="16">
        <f>SUM(BZ102,CC102,CF102,BT102,BW102)</f>
        <v>0</v>
      </c>
      <c r="BR102" s="18">
        <v>0</v>
      </c>
      <c r="BS102" s="16">
        <v>0</v>
      </c>
      <c r="BT102" s="23">
        <f>BS102/AS102</f>
        <v>0</v>
      </c>
      <c r="BU102" s="18">
        <v>0</v>
      </c>
      <c r="BV102" s="16">
        <v>0</v>
      </c>
      <c r="BW102" s="18">
        <f>BV102/AS102</f>
        <v>0</v>
      </c>
      <c r="BX102" s="18">
        <v>0</v>
      </c>
      <c r="BY102" s="16">
        <v>0</v>
      </c>
      <c r="BZ102" s="16">
        <f>BY102/AS102</f>
        <v>0</v>
      </c>
      <c r="CA102" s="24">
        <v>0</v>
      </c>
      <c r="CB102" s="16">
        <v>0</v>
      </c>
      <c r="CC102" s="16">
        <v>0</v>
      </c>
      <c r="CD102" s="25">
        <v>0</v>
      </c>
      <c r="CE102" s="16">
        <v>0</v>
      </c>
      <c r="CF102" s="16">
        <v>0</v>
      </c>
      <c r="CP102" s="16" t="s">
        <v>123</v>
      </c>
      <c r="CQ102" s="16">
        <v>0</v>
      </c>
      <c r="CR102" s="16">
        <v>0</v>
      </c>
      <c r="CS102" s="18">
        <f>IF(CT102&gt;0,1,0)</f>
        <v>0</v>
      </c>
      <c r="CT102" s="25">
        <f>SUM(CW102,CZ102,DC102)</f>
        <v>0</v>
      </c>
      <c r="CU102" s="25"/>
      <c r="CV102" s="16">
        <v>0</v>
      </c>
      <c r="CW102" s="25">
        <v>0</v>
      </c>
      <c r="CX102" s="16">
        <v>0</v>
      </c>
      <c r="CY102" s="16">
        <v>0</v>
      </c>
      <c r="CZ102" s="18">
        <v>0</v>
      </c>
      <c r="DA102" s="16">
        <v>0</v>
      </c>
      <c r="DB102" s="16">
        <v>0</v>
      </c>
      <c r="DC102" s="18">
        <v>0</v>
      </c>
      <c r="DD102" s="16">
        <v>0</v>
      </c>
      <c r="DE102" s="16">
        <v>0</v>
      </c>
      <c r="DF102" s="16" t="e">
        <f>VLOOKUP(K102,'[3]RNA Seq summary tables'!$V$3:$V$99,1,FALSE)</f>
        <v>#N/A</v>
      </c>
    </row>
    <row r="103" spans="1:288" x14ac:dyDescent="0.2">
      <c r="B103" s="16">
        <v>2016</v>
      </c>
      <c r="C103" s="20">
        <v>42558</v>
      </c>
      <c r="D103" s="20" t="str">
        <f>CONCATENATE(J103,"-",C103)</f>
        <v>993-42558</v>
      </c>
      <c r="E103" s="20" t="str">
        <f>CONCATENATE(T103,"-",U103,"-",C103)</f>
        <v>BC1-A2-42558</v>
      </c>
      <c r="F103" s="20" t="s">
        <v>106</v>
      </c>
      <c r="G103" s="20" t="s">
        <v>107</v>
      </c>
      <c r="I103" s="16">
        <v>0</v>
      </c>
      <c r="J103" s="21">
        <v>993</v>
      </c>
      <c r="K103" s="21">
        <v>1457</v>
      </c>
      <c r="L103" s="18">
        <v>0</v>
      </c>
      <c r="M103" s="15">
        <f>VLOOKUP(K103,'[7]MLBS 2016 SNV-nem Coinfection d'!$C$1:$G$238,4,FALSE)</f>
        <v>0</v>
      </c>
      <c r="N103" s="15">
        <v>0</v>
      </c>
      <c r="O103" s="15" t="s">
        <v>119</v>
      </c>
      <c r="P103" s="16" t="s">
        <v>119</v>
      </c>
      <c r="Q103" s="16">
        <v>0</v>
      </c>
      <c r="R103" s="16" t="s">
        <v>111</v>
      </c>
      <c r="T103" s="16" t="s">
        <v>159</v>
      </c>
      <c r="U103" s="16" t="s">
        <v>171</v>
      </c>
      <c r="V103" s="16" t="s">
        <v>114</v>
      </c>
      <c r="W103" s="16">
        <f>AI103/AG103</f>
        <v>0.93333333333333335</v>
      </c>
      <c r="X103" s="16" t="s">
        <v>115</v>
      </c>
      <c r="Y103" s="16" t="s">
        <v>110</v>
      </c>
      <c r="Z103" s="16">
        <v>3</v>
      </c>
      <c r="AE103" s="16" t="s">
        <v>116</v>
      </c>
      <c r="AF103" s="16" t="s">
        <v>116</v>
      </c>
      <c r="AG103" s="16">
        <f>AH103-AI103</f>
        <v>90</v>
      </c>
      <c r="AH103" s="16">
        <v>174</v>
      </c>
      <c r="AI103" s="18">
        <v>84</v>
      </c>
      <c r="AJ103" s="18"/>
      <c r="AK103" s="16">
        <v>19</v>
      </c>
      <c r="AL103" s="16">
        <v>0</v>
      </c>
      <c r="AM103" s="16">
        <v>0</v>
      </c>
      <c r="AN103" s="16">
        <v>0</v>
      </c>
      <c r="AO103" s="16">
        <f>IF(SUM(AL103:AN103)&gt;0,1,0)</f>
        <v>0</v>
      </c>
      <c r="AP103" s="16">
        <f>SUM(AL103:AN103)</f>
        <v>0</v>
      </c>
      <c r="AQ103" s="16">
        <v>1.6519999999999999</v>
      </c>
      <c r="AR103" s="16">
        <v>0.17499999999999999</v>
      </c>
      <c r="AS103" s="16">
        <v>0.17499999999999999</v>
      </c>
      <c r="AT103" s="16" t="s">
        <v>205</v>
      </c>
      <c r="AV103" s="16">
        <v>1</v>
      </c>
      <c r="AW103" s="22">
        <v>1</v>
      </c>
      <c r="AX103" s="16">
        <v>0</v>
      </c>
      <c r="AY103" s="16">
        <v>0</v>
      </c>
      <c r="AZ103" s="18">
        <v>0</v>
      </c>
      <c r="BA103" s="16">
        <v>0</v>
      </c>
      <c r="BB103" s="16">
        <v>0</v>
      </c>
      <c r="BC103" s="18">
        <v>0</v>
      </c>
      <c r="BD103" s="16">
        <v>0</v>
      </c>
      <c r="BE103" s="16">
        <v>0</v>
      </c>
      <c r="BF103" s="18">
        <v>0</v>
      </c>
      <c r="BG103" s="23">
        <v>0</v>
      </c>
      <c r="BH103" s="16">
        <v>0</v>
      </c>
      <c r="BI103" s="18">
        <v>0</v>
      </c>
      <c r="BJ103" s="16">
        <v>0</v>
      </c>
      <c r="BK103" s="16">
        <v>0</v>
      </c>
      <c r="BL103" s="16">
        <f>IF(BM103&gt;0,1,0)</f>
        <v>0</v>
      </c>
      <c r="BM103" s="16">
        <f>SUM(BR103,BU103,BX103,CA103,CD103,CG103,CJ103,CM103,CP103)</f>
        <v>0</v>
      </c>
      <c r="BN103" s="16">
        <f>SUM(BW103,BZ103,CC103,CF103,CI103,CL103,CO103,CR103,BT103)</f>
        <v>0</v>
      </c>
      <c r="BO103" s="16">
        <f>IF(BP103&gt;0,1,0)</f>
        <v>0</v>
      </c>
      <c r="BP103" s="16">
        <f>SUM(BU103,BX103,CA103,CD103,BR103)</f>
        <v>0</v>
      </c>
      <c r="BQ103" s="16">
        <f>SUM(BZ103,CC103,CF103,BT103,BW103)</f>
        <v>0</v>
      </c>
      <c r="BR103" s="18">
        <v>0</v>
      </c>
      <c r="BS103" s="16">
        <v>0</v>
      </c>
      <c r="BT103" s="23">
        <f>BS103/AS103</f>
        <v>0</v>
      </c>
      <c r="BU103" s="18">
        <v>0</v>
      </c>
      <c r="BV103" s="16">
        <v>0</v>
      </c>
      <c r="BW103" s="18">
        <f>BV103/AS103</f>
        <v>0</v>
      </c>
      <c r="BX103" s="18">
        <v>0</v>
      </c>
      <c r="BY103" s="16">
        <v>0</v>
      </c>
      <c r="BZ103" s="16">
        <f>BY103/AS103</f>
        <v>0</v>
      </c>
      <c r="CA103" s="24">
        <v>0</v>
      </c>
      <c r="CB103" s="16">
        <v>0</v>
      </c>
      <c r="CC103" s="16">
        <v>0</v>
      </c>
      <c r="CD103" s="25">
        <v>0</v>
      </c>
      <c r="CE103" s="16">
        <v>0</v>
      </c>
      <c r="CF103" s="16">
        <v>0</v>
      </c>
      <c r="CP103" s="16" t="s">
        <v>123</v>
      </c>
      <c r="CQ103" s="16">
        <v>0</v>
      </c>
      <c r="CR103" s="16">
        <v>0</v>
      </c>
      <c r="CS103" s="18">
        <f>IF(CT103&gt;0,1,0)</f>
        <v>0</v>
      </c>
      <c r="CT103" s="25">
        <f>SUM(CW103,CZ103,DC103)</f>
        <v>0</v>
      </c>
      <c r="CU103" s="25"/>
      <c r="CV103" s="16">
        <v>0</v>
      </c>
      <c r="CW103" s="25">
        <v>0</v>
      </c>
      <c r="CX103" s="16">
        <v>0</v>
      </c>
      <c r="CY103" s="16">
        <v>0</v>
      </c>
      <c r="CZ103" s="18">
        <v>0</v>
      </c>
      <c r="DA103" s="16">
        <v>0</v>
      </c>
      <c r="DB103" s="16">
        <v>0</v>
      </c>
      <c r="DC103" s="18">
        <v>0</v>
      </c>
      <c r="DD103" s="16">
        <v>0</v>
      </c>
      <c r="DE103" s="16">
        <v>0</v>
      </c>
      <c r="DF103" s="16" t="e">
        <f>VLOOKUP(K103,'[3]RNA Seq summary tables'!$V$3:$V$99,1,FALSE)</f>
        <v>#N/A</v>
      </c>
      <c r="DG103" s="16">
        <v>1</v>
      </c>
      <c r="DH103" s="16" t="str">
        <f>VLOOKUP(D103,'[8]Data with duplicates'!$B$1:$J$70,9,FALSE)</f>
        <v>sample.53</v>
      </c>
    </row>
    <row r="104" spans="1:288" s="26" customFormat="1" x14ac:dyDescent="0.2">
      <c r="A104" s="18"/>
      <c r="B104" s="16">
        <v>2016</v>
      </c>
      <c r="C104" s="20">
        <v>42565</v>
      </c>
      <c r="D104" s="20" t="str">
        <f>CONCATENATE(J104,"-",C104)</f>
        <v>993-42565</v>
      </c>
      <c r="E104" s="20" t="str">
        <f>CONCATENATE(T104,"-",U104,"-",C104)</f>
        <v>SP1-A5-42565</v>
      </c>
      <c r="F104" s="20" t="s">
        <v>106</v>
      </c>
      <c r="G104" s="20" t="s">
        <v>107</v>
      </c>
      <c r="H104" s="16"/>
      <c r="I104" s="16">
        <v>0</v>
      </c>
      <c r="J104" s="21">
        <v>993</v>
      </c>
      <c r="K104" s="21">
        <v>1478</v>
      </c>
      <c r="L104" s="18">
        <v>0</v>
      </c>
      <c r="M104" s="15">
        <f>VLOOKUP(K104,'[7]MLBS 2016 SNV-nem Coinfection d'!$C$1:$G$238,4,FALSE)</f>
        <v>0</v>
      </c>
      <c r="N104" s="15">
        <v>0</v>
      </c>
      <c r="O104" s="15" t="s">
        <v>119</v>
      </c>
      <c r="P104" s="16" t="s">
        <v>119</v>
      </c>
      <c r="Q104" s="16">
        <v>0</v>
      </c>
      <c r="R104" s="16">
        <v>7</v>
      </c>
      <c r="S104" s="16"/>
      <c r="T104" s="16" t="s">
        <v>140</v>
      </c>
      <c r="U104" s="16" t="s">
        <v>167</v>
      </c>
      <c r="V104" s="16" t="s">
        <v>114</v>
      </c>
      <c r="W104" s="16">
        <f>AI104/AG104</f>
        <v>0.95604395604395609</v>
      </c>
      <c r="X104" s="16" t="s">
        <v>115</v>
      </c>
      <c r="Y104" s="16" t="s">
        <v>110</v>
      </c>
      <c r="Z104" s="16">
        <v>3</v>
      </c>
      <c r="AA104" s="16"/>
      <c r="AB104" s="16"/>
      <c r="AC104" s="16"/>
      <c r="AD104" s="16"/>
      <c r="AE104" s="16" t="s">
        <v>116</v>
      </c>
      <c r="AF104" s="16" t="s">
        <v>116</v>
      </c>
      <c r="AG104" s="16">
        <v>91</v>
      </c>
      <c r="AH104" s="16">
        <v>178</v>
      </c>
      <c r="AI104" s="18">
        <v>87</v>
      </c>
      <c r="AJ104" s="18"/>
      <c r="AK104" s="16">
        <v>19</v>
      </c>
      <c r="AL104" s="16">
        <v>0</v>
      </c>
      <c r="AM104" s="16">
        <v>0</v>
      </c>
      <c r="AN104" s="16">
        <v>0</v>
      </c>
      <c r="AO104" s="16">
        <f>IF(SUM(AL104:AN104)&gt;0,1,0)</f>
        <v>0</v>
      </c>
      <c r="AP104" s="16">
        <f>SUM(AL104:AN104)</f>
        <v>0</v>
      </c>
      <c r="AQ104" s="16">
        <f>0.332+1.477</f>
        <v>1.8090000000000002</v>
      </c>
      <c r="AR104" s="16">
        <v>0.33200000000000002</v>
      </c>
      <c r="AS104" s="16">
        <v>0.33200000000000002</v>
      </c>
      <c r="AT104" s="16" t="s">
        <v>205</v>
      </c>
      <c r="AU104" s="16"/>
      <c r="AV104" s="16">
        <v>1</v>
      </c>
      <c r="AW104" s="18">
        <v>0</v>
      </c>
      <c r="AX104" s="16">
        <v>0</v>
      </c>
      <c r="AY104" s="16">
        <v>0</v>
      </c>
      <c r="AZ104" s="18">
        <v>0</v>
      </c>
      <c r="BA104" s="16">
        <v>0</v>
      </c>
      <c r="BB104" s="16">
        <v>0</v>
      </c>
      <c r="BC104" s="18">
        <v>0</v>
      </c>
      <c r="BD104" s="16">
        <v>0</v>
      </c>
      <c r="BE104" s="16">
        <v>0</v>
      </c>
      <c r="BF104" s="18">
        <v>0</v>
      </c>
      <c r="BG104" s="23">
        <v>0</v>
      </c>
      <c r="BH104" s="16">
        <v>0</v>
      </c>
      <c r="BI104" s="18">
        <v>0</v>
      </c>
      <c r="BJ104" s="16">
        <v>0</v>
      </c>
      <c r="BK104" s="16">
        <v>0</v>
      </c>
      <c r="BL104" s="16">
        <f>IF(BM104&gt;0,1,0)</f>
        <v>0</v>
      </c>
      <c r="BM104" s="16">
        <f>SUM(BR104,BU104,BX104,CA104,CD104,CG104,CJ104,CM104,CP104)</f>
        <v>0</v>
      </c>
      <c r="BN104" s="16">
        <f>SUM(BW104,BZ104,CC104,CF104,CI104,CL104,CO104,CR104,BT104)</f>
        <v>0</v>
      </c>
      <c r="BO104" s="16">
        <f>IF(BP104&gt;0,1,0)</f>
        <v>0</v>
      </c>
      <c r="BP104" s="16">
        <f>SUM(BU104,BX104,CA104,CD104,BR104)</f>
        <v>0</v>
      </c>
      <c r="BQ104" s="16">
        <f>SUM(BZ104,CC104,CF104,BT104,BW104)</f>
        <v>0</v>
      </c>
      <c r="BR104" s="18">
        <v>0</v>
      </c>
      <c r="BS104" s="16">
        <v>0</v>
      </c>
      <c r="BT104" s="23">
        <f>BS104/AS104</f>
        <v>0</v>
      </c>
      <c r="BU104" s="18">
        <v>0</v>
      </c>
      <c r="BV104" s="16">
        <v>0</v>
      </c>
      <c r="BW104" s="18">
        <f>BV104/AS104</f>
        <v>0</v>
      </c>
      <c r="BX104" s="18">
        <v>0</v>
      </c>
      <c r="BY104" s="16">
        <v>0</v>
      </c>
      <c r="BZ104" s="16">
        <f>BY104/AS104</f>
        <v>0</v>
      </c>
      <c r="CA104" s="24">
        <v>0</v>
      </c>
      <c r="CB104" s="16">
        <v>0</v>
      </c>
      <c r="CC104" s="16">
        <v>0</v>
      </c>
      <c r="CD104" s="25">
        <v>0</v>
      </c>
      <c r="CE104" s="16">
        <v>0</v>
      </c>
      <c r="CF104" s="16">
        <v>0</v>
      </c>
      <c r="CG104" s="16"/>
      <c r="CH104" s="16"/>
      <c r="CI104" s="16"/>
      <c r="CJ104" s="16"/>
      <c r="CK104" s="16"/>
      <c r="CL104" s="16"/>
      <c r="CM104" s="16"/>
      <c r="CN104" s="16"/>
      <c r="CO104" s="16"/>
      <c r="CP104" s="16" t="s">
        <v>123</v>
      </c>
      <c r="CQ104" s="16">
        <v>0</v>
      </c>
      <c r="CR104" s="16">
        <v>0</v>
      </c>
      <c r="CS104" s="18">
        <f>IF(CT104&gt;0,1,0)</f>
        <v>0</v>
      </c>
      <c r="CT104" s="25">
        <f>SUM(CW104,CZ104,DC104)</f>
        <v>0</v>
      </c>
      <c r="CU104" s="25"/>
      <c r="CV104" s="16">
        <v>0</v>
      </c>
      <c r="CW104" s="25">
        <v>0</v>
      </c>
      <c r="CX104" s="16">
        <v>0</v>
      </c>
      <c r="CY104" s="16">
        <v>0</v>
      </c>
      <c r="CZ104" s="18">
        <v>0</v>
      </c>
      <c r="DA104" s="16">
        <v>0</v>
      </c>
      <c r="DB104" s="16">
        <v>0</v>
      </c>
      <c r="DC104" s="18">
        <v>0</v>
      </c>
      <c r="DD104" s="16">
        <v>0</v>
      </c>
      <c r="DE104" s="16">
        <v>0</v>
      </c>
      <c r="DF104" s="16" t="e">
        <f>VLOOKUP(K104,'[3]RNA Seq summary tables'!$V$3:$V$99,1,FALSE)</f>
        <v>#N/A</v>
      </c>
      <c r="DG104" s="16"/>
      <c r="DH104" s="16"/>
      <c r="DI104" s="16"/>
      <c r="DJ104" s="16"/>
      <c r="DK104" s="16"/>
      <c r="DL104" s="16"/>
      <c r="DM104" s="16"/>
      <c r="DN104" s="16"/>
      <c r="DO104" s="16"/>
      <c r="DP104" s="16"/>
      <c r="DQ104" s="16"/>
      <c r="DR104" s="16"/>
      <c r="DS104" s="16"/>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c r="HJ104" s="18"/>
      <c r="HK104" s="18"/>
      <c r="HL104" s="18"/>
      <c r="HM104" s="18"/>
      <c r="HN104" s="18"/>
      <c r="HO104" s="18"/>
      <c r="HP104" s="18"/>
      <c r="HQ104" s="18"/>
      <c r="HR104" s="18"/>
      <c r="HS104" s="18"/>
      <c r="HT104" s="18"/>
      <c r="HU104" s="18"/>
      <c r="HV104" s="18"/>
      <c r="HW104" s="18"/>
      <c r="HX104" s="18"/>
      <c r="HY104" s="18"/>
      <c r="HZ104" s="18"/>
      <c r="IA104" s="18"/>
      <c r="IB104" s="18"/>
      <c r="IC104" s="18"/>
      <c r="ID104" s="18"/>
      <c r="IE104" s="18"/>
      <c r="IF104" s="18"/>
      <c r="IG104" s="18"/>
      <c r="IH104" s="18"/>
      <c r="II104" s="18"/>
      <c r="IJ104" s="18"/>
      <c r="IK104" s="18"/>
      <c r="IL104" s="18"/>
      <c r="IM104" s="18"/>
      <c r="IN104" s="18"/>
      <c r="IO104" s="18"/>
      <c r="IP104" s="18"/>
      <c r="IQ104" s="18"/>
      <c r="IR104" s="18"/>
      <c r="IS104" s="18"/>
      <c r="IT104" s="18"/>
      <c r="IU104" s="18"/>
      <c r="IV104" s="18"/>
      <c r="IW104" s="18"/>
      <c r="IX104" s="18"/>
      <c r="IY104" s="18"/>
      <c r="IZ104" s="18"/>
      <c r="JA104" s="18"/>
      <c r="JB104" s="18"/>
      <c r="JC104" s="18"/>
      <c r="JD104" s="18"/>
      <c r="JE104" s="18"/>
      <c r="JF104" s="18"/>
      <c r="JG104" s="18"/>
      <c r="JH104" s="18"/>
      <c r="JI104" s="18"/>
      <c r="JJ104" s="18"/>
      <c r="JK104" s="18"/>
      <c r="JL104" s="18"/>
      <c r="JM104" s="18"/>
      <c r="JN104" s="18"/>
      <c r="JO104" s="16"/>
      <c r="JP104" s="16"/>
      <c r="JQ104" s="16"/>
      <c r="JR104" s="16"/>
      <c r="JS104" s="16"/>
      <c r="JT104" s="16"/>
      <c r="JU104" s="16"/>
      <c r="JV104" s="16"/>
      <c r="JW104" s="16"/>
      <c r="JX104" s="16"/>
      <c r="JY104" s="16"/>
      <c r="JZ104" s="16"/>
      <c r="KA104" s="16"/>
      <c r="KB104" s="16"/>
    </row>
    <row r="105" spans="1:288" x14ac:dyDescent="0.2">
      <c r="B105" s="18">
        <v>2016</v>
      </c>
      <c r="C105" s="65">
        <v>42559</v>
      </c>
      <c r="D105" s="37" t="str">
        <f>CONCATENATE(J105,"-",C105)</f>
        <v>994-42559</v>
      </c>
      <c r="E105" s="20" t="str">
        <f>CONCATENATE(T105,"-",U105,"-",C105)</f>
        <v>PO1-B8-42559</v>
      </c>
      <c r="F105" s="20" t="s">
        <v>106</v>
      </c>
      <c r="G105" s="65" t="s">
        <v>107</v>
      </c>
      <c r="H105" s="25" t="s">
        <v>208</v>
      </c>
      <c r="I105" s="16">
        <v>0</v>
      </c>
      <c r="J105" s="42">
        <v>994</v>
      </c>
      <c r="K105" s="42">
        <v>1460</v>
      </c>
      <c r="L105" s="18">
        <v>0</v>
      </c>
      <c r="M105" s="15">
        <f>VLOOKUP(K105,'[7]MLBS 2016 SNV-nem Coinfection d'!$C$1:$G$238,4,FALSE)</f>
        <v>0</v>
      </c>
      <c r="N105" s="15">
        <v>0</v>
      </c>
      <c r="O105" s="15" t="s">
        <v>119</v>
      </c>
      <c r="P105" s="25" t="s">
        <v>119</v>
      </c>
      <c r="Q105" s="16">
        <v>0</v>
      </c>
      <c r="R105" s="25" t="s">
        <v>111</v>
      </c>
      <c r="S105" s="25"/>
      <c r="T105" s="25" t="s">
        <v>112</v>
      </c>
      <c r="U105" s="25" t="s">
        <v>209</v>
      </c>
      <c r="V105" s="25"/>
      <c r="W105" s="16">
        <f>AI105/AG105</f>
        <v>0.33695652173913043</v>
      </c>
      <c r="X105" s="25" t="s">
        <v>121</v>
      </c>
      <c r="Y105" s="25" t="s">
        <v>110</v>
      </c>
      <c r="Z105" s="25">
        <v>3</v>
      </c>
      <c r="AA105" s="25" t="s">
        <v>119</v>
      </c>
      <c r="AB105" s="25" t="s">
        <v>116</v>
      </c>
      <c r="AC105" s="25" t="s">
        <v>123</v>
      </c>
      <c r="AD105" s="25" t="s">
        <v>116</v>
      </c>
      <c r="AE105" s="25"/>
      <c r="AF105" s="25"/>
      <c r="AG105" s="25">
        <f>AH105-AI105</f>
        <v>92</v>
      </c>
      <c r="AH105" s="25">
        <v>123</v>
      </c>
      <c r="AI105" s="25">
        <v>31</v>
      </c>
      <c r="AJ105" s="143" t="s">
        <v>320</v>
      </c>
      <c r="AK105" s="25">
        <v>25</v>
      </c>
      <c r="AL105" s="25">
        <v>0</v>
      </c>
      <c r="AM105" s="25">
        <v>0</v>
      </c>
      <c r="AN105" s="25">
        <v>0</v>
      </c>
      <c r="AO105" s="25">
        <f>IF(SUM(AL105:AN105)&gt;0,1,0)</f>
        <v>0</v>
      </c>
      <c r="AP105" s="25">
        <f>SUM(AL105:AN105)</f>
        <v>0</v>
      </c>
      <c r="AQ105" s="25">
        <v>2.7090000000000001</v>
      </c>
      <c r="AR105" s="25">
        <v>1.2230000000000001</v>
      </c>
      <c r="AS105" s="25">
        <v>1.2230000000000001</v>
      </c>
      <c r="AT105" s="25" t="s">
        <v>117</v>
      </c>
      <c r="AU105" s="25"/>
      <c r="AV105" s="25"/>
      <c r="AW105" s="53">
        <v>1</v>
      </c>
      <c r="AX105" s="25">
        <v>4</v>
      </c>
      <c r="AY105" s="25">
        <f>(97+700+26+1)/AS105</f>
        <v>673.75306623058054</v>
      </c>
      <c r="AZ105" s="18">
        <v>1</v>
      </c>
      <c r="BA105" s="25">
        <v>3</v>
      </c>
      <c r="BB105" s="25">
        <f>(97+700+26)/AS105</f>
        <v>672.93540474243662</v>
      </c>
      <c r="BC105" s="18">
        <v>1</v>
      </c>
      <c r="BD105" s="25">
        <v>57</v>
      </c>
      <c r="BE105" s="25">
        <f>BD105/AS105</f>
        <v>46.606704824202779</v>
      </c>
      <c r="BF105" s="18">
        <v>1</v>
      </c>
      <c r="BG105" s="25">
        <v>195</v>
      </c>
      <c r="BH105" s="25">
        <f>BG105/AS105</f>
        <v>159.44399018806214</v>
      </c>
      <c r="BI105" s="18">
        <v>1</v>
      </c>
      <c r="BJ105" s="25">
        <v>4</v>
      </c>
      <c r="BK105" s="25">
        <f>BJ105/AS105</f>
        <v>3.2706459525756335</v>
      </c>
      <c r="BL105" s="18">
        <f>IF(BM105&gt;0,1,0)</f>
        <v>1</v>
      </c>
      <c r="BM105" s="18">
        <f>SUM(BR105,BU105,BX105,CA105,CD105,CG105,CJ105,CM105,CP105)</f>
        <v>1</v>
      </c>
      <c r="BN105" s="16">
        <f>SUM(BW105,BZ105,CC105,CF105,CI105,CL105,CO105,CR105,BT105)</f>
        <v>44.15372035977105</v>
      </c>
      <c r="BO105" s="18">
        <f>IF(BP105&gt;0,1,0)</f>
        <v>1</v>
      </c>
      <c r="BP105" s="18">
        <f>SUM(BU105,BX105,CA105,CD105,BR105)</f>
        <v>1</v>
      </c>
      <c r="BQ105" s="18">
        <f>SUM(BZ105,CC105,CF105,BT105,BW105)</f>
        <v>44.15372035977105</v>
      </c>
      <c r="BR105" s="18">
        <v>0</v>
      </c>
      <c r="BS105" s="25">
        <v>0</v>
      </c>
      <c r="BT105" s="25">
        <f>BS105/AS105</f>
        <v>0</v>
      </c>
      <c r="BU105" s="18">
        <v>0</v>
      </c>
      <c r="BV105" s="25">
        <v>0</v>
      </c>
      <c r="BW105" s="18">
        <f>BV105/AS105</f>
        <v>0</v>
      </c>
      <c r="BX105" s="24">
        <v>1</v>
      </c>
      <c r="BY105" s="25">
        <v>54</v>
      </c>
      <c r="BZ105" s="18">
        <f>BY105/AS105</f>
        <v>44.15372035977105</v>
      </c>
      <c r="CA105" s="24">
        <v>0</v>
      </c>
      <c r="CB105" s="25">
        <v>0</v>
      </c>
      <c r="CC105" s="25">
        <v>0</v>
      </c>
      <c r="CD105" s="25">
        <v>0</v>
      </c>
      <c r="CE105" s="25">
        <v>0</v>
      </c>
      <c r="CF105" s="25">
        <v>0</v>
      </c>
      <c r="CG105" s="25"/>
      <c r="CH105" s="25"/>
      <c r="CI105" s="25"/>
      <c r="CJ105" s="25"/>
      <c r="CK105" s="25"/>
      <c r="CL105" s="25"/>
      <c r="CM105" s="25"/>
      <c r="CN105" s="25"/>
      <c r="CO105" s="25"/>
      <c r="CP105" s="25" t="s">
        <v>123</v>
      </c>
      <c r="CQ105" s="25">
        <v>0</v>
      </c>
      <c r="CR105" s="25">
        <v>0</v>
      </c>
      <c r="CS105" s="18">
        <f>IF(CT105&gt;0,1,0)</f>
        <v>1</v>
      </c>
      <c r="CT105" s="25">
        <f>SUM(CW105,CZ105,DC105)</f>
        <v>2</v>
      </c>
      <c r="CU105" s="25"/>
      <c r="CV105" s="25">
        <v>0</v>
      </c>
      <c r="CW105" s="25">
        <v>1</v>
      </c>
      <c r="CX105" s="25">
        <v>48</v>
      </c>
      <c r="CY105" s="25">
        <f>CX105/AS105</f>
        <v>39.247751430907599</v>
      </c>
      <c r="CZ105" s="25">
        <v>1</v>
      </c>
      <c r="DA105" s="25">
        <v>9</v>
      </c>
      <c r="DB105" s="25">
        <f>DA105/AS105</f>
        <v>7.3589533932951756</v>
      </c>
      <c r="DC105" s="25">
        <v>0</v>
      </c>
      <c r="DD105" s="25">
        <v>0</v>
      </c>
      <c r="DE105" s="25">
        <v>0</v>
      </c>
      <c r="DF105" s="16" t="e">
        <f>VLOOKUP(K105,'[3]RNA Seq summary tables'!$V$3:$V$99,1,FALSE)</f>
        <v>#N/A</v>
      </c>
      <c r="DG105" s="16">
        <v>1</v>
      </c>
      <c r="DH105" s="16" t="str">
        <f>VLOOKUP(D105,'[8]Data with duplicates'!$B$1:$J$70,9,FALSE)</f>
        <v>sample.54</v>
      </c>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c r="HH105" s="25"/>
      <c r="HI105" s="25"/>
      <c r="HJ105" s="25"/>
      <c r="HK105" s="25"/>
      <c r="HL105" s="25"/>
      <c r="HM105" s="25"/>
      <c r="HN105" s="25"/>
      <c r="HO105" s="25"/>
      <c r="HP105" s="25"/>
      <c r="HQ105" s="25"/>
      <c r="HR105" s="25"/>
      <c r="HS105" s="25"/>
      <c r="HT105" s="25"/>
      <c r="HU105" s="25"/>
      <c r="HV105" s="25"/>
      <c r="HW105" s="25"/>
      <c r="HX105" s="25"/>
      <c r="HY105" s="25"/>
      <c r="HZ105" s="25"/>
      <c r="IA105" s="25"/>
      <c r="IB105" s="25"/>
      <c r="IC105" s="25"/>
      <c r="ID105" s="25"/>
      <c r="IE105" s="25"/>
      <c r="IF105" s="25"/>
      <c r="IG105" s="25"/>
      <c r="IH105" s="25"/>
      <c r="II105" s="25"/>
      <c r="IJ105" s="25"/>
      <c r="IK105" s="25"/>
      <c r="IL105" s="25"/>
      <c r="IM105" s="25"/>
      <c r="IN105" s="25"/>
      <c r="IO105" s="25"/>
      <c r="IP105" s="25"/>
      <c r="IQ105" s="25"/>
      <c r="IR105" s="25"/>
      <c r="IS105" s="25"/>
      <c r="IT105" s="25"/>
      <c r="IU105" s="25"/>
      <c r="IV105" s="25"/>
      <c r="IW105" s="25"/>
      <c r="IX105" s="25"/>
      <c r="IY105" s="25"/>
      <c r="IZ105" s="25"/>
      <c r="JA105" s="25"/>
      <c r="JB105" s="25"/>
      <c r="JC105" s="25"/>
      <c r="JD105" s="25"/>
      <c r="JE105" s="25"/>
      <c r="JF105" s="25"/>
      <c r="JG105" s="25"/>
      <c r="JH105" s="25"/>
      <c r="JI105" s="25"/>
      <c r="JJ105" s="25"/>
      <c r="JK105" s="25"/>
      <c r="JL105" s="25"/>
      <c r="JM105" s="25"/>
      <c r="JN105" s="25"/>
      <c r="JO105" s="23"/>
      <c r="JP105" s="23"/>
      <c r="JQ105" s="23"/>
    </row>
    <row r="106" spans="1:288" s="118" customFormat="1" x14ac:dyDescent="0.2">
      <c r="A106" s="18"/>
      <c r="B106" s="16">
        <v>2016</v>
      </c>
      <c r="C106" s="20">
        <v>42559</v>
      </c>
      <c r="D106" s="20" t="str">
        <f>CONCATENATE(J106,"-",C106)</f>
        <v>995-42559</v>
      </c>
      <c r="E106" s="20" t="str">
        <f>CONCATENATE(T106,"-",U106,"-",C106)</f>
        <v>PO1-D3-42559</v>
      </c>
      <c r="F106" s="20" t="s">
        <v>106</v>
      </c>
      <c r="G106" s="20" t="s">
        <v>107</v>
      </c>
      <c r="H106" s="16"/>
      <c r="I106" s="16">
        <v>0</v>
      </c>
      <c r="J106" s="21">
        <v>995</v>
      </c>
      <c r="K106" s="21">
        <v>1462</v>
      </c>
      <c r="L106" s="18">
        <v>0</v>
      </c>
      <c r="M106" s="15">
        <f>VLOOKUP(K106,'[7]MLBS 2016 SNV-nem Coinfection d'!$C$1:$G$238,4,FALSE)</f>
        <v>0</v>
      </c>
      <c r="N106" s="15">
        <v>0</v>
      </c>
      <c r="O106" s="15" t="s">
        <v>119</v>
      </c>
      <c r="P106" s="16" t="s">
        <v>119</v>
      </c>
      <c r="Q106" s="16">
        <v>0</v>
      </c>
      <c r="R106" s="16" t="s">
        <v>111</v>
      </c>
      <c r="S106" s="16"/>
      <c r="T106" s="16" t="s">
        <v>112</v>
      </c>
      <c r="U106" s="16" t="s">
        <v>149</v>
      </c>
      <c r="V106" s="16" t="s">
        <v>114</v>
      </c>
      <c r="W106" s="16">
        <f>AI106/AG106</f>
        <v>0.94202898550724634</v>
      </c>
      <c r="X106" s="16" t="s">
        <v>115</v>
      </c>
      <c r="Y106" s="16" t="s">
        <v>145</v>
      </c>
      <c r="Z106" s="16">
        <v>1</v>
      </c>
      <c r="AA106" s="16"/>
      <c r="AB106" s="16"/>
      <c r="AC106" s="16"/>
      <c r="AD106" s="16"/>
      <c r="AE106" s="16" t="s">
        <v>116</v>
      </c>
      <c r="AF106" s="16" t="s">
        <v>116</v>
      </c>
      <c r="AG106" s="16">
        <f>AH106-AI106</f>
        <v>69</v>
      </c>
      <c r="AH106" s="16">
        <v>134</v>
      </c>
      <c r="AI106" s="18">
        <v>65</v>
      </c>
      <c r="AJ106" s="18"/>
      <c r="AK106" s="16">
        <v>11.5</v>
      </c>
      <c r="AL106" s="16">
        <v>0</v>
      </c>
      <c r="AM106" s="16">
        <v>0</v>
      </c>
      <c r="AN106" s="16">
        <v>0</v>
      </c>
      <c r="AO106" s="16">
        <f>IF(SUM(AL106:AN106)&gt;0,1,0)</f>
        <v>0</v>
      </c>
      <c r="AP106" s="16">
        <f>SUM(AL106:AN106)</f>
        <v>0</v>
      </c>
      <c r="AQ106" s="16">
        <v>1.619</v>
      </c>
      <c r="AR106" s="16">
        <v>0.14199999999999999</v>
      </c>
      <c r="AS106" s="16">
        <v>0.14199999999999999</v>
      </c>
      <c r="AT106" s="16" t="s">
        <v>205</v>
      </c>
      <c r="AU106" s="16"/>
      <c r="AV106" s="16"/>
      <c r="AW106" s="22">
        <v>1</v>
      </c>
      <c r="AX106" s="16">
        <v>3</v>
      </c>
      <c r="AY106" s="16">
        <f>(31+246+5)/AS106</f>
        <v>1985.9154929577467</v>
      </c>
      <c r="AZ106" s="18">
        <v>1</v>
      </c>
      <c r="BA106" s="16">
        <v>3</v>
      </c>
      <c r="BB106" s="16">
        <f>AY106</f>
        <v>1985.9154929577467</v>
      </c>
      <c r="BC106" s="16">
        <v>1</v>
      </c>
      <c r="BD106" s="16">
        <v>31</v>
      </c>
      <c r="BE106" s="16">
        <f>31/AS106</f>
        <v>218.3098591549296</v>
      </c>
      <c r="BF106" s="18">
        <v>1</v>
      </c>
      <c r="BG106" s="23">
        <v>246</v>
      </c>
      <c r="BH106" s="16">
        <f>246/AS106</f>
        <v>1732.3943661971832</v>
      </c>
      <c r="BI106" s="16">
        <v>1</v>
      </c>
      <c r="BJ106" s="16">
        <v>5</v>
      </c>
      <c r="BK106" s="16">
        <f>5/AS106</f>
        <v>35.211267605633807</v>
      </c>
      <c r="BL106" s="16">
        <f>IF(BM106&gt;0,1,0)</f>
        <v>0</v>
      </c>
      <c r="BM106" s="16">
        <f>SUM(BR106,BU106,BX106,CA106,CD106,CG106,CJ106,CM106,CP106)</f>
        <v>0</v>
      </c>
      <c r="BN106" s="16">
        <f>SUM(BW106,BZ106,CC106,CF106,CI106,CL106,CO106,CR106,BT106)</f>
        <v>0</v>
      </c>
      <c r="BO106" s="16">
        <f>IF(BP106&gt;0,1,0)</f>
        <v>0</v>
      </c>
      <c r="BP106" s="16">
        <f>SUM(BU106,BX106,CA106,CD106,BR106)</f>
        <v>0</v>
      </c>
      <c r="BQ106" s="16">
        <f>SUM(BZ106,CC106,CF106,BT106,BW106)</f>
        <v>0</v>
      </c>
      <c r="BR106" s="18">
        <v>0</v>
      </c>
      <c r="BS106" s="16">
        <v>0</v>
      </c>
      <c r="BT106" s="23">
        <f>BS106/AS106</f>
        <v>0</v>
      </c>
      <c r="BU106" s="18">
        <v>0</v>
      </c>
      <c r="BV106" s="16">
        <v>0</v>
      </c>
      <c r="BW106" s="18">
        <f>BV106/AS106</f>
        <v>0</v>
      </c>
      <c r="BX106" s="18">
        <v>0</v>
      </c>
      <c r="BY106" s="16">
        <v>0</v>
      </c>
      <c r="BZ106" s="16">
        <f>BY106/AS106</f>
        <v>0</v>
      </c>
      <c r="CA106" s="24">
        <v>0</v>
      </c>
      <c r="CB106" s="16">
        <v>0</v>
      </c>
      <c r="CC106" s="16">
        <v>0</v>
      </c>
      <c r="CD106" s="25">
        <v>0</v>
      </c>
      <c r="CE106" s="16">
        <v>0</v>
      </c>
      <c r="CF106" s="16">
        <v>0</v>
      </c>
      <c r="CG106" s="16"/>
      <c r="CH106" s="16"/>
      <c r="CI106" s="16"/>
      <c r="CJ106" s="16"/>
      <c r="CK106" s="16"/>
      <c r="CL106" s="16"/>
      <c r="CM106" s="16"/>
      <c r="CN106" s="16"/>
      <c r="CO106" s="16"/>
      <c r="CP106" s="16" t="s">
        <v>123</v>
      </c>
      <c r="CQ106" s="16">
        <v>0</v>
      </c>
      <c r="CR106" s="16">
        <v>0</v>
      </c>
      <c r="CS106" s="18">
        <f>IF(CT106&gt;0,1,0)</f>
        <v>0</v>
      </c>
      <c r="CT106" s="25">
        <f>SUM(CW106,CZ106,DC106)</f>
        <v>0</v>
      </c>
      <c r="CU106" s="25"/>
      <c r="CV106" s="16">
        <v>0</v>
      </c>
      <c r="CW106" s="25">
        <v>0</v>
      </c>
      <c r="CX106" s="16">
        <v>0</v>
      </c>
      <c r="CY106" s="16">
        <v>0</v>
      </c>
      <c r="CZ106" s="18">
        <v>0</v>
      </c>
      <c r="DA106" s="16">
        <v>0</v>
      </c>
      <c r="DB106" s="16">
        <v>0</v>
      </c>
      <c r="DC106" s="18">
        <v>0</v>
      </c>
      <c r="DD106" s="16">
        <v>0</v>
      </c>
      <c r="DE106" s="16">
        <v>0</v>
      </c>
      <c r="DF106" s="16" t="e">
        <f>VLOOKUP(K106,'[3]RNA Seq summary tables'!$V$3:$V$99,1,FALSE)</f>
        <v>#N/A</v>
      </c>
      <c r="DG106" s="16">
        <v>1</v>
      </c>
      <c r="DH106" s="16" t="str">
        <f>VLOOKUP(D106,'[8]Data with duplicates'!$B$1:$J$70,9,FALSE)</f>
        <v>sample.55</v>
      </c>
      <c r="DI106" s="16"/>
      <c r="DJ106" s="16"/>
      <c r="DK106" s="16"/>
      <c r="DL106" s="16"/>
      <c r="DM106" s="16"/>
      <c r="DN106" s="16"/>
      <c r="DO106" s="16"/>
      <c r="DP106" s="16"/>
      <c r="DQ106" s="16"/>
      <c r="DR106" s="16"/>
      <c r="DS106" s="16"/>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c r="HJ106" s="18"/>
      <c r="HK106" s="18"/>
      <c r="HL106" s="18"/>
      <c r="HM106" s="18"/>
      <c r="HN106" s="18"/>
      <c r="HO106" s="18"/>
      <c r="HP106" s="18"/>
      <c r="HQ106" s="18"/>
      <c r="HR106" s="18"/>
      <c r="HS106" s="18"/>
      <c r="HT106" s="18"/>
      <c r="HU106" s="18"/>
      <c r="HV106" s="18"/>
      <c r="HW106" s="18"/>
      <c r="HX106" s="18"/>
      <c r="HY106" s="18"/>
      <c r="HZ106" s="18"/>
      <c r="IA106" s="18"/>
      <c r="IB106" s="18"/>
      <c r="IC106" s="18"/>
      <c r="ID106" s="18"/>
      <c r="IE106" s="18"/>
      <c r="IF106" s="18"/>
      <c r="IG106" s="18"/>
      <c r="IH106" s="18"/>
      <c r="II106" s="18"/>
      <c r="IJ106" s="18"/>
      <c r="IK106" s="18"/>
      <c r="IL106" s="18"/>
      <c r="IM106" s="18"/>
      <c r="IN106" s="18"/>
      <c r="IO106" s="18"/>
      <c r="IP106" s="18"/>
      <c r="IQ106" s="18"/>
      <c r="IR106" s="18"/>
      <c r="IS106" s="18"/>
      <c r="IT106" s="18"/>
      <c r="IU106" s="18"/>
      <c r="IV106" s="18"/>
      <c r="IW106" s="18"/>
      <c r="IX106" s="18"/>
      <c r="IY106" s="18"/>
      <c r="IZ106" s="18"/>
      <c r="JA106" s="18"/>
      <c r="JB106" s="18"/>
      <c r="JC106" s="18"/>
      <c r="JD106" s="18"/>
      <c r="JE106" s="18"/>
      <c r="JF106" s="18"/>
      <c r="JG106" s="18"/>
      <c r="JH106" s="18"/>
      <c r="JI106" s="18"/>
      <c r="JJ106" s="18"/>
      <c r="JK106" s="18"/>
      <c r="JL106" s="18"/>
      <c r="JM106" s="18"/>
      <c r="JN106" s="18"/>
      <c r="JO106" s="16"/>
      <c r="JP106" s="16"/>
      <c r="JQ106" s="16"/>
      <c r="JR106" s="16"/>
      <c r="JS106" s="16"/>
      <c r="JT106" s="16"/>
      <c r="JU106" s="16"/>
      <c r="JV106" s="16"/>
      <c r="JW106" s="16"/>
      <c r="JX106" s="16"/>
      <c r="JY106" s="16"/>
      <c r="JZ106" s="16"/>
      <c r="KA106" s="16"/>
      <c r="KB106" s="16"/>
    </row>
    <row r="107" spans="1:288" x14ac:dyDescent="0.2">
      <c r="B107" s="16">
        <v>2016</v>
      </c>
      <c r="C107" s="20">
        <v>42562</v>
      </c>
      <c r="D107" s="20" t="str">
        <f>CONCATENATE(J107,"-",C107)</f>
        <v>997-42562</v>
      </c>
      <c r="E107" s="20" t="str">
        <f>CONCATENATE(T107,"-",U107,"-",C107)</f>
        <v>HW2-A7-42562</v>
      </c>
      <c r="F107" s="20" t="s">
        <v>106</v>
      </c>
      <c r="G107" s="20" t="s">
        <v>107</v>
      </c>
      <c r="I107" s="16">
        <v>0</v>
      </c>
      <c r="J107" s="21">
        <v>997</v>
      </c>
      <c r="K107" s="21">
        <v>1473</v>
      </c>
      <c r="L107" s="18">
        <v>0</v>
      </c>
      <c r="M107" s="15">
        <f>VLOOKUP(K107,'[7]MLBS 2016 SNV-nem Coinfection d'!$C$1:$G$238,4,FALSE)</f>
        <v>0</v>
      </c>
      <c r="N107" s="15">
        <v>0</v>
      </c>
      <c r="O107" s="15" t="s">
        <v>119</v>
      </c>
      <c r="P107" s="16" t="s">
        <v>119</v>
      </c>
      <c r="Q107" s="16">
        <v>0</v>
      </c>
      <c r="R107" s="16" t="s">
        <v>111</v>
      </c>
      <c r="T107" s="16" t="s">
        <v>129</v>
      </c>
      <c r="U107" s="16" t="s">
        <v>120</v>
      </c>
      <c r="V107" s="16" t="s">
        <v>114</v>
      </c>
      <c r="W107" s="16">
        <f>AI107/AG107</f>
        <v>0.89473684210526316</v>
      </c>
      <c r="X107" s="16" t="s">
        <v>115</v>
      </c>
      <c r="Y107" s="16" t="s">
        <v>110</v>
      </c>
      <c r="Z107" s="16">
        <v>3</v>
      </c>
      <c r="AE107" s="16" t="s">
        <v>116</v>
      </c>
      <c r="AF107" s="16" t="s">
        <v>116</v>
      </c>
      <c r="AG107" s="16">
        <f>AH107-AI107</f>
        <v>95</v>
      </c>
      <c r="AH107" s="16">
        <v>180</v>
      </c>
      <c r="AI107" s="16">
        <v>85</v>
      </c>
      <c r="AK107" s="16">
        <v>22.5</v>
      </c>
      <c r="AL107" s="16">
        <v>1</v>
      </c>
      <c r="AM107" s="16">
        <v>0</v>
      </c>
      <c r="AN107" s="16">
        <v>0</v>
      </c>
      <c r="AO107" s="16">
        <f>IF(SUM(AL107:AN107)&gt;0,1,0)</f>
        <v>1</v>
      </c>
      <c r="AP107" s="16">
        <f>SUM(AL107:AN107)</f>
        <v>1</v>
      </c>
      <c r="AQ107" s="16">
        <v>1.796</v>
      </c>
      <c r="AR107" s="16">
        <v>0.31900000000000001</v>
      </c>
      <c r="AS107" s="16">
        <v>0.31900000000000001</v>
      </c>
      <c r="AT107" s="16" t="s">
        <v>124</v>
      </c>
      <c r="AW107" s="22">
        <v>1</v>
      </c>
      <c r="AX107" s="16">
        <v>3</v>
      </c>
      <c r="AY107" s="16">
        <f>(2+4+4)/AS107</f>
        <v>31.347962382445139</v>
      </c>
      <c r="AZ107" s="18">
        <v>1</v>
      </c>
      <c r="BA107" s="16">
        <v>2</v>
      </c>
      <c r="BB107" s="16">
        <f>6/AS107</f>
        <v>18.808777429467085</v>
      </c>
      <c r="BC107" s="16">
        <v>1</v>
      </c>
      <c r="BD107" s="16">
        <v>2</v>
      </c>
      <c r="BE107" s="16">
        <f>2/AS107</f>
        <v>6.2695924764890281</v>
      </c>
      <c r="BF107" s="18">
        <v>1</v>
      </c>
      <c r="BG107" s="23">
        <v>4</v>
      </c>
      <c r="BH107" s="16">
        <f>4/AS107</f>
        <v>12.539184952978056</v>
      </c>
      <c r="BI107" s="18">
        <v>0</v>
      </c>
      <c r="BJ107" s="16">
        <v>0</v>
      </c>
      <c r="BK107" s="16">
        <v>0</v>
      </c>
      <c r="BL107" s="16">
        <f>IF(BM107&gt;0,1,0)</f>
        <v>1</v>
      </c>
      <c r="BM107" s="16">
        <f>SUM(BR107,BU107,BX107,CA107,CD107,CG107,CJ107,CM107,CP107)</f>
        <v>1</v>
      </c>
      <c r="BN107" s="16">
        <f>SUM(BW107,BZ107,CC107,CF107,CI107,CL107,CO107,CR107,BT107)</f>
        <v>12.539184952978056</v>
      </c>
      <c r="BO107" s="16">
        <f>IF(BP107&gt;0,1,0)</f>
        <v>1</v>
      </c>
      <c r="BP107" s="16">
        <f>SUM(BU107,BX107,CA107,CD107,BR107)</f>
        <v>1</v>
      </c>
      <c r="BQ107" s="16">
        <f>SUM(BZ107,CC107,CF107,BT107,BW107)</f>
        <v>12.539184952978056</v>
      </c>
      <c r="BR107" s="18">
        <v>0</v>
      </c>
      <c r="BS107" s="16">
        <v>0</v>
      </c>
      <c r="BT107" s="23">
        <f>BS107/AS107</f>
        <v>0</v>
      </c>
      <c r="BU107" s="18">
        <v>0</v>
      </c>
      <c r="BV107" s="16">
        <v>0</v>
      </c>
      <c r="BW107" s="18">
        <f>BV107/AS107</f>
        <v>0</v>
      </c>
      <c r="BX107" s="24">
        <v>1</v>
      </c>
      <c r="BY107" s="16">
        <v>4</v>
      </c>
      <c r="BZ107" s="16">
        <f>BY107/AS107</f>
        <v>12.539184952978056</v>
      </c>
      <c r="CA107" s="24">
        <v>0</v>
      </c>
      <c r="CB107" s="16">
        <v>0</v>
      </c>
      <c r="CC107" s="16">
        <v>0</v>
      </c>
      <c r="CD107" s="23">
        <v>0</v>
      </c>
      <c r="CE107" s="16">
        <v>0</v>
      </c>
      <c r="CF107" s="16">
        <v>0</v>
      </c>
      <c r="CP107" s="16" t="s">
        <v>123</v>
      </c>
      <c r="CQ107" s="16">
        <v>0</v>
      </c>
      <c r="CR107" s="16">
        <v>0</v>
      </c>
      <c r="CS107" s="18">
        <f>IF(CT107&gt;0,1,0)</f>
        <v>0</v>
      </c>
      <c r="CT107" s="25">
        <f>SUM(CW107,CZ107,DC107)</f>
        <v>0</v>
      </c>
      <c r="CU107" s="25"/>
      <c r="CV107" s="16">
        <v>0</v>
      </c>
      <c r="CW107" s="25">
        <v>0</v>
      </c>
      <c r="CX107" s="16">
        <v>0</v>
      </c>
      <c r="CY107" s="16">
        <v>0</v>
      </c>
      <c r="CZ107" s="18">
        <v>0</v>
      </c>
      <c r="DA107" s="16">
        <v>0</v>
      </c>
      <c r="DB107" s="16">
        <v>0</v>
      </c>
      <c r="DC107" s="18">
        <v>0</v>
      </c>
      <c r="DD107" s="16">
        <v>0</v>
      </c>
      <c r="DE107" s="16">
        <v>0</v>
      </c>
      <c r="DF107" s="16" t="e">
        <f>VLOOKUP(K107,'[3]RNA Seq summary tables'!$V$3:$V$99,1,FALSE)</f>
        <v>#N/A</v>
      </c>
    </row>
    <row r="108" spans="1:288" x14ac:dyDescent="0.2">
      <c r="B108" s="16">
        <v>2016</v>
      </c>
      <c r="C108" s="37">
        <v>42577</v>
      </c>
      <c r="D108" s="37" t="str">
        <f>CONCATENATE(J108,"-",C108)</f>
        <v>997-42577</v>
      </c>
      <c r="E108" s="20" t="str">
        <f>CONCATENATE(T108,"-",U108,"-",C108)</f>
        <v>HW2-H7-42577</v>
      </c>
      <c r="F108" s="20" t="s">
        <v>106</v>
      </c>
      <c r="G108" s="20" t="s">
        <v>107</v>
      </c>
      <c r="H108" s="18"/>
      <c r="I108" s="16">
        <v>0</v>
      </c>
      <c r="J108" s="36">
        <v>997</v>
      </c>
      <c r="K108" s="36">
        <v>1511</v>
      </c>
      <c r="L108" s="16">
        <v>1</v>
      </c>
      <c r="M108" s="15">
        <f>VLOOKUP(K108,'[7]MLBS 2016 SNV-nem Coinfection d'!$C$1:$G$238,4,FALSE)</f>
        <v>0</v>
      </c>
      <c r="N108" s="15">
        <v>0</v>
      </c>
      <c r="O108" s="15" t="s">
        <v>119</v>
      </c>
      <c r="P108" s="18" t="s">
        <v>119</v>
      </c>
      <c r="Q108" s="16">
        <v>0</v>
      </c>
      <c r="R108" s="18">
        <v>15</v>
      </c>
      <c r="S108" s="18"/>
      <c r="T108" s="18" t="s">
        <v>129</v>
      </c>
      <c r="U108" s="18" t="s">
        <v>202</v>
      </c>
      <c r="V108" s="18" t="s">
        <v>114</v>
      </c>
      <c r="W108" s="16">
        <f>AI108/AG108</f>
        <v>0.91489361702127658</v>
      </c>
      <c r="X108" s="18" t="s">
        <v>115</v>
      </c>
      <c r="Y108" s="18" t="s">
        <v>110</v>
      </c>
      <c r="Z108" s="18">
        <v>3</v>
      </c>
      <c r="AA108" s="18"/>
      <c r="AB108" s="18"/>
      <c r="AC108" s="18"/>
      <c r="AD108" s="18"/>
      <c r="AE108" s="18" t="s">
        <v>116</v>
      </c>
      <c r="AF108" s="18" t="s">
        <v>116</v>
      </c>
      <c r="AG108" s="18">
        <f>AH108-AI108</f>
        <v>94</v>
      </c>
      <c r="AH108" s="18">
        <v>180</v>
      </c>
      <c r="AI108" s="18">
        <v>86</v>
      </c>
      <c r="AJ108" s="18"/>
      <c r="AK108" s="18">
        <v>26.5</v>
      </c>
      <c r="AL108" s="16">
        <v>0</v>
      </c>
      <c r="AM108" s="16">
        <v>1</v>
      </c>
      <c r="AN108" s="16">
        <v>0</v>
      </c>
      <c r="AO108" s="16">
        <f>IF(SUM(AL108:AN108)&gt;0,1,0)</f>
        <v>1</v>
      </c>
      <c r="AP108" s="16">
        <f>SUM(AL108:AN108)</f>
        <v>1</v>
      </c>
      <c r="AQ108" s="18"/>
      <c r="AR108" s="18">
        <v>0.19900000000000001</v>
      </c>
      <c r="AS108" s="18">
        <v>0.19900000000000001</v>
      </c>
      <c r="AT108" s="18" t="s">
        <v>212</v>
      </c>
      <c r="AU108" s="18"/>
      <c r="AV108" s="18"/>
      <c r="AW108" s="22">
        <v>1</v>
      </c>
      <c r="AX108" s="18">
        <v>2</v>
      </c>
      <c r="AY108" s="18">
        <f>120/0.199</f>
        <v>603.0150753768844</v>
      </c>
      <c r="AZ108" s="18">
        <v>1</v>
      </c>
      <c r="BA108" s="18">
        <v>2</v>
      </c>
      <c r="BB108" s="18">
        <f>120/0.199</f>
        <v>603.0150753768844</v>
      </c>
      <c r="BC108" s="16">
        <v>1</v>
      </c>
      <c r="BD108" s="18">
        <v>9</v>
      </c>
      <c r="BE108" s="18">
        <f>9/0.199</f>
        <v>45.226130653266331</v>
      </c>
      <c r="BF108" s="18">
        <v>1</v>
      </c>
      <c r="BG108" s="25">
        <v>111</v>
      </c>
      <c r="BH108" s="18">
        <f>111/0.199</f>
        <v>557.7889447236181</v>
      </c>
      <c r="BI108" s="18">
        <v>0</v>
      </c>
      <c r="BJ108" s="18">
        <v>0</v>
      </c>
      <c r="BK108" s="18">
        <v>0</v>
      </c>
      <c r="BL108" s="16">
        <f>IF(BM108&gt;0,1,0)</f>
        <v>0</v>
      </c>
      <c r="BM108" s="16">
        <f>SUM(BR108,BU108,BX108,CA108,CD108,CG108,CJ108,CM108,CP108)</f>
        <v>0</v>
      </c>
      <c r="BN108" s="16">
        <f>SUM(BW108,BZ108,CC108,CF108,CI108,CL108,CO108,CR108,BT108)</f>
        <v>0</v>
      </c>
      <c r="BO108" s="16">
        <f>IF(BP108&gt;0,1,0)</f>
        <v>0</v>
      </c>
      <c r="BP108" s="16">
        <f>SUM(BU108,BX108,CA108,CD108,BR108)</f>
        <v>0</v>
      </c>
      <c r="BQ108" s="16">
        <f>SUM(BZ108,CC108,CF108,BT108,BW108)</f>
        <v>0</v>
      </c>
      <c r="BR108" s="18">
        <v>0</v>
      </c>
      <c r="BS108" s="18">
        <v>0</v>
      </c>
      <c r="BT108" s="23">
        <f>BS108/AS108</f>
        <v>0</v>
      </c>
      <c r="BU108" s="18">
        <v>0</v>
      </c>
      <c r="BV108" s="18">
        <v>0</v>
      </c>
      <c r="BW108" s="18">
        <f>BV108/AS108</f>
        <v>0</v>
      </c>
      <c r="BX108" s="18">
        <v>0</v>
      </c>
      <c r="BY108" s="18">
        <v>0</v>
      </c>
      <c r="BZ108" s="16">
        <f>BY108/AS108</f>
        <v>0</v>
      </c>
      <c r="CA108" s="24">
        <v>0</v>
      </c>
      <c r="CB108" s="18">
        <v>0</v>
      </c>
      <c r="CC108" s="18">
        <v>0</v>
      </c>
      <c r="CD108" s="25">
        <v>0</v>
      </c>
      <c r="CE108" s="18">
        <v>0</v>
      </c>
      <c r="CF108" s="18">
        <v>0</v>
      </c>
      <c r="CG108" s="18"/>
      <c r="CH108" s="18"/>
      <c r="CI108" s="18"/>
      <c r="CJ108" s="18"/>
      <c r="CK108" s="18"/>
      <c r="CL108" s="18"/>
      <c r="CM108" s="18"/>
      <c r="CN108" s="18"/>
      <c r="CO108" s="18"/>
      <c r="CP108" s="18" t="s">
        <v>123</v>
      </c>
      <c r="CQ108" s="18">
        <v>0</v>
      </c>
      <c r="CR108" s="18">
        <v>0</v>
      </c>
      <c r="CS108" s="18">
        <f>IF(CT108&gt;0,1,0)</f>
        <v>0</v>
      </c>
      <c r="CT108" s="25">
        <f>SUM(CW108,CZ108,DC108)</f>
        <v>0</v>
      </c>
      <c r="CU108" s="25"/>
      <c r="CV108" s="18">
        <v>0</v>
      </c>
      <c r="CW108" s="25">
        <v>0</v>
      </c>
      <c r="CX108" s="18">
        <v>0</v>
      </c>
      <c r="CY108" s="18">
        <v>0</v>
      </c>
      <c r="CZ108" s="18">
        <v>0</v>
      </c>
      <c r="DA108" s="18">
        <v>0</v>
      </c>
      <c r="DB108" s="18">
        <v>0</v>
      </c>
      <c r="DC108" s="18">
        <v>0</v>
      </c>
      <c r="DD108" s="18">
        <v>0</v>
      </c>
      <c r="DE108" s="18">
        <v>0</v>
      </c>
      <c r="DF108" s="16">
        <f>VLOOKUP(K108,'[3]RNA Seq summary tables'!$V$3:$V$99,1,FALSE)</f>
        <v>1511</v>
      </c>
      <c r="DI108" s="18"/>
      <c r="DJ108" s="18"/>
      <c r="DK108" s="18"/>
      <c r="DL108" s="18"/>
      <c r="DM108" s="18"/>
      <c r="DN108" s="18"/>
      <c r="DO108" s="18"/>
      <c r="DP108" s="18"/>
      <c r="DQ108" s="18"/>
      <c r="DR108" s="18"/>
      <c r="DS108" s="18"/>
      <c r="JP108" s="19"/>
      <c r="JQ108" s="19"/>
      <c r="JR108" s="18"/>
      <c r="JS108" s="18"/>
      <c r="JT108" s="18"/>
      <c r="JU108" s="18"/>
      <c r="JV108" s="18"/>
      <c r="JW108" s="18"/>
      <c r="JX108" s="18"/>
      <c r="JY108" s="18"/>
      <c r="JZ108" s="18"/>
      <c r="KA108" s="18"/>
      <c r="KB108" s="18"/>
    </row>
    <row r="109" spans="1:288" x14ac:dyDescent="0.2">
      <c r="B109" s="16">
        <v>2016</v>
      </c>
      <c r="C109" s="20">
        <v>42590</v>
      </c>
      <c r="D109" s="20" t="str">
        <f>CONCATENATE(J109,"-",C109)</f>
        <v>997-42590</v>
      </c>
      <c r="E109" s="20" t="str">
        <f>CONCATENATE(T109,"-",U109,"-",C109)</f>
        <v>HW2-H3-42590</v>
      </c>
      <c r="F109" s="20" t="s">
        <v>224</v>
      </c>
      <c r="G109" s="20" t="s">
        <v>107</v>
      </c>
      <c r="I109" s="16">
        <v>0</v>
      </c>
      <c r="J109" s="21">
        <v>997</v>
      </c>
      <c r="K109" s="21">
        <v>1536</v>
      </c>
      <c r="L109" s="18">
        <v>0</v>
      </c>
      <c r="M109" s="15">
        <f>VLOOKUP(K109,'[7]MLBS 2016 SNV-nem Coinfection d'!$C$1:$G$238,4,FALSE)</f>
        <v>0</v>
      </c>
      <c r="N109" s="15">
        <v>0</v>
      </c>
      <c r="O109" s="15" t="s">
        <v>119</v>
      </c>
      <c r="P109" s="16" t="s">
        <v>119</v>
      </c>
      <c r="Q109" s="16">
        <v>0</v>
      </c>
      <c r="R109" s="16">
        <v>13</v>
      </c>
      <c r="T109" s="16" t="s">
        <v>129</v>
      </c>
      <c r="U109" s="16" t="s">
        <v>174</v>
      </c>
      <c r="V109" s="16" t="s">
        <v>114</v>
      </c>
      <c r="W109" s="16">
        <f>AI109/AG109</f>
        <v>0.94565217391304346</v>
      </c>
      <c r="X109" s="16" t="s">
        <v>115</v>
      </c>
      <c r="Y109" s="16" t="s">
        <v>110</v>
      </c>
      <c r="Z109" s="16">
        <v>3</v>
      </c>
      <c r="AE109" s="16" t="s">
        <v>116</v>
      </c>
      <c r="AF109" s="16" t="s">
        <v>116</v>
      </c>
      <c r="AG109" s="16">
        <f>AH109-AI109</f>
        <v>92</v>
      </c>
      <c r="AH109" s="16">
        <v>179</v>
      </c>
      <c r="AI109" s="16">
        <v>87</v>
      </c>
      <c r="AK109" s="16">
        <v>25.5</v>
      </c>
      <c r="AL109" s="16">
        <v>0</v>
      </c>
      <c r="AM109" s="16">
        <v>0</v>
      </c>
      <c r="AN109" s="16">
        <v>1</v>
      </c>
      <c r="AO109" s="16">
        <f>IF(SUM(AL109:AN109)&gt;0,1,0)</f>
        <v>1</v>
      </c>
      <c r="AP109" s="16">
        <f>SUM(AL109:AN109)</f>
        <v>1</v>
      </c>
      <c r="AQ109" s="16">
        <v>1.6719999999999999</v>
      </c>
      <c r="AR109" s="18">
        <v>0.19500000000000001</v>
      </c>
      <c r="AS109" s="18">
        <v>0.19500000000000001</v>
      </c>
      <c r="AT109" s="16" t="s">
        <v>205</v>
      </c>
      <c r="AV109" s="16">
        <v>1</v>
      </c>
      <c r="AW109" s="18">
        <v>0</v>
      </c>
      <c r="AX109" s="18">
        <v>0</v>
      </c>
      <c r="AY109" s="18">
        <v>0</v>
      </c>
      <c r="AZ109" s="18">
        <v>0</v>
      </c>
      <c r="BA109" s="18">
        <v>0</v>
      </c>
      <c r="BB109" s="18">
        <v>0</v>
      </c>
      <c r="BC109" s="18">
        <v>0</v>
      </c>
      <c r="BD109" s="18">
        <v>0</v>
      </c>
      <c r="BE109" s="18">
        <v>0</v>
      </c>
      <c r="BF109" s="18">
        <v>0</v>
      </c>
      <c r="BG109" s="25">
        <v>0</v>
      </c>
      <c r="BH109" s="18">
        <v>0</v>
      </c>
      <c r="BI109" s="18">
        <v>0</v>
      </c>
      <c r="BJ109" s="18">
        <v>0</v>
      </c>
      <c r="BK109" s="18">
        <v>0</v>
      </c>
      <c r="BL109" s="16">
        <f>IF(BM109&gt;0,1,0)</f>
        <v>0</v>
      </c>
      <c r="BM109" s="16">
        <f>SUM(BR109,BU109,BX109,CA109,CD109,CG109,CJ109,CM109,CP109)</f>
        <v>0</v>
      </c>
      <c r="BN109" s="16">
        <f>SUM(BW109,BZ109,CC109,CF109,CI109,CL109,CO109,CR109,BT109)</f>
        <v>0</v>
      </c>
      <c r="BO109" s="16">
        <f>IF(BP109&gt;0,1,0)</f>
        <v>0</v>
      </c>
      <c r="BP109" s="16">
        <f>SUM(BU109,BX109,CA109,CD109,BR109)</f>
        <v>0</v>
      </c>
      <c r="BQ109" s="16">
        <f>SUM(BZ109,CC109,CF109,BT109,BW109)</f>
        <v>0</v>
      </c>
      <c r="BR109" s="18">
        <v>0</v>
      </c>
      <c r="BS109" s="18">
        <v>0</v>
      </c>
      <c r="BT109" s="23">
        <f>BS109/AS109</f>
        <v>0</v>
      </c>
      <c r="BU109" s="18">
        <v>0</v>
      </c>
      <c r="BV109" s="18">
        <v>0</v>
      </c>
      <c r="BW109" s="18">
        <f>BV109/AS109</f>
        <v>0</v>
      </c>
      <c r="BX109" s="18">
        <v>0</v>
      </c>
      <c r="BY109" s="18">
        <v>0</v>
      </c>
      <c r="BZ109" s="16">
        <f>BY109/AS109</f>
        <v>0</v>
      </c>
      <c r="CA109" s="24">
        <v>0</v>
      </c>
      <c r="CB109" s="18">
        <v>0</v>
      </c>
      <c r="CC109" s="18">
        <v>0</v>
      </c>
      <c r="CD109" s="25">
        <v>0</v>
      </c>
      <c r="CE109" s="18">
        <v>0</v>
      </c>
      <c r="CF109" s="18">
        <v>0</v>
      </c>
      <c r="CG109" s="18"/>
      <c r="CH109" s="18"/>
      <c r="CI109" s="18"/>
      <c r="CJ109" s="18"/>
      <c r="CK109" s="18"/>
      <c r="CL109" s="18"/>
      <c r="CM109" s="18"/>
      <c r="CN109" s="18"/>
      <c r="CO109" s="18"/>
      <c r="CP109" s="18" t="s">
        <v>123</v>
      </c>
      <c r="CQ109" s="18">
        <v>0</v>
      </c>
      <c r="CR109" s="18">
        <v>0</v>
      </c>
      <c r="CS109" s="18">
        <f>IF(CT109&gt;0,1,0)</f>
        <v>0</v>
      </c>
      <c r="CT109" s="25">
        <f>SUM(CW109,CZ109,DC109)</f>
        <v>0</v>
      </c>
      <c r="CU109" s="25"/>
      <c r="CV109" s="18">
        <v>0</v>
      </c>
      <c r="CW109" s="25">
        <v>0</v>
      </c>
      <c r="CX109" s="18">
        <v>0</v>
      </c>
      <c r="CY109" s="18">
        <v>0</v>
      </c>
      <c r="CZ109" s="18">
        <v>0</v>
      </c>
      <c r="DA109" s="18">
        <v>0</v>
      </c>
      <c r="DB109" s="18">
        <v>0</v>
      </c>
      <c r="DC109" s="18">
        <v>0</v>
      </c>
      <c r="DD109" s="18">
        <v>0</v>
      </c>
      <c r="DE109" s="18">
        <v>0</v>
      </c>
      <c r="DF109" s="16" t="e">
        <f>VLOOKUP(K109,'[3]RNA Seq summary tables'!$V$3:$V$99,1,FALSE)</f>
        <v>#N/A</v>
      </c>
    </row>
    <row r="110" spans="1:288" x14ac:dyDescent="0.2">
      <c r="A110" s="51">
        <v>1</v>
      </c>
      <c r="B110" s="16">
        <v>2016</v>
      </c>
      <c r="C110" s="37">
        <v>42565</v>
      </c>
      <c r="D110" s="37" t="str">
        <f>CONCATENATE(J110,"-",C110)</f>
        <v>999-42565</v>
      </c>
      <c r="E110" s="20" t="str">
        <f>CONCATENATE(T110,"-",U110,"-",C110)</f>
        <v>SP1-H8-42565</v>
      </c>
      <c r="F110" s="20" t="s">
        <v>106</v>
      </c>
      <c r="G110" s="37" t="s">
        <v>107</v>
      </c>
      <c r="H110" s="18" t="s">
        <v>192</v>
      </c>
      <c r="I110" s="16">
        <v>0</v>
      </c>
      <c r="J110" s="36">
        <v>999</v>
      </c>
      <c r="K110" s="52" t="s">
        <v>215</v>
      </c>
      <c r="L110" s="18">
        <v>0</v>
      </c>
      <c r="M110" s="15">
        <v>0</v>
      </c>
      <c r="N110" s="15">
        <v>0</v>
      </c>
      <c r="O110" s="15" t="s">
        <v>119</v>
      </c>
      <c r="P110" s="18" t="s">
        <v>119</v>
      </c>
      <c r="Q110" s="16">
        <v>0</v>
      </c>
      <c r="R110" s="18" t="s">
        <v>111</v>
      </c>
      <c r="S110" s="18"/>
      <c r="T110" s="18" t="s">
        <v>140</v>
      </c>
      <c r="U110" s="18" t="s">
        <v>152</v>
      </c>
      <c r="V110" s="18" t="s">
        <v>114</v>
      </c>
      <c r="W110" s="18"/>
      <c r="X110" s="18" t="s">
        <v>121</v>
      </c>
      <c r="Y110" s="18" t="s">
        <v>110</v>
      </c>
      <c r="Z110" s="18">
        <v>3</v>
      </c>
      <c r="AA110" s="18" t="s">
        <v>161</v>
      </c>
      <c r="AB110" s="18" t="s">
        <v>123</v>
      </c>
      <c r="AC110" s="18" t="s">
        <v>123</v>
      </c>
      <c r="AD110" s="18" t="s">
        <v>116</v>
      </c>
      <c r="AE110" s="18"/>
      <c r="AF110" s="18"/>
      <c r="AG110" s="18"/>
      <c r="AH110" s="18"/>
      <c r="AI110" s="18"/>
      <c r="AJ110" s="18"/>
      <c r="AK110" s="18">
        <v>25</v>
      </c>
      <c r="AL110" s="18"/>
      <c r="AM110" s="18"/>
      <c r="AN110" s="18"/>
      <c r="AQ110" s="18">
        <v>1.859</v>
      </c>
      <c r="AR110" s="18">
        <v>0.38200000000000001</v>
      </c>
      <c r="AS110" s="18">
        <v>0.38200000000000001</v>
      </c>
      <c r="AT110" s="18" t="s">
        <v>212</v>
      </c>
      <c r="AU110" s="18"/>
      <c r="AV110" s="18"/>
      <c r="AW110" s="22">
        <v>1</v>
      </c>
      <c r="AX110" s="18">
        <v>1</v>
      </c>
      <c r="AY110" s="18">
        <f>(13+74+72+17)/AS110</f>
        <v>460.73298429319374</v>
      </c>
      <c r="AZ110" s="18">
        <v>1</v>
      </c>
      <c r="BA110" s="18">
        <v>1</v>
      </c>
      <c r="BB110" s="18">
        <f>(BD110+BG110+BJ110)/AS110</f>
        <v>2.6178010471204187</v>
      </c>
      <c r="BC110" s="18">
        <v>0</v>
      </c>
      <c r="BD110" s="18">
        <v>0</v>
      </c>
      <c r="BE110" s="18">
        <f>BD110/AS110</f>
        <v>0</v>
      </c>
      <c r="BF110" s="18">
        <v>1</v>
      </c>
      <c r="BG110" s="25">
        <v>1</v>
      </c>
      <c r="BH110" s="18">
        <f>BG110/AS110</f>
        <v>2.6178010471204187</v>
      </c>
      <c r="BI110" s="18">
        <v>0</v>
      </c>
      <c r="BJ110" s="18">
        <v>0</v>
      </c>
      <c r="BK110" s="18">
        <v>0</v>
      </c>
      <c r="BL110" s="16">
        <f>IF(BM110&gt;0,1,0)</f>
        <v>0</v>
      </c>
      <c r="BM110" s="16">
        <f>SUM(BR110,BU110,BX110,CA110,CD110,CG110,CJ110,CM110,CP110)</f>
        <v>0</v>
      </c>
      <c r="BN110" s="16">
        <f>SUM(BW110,BZ110,CC110,CF110,CI110,CL110,CO110,CR110,BT110)</f>
        <v>0</v>
      </c>
      <c r="BO110" s="16">
        <f>IF(BP110&gt;0,1,0)</f>
        <v>0</v>
      </c>
      <c r="BP110" s="16">
        <f>SUM(BU110,BX110,CA110,CD110,BR110)</f>
        <v>0</v>
      </c>
      <c r="BQ110" s="16">
        <f>SUM(BZ110,CC110,CF110,BT110,BW110)</f>
        <v>0</v>
      </c>
      <c r="BR110" s="18">
        <v>0</v>
      </c>
      <c r="BS110" s="18">
        <v>0</v>
      </c>
      <c r="BT110" s="23">
        <f>BS110/AS110</f>
        <v>0</v>
      </c>
      <c r="BU110" s="18">
        <v>0</v>
      </c>
      <c r="BV110" s="18">
        <v>0</v>
      </c>
      <c r="BW110" s="18">
        <f>BV110/AS110</f>
        <v>0</v>
      </c>
      <c r="BX110" s="18">
        <v>0</v>
      </c>
      <c r="BY110" s="18">
        <v>0</v>
      </c>
      <c r="BZ110" s="16">
        <f>BY110/AS110</f>
        <v>0</v>
      </c>
      <c r="CA110" s="24">
        <v>0</v>
      </c>
      <c r="CB110" s="18">
        <v>0</v>
      </c>
      <c r="CC110" s="18">
        <v>0</v>
      </c>
      <c r="CD110" s="25">
        <v>0</v>
      </c>
      <c r="CE110" s="18">
        <v>0</v>
      </c>
      <c r="CF110" s="18">
        <v>0</v>
      </c>
      <c r="CG110" s="18"/>
      <c r="CH110" s="18"/>
      <c r="CI110" s="18"/>
      <c r="CJ110" s="18"/>
      <c r="CK110" s="18"/>
      <c r="CL110" s="18"/>
      <c r="CM110" s="18"/>
      <c r="CN110" s="18"/>
      <c r="CO110" s="18"/>
      <c r="CP110" s="18" t="s">
        <v>123</v>
      </c>
      <c r="CQ110" s="18">
        <v>0</v>
      </c>
      <c r="CR110" s="18">
        <v>0</v>
      </c>
      <c r="CS110" s="18">
        <f>IF(CT110&gt;0,1,0)</f>
        <v>0</v>
      </c>
      <c r="CT110" s="25">
        <f>SUM(CW110,CZ110,DC110)</f>
        <v>0</v>
      </c>
      <c r="CU110" s="25"/>
      <c r="CV110" s="18">
        <v>0</v>
      </c>
      <c r="CW110" s="25">
        <v>0</v>
      </c>
      <c r="CX110" s="18">
        <v>0</v>
      </c>
      <c r="CY110" s="18">
        <v>0</v>
      </c>
      <c r="CZ110" s="18">
        <v>0</v>
      </c>
      <c r="DA110" s="18">
        <v>0</v>
      </c>
      <c r="DB110" s="18">
        <v>0</v>
      </c>
      <c r="DC110" s="18">
        <v>0</v>
      </c>
      <c r="DD110" s="18">
        <v>0</v>
      </c>
      <c r="DE110" s="18">
        <v>0</v>
      </c>
      <c r="DF110" s="16" t="e">
        <f>VLOOKUP(K110,'[3]RNA Seq summary tables'!$V$3:$V$99,1,FALSE)</f>
        <v>#N/A</v>
      </c>
      <c r="DI110" s="18"/>
      <c r="DJ110" s="18"/>
      <c r="DK110" s="18"/>
      <c r="DL110" s="18"/>
      <c r="DM110" s="18"/>
      <c r="DN110" s="18"/>
      <c r="DO110" s="18"/>
      <c r="DP110" s="18"/>
      <c r="DQ110" s="18"/>
      <c r="DR110" s="18"/>
      <c r="DS110" s="18"/>
    </row>
    <row r="111" spans="1:288" x14ac:dyDescent="0.2">
      <c r="B111" s="16">
        <v>2016</v>
      </c>
      <c r="C111" s="20">
        <v>42580</v>
      </c>
      <c r="D111" s="20" t="str">
        <f>CONCATENATE(J111,"-",C111)</f>
        <v>999-42580</v>
      </c>
      <c r="E111" s="20" t="str">
        <f>CONCATENATE(T111,"-",U111,"-",C111)</f>
        <v>SP1-G6-42580</v>
      </c>
      <c r="F111" s="20" t="s">
        <v>106</v>
      </c>
      <c r="G111" s="20" t="s">
        <v>107</v>
      </c>
      <c r="I111" s="16">
        <v>0</v>
      </c>
      <c r="J111" s="21">
        <v>999</v>
      </c>
      <c r="K111" s="21">
        <v>1521</v>
      </c>
      <c r="L111" s="18">
        <v>0</v>
      </c>
      <c r="M111" s="15">
        <f>VLOOKUP(K111,'[7]MLBS 2016 SNV-nem Coinfection d'!$C$1:$G$238,4,FALSE)</f>
        <v>0</v>
      </c>
      <c r="N111" s="15">
        <v>0</v>
      </c>
      <c r="O111" s="15" t="s">
        <v>119</v>
      </c>
      <c r="P111" s="16" t="s">
        <v>119</v>
      </c>
      <c r="Q111" s="16">
        <v>0</v>
      </c>
      <c r="R111" s="16">
        <v>15</v>
      </c>
      <c r="T111" s="16" t="s">
        <v>140</v>
      </c>
      <c r="U111" s="16" t="s">
        <v>218</v>
      </c>
      <c r="V111" s="16" t="s">
        <v>114</v>
      </c>
      <c r="W111" s="16">
        <f>AI111/AG111</f>
        <v>0.85567010309278346</v>
      </c>
      <c r="X111" s="16" t="s">
        <v>121</v>
      </c>
      <c r="Y111" s="16" t="s">
        <v>110</v>
      </c>
      <c r="Z111" s="16">
        <v>3</v>
      </c>
      <c r="AA111" s="16" t="s">
        <v>161</v>
      </c>
      <c r="AB111" s="16" t="s">
        <v>116</v>
      </c>
      <c r="AC111" s="16" t="s">
        <v>123</v>
      </c>
      <c r="AD111" s="16" t="s">
        <v>116</v>
      </c>
      <c r="AG111" s="16">
        <f>AH111-AI111</f>
        <v>97</v>
      </c>
      <c r="AH111" s="16">
        <v>180</v>
      </c>
      <c r="AI111" s="16">
        <v>83</v>
      </c>
      <c r="AK111" s="16">
        <v>26.5</v>
      </c>
      <c r="AL111" s="16">
        <v>0</v>
      </c>
      <c r="AM111" s="16">
        <v>0</v>
      </c>
      <c r="AN111" s="16">
        <v>1</v>
      </c>
      <c r="AO111" s="16">
        <f>IF(SUM(AL111:AN111)&gt;0,1,0)</f>
        <v>1</v>
      </c>
      <c r="AP111" s="16">
        <f>SUM(AL111:AN111)</f>
        <v>1</v>
      </c>
      <c r="AQ111" s="16">
        <v>1.8280000000000001</v>
      </c>
      <c r="AR111" s="16">
        <v>0.38100000000000001</v>
      </c>
      <c r="AS111" s="16">
        <v>0.38100000000000001</v>
      </c>
      <c r="AT111" s="16" t="s">
        <v>205</v>
      </c>
      <c r="AW111" s="22">
        <v>1</v>
      </c>
      <c r="AX111" s="16">
        <v>2</v>
      </c>
      <c r="AY111" s="16">
        <f>(6+10)/AS111</f>
        <v>41.99475065616798</v>
      </c>
      <c r="AZ111" s="18">
        <v>1</v>
      </c>
      <c r="BA111" s="16">
        <v>2</v>
      </c>
      <c r="BB111" s="16">
        <f>AY111</f>
        <v>41.99475065616798</v>
      </c>
      <c r="BC111" s="16">
        <v>1</v>
      </c>
      <c r="BD111" s="16">
        <v>6</v>
      </c>
      <c r="BE111" s="16">
        <f>6/AS111</f>
        <v>15.748031496062993</v>
      </c>
      <c r="BF111" s="18">
        <v>1</v>
      </c>
      <c r="BG111" s="23">
        <v>10</v>
      </c>
      <c r="BH111" s="16">
        <f>10/AS111</f>
        <v>26.246719160104988</v>
      </c>
      <c r="BI111" s="18">
        <v>0</v>
      </c>
      <c r="BJ111" s="16">
        <v>0</v>
      </c>
      <c r="BK111" s="16">
        <v>0</v>
      </c>
      <c r="BL111" s="16">
        <f>IF(BM111&gt;0,1,0)</f>
        <v>0</v>
      </c>
      <c r="BM111" s="16">
        <f>SUM(BR111,BU111,BX111,CA111,CD111,CG111,CJ111,CM111,CP111)</f>
        <v>0</v>
      </c>
      <c r="BN111" s="16">
        <f>SUM(BW111,BZ111,CC111,CF111,CI111,CL111,CO111,CR111,BT111)</f>
        <v>0</v>
      </c>
      <c r="BO111" s="16">
        <f>IF(BP111&gt;0,1,0)</f>
        <v>0</v>
      </c>
      <c r="BP111" s="16">
        <f>SUM(BU111,BX111,CA111,CD111,BR111)</f>
        <v>0</v>
      </c>
      <c r="BQ111" s="16">
        <f>SUM(BZ111,CC111,CF111,BT111,BW111)</f>
        <v>0</v>
      </c>
      <c r="BR111" s="18">
        <v>0</v>
      </c>
      <c r="BS111" s="16">
        <v>0</v>
      </c>
      <c r="BT111" s="23">
        <f>BS111/AS111</f>
        <v>0</v>
      </c>
      <c r="BU111" s="18">
        <v>0</v>
      </c>
      <c r="BV111" s="16">
        <v>0</v>
      </c>
      <c r="BW111" s="18">
        <f>BV111/AS111</f>
        <v>0</v>
      </c>
      <c r="BX111" s="18">
        <v>0</v>
      </c>
      <c r="BY111" s="16">
        <v>0</v>
      </c>
      <c r="BZ111" s="16">
        <f>BY111/AS111</f>
        <v>0</v>
      </c>
      <c r="CA111" s="24">
        <v>0</v>
      </c>
      <c r="CB111" s="16">
        <v>0</v>
      </c>
      <c r="CC111" s="16">
        <v>0</v>
      </c>
      <c r="CD111" s="25">
        <v>0</v>
      </c>
      <c r="CE111" s="16">
        <v>0</v>
      </c>
      <c r="CF111" s="16">
        <v>0</v>
      </c>
      <c r="CP111" s="16" t="s">
        <v>123</v>
      </c>
      <c r="CQ111" s="16">
        <v>0</v>
      </c>
      <c r="CR111" s="16">
        <v>0</v>
      </c>
      <c r="CS111" s="18">
        <f>IF(CT111&gt;0,1,0)</f>
        <v>0</v>
      </c>
      <c r="CT111" s="25">
        <f>SUM(CW111,CZ111,DC111)</f>
        <v>0</v>
      </c>
      <c r="CU111" s="25"/>
      <c r="CV111" s="16">
        <v>0</v>
      </c>
      <c r="CW111" s="25">
        <v>0</v>
      </c>
      <c r="CX111" s="16">
        <v>0</v>
      </c>
      <c r="CY111" s="16">
        <v>0</v>
      </c>
      <c r="CZ111" s="18">
        <v>0</v>
      </c>
      <c r="DA111" s="16">
        <v>0</v>
      </c>
      <c r="DB111" s="16">
        <v>0</v>
      </c>
      <c r="DC111" s="18">
        <v>0</v>
      </c>
      <c r="DD111" s="16">
        <v>0</v>
      </c>
      <c r="DE111" s="16">
        <v>0</v>
      </c>
      <c r="DF111" s="16" t="e">
        <f>VLOOKUP(K111,'[3]RNA Seq summary tables'!$V$3:$V$99,1,FALSE)</f>
        <v>#N/A</v>
      </c>
    </row>
    <row r="112" spans="1:288" x14ac:dyDescent="0.2">
      <c r="B112" s="16">
        <v>2016</v>
      </c>
      <c r="C112" s="20">
        <v>42570</v>
      </c>
      <c r="D112" s="20" t="str">
        <f>CONCATENATE(J112,"-",C112)</f>
        <v>1001-42570</v>
      </c>
      <c r="E112" s="20" t="str">
        <f>CONCATENATE(T112,"-",U112,"-",C112)</f>
        <v>BC2-A8-42570</v>
      </c>
      <c r="F112" s="20" t="s">
        <v>106</v>
      </c>
      <c r="G112" s="20" t="s">
        <v>107</v>
      </c>
      <c r="I112" s="16">
        <v>0</v>
      </c>
      <c r="J112" s="21">
        <v>1001</v>
      </c>
      <c r="K112" s="21">
        <v>1492</v>
      </c>
      <c r="L112" s="18">
        <v>0</v>
      </c>
      <c r="M112" s="15">
        <f>VLOOKUP(K112,'[7]MLBS 2016 SNV-nem Coinfection d'!$C$1:$G$238,4,FALSE)</f>
        <v>0</v>
      </c>
      <c r="N112" s="15">
        <v>0</v>
      </c>
      <c r="O112" s="15" t="s">
        <v>119</v>
      </c>
      <c r="P112" s="16" t="s">
        <v>119</v>
      </c>
      <c r="Q112" s="16">
        <v>0</v>
      </c>
      <c r="R112" s="16" t="s">
        <v>111</v>
      </c>
      <c r="T112" s="16" t="s">
        <v>154</v>
      </c>
      <c r="U112" s="16" t="s">
        <v>194</v>
      </c>
      <c r="V112" s="16" t="s">
        <v>114</v>
      </c>
      <c r="W112" s="16">
        <f>AI112/AG112</f>
        <v>0.76470588235294112</v>
      </c>
      <c r="X112" s="16" t="s">
        <v>121</v>
      </c>
      <c r="Y112" s="16" t="s">
        <v>145</v>
      </c>
      <c r="Z112" s="16">
        <v>1</v>
      </c>
      <c r="AA112" s="16" t="s">
        <v>119</v>
      </c>
      <c r="AB112" s="16" t="s">
        <v>123</v>
      </c>
      <c r="AC112" s="16" t="s">
        <v>123</v>
      </c>
      <c r="AD112" s="16" t="s">
        <v>123</v>
      </c>
      <c r="AG112" s="16">
        <f>AH112-AI112</f>
        <v>68</v>
      </c>
      <c r="AH112" s="16">
        <v>120</v>
      </c>
      <c r="AI112" s="16">
        <v>52</v>
      </c>
      <c r="AK112" s="16">
        <v>9</v>
      </c>
      <c r="AL112" s="16">
        <v>0</v>
      </c>
      <c r="AM112" s="16">
        <v>0</v>
      </c>
      <c r="AN112" s="16">
        <v>0</v>
      </c>
      <c r="AO112" s="16">
        <f>IF(SUM(AL112:AN112)&gt;0,1,0)</f>
        <v>0</v>
      </c>
      <c r="AP112" s="16">
        <f>SUM(AL112:AN112)</f>
        <v>0</v>
      </c>
      <c r="AQ112" s="16">
        <v>1.546</v>
      </c>
      <c r="AR112" s="16">
        <v>9.9000000000000005E-2</v>
      </c>
      <c r="AS112" s="16">
        <v>9.9000000000000005E-2</v>
      </c>
      <c r="AT112" s="16" t="s">
        <v>124</v>
      </c>
      <c r="AV112" s="16">
        <v>1</v>
      </c>
      <c r="AW112" s="18">
        <v>0</v>
      </c>
      <c r="AX112" s="16">
        <v>0</v>
      </c>
      <c r="AY112" s="16">
        <v>0</v>
      </c>
      <c r="AZ112" s="18">
        <v>0</v>
      </c>
      <c r="BA112" s="16">
        <v>0</v>
      </c>
      <c r="BB112" s="16">
        <v>0</v>
      </c>
      <c r="BC112" s="18">
        <v>0</v>
      </c>
      <c r="BD112" s="16">
        <v>0</v>
      </c>
      <c r="BE112" s="16">
        <v>0</v>
      </c>
      <c r="BF112" s="18">
        <v>0</v>
      </c>
      <c r="BG112" s="23">
        <v>0</v>
      </c>
      <c r="BH112" s="16">
        <v>0</v>
      </c>
      <c r="BI112" s="18">
        <v>0</v>
      </c>
      <c r="BJ112" s="16">
        <v>0</v>
      </c>
      <c r="BK112" s="16">
        <v>0</v>
      </c>
      <c r="BL112" s="16">
        <f>IF(BM112&gt;0,1,0)</f>
        <v>0</v>
      </c>
      <c r="BM112" s="16">
        <f>SUM(BR112,BU112,BX112,CA112,CD112,CG112,CJ112,CM112,CP112)</f>
        <v>0</v>
      </c>
      <c r="BN112" s="16">
        <f>SUM(BW112,BZ112,CC112,CF112,CI112,CL112,CO112,CR112,BT112)</f>
        <v>0</v>
      </c>
      <c r="BO112" s="16">
        <f>IF(BP112&gt;0,1,0)</f>
        <v>0</v>
      </c>
      <c r="BP112" s="16">
        <f>SUM(BU112,BX112,CA112,CD112,BR112)</f>
        <v>0</v>
      </c>
      <c r="BQ112" s="16">
        <f>SUM(BZ112,CC112,CF112,BT112,BW112)</f>
        <v>0</v>
      </c>
      <c r="BR112" s="18">
        <v>0</v>
      </c>
      <c r="BS112" s="16">
        <v>0</v>
      </c>
      <c r="BT112" s="23">
        <f>BS112/AS112</f>
        <v>0</v>
      </c>
      <c r="BU112" s="18">
        <v>0</v>
      </c>
      <c r="BV112" s="16">
        <v>0</v>
      </c>
      <c r="BW112" s="18">
        <f>BV112/AS112</f>
        <v>0</v>
      </c>
      <c r="BX112" s="18">
        <v>0</v>
      </c>
      <c r="BY112" s="16">
        <v>0</v>
      </c>
      <c r="BZ112" s="16">
        <f>BY112/AS112</f>
        <v>0</v>
      </c>
      <c r="CA112" s="24">
        <v>0</v>
      </c>
      <c r="CB112" s="16">
        <v>0</v>
      </c>
      <c r="CC112" s="16">
        <v>0</v>
      </c>
      <c r="CD112" s="25">
        <v>0</v>
      </c>
      <c r="CE112" s="16">
        <v>0</v>
      </c>
      <c r="CF112" s="16">
        <v>0</v>
      </c>
      <c r="CP112" s="16" t="s">
        <v>123</v>
      </c>
      <c r="CQ112" s="16">
        <v>0</v>
      </c>
      <c r="CR112" s="16">
        <v>0</v>
      </c>
      <c r="CS112" s="18">
        <f>IF(CT112&gt;0,1,0)</f>
        <v>0</v>
      </c>
      <c r="CT112" s="25">
        <f>SUM(CW112,CZ112,DC112)</f>
        <v>0</v>
      </c>
      <c r="CU112" s="25"/>
      <c r="CV112" s="16">
        <v>0</v>
      </c>
      <c r="CW112" s="25">
        <v>0</v>
      </c>
      <c r="CX112" s="16">
        <v>0</v>
      </c>
      <c r="CY112" s="16">
        <v>0</v>
      </c>
      <c r="CZ112" s="18">
        <v>0</v>
      </c>
      <c r="DA112" s="16">
        <v>0</v>
      </c>
      <c r="DB112" s="16">
        <v>0</v>
      </c>
      <c r="DC112" s="18">
        <v>0</v>
      </c>
      <c r="DD112" s="16">
        <v>0</v>
      </c>
      <c r="DE112" s="16">
        <v>0</v>
      </c>
      <c r="DF112" s="16" t="e">
        <f>VLOOKUP(K112,'[3]RNA Seq summary tables'!$V$3:$V$99,1,FALSE)</f>
        <v>#N/A</v>
      </c>
    </row>
    <row r="113" spans="1:288" x14ac:dyDescent="0.2">
      <c r="B113" s="16">
        <v>2016</v>
      </c>
      <c r="C113" s="20">
        <v>42570</v>
      </c>
      <c r="D113" s="20" t="str">
        <f>CONCATENATE(J113,"-",C113)</f>
        <v>1002-42570</v>
      </c>
      <c r="E113" s="20" t="str">
        <f>CONCATENATE(T113,"-",U113,"-",C113)</f>
        <v>BC1-F1-42570</v>
      </c>
      <c r="F113" s="20" t="s">
        <v>106</v>
      </c>
      <c r="G113" s="20" t="s">
        <v>107</v>
      </c>
      <c r="I113" s="16">
        <v>0</v>
      </c>
      <c r="J113" s="21">
        <v>1002</v>
      </c>
      <c r="K113" s="21">
        <v>1494</v>
      </c>
      <c r="L113" s="18">
        <v>0</v>
      </c>
      <c r="M113" s="15">
        <f>VLOOKUP(K113,'[7]MLBS 2016 SNV-nem Coinfection d'!$C$1:$G$238,4,FALSE)</f>
        <v>0</v>
      </c>
      <c r="N113" s="15">
        <v>0</v>
      </c>
      <c r="O113" s="15" t="s">
        <v>119</v>
      </c>
      <c r="P113" s="16" t="s">
        <v>119</v>
      </c>
      <c r="Q113" s="16">
        <v>0</v>
      </c>
      <c r="R113" s="16" t="s">
        <v>111</v>
      </c>
      <c r="T113" s="16" t="s">
        <v>159</v>
      </c>
      <c r="U113" s="16" t="s">
        <v>217</v>
      </c>
      <c r="V113" s="16" t="s">
        <v>114</v>
      </c>
      <c r="W113" s="16">
        <f>AI113/AG113</f>
        <v>0.8125</v>
      </c>
      <c r="X113" s="16" t="s">
        <v>115</v>
      </c>
      <c r="Y113" s="16" t="s">
        <v>110</v>
      </c>
      <c r="Z113" s="16">
        <v>3</v>
      </c>
      <c r="AE113" s="16" t="s">
        <v>116</v>
      </c>
      <c r="AF113" s="16" t="s">
        <v>116</v>
      </c>
      <c r="AG113" s="16">
        <f>AH113-AI113</f>
        <v>80</v>
      </c>
      <c r="AH113" s="16">
        <v>145</v>
      </c>
      <c r="AI113" s="16">
        <v>65</v>
      </c>
      <c r="AK113" s="16">
        <v>15</v>
      </c>
      <c r="AL113" s="16">
        <v>0</v>
      </c>
      <c r="AM113" s="16">
        <v>0</v>
      </c>
      <c r="AN113" s="16">
        <v>0</v>
      </c>
      <c r="AO113" s="16">
        <f>IF(SUM(AL113:AN113)&gt;0,1,0)</f>
        <v>0</v>
      </c>
      <c r="AP113" s="16">
        <f>SUM(AL113:AN113)</f>
        <v>0</v>
      </c>
      <c r="AQ113" s="16">
        <v>1.5409999999999999</v>
      </c>
      <c r="AR113" s="16">
        <v>6.4000000000000001E-2</v>
      </c>
      <c r="AS113" s="16">
        <v>6.4000000000000001E-2</v>
      </c>
      <c r="AT113" s="16" t="s">
        <v>205</v>
      </c>
      <c r="AW113" s="22">
        <v>1</v>
      </c>
      <c r="AX113" s="16">
        <v>4</v>
      </c>
      <c r="AY113" s="16">
        <f xml:space="preserve"> (111+747+3+9)/AS113</f>
        <v>13593.75</v>
      </c>
      <c r="AZ113" s="18">
        <v>1</v>
      </c>
      <c r="BA113" s="16">
        <v>3</v>
      </c>
      <c r="BB113" s="16">
        <f>(111+747+3)/AS113</f>
        <v>13453.125</v>
      </c>
      <c r="BC113" s="16">
        <v>1</v>
      </c>
      <c r="BD113" s="16">
        <v>111</v>
      </c>
      <c r="BE113" s="16">
        <f>111/AS113</f>
        <v>1734.375</v>
      </c>
      <c r="BF113" s="18">
        <v>1</v>
      </c>
      <c r="BG113" s="23">
        <v>747</v>
      </c>
      <c r="BH113" s="16">
        <f>747/AS113</f>
        <v>11671.875</v>
      </c>
      <c r="BI113" s="16">
        <v>1</v>
      </c>
      <c r="BJ113" s="16">
        <v>3</v>
      </c>
      <c r="BK113" s="16">
        <f>3/AS113</f>
        <v>46.875</v>
      </c>
      <c r="BL113" s="16">
        <f>IF(BM113&gt;0,1,0)</f>
        <v>1</v>
      </c>
      <c r="BM113" s="16">
        <f>SUM(BR113,BU113,BX113,CA113,CD113,CG113,CJ113,CM113,CP113)</f>
        <v>1</v>
      </c>
      <c r="BN113" s="16">
        <f>SUM(BW113,BZ113,CC113,CF113,CI113,CL113,CO113,CR113,BT113)</f>
        <v>140.625</v>
      </c>
      <c r="BO113" s="16">
        <f>IF(BP113&gt;0,1,0)</f>
        <v>1</v>
      </c>
      <c r="BP113" s="16">
        <f>SUM(BU113,BX113,CA113,CD113,BR113)</f>
        <v>1</v>
      </c>
      <c r="BQ113" s="16">
        <f>SUM(BZ113,CC113,CF113,BT113,BW113)</f>
        <v>140.625</v>
      </c>
      <c r="BR113" s="18">
        <v>0</v>
      </c>
      <c r="BS113" s="16">
        <v>0</v>
      </c>
      <c r="BT113" s="23">
        <f>BS113/AS113</f>
        <v>0</v>
      </c>
      <c r="BU113" s="18">
        <v>0</v>
      </c>
      <c r="BV113" s="16">
        <v>0</v>
      </c>
      <c r="BW113" s="18">
        <f>BV113/AS113</f>
        <v>0</v>
      </c>
      <c r="BX113" s="24">
        <v>1</v>
      </c>
      <c r="BY113" s="16">
        <v>9</v>
      </c>
      <c r="BZ113" s="16">
        <f>BY113/AS113</f>
        <v>140.625</v>
      </c>
      <c r="CA113" s="24">
        <v>0</v>
      </c>
      <c r="CB113" s="16">
        <v>0</v>
      </c>
      <c r="CC113" s="16">
        <v>0</v>
      </c>
      <c r="CD113" s="23">
        <v>0</v>
      </c>
      <c r="CE113" s="16">
        <v>0</v>
      </c>
      <c r="CF113" s="16">
        <v>0</v>
      </c>
      <c r="CP113" s="16" t="s">
        <v>123</v>
      </c>
      <c r="CQ113" s="16">
        <v>0</v>
      </c>
      <c r="CR113" s="16">
        <v>0</v>
      </c>
      <c r="CS113" s="18">
        <f>IF(CT113&gt;0,1,0)</f>
        <v>0</v>
      </c>
      <c r="CT113" s="25">
        <f>SUM(CW113,CZ113,DC113)</f>
        <v>0</v>
      </c>
      <c r="CU113" s="25"/>
      <c r="CV113" s="16">
        <v>0</v>
      </c>
      <c r="CW113" s="25">
        <v>0</v>
      </c>
      <c r="CX113" s="16">
        <v>0</v>
      </c>
      <c r="CY113" s="16">
        <v>0</v>
      </c>
      <c r="CZ113" s="18">
        <v>0</v>
      </c>
      <c r="DA113" s="16">
        <v>0</v>
      </c>
      <c r="DB113" s="16">
        <v>0</v>
      </c>
      <c r="DC113" s="18">
        <v>0</v>
      </c>
      <c r="DD113" s="16">
        <v>0</v>
      </c>
      <c r="DE113" s="16">
        <v>0</v>
      </c>
      <c r="DF113" s="16" t="e">
        <f>VLOOKUP(K113,'[3]RNA Seq summary tables'!$V$3:$V$99,1,FALSE)</f>
        <v>#N/A</v>
      </c>
      <c r="DG113" s="16">
        <v>1</v>
      </c>
      <c r="DH113" s="16" t="str">
        <f>VLOOKUP(D113,'[8]Data with duplicates'!$B$1:$J$70,9,FALSE)</f>
        <v>sample.4</v>
      </c>
      <c r="JR113" s="18"/>
      <c r="JS113" s="18"/>
      <c r="JT113" s="18"/>
      <c r="JU113" s="18"/>
      <c r="JV113" s="18"/>
      <c r="JW113" s="18"/>
      <c r="JX113" s="18"/>
      <c r="JY113" s="18"/>
      <c r="JZ113" s="18"/>
      <c r="KA113" s="18"/>
      <c r="KB113" s="18"/>
    </row>
    <row r="114" spans="1:288" x14ac:dyDescent="0.2">
      <c r="B114" s="16">
        <v>2016</v>
      </c>
      <c r="C114" s="37">
        <v>42585</v>
      </c>
      <c r="D114" s="37" t="str">
        <f>CONCATENATE(J114,"-",C114)</f>
        <v>1002-42585</v>
      </c>
      <c r="E114" s="20" t="str">
        <f>CONCATENATE(T114,"-",U114,"-",C114)</f>
        <v>BC1-F4-42585</v>
      </c>
      <c r="F114" s="20" t="s">
        <v>106</v>
      </c>
      <c r="G114" s="20" t="s">
        <v>107</v>
      </c>
      <c r="H114" s="18"/>
      <c r="I114" s="16">
        <v>0</v>
      </c>
      <c r="J114" s="36">
        <v>1002</v>
      </c>
      <c r="K114" s="36">
        <v>1528</v>
      </c>
      <c r="L114" s="18">
        <v>0</v>
      </c>
      <c r="M114" s="15">
        <f>VLOOKUP(K114,'[7]MLBS 2016 SNV-nem Coinfection d'!$C$1:$G$238,4,FALSE)</f>
        <v>0</v>
      </c>
      <c r="N114" s="15">
        <v>0</v>
      </c>
      <c r="O114" s="15" t="s">
        <v>119</v>
      </c>
      <c r="P114" s="18" t="s">
        <v>119</v>
      </c>
      <c r="Q114" s="16">
        <v>0</v>
      </c>
      <c r="R114" s="18">
        <v>15</v>
      </c>
      <c r="S114" s="18"/>
      <c r="T114" s="18" t="s">
        <v>159</v>
      </c>
      <c r="U114" s="18" t="s">
        <v>184</v>
      </c>
      <c r="V114" s="18" t="s">
        <v>114</v>
      </c>
      <c r="W114" s="16">
        <f>AI114/AG114</f>
        <v>0.84810126582278478</v>
      </c>
      <c r="X114" s="18" t="s">
        <v>115</v>
      </c>
      <c r="Y114" s="18" t="s">
        <v>110</v>
      </c>
      <c r="Z114" s="18">
        <v>3</v>
      </c>
      <c r="AA114" s="18"/>
      <c r="AB114" s="18"/>
      <c r="AC114" s="18"/>
      <c r="AD114" s="18"/>
      <c r="AE114" s="18" t="s">
        <v>123</v>
      </c>
      <c r="AF114" s="18" t="s">
        <v>123</v>
      </c>
      <c r="AG114" s="18">
        <f>AH114-AI114</f>
        <v>79</v>
      </c>
      <c r="AH114" s="18">
        <v>146</v>
      </c>
      <c r="AI114" s="18">
        <v>67</v>
      </c>
      <c r="AJ114" s="18"/>
      <c r="AK114" s="18">
        <v>19.5</v>
      </c>
      <c r="AL114" s="16">
        <v>0</v>
      </c>
      <c r="AM114" s="16">
        <v>0</v>
      </c>
      <c r="AN114" s="16">
        <v>0</v>
      </c>
      <c r="AO114" s="16">
        <f>IF(SUM(AL114:AN114)&gt;0,1,0)</f>
        <v>0</v>
      </c>
      <c r="AP114" s="16">
        <f>SUM(AL114:AN114)</f>
        <v>0</v>
      </c>
      <c r="AQ114" s="18"/>
      <c r="AR114" s="18">
        <v>0.44500000000000001</v>
      </c>
      <c r="AS114" s="18">
        <v>0.44500000000000001</v>
      </c>
      <c r="AT114" s="18" t="s">
        <v>212</v>
      </c>
      <c r="AU114" s="18"/>
      <c r="AV114" s="18"/>
      <c r="AW114" s="18">
        <v>1</v>
      </c>
      <c r="AX114" s="18">
        <v>1</v>
      </c>
      <c r="AY114" s="18">
        <f>12/AS114</f>
        <v>26.966292134831459</v>
      </c>
      <c r="AZ114" s="18">
        <v>0</v>
      </c>
      <c r="BA114" s="18">
        <v>0</v>
      </c>
      <c r="BB114" s="18">
        <v>0</v>
      </c>
      <c r="BC114" s="18">
        <v>0</v>
      </c>
      <c r="BD114" s="18">
        <v>0</v>
      </c>
      <c r="BE114" s="18">
        <v>0</v>
      </c>
      <c r="BF114" s="18">
        <v>0</v>
      </c>
      <c r="BG114" s="25">
        <v>0</v>
      </c>
      <c r="BH114" s="18">
        <v>0</v>
      </c>
      <c r="BI114" s="18">
        <v>0</v>
      </c>
      <c r="BJ114" s="18">
        <v>0</v>
      </c>
      <c r="BK114" s="18">
        <v>0</v>
      </c>
      <c r="BL114" s="16">
        <f>IF(BM114&gt;0,1,0)</f>
        <v>1</v>
      </c>
      <c r="BM114" s="16">
        <f>SUM(BR114,BU114,BX114,CA114,CD114,CG114,CJ114,CM114,CP114)</f>
        <v>1</v>
      </c>
      <c r="BN114" s="16">
        <f>SUM(BW114,BZ114,CC114,CF114,CI114,CL114,CO114,CR114,BT114)</f>
        <v>26.966292134831459</v>
      </c>
      <c r="BO114" s="16">
        <f>IF(BP114&gt;0,1,0)</f>
        <v>1</v>
      </c>
      <c r="BP114" s="16">
        <f>SUM(BU114,BX114,CA114,CD114,BR114)</f>
        <v>1</v>
      </c>
      <c r="BQ114" s="16">
        <f>SUM(BZ114,CC114,CF114,BT114,BW114)</f>
        <v>26.966292134831459</v>
      </c>
      <c r="BR114" s="18">
        <v>0</v>
      </c>
      <c r="BS114" s="18">
        <v>0</v>
      </c>
      <c r="BT114" s="23">
        <f>BS114/AS114</f>
        <v>0</v>
      </c>
      <c r="BU114" s="18">
        <v>0</v>
      </c>
      <c r="BV114" s="18">
        <v>0</v>
      </c>
      <c r="BW114" s="18">
        <f>BV114/AS114</f>
        <v>0</v>
      </c>
      <c r="BX114" s="24">
        <v>1</v>
      </c>
      <c r="BY114" s="18">
        <v>12</v>
      </c>
      <c r="BZ114" s="16">
        <f>BY114/AS114</f>
        <v>26.966292134831459</v>
      </c>
      <c r="CA114" s="24">
        <v>0</v>
      </c>
      <c r="CB114" s="18">
        <v>0</v>
      </c>
      <c r="CC114" s="18">
        <v>0</v>
      </c>
      <c r="CD114" s="25">
        <v>0</v>
      </c>
      <c r="CE114" s="18">
        <v>0</v>
      </c>
      <c r="CF114" s="18">
        <v>0</v>
      </c>
      <c r="CG114" s="18"/>
      <c r="CH114" s="18"/>
      <c r="CI114" s="18"/>
      <c r="CJ114" s="18"/>
      <c r="CK114" s="18"/>
      <c r="CL114" s="18"/>
      <c r="CM114" s="18"/>
      <c r="CN114" s="18"/>
      <c r="CO114" s="18"/>
      <c r="CP114" s="18" t="s">
        <v>123</v>
      </c>
      <c r="CQ114" s="18">
        <v>0</v>
      </c>
      <c r="CR114" s="18">
        <v>0</v>
      </c>
      <c r="CS114" s="18">
        <f>IF(CT114&gt;0,1,0)</f>
        <v>0</v>
      </c>
      <c r="CT114" s="25">
        <f>SUM(CW114,CZ114,DC114)</f>
        <v>0</v>
      </c>
      <c r="CU114" s="25"/>
      <c r="CV114" s="18">
        <v>0</v>
      </c>
      <c r="CW114" s="25">
        <v>0</v>
      </c>
      <c r="CX114" s="18">
        <v>0</v>
      </c>
      <c r="CY114" s="18">
        <v>0</v>
      </c>
      <c r="CZ114" s="18">
        <v>0</v>
      </c>
      <c r="DA114" s="18">
        <v>0</v>
      </c>
      <c r="DB114" s="18">
        <v>0</v>
      </c>
      <c r="DC114" s="18">
        <v>0</v>
      </c>
      <c r="DD114" s="18">
        <v>0</v>
      </c>
      <c r="DE114" s="18">
        <v>0</v>
      </c>
      <c r="DF114" s="16" t="e">
        <f>VLOOKUP(K114,'[3]RNA Seq summary tables'!$V$3:$V$99,1,FALSE)</f>
        <v>#N/A</v>
      </c>
      <c r="DG114" s="16">
        <v>1</v>
      </c>
      <c r="DH114" s="16" t="str">
        <f>VLOOKUP(D114,'[8]Data with duplicates'!$B$1:$J$70,9,FALSE)</f>
        <v>sample.5</v>
      </c>
      <c r="DI114" s="18"/>
      <c r="DJ114" s="18"/>
      <c r="DK114" s="18"/>
      <c r="DL114" s="18"/>
      <c r="DM114" s="18"/>
      <c r="DN114" s="18"/>
      <c r="DO114" s="18"/>
      <c r="DP114" s="18"/>
      <c r="DQ114" s="18"/>
      <c r="DR114" s="18"/>
      <c r="DS114" s="18"/>
    </row>
    <row r="115" spans="1:288" x14ac:dyDescent="0.2">
      <c r="B115" s="16">
        <v>2016</v>
      </c>
      <c r="C115" s="37">
        <v>42597</v>
      </c>
      <c r="D115" s="37" t="str">
        <f>CONCATENATE(J115,"-",C115)</f>
        <v>1002-42597</v>
      </c>
      <c r="E115" s="20" t="str">
        <f>CONCATENATE(T115,"-",U115,"-",C115)</f>
        <v>BC1-E1-42597</v>
      </c>
      <c r="F115" s="20" t="s">
        <v>227</v>
      </c>
      <c r="G115" s="20" t="s">
        <v>107</v>
      </c>
      <c r="H115" s="18"/>
      <c r="I115" s="16">
        <v>0</v>
      </c>
      <c r="J115" s="36">
        <v>1002</v>
      </c>
      <c r="K115" s="36">
        <v>1551</v>
      </c>
      <c r="L115" s="18">
        <v>0</v>
      </c>
      <c r="M115" s="15">
        <f>VLOOKUP(K115,'[7]MLBS 2016 SNV-nem Coinfection d'!$C$1:$G$238,4,FALSE)</f>
        <v>0</v>
      </c>
      <c r="N115" s="15">
        <v>0</v>
      </c>
      <c r="O115" s="15" t="s">
        <v>119</v>
      </c>
      <c r="P115" s="18" t="s">
        <v>119</v>
      </c>
      <c r="Q115" s="16">
        <v>0</v>
      </c>
      <c r="R115" s="18">
        <v>12</v>
      </c>
      <c r="S115" s="18"/>
      <c r="T115" s="18" t="s">
        <v>159</v>
      </c>
      <c r="U115" s="18" t="s">
        <v>222</v>
      </c>
      <c r="V115" s="18" t="s">
        <v>114</v>
      </c>
      <c r="W115" s="16">
        <f>AI115/AG115</f>
        <v>0.93333333333333335</v>
      </c>
      <c r="X115" s="18" t="s">
        <v>115</v>
      </c>
      <c r="Y115" s="18" t="s">
        <v>110</v>
      </c>
      <c r="Z115" s="18">
        <v>3</v>
      </c>
      <c r="AA115" s="18"/>
      <c r="AB115" s="18"/>
      <c r="AC115" s="18"/>
      <c r="AD115" s="18"/>
      <c r="AE115" s="18" t="s">
        <v>116</v>
      </c>
      <c r="AF115" s="18" t="s">
        <v>116</v>
      </c>
      <c r="AG115" s="18">
        <f>AH115-AI115</f>
        <v>75</v>
      </c>
      <c r="AH115" s="18">
        <v>145</v>
      </c>
      <c r="AI115" s="18">
        <v>70</v>
      </c>
      <c r="AJ115" s="18"/>
      <c r="AK115" s="18">
        <v>21</v>
      </c>
      <c r="AL115" s="16">
        <v>0</v>
      </c>
      <c r="AM115" s="16">
        <v>0</v>
      </c>
      <c r="AN115" s="16">
        <v>1</v>
      </c>
      <c r="AO115" s="16">
        <f>IF(SUM(AL115:AN115)&gt;0,1,0)</f>
        <v>1</v>
      </c>
      <c r="AP115" s="16">
        <f>SUM(AL115:AN115)</f>
        <v>1</v>
      </c>
      <c r="AQ115" s="18"/>
      <c r="AR115" s="18">
        <v>0.24299999999999999</v>
      </c>
      <c r="AS115" s="18">
        <v>0.24299999999999999</v>
      </c>
      <c r="AT115" s="18" t="s">
        <v>212</v>
      </c>
      <c r="AU115" s="18"/>
      <c r="AV115" s="18"/>
      <c r="AW115" s="18">
        <v>1</v>
      </c>
      <c r="AX115" s="24">
        <v>1</v>
      </c>
      <c r="AY115" s="24">
        <f>14/AS115</f>
        <v>57.613168724279838</v>
      </c>
      <c r="AZ115" s="18">
        <v>0</v>
      </c>
      <c r="BA115" s="24">
        <v>0</v>
      </c>
      <c r="BB115" s="24">
        <v>0</v>
      </c>
      <c r="BC115" s="18">
        <v>0</v>
      </c>
      <c r="BD115" s="24">
        <v>0</v>
      </c>
      <c r="BE115" s="24">
        <v>0</v>
      </c>
      <c r="BF115" s="18">
        <v>0</v>
      </c>
      <c r="BG115" s="53">
        <v>0</v>
      </c>
      <c r="BH115" s="24">
        <v>0</v>
      </c>
      <c r="BI115" s="18">
        <v>0</v>
      </c>
      <c r="BJ115" s="24">
        <v>0</v>
      </c>
      <c r="BK115" s="24">
        <v>0</v>
      </c>
      <c r="BL115" s="16">
        <f>IF(BM115&gt;0,1,0)</f>
        <v>1</v>
      </c>
      <c r="BM115" s="16">
        <f>SUM(BR115,BU115,BX115,CA115,CD115,CG115,CJ115,CM115,CP115)</f>
        <v>1</v>
      </c>
      <c r="BN115" s="16">
        <f>SUM(BW115,BZ115,CC115,CF115,CI115,CL115,CO115,CR115,BT115)</f>
        <v>57.613168724279838</v>
      </c>
      <c r="BO115" s="16">
        <f>IF(BP115&gt;0,1,0)</f>
        <v>1</v>
      </c>
      <c r="BP115" s="16">
        <f>SUM(BU115,BX115,CA115,CD115,BR115)</f>
        <v>1</v>
      </c>
      <c r="BQ115" s="16">
        <f>SUM(BZ115,CC115,CF115,BT115,BW115)</f>
        <v>57.613168724279838</v>
      </c>
      <c r="BR115" s="18">
        <v>0</v>
      </c>
      <c r="BS115" s="24">
        <v>0</v>
      </c>
      <c r="BT115" s="23">
        <f>BS115/AS115</f>
        <v>0</v>
      </c>
      <c r="BU115" s="18">
        <v>0</v>
      </c>
      <c r="BV115" s="24">
        <v>0</v>
      </c>
      <c r="BW115" s="18">
        <f>BV115/AS115</f>
        <v>0</v>
      </c>
      <c r="BX115" s="24">
        <v>1</v>
      </c>
      <c r="BY115" s="24">
        <v>14</v>
      </c>
      <c r="BZ115" s="16">
        <f>BY115/AS115</f>
        <v>57.613168724279838</v>
      </c>
      <c r="CA115" s="24">
        <v>0</v>
      </c>
      <c r="CB115" s="24">
        <v>0</v>
      </c>
      <c r="CC115" s="24">
        <v>0</v>
      </c>
      <c r="CD115" s="25">
        <v>0</v>
      </c>
      <c r="CE115" s="24">
        <v>0</v>
      </c>
      <c r="CF115" s="24">
        <v>0</v>
      </c>
      <c r="CG115" s="24"/>
      <c r="CH115" s="24"/>
      <c r="CI115" s="24"/>
      <c r="CJ115" s="24"/>
      <c r="CK115" s="24"/>
      <c r="CL115" s="24"/>
      <c r="CM115" s="24"/>
      <c r="CN115" s="24"/>
      <c r="CO115" s="24"/>
      <c r="CP115" s="24" t="s">
        <v>123</v>
      </c>
      <c r="CQ115" s="24">
        <v>0</v>
      </c>
      <c r="CR115" s="24">
        <v>0</v>
      </c>
      <c r="CS115" s="18">
        <f>IF(CT115&gt;0,1,0)</f>
        <v>0</v>
      </c>
      <c r="CT115" s="25">
        <f>SUM(CW115,CZ115,DC115)</f>
        <v>0</v>
      </c>
      <c r="CU115" s="25"/>
      <c r="CV115" s="24">
        <v>0</v>
      </c>
      <c r="CW115" s="25">
        <v>0</v>
      </c>
      <c r="CX115" s="24">
        <v>0</v>
      </c>
      <c r="CY115" s="24">
        <v>0</v>
      </c>
      <c r="CZ115" s="18">
        <v>0</v>
      </c>
      <c r="DA115" s="24">
        <v>0</v>
      </c>
      <c r="DB115" s="24">
        <v>0</v>
      </c>
      <c r="DC115" s="18">
        <v>0</v>
      </c>
      <c r="DD115" s="24">
        <v>0</v>
      </c>
      <c r="DE115" s="24">
        <v>0</v>
      </c>
      <c r="DF115" s="16" t="e">
        <f>VLOOKUP(K115,'[3]RNA Seq summary tables'!$V$3:$V$99,1,FALSE)</f>
        <v>#N/A</v>
      </c>
      <c r="DG115" s="16">
        <v>1</v>
      </c>
      <c r="DH115" s="16" t="str">
        <f>VLOOKUP(D115,'[8]Data with duplicates'!$B$1:$J$70,9,FALSE)</f>
        <v>sample.3</v>
      </c>
      <c r="DI115" s="18"/>
      <c r="DJ115" s="18"/>
      <c r="DK115" s="18"/>
      <c r="DL115" s="18"/>
      <c r="DM115" s="18"/>
      <c r="DN115" s="18"/>
      <c r="DO115" s="18"/>
      <c r="DP115" s="18"/>
      <c r="DQ115" s="18"/>
      <c r="DR115" s="18"/>
      <c r="DS115" s="18"/>
    </row>
    <row r="116" spans="1:288" x14ac:dyDescent="0.2">
      <c r="B116" s="16">
        <v>2016</v>
      </c>
      <c r="C116" s="37">
        <v>42572</v>
      </c>
      <c r="D116" s="37" t="str">
        <f>CONCATENATE(J116,"-",C116)</f>
        <v>1004-42572</v>
      </c>
      <c r="E116" s="20" t="str">
        <f>CONCATENATE(T116,"-",U116,"-",C116)</f>
        <v>PO1-E8-42572</v>
      </c>
      <c r="F116" s="20" t="s">
        <v>106</v>
      </c>
      <c r="G116" s="20" t="s">
        <v>107</v>
      </c>
      <c r="H116" s="40" t="s">
        <v>169</v>
      </c>
      <c r="I116" s="16">
        <v>0</v>
      </c>
      <c r="J116" s="36">
        <v>1004</v>
      </c>
      <c r="K116" s="36">
        <v>1497</v>
      </c>
      <c r="L116" s="18">
        <v>0</v>
      </c>
      <c r="M116" s="15">
        <f>VLOOKUP(K116,'[7]MLBS 2016 SNV-nem Coinfection d'!$C$1:$G$238,4,FALSE)</f>
        <v>0</v>
      </c>
      <c r="N116" s="15">
        <v>0</v>
      </c>
      <c r="O116" s="15" t="s">
        <v>119</v>
      </c>
      <c r="P116" s="18" t="s">
        <v>119</v>
      </c>
      <c r="Q116" s="16">
        <v>0</v>
      </c>
      <c r="R116" s="18" t="s">
        <v>111</v>
      </c>
      <c r="S116" s="18"/>
      <c r="T116" s="18" t="s">
        <v>112</v>
      </c>
      <c r="U116" s="18" t="s">
        <v>181</v>
      </c>
      <c r="V116" s="18" t="s">
        <v>142</v>
      </c>
      <c r="W116" s="16">
        <f>AI116/AG116</f>
        <v>1.0240963855421688</v>
      </c>
      <c r="X116" s="18" t="s">
        <v>121</v>
      </c>
      <c r="Y116" s="18" t="s">
        <v>122</v>
      </c>
      <c r="Z116" s="18">
        <v>2.9</v>
      </c>
      <c r="AA116" s="18" t="s">
        <v>119</v>
      </c>
      <c r="AB116" s="18" t="s">
        <v>123</v>
      </c>
      <c r="AC116" s="18" t="s">
        <v>123</v>
      </c>
      <c r="AD116" s="18" t="s">
        <v>123</v>
      </c>
      <c r="AE116" s="18"/>
      <c r="AF116" s="18"/>
      <c r="AG116" s="18">
        <f>AH116-AI116</f>
        <v>83</v>
      </c>
      <c r="AH116" s="18">
        <v>168</v>
      </c>
      <c r="AI116" s="18">
        <v>85</v>
      </c>
      <c r="AJ116" s="18"/>
      <c r="AK116" s="18">
        <v>12</v>
      </c>
      <c r="AL116" s="16">
        <v>0</v>
      </c>
      <c r="AM116" s="16">
        <v>0</v>
      </c>
      <c r="AN116" s="16">
        <v>0</v>
      </c>
      <c r="AO116" s="16">
        <f>IF(SUM(AL116:AN116)&gt;0,1,0)</f>
        <v>0</v>
      </c>
      <c r="AP116" s="16">
        <f>SUM(AL116:AN116)</f>
        <v>0</v>
      </c>
      <c r="AQ116" s="18"/>
      <c r="AR116" s="18">
        <v>0.20300000000000001</v>
      </c>
      <c r="AS116" s="18">
        <v>0.20300000000000001</v>
      </c>
      <c r="AT116" s="18" t="s">
        <v>212</v>
      </c>
      <c r="AU116" s="18"/>
      <c r="AV116" s="18">
        <v>1</v>
      </c>
      <c r="AW116" s="18">
        <v>0</v>
      </c>
      <c r="AX116" s="18">
        <v>0</v>
      </c>
      <c r="AY116" s="18">
        <v>0</v>
      </c>
      <c r="AZ116" s="18">
        <v>0</v>
      </c>
      <c r="BA116" s="18">
        <v>0</v>
      </c>
      <c r="BB116" s="18">
        <v>0</v>
      </c>
      <c r="BC116" s="18">
        <v>0</v>
      </c>
      <c r="BD116" s="18">
        <v>0</v>
      </c>
      <c r="BE116" s="18">
        <v>0</v>
      </c>
      <c r="BF116" s="18">
        <v>0</v>
      </c>
      <c r="BG116" s="25">
        <v>0</v>
      </c>
      <c r="BH116" s="18">
        <v>0</v>
      </c>
      <c r="BI116" s="18">
        <v>0</v>
      </c>
      <c r="BJ116" s="18">
        <v>0</v>
      </c>
      <c r="BK116" s="18">
        <v>0</v>
      </c>
      <c r="BL116" s="16">
        <f>IF(BM116&gt;0,1,0)</f>
        <v>0</v>
      </c>
      <c r="BM116" s="16">
        <f>SUM(BR116,BU116,BX116,CA116,CD116,CG116,CJ116,CM116,CP116)</f>
        <v>0</v>
      </c>
      <c r="BN116" s="16">
        <f>SUM(BW116,BZ116,CC116,CF116,CI116,CL116,CO116,CR116,BT116)</f>
        <v>0</v>
      </c>
      <c r="BO116" s="16">
        <f>IF(BP116&gt;0,1,0)</f>
        <v>0</v>
      </c>
      <c r="BP116" s="16">
        <f>SUM(BU116,BX116,CA116,CD116,BR116)</f>
        <v>0</v>
      </c>
      <c r="BQ116" s="16">
        <f>SUM(BZ116,CC116,CF116,BT116,BW116)</f>
        <v>0</v>
      </c>
      <c r="BR116" s="18">
        <v>0</v>
      </c>
      <c r="BS116" s="18">
        <v>0</v>
      </c>
      <c r="BT116" s="23">
        <f>BS116/AS116</f>
        <v>0</v>
      </c>
      <c r="BU116" s="18">
        <v>0</v>
      </c>
      <c r="BV116" s="18">
        <v>0</v>
      </c>
      <c r="BW116" s="18">
        <f>BV116/AS116</f>
        <v>0</v>
      </c>
      <c r="BX116" s="18">
        <v>0</v>
      </c>
      <c r="BY116" s="18">
        <v>0</v>
      </c>
      <c r="BZ116" s="16">
        <f>BY116/AS116</f>
        <v>0</v>
      </c>
      <c r="CA116" s="24">
        <v>0</v>
      </c>
      <c r="CB116" s="18">
        <v>0</v>
      </c>
      <c r="CC116" s="18">
        <v>0</v>
      </c>
      <c r="CD116" s="25">
        <v>0</v>
      </c>
      <c r="CE116" s="18">
        <v>0</v>
      </c>
      <c r="CF116" s="18">
        <v>0</v>
      </c>
      <c r="CG116" s="18"/>
      <c r="CH116" s="18"/>
      <c r="CI116" s="18"/>
      <c r="CJ116" s="18"/>
      <c r="CK116" s="18"/>
      <c r="CL116" s="18"/>
      <c r="CM116" s="18"/>
      <c r="CN116" s="18"/>
      <c r="CO116" s="18"/>
      <c r="CP116" s="18" t="s">
        <v>123</v>
      </c>
      <c r="CQ116" s="18">
        <v>0</v>
      </c>
      <c r="CR116" s="18">
        <v>0</v>
      </c>
      <c r="CS116" s="18">
        <f>IF(CT116&gt;0,1,0)</f>
        <v>0</v>
      </c>
      <c r="CT116" s="25">
        <f>SUM(CW116,CZ116,DC116)</f>
        <v>0</v>
      </c>
      <c r="CU116" s="25"/>
      <c r="CV116" s="18">
        <v>0</v>
      </c>
      <c r="CW116" s="25">
        <v>0</v>
      </c>
      <c r="CX116" s="18">
        <v>0</v>
      </c>
      <c r="CY116" s="18">
        <v>0</v>
      </c>
      <c r="CZ116" s="18">
        <v>0</v>
      </c>
      <c r="DA116" s="18">
        <v>0</v>
      </c>
      <c r="DB116" s="18">
        <v>0</v>
      </c>
      <c r="DC116" s="18">
        <v>0</v>
      </c>
      <c r="DD116" s="18">
        <v>0</v>
      </c>
      <c r="DE116" s="18">
        <v>0</v>
      </c>
      <c r="DF116" s="16" t="e">
        <f>VLOOKUP(K116,'[3]RNA Seq summary tables'!$V$3:$V$99,1,FALSE)</f>
        <v>#N/A</v>
      </c>
      <c r="DG116" s="16">
        <v>1</v>
      </c>
      <c r="DH116" s="16" t="str">
        <f>VLOOKUP(D116,'[8]Data with duplicates'!$B$1:$J$70,9,FALSE)</f>
        <v>sample.9</v>
      </c>
      <c r="DI116" s="18"/>
      <c r="DJ116" s="18"/>
      <c r="DK116" s="18"/>
      <c r="DL116" s="18"/>
      <c r="DM116" s="18"/>
      <c r="DN116" s="18"/>
      <c r="DO116" s="18"/>
      <c r="DP116" s="18"/>
      <c r="DQ116" s="18"/>
      <c r="DR116" s="18"/>
      <c r="DS116" s="18"/>
      <c r="JR116" s="26"/>
      <c r="JS116" s="26"/>
      <c r="JT116" s="26"/>
      <c r="JU116" s="26"/>
      <c r="JV116" s="26"/>
      <c r="JW116" s="26"/>
      <c r="JX116" s="26"/>
      <c r="JY116" s="26"/>
      <c r="JZ116" s="26"/>
      <c r="KA116" s="26"/>
      <c r="KB116" s="26"/>
    </row>
    <row r="117" spans="1:288" x14ac:dyDescent="0.2">
      <c r="B117" s="18">
        <v>2016</v>
      </c>
      <c r="C117" s="37">
        <v>42602</v>
      </c>
      <c r="D117" s="37" t="str">
        <f>CONCATENATE(J117,"-",C117)</f>
        <v>1004-42602</v>
      </c>
      <c r="E117" s="20" t="str">
        <f>CONCATENATE(T117,"-",U117,"-",C117)</f>
        <v>PO1-C8-42602</v>
      </c>
      <c r="F117" s="20" t="s">
        <v>227</v>
      </c>
      <c r="G117" s="37" t="s">
        <v>107</v>
      </c>
      <c r="H117" s="40" t="s">
        <v>169</v>
      </c>
      <c r="I117" s="16">
        <v>0</v>
      </c>
      <c r="J117" s="36">
        <v>1004</v>
      </c>
      <c r="K117" s="36">
        <v>1558</v>
      </c>
      <c r="L117" s="18">
        <v>0</v>
      </c>
      <c r="M117" s="15">
        <f>VLOOKUP(K117,'[7]MLBS 2016 SNV-nem Coinfection d'!$C$1:$G$238,4,FALSE)</f>
        <v>0</v>
      </c>
      <c r="N117" s="15">
        <v>0</v>
      </c>
      <c r="O117" s="15" t="s">
        <v>119</v>
      </c>
      <c r="P117" s="18" t="s">
        <v>119</v>
      </c>
      <c r="Q117" s="16">
        <v>0</v>
      </c>
      <c r="R117" s="18">
        <v>30</v>
      </c>
      <c r="S117" s="18"/>
      <c r="T117" s="18" t="s">
        <v>112</v>
      </c>
      <c r="U117" s="18" t="s">
        <v>188</v>
      </c>
      <c r="V117" s="18" t="s">
        <v>142</v>
      </c>
      <c r="W117" s="16">
        <f>AI117/AG117</f>
        <v>0.9550561797752809</v>
      </c>
      <c r="X117" s="18" t="s">
        <v>121</v>
      </c>
      <c r="Y117" s="18" t="s">
        <v>110</v>
      </c>
      <c r="Z117" s="18">
        <v>3</v>
      </c>
      <c r="AA117" s="18" t="s">
        <v>161</v>
      </c>
      <c r="AB117" s="18" t="s">
        <v>116</v>
      </c>
      <c r="AC117" s="18" t="s">
        <v>123</v>
      </c>
      <c r="AD117" s="18" t="s">
        <v>116</v>
      </c>
      <c r="AE117" s="18"/>
      <c r="AF117" s="18"/>
      <c r="AG117" s="18">
        <f>AH117-AI117</f>
        <v>89</v>
      </c>
      <c r="AH117" s="18">
        <v>174</v>
      </c>
      <c r="AI117" s="18">
        <v>85</v>
      </c>
      <c r="AJ117" s="18"/>
      <c r="AK117" s="18">
        <v>18.5</v>
      </c>
      <c r="AL117" s="18">
        <v>0</v>
      </c>
      <c r="AM117" s="18">
        <v>0</v>
      </c>
      <c r="AN117" s="18">
        <v>0</v>
      </c>
      <c r="AO117" s="18">
        <f>IF(SUM(AL117:AN117)&gt;0,1,0)</f>
        <v>0</v>
      </c>
      <c r="AP117" s="18">
        <f>SUM(AL117:AN117)</f>
        <v>0</v>
      </c>
      <c r="AQ117" s="18"/>
      <c r="AR117" s="18"/>
      <c r="AS117" s="18"/>
      <c r="AT117" s="16" t="s">
        <v>204</v>
      </c>
      <c r="BG117" s="23"/>
      <c r="BT117" s="23"/>
      <c r="CD117" s="23"/>
      <c r="DF117" s="16" t="e">
        <f>VLOOKUP(K117,'[3]RNA Seq summary tables'!$V$3:$V$99,1,FALSE)</f>
        <v>#N/A</v>
      </c>
      <c r="DG117" s="16">
        <v>1</v>
      </c>
      <c r="DH117" s="16" t="str">
        <f>VLOOKUP(D117,'[8]Data with duplicates'!$B$1:$J$70,9,FALSE)</f>
        <v>sample.6</v>
      </c>
    </row>
    <row r="118" spans="1:288" x14ac:dyDescent="0.2">
      <c r="B118" s="16">
        <v>2016</v>
      </c>
      <c r="C118" s="20">
        <v>42613</v>
      </c>
      <c r="D118" s="20" t="str">
        <f>CONCATENATE(J118,"-",C118)</f>
        <v>1004-42613</v>
      </c>
      <c r="E118" s="20" t="str">
        <f>CONCATENATE(T118,"-",U118,"-",C118)</f>
        <v>PO1-B5-42613</v>
      </c>
      <c r="F118" s="20" t="s">
        <v>227</v>
      </c>
      <c r="G118" s="20" t="s">
        <v>107</v>
      </c>
      <c r="H118" s="40" t="s">
        <v>169</v>
      </c>
      <c r="I118" s="16">
        <v>0</v>
      </c>
      <c r="J118" s="21">
        <v>1004</v>
      </c>
      <c r="K118" s="21">
        <v>1572</v>
      </c>
      <c r="L118" s="18">
        <v>0</v>
      </c>
      <c r="M118" s="15">
        <f>VLOOKUP(K118,'[7]MLBS 2016 SNV-nem Coinfection d'!$C$1:$G$238,4,FALSE)</f>
        <v>0</v>
      </c>
      <c r="N118" s="15">
        <v>0</v>
      </c>
      <c r="O118" s="15" t="s">
        <v>119</v>
      </c>
      <c r="P118" s="16" t="s">
        <v>119</v>
      </c>
      <c r="Q118" s="16">
        <v>0</v>
      </c>
      <c r="R118" s="16">
        <v>11</v>
      </c>
      <c r="T118" s="16" t="s">
        <v>112</v>
      </c>
      <c r="U118" s="16" t="s">
        <v>160</v>
      </c>
      <c r="V118" s="16" t="s">
        <v>142</v>
      </c>
      <c r="W118" s="16">
        <f>AI118/AG118</f>
        <v>1.0117647058823529</v>
      </c>
      <c r="X118" s="16" t="s">
        <v>121</v>
      </c>
      <c r="Y118" s="16" t="s">
        <v>110</v>
      </c>
      <c r="Z118" s="16">
        <v>3</v>
      </c>
      <c r="AA118" s="16" t="s">
        <v>119</v>
      </c>
      <c r="AB118" s="16" t="s">
        <v>116</v>
      </c>
      <c r="AC118" s="16" t="s">
        <v>123</v>
      </c>
      <c r="AD118" s="16" t="s">
        <v>116</v>
      </c>
      <c r="AG118" s="16">
        <f>AH118-AI118</f>
        <v>85</v>
      </c>
      <c r="AH118" s="16">
        <v>171</v>
      </c>
      <c r="AI118" s="16">
        <v>86</v>
      </c>
      <c r="AK118" s="16">
        <v>16.5</v>
      </c>
      <c r="AL118" s="16">
        <v>1</v>
      </c>
      <c r="AM118" s="16">
        <v>0</v>
      </c>
      <c r="AN118" s="16">
        <v>0</v>
      </c>
      <c r="AO118" s="16">
        <f>IF(SUM(AL118:AN118)&gt;0,1,0)</f>
        <v>1</v>
      </c>
      <c r="AP118" s="16">
        <f>SUM(AL118:AN118)</f>
        <v>1</v>
      </c>
      <c r="AR118" s="16">
        <v>0.223</v>
      </c>
      <c r="AS118" s="16">
        <v>0.223</v>
      </c>
      <c r="AT118" s="16" t="s">
        <v>212</v>
      </c>
      <c r="AW118" s="22">
        <v>1</v>
      </c>
      <c r="AX118" s="22">
        <v>1</v>
      </c>
      <c r="AY118" s="22">
        <f>7/0.223</f>
        <v>31.390134529147982</v>
      </c>
      <c r="AZ118" s="18">
        <v>0</v>
      </c>
      <c r="BA118" s="22">
        <v>0</v>
      </c>
      <c r="BB118" s="22">
        <v>0</v>
      </c>
      <c r="BC118" s="18">
        <v>0</v>
      </c>
      <c r="BD118" s="22">
        <v>0</v>
      </c>
      <c r="BE118" s="22">
        <v>0</v>
      </c>
      <c r="BF118" s="18">
        <v>0</v>
      </c>
      <c r="BG118" s="50">
        <v>0</v>
      </c>
      <c r="BH118" s="22">
        <v>0</v>
      </c>
      <c r="BI118" s="18">
        <v>0</v>
      </c>
      <c r="BJ118" s="22">
        <v>0</v>
      </c>
      <c r="BK118" s="22">
        <v>0</v>
      </c>
      <c r="BL118" s="16">
        <f>IF(BM118&gt;0,1,0)</f>
        <v>0</v>
      </c>
      <c r="BM118" s="16">
        <f>SUM(BR118,BU118,BX118,CA118,CD118,CG118,CJ118,CM118,CP118)</f>
        <v>0</v>
      </c>
      <c r="BN118" s="16">
        <f>SUM(BW118,BZ118,CC118,CF118,CI118,CL118,CO118,CR118,BT118)</f>
        <v>0</v>
      </c>
      <c r="BO118" s="16">
        <f>IF(BP118&gt;0,1,0)</f>
        <v>0</v>
      </c>
      <c r="BP118" s="16">
        <f>SUM(BU118,BX118,CA118,CD118,BR118)</f>
        <v>0</v>
      </c>
      <c r="BQ118" s="16">
        <f>SUM(BZ118,CC118,CF118,BT118,BW118)</f>
        <v>0</v>
      </c>
      <c r="BR118" s="18">
        <v>0</v>
      </c>
      <c r="BS118" s="22">
        <v>0</v>
      </c>
      <c r="BT118" s="23">
        <f>BS118/AS118</f>
        <v>0</v>
      </c>
      <c r="BU118" s="18">
        <v>0</v>
      </c>
      <c r="BV118" s="22">
        <v>0</v>
      </c>
      <c r="BW118" s="18">
        <f>BV118/AS118</f>
        <v>0</v>
      </c>
      <c r="BX118" s="18">
        <v>0</v>
      </c>
      <c r="BY118" s="22">
        <v>0</v>
      </c>
      <c r="BZ118" s="16">
        <f>BY118/AS118</f>
        <v>0</v>
      </c>
      <c r="CA118" s="24">
        <v>0</v>
      </c>
      <c r="CB118" s="22">
        <v>0</v>
      </c>
      <c r="CC118" s="22">
        <v>0</v>
      </c>
      <c r="CD118" s="25">
        <v>0</v>
      </c>
      <c r="CE118" s="22">
        <v>0</v>
      </c>
      <c r="CF118" s="22">
        <v>0</v>
      </c>
      <c r="CG118" s="22"/>
      <c r="CH118" s="22"/>
      <c r="CI118" s="22"/>
      <c r="CJ118" s="22"/>
      <c r="CK118" s="22"/>
      <c r="CL118" s="22"/>
      <c r="CM118" s="22"/>
      <c r="CN118" s="22"/>
      <c r="CO118" s="22"/>
      <c r="CP118" s="22" t="s">
        <v>123</v>
      </c>
      <c r="CQ118" s="22">
        <v>0</v>
      </c>
      <c r="CR118" s="22">
        <v>0</v>
      </c>
      <c r="CS118" s="18">
        <f>IF(CT118&gt;0,1,0)</f>
        <v>1</v>
      </c>
      <c r="CT118" s="25">
        <f>SUM(CW118,CZ118,DC118)</f>
        <v>1</v>
      </c>
      <c r="CU118" s="25"/>
      <c r="CV118" s="22">
        <f>7/0.223</f>
        <v>31.390134529147982</v>
      </c>
      <c r="CW118" s="22">
        <v>1</v>
      </c>
      <c r="CX118" s="22">
        <v>7</v>
      </c>
      <c r="CY118" s="22">
        <f>7/0.223</f>
        <v>31.390134529147982</v>
      </c>
      <c r="CZ118" s="18">
        <v>0</v>
      </c>
      <c r="DA118" s="22">
        <v>0</v>
      </c>
      <c r="DB118" s="22">
        <v>0</v>
      </c>
      <c r="DC118" s="18">
        <v>0</v>
      </c>
      <c r="DD118" s="22">
        <v>0</v>
      </c>
      <c r="DE118" s="22">
        <v>0</v>
      </c>
      <c r="DF118" s="16" t="e">
        <f>VLOOKUP(K118,'[3]RNA Seq summary tables'!$V$3:$V$99,1,FALSE)</f>
        <v>#N/A</v>
      </c>
      <c r="DG118" s="16">
        <v>1</v>
      </c>
      <c r="DH118" s="16" t="str">
        <f>VLOOKUP(D118,'[8]Data with duplicates'!$B$1:$J$70,9,FALSE)</f>
        <v>sample.7</v>
      </c>
    </row>
    <row r="119" spans="1:288" x14ac:dyDescent="0.2">
      <c r="B119" s="16">
        <v>2016</v>
      </c>
      <c r="C119" s="20">
        <v>42574</v>
      </c>
      <c r="D119" s="20" t="str">
        <f>CONCATENATE(J119,"-",C119)</f>
        <v>1005-42574</v>
      </c>
      <c r="E119" s="20" t="str">
        <f>CONCATENATE(T119,"-",U119,"-",C119)</f>
        <v>PO1-D8-42574</v>
      </c>
      <c r="F119" s="20" t="s">
        <v>106</v>
      </c>
      <c r="G119" s="20" t="s">
        <v>107</v>
      </c>
      <c r="H119" s="18"/>
      <c r="I119" s="16">
        <v>0</v>
      </c>
      <c r="J119" s="21">
        <v>1005</v>
      </c>
      <c r="K119" s="21">
        <v>1505</v>
      </c>
      <c r="L119" s="18">
        <v>0</v>
      </c>
      <c r="M119" s="15">
        <f>VLOOKUP(K119,'[7]MLBS 2016 SNV-nem Coinfection d'!$C$1:$G$238,4,FALSE)</f>
        <v>0</v>
      </c>
      <c r="N119" s="15">
        <v>0</v>
      </c>
      <c r="O119" s="15" t="s">
        <v>119</v>
      </c>
      <c r="P119" s="16" t="s">
        <v>119</v>
      </c>
      <c r="Q119" s="16">
        <v>0</v>
      </c>
      <c r="R119" s="16" t="s">
        <v>111</v>
      </c>
      <c r="T119" s="16" t="s">
        <v>112</v>
      </c>
      <c r="U119" s="16" t="s">
        <v>178</v>
      </c>
      <c r="V119" s="16" t="s">
        <v>142</v>
      </c>
      <c r="W119" s="16">
        <f>AI119/AG119</f>
        <v>1.25</v>
      </c>
      <c r="X119" s="16" t="s">
        <v>115</v>
      </c>
      <c r="Y119" s="16" t="s">
        <v>110</v>
      </c>
      <c r="Z119" s="16">
        <v>3</v>
      </c>
      <c r="AE119" s="16" t="s">
        <v>116</v>
      </c>
      <c r="AF119" s="16" t="s">
        <v>116</v>
      </c>
      <c r="AG119" s="16">
        <f>AH119-AI119</f>
        <v>72</v>
      </c>
      <c r="AH119" s="16">
        <v>162</v>
      </c>
      <c r="AI119" s="16">
        <v>90</v>
      </c>
      <c r="AK119" s="16">
        <v>16</v>
      </c>
      <c r="AL119" s="16">
        <v>0</v>
      </c>
      <c r="AM119" s="16">
        <v>0</v>
      </c>
      <c r="AN119" s="16">
        <v>0</v>
      </c>
      <c r="AO119" s="16">
        <f>IF(SUM(AL119:AN119)&gt;0,1,0)</f>
        <v>0</v>
      </c>
      <c r="AP119" s="16">
        <f>SUM(AL119:AN119)</f>
        <v>0</v>
      </c>
      <c r="AQ119" s="16">
        <v>1.653</v>
      </c>
      <c r="AR119" s="16">
        <v>0.17599999999999999</v>
      </c>
      <c r="AS119" s="16">
        <v>0.17599999999999999</v>
      </c>
      <c r="AT119" s="16" t="s">
        <v>205</v>
      </c>
      <c r="AW119" s="22">
        <v>1</v>
      </c>
      <c r="AX119" s="16">
        <v>3</v>
      </c>
      <c r="AY119" s="16">
        <f>(92+369+6)/AS119</f>
        <v>2653.409090909091</v>
      </c>
      <c r="AZ119" s="18">
        <v>1</v>
      </c>
      <c r="BA119" s="16">
        <v>3</v>
      </c>
      <c r="BB119" s="16">
        <f>AY119</f>
        <v>2653.409090909091</v>
      </c>
      <c r="BC119" s="16">
        <v>1</v>
      </c>
      <c r="BD119" s="16">
        <v>92</v>
      </c>
      <c r="BE119" s="16">
        <f>92/AS119</f>
        <v>522.72727272727275</v>
      </c>
      <c r="BF119" s="18">
        <v>1</v>
      </c>
      <c r="BG119" s="23">
        <v>369</v>
      </c>
      <c r="BH119" s="16">
        <f>369/AS119</f>
        <v>2096.590909090909</v>
      </c>
      <c r="BI119" s="16">
        <v>1</v>
      </c>
      <c r="BJ119" s="16">
        <v>6</v>
      </c>
      <c r="BK119" s="16">
        <f>6/AS119</f>
        <v>34.090909090909093</v>
      </c>
      <c r="BL119" s="16">
        <f>IF(BM119&gt;0,1,0)</f>
        <v>0</v>
      </c>
      <c r="BM119" s="16">
        <f>SUM(BR119,BU119,BX119,CA119,CD119,CG119,CJ119,CM119,CP119)</f>
        <v>0</v>
      </c>
      <c r="BN119" s="16">
        <f>SUM(BW119,BZ119,CC119,CF119,CI119,CL119,CO119,CR119,BT119)</f>
        <v>0</v>
      </c>
      <c r="BO119" s="16">
        <f>IF(BP119&gt;0,1,0)</f>
        <v>0</v>
      </c>
      <c r="BP119" s="16">
        <f>SUM(BU119,BX119,CA119,CD119,BR119)</f>
        <v>0</v>
      </c>
      <c r="BQ119" s="16">
        <f>SUM(BZ119,CC119,CF119,BT119,BW119)</f>
        <v>0</v>
      </c>
      <c r="BR119" s="18">
        <v>0</v>
      </c>
      <c r="BS119" s="16">
        <v>0</v>
      </c>
      <c r="BT119" s="23">
        <f>BS119/AS119</f>
        <v>0</v>
      </c>
      <c r="BU119" s="18">
        <v>0</v>
      </c>
      <c r="BV119" s="16">
        <v>0</v>
      </c>
      <c r="BW119" s="18">
        <f>BV119/AS119</f>
        <v>0</v>
      </c>
      <c r="BX119" s="18">
        <v>0</v>
      </c>
      <c r="BY119" s="16">
        <v>0</v>
      </c>
      <c r="BZ119" s="16">
        <f>BY119/AS119</f>
        <v>0</v>
      </c>
      <c r="CA119" s="24">
        <v>0</v>
      </c>
      <c r="CB119" s="16">
        <v>0</v>
      </c>
      <c r="CC119" s="16">
        <v>0</v>
      </c>
      <c r="CD119" s="25">
        <v>0</v>
      </c>
      <c r="CE119" s="16">
        <v>0</v>
      </c>
      <c r="CF119" s="16">
        <v>0</v>
      </c>
      <c r="CP119" s="16" t="s">
        <v>123</v>
      </c>
      <c r="CQ119" s="16">
        <v>0</v>
      </c>
      <c r="CR119" s="16">
        <v>0</v>
      </c>
      <c r="CS119" s="18">
        <f>IF(CT119&gt;0,1,0)</f>
        <v>0</v>
      </c>
      <c r="CT119" s="25">
        <f>SUM(CW119,CZ119,DC119)</f>
        <v>0</v>
      </c>
      <c r="CU119" s="25"/>
      <c r="CV119" s="16">
        <v>0</v>
      </c>
      <c r="CW119" s="25">
        <v>0</v>
      </c>
      <c r="CX119" s="16">
        <v>0</v>
      </c>
      <c r="CY119" s="16">
        <v>0</v>
      </c>
      <c r="CZ119" s="18">
        <v>0</v>
      </c>
      <c r="DA119" s="16">
        <v>0</v>
      </c>
      <c r="DB119" s="16">
        <v>0</v>
      </c>
      <c r="DC119" s="18">
        <v>0</v>
      </c>
      <c r="DD119" s="16">
        <v>0</v>
      </c>
      <c r="DE119" s="16">
        <v>0</v>
      </c>
      <c r="DF119" s="16" t="e">
        <f>VLOOKUP(K119,'[3]RNA Seq summary tables'!$V$3:$V$99,1,FALSE)</f>
        <v>#N/A</v>
      </c>
      <c r="DG119" s="16">
        <v>1</v>
      </c>
      <c r="DH119" s="16" t="str">
        <f>VLOOKUP(D119,'[8]Data with duplicates'!$B$1:$J$70,9,FALSE)</f>
        <v>sample.10</v>
      </c>
    </row>
    <row r="120" spans="1:288" x14ac:dyDescent="0.2">
      <c r="B120" s="16">
        <v>2016</v>
      </c>
      <c r="C120" s="20">
        <v>42588</v>
      </c>
      <c r="D120" s="20" t="str">
        <f>CONCATENATE(J120,"-",C120)</f>
        <v>1005-42588</v>
      </c>
      <c r="E120" s="20" t="str">
        <f>CONCATENATE(T120,"-",U120,"-",C120)</f>
        <v>PO1-E8-42588</v>
      </c>
      <c r="F120" s="20" t="s">
        <v>224</v>
      </c>
      <c r="G120" s="20" t="s">
        <v>107</v>
      </c>
      <c r="H120" s="18" t="s">
        <v>223</v>
      </c>
      <c r="I120" s="16">
        <v>0</v>
      </c>
      <c r="J120" s="21">
        <v>1005</v>
      </c>
      <c r="K120" s="21">
        <v>1532</v>
      </c>
      <c r="L120" s="18">
        <v>0</v>
      </c>
      <c r="M120" s="15">
        <f>VLOOKUP(K120,'[7]MLBS 2016 SNV-nem Coinfection d'!$C$1:$G$238,4,FALSE)</f>
        <v>0</v>
      </c>
      <c r="N120" s="15">
        <v>0</v>
      </c>
      <c r="O120" s="15" t="s">
        <v>119</v>
      </c>
      <c r="P120" s="16" t="s">
        <v>119</v>
      </c>
      <c r="Q120" s="16">
        <v>0</v>
      </c>
      <c r="R120" s="16">
        <v>14</v>
      </c>
      <c r="T120" s="16" t="s">
        <v>112</v>
      </c>
      <c r="U120" s="16" t="s">
        <v>181</v>
      </c>
      <c r="V120" s="16" t="s">
        <v>142</v>
      </c>
      <c r="W120" s="16">
        <f>AI120/AG120</f>
        <v>1.1558441558441559</v>
      </c>
      <c r="X120" s="16" t="s">
        <v>115</v>
      </c>
      <c r="Y120" s="16" t="s">
        <v>110</v>
      </c>
      <c r="Z120" s="16">
        <v>3</v>
      </c>
      <c r="AE120" s="16" t="s">
        <v>123</v>
      </c>
      <c r="AF120" s="16" t="s">
        <v>123</v>
      </c>
      <c r="AG120" s="16">
        <f>AH120-AI120</f>
        <v>77</v>
      </c>
      <c r="AH120" s="16">
        <v>166</v>
      </c>
      <c r="AI120" s="16">
        <v>89</v>
      </c>
      <c r="AK120" s="16">
        <v>15</v>
      </c>
      <c r="AL120" s="16">
        <v>1</v>
      </c>
      <c r="AM120" s="16">
        <v>0</v>
      </c>
      <c r="AN120" s="16">
        <v>1</v>
      </c>
      <c r="AO120" s="16">
        <f>IF(SUM(AL120:AN120)&gt;0,1,0)</f>
        <v>1</v>
      </c>
      <c r="AP120" s="16">
        <f>SUM(AL120:AN120)</f>
        <v>2</v>
      </c>
      <c r="AQ120" s="16">
        <v>2.0979999999999999</v>
      </c>
      <c r="AR120" s="16">
        <v>0.621</v>
      </c>
      <c r="AS120" s="16">
        <v>0.621</v>
      </c>
      <c r="AT120" s="16" t="s">
        <v>205</v>
      </c>
      <c r="AV120" s="16">
        <v>1</v>
      </c>
      <c r="AW120" s="18">
        <v>0</v>
      </c>
      <c r="AX120" s="16">
        <v>0</v>
      </c>
      <c r="AY120" s="16">
        <v>0</v>
      </c>
      <c r="AZ120" s="18">
        <v>0</v>
      </c>
      <c r="BA120" s="16">
        <v>0</v>
      </c>
      <c r="BB120" s="16">
        <v>0</v>
      </c>
      <c r="BC120" s="18">
        <v>0</v>
      </c>
      <c r="BD120" s="16">
        <v>0</v>
      </c>
      <c r="BE120" s="16">
        <v>0</v>
      </c>
      <c r="BF120" s="18">
        <v>0</v>
      </c>
      <c r="BG120" s="23">
        <v>0</v>
      </c>
      <c r="BH120" s="16">
        <v>0</v>
      </c>
      <c r="BI120" s="18">
        <v>0</v>
      </c>
      <c r="BJ120" s="16">
        <v>0</v>
      </c>
      <c r="BK120" s="16">
        <v>0</v>
      </c>
      <c r="BL120" s="16">
        <f>IF(BM120&gt;0,1,0)</f>
        <v>0</v>
      </c>
      <c r="BM120" s="16">
        <f>SUM(BR120,BU120,BX120,CA120,CD120,CG120,CJ120,CM120,CP120)</f>
        <v>0</v>
      </c>
      <c r="BN120" s="16">
        <f>SUM(BW120,BZ120,CC120,CF120,CI120,CL120,CO120,CR120,BT120)</f>
        <v>0</v>
      </c>
      <c r="BO120" s="16">
        <f>IF(BP120&gt;0,1,0)</f>
        <v>0</v>
      </c>
      <c r="BP120" s="16">
        <f>SUM(BU120,BX120,CA120,CD120,BR120)</f>
        <v>0</v>
      </c>
      <c r="BQ120" s="16">
        <f>SUM(BZ120,CC120,CF120,BT120,BW120)</f>
        <v>0</v>
      </c>
      <c r="BR120" s="18">
        <v>0</v>
      </c>
      <c r="BS120" s="16">
        <v>0</v>
      </c>
      <c r="BT120" s="23">
        <f>BS120/AS120</f>
        <v>0</v>
      </c>
      <c r="BU120" s="18">
        <v>0</v>
      </c>
      <c r="BV120" s="16">
        <v>0</v>
      </c>
      <c r="BW120" s="18">
        <f>BV120/AS120</f>
        <v>0</v>
      </c>
      <c r="BX120" s="18">
        <v>0</v>
      </c>
      <c r="BY120" s="16">
        <v>0</v>
      </c>
      <c r="BZ120" s="16">
        <f>BY120/AS120</f>
        <v>0</v>
      </c>
      <c r="CA120" s="24">
        <v>0</v>
      </c>
      <c r="CB120" s="16">
        <v>0</v>
      </c>
      <c r="CC120" s="16">
        <v>0</v>
      </c>
      <c r="CD120" s="25">
        <v>0</v>
      </c>
      <c r="CE120" s="16">
        <v>0</v>
      </c>
      <c r="CF120" s="16">
        <v>0</v>
      </c>
      <c r="CP120" s="16" t="s">
        <v>123</v>
      </c>
      <c r="CQ120" s="16">
        <v>0</v>
      </c>
      <c r="CR120" s="16">
        <v>0</v>
      </c>
      <c r="CS120" s="18">
        <f>IF(CT120&gt;0,1,0)</f>
        <v>0</v>
      </c>
      <c r="CT120" s="25">
        <f>SUM(CW120,CZ120,DC120)</f>
        <v>0</v>
      </c>
      <c r="CU120" s="25"/>
      <c r="CV120" s="16">
        <v>0</v>
      </c>
      <c r="CW120" s="25">
        <v>0</v>
      </c>
      <c r="CX120" s="16">
        <v>0</v>
      </c>
      <c r="CY120" s="16">
        <v>0</v>
      </c>
      <c r="CZ120" s="18">
        <v>0</v>
      </c>
      <c r="DA120" s="16">
        <v>0</v>
      </c>
      <c r="DB120" s="16">
        <v>0</v>
      </c>
      <c r="DC120" s="18">
        <v>0</v>
      </c>
      <c r="DD120" s="16">
        <v>0</v>
      </c>
      <c r="DE120" s="16">
        <v>0</v>
      </c>
      <c r="DF120" s="16" t="e">
        <f>VLOOKUP(K120,'[3]RNA Seq summary tables'!$V$3:$V$99,1,FALSE)</f>
        <v>#N/A</v>
      </c>
      <c r="DG120" s="16">
        <v>1</v>
      </c>
      <c r="DH120" s="16" t="str">
        <f>VLOOKUP(D120,'[8]Data with duplicates'!$B$1:$J$70,9,FALSE)</f>
        <v>sample.11</v>
      </c>
    </row>
    <row r="121" spans="1:288" x14ac:dyDescent="0.2">
      <c r="B121" s="16">
        <v>2016</v>
      </c>
      <c r="C121" s="37">
        <v>42615</v>
      </c>
      <c r="D121" s="37" t="str">
        <f>CONCATENATE(J121,"-",C121)</f>
        <v>1005-42615</v>
      </c>
      <c r="E121" s="20" t="str">
        <f>CONCATENATE(T121,"-",U121,"-",C121)</f>
        <v>PO1-F1-42615</v>
      </c>
      <c r="F121" s="20" t="s">
        <v>227</v>
      </c>
      <c r="G121" s="20" t="s">
        <v>107</v>
      </c>
      <c r="H121" s="18"/>
      <c r="I121" s="16">
        <v>0</v>
      </c>
      <c r="J121" s="36">
        <v>1005</v>
      </c>
      <c r="K121" s="36">
        <v>1575</v>
      </c>
      <c r="L121" s="18">
        <v>0</v>
      </c>
      <c r="M121" s="15">
        <f>VLOOKUP(K121,'[7]MLBS 2016 SNV-nem Coinfection d'!$C$1:$G$238,4,FALSE)</f>
        <v>0</v>
      </c>
      <c r="N121" s="15">
        <v>0</v>
      </c>
      <c r="O121" s="15" t="s">
        <v>119</v>
      </c>
      <c r="P121" s="18" t="s">
        <v>119</v>
      </c>
      <c r="Q121" s="16">
        <v>0</v>
      </c>
      <c r="R121" s="18">
        <v>27</v>
      </c>
      <c r="S121" s="18"/>
      <c r="T121" s="18" t="s">
        <v>112</v>
      </c>
      <c r="U121" s="18" t="s">
        <v>217</v>
      </c>
      <c r="V121" s="18" t="s">
        <v>142</v>
      </c>
      <c r="W121" s="16">
        <f>AI121/AG121</f>
        <v>0.9882352941176471</v>
      </c>
      <c r="X121" s="18" t="s">
        <v>115</v>
      </c>
      <c r="Y121" s="16" t="s">
        <v>110</v>
      </c>
      <c r="Z121" s="16">
        <v>3</v>
      </c>
      <c r="AA121" s="18"/>
      <c r="AB121" s="18"/>
      <c r="AC121" s="18"/>
      <c r="AD121" s="18"/>
      <c r="AE121" s="18" t="s">
        <v>116</v>
      </c>
      <c r="AF121" s="18" t="s">
        <v>116</v>
      </c>
      <c r="AG121" s="18">
        <f>AH121-AI121</f>
        <v>85</v>
      </c>
      <c r="AH121" s="18">
        <v>169</v>
      </c>
      <c r="AI121" s="18">
        <v>84</v>
      </c>
      <c r="AJ121" s="18"/>
      <c r="AK121" s="18">
        <v>17</v>
      </c>
      <c r="AL121" s="16">
        <v>0</v>
      </c>
      <c r="AM121" s="16">
        <v>0</v>
      </c>
      <c r="AN121" s="16">
        <v>0</v>
      </c>
      <c r="AO121" s="16">
        <f>IF(SUM(AL121:AN121)&gt;0,1,0)</f>
        <v>0</v>
      </c>
      <c r="AP121" s="16">
        <f>SUM(AL121:AN121)</f>
        <v>0</v>
      </c>
      <c r="AQ121" s="18"/>
      <c r="AR121" s="18">
        <v>6.5000000000000002E-2</v>
      </c>
      <c r="AS121" s="18">
        <v>6.5000000000000002E-2</v>
      </c>
      <c r="AT121" s="18" t="s">
        <v>212</v>
      </c>
      <c r="AU121" s="18"/>
      <c r="AV121" s="18">
        <v>1</v>
      </c>
      <c r="AW121" s="18">
        <v>0</v>
      </c>
      <c r="AX121" s="18">
        <v>0</v>
      </c>
      <c r="AY121" s="18">
        <v>0</v>
      </c>
      <c r="AZ121" s="18">
        <v>0</v>
      </c>
      <c r="BA121" s="18">
        <v>0</v>
      </c>
      <c r="BB121" s="18">
        <v>0</v>
      </c>
      <c r="BC121" s="18">
        <v>0</v>
      </c>
      <c r="BD121" s="18">
        <v>0</v>
      </c>
      <c r="BE121" s="18">
        <v>0</v>
      </c>
      <c r="BF121" s="18">
        <v>0</v>
      </c>
      <c r="BG121" s="25">
        <v>0</v>
      </c>
      <c r="BH121" s="18">
        <v>0</v>
      </c>
      <c r="BI121" s="18">
        <v>0</v>
      </c>
      <c r="BJ121" s="18">
        <v>0</v>
      </c>
      <c r="BK121" s="18">
        <v>0</v>
      </c>
      <c r="BL121" s="16">
        <f>IF(BM121&gt;0,1,0)</f>
        <v>0</v>
      </c>
      <c r="BM121" s="16">
        <f>SUM(BR121,BU121,BX121,CA121,CD121,CG121,CJ121,CM121,CP121)</f>
        <v>0</v>
      </c>
      <c r="BN121" s="16">
        <f>SUM(BW121,BZ121,CC121,CF121,CI121,CL121,CO121,CR121,BT121)</f>
        <v>0</v>
      </c>
      <c r="BO121" s="16">
        <f>IF(BP121&gt;0,1,0)</f>
        <v>0</v>
      </c>
      <c r="BP121" s="16">
        <f>SUM(BU121,BX121,CA121,CD121,BR121)</f>
        <v>0</v>
      </c>
      <c r="BQ121" s="16">
        <f>SUM(BZ121,CC121,CF121,BT121,BW121)</f>
        <v>0</v>
      </c>
      <c r="BR121" s="18">
        <v>0</v>
      </c>
      <c r="BS121" s="18">
        <v>0</v>
      </c>
      <c r="BT121" s="23">
        <f>BS121/AS121</f>
        <v>0</v>
      </c>
      <c r="BU121" s="18">
        <v>0</v>
      </c>
      <c r="BV121" s="18">
        <v>0</v>
      </c>
      <c r="BW121" s="18">
        <f>BV121/AS121</f>
        <v>0</v>
      </c>
      <c r="BX121" s="18">
        <v>0</v>
      </c>
      <c r="BY121" s="18">
        <v>0</v>
      </c>
      <c r="BZ121" s="16">
        <f>BY121/AS121</f>
        <v>0</v>
      </c>
      <c r="CA121" s="24">
        <v>0</v>
      </c>
      <c r="CB121" s="18">
        <v>0</v>
      </c>
      <c r="CC121" s="18">
        <v>0</v>
      </c>
      <c r="CD121" s="25">
        <v>0</v>
      </c>
      <c r="CE121" s="18">
        <v>0</v>
      </c>
      <c r="CF121" s="18">
        <v>0</v>
      </c>
      <c r="CG121" s="18"/>
      <c r="CH121" s="18"/>
      <c r="CI121" s="18"/>
      <c r="CJ121" s="18"/>
      <c r="CK121" s="18"/>
      <c r="CL121" s="18"/>
      <c r="CM121" s="18"/>
      <c r="CN121" s="18"/>
      <c r="CO121" s="18"/>
      <c r="CP121" s="18" t="s">
        <v>123</v>
      </c>
      <c r="CQ121" s="18">
        <v>0</v>
      </c>
      <c r="CR121" s="18">
        <v>0</v>
      </c>
      <c r="CS121" s="18">
        <f>IF(CT121&gt;0,1,0)</f>
        <v>0</v>
      </c>
      <c r="CT121" s="25">
        <f>SUM(CW121,CZ121,DC121)</f>
        <v>0</v>
      </c>
      <c r="CU121" s="25"/>
      <c r="CV121" s="18">
        <v>0</v>
      </c>
      <c r="CW121" s="25">
        <v>0</v>
      </c>
      <c r="CX121" s="18">
        <v>0</v>
      </c>
      <c r="CY121" s="18">
        <v>0</v>
      </c>
      <c r="CZ121" s="18">
        <v>0</v>
      </c>
      <c r="DA121" s="18">
        <v>0</v>
      </c>
      <c r="DB121" s="18">
        <v>0</v>
      </c>
      <c r="DC121" s="18">
        <v>0</v>
      </c>
      <c r="DD121" s="18">
        <v>0</v>
      </c>
      <c r="DE121" s="18">
        <v>0</v>
      </c>
      <c r="DF121" s="16" t="e">
        <f>VLOOKUP(K121,'[3]RNA Seq summary tables'!$V$3:$V$99,1,FALSE)</f>
        <v>#N/A</v>
      </c>
      <c r="DG121" s="16">
        <v>1</v>
      </c>
      <c r="DH121" s="16" t="str">
        <f>VLOOKUP(D121,'[8]Data with duplicates'!$B$1:$J$70,9,FALSE)</f>
        <v>sample.12</v>
      </c>
      <c r="DI121" s="18"/>
      <c r="DJ121" s="18"/>
      <c r="DK121" s="18"/>
      <c r="DL121" s="18"/>
      <c r="DM121" s="18"/>
      <c r="DN121" s="18"/>
      <c r="DO121" s="18"/>
      <c r="DP121" s="18"/>
      <c r="DQ121" s="18"/>
      <c r="DR121" s="18"/>
      <c r="DS121" s="18"/>
    </row>
    <row r="122" spans="1:288" x14ac:dyDescent="0.2">
      <c r="B122" s="16">
        <v>2016</v>
      </c>
      <c r="C122" s="20">
        <v>42576</v>
      </c>
      <c r="D122" s="20" t="str">
        <f>CONCATENATE(J122,"-",C122)</f>
        <v>1007-42576</v>
      </c>
      <c r="E122" s="20" t="str">
        <f>CONCATENATE(T122,"-",U122,"-",C122)</f>
        <v>HW1-H3-42576</v>
      </c>
      <c r="F122" s="20" t="s">
        <v>106</v>
      </c>
      <c r="G122" s="20" t="s">
        <v>107</v>
      </c>
      <c r="I122" s="16">
        <v>0</v>
      </c>
      <c r="J122" s="21">
        <v>1007</v>
      </c>
      <c r="K122" s="21">
        <v>1510</v>
      </c>
      <c r="L122" s="18">
        <v>0</v>
      </c>
      <c r="M122" s="15">
        <f>VLOOKUP(K122,'[7]MLBS 2016 SNV-nem Coinfection d'!$C$1:$G$238,4,FALSE)</f>
        <v>0</v>
      </c>
      <c r="N122" s="15">
        <v>0</v>
      </c>
      <c r="O122" s="15" t="s">
        <v>119</v>
      </c>
      <c r="P122" s="16" t="s">
        <v>119</v>
      </c>
      <c r="Q122" s="16">
        <v>0</v>
      </c>
      <c r="R122" s="16" t="s">
        <v>111</v>
      </c>
      <c r="T122" s="16" t="s">
        <v>133</v>
      </c>
      <c r="U122" s="16" t="s">
        <v>174</v>
      </c>
      <c r="V122" s="16" t="s">
        <v>114</v>
      </c>
      <c r="W122" s="16">
        <f>AI122/AG122</f>
        <v>0.88095238095238093</v>
      </c>
      <c r="X122" s="16" t="s">
        <v>121</v>
      </c>
      <c r="Y122" s="16" t="s">
        <v>110</v>
      </c>
      <c r="Z122" s="16">
        <v>3</v>
      </c>
      <c r="AA122" s="16" t="s">
        <v>119</v>
      </c>
      <c r="AB122" s="16" t="s">
        <v>123</v>
      </c>
      <c r="AC122" s="16" t="s">
        <v>123</v>
      </c>
      <c r="AD122" s="16" t="s">
        <v>123</v>
      </c>
      <c r="AG122" s="16">
        <f>AH122-AI122</f>
        <v>84</v>
      </c>
      <c r="AH122" s="16">
        <v>158</v>
      </c>
      <c r="AI122" s="16">
        <v>74</v>
      </c>
      <c r="AK122" s="16">
        <v>17.5</v>
      </c>
      <c r="AL122" s="16">
        <v>0</v>
      </c>
      <c r="AM122" s="16">
        <v>0</v>
      </c>
      <c r="AN122" s="16">
        <v>0</v>
      </c>
      <c r="AO122" s="16">
        <f>IF(SUM(AL122:AN122)&gt;0,1,0)</f>
        <v>0</v>
      </c>
      <c r="AP122" s="16">
        <f>SUM(AL122:AN122)</f>
        <v>0</v>
      </c>
      <c r="AQ122" s="16">
        <f>AS122+1.477</f>
        <v>1.6830000000000001</v>
      </c>
      <c r="AR122" s="16">
        <v>0.20599999999999999</v>
      </c>
      <c r="AS122" s="16">
        <v>0.20599999999999999</v>
      </c>
      <c r="AT122" s="16" t="s">
        <v>205</v>
      </c>
      <c r="AV122" s="16">
        <v>1</v>
      </c>
      <c r="AW122" s="18">
        <v>0</v>
      </c>
      <c r="AX122" s="16">
        <v>0</v>
      </c>
      <c r="AY122" s="16">
        <v>0</v>
      </c>
      <c r="AZ122" s="18">
        <v>0</v>
      </c>
      <c r="BA122" s="16">
        <v>0</v>
      </c>
      <c r="BB122" s="16">
        <v>0</v>
      </c>
      <c r="BC122" s="18">
        <v>0</v>
      </c>
      <c r="BD122" s="16">
        <v>0</v>
      </c>
      <c r="BE122" s="16">
        <v>0</v>
      </c>
      <c r="BF122" s="18">
        <v>0</v>
      </c>
      <c r="BG122" s="23">
        <v>0</v>
      </c>
      <c r="BH122" s="16">
        <v>0</v>
      </c>
      <c r="BI122" s="18">
        <v>0</v>
      </c>
      <c r="BJ122" s="16">
        <v>0</v>
      </c>
      <c r="BK122" s="16">
        <v>0</v>
      </c>
      <c r="BL122" s="16">
        <f>IF(BM122&gt;0,1,0)</f>
        <v>0</v>
      </c>
      <c r="BM122" s="16">
        <f>SUM(BR122,BU122,BX122,CA122,CD122,CG122,CJ122,CM122,CP122)</f>
        <v>0</v>
      </c>
      <c r="BN122" s="16">
        <f>SUM(BW122,BZ122,CC122,CF122,CI122,CL122,CO122,CR122,BT122)</f>
        <v>0</v>
      </c>
      <c r="BO122" s="16">
        <f>IF(BP122&gt;0,1,0)</f>
        <v>0</v>
      </c>
      <c r="BP122" s="16">
        <f>SUM(BU122,BX122,CA122,CD122,BR122)</f>
        <v>0</v>
      </c>
      <c r="BQ122" s="16">
        <f>SUM(BZ122,CC122,CF122,BT122,BW122)</f>
        <v>0</v>
      </c>
      <c r="BR122" s="18">
        <v>0</v>
      </c>
      <c r="BS122" s="16">
        <v>0</v>
      </c>
      <c r="BT122" s="23">
        <f>BS122/AS122</f>
        <v>0</v>
      </c>
      <c r="BU122" s="18">
        <v>0</v>
      </c>
      <c r="BV122" s="16">
        <v>0</v>
      </c>
      <c r="BW122" s="18">
        <f>BV122/AS122</f>
        <v>0</v>
      </c>
      <c r="BX122" s="18">
        <v>0</v>
      </c>
      <c r="BY122" s="16">
        <v>0</v>
      </c>
      <c r="BZ122" s="16">
        <f>BY122/AS122</f>
        <v>0</v>
      </c>
      <c r="CA122" s="24">
        <v>0</v>
      </c>
      <c r="CB122" s="16">
        <v>0</v>
      </c>
      <c r="CC122" s="16">
        <v>0</v>
      </c>
      <c r="CD122" s="25">
        <v>0</v>
      </c>
      <c r="CE122" s="16">
        <v>0</v>
      </c>
      <c r="CF122" s="16">
        <v>0</v>
      </c>
      <c r="CP122" s="16" t="s">
        <v>123</v>
      </c>
      <c r="CQ122" s="16">
        <v>0</v>
      </c>
      <c r="CR122" s="16">
        <v>0</v>
      </c>
      <c r="CS122" s="18">
        <f>IF(CT122&gt;0,1,0)</f>
        <v>0</v>
      </c>
      <c r="CT122" s="25">
        <f>SUM(CW122,CZ122,DC122)</f>
        <v>0</v>
      </c>
      <c r="CU122" s="25"/>
      <c r="CV122" s="16">
        <v>0</v>
      </c>
      <c r="CW122" s="25">
        <v>0</v>
      </c>
      <c r="CX122" s="16">
        <v>0</v>
      </c>
      <c r="CY122" s="16">
        <v>0</v>
      </c>
      <c r="CZ122" s="18">
        <v>0</v>
      </c>
      <c r="DA122" s="16">
        <v>0</v>
      </c>
      <c r="DB122" s="16">
        <v>0</v>
      </c>
      <c r="DC122" s="18">
        <v>0</v>
      </c>
      <c r="DD122" s="16">
        <v>0</v>
      </c>
      <c r="DE122" s="16">
        <v>0</v>
      </c>
      <c r="DF122" s="16" t="e">
        <f>VLOOKUP(K122,'[3]RNA Seq summary tables'!$V$3:$V$99,1,FALSE)</f>
        <v>#N/A</v>
      </c>
    </row>
    <row r="123" spans="1:288" x14ac:dyDescent="0.2">
      <c r="B123" s="16">
        <v>2016</v>
      </c>
      <c r="C123" s="20">
        <v>42578</v>
      </c>
      <c r="D123" s="20" t="str">
        <f>CONCATENATE(J123,"-",C123)</f>
        <v>1009-42578</v>
      </c>
      <c r="E123" s="20" t="str">
        <f>CONCATENATE(T123,"-",U123,"-",C123)</f>
        <v>HW1-E8-42578</v>
      </c>
      <c r="F123" s="20" t="s">
        <v>106</v>
      </c>
      <c r="G123" s="20" t="s">
        <v>107</v>
      </c>
      <c r="I123" s="16">
        <v>0</v>
      </c>
      <c r="J123" s="21">
        <v>1009</v>
      </c>
      <c r="K123" s="21">
        <v>1513</v>
      </c>
      <c r="L123" s="18">
        <v>0</v>
      </c>
      <c r="M123" s="15">
        <f>VLOOKUP(K123,'[7]MLBS 2016 SNV-nem Coinfection d'!$C$1:$G$238,4,FALSE)</f>
        <v>0</v>
      </c>
      <c r="N123" s="15">
        <v>0</v>
      </c>
      <c r="O123" s="15" t="s">
        <v>119</v>
      </c>
      <c r="P123" s="16" t="s">
        <v>119</v>
      </c>
      <c r="Q123" s="16">
        <v>0</v>
      </c>
      <c r="R123" s="16" t="s">
        <v>111</v>
      </c>
      <c r="T123" s="16" t="s">
        <v>133</v>
      </c>
      <c r="U123" s="16" t="s">
        <v>181</v>
      </c>
      <c r="V123" s="16" t="s">
        <v>114</v>
      </c>
      <c r="W123" s="16">
        <f>AI123/AG123</f>
        <v>0.85</v>
      </c>
      <c r="X123" s="16" t="s">
        <v>115</v>
      </c>
      <c r="Y123" s="16" t="s">
        <v>122</v>
      </c>
      <c r="Z123" s="16">
        <v>2.6</v>
      </c>
      <c r="AE123" s="16" t="s">
        <v>123</v>
      </c>
      <c r="AF123" s="16" t="s">
        <v>123</v>
      </c>
      <c r="AG123" s="16">
        <f>AH123-AI123</f>
        <v>80</v>
      </c>
      <c r="AH123" s="16">
        <v>148</v>
      </c>
      <c r="AI123" s="16">
        <v>68</v>
      </c>
      <c r="AK123" s="16">
        <v>15.5</v>
      </c>
      <c r="AL123" s="16">
        <v>1</v>
      </c>
      <c r="AM123" s="16">
        <v>0</v>
      </c>
      <c r="AN123" s="16">
        <v>0</v>
      </c>
      <c r="AO123" s="16">
        <f>IF(SUM(AL123:AN123)&gt;0,1,0)</f>
        <v>1</v>
      </c>
      <c r="AP123" s="16">
        <f>SUM(AL123:AN123)</f>
        <v>1</v>
      </c>
      <c r="AQ123" s="16">
        <v>1.506</v>
      </c>
      <c r="AR123" s="16">
        <v>2.9000000000000001E-2</v>
      </c>
      <c r="AS123" s="16">
        <v>2.9000000000000001E-2</v>
      </c>
      <c r="AT123" s="16" t="s">
        <v>205</v>
      </c>
      <c r="AW123" s="22">
        <v>1</v>
      </c>
      <c r="AX123" s="16">
        <v>2</v>
      </c>
      <c r="AY123" s="16">
        <f>(4+3)/AS123</f>
        <v>241.37931034482759</v>
      </c>
      <c r="AZ123" s="18">
        <v>1</v>
      </c>
      <c r="BA123" s="16">
        <v>2</v>
      </c>
      <c r="BB123" s="16">
        <f>AY123</f>
        <v>241.37931034482759</v>
      </c>
      <c r="BC123" s="16">
        <v>1</v>
      </c>
      <c r="BD123" s="16">
        <v>4</v>
      </c>
      <c r="BE123" s="16">
        <f>4/AS123</f>
        <v>137.93103448275861</v>
      </c>
      <c r="BF123" s="18">
        <v>1</v>
      </c>
      <c r="BG123" s="23">
        <v>3</v>
      </c>
      <c r="BH123" s="16">
        <f>3/AS123</f>
        <v>103.44827586206895</v>
      </c>
      <c r="BI123" s="18">
        <v>0</v>
      </c>
      <c r="BJ123" s="16">
        <v>0</v>
      </c>
      <c r="BK123" s="16">
        <v>0</v>
      </c>
      <c r="BL123" s="16">
        <f>IF(BM123&gt;0,1,0)</f>
        <v>0</v>
      </c>
      <c r="BM123" s="16">
        <f>SUM(BR123,BU123,BX123,CA123,CD123,CG123,CJ123,CM123,CP123)</f>
        <v>0</v>
      </c>
      <c r="BN123" s="16">
        <f>SUM(BW123,BZ123,CC123,CF123,CI123,CL123,CO123,CR123,BT123)</f>
        <v>0</v>
      </c>
      <c r="BO123" s="16">
        <f>IF(BP123&gt;0,1,0)</f>
        <v>0</v>
      </c>
      <c r="BP123" s="16">
        <f>SUM(BU123,BX123,CA123,CD123,BR123)</f>
        <v>0</v>
      </c>
      <c r="BQ123" s="16">
        <f>SUM(BZ123,CC123,CF123,BT123,BW123)</f>
        <v>0</v>
      </c>
      <c r="BR123" s="18">
        <v>0</v>
      </c>
      <c r="BS123" s="16">
        <v>0</v>
      </c>
      <c r="BT123" s="23">
        <f>BS123/AS123</f>
        <v>0</v>
      </c>
      <c r="BU123" s="18">
        <v>0</v>
      </c>
      <c r="BV123" s="16">
        <v>0</v>
      </c>
      <c r="BW123" s="18">
        <f>BV123/AS123</f>
        <v>0</v>
      </c>
      <c r="BX123" s="18">
        <v>0</v>
      </c>
      <c r="BY123" s="16">
        <v>0</v>
      </c>
      <c r="BZ123" s="16">
        <f>BY123/AS123</f>
        <v>0</v>
      </c>
      <c r="CA123" s="24">
        <v>0</v>
      </c>
      <c r="CB123" s="16">
        <v>0</v>
      </c>
      <c r="CC123" s="16">
        <v>0</v>
      </c>
      <c r="CD123" s="25">
        <v>0</v>
      </c>
      <c r="CE123" s="16">
        <v>0</v>
      </c>
      <c r="CF123" s="16">
        <v>0</v>
      </c>
      <c r="CP123" s="16" t="s">
        <v>123</v>
      </c>
      <c r="CQ123" s="16">
        <v>0</v>
      </c>
      <c r="CR123" s="16">
        <v>0</v>
      </c>
      <c r="CS123" s="18">
        <f>IF(CT123&gt;0,1,0)</f>
        <v>0</v>
      </c>
      <c r="CT123" s="25">
        <f>SUM(CW123,CZ123,DC123)</f>
        <v>0</v>
      </c>
      <c r="CU123" s="25"/>
      <c r="CV123" s="16">
        <v>0</v>
      </c>
      <c r="CW123" s="25">
        <v>0</v>
      </c>
      <c r="CX123" s="16">
        <v>0</v>
      </c>
      <c r="CY123" s="16">
        <v>0</v>
      </c>
      <c r="CZ123" s="18">
        <v>0</v>
      </c>
      <c r="DA123" s="16">
        <v>0</v>
      </c>
      <c r="DB123" s="16">
        <v>0</v>
      </c>
      <c r="DC123" s="18">
        <v>0</v>
      </c>
      <c r="DD123" s="16">
        <v>0</v>
      </c>
      <c r="DE123" s="16">
        <v>0</v>
      </c>
      <c r="DF123" s="16" t="e">
        <f>VLOOKUP(K123,'[3]RNA Seq summary tables'!$V$3:$V$99,1,FALSE)</f>
        <v>#N/A</v>
      </c>
    </row>
    <row r="124" spans="1:288" s="18" customFormat="1" x14ac:dyDescent="0.2">
      <c r="A124" s="29"/>
      <c r="B124" s="29">
        <v>2016</v>
      </c>
      <c r="C124" s="54">
        <v>42581</v>
      </c>
      <c r="D124" s="54" t="str">
        <f>CONCATENATE(J124,"-",C124)</f>
        <v>1011-42581</v>
      </c>
      <c r="E124" s="20" t="str">
        <f>CONCATENATE(T124,"-",U124,"-",C124)</f>
        <v>SP1-F7-42581</v>
      </c>
      <c r="F124" s="20" t="s">
        <v>106</v>
      </c>
      <c r="G124" s="54" t="s">
        <v>107</v>
      </c>
      <c r="H124" s="29"/>
      <c r="I124" s="16">
        <v>0</v>
      </c>
      <c r="J124" s="55">
        <v>1011</v>
      </c>
      <c r="K124" s="55">
        <v>1523</v>
      </c>
      <c r="L124" s="16">
        <v>1</v>
      </c>
      <c r="M124" s="56">
        <f>VLOOKUP(K124,'[7]MLBS 2016 SNV-nem Coinfection d'!$C$1:$G$238,4,FALSE)</f>
        <v>0</v>
      </c>
      <c r="N124" s="56">
        <v>0</v>
      </c>
      <c r="O124" s="15" t="s">
        <v>119</v>
      </c>
      <c r="P124" s="29" t="s">
        <v>119</v>
      </c>
      <c r="Q124" s="29">
        <v>0</v>
      </c>
      <c r="R124" s="29" t="s">
        <v>111</v>
      </c>
      <c r="S124" s="29"/>
      <c r="T124" s="29" t="s">
        <v>140</v>
      </c>
      <c r="U124" s="29" t="s">
        <v>189</v>
      </c>
      <c r="V124" s="29" t="s">
        <v>114</v>
      </c>
      <c r="W124" s="16">
        <f>AI124/AG124</f>
        <v>0.74</v>
      </c>
      <c r="X124" s="29" t="s">
        <v>115</v>
      </c>
      <c r="Y124" s="29" t="s">
        <v>110</v>
      </c>
      <c r="Z124" s="29">
        <v>3</v>
      </c>
      <c r="AA124" s="29"/>
      <c r="AB124" s="29"/>
      <c r="AC124" s="29"/>
      <c r="AD124" s="29"/>
      <c r="AE124" s="29" t="s">
        <v>116</v>
      </c>
      <c r="AF124" s="29" t="s">
        <v>116</v>
      </c>
      <c r="AG124" s="29">
        <f>AH124-AI124</f>
        <v>100</v>
      </c>
      <c r="AH124" s="29">
        <v>174</v>
      </c>
      <c r="AI124" s="29">
        <v>74</v>
      </c>
      <c r="AJ124" s="29"/>
      <c r="AK124" s="29">
        <v>26</v>
      </c>
      <c r="AL124" s="29">
        <v>1</v>
      </c>
      <c r="AM124" s="29">
        <v>0</v>
      </c>
      <c r="AN124" s="29">
        <v>0</v>
      </c>
      <c r="AO124" s="29">
        <f>IF(SUM(AL124:AN124)&gt;0,1,0)</f>
        <v>1</v>
      </c>
      <c r="AP124" s="29">
        <f>SUM(AL124:AN124)</f>
        <v>1</v>
      </c>
      <c r="AQ124" s="29"/>
      <c r="AR124" s="29">
        <v>0.18</v>
      </c>
      <c r="AS124" s="29">
        <v>0.18</v>
      </c>
      <c r="AT124" s="29" t="s">
        <v>212</v>
      </c>
      <c r="AU124" s="29"/>
      <c r="AV124" s="29">
        <v>1</v>
      </c>
      <c r="AW124" s="29">
        <v>0</v>
      </c>
      <c r="AX124" s="29">
        <v>0</v>
      </c>
      <c r="AY124" s="29">
        <v>0</v>
      </c>
      <c r="AZ124" s="29">
        <v>0</v>
      </c>
      <c r="BA124" s="29">
        <v>0</v>
      </c>
      <c r="BB124" s="29">
        <v>0</v>
      </c>
      <c r="BC124" s="29">
        <v>0</v>
      </c>
      <c r="BD124" s="29">
        <v>0</v>
      </c>
      <c r="BE124" s="29">
        <v>0</v>
      </c>
      <c r="BF124" s="29">
        <v>0</v>
      </c>
      <c r="BG124" s="58">
        <v>0</v>
      </c>
      <c r="BH124" s="29">
        <v>0</v>
      </c>
      <c r="BI124" s="29">
        <v>0</v>
      </c>
      <c r="BJ124" s="29">
        <v>0</v>
      </c>
      <c r="BK124" s="29">
        <v>0</v>
      </c>
      <c r="BL124" s="29">
        <f>IF(BM124&gt;0,1,0)</f>
        <v>0</v>
      </c>
      <c r="BM124" s="29">
        <f>SUM(BR124,BU124,BX124,CA124,CD124,CG124,CJ124,CM124,CP124)</f>
        <v>0</v>
      </c>
      <c r="BN124" s="29">
        <f>SUM(BW124,BZ124,CC124,CF124,CI124,CL124,CO124,CR124,BT124)</f>
        <v>0</v>
      </c>
      <c r="BO124" s="29">
        <f>IF(BP124&gt;0,1,0)</f>
        <v>0</v>
      </c>
      <c r="BP124" s="29">
        <f>SUM(BU124,BX124,CA124,CD124,BR124)</f>
        <v>0</v>
      </c>
      <c r="BQ124" s="29">
        <f>SUM(BZ124,CC124,CF124,BT124,BW124)</f>
        <v>0</v>
      </c>
      <c r="BR124" s="29">
        <v>0</v>
      </c>
      <c r="BS124" s="29">
        <v>0</v>
      </c>
      <c r="BT124" s="58">
        <f>BS124/AS124</f>
        <v>0</v>
      </c>
      <c r="BU124" s="29">
        <v>0</v>
      </c>
      <c r="BV124" s="29">
        <v>0</v>
      </c>
      <c r="BW124" s="29">
        <f>BV124/AS124</f>
        <v>0</v>
      </c>
      <c r="BX124" s="29">
        <v>0</v>
      </c>
      <c r="BY124" s="29">
        <v>0</v>
      </c>
      <c r="BZ124" s="29">
        <f>BY124/AS124</f>
        <v>0</v>
      </c>
      <c r="CA124" s="57">
        <v>0</v>
      </c>
      <c r="CB124" s="29">
        <v>0</v>
      </c>
      <c r="CC124" s="29">
        <v>0</v>
      </c>
      <c r="CD124" s="58">
        <v>0</v>
      </c>
      <c r="CE124" s="29">
        <v>0</v>
      </c>
      <c r="CF124" s="29">
        <v>0</v>
      </c>
      <c r="CG124" s="29"/>
      <c r="CH124" s="29"/>
      <c r="CI124" s="29"/>
      <c r="CJ124" s="29"/>
      <c r="CK124" s="29"/>
      <c r="CL124" s="29"/>
      <c r="CM124" s="29"/>
      <c r="CN124" s="29"/>
      <c r="CO124" s="29"/>
      <c r="CP124" s="29" t="s">
        <v>123</v>
      </c>
      <c r="CQ124" s="29">
        <v>0</v>
      </c>
      <c r="CR124" s="29">
        <v>0</v>
      </c>
      <c r="CS124" s="29">
        <f>IF(CT124&gt;0,1,0)</f>
        <v>0</v>
      </c>
      <c r="CT124" s="58">
        <f>SUM(CW124,CZ124,DC124)</f>
        <v>0</v>
      </c>
      <c r="CU124" s="58"/>
      <c r="CV124" s="29">
        <v>0</v>
      </c>
      <c r="CW124" s="58">
        <v>0</v>
      </c>
      <c r="CX124" s="29">
        <v>0</v>
      </c>
      <c r="CY124" s="29">
        <v>0</v>
      </c>
      <c r="CZ124" s="29">
        <v>0</v>
      </c>
      <c r="DA124" s="29">
        <v>0</v>
      </c>
      <c r="DB124" s="29">
        <v>0</v>
      </c>
      <c r="DC124" s="29">
        <v>0</v>
      </c>
      <c r="DD124" s="29">
        <v>0</v>
      </c>
      <c r="DE124" s="29">
        <v>0</v>
      </c>
      <c r="DF124" s="16">
        <f>VLOOKUP(K124,'[3]RNA Seq summary tables'!$V$3:$V$99,1,FALSE)</f>
        <v>1523</v>
      </c>
      <c r="DG124" s="16"/>
      <c r="DH124" s="16"/>
      <c r="DI124" s="29"/>
      <c r="DJ124" s="29"/>
      <c r="DK124" s="29"/>
      <c r="DL124" s="29"/>
      <c r="DM124" s="29"/>
      <c r="DN124" s="29"/>
      <c r="DO124" s="29"/>
      <c r="DP124" s="29"/>
      <c r="DQ124" s="29"/>
      <c r="DR124" s="29"/>
      <c r="DS124" s="29"/>
      <c r="JO124" s="16"/>
      <c r="JP124" s="26"/>
      <c r="JQ124" s="26"/>
    </row>
    <row r="125" spans="1:288" x14ac:dyDescent="0.2">
      <c r="A125" s="26"/>
      <c r="B125" s="26">
        <v>2016</v>
      </c>
      <c r="C125" s="44">
        <v>42595</v>
      </c>
      <c r="D125" s="44" t="str">
        <f>CONCATENATE(J125,"-",C125)</f>
        <v>1011-42595</v>
      </c>
      <c r="E125" s="20" t="str">
        <f>CONCATENATE(T125,"-",U125,"-",C125)</f>
        <v>SP1-H8-42595</v>
      </c>
      <c r="F125" s="20" t="s">
        <v>227</v>
      </c>
      <c r="G125" s="44" t="s">
        <v>107</v>
      </c>
      <c r="H125" s="26"/>
      <c r="I125" s="16">
        <v>0</v>
      </c>
      <c r="J125" s="45">
        <v>1011</v>
      </c>
      <c r="K125" s="45">
        <v>1549</v>
      </c>
      <c r="L125" s="16">
        <v>1</v>
      </c>
      <c r="M125" s="46">
        <f>VLOOKUP(K125,'[7]MLBS 2016 SNV-nem Coinfection d'!$C$1:$G$238,4,FALSE)</f>
        <v>1</v>
      </c>
      <c r="N125" s="46">
        <f>VLOOKUP(K125,'[7]MLBS 2016 SNV-nem Coinfection d'!$C$1:$G$238,5,FALSE)</f>
        <v>17</v>
      </c>
      <c r="O125" s="15" t="s">
        <v>119</v>
      </c>
      <c r="P125" s="26" t="s">
        <v>119</v>
      </c>
      <c r="Q125" s="26">
        <v>0</v>
      </c>
      <c r="R125" s="26">
        <v>14</v>
      </c>
      <c r="S125" s="26"/>
      <c r="T125" s="26" t="s">
        <v>140</v>
      </c>
      <c r="U125" s="26" t="s">
        <v>152</v>
      </c>
      <c r="V125" s="26" t="s">
        <v>114</v>
      </c>
      <c r="W125" s="16">
        <f>AI125/AG125</f>
        <v>0.85555555555555551</v>
      </c>
      <c r="X125" s="26" t="s">
        <v>115</v>
      </c>
      <c r="Y125" s="26" t="s">
        <v>110</v>
      </c>
      <c r="Z125" s="26">
        <v>3</v>
      </c>
      <c r="AA125" s="26"/>
      <c r="AB125" s="26"/>
      <c r="AC125" s="26"/>
      <c r="AD125" s="26"/>
      <c r="AE125" s="26" t="s">
        <v>116</v>
      </c>
      <c r="AF125" s="26" t="s">
        <v>116</v>
      </c>
      <c r="AG125" s="26">
        <f>AH125-AI125</f>
        <v>90</v>
      </c>
      <c r="AH125" s="26">
        <v>167</v>
      </c>
      <c r="AI125" s="26">
        <v>77</v>
      </c>
      <c r="AJ125" s="26"/>
      <c r="AK125" s="26">
        <v>25.5</v>
      </c>
      <c r="AL125" s="26">
        <v>1</v>
      </c>
      <c r="AM125" s="26">
        <v>0</v>
      </c>
      <c r="AN125" s="26">
        <v>0</v>
      </c>
      <c r="AO125" s="26">
        <f>IF(SUM(AL125:AN125)&gt;0,1,0)</f>
        <v>1</v>
      </c>
      <c r="AP125" s="26">
        <f>SUM(AL125:AN125)</f>
        <v>1</v>
      </c>
      <c r="AQ125" s="26"/>
      <c r="AR125" s="26">
        <v>0.30099999999999999</v>
      </c>
      <c r="AS125" s="26">
        <v>0.30099999999999999</v>
      </c>
      <c r="AT125" s="26" t="s">
        <v>212</v>
      </c>
      <c r="AU125" s="26"/>
      <c r="AV125" s="26">
        <v>1</v>
      </c>
      <c r="AW125" s="26">
        <v>0</v>
      </c>
      <c r="AX125" s="47">
        <v>0</v>
      </c>
      <c r="AY125" s="47">
        <v>0</v>
      </c>
      <c r="AZ125" s="26">
        <v>0</v>
      </c>
      <c r="BA125" s="47">
        <v>0</v>
      </c>
      <c r="BB125" s="47">
        <v>0</v>
      </c>
      <c r="BC125" s="26">
        <v>0</v>
      </c>
      <c r="BD125" s="47">
        <v>0</v>
      </c>
      <c r="BE125" s="47">
        <v>0</v>
      </c>
      <c r="BF125" s="26">
        <v>0</v>
      </c>
      <c r="BG125" s="173">
        <v>0</v>
      </c>
      <c r="BH125" s="47">
        <v>0</v>
      </c>
      <c r="BI125" s="26">
        <v>0</v>
      </c>
      <c r="BJ125" s="47">
        <v>0</v>
      </c>
      <c r="BK125" s="47">
        <v>0</v>
      </c>
      <c r="BL125" s="26">
        <f>IF(BM125&gt;0,1,0)</f>
        <v>0</v>
      </c>
      <c r="BM125" s="26">
        <f>SUM(BR125,BU125,BX125,CA125,CD125,CG125,CJ125,CM125,CP125)</f>
        <v>0</v>
      </c>
      <c r="BN125" s="26">
        <f>SUM(BW125,BZ125,CC125,CF125,CI125,CL125,CO125,CR125,BT125)</f>
        <v>0</v>
      </c>
      <c r="BO125" s="26">
        <f>IF(BP125&gt;0,1,0)</f>
        <v>0</v>
      </c>
      <c r="BP125" s="26">
        <f>SUM(BU125,BX125,CA125,CD125,BR125)</f>
        <v>0</v>
      </c>
      <c r="BQ125" s="26">
        <f>SUM(BZ125,CC125,CF125,BT125,BW125)</f>
        <v>0</v>
      </c>
      <c r="BR125" s="26">
        <v>0</v>
      </c>
      <c r="BS125" s="47">
        <v>0</v>
      </c>
      <c r="BT125" s="48">
        <f>BS125/AS125</f>
        <v>0</v>
      </c>
      <c r="BU125" s="26">
        <v>0</v>
      </c>
      <c r="BV125" s="47">
        <v>0</v>
      </c>
      <c r="BW125" s="26">
        <f>BV125/AS125</f>
        <v>0</v>
      </c>
      <c r="BX125" s="26">
        <v>0</v>
      </c>
      <c r="BY125" s="47">
        <v>0</v>
      </c>
      <c r="BZ125" s="26">
        <f>BY125/AS125</f>
        <v>0</v>
      </c>
      <c r="CA125" s="47">
        <v>0</v>
      </c>
      <c r="CB125" s="47">
        <v>0</v>
      </c>
      <c r="CC125" s="47">
        <v>0</v>
      </c>
      <c r="CD125" s="48">
        <v>0</v>
      </c>
      <c r="CE125" s="47">
        <v>0</v>
      </c>
      <c r="CF125" s="47">
        <v>0</v>
      </c>
      <c r="CG125" s="47"/>
      <c r="CH125" s="47"/>
      <c r="CI125" s="47"/>
      <c r="CJ125" s="47"/>
      <c r="CK125" s="47"/>
      <c r="CL125" s="47"/>
      <c r="CM125" s="47"/>
      <c r="CN125" s="47"/>
      <c r="CO125" s="47"/>
      <c r="CP125" s="47" t="s">
        <v>123</v>
      </c>
      <c r="CQ125" s="47">
        <v>0</v>
      </c>
      <c r="CR125" s="47">
        <v>0</v>
      </c>
      <c r="CS125" s="26">
        <f>IF(CT125&gt;0,1,0)</f>
        <v>0</v>
      </c>
      <c r="CT125" s="48">
        <f>SUM(CW125,CZ125,DC125)</f>
        <v>0</v>
      </c>
      <c r="CU125" s="48"/>
      <c r="CV125" s="47">
        <v>0</v>
      </c>
      <c r="CW125" s="48">
        <v>0</v>
      </c>
      <c r="CX125" s="47">
        <v>0</v>
      </c>
      <c r="CY125" s="47">
        <v>0</v>
      </c>
      <c r="CZ125" s="26">
        <v>0</v>
      </c>
      <c r="DA125" s="47">
        <v>0</v>
      </c>
      <c r="DB125" s="47">
        <v>0</v>
      </c>
      <c r="DC125" s="26">
        <v>0</v>
      </c>
      <c r="DD125" s="47">
        <v>0</v>
      </c>
      <c r="DE125" s="47">
        <v>0</v>
      </c>
      <c r="DF125" s="16">
        <f>VLOOKUP(K125,'[3]RNA Seq summary tables'!$V$3:$V$99,1,FALSE)</f>
        <v>1549</v>
      </c>
      <c r="DI125" s="26"/>
      <c r="DJ125" s="26"/>
      <c r="DK125" s="26"/>
      <c r="DL125" s="26"/>
      <c r="DM125" s="26"/>
      <c r="DN125" s="26"/>
      <c r="DO125" s="26"/>
      <c r="DP125" s="26"/>
      <c r="DQ125" s="26"/>
      <c r="DR125" s="26"/>
      <c r="DS125" s="26"/>
      <c r="JP125" s="19"/>
      <c r="JQ125" s="19"/>
    </row>
    <row r="126" spans="1:288" x14ac:dyDescent="0.2">
      <c r="A126" s="51">
        <v>1</v>
      </c>
      <c r="B126" s="26">
        <v>2016</v>
      </c>
      <c r="C126" s="44">
        <v>42607</v>
      </c>
      <c r="D126" s="44" t="str">
        <f>CONCATENATE(J126,"-",C126)</f>
        <v>1011-42607</v>
      </c>
      <c r="E126" s="20" t="str">
        <f>CONCATENATE(T126,"-",U126,"-",C126)</f>
        <v>SP1-E5-42607</v>
      </c>
      <c r="F126" s="20" t="s">
        <v>227</v>
      </c>
      <c r="G126" s="37" t="s">
        <v>107</v>
      </c>
      <c r="H126" s="18" t="s">
        <v>192</v>
      </c>
      <c r="I126" s="16">
        <v>0</v>
      </c>
      <c r="J126" s="45">
        <v>1011</v>
      </c>
      <c r="K126" s="45">
        <v>1565</v>
      </c>
      <c r="L126" s="16">
        <v>1</v>
      </c>
      <c r="M126" s="46">
        <f>VLOOKUP(K126,'[7]MLBS 2016 SNV-nem Coinfection d'!$C$1:$G$238,4,FALSE)</f>
        <v>1</v>
      </c>
      <c r="N126" s="46">
        <f>VLOOKUP(K126,'[7]MLBS 2016 SNV-nem Coinfection d'!$C$1:$G$238,5,FALSE)</f>
        <v>67</v>
      </c>
      <c r="O126" s="15" t="s">
        <v>119</v>
      </c>
      <c r="P126" s="26" t="s">
        <v>119</v>
      </c>
      <c r="Q126" s="26">
        <v>0</v>
      </c>
      <c r="R126" s="26">
        <v>12</v>
      </c>
      <c r="S126" s="26"/>
      <c r="T126" s="26" t="s">
        <v>140</v>
      </c>
      <c r="U126" s="26" t="s">
        <v>158</v>
      </c>
      <c r="V126" s="26" t="s">
        <v>114</v>
      </c>
      <c r="W126" s="16">
        <f>AI126/AG126</f>
        <v>0.83333333333333337</v>
      </c>
      <c r="X126" s="26" t="s">
        <v>115</v>
      </c>
      <c r="Y126" s="26" t="s">
        <v>110</v>
      </c>
      <c r="Z126" s="26">
        <v>3</v>
      </c>
      <c r="AA126" s="26"/>
      <c r="AB126" s="26"/>
      <c r="AC126" s="26"/>
      <c r="AD126" s="26"/>
      <c r="AE126" s="26" t="s">
        <v>123</v>
      </c>
      <c r="AF126" s="26" t="s">
        <v>123</v>
      </c>
      <c r="AG126" s="26">
        <f>AH126-AI126</f>
        <v>90</v>
      </c>
      <c r="AH126" s="26">
        <v>165</v>
      </c>
      <c r="AI126" s="26">
        <v>75</v>
      </c>
      <c r="AJ126" s="26"/>
      <c r="AK126" s="26">
        <v>25.5</v>
      </c>
      <c r="AL126" s="26">
        <v>0</v>
      </c>
      <c r="AM126" s="26">
        <v>0</v>
      </c>
      <c r="AN126" s="26">
        <v>1</v>
      </c>
      <c r="AO126" s="26">
        <f>IF(SUM(AL126:AN126)&gt;0,1,0)</f>
        <v>1</v>
      </c>
      <c r="AP126" s="26">
        <f>SUM(AL126:AN126)</f>
        <v>1</v>
      </c>
      <c r="AQ126" s="26"/>
      <c r="AR126" s="26">
        <v>0.14299999999999999</v>
      </c>
      <c r="AS126" s="26">
        <v>0.14299999999999999</v>
      </c>
      <c r="AT126" s="26" t="s">
        <v>212</v>
      </c>
      <c r="AU126" s="26"/>
      <c r="AV126" s="26"/>
      <c r="AW126" s="47">
        <v>1</v>
      </c>
      <c r="AX126" s="47">
        <v>3</v>
      </c>
      <c r="AY126" s="47">
        <f>(21+188+3)/0.143</f>
        <v>1482.5174825174827</v>
      </c>
      <c r="AZ126" s="26">
        <v>1</v>
      </c>
      <c r="BA126" s="47">
        <v>3</v>
      </c>
      <c r="BB126" s="47">
        <f>AY126</f>
        <v>1482.5174825174827</v>
      </c>
      <c r="BC126" s="26">
        <v>1</v>
      </c>
      <c r="BD126" s="47">
        <v>21</v>
      </c>
      <c r="BE126" s="47">
        <f>21/0.143</f>
        <v>146.85314685314685</v>
      </c>
      <c r="BF126" s="26">
        <v>1</v>
      </c>
      <c r="BG126" s="173">
        <v>188</v>
      </c>
      <c r="BH126" s="47">
        <f>188/0.143</f>
        <v>1314.6853146853148</v>
      </c>
      <c r="BI126" s="26">
        <v>1</v>
      </c>
      <c r="BJ126" s="47">
        <v>3</v>
      </c>
      <c r="BK126" s="47">
        <f>3/0.143</f>
        <v>20.97902097902098</v>
      </c>
      <c r="BL126" s="26">
        <f>IF(BM126&gt;0,1,0)</f>
        <v>0</v>
      </c>
      <c r="BM126" s="26">
        <f>SUM(BR126,BU126,BX126,CA126,CD126,CG126,CJ126,CM126,CP126)</f>
        <v>0</v>
      </c>
      <c r="BN126" s="26">
        <f>SUM(BW126,BZ126,CC126,CF126,CI126,CL126,CO126,CR126,BT126)</f>
        <v>0</v>
      </c>
      <c r="BO126" s="26">
        <f>IF(BP126&gt;0,1,0)</f>
        <v>0</v>
      </c>
      <c r="BP126" s="26">
        <f>SUM(BU126,BX126,CA126,CD126,BR126)</f>
        <v>0</v>
      </c>
      <c r="BQ126" s="26">
        <f>SUM(BZ126,CC126,CF126,BT126,BW126)</f>
        <v>0</v>
      </c>
      <c r="BR126" s="26">
        <v>0</v>
      </c>
      <c r="BS126" s="47">
        <v>0</v>
      </c>
      <c r="BT126" s="48">
        <f>BS126/AS126</f>
        <v>0</v>
      </c>
      <c r="BU126" s="26">
        <v>0</v>
      </c>
      <c r="BV126" s="47">
        <v>0</v>
      </c>
      <c r="BW126" s="26">
        <f>BV126/AS126</f>
        <v>0</v>
      </c>
      <c r="BX126" s="26">
        <v>0</v>
      </c>
      <c r="BY126" s="47">
        <v>0</v>
      </c>
      <c r="BZ126" s="26">
        <f>BY126/AS126</f>
        <v>0</v>
      </c>
      <c r="CA126" s="47">
        <v>0</v>
      </c>
      <c r="CB126" s="47">
        <v>0</v>
      </c>
      <c r="CC126" s="47">
        <v>0</v>
      </c>
      <c r="CD126" s="48">
        <v>0</v>
      </c>
      <c r="CE126" s="47">
        <v>0</v>
      </c>
      <c r="CF126" s="47">
        <v>0</v>
      </c>
      <c r="CG126" s="47"/>
      <c r="CH126" s="47"/>
      <c r="CI126" s="47"/>
      <c r="CJ126" s="47"/>
      <c r="CK126" s="47"/>
      <c r="CL126" s="47"/>
      <c r="CM126" s="47"/>
      <c r="CN126" s="47"/>
      <c r="CO126" s="47"/>
      <c r="CP126" s="47" t="s">
        <v>123</v>
      </c>
      <c r="CQ126" s="47">
        <v>0</v>
      </c>
      <c r="CR126" s="47">
        <v>0</v>
      </c>
      <c r="CS126" s="26">
        <f>IF(CT126&gt;0,1,0)</f>
        <v>0</v>
      </c>
      <c r="CT126" s="48">
        <f>SUM(CW126,CZ126,DC126)</f>
        <v>0</v>
      </c>
      <c r="CU126" s="48"/>
      <c r="CV126" s="47">
        <v>0</v>
      </c>
      <c r="CW126" s="48">
        <v>0</v>
      </c>
      <c r="CX126" s="47">
        <v>0</v>
      </c>
      <c r="CY126" s="47">
        <v>0</v>
      </c>
      <c r="CZ126" s="26">
        <v>0</v>
      </c>
      <c r="DA126" s="47">
        <v>0</v>
      </c>
      <c r="DB126" s="47">
        <v>0</v>
      </c>
      <c r="DC126" s="26">
        <v>0</v>
      </c>
      <c r="DD126" s="47">
        <v>0</v>
      </c>
      <c r="DE126" s="47">
        <v>0</v>
      </c>
      <c r="DF126" s="16">
        <f>VLOOKUP(K126,'[3]RNA Seq summary tables'!$V$3:$V$99,1,FALSE)</f>
        <v>1565</v>
      </c>
      <c r="DG126" s="16">
        <v>1</v>
      </c>
      <c r="DH126" s="16" t="str">
        <f>VLOOKUP(D126,'[8]Data with duplicates'!$B$1:$J$70,9,FALSE)</f>
        <v>sample.13</v>
      </c>
      <c r="DI126" s="26"/>
      <c r="DJ126" s="26"/>
      <c r="DK126" s="26"/>
      <c r="DL126" s="26"/>
      <c r="DM126" s="26"/>
      <c r="DN126" s="26"/>
      <c r="DO126" s="26"/>
      <c r="DP126" s="26"/>
      <c r="DQ126" s="26"/>
      <c r="DR126" s="26"/>
      <c r="DS126" s="26"/>
      <c r="JP126" s="30"/>
      <c r="JQ126" s="30"/>
    </row>
    <row r="127" spans="1:288" x14ac:dyDescent="0.2">
      <c r="B127" s="16">
        <v>2016</v>
      </c>
      <c r="C127" s="37">
        <v>42584</v>
      </c>
      <c r="D127" s="37" t="str">
        <f>CONCATENATE(J127,"-",C127)</f>
        <v>1013-42584</v>
      </c>
      <c r="E127" s="20" t="str">
        <f>CONCATENATE(T127,"-",U127,"-",C127)</f>
        <v>BC1-A3-42584</v>
      </c>
      <c r="F127" s="20" t="s">
        <v>106</v>
      </c>
      <c r="G127" s="20" t="s">
        <v>107</v>
      </c>
      <c r="H127" s="18"/>
      <c r="I127" s="16">
        <v>0</v>
      </c>
      <c r="J127" s="36">
        <v>1013</v>
      </c>
      <c r="K127" s="36">
        <v>1526</v>
      </c>
      <c r="L127" s="18">
        <v>0</v>
      </c>
      <c r="M127" s="15">
        <f>VLOOKUP(K127,'[7]MLBS 2016 SNV-nem Coinfection d'!$C$1:$G$238,4,FALSE)</f>
        <v>0</v>
      </c>
      <c r="N127" s="15">
        <v>0</v>
      </c>
      <c r="O127" s="15" t="s">
        <v>119</v>
      </c>
      <c r="P127" s="18" t="s">
        <v>119</v>
      </c>
      <c r="Q127" s="16">
        <v>0</v>
      </c>
      <c r="R127" s="18" t="s">
        <v>111</v>
      </c>
      <c r="S127" s="18"/>
      <c r="T127" s="18" t="s">
        <v>159</v>
      </c>
      <c r="U127" s="18" t="s">
        <v>201</v>
      </c>
      <c r="V127" s="18" t="s">
        <v>114</v>
      </c>
      <c r="W127" s="16">
        <f>AI127/AG127</f>
        <v>0.9358974358974359</v>
      </c>
      <c r="X127" s="18" t="s">
        <v>115</v>
      </c>
      <c r="Y127" s="18" t="s">
        <v>145</v>
      </c>
      <c r="Z127" s="18">
        <v>1</v>
      </c>
      <c r="AA127" s="18"/>
      <c r="AB127" s="18"/>
      <c r="AC127" s="18"/>
      <c r="AD127" s="18"/>
      <c r="AE127" s="18" t="s">
        <v>123</v>
      </c>
      <c r="AF127" s="18" t="s">
        <v>123</v>
      </c>
      <c r="AG127" s="18">
        <f>AH127-AI127</f>
        <v>78</v>
      </c>
      <c r="AH127" s="18">
        <v>151</v>
      </c>
      <c r="AI127" s="18">
        <v>73</v>
      </c>
      <c r="AJ127" s="18"/>
      <c r="AK127" s="18">
        <v>10.5</v>
      </c>
      <c r="AL127" s="16">
        <v>0</v>
      </c>
      <c r="AM127" s="16">
        <v>0</v>
      </c>
      <c r="AN127" s="16">
        <v>0</v>
      </c>
      <c r="AO127" s="16">
        <f>IF(SUM(AL127:AN127)&gt;0,1,0)</f>
        <v>0</v>
      </c>
      <c r="AP127" s="16">
        <f>SUM(AL127:AN127)</f>
        <v>0</v>
      </c>
      <c r="AQ127" s="18"/>
      <c r="AR127" s="18">
        <v>0.30499999999999999</v>
      </c>
      <c r="AS127" s="18">
        <v>0.30499999999999999</v>
      </c>
      <c r="AT127" s="18" t="s">
        <v>212</v>
      </c>
      <c r="AU127" s="18"/>
      <c r="AV127" s="18"/>
      <c r="AW127" s="22">
        <v>1</v>
      </c>
      <c r="AX127" s="18">
        <v>2</v>
      </c>
      <c r="AY127" s="18">
        <f>7/0.305</f>
        <v>22.950819672131146</v>
      </c>
      <c r="AZ127" s="18">
        <v>1</v>
      </c>
      <c r="BA127" s="18">
        <v>2</v>
      </c>
      <c r="BB127" s="18">
        <f>7/0.305</f>
        <v>22.950819672131146</v>
      </c>
      <c r="BC127" s="16">
        <v>1</v>
      </c>
      <c r="BD127" s="18">
        <v>1</v>
      </c>
      <c r="BE127" s="18">
        <f>1/0.305</f>
        <v>3.278688524590164</v>
      </c>
      <c r="BF127" s="18">
        <v>1</v>
      </c>
      <c r="BG127" s="25">
        <v>6</v>
      </c>
      <c r="BH127" s="18">
        <f>6/0.305</f>
        <v>19.672131147540984</v>
      </c>
      <c r="BI127" s="18">
        <v>0</v>
      </c>
      <c r="BJ127" s="18">
        <v>0</v>
      </c>
      <c r="BK127" s="18">
        <v>0</v>
      </c>
      <c r="BL127" s="16">
        <f>IF(BM127&gt;0,1,0)</f>
        <v>0</v>
      </c>
      <c r="BM127" s="16">
        <f>SUM(BR127,BU127,BX127,CA127,CD127,CG127,CJ127,CM127,CP127)</f>
        <v>0</v>
      </c>
      <c r="BN127" s="16">
        <f>SUM(BW127,BZ127,CC127,CF127,CI127,CL127,CO127,CR127,BT127)</f>
        <v>0</v>
      </c>
      <c r="BO127" s="16">
        <f>IF(BP127&gt;0,1,0)</f>
        <v>0</v>
      </c>
      <c r="BP127" s="16">
        <f>SUM(BU127,BX127,CA127,CD127,BR127)</f>
        <v>0</v>
      </c>
      <c r="BQ127" s="16">
        <f>SUM(BZ127,CC127,CF127,BT127,BW127)</f>
        <v>0</v>
      </c>
      <c r="BR127" s="18">
        <v>0</v>
      </c>
      <c r="BS127" s="18">
        <v>0</v>
      </c>
      <c r="BT127" s="23">
        <f>BS127/AS127</f>
        <v>0</v>
      </c>
      <c r="BU127" s="18">
        <v>0</v>
      </c>
      <c r="BV127" s="18">
        <v>0</v>
      </c>
      <c r="BW127" s="18">
        <f>BV127/AS127</f>
        <v>0</v>
      </c>
      <c r="BX127" s="18">
        <v>0</v>
      </c>
      <c r="BY127" s="18">
        <v>0</v>
      </c>
      <c r="BZ127" s="16">
        <f>BY127/AS127</f>
        <v>0</v>
      </c>
      <c r="CA127" s="24">
        <v>0</v>
      </c>
      <c r="CB127" s="18">
        <v>0</v>
      </c>
      <c r="CC127" s="18">
        <v>0</v>
      </c>
      <c r="CD127" s="25">
        <v>0</v>
      </c>
      <c r="CE127" s="18">
        <v>0</v>
      </c>
      <c r="CF127" s="18">
        <v>0</v>
      </c>
      <c r="CG127" s="18"/>
      <c r="CH127" s="18"/>
      <c r="CI127" s="18"/>
      <c r="CJ127" s="18"/>
      <c r="CK127" s="18"/>
      <c r="CL127" s="18"/>
      <c r="CM127" s="18"/>
      <c r="CN127" s="18"/>
      <c r="CO127" s="18"/>
      <c r="CP127" s="18" t="s">
        <v>123</v>
      </c>
      <c r="CQ127" s="18">
        <v>0</v>
      </c>
      <c r="CR127" s="18">
        <v>0</v>
      </c>
      <c r="CS127" s="18">
        <f>IF(CT127&gt;0,1,0)</f>
        <v>0</v>
      </c>
      <c r="CT127" s="25">
        <f>SUM(CW127,CZ127,DC127)</f>
        <v>0</v>
      </c>
      <c r="CU127" s="25"/>
      <c r="CV127" s="18">
        <v>0</v>
      </c>
      <c r="CW127" s="25">
        <v>0</v>
      </c>
      <c r="CX127" s="18">
        <v>0</v>
      </c>
      <c r="CY127" s="18">
        <v>0</v>
      </c>
      <c r="CZ127" s="18">
        <v>0</v>
      </c>
      <c r="DA127" s="18">
        <v>0</v>
      </c>
      <c r="DB127" s="18">
        <v>0</v>
      </c>
      <c r="DC127" s="18">
        <v>0</v>
      </c>
      <c r="DD127" s="18">
        <v>0</v>
      </c>
      <c r="DE127" s="18">
        <v>0</v>
      </c>
      <c r="DF127" s="16" t="e">
        <f>VLOOKUP(K127,'[3]RNA Seq summary tables'!$V$3:$V$99,1,FALSE)</f>
        <v>#N/A</v>
      </c>
      <c r="DG127" s="16">
        <v>1</v>
      </c>
      <c r="DH127" s="16" t="str">
        <f>VLOOKUP(D127,'[8]Data with duplicates'!$B$1:$J$70,9,FALSE)</f>
        <v>sample.14</v>
      </c>
      <c r="DI127" s="18"/>
      <c r="DJ127" s="18"/>
      <c r="DK127" s="18"/>
      <c r="DL127" s="18"/>
      <c r="DM127" s="18"/>
      <c r="DN127" s="18"/>
      <c r="DO127" s="18"/>
      <c r="DP127" s="18"/>
      <c r="DQ127" s="18"/>
      <c r="DR127" s="18"/>
      <c r="DS127" s="18"/>
    </row>
    <row r="128" spans="1:288" s="26" customFormat="1" x14ac:dyDescent="0.2">
      <c r="A128" s="18"/>
      <c r="B128" s="16">
        <v>2016</v>
      </c>
      <c r="C128" s="20">
        <v>42585</v>
      </c>
      <c r="D128" s="20" t="str">
        <f>CONCATENATE(J128,"-",C128)</f>
        <v>1014-42585</v>
      </c>
      <c r="E128" s="20" t="str">
        <f>CONCATENATE(T128,"-",U128,"-",C128)</f>
        <v>BC2-E1-42585</v>
      </c>
      <c r="F128" s="20" t="s">
        <v>106</v>
      </c>
      <c r="G128" s="20" t="s">
        <v>107</v>
      </c>
      <c r="H128" s="16"/>
      <c r="I128" s="16">
        <v>0</v>
      </c>
      <c r="J128" s="21">
        <v>1014</v>
      </c>
      <c r="K128" s="21">
        <v>1527</v>
      </c>
      <c r="L128" s="18">
        <v>0</v>
      </c>
      <c r="M128" s="15">
        <f>VLOOKUP(K128,'[7]MLBS 2016 SNV-nem Coinfection d'!$C$1:$G$238,4,FALSE)</f>
        <v>0</v>
      </c>
      <c r="N128" s="15">
        <v>0</v>
      </c>
      <c r="O128" s="15" t="s">
        <v>119</v>
      </c>
      <c r="P128" s="16" t="s">
        <v>119</v>
      </c>
      <c r="Q128" s="16">
        <v>0</v>
      </c>
      <c r="R128" s="16" t="s">
        <v>111</v>
      </c>
      <c r="S128" s="16"/>
      <c r="T128" s="16" t="s">
        <v>154</v>
      </c>
      <c r="U128" s="16" t="s">
        <v>222</v>
      </c>
      <c r="V128" s="16" t="s">
        <v>142</v>
      </c>
      <c r="W128" s="16">
        <f>AI128/AG128</f>
        <v>1.0120481927710843</v>
      </c>
      <c r="X128" s="16" t="s">
        <v>115</v>
      </c>
      <c r="Y128" s="16" t="s">
        <v>110</v>
      </c>
      <c r="Z128" s="16">
        <v>3</v>
      </c>
      <c r="AA128" s="16"/>
      <c r="AB128" s="16"/>
      <c r="AC128" s="16"/>
      <c r="AD128" s="16"/>
      <c r="AE128" s="16" t="s">
        <v>116</v>
      </c>
      <c r="AF128" s="16" t="s">
        <v>116</v>
      </c>
      <c r="AG128" s="16">
        <f>AH128-AI128</f>
        <v>83</v>
      </c>
      <c r="AH128" s="16">
        <v>167</v>
      </c>
      <c r="AI128" s="16">
        <v>84</v>
      </c>
      <c r="AJ128" s="16"/>
      <c r="AK128" s="16">
        <v>15</v>
      </c>
      <c r="AL128" s="16">
        <v>0</v>
      </c>
      <c r="AM128" s="16">
        <v>0</v>
      </c>
      <c r="AN128" s="16">
        <v>0</v>
      </c>
      <c r="AO128" s="16">
        <f>IF(SUM(AL128:AN128)&gt;0,1,0)</f>
        <v>0</v>
      </c>
      <c r="AP128" s="16">
        <f>SUM(AL128:AN128)</f>
        <v>0</v>
      </c>
      <c r="AQ128" s="16">
        <v>2.0720000000000001</v>
      </c>
      <c r="AR128" s="18">
        <v>0.59499999999999997</v>
      </c>
      <c r="AS128" s="18">
        <v>0.59499999999999997</v>
      </c>
      <c r="AT128" s="16" t="s">
        <v>205</v>
      </c>
      <c r="AU128" s="16"/>
      <c r="AV128" s="16">
        <v>1</v>
      </c>
      <c r="AW128" s="18">
        <v>0</v>
      </c>
      <c r="AX128" s="18">
        <v>0</v>
      </c>
      <c r="AY128" s="18">
        <v>0</v>
      </c>
      <c r="AZ128" s="18">
        <v>0</v>
      </c>
      <c r="BA128" s="18">
        <v>0</v>
      </c>
      <c r="BB128" s="18">
        <v>0</v>
      </c>
      <c r="BC128" s="18">
        <v>0</v>
      </c>
      <c r="BD128" s="18">
        <v>0</v>
      </c>
      <c r="BE128" s="18">
        <v>0</v>
      </c>
      <c r="BF128" s="18">
        <v>0</v>
      </c>
      <c r="BG128" s="25">
        <v>0</v>
      </c>
      <c r="BH128" s="18">
        <v>0</v>
      </c>
      <c r="BI128" s="18">
        <v>0</v>
      </c>
      <c r="BJ128" s="18">
        <v>0</v>
      </c>
      <c r="BK128" s="18">
        <v>0</v>
      </c>
      <c r="BL128" s="16">
        <f>IF(BM128&gt;0,1,0)</f>
        <v>0</v>
      </c>
      <c r="BM128" s="16">
        <f>SUM(BR128,BU128,BX128,CA128,CD128,CG128,CJ128,CM128,CP128)</f>
        <v>0</v>
      </c>
      <c r="BN128" s="16">
        <f>SUM(BW128,BZ128,CC128,CF128,CI128,CL128,CO128,CR128,BT128)</f>
        <v>0</v>
      </c>
      <c r="BO128" s="16">
        <f>IF(BP128&gt;0,1,0)</f>
        <v>0</v>
      </c>
      <c r="BP128" s="16">
        <f>SUM(BU128,BX128,CA128,CD128,BR128)</f>
        <v>0</v>
      </c>
      <c r="BQ128" s="16">
        <f>SUM(BZ128,CC128,CF128,BT128,BW128)</f>
        <v>0</v>
      </c>
      <c r="BR128" s="18">
        <v>0</v>
      </c>
      <c r="BS128" s="18">
        <v>0</v>
      </c>
      <c r="BT128" s="23">
        <f>BS128/AS128</f>
        <v>0</v>
      </c>
      <c r="BU128" s="18">
        <v>0</v>
      </c>
      <c r="BV128" s="18">
        <v>0</v>
      </c>
      <c r="BW128" s="18">
        <f>BV128/AS128</f>
        <v>0</v>
      </c>
      <c r="BX128" s="18">
        <v>0</v>
      </c>
      <c r="BY128" s="18">
        <v>0</v>
      </c>
      <c r="BZ128" s="16">
        <f>BY128/AS128</f>
        <v>0</v>
      </c>
      <c r="CA128" s="24">
        <v>0</v>
      </c>
      <c r="CB128" s="18">
        <v>0</v>
      </c>
      <c r="CC128" s="18">
        <v>0</v>
      </c>
      <c r="CD128" s="25">
        <v>0</v>
      </c>
      <c r="CE128" s="18">
        <v>0</v>
      </c>
      <c r="CF128" s="18">
        <v>0</v>
      </c>
      <c r="CG128" s="18"/>
      <c r="CH128" s="18"/>
      <c r="CI128" s="18"/>
      <c r="CJ128" s="18"/>
      <c r="CK128" s="18"/>
      <c r="CL128" s="18"/>
      <c r="CM128" s="18"/>
      <c r="CN128" s="18"/>
      <c r="CO128" s="18"/>
      <c r="CP128" s="18" t="s">
        <v>123</v>
      </c>
      <c r="CQ128" s="18">
        <v>0</v>
      </c>
      <c r="CR128" s="18">
        <v>0</v>
      </c>
      <c r="CS128" s="18">
        <f>IF(CT128&gt;0,1,0)</f>
        <v>0</v>
      </c>
      <c r="CT128" s="25">
        <f>SUM(CW128,CZ128,DC128)</f>
        <v>0</v>
      </c>
      <c r="CU128" s="25"/>
      <c r="CV128" s="18">
        <v>0</v>
      </c>
      <c r="CW128" s="25">
        <v>0</v>
      </c>
      <c r="CX128" s="18">
        <v>0</v>
      </c>
      <c r="CY128" s="18">
        <v>0</v>
      </c>
      <c r="CZ128" s="18">
        <v>0</v>
      </c>
      <c r="DA128" s="18">
        <v>0</v>
      </c>
      <c r="DB128" s="18">
        <v>0</v>
      </c>
      <c r="DC128" s="18">
        <v>0</v>
      </c>
      <c r="DD128" s="18">
        <v>0</v>
      </c>
      <c r="DE128" s="18">
        <v>0</v>
      </c>
      <c r="DF128" s="16" t="e">
        <f>VLOOKUP(K128,'[3]RNA Seq summary tables'!$V$3:$V$99,1,FALSE)</f>
        <v>#N/A</v>
      </c>
      <c r="DG128" s="16"/>
      <c r="DH128" s="16"/>
      <c r="DI128" s="16"/>
      <c r="DJ128" s="16"/>
      <c r="DK128" s="16"/>
      <c r="DL128" s="16"/>
      <c r="DM128" s="16"/>
      <c r="DN128" s="16"/>
      <c r="DO128" s="16"/>
      <c r="DP128" s="16"/>
      <c r="DQ128" s="16"/>
      <c r="DR128" s="16"/>
      <c r="DS128" s="16"/>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8"/>
      <c r="FA128" s="18"/>
      <c r="FB128" s="18"/>
      <c r="FC128" s="18"/>
      <c r="FD128" s="18"/>
      <c r="FE128" s="18"/>
      <c r="FF128" s="18"/>
      <c r="FG128" s="18"/>
      <c r="FH128" s="18"/>
      <c r="FI128" s="18"/>
      <c r="FJ128" s="18"/>
      <c r="FK128" s="18"/>
      <c r="FL128" s="18"/>
      <c r="FM128" s="18"/>
      <c r="FN128" s="18"/>
      <c r="FO128" s="18"/>
      <c r="FP128" s="18"/>
      <c r="FQ128" s="18"/>
      <c r="FR128" s="18"/>
      <c r="FS128" s="18"/>
      <c r="FT128" s="18"/>
      <c r="FU128" s="18"/>
      <c r="FV128" s="18"/>
      <c r="FW128" s="18"/>
      <c r="FX128" s="18"/>
      <c r="FY128" s="18"/>
      <c r="FZ128" s="18"/>
      <c r="GA128" s="18"/>
      <c r="GB128" s="18"/>
      <c r="GC128" s="18"/>
      <c r="GD128" s="18"/>
      <c r="GE128" s="18"/>
      <c r="GF128" s="18"/>
      <c r="GG128" s="18"/>
      <c r="GH128" s="18"/>
      <c r="GI128" s="18"/>
      <c r="GJ128" s="18"/>
      <c r="GK128" s="18"/>
      <c r="GL128" s="18"/>
      <c r="GM128" s="18"/>
      <c r="GN128" s="18"/>
      <c r="GO128" s="18"/>
      <c r="GP128" s="18"/>
      <c r="GQ128" s="18"/>
      <c r="GR128" s="18"/>
      <c r="GS128" s="18"/>
      <c r="GT128" s="18"/>
      <c r="GU128" s="18"/>
      <c r="GV128" s="18"/>
      <c r="GW128" s="18"/>
      <c r="GX128" s="18"/>
      <c r="GY128" s="18"/>
      <c r="GZ128" s="18"/>
      <c r="HA128" s="18"/>
      <c r="HB128" s="18"/>
      <c r="HC128" s="18"/>
      <c r="HD128" s="18"/>
      <c r="HE128" s="18"/>
      <c r="HF128" s="18"/>
      <c r="HG128" s="18"/>
      <c r="HH128" s="18"/>
      <c r="HI128" s="18"/>
      <c r="HJ128" s="18"/>
      <c r="HK128" s="18"/>
      <c r="HL128" s="18"/>
      <c r="HM128" s="18"/>
      <c r="HN128" s="18"/>
      <c r="HO128" s="18"/>
      <c r="HP128" s="18"/>
      <c r="HQ128" s="18"/>
      <c r="HR128" s="18"/>
      <c r="HS128" s="18"/>
      <c r="HT128" s="18"/>
      <c r="HU128" s="18"/>
      <c r="HV128" s="18"/>
      <c r="HW128" s="18"/>
      <c r="HX128" s="18"/>
      <c r="HY128" s="18"/>
      <c r="HZ128" s="18"/>
      <c r="IA128" s="18"/>
      <c r="IB128" s="18"/>
      <c r="IC128" s="18"/>
      <c r="ID128" s="18"/>
      <c r="IE128" s="18"/>
      <c r="IF128" s="18"/>
      <c r="IG128" s="18"/>
      <c r="IH128" s="18"/>
      <c r="II128" s="18"/>
      <c r="IJ128" s="18"/>
      <c r="IK128" s="18"/>
      <c r="IL128" s="18"/>
      <c r="IM128" s="18"/>
      <c r="IN128" s="18"/>
      <c r="IO128" s="18"/>
      <c r="IP128" s="18"/>
      <c r="IQ128" s="18"/>
      <c r="IR128" s="18"/>
      <c r="IS128" s="18"/>
      <c r="IT128" s="18"/>
      <c r="IU128" s="18"/>
      <c r="IV128" s="18"/>
      <c r="IW128" s="18"/>
      <c r="IX128" s="18"/>
      <c r="IY128" s="18"/>
      <c r="IZ128" s="18"/>
      <c r="JA128" s="18"/>
      <c r="JB128" s="18"/>
      <c r="JC128" s="18"/>
      <c r="JD128" s="18"/>
      <c r="JE128" s="18"/>
      <c r="JF128" s="18"/>
      <c r="JG128" s="18"/>
      <c r="JH128" s="18"/>
      <c r="JI128" s="18"/>
      <c r="JJ128" s="18"/>
      <c r="JK128" s="18"/>
      <c r="JL128" s="18"/>
      <c r="JM128" s="18"/>
      <c r="JN128" s="18"/>
      <c r="JO128" s="16"/>
      <c r="JP128" s="16"/>
      <c r="JQ128" s="16"/>
      <c r="JR128" s="16"/>
      <c r="JS128" s="16"/>
      <c r="JT128" s="16"/>
      <c r="JU128" s="16"/>
      <c r="JV128" s="16"/>
      <c r="JW128" s="16"/>
      <c r="JX128" s="16"/>
      <c r="JY128" s="16"/>
      <c r="JZ128" s="16"/>
      <c r="KA128" s="16"/>
      <c r="KB128" s="16"/>
    </row>
    <row r="129" spans="1:288" x14ac:dyDescent="0.2">
      <c r="B129" s="16">
        <v>2016</v>
      </c>
      <c r="C129" s="20">
        <v>42598</v>
      </c>
      <c r="D129" s="20" t="str">
        <f>CONCATENATE(J129,"-",C129)</f>
        <v>1014-42598</v>
      </c>
      <c r="E129" s="20" t="str">
        <f>CONCATENATE(T129,"-",U129,"-",C129)</f>
        <v>BC2-D5-42598</v>
      </c>
      <c r="F129" s="20" t="s">
        <v>227</v>
      </c>
      <c r="G129" s="20" t="s">
        <v>107</v>
      </c>
      <c r="I129" s="16">
        <v>0</v>
      </c>
      <c r="J129" s="21">
        <v>1014</v>
      </c>
      <c r="K129" s="21">
        <v>1552</v>
      </c>
      <c r="L129" s="18">
        <v>0</v>
      </c>
      <c r="M129" s="15">
        <f>VLOOKUP(K129,'[7]MLBS 2016 SNV-nem Coinfection d'!$C$1:$G$238,4,FALSE)</f>
        <v>0</v>
      </c>
      <c r="N129" s="15">
        <v>0</v>
      </c>
      <c r="O129" s="15" t="s">
        <v>119</v>
      </c>
      <c r="P129" s="16" t="s">
        <v>119</v>
      </c>
      <c r="Q129" s="16">
        <v>0</v>
      </c>
      <c r="R129" s="16">
        <v>13</v>
      </c>
      <c r="T129" s="16" t="s">
        <v>154</v>
      </c>
      <c r="U129" s="16" t="s">
        <v>183</v>
      </c>
      <c r="V129" s="16" t="s">
        <v>142</v>
      </c>
      <c r="W129" s="16">
        <f>AI129/AG129</f>
        <v>1.0641025641025641</v>
      </c>
      <c r="X129" s="16" t="s">
        <v>115</v>
      </c>
      <c r="Y129" s="16" t="s">
        <v>110</v>
      </c>
      <c r="Z129" s="16">
        <v>3</v>
      </c>
      <c r="AE129" s="16" t="s">
        <v>116</v>
      </c>
      <c r="AF129" s="16" t="s">
        <v>116</v>
      </c>
      <c r="AG129" s="16">
        <f>AH129-AI129</f>
        <v>78</v>
      </c>
      <c r="AH129" s="16">
        <v>161</v>
      </c>
      <c r="AI129" s="16">
        <v>83</v>
      </c>
      <c r="AK129" s="16">
        <v>15.5</v>
      </c>
      <c r="AL129" s="16">
        <v>0</v>
      </c>
      <c r="AM129" s="16">
        <v>0</v>
      </c>
      <c r="AN129" s="16">
        <v>0</v>
      </c>
      <c r="AO129" s="16">
        <f>IF(SUM(AL129:AN129)&gt;0,1,0)</f>
        <v>0</v>
      </c>
      <c r="AP129" s="16">
        <f>SUM(AL129:AN129)</f>
        <v>0</v>
      </c>
      <c r="AQ129" s="16">
        <v>1.9530000000000001</v>
      </c>
      <c r="AR129" s="16">
        <v>0.47599999999999998</v>
      </c>
      <c r="AS129" s="16">
        <v>0.47599999999999998</v>
      </c>
      <c r="AT129" s="16" t="s">
        <v>205</v>
      </c>
      <c r="AW129" s="22">
        <v>1</v>
      </c>
      <c r="AX129" s="24">
        <v>3</v>
      </c>
      <c r="AY129" s="16">
        <f>(203+1017+64)/AS129</f>
        <v>2697.4789915966389</v>
      </c>
      <c r="AZ129" s="18">
        <v>1</v>
      </c>
      <c r="BA129" s="24">
        <v>3</v>
      </c>
      <c r="BB129" s="16">
        <f>(203+1017+64)/AS129</f>
        <v>2697.4789915966389</v>
      </c>
      <c r="BC129" s="16">
        <v>1</v>
      </c>
      <c r="BD129" s="24">
        <v>203</v>
      </c>
      <c r="BE129" s="16">
        <f>203/AS129</f>
        <v>426.47058823529414</v>
      </c>
      <c r="BF129" s="18">
        <v>1</v>
      </c>
      <c r="BG129" s="53">
        <v>1017</v>
      </c>
      <c r="BH129" s="16">
        <f>1017/AS129</f>
        <v>2136.5546218487398</v>
      </c>
      <c r="BI129" s="16">
        <v>1</v>
      </c>
      <c r="BJ129" s="24">
        <v>64</v>
      </c>
      <c r="BK129" s="16">
        <f>64/AS129</f>
        <v>134.45378151260505</v>
      </c>
      <c r="BL129" s="16">
        <f>IF(BM129&gt;0,1,0)</f>
        <v>0</v>
      </c>
      <c r="BM129" s="16">
        <f>SUM(BR129,BU129,BX129,CA129,CD129,CG129,CJ129,CM129,CP129)</f>
        <v>0</v>
      </c>
      <c r="BN129" s="16">
        <f>SUM(BW129,BZ129,CC129,CF129,CI129,CL129,CO129,CR129,BT129)</f>
        <v>0</v>
      </c>
      <c r="BO129" s="16">
        <f>IF(BP129&gt;0,1,0)</f>
        <v>0</v>
      </c>
      <c r="BP129" s="16">
        <f>SUM(BU129,BX129,CA129,CD129,BR129)</f>
        <v>0</v>
      </c>
      <c r="BQ129" s="16">
        <f>SUM(BZ129,CC129,CF129,BT129,BW129)</f>
        <v>0</v>
      </c>
      <c r="BR129" s="18">
        <v>0</v>
      </c>
      <c r="BS129" s="24">
        <v>0</v>
      </c>
      <c r="BT129" s="23">
        <f>BS129/AS129</f>
        <v>0</v>
      </c>
      <c r="BU129" s="18">
        <v>0</v>
      </c>
      <c r="BV129" s="24">
        <v>0</v>
      </c>
      <c r="BW129" s="18">
        <f>BV129/AS129</f>
        <v>0</v>
      </c>
      <c r="BX129" s="18">
        <v>0</v>
      </c>
      <c r="BY129" s="24">
        <v>0</v>
      </c>
      <c r="BZ129" s="16">
        <f>BY129/AS129</f>
        <v>0</v>
      </c>
      <c r="CA129" s="24">
        <v>0</v>
      </c>
      <c r="CB129" s="24">
        <v>0</v>
      </c>
      <c r="CC129" s="24">
        <v>0</v>
      </c>
      <c r="CD129" s="25">
        <v>0</v>
      </c>
      <c r="CE129" s="24">
        <v>0</v>
      </c>
      <c r="CF129" s="24">
        <v>0</v>
      </c>
      <c r="CG129" s="24"/>
      <c r="CH129" s="24"/>
      <c r="CI129" s="24"/>
      <c r="CJ129" s="24"/>
      <c r="CK129" s="24"/>
      <c r="CL129" s="24"/>
      <c r="CM129" s="24"/>
      <c r="CN129" s="24"/>
      <c r="CO129" s="24"/>
      <c r="CP129" s="24" t="s">
        <v>123</v>
      </c>
      <c r="CQ129" s="24">
        <v>0</v>
      </c>
      <c r="CR129" s="24">
        <v>0</v>
      </c>
      <c r="CS129" s="18">
        <f>IF(CT129&gt;0,1,0)</f>
        <v>0</v>
      </c>
      <c r="CT129" s="25">
        <f>SUM(CW129,CZ129,DC129)</f>
        <v>0</v>
      </c>
      <c r="CU129" s="25"/>
      <c r="CV129" s="24">
        <v>0</v>
      </c>
      <c r="CW129" s="25">
        <v>0</v>
      </c>
      <c r="CX129" s="24">
        <v>0</v>
      </c>
      <c r="CY129" s="24">
        <v>0</v>
      </c>
      <c r="CZ129" s="18">
        <v>0</v>
      </c>
      <c r="DA129" s="24">
        <v>0</v>
      </c>
      <c r="DB129" s="24">
        <v>0</v>
      </c>
      <c r="DC129" s="18">
        <v>0</v>
      </c>
      <c r="DD129" s="24">
        <v>0</v>
      </c>
      <c r="DE129" s="24">
        <v>0</v>
      </c>
      <c r="DF129" s="16" t="e">
        <f>VLOOKUP(K129,'[3]RNA Seq summary tables'!$V$3:$V$99,1,FALSE)</f>
        <v>#N/A</v>
      </c>
      <c r="DG129" s="16">
        <v>1</v>
      </c>
      <c r="DH129" s="16" t="str">
        <f>VLOOKUP(D129,'[8]Data with duplicates'!$B$1:$J$70,9,FALSE)</f>
        <v>sample.20</v>
      </c>
    </row>
    <row r="130" spans="1:288" x14ac:dyDescent="0.2">
      <c r="B130" s="16">
        <v>2016</v>
      </c>
      <c r="C130" s="20">
        <v>42592</v>
      </c>
      <c r="D130" s="20" t="str">
        <f>CONCATENATE(J130,"-",C130)</f>
        <v>1016-42592</v>
      </c>
      <c r="E130" s="20" t="str">
        <f>CONCATENATE(T130,"-",U130,"-",C130)</f>
        <v>HW1-H7-42592</v>
      </c>
      <c r="F130" s="20" t="s">
        <v>227</v>
      </c>
      <c r="G130" s="20" t="s">
        <v>107</v>
      </c>
      <c r="H130" s="23" t="s">
        <v>223</v>
      </c>
      <c r="I130" s="16">
        <v>0</v>
      </c>
      <c r="J130" s="21">
        <v>1016</v>
      </c>
      <c r="K130" s="21">
        <v>1541</v>
      </c>
      <c r="L130" s="18">
        <v>0</v>
      </c>
      <c r="M130" s="15">
        <f>VLOOKUP(K130,'[7]MLBS 2016 SNV-nem Coinfection d'!$C$1:$G$238,4,FALSE)</f>
        <v>0</v>
      </c>
      <c r="N130" s="15">
        <v>0</v>
      </c>
      <c r="O130" s="15" t="s">
        <v>119</v>
      </c>
      <c r="P130" s="16" t="s">
        <v>119</v>
      </c>
      <c r="Q130" s="16">
        <v>0</v>
      </c>
      <c r="R130" s="16" t="s">
        <v>111</v>
      </c>
      <c r="T130" s="16" t="s">
        <v>133</v>
      </c>
      <c r="U130" s="16" t="s">
        <v>202</v>
      </c>
      <c r="V130" s="16" t="s">
        <v>114</v>
      </c>
      <c r="W130" s="16">
        <f>AI130/AG130</f>
        <v>0.91954022988505746</v>
      </c>
      <c r="X130" s="16" t="s">
        <v>115</v>
      </c>
      <c r="Y130" s="16" t="s">
        <v>110</v>
      </c>
      <c r="Z130" s="16">
        <v>3</v>
      </c>
      <c r="AE130" s="16" t="s">
        <v>116</v>
      </c>
      <c r="AF130" s="16" t="s">
        <v>116</v>
      </c>
      <c r="AG130" s="16">
        <f>AH130-AI130</f>
        <v>87</v>
      </c>
      <c r="AH130" s="16">
        <v>167</v>
      </c>
      <c r="AI130" s="16">
        <v>80</v>
      </c>
      <c r="AK130" s="16">
        <v>23.5</v>
      </c>
      <c r="AL130" s="16">
        <v>0</v>
      </c>
      <c r="AM130" s="16">
        <v>0</v>
      </c>
      <c r="AN130" s="16">
        <v>0</v>
      </c>
      <c r="AO130" s="16">
        <f>IF(SUM(AL130:AN130)&gt;0,1,0)</f>
        <v>0</v>
      </c>
      <c r="AP130" s="16">
        <f>SUM(AL130:AN130)</f>
        <v>0</v>
      </c>
      <c r="AQ130" s="16">
        <v>1.7529999999999999</v>
      </c>
      <c r="AR130" s="16">
        <v>0.27600000000000002</v>
      </c>
      <c r="AS130" s="16">
        <v>0.27600000000000002</v>
      </c>
      <c r="AT130" s="16" t="s">
        <v>205</v>
      </c>
      <c r="AW130" s="22">
        <v>1</v>
      </c>
      <c r="AX130" s="16">
        <v>3</v>
      </c>
      <c r="AY130" s="16">
        <f>(45+71+5)/AS130</f>
        <v>438.40579710144925</v>
      </c>
      <c r="AZ130" s="18">
        <v>1</v>
      </c>
      <c r="BA130" s="16">
        <v>3</v>
      </c>
      <c r="BB130" s="16">
        <f>AY130</f>
        <v>438.40579710144925</v>
      </c>
      <c r="BC130" s="16">
        <v>1</v>
      </c>
      <c r="BD130" s="16">
        <v>45</v>
      </c>
      <c r="BE130" s="16">
        <f>45/AS130</f>
        <v>163.04347826086956</v>
      </c>
      <c r="BF130" s="18">
        <v>1</v>
      </c>
      <c r="BG130" s="23">
        <v>71</v>
      </c>
      <c r="BH130" s="16">
        <f>71/AS130</f>
        <v>257.24637681159419</v>
      </c>
      <c r="BI130" s="16">
        <v>1</v>
      </c>
      <c r="BJ130" s="16">
        <v>5</v>
      </c>
      <c r="BK130" s="16">
        <f>5/AS130</f>
        <v>18.115942028985504</v>
      </c>
      <c r="BL130" s="16">
        <f>IF(BM130&gt;0,1,0)</f>
        <v>0</v>
      </c>
      <c r="BM130" s="16">
        <f>SUM(BR130,BU130,BX130,CA130,CD130,CG130,CJ130,CM130,CP130)</f>
        <v>0</v>
      </c>
      <c r="BN130" s="16">
        <f>SUM(BW130,BZ130,CC130,CF130,CI130,CL130,CO130,CR130,BT130)</f>
        <v>0</v>
      </c>
      <c r="BO130" s="16">
        <f>IF(BP130&gt;0,1,0)</f>
        <v>0</v>
      </c>
      <c r="BP130" s="16">
        <f>SUM(BU130,BX130,CA130,CD130,BR130)</f>
        <v>0</v>
      </c>
      <c r="BQ130" s="16">
        <f>SUM(BZ130,CC130,CF130,BT130,BW130)</f>
        <v>0</v>
      </c>
      <c r="BR130" s="18">
        <v>0</v>
      </c>
      <c r="BS130" s="16">
        <v>0</v>
      </c>
      <c r="BT130" s="23">
        <f>BS130/AS130</f>
        <v>0</v>
      </c>
      <c r="BU130" s="18">
        <v>0</v>
      </c>
      <c r="BV130" s="16">
        <v>0</v>
      </c>
      <c r="BW130" s="18">
        <f>BV130/AS130</f>
        <v>0</v>
      </c>
      <c r="BX130" s="18">
        <v>0</v>
      </c>
      <c r="BY130" s="16">
        <v>0</v>
      </c>
      <c r="BZ130" s="16">
        <f>BY130/AS130</f>
        <v>0</v>
      </c>
      <c r="CA130" s="24">
        <v>0</v>
      </c>
      <c r="CB130" s="16">
        <v>0</v>
      </c>
      <c r="CC130" s="16">
        <v>0</v>
      </c>
      <c r="CD130" s="25">
        <v>0</v>
      </c>
      <c r="CE130" s="16">
        <v>0</v>
      </c>
      <c r="CF130" s="16">
        <v>0</v>
      </c>
      <c r="CP130" s="16" t="s">
        <v>123</v>
      </c>
      <c r="CQ130" s="16">
        <v>0</v>
      </c>
      <c r="CR130" s="16">
        <v>0</v>
      </c>
      <c r="CS130" s="18">
        <f>IF(CT130&gt;0,1,0)</f>
        <v>0</v>
      </c>
      <c r="CT130" s="25">
        <f>SUM(CW130,CZ130,DC130)</f>
        <v>0</v>
      </c>
      <c r="CU130" s="25"/>
      <c r="CV130" s="16">
        <v>0</v>
      </c>
      <c r="CW130" s="25">
        <v>0</v>
      </c>
      <c r="CX130" s="16">
        <v>0</v>
      </c>
      <c r="CY130" s="16">
        <v>0</v>
      </c>
      <c r="CZ130" s="18">
        <v>0</v>
      </c>
      <c r="DA130" s="16">
        <v>0</v>
      </c>
      <c r="DB130" s="16">
        <v>0</v>
      </c>
      <c r="DC130" s="18">
        <v>0</v>
      </c>
      <c r="DD130" s="16">
        <v>0</v>
      </c>
      <c r="DE130" s="16">
        <v>0</v>
      </c>
      <c r="DF130" s="16" t="e">
        <f>VLOOKUP(K130,'[3]RNA Seq summary tables'!$V$3:$V$99,1,FALSE)</f>
        <v>#N/A</v>
      </c>
    </row>
    <row r="131" spans="1:288" x14ac:dyDescent="0.2">
      <c r="B131" s="18">
        <v>2016</v>
      </c>
      <c r="C131" s="37">
        <v>42610</v>
      </c>
      <c r="D131" s="37" t="str">
        <f>CONCATENATE(J131,"-",C131)</f>
        <v>1018-42610</v>
      </c>
      <c r="E131" s="20" t="str">
        <f>CONCATENATE(T131,"-",U131,"-",C131)</f>
        <v>BC1-F4-42610</v>
      </c>
      <c r="F131" s="20" t="s">
        <v>227</v>
      </c>
      <c r="G131" s="37" t="s">
        <v>107</v>
      </c>
      <c r="H131" s="18"/>
      <c r="I131" s="16">
        <v>0</v>
      </c>
      <c r="J131" s="36">
        <v>1018</v>
      </c>
      <c r="K131" s="36">
        <v>1568</v>
      </c>
      <c r="L131" s="18">
        <v>0</v>
      </c>
      <c r="M131" s="15">
        <f>VLOOKUP(K131,'[7]MLBS 2016 SNV-nem Coinfection d'!$C$1:$G$238,4,FALSE)</f>
        <v>0</v>
      </c>
      <c r="N131" s="15">
        <v>0</v>
      </c>
      <c r="O131" s="15" t="s">
        <v>119</v>
      </c>
      <c r="P131" s="18" t="s">
        <v>119</v>
      </c>
      <c r="Q131" s="16">
        <v>0</v>
      </c>
      <c r="R131" s="18" t="s">
        <v>111</v>
      </c>
      <c r="S131" s="18"/>
      <c r="T131" s="18" t="s">
        <v>159</v>
      </c>
      <c r="U131" s="18" t="s">
        <v>184</v>
      </c>
      <c r="V131" s="18" t="s">
        <v>114</v>
      </c>
      <c r="W131" s="16">
        <f>AI131/AG131</f>
        <v>0.79012345679012341</v>
      </c>
      <c r="X131" s="18" t="s">
        <v>115</v>
      </c>
      <c r="Y131" s="18" t="s">
        <v>122</v>
      </c>
      <c r="Z131" s="18">
        <v>2.6</v>
      </c>
      <c r="AA131" s="18"/>
      <c r="AB131" s="18"/>
      <c r="AC131" s="18"/>
      <c r="AD131" s="18"/>
      <c r="AE131" s="18" t="s">
        <v>123</v>
      </c>
      <c r="AF131" s="18" t="s">
        <v>123</v>
      </c>
      <c r="AG131" s="18">
        <f>AH131-AI131</f>
        <v>81</v>
      </c>
      <c r="AH131" s="18">
        <v>145</v>
      </c>
      <c r="AI131" s="18">
        <v>64</v>
      </c>
      <c r="AJ131" s="18"/>
      <c r="AK131" s="18">
        <v>13</v>
      </c>
      <c r="AL131" s="18">
        <v>0</v>
      </c>
      <c r="AM131" s="18">
        <v>0</v>
      </c>
      <c r="AN131" s="18">
        <v>0</v>
      </c>
      <c r="AO131" s="18">
        <f>IF(SUM(AL131:AN131)&gt;0,1,0)</f>
        <v>0</v>
      </c>
      <c r="AP131" s="18">
        <f>SUM(AL131:AN131)</f>
        <v>0</v>
      </c>
      <c r="AQ131" s="18"/>
      <c r="AR131" s="18"/>
      <c r="AS131" s="18"/>
      <c r="AT131" s="18" t="s">
        <v>204</v>
      </c>
      <c r="AU131" s="18"/>
      <c r="AV131" s="18"/>
      <c r="AW131" s="18"/>
      <c r="AX131" s="24"/>
      <c r="AY131" s="24"/>
      <c r="AZ131" s="18"/>
      <c r="BA131" s="24"/>
      <c r="BB131" s="24"/>
      <c r="BC131" s="18"/>
      <c r="BD131" s="24"/>
      <c r="BE131" s="24"/>
      <c r="BF131" s="18"/>
      <c r="BG131" s="53"/>
      <c r="BH131" s="24"/>
      <c r="BI131" s="18"/>
      <c r="BJ131" s="24"/>
      <c r="BK131" s="24"/>
      <c r="BL131" s="18"/>
      <c r="BM131" s="18"/>
      <c r="BN131" s="18"/>
      <c r="BO131" s="18"/>
      <c r="BP131" s="18"/>
      <c r="BQ131" s="18"/>
      <c r="BR131" s="18"/>
      <c r="BS131" s="24"/>
      <c r="BT131" s="25"/>
      <c r="BU131" s="18"/>
      <c r="BV131" s="24"/>
      <c r="BW131" s="18"/>
      <c r="BX131" s="18"/>
      <c r="BY131" s="24"/>
      <c r="BZ131" s="18"/>
      <c r="CA131" s="24"/>
      <c r="CB131" s="24"/>
      <c r="CC131" s="24"/>
      <c r="CD131" s="25"/>
      <c r="CE131" s="24"/>
      <c r="CF131" s="24"/>
      <c r="CG131" s="24"/>
      <c r="CH131" s="24"/>
      <c r="CI131" s="24"/>
      <c r="CJ131" s="24"/>
      <c r="CK131" s="24"/>
      <c r="CL131" s="24"/>
      <c r="CM131" s="24"/>
      <c r="CN131" s="24"/>
      <c r="CO131" s="24"/>
      <c r="CP131" s="24"/>
      <c r="CQ131" s="24"/>
      <c r="CR131" s="24"/>
      <c r="CS131" s="18"/>
      <c r="CT131" s="25"/>
      <c r="CU131" s="25"/>
      <c r="CV131" s="24"/>
      <c r="CW131" s="25"/>
      <c r="CX131" s="24"/>
      <c r="CY131" s="24"/>
      <c r="CZ131" s="18"/>
      <c r="DA131" s="24"/>
      <c r="DB131" s="24"/>
      <c r="DC131" s="18"/>
      <c r="DD131" s="24"/>
      <c r="DE131" s="24"/>
      <c r="DF131" s="16" t="e">
        <f>VLOOKUP(K131,'[3]RNA Seq summary tables'!$V$3:$V$99,1,FALSE)</f>
        <v>#N/A</v>
      </c>
      <c r="DG131" s="16">
        <v>1</v>
      </c>
      <c r="DH131" s="16" t="str">
        <f>VLOOKUP(D131,'[8]Data with duplicates'!$B$1:$J$70,9,FALSE)</f>
        <v>sample.16</v>
      </c>
      <c r="DI131" s="18"/>
      <c r="DJ131" s="18"/>
      <c r="DK131" s="18"/>
      <c r="DL131" s="18"/>
      <c r="DM131" s="18"/>
      <c r="DN131" s="18"/>
      <c r="DO131" s="18"/>
      <c r="DP131" s="18"/>
      <c r="DQ131" s="18"/>
      <c r="DR131" s="18"/>
      <c r="DS131" s="18"/>
      <c r="JO131" s="18"/>
    </row>
    <row r="132" spans="1:288" x14ac:dyDescent="0.2">
      <c r="B132" s="16">
        <v>2017</v>
      </c>
      <c r="C132" s="20">
        <v>42884</v>
      </c>
      <c r="D132" s="20" t="str">
        <f>CONCATENATE(J132,"-",C132)</f>
        <v>1021-42884</v>
      </c>
      <c r="E132" s="20" t="str">
        <f>CONCATENATE(T132,"-",U132,"-",C132)</f>
        <v>BC2-D1-42884</v>
      </c>
      <c r="F132" s="20" t="s">
        <v>106</v>
      </c>
      <c r="G132" s="20" t="s">
        <v>107</v>
      </c>
      <c r="I132" s="16">
        <v>0</v>
      </c>
      <c r="J132" s="21">
        <v>1021</v>
      </c>
      <c r="K132" s="21">
        <v>1577</v>
      </c>
      <c r="L132" s="18">
        <v>0</v>
      </c>
      <c r="M132" s="21">
        <f>VLOOKUP($K132,'[4]blood tubes 2017'!$D$1:$L$647,8,FALSE)</f>
        <v>0</v>
      </c>
      <c r="N132" s="15">
        <v>0</v>
      </c>
      <c r="O132" s="15" t="s">
        <v>119</v>
      </c>
      <c r="P132" s="16" t="s">
        <v>119</v>
      </c>
      <c r="Q132" s="16">
        <v>0</v>
      </c>
      <c r="R132" s="16" t="s">
        <v>111</v>
      </c>
      <c r="T132" s="16" t="s">
        <v>154</v>
      </c>
      <c r="U132" s="16" t="s">
        <v>157</v>
      </c>
      <c r="V132" s="16" t="s">
        <v>114</v>
      </c>
      <c r="W132" s="16">
        <f>AI132/AG132</f>
        <v>0.82926829268292679</v>
      </c>
      <c r="X132" s="16" t="s">
        <v>121</v>
      </c>
      <c r="Y132" s="16" t="s">
        <v>110</v>
      </c>
      <c r="Z132" s="16">
        <v>3</v>
      </c>
      <c r="AA132" s="16" t="s">
        <v>119</v>
      </c>
      <c r="AB132" s="16" t="s">
        <v>123</v>
      </c>
      <c r="AC132" s="16" t="s">
        <v>123</v>
      </c>
      <c r="AD132" s="16" t="s">
        <v>123</v>
      </c>
      <c r="AG132" s="16">
        <f>AH132-AI132</f>
        <v>82</v>
      </c>
      <c r="AH132" s="16">
        <v>150</v>
      </c>
      <c r="AI132" s="16">
        <v>68</v>
      </c>
      <c r="AK132" s="16">
        <v>15.5</v>
      </c>
      <c r="AL132" s="16">
        <v>1</v>
      </c>
      <c r="AM132" s="16">
        <v>0</v>
      </c>
      <c r="AN132" s="16">
        <v>0</v>
      </c>
      <c r="AO132" s="16">
        <v>1</v>
      </c>
      <c r="AP132" s="16">
        <f>SUM(AL132:AN132)</f>
        <v>1</v>
      </c>
      <c r="AQ132" s="16">
        <v>1.7030000000000001</v>
      </c>
      <c r="AR132" s="16">
        <f>AP132-1.472</f>
        <v>-0.47199999999999998</v>
      </c>
      <c r="AS132" s="16">
        <f>AQ132-1.472</f>
        <v>0.23100000000000009</v>
      </c>
      <c r="AT132" s="16" t="s">
        <v>233</v>
      </c>
      <c r="AW132" s="16">
        <f>IF(AX132&gt;0,1,0)</f>
        <v>1</v>
      </c>
      <c r="AX132" s="16">
        <f>SUM(BA132,BM132,CT132)</f>
        <v>3</v>
      </c>
      <c r="AY132" s="18">
        <f>SUM(BB132,BN132,CV132)</f>
        <v>18701.298701298692</v>
      </c>
      <c r="AZ132" s="16">
        <f>IF(BA132&gt;0,1,0)</f>
        <v>1</v>
      </c>
      <c r="BA132" s="16">
        <f>SUM(BC132,BF132,BI132)</f>
        <v>2</v>
      </c>
      <c r="BB132" s="16">
        <f>SUM(BE132,BH132,BK132)</f>
        <v>18692.640692640685</v>
      </c>
      <c r="BC132" s="16">
        <v>0</v>
      </c>
      <c r="BD132" s="16">
        <v>0</v>
      </c>
      <c r="BE132" s="16">
        <f>BD132/AS132</f>
        <v>0</v>
      </c>
      <c r="BF132" s="16">
        <v>1</v>
      </c>
      <c r="BG132" s="23">
        <v>4242</v>
      </c>
      <c r="BH132" s="16">
        <f>BG132/AS132</f>
        <v>18363.636363636357</v>
      </c>
      <c r="BI132" s="16">
        <v>1</v>
      </c>
      <c r="BJ132" s="16">
        <v>76</v>
      </c>
      <c r="BK132" s="16">
        <f>BJ132/AS132</f>
        <v>329.00432900432889</v>
      </c>
      <c r="BL132" s="16">
        <f>IF(BM132&gt;0,1,0)</f>
        <v>1</v>
      </c>
      <c r="BM132" s="16">
        <f>SUM(BR132,BU132,BX132,CA132,CD132,CG132,CJ132,CM132,CP132)</f>
        <v>1</v>
      </c>
      <c r="BN132" s="16">
        <f>SUM(BW132,BZ132,CC132,CF132,CI132,CL132,CO132,CR132,BT132)</f>
        <v>8.6580086580086544</v>
      </c>
      <c r="BO132" s="16">
        <f>IF(BP132&gt;0,1,0)</f>
        <v>1</v>
      </c>
      <c r="BP132" s="16">
        <f>SUM(BU132,BX132,CA132,CD132,BR132)</f>
        <v>1</v>
      </c>
      <c r="BQ132" s="16">
        <f>SUM(BZ132,CC132,CF132,BT132,BW132)</f>
        <v>8.6580086580086544</v>
      </c>
      <c r="BR132" s="16">
        <v>1</v>
      </c>
      <c r="BS132" s="16">
        <v>2</v>
      </c>
      <c r="BT132" s="23">
        <f>BS132/AS132</f>
        <v>8.6580086580086544</v>
      </c>
      <c r="BU132" s="16">
        <v>0</v>
      </c>
      <c r="BV132" s="16">
        <v>0</v>
      </c>
      <c r="BW132" s="16">
        <f>BV132/AS132</f>
        <v>0</v>
      </c>
      <c r="BX132" s="16">
        <v>0</v>
      </c>
      <c r="BY132" s="16">
        <v>0</v>
      </c>
      <c r="BZ132" s="16">
        <f>BY132/AS132</f>
        <v>0</v>
      </c>
      <c r="CA132" s="16">
        <v>0</v>
      </c>
      <c r="CB132" s="16">
        <v>0</v>
      </c>
      <c r="CC132" s="16">
        <f>CB132/AS132</f>
        <v>0</v>
      </c>
      <c r="CD132" s="23">
        <v>0</v>
      </c>
      <c r="CE132" s="16">
        <v>0</v>
      </c>
      <c r="CF132" s="16">
        <f>CE132/AS132</f>
        <v>0</v>
      </c>
      <c r="CG132" s="16">
        <v>0</v>
      </c>
      <c r="CH132" s="16">
        <v>0</v>
      </c>
      <c r="CI132" s="16">
        <f>CH132/AS132</f>
        <v>0</v>
      </c>
      <c r="CM132" s="16">
        <v>0</v>
      </c>
      <c r="CN132" s="16">
        <v>0</v>
      </c>
      <c r="CO132" s="16">
        <f>CN132/AS132</f>
        <v>0</v>
      </c>
      <c r="CP132" s="16">
        <v>0</v>
      </c>
      <c r="CQ132" s="16">
        <v>0</v>
      </c>
      <c r="CR132" s="16">
        <f>CQ132/AS132</f>
        <v>0</v>
      </c>
      <c r="CS132" s="16">
        <f>IF(CT132&gt;0,1,0)</f>
        <v>0</v>
      </c>
      <c r="CT132" s="16">
        <f>SUM(CW132,CZ132,DC132)</f>
        <v>0</v>
      </c>
      <c r="CV132" s="16">
        <f>SUM(CY132,DB132,DE132)</f>
        <v>0</v>
      </c>
      <c r="CW132" s="16">
        <v>0</v>
      </c>
      <c r="CX132" s="16">
        <v>0</v>
      </c>
      <c r="CY132" s="16">
        <f>CX132/AS132</f>
        <v>0</v>
      </c>
      <c r="CZ132" s="16">
        <v>0</v>
      </c>
      <c r="DA132" s="16">
        <v>0</v>
      </c>
      <c r="DB132" s="16">
        <f>DA132/AS132</f>
        <v>0</v>
      </c>
      <c r="DC132" s="16">
        <v>0</v>
      </c>
      <c r="DD132" s="16">
        <v>0</v>
      </c>
      <c r="DE132" s="16">
        <f>DD132/AS132</f>
        <v>0</v>
      </c>
      <c r="DF132" s="16" t="e">
        <f>VLOOKUP(K132,'[3]RNA Seq summary tables'!$V$3:$V$99,1,FALSE)</f>
        <v>#N/A</v>
      </c>
      <c r="DI132" s="16">
        <v>38</v>
      </c>
      <c r="DK132" s="16">
        <v>7</v>
      </c>
      <c r="DM132" s="16">
        <v>55</v>
      </c>
      <c r="DO132" s="16">
        <v>0</v>
      </c>
      <c r="DQ132" s="16">
        <v>0</v>
      </c>
      <c r="DS132" s="16">
        <v>100</v>
      </c>
    </row>
    <row r="133" spans="1:288" x14ac:dyDescent="0.2">
      <c r="B133" s="16">
        <v>2017</v>
      </c>
      <c r="C133" s="66">
        <v>42919</v>
      </c>
      <c r="D133" s="66" t="str">
        <f>CONCATENATE(J133,"-",C133)</f>
        <v>1021-42919</v>
      </c>
      <c r="E133" s="20" t="str">
        <f>CONCATENATE(T133,"-",U133,"-",C133)</f>
        <v>BC2-G1-42919</v>
      </c>
      <c r="F133" s="20" t="s">
        <v>106</v>
      </c>
      <c r="G133" s="20" t="s">
        <v>107</v>
      </c>
      <c r="I133" s="16">
        <v>0</v>
      </c>
      <c r="J133" s="21">
        <v>1021</v>
      </c>
      <c r="K133" s="21">
        <v>1811</v>
      </c>
      <c r="L133" s="18">
        <v>0</v>
      </c>
      <c r="M133" s="21">
        <f>VLOOKUP($K133,'[4]blood tubes 2017'!$D$1:$L$647,8,FALSE)</f>
        <v>0</v>
      </c>
      <c r="N133" s="15">
        <v>0</v>
      </c>
      <c r="O133" s="15" t="s">
        <v>119</v>
      </c>
      <c r="P133" s="16" t="s">
        <v>119</v>
      </c>
      <c r="Q133" s="16">
        <v>0</v>
      </c>
      <c r="R133" s="16">
        <v>35</v>
      </c>
      <c r="T133" s="16" t="s">
        <v>154</v>
      </c>
      <c r="U133" s="16" t="s">
        <v>155</v>
      </c>
      <c r="V133" s="16" t="s">
        <v>114</v>
      </c>
      <c r="W133" s="16">
        <f>AI133/AG133</f>
        <v>0.94186046511627908</v>
      </c>
      <c r="X133" s="16" t="s">
        <v>121</v>
      </c>
      <c r="Y133" s="16" t="s">
        <v>110</v>
      </c>
      <c r="Z133" s="16">
        <v>3</v>
      </c>
      <c r="AA133" s="16" t="s">
        <v>119</v>
      </c>
      <c r="AB133" s="16" t="s">
        <v>239</v>
      </c>
      <c r="AC133" s="16" t="s">
        <v>123</v>
      </c>
      <c r="AD133" s="16" t="s">
        <v>123</v>
      </c>
      <c r="AG133" s="16">
        <f>AH133-AI133</f>
        <v>86</v>
      </c>
      <c r="AH133" s="16">
        <v>167</v>
      </c>
      <c r="AI133" s="16">
        <v>81</v>
      </c>
      <c r="AK133" s="16">
        <v>23.5</v>
      </c>
      <c r="AL133" s="16">
        <v>0</v>
      </c>
      <c r="AM133" s="16">
        <v>0</v>
      </c>
      <c r="AN133" s="16">
        <v>0</v>
      </c>
      <c r="AO133" s="16">
        <v>0</v>
      </c>
      <c r="AP133" s="16">
        <f>SUM(AL133:AN133)</f>
        <v>0</v>
      </c>
      <c r="AQ133" s="16">
        <v>1.913</v>
      </c>
      <c r="AR133" s="16">
        <f>AP133-1.472</f>
        <v>-1.472</v>
      </c>
      <c r="AS133" s="16">
        <f>AQ133-1.472</f>
        <v>0.44100000000000006</v>
      </c>
      <c r="AT133" s="16" t="s">
        <v>119</v>
      </c>
      <c r="AW133" s="16">
        <f>IF(AX133&gt;0,1,0)</f>
        <v>1</v>
      </c>
      <c r="AX133" s="16">
        <f>SUM(BA133,BM133,CT133)</f>
        <v>3</v>
      </c>
      <c r="AY133" s="18">
        <f>SUM(BB133,BN133,CV133)</f>
        <v>2278.9115646258501</v>
      </c>
      <c r="AZ133" s="16">
        <v>1</v>
      </c>
      <c r="BA133" s="16">
        <v>2</v>
      </c>
      <c r="BB133" s="16">
        <f>SUM(BE133,BH133,BK133)</f>
        <v>2238.0952380952381</v>
      </c>
      <c r="BC133" s="16">
        <v>1</v>
      </c>
      <c r="BD133" s="16">
        <v>50</v>
      </c>
      <c r="BE133" s="16">
        <f>BD133/AS133</f>
        <v>113.37868480725622</v>
      </c>
      <c r="BF133" s="16">
        <v>1</v>
      </c>
      <c r="BG133" s="23">
        <v>937</v>
      </c>
      <c r="BH133" s="16">
        <f>BG133/AS133</f>
        <v>2124.7165532879817</v>
      </c>
      <c r="BI133" s="16">
        <v>0</v>
      </c>
      <c r="BJ133" s="16">
        <v>0</v>
      </c>
      <c r="BK133" s="16">
        <f>BJ133/AS133</f>
        <v>0</v>
      </c>
      <c r="BL133" s="16">
        <f>IF(BM133&gt;0,1,0)</f>
        <v>1</v>
      </c>
      <c r="BM133" s="16">
        <f>SUM(BR133,BU133,BX133,CA133,CD133,CG133,CJ133,CM133,CP133)</f>
        <v>1</v>
      </c>
      <c r="BN133" s="16">
        <f>SUM(BW133,BZ133,CC133,CF133,CI133,CL133,CO133,CR133,BT133)</f>
        <v>40.816326530612237</v>
      </c>
      <c r="BO133" s="16">
        <f>IF(BP133&gt;0,1,0)</f>
        <v>1</v>
      </c>
      <c r="BP133" s="16">
        <f>SUM(BU133,BX133,CA133,CD133,BR133)</f>
        <v>1</v>
      </c>
      <c r="BQ133" s="16">
        <f>SUM(BZ133,CC133,CF133,BT133,BW133)</f>
        <v>40.816326530612237</v>
      </c>
      <c r="BR133" s="16">
        <v>0</v>
      </c>
      <c r="BS133" s="16">
        <v>0</v>
      </c>
      <c r="BT133" s="23">
        <f>BS133/AS133</f>
        <v>0</v>
      </c>
      <c r="BU133" s="16">
        <v>0</v>
      </c>
      <c r="BV133" s="16">
        <v>0</v>
      </c>
      <c r="BW133" s="16">
        <f>BV133/AS133</f>
        <v>0</v>
      </c>
      <c r="BX133" s="16">
        <v>1</v>
      </c>
      <c r="BY133" s="16">
        <v>18</v>
      </c>
      <c r="BZ133" s="16">
        <f>BY133/AS133</f>
        <v>40.816326530612237</v>
      </c>
      <c r="CA133" s="16">
        <v>0</v>
      </c>
      <c r="CB133" s="16">
        <v>0</v>
      </c>
      <c r="CC133" s="16">
        <f>CB133/AS133</f>
        <v>0</v>
      </c>
      <c r="CD133" s="23">
        <v>0</v>
      </c>
      <c r="CE133" s="16">
        <v>0</v>
      </c>
      <c r="CF133" s="16">
        <f>CE133/AS133</f>
        <v>0</v>
      </c>
      <c r="CG133" s="16">
        <v>0</v>
      </c>
      <c r="CH133" s="16">
        <v>0</v>
      </c>
      <c r="CI133" s="16">
        <f>CH133/AS133</f>
        <v>0</v>
      </c>
      <c r="CM133" s="16">
        <v>0</v>
      </c>
      <c r="CN133" s="16">
        <v>0</v>
      </c>
      <c r="CO133" s="16">
        <f>CN133/AS133</f>
        <v>0</v>
      </c>
      <c r="CP133" s="16">
        <v>0</v>
      </c>
      <c r="CQ133" s="16">
        <v>0</v>
      </c>
      <c r="CR133" s="16">
        <f>CQ133/AS133</f>
        <v>0</v>
      </c>
      <c r="CS133" s="16">
        <v>0</v>
      </c>
      <c r="CT133" s="16">
        <v>0</v>
      </c>
      <c r="CV133" s="16">
        <f>SUM(CY133,DB133,DE133)</f>
        <v>0</v>
      </c>
      <c r="CW133" s="16">
        <v>0</v>
      </c>
      <c r="CX133" s="16">
        <v>0</v>
      </c>
      <c r="CY133" s="16">
        <f>CX133/AS133</f>
        <v>0</v>
      </c>
      <c r="CZ133" s="16">
        <v>0</v>
      </c>
      <c r="DA133" s="16">
        <v>0</v>
      </c>
      <c r="DB133" s="16">
        <f>DA133/AS133</f>
        <v>0</v>
      </c>
      <c r="DC133" s="16">
        <v>0</v>
      </c>
      <c r="DD133" s="16">
        <v>0</v>
      </c>
      <c r="DE133" s="16">
        <f>DD133/AS133</f>
        <v>0</v>
      </c>
      <c r="DF133" s="16" t="e">
        <f>VLOOKUP(K133,'[3]RNA Seq summary tables'!$V$3:$V$99,1,FALSE)</f>
        <v>#N/A</v>
      </c>
      <c r="DI133" s="16">
        <v>16</v>
      </c>
      <c r="DK133" s="16">
        <v>73</v>
      </c>
      <c r="DM133" s="16">
        <v>11</v>
      </c>
      <c r="DO133" s="16">
        <v>0</v>
      </c>
      <c r="DQ133" s="16">
        <v>0</v>
      </c>
      <c r="DR133" s="16">
        <f>SUM(DI133:DQ133)</f>
        <v>100</v>
      </c>
      <c r="JR133" s="27"/>
      <c r="JS133" s="27"/>
      <c r="JT133" s="27"/>
      <c r="JU133" s="27"/>
      <c r="JV133" s="27"/>
      <c r="JW133" s="27"/>
      <c r="JX133" s="27"/>
      <c r="JY133" s="27"/>
      <c r="JZ133" s="27"/>
      <c r="KA133" s="27"/>
      <c r="KB133" s="27"/>
    </row>
    <row r="134" spans="1:288" x14ac:dyDescent="0.2">
      <c r="B134" s="16">
        <v>2017</v>
      </c>
      <c r="C134" s="20">
        <v>42884</v>
      </c>
      <c r="D134" s="20" t="str">
        <f>CONCATENATE(J134,"-",C134)</f>
        <v>1023-42884</v>
      </c>
      <c r="E134" s="20" t="str">
        <f>CONCATENATE(T134,"-",U134,"-",C134)</f>
        <v>BC1-B2-42884</v>
      </c>
      <c r="F134" s="20" t="s">
        <v>106</v>
      </c>
      <c r="G134" s="20" t="s">
        <v>107</v>
      </c>
      <c r="I134" s="16">
        <v>0</v>
      </c>
      <c r="J134" s="21">
        <v>1023</v>
      </c>
      <c r="K134" s="21">
        <v>1579</v>
      </c>
      <c r="L134" s="18">
        <v>0</v>
      </c>
      <c r="M134" s="21">
        <f>VLOOKUP($K134,'[4]blood tubes 2017'!$D$1:$L$647,8,FALSE)</f>
        <v>0</v>
      </c>
      <c r="N134" s="15">
        <v>0</v>
      </c>
      <c r="O134" s="15" t="s">
        <v>119</v>
      </c>
      <c r="P134" s="16" t="s">
        <v>119</v>
      </c>
      <c r="Q134" s="16">
        <v>0</v>
      </c>
      <c r="R134" s="16" t="s">
        <v>111</v>
      </c>
      <c r="T134" s="16" t="s">
        <v>159</v>
      </c>
      <c r="U134" s="16" t="s">
        <v>130</v>
      </c>
      <c r="V134" s="16" t="s">
        <v>114</v>
      </c>
      <c r="W134" s="16">
        <f>AI134/AG134</f>
        <v>0.79207920792079212</v>
      </c>
      <c r="X134" s="16" t="s">
        <v>115</v>
      </c>
      <c r="Y134" s="16" t="s">
        <v>110</v>
      </c>
      <c r="Z134" s="16">
        <v>3</v>
      </c>
      <c r="AE134" s="16" t="s">
        <v>123</v>
      </c>
      <c r="AF134" s="16" t="s">
        <v>123</v>
      </c>
      <c r="AG134" s="16">
        <f>AH134-AI134</f>
        <v>101</v>
      </c>
      <c r="AH134" s="16">
        <v>181</v>
      </c>
      <c r="AI134" s="16">
        <v>80</v>
      </c>
      <c r="AK134" s="16">
        <v>25.5</v>
      </c>
      <c r="AL134" s="16">
        <v>1</v>
      </c>
      <c r="AM134" s="16">
        <v>0</v>
      </c>
      <c r="AN134" s="16">
        <v>0</v>
      </c>
      <c r="AO134" s="16">
        <v>0</v>
      </c>
      <c r="AP134" s="16">
        <f>SUM(AL134:AN134)</f>
        <v>1</v>
      </c>
      <c r="AQ134" s="16">
        <v>1.5489999999999999</v>
      </c>
      <c r="AR134" s="16">
        <f>AP134-1.472</f>
        <v>-0.47199999999999998</v>
      </c>
      <c r="AS134" s="16">
        <f>AQ134-1.472</f>
        <v>7.6999999999999957E-2</v>
      </c>
      <c r="AT134" s="16" t="s">
        <v>119</v>
      </c>
      <c r="AW134" s="16">
        <f>IF(AX134&gt;0,1,0)</f>
        <v>1</v>
      </c>
      <c r="AX134" s="16">
        <f>SUM(BA134,BM134,CT134)</f>
        <v>2</v>
      </c>
      <c r="AY134" s="18">
        <f>SUM(BB134,BN134,CV134)</f>
        <v>4792.2077922077951</v>
      </c>
      <c r="AZ134" s="16">
        <f>IF(BA134&gt;0,1,0)</f>
        <v>1</v>
      </c>
      <c r="BA134" s="16">
        <f>SUM(BC134,BF134,BI134)</f>
        <v>2</v>
      </c>
      <c r="BB134" s="16">
        <f>SUM(BE134,BH134,BK134)</f>
        <v>4792.2077922077951</v>
      </c>
      <c r="BC134" s="16">
        <v>1</v>
      </c>
      <c r="BD134" s="16">
        <v>7</v>
      </c>
      <c r="BE134" s="16">
        <f>BD134/AS134</f>
        <v>90.909090909090963</v>
      </c>
      <c r="BF134" s="16">
        <v>1</v>
      </c>
      <c r="BG134" s="23">
        <v>362</v>
      </c>
      <c r="BH134" s="16">
        <f>BG134/AS134</f>
        <v>4701.2987012987041</v>
      </c>
      <c r="BI134" s="16">
        <v>0</v>
      </c>
      <c r="BJ134" s="16">
        <v>0</v>
      </c>
      <c r="BK134" s="16">
        <f>BJ134/AS134</f>
        <v>0</v>
      </c>
      <c r="BL134" s="16">
        <f>IF(BM134&gt;0,1,0)</f>
        <v>0</v>
      </c>
      <c r="BM134" s="16">
        <f>SUM(BR134,BU134,BX134,CA134,CD134,CG134,CJ134,CM134,CP134)</f>
        <v>0</v>
      </c>
      <c r="BN134" s="16">
        <f>SUM(BW134,BZ134,CC134,CF134,CI134,CL134,CO134,CR134,BT134)</f>
        <v>0</v>
      </c>
      <c r="BO134" s="16">
        <f>IF(BP134&gt;0,1,0)</f>
        <v>0</v>
      </c>
      <c r="BP134" s="16">
        <f>SUM(BU134,BX134,CA134,CD134,BR134)</f>
        <v>0</v>
      </c>
      <c r="BQ134" s="16">
        <f>SUM(BZ134,CC134,CF134,BT134,BW134)</f>
        <v>0</v>
      </c>
      <c r="BR134" s="16">
        <v>0</v>
      </c>
      <c r="BS134" s="16">
        <v>0</v>
      </c>
      <c r="BT134" s="23">
        <f>BS134/AS134</f>
        <v>0</v>
      </c>
      <c r="BU134" s="16">
        <v>0</v>
      </c>
      <c r="BV134" s="16">
        <v>0</v>
      </c>
      <c r="BW134" s="16">
        <f>BV134/AS134</f>
        <v>0</v>
      </c>
      <c r="BX134" s="16">
        <v>0</v>
      </c>
      <c r="BY134" s="16">
        <v>0</v>
      </c>
      <c r="BZ134" s="16">
        <f>BY134/AS134</f>
        <v>0</v>
      </c>
      <c r="CA134" s="16">
        <v>0</v>
      </c>
      <c r="CB134" s="16">
        <v>0</v>
      </c>
      <c r="CC134" s="16">
        <f>CB134/AS134</f>
        <v>0</v>
      </c>
      <c r="CD134" s="23">
        <v>0</v>
      </c>
      <c r="CE134" s="16">
        <v>0</v>
      </c>
      <c r="CF134" s="16">
        <f>CE134/AS134</f>
        <v>0</v>
      </c>
      <c r="CG134" s="16">
        <v>0</v>
      </c>
      <c r="CH134" s="16">
        <v>0</v>
      </c>
      <c r="CI134" s="16">
        <f>CH134/AS134</f>
        <v>0</v>
      </c>
      <c r="CM134" s="16">
        <v>0</v>
      </c>
      <c r="CN134" s="16">
        <v>0</v>
      </c>
      <c r="CO134" s="16">
        <f>CN134/AS134</f>
        <v>0</v>
      </c>
      <c r="CP134" s="16">
        <v>0</v>
      </c>
      <c r="CQ134" s="16">
        <v>0</v>
      </c>
      <c r="CR134" s="16">
        <f>CQ134/AS134</f>
        <v>0</v>
      </c>
      <c r="CS134" s="16">
        <f>IF(CT134&gt;0,1,0)</f>
        <v>0</v>
      </c>
      <c r="CT134" s="16">
        <f>SUM(CW134,CZ134,DC134)</f>
        <v>0</v>
      </c>
      <c r="CV134" s="16">
        <f>SUM(CY134,DB134,DE134)</f>
        <v>0</v>
      </c>
      <c r="CW134" s="16">
        <v>0</v>
      </c>
      <c r="CX134" s="16">
        <v>0</v>
      </c>
      <c r="CY134" s="16">
        <f>CX134/AS134</f>
        <v>0</v>
      </c>
      <c r="CZ134" s="16">
        <v>0</v>
      </c>
      <c r="DA134" s="16">
        <v>0</v>
      </c>
      <c r="DB134" s="16">
        <f>DA134/AS134</f>
        <v>0</v>
      </c>
      <c r="DC134" s="16">
        <v>0</v>
      </c>
      <c r="DD134" s="16">
        <v>0</v>
      </c>
      <c r="DE134" s="16">
        <f>DD134/AS134</f>
        <v>0</v>
      </c>
      <c r="DF134" s="16" t="e">
        <f>VLOOKUP(K134,'[3]RNA Seq summary tables'!$V$3:$V$99,1,FALSE)</f>
        <v>#N/A</v>
      </c>
      <c r="DI134" s="16">
        <v>45</v>
      </c>
      <c r="DK134" s="16">
        <v>20</v>
      </c>
      <c r="DM134" s="16">
        <v>35</v>
      </c>
      <c r="DO134" s="16">
        <v>0</v>
      </c>
      <c r="DQ134" s="16">
        <v>0</v>
      </c>
      <c r="DS134" s="16">
        <v>100</v>
      </c>
      <c r="JP134" s="27"/>
      <c r="JQ134" s="27"/>
    </row>
    <row r="135" spans="1:288" x14ac:dyDescent="0.2">
      <c r="B135" s="16">
        <v>2016</v>
      </c>
      <c r="C135" s="20">
        <v>42591</v>
      </c>
      <c r="D135" s="20" t="str">
        <f>CONCATENATE(J135,"-",C135)</f>
        <v>1024-42591</v>
      </c>
      <c r="E135" s="20" t="str">
        <f>CONCATENATE(T135,"-",U135,"-",C135)</f>
        <v>HW1-B1-42591</v>
      </c>
      <c r="F135" s="20" t="s">
        <v>224</v>
      </c>
      <c r="G135" s="20" t="s">
        <v>107</v>
      </c>
      <c r="H135" s="16" t="s">
        <v>226</v>
      </c>
      <c r="I135" s="16">
        <v>0</v>
      </c>
      <c r="J135" s="21">
        <v>1024</v>
      </c>
      <c r="K135" s="21">
        <v>1540</v>
      </c>
      <c r="L135" s="16">
        <v>1</v>
      </c>
      <c r="M135" s="15">
        <f>VLOOKUP(K135,'[7]MLBS 2016 SNV-nem Coinfection d'!$C$1:$G$238,4,FALSE)</f>
        <v>0</v>
      </c>
      <c r="N135" s="15">
        <v>0</v>
      </c>
      <c r="O135" s="15" t="s">
        <v>119</v>
      </c>
      <c r="P135" s="16" t="s">
        <v>119</v>
      </c>
      <c r="Q135" s="16">
        <v>0</v>
      </c>
      <c r="R135" s="16" t="s">
        <v>111</v>
      </c>
      <c r="T135" s="16" t="s">
        <v>133</v>
      </c>
      <c r="U135" s="16" t="s">
        <v>113</v>
      </c>
      <c r="V135" s="16" t="s">
        <v>114</v>
      </c>
      <c r="W135" s="16">
        <f>AI135/AG135</f>
        <v>0.87012987012987009</v>
      </c>
      <c r="X135" s="16" t="s">
        <v>115</v>
      </c>
      <c r="Y135" s="16" t="s">
        <v>110</v>
      </c>
      <c r="Z135" s="16">
        <v>3</v>
      </c>
      <c r="AE135" s="16" t="s">
        <v>123</v>
      </c>
      <c r="AF135" s="16" t="s">
        <v>123</v>
      </c>
      <c r="AG135" s="16">
        <f>AH135-AI135</f>
        <v>77</v>
      </c>
      <c r="AH135" s="16">
        <v>144</v>
      </c>
      <c r="AI135" s="16">
        <v>67</v>
      </c>
      <c r="AK135" s="16">
        <v>18.5</v>
      </c>
      <c r="AL135" s="16">
        <v>0</v>
      </c>
      <c r="AM135" s="16">
        <v>0</v>
      </c>
      <c r="AN135" s="16">
        <v>0</v>
      </c>
      <c r="AO135" s="16">
        <f>IF(SUM(AL135:AN135)&gt;0,1,0)</f>
        <v>0</v>
      </c>
      <c r="AP135" s="16">
        <f>SUM(AL135:AN135)</f>
        <v>0</v>
      </c>
      <c r="AQ135" s="16">
        <v>1.972</v>
      </c>
      <c r="AR135" s="16">
        <v>0.495</v>
      </c>
      <c r="AS135" s="16">
        <v>0.495</v>
      </c>
      <c r="AT135" s="16" t="s">
        <v>205</v>
      </c>
      <c r="AV135" s="16">
        <v>1</v>
      </c>
      <c r="AW135" s="18">
        <v>0</v>
      </c>
      <c r="AX135" s="18">
        <v>0</v>
      </c>
      <c r="AY135" s="18">
        <v>0</v>
      </c>
      <c r="AZ135" s="18">
        <v>0</v>
      </c>
      <c r="BA135" s="18">
        <v>0</v>
      </c>
      <c r="BB135" s="18">
        <v>0</v>
      </c>
      <c r="BC135" s="18">
        <v>0</v>
      </c>
      <c r="BD135" s="18">
        <v>0</v>
      </c>
      <c r="BE135" s="18">
        <v>0</v>
      </c>
      <c r="BF135" s="18">
        <v>0</v>
      </c>
      <c r="BG135" s="25">
        <v>0</v>
      </c>
      <c r="BH135" s="18">
        <v>0</v>
      </c>
      <c r="BI135" s="18">
        <v>0</v>
      </c>
      <c r="BJ135" s="18">
        <v>0</v>
      </c>
      <c r="BK135" s="18">
        <v>0</v>
      </c>
      <c r="BL135" s="16">
        <f>IF(BM135&gt;0,1,0)</f>
        <v>0</v>
      </c>
      <c r="BM135" s="16">
        <f>SUM(BR135,BU135,BX135,CA135,CD135,CG135,CJ135,CM135,CP135)</f>
        <v>0</v>
      </c>
      <c r="BN135" s="16">
        <f>SUM(BW135,BZ135,CC135,CF135,CI135,CL135,CO135,CR135,BT135)</f>
        <v>0</v>
      </c>
      <c r="BO135" s="16">
        <f>IF(BP135&gt;0,1,0)</f>
        <v>0</v>
      </c>
      <c r="BP135" s="16">
        <f>SUM(BU135,BX135,CA135,CD135,BR135)</f>
        <v>0</v>
      </c>
      <c r="BQ135" s="16">
        <f>SUM(BZ135,CC135,CF135,BT135,BW135)</f>
        <v>0</v>
      </c>
      <c r="BR135" s="18">
        <v>0</v>
      </c>
      <c r="BS135" s="18">
        <v>0</v>
      </c>
      <c r="BT135" s="23">
        <f>BS135/AS135</f>
        <v>0</v>
      </c>
      <c r="BU135" s="18">
        <v>0</v>
      </c>
      <c r="BV135" s="18">
        <v>0</v>
      </c>
      <c r="BW135" s="18">
        <f>BV135/AS135</f>
        <v>0</v>
      </c>
      <c r="BX135" s="18">
        <v>0</v>
      </c>
      <c r="BY135" s="18">
        <v>0</v>
      </c>
      <c r="BZ135" s="16">
        <f>BY135/AS135</f>
        <v>0</v>
      </c>
      <c r="CA135" s="24">
        <v>0</v>
      </c>
      <c r="CB135" s="18">
        <v>0</v>
      </c>
      <c r="CC135" s="18">
        <v>0</v>
      </c>
      <c r="CD135" s="25">
        <v>0</v>
      </c>
      <c r="CE135" s="18">
        <v>0</v>
      </c>
      <c r="CF135" s="18">
        <v>0</v>
      </c>
      <c r="CG135" s="18"/>
      <c r="CH135" s="18"/>
      <c r="CI135" s="18"/>
      <c r="CJ135" s="18"/>
      <c r="CK135" s="18"/>
      <c r="CL135" s="18"/>
      <c r="CM135" s="18"/>
      <c r="CN135" s="18"/>
      <c r="CO135" s="18"/>
      <c r="CP135" s="18" t="s">
        <v>123</v>
      </c>
      <c r="CQ135" s="18">
        <v>0</v>
      </c>
      <c r="CR135" s="18">
        <v>0</v>
      </c>
      <c r="CS135" s="18">
        <f>IF(CT135&gt;0,1,0)</f>
        <v>0</v>
      </c>
      <c r="CT135" s="25">
        <f>SUM(CW135,CZ135,DC135)</f>
        <v>0</v>
      </c>
      <c r="CU135" s="25"/>
      <c r="CV135" s="18">
        <v>0</v>
      </c>
      <c r="CW135" s="25">
        <v>0</v>
      </c>
      <c r="CX135" s="18">
        <v>0</v>
      </c>
      <c r="CY135" s="18">
        <v>0</v>
      </c>
      <c r="CZ135" s="18">
        <v>0</v>
      </c>
      <c r="DA135" s="18">
        <v>0</v>
      </c>
      <c r="DB135" s="18">
        <v>0</v>
      </c>
      <c r="DC135" s="18">
        <v>0</v>
      </c>
      <c r="DD135" s="18">
        <v>0</v>
      </c>
      <c r="DE135" s="18">
        <v>0</v>
      </c>
      <c r="DF135" s="16">
        <f>VLOOKUP(K135,'[3]RNA Seq summary tables'!$V$3:$V$99,1,FALSE)</f>
        <v>1540</v>
      </c>
      <c r="JP135" s="19"/>
      <c r="JQ135" s="19"/>
    </row>
    <row r="136" spans="1:288" x14ac:dyDescent="0.2">
      <c r="B136" s="16">
        <v>2016</v>
      </c>
      <c r="C136" s="20">
        <v>42604</v>
      </c>
      <c r="D136" s="20" t="str">
        <f>CONCATENATE(J136,"-",C136)</f>
        <v>1024-42604</v>
      </c>
      <c r="E136" s="20" t="str">
        <f>CONCATENATE(T136,"-",U136,"-",C136)</f>
        <v>HW1-H4-42604</v>
      </c>
      <c r="F136" s="20" t="s">
        <v>227</v>
      </c>
      <c r="G136" s="20" t="s">
        <v>107</v>
      </c>
      <c r="I136" s="16">
        <v>0</v>
      </c>
      <c r="J136" s="21">
        <v>1024</v>
      </c>
      <c r="K136" s="21">
        <v>1559</v>
      </c>
      <c r="L136" s="18">
        <v>0</v>
      </c>
      <c r="M136" s="15">
        <f>VLOOKUP(K136,'[7]MLBS 2016 SNV-nem Coinfection d'!$C$1:$G$238,4,FALSE)</f>
        <v>0</v>
      </c>
      <c r="N136" s="15">
        <v>0</v>
      </c>
      <c r="O136" s="15" t="s">
        <v>119</v>
      </c>
      <c r="P136" s="16" t="s">
        <v>119</v>
      </c>
      <c r="Q136" s="16">
        <v>0</v>
      </c>
      <c r="R136" s="16">
        <v>13</v>
      </c>
      <c r="T136" s="16" t="s">
        <v>133</v>
      </c>
      <c r="U136" s="16" t="s">
        <v>151</v>
      </c>
      <c r="V136" s="16" t="s">
        <v>114</v>
      </c>
      <c r="X136" s="16" t="s">
        <v>115</v>
      </c>
      <c r="Y136" s="16" t="s">
        <v>110</v>
      </c>
      <c r="Z136" s="16">
        <v>3</v>
      </c>
      <c r="AE136" s="16" t="s">
        <v>116</v>
      </c>
      <c r="AF136" s="16" t="s">
        <v>116</v>
      </c>
      <c r="AK136" s="16">
        <v>18</v>
      </c>
      <c r="AL136" s="16">
        <v>0</v>
      </c>
      <c r="AM136" s="16">
        <v>0</v>
      </c>
      <c r="AN136" s="16">
        <v>0</v>
      </c>
      <c r="AO136" s="16">
        <f>IF(SUM(AL136:AN136)&gt;0,1,0)</f>
        <v>0</v>
      </c>
      <c r="AP136" s="16">
        <f>SUM(AL136:AN136)</f>
        <v>0</v>
      </c>
      <c r="AQ136" s="16">
        <f>AS136+1.477</f>
        <v>1.6990000000000001</v>
      </c>
      <c r="AR136" s="16">
        <v>0.222</v>
      </c>
      <c r="AS136" s="16">
        <v>0.222</v>
      </c>
      <c r="AT136" s="16" t="s">
        <v>205</v>
      </c>
      <c r="AV136" s="16">
        <v>1</v>
      </c>
      <c r="AW136" s="18">
        <v>0</v>
      </c>
      <c r="AX136" s="16">
        <v>0</v>
      </c>
      <c r="AY136" s="16">
        <v>0</v>
      </c>
      <c r="AZ136" s="18">
        <v>0</v>
      </c>
      <c r="BA136" s="16">
        <v>0</v>
      </c>
      <c r="BB136" s="16">
        <v>0</v>
      </c>
      <c r="BC136" s="18">
        <v>0</v>
      </c>
      <c r="BD136" s="16">
        <v>0</v>
      </c>
      <c r="BE136" s="16">
        <v>0</v>
      </c>
      <c r="BF136" s="18">
        <v>0</v>
      </c>
      <c r="BG136" s="23">
        <v>0</v>
      </c>
      <c r="BH136" s="16">
        <v>0</v>
      </c>
      <c r="BI136" s="18">
        <v>0</v>
      </c>
      <c r="BJ136" s="16">
        <v>0</v>
      </c>
      <c r="BK136" s="16">
        <v>0</v>
      </c>
      <c r="BL136" s="16">
        <f>IF(BM136&gt;0,1,0)</f>
        <v>0</v>
      </c>
      <c r="BM136" s="16">
        <f>SUM(BR136,BU136,BX136,CA136,CD136,CG136,CJ136,CM136,CP136)</f>
        <v>0</v>
      </c>
      <c r="BN136" s="16">
        <f>SUM(BW136,BZ136,CC136,CF136,CI136,CL136,CO136,CR136,BT136)</f>
        <v>0</v>
      </c>
      <c r="BO136" s="16">
        <f>IF(BP136&gt;0,1,0)</f>
        <v>0</v>
      </c>
      <c r="BP136" s="16">
        <f>SUM(BU136,BX136,CA136,CD136,BR136)</f>
        <v>0</v>
      </c>
      <c r="BQ136" s="16">
        <f>SUM(BZ136,CC136,CF136,BT136,BW136)</f>
        <v>0</v>
      </c>
      <c r="BR136" s="18">
        <v>0</v>
      </c>
      <c r="BS136" s="16">
        <v>0</v>
      </c>
      <c r="BT136" s="23">
        <f>BS136/AS136</f>
        <v>0</v>
      </c>
      <c r="BU136" s="18">
        <v>0</v>
      </c>
      <c r="BV136" s="16">
        <v>0</v>
      </c>
      <c r="BW136" s="18">
        <f>BV136/AS136</f>
        <v>0</v>
      </c>
      <c r="BX136" s="18">
        <v>0</v>
      </c>
      <c r="BY136" s="16">
        <v>0</v>
      </c>
      <c r="BZ136" s="16">
        <f>BY136/AS136</f>
        <v>0</v>
      </c>
      <c r="CA136" s="24">
        <v>0</v>
      </c>
      <c r="CB136" s="16">
        <v>0</v>
      </c>
      <c r="CC136" s="16">
        <v>0</v>
      </c>
      <c r="CD136" s="25">
        <v>0</v>
      </c>
      <c r="CE136" s="16">
        <v>0</v>
      </c>
      <c r="CF136" s="16">
        <v>0</v>
      </c>
      <c r="CP136" s="16" t="s">
        <v>123</v>
      </c>
      <c r="CQ136" s="16">
        <v>0</v>
      </c>
      <c r="CR136" s="16">
        <v>0</v>
      </c>
      <c r="CS136" s="18">
        <f>IF(CT136&gt;0,1,0)</f>
        <v>0</v>
      </c>
      <c r="CT136" s="25">
        <f>SUM(CW136,CZ136,DC136)</f>
        <v>0</v>
      </c>
      <c r="CU136" s="25"/>
      <c r="CV136" s="16">
        <v>0</v>
      </c>
      <c r="CW136" s="25">
        <v>0</v>
      </c>
      <c r="CX136" s="16">
        <v>0</v>
      </c>
      <c r="CY136" s="16">
        <v>0</v>
      </c>
      <c r="CZ136" s="18">
        <v>0</v>
      </c>
      <c r="DA136" s="16">
        <v>0</v>
      </c>
      <c r="DB136" s="16">
        <v>0</v>
      </c>
      <c r="DC136" s="18">
        <v>0</v>
      </c>
      <c r="DD136" s="16">
        <v>0</v>
      </c>
      <c r="DE136" s="16">
        <v>0</v>
      </c>
      <c r="DF136" s="16" t="e">
        <f>VLOOKUP(K136,'[3]RNA Seq summary tables'!$V$3:$V$99,1,FALSE)</f>
        <v>#N/A</v>
      </c>
      <c r="DG136" s="16">
        <v>1</v>
      </c>
      <c r="DH136" s="16" t="str">
        <f>VLOOKUP(D136,'[8]Data with duplicates'!$B$1:$J$70,9,FALSE)</f>
        <v>sample.18</v>
      </c>
    </row>
    <row r="137" spans="1:288" x14ac:dyDescent="0.2">
      <c r="B137" s="16">
        <v>2017</v>
      </c>
      <c r="C137" s="20">
        <v>42884</v>
      </c>
      <c r="D137" s="20" t="str">
        <f>CONCATENATE(J137,"-",C137)</f>
        <v>1027-42884</v>
      </c>
      <c r="E137" s="20" t="str">
        <f>CONCATENATE(T137,"-",U137,"-",C137)</f>
        <v>BC1-D1-42884</v>
      </c>
      <c r="F137" s="20" t="s">
        <v>106</v>
      </c>
      <c r="G137" s="20" t="s">
        <v>107</v>
      </c>
      <c r="I137" s="16">
        <v>0</v>
      </c>
      <c r="J137" s="21">
        <v>1027</v>
      </c>
      <c r="K137" s="21">
        <v>1581</v>
      </c>
      <c r="L137" s="18">
        <v>0</v>
      </c>
      <c r="M137" s="21">
        <f>VLOOKUP($K137,'[4]blood tubes 2017'!$D$1:$L$647,8,FALSE)</f>
        <v>0</v>
      </c>
      <c r="N137" s="15">
        <v>0</v>
      </c>
      <c r="O137" s="15" t="s">
        <v>119</v>
      </c>
      <c r="P137" s="16" t="s">
        <v>119</v>
      </c>
      <c r="Q137" s="16">
        <v>0</v>
      </c>
      <c r="R137" s="16" t="s">
        <v>111</v>
      </c>
      <c r="T137" s="16" t="s">
        <v>159</v>
      </c>
      <c r="U137" s="16" t="s">
        <v>157</v>
      </c>
      <c r="V137" s="16" t="s">
        <v>114</v>
      </c>
      <c r="W137" s="16">
        <f>AI137/AG137</f>
        <v>0.78823529411764703</v>
      </c>
      <c r="X137" s="16" t="s">
        <v>121</v>
      </c>
      <c r="Y137" s="16" t="s">
        <v>110</v>
      </c>
      <c r="Z137" s="16">
        <v>3</v>
      </c>
      <c r="AA137" s="16" t="s">
        <v>161</v>
      </c>
      <c r="AB137" s="16" t="s">
        <v>123</v>
      </c>
      <c r="AC137" s="16" t="s">
        <v>123</v>
      </c>
      <c r="AD137" s="16" t="s">
        <v>116</v>
      </c>
      <c r="AG137" s="16">
        <f>AH137-AI137</f>
        <v>85</v>
      </c>
      <c r="AH137" s="16">
        <v>152</v>
      </c>
      <c r="AI137" s="16">
        <v>67</v>
      </c>
      <c r="AK137" s="16">
        <v>15.5</v>
      </c>
      <c r="AL137" s="16">
        <v>0</v>
      </c>
      <c r="AM137" s="16">
        <v>0</v>
      </c>
      <c r="AN137" s="16">
        <v>0</v>
      </c>
      <c r="AO137" s="16">
        <v>0</v>
      </c>
      <c r="AP137" s="16">
        <f>SUM(AL137:AN137)</f>
        <v>0</v>
      </c>
      <c r="AQ137" s="16">
        <v>1.673</v>
      </c>
      <c r="AR137" s="16">
        <f>AP137-1.472</f>
        <v>-1.472</v>
      </c>
      <c r="AS137" s="16">
        <f>AQ137-1.472</f>
        <v>0.20100000000000007</v>
      </c>
      <c r="AT137" s="16" t="s">
        <v>233</v>
      </c>
      <c r="AW137" s="16">
        <f>IF(AX137&gt;0,1,0)</f>
        <v>1</v>
      </c>
      <c r="AX137" s="16">
        <f>SUM(BA137,BM137,CT137)</f>
        <v>3</v>
      </c>
      <c r="AY137" s="18">
        <f>SUM(BB137,BN137,CV137)</f>
        <v>21492.537313432829</v>
      </c>
      <c r="AZ137" s="16">
        <f>IF(BA137&gt;0,1,0)</f>
        <v>1</v>
      </c>
      <c r="BA137" s="16">
        <f>SUM(BC137,BF137,BI137)</f>
        <v>2</v>
      </c>
      <c r="BB137" s="16">
        <f>SUM(BE137,BH137,BK137)</f>
        <v>21482.587064676609</v>
      </c>
      <c r="BC137" s="16">
        <v>0</v>
      </c>
      <c r="BD137" s="16">
        <v>0</v>
      </c>
      <c r="BE137" s="16">
        <f>BD137/AS137</f>
        <v>0</v>
      </c>
      <c r="BF137" s="16">
        <v>1</v>
      </c>
      <c r="BG137" s="23">
        <v>4242</v>
      </c>
      <c r="BH137" s="16">
        <f>BG137/AS137</f>
        <v>21104.477611940292</v>
      </c>
      <c r="BI137" s="16">
        <v>1</v>
      </c>
      <c r="BJ137" s="16">
        <v>76</v>
      </c>
      <c r="BK137" s="16">
        <f>BJ137/AS137</f>
        <v>378.1094527363183</v>
      </c>
      <c r="BL137" s="16">
        <f>IF(BM137&gt;0,1,0)</f>
        <v>1</v>
      </c>
      <c r="BM137" s="16">
        <f>SUM(BR137,BU137,BX137,CA137,CD137,CG137,CJ137,CM137,CP137)</f>
        <v>1</v>
      </c>
      <c r="BN137" s="16">
        <f>SUM(BW137,BZ137,CC137,CF137,CI137,CL137,CO137,CR137,BT137)</f>
        <v>9.9502487562189028</v>
      </c>
      <c r="BO137" s="16">
        <f>IF(BP137&gt;0,1,0)</f>
        <v>1</v>
      </c>
      <c r="BP137" s="16">
        <f>SUM(BU137,BX137,CA137,CD137,BR137)</f>
        <v>1</v>
      </c>
      <c r="BQ137" s="16">
        <f>SUM(BZ137,CC137,CF137,BT137,BW137)</f>
        <v>9.9502487562189028</v>
      </c>
      <c r="BR137" s="16">
        <v>1</v>
      </c>
      <c r="BS137" s="16">
        <v>2</v>
      </c>
      <c r="BT137" s="23">
        <f>BS137/AS137</f>
        <v>9.9502487562189028</v>
      </c>
      <c r="BU137" s="16">
        <v>0</v>
      </c>
      <c r="BV137" s="16">
        <v>0</v>
      </c>
      <c r="BW137" s="16">
        <f>BV137/AS137</f>
        <v>0</v>
      </c>
      <c r="BX137" s="16">
        <v>0</v>
      </c>
      <c r="BY137" s="16">
        <v>0</v>
      </c>
      <c r="BZ137" s="16">
        <f>BY137/AS137</f>
        <v>0</v>
      </c>
      <c r="CA137" s="16">
        <v>0</v>
      </c>
      <c r="CB137" s="16">
        <v>0</v>
      </c>
      <c r="CC137" s="16">
        <f>CB137/AS137</f>
        <v>0</v>
      </c>
      <c r="CD137" s="23">
        <v>0</v>
      </c>
      <c r="CE137" s="16">
        <v>0</v>
      </c>
      <c r="CF137" s="16">
        <f>CE137/AS137</f>
        <v>0</v>
      </c>
      <c r="CG137" s="16">
        <v>0</v>
      </c>
      <c r="CH137" s="16">
        <v>0</v>
      </c>
      <c r="CI137" s="16">
        <f>CH137/AS137</f>
        <v>0</v>
      </c>
      <c r="CM137" s="16">
        <v>0</v>
      </c>
      <c r="CN137" s="16">
        <v>0</v>
      </c>
      <c r="CO137" s="16">
        <f>CN137/AS137</f>
        <v>0</v>
      </c>
      <c r="CP137" s="16">
        <v>0</v>
      </c>
      <c r="CQ137" s="16">
        <v>0</v>
      </c>
      <c r="CR137" s="16">
        <f>CQ137/AS137</f>
        <v>0</v>
      </c>
      <c r="CS137" s="16">
        <f>IF(CT137&gt;0,1,0)</f>
        <v>0</v>
      </c>
      <c r="CT137" s="16">
        <f>SUM(CW137,CZ137,DC137)</f>
        <v>0</v>
      </c>
      <c r="CV137" s="16">
        <f>SUM(CY137,DB137,DE137)</f>
        <v>0</v>
      </c>
      <c r="CW137" s="16">
        <v>0</v>
      </c>
      <c r="CX137" s="16">
        <v>0</v>
      </c>
      <c r="CY137" s="16">
        <f>CX137/AS137</f>
        <v>0</v>
      </c>
      <c r="CZ137" s="16">
        <v>0</v>
      </c>
      <c r="DA137" s="16">
        <v>0</v>
      </c>
      <c r="DB137" s="16">
        <f>DA137/AS137</f>
        <v>0</v>
      </c>
      <c r="DC137" s="16">
        <v>0</v>
      </c>
      <c r="DD137" s="16">
        <v>0</v>
      </c>
      <c r="DE137" s="16">
        <f>DD137/AS137</f>
        <v>0</v>
      </c>
      <c r="DF137" s="16" t="e">
        <f>VLOOKUP(K137,'[3]RNA Seq summary tables'!$V$3:$V$99,1,FALSE)</f>
        <v>#N/A</v>
      </c>
      <c r="DI137" s="16">
        <v>67</v>
      </c>
      <c r="DK137" s="16">
        <v>16</v>
      </c>
      <c r="DM137" s="16">
        <v>10</v>
      </c>
      <c r="DO137" s="16">
        <v>0</v>
      </c>
      <c r="DQ137" s="16">
        <v>7</v>
      </c>
      <c r="DS137" s="16">
        <v>100</v>
      </c>
      <c r="JP137" s="27"/>
      <c r="JQ137" s="27"/>
    </row>
    <row r="138" spans="1:288" x14ac:dyDescent="0.2">
      <c r="B138" s="16">
        <v>2017</v>
      </c>
      <c r="C138" s="66">
        <v>42919</v>
      </c>
      <c r="D138" s="66" t="str">
        <f>CONCATENATE(J138,"-",C138)</f>
        <v>1027-42919</v>
      </c>
      <c r="E138" s="20" t="str">
        <f>CONCATENATE(T138,"-",U138,"-",C138)</f>
        <v>BC1-B1-42919</v>
      </c>
      <c r="F138" s="20" t="s">
        <v>106</v>
      </c>
      <c r="G138" s="20" t="s">
        <v>107</v>
      </c>
      <c r="I138" s="16">
        <v>0</v>
      </c>
      <c r="J138" s="21">
        <v>1027</v>
      </c>
      <c r="K138" s="21">
        <v>1816</v>
      </c>
      <c r="L138" s="18">
        <v>0</v>
      </c>
      <c r="M138" s="21">
        <f>VLOOKUP($K138,'[4]blood tubes 2017'!$D$1:$L$647,8,FALSE)</f>
        <v>0</v>
      </c>
      <c r="N138" s="15">
        <v>0</v>
      </c>
      <c r="O138" s="15" t="s">
        <v>119</v>
      </c>
      <c r="P138" s="16" t="s">
        <v>119</v>
      </c>
      <c r="Q138" s="16">
        <v>0</v>
      </c>
      <c r="R138" s="16">
        <v>35</v>
      </c>
      <c r="T138" s="16" t="s">
        <v>159</v>
      </c>
      <c r="U138" s="16" t="s">
        <v>113</v>
      </c>
      <c r="V138" s="16" t="s">
        <v>114</v>
      </c>
      <c r="W138" s="16">
        <f>AI138/AG138</f>
        <v>0.80434782608695654</v>
      </c>
      <c r="X138" s="16" t="s">
        <v>121</v>
      </c>
      <c r="Y138" s="16" t="s">
        <v>110</v>
      </c>
      <c r="Z138" s="16">
        <v>3</v>
      </c>
      <c r="AA138" s="16" t="s">
        <v>119</v>
      </c>
      <c r="AB138" s="16" t="s">
        <v>239</v>
      </c>
      <c r="AC138" s="16" t="s">
        <v>123</v>
      </c>
      <c r="AD138" s="16" t="s">
        <v>123</v>
      </c>
      <c r="AG138" s="16">
        <f>AH138-AI138</f>
        <v>92</v>
      </c>
      <c r="AH138" s="16">
        <v>166</v>
      </c>
      <c r="AI138" s="16">
        <v>74</v>
      </c>
      <c r="AK138" s="16">
        <v>19.5</v>
      </c>
      <c r="AL138" s="16">
        <v>0</v>
      </c>
      <c r="AM138" s="16">
        <v>0</v>
      </c>
      <c r="AN138" s="16">
        <v>0</v>
      </c>
      <c r="AO138" s="16">
        <v>0</v>
      </c>
      <c r="AP138" s="16">
        <f>SUM(AL138:AN138)</f>
        <v>0</v>
      </c>
      <c r="AQ138" s="16">
        <v>1.7390000000000001</v>
      </c>
      <c r="AR138" s="16">
        <f>AP138-1.472</f>
        <v>-1.472</v>
      </c>
      <c r="AS138" s="16">
        <f>AQ138-1.472</f>
        <v>0.26700000000000013</v>
      </c>
      <c r="AT138" s="16" t="s">
        <v>119</v>
      </c>
      <c r="AW138" s="16">
        <f>IF(AX138&gt;0,1,0)</f>
        <v>1</v>
      </c>
      <c r="AX138" s="16">
        <f>SUM(BA138,BM138,CT138)</f>
        <v>4</v>
      </c>
      <c r="AY138" s="18">
        <f>SUM(BB138,BN138,CV138)</f>
        <v>337.07865168539308</v>
      </c>
      <c r="AZ138" s="16">
        <v>1</v>
      </c>
      <c r="BA138" s="16">
        <v>2</v>
      </c>
      <c r="BB138" s="16">
        <f>SUM(BE138,BH138,BK138)</f>
        <v>265.91760299625457</v>
      </c>
      <c r="BC138" s="16">
        <v>1</v>
      </c>
      <c r="BD138" s="16">
        <v>4</v>
      </c>
      <c r="BE138" s="16">
        <f>BD138/AS138</f>
        <v>14.981273408239693</v>
      </c>
      <c r="BF138" s="16">
        <v>1</v>
      </c>
      <c r="BG138" s="23">
        <v>67</v>
      </c>
      <c r="BH138" s="16">
        <f>BG138/AS138</f>
        <v>250.93632958801487</v>
      </c>
      <c r="BI138" s="16">
        <v>0</v>
      </c>
      <c r="BJ138" s="16">
        <v>0</v>
      </c>
      <c r="BK138" s="16">
        <f>BJ138/AS138</f>
        <v>0</v>
      </c>
      <c r="BL138" s="16">
        <f>IF(BM138&gt;0,1,0)</f>
        <v>1</v>
      </c>
      <c r="BM138" s="16">
        <f>SUM(BR138,BU138,BX138,CA138,CD138,CG138,CJ138,CM138,CP138)</f>
        <v>2</v>
      </c>
      <c r="BN138" s="16">
        <f>SUM(BW138,BZ138,CC138,CF138,CI138,CL138,CO138,CR138,BT138)</f>
        <v>71.161048689138539</v>
      </c>
      <c r="BO138" s="16">
        <f>IF(BP138&gt;0,1,0)</f>
        <v>1</v>
      </c>
      <c r="BP138" s="16">
        <f>SUM(BU138,BX138,CA138,CD138,BR138)</f>
        <v>1</v>
      </c>
      <c r="BQ138" s="16">
        <f>SUM(BZ138,CC138,CF138,BT138,BW138)</f>
        <v>22.471910112359542</v>
      </c>
      <c r="BR138" s="16">
        <v>1</v>
      </c>
      <c r="BS138" s="16">
        <v>6</v>
      </c>
      <c r="BT138" s="23">
        <f>BS138/AS138</f>
        <v>22.471910112359542</v>
      </c>
      <c r="BU138" s="16">
        <v>0</v>
      </c>
      <c r="BV138" s="16">
        <v>0</v>
      </c>
      <c r="BW138" s="16">
        <f>BV138/AS138</f>
        <v>0</v>
      </c>
      <c r="BX138" s="16">
        <v>0</v>
      </c>
      <c r="BY138" s="16">
        <v>0</v>
      </c>
      <c r="BZ138" s="16">
        <f>BY138/AS138</f>
        <v>0</v>
      </c>
      <c r="CA138" s="16">
        <v>0</v>
      </c>
      <c r="CB138" s="16">
        <v>0</v>
      </c>
      <c r="CC138" s="16">
        <f>CB138/AS138</f>
        <v>0</v>
      </c>
      <c r="CD138" s="23">
        <v>0</v>
      </c>
      <c r="CE138" s="16">
        <v>0</v>
      </c>
      <c r="CF138" s="16">
        <f>CE138/AS138</f>
        <v>0</v>
      </c>
      <c r="CG138" s="16">
        <v>0</v>
      </c>
      <c r="CH138" s="16">
        <v>0</v>
      </c>
      <c r="CI138" s="16">
        <f>CH138/AS138</f>
        <v>0</v>
      </c>
      <c r="CM138" s="16">
        <v>1</v>
      </c>
      <c r="CN138" s="16">
        <v>13</v>
      </c>
      <c r="CO138" s="16">
        <f>CN138/AS138</f>
        <v>48.689138576779001</v>
      </c>
      <c r="CP138" s="16">
        <v>0</v>
      </c>
      <c r="CQ138" s="16">
        <v>0</v>
      </c>
      <c r="CR138" s="16">
        <f>CQ138/AS138</f>
        <v>0</v>
      </c>
      <c r="CS138" s="16">
        <v>0</v>
      </c>
      <c r="CT138" s="16">
        <v>0</v>
      </c>
      <c r="CV138" s="16">
        <f>SUM(CY138,DB138,DE138)</f>
        <v>0</v>
      </c>
      <c r="CW138" s="16">
        <v>0</v>
      </c>
      <c r="CX138" s="16">
        <v>0</v>
      </c>
      <c r="CY138" s="16">
        <f>CX138/AS138</f>
        <v>0</v>
      </c>
      <c r="CZ138" s="16">
        <v>0</v>
      </c>
      <c r="DA138" s="16">
        <v>0</v>
      </c>
      <c r="DB138" s="16">
        <f>DA138/AS138</f>
        <v>0</v>
      </c>
      <c r="DC138" s="16">
        <v>0</v>
      </c>
      <c r="DD138" s="16">
        <v>0</v>
      </c>
      <c r="DE138" s="16">
        <f>DD138/AS138</f>
        <v>0</v>
      </c>
      <c r="DF138" s="16" t="e">
        <f>VLOOKUP(K138,'[3]RNA Seq summary tables'!$V$3:$V$99,1,FALSE)</f>
        <v>#N/A</v>
      </c>
      <c r="DI138" s="16">
        <v>63</v>
      </c>
      <c r="DK138" s="16">
        <v>29</v>
      </c>
      <c r="DM138" s="16">
        <v>8</v>
      </c>
      <c r="DO138" s="16">
        <v>0</v>
      </c>
      <c r="DQ138" s="16">
        <v>0</v>
      </c>
      <c r="DR138" s="16">
        <f>SUM(DI138:DQ138)</f>
        <v>100</v>
      </c>
      <c r="JR138" s="27"/>
      <c r="JS138" s="27"/>
      <c r="JT138" s="27"/>
      <c r="JU138" s="27"/>
      <c r="JV138" s="27"/>
      <c r="JW138" s="27"/>
      <c r="JX138" s="27"/>
      <c r="JY138" s="27"/>
      <c r="JZ138" s="27"/>
      <c r="KA138" s="27"/>
      <c r="KB138" s="27"/>
    </row>
    <row r="139" spans="1:288" s="62" customFormat="1" ht="16" x14ac:dyDescent="0.2">
      <c r="A139" s="18"/>
      <c r="B139" s="16">
        <v>2017</v>
      </c>
      <c r="C139" s="20">
        <v>42937</v>
      </c>
      <c r="D139" s="20" t="str">
        <f>CONCATENATE(J139,"-",C139)</f>
        <v>1027-42937</v>
      </c>
      <c r="E139" s="37" t="str">
        <f>CONCATENATE(T139,"-",U139,"-",C139)</f>
        <v>BC1-D2-42937</v>
      </c>
      <c r="F139" s="20" t="s">
        <v>106</v>
      </c>
      <c r="G139" s="20" t="s">
        <v>107</v>
      </c>
      <c r="H139" s="16"/>
      <c r="I139" s="16">
        <v>0</v>
      </c>
      <c r="J139" s="21">
        <v>1027</v>
      </c>
      <c r="K139" s="21">
        <v>1947</v>
      </c>
      <c r="L139" s="18">
        <v>0</v>
      </c>
      <c r="M139" s="21">
        <f>VLOOKUP($K139,'[4]blood tubes 2017'!$D$1:$L$647,8,FALSE)</f>
        <v>0</v>
      </c>
      <c r="N139" s="15">
        <v>0</v>
      </c>
      <c r="O139" s="15" t="s">
        <v>119</v>
      </c>
      <c r="P139" s="16" t="s">
        <v>119</v>
      </c>
      <c r="Q139" s="16">
        <v>0</v>
      </c>
      <c r="R139" s="16">
        <v>18</v>
      </c>
      <c r="S139" s="16"/>
      <c r="T139" s="16" t="s">
        <v>159</v>
      </c>
      <c r="U139" s="16" t="s">
        <v>198</v>
      </c>
      <c r="V139" s="16" t="s">
        <v>114</v>
      </c>
      <c r="W139" s="16">
        <f>AI139/AG139</f>
        <v>0.77319587628865982</v>
      </c>
      <c r="X139" s="16" t="s">
        <v>121</v>
      </c>
      <c r="Y139" s="16" t="s">
        <v>110</v>
      </c>
      <c r="Z139" s="16">
        <v>3</v>
      </c>
      <c r="AA139" s="16" t="s">
        <v>119</v>
      </c>
      <c r="AB139" s="16" t="s">
        <v>123</v>
      </c>
      <c r="AC139" s="16" t="s">
        <v>123</v>
      </c>
      <c r="AD139" s="16" t="s">
        <v>123</v>
      </c>
      <c r="AE139" s="16"/>
      <c r="AF139" s="16"/>
      <c r="AG139" s="16">
        <f>AH139-AI139</f>
        <v>97</v>
      </c>
      <c r="AH139" s="16">
        <v>172</v>
      </c>
      <c r="AI139" s="16">
        <v>75</v>
      </c>
      <c r="AJ139" s="16"/>
      <c r="AK139" s="16">
        <v>20.7</v>
      </c>
      <c r="AL139" s="16">
        <v>0</v>
      </c>
      <c r="AM139" s="16">
        <v>0</v>
      </c>
      <c r="AN139" s="16">
        <v>0</v>
      </c>
      <c r="AO139" s="16">
        <v>0</v>
      </c>
      <c r="AP139" s="16">
        <f>SUM(AL139:AN139)</f>
        <v>0</v>
      </c>
      <c r="AQ139" s="16">
        <v>1.806</v>
      </c>
      <c r="AR139" s="16">
        <f>AP139-1.472</f>
        <v>-1.472</v>
      </c>
      <c r="AS139" s="16">
        <f>AQ139-1.472</f>
        <v>0.33400000000000007</v>
      </c>
      <c r="AT139" s="16" t="str">
        <f>VLOOKUP(E139,[2]Current!$A$1:$W$435,7,FALSE)</f>
        <v>NB</v>
      </c>
      <c r="AU139" s="16" t="s">
        <v>1288</v>
      </c>
      <c r="AV139" s="23">
        <v>1</v>
      </c>
      <c r="AW139" s="128">
        <f>IF(AX139&gt;0,1,0)</f>
        <v>0</v>
      </c>
      <c r="AX139" s="128">
        <f>SUM(BA139,BM139,CU139)</f>
        <v>0</v>
      </c>
      <c r="AY139" s="128">
        <f>SUM(BB139,BN139,CV139)</f>
        <v>0</v>
      </c>
      <c r="AZ139" s="128">
        <f>IF(BA139&gt;0,1,0)</f>
        <v>0</v>
      </c>
      <c r="BA139" s="128">
        <f>SUM(BC139+BF139+BI139)</f>
        <v>0</v>
      </c>
      <c r="BB139" s="128">
        <f>SUM(BE139,BH139,BK139)</f>
        <v>0</v>
      </c>
      <c r="BC139" s="130">
        <f>IF(BD139&gt;0,1,0)</f>
        <v>0</v>
      </c>
      <c r="BD139" s="128">
        <f>VLOOKUP($E139,[2]Current!$A:$AC,26,FALSE)</f>
        <v>0</v>
      </c>
      <c r="BE139" s="128">
        <f>BD139/$AS139</f>
        <v>0</v>
      </c>
      <c r="BF139" s="130">
        <f>IF(BG139&gt;0,1,0)</f>
        <v>0</v>
      </c>
      <c r="BG139" s="175">
        <f>VLOOKUP($E139,[2]Current!$A:$AC,27,FALSE)</f>
        <v>0</v>
      </c>
      <c r="BH139" s="128">
        <f>BG139/$AS139</f>
        <v>0</v>
      </c>
      <c r="BI139" s="130">
        <f>IF(BJ139&gt;0,1,0)</f>
        <v>0</v>
      </c>
      <c r="BJ139" s="128">
        <f>VLOOKUP($E139,[2]Current!$A:$AC,28,FALSE)</f>
        <v>0</v>
      </c>
      <c r="BK139" s="128">
        <f>BJ139/$AS139</f>
        <v>0</v>
      </c>
      <c r="BL139" s="128">
        <f>IF(BM139&gt;0,1,0)</f>
        <v>0</v>
      </c>
      <c r="BM139" s="128">
        <f>SUM(BR139,BU139,BX139,CA139,CD139)</f>
        <v>0</v>
      </c>
      <c r="BN139" s="131">
        <f>SUM(BT139,BW139,BZ139,CC139,CF139)</f>
        <v>0</v>
      </c>
      <c r="BO139" s="128">
        <f>IF(BP139&gt;0,1,0)</f>
        <v>0</v>
      </c>
      <c r="BP139" s="128">
        <f>BM139+CJ139</f>
        <v>0</v>
      </c>
      <c r="BQ139" s="128">
        <f>BN139+CL139</f>
        <v>0</v>
      </c>
      <c r="BR139" s="130">
        <f>IF(BS139&gt;0,1,0)</f>
        <v>0</v>
      </c>
      <c r="BS139" s="128">
        <f>VLOOKUP($E139,[2]Current!$A:$AC,12,FALSE)</f>
        <v>0</v>
      </c>
      <c r="BT139" s="175">
        <f>BS139/$AS139</f>
        <v>0</v>
      </c>
      <c r="BU139" s="130">
        <f>IF(BV139&gt;0,1,0)</f>
        <v>0</v>
      </c>
      <c r="BV139" s="128">
        <f>VLOOKUP($E139,[2]Current!$A:$AC,13,FALSE)</f>
        <v>0</v>
      </c>
      <c r="BW139" s="128">
        <f>BV139/$AS139</f>
        <v>0</v>
      </c>
      <c r="BX139" s="130">
        <f>IF(BY139&gt;0,1,0)</f>
        <v>0</v>
      </c>
      <c r="BY139" s="128">
        <f>VLOOKUP($E139,[2]Current!$A:$AC,14,FALSE)</f>
        <v>0</v>
      </c>
      <c r="BZ139" s="128">
        <f>BY139/$AS139</f>
        <v>0</v>
      </c>
      <c r="CA139" s="130">
        <f>IF(CB139&gt;0,1,0)</f>
        <v>0</v>
      </c>
      <c r="CB139" s="128">
        <f>VLOOKUP($E139,[2]Current!$A:$AC,15,FALSE)</f>
        <v>0</v>
      </c>
      <c r="CC139" s="128">
        <f>CB139/$AS139</f>
        <v>0</v>
      </c>
      <c r="CD139" s="176">
        <f>IF(CE139&gt;0,1,0)</f>
        <v>0</v>
      </c>
      <c r="CE139" s="128">
        <f>VLOOKUP($E139,[2]Current!$A:$AC,16,FALSE)</f>
        <v>0</v>
      </c>
      <c r="CF139" s="128">
        <f>CE139/$AS139</f>
        <v>0</v>
      </c>
      <c r="CG139" s="18"/>
      <c r="CH139" s="18"/>
      <c r="CI139" s="18"/>
      <c r="CJ139" s="130">
        <f>IF(CK139&gt;0,1,0)</f>
        <v>0</v>
      </c>
      <c r="CK139" s="128">
        <f>VLOOKUP($E139,[2]Current!$A:$AC,18,FALSE)</f>
        <v>0</v>
      </c>
      <c r="CL139" s="128">
        <f>CK139/$AS139</f>
        <v>0</v>
      </c>
      <c r="CM139" s="16"/>
      <c r="CN139" s="16"/>
      <c r="CO139" s="16"/>
      <c r="CP139" s="16"/>
      <c r="CQ139" s="16"/>
      <c r="CR139" s="16"/>
      <c r="CS139" s="130">
        <f>IF(CU139&gt;0,1,0)</f>
        <v>0</v>
      </c>
      <c r="CT139" s="16"/>
      <c r="CU139" s="128">
        <f>VLOOKUP($E139,[2]Current!$A:$AC,17,FALSE)</f>
        <v>0</v>
      </c>
      <c r="CV139" s="128">
        <f>CU139/$AS139</f>
        <v>0</v>
      </c>
      <c r="CW139" s="18"/>
      <c r="CX139" s="18"/>
      <c r="CY139" s="18"/>
      <c r="CZ139" s="16"/>
      <c r="DA139" s="16"/>
      <c r="DB139" s="16"/>
      <c r="DC139" s="16"/>
      <c r="DD139" s="16"/>
      <c r="DE139" s="16"/>
      <c r="DF139" s="16" t="e">
        <f>VLOOKUP(K139,'[3]RNA Seq summary tables'!$V$3:$V$99,1,FALSE)</f>
        <v>#N/A</v>
      </c>
      <c r="DG139" s="16"/>
      <c r="DH139" s="16"/>
      <c r="DI139" s="16"/>
      <c r="DJ139" s="16"/>
      <c r="DK139" s="16"/>
      <c r="DL139" s="16"/>
      <c r="DM139" s="16"/>
      <c r="DN139" s="16"/>
      <c r="DO139" s="16"/>
      <c r="DP139" s="16"/>
      <c r="DQ139" s="16"/>
      <c r="DR139" s="16"/>
      <c r="DS139" s="16"/>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c r="FM139" s="18"/>
      <c r="FN139" s="18"/>
      <c r="FO139" s="18"/>
      <c r="FP139" s="18"/>
      <c r="FQ139" s="18"/>
      <c r="FR139" s="18"/>
      <c r="FS139" s="18"/>
      <c r="FT139" s="18"/>
      <c r="FU139" s="18"/>
      <c r="FV139" s="18"/>
      <c r="FW139" s="18"/>
      <c r="FX139" s="18"/>
      <c r="FY139" s="18"/>
      <c r="FZ139" s="18"/>
      <c r="GA139" s="18"/>
      <c r="GB139" s="18"/>
      <c r="GC139" s="18"/>
      <c r="GD139" s="18"/>
      <c r="GE139" s="18"/>
      <c r="GF139" s="18"/>
      <c r="GG139" s="18"/>
      <c r="GH139" s="18"/>
      <c r="GI139" s="18"/>
      <c r="GJ139" s="18"/>
      <c r="GK139" s="18"/>
      <c r="GL139" s="18"/>
      <c r="GM139" s="18"/>
      <c r="GN139" s="18"/>
      <c r="GO139" s="18"/>
      <c r="GP139" s="18"/>
      <c r="GQ139" s="18"/>
      <c r="GR139" s="18"/>
      <c r="GS139" s="18"/>
      <c r="GT139" s="18"/>
      <c r="GU139" s="18"/>
      <c r="GV139" s="18"/>
      <c r="GW139" s="18"/>
      <c r="GX139" s="18"/>
      <c r="GY139" s="18"/>
      <c r="GZ139" s="18"/>
      <c r="HA139" s="18"/>
      <c r="HB139" s="18"/>
      <c r="HC139" s="18"/>
      <c r="HD139" s="18"/>
      <c r="HE139" s="18"/>
      <c r="HF139" s="18"/>
      <c r="HG139" s="18"/>
      <c r="HH139" s="18"/>
      <c r="HI139" s="18"/>
      <c r="HJ139" s="18"/>
      <c r="HK139" s="18"/>
      <c r="HL139" s="18"/>
      <c r="HM139" s="18"/>
      <c r="HN139" s="18"/>
      <c r="HO139" s="18"/>
      <c r="HP139" s="18"/>
      <c r="HQ139" s="18"/>
      <c r="HR139" s="18"/>
      <c r="HS139" s="18"/>
      <c r="HT139" s="18"/>
      <c r="HU139" s="18"/>
      <c r="HV139" s="18"/>
      <c r="HW139" s="18"/>
      <c r="HX139" s="18"/>
      <c r="HY139" s="18"/>
      <c r="HZ139" s="18"/>
      <c r="IA139" s="18"/>
      <c r="IB139" s="18"/>
      <c r="IC139" s="18"/>
      <c r="ID139" s="18"/>
      <c r="IE139" s="18"/>
      <c r="IF139" s="18"/>
      <c r="IG139" s="18"/>
      <c r="IH139" s="18"/>
      <c r="II139" s="18"/>
      <c r="IJ139" s="18"/>
      <c r="IK139" s="18"/>
      <c r="IL139" s="18"/>
      <c r="IM139" s="18"/>
      <c r="IN139" s="18"/>
      <c r="IO139" s="18"/>
      <c r="IP139" s="18"/>
      <c r="IQ139" s="18"/>
      <c r="IR139" s="18"/>
      <c r="IS139" s="18"/>
      <c r="IT139" s="18"/>
      <c r="IU139" s="18"/>
      <c r="IV139" s="18"/>
      <c r="IW139" s="18"/>
      <c r="IX139" s="18"/>
      <c r="IY139" s="18"/>
      <c r="IZ139" s="18"/>
      <c r="JA139" s="18"/>
      <c r="JB139" s="18"/>
      <c r="JC139" s="18"/>
      <c r="JD139" s="18"/>
      <c r="JE139" s="18"/>
      <c r="JF139" s="18"/>
      <c r="JG139" s="18"/>
      <c r="JH139" s="18"/>
      <c r="JI139" s="18"/>
      <c r="JJ139" s="18"/>
      <c r="JK139" s="18"/>
      <c r="JL139" s="18"/>
      <c r="JM139" s="18"/>
      <c r="JN139" s="18"/>
      <c r="JO139" s="16"/>
      <c r="JP139" s="16"/>
      <c r="JQ139" s="16"/>
      <c r="JR139" s="16"/>
      <c r="JS139" s="16"/>
      <c r="JT139" s="16"/>
      <c r="JU139" s="16"/>
      <c r="JV139" s="16"/>
      <c r="JW139" s="16"/>
      <c r="JX139" s="16"/>
      <c r="JY139" s="16"/>
      <c r="JZ139" s="16"/>
      <c r="KA139" s="16"/>
      <c r="KB139" s="16"/>
    </row>
    <row r="140" spans="1:288" x14ac:dyDescent="0.2">
      <c r="B140" s="16">
        <v>2017</v>
      </c>
      <c r="C140" s="20">
        <v>42884</v>
      </c>
      <c r="D140" s="20" t="str">
        <f>CONCATENATE(J140,"-",C140)</f>
        <v>1029-42884</v>
      </c>
      <c r="E140" s="20" t="str">
        <f>CONCATENATE(T140,"-",U140,"-",C140)</f>
        <v>BC1-D3-42884</v>
      </c>
      <c r="F140" s="20" t="s">
        <v>106</v>
      </c>
      <c r="G140" s="20" t="s">
        <v>107</v>
      </c>
      <c r="I140" s="16">
        <v>0</v>
      </c>
      <c r="J140" s="21">
        <v>1029</v>
      </c>
      <c r="K140" s="21">
        <v>1583</v>
      </c>
      <c r="L140" s="18">
        <v>0</v>
      </c>
      <c r="M140" s="21">
        <f>VLOOKUP($K140,'[4]blood tubes 2017'!$D$1:$L$647,8,FALSE)</f>
        <v>0</v>
      </c>
      <c r="N140" s="15">
        <v>0</v>
      </c>
      <c r="O140" s="15" t="s">
        <v>119</v>
      </c>
      <c r="P140" s="16" t="s">
        <v>119</v>
      </c>
      <c r="Q140" s="16">
        <v>0</v>
      </c>
      <c r="R140" s="16" t="s">
        <v>111</v>
      </c>
      <c r="T140" s="16" t="s">
        <v>159</v>
      </c>
      <c r="U140" s="16" t="s">
        <v>149</v>
      </c>
      <c r="V140" s="16" t="s">
        <v>114</v>
      </c>
      <c r="W140" s="16">
        <f>AI140/AG140</f>
        <v>0.7432432432432432</v>
      </c>
      <c r="X140" s="16" t="s">
        <v>115</v>
      </c>
      <c r="Y140" s="16" t="s">
        <v>145</v>
      </c>
      <c r="Z140" s="16">
        <v>1</v>
      </c>
      <c r="AE140" s="16" t="s">
        <v>123</v>
      </c>
      <c r="AF140" s="16" t="s">
        <v>123</v>
      </c>
      <c r="AG140" s="16">
        <f>AH140-AI140</f>
        <v>74</v>
      </c>
      <c r="AH140" s="16">
        <v>129</v>
      </c>
      <c r="AI140" s="16">
        <v>55</v>
      </c>
      <c r="AK140" s="16">
        <v>10.5</v>
      </c>
      <c r="AL140" s="16">
        <v>0</v>
      </c>
      <c r="AM140" s="16">
        <v>0</v>
      </c>
      <c r="AN140" s="16">
        <v>0</v>
      </c>
      <c r="AO140" s="16">
        <v>0</v>
      </c>
      <c r="AP140" s="16">
        <f>SUM(AL140:AN140)</f>
        <v>0</v>
      </c>
      <c r="AQ140" s="16">
        <v>1.6579999999999999</v>
      </c>
      <c r="AR140" s="16">
        <f>AP140-1.472</f>
        <v>-1.472</v>
      </c>
      <c r="AS140" s="16">
        <f>AQ140-1.472</f>
        <v>0.18599999999999994</v>
      </c>
      <c r="AT140" s="16" t="s">
        <v>234</v>
      </c>
      <c r="AW140" s="16">
        <f>IF(AX140&gt;0,1,0)</f>
        <v>1</v>
      </c>
      <c r="AX140" s="16">
        <f>SUM(BA140,BM140,CT140)</f>
        <v>3</v>
      </c>
      <c r="AY140" s="18">
        <f>SUM(BB140,BN140,CV140)</f>
        <v>2392.4731182795708</v>
      </c>
      <c r="AZ140" s="16">
        <f>IF(BA140&gt;0,1,0)</f>
        <v>1</v>
      </c>
      <c r="BA140" s="16">
        <f>SUM(BC140,BF140,BI140)</f>
        <v>3</v>
      </c>
      <c r="BB140" s="16">
        <f>SUM(BE140,BH140,BK140)</f>
        <v>2392.4731182795708</v>
      </c>
      <c r="BC140" s="16">
        <v>1</v>
      </c>
      <c r="BD140" s="16">
        <v>8</v>
      </c>
      <c r="BE140" s="16">
        <f>BD140/AS140</f>
        <v>43.010752688172055</v>
      </c>
      <c r="BF140" s="16">
        <v>1</v>
      </c>
      <c r="BG140" s="23">
        <v>415</v>
      </c>
      <c r="BH140" s="16">
        <f>BG140/AS140</f>
        <v>2231.1827956989255</v>
      </c>
      <c r="BI140" s="16">
        <v>1</v>
      </c>
      <c r="BJ140" s="16">
        <v>22</v>
      </c>
      <c r="BK140" s="16">
        <f>BJ140/AS140</f>
        <v>118.27956989247315</v>
      </c>
      <c r="BL140" s="16">
        <f>IF(BM140&gt;0,1,0)</f>
        <v>0</v>
      </c>
      <c r="BM140" s="16">
        <f>SUM(BR140,BU140,BX140,CA140,CD140,CG140,CJ140,CM140,CP140)</f>
        <v>0</v>
      </c>
      <c r="BN140" s="16">
        <f>SUM(BW140,BZ140,CC140,CF140,CI140,CL140,CO140,CR140,BT140)</f>
        <v>0</v>
      </c>
      <c r="BO140" s="16">
        <f>IF(BP140&gt;0,1,0)</f>
        <v>0</v>
      </c>
      <c r="BP140" s="16">
        <f>SUM(BU140,BX140,CA140,CD140,BR140)</f>
        <v>0</v>
      </c>
      <c r="BQ140" s="16">
        <f>SUM(BZ140,CC140,CF140,BT140,BW140)</f>
        <v>0</v>
      </c>
      <c r="BR140" s="16">
        <v>0</v>
      </c>
      <c r="BS140" s="16">
        <v>0</v>
      </c>
      <c r="BT140" s="23">
        <f>BS140/AS140</f>
        <v>0</v>
      </c>
      <c r="BU140" s="16">
        <v>0</v>
      </c>
      <c r="BV140" s="16">
        <v>0</v>
      </c>
      <c r="BW140" s="16">
        <f>BV140/AS140</f>
        <v>0</v>
      </c>
      <c r="BX140" s="16">
        <v>0</v>
      </c>
      <c r="BY140" s="16">
        <v>0</v>
      </c>
      <c r="BZ140" s="16">
        <f>BY140/AS140</f>
        <v>0</v>
      </c>
      <c r="CA140" s="16">
        <v>0</v>
      </c>
      <c r="CB140" s="16">
        <v>0</v>
      </c>
      <c r="CC140" s="16">
        <f>CB140/AS140</f>
        <v>0</v>
      </c>
      <c r="CD140" s="23">
        <v>0</v>
      </c>
      <c r="CE140" s="16">
        <v>0</v>
      </c>
      <c r="CF140" s="16">
        <f>CE140/AS140</f>
        <v>0</v>
      </c>
      <c r="CG140" s="16">
        <v>0</v>
      </c>
      <c r="CH140" s="16">
        <v>0</v>
      </c>
      <c r="CI140" s="16">
        <f>CH140/AS140</f>
        <v>0</v>
      </c>
      <c r="CM140" s="16">
        <v>0</v>
      </c>
      <c r="CN140" s="16">
        <v>0</v>
      </c>
      <c r="CO140" s="16">
        <f>CN140/AS140</f>
        <v>0</v>
      </c>
      <c r="CP140" s="16">
        <v>0</v>
      </c>
      <c r="CQ140" s="16">
        <v>0</v>
      </c>
      <c r="CR140" s="16">
        <f>CQ140/AS140</f>
        <v>0</v>
      </c>
      <c r="CS140" s="16">
        <f>IF(CT140&gt;0,1,0)</f>
        <v>0</v>
      </c>
      <c r="CT140" s="16">
        <f>SUM(CW140,CZ140,DC140)</f>
        <v>0</v>
      </c>
      <c r="CV140" s="16">
        <f>SUM(CY140,DB140,DE140)</f>
        <v>0</v>
      </c>
      <c r="CW140" s="16">
        <v>0</v>
      </c>
      <c r="CX140" s="16">
        <v>0</v>
      </c>
      <c r="CY140" s="16">
        <f>CX140/AS140</f>
        <v>0</v>
      </c>
      <c r="CZ140" s="16">
        <v>0</v>
      </c>
      <c r="DA140" s="16">
        <v>0</v>
      </c>
      <c r="DB140" s="16">
        <f>DA140/AS140</f>
        <v>0</v>
      </c>
      <c r="DC140" s="16">
        <v>0</v>
      </c>
      <c r="DD140" s="16">
        <v>0</v>
      </c>
      <c r="DE140" s="16">
        <f>DD140/AS140</f>
        <v>0</v>
      </c>
      <c r="DF140" s="16" t="e">
        <f>VLOOKUP(K140,'[3]RNA Seq summary tables'!$V$3:$V$99,1,FALSE)</f>
        <v>#N/A</v>
      </c>
      <c r="DI140" s="16">
        <v>62</v>
      </c>
      <c r="DK140" s="16">
        <v>11</v>
      </c>
      <c r="DM140" s="16">
        <v>27</v>
      </c>
      <c r="DO140" s="16">
        <v>0</v>
      </c>
      <c r="DQ140" s="16">
        <v>0</v>
      </c>
      <c r="DS140" s="16">
        <v>100</v>
      </c>
      <c r="JP140" s="29"/>
      <c r="JQ140" s="29"/>
    </row>
    <row r="141" spans="1:288" x14ac:dyDescent="0.2">
      <c r="B141" s="16">
        <v>2017</v>
      </c>
      <c r="C141" s="20">
        <v>42920</v>
      </c>
      <c r="D141" s="20" t="str">
        <f>CONCATENATE(J141,"-",C141)</f>
        <v>1030-42920</v>
      </c>
      <c r="E141" s="20" t="str">
        <f>CONCATENATE(T141,"-",U141,"-",C141)</f>
        <v>BC2-G3-42920</v>
      </c>
      <c r="F141" s="20" t="s">
        <v>106</v>
      </c>
      <c r="G141" s="20" t="s">
        <v>107</v>
      </c>
      <c r="I141" s="16">
        <v>0</v>
      </c>
      <c r="J141" s="21">
        <v>1030</v>
      </c>
      <c r="K141" s="21">
        <v>1824</v>
      </c>
      <c r="L141" s="18">
        <v>0</v>
      </c>
      <c r="M141" s="21">
        <f>VLOOKUP($K141,'[4]blood tubes 2017'!$D$1:$L$647,8,FALSE)</f>
        <v>0</v>
      </c>
      <c r="N141" s="15">
        <v>0</v>
      </c>
      <c r="O141" s="15" t="s">
        <v>119</v>
      </c>
      <c r="P141" s="16" t="s">
        <v>119</v>
      </c>
      <c r="Q141" s="16">
        <v>0</v>
      </c>
      <c r="R141" s="16" t="s">
        <v>111</v>
      </c>
      <c r="T141" s="16" t="s">
        <v>154</v>
      </c>
      <c r="U141" s="16" t="s">
        <v>179</v>
      </c>
      <c r="V141" s="16" t="s">
        <v>114</v>
      </c>
      <c r="W141" s="16">
        <f>AI141/AG141</f>
        <v>0.84313725490196079</v>
      </c>
      <c r="X141" s="16" t="s">
        <v>121</v>
      </c>
      <c r="Y141" s="16" t="s">
        <v>110</v>
      </c>
      <c r="Z141" s="16">
        <v>3</v>
      </c>
      <c r="AA141" s="16" t="s">
        <v>161</v>
      </c>
      <c r="AB141" s="16" t="s">
        <v>239</v>
      </c>
      <c r="AC141" s="16" t="s">
        <v>123</v>
      </c>
      <c r="AD141" s="16" t="s">
        <v>116</v>
      </c>
      <c r="AG141" s="16">
        <f>AH141-AI141</f>
        <v>102</v>
      </c>
      <c r="AH141" s="16">
        <v>188</v>
      </c>
      <c r="AI141" s="16">
        <v>86</v>
      </c>
      <c r="AK141" s="16">
        <v>25</v>
      </c>
      <c r="AL141" s="16">
        <v>1</v>
      </c>
      <c r="AM141" s="16">
        <v>0</v>
      </c>
      <c r="AN141" s="16">
        <v>0</v>
      </c>
      <c r="AO141" s="16">
        <v>1</v>
      </c>
      <c r="AP141" s="16">
        <f>SUM(AL141:AN141)</f>
        <v>1</v>
      </c>
      <c r="AR141" s="16">
        <f>2.183-1.472</f>
        <v>0.71099999999999985</v>
      </c>
      <c r="AS141" s="16">
        <f>2.183-1.472</f>
        <v>0.71099999999999985</v>
      </c>
      <c r="AT141" s="18" t="s">
        <v>119</v>
      </c>
      <c r="AU141" s="18"/>
      <c r="AV141" s="18">
        <v>1</v>
      </c>
      <c r="AW141" s="16">
        <f>IF(AX141&gt;0,1,0)</f>
        <v>0</v>
      </c>
      <c r="AX141" s="16">
        <f>SUM(BA141,BM141,CT141)</f>
        <v>0</v>
      </c>
      <c r="AY141" s="18">
        <f>SUM(BB141,BN141,CV141)</f>
        <v>0</v>
      </c>
      <c r="AZ141" s="16">
        <v>0</v>
      </c>
      <c r="BA141" s="16">
        <v>0</v>
      </c>
      <c r="BB141" s="16">
        <f>SUM(BE141,BH141,BK141)</f>
        <v>0</v>
      </c>
      <c r="BC141" s="16">
        <v>0</v>
      </c>
      <c r="BD141" s="16">
        <v>0</v>
      </c>
      <c r="BE141" s="16">
        <f>BD141/AS141</f>
        <v>0</v>
      </c>
      <c r="BF141" s="16">
        <v>0</v>
      </c>
      <c r="BG141" s="23">
        <v>0</v>
      </c>
      <c r="BH141" s="16">
        <f>BG141/AS141</f>
        <v>0</v>
      </c>
      <c r="BI141" s="16">
        <v>0</v>
      </c>
      <c r="BJ141" s="16">
        <v>0</v>
      </c>
      <c r="BK141" s="16">
        <f>BJ141/AS141</f>
        <v>0</v>
      </c>
      <c r="BL141" s="16">
        <v>0</v>
      </c>
      <c r="BM141" s="16">
        <f>SUM(BR141,BU141,BX141,CA141,CD141,CG141,CJ141,CM141,CP141)</f>
        <v>0</v>
      </c>
      <c r="BN141" s="16">
        <f>SUM(BW141,BZ141,CC141,CF141,CI141,CL141,CO141,CR141,BT141)</f>
        <v>0</v>
      </c>
      <c r="BO141" s="16">
        <f>IF(BP141&gt;0,1,0)</f>
        <v>0</v>
      </c>
      <c r="BP141" s="16">
        <f>SUM(BU141,BX141,CA141,CD141,BR141)</f>
        <v>0</v>
      </c>
      <c r="BQ141" s="16">
        <f>SUM(BZ141,CC141,CF141,BT141,BW141)</f>
        <v>0</v>
      </c>
      <c r="BR141" s="16">
        <v>0</v>
      </c>
      <c r="BS141" s="16">
        <v>0</v>
      </c>
      <c r="BT141" s="23">
        <f>BS141/AS141</f>
        <v>0</v>
      </c>
      <c r="BU141" s="16">
        <v>0</v>
      </c>
      <c r="BV141" s="16">
        <v>0</v>
      </c>
      <c r="BW141" s="16">
        <f>BV141/AS141</f>
        <v>0</v>
      </c>
      <c r="BX141" s="16">
        <v>0</v>
      </c>
      <c r="BY141" s="16">
        <v>0</v>
      </c>
      <c r="BZ141" s="16">
        <f>BY141/AS141</f>
        <v>0</v>
      </c>
      <c r="CA141" s="16">
        <v>0</v>
      </c>
      <c r="CB141" s="16">
        <v>0</v>
      </c>
      <c r="CC141" s="16">
        <f>CB141/AS141</f>
        <v>0</v>
      </c>
      <c r="CD141" s="23">
        <v>0</v>
      </c>
      <c r="CE141" s="16">
        <v>0</v>
      </c>
      <c r="CF141" s="16">
        <f>CE141/AS141</f>
        <v>0</v>
      </c>
      <c r="CG141" s="16">
        <v>0</v>
      </c>
      <c r="CH141" s="16">
        <v>0</v>
      </c>
      <c r="CI141" s="16">
        <f>CH141/AS141</f>
        <v>0</v>
      </c>
      <c r="CM141" s="16">
        <v>0</v>
      </c>
      <c r="CN141" s="16">
        <v>0</v>
      </c>
      <c r="CO141" s="16">
        <f>CN141/AS141</f>
        <v>0</v>
      </c>
      <c r="CP141" s="16">
        <v>0</v>
      </c>
      <c r="CQ141" s="16">
        <v>0</v>
      </c>
      <c r="CR141" s="16">
        <f>CQ141/AS141</f>
        <v>0</v>
      </c>
      <c r="CS141" s="16">
        <v>0</v>
      </c>
      <c r="CT141" s="16">
        <v>0</v>
      </c>
      <c r="CV141" s="16">
        <f>SUM(CY141,DB141,DE141)</f>
        <v>0</v>
      </c>
      <c r="CW141" s="16">
        <v>0</v>
      </c>
      <c r="CX141" s="16">
        <v>0</v>
      </c>
      <c r="CY141" s="16">
        <f>CX141/AS141</f>
        <v>0</v>
      </c>
      <c r="CZ141" s="16">
        <v>0</v>
      </c>
      <c r="DA141" s="16">
        <v>0</v>
      </c>
      <c r="DB141" s="16">
        <f>DA141/AS141</f>
        <v>0</v>
      </c>
      <c r="DC141" s="16">
        <v>0</v>
      </c>
      <c r="DD141" s="16">
        <v>0</v>
      </c>
      <c r="DE141" s="16">
        <f>DD141/AS141</f>
        <v>0</v>
      </c>
      <c r="DF141" s="16" t="e">
        <f>VLOOKUP(K141,'[3]RNA Seq summary tables'!$V$3:$V$99,1,FALSE)</f>
        <v>#N/A</v>
      </c>
      <c r="DI141" s="16">
        <v>21</v>
      </c>
      <c r="DK141" s="16">
        <v>78</v>
      </c>
      <c r="DM141" s="16">
        <v>1</v>
      </c>
      <c r="DO141" s="16">
        <v>0</v>
      </c>
      <c r="DQ141" s="16">
        <v>0</v>
      </c>
      <c r="DR141" s="16">
        <f>SUM(DI141:DQ141)</f>
        <v>100</v>
      </c>
      <c r="JO141" s="30"/>
      <c r="JR141" s="27"/>
      <c r="JS141" s="27"/>
      <c r="JT141" s="27"/>
      <c r="JU141" s="27"/>
      <c r="JV141" s="27"/>
      <c r="JW141" s="27"/>
      <c r="JX141" s="27"/>
      <c r="JY141" s="27"/>
      <c r="JZ141" s="27"/>
      <c r="KA141" s="27"/>
      <c r="KB141" s="27"/>
    </row>
    <row r="142" spans="1:288" s="18" customFormat="1" x14ac:dyDescent="0.2">
      <c r="B142" s="16">
        <v>2017</v>
      </c>
      <c r="C142" s="20">
        <v>42885</v>
      </c>
      <c r="D142" s="20" t="str">
        <f>CONCATENATE(J142,"-",C142)</f>
        <v>1031-42885</v>
      </c>
      <c r="E142" s="20" t="str">
        <f>CONCATENATE(T142,"-",U142,"-",C142)</f>
        <v>BC1-E5-42885</v>
      </c>
      <c r="F142" s="20" t="s">
        <v>106</v>
      </c>
      <c r="G142" s="20" t="s">
        <v>107</v>
      </c>
      <c r="H142" s="16"/>
      <c r="I142" s="16">
        <v>0</v>
      </c>
      <c r="J142" s="21">
        <v>1031</v>
      </c>
      <c r="K142" s="21">
        <v>1585</v>
      </c>
      <c r="L142" s="18">
        <v>0</v>
      </c>
      <c r="M142" s="21">
        <f>VLOOKUP($K142,'[4]blood tubes 2017'!$D$1:$L$647,8,FALSE)</f>
        <v>0</v>
      </c>
      <c r="N142" s="15">
        <v>0</v>
      </c>
      <c r="O142" s="15" t="s">
        <v>119</v>
      </c>
      <c r="P142" s="16" t="s">
        <v>119</v>
      </c>
      <c r="Q142" s="16">
        <v>0</v>
      </c>
      <c r="R142" s="16" t="s">
        <v>111</v>
      </c>
      <c r="S142" s="16"/>
      <c r="T142" s="16" t="s">
        <v>159</v>
      </c>
      <c r="U142" s="16" t="s">
        <v>158</v>
      </c>
      <c r="V142" s="16" t="s">
        <v>114</v>
      </c>
      <c r="W142" s="16">
        <f>AI142/AG142</f>
        <v>0.87096774193548387</v>
      </c>
      <c r="X142" s="16" t="s">
        <v>121</v>
      </c>
      <c r="Y142" s="16" t="s">
        <v>110</v>
      </c>
      <c r="Z142" s="16">
        <v>3</v>
      </c>
      <c r="AA142" s="16" t="s">
        <v>161</v>
      </c>
      <c r="AB142" s="16" t="s">
        <v>116</v>
      </c>
      <c r="AC142" s="16" t="s">
        <v>123</v>
      </c>
      <c r="AD142" s="16" t="s">
        <v>116</v>
      </c>
      <c r="AE142" s="16"/>
      <c r="AF142" s="16"/>
      <c r="AG142" s="16">
        <f>AH142-AI142</f>
        <v>93</v>
      </c>
      <c r="AH142" s="16">
        <v>174</v>
      </c>
      <c r="AI142" s="16">
        <v>81</v>
      </c>
      <c r="AJ142" s="16"/>
      <c r="AK142" s="16">
        <v>28.5</v>
      </c>
      <c r="AL142" s="16">
        <v>0</v>
      </c>
      <c r="AM142" s="16">
        <v>0</v>
      </c>
      <c r="AN142" s="16">
        <v>0</v>
      </c>
      <c r="AO142" s="16">
        <v>0</v>
      </c>
      <c r="AP142" s="16">
        <f>SUM(AL142:AN142)</f>
        <v>0</v>
      </c>
      <c r="AQ142" s="16">
        <v>1.5620000000000001</v>
      </c>
      <c r="AR142" s="16">
        <f>AP142-1.472</f>
        <v>-1.472</v>
      </c>
      <c r="AS142" s="16">
        <f>AQ142-1.472</f>
        <v>9.000000000000008E-2</v>
      </c>
      <c r="AT142" s="18" t="s">
        <v>235</v>
      </c>
      <c r="AV142" s="16"/>
      <c r="AW142" s="16"/>
      <c r="AX142" s="16"/>
      <c r="AZ142" s="16"/>
      <c r="BA142" s="16"/>
      <c r="BB142" s="16"/>
      <c r="BC142" s="16"/>
      <c r="BD142" s="16"/>
      <c r="BE142" s="16"/>
      <c r="BF142" s="16"/>
      <c r="BG142" s="23"/>
      <c r="BH142" s="16"/>
      <c r="BI142" s="16"/>
      <c r="BJ142" s="16"/>
      <c r="BK142" s="16"/>
      <c r="BL142" s="16"/>
      <c r="BM142" s="16"/>
      <c r="BN142" s="16"/>
      <c r="BO142" s="16"/>
      <c r="BP142" s="16"/>
      <c r="BQ142" s="16"/>
      <c r="BR142" s="16"/>
      <c r="BS142" s="16"/>
      <c r="BT142" s="23"/>
      <c r="BU142" s="16"/>
      <c r="BV142" s="16"/>
      <c r="BW142" s="16"/>
      <c r="BX142" s="16"/>
      <c r="BY142" s="16"/>
      <c r="BZ142" s="16"/>
      <c r="CA142" s="16"/>
      <c r="CB142" s="16"/>
      <c r="CC142" s="16"/>
      <c r="CD142" s="23"/>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t="e">
        <f>VLOOKUP(K142,'[3]RNA Seq summary tables'!$V$3:$V$99,1,FALSE)</f>
        <v>#N/A</v>
      </c>
      <c r="DG142" s="16"/>
      <c r="DH142" s="16"/>
      <c r="DI142" s="16">
        <v>47</v>
      </c>
      <c r="DJ142" s="16"/>
      <c r="DK142" s="16">
        <v>34</v>
      </c>
      <c r="DL142" s="16"/>
      <c r="DM142" s="16">
        <v>19</v>
      </c>
      <c r="DN142" s="16"/>
      <c r="DO142" s="16">
        <v>0</v>
      </c>
      <c r="DP142" s="16"/>
      <c r="DQ142" s="16">
        <v>0</v>
      </c>
      <c r="DR142" s="16"/>
      <c r="DS142" s="16">
        <v>100</v>
      </c>
      <c r="JO142" s="16"/>
      <c r="JP142" s="16"/>
      <c r="JQ142" s="16"/>
      <c r="JR142" s="16"/>
      <c r="JS142" s="16"/>
      <c r="JT142" s="16"/>
      <c r="JU142" s="16"/>
      <c r="JV142" s="16"/>
      <c r="JW142" s="16"/>
      <c r="JX142" s="16"/>
      <c r="JY142" s="16"/>
      <c r="JZ142" s="16"/>
      <c r="KA142" s="16"/>
      <c r="KB142" s="16"/>
    </row>
    <row r="143" spans="1:288" x14ac:dyDescent="0.2">
      <c r="B143" s="18">
        <v>2017</v>
      </c>
      <c r="C143" s="71">
        <v>42904</v>
      </c>
      <c r="D143" s="71" t="str">
        <f>CONCATENATE(J143,"-",C143)</f>
        <v>1031-42904</v>
      </c>
      <c r="E143" s="20" t="str">
        <f>CONCATENATE(T143,"-",U143,"-",C143)</f>
        <v>BC1-D8-42904</v>
      </c>
      <c r="F143" s="20" t="s">
        <v>106</v>
      </c>
      <c r="G143" s="37" t="s">
        <v>107</v>
      </c>
      <c r="H143" s="18"/>
      <c r="I143" s="16">
        <v>0</v>
      </c>
      <c r="J143" s="36">
        <v>1031</v>
      </c>
      <c r="K143" s="36">
        <v>1690</v>
      </c>
      <c r="L143" s="18">
        <v>0</v>
      </c>
      <c r="M143" s="21">
        <f>VLOOKUP($K143,'[4]blood tubes 2017'!$D$1:$L$647,8,FALSE)</f>
        <v>0</v>
      </c>
      <c r="N143" s="15">
        <v>0</v>
      </c>
      <c r="O143" s="15" t="s">
        <v>119</v>
      </c>
      <c r="P143" s="18" t="s">
        <v>119</v>
      </c>
      <c r="Q143" s="16">
        <v>0</v>
      </c>
      <c r="R143" s="18">
        <v>19</v>
      </c>
      <c r="S143" s="18"/>
      <c r="T143" s="18" t="s">
        <v>159</v>
      </c>
      <c r="U143" s="18" t="s">
        <v>178</v>
      </c>
      <c r="V143" s="18"/>
      <c r="W143" s="18"/>
      <c r="X143" s="18" t="s">
        <v>121</v>
      </c>
      <c r="Y143" s="18" t="s">
        <v>110</v>
      </c>
      <c r="Z143" s="18">
        <v>3</v>
      </c>
      <c r="AA143" s="18" t="s">
        <v>119</v>
      </c>
      <c r="AB143" s="18" t="s">
        <v>115</v>
      </c>
      <c r="AC143" s="18" t="s">
        <v>123</v>
      </c>
      <c r="AD143" s="18" t="s">
        <v>123</v>
      </c>
      <c r="AE143" s="18"/>
      <c r="AF143" s="18"/>
      <c r="AG143" s="18"/>
      <c r="AH143" s="18"/>
      <c r="AI143" s="18"/>
      <c r="AJ143" s="18"/>
      <c r="AK143" s="18">
        <v>25</v>
      </c>
      <c r="AL143" s="18">
        <v>0</v>
      </c>
      <c r="AM143" s="18">
        <v>0</v>
      </c>
      <c r="AN143" s="18">
        <v>0</v>
      </c>
      <c r="AO143" s="18">
        <v>0</v>
      </c>
      <c r="AP143" s="18">
        <f>SUM(AL143:AN143)</f>
        <v>0</v>
      </c>
      <c r="AQ143" s="18">
        <v>2.2090000000000001</v>
      </c>
      <c r="AR143" s="18">
        <f>AP143-1.472</f>
        <v>-1.472</v>
      </c>
      <c r="AS143" s="18">
        <f>AQ143-1.472</f>
        <v>0.7370000000000001</v>
      </c>
      <c r="AT143" s="24" t="s">
        <v>233</v>
      </c>
      <c r="AU143" s="24"/>
      <c r="AV143" s="24"/>
      <c r="AW143" s="16">
        <f>IF(AX143&gt;0,1,0)</f>
        <v>1</v>
      </c>
      <c r="AX143" s="16">
        <f>SUM(BA143,BM143,CT143)</f>
        <v>1</v>
      </c>
      <c r="AY143" s="18">
        <f>SUM(BB143,BN143,CV143)</f>
        <v>36.635006784260511</v>
      </c>
      <c r="AZ143" s="16">
        <f>IF(BA143&gt;0,1,0)</f>
        <v>1</v>
      </c>
      <c r="BA143" s="16">
        <f>SUM(BC143,BF143,BI143)</f>
        <v>1</v>
      </c>
      <c r="BB143" s="16">
        <f>SUM(BE143,BH143,BK143)</f>
        <v>36.635006784260511</v>
      </c>
      <c r="BC143" s="16">
        <v>0</v>
      </c>
      <c r="BD143" s="16">
        <v>0</v>
      </c>
      <c r="BE143" s="16">
        <f>BD143/AS143</f>
        <v>0</v>
      </c>
      <c r="BF143" s="16">
        <v>1</v>
      </c>
      <c r="BG143" s="23">
        <v>27</v>
      </c>
      <c r="BH143" s="16">
        <f>BG143/AS143</f>
        <v>36.635006784260511</v>
      </c>
      <c r="BI143" s="16">
        <v>0</v>
      </c>
      <c r="BJ143" s="16">
        <v>0</v>
      </c>
      <c r="BK143" s="16">
        <f>BJ143/AS143</f>
        <v>0</v>
      </c>
      <c r="BL143" s="16">
        <f>IF(BM143&gt;0,1,0)</f>
        <v>0</v>
      </c>
      <c r="BM143" s="16">
        <f>SUM(BR143,BU143,BX143,CA143,CD143,CG143,CJ143,CM143,CP143)</f>
        <v>0</v>
      </c>
      <c r="BN143" s="16">
        <f>SUM(BW143,BZ143,CC143,CF143,CI143,CL143,CO143,CR143,BT143)</f>
        <v>0</v>
      </c>
      <c r="BO143" s="16">
        <f>IF(BP143&gt;0,1,0)</f>
        <v>0</v>
      </c>
      <c r="BP143" s="16">
        <f>SUM(BU143,BX143,CA143,CD143,BR143)</f>
        <v>0</v>
      </c>
      <c r="BQ143" s="16">
        <f>SUM(BZ143,CC143,CF143,BT143,BW143)</f>
        <v>0</v>
      </c>
      <c r="BR143" s="16">
        <v>0</v>
      </c>
      <c r="BS143" s="16">
        <v>0</v>
      </c>
      <c r="BT143" s="23">
        <f>BS143/AS143</f>
        <v>0</v>
      </c>
      <c r="BU143" s="16">
        <v>0</v>
      </c>
      <c r="BV143" s="16">
        <v>0</v>
      </c>
      <c r="BW143" s="16">
        <f>BV143/AS143</f>
        <v>0</v>
      </c>
      <c r="BX143" s="16">
        <v>0</v>
      </c>
      <c r="BY143" s="16">
        <v>0</v>
      </c>
      <c r="BZ143" s="16">
        <f>BY143/AS143</f>
        <v>0</v>
      </c>
      <c r="CA143" s="16">
        <v>0</v>
      </c>
      <c r="CB143" s="16">
        <v>0</v>
      </c>
      <c r="CC143" s="16">
        <f>CB143/AS143</f>
        <v>0</v>
      </c>
      <c r="CD143" s="23">
        <v>0</v>
      </c>
      <c r="CE143" s="16">
        <v>0</v>
      </c>
      <c r="CF143" s="16">
        <f>CE143/AS143</f>
        <v>0</v>
      </c>
      <c r="CG143" s="16">
        <v>0</v>
      </c>
      <c r="CH143" s="16">
        <v>0</v>
      </c>
      <c r="CI143" s="16">
        <f>CH143/AS143</f>
        <v>0</v>
      </c>
      <c r="CM143" s="16">
        <v>0</v>
      </c>
      <c r="CN143" s="16">
        <v>0</v>
      </c>
      <c r="CO143" s="16">
        <f>CN143/AS143</f>
        <v>0</v>
      </c>
      <c r="CP143" s="16">
        <v>0</v>
      </c>
      <c r="CQ143" s="16">
        <v>0</v>
      </c>
      <c r="CR143" s="16">
        <f>CQ143/AS143</f>
        <v>0</v>
      </c>
      <c r="CS143" s="16">
        <f>IF(CT143&gt;0,1,0)</f>
        <v>0</v>
      </c>
      <c r="CT143" s="16">
        <f>SUM(CW143,CZ143,DC143)</f>
        <v>0</v>
      </c>
      <c r="CV143" s="16">
        <f>SUM(CY143,DB143,DE143)</f>
        <v>0</v>
      </c>
      <c r="CW143" s="16">
        <v>0</v>
      </c>
      <c r="CX143" s="16">
        <v>0</v>
      </c>
      <c r="CY143" s="16">
        <f>CX143/AS143</f>
        <v>0</v>
      </c>
      <c r="CZ143" s="16">
        <v>0</v>
      </c>
      <c r="DA143" s="16">
        <v>0</v>
      </c>
      <c r="DB143" s="16">
        <f>DA143/AS143</f>
        <v>0</v>
      </c>
      <c r="DC143" s="16">
        <v>0</v>
      </c>
      <c r="DD143" s="16">
        <v>0</v>
      </c>
      <c r="DE143" s="16">
        <f>DD143/AS143</f>
        <v>0</v>
      </c>
      <c r="DF143" s="16" t="e">
        <f>VLOOKUP(K143,'[3]RNA Seq summary tables'!$V$3:$V$99,1,FALSE)</f>
        <v>#N/A</v>
      </c>
      <c r="DI143" s="18">
        <v>51</v>
      </c>
      <c r="DJ143" s="18"/>
      <c r="DK143" s="18">
        <v>47</v>
      </c>
      <c r="DL143" s="18"/>
      <c r="DM143" s="18">
        <v>2</v>
      </c>
      <c r="DN143" s="18"/>
      <c r="DO143" s="18">
        <v>0</v>
      </c>
      <c r="DP143" s="18"/>
      <c r="DQ143" s="18">
        <v>0</v>
      </c>
      <c r="DR143" s="18">
        <f>SUM(DI143:DQ143)</f>
        <v>100</v>
      </c>
      <c r="DS143" s="18"/>
      <c r="JP143" s="18"/>
      <c r="JQ143" s="18"/>
    </row>
    <row r="144" spans="1:288" s="30" customFormat="1" ht="16" x14ac:dyDescent="0.2">
      <c r="A144" s="18"/>
      <c r="B144" s="16">
        <v>2017</v>
      </c>
      <c r="C144" s="20">
        <v>42956</v>
      </c>
      <c r="D144" s="20" t="str">
        <f>CONCATENATE(J144,"-",C144)</f>
        <v>1031-42956</v>
      </c>
      <c r="E144" s="37" t="str">
        <f>CONCATENATE(T144,"-",U144,"-",C144)</f>
        <v>BC1-C8-42956</v>
      </c>
      <c r="F144" s="20" t="s">
        <v>106</v>
      </c>
      <c r="G144" s="20" t="s">
        <v>107</v>
      </c>
      <c r="H144" s="16"/>
      <c r="I144" s="16">
        <v>0</v>
      </c>
      <c r="J144" s="21">
        <v>1031</v>
      </c>
      <c r="K144" s="21">
        <v>2102</v>
      </c>
      <c r="L144" s="18">
        <v>0</v>
      </c>
      <c r="M144" s="21">
        <f>VLOOKUP($K144,'[4]blood tubes 2017'!$D$1:$L$647,8,FALSE)</f>
        <v>0</v>
      </c>
      <c r="N144" s="15">
        <v>0</v>
      </c>
      <c r="O144" s="15" t="s">
        <v>119</v>
      </c>
      <c r="P144" s="16" t="s">
        <v>119</v>
      </c>
      <c r="Q144" s="16">
        <v>0</v>
      </c>
      <c r="R144" s="16">
        <v>52</v>
      </c>
      <c r="S144" s="16"/>
      <c r="T144" s="16" t="s">
        <v>159</v>
      </c>
      <c r="U144" s="16" t="s">
        <v>188</v>
      </c>
      <c r="V144" s="16" t="s">
        <v>114</v>
      </c>
      <c r="W144" s="16">
        <f>AI144/AG144</f>
        <v>0.88297872340425532</v>
      </c>
      <c r="X144" s="16" t="s">
        <v>121</v>
      </c>
      <c r="Y144" s="16" t="s">
        <v>110</v>
      </c>
      <c r="Z144" s="16">
        <v>3</v>
      </c>
      <c r="AA144" s="16" t="s">
        <v>119</v>
      </c>
      <c r="AB144" s="16" t="s">
        <v>240</v>
      </c>
      <c r="AC144" s="16" t="s">
        <v>123</v>
      </c>
      <c r="AD144" s="16" t="s">
        <v>123</v>
      </c>
      <c r="AE144" s="16"/>
      <c r="AF144" s="16"/>
      <c r="AG144" s="16">
        <f>AH144-AI144</f>
        <v>94</v>
      </c>
      <c r="AH144" s="16">
        <v>177</v>
      </c>
      <c r="AI144" s="16">
        <v>83</v>
      </c>
      <c r="AJ144" s="16"/>
      <c r="AK144" s="16">
        <v>29</v>
      </c>
      <c r="AL144" s="16">
        <v>0</v>
      </c>
      <c r="AM144" s="16">
        <v>0</v>
      </c>
      <c r="AN144" s="16">
        <v>0</v>
      </c>
      <c r="AO144" s="16">
        <v>0</v>
      </c>
      <c r="AP144" s="16">
        <f>SUM(AL144:AN144)</f>
        <v>0</v>
      </c>
      <c r="AQ144" s="16">
        <v>1.982</v>
      </c>
      <c r="AR144" s="16">
        <f>AP144-1.472</f>
        <v>-1.472</v>
      </c>
      <c r="AS144" s="16">
        <f>AQ144-1.472</f>
        <v>0.51</v>
      </c>
      <c r="AT144" s="16" t="str">
        <f>VLOOKUP(E144,[2]Current!$A$1:$W$435,7,FALSE)</f>
        <v>TE</v>
      </c>
      <c r="AU144" s="16" t="s">
        <v>1288</v>
      </c>
      <c r="AV144" s="23"/>
      <c r="AW144" s="128">
        <f>IF(AX144&gt;0,1,0)</f>
        <v>1</v>
      </c>
      <c r="AX144" s="128">
        <f>SUM(BA144,BM144,CU144)</f>
        <v>3</v>
      </c>
      <c r="AY144" s="128">
        <f>SUM(BB144,BN144,CV144)</f>
        <v>109.80392156862746</v>
      </c>
      <c r="AZ144" s="128">
        <f>IF(BA144&gt;0,1,0)</f>
        <v>1</v>
      </c>
      <c r="BA144" s="128">
        <f>SUM(BC144+BF144+BI144)</f>
        <v>3</v>
      </c>
      <c r="BB144" s="128">
        <f>SUM(BE144,BH144,BK144)</f>
        <v>109.80392156862746</v>
      </c>
      <c r="BC144" s="130">
        <f>IF(BD144&gt;0,1,0)</f>
        <v>1</v>
      </c>
      <c r="BD144" s="128">
        <f>VLOOKUP($E144,[2]Current!$A:$AC,26,FALSE)</f>
        <v>14</v>
      </c>
      <c r="BE144" s="128">
        <f>BD144/$AS144</f>
        <v>27.450980392156861</v>
      </c>
      <c r="BF144" s="130">
        <f>IF(BG144&gt;0,1,0)</f>
        <v>1</v>
      </c>
      <c r="BG144" s="175">
        <f>VLOOKUP($E144,[2]Current!$A:$AC,27,FALSE)</f>
        <v>20</v>
      </c>
      <c r="BH144" s="128">
        <f>BG144/$AS144</f>
        <v>39.215686274509807</v>
      </c>
      <c r="BI144" s="130">
        <f>IF(BJ144&gt;0,1,0)</f>
        <v>1</v>
      </c>
      <c r="BJ144" s="128">
        <f>VLOOKUP($E144,[2]Current!$A:$AC,28,FALSE)</f>
        <v>22</v>
      </c>
      <c r="BK144" s="128">
        <f>BJ144/$AS144</f>
        <v>43.13725490196078</v>
      </c>
      <c r="BL144" s="128">
        <f>IF(BM144&gt;0,1,0)</f>
        <v>0</v>
      </c>
      <c r="BM144" s="128">
        <f>SUM(BR144,BU144,BX144,CA144,CD144)</f>
        <v>0</v>
      </c>
      <c r="BN144" s="131">
        <f>SUM(BT144,BW144,BZ144,CC144,CF144)</f>
        <v>0</v>
      </c>
      <c r="BO144" s="128">
        <f>IF(BP144&gt;0,1,0)</f>
        <v>0</v>
      </c>
      <c r="BP144" s="128">
        <f>BM144+CJ144</f>
        <v>0</v>
      </c>
      <c r="BQ144" s="128">
        <f>BN144+CL144</f>
        <v>0</v>
      </c>
      <c r="BR144" s="130">
        <f>IF(BS144&gt;0,1,0)</f>
        <v>0</v>
      </c>
      <c r="BS144" s="128">
        <f>VLOOKUP($E144,[2]Current!$A:$AC,12,FALSE)</f>
        <v>0</v>
      </c>
      <c r="BT144" s="175">
        <f>BS144/$AS144</f>
        <v>0</v>
      </c>
      <c r="BU144" s="130">
        <f>IF(BV144&gt;0,1,0)</f>
        <v>0</v>
      </c>
      <c r="BV144" s="128">
        <f>VLOOKUP($E144,[2]Current!$A:$AC,13,FALSE)</f>
        <v>0</v>
      </c>
      <c r="BW144" s="128">
        <f>BV144/$AS144</f>
        <v>0</v>
      </c>
      <c r="BX144" s="130">
        <f>IF(BY144&gt;0,1,0)</f>
        <v>0</v>
      </c>
      <c r="BY144" s="128">
        <f>VLOOKUP($E144,[2]Current!$A:$AC,14,FALSE)</f>
        <v>0</v>
      </c>
      <c r="BZ144" s="128">
        <f>BY144/$AS144</f>
        <v>0</v>
      </c>
      <c r="CA144" s="130">
        <f>IF(CB144&gt;0,1,0)</f>
        <v>0</v>
      </c>
      <c r="CB144" s="128">
        <f>VLOOKUP($E144,[2]Current!$A:$AC,15,FALSE)</f>
        <v>0</v>
      </c>
      <c r="CC144" s="128">
        <f>CB144/$AS144</f>
        <v>0</v>
      </c>
      <c r="CD144" s="176">
        <f>IF(CE144&gt;0,1,0)</f>
        <v>0</v>
      </c>
      <c r="CE144" s="128">
        <f>VLOOKUP($E144,[2]Current!$A:$AC,16,FALSE)</f>
        <v>0</v>
      </c>
      <c r="CF144" s="128">
        <f>CE144/$AS144</f>
        <v>0</v>
      </c>
      <c r="CG144" s="18"/>
      <c r="CH144" s="18"/>
      <c r="CI144" s="18"/>
      <c r="CJ144" s="130">
        <f>IF(CK144&gt;0,1,0)</f>
        <v>0</v>
      </c>
      <c r="CK144" s="128">
        <f>VLOOKUP($E144,[2]Current!$A:$AC,18,FALSE)</f>
        <v>0</v>
      </c>
      <c r="CL144" s="128">
        <f>CK144/$AS144</f>
        <v>0</v>
      </c>
      <c r="CM144" s="16"/>
      <c r="CN144" s="16"/>
      <c r="CO144" s="16"/>
      <c r="CP144" s="16"/>
      <c r="CQ144" s="16"/>
      <c r="CR144" s="16"/>
      <c r="CS144" s="130">
        <f>IF(CU144&gt;0,1,0)</f>
        <v>0</v>
      </c>
      <c r="CT144" s="16"/>
      <c r="CU144" s="128">
        <f>VLOOKUP($E144,[2]Current!$A:$AC,17,FALSE)</f>
        <v>0</v>
      </c>
      <c r="CV144" s="128">
        <f>CU144/$AS144</f>
        <v>0</v>
      </c>
      <c r="CW144" s="18"/>
      <c r="CX144" s="18"/>
      <c r="CY144" s="18"/>
      <c r="CZ144" s="16"/>
      <c r="DA144" s="16"/>
      <c r="DB144" s="16"/>
      <c r="DC144" s="16"/>
      <c r="DD144" s="16"/>
      <c r="DE144" s="16"/>
      <c r="DF144" s="16" t="e">
        <f>VLOOKUP(K144,'[3]RNA Seq summary tables'!$V$3:$V$99,1,FALSE)</f>
        <v>#N/A</v>
      </c>
      <c r="DG144" s="16"/>
      <c r="DH144" s="16"/>
      <c r="DI144" s="16"/>
      <c r="DJ144" s="16"/>
      <c r="DK144" s="16"/>
      <c r="DL144" s="16"/>
      <c r="DM144" s="16"/>
      <c r="DN144" s="16"/>
      <c r="DO144" s="16"/>
      <c r="DP144" s="16"/>
      <c r="DQ144" s="16"/>
      <c r="DR144" s="16"/>
      <c r="DS144" s="16"/>
      <c r="DT144" s="18"/>
      <c r="DU144" s="18"/>
      <c r="DV144" s="18"/>
      <c r="DW144" s="18"/>
      <c r="DX144" s="18"/>
      <c r="DY144" s="18"/>
      <c r="DZ144" s="18"/>
      <c r="EA144" s="18"/>
      <c r="EB144" s="18"/>
      <c r="EC144" s="18"/>
      <c r="ED144" s="18"/>
      <c r="EE144" s="18"/>
      <c r="EF144" s="18"/>
      <c r="EG144" s="18"/>
      <c r="EH144" s="18"/>
      <c r="EI144" s="18"/>
      <c r="EJ144" s="18"/>
      <c r="EK144" s="18"/>
      <c r="EL144" s="18"/>
      <c r="EM144" s="18"/>
      <c r="EN144" s="18"/>
      <c r="EO144" s="18"/>
      <c r="EP144" s="18"/>
      <c r="EQ144" s="18"/>
      <c r="ER144" s="18"/>
      <c r="ES144" s="18"/>
      <c r="ET144" s="18"/>
      <c r="EU144" s="18"/>
      <c r="EV144" s="18"/>
      <c r="EW144" s="18"/>
      <c r="EX144" s="18"/>
      <c r="EY144" s="18"/>
      <c r="EZ144" s="18"/>
      <c r="FA144" s="18"/>
      <c r="FB144" s="18"/>
      <c r="FC144" s="18"/>
      <c r="FD144" s="18"/>
      <c r="FE144" s="18"/>
      <c r="FF144" s="18"/>
      <c r="FG144" s="18"/>
      <c r="FH144" s="18"/>
      <c r="FI144" s="18"/>
      <c r="FJ144" s="18"/>
      <c r="FK144" s="18"/>
      <c r="FL144" s="18"/>
      <c r="FM144" s="18"/>
      <c r="FN144" s="18"/>
      <c r="FO144" s="18"/>
      <c r="FP144" s="18"/>
      <c r="FQ144" s="18"/>
      <c r="FR144" s="18"/>
      <c r="FS144" s="18"/>
      <c r="FT144" s="18"/>
      <c r="FU144" s="18"/>
      <c r="FV144" s="18"/>
      <c r="FW144" s="18"/>
      <c r="FX144" s="18"/>
      <c r="FY144" s="18"/>
      <c r="FZ144" s="18"/>
      <c r="GA144" s="18"/>
      <c r="GB144" s="18"/>
      <c r="GC144" s="18"/>
      <c r="GD144" s="18"/>
      <c r="GE144" s="18"/>
      <c r="GF144" s="18"/>
      <c r="GG144" s="18"/>
      <c r="GH144" s="18"/>
      <c r="GI144" s="18"/>
      <c r="GJ144" s="18"/>
      <c r="GK144" s="18"/>
      <c r="GL144" s="18"/>
      <c r="GM144" s="18"/>
      <c r="GN144" s="18"/>
      <c r="GO144" s="18"/>
      <c r="GP144" s="18"/>
      <c r="GQ144" s="18"/>
      <c r="GR144" s="18"/>
      <c r="GS144" s="18"/>
      <c r="GT144" s="18"/>
      <c r="GU144" s="18"/>
      <c r="GV144" s="18"/>
      <c r="GW144" s="18"/>
      <c r="GX144" s="18"/>
      <c r="GY144" s="18"/>
      <c r="GZ144" s="18"/>
      <c r="HA144" s="18"/>
      <c r="HB144" s="18"/>
      <c r="HC144" s="18"/>
      <c r="HD144" s="18"/>
      <c r="HE144" s="18"/>
      <c r="HF144" s="18"/>
      <c r="HG144" s="18"/>
      <c r="HH144" s="18"/>
      <c r="HI144" s="18"/>
      <c r="HJ144" s="18"/>
      <c r="HK144" s="18"/>
      <c r="HL144" s="18"/>
      <c r="HM144" s="18"/>
      <c r="HN144" s="18"/>
      <c r="HO144" s="18"/>
      <c r="HP144" s="18"/>
      <c r="HQ144" s="18"/>
      <c r="HR144" s="18"/>
      <c r="HS144" s="18"/>
      <c r="HT144" s="18"/>
      <c r="HU144" s="18"/>
      <c r="HV144" s="18"/>
      <c r="HW144" s="18"/>
      <c r="HX144" s="18"/>
      <c r="HY144" s="18"/>
      <c r="HZ144" s="18"/>
      <c r="IA144" s="18"/>
      <c r="IB144" s="18"/>
      <c r="IC144" s="18"/>
      <c r="ID144" s="18"/>
      <c r="IE144" s="18"/>
      <c r="IF144" s="18"/>
      <c r="IG144" s="18"/>
      <c r="IH144" s="18"/>
      <c r="II144" s="18"/>
      <c r="IJ144" s="18"/>
      <c r="IK144" s="18"/>
      <c r="IL144" s="18"/>
      <c r="IM144" s="18"/>
      <c r="IN144" s="18"/>
      <c r="IO144" s="18"/>
      <c r="IP144" s="18"/>
      <c r="IQ144" s="18"/>
      <c r="IR144" s="18"/>
      <c r="IS144" s="18"/>
      <c r="IT144" s="18"/>
      <c r="IU144" s="18"/>
      <c r="IV144" s="18"/>
      <c r="IW144" s="18"/>
      <c r="IX144" s="18"/>
      <c r="IY144" s="18"/>
      <c r="IZ144" s="18"/>
      <c r="JA144" s="18"/>
      <c r="JB144" s="18"/>
      <c r="JC144" s="18"/>
      <c r="JD144" s="18"/>
      <c r="JE144" s="18"/>
      <c r="JF144" s="18"/>
      <c r="JG144" s="18"/>
      <c r="JH144" s="18"/>
      <c r="JI144" s="18"/>
      <c r="JJ144" s="18"/>
      <c r="JK144" s="18"/>
      <c r="JL144" s="18"/>
      <c r="JM144" s="18"/>
      <c r="JN144" s="18"/>
      <c r="JO144" s="16"/>
      <c r="JP144" s="16"/>
      <c r="JQ144" s="16"/>
      <c r="JR144" s="16"/>
      <c r="JS144" s="16"/>
      <c r="JT144" s="16"/>
      <c r="JU144" s="16"/>
      <c r="JV144" s="16"/>
      <c r="JW144" s="16"/>
      <c r="JX144" s="16"/>
      <c r="JY144" s="16"/>
      <c r="JZ144" s="16"/>
      <c r="KA144" s="16"/>
      <c r="KB144" s="16"/>
    </row>
    <row r="145" spans="1:288" x14ac:dyDescent="0.2">
      <c r="B145" s="18">
        <v>2017</v>
      </c>
      <c r="C145" s="37">
        <v>42903</v>
      </c>
      <c r="D145" s="37" t="str">
        <f>CONCATENATE(J145,"-",C145)</f>
        <v>1032-42903</v>
      </c>
      <c r="E145" s="20" t="str">
        <f>CONCATENATE(T145,"-",U145,"-",C145)</f>
        <v>BC2-E4-42903</v>
      </c>
      <c r="F145" s="20" t="s">
        <v>106</v>
      </c>
      <c r="G145" s="37" t="s">
        <v>107</v>
      </c>
      <c r="H145" s="18"/>
      <c r="I145" s="16">
        <v>0</v>
      </c>
      <c r="J145" s="36">
        <v>1032</v>
      </c>
      <c r="K145" s="36">
        <v>1682</v>
      </c>
      <c r="L145" s="18">
        <v>0</v>
      </c>
      <c r="M145" s="21">
        <f>VLOOKUP($K145,'[4]blood tubes 2017'!$D$1:$L$647,8,FALSE)</f>
        <v>0</v>
      </c>
      <c r="N145" s="15">
        <v>0</v>
      </c>
      <c r="O145" s="15" t="s">
        <v>119</v>
      </c>
      <c r="P145" s="18" t="s">
        <v>119</v>
      </c>
      <c r="Q145" s="16">
        <v>0</v>
      </c>
      <c r="R145" s="18" t="s">
        <v>111</v>
      </c>
      <c r="S145" s="18"/>
      <c r="T145" s="18" t="s">
        <v>154</v>
      </c>
      <c r="U145" s="18" t="s">
        <v>206</v>
      </c>
      <c r="V145" s="18"/>
      <c r="W145" s="18"/>
      <c r="X145" s="18" t="s">
        <v>115</v>
      </c>
      <c r="Y145" s="18" t="s">
        <v>110</v>
      </c>
      <c r="Z145" s="18">
        <v>3</v>
      </c>
      <c r="AA145" s="18"/>
      <c r="AB145" s="18"/>
      <c r="AC145" s="18"/>
      <c r="AD145" s="18"/>
      <c r="AE145" s="18" t="s">
        <v>123</v>
      </c>
      <c r="AF145" s="18" t="s">
        <v>123</v>
      </c>
      <c r="AG145" s="18"/>
      <c r="AH145" s="18"/>
      <c r="AI145" s="18"/>
      <c r="AJ145" s="18"/>
      <c r="AK145" s="18">
        <v>20.5</v>
      </c>
      <c r="AL145" s="18">
        <v>0</v>
      </c>
      <c r="AM145" s="18">
        <v>0</v>
      </c>
      <c r="AN145" s="18">
        <v>0</v>
      </c>
      <c r="AO145" s="18">
        <v>0</v>
      </c>
      <c r="AP145" s="18">
        <f>SUM(AL145:AN145)</f>
        <v>0</v>
      </c>
      <c r="AQ145" s="18">
        <v>1.8220000000000001</v>
      </c>
      <c r="AR145" s="18">
        <f>AP145-1.472</f>
        <v>-1.472</v>
      </c>
      <c r="AS145" s="18">
        <f>AQ145-1.472</f>
        <v>0.35000000000000009</v>
      </c>
      <c r="AT145" s="24" t="s">
        <v>233</v>
      </c>
      <c r="AU145" s="24"/>
      <c r="AV145" s="24">
        <v>1</v>
      </c>
      <c r="AW145" s="18">
        <v>0</v>
      </c>
      <c r="AX145" s="18">
        <v>0</v>
      </c>
      <c r="AY145" s="18">
        <v>0</v>
      </c>
      <c r="AZ145" s="18">
        <v>0</v>
      </c>
      <c r="BA145" s="18">
        <v>0</v>
      </c>
      <c r="BB145" s="18">
        <v>0</v>
      </c>
      <c r="BC145" s="18">
        <v>0</v>
      </c>
      <c r="BD145" s="18">
        <v>0</v>
      </c>
      <c r="BE145" s="18">
        <v>0</v>
      </c>
      <c r="BF145" s="18">
        <v>0</v>
      </c>
      <c r="BG145" s="25">
        <v>0</v>
      </c>
      <c r="BH145" s="18">
        <v>0</v>
      </c>
      <c r="BI145" s="18">
        <v>0</v>
      </c>
      <c r="BJ145" s="18">
        <v>0</v>
      </c>
      <c r="BK145" s="18">
        <v>0</v>
      </c>
      <c r="BL145" s="18">
        <v>0</v>
      </c>
      <c r="BM145" s="18">
        <f>SUM(BR145,BU145,BX145,CA145,CD145,CG145,CJ145,CM145,CP145)</f>
        <v>0</v>
      </c>
      <c r="BN145" s="18">
        <f>SUM(BW145,BZ145,CC145,CF145,CI145,CL145,CO145,CR145,BT145)</f>
        <v>0</v>
      </c>
      <c r="BO145" s="18">
        <f>IF(BP145&gt;0,1,0)</f>
        <v>0</v>
      </c>
      <c r="BP145" s="18">
        <f>SUM(BU145,BX145,CA145,CD145,BR145)</f>
        <v>0</v>
      </c>
      <c r="BQ145" s="18">
        <f>SUM(BZ145,CC145,CF145,BT145,BW145)</f>
        <v>0</v>
      </c>
      <c r="BR145" s="18">
        <v>0</v>
      </c>
      <c r="BS145" s="18">
        <v>0</v>
      </c>
      <c r="BT145" s="25">
        <v>0</v>
      </c>
      <c r="BU145" s="18">
        <v>0</v>
      </c>
      <c r="BV145" s="18">
        <v>0</v>
      </c>
      <c r="BW145" s="18">
        <v>0</v>
      </c>
      <c r="BX145" s="18">
        <v>0</v>
      </c>
      <c r="BY145" s="18">
        <v>0</v>
      </c>
      <c r="BZ145" s="18">
        <v>0</v>
      </c>
      <c r="CA145" s="18">
        <v>0</v>
      </c>
      <c r="CB145" s="18">
        <v>0</v>
      </c>
      <c r="CC145" s="18">
        <v>0</v>
      </c>
      <c r="CD145" s="25">
        <v>0</v>
      </c>
      <c r="CE145" s="18">
        <v>0</v>
      </c>
      <c r="CF145" s="18">
        <v>0</v>
      </c>
      <c r="CG145" s="18">
        <v>0</v>
      </c>
      <c r="CH145" s="18">
        <v>0</v>
      </c>
      <c r="CI145" s="18">
        <v>0</v>
      </c>
      <c r="CJ145" s="18"/>
      <c r="CK145" s="18"/>
      <c r="CL145" s="18"/>
      <c r="CM145" s="18">
        <v>0</v>
      </c>
      <c r="CN145" s="18">
        <v>0</v>
      </c>
      <c r="CO145" s="18">
        <v>0</v>
      </c>
      <c r="CP145" s="18">
        <v>0</v>
      </c>
      <c r="CQ145" s="18">
        <v>0</v>
      </c>
      <c r="CR145" s="18">
        <v>0</v>
      </c>
      <c r="CS145" s="18">
        <v>0</v>
      </c>
      <c r="CT145" s="18">
        <v>0</v>
      </c>
      <c r="CU145" s="18"/>
      <c r="CV145" s="18">
        <v>0</v>
      </c>
      <c r="CW145" s="18">
        <v>0</v>
      </c>
      <c r="CX145" s="18">
        <v>0</v>
      </c>
      <c r="CY145" s="18">
        <v>0</v>
      </c>
      <c r="CZ145" s="18">
        <v>0</v>
      </c>
      <c r="DA145" s="18">
        <v>0</v>
      </c>
      <c r="DB145" s="18">
        <v>0</v>
      </c>
      <c r="DC145" s="18">
        <v>0</v>
      </c>
      <c r="DD145" s="18">
        <v>0</v>
      </c>
      <c r="DE145" s="18">
        <v>0</v>
      </c>
      <c r="DF145" s="16" t="e">
        <f>VLOOKUP(K145,'[3]RNA Seq summary tables'!$V$3:$V$99,1,FALSE)</f>
        <v>#N/A</v>
      </c>
      <c r="DI145" s="18">
        <v>60</v>
      </c>
      <c r="DJ145" s="18"/>
      <c r="DK145" s="18">
        <v>30</v>
      </c>
      <c r="DL145" s="18"/>
      <c r="DM145" s="18">
        <v>8</v>
      </c>
      <c r="DN145" s="18"/>
      <c r="DO145" s="18">
        <v>0</v>
      </c>
      <c r="DP145" s="18"/>
      <c r="DQ145" s="18">
        <v>2</v>
      </c>
      <c r="DR145" s="18">
        <f>SUM(DI145:DQ145)</f>
        <v>100</v>
      </c>
      <c r="DS145" s="18"/>
    </row>
    <row r="146" spans="1:288" x14ac:dyDescent="0.2">
      <c r="B146" s="16">
        <v>2017</v>
      </c>
      <c r="C146" s="66">
        <v>42886</v>
      </c>
      <c r="D146" s="66" t="str">
        <f>CONCATENATE(J146,"-",C146)</f>
        <v>1033-42886</v>
      </c>
      <c r="E146" s="20" t="str">
        <f>CONCATENATE(T146,"-",U146,"-",C146)</f>
        <v>BC2-D4-42886</v>
      </c>
      <c r="F146" s="20" t="s">
        <v>106</v>
      </c>
      <c r="G146" s="20" t="s">
        <v>107</v>
      </c>
      <c r="I146" s="16">
        <v>0</v>
      </c>
      <c r="J146" s="21">
        <v>1033</v>
      </c>
      <c r="K146" s="21">
        <v>1587</v>
      </c>
      <c r="L146" s="18">
        <v>0</v>
      </c>
      <c r="M146" s="21">
        <f>VLOOKUP($K146,'[4]blood tubes 2017'!$D$1:$L$647,8,FALSE)</f>
        <v>0</v>
      </c>
      <c r="N146" s="15">
        <v>0</v>
      </c>
      <c r="O146" s="15" t="s">
        <v>119</v>
      </c>
      <c r="P146" s="16" t="s">
        <v>119</v>
      </c>
      <c r="Q146" s="16">
        <v>0</v>
      </c>
      <c r="R146" s="16" t="s">
        <v>111</v>
      </c>
      <c r="T146" s="16" t="s">
        <v>154</v>
      </c>
      <c r="U146" s="16" t="s">
        <v>221</v>
      </c>
      <c r="V146" s="16" t="s">
        <v>114</v>
      </c>
      <c r="W146" s="16">
        <f>AI146/AG146</f>
        <v>0.84090909090909094</v>
      </c>
      <c r="X146" s="16" t="s">
        <v>121</v>
      </c>
      <c r="Y146" s="16" t="s">
        <v>110</v>
      </c>
      <c r="Z146" s="16">
        <v>3</v>
      </c>
      <c r="AA146" s="16" t="s">
        <v>161</v>
      </c>
      <c r="AB146" s="16" t="s">
        <v>116</v>
      </c>
      <c r="AC146" s="16" t="s">
        <v>123</v>
      </c>
      <c r="AD146" s="16" t="s">
        <v>116</v>
      </c>
      <c r="AG146" s="16">
        <f>AH146-AI146</f>
        <v>88</v>
      </c>
      <c r="AH146" s="16">
        <v>162</v>
      </c>
      <c r="AI146" s="16">
        <v>74</v>
      </c>
      <c r="AK146" s="16">
        <v>20.5</v>
      </c>
      <c r="AL146" s="16">
        <v>0</v>
      </c>
      <c r="AM146" s="16">
        <v>0</v>
      </c>
      <c r="AN146" s="16">
        <v>0</v>
      </c>
      <c r="AO146" s="16">
        <v>0</v>
      </c>
      <c r="AP146" s="16">
        <f>SUM(AL146:AN146)</f>
        <v>0</v>
      </c>
      <c r="AQ146" s="16">
        <v>1.61</v>
      </c>
      <c r="AR146" s="16">
        <f>AP146-1.472</f>
        <v>-1.472</v>
      </c>
      <c r="AS146" s="16">
        <f>AQ146-1.472</f>
        <v>0.13800000000000012</v>
      </c>
      <c r="AT146" s="16" t="s">
        <v>164</v>
      </c>
      <c r="AW146" s="16">
        <f>IF(AX146&gt;0,1,0)</f>
        <v>1</v>
      </c>
      <c r="AX146" s="16">
        <f>SUM(BA146,BM146,CT146)</f>
        <v>3</v>
      </c>
      <c r="AY146" s="18">
        <f>SUM(BB146,BN146,CV146)</f>
        <v>3913.0434782608663</v>
      </c>
      <c r="AZ146" s="16">
        <f>IF(BA146&gt;0,1,0)</f>
        <v>1</v>
      </c>
      <c r="BA146" s="16">
        <f>SUM(BC146,BF146,BI146)</f>
        <v>3</v>
      </c>
      <c r="BB146" s="16">
        <f>SUM(BE146,BH146,BK146)</f>
        <v>3913.0434782608663</v>
      </c>
      <c r="BC146" s="16">
        <v>1</v>
      </c>
      <c r="BD146" s="16">
        <v>3</v>
      </c>
      <c r="BE146" s="16">
        <f>BD146/AS146</f>
        <v>21.739130434782588</v>
      </c>
      <c r="BF146" s="16">
        <v>1</v>
      </c>
      <c r="BG146" s="23">
        <v>535</v>
      </c>
      <c r="BH146" s="16">
        <f>BG146/AS146</f>
        <v>3876.8115942028953</v>
      </c>
      <c r="BI146" s="16">
        <v>1</v>
      </c>
      <c r="BJ146" s="16">
        <v>2</v>
      </c>
      <c r="BK146" s="16">
        <f>BJ146/AS146</f>
        <v>14.492753623188394</v>
      </c>
      <c r="BL146" s="16">
        <f>IF(BM146&gt;0,1,0)</f>
        <v>0</v>
      </c>
      <c r="BM146" s="16">
        <f>SUM(BR146,BU146,BX146,CA146,CD146,CG146,CJ146,CM146,CP146)</f>
        <v>0</v>
      </c>
      <c r="BN146" s="16">
        <f>SUM(BW146,BZ146,CC146,CF146,CI146,CL146,CO146,CR146,BT146)</f>
        <v>0</v>
      </c>
      <c r="BO146" s="16">
        <f>IF(BP146&gt;0,1,0)</f>
        <v>0</v>
      </c>
      <c r="BP146" s="16">
        <f>SUM(BU146,BX146,CA146,CD146,BR146)</f>
        <v>0</v>
      </c>
      <c r="BQ146" s="16">
        <f>SUM(BZ146,CC146,CF146,BT146,BW146)</f>
        <v>0</v>
      </c>
      <c r="BR146" s="16">
        <v>0</v>
      </c>
      <c r="BS146" s="16">
        <v>0</v>
      </c>
      <c r="BT146" s="23">
        <f>BS146/AS146</f>
        <v>0</v>
      </c>
      <c r="BU146" s="16">
        <v>0</v>
      </c>
      <c r="BV146" s="16">
        <v>0</v>
      </c>
      <c r="BW146" s="16">
        <f>BV146/AS146</f>
        <v>0</v>
      </c>
      <c r="BX146" s="16">
        <v>0</v>
      </c>
      <c r="BY146" s="16">
        <v>0</v>
      </c>
      <c r="BZ146" s="16">
        <f>BY146/AS146</f>
        <v>0</v>
      </c>
      <c r="CA146" s="16">
        <v>0</v>
      </c>
      <c r="CB146" s="16">
        <v>0</v>
      </c>
      <c r="CC146" s="16">
        <f>CB146/AS146</f>
        <v>0</v>
      </c>
      <c r="CD146" s="23">
        <v>0</v>
      </c>
      <c r="CE146" s="16">
        <v>0</v>
      </c>
      <c r="CF146" s="16">
        <f>CE146/AS146</f>
        <v>0</v>
      </c>
      <c r="CG146" s="16">
        <v>0</v>
      </c>
      <c r="CH146" s="16">
        <v>0</v>
      </c>
      <c r="CI146" s="16">
        <f>CH146/AS146</f>
        <v>0</v>
      </c>
      <c r="CM146" s="16">
        <v>0</v>
      </c>
      <c r="CN146" s="16">
        <v>0</v>
      </c>
      <c r="CO146" s="16">
        <f>CN146/AS146</f>
        <v>0</v>
      </c>
      <c r="CP146" s="16">
        <v>0</v>
      </c>
      <c r="CQ146" s="16">
        <v>0</v>
      </c>
      <c r="CR146" s="16">
        <f>CQ146/AS146</f>
        <v>0</v>
      </c>
      <c r="CS146" s="16">
        <f>IF(CT146&gt;0,1,0)</f>
        <v>0</v>
      </c>
      <c r="CT146" s="16">
        <f>SUM(CW146,CZ146,DC146)</f>
        <v>0</v>
      </c>
      <c r="CV146" s="16">
        <f>SUM(CY146,DB146,DE146)</f>
        <v>0</v>
      </c>
      <c r="CW146" s="16">
        <v>0</v>
      </c>
      <c r="CX146" s="16">
        <v>0</v>
      </c>
      <c r="CY146" s="16">
        <f>CX146/AS146</f>
        <v>0</v>
      </c>
      <c r="CZ146" s="16">
        <v>0</v>
      </c>
      <c r="DA146" s="16">
        <v>0</v>
      </c>
      <c r="DB146" s="16">
        <f>DA146/AS146</f>
        <v>0</v>
      </c>
      <c r="DC146" s="16">
        <v>0</v>
      </c>
      <c r="DD146" s="16">
        <v>0</v>
      </c>
      <c r="DE146" s="16">
        <f>DD146/AS146</f>
        <v>0</v>
      </c>
      <c r="DF146" s="16" t="e">
        <f>VLOOKUP(K146,'[3]RNA Seq summary tables'!$V$3:$V$99,1,FALSE)</f>
        <v>#N/A</v>
      </c>
      <c r="DI146" s="16">
        <v>45</v>
      </c>
      <c r="DK146" s="16">
        <v>42</v>
      </c>
      <c r="DM146" s="16">
        <v>13</v>
      </c>
      <c r="DO146" s="16">
        <v>0</v>
      </c>
      <c r="DQ146" s="16">
        <v>0</v>
      </c>
      <c r="DS146" s="16">
        <v>100</v>
      </c>
    </row>
    <row r="147" spans="1:288" x14ac:dyDescent="0.2">
      <c r="B147" s="18">
        <v>2017</v>
      </c>
      <c r="C147" s="37">
        <v>42887</v>
      </c>
      <c r="D147" s="37" t="str">
        <f>CONCATENATE(J147,"-",C147)</f>
        <v>1035-42887</v>
      </c>
      <c r="E147" s="20" t="str">
        <f>CONCATENATE(T147,"-",U147,"-",C147)</f>
        <v>SP1-B7-42887</v>
      </c>
      <c r="F147" s="20" t="s">
        <v>106</v>
      </c>
      <c r="G147" s="37" t="s">
        <v>107</v>
      </c>
      <c r="H147" s="18" t="s">
        <v>236</v>
      </c>
      <c r="I147" s="16">
        <v>0</v>
      </c>
      <c r="J147" s="36">
        <v>1035</v>
      </c>
      <c r="K147" s="36">
        <v>1589</v>
      </c>
      <c r="L147" s="18">
        <v>0</v>
      </c>
      <c r="M147" s="21">
        <f>VLOOKUP($K147,'[4]blood tubes 2017'!$D$1:$L$647,8,FALSE)</f>
        <v>0</v>
      </c>
      <c r="N147" s="15">
        <v>0</v>
      </c>
      <c r="O147" s="15" t="s">
        <v>119</v>
      </c>
      <c r="P147" s="18" t="s">
        <v>119</v>
      </c>
      <c r="Q147" s="16">
        <v>0</v>
      </c>
      <c r="R147" s="18" t="s">
        <v>111</v>
      </c>
      <c r="S147" s="18"/>
      <c r="T147" s="18" t="s">
        <v>140</v>
      </c>
      <c r="U147" s="18" t="s">
        <v>168</v>
      </c>
      <c r="V147" s="18" t="s">
        <v>142</v>
      </c>
      <c r="W147" s="16">
        <f>AI147/AG147</f>
        <v>0.90361445783132532</v>
      </c>
      <c r="X147" s="18" t="s">
        <v>121</v>
      </c>
      <c r="Y147" s="18" t="s">
        <v>110</v>
      </c>
      <c r="Z147" s="18">
        <v>3</v>
      </c>
      <c r="AA147" s="18" t="s">
        <v>119</v>
      </c>
      <c r="AB147" s="18" t="s">
        <v>116</v>
      </c>
      <c r="AC147" s="18" t="s">
        <v>116</v>
      </c>
      <c r="AD147" s="18" t="s">
        <v>116</v>
      </c>
      <c r="AE147" s="18"/>
      <c r="AF147" s="18"/>
      <c r="AG147" s="18">
        <f>AH147-AI147</f>
        <v>83</v>
      </c>
      <c r="AH147" s="18">
        <v>158</v>
      </c>
      <c r="AI147" s="18">
        <v>75</v>
      </c>
      <c r="AJ147" s="18"/>
      <c r="AK147" s="18">
        <v>14.5</v>
      </c>
      <c r="AL147" s="18">
        <v>0</v>
      </c>
      <c r="AM147" s="18">
        <v>0</v>
      </c>
      <c r="AN147" s="18">
        <v>0</v>
      </c>
      <c r="AO147" s="18">
        <v>0</v>
      </c>
      <c r="AP147" s="18">
        <f>SUM(AL147:AN147)</f>
        <v>0</v>
      </c>
      <c r="AQ147" s="18">
        <v>1.7470000000000001</v>
      </c>
      <c r="AR147" s="18">
        <f>AP147-1.472</f>
        <v>-1.472</v>
      </c>
      <c r="AS147" s="18">
        <f>AQ147-1.472</f>
        <v>0.27500000000000013</v>
      </c>
      <c r="AT147" s="18" t="s">
        <v>234</v>
      </c>
      <c r="AU147" s="18"/>
      <c r="AV147" s="18"/>
      <c r="AW147" s="18">
        <f>IF(AX147&gt;0,1,0)</f>
        <v>1</v>
      </c>
      <c r="AX147" s="18">
        <f>SUM(BA147,BM147,CT147)</f>
        <v>2</v>
      </c>
      <c r="AY147" s="18">
        <f>SUM(BB147,BN147,CV147)</f>
        <v>7.2727272727272689</v>
      </c>
      <c r="AZ147" s="18">
        <f>IF(BA147&gt;0,1,0)</f>
        <v>1</v>
      </c>
      <c r="BA147" s="18">
        <f>SUM(BC147,BF147,BI147)</f>
        <v>2</v>
      </c>
      <c r="BB147" s="18">
        <f>SUM(BE147,BH147,BK147)</f>
        <v>7.2727272727272689</v>
      </c>
      <c r="BC147" s="18">
        <v>1</v>
      </c>
      <c r="BD147" s="18">
        <v>1</v>
      </c>
      <c r="BE147" s="18">
        <f>BD147/AS147</f>
        <v>3.6363636363636345</v>
      </c>
      <c r="BF147" s="18">
        <v>1</v>
      </c>
      <c r="BG147" s="25">
        <v>1</v>
      </c>
      <c r="BH147" s="18">
        <f>BG147/AS147</f>
        <v>3.6363636363636345</v>
      </c>
      <c r="BI147" s="18">
        <v>0</v>
      </c>
      <c r="BJ147" s="18">
        <v>0</v>
      </c>
      <c r="BK147" s="18">
        <f>BJ147/AS147</f>
        <v>0</v>
      </c>
      <c r="BL147" s="16">
        <f>IF(BM147&gt;0,1,0)</f>
        <v>0</v>
      </c>
      <c r="BM147" s="16">
        <f>SUM(BR147,BU147,BX147,CA147,CD147,CG147,CJ147,CM147,CP147)</f>
        <v>0</v>
      </c>
      <c r="BN147" s="18">
        <f>SUM(BW147,BZ147,CC147,CF147,CI147,CL147,CO147,CR147,BT147)</f>
        <v>0</v>
      </c>
      <c r="BO147" s="18">
        <f>IF(BP147&gt;0,1,0)</f>
        <v>0</v>
      </c>
      <c r="BP147" s="18">
        <f>SUM(BU147,BX147,CA147,CD147,BR147)</f>
        <v>0</v>
      </c>
      <c r="BQ147" s="18">
        <f>SUM(BZ147,CC147,CF147,BT147,BW147)</f>
        <v>0</v>
      </c>
      <c r="BR147" s="18">
        <v>0</v>
      </c>
      <c r="BS147" s="18">
        <v>0</v>
      </c>
      <c r="BT147" s="25">
        <f>BS147/AS147</f>
        <v>0</v>
      </c>
      <c r="BU147" s="18">
        <v>0</v>
      </c>
      <c r="BV147" s="18">
        <v>0</v>
      </c>
      <c r="BW147" s="18">
        <f>BV147/AS147</f>
        <v>0</v>
      </c>
      <c r="BX147" s="18">
        <v>0</v>
      </c>
      <c r="BY147" s="18">
        <v>0</v>
      </c>
      <c r="BZ147" s="18">
        <f>BY147/AS147</f>
        <v>0</v>
      </c>
      <c r="CA147" s="18">
        <v>0</v>
      </c>
      <c r="CB147" s="18">
        <v>0</v>
      </c>
      <c r="CC147" s="18">
        <f>CB147/AS147</f>
        <v>0</v>
      </c>
      <c r="CD147" s="25">
        <v>0</v>
      </c>
      <c r="CE147" s="18">
        <v>0</v>
      </c>
      <c r="CF147" s="18">
        <f>CE147/AS147</f>
        <v>0</v>
      </c>
      <c r="CG147" s="18">
        <v>0</v>
      </c>
      <c r="CH147" s="18">
        <v>0</v>
      </c>
      <c r="CI147" s="18">
        <f>CH147/AS147</f>
        <v>0</v>
      </c>
      <c r="CJ147" s="18"/>
      <c r="CK147" s="18"/>
      <c r="CL147" s="18"/>
      <c r="CM147" s="18">
        <v>0</v>
      </c>
      <c r="CN147" s="18">
        <v>0</v>
      </c>
      <c r="CO147" s="18">
        <f>CN147/AS147</f>
        <v>0</v>
      </c>
      <c r="CP147" s="18">
        <v>0</v>
      </c>
      <c r="CQ147" s="18">
        <v>0</v>
      </c>
      <c r="CR147" s="18">
        <f>CQ147/AS147</f>
        <v>0</v>
      </c>
      <c r="CS147" s="18">
        <f>IF(CT147&gt;0,1,0)</f>
        <v>0</v>
      </c>
      <c r="CT147" s="18">
        <f>SUM(CW147,CZ147,DC147)</f>
        <v>0</v>
      </c>
      <c r="CU147" s="18"/>
      <c r="CV147" s="18">
        <f>SUM(CY147,DB147,DE147)</f>
        <v>0</v>
      </c>
      <c r="CW147" s="18">
        <v>0</v>
      </c>
      <c r="CX147" s="18">
        <v>0</v>
      </c>
      <c r="CY147" s="18">
        <f>CX147/AS147</f>
        <v>0</v>
      </c>
      <c r="CZ147" s="18">
        <v>0</v>
      </c>
      <c r="DA147" s="18">
        <v>0</v>
      </c>
      <c r="DB147" s="18">
        <f>DA147/AS147</f>
        <v>0</v>
      </c>
      <c r="DC147" s="18">
        <v>0</v>
      </c>
      <c r="DD147" s="18">
        <v>0</v>
      </c>
      <c r="DE147" s="18">
        <f>DD147/AS147</f>
        <v>0</v>
      </c>
      <c r="DF147" s="16" t="e">
        <f>VLOOKUP(K147,'[3]RNA Seq summary tables'!$V$3:$V$99,1,FALSE)</f>
        <v>#N/A</v>
      </c>
      <c r="DG147" s="16">
        <v>1</v>
      </c>
      <c r="DH147" s="16" t="str">
        <f>VLOOKUP(D147,'[6]workflow 3.2018'!$A$1:$S$237,2,FALSE)</f>
        <v>2017MLBS_1</v>
      </c>
      <c r="DI147" s="18">
        <v>49</v>
      </c>
      <c r="DJ147" s="18"/>
      <c r="DK147" s="18">
        <v>47</v>
      </c>
      <c r="DL147" s="18"/>
      <c r="DM147" s="18">
        <v>4</v>
      </c>
      <c r="DN147" s="18"/>
      <c r="DO147" s="18">
        <v>0</v>
      </c>
      <c r="DP147" s="18"/>
      <c r="DQ147" s="18">
        <v>0</v>
      </c>
      <c r="DR147" s="18">
        <v>100</v>
      </c>
      <c r="DS147" s="18"/>
      <c r="JO147" s="18"/>
    </row>
    <row r="148" spans="1:288" x14ac:dyDescent="0.2">
      <c r="B148" s="16">
        <v>2017</v>
      </c>
      <c r="C148" s="20">
        <v>42923</v>
      </c>
      <c r="D148" s="20" t="str">
        <f>CONCATENATE(J148,"-",C148)</f>
        <v>1035-42923</v>
      </c>
      <c r="E148" s="20" t="str">
        <f>CONCATENATE(T148,"-",U148,"-",C148)</f>
        <v>SP1-C6-42923</v>
      </c>
      <c r="F148" s="20" t="s">
        <v>106</v>
      </c>
      <c r="G148" s="20" t="s">
        <v>107</v>
      </c>
      <c r="H148" s="18" t="s">
        <v>236</v>
      </c>
      <c r="I148" s="16">
        <v>0</v>
      </c>
      <c r="J148" s="21">
        <v>1035</v>
      </c>
      <c r="K148" s="21">
        <v>1839</v>
      </c>
      <c r="L148" s="18">
        <v>0</v>
      </c>
      <c r="M148" s="21">
        <f>VLOOKUP($K148,'[4]blood tubes 2017'!$D$1:$L$647,8,FALSE)</f>
        <v>0</v>
      </c>
      <c r="N148" s="15">
        <v>0</v>
      </c>
      <c r="O148" s="15" t="s">
        <v>119</v>
      </c>
      <c r="P148" s="16" t="s">
        <v>119</v>
      </c>
      <c r="Q148" s="16">
        <v>0</v>
      </c>
      <c r="R148" s="16">
        <v>36</v>
      </c>
      <c r="T148" s="16" t="s">
        <v>140</v>
      </c>
      <c r="U148" s="16" t="s">
        <v>213</v>
      </c>
      <c r="V148" s="16" t="s">
        <v>142</v>
      </c>
      <c r="W148" s="16">
        <f>AI148/AG148</f>
        <v>1.0123456790123457</v>
      </c>
      <c r="X148" s="16" t="s">
        <v>121</v>
      </c>
      <c r="Y148" s="16" t="s">
        <v>110</v>
      </c>
      <c r="Z148" s="16">
        <v>3</v>
      </c>
      <c r="AA148" s="16" t="s">
        <v>119</v>
      </c>
      <c r="AB148" s="16" t="s">
        <v>239</v>
      </c>
      <c r="AC148" s="16" t="s">
        <v>123</v>
      </c>
      <c r="AD148" s="16" t="s">
        <v>123</v>
      </c>
      <c r="AG148" s="16">
        <f>AH148-AI148</f>
        <v>81</v>
      </c>
      <c r="AH148" s="16">
        <v>163</v>
      </c>
      <c r="AI148" s="16">
        <v>82</v>
      </c>
      <c r="AK148" s="16">
        <v>14</v>
      </c>
      <c r="AL148" s="16">
        <v>0</v>
      </c>
      <c r="AM148" s="16">
        <v>0</v>
      </c>
      <c r="AN148" s="16">
        <v>0</v>
      </c>
      <c r="AO148" s="16">
        <v>0</v>
      </c>
      <c r="AP148" s="16">
        <f>SUM(AL148:AN148)</f>
        <v>0</v>
      </c>
      <c r="AQ148" s="16">
        <v>2.4039999999999999</v>
      </c>
      <c r="AR148" s="16">
        <f>AP148-1.472</f>
        <v>-1.472</v>
      </c>
      <c r="AS148" s="16">
        <f>AQ148-1.472</f>
        <v>0.93199999999999994</v>
      </c>
      <c r="AT148" s="18" t="str">
        <f>VLOOKUP(K148,'[5]FECs - good data'!$C$1:$P$575,13,FALSE)</f>
        <v>JB</v>
      </c>
      <c r="AU148" s="18" t="s">
        <v>1293</v>
      </c>
      <c r="AV148" s="16">
        <v>0</v>
      </c>
      <c r="AW148" s="18">
        <f>IF(AX148&gt;0,1,0)</f>
        <v>0</v>
      </c>
      <c r="AX148" s="18">
        <f>SUM(BA148,BM148,CT148)</f>
        <v>0</v>
      </c>
      <c r="AY148" s="18">
        <f>SUM(BB148,BN148,CV148)</f>
        <v>0</v>
      </c>
      <c r="AZ148" s="18">
        <f>IF(BA148&gt;0,1,0)</f>
        <v>0</v>
      </c>
      <c r="BA148" s="18">
        <f>SUM(BC148,BF148,BI148)</f>
        <v>0</v>
      </c>
      <c r="BB148" s="18">
        <f>SUM(BE148,BH148,BK148)</f>
        <v>0</v>
      </c>
      <c r="BC148" s="18">
        <f>IF(BD148&gt;0,1,0)</f>
        <v>0</v>
      </c>
      <c r="BD148" s="18">
        <f>VLOOKUP($K148,'[5]FECs - good data'!$C$1:$Z$574,14,FALSE)</f>
        <v>0</v>
      </c>
      <c r="BE148" s="16">
        <f>BD148/AS148</f>
        <v>0</v>
      </c>
      <c r="BF148" s="16">
        <f>IF(BG148&gt;0,1,0)</f>
        <v>0</v>
      </c>
      <c r="BG148" s="23">
        <f>VLOOKUP($K148,'[5]FECs - good data'!$C$1:$Z$574,15,FALSE)</f>
        <v>0</v>
      </c>
      <c r="BH148" s="16">
        <f>BG148/AS148</f>
        <v>0</v>
      </c>
      <c r="BI148" s="16">
        <f>IF(BJ148&gt;0,1,0)</f>
        <v>0</v>
      </c>
      <c r="BJ148" s="16">
        <f>VLOOKUP($K148,'[5]FECs - good data'!$C$1:$Z$574,16,FALSE)</f>
        <v>0</v>
      </c>
      <c r="BK148" s="16">
        <f>BJ148/AS148</f>
        <v>0</v>
      </c>
      <c r="BL148" s="16">
        <f>IF(BM148&gt;0,1,0)</f>
        <v>0</v>
      </c>
      <c r="BM148" s="16">
        <f>SUM(BR148,BU148,BX148,CA148,CD148,CG148,CJ148,CM148,CP148)</f>
        <v>0</v>
      </c>
      <c r="BN148" s="16">
        <f>SUM(BW148,BZ148,CC148,CF148,CI148,CL148,CO148,CR148,BT148)</f>
        <v>0</v>
      </c>
      <c r="BO148" s="16">
        <f>IF(BP148&gt;0,1,0)</f>
        <v>0</v>
      </c>
      <c r="BP148" s="16">
        <f>SUM(BU148,BX148,CA148,CD148,BR148)</f>
        <v>0</v>
      </c>
      <c r="BQ148" s="16">
        <f>SUM(BZ148,CC148,CF148,BT148,BW148)</f>
        <v>0</v>
      </c>
      <c r="BR148" s="16">
        <f>IF(BS148&gt;0,1,0)</f>
        <v>0</v>
      </c>
      <c r="BS148" s="16">
        <f>VLOOKUP($K148,'[5]FECs - good data'!$C$1:$Z$574,17,FALSE)</f>
        <v>0</v>
      </c>
      <c r="BT148" s="23">
        <f>BS148/AS148</f>
        <v>0</v>
      </c>
      <c r="BU148" s="16">
        <f>IF(BV148&gt;0,1,0)</f>
        <v>0</v>
      </c>
      <c r="BV148" s="16">
        <f>VLOOKUP($K148,'[5]FECs - good data'!$C$1:$Z$574,18,FALSE)</f>
        <v>0</v>
      </c>
      <c r="BW148" s="16">
        <f>BV148/AS148</f>
        <v>0</v>
      </c>
      <c r="BX148" s="16">
        <f>IF(BY148&gt;0,1,0)</f>
        <v>0</v>
      </c>
      <c r="BY148" s="16">
        <f>VLOOKUP($K148,'[5]FECs - good data'!$C$1:$Z$574,19,FALSE)</f>
        <v>0</v>
      </c>
      <c r="BZ148" s="16">
        <f>BY148/AS148</f>
        <v>0</v>
      </c>
      <c r="CA148" s="16">
        <f>IF(CB148&gt;0,1,0)</f>
        <v>0</v>
      </c>
      <c r="CB148" s="16">
        <f>VLOOKUP($K148,'[5]FECs - good data'!$C$1:$Z$574,20,FALSE)</f>
        <v>0</v>
      </c>
      <c r="CC148" s="16">
        <f>CB148/AS148</f>
        <v>0</v>
      </c>
      <c r="CD148" s="23">
        <f>IF(CE148&gt;0,1,0)</f>
        <v>0</v>
      </c>
      <c r="CE148" s="16">
        <f>VLOOKUP($K148,'[5]FECs - good data'!$C$1:$Z$574,21,FALSE)</f>
        <v>0</v>
      </c>
      <c r="CF148" s="16">
        <f>CE148/AS148</f>
        <v>0</v>
      </c>
      <c r="CG148" s="16">
        <f>IF(CH148&gt;0,1,0)</f>
        <v>0</v>
      </c>
      <c r="CH148" s="16">
        <f>VLOOKUP($K148,'[5]FECs - good data'!$C$1:$Z$574,22,FALSE)</f>
        <v>0</v>
      </c>
      <c r="CI148" s="16">
        <f>CH148/AS148</f>
        <v>0</v>
      </c>
      <c r="CJ148" s="16">
        <f>IF(CK148&gt;0,1,0)</f>
        <v>0</v>
      </c>
      <c r="CK148" s="16">
        <f>VLOOKUP($K148,'[5]FECs - good data'!$C$1:$Z$674,24,FALSE)</f>
        <v>0</v>
      </c>
      <c r="CL148" s="16">
        <f>CK148/AS148</f>
        <v>0</v>
      </c>
      <c r="CS148" s="16">
        <f>IF(CT148&gt;0,1,0)</f>
        <v>0</v>
      </c>
      <c r="CT148" s="16">
        <f>SUM(CW148+CZ148,DC148)</f>
        <v>0</v>
      </c>
      <c r="CV148" s="16">
        <f>SUM(CY148,DB148,DE148)</f>
        <v>0</v>
      </c>
      <c r="CW148" s="16">
        <f>IF(CX148&gt;0,1,0)</f>
        <v>0</v>
      </c>
      <c r="CX148" s="16">
        <f>VLOOKUP($K148,'[5]FECs - good data'!$C$1:$Z$574,22,FALSE)</f>
        <v>0</v>
      </c>
      <c r="CY148" s="16">
        <f>CX148/AS148</f>
        <v>0</v>
      </c>
      <c r="CZ148" s="16">
        <f>IF(DA148&gt;0,1,0)</f>
        <v>0</v>
      </c>
      <c r="DA148" s="16">
        <f>VLOOKUP($K148,'[5]FECs - good data'!$C$1:$Z$5982,23,FALSE)</f>
        <v>0</v>
      </c>
      <c r="DB148" s="16">
        <f>DA148/AS148</f>
        <v>0</v>
      </c>
      <c r="DE148" s="16">
        <f>DD148/AS148</f>
        <v>0</v>
      </c>
      <c r="DF148" s="16" t="e">
        <f>VLOOKUP(K148,'[3]RNA Seq summary tables'!$V$3:$V$99,1,FALSE)</f>
        <v>#N/A</v>
      </c>
      <c r="DI148" s="16">
        <v>39</v>
      </c>
      <c r="DK148" s="16">
        <v>55</v>
      </c>
      <c r="DM148" s="16">
        <v>6</v>
      </c>
      <c r="DO148" s="16">
        <v>0</v>
      </c>
      <c r="DQ148" s="16">
        <v>0</v>
      </c>
      <c r="DR148" s="16">
        <f>SUM(DI148:DQ148)</f>
        <v>100</v>
      </c>
      <c r="JR148" s="27"/>
      <c r="JS148" s="27"/>
      <c r="JT148" s="27"/>
      <c r="JU148" s="27"/>
      <c r="JV148" s="27"/>
      <c r="JW148" s="27"/>
      <c r="JX148" s="27"/>
      <c r="JY148" s="27"/>
      <c r="JZ148" s="27"/>
      <c r="KA148" s="27"/>
      <c r="KB148" s="27"/>
    </row>
    <row r="149" spans="1:288" ht="16" x14ac:dyDescent="0.2">
      <c r="B149" s="16">
        <v>2017</v>
      </c>
      <c r="C149" s="20">
        <v>42972</v>
      </c>
      <c r="D149" s="20" t="str">
        <f>CONCATENATE(J149,"-",C149)</f>
        <v>1035-42972</v>
      </c>
      <c r="E149" s="37" t="str">
        <f>CONCATENATE(T149,"-",U149,"-",C149)</f>
        <v>SP1-C7-42972</v>
      </c>
      <c r="F149" s="20" t="s">
        <v>106</v>
      </c>
      <c r="G149" s="20" t="s">
        <v>107</v>
      </c>
      <c r="H149" s="18" t="s">
        <v>236</v>
      </c>
      <c r="I149" s="16">
        <v>0</v>
      </c>
      <c r="J149" s="21">
        <v>1035</v>
      </c>
      <c r="K149" s="21">
        <v>2232</v>
      </c>
      <c r="L149" s="18">
        <v>0</v>
      </c>
      <c r="M149" s="21">
        <f>VLOOKUP($K149,'[4]blood tubes 2017'!$D$1:$L$947,8,FALSE)</f>
        <v>0</v>
      </c>
      <c r="N149" s="15">
        <v>0</v>
      </c>
      <c r="O149" s="15" t="s">
        <v>119</v>
      </c>
      <c r="P149" s="16" t="s">
        <v>119</v>
      </c>
      <c r="Q149" s="16">
        <v>0</v>
      </c>
      <c r="R149" s="16">
        <v>49</v>
      </c>
      <c r="T149" s="16" t="s">
        <v>140</v>
      </c>
      <c r="U149" s="16" t="s">
        <v>207</v>
      </c>
      <c r="V149" s="16" t="s">
        <v>142</v>
      </c>
      <c r="W149" s="16">
        <f>AI149/AG149</f>
        <v>0.98795180722891562</v>
      </c>
      <c r="X149" s="16" t="s">
        <v>121</v>
      </c>
      <c r="Y149" s="16" t="s">
        <v>110</v>
      </c>
      <c r="Z149" s="16">
        <v>3</v>
      </c>
      <c r="AA149" s="16" t="s">
        <v>161</v>
      </c>
      <c r="AB149" s="16" t="s">
        <v>239</v>
      </c>
      <c r="AC149" s="16" t="s">
        <v>123</v>
      </c>
      <c r="AD149" s="16" t="s">
        <v>116</v>
      </c>
      <c r="AG149" s="16">
        <f>AH149-AI149</f>
        <v>83</v>
      </c>
      <c r="AH149" s="16">
        <v>165</v>
      </c>
      <c r="AI149" s="16">
        <v>82</v>
      </c>
      <c r="AK149" s="16">
        <v>16</v>
      </c>
      <c r="AL149" s="16">
        <v>1</v>
      </c>
      <c r="AM149" s="16">
        <v>0</v>
      </c>
      <c r="AN149" s="16">
        <v>0</v>
      </c>
      <c r="AO149" s="16">
        <v>1</v>
      </c>
      <c r="AP149" s="16">
        <f>SUM(AL149:AN149)</f>
        <v>1</v>
      </c>
      <c r="AQ149" s="16">
        <v>2.0129999999999999</v>
      </c>
      <c r="AR149" s="16">
        <f>AP149-1.472</f>
        <v>-0.47199999999999998</v>
      </c>
      <c r="AS149" s="16">
        <f>AQ149-1.472</f>
        <v>0.54099999999999993</v>
      </c>
      <c r="AT149" s="16" t="str">
        <f>VLOOKUP(E149,[2]Current!$A$1:$W$435,7,FALSE)</f>
        <v>LV</v>
      </c>
      <c r="AU149" s="16" t="s">
        <v>1288</v>
      </c>
      <c r="AV149" s="23"/>
      <c r="AW149" s="128">
        <f>IF(AX149&gt;0,1,0)</f>
        <v>1</v>
      </c>
      <c r="AX149" s="128">
        <f>SUM(BA149,BM149,CU149)</f>
        <v>3</v>
      </c>
      <c r="AY149" s="128">
        <f>SUM(BB149,BN149,CV149)</f>
        <v>120.14787430683921</v>
      </c>
      <c r="AZ149" s="128">
        <f>IF(BA149&gt;0,1,0)</f>
        <v>0</v>
      </c>
      <c r="BA149" s="128">
        <f>SUM(BC149+BF149+BI149)</f>
        <v>0</v>
      </c>
      <c r="BB149" s="128">
        <f>SUM(BE149,BH149,BK149)</f>
        <v>0</v>
      </c>
      <c r="BC149" s="130">
        <f>IF(BD149&gt;0,1,0)</f>
        <v>0</v>
      </c>
      <c r="BD149" s="128">
        <f>VLOOKUP($E149,[2]Current!$A:$AC,26,FALSE)</f>
        <v>0</v>
      </c>
      <c r="BE149" s="128">
        <f>BD149/$AS149</f>
        <v>0</v>
      </c>
      <c r="BF149" s="130">
        <f>IF(BG149&gt;0,1,0)</f>
        <v>0</v>
      </c>
      <c r="BG149" s="175">
        <f>VLOOKUP($E149,[2]Current!$A:$AC,27,FALSE)</f>
        <v>0</v>
      </c>
      <c r="BH149" s="128">
        <f>BG149/$AS149</f>
        <v>0</v>
      </c>
      <c r="BI149" s="130">
        <f>IF(BJ149&gt;0,1,0)</f>
        <v>0</v>
      </c>
      <c r="BJ149" s="128">
        <f>VLOOKUP($E149,[2]Current!$A:$AC,28,FALSE)</f>
        <v>0</v>
      </c>
      <c r="BK149" s="128">
        <f>BJ149/$AS149</f>
        <v>0</v>
      </c>
      <c r="BL149" s="128">
        <f>IF(BM149&gt;0,1,0)</f>
        <v>1</v>
      </c>
      <c r="BM149" s="128">
        <f>SUM(BR149,BU149,BX149,CA149,CD149)</f>
        <v>3</v>
      </c>
      <c r="BN149" s="131">
        <f>SUM(BT149,BW149,BZ149,CC149,CF149)</f>
        <v>120.14787430683921</v>
      </c>
      <c r="BO149" s="128">
        <f>IF(BP149&gt;0,1,0)</f>
        <v>1</v>
      </c>
      <c r="BP149" s="128">
        <f>BM149+CJ149</f>
        <v>4</v>
      </c>
      <c r="BQ149" s="128">
        <f>BN149+CL149</f>
        <v>121.99630314232905</v>
      </c>
      <c r="BR149" s="130">
        <f>IF(BS149&gt;0,1,0)</f>
        <v>0</v>
      </c>
      <c r="BS149" s="128">
        <f>VLOOKUP($E149,[2]Current!$A:$AC,12,FALSE)</f>
        <v>0</v>
      </c>
      <c r="BT149" s="175">
        <f>BS149/$AS149</f>
        <v>0</v>
      </c>
      <c r="BU149" s="130">
        <f>IF(BV149&gt;0,1,0)</f>
        <v>0</v>
      </c>
      <c r="BV149" s="128">
        <f>VLOOKUP($E149,[2]Current!$A:$AC,13,FALSE)</f>
        <v>0</v>
      </c>
      <c r="BW149" s="128">
        <f>BV149/$AS149</f>
        <v>0</v>
      </c>
      <c r="BX149" s="130">
        <f>IF(BY149&gt;0,1,0)</f>
        <v>1</v>
      </c>
      <c r="BY149" s="128">
        <f>VLOOKUP($E149,[2]Current!$A:$AC,14,FALSE)</f>
        <v>63</v>
      </c>
      <c r="BZ149" s="128">
        <f>BY149/$AS149</f>
        <v>116.45101663585953</v>
      </c>
      <c r="CA149" s="130">
        <f>IF(CB149&gt;0,1,0)</f>
        <v>1</v>
      </c>
      <c r="CB149" s="128">
        <f>VLOOKUP($E149,[2]Current!$A:$AC,15,FALSE)</f>
        <v>1</v>
      </c>
      <c r="CC149" s="128">
        <f>CB149/$AS149</f>
        <v>1.8484288354898339</v>
      </c>
      <c r="CD149" s="176">
        <f>IF(CE149&gt;0,1,0)</f>
        <v>1</v>
      </c>
      <c r="CE149" s="128">
        <f>VLOOKUP($E149,[2]Current!$A:$AC,16,FALSE)</f>
        <v>1</v>
      </c>
      <c r="CF149" s="128">
        <f>CE149/$AS149</f>
        <v>1.8484288354898339</v>
      </c>
      <c r="CG149" s="18"/>
      <c r="CH149" s="18"/>
      <c r="CI149" s="18"/>
      <c r="CJ149" s="130">
        <f>IF(CK149&gt;0,1,0)</f>
        <v>1</v>
      </c>
      <c r="CK149" s="128">
        <f>VLOOKUP($E149,[2]Current!$A:$AC,18,FALSE)</f>
        <v>1</v>
      </c>
      <c r="CL149" s="128">
        <f>CK149/$AS149</f>
        <v>1.8484288354898339</v>
      </c>
      <c r="CS149" s="130">
        <f>IF(CU149&gt;0,1,0)</f>
        <v>0</v>
      </c>
      <c r="CT149" s="18"/>
      <c r="CU149" s="128">
        <f>VLOOKUP($E149,[2]Current!$A:$AC,17,FALSE)</f>
        <v>0</v>
      </c>
      <c r="CV149" s="128">
        <f>CU149/$AS149</f>
        <v>0</v>
      </c>
      <c r="CW149" s="18"/>
      <c r="CX149" s="18"/>
      <c r="CY149" s="18"/>
      <c r="DF149" s="16" t="e">
        <f>VLOOKUP(K149,'[3]RNA Seq summary tables'!$V$3:$V$99,1,FALSE)</f>
        <v>#N/A</v>
      </c>
      <c r="DG149" s="16">
        <v>1</v>
      </c>
      <c r="DH149" s="16" t="str">
        <f>VLOOKUP(D149,'[6]workflow 3.2018'!$A$1:$S$237,2,FALSE)</f>
        <v>2017MLBS_174</v>
      </c>
    </row>
    <row r="150" spans="1:288" x14ac:dyDescent="0.2">
      <c r="B150" s="16">
        <v>2017</v>
      </c>
      <c r="C150" s="66">
        <v>42887</v>
      </c>
      <c r="D150" s="66" t="str">
        <f>CONCATENATE(J150,"-",C150)</f>
        <v>1038-42887</v>
      </c>
      <c r="E150" s="20" t="str">
        <f>CONCATENATE(T150,"-",U150,"-",C150)</f>
        <v>SP1-E7-42887</v>
      </c>
      <c r="F150" s="20" t="s">
        <v>106</v>
      </c>
      <c r="G150" s="20" t="s">
        <v>107</v>
      </c>
      <c r="I150" s="16">
        <v>0</v>
      </c>
      <c r="J150" s="21">
        <v>1038</v>
      </c>
      <c r="K150" s="21">
        <v>1593</v>
      </c>
      <c r="L150" s="18">
        <v>0</v>
      </c>
      <c r="M150" s="21">
        <f>VLOOKUP($K150,'[4]blood tubes 2017'!$D$1:$L$647,8,FALSE)</f>
        <v>0</v>
      </c>
      <c r="N150" s="15">
        <v>0</v>
      </c>
      <c r="O150" s="15" t="s">
        <v>119</v>
      </c>
      <c r="P150" s="16" t="s">
        <v>119</v>
      </c>
      <c r="Q150" s="16">
        <v>0</v>
      </c>
      <c r="R150" s="16" t="s">
        <v>111</v>
      </c>
      <c r="T150" s="16" t="s">
        <v>140</v>
      </c>
      <c r="U150" s="16" t="s">
        <v>135</v>
      </c>
      <c r="V150" s="16" t="s">
        <v>114</v>
      </c>
      <c r="W150" s="16">
        <f>AI150/AG150</f>
        <v>0.80612244897959184</v>
      </c>
      <c r="X150" s="16" t="s">
        <v>115</v>
      </c>
      <c r="Y150" s="16" t="s">
        <v>110</v>
      </c>
      <c r="Z150" s="16">
        <v>3</v>
      </c>
      <c r="AE150" s="16" t="s">
        <v>123</v>
      </c>
      <c r="AF150" s="16" t="s">
        <v>123</v>
      </c>
      <c r="AG150" s="16">
        <f>AH150-AI150</f>
        <v>98</v>
      </c>
      <c r="AH150" s="16">
        <v>177</v>
      </c>
      <c r="AI150" s="16">
        <v>79</v>
      </c>
      <c r="AK150" s="16">
        <v>26.5</v>
      </c>
      <c r="AL150" s="16">
        <v>0</v>
      </c>
      <c r="AM150" s="16">
        <v>0</v>
      </c>
      <c r="AN150" s="16">
        <v>0</v>
      </c>
      <c r="AO150" s="16">
        <v>0</v>
      </c>
      <c r="AP150" s="16">
        <f>SUM(AL150:AN150)</f>
        <v>0</v>
      </c>
      <c r="AQ150" s="16">
        <v>1.897</v>
      </c>
      <c r="AR150" s="16">
        <f>AP150-1.472</f>
        <v>-1.472</v>
      </c>
      <c r="AS150" s="16">
        <f>AQ150-1.472</f>
        <v>0.42500000000000004</v>
      </c>
      <c r="AT150" s="16" t="s">
        <v>233</v>
      </c>
      <c r="AV150" s="16">
        <v>1</v>
      </c>
      <c r="AW150" s="16">
        <f>IF(AX150&gt;0,1,0)</f>
        <v>0</v>
      </c>
      <c r="AX150" s="16">
        <f>SUM(BA150,BM150,CT150)</f>
        <v>0</v>
      </c>
      <c r="AY150" s="18">
        <f>SUM(BB150,BN150,CV150)</f>
        <v>0</v>
      </c>
      <c r="AZ150" s="16">
        <f>IF(BA150&gt;0,1,0)</f>
        <v>0</v>
      </c>
      <c r="BA150" s="16">
        <f>SUM(BC150,BF150,BI150)</f>
        <v>0</v>
      </c>
      <c r="BB150" s="16">
        <f>SUM(BE150,BH150,BK150)</f>
        <v>0</v>
      </c>
      <c r="BC150" s="16">
        <v>0</v>
      </c>
      <c r="BD150" s="16">
        <v>0</v>
      </c>
      <c r="BE150" s="16">
        <f>BD150/AS150</f>
        <v>0</v>
      </c>
      <c r="BF150" s="16">
        <v>0</v>
      </c>
      <c r="BG150" s="23">
        <v>0</v>
      </c>
      <c r="BH150" s="16">
        <f>BG150/AS150</f>
        <v>0</v>
      </c>
      <c r="BI150" s="16">
        <v>0</v>
      </c>
      <c r="BJ150" s="16">
        <v>0</v>
      </c>
      <c r="BK150" s="16">
        <f>BJ150/AS150</f>
        <v>0</v>
      </c>
      <c r="BL150" s="16">
        <f>IF(BM150&gt;0,1,0)</f>
        <v>0</v>
      </c>
      <c r="BM150" s="16">
        <f>SUM(BR150,BU150,BX150,CA150,CD150,CG150,CJ150,CM150,CP150)</f>
        <v>0</v>
      </c>
      <c r="BN150" s="16">
        <f>SUM(BW150,BZ150,CC150,CF150,CI150,CL150,CO150,CR150,BT150)</f>
        <v>0</v>
      </c>
      <c r="BO150" s="16">
        <f>IF(BP150&gt;0,1,0)</f>
        <v>0</v>
      </c>
      <c r="BP150" s="16">
        <f>SUM(BU150,BX150,CA150,CD150,BR150)</f>
        <v>0</v>
      </c>
      <c r="BQ150" s="16">
        <f>SUM(BZ150,CC150,CF150,BT150,BW150)</f>
        <v>0</v>
      </c>
      <c r="BR150" s="16">
        <v>0</v>
      </c>
      <c r="BS150" s="16">
        <v>0</v>
      </c>
      <c r="BT150" s="23">
        <f>BS150/AS150</f>
        <v>0</v>
      </c>
      <c r="BU150" s="16">
        <v>0</v>
      </c>
      <c r="BV150" s="16">
        <v>0</v>
      </c>
      <c r="BW150" s="16">
        <f>BV150/AS150</f>
        <v>0</v>
      </c>
      <c r="BX150" s="16">
        <v>0</v>
      </c>
      <c r="BY150" s="16">
        <v>0</v>
      </c>
      <c r="BZ150" s="16">
        <f>BY150/AS150</f>
        <v>0</v>
      </c>
      <c r="CA150" s="16">
        <v>0</v>
      </c>
      <c r="CB150" s="16">
        <v>0</v>
      </c>
      <c r="CC150" s="16">
        <f>CB150/AS150</f>
        <v>0</v>
      </c>
      <c r="CD150" s="23">
        <v>0</v>
      </c>
      <c r="CE150" s="16">
        <v>0</v>
      </c>
      <c r="CF150" s="16">
        <f>CE150/AS150</f>
        <v>0</v>
      </c>
      <c r="CG150" s="16">
        <v>0</v>
      </c>
      <c r="CH150" s="16">
        <v>0</v>
      </c>
      <c r="CI150" s="16">
        <f>CH150/AS150</f>
        <v>0</v>
      </c>
      <c r="CM150" s="16">
        <v>0</v>
      </c>
      <c r="CN150" s="16">
        <v>0</v>
      </c>
      <c r="CO150" s="16">
        <f>CN150/AS150</f>
        <v>0</v>
      </c>
      <c r="CP150" s="16">
        <v>0</v>
      </c>
      <c r="CQ150" s="16">
        <v>0</v>
      </c>
      <c r="CR150" s="16">
        <f>CQ150/AS150</f>
        <v>0</v>
      </c>
      <c r="CS150" s="16">
        <f>IF(CT150&gt;0,1,0)</f>
        <v>0</v>
      </c>
      <c r="CT150" s="16">
        <f>SUM(CW150,CZ150,DC150)</f>
        <v>0</v>
      </c>
      <c r="CV150" s="16">
        <f>SUM(CY150,DB150,DE150)</f>
        <v>0</v>
      </c>
      <c r="CW150" s="16">
        <v>0</v>
      </c>
      <c r="CX150" s="16">
        <v>0</v>
      </c>
      <c r="CY150" s="16">
        <f>CX150/AS150</f>
        <v>0</v>
      </c>
      <c r="CZ150" s="16">
        <v>0</v>
      </c>
      <c r="DA150" s="16">
        <v>0</v>
      </c>
      <c r="DB150" s="16">
        <f>DA150/AS150</f>
        <v>0</v>
      </c>
      <c r="DC150" s="16">
        <v>0</v>
      </c>
      <c r="DD150" s="16">
        <v>0</v>
      </c>
      <c r="DE150" s="16">
        <f>DD150/AS150</f>
        <v>0</v>
      </c>
      <c r="DF150" s="16" t="e">
        <f>VLOOKUP(K150,'[3]RNA Seq summary tables'!$V$3:$V$99,1,FALSE)</f>
        <v>#N/A</v>
      </c>
      <c r="DG150" s="16">
        <v>1</v>
      </c>
      <c r="DH150" s="16" t="str">
        <f>VLOOKUP(D150,'[6]workflow 3.2018'!$A$1:$S$237,2,FALSE)</f>
        <v>2017MLBS_5</v>
      </c>
      <c r="DI150" s="16">
        <v>19</v>
      </c>
      <c r="DK150" s="16">
        <v>69</v>
      </c>
      <c r="DM150" s="16">
        <v>11</v>
      </c>
      <c r="DO150" s="16">
        <v>0</v>
      </c>
      <c r="DQ150" s="16">
        <v>1</v>
      </c>
      <c r="DR150" s="16">
        <v>100</v>
      </c>
      <c r="JP150" s="27"/>
      <c r="JQ150" s="27"/>
    </row>
    <row r="151" spans="1:288" s="26" customFormat="1" x14ac:dyDescent="0.2">
      <c r="A151" s="18"/>
      <c r="B151" s="16">
        <v>2017</v>
      </c>
      <c r="C151" s="20">
        <v>42905</v>
      </c>
      <c r="D151" s="20" t="str">
        <f>CONCATENATE(J151,"-",C151)</f>
        <v>1038-42905</v>
      </c>
      <c r="E151" s="20" t="str">
        <f>CONCATENATE(T151,"-",U151,"-",C151)</f>
        <v>SP1-E6-42905</v>
      </c>
      <c r="F151" s="20" t="s">
        <v>106</v>
      </c>
      <c r="G151" s="20" t="s">
        <v>107</v>
      </c>
      <c r="H151" s="16"/>
      <c r="I151" s="16">
        <v>0</v>
      </c>
      <c r="J151" s="21">
        <v>1038</v>
      </c>
      <c r="K151" s="21">
        <v>1696</v>
      </c>
      <c r="L151" s="18">
        <v>0</v>
      </c>
      <c r="M151" s="21">
        <f>VLOOKUP($K151,'[4]blood tubes 2017'!$D$1:$L$647,8,FALSE)</f>
        <v>0</v>
      </c>
      <c r="N151" s="15">
        <v>0</v>
      </c>
      <c r="O151" s="15" t="s">
        <v>119</v>
      </c>
      <c r="P151" s="16" t="s">
        <v>119</v>
      </c>
      <c r="Q151" s="16">
        <v>0</v>
      </c>
      <c r="R151" s="16">
        <v>18</v>
      </c>
      <c r="S151" s="16"/>
      <c r="T151" s="16" t="s">
        <v>140</v>
      </c>
      <c r="U151" s="16" t="s">
        <v>232</v>
      </c>
      <c r="V151" s="16" t="s">
        <v>114</v>
      </c>
      <c r="W151" s="16">
        <f>AI151/AG151</f>
        <v>0.8125</v>
      </c>
      <c r="X151" s="16" t="s">
        <v>115</v>
      </c>
      <c r="Y151" s="16" t="s">
        <v>110</v>
      </c>
      <c r="Z151" s="16">
        <v>3</v>
      </c>
      <c r="AA151" s="16"/>
      <c r="AB151" s="16"/>
      <c r="AC151" s="16"/>
      <c r="AD151" s="16"/>
      <c r="AE151" s="16" t="s">
        <v>123</v>
      </c>
      <c r="AF151" s="16" t="s">
        <v>123</v>
      </c>
      <c r="AG151" s="16">
        <f>AH151-AI151</f>
        <v>96</v>
      </c>
      <c r="AH151" s="16">
        <v>174</v>
      </c>
      <c r="AI151" s="16">
        <v>78</v>
      </c>
      <c r="AJ151" s="16"/>
      <c r="AK151" s="16">
        <v>27</v>
      </c>
      <c r="AL151" s="16">
        <v>0</v>
      </c>
      <c r="AM151" s="16">
        <v>0</v>
      </c>
      <c r="AN151" s="16">
        <v>0</v>
      </c>
      <c r="AO151" s="16">
        <v>0</v>
      </c>
      <c r="AP151" s="16">
        <f>SUM(AL151:AN151)</f>
        <v>0</v>
      </c>
      <c r="AQ151" s="16">
        <v>2.2909999999999999</v>
      </c>
      <c r="AR151" s="16">
        <f>AP151-1.472</f>
        <v>-1.472</v>
      </c>
      <c r="AS151" s="16">
        <f>AQ151-1.472</f>
        <v>0.81899999999999995</v>
      </c>
      <c r="AT151" s="16" t="s">
        <v>119</v>
      </c>
      <c r="AU151" s="16"/>
      <c r="AV151" s="16"/>
      <c r="AW151" s="16">
        <f>IF(AX151&gt;0,1,0)</f>
        <v>1</v>
      </c>
      <c r="AX151" s="16">
        <f>SUM(BA151,BM151,CT151)</f>
        <v>2</v>
      </c>
      <c r="AY151" s="18">
        <f>SUM(BB151,BN151,CV151)</f>
        <v>39.072039072039075</v>
      </c>
      <c r="AZ151" s="16">
        <f>IF(BA151&gt;0,1,0)</f>
        <v>1</v>
      </c>
      <c r="BA151" s="16">
        <f>SUM(BC151,BF151,BI151)</f>
        <v>1</v>
      </c>
      <c r="BB151" s="16">
        <f>SUM(BE151,BH151,BK151)</f>
        <v>37.851037851037852</v>
      </c>
      <c r="BC151" s="16">
        <v>0</v>
      </c>
      <c r="BD151" s="16">
        <v>0</v>
      </c>
      <c r="BE151" s="16">
        <f>BD151/AS151</f>
        <v>0</v>
      </c>
      <c r="BF151" s="16">
        <v>1</v>
      </c>
      <c r="BG151" s="23">
        <v>31</v>
      </c>
      <c r="BH151" s="16">
        <f>BG151/AS151</f>
        <v>37.851037851037852</v>
      </c>
      <c r="BI151" s="16">
        <v>0</v>
      </c>
      <c r="BJ151" s="16">
        <v>0</v>
      </c>
      <c r="BK151" s="16">
        <f>BJ151/AS151</f>
        <v>0</v>
      </c>
      <c r="BL151" s="16">
        <f>IF(BM151&gt;0,1,0)</f>
        <v>1</v>
      </c>
      <c r="BM151" s="16">
        <f>SUM(BR151,BU151,BX151,CA151,CD151,CG151,CJ151,CM151,CP151)</f>
        <v>1</v>
      </c>
      <c r="BN151" s="16">
        <f>SUM(BW151,BZ151,CC151,CF151,CI151,CL151,CO151,CR151,BT151)</f>
        <v>1.2210012210012211</v>
      </c>
      <c r="BO151" s="16">
        <f>IF(BP151&gt;0,1,0)</f>
        <v>1</v>
      </c>
      <c r="BP151" s="16">
        <f>SUM(BU151,BX151,CA151,CD151,BR151)</f>
        <v>1</v>
      </c>
      <c r="BQ151" s="16">
        <f>SUM(BZ151,CC151,CF151,BT151,BW151)</f>
        <v>1.2210012210012211</v>
      </c>
      <c r="BR151" s="16">
        <v>1</v>
      </c>
      <c r="BS151" s="16">
        <v>1</v>
      </c>
      <c r="BT151" s="23">
        <f>BS151/AS151</f>
        <v>1.2210012210012211</v>
      </c>
      <c r="BU151" s="16">
        <v>0</v>
      </c>
      <c r="BV151" s="16">
        <v>0</v>
      </c>
      <c r="BW151" s="16">
        <f>BV151/AS151</f>
        <v>0</v>
      </c>
      <c r="BX151" s="16">
        <v>0</v>
      </c>
      <c r="BY151" s="16">
        <v>0</v>
      </c>
      <c r="BZ151" s="16">
        <f>BY151/AS151</f>
        <v>0</v>
      </c>
      <c r="CA151" s="16">
        <v>0</v>
      </c>
      <c r="CB151" s="16">
        <v>0</v>
      </c>
      <c r="CC151" s="16">
        <f>CB151/AS151</f>
        <v>0</v>
      </c>
      <c r="CD151" s="23">
        <v>0</v>
      </c>
      <c r="CE151" s="16">
        <v>0</v>
      </c>
      <c r="CF151" s="16">
        <f>CE151/AS151</f>
        <v>0</v>
      </c>
      <c r="CG151" s="16">
        <v>0</v>
      </c>
      <c r="CH151" s="16">
        <v>0</v>
      </c>
      <c r="CI151" s="16">
        <f>CH151/AS151</f>
        <v>0</v>
      </c>
      <c r="CJ151" s="16"/>
      <c r="CK151" s="16"/>
      <c r="CL151" s="16"/>
      <c r="CM151" s="16">
        <v>0</v>
      </c>
      <c r="CN151" s="16">
        <v>0</v>
      </c>
      <c r="CO151" s="16">
        <f>CN151/AS151</f>
        <v>0</v>
      </c>
      <c r="CP151" s="16">
        <v>0</v>
      </c>
      <c r="CQ151" s="16">
        <v>0</v>
      </c>
      <c r="CR151" s="16">
        <f>CQ151/AS151</f>
        <v>0</v>
      </c>
      <c r="CS151" s="16">
        <f>IF(CT151&gt;0,1,0)</f>
        <v>0</v>
      </c>
      <c r="CT151" s="16">
        <f>SUM(CW151,CZ151,DC151)</f>
        <v>0</v>
      </c>
      <c r="CU151" s="16"/>
      <c r="CV151" s="16">
        <f>SUM(CY151,DB151,DE151)</f>
        <v>0</v>
      </c>
      <c r="CW151" s="16">
        <v>0</v>
      </c>
      <c r="CX151" s="16">
        <v>0</v>
      </c>
      <c r="CY151" s="16">
        <f>CX151/AS151</f>
        <v>0</v>
      </c>
      <c r="CZ151" s="16">
        <v>0</v>
      </c>
      <c r="DA151" s="16">
        <v>0</v>
      </c>
      <c r="DB151" s="16">
        <f>DA151/AS151</f>
        <v>0</v>
      </c>
      <c r="DC151" s="16">
        <v>0</v>
      </c>
      <c r="DD151" s="16">
        <v>0</v>
      </c>
      <c r="DE151" s="16">
        <f>DD151/AS151</f>
        <v>0</v>
      </c>
      <c r="DF151" s="16" t="e">
        <f>VLOOKUP(K151,'[3]RNA Seq summary tables'!$V$3:$V$99,1,FALSE)</f>
        <v>#N/A</v>
      </c>
      <c r="DG151" s="16"/>
      <c r="DH151" s="16"/>
      <c r="DI151" s="16">
        <v>17</v>
      </c>
      <c r="DJ151" s="16"/>
      <c r="DK151" s="16">
        <v>83</v>
      </c>
      <c r="DL151" s="16"/>
      <c r="DM151" s="16">
        <v>0</v>
      </c>
      <c r="DN151" s="16"/>
      <c r="DO151" s="16">
        <v>0</v>
      </c>
      <c r="DP151" s="16"/>
      <c r="DQ151" s="16">
        <v>0</v>
      </c>
      <c r="DR151" s="16">
        <f>SUM(DI151:DQ151)</f>
        <v>100</v>
      </c>
      <c r="DS151" s="16"/>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8"/>
      <c r="FK151" s="18"/>
      <c r="FL151" s="18"/>
      <c r="FM151" s="18"/>
      <c r="FN151" s="18"/>
      <c r="FO151" s="18"/>
      <c r="FP151" s="18"/>
      <c r="FQ151" s="18"/>
      <c r="FR151" s="18"/>
      <c r="FS151" s="18"/>
      <c r="FT151" s="18"/>
      <c r="FU151" s="18"/>
      <c r="FV151" s="18"/>
      <c r="FW151" s="18"/>
      <c r="FX151" s="18"/>
      <c r="FY151" s="18"/>
      <c r="FZ151" s="18"/>
      <c r="GA151" s="18"/>
      <c r="GB151" s="18"/>
      <c r="GC151" s="18"/>
      <c r="GD151" s="18"/>
      <c r="GE151" s="18"/>
      <c r="GF151" s="18"/>
      <c r="GG151" s="18"/>
      <c r="GH151" s="18"/>
      <c r="GI151" s="18"/>
      <c r="GJ151" s="18"/>
      <c r="GK151" s="18"/>
      <c r="GL151" s="18"/>
      <c r="GM151" s="18"/>
      <c r="GN151" s="18"/>
      <c r="GO151" s="18"/>
      <c r="GP151" s="18"/>
      <c r="GQ151" s="18"/>
      <c r="GR151" s="18"/>
      <c r="GS151" s="18"/>
      <c r="GT151" s="18"/>
      <c r="GU151" s="18"/>
      <c r="GV151" s="18"/>
      <c r="GW151" s="18"/>
      <c r="GX151" s="18"/>
      <c r="GY151" s="18"/>
      <c r="GZ151" s="18"/>
      <c r="HA151" s="18"/>
      <c r="HB151" s="18"/>
      <c r="HC151" s="18"/>
      <c r="HD151" s="18"/>
      <c r="HE151" s="18"/>
      <c r="HF151" s="18"/>
      <c r="HG151" s="18"/>
      <c r="HH151" s="18"/>
      <c r="HI151" s="18"/>
      <c r="HJ151" s="18"/>
      <c r="HK151" s="18"/>
      <c r="HL151" s="18"/>
      <c r="HM151" s="18"/>
      <c r="HN151" s="18"/>
      <c r="HO151" s="18"/>
      <c r="HP151" s="18"/>
      <c r="HQ151" s="18"/>
      <c r="HR151" s="18"/>
      <c r="HS151" s="18"/>
      <c r="HT151" s="18"/>
      <c r="HU151" s="18"/>
      <c r="HV151" s="18"/>
      <c r="HW151" s="18"/>
      <c r="HX151" s="18"/>
      <c r="HY151" s="18"/>
      <c r="HZ151" s="18"/>
      <c r="IA151" s="18"/>
      <c r="IB151" s="18"/>
      <c r="IC151" s="18"/>
      <c r="ID151" s="18"/>
      <c r="IE151" s="18"/>
      <c r="IF151" s="18"/>
      <c r="IG151" s="18"/>
      <c r="IH151" s="18"/>
      <c r="II151" s="18"/>
      <c r="IJ151" s="18"/>
      <c r="IK151" s="18"/>
      <c r="IL151" s="18"/>
      <c r="IM151" s="18"/>
      <c r="IN151" s="18"/>
      <c r="IO151" s="18"/>
      <c r="IP151" s="18"/>
      <c r="IQ151" s="18"/>
      <c r="IR151" s="18"/>
      <c r="IS151" s="18"/>
      <c r="IT151" s="18"/>
      <c r="IU151" s="18"/>
      <c r="IV151" s="18"/>
      <c r="IW151" s="18"/>
      <c r="IX151" s="18"/>
      <c r="IY151" s="18"/>
      <c r="IZ151" s="18"/>
      <c r="JA151" s="18"/>
      <c r="JB151" s="18"/>
      <c r="JC151" s="18"/>
      <c r="JD151" s="18"/>
      <c r="JE151" s="18"/>
      <c r="JF151" s="18"/>
      <c r="JG151" s="18"/>
      <c r="JH151" s="18"/>
      <c r="JI151" s="18"/>
      <c r="JJ151" s="18"/>
      <c r="JK151" s="18"/>
      <c r="JL151" s="18"/>
      <c r="JM151" s="18"/>
      <c r="JN151" s="18"/>
      <c r="JO151" s="18"/>
      <c r="JP151" s="41"/>
      <c r="JQ151" s="41"/>
      <c r="JR151" s="16"/>
      <c r="JS151" s="16"/>
      <c r="JT151" s="16"/>
      <c r="JU151" s="16"/>
      <c r="JV151" s="16"/>
      <c r="JW151" s="16"/>
      <c r="JX151" s="16"/>
      <c r="JY151" s="16"/>
      <c r="JZ151" s="16"/>
      <c r="KA151" s="16"/>
      <c r="KB151" s="16"/>
    </row>
    <row r="152" spans="1:288" s="18" customFormat="1" x14ac:dyDescent="0.2">
      <c r="B152" s="16">
        <v>2017</v>
      </c>
      <c r="C152" s="20">
        <v>42922</v>
      </c>
      <c r="D152" s="20" t="str">
        <f>CONCATENATE(J152,"-",C152)</f>
        <v>1038-42922</v>
      </c>
      <c r="E152" s="20" t="str">
        <f>CONCATENATE(T152,"-",U152,"-",C152)</f>
        <v>SP1-A8-42922</v>
      </c>
      <c r="F152" s="20" t="s">
        <v>106</v>
      </c>
      <c r="G152" s="20" t="s">
        <v>107</v>
      </c>
      <c r="H152" s="16"/>
      <c r="I152" s="16">
        <v>0</v>
      </c>
      <c r="J152" s="21">
        <v>1038</v>
      </c>
      <c r="K152" s="21">
        <v>1828</v>
      </c>
      <c r="L152" s="18">
        <v>0</v>
      </c>
      <c r="M152" s="21">
        <f>VLOOKUP($K152,'[4]blood tubes 2017'!$D$1:$L$647,8,FALSE)</f>
        <v>0</v>
      </c>
      <c r="N152" s="15">
        <v>0</v>
      </c>
      <c r="O152" s="15" t="s">
        <v>119</v>
      </c>
      <c r="P152" s="16" t="s">
        <v>119</v>
      </c>
      <c r="Q152" s="16">
        <v>0</v>
      </c>
      <c r="R152" s="16">
        <v>17</v>
      </c>
      <c r="S152" s="16"/>
      <c r="T152" s="16" t="s">
        <v>140</v>
      </c>
      <c r="U152" s="16" t="s">
        <v>194</v>
      </c>
      <c r="V152" s="16" t="s">
        <v>114</v>
      </c>
      <c r="W152" s="16">
        <f>AI152/AG152</f>
        <v>0.80412371134020622</v>
      </c>
      <c r="X152" s="16" t="s">
        <v>115</v>
      </c>
      <c r="Y152" s="16" t="s">
        <v>110</v>
      </c>
      <c r="Z152" s="16">
        <v>3</v>
      </c>
      <c r="AA152" s="16"/>
      <c r="AB152" s="16"/>
      <c r="AC152" s="16"/>
      <c r="AD152" s="16"/>
      <c r="AE152" s="16" t="s">
        <v>123</v>
      </c>
      <c r="AF152" s="16" t="s">
        <v>123</v>
      </c>
      <c r="AG152" s="16">
        <f>AH152-AI152</f>
        <v>97</v>
      </c>
      <c r="AH152" s="16">
        <v>175</v>
      </c>
      <c r="AI152" s="16">
        <v>78</v>
      </c>
      <c r="AJ152" s="16"/>
      <c r="AK152" s="16">
        <v>26.5</v>
      </c>
      <c r="AL152" s="16">
        <v>0</v>
      </c>
      <c r="AM152" s="16">
        <v>0</v>
      </c>
      <c r="AN152" s="16">
        <v>0</v>
      </c>
      <c r="AO152" s="16">
        <v>0</v>
      </c>
      <c r="AP152" s="16">
        <f>SUM(AL152:AN152)</f>
        <v>0</v>
      </c>
      <c r="AQ152" s="16">
        <v>2.2530000000000001</v>
      </c>
      <c r="AR152" s="16">
        <f>AP152-1.472</f>
        <v>-1.472</v>
      </c>
      <c r="AS152" s="16">
        <f>AQ152-1.472</f>
        <v>0.78100000000000014</v>
      </c>
      <c r="AT152" s="16" t="s">
        <v>234</v>
      </c>
      <c r="AU152" s="16"/>
      <c r="AV152" s="16"/>
      <c r="AW152" s="16">
        <f>IF(AX152&gt;0,1,0)</f>
        <v>1</v>
      </c>
      <c r="AX152" s="16">
        <f>SUM(BA152,BM152,CT152)</f>
        <v>4</v>
      </c>
      <c r="AY152" s="18">
        <f>SUM(BB152,BN152,CV152)</f>
        <v>472.47119078104981</v>
      </c>
      <c r="AZ152" s="16">
        <v>1</v>
      </c>
      <c r="BA152" s="16">
        <v>2</v>
      </c>
      <c r="BB152" s="16">
        <f>SUM(BE152,BH152,BK152)</f>
        <v>455.82586427656838</v>
      </c>
      <c r="BC152" s="16">
        <v>0</v>
      </c>
      <c r="BD152" s="16">
        <v>0</v>
      </c>
      <c r="BE152" s="16">
        <f>BD152/AS152</f>
        <v>0</v>
      </c>
      <c r="BF152" s="16">
        <v>1</v>
      </c>
      <c r="BG152" s="23">
        <v>251</v>
      </c>
      <c r="BH152" s="16">
        <f>BG152/AS152</f>
        <v>321.38284250960299</v>
      </c>
      <c r="BI152" s="16">
        <v>1</v>
      </c>
      <c r="BJ152" s="16">
        <v>105</v>
      </c>
      <c r="BK152" s="16">
        <f>BJ152/AS152</f>
        <v>134.44302176696542</v>
      </c>
      <c r="BL152" s="16">
        <f>IF(BM152&gt;0,1,0)</f>
        <v>1</v>
      </c>
      <c r="BM152" s="16">
        <f>SUM(BR152,BU152,BX152,CA152,CD152,CG152,CJ152,CM152,CP152)</f>
        <v>2</v>
      </c>
      <c r="BN152" s="16">
        <f>SUM(BW152,BZ152,CC152,CF152,CI152,CL152,CO152,CR152,BT152)</f>
        <v>16.645326504481432</v>
      </c>
      <c r="BO152" s="16">
        <f>IF(BP152&gt;0,1,0)</f>
        <v>1</v>
      </c>
      <c r="BP152" s="16">
        <f>SUM(BU152,BX152,CA152,CD152,BR152)</f>
        <v>2</v>
      </c>
      <c r="BQ152" s="16">
        <f>SUM(BZ152,CC152,CF152,BT152,BW152)</f>
        <v>16.645326504481432</v>
      </c>
      <c r="BR152" s="16">
        <v>0</v>
      </c>
      <c r="BS152" s="16">
        <v>0</v>
      </c>
      <c r="BT152" s="23">
        <f>BS152/AS152</f>
        <v>0</v>
      </c>
      <c r="BU152" s="16">
        <v>0</v>
      </c>
      <c r="BV152" s="16">
        <v>0</v>
      </c>
      <c r="BW152" s="16">
        <f>BV152/AS152</f>
        <v>0</v>
      </c>
      <c r="BX152" s="16">
        <v>1</v>
      </c>
      <c r="BY152" s="16">
        <v>7</v>
      </c>
      <c r="BZ152" s="16">
        <f>BY152/AS152</f>
        <v>8.9628681177976937</v>
      </c>
      <c r="CA152" s="16">
        <v>1</v>
      </c>
      <c r="CB152" s="16">
        <v>6</v>
      </c>
      <c r="CC152" s="16">
        <f>CB152/AS152</f>
        <v>7.682458386683737</v>
      </c>
      <c r="CD152" s="23">
        <v>0</v>
      </c>
      <c r="CE152" s="16">
        <v>0</v>
      </c>
      <c r="CF152" s="16">
        <f>CE152/AS152</f>
        <v>0</v>
      </c>
      <c r="CG152" s="16">
        <v>0</v>
      </c>
      <c r="CH152" s="16">
        <v>0</v>
      </c>
      <c r="CI152" s="16">
        <f>CH152/AS152</f>
        <v>0</v>
      </c>
      <c r="CJ152" s="16"/>
      <c r="CK152" s="16"/>
      <c r="CL152" s="16"/>
      <c r="CM152" s="16">
        <v>0</v>
      </c>
      <c r="CN152" s="16">
        <v>0</v>
      </c>
      <c r="CO152" s="16">
        <f>CN152/AS152</f>
        <v>0</v>
      </c>
      <c r="CP152" s="16">
        <v>0</v>
      </c>
      <c r="CQ152" s="16">
        <v>0</v>
      </c>
      <c r="CR152" s="16">
        <f>CQ152/AS152</f>
        <v>0</v>
      </c>
      <c r="CS152" s="16">
        <v>0</v>
      </c>
      <c r="CT152" s="16">
        <v>0</v>
      </c>
      <c r="CU152" s="16"/>
      <c r="CV152" s="16">
        <f>SUM(CY152,DB152,DE152)</f>
        <v>0</v>
      </c>
      <c r="CW152" s="16">
        <v>0</v>
      </c>
      <c r="CX152" s="16">
        <v>0</v>
      </c>
      <c r="CY152" s="16">
        <f>CX152/AS152</f>
        <v>0</v>
      </c>
      <c r="CZ152" s="16">
        <v>0</v>
      </c>
      <c r="DA152" s="16">
        <v>0</v>
      </c>
      <c r="DB152" s="16">
        <f>DA152/AS152</f>
        <v>0</v>
      </c>
      <c r="DC152" s="16">
        <v>0</v>
      </c>
      <c r="DD152" s="16">
        <v>0</v>
      </c>
      <c r="DE152" s="16">
        <f>DD152/AS152</f>
        <v>0</v>
      </c>
      <c r="DF152" s="16" t="e">
        <f>VLOOKUP(K152,'[3]RNA Seq summary tables'!$V$3:$V$99,1,FALSE)</f>
        <v>#N/A</v>
      </c>
      <c r="DG152" s="16"/>
      <c r="DH152" s="16"/>
      <c r="DI152" s="16">
        <v>14</v>
      </c>
      <c r="DJ152" s="16"/>
      <c r="DK152" s="16">
        <v>85</v>
      </c>
      <c r="DL152" s="16"/>
      <c r="DM152" s="16">
        <v>1</v>
      </c>
      <c r="DN152" s="16"/>
      <c r="DO152" s="16">
        <v>0</v>
      </c>
      <c r="DP152" s="16"/>
      <c r="DQ152" s="16">
        <v>0</v>
      </c>
      <c r="DR152" s="16">
        <f>SUM(DI152:DQ152)</f>
        <v>100</v>
      </c>
      <c r="DS152" s="16"/>
      <c r="JO152" s="30"/>
      <c r="JP152" s="16"/>
      <c r="JQ152" s="16"/>
      <c r="JR152" s="27"/>
      <c r="JS152" s="27"/>
      <c r="JT152" s="27"/>
      <c r="JU152" s="27"/>
      <c r="JV152" s="27"/>
      <c r="JW152" s="27"/>
      <c r="JX152" s="27"/>
      <c r="JY152" s="27"/>
      <c r="JZ152" s="27"/>
      <c r="KA152" s="27"/>
      <c r="KB152" s="27"/>
    </row>
    <row r="153" spans="1:288" x14ac:dyDescent="0.2">
      <c r="B153" s="16">
        <v>2017</v>
      </c>
      <c r="C153" s="66">
        <v>42887</v>
      </c>
      <c r="D153" s="66" t="str">
        <f>CONCATENATE(J153,"-",C153)</f>
        <v>1040-42887</v>
      </c>
      <c r="E153" s="20" t="str">
        <f>CONCATENATE(T153,"-",U153,"-",C153)</f>
        <v>SP1-F4-42887</v>
      </c>
      <c r="F153" s="20" t="s">
        <v>106</v>
      </c>
      <c r="G153" s="20" t="s">
        <v>107</v>
      </c>
      <c r="I153" s="16">
        <v>0</v>
      </c>
      <c r="J153" s="21">
        <v>1040</v>
      </c>
      <c r="K153" s="21">
        <v>1595</v>
      </c>
      <c r="L153" s="18">
        <v>0</v>
      </c>
      <c r="M153" s="21">
        <f>VLOOKUP($K153,'[4]blood tubes 2017'!$D$1:$L$647,8,FALSE)</f>
        <v>0</v>
      </c>
      <c r="N153" s="15">
        <v>0</v>
      </c>
      <c r="O153" s="15" t="s">
        <v>119</v>
      </c>
      <c r="P153" s="16" t="s">
        <v>119</v>
      </c>
      <c r="Q153" s="16">
        <v>0</v>
      </c>
      <c r="R153" s="16" t="s">
        <v>111</v>
      </c>
      <c r="T153" s="16" t="s">
        <v>140</v>
      </c>
      <c r="U153" s="16" t="s">
        <v>184</v>
      </c>
      <c r="V153" s="16" t="s">
        <v>114</v>
      </c>
      <c r="W153" s="16">
        <f>AI153/AG153</f>
        <v>0.87368421052631584</v>
      </c>
      <c r="X153" s="16" t="s">
        <v>115</v>
      </c>
      <c r="Y153" s="16" t="s">
        <v>110</v>
      </c>
      <c r="Z153" s="16">
        <v>3</v>
      </c>
      <c r="AE153" s="16" t="s">
        <v>123</v>
      </c>
      <c r="AF153" s="16" t="s">
        <v>123</v>
      </c>
      <c r="AG153" s="16">
        <f>AH153-AI153</f>
        <v>95</v>
      </c>
      <c r="AH153" s="16">
        <v>178</v>
      </c>
      <c r="AI153" s="16">
        <v>83</v>
      </c>
      <c r="AK153" s="16">
        <v>25.5</v>
      </c>
      <c r="AL153" s="16">
        <v>1</v>
      </c>
      <c r="AM153" s="16">
        <v>0</v>
      </c>
      <c r="AN153" s="16">
        <v>0</v>
      </c>
      <c r="AO153" s="16">
        <v>1</v>
      </c>
      <c r="AP153" s="16">
        <f>SUM(AL153:AN153)</f>
        <v>1</v>
      </c>
      <c r="AQ153" s="16">
        <v>1.5489999999999999</v>
      </c>
      <c r="AR153" s="16">
        <f>AP153-1.472</f>
        <v>-0.47199999999999998</v>
      </c>
      <c r="AS153" s="16">
        <f>AQ153-1.472</f>
        <v>7.6999999999999957E-2</v>
      </c>
      <c r="AT153" s="18" t="s">
        <v>235</v>
      </c>
      <c r="AU153" s="18"/>
      <c r="AY153" s="18"/>
      <c r="BG153" s="23"/>
      <c r="BT153" s="23"/>
      <c r="CD153" s="23"/>
      <c r="DF153" s="16" t="e">
        <f>VLOOKUP(K153,'[3]RNA Seq summary tables'!$V$3:$V$99,1,FALSE)</f>
        <v>#N/A</v>
      </c>
      <c r="DG153" s="16">
        <v>1</v>
      </c>
      <c r="DH153" s="16" t="str">
        <f>VLOOKUP(D153,'[6]workflow 3.2018'!$A$1:$S$237,2,FALSE)</f>
        <v>2017MLBS_7</v>
      </c>
      <c r="DI153" s="16">
        <v>58</v>
      </c>
      <c r="DK153" s="16">
        <v>9</v>
      </c>
      <c r="DM153" s="16">
        <v>30</v>
      </c>
      <c r="DO153" s="16">
        <v>0</v>
      </c>
      <c r="DQ153" s="16">
        <v>3</v>
      </c>
      <c r="DR153" s="16">
        <v>100</v>
      </c>
    </row>
    <row r="154" spans="1:288" x14ac:dyDescent="0.2">
      <c r="B154" s="16">
        <v>2017</v>
      </c>
      <c r="C154" s="20">
        <v>42905</v>
      </c>
      <c r="D154" s="20" t="str">
        <f>CONCATENATE(J154,"-",C154)</f>
        <v>1040-42905</v>
      </c>
      <c r="E154" s="20" t="str">
        <f>CONCATENATE(T154,"-",U154,"-",C154)</f>
        <v>SP1-H4-42905</v>
      </c>
      <c r="F154" s="20" t="s">
        <v>106</v>
      </c>
      <c r="G154" s="20" t="s">
        <v>107</v>
      </c>
      <c r="I154" s="16">
        <v>0</v>
      </c>
      <c r="J154" s="21">
        <v>1040</v>
      </c>
      <c r="K154" s="21">
        <v>1701</v>
      </c>
      <c r="L154" s="18">
        <v>0</v>
      </c>
      <c r="M154" s="21">
        <f>VLOOKUP($K154,'[4]blood tubes 2017'!$D$1:$L$647,8,FALSE)</f>
        <v>0</v>
      </c>
      <c r="N154" s="15">
        <v>0</v>
      </c>
      <c r="O154" s="15" t="s">
        <v>119</v>
      </c>
      <c r="P154" s="16" t="s">
        <v>119</v>
      </c>
      <c r="Q154" s="16">
        <v>0</v>
      </c>
      <c r="R154" s="16">
        <v>18</v>
      </c>
      <c r="T154" s="16" t="s">
        <v>140</v>
      </c>
      <c r="U154" s="16" t="s">
        <v>151</v>
      </c>
      <c r="V154" s="16" t="s">
        <v>114</v>
      </c>
      <c r="W154" s="16">
        <f>AI154/AG154</f>
        <v>0.8936170212765957</v>
      </c>
      <c r="X154" s="16" t="s">
        <v>115</v>
      </c>
      <c r="Y154" s="16" t="s">
        <v>110</v>
      </c>
      <c r="Z154" s="16">
        <v>3</v>
      </c>
      <c r="AE154" s="16" t="s">
        <v>123</v>
      </c>
      <c r="AF154" s="16" t="s">
        <v>123</v>
      </c>
      <c r="AG154" s="16">
        <f>AH154-AI154</f>
        <v>94</v>
      </c>
      <c r="AH154" s="16">
        <v>178</v>
      </c>
      <c r="AI154" s="16">
        <v>84</v>
      </c>
      <c r="AK154" s="16">
        <v>28</v>
      </c>
      <c r="AL154" s="16">
        <v>0</v>
      </c>
      <c r="AM154" s="16">
        <v>0</v>
      </c>
      <c r="AN154" s="16">
        <v>0</v>
      </c>
      <c r="AO154" s="16">
        <v>0</v>
      </c>
      <c r="AP154" s="16">
        <f>SUM(AL154:AN154)</f>
        <v>0</v>
      </c>
      <c r="AQ154" s="16">
        <v>2.4550000000000001</v>
      </c>
      <c r="AR154" s="16">
        <f>AP154-1.472</f>
        <v>-1.472</v>
      </c>
      <c r="AS154" s="16">
        <f>AQ154-1.472</f>
        <v>0.9830000000000001</v>
      </c>
      <c r="AT154" s="16" t="s">
        <v>119</v>
      </c>
      <c r="AU154" s="18" t="s">
        <v>1293</v>
      </c>
      <c r="AV154" s="16">
        <v>0</v>
      </c>
      <c r="AW154" s="18">
        <f>IF(AX154&gt;0,1,0)</f>
        <v>0</v>
      </c>
      <c r="AX154" s="18">
        <f>SUM(BA154,BM154,CT154)</f>
        <v>0</v>
      </c>
      <c r="AY154" s="18">
        <f>SUM(BB154,BN154,CV154)</f>
        <v>0</v>
      </c>
      <c r="AZ154" s="18">
        <f>IF(BA154&gt;0,1,0)</f>
        <v>0</v>
      </c>
      <c r="BA154" s="18">
        <f>SUM(BC154,BF154,BI154)</f>
        <v>0</v>
      </c>
      <c r="BB154" s="16">
        <f>SUM(BE154,BH154,BK154)</f>
        <v>0</v>
      </c>
      <c r="BC154" s="18">
        <f>IF(BD154&gt;0,1,0)</f>
        <v>0</v>
      </c>
      <c r="BD154" s="16">
        <v>0</v>
      </c>
      <c r="BE154" s="16">
        <f>BD154/AS154</f>
        <v>0</v>
      </c>
      <c r="BF154" s="16">
        <f>IF(BG154&gt;0,1,0)</f>
        <v>0</v>
      </c>
      <c r="BG154" s="23">
        <v>0</v>
      </c>
      <c r="BH154" s="16">
        <f>BG154/AS154</f>
        <v>0</v>
      </c>
      <c r="BI154" s="16">
        <f>IF(BJ154&gt;0,1,0)</f>
        <v>0</v>
      </c>
      <c r="BJ154" s="16">
        <v>0</v>
      </c>
      <c r="BK154" s="16">
        <f>BJ154/AS154</f>
        <v>0</v>
      </c>
      <c r="BL154" s="16">
        <f>IF(BM154&gt;0,1,0)</f>
        <v>0</v>
      </c>
      <c r="BM154" s="16">
        <f>SUM(BR154,BU154,BX154,CA154,CD154,CG154,CJ154,CM154,CP154)</f>
        <v>0</v>
      </c>
      <c r="BN154" s="16">
        <f>SUM(BW154,BZ154,CC154,CF154,CI154,CL154,CO154,CR154,BT154)</f>
        <v>0</v>
      </c>
      <c r="BO154" s="16">
        <f>IF(BP154&gt;0,1,0)</f>
        <v>0</v>
      </c>
      <c r="BP154" s="16">
        <f>SUM(BU154,BX154,CA154,CD154,BR154)</f>
        <v>0</v>
      </c>
      <c r="BQ154" s="16">
        <f>SUM(BZ154,CC154,CF154,BT154,BW154)</f>
        <v>0</v>
      </c>
      <c r="BR154" s="16">
        <v>0</v>
      </c>
      <c r="BS154" s="16">
        <v>0</v>
      </c>
      <c r="BT154" s="23">
        <f>BS154/AS154</f>
        <v>0</v>
      </c>
      <c r="BU154" s="16">
        <v>0</v>
      </c>
      <c r="BV154" s="16">
        <v>0</v>
      </c>
      <c r="BW154" s="16">
        <f>BV154/AS154</f>
        <v>0</v>
      </c>
      <c r="BX154" s="16">
        <v>0</v>
      </c>
      <c r="BY154" s="16">
        <v>0</v>
      </c>
      <c r="BZ154" s="16">
        <f>BY154/AS154</f>
        <v>0</v>
      </c>
      <c r="CA154" s="16">
        <v>0</v>
      </c>
      <c r="CB154" s="16">
        <v>0</v>
      </c>
      <c r="CC154" s="16">
        <f>CB154/AS154</f>
        <v>0</v>
      </c>
      <c r="CD154" s="23">
        <v>0</v>
      </c>
      <c r="CE154" s="16">
        <v>0</v>
      </c>
      <c r="CF154" s="16">
        <f>CE154/AS154</f>
        <v>0</v>
      </c>
      <c r="CG154" s="16">
        <v>0</v>
      </c>
      <c r="CH154" s="16">
        <v>0</v>
      </c>
      <c r="CI154" s="16">
        <f>CH154/AS154</f>
        <v>0</v>
      </c>
      <c r="CM154" s="16">
        <v>0</v>
      </c>
      <c r="CN154" s="16">
        <v>0</v>
      </c>
      <c r="CO154" s="16">
        <f>CN154/AS154</f>
        <v>0</v>
      </c>
      <c r="CP154" s="16">
        <v>0</v>
      </c>
      <c r="CQ154" s="16">
        <v>0</v>
      </c>
      <c r="CR154" s="16">
        <f>CQ154/AS154</f>
        <v>0</v>
      </c>
      <c r="CS154" s="16">
        <f>IF(CT154&gt;0,1,0)</f>
        <v>0</v>
      </c>
      <c r="CT154" s="16">
        <f>SUM(CW154,CZ154,DC154)</f>
        <v>0</v>
      </c>
      <c r="CV154" s="16">
        <f>SUM(CY154,DB154,DE154)</f>
        <v>0</v>
      </c>
      <c r="CW154" s="16">
        <v>0</v>
      </c>
      <c r="CX154" s="16">
        <v>0</v>
      </c>
      <c r="CY154" s="16">
        <f>CX154/AS154</f>
        <v>0</v>
      </c>
      <c r="CZ154" s="16">
        <v>0</v>
      </c>
      <c r="DA154" s="16">
        <v>0</v>
      </c>
      <c r="DB154" s="16">
        <f>DA154/AS154</f>
        <v>0</v>
      </c>
      <c r="DC154" s="16">
        <v>0</v>
      </c>
      <c r="DD154" s="16">
        <v>0</v>
      </c>
      <c r="DE154" s="16">
        <f>DD154/AS154</f>
        <v>0</v>
      </c>
      <c r="DF154" s="16" t="e">
        <f>VLOOKUP(K154,'[3]RNA Seq summary tables'!$V$3:$V$99,1,FALSE)</f>
        <v>#N/A</v>
      </c>
      <c r="DI154" s="16">
        <v>36</v>
      </c>
      <c r="DK154" s="16">
        <v>61</v>
      </c>
      <c r="DM154" s="16">
        <v>3</v>
      </c>
      <c r="DO154" s="16">
        <v>0</v>
      </c>
      <c r="DQ154" s="16">
        <v>0</v>
      </c>
      <c r="DR154" s="16">
        <f>SUM(DI154:DQ154)</f>
        <v>100</v>
      </c>
      <c r="JP154" s="18"/>
      <c r="JQ154" s="18"/>
    </row>
    <row r="155" spans="1:288" x14ac:dyDescent="0.2">
      <c r="B155" s="16">
        <v>2017</v>
      </c>
      <c r="C155" s="66">
        <v>42887</v>
      </c>
      <c r="D155" s="66" t="str">
        <f>CONCATENATE(J155,"-",C155)</f>
        <v>1042-42887</v>
      </c>
      <c r="E155" s="20" t="str">
        <f>CONCATENATE(T155,"-",U155,"-",C155)</f>
        <v>SP2-A7-42887</v>
      </c>
      <c r="F155" s="20" t="s">
        <v>106</v>
      </c>
      <c r="G155" s="20" t="s">
        <v>107</v>
      </c>
      <c r="I155" s="16">
        <v>0</v>
      </c>
      <c r="J155" s="21">
        <v>1042</v>
      </c>
      <c r="K155" s="21">
        <v>1597</v>
      </c>
      <c r="L155" s="18">
        <v>0</v>
      </c>
      <c r="M155" s="21">
        <f>VLOOKUP($K155,'[4]blood tubes 2017'!$D$1:$L$647,8,FALSE)</f>
        <v>0</v>
      </c>
      <c r="N155" s="15">
        <v>0</v>
      </c>
      <c r="O155" s="15" t="s">
        <v>119</v>
      </c>
      <c r="P155" s="16" t="s">
        <v>119</v>
      </c>
      <c r="Q155" s="16">
        <v>0</v>
      </c>
      <c r="R155" s="16" t="s">
        <v>111</v>
      </c>
      <c r="T155" s="16" t="s">
        <v>137</v>
      </c>
      <c r="U155" s="16" t="s">
        <v>120</v>
      </c>
      <c r="V155" s="16" t="s">
        <v>114</v>
      </c>
      <c r="W155" s="16">
        <f>AI155/AG155</f>
        <v>0.79245283018867929</v>
      </c>
      <c r="X155" s="16" t="s">
        <v>121</v>
      </c>
      <c r="Y155" s="16" t="s">
        <v>110</v>
      </c>
      <c r="Z155" s="16">
        <v>3</v>
      </c>
      <c r="AA155" s="16" t="s">
        <v>119</v>
      </c>
      <c r="AB155" s="16" t="s">
        <v>116</v>
      </c>
      <c r="AC155" s="16" t="s">
        <v>116</v>
      </c>
      <c r="AD155" s="16" t="s">
        <v>116</v>
      </c>
      <c r="AG155" s="16">
        <f>AH155-AI155</f>
        <v>106</v>
      </c>
      <c r="AH155" s="16">
        <v>190</v>
      </c>
      <c r="AI155" s="16">
        <v>84</v>
      </c>
      <c r="AK155" s="16">
        <v>40</v>
      </c>
      <c r="AL155" s="16">
        <v>0</v>
      </c>
      <c r="AM155" s="16">
        <v>1</v>
      </c>
      <c r="AN155" s="16">
        <v>0</v>
      </c>
      <c r="AO155" s="16">
        <v>1</v>
      </c>
      <c r="AP155" s="16">
        <f>SUM(AL155:AN155)</f>
        <v>1</v>
      </c>
      <c r="AQ155" s="16">
        <v>1.867</v>
      </c>
      <c r="AR155" s="16">
        <f>AP155-1.472</f>
        <v>-0.47199999999999998</v>
      </c>
      <c r="AS155" s="16">
        <f>AQ155-1.472</f>
        <v>0.39500000000000002</v>
      </c>
      <c r="AT155" s="16" t="s">
        <v>233</v>
      </c>
      <c r="AW155" s="16">
        <f>IF(AX155&gt;0,1,0)</f>
        <v>1</v>
      </c>
      <c r="AX155" s="16">
        <f>SUM(BA155,BM155,CT155)</f>
        <v>3</v>
      </c>
      <c r="AY155" s="18">
        <f>SUM(BB155,BN155,CV155)</f>
        <v>265.82278481012656</v>
      </c>
      <c r="AZ155" s="16">
        <f>IF(BA155&gt;0,1,0)</f>
        <v>1</v>
      </c>
      <c r="BA155" s="16">
        <f>SUM(BC155,BF155,BI155)</f>
        <v>1</v>
      </c>
      <c r="BB155" s="16">
        <f>SUM(BE155,BH155,BK155)</f>
        <v>202.53164556962025</v>
      </c>
      <c r="BC155" s="16">
        <v>0</v>
      </c>
      <c r="BD155" s="16">
        <v>0</v>
      </c>
      <c r="BE155" s="16">
        <f>BD155/AS155</f>
        <v>0</v>
      </c>
      <c r="BF155" s="16">
        <v>1</v>
      </c>
      <c r="BG155" s="23">
        <v>80</v>
      </c>
      <c r="BH155" s="16">
        <f>BG155/AS155</f>
        <v>202.53164556962025</v>
      </c>
      <c r="BI155" s="16">
        <v>0</v>
      </c>
      <c r="BJ155" s="16">
        <v>0</v>
      </c>
      <c r="BK155" s="16">
        <f>BJ155/AS155</f>
        <v>0</v>
      </c>
      <c r="BL155" s="16">
        <f>IF(BM155&gt;0,1,0)</f>
        <v>1</v>
      </c>
      <c r="BM155" s="16">
        <f>SUM(BR155,BU155,BX155,CA155,CD155,CG155,CJ155,CM155,CP155)</f>
        <v>1</v>
      </c>
      <c r="BN155" s="16">
        <f>SUM(BW155,BZ155,CC155,CF155,CI155,CL155,CO155,CR155,BT155)</f>
        <v>35.443037974683541</v>
      </c>
      <c r="BO155" s="16">
        <f>IF(BP155&gt;0,1,0)</f>
        <v>1</v>
      </c>
      <c r="BP155" s="16">
        <f>SUM(BU155,BX155,CA155,CD155,BR155)</f>
        <v>1</v>
      </c>
      <c r="BQ155" s="16">
        <f>SUM(BZ155,CC155,CF155,BT155,BW155)</f>
        <v>35.443037974683541</v>
      </c>
      <c r="BR155" s="16">
        <v>0</v>
      </c>
      <c r="BS155" s="16">
        <v>0</v>
      </c>
      <c r="BT155" s="23">
        <f>BS155/AS155</f>
        <v>0</v>
      </c>
      <c r="BU155" s="16">
        <v>0</v>
      </c>
      <c r="BV155" s="16">
        <v>0</v>
      </c>
      <c r="BW155" s="16">
        <f>BV155/AS155</f>
        <v>0</v>
      </c>
      <c r="BX155" s="16">
        <v>1</v>
      </c>
      <c r="BY155" s="16">
        <v>14</v>
      </c>
      <c r="BZ155" s="16">
        <f>BY155/AS155</f>
        <v>35.443037974683541</v>
      </c>
      <c r="CA155" s="16">
        <v>0</v>
      </c>
      <c r="CB155" s="16">
        <v>0</v>
      </c>
      <c r="CC155" s="16">
        <f>CB155/AS155</f>
        <v>0</v>
      </c>
      <c r="CD155" s="23">
        <v>0</v>
      </c>
      <c r="CE155" s="16">
        <v>0</v>
      </c>
      <c r="CF155" s="16">
        <f>CE155/AS155</f>
        <v>0</v>
      </c>
      <c r="CG155" s="16">
        <v>0</v>
      </c>
      <c r="CH155" s="16">
        <v>0</v>
      </c>
      <c r="CI155" s="16">
        <f>CH155/AS155</f>
        <v>0</v>
      </c>
      <c r="CM155" s="16">
        <v>0</v>
      </c>
      <c r="CN155" s="16">
        <v>0</v>
      </c>
      <c r="CO155" s="16">
        <f>CN155/AS155</f>
        <v>0</v>
      </c>
      <c r="CP155" s="16">
        <v>0</v>
      </c>
      <c r="CQ155" s="16">
        <v>0</v>
      </c>
      <c r="CR155" s="16">
        <f>CQ155/AS155</f>
        <v>0</v>
      </c>
      <c r="CS155" s="16">
        <f>IF(CT155&gt;0,1,0)</f>
        <v>1</v>
      </c>
      <c r="CT155" s="16">
        <f>SUM(CW155,CZ155,DC155)</f>
        <v>1</v>
      </c>
      <c r="CV155" s="16">
        <f>SUM(CY155,DB155,DE155)</f>
        <v>27.848101265822784</v>
      </c>
      <c r="CW155" s="16">
        <v>1</v>
      </c>
      <c r="CX155" s="16">
        <v>11</v>
      </c>
      <c r="CY155" s="16">
        <f>CX155/AS155</f>
        <v>27.848101265822784</v>
      </c>
      <c r="CZ155" s="18">
        <v>0</v>
      </c>
      <c r="DA155" s="18">
        <v>0</v>
      </c>
      <c r="DB155" s="16">
        <f>DA155/AS155</f>
        <v>0</v>
      </c>
      <c r="DC155" s="18">
        <v>0</v>
      </c>
      <c r="DD155" s="18">
        <v>0</v>
      </c>
      <c r="DE155" s="16">
        <f>DD155/AS155</f>
        <v>0</v>
      </c>
      <c r="DF155" s="16" t="e">
        <f>VLOOKUP(K155,'[3]RNA Seq summary tables'!$V$3:$V$99,1,FALSE)</f>
        <v>#N/A</v>
      </c>
      <c r="DG155" s="16">
        <v>1</v>
      </c>
      <c r="DH155" s="16" t="str">
        <f>VLOOKUP(D155,'[6]workflow 3.2018'!$A$1:$S$237,2,FALSE)</f>
        <v>2017MLBS_9</v>
      </c>
      <c r="DI155" s="16">
        <v>16</v>
      </c>
      <c r="DK155" s="16">
        <v>72</v>
      </c>
      <c r="DM155" s="16">
        <v>10</v>
      </c>
      <c r="DO155" s="16">
        <v>0</v>
      </c>
      <c r="DQ155" s="16">
        <v>2</v>
      </c>
      <c r="DR155" s="16">
        <v>100</v>
      </c>
      <c r="JP155" s="18"/>
      <c r="JQ155" s="18"/>
    </row>
    <row r="156" spans="1:288" x14ac:dyDescent="0.2">
      <c r="B156" s="16">
        <v>2017</v>
      </c>
      <c r="C156" s="66">
        <v>42887</v>
      </c>
      <c r="D156" s="66" t="str">
        <f>CONCATENATE(J156,"-",C156)</f>
        <v>1044-42887</v>
      </c>
      <c r="E156" s="20" t="str">
        <f>CONCATENATE(T156,"-",U156,"-",C156)</f>
        <v>SP2-C2-42887</v>
      </c>
      <c r="F156" s="20" t="s">
        <v>106</v>
      </c>
      <c r="G156" s="20" t="s">
        <v>107</v>
      </c>
      <c r="I156" s="16">
        <v>0</v>
      </c>
      <c r="J156" s="21">
        <v>1044</v>
      </c>
      <c r="K156" s="21">
        <v>1599</v>
      </c>
      <c r="L156" s="18">
        <v>0</v>
      </c>
      <c r="M156" s="21">
        <f>VLOOKUP($K156,'[4]blood tubes 2017'!$D$1:$L$647,8,FALSE)</f>
        <v>0</v>
      </c>
      <c r="N156" s="15">
        <v>0</v>
      </c>
      <c r="O156" s="15" t="s">
        <v>119</v>
      </c>
      <c r="P156" s="16" t="s">
        <v>119</v>
      </c>
      <c r="Q156" s="16">
        <v>0</v>
      </c>
      <c r="R156" s="16" t="s">
        <v>111</v>
      </c>
      <c r="T156" s="16" t="s">
        <v>137</v>
      </c>
      <c r="U156" s="16" t="s">
        <v>162</v>
      </c>
      <c r="V156" s="16" t="s">
        <v>114</v>
      </c>
      <c r="W156" s="16">
        <f>AI156/AG156</f>
        <v>0.82558139534883723</v>
      </c>
      <c r="X156" s="16" t="s">
        <v>115</v>
      </c>
      <c r="Y156" s="16" t="s">
        <v>110</v>
      </c>
      <c r="Z156" s="16">
        <v>3</v>
      </c>
      <c r="AE156" s="16" t="s">
        <v>123</v>
      </c>
      <c r="AF156" s="16" t="s">
        <v>123</v>
      </c>
      <c r="AG156" s="16">
        <f>AH156-AI156</f>
        <v>86</v>
      </c>
      <c r="AH156" s="16">
        <v>157</v>
      </c>
      <c r="AI156" s="16">
        <v>71</v>
      </c>
      <c r="AK156" s="16">
        <v>19</v>
      </c>
      <c r="AL156" s="16">
        <v>0</v>
      </c>
      <c r="AM156" s="16">
        <v>0</v>
      </c>
      <c r="AN156" s="16">
        <v>0</v>
      </c>
      <c r="AO156" s="16">
        <v>0</v>
      </c>
      <c r="AP156" s="16">
        <f>SUM(AL156:AN156)</f>
        <v>0</v>
      </c>
      <c r="AQ156" s="16">
        <v>1.7549999999999999</v>
      </c>
      <c r="AR156" s="16">
        <f>AP156-1.472</f>
        <v>-1.472</v>
      </c>
      <c r="AS156" s="16">
        <f>AQ156-1.472</f>
        <v>0.28299999999999992</v>
      </c>
      <c r="AT156" s="16" t="s">
        <v>233</v>
      </c>
      <c r="AW156" s="16">
        <f>IF(AX156&gt;0,1,0)</f>
        <v>1</v>
      </c>
      <c r="AX156" s="16">
        <f>SUM(BA156,BM156,CT156)</f>
        <v>2</v>
      </c>
      <c r="AY156" s="18">
        <f>SUM(BB156,BN156,CV156)</f>
        <v>975.26501766784486</v>
      </c>
      <c r="AZ156" s="16">
        <f>IF(BA156&gt;0,1,0)</f>
        <v>1</v>
      </c>
      <c r="BA156" s="16">
        <f>SUM(BC156,BF156,BI156)</f>
        <v>1</v>
      </c>
      <c r="BB156" s="16">
        <f>SUM(BE156,BH156,BK156)</f>
        <v>968.19787985865753</v>
      </c>
      <c r="BC156" s="16">
        <v>0</v>
      </c>
      <c r="BD156" s="16">
        <v>0</v>
      </c>
      <c r="BE156" s="16">
        <f>BD156/AS156</f>
        <v>0</v>
      </c>
      <c r="BF156" s="16">
        <v>1</v>
      </c>
      <c r="BG156" s="23">
        <v>274</v>
      </c>
      <c r="BH156" s="16">
        <f>BG156/AS156</f>
        <v>968.19787985865753</v>
      </c>
      <c r="BI156" s="16">
        <v>0</v>
      </c>
      <c r="BJ156" s="16">
        <v>0</v>
      </c>
      <c r="BK156" s="16">
        <f>BJ156/AS156</f>
        <v>0</v>
      </c>
      <c r="BL156" s="16">
        <f>IF(BM156&gt;0,1,0)</f>
        <v>1</v>
      </c>
      <c r="BM156" s="16">
        <f>SUM(BR156,BU156,BX156,CA156,CD156,CG156,CJ156,CM156,CP156)</f>
        <v>1</v>
      </c>
      <c r="BN156" s="16">
        <f>SUM(BW156,BZ156,CC156,CF156,CI156,CL156,CO156,CR156,BT156)</f>
        <v>7.0671378091872814</v>
      </c>
      <c r="BO156" s="16">
        <f>IF(BP156&gt;0,1,0)</f>
        <v>1</v>
      </c>
      <c r="BP156" s="16">
        <f>SUM(BU156,BX156,CA156,CD156,BR156)</f>
        <v>1</v>
      </c>
      <c r="BQ156" s="16">
        <f>SUM(BZ156,CC156,CF156,BT156,BW156)</f>
        <v>7.0671378091872814</v>
      </c>
      <c r="BR156" s="16">
        <v>0</v>
      </c>
      <c r="BS156" s="16">
        <v>0</v>
      </c>
      <c r="BT156" s="23">
        <f>BS156/AS156</f>
        <v>0</v>
      </c>
      <c r="BU156" s="16">
        <v>0</v>
      </c>
      <c r="BV156" s="16">
        <v>0</v>
      </c>
      <c r="BW156" s="16">
        <f>BV156/AS156</f>
        <v>0</v>
      </c>
      <c r="BX156" s="16">
        <v>1</v>
      </c>
      <c r="BY156" s="16">
        <v>2</v>
      </c>
      <c r="BZ156" s="16">
        <f>BY156/AS156</f>
        <v>7.0671378091872814</v>
      </c>
      <c r="CA156" s="16">
        <v>0</v>
      </c>
      <c r="CB156" s="16">
        <v>0</v>
      </c>
      <c r="CC156" s="16">
        <f>CB156/AS156</f>
        <v>0</v>
      </c>
      <c r="CD156" s="23">
        <v>0</v>
      </c>
      <c r="CE156" s="16">
        <v>0</v>
      </c>
      <c r="CF156" s="16">
        <f>CE156/AS156</f>
        <v>0</v>
      </c>
      <c r="CG156" s="16">
        <v>0</v>
      </c>
      <c r="CH156" s="16">
        <v>0</v>
      </c>
      <c r="CI156" s="16">
        <f>CH156/AS156</f>
        <v>0</v>
      </c>
      <c r="CM156" s="16">
        <v>0</v>
      </c>
      <c r="CN156" s="16">
        <v>0</v>
      </c>
      <c r="CO156" s="16">
        <f>CN156/AS156</f>
        <v>0</v>
      </c>
      <c r="CP156" s="16">
        <v>0</v>
      </c>
      <c r="CQ156" s="16">
        <v>0</v>
      </c>
      <c r="CR156" s="16">
        <f>CQ156/AS156</f>
        <v>0</v>
      </c>
      <c r="CS156" s="16">
        <f>IF(CT156&gt;0,1,0)</f>
        <v>0</v>
      </c>
      <c r="CT156" s="16">
        <f>SUM(CW156,CZ156,DC156)</f>
        <v>0</v>
      </c>
      <c r="CV156" s="16">
        <f>SUM(CY156,DB156,DE156)</f>
        <v>0</v>
      </c>
      <c r="CW156" s="16">
        <v>0</v>
      </c>
      <c r="CX156" s="16">
        <v>0</v>
      </c>
      <c r="CY156" s="16">
        <f>CX156/AS156</f>
        <v>0</v>
      </c>
      <c r="CZ156" s="16">
        <v>0</v>
      </c>
      <c r="DA156" s="16">
        <v>0</v>
      </c>
      <c r="DB156" s="16">
        <f>DA156/AS156</f>
        <v>0</v>
      </c>
      <c r="DC156" s="16">
        <v>0</v>
      </c>
      <c r="DD156" s="16">
        <v>0</v>
      </c>
      <c r="DE156" s="16">
        <f>DD156/AS156</f>
        <v>0</v>
      </c>
      <c r="DF156" s="16" t="e">
        <f>VLOOKUP(K156,'[3]RNA Seq summary tables'!$V$3:$V$99,1,FALSE)</f>
        <v>#N/A</v>
      </c>
      <c r="DG156" s="16">
        <v>1</v>
      </c>
      <c r="DH156" s="16" t="str">
        <f>VLOOKUP(D156,'[6]workflow 3.2018'!$A$1:$S$237,2,FALSE)</f>
        <v>2017MLBS_11</v>
      </c>
      <c r="DI156" s="16">
        <v>58</v>
      </c>
      <c r="DK156" s="16">
        <v>27</v>
      </c>
      <c r="DM156" s="16">
        <v>15</v>
      </c>
      <c r="DO156" s="16">
        <v>0</v>
      </c>
      <c r="DQ156" s="16">
        <v>0</v>
      </c>
      <c r="DR156" s="16">
        <v>100</v>
      </c>
    </row>
    <row r="157" spans="1:288" x14ac:dyDescent="0.2">
      <c r="B157" s="16">
        <v>2017</v>
      </c>
      <c r="C157" s="20">
        <v>42907</v>
      </c>
      <c r="D157" s="20" t="str">
        <f>CONCATENATE(J157,"-",C157)</f>
        <v>1044-42907</v>
      </c>
      <c r="E157" s="20" t="str">
        <f>CONCATENATE(T157,"-",U157,"-",C157)</f>
        <v>SP2-E1-42907</v>
      </c>
      <c r="F157" s="20" t="s">
        <v>106</v>
      </c>
      <c r="G157" s="20" t="s">
        <v>107</v>
      </c>
      <c r="I157" s="16">
        <v>0</v>
      </c>
      <c r="J157" s="21">
        <v>1044</v>
      </c>
      <c r="K157" s="21">
        <v>1720</v>
      </c>
      <c r="L157" s="18">
        <v>0</v>
      </c>
      <c r="M157" s="21">
        <f>VLOOKUP($K157,'[4]blood tubes 2017'!$D$1:$L$647,8,FALSE)</f>
        <v>0</v>
      </c>
      <c r="N157" s="15">
        <v>0</v>
      </c>
      <c r="O157" s="15" t="s">
        <v>119</v>
      </c>
      <c r="P157" s="16" t="s">
        <v>119</v>
      </c>
      <c r="Q157" s="16">
        <v>0</v>
      </c>
      <c r="R157" s="16">
        <v>20</v>
      </c>
      <c r="T157" s="16" t="s">
        <v>137</v>
      </c>
      <c r="U157" s="16" t="s">
        <v>222</v>
      </c>
      <c r="V157" s="16" t="s">
        <v>114</v>
      </c>
      <c r="W157" s="16">
        <f>AI157/AG157</f>
        <v>0.8314606741573034</v>
      </c>
      <c r="X157" s="16" t="s">
        <v>115</v>
      </c>
      <c r="Y157" s="16" t="s">
        <v>110</v>
      </c>
      <c r="Z157" s="16">
        <v>3</v>
      </c>
      <c r="AE157" s="16" t="s">
        <v>123</v>
      </c>
      <c r="AF157" s="16" t="s">
        <v>123</v>
      </c>
      <c r="AG157" s="16">
        <f>AH157-AI157</f>
        <v>89</v>
      </c>
      <c r="AH157" s="16">
        <v>163</v>
      </c>
      <c r="AI157" s="16">
        <v>74</v>
      </c>
      <c r="AK157" s="16">
        <v>19.5</v>
      </c>
      <c r="AL157" s="16">
        <v>0</v>
      </c>
      <c r="AM157" s="16">
        <v>0</v>
      </c>
      <c r="AN157" s="16">
        <v>0</v>
      </c>
      <c r="AO157" s="16">
        <v>0</v>
      </c>
      <c r="AP157" s="16">
        <f>SUM(AL157:AN157)</f>
        <v>0</v>
      </c>
      <c r="AQ157" s="16">
        <v>1.694</v>
      </c>
      <c r="AR157" s="16">
        <f>AP157-1.472</f>
        <v>-1.472</v>
      </c>
      <c r="AS157" s="16">
        <f>AQ157-1.472</f>
        <v>0.22199999999999998</v>
      </c>
      <c r="AT157" s="16" t="s">
        <v>164</v>
      </c>
      <c r="AV157" s="16">
        <v>1</v>
      </c>
      <c r="AW157" s="16">
        <f>IF(AX157&gt;0,1,0)</f>
        <v>0</v>
      </c>
      <c r="AX157" s="16">
        <f>SUM(BA157,BM157,CT157)</f>
        <v>0</v>
      </c>
      <c r="AY157" s="18">
        <f>SUM(BB157,BN157,CV157)</f>
        <v>0</v>
      </c>
      <c r="AZ157" s="16">
        <f>IF(BA157&gt;0,1,0)</f>
        <v>0</v>
      </c>
      <c r="BA157" s="16">
        <f>SUM(BC157,BF157,BI157)</f>
        <v>0</v>
      </c>
      <c r="BB157" s="16">
        <f>SUM(BE157,BH157,BK157)</f>
        <v>0</v>
      </c>
      <c r="BC157" s="16">
        <v>0</v>
      </c>
      <c r="BD157" s="16">
        <v>0</v>
      </c>
      <c r="BE157" s="16">
        <f>BD157/AS157</f>
        <v>0</v>
      </c>
      <c r="BF157" s="16">
        <v>0</v>
      </c>
      <c r="BG157" s="23">
        <v>0</v>
      </c>
      <c r="BH157" s="16">
        <f>BG157/AS157</f>
        <v>0</v>
      </c>
      <c r="BI157" s="16">
        <v>0</v>
      </c>
      <c r="BJ157" s="16">
        <v>0</v>
      </c>
      <c r="BK157" s="16">
        <f>BJ157/AS157</f>
        <v>0</v>
      </c>
      <c r="BL157" s="16">
        <f>IF(BM157&gt;0,1,0)</f>
        <v>0</v>
      </c>
      <c r="BM157" s="16">
        <f>SUM(BR157,BU157,BX157,CA157,CD157,CG157,CJ157,CM157,CP157)</f>
        <v>0</v>
      </c>
      <c r="BN157" s="16">
        <f>SUM(BW157,BZ157,CC157,CF157,CI157,CL157,CO157,CR157,BT157)</f>
        <v>0</v>
      </c>
      <c r="BO157" s="16">
        <f>IF(BP157&gt;0,1,0)</f>
        <v>0</v>
      </c>
      <c r="BP157" s="16">
        <f>SUM(BU157,BX157,CA157,CD157,BR157)</f>
        <v>0</v>
      </c>
      <c r="BQ157" s="16">
        <f>SUM(BZ157,CC157,CF157,BT157,BW157)</f>
        <v>0</v>
      </c>
      <c r="BR157" s="16">
        <v>0</v>
      </c>
      <c r="BS157" s="16">
        <v>0</v>
      </c>
      <c r="BT157" s="23">
        <f>BS157/AS157</f>
        <v>0</v>
      </c>
      <c r="BU157" s="16">
        <v>0</v>
      </c>
      <c r="BV157" s="16">
        <v>0</v>
      </c>
      <c r="BW157" s="16">
        <f>BV157/AS157</f>
        <v>0</v>
      </c>
      <c r="BX157" s="16">
        <v>0</v>
      </c>
      <c r="BY157" s="16">
        <v>0</v>
      </c>
      <c r="BZ157" s="16">
        <f>BY157/AS157</f>
        <v>0</v>
      </c>
      <c r="CA157" s="16">
        <v>0</v>
      </c>
      <c r="CB157" s="16">
        <v>0</v>
      </c>
      <c r="CC157" s="16">
        <f>CB157/AS157</f>
        <v>0</v>
      </c>
      <c r="CD157" s="23">
        <v>0</v>
      </c>
      <c r="CE157" s="16">
        <v>0</v>
      </c>
      <c r="CF157" s="16">
        <f>CE157/AS157</f>
        <v>0</v>
      </c>
      <c r="CG157" s="16">
        <v>0</v>
      </c>
      <c r="CH157" s="16">
        <v>0</v>
      </c>
      <c r="CI157" s="16">
        <f>CH157/AS157</f>
        <v>0</v>
      </c>
      <c r="CM157" s="16">
        <v>0</v>
      </c>
      <c r="CN157" s="16">
        <v>0</v>
      </c>
      <c r="CO157" s="16">
        <f>CN157/AS157</f>
        <v>0</v>
      </c>
      <c r="CP157" s="16">
        <v>0</v>
      </c>
      <c r="CQ157" s="16">
        <v>0</v>
      </c>
      <c r="CR157" s="16">
        <f>CQ157/AS157</f>
        <v>0</v>
      </c>
      <c r="CS157" s="16">
        <f>IF(CT157&gt;0,1,0)</f>
        <v>0</v>
      </c>
      <c r="CT157" s="16">
        <f>SUM(CW157,CZ157,DC157)</f>
        <v>0</v>
      </c>
      <c r="CV157" s="16">
        <f>SUM(CY157,DB157,DE157)</f>
        <v>0</v>
      </c>
      <c r="CW157" s="16">
        <v>0</v>
      </c>
      <c r="CX157" s="16">
        <v>0</v>
      </c>
      <c r="CY157" s="16">
        <f>CX157/AS157</f>
        <v>0</v>
      </c>
      <c r="CZ157" s="16">
        <v>0</v>
      </c>
      <c r="DA157" s="16">
        <v>0</v>
      </c>
      <c r="DB157" s="16">
        <f>DA157/AS157</f>
        <v>0</v>
      </c>
      <c r="DC157" s="16">
        <v>0</v>
      </c>
      <c r="DD157" s="16">
        <v>0</v>
      </c>
      <c r="DE157" s="16">
        <f>DD157/AS157</f>
        <v>0</v>
      </c>
      <c r="DF157" s="16" t="e">
        <f>VLOOKUP(K157,'[3]RNA Seq summary tables'!$V$3:$V$99,1,FALSE)</f>
        <v>#N/A</v>
      </c>
      <c r="DI157" s="16">
        <v>33</v>
      </c>
      <c r="DK157" s="16">
        <v>58</v>
      </c>
      <c r="DM157" s="16">
        <v>9</v>
      </c>
      <c r="DO157" s="16">
        <v>0</v>
      </c>
      <c r="DQ157" s="16">
        <v>0</v>
      </c>
      <c r="DR157" s="16">
        <f>SUM(DI157:DQ157)</f>
        <v>100</v>
      </c>
    </row>
    <row r="158" spans="1:288" x14ac:dyDescent="0.2">
      <c r="B158" s="16">
        <v>2017</v>
      </c>
      <c r="C158" s="20">
        <v>42940</v>
      </c>
      <c r="D158" s="20" t="str">
        <f>CONCATENATE(J158,"-",C158)</f>
        <v>1044-42940</v>
      </c>
      <c r="E158" s="20" t="str">
        <f>CONCATENATE(T158,"-",U158,"-",C158)</f>
        <v>SP2-C3-42940</v>
      </c>
      <c r="F158" s="20" t="s">
        <v>106</v>
      </c>
      <c r="G158" s="20" t="s">
        <v>107</v>
      </c>
      <c r="I158" s="16">
        <v>0</v>
      </c>
      <c r="J158" s="21">
        <v>1044</v>
      </c>
      <c r="K158" s="21">
        <v>1981</v>
      </c>
      <c r="L158" s="18">
        <v>0</v>
      </c>
      <c r="M158" s="21">
        <f>VLOOKUP($K158,'[4]blood tubes 2017'!$D$1:$L$647,8,FALSE)</f>
        <v>0</v>
      </c>
      <c r="N158" s="15">
        <v>0</v>
      </c>
      <c r="O158" s="15" t="s">
        <v>119</v>
      </c>
      <c r="P158" s="16" t="s">
        <v>119</v>
      </c>
      <c r="Q158" s="16">
        <v>0</v>
      </c>
      <c r="R158" s="16">
        <v>33</v>
      </c>
      <c r="T158" s="16" t="s">
        <v>137</v>
      </c>
      <c r="U158" s="16" t="s">
        <v>237</v>
      </c>
      <c r="V158" s="16" t="s">
        <v>114</v>
      </c>
      <c r="W158" s="16">
        <f>AI158/AG158</f>
        <v>0.84210526315789469</v>
      </c>
      <c r="X158" s="16" t="s">
        <v>115</v>
      </c>
      <c r="Y158" s="16" t="s">
        <v>110</v>
      </c>
      <c r="Z158" s="16">
        <v>3</v>
      </c>
      <c r="AE158" s="16" t="s">
        <v>116</v>
      </c>
      <c r="AF158" s="16" t="s">
        <v>116</v>
      </c>
      <c r="AG158" s="16">
        <f>AH158-AI158</f>
        <v>95</v>
      </c>
      <c r="AH158" s="16">
        <v>175</v>
      </c>
      <c r="AI158" s="16">
        <v>80</v>
      </c>
      <c r="AK158" s="16">
        <v>26.5</v>
      </c>
      <c r="AL158" s="16">
        <v>0</v>
      </c>
      <c r="AM158" s="16">
        <v>0</v>
      </c>
      <c r="AN158" s="16">
        <v>0</v>
      </c>
      <c r="AO158" s="16">
        <v>0</v>
      </c>
      <c r="AP158" s="16">
        <f>SUM(AL158:AN158)</f>
        <v>0</v>
      </c>
      <c r="AQ158" s="16">
        <v>1.913</v>
      </c>
      <c r="AR158" s="16">
        <f>AP158-1.472</f>
        <v>-1.472</v>
      </c>
      <c r="AS158" s="16">
        <f>AQ158-1.472</f>
        <v>0.44100000000000006</v>
      </c>
      <c r="AT158" s="16" t="str">
        <f>VLOOKUP(K158,'[5]FECs - good data'!$C$1:$P$575,13,FALSE)</f>
        <v>CH</v>
      </c>
      <c r="AW158" s="18">
        <f>IF(AX158&gt;0,1,0)</f>
        <v>1</v>
      </c>
      <c r="AX158" s="18">
        <f>SUM(BA158,BM158,CT158)</f>
        <v>3</v>
      </c>
      <c r="AY158" s="18">
        <f>SUM(BB158,BN158,CV158)</f>
        <v>11.337868480725621</v>
      </c>
      <c r="AZ158" s="18">
        <f>IF(BA158&gt;0,1,0)</f>
        <v>1</v>
      </c>
      <c r="BA158" s="18">
        <f>SUM(BC158,BF158,BI158)</f>
        <v>3</v>
      </c>
      <c r="BB158" s="18">
        <f>SUM(BE158,BH158,BK158)</f>
        <v>11.337868480725621</v>
      </c>
      <c r="BC158" s="18">
        <f>IF(BD158&gt;0,1,0)</f>
        <v>1</v>
      </c>
      <c r="BD158" s="18">
        <f>VLOOKUP($K158,'[5]FECs - good data'!$C$1:$Z$574,14,FALSE)</f>
        <v>1</v>
      </c>
      <c r="BE158" s="16">
        <f>BD158/AS158</f>
        <v>2.2675736961451243</v>
      </c>
      <c r="BF158" s="16">
        <f>IF(BG158&gt;0,1,0)</f>
        <v>1</v>
      </c>
      <c r="BG158" s="23">
        <f>VLOOKUP($K158,'[5]FECs - good data'!$C$1:$Z$574,15,FALSE)</f>
        <v>3</v>
      </c>
      <c r="BH158" s="16">
        <f>BG158/AS158</f>
        <v>6.8027210884353728</v>
      </c>
      <c r="BI158" s="16">
        <f>IF(BJ158&gt;0,1,0)</f>
        <v>1</v>
      </c>
      <c r="BJ158" s="16">
        <f>VLOOKUP($K158,'[5]FECs - good data'!$C$1:$Z$574,16,FALSE)</f>
        <v>1</v>
      </c>
      <c r="BK158" s="16">
        <f>BJ158/AS158</f>
        <v>2.2675736961451243</v>
      </c>
      <c r="BL158" s="16">
        <f>IF(BM158&gt;0,1,0)</f>
        <v>0</v>
      </c>
      <c r="BM158" s="16">
        <f>SUM(BR158,BU158,BX158,CA158,CD158,CG158,CJ158,CM158,CP158)</f>
        <v>0</v>
      </c>
      <c r="BN158" s="16">
        <f>SUM(BW158,BZ158,CC158,CF158,CI158,CL158,CO158,CR158,BT158)</f>
        <v>0</v>
      </c>
      <c r="BO158" s="16">
        <f>IF(BP158&gt;0,1,0)</f>
        <v>0</v>
      </c>
      <c r="BP158" s="16">
        <f>SUM(BU158,BX158,CA158,CD158,BR158)</f>
        <v>0</v>
      </c>
      <c r="BQ158" s="16">
        <f>SUM(BZ158,CC158,CF158,BT158,BW158)</f>
        <v>0</v>
      </c>
      <c r="BR158" s="16">
        <f>IF(BS158&gt;0,1,0)</f>
        <v>0</v>
      </c>
      <c r="BS158" s="16">
        <f>VLOOKUP($K158,'[5]FECs - good data'!$C$1:$Z$574,17,FALSE)</f>
        <v>0</v>
      </c>
      <c r="BT158" s="23">
        <f>BS158/AS158</f>
        <v>0</v>
      </c>
      <c r="BU158" s="16">
        <f>IF(BV158&gt;0,1,0)</f>
        <v>0</v>
      </c>
      <c r="BV158" s="16">
        <f>VLOOKUP($K158,'[5]FECs - good data'!$C$1:$Z$574,18,FALSE)</f>
        <v>0</v>
      </c>
      <c r="BW158" s="16">
        <f>BV158/AS158</f>
        <v>0</v>
      </c>
      <c r="BX158" s="16">
        <f>IF(BY158&gt;0,1,0)</f>
        <v>0</v>
      </c>
      <c r="BY158" s="16">
        <f>VLOOKUP($K158,'[5]FECs - good data'!$C$1:$Z$574,19,FALSE)</f>
        <v>0</v>
      </c>
      <c r="BZ158" s="16">
        <f>BY158/AS158</f>
        <v>0</v>
      </c>
      <c r="CA158" s="16">
        <f>IF(CB158&gt;0,1,0)</f>
        <v>0</v>
      </c>
      <c r="CB158" s="16">
        <f>VLOOKUP($K158,'[5]FECs - good data'!$C$1:$Z$574,20,FALSE)</f>
        <v>0</v>
      </c>
      <c r="CC158" s="16">
        <f>CB158/AS158</f>
        <v>0</v>
      </c>
      <c r="CD158" s="23">
        <f>IF(CE158&gt;0,1,0)</f>
        <v>0</v>
      </c>
      <c r="CE158" s="16">
        <f>VLOOKUP($K158,'[5]FECs - good data'!$C$1:$Z$574,21,FALSE)</f>
        <v>0</v>
      </c>
      <c r="CF158" s="16">
        <f>CE158/AS158</f>
        <v>0</v>
      </c>
      <c r="CG158" s="16">
        <f>IF(CH158&gt;0,1,0)</f>
        <v>0</v>
      </c>
      <c r="CH158" s="16">
        <f>VLOOKUP($K158,'[5]FECs - good data'!$C$1:$Z$574,22,FALSE)</f>
        <v>0</v>
      </c>
      <c r="CI158" s="16">
        <f>CH158/AS158</f>
        <v>0</v>
      </c>
      <c r="CJ158" s="16">
        <f>IF(CK158&gt;0,1,0)</f>
        <v>0</v>
      </c>
      <c r="CK158" s="16">
        <f>VLOOKUP($K158,'[5]FECs - good data'!$C$1:$Z$674,24,FALSE)</f>
        <v>0</v>
      </c>
      <c r="CL158" s="16">
        <f>CK158/AS158</f>
        <v>0</v>
      </c>
      <c r="CS158" s="16">
        <f>IF(CT158&gt;0,1,0)</f>
        <v>0</v>
      </c>
      <c r="CT158" s="16">
        <f>SUM(CW158+CZ158,DC158)</f>
        <v>0</v>
      </c>
      <c r="CV158" s="16">
        <f>SUM(CY158,DB158,DE158)</f>
        <v>0</v>
      </c>
      <c r="CW158" s="16">
        <f>IF(CX158&gt;0,1,0)</f>
        <v>0</v>
      </c>
      <c r="CX158" s="16">
        <f>VLOOKUP($K158,'[5]FECs - good data'!$C$1:$Z$574,22,FALSE)</f>
        <v>0</v>
      </c>
      <c r="CY158" s="16">
        <f>CX158/AS158</f>
        <v>0</v>
      </c>
      <c r="CZ158" s="16">
        <f>IF(DA158&gt;0,1,0)</f>
        <v>0</v>
      </c>
      <c r="DA158" s="16">
        <f>VLOOKUP($K158,'[5]FECs - good data'!$C$1:$Z$5982,23,FALSE)</f>
        <v>0</v>
      </c>
      <c r="DB158" s="16">
        <f>DA158/AS158</f>
        <v>0</v>
      </c>
      <c r="DC158" s="16">
        <f>IF(DD158&gt;0,1,0)</f>
        <v>0</v>
      </c>
      <c r="DD158" s="16">
        <f>VLOOKUP($K158,'[5]FECs - good data'!$C$1:$Z$574,23,FALSE)</f>
        <v>0</v>
      </c>
      <c r="DE158" s="16">
        <f>DD158/AS158</f>
        <v>0</v>
      </c>
      <c r="DF158" s="16" t="e">
        <f>VLOOKUP(K158,'[3]RNA Seq summary tables'!$V$3:$V$99,1,FALSE)</f>
        <v>#N/A</v>
      </c>
      <c r="DG158" s="16">
        <v>1</v>
      </c>
      <c r="DH158" s="16" t="str">
        <f>VLOOKUP(D158,'[6]workflow 3.2018'!$A$1:$S$237,2,FALSE)</f>
        <v>2017MLBS_81</v>
      </c>
    </row>
    <row r="159" spans="1:288" x14ac:dyDescent="0.2">
      <c r="B159" s="16">
        <v>2017</v>
      </c>
      <c r="C159" s="71">
        <v>42887</v>
      </c>
      <c r="D159" s="71" t="str">
        <f>CONCATENATE(J159,"-",C159)</f>
        <v>1046-42887</v>
      </c>
      <c r="E159" s="20" t="str">
        <f>CONCATENATE(T159,"-",U159,"-",C159)</f>
        <v>SP2-C4-42887</v>
      </c>
      <c r="F159" s="20" t="s">
        <v>106</v>
      </c>
      <c r="G159" s="20" t="s">
        <v>107</v>
      </c>
      <c r="H159" s="18"/>
      <c r="I159" s="16">
        <v>0</v>
      </c>
      <c r="J159" s="36">
        <v>1046</v>
      </c>
      <c r="K159" s="36">
        <v>1601</v>
      </c>
      <c r="L159" s="18">
        <v>0</v>
      </c>
      <c r="M159" s="21">
        <f>VLOOKUP($K159,'[4]blood tubes 2017'!$D$1:$L$647,8,FALSE)</f>
        <v>0</v>
      </c>
      <c r="N159" s="15">
        <v>0</v>
      </c>
      <c r="O159" s="15" t="s">
        <v>119</v>
      </c>
      <c r="P159" s="18" t="s">
        <v>119</v>
      </c>
      <c r="Q159" s="16">
        <v>0</v>
      </c>
      <c r="R159" s="18" t="s">
        <v>111</v>
      </c>
      <c r="S159" s="18"/>
      <c r="T159" s="18" t="s">
        <v>137</v>
      </c>
      <c r="U159" s="18" t="s">
        <v>229</v>
      </c>
      <c r="V159" s="18" t="s">
        <v>114</v>
      </c>
      <c r="W159" s="16">
        <f>AI159/AG159</f>
        <v>0.80263157894736847</v>
      </c>
      <c r="X159" s="18" t="s">
        <v>115</v>
      </c>
      <c r="Y159" s="18" t="s">
        <v>122</v>
      </c>
      <c r="Z159" s="18">
        <v>2.2999999999999998</v>
      </c>
      <c r="AA159" s="18"/>
      <c r="AB159" s="18"/>
      <c r="AC159" s="18"/>
      <c r="AD159" s="18"/>
      <c r="AE159" s="18" t="s">
        <v>123</v>
      </c>
      <c r="AF159" s="18" t="s">
        <v>123</v>
      </c>
      <c r="AG159" s="18">
        <f>AH159-AI159</f>
        <v>76</v>
      </c>
      <c r="AH159" s="18">
        <v>137</v>
      </c>
      <c r="AI159" s="18">
        <v>61</v>
      </c>
      <c r="AJ159" s="18"/>
      <c r="AK159" s="18"/>
      <c r="AL159" s="18">
        <v>1</v>
      </c>
      <c r="AM159" s="18">
        <v>0</v>
      </c>
      <c r="AN159" s="18">
        <v>0</v>
      </c>
      <c r="AO159" s="18">
        <v>1</v>
      </c>
      <c r="AP159" s="16">
        <f>SUM(AL159:AN159)</f>
        <v>1</v>
      </c>
      <c r="AQ159" s="18">
        <v>1.798</v>
      </c>
      <c r="AR159" s="16">
        <f>AP159-1.472</f>
        <v>-0.47199999999999998</v>
      </c>
      <c r="AS159" s="16">
        <f>AQ159-1.472</f>
        <v>0.32600000000000007</v>
      </c>
      <c r="AT159" s="16" t="s">
        <v>233</v>
      </c>
      <c r="AW159" s="16">
        <f>IF(AX159&gt;0,1,0)</f>
        <v>1</v>
      </c>
      <c r="AX159" s="16">
        <f>SUM(BA159,BM159,CT159)</f>
        <v>2</v>
      </c>
      <c r="AY159" s="18">
        <f>SUM(BB159,BN159,CV159)</f>
        <v>46.012269938650292</v>
      </c>
      <c r="AZ159" s="16">
        <f>IF(BA159&gt;0,1,0)</f>
        <v>0</v>
      </c>
      <c r="BA159" s="16">
        <f>SUM(BC159,BF159,BI159)</f>
        <v>0</v>
      </c>
      <c r="BB159" s="16">
        <f>SUM(BE159,BH159,BK159)</f>
        <v>0</v>
      </c>
      <c r="BC159" s="18">
        <v>0</v>
      </c>
      <c r="BD159" s="18">
        <v>0</v>
      </c>
      <c r="BE159" s="16">
        <f>BD159/AS159</f>
        <v>0</v>
      </c>
      <c r="BF159" s="18">
        <v>0</v>
      </c>
      <c r="BG159" s="25">
        <v>0</v>
      </c>
      <c r="BH159" s="16">
        <f>BG159/AS159</f>
        <v>0</v>
      </c>
      <c r="BI159" s="18">
        <v>0</v>
      </c>
      <c r="BJ159" s="18">
        <v>0</v>
      </c>
      <c r="BK159" s="16">
        <f>BJ159/AS159</f>
        <v>0</v>
      </c>
      <c r="BL159" s="16">
        <f>IF(BM159&gt;0,1,0)</f>
        <v>1</v>
      </c>
      <c r="BM159" s="16">
        <f>SUM(BR159,BU159,BX159,CA159,CD159,CG159,CJ159,CM159,CP159)</f>
        <v>2</v>
      </c>
      <c r="BN159" s="16">
        <f>SUM(BW159,BZ159,CC159,CF159,CI159,CL159,CO159,CR159,BT159)</f>
        <v>46.012269938650292</v>
      </c>
      <c r="BO159" s="16">
        <f>IF(BP159&gt;0,1,0)</f>
        <v>1</v>
      </c>
      <c r="BP159" s="16">
        <f>SUM(BU159,BX159,CA159,CD159,BR159)</f>
        <v>2</v>
      </c>
      <c r="BQ159" s="16">
        <f>SUM(BZ159,CC159,CF159,BT159,BW159)</f>
        <v>46.012269938650292</v>
      </c>
      <c r="BR159" s="18">
        <v>0</v>
      </c>
      <c r="BS159" s="18">
        <v>0</v>
      </c>
      <c r="BT159" s="23">
        <f>BS159/AS159</f>
        <v>0</v>
      </c>
      <c r="BU159" s="18">
        <v>0</v>
      </c>
      <c r="BV159" s="18">
        <v>0</v>
      </c>
      <c r="BW159" s="16">
        <f>BV159/AS159</f>
        <v>0</v>
      </c>
      <c r="BX159" s="18">
        <v>1</v>
      </c>
      <c r="BY159" s="18">
        <v>13</v>
      </c>
      <c r="BZ159" s="16">
        <f>BY159/AS159</f>
        <v>39.877300613496921</v>
      </c>
      <c r="CA159" s="18">
        <v>0</v>
      </c>
      <c r="CB159" s="18">
        <v>0</v>
      </c>
      <c r="CC159" s="16">
        <f>CB159/AS159</f>
        <v>0</v>
      </c>
      <c r="CD159" s="25">
        <v>1</v>
      </c>
      <c r="CE159" s="18">
        <v>2</v>
      </c>
      <c r="CF159" s="16">
        <f>CE159/AS159</f>
        <v>6.1349693251533726</v>
      </c>
      <c r="CG159" s="18">
        <v>0</v>
      </c>
      <c r="CH159" s="18">
        <v>0</v>
      </c>
      <c r="CI159" s="16">
        <f>CH159/AS159</f>
        <v>0</v>
      </c>
      <c r="CM159" s="18">
        <v>0</v>
      </c>
      <c r="CN159" s="18">
        <v>0</v>
      </c>
      <c r="CO159" s="16">
        <f>CN159/AS159</f>
        <v>0</v>
      </c>
      <c r="CP159" s="18">
        <v>0</v>
      </c>
      <c r="CQ159" s="18">
        <v>0</v>
      </c>
      <c r="CR159" s="16">
        <f>CQ159/AS159</f>
        <v>0</v>
      </c>
      <c r="CS159" s="16">
        <f>IF(CT159&gt;0,1,0)</f>
        <v>0</v>
      </c>
      <c r="CT159" s="16">
        <f>SUM(CW159,CZ159,DC159)</f>
        <v>0</v>
      </c>
      <c r="CV159" s="16">
        <f>SUM(CY159,DB159,DE159)</f>
        <v>0</v>
      </c>
      <c r="CW159" s="18">
        <v>0</v>
      </c>
      <c r="CX159" s="18">
        <v>0</v>
      </c>
      <c r="CY159" s="16">
        <f>CX159/AS159</f>
        <v>0</v>
      </c>
      <c r="CZ159" s="18">
        <v>0</v>
      </c>
      <c r="DA159" s="18">
        <v>0</v>
      </c>
      <c r="DB159" s="16">
        <f>DA159/AS159</f>
        <v>0</v>
      </c>
      <c r="DC159" s="18">
        <v>0</v>
      </c>
      <c r="DD159" s="18">
        <v>0</v>
      </c>
      <c r="DE159" s="16">
        <f>DD159/AS159</f>
        <v>0</v>
      </c>
      <c r="DF159" s="16" t="e">
        <f>VLOOKUP(K159,'[3]RNA Seq summary tables'!$V$3:$V$99,1,FALSE)</f>
        <v>#N/A</v>
      </c>
      <c r="DG159" s="16">
        <v>1</v>
      </c>
      <c r="DH159" s="16" t="str">
        <f>VLOOKUP(D159,'[6]workflow 3.2018'!$A$1:$S$237,2,FALSE)</f>
        <v>2017MLBS_13</v>
      </c>
      <c r="DI159" s="18">
        <v>73</v>
      </c>
      <c r="DJ159" s="18"/>
      <c r="DK159" s="18">
        <v>14</v>
      </c>
      <c r="DL159" s="18"/>
      <c r="DM159" s="18">
        <v>9</v>
      </c>
      <c r="DN159" s="18"/>
      <c r="DO159" s="18">
        <v>0</v>
      </c>
      <c r="DP159" s="18"/>
      <c r="DQ159" s="18">
        <v>4</v>
      </c>
      <c r="DR159" s="18">
        <v>100</v>
      </c>
      <c r="DS159" s="18"/>
    </row>
    <row r="160" spans="1:288" x14ac:dyDescent="0.2">
      <c r="B160" s="16">
        <v>2017</v>
      </c>
      <c r="C160" s="66">
        <v>42887</v>
      </c>
      <c r="D160" s="66" t="str">
        <f>CONCATENATE(J160,"-",C160)</f>
        <v>1048-42887</v>
      </c>
      <c r="E160" s="20" t="str">
        <f>CONCATENATE(T160,"-",U160,"-",C160)</f>
        <v>SP2-E1-42887</v>
      </c>
      <c r="F160" s="20" t="s">
        <v>106</v>
      </c>
      <c r="G160" s="20" t="s">
        <v>107</v>
      </c>
      <c r="I160" s="16">
        <v>0</v>
      </c>
      <c r="J160" s="21">
        <v>1048</v>
      </c>
      <c r="K160" s="21">
        <v>1603</v>
      </c>
      <c r="L160" s="18">
        <v>0</v>
      </c>
      <c r="M160" s="21">
        <f>VLOOKUP($K160,'[4]blood tubes 2017'!$D$1:$L$647,8,FALSE)</f>
        <v>0</v>
      </c>
      <c r="N160" s="15">
        <v>0</v>
      </c>
      <c r="O160" s="15" t="s">
        <v>119</v>
      </c>
      <c r="P160" s="16" t="s">
        <v>119</v>
      </c>
      <c r="Q160" s="16">
        <v>0</v>
      </c>
      <c r="R160" s="16" t="s">
        <v>111</v>
      </c>
      <c r="T160" s="16" t="s">
        <v>137</v>
      </c>
      <c r="U160" s="16" t="s">
        <v>222</v>
      </c>
      <c r="V160" s="16" t="s">
        <v>114</v>
      </c>
      <c r="W160" s="16">
        <f>AI160/AG160</f>
        <v>0.78409090909090906</v>
      </c>
      <c r="X160" s="16" t="s">
        <v>115</v>
      </c>
      <c r="Y160" s="16" t="s">
        <v>110</v>
      </c>
      <c r="Z160" s="16">
        <v>3</v>
      </c>
      <c r="AE160" s="16" t="s">
        <v>123</v>
      </c>
      <c r="AF160" s="16" t="s">
        <v>123</v>
      </c>
      <c r="AG160" s="16">
        <f>AH160-AI160</f>
        <v>88</v>
      </c>
      <c r="AH160" s="16">
        <v>157</v>
      </c>
      <c r="AI160" s="16">
        <v>69</v>
      </c>
      <c r="AK160" s="16">
        <v>18</v>
      </c>
      <c r="AL160" s="16">
        <v>1</v>
      </c>
      <c r="AM160" s="16">
        <v>0</v>
      </c>
      <c r="AN160" s="16">
        <v>0</v>
      </c>
      <c r="AO160" s="16">
        <v>1</v>
      </c>
      <c r="AP160" s="16">
        <f>SUM(AL160:AN160)</f>
        <v>1</v>
      </c>
      <c r="AQ160" s="16">
        <v>1.897</v>
      </c>
      <c r="AR160" s="16">
        <f>AP160-1.472</f>
        <v>-0.47199999999999998</v>
      </c>
      <c r="AS160" s="16">
        <f>AQ160-1.472</f>
        <v>0.42500000000000004</v>
      </c>
      <c r="AT160" s="16" t="s">
        <v>233</v>
      </c>
      <c r="AW160" s="16">
        <f>IF(AX160&gt;0,1,0)</f>
        <v>1</v>
      </c>
      <c r="AX160" s="16">
        <f>SUM(BA160,BM160,CT160)</f>
        <v>4</v>
      </c>
      <c r="AY160" s="18">
        <f>SUM(BB160,BN160,CV160)</f>
        <v>3407.0588235294113</v>
      </c>
      <c r="AZ160" s="16">
        <f>IF(BA160&gt;0,1,0)</f>
        <v>1</v>
      </c>
      <c r="BA160" s="16">
        <f>SUM(BC160,BF160,BI160)</f>
        <v>1</v>
      </c>
      <c r="BB160" s="16">
        <f>SUM(BE160,BH160,BK160)</f>
        <v>14.117647058823527</v>
      </c>
      <c r="BC160" s="16">
        <v>0</v>
      </c>
      <c r="BD160" s="16">
        <v>0</v>
      </c>
      <c r="BE160" s="16">
        <f>BD160/AS160</f>
        <v>0</v>
      </c>
      <c r="BF160" s="16">
        <v>1</v>
      </c>
      <c r="BG160" s="23">
        <v>6</v>
      </c>
      <c r="BH160" s="16">
        <f>BG160/AS160</f>
        <v>14.117647058823527</v>
      </c>
      <c r="BI160" s="16">
        <v>0</v>
      </c>
      <c r="BJ160" s="16">
        <v>0</v>
      </c>
      <c r="BK160" s="16">
        <f>BJ160/AS160</f>
        <v>0</v>
      </c>
      <c r="BL160" s="16">
        <f>IF(BM160&gt;0,1,0)</f>
        <v>1</v>
      </c>
      <c r="BM160" s="16">
        <f>SUM(BR160,BU160,BX160,CA160,CD160,CG160,CJ160,CM160,CP160)</f>
        <v>2</v>
      </c>
      <c r="BN160" s="16">
        <f>SUM(BW160,BZ160,CC160,CF160,CI160,CL160,CO160,CR160,BT160)</f>
        <v>32.941176470588232</v>
      </c>
      <c r="BO160" s="16">
        <f>IF(BP160&gt;0,1,0)</f>
        <v>1</v>
      </c>
      <c r="BP160" s="16">
        <f>SUM(BU160,BX160,CA160,CD160,BR160)</f>
        <v>2</v>
      </c>
      <c r="BQ160" s="16">
        <f>SUM(BZ160,CC160,CF160,BT160,BW160)</f>
        <v>32.941176470588232</v>
      </c>
      <c r="BR160" s="16">
        <v>0</v>
      </c>
      <c r="BS160" s="16">
        <v>0</v>
      </c>
      <c r="BT160" s="23">
        <f>BS160/AS160</f>
        <v>0</v>
      </c>
      <c r="BU160" s="16">
        <v>0</v>
      </c>
      <c r="BV160" s="16">
        <v>0</v>
      </c>
      <c r="BW160" s="16">
        <f>BV160/AS160</f>
        <v>0</v>
      </c>
      <c r="BX160" s="16">
        <v>1</v>
      </c>
      <c r="BY160" s="16">
        <v>13</v>
      </c>
      <c r="BZ160" s="16">
        <f>BY160/AS160</f>
        <v>30.588235294117645</v>
      </c>
      <c r="CA160" s="16">
        <v>1</v>
      </c>
      <c r="CB160" s="16">
        <v>1</v>
      </c>
      <c r="CC160" s="16">
        <f>CB160/AS160</f>
        <v>2.3529411764705879</v>
      </c>
      <c r="CD160" s="23">
        <v>0</v>
      </c>
      <c r="CE160" s="16">
        <v>0</v>
      </c>
      <c r="CF160" s="16">
        <f>CE160/AS160</f>
        <v>0</v>
      </c>
      <c r="CG160" s="16">
        <v>0</v>
      </c>
      <c r="CH160" s="16">
        <v>0</v>
      </c>
      <c r="CI160" s="16">
        <f>CH160/AS160</f>
        <v>0</v>
      </c>
      <c r="CM160" s="16">
        <v>0</v>
      </c>
      <c r="CN160" s="16">
        <v>0</v>
      </c>
      <c r="CO160" s="16">
        <f>CN160/AS160</f>
        <v>0</v>
      </c>
      <c r="CP160" s="16">
        <v>0</v>
      </c>
      <c r="CQ160" s="16">
        <v>0</v>
      </c>
      <c r="CR160" s="16">
        <f>CQ160/AS160</f>
        <v>0</v>
      </c>
      <c r="CS160" s="16">
        <f>IF(CT160&gt;0,1,0)</f>
        <v>1</v>
      </c>
      <c r="CT160" s="16">
        <f>SUM(CW160,CZ160,DC160)</f>
        <v>1</v>
      </c>
      <c r="CV160" s="16">
        <f>SUM(CY160,DB160,DE160)</f>
        <v>3359.9999999999995</v>
      </c>
      <c r="CW160" s="16">
        <v>1</v>
      </c>
      <c r="CX160" s="16">
        <v>1428</v>
      </c>
      <c r="CY160" s="16">
        <f>CX160/AS160</f>
        <v>3359.9999999999995</v>
      </c>
      <c r="CZ160" s="16">
        <v>0</v>
      </c>
      <c r="DA160" s="16">
        <v>0</v>
      </c>
      <c r="DB160" s="16">
        <f>DA160/AS160</f>
        <v>0</v>
      </c>
      <c r="DC160" s="16">
        <v>0</v>
      </c>
      <c r="DD160" s="16">
        <v>0</v>
      </c>
      <c r="DE160" s="16">
        <f>DD160/AS160</f>
        <v>0</v>
      </c>
      <c r="DF160" s="16" t="e">
        <f>VLOOKUP(K160,'[3]RNA Seq summary tables'!$V$3:$V$99,1,FALSE)</f>
        <v>#N/A</v>
      </c>
      <c r="DG160" s="16">
        <v>1</v>
      </c>
      <c r="DH160" s="16" t="str">
        <f>VLOOKUP(D160,'[6]workflow 3.2018'!$A$1:$S$237,2,FALSE)</f>
        <v>2017MLBS_15</v>
      </c>
      <c r="DI160" s="16">
        <v>42</v>
      </c>
      <c r="DK160" s="16">
        <v>51</v>
      </c>
      <c r="DM160" s="16">
        <v>4</v>
      </c>
      <c r="DO160" s="16">
        <v>0</v>
      </c>
      <c r="DQ160" s="16">
        <v>3</v>
      </c>
      <c r="DR160" s="16">
        <v>100</v>
      </c>
    </row>
    <row r="161" spans="1:288" x14ac:dyDescent="0.2">
      <c r="B161" s="16">
        <v>2017</v>
      </c>
      <c r="C161" s="20">
        <v>42905</v>
      </c>
      <c r="D161" s="20" t="str">
        <f>CONCATENATE(J161,"-",C161)</f>
        <v>1048-42905</v>
      </c>
      <c r="E161" s="20" t="str">
        <f>CONCATENATE(T161,"-",U161,"-",C161)</f>
        <v>SP2-G4-42905</v>
      </c>
      <c r="F161" s="20" t="s">
        <v>106</v>
      </c>
      <c r="G161" s="20" t="s">
        <v>107</v>
      </c>
      <c r="I161" s="16">
        <v>0</v>
      </c>
      <c r="J161" s="21">
        <v>1048</v>
      </c>
      <c r="K161" s="21">
        <v>1706</v>
      </c>
      <c r="L161" s="18">
        <v>0</v>
      </c>
      <c r="M161" s="21">
        <f>VLOOKUP($K161,'[4]blood tubes 2017'!$D$1:$L$647,8,FALSE)</f>
        <v>0</v>
      </c>
      <c r="N161" s="15">
        <v>0</v>
      </c>
      <c r="O161" s="15" t="s">
        <v>119</v>
      </c>
      <c r="P161" s="16" t="s">
        <v>119</v>
      </c>
      <c r="Q161" s="16">
        <v>0</v>
      </c>
      <c r="R161" s="16">
        <v>18</v>
      </c>
      <c r="T161" s="16" t="s">
        <v>137</v>
      </c>
      <c r="U161" s="16" t="s">
        <v>173</v>
      </c>
      <c r="V161" s="16" t="s">
        <v>114</v>
      </c>
      <c r="W161" s="16">
        <f>AI161/AG161</f>
        <v>0.797752808988764</v>
      </c>
      <c r="X161" s="16" t="s">
        <v>115</v>
      </c>
      <c r="Y161" s="16" t="s">
        <v>110</v>
      </c>
      <c r="Z161" s="16">
        <v>3</v>
      </c>
      <c r="AE161" s="16" t="s">
        <v>123</v>
      </c>
      <c r="AF161" s="16" t="s">
        <v>123</v>
      </c>
      <c r="AG161" s="16">
        <f>AH161-AI161</f>
        <v>89</v>
      </c>
      <c r="AH161" s="16">
        <v>160</v>
      </c>
      <c r="AI161" s="16">
        <v>71</v>
      </c>
      <c r="AK161" s="16">
        <v>21</v>
      </c>
      <c r="AL161" s="16">
        <v>0</v>
      </c>
      <c r="AM161" s="16">
        <v>0</v>
      </c>
      <c r="AN161" s="16">
        <v>0</v>
      </c>
      <c r="AO161" s="16">
        <v>0</v>
      </c>
      <c r="AP161" s="16">
        <f>SUM(AL161:AN161)</f>
        <v>0</v>
      </c>
      <c r="AQ161" s="16">
        <v>2.54</v>
      </c>
      <c r="AR161" s="16">
        <f>AP161-1.472</f>
        <v>-1.472</v>
      </c>
      <c r="AS161" s="16">
        <f>AQ161-1.472</f>
        <v>1.0680000000000001</v>
      </c>
      <c r="AT161" s="16" t="s">
        <v>164</v>
      </c>
      <c r="AW161" s="16">
        <f>IF(AX161&gt;0,1,0)</f>
        <v>1</v>
      </c>
      <c r="AX161" s="16">
        <f>SUM(BA161,BM161,CT161)</f>
        <v>2</v>
      </c>
      <c r="AY161" s="18">
        <f>SUM(BB161,BN161,CV161)</f>
        <v>897.94007490636693</v>
      </c>
      <c r="AZ161" s="16">
        <f>IF(BA161&gt;0,1,0)</f>
        <v>0</v>
      </c>
      <c r="BA161" s="16">
        <f>SUM(BC161,BF161,BI161)</f>
        <v>0</v>
      </c>
      <c r="BB161" s="16">
        <f>SUM(BE161,BH161,BK161)</f>
        <v>0</v>
      </c>
      <c r="BC161" s="16">
        <v>0</v>
      </c>
      <c r="BD161" s="16">
        <v>0</v>
      </c>
      <c r="BE161" s="16">
        <f>BD161/AS161</f>
        <v>0</v>
      </c>
      <c r="BF161" s="16">
        <v>0</v>
      </c>
      <c r="BG161" s="23">
        <v>0</v>
      </c>
      <c r="BH161" s="16">
        <f>BG161/AS161</f>
        <v>0</v>
      </c>
      <c r="BI161" s="16">
        <v>0</v>
      </c>
      <c r="BJ161" s="16">
        <v>0</v>
      </c>
      <c r="BK161" s="16">
        <f>BJ161/AS161</f>
        <v>0</v>
      </c>
      <c r="BL161" s="16">
        <f>IF(BM161&gt;0,1,0)</f>
        <v>1</v>
      </c>
      <c r="BM161" s="16">
        <f>SUM(BR161,BU161,BX161,CA161,CD161,CG161,CJ161,CM161,CP161)</f>
        <v>1</v>
      </c>
      <c r="BN161" s="16">
        <f>SUM(BW161,BZ161,CC161,CF161,CI161,CL161,CO161,CR161,BT161)</f>
        <v>0.93632958801498123</v>
      </c>
      <c r="BO161" s="16">
        <f>IF(BP161&gt;0,1,0)</f>
        <v>1</v>
      </c>
      <c r="BP161" s="16">
        <f>SUM(BU161,BX161,CA161,CD161,BR161)</f>
        <v>1</v>
      </c>
      <c r="BQ161" s="16">
        <f>SUM(BZ161,CC161,CF161,BT161,BW161)</f>
        <v>0.93632958801498123</v>
      </c>
      <c r="BR161" s="16">
        <v>0</v>
      </c>
      <c r="BS161" s="16">
        <v>0</v>
      </c>
      <c r="BT161" s="23">
        <f>BS161/AS161</f>
        <v>0</v>
      </c>
      <c r="BU161" s="16">
        <v>0</v>
      </c>
      <c r="BV161" s="16">
        <v>0</v>
      </c>
      <c r="BW161" s="16">
        <f>BV161/AS161</f>
        <v>0</v>
      </c>
      <c r="BX161" s="16">
        <v>0</v>
      </c>
      <c r="BY161" s="16">
        <v>0</v>
      </c>
      <c r="BZ161" s="16">
        <f>BY161/AS161</f>
        <v>0</v>
      </c>
      <c r="CA161" s="16">
        <v>0</v>
      </c>
      <c r="CB161" s="16">
        <v>0</v>
      </c>
      <c r="CC161" s="16">
        <f>CB161/AS161</f>
        <v>0</v>
      </c>
      <c r="CD161" s="23">
        <v>1</v>
      </c>
      <c r="CE161" s="16">
        <v>1</v>
      </c>
      <c r="CF161" s="16">
        <f>CE161/AS161</f>
        <v>0.93632958801498123</v>
      </c>
      <c r="CG161" s="16">
        <v>0</v>
      </c>
      <c r="CH161" s="16">
        <v>0</v>
      </c>
      <c r="CI161" s="16">
        <f>CH161/AS161</f>
        <v>0</v>
      </c>
      <c r="CM161" s="16">
        <v>0</v>
      </c>
      <c r="CN161" s="16">
        <v>0</v>
      </c>
      <c r="CO161" s="16">
        <f>CN161/AS161</f>
        <v>0</v>
      </c>
      <c r="CP161" s="16">
        <v>0</v>
      </c>
      <c r="CQ161" s="16">
        <v>0</v>
      </c>
      <c r="CR161" s="16">
        <f>CQ161/AS161</f>
        <v>0</v>
      </c>
      <c r="CS161" s="16">
        <f>IF(CT161&gt;0,1,0)</f>
        <v>1</v>
      </c>
      <c r="CT161" s="16">
        <f>SUM(CW161,CZ161,DC161)</f>
        <v>1</v>
      </c>
      <c r="CV161" s="16">
        <f>SUM(CY161,DB161,DE161)</f>
        <v>897.003745318352</v>
      </c>
      <c r="CW161" s="16">
        <v>1</v>
      </c>
      <c r="CX161" s="16">
        <v>958</v>
      </c>
      <c r="CY161" s="16">
        <f>CX161/AS161</f>
        <v>897.003745318352</v>
      </c>
      <c r="CZ161" s="16">
        <v>0</v>
      </c>
      <c r="DA161" s="16">
        <v>0</v>
      </c>
      <c r="DB161" s="16">
        <f>DA161/AS161</f>
        <v>0</v>
      </c>
      <c r="DC161" s="16">
        <v>0</v>
      </c>
      <c r="DD161" s="16">
        <v>0</v>
      </c>
      <c r="DE161" s="16">
        <f>DD161/AS161</f>
        <v>0</v>
      </c>
      <c r="DF161" s="16" t="e">
        <f>VLOOKUP(K161,'[3]RNA Seq summary tables'!$V$3:$V$99,1,FALSE)</f>
        <v>#N/A</v>
      </c>
      <c r="DI161" s="16">
        <v>67</v>
      </c>
      <c r="DK161" s="16">
        <v>30</v>
      </c>
      <c r="DM161" s="16">
        <v>3</v>
      </c>
      <c r="DO161" s="16">
        <v>0</v>
      </c>
      <c r="DQ161" s="16">
        <v>0</v>
      </c>
      <c r="DR161" s="16">
        <f>SUM(DI161:DQ161)</f>
        <v>100</v>
      </c>
      <c r="JO161" s="18"/>
    </row>
    <row r="162" spans="1:288" x14ac:dyDescent="0.2">
      <c r="B162" s="16">
        <v>2017</v>
      </c>
      <c r="C162" s="20">
        <v>42923</v>
      </c>
      <c r="D162" s="20" t="str">
        <f>CONCATENATE(J162,"-",C162)</f>
        <v>1048-42923</v>
      </c>
      <c r="E162" s="20" t="str">
        <f>CONCATENATE(T162,"-",U162,"-",C162)</f>
        <v>SP2-G3-42923</v>
      </c>
      <c r="F162" s="20" t="s">
        <v>106</v>
      </c>
      <c r="G162" s="20" t="s">
        <v>107</v>
      </c>
      <c r="H162" s="16" t="s">
        <v>251</v>
      </c>
      <c r="I162" s="16">
        <v>0</v>
      </c>
      <c r="J162" s="21">
        <v>1048</v>
      </c>
      <c r="K162" s="21">
        <v>1850</v>
      </c>
      <c r="L162" s="18">
        <v>0</v>
      </c>
      <c r="M162" s="21">
        <f>VLOOKUP($K162,'[4]blood tubes 2017'!$D$1:$L$647,8,FALSE)</f>
        <v>0</v>
      </c>
      <c r="N162" s="15">
        <v>0</v>
      </c>
      <c r="O162" s="15" t="s">
        <v>119</v>
      </c>
      <c r="P162" s="16" t="s">
        <v>119</v>
      </c>
      <c r="Q162" s="16">
        <v>0</v>
      </c>
      <c r="R162" s="16">
        <v>18</v>
      </c>
      <c r="T162" s="16" t="s">
        <v>137</v>
      </c>
      <c r="U162" s="16" t="s">
        <v>179</v>
      </c>
      <c r="V162" s="16" t="s">
        <v>114</v>
      </c>
      <c r="W162" s="16">
        <f>AI162/AG162</f>
        <v>0.84269662921348309</v>
      </c>
      <c r="X162" s="16" t="s">
        <v>115</v>
      </c>
      <c r="Y162" s="16" t="s">
        <v>110</v>
      </c>
      <c r="Z162" s="16">
        <v>3</v>
      </c>
      <c r="AE162" s="16" t="s">
        <v>116</v>
      </c>
      <c r="AF162" s="16" t="s">
        <v>116</v>
      </c>
      <c r="AG162" s="16">
        <f>AH162-AI162</f>
        <v>89</v>
      </c>
      <c r="AH162" s="16">
        <v>164</v>
      </c>
      <c r="AI162" s="16">
        <v>75</v>
      </c>
      <c r="AK162" s="16">
        <v>23</v>
      </c>
      <c r="AL162" s="16">
        <v>0</v>
      </c>
      <c r="AM162" s="16">
        <v>0</v>
      </c>
      <c r="AN162" s="16">
        <v>0</v>
      </c>
      <c r="AO162" s="16">
        <v>0</v>
      </c>
      <c r="AP162" s="16">
        <f>SUM(AL162:AN162)</f>
        <v>0</v>
      </c>
      <c r="AQ162" s="16">
        <v>2.6850000000000001</v>
      </c>
      <c r="AR162" s="16">
        <f>AP162-1.472</f>
        <v>-1.472</v>
      </c>
      <c r="AS162" s="16">
        <f>AQ162-1.472</f>
        <v>1.2130000000000001</v>
      </c>
      <c r="AT162" s="41" t="s">
        <v>252</v>
      </c>
      <c r="AU162" s="41"/>
      <c r="AV162" s="41"/>
      <c r="AW162" s="18"/>
      <c r="AX162" s="18"/>
      <c r="AY162" s="18"/>
      <c r="AZ162" s="18"/>
      <c r="BA162" s="18"/>
      <c r="BB162" s="18"/>
      <c r="BC162" s="18"/>
      <c r="BD162" s="18"/>
      <c r="BE162" s="18"/>
      <c r="BF162" s="18"/>
      <c r="BG162" s="25"/>
      <c r="BT162" s="23"/>
      <c r="CD162" s="23"/>
      <c r="DF162" s="16" t="e">
        <f>VLOOKUP(K162,'[3]RNA Seq summary tables'!$V$3:$V$99,1,FALSE)</f>
        <v>#N/A</v>
      </c>
      <c r="DI162" s="16">
        <v>60</v>
      </c>
      <c r="DK162" s="16">
        <v>39</v>
      </c>
      <c r="DM162" s="16">
        <v>1</v>
      </c>
      <c r="DO162" s="16">
        <v>0</v>
      </c>
      <c r="DQ162" s="16">
        <v>0</v>
      </c>
      <c r="DR162" s="16">
        <f>SUM(DI162:DQ162)</f>
        <v>100</v>
      </c>
      <c r="JR162" s="27"/>
      <c r="JS162" s="27"/>
      <c r="JT162" s="27"/>
      <c r="JU162" s="27"/>
      <c r="JV162" s="27"/>
      <c r="JW162" s="27"/>
      <c r="JX162" s="27"/>
      <c r="JY162" s="27"/>
      <c r="JZ162" s="27"/>
      <c r="KA162" s="27"/>
      <c r="KB162" s="27"/>
    </row>
    <row r="163" spans="1:288" x14ac:dyDescent="0.2">
      <c r="B163" s="16">
        <v>2017</v>
      </c>
      <c r="C163" s="66">
        <v>42887</v>
      </c>
      <c r="D163" s="66" t="str">
        <f>CONCATENATE(J163,"-",C163)</f>
        <v>1050-42887</v>
      </c>
      <c r="E163" s="20" t="str">
        <f>CONCATENATE(T163,"-",U163,"-",C163)</f>
        <v>SP2-G4-42887</v>
      </c>
      <c r="F163" s="20" t="s">
        <v>106</v>
      </c>
      <c r="G163" s="20" t="s">
        <v>107</v>
      </c>
      <c r="I163" s="16">
        <v>0</v>
      </c>
      <c r="J163" s="21">
        <v>1050</v>
      </c>
      <c r="K163" s="21">
        <v>1605</v>
      </c>
      <c r="L163" s="18">
        <v>0</v>
      </c>
      <c r="M163" s="21">
        <f>VLOOKUP($K163,'[4]blood tubes 2017'!$D$1:$L$647,8,FALSE)</f>
        <v>0</v>
      </c>
      <c r="N163" s="15">
        <v>0</v>
      </c>
      <c r="O163" s="15" t="s">
        <v>119</v>
      </c>
      <c r="P163" s="16" t="s">
        <v>119</v>
      </c>
      <c r="Q163" s="16">
        <v>0</v>
      </c>
      <c r="R163" s="16" t="s">
        <v>111</v>
      </c>
      <c r="T163" s="16" t="s">
        <v>137</v>
      </c>
      <c r="U163" s="16" t="s">
        <v>173</v>
      </c>
      <c r="V163" s="16" t="s">
        <v>114</v>
      </c>
      <c r="W163" s="16">
        <f>AI163/AG163</f>
        <v>0.82926829268292679</v>
      </c>
      <c r="X163" s="16" t="s">
        <v>115</v>
      </c>
      <c r="Y163" s="16" t="s">
        <v>110</v>
      </c>
      <c r="Z163" s="16">
        <v>3</v>
      </c>
      <c r="AE163" s="16" t="s">
        <v>123</v>
      </c>
      <c r="AF163" s="16" t="s">
        <v>123</v>
      </c>
      <c r="AG163" s="16">
        <f>AH163-AI163</f>
        <v>82</v>
      </c>
      <c r="AH163" s="16">
        <v>150</v>
      </c>
      <c r="AI163" s="16">
        <v>68</v>
      </c>
      <c r="AK163" s="16">
        <v>18</v>
      </c>
      <c r="AL163" s="16">
        <v>1</v>
      </c>
      <c r="AM163" s="16">
        <v>0</v>
      </c>
      <c r="AN163" s="16">
        <v>0</v>
      </c>
      <c r="AO163" s="16">
        <v>1</v>
      </c>
      <c r="AP163" s="16">
        <f>SUM(AL163:AN163)</f>
        <v>1</v>
      </c>
      <c r="AQ163" s="16">
        <v>1.9490000000000001</v>
      </c>
      <c r="AR163" s="16">
        <f>AP163-1.472</f>
        <v>-0.47199999999999998</v>
      </c>
      <c r="AS163" s="16">
        <f>AQ163-1.472</f>
        <v>0.47700000000000009</v>
      </c>
      <c r="AT163" s="16" t="s">
        <v>119</v>
      </c>
      <c r="AW163" s="16">
        <f>IF(AX163&gt;0,1,0)</f>
        <v>1</v>
      </c>
      <c r="AX163" s="16">
        <f>SUM(BA163,BM163,CT163)</f>
        <v>4</v>
      </c>
      <c r="AY163" s="18">
        <f>SUM(BB163,BN163,CV163)</f>
        <v>519.91614255765194</v>
      </c>
      <c r="AZ163" s="16">
        <f>IF(BA163&gt;0,1,0)</f>
        <v>1</v>
      </c>
      <c r="BA163" s="16">
        <f>SUM(BC163,BF163,BI163)</f>
        <v>3</v>
      </c>
      <c r="BB163" s="16">
        <f>SUM(BE163,BH163,BK163)</f>
        <v>394.12997903563934</v>
      </c>
      <c r="BC163" s="16">
        <v>1</v>
      </c>
      <c r="BD163" s="16">
        <v>2</v>
      </c>
      <c r="BE163" s="16">
        <f>BD163/AS163</f>
        <v>4.1928721174004187</v>
      </c>
      <c r="BF163" s="16">
        <v>1</v>
      </c>
      <c r="BG163" s="23">
        <v>23</v>
      </c>
      <c r="BH163" s="16">
        <f>BG163/AS163</f>
        <v>48.218029350104814</v>
      </c>
      <c r="BI163" s="16">
        <v>1</v>
      </c>
      <c r="BJ163" s="16">
        <v>163</v>
      </c>
      <c r="BK163" s="16">
        <f>BJ163/AS163</f>
        <v>341.71907756813408</v>
      </c>
      <c r="BL163" s="16">
        <f>IF(BM163&gt;0,1,0)</f>
        <v>1</v>
      </c>
      <c r="BM163" s="16">
        <f>SUM(BR163,BU163,BX163,CA163,CD163,CG163,CJ163,CM163,CP163)</f>
        <v>1</v>
      </c>
      <c r="BN163" s="16">
        <f>SUM(BW163,BZ163,CC163,CF163,CI163,CL163,CO163,CR163,BT163)</f>
        <v>125.78616352201256</v>
      </c>
      <c r="BO163" s="16">
        <f>IF(BP163&gt;0,1,0)</f>
        <v>1</v>
      </c>
      <c r="BP163" s="16">
        <f>SUM(BU163,BX163,CA163,CD163,BR163)</f>
        <v>1</v>
      </c>
      <c r="BQ163" s="16">
        <f>SUM(BZ163,CC163,CF163,BT163,BW163)</f>
        <v>125.78616352201256</v>
      </c>
      <c r="BR163" s="16">
        <v>0</v>
      </c>
      <c r="BS163" s="16">
        <v>0</v>
      </c>
      <c r="BT163" s="23">
        <f>BS163/AS163</f>
        <v>0</v>
      </c>
      <c r="BU163" s="16">
        <v>0</v>
      </c>
      <c r="BV163" s="16">
        <v>0</v>
      </c>
      <c r="BW163" s="16">
        <f>BV163/AS163</f>
        <v>0</v>
      </c>
      <c r="BX163" s="16">
        <v>1</v>
      </c>
      <c r="BY163" s="16">
        <v>60</v>
      </c>
      <c r="BZ163" s="16">
        <f>BY163/AS163</f>
        <v>125.78616352201256</v>
      </c>
      <c r="CA163" s="16">
        <v>0</v>
      </c>
      <c r="CB163" s="16">
        <v>0</v>
      </c>
      <c r="CC163" s="16">
        <f>CB163/AS163</f>
        <v>0</v>
      </c>
      <c r="CD163" s="23">
        <v>0</v>
      </c>
      <c r="CE163" s="16">
        <v>0</v>
      </c>
      <c r="CF163" s="16">
        <f>CE163/AS163</f>
        <v>0</v>
      </c>
      <c r="CG163" s="16">
        <v>0</v>
      </c>
      <c r="CH163" s="16">
        <v>0</v>
      </c>
      <c r="CI163" s="16">
        <f>CH163/AS163</f>
        <v>0</v>
      </c>
      <c r="CM163" s="16">
        <v>0</v>
      </c>
      <c r="CN163" s="16">
        <v>0</v>
      </c>
      <c r="CO163" s="16">
        <f>CN163/AS163</f>
        <v>0</v>
      </c>
      <c r="CP163" s="16">
        <v>0</v>
      </c>
      <c r="CQ163" s="16">
        <v>0</v>
      </c>
      <c r="CR163" s="16">
        <f>CQ163/AS163</f>
        <v>0</v>
      </c>
      <c r="CS163" s="16">
        <f>IF(CT163&gt;0,1,0)</f>
        <v>0</v>
      </c>
      <c r="CT163" s="16">
        <f>SUM(CW163,CZ163,DC163)</f>
        <v>0</v>
      </c>
      <c r="CV163" s="16">
        <f>SUM(CY163,DB163,DE163)</f>
        <v>0</v>
      </c>
      <c r="CW163" s="16">
        <v>0</v>
      </c>
      <c r="CX163" s="16">
        <v>0</v>
      </c>
      <c r="CY163" s="16">
        <f>CX163/AS163</f>
        <v>0</v>
      </c>
      <c r="CZ163" s="16">
        <v>0</v>
      </c>
      <c r="DA163" s="16">
        <v>0</v>
      </c>
      <c r="DB163" s="16">
        <f>DA163/AS163</f>
        <v>0</v>
      </c>
      <c r="DC163" s="16">
        <v>0</v>
      </c>
      <c r="DD163" s="16">
        <v>0</v>
      </c>
      <c r="DE163" s="16">
        <f>DD163/AS163</f>
        <v>0</v>
      </c>
      <c r="DF163" s="16" t="e">
        <f>VLOOKUP(K163,'[3]RNA Seq summary tables'!$V$3:$V$99,1,FALSE)</f>
        <v>#N/A</v>
      </c>
      <c r="DG163" s="16">
        <v>1</v>
      </c>
      <c r="DH163" s="16" t="str">
        <f>VLOOKUP(D163,'[6]workflow 3.2018'!$A$1:$S$237,2,FALSE)</f>
        <v>2017MLBS_17</v>
      </c>
      <c r="DI163" s="16">
        <v>61</v>
      </c>
      <c r="DK163" s="16">
        <v>21</v>
      </c>
      <c r="DM163" s="16">
        <v>15</v>
      </c>
      <c r="DO163" s="16">
        <v>0</v>
      </c>
      <c r="DQ163" s="16">
        <v>3</v>
      </c>
      <c r="DR163" s="16">
        <v>100</v>
      </c>
    </row>
    <row r="164" spans="1:288" x14ac:dyDescent="0.2">
      <c r="B164" s="16">
        <v>2017</v>
      </c>
      <c r="C164" s="20">
        <v>42905</v>
      </c>
      <c r="D164" s="20" t="str">
        <f>CONCATENATE(J164,"-",C164)</f>
        <v>1050-42905</v>
      </c>
      <c r="E164" s="20" t="str">
        <f>CONCATENATE(T164,"-",U164,"-",C164)</f>
        <v>SP2-H6-42905</v>
      </c>
      <c r="F164" s="20" t="s">
        <v>106</v>
      </c>
      <c r="G164" s="20" t="s">
        <v>107</v>
      </c>
      <c r="I164" s="16">
        <v>0</v>
      </c>
      <c r="J164" s="21">
        <v>1050</v>
      </c>
      <c r="K164" s="21">
        <v>1707</v>
      </c>
      <c r="L164" s="18">
        <v>0</v>
      </c>
      <c r="M164" s="21">
        <f>VLOOKUP($K164,'[4]blood tubes 2017'!$D$1:$L$647,8,FALSE)</f>
        <v>0</v>
      </c>
      <c r="N164" s="15">
        <v>0</v>
      </c>
      <c r="O164" s="15" t="s">
        <v>119</v>
      </c>
      <c r="P164" s="16" t="s">
        <v>119</v>
      </c>
      <c r="Q164" s="16">
        <v>0</v>
      </c>
      <c r="R164" s="16">
        <v>18</v>
      </c>
      <c r="T164" s="16" t="s">
        <v>137</v>
      </c>
      <c r="U164" s="16" t="s">
        <v>141</v>
      </c>
      <c r="V164" s="16" t="s">
        <v>114</v>
      </c>
      <c r="W164" s="16">
        <f>AI164/AG164</f>
        <v>0.90476190476190477</v>
      </c>
      <c r="X164" s="16" t="s">
        <v>115</v>
      </c>
      <c r="Y164" s="16" t="s">
        <v>110</v>
      </c>
      <c r="Z164" s="16">
        <v>3</v>
      </c>
      <c r="AE164" s="16" t="s">
        <v>116</v>
      </c>
      <c r="AF164" s="16" t="s">
        <v>116</v>
      </c>
      <c r="AG164" s="16">
        <f>AH164-AI164</f>
        <v>84</v>
      </c>
      <c r="AH164" s="16">
        <v>160</v>
      </c>
      <c r="AI164" s="16">
        <v>76</v>
      </c>
      <c r="AK164" s="16">
        <v>22.5</v>
      </c>
      <c r="AL164" s="16">
        <v>0</v>
      </c>
      <c r="AM164" s="16">
        <v>0</v>
      </c>
      <c r="AN164" s="16">
        <v>0</v>
      </c>
      <c r="AO164" s="16">
        <v>0</v>
      </c>
      <c r="AP164" s="16">
        <f>SUM(AL164:AN164)</f>
        <v>0</v>
      </c>
      <c r="AQ164" s="16">
        <v>2.109</v>
      </c>
      <c r="AR164" s="16">
        <f>AP164-1.472</f>
        <v>-1.472</v>
      </c>
      <c r="AS164" s="16">
        <f>AQ164-1.472</f>
        <v>0.63700000000000001</v>
      </c>
      <c r="AT164" s="16" t="s">
        <v>234</v>
      </c>
      <c r="AW164" s="16">
        <f>IF(AX164&gt;0,1,0)</f>
        <v>1</v>
      </c>
      <c r="AX164" s="16">
        <f>SUM(BA164,BM164,CT164)</f>
        <v>4</v>
      </c>
      <c r="AY164" s="18">
        <f>SUM(BB164,BN164,CV164)</f>
        <v>21.978021978021978</v>
      </c>
      <c r="AZ164" s="16">
        <f>IF(BA164&gt;0,1,0)</f>
        <v>1</v>
      </c>
      <c r="BA164" s="16">
        <f>SUM(BC164,BF164,BI164)</f>
        <v>3</v>
      </c>
      <c r="BB164" s="16">
        <f>SUM(BE164,BH164,BK164)</f>
        <v>20.408163265306122</v>
      </c>
      <c r="BC164" s="16">
        <v>1</v>
      </c>
      <c r="BD164" s="16">
        <v>2</v>
      </c>
      <c r="BE164" s="16">
        <f>BD164/AS164</f>
        <v>3.1397174254317113</v>
      </c>
      <c r="BF164" s="16">
        <v>1</v>
      </c>
      <c r="BG164" s="23">
        <v>1</v>
      </c>
      <c r="BH164" s="16">
        <f>BG164/AS164</f>
        <v>1.5698587127158556</v>
      </c>
      <c r="BI164" s="16">
        <v>1</v>
      </c>
      <c r="BJ164" s="16">
        <v>10</v>
      </c>
      <c r="BK164" s="16">
        <f>BJ164/AS164</f>
        <v>15.698587127158556</v>
      </c>
      <c r="BL164" s="16">
        <f>IF(BM164&gt;0,1,0)</f>
        <v>1</v>
      </c>
      <c r="BM164" s="16">
        <f>SUM(BR164,BU164,BX164,CA164,CD164,CG164,CJ164,CM164,CP164)</f>
        <v>1</v>
      </c>
      <c r="BN164" s="16">
        <f>SUM(BW164,BZ164,CC164,CF164,CI164,CL164,CO164,CR164,BT164)</f>
        <v>1.5698587127158556</v>
      </c>
      <c r="BO164" s="16">
        <f>IF(BP164&gt;0,1,0)</f>
        <v>1</v>
      </c>
      <c r="BP164" s="16">
        <f>SUM(BU164,BX164,CA164,CD164,BR164)</f>
        <v>1</v>
      </c>
      <c r="BQ164" s="16">
        <f>SUM(BZ164,CC164,CF164,BT164,BW164)</f>
        <v>1.5698587127158556</v>
      </c>
      <c r="BR164" s="16">
        <v>0</v>
      </c>
      <c r="BS164" s="16">
        <v>0</v>
      </c>
      <c r="BT164" s="23">
        <f>BS164/AS164</f>
        <v>0</v>
      </c>
      <c r="BU164" s="16">
        <v>0</v>
      </c>
      <c r="BV164" s="16">
        <v>0</v>
      </c>
      <c r="BW164" s="16">
        <f>BV164/AS164</f>
        <v>0</v>
      </c>
      <c r="BX164" s="16">
        <v>0</v>
      </c>
      <c r="BY164" s="16">
        <v>0</v>
      </c>
      <c r="BZ164" s="16">
        <f>BY164/AS164</f>
        <v>0</v>
      </c>
      <c r="CA164" s="16">
        <v>1</v>
      </c>
      <c r="CB164" s="16">
        <v>1</v>
      </c>
      <c r="CC164" s="16">
        <f>CB164/AS164</f>
        <v>1.5698587127158556</v>
      </c>
      <c r="CD164" s="23">
        <v>0</v>
      </c>
      <c r="CE164" s="16">
        <v>0</v>
      </c>
      <c r="CF164" s="16">
        <f>CE164/AS164</f>
        <v>0</v>
      </c>
      <c r="CG164" s="16">
        <v>0</v>
      </c>
      <c r="CH164" s="16">
        <v>0</v>
      </c>
      <c r="CI164" s="16">
        <f>CH164/AS164</f>
        <v>0</v>
      </c>
      <c r="CM164" s="16">
        <v>0</v>
      </c>
      <c r="CN164" s="16">
        <v>0</v>
      </c>
      <c r="CO164" s="16">
        <f>CN164/AS164</f>
        <v>0</v>
      </c>
      <c r="CP164" s="16">
        <v>0</v>
      </c>
      <c r="CQ164" s="16">
        <v>0</v>
      </c>
      <c r="CR164" s="16">
        <f>CQ164/AS164</f>
        <v>0</v>
      </c>
      <c r="CS164" s="16">
        <f>IF(CT164&gt;0,1,0)</f>
        <v>0</v>
      </c>
      <c r="CT164" s="16">
        <f>SUM(CW164,CZ164,DC164)</f>
        <v>0</v>
      </c>
      <c r="CV164" s="16">
        <f>SUM(CY164,DB164,DE164)</f>
        <v>0</v>
      </c>
      <c r="CW164" s="16">
        <v>0</v>
      </c>
      <c r="CX164" s="16">
        <v>0</v>
      </c>
      <c r="CY164" s="16">
        <f>CX164/AS164</f>
        <v>0</v>
      </c>
      <c r="CZ164" s="16">
        <v>0</v>
      </c>
      <c r="DA164" s="16">
        <v>0</v>
      </c>
      <c r="DB164" s="16">
        <f>DA164/AS164</f>
        <v>0</v>
      </c>
      <c r="DC164" s="16">
        <v>0</v>
      </c>
      <c r="DD164" s="16">
        <v>0</v>
      </c>
      <c r="DE164" s="16">
        <f>DD164/AS164</f>
        <v>0</v>
      </c>
      <c r="DF164" s="16" t="e">
        <f>VLOOKUP(K164,'[3]RNA Seq summary tables'!$V$3:$V$99,1,FALSE)</f>
        <v>#N/A</v>
      </c>
      <c r="DI164" s="16">
        <v>61</v>
      </c>
      <c r="DK164" s="16">
        <v>37</v>
      </c>
      <c r="DM164" s="16">
        <v>2</v>
      </c>
      <c r="DO164" s="16">
        <v>0</v>
      </c>
      <c r="DQ164" s="16">
        <v>0</v>
      </c>
      <c r="DR164" s="16">
        <f>SUM(DI164:DQ164)</f>
        <v>100</v>
      </c>
      <c r="JP164" s="18"/>
      <c r="JQ164" s="18"/>
    </row>
    <row r="165" spans="1:288" x14ac:dyDescent="0.2">
      <c r="B165" s="18">
        <v>2017</v>
      </c>
      <c r="C165" s="71">
        <v>42888</v>
      </c>
      <c r="D165" s="71" t="str">
        <f>CONCATENATE(J165,"-",C165)</f>
        <v>1052-42888</v>
      </c>
      <c r="E165" s="20" t="str">
        <f>CONCATENATE(T165,"-",U165,"-",C165)</f>
        <v>SP1-H3-42888</v>
      </c>
      <c r="F165" s="20" t="s">
        <v>106</v>
      </c>
      <c r="G165" s="37" t="s">
        <v>107</v>
      </c>
      <c r="H165" s="18"/>
      <c r="I165" s="16">
        <v>0</v>
      </c>
      <c r="J165" s="36">
        <v>1052</v>
      </c>
      <c r="K165" s="36">
        <v>1607</v>
      </c>
      <c r="L165" s="18">
        <v>0</v>
      </c>
      <c r="M165" s="21">
        <f>VLOOKUP($K165,'[4]blood tubes 2017'!$D$1:$L$647,8,FALSE)</f>
        <v>0</v>
      </c>
      <c r="N165" s="15">
        <v>0</v>
      </c>
      <c r="O165" s="15" t="s">
        <v>119</v>
      </c>
      <c r="P165" s="18" t="s">
        <v>119</v>
      </c>
      <c r="Q165" s="16">
        <v>0</v>
      </c>
      <c r="R165" s="18" t="s">
        <v>111</v>
      </c>
      <c r="S165" s="18"/>
      <c r="T165" s="18" t="s">
        <v>140</v>
      </c>
      <c r="U165" s="18" t="s">
        <v>174</v>
      </c>
      <c r="V165" s="18" t="s">
        <v>114</v>
      </c>
      <c r="W165" s="16">
        <f>AI165/AG165</f>
        <v>0.89772727272727271</v>
      </c>
      <c r="X165" s="18" t="s">
        <v>121</v>
      </c>
      <c r="Y165" s="18" t="s">
        <v>110</v>
      </c>
      <c r="Z165" s="18">
        <v>3</v>
      </c>
      <c r="AA165" s="18" t="s">
        <v>119</v>
      </c>
      <c r="AB165" s="18" t="s">
        <v>116</v>
      </c>
      <c r="AC165" s="18" t="s">
        <v>123</v>
      </c>
      <c r="AD165" s="18" t="s">
        <v>123</v>
      </c>
      <c r="AE165" s="18"/>
      <c r="AF165" s="18"/>
      <c r="AG165" s="18">
        <f>AH165-AI165</f>
        <v>88</v>
      </c>
      <c r="AH165" s="18">
        <v>167</v>
      </c>
      <c r="AI165" s="18">
        <v>79</v>
      </c>
      <c r="AJ165" s="18"/>
      <c r="AK165" s="18">
        <v>23</v>
      </c>
      <c r="AL165" s="18">
        <v>1</v>
      </c>
      <c r="AM165" s="18">
        <v>0</v>
      </c>
      <c r="AN165" s="18">
        <v>0</v>
      </c>
      <c r="AO165" s="18">
        <v>1</v>
      </c>
      <c r="AP165" s="18">
        <f>SUM(AL165:AN165)</f>
        <v>1</v>
      </c>
      <c r="AQ165" s="18">
        <v>2.1230000000000002</v>
      </c>
      <c r="AR165" s="18">
        <f>AP165-1.472</f>
        <v>-0.47199999999999998</v>
      </c>
      <c r="AS165" s="18">
        <f>AQ165-1.472</f>
        <v>0.65100000000000025</v>
      </c>
      <c r="AT165" s="18" t="s">
        <v>119</v>
      </c>
      <c r="AU165" s="18"/>
      <c r="AV165" s="18"/>
      <c r="AW165" s="18">
        <f>IF(AX165&gt;0,1,0)</f>
        <v>1</v>
      </c>
      <c r="AX165" s="18">
        <f>SUM(BA165,BM165,CT165)</f>
        <v>6</v>
      </c>
      <c r="AY165" s="18">
        <f>SUM(BB165,BN165,CV165)</f>
        <v>513.05683563748062</v>
      </c>
      <c r="AZ165" s="18">
        <f>IF(BA165&gt;0,1,0)</f>
        <v>1</v>
      </c>
      <c r="BA165" s="18">
        <f>SUM(BC165,BF165,BI165)</f>
        <v>3</v>
      </c>
      <c r="BB165" s="18">
        <f>SUM(BE165,BH165,BK165)</f>
        <v>50.691244239631317</v>
      </c>
      <c r="BC165" s="18">
        <v>1</v>
      </c>
      <c r="BD165" s="18">
        <v>6</v>
      </c>
      <c r="BE165" s="18">
        <f>BD165/AS165</f>
        <v>9.2165898617511495</v>
      </c>
      <c r="BF165" s="18">
        <v>1</v>
      </c>
      <c r="BG165" s="25">
        <v>12</v>
      </c>
      <c r="BH165" s="18">
        <f>BG165/AS165</f>
        <v>18.433179723502299</v>
      </c>
      <c r="BI165" s="18">
        <v>1</v>
      </c>
      <c r="BJ165" s="18">
        <v>15</v>
      </c>
      <c r="BK165" s="18">
        <f>BJ165/AS165</f>
        <v>23.041474654377872</v>
      </c>
      <c r="BL165" s="16">
        <f>IF(BM165&gt;0,1,0)</f>
        <v>1</v>
      </c>
      <c r="BM165" s="16">
        <f>SUM(BR165,BU165,BX165,CA165,CD165,CG165,CJ165,CM165,CP165)</f>
        <v>3</v>
      </c>
      <c r="BN165" s="18">
        <f>SUM(BW165,BZ165,CC165,CF165,CI165,CL165,CO165,CR165,BT165)</f>
        <v>462.3655913978493</v>
      </c>
      <c r="BO165" s="16">
        <f>IF(BP165&gt;0,1,0)</f>
        <v>1</v>
      </c>
      <c r="BP165" s="16">
        <f>SUM(BU165,BX165,CA165,CD165,BR165)</f>
        <v>2</v>
      </c>
      <c r="BQ165" s="16">
        <f>SUM(BZ165,CC165,CF165,BT165,BW165)</f>
        <v>434.71582181259583</v>
      </c>
      <c r="BR165" s="18">
        <v>1</v>
      </c>
      <c r="BS165" s="18">
        <v>24</v>
      </c>
      <c r="BT165" s="25">
        <f>BS165/AS165</f>
        <v>36.866359447004598</v>
      </c>
      <c r="BU165" s="18">
        <v>0</v>
      </c>
      <c r="BV165" s="18">
        <v>0</v>
      </c>
      <c r="BW165" s="18">
        <f>BV165/AS165</f>
        <v>0</v>
      </c>
      <c r="BX165" s="18">
        <v>1</v>
      </c>
      <c r="BY165" s="18">
        <v>259</v>
      </c>
      <c r="BZ165" s="18">
        <f>BY165/AS165</f>
        <v>397.84946236559125</v>
      </c>
      <c r="CA165" s="18">
        <v>0</v>
      </c>
      <c r="CB165" s="18">
        <v>0</v>
      </c>
      <c r="CC165" s="18">
        <f>CB165/AS165</f>
        <v>0</v>
      </c>
      <c r="CD165" s="25">
        <v>0</v>
      </c>
      <c r="CE165" s="18">
        <v>0</v>
      </c>
      <c r="CF165" s="18">
        <f>CE165/AS165</f>
        <v>0</v>
      </c>
      <c r="CG165" s="18">
        <v>1</v>
      </c>
      <c r="CH165" s="18">
        <v>18</v>
      </c>
      <c r="CI165" s="18">
        <f>CH165/AS165</f>
        <v>27.649769585253445</v>
      </c>
      <c r="CJ165" s="18"/>
      <c r="CK165" s="18"/>
      <c r="CL165" s="18"/>
      <c r="CM165" s="18">
        <v>0</v>
      </c>
      <c r="CN165" s="18">
        <v>0</v>
      </c>
      <c r="CO165" s="18">
        <f>CN165/AS165</f>
        <v>0</v>
      </c>
      <c r="CP165" s="18">
        <v>0</v>
      </c>
      <c r="CQ165" s="18">
        <v>0</v>
      </c>
      <c r="CR165" s="18">
        <f>CQ165/AS165</f>
        <v>0</v>
      </c>
      <c r="CS165" s="18">
        <f>IF(CT165&gt;0,1,0)</f>
        <v>0</v>
      </c>
      <c r="CT165" s="18">
        <f>SUM(CW165,CZ165,DC165)</f>
        <v>0</v>
      </c>
      <c r="CU165" s="18"/>
      <c r="CV165" s="18">
        <f>SUM(CY165,DB165,DE165)</f>
        <v>0</v>
      </c>
      <c r="CW165" s="18">
        <v>0</v>
      </c>
      <c r="CX165" s="18">
        <v>0</v>
      </c>
      <c r="CY165" s="18">
        <f>CX165/AS165</f>
        <v>0</v>
      </c>
      <c r="CZ165" s="18">
        <v>0</v>
      </c>
      <c r="DA165" s="18">
        <v>0</v>
      </c>
      <c r="DB165" s="18">
        <f>DA165/AS165</f>
        <v>0</v>
      </c>
      <c r="DC165" s="18">
        <v>0</v>
      </c>
      <c r="DD165" s="18">
        <v>0</v>
      </c>
      <c r="DE165" s="18">
        <f>DD165/AS165</f>
        <v>0</v>
      </c>
      <c r="DF165" s="16" t="e">
        <f>VLOOKUP(K165,'[3]RNA Seq summary tables'!$V$3:$V$99,1,FALSE)</f>
        <v>#N/A</v>
      </c>
      <c r="DG165" s="16">
        <v>1</v>
      </c>
      <c r="DH165" s="16" t="str">
        <f>VLOOKUP(D165,'[6]workflow 3.2018'!$A$1:$S$237,2,FALSE)</f>
        <v>2017MLBS_19</v>
      </c>
      <c r="DI165" s="18">
        <v>71</v>
      </c>
      <c r="DJ165" s="18"/>
      <c r="DK165" s="18">
        <v>16</v>
      </c>
      <c r="DL165" s="18"/>
      <c r="DM165" s="18">
        <v>12</v>
      </c>
      <c r="DN165" s="18"/>
      <c r="DO165" s="18">
        <v>0</v>
      </c>
      <c r="DP165" s="18"/>
      <c r="DQ165" s="18">
        <v>1</v>
      </c>
      <c r="DR165" s="18">
        <v>100</v>
      </c>
      <c r="DS165" s="18"/>
    </row>
    <row r="166" spans="1:288" x14ac:dyDescent="0.2">
      <c r="B166" s="16">
        <v>2017</v>
      </c>
      <c r="C166" s="20">
        <v>42905</v>
      </c>
      <c r="D166" s="20" t="str">
        <f>CONCATENATE(J166,"-",C166)</f>
        <v>1052-42905</v>
      </c>
      <c r="E166" s="20" t="str">
        <f>CONCATENATE(T166,"-",U166,"-",C166)</f>
        <v>SP1-H3-42905</v>
      </c>
      <c r="F166" s="20" t="s">
        <v>106</v>
      </c>
      <c r="G166" s="20" t="s">
        <v>107</v>
      </c>
      <c r="I166" s="16">
        <v>0</v>
      </c>
      <c r="J166" s="21">
        <v>1052</v>
      </c>
      <c r="K166" s="21">
        <v>1700</v>
      </c>
      <c r="L166" s="18">
        <v>0</v>
      </c>
      <c r="M166" s="21">
        <f>VLOOKUP($K166,'[4]blood tubes 2017'!$D$1:$L$647,8,FALSE)</f>
        <v>0</v>
      </c>
      <c r="N166" s="15">
        <v>0</v>
      </c>
      <c r="O166" s="15" t="s">
        <v>119</v>
      </c>
      <c r="P166" s="16" t="s">
        <v>119</v>
      </c>
      <c r="Q166" s="16">
        <v>0</v>
      </c>
      <c r="R166" s="16">
        <v>17</v>
      </c>
      <c r="T166" s="16" t="s">
        <v>140</v>
      </c>
      <c r="U166" s="16" t="s">
        <v>174</v>
      </c>
      <c r="V166" s="16" t="s">
        <v>114</v>
      </c>
      <c r="W166" s="16">
        <f>AI166/AG166</f>
        <v>0.82608695652173914</v>
      </c>
      <c r="X166" s="16" t="s">
        <v>121</v>
      </c>
      <c r="Y166" s="16" t="s">
        <v>110</v>
      </c>
      <c r="Z166" s="16">
        <v>3</v>
      </c>
      <c r="AA166" s="16" t="s">
        <v>161</v>
      </c>
      <c r="AB166" s="16" t="s">
        <v>115</v>
      </c>
      <c r="AC166" s="16" t="s">
        <v>123</v>
      </c>
      <c r="AD166" s="16" t="s">
        <v>116</v>
      </c>
      <c r="AG166" s="16">
        <f>AH166-AI166</f>
        <v>92</v>
      </c>
      <c r="AH166" s="16">
        <v>168</v>
      </c>
      <c r="AI166" s="16">
        <v>76</v>
      </c>
      <c r="AK166" s="16">
        <v>24</v>
      </c>
      <c r="AL166" s="16">
        <v>0</v>
      </c>
      <c r="AM166" s="16">
        <v>0</v>
      </c>
      <c r="AN166" s="16">
        <v>0</v>
      </c>
      <c r="AO166" s="16">
        <v>0</v>
      </c>
      <c r="AP166" s="16">
        <f>SUM(AL166:AN166)</f>
        <v>0</v>
      </c>
      <c r="AQ166" s="16">
        <v>2.5449999999999999</v>
      </c>
      <c r="AR166" s="16">
        <f>AP166-1.472</f>
        <v>-1.472</v>
      </c>
      <c r="AS166" s="16">
        <f>AQ166-1.472</f>
        <v>1.073</v>
      </c>
      <c r="AT166" s="16" t="s">
        <v>233</v>
      </c>
      <c r="AW166" s="16">
        <f>IF(AX166&gt;0,1,0)</f>
        <v>1</v>
      </c>
      <c r="AX166" s="16">
        <f>SUM(BA166,BM166,CT166)</f>
        <v>4</v>
      </c>
      <c r="AY166" s="18">
        <f>SUM(BB166,BN166,CV166)</f>
        <v>122.08760484622555</v>
      </c>
      <c r="AZ166" s="16">
        <f>IF(BA166&gt;0,1,0)</f>
        <v>1</v>
      </c>
      <c r="BA166" s="16">
        <f>SUM(BC166,BF166,BI166)</f>
        <v>1</v>
      </c>
      <c r="BB166" s="16">
        <f>SUM(BE166,BH166,BK166)</f>
        <v>0.93196644920782856</v>
      </c>
      <c r="BC166" s="16">
        <v>0</v>
      </c>
      <c r="BD166" s="16">
        <v>0</v>
      </c>
      <c r="BE166" s="16">
        <f>BD166/AS166</f>
        <v>0</v>
      </c>
      <c r="BF166" s="16">
        <v>1</v>
      </c>
      <c r="BG166" s="23">
        <v>1</v>
      </c>
      <c r="BH166" s="16">
        <f>BG166/AS166</f>
        <v>0.93196644920782856</v>
      </c>
      <c r="BI166" s="16">
        <v>0</v>
      </c>
      <c r="BJ166" s="16">
        <v>0</v>
      </c>
      <c r="BK166" s="16">
        <f>BJ166/AS166</f>
        <v>0</v>
      </c>
      <c r="BL166" s="16">
        <f>IF(BM166&gt;0,1,0)</f>
        <v>1</v>
      </c>
      <c r="BM166" s="16">
        <f>SUM(BR166,BU166,BX166,CA166,CD166,CG166,CJ166,CM166,CP166)</f>
        <v>3</v>
      </c>
      <c r="BN166" s="16">
        <f>SUM(BW166,BZ166,CC166,CF166,CI166,CL166,CO166,CR166,BT166)</f>
        <v>121.15563839701771</v>
      </c>
      <c r="BO166" s="16">
        <f>IF(BP166&gt;0,1,0)</f>
        <v>1</v>
      </c>
      <c r="BP166" s="16">
        <f>SUM(BU166,BX166,CA166,CD166,BR166)</f>
        <v>3</v>
      </c>
      <c r="BQ166" s="16">
        <f>SUM(BZ166,CC166,CF166,BT166,BW166)</f>
        <v>121.15563839701771</v>
      </c>
      <c r="BR166" s="16">
        <v>1</v>
      </c>
      <c r="BS166" s="16">
        <v>4</v>
      </c>
      <c r="BT166" s="23">
        <f>BS166/AS166</f>
        <v>3.7278657968313142</v>
      </c>
      <c r="BU166" s="16">
        <v>1</v>
      </c>
      <c r="BV166" s="16">
        <v>2</v>
      </c>
      <c r="BW166" s="16">
        <f>BV166/AS166</f>
        <v>1.8639328984156571</v>
      </c>
      <c r="BX166" s="16">
        <v>1</v>
      </c>
      <c r="BY166" s="16">
        <v>124</v>
      </c>
      <c r="BZ166" s="16">
        <f>BY166/AS166</f>
        <v>115.56383970177075</v>
      </c>
      <c r="CA166" s="16">
        <v>0</v>
      </c>
      <c r="CB166" s="16">
        <v>0</v>
      </c>
      <c r="CC166" s="16">
        <f>CB166/AS166</f>
        <v>0</v>
      </c>
      <c r="CD166" s="23">
        <v>0</v>
      </c>
      <c r="CE166" s="16">
        <v>0</v>
      </c>
      <c r="CF166" s="16">
        <f>CE166/AS166</f>
        <v>0</v>
      </c>
      <c r="CG166" s="16">
        <v>0</v>
      </c>
      <c r="CH166" s="16">
        <v>0</v>
      </c>
      <c r="CI166" s="16">
        <f>CH166/AS166</f>
        <v>0</v>
      </c>
      <c r="CM166" s="16">
        <v>0</v>
      </c>
      <c r="CN166" s="16">
        <v>0</v>
      </c>
      <c r="CO166" s="16">
        <f>CN166/AS166</f>
        <v>0</v>
      </c>
      <c r="CP166" s="16">
        <v>0</v>
      </c>
      <c r="CQ166" s="16">
        <v>0</v>
      </c>
      <c r="CR166" s="16">
        <f>CQ166/AS166</f>
        <v>0</v>
      </c>
      <c r="CS166" s="16">
        <f>IF(CT166&gt;0,1,0)</f>
        <v>0</v>
      </c>
      <c r="CT166" s="16">
        <f>SUM(CW166,CZ166,DC166)</f>
        <v>0</v>
      </c>
      <c r="CV166" s="16">
        <f>SUM(CY166,DB166,DE166)</f>
        <v>0</v>
      </c>
      <c r="CW166" s="16">
        <v>0</v>
      </c>
      <c r="CX166" s="16">
        <v>0</v>
      </c>
      <c r="CY166" s="16">
        <f>CX166/AS166</f>
        <v>0</v>
      </c>
      <c r="CZ166" s="16">
        <v>0</v>
      </c>
      <c r="DA166" s="16">
        <v>0</v>
      </c>
      <c r="DB166" s="16">
        <f>DA166/AS166</f>
        <v>0</v>
      </c>
      <c r="DC166" s="16">
        <v>0</v>
      </c>
      <c r="DD166" s="16">
        <v>0</v>
      </c>
      <c r="DE166" s="16">
        <f>DD166/AS166</f>
        <v>0</v>
      </c>
      <c r="DF166" s="16" t="e">
        <f>VLOOKUP(K166,'[3]RNA Seq summary tables'!$V$3:$V$99,1,FALSE)</f>
        <v>#N/A</v>
      </c>
      <c r="DI166" s="16">
        <v>38</v>
      </c>
      <c r="DK166" s="16">
        <v>55</v>
      </c>
      <c r="DM166" s="16">
        <v>7</v>
      </c>
      <c r="DO166" s="16">
        <v>0</v>
      </c>
      <c r="DQ166" s="16">
        <v>0</v>
      </c>
      <c r="DR166" s="16">
        <f>SUM(DI166:DQ166)</f>
        <v>100</v>
      </c>
      <c r="JP166" s="29"/>
      <c r="JQ166" s="29"/>
    </row>
    <row r="167" spans="1:288" x14ac:dyDescent="0.2">
      <c r="B167" s="16">
        <v>2017</v>
      </c>
      <c r="C167" s="20">
        <v>42940</v>
      </c>
      <c r="D167" s="20" t="str">
        <f>CONCATENATE(J167,"-",C167)</f>
        <v>1052-42940</v>
      </c>
      <c r="E167" s="20" t="str">
        <f>CONCATENATE(T167,"-",U167,"-",C167)</f>
        <v>SP1-H4-42940</v>
      </c>
      <c r="F167" s="20" t="s">
        <v>106</v>
      </c>
      <c r="G167" s="20" t="s">
        <v>107</v>
      </c>
      <c r="I167" s="16">
        <v>0</v>
      </c>
      <c r="J167" s="21">
        <v>1052</v>
      </c>
      <c r="K167" s="21">
        <v>1978</v>
      </c>
      <c r="L167" s="18">
        <v>0</v>
      </c>
      <c r="M167" s="21">
        <f>VLOOKUP($K167,'[4]blood tubes 2017'!$D$1:$L$647,8,FALSE)</f>
        <v>0</v>
      </c>
      <c r="N167" s="15">
        <v>0</v>
      </c>
      <c r="O167" s="15" t="s">
        <v>119</v>
      </c>
      <c r="P167" s="16" t="s">
        <v>119</v>
      </c>
      <c r="Q167" s="16">
        <v>0</v>
      </c>
      <c r="R167" s="16">
        <v>35</v>
      </c>
      <c r="T167" s="16" t="s">
        <v>140</v>
      </c>
      <c r="U167" s="16" t="s">
        <v>151</v>
      </c>
      <c r="V167" s="16" t="s">
        <v>114</v>
      </c>
      <c r="W167" s="16">
        <f>AI167/AG167</f>
        <v>0.92222222222222228</v>
      </c>
      <c r="X167" s="16" t="s">
        <v>121</v>
      </c>
      <c r="Y167" s="16" t="s">
        <v>110</v>
      </c>
      <c r="Z167" s="16">
        <v>3</v>
      </c>
      <c r="AA167" s="16" t="s">
        <v>161</v>
      </c>
      <c r="AB167" s="16" t="s">
        <v>240</v>
      </c>
      <c r="AC167" s="16" t="s">
        <v>123</v>
      </c>
      <c r="AD167" s="16" t="s">
        <v>116</v>
      </c>
      <c r="AG167" s="16">
        <f>AH167-AI167</f>
        <v>90</v>
      </c>
      <c r="AH167" s="16">
        <v>173</v>
      </c>
      <c r="AI167" s="16">
        <v>83</v>
      </c>
      <c r="AK167" s="16">
        <v>28</v>
      </c>
      <c r="AL167" s="16">
        <v>0</v>
      </c>
      <c r="AM167" s="16">
        <v>0</v>
      </c>
      <c r="AN167" s="16">
        <v>0</v>
      </c>
      <c r="AO167" s="16">
        <v>0</v>
      </c>
      <c r="AP167" s="16">
        <f>SUM(AL167:AN167)</f>
        <v>0</v>
      </c>
      <c r="AQ167" s="16">
        <v>2.5129999999999999</v>
      </c>
      <c r="AR167" s="16">
        <f>AP167-1.472</f>
        <v>-1.472</v>
      </c>
      <c r="AS167" s="16">
        <f>AQ167-1.472</f>
        <v>1.0409999999999999</v>
      </c>
      <c r="AT167" s="16" t="str">
        <f>VLOOKUP(K167,'[5]FECs - good data'!$C$1:$P$575,13,FALSE)</f>
        <v>TE</v>
      </c>
      <c r="AW167" s="18">
        <f>IF(AX167&gt;0,1,0)</f>
        <v>1</v>
      </c>
      <c r="AX167" s="18">
        <f>SUM(BA167,BM167,CT167)</f>
        <v>2</v>
      </c>
      <c r="AY167" s="18">
        <f>SUM(BB167,BN167,CV167)</f>
        <v>17.291066282420751</v>
      </c>
      <c r="AZ167" s="18">
        <f>IF(BA167&gt;0,1,0)</f>
        <v>0</v>
      </c>
      <c r="BA167" s="18">
        <f>SUM(BC167,BF167,BI167)</f>
        <v>0</v>
      </c>
      <c r="BB167" s="18">
        <f>SUM(BE167,BH167,BK167)</f>
        <v>0</v>
      </c>
      <c r="BC167" s="18">
        <f>IF(BD167&gt;0,1,0)</f>
        <v>0</v>
      </c>
      <c r="BD167" s="18">
        <f>VLOOKUP($K167,'[5]FECs - good data'!$C$1:$Z$574,14,FALSE)</f>
        <v>0</v>
      </c>
      <c r="BE167" s="16">
        <f>BD167/AS167</f>
        <v>0</v>
      </c>
      <c r="BF167" s="16">
        <f>IF(BG167&gt;0,1,0)</f>
        <v>0</v>
      </c>
      <c r="BG167" s="23">
        <f>VLOOKUP($K167,'[5]FECs - good data'!$C$1:$Z$574,15,FALSE)</f>
        <v>0</v>
      </c>
      <c r="BH167" s="16">
        <f>BG167/AS167</f>
        <v>0</v>
      </c>
      <c r="BI167" s="16">
        <f>IF(BJ167&gt;0,1,0)</f>
        <v>0</v>
      </c>
      <c r="BJ167" s="16">
        <f>VLOOKUP($K167,'[5]FECs - good data'!$C$1:$Z$574,16,FALSE)</f>
        <v>0</v>
      </c>
      <c r="BK167" s="16">
        <f>BJ167/AS167</f>
        <v>0</v>
      </c>
      <c r="BL167" s="16">
        <f>IF(BM167&gt;0,1,0)</f>
        <v>1</v>
      </c>
      <c r="BM167" s="16">
        <f>SUM(BR167,BU167,BX167,CA167,CD167,CG167,CJ167,CM167,CP167)</f>
        <v>2</v>
      </c>
      <c r="BN167" s="16">
        <f>SUM(BW167,BZ167,CC167,CF167,CI167,CL167,CO167,CR167,BT167)</f>
        <v>17.291066282420751</v>
      </c>
      <c r="BO167" s="16">
        <f>IF(BP167&gt;0,1,0)</f>
        <v>1</v>
      </c>
      <c r="BP167" s="16">
        <f>SUM(BU167,BX167,CA167,CD167,BR167)</f>
        <v>2</v>
      </c>
      <c r="BQ167" s="16">
        <f>SUM(BZ167,CC167,CF167,BT167,BW167)</f>
        <v>17.291066282420751</v>
      </c>
      <c r="BR167" s="16">
        <f>IF(BS167&gt;0,1,0)</f>
        <v>0</v>
      </c>
      <c r="BS167" s="16">
        <f>VLOOKUP($K167,'[5]FECs - good data'!$C$1:$Z$574,17,FALSE)</f>
        <v>0</v>
      </c>
      <c r="BT167" s="23">
        <f>BS167/AS167</f>
        <v>0</v>
      </c>
      <c r="BU167" s="16">
        <f>IF(BV167&gt;0,1,0)</f>
        <v>0</v>
      </c>
      <c r="BV167" s="16">
        <f>VLOOKUP($K167,'[5]FECs - good data'!$C$1:$Z$574,18,FALSE)</f>
        <v>0</v>
      </c>
      <c r="BW167" s="16">
        <f>BV167/AS167</f>
        <v>0</v>
      </c>
      <c r="BX167" s="16">
        <f>IF(BY167&gt;0,1,0)</f>
        <v>1</v>
      </c>
      <c r="BY167" s="16">
        <f>VLOOKUP($K167,'[5]FECs - good data'!$C$1:$Z$574,19,FALSE)</f>
        <v>16</v>
      </c>
      <c r="BZ167" s="16">
        <f>BY167/AS167</f>
        <v>15.369836695485112</v>
      </c>
      <c r="CA167" s="16">
        <f>IF(CB167&gt;0,1,0)</f>
        <v>1</v>
      </c>
      <c r="CB167" s="16">
        <f>VLOOKUP($K167,'[5]FECs - good data'!$C$1:$Z$574,20,FALSE)</f>
        <v>2</v>
      </c>
      <c r="CC167" s="16">
        <f>CB167/AS167</f>
        <v>1.9212295869356391</v>
      </c>
      <c r="CD167" s="23">
        <f>IF(CE167&gt;0,1,0)</f>
        <v>0</v>
      </c>
      <c r="CE167" s="16">
        <f>VLOOKUP($K167,'[5]FECs - good data'!$C$1:$Z$574,21,FALSE)</f>
        <v>0</v>
      </c>
      <c r="CF167" s="16">
        <f>CE167/AS167</f>
        <v>0</v>
      </c>
      <c r="CG167" s="16">
        <f>IF(CH167&gt;0,1,0)</f>
        <v>0</v>
      </c>
      <c r="CH167" s="16">
        <f>VLOOKUP($K167,'[5]FECs - good data'!$C$1:$Z$574,22,FALSE)</f>
        <v>0</v>
      </c>
      <c r="CI167" s="16">
        <f>CH167/AS167</f>
        <v>0</v>
      </c>
      <c r="CJ167" s="16">
        <f>IF(CK167&gt;0,1,0)</f>
        <v>0</v>
      </c>
      <c r="CK167" s="16">
        <f>VLOOKUP($K167,'[5]FECs - good data'!$C$1:$Z$674,24,FALSE)</f>
        <v>0</v>
      </c>
      <c r="CL167" s="16">
        <f>CK167/AS167</f>
        <v>0</v>
      </c>
      <c r="CS167" s="16">
        <f>IF(CT167&gt;0,1,0)</f>
        <v>0</v>
      </c>
      <c r="CT167" s="16">
        <f>SUM(CW167+CZ167,DC167)</f>
        <v>0</v>
      </c>
      <c r="CV167" s="16">
        <f>SUM(CY167,DB167,DE167)</f>
        <v>0</v>
      </c>
      <c r="CW167" s="16">
        <f>IF(CX167&gt;0,1,0)</f>
        <v>0</v>
      </c>
      <c r="CX167" s="16">
        <f>VLOOKUP($K167,'[5]FECs - good data'!$C$1:$Z$574,22,FALSE)</f>
        <v>0</v>
      </c>
      <c r="CY167" s="16">
        <f>CX167/AS167</f>
        <v>0</v>
      </c>
      <c r="CZ167" s="16">
        <f>IF(DA167&gt;0,1,0)</f>
        <v>0</v>
      </c>
      <c r="DA167" s="16">
        <f>VLOOKUP($K167,'[5]FECs - good data'!$C$1:$Z$5982,23,FALSE)</f>
        <v>0</v>
      </c>
      <c r="DB167" s="16">
        <f>DA167/AS167</f>
        <v>0</v>
      </c>
      <c r="DC167" s="16">
        <f>IF(DD167&gt;0,1,0)</f>
        <v>0</v>
      </c>
      <c r="DD167" s="16">
        <f>VLOOKUP($K167,'[5]FECs - good data'!$C$1:$Z$574,23,FALSE)</f>
        <v>0</v>
      </c>
      <c r="DE167" s="16">
        <f>DD167/AS167</f>
        <v>0</v>
      </c>
      <c r="DF167" s="16" t="e">
        <f>VLOOKUP(K167,'[3]RNA Seq summary tables'!$V$3:$V$99,1,FALSE)</f>
        <v>#N/A</v>
      </c>
      <c r="DG167" s="16">
        <v>1</v>
      </c>
      <c r="DH167" s="16" t="str">
        <f>VLOOKUP(D167,'[6]workflow 3.2018'!$A$1:$S$237,2,FALSE)</f>
        <v>2017MLBS_78</v>
      </c>
    </row>
    <row r="168" spans="1:288" x14ac:dyDescent="0.2">
      <c r="B168" s="16">
        <v>2017</v>
      </c>
      <c r="C168" s="20">
        <v>42958</v>
      </c>
      <c r="D168" s="20" t="str">
        <f>CONCATENATE(J168,"-",C168)</f>
        <v>1052-42958</v>
      </c>
      <c r="E168" s="20" t="str">
        <f>CONCATENATE(T168,"-",U168,"-",C168)</f>
        <v>SP1-H4-42958</v>
      </c>
      <c r="F168" s="20" t="s">
        <v>106</v>
      </c>
      <c r="G168" s="20" t="s">
        <v>107</v>
      </c>
      <c r="I168" s="16">
        <v>0</v>
      </c>
      <c r="J168" s="21">
        <v>1052</v>
      </c>
      <c r="K168" s="21">
        <v>2130</v>
      </c>
      <c r="L168" s="18">
        <v>0</v>
      </c>
      <c r="M168" s="21">
        <f>VLOOKUP($K168,'[4]blood tubes 2017'!$D$1:$L$647,8,FALSE)</f>
        <v>0</v>
      </c>
      <c r="N168" s="15">
        <v>0</v>
      </c>
      <c r="O168" s="15" t="s">
        <v>119</v>
      </c>
      <c r="P168" s="16" t="s">
        <v>119</v>
      </c>
      <c r="Q168" s="16">
        <v>0</v>
      </c>
      <c r="R168" s="16">
        <v>18</v>
      </c>
      <c r="T168" s="16" t="s">
        <v>140</v>
      </c>
      <c r="U168" s="16" t="s">
        <v>151</v>
      </c>
      <c r="V168" s="16" t="s">
        <v>114</v>
      </c>
      <c r="W168" s="16">
        <f>AI168/AG168</f>
        <v>0.88888888888888884</v>
      </c>
      <c r="X168" s="16" t="s">
        <v>121</v>
      </c>
      <c r="Y168" s="16" t="s">
        <v>110</v>
      </c>
      <c r="Z168" s="16">
        <v>3</v>
      </c>
      <c r="AA168" s="16" t="s">
        <v>119</v>
      </c>
      <c r="AB168" s="16" t="s">
        <v>240</v>
      </c>
      <c r="AC168" s="16" t="s">
        <v>123</v>
      </c>
      <c r="AD168" s="16" t="s">
        <v>123</v>
      </c>
      <c r="AG168" s="16">
        <f>AH168-AI168</f>
        <v>90</v>
      </c>
      <c r="AH168" s="16">
        <v>170</v>
      </c>
      <c r="AI168" s="16">
        <v>80</v>
      </c>
      <c r="AK168" s="16">
        <v>25</v>
      </c>
      <c r="AL168" s="16">
        <v>0</v>
      </c>
      <c r="AM168" s="16">
        <v>0</v>
      </c>
      <c r="AN168" s="16">
        <v>0</v>
      </c>
      <c r="AO168" s="16">
        <v>0</v>
      </c>
      <c r="AP168" s="16">
        <f>SUM(AL168:AN168)</f>
        <v>0</v>
      </c>
      <c r="AQ168" s="16">
        <v>1.9890000000000001</v>
      </c>
      <c r="AR168" s="16">
        <f>AP168-1.472</f>
        <v>-1.472</v>
      </c>
      <c r="AS168" s="16">
        <f>AQ168-1.472</f>
        <v>0.51700000000000013</v>
      </c>
      <c r="AT168" s="16" t="str">
        <f>VLOOKUP(K168,'[5]FECs - good data'!$C$1:$P$575,13,FALSE)</f>
        <v>SB</v>
      </c>
      <c r="AW168" s="18">
        <f>IF(AX168&gt;0,1,0)</f>
        <v>1</v>
      </c>
      <c r="AX168" s="18">
        <f>SUM(BA168,BM168,CT168)</f>
        <v>4</v>
      </c>
      <c r="AY168" s="18">
        <f>SUM(BB168,BN168,CV168)</f>
        <v>3381.0444874274658</v>
      </c>
      <c r="AZ168" s="18">
        <f>IF(BA168&gt;0,1,0)</f>
        <v>1</v>
      </c>
      <c r="BA168" s="18">
        <f>SUM(BC168,BF168,BI168)</f>
        <v>3</v>
      </c>
      <c r="BB168" s="18">
        <f>SUM(BE168,BH168,BK168)</f>
        <v>3379.1102514506765</v>
      </c>
      <c r="BC168" s="18">
        <f>IF(BD168&gt;0,1,0)</f>
        <v>1</v>
      </c>
      <c r="BD168" s="18">
        <f>VLOOKUP($K168,'[5]FECs - good data'!$C$1:$Z$574,14,FALSE)</f>
        <v>449</v>
      </c>
      <c r="BE168" s="16">
        <f>BD168/AS168</f>
        <v>868.4719535783363</v>
      </c>
      <c r="BF168" s="16">
        <f>IF(BG168&gt;0,1,0)</f>
        <v>1</v>
      </c>
      <c r="BG168" s="23">
        <f>VLOOKUP($K168,'[5]FECs - good data'!$C$1:$Z$574,15,FALSE)</f>
        <v>1237</v>
      </c>
      <c r="BH168" s="16">
        <f>BG168/AS168</f>
        <v>2392.6499032882007</v>
      </c>
      <c r="BI168" s="16">
        <f>IF(BJ168&gt;0,1,0)</f>
        <v>1</v>
      </c>
      <c r="BJ168" s="16">
        <f>VLOOKUP($K168,'[5]FECs - good data'!$C$1:$Z$574,16,FALSE)</f>
        <v>61</v>
      </c>
      <c r="BK168" s="16">
        <f>BJ168/AS168</f>
        <v>117.98839458413924</v>
      </c>
      <c r="BL168" s="16">
        <f>IF(BM168&gt;0,1,0)</f>
        <v>1</v>
      </c>
      <c r="BM168" s="16">
        <f>SUM(BR168,BU168,BX168,CA168,CD168,CG168,CJ168,CM168,CP168)</f>
        <v>1</v>
      </c>
      <c r="BN168" s="16">
        <f>SUM(BW168,BZ168,CC168,CF168,CI168,CL168,CO168,CR168,BT168)</f>
        <v>1.9342359767891677</v>
      </c>
      <c r="BO168" s="16">
        <f>IF(BP168&gt;0,1,0)</f>
        <v>0</v>
      </c>
      <c r="BP168" s="16">
        <f>SUM(BU168,BX168,CA168,CD168,BR168)</f>
        <v>0</v>
      </c>
      <c r="BQ168" s="16">
        <f>SUM(BZ168,CC168,CF168,BT168,BW168)</f>
        <v>0</v>
      </c>
      <c r="BR168" s="16">
        <f>IF(BS168&gt;0,1,0)</f>
        <v>0</v>
      </c>
      <c r="BS168" s="16">
        <f>VLOOKUP($K168,'[5]FECs - good data'!$C$1:$Z$574,17,FALSE)</f>
        <v>0</v>
      </c>
      <c r="BT168" s="23">
        <f>BS168/AS168</f>
        <v>0</v>
      </c>
      <c r="BU168" s="16">
        <f>IF(BV168&gt;0,1,0)</f>
        <v>0</v>
      </c>
      <c r="BV168" s="16">
        <f>VLOOKUP($K168,'[5]FECs - good data'!$C$1:$Z$574,18,FALSE)</f>
        <v>0</v>
      </c>
      <c r="BW168" s="16">
        <f>BV168/AS168</f>
        <v>0</v>
      </c>
      <c r="BX168" s="16">
        <f>IF(BY168&gt;0,1,0)</f>
        <v>0</v>
      </c>
      <c r="BY168" s="16">
        <f>VLOOKUP($K168,'[5]FECs - good data'!$C$1:$Z$574,19,FALSE)</f>
        <v>0</v>
      </c>
      <c r="BZ168" s="16">
        <f>BY168/AS168</f>
        <v>0</v>
      </c>
      <c r="CA168" s="16">
        <f>IF(CB168&gt;0,1,0)</f>
        <v>0</v>
      </c>
      <c r="CB168" s="16">
        <f>VLOOKUP($K168,'[5]FECs - good data'!$C$1:$Z$574,20,FALSE)</f>
        <v>0</v>
      </c>
      <c r="CC168" s="16">
        <f>CB168/AS168</f>
        <v>0</v>
      </c>
      <c r="CD168" s="23">
        <f>IF(CE168&gt;0,1,0)</f>
        <v>0</v>
      </c>
      <c r="CE168" s="16">
        <f>VLOOKUP($K168,'[5]FECs - good data'!$C$1:$Z$574,21,FALSE)</f>
        <v>0</v>
      </c>
      <c r="CF168" s="16">
        <f>CE168/AS168</f>
        <v>0</v>
      </c>
      <c r="CG168" s="16">
        <f>IF(CH168&gt;0,1,0)</f>
        <v>0</v>
      </c>
      <c r="CH168" s="16">
        <f>VLOOKUP($K168,'[5]FECs - good data'!$C$1:$Z$574,22,FALSE)</f>
        <v>0</v>
      </c>
      <c r="CI168" s="16">
        <f>CH168/AS168</f>
        <v>0</v>
      </c>
      <c r="CJ168" s="16">
        <f>IF(CK168&gt;0,1,0)</f>
        <v>1</v>
      </c>
      <c r="CK168" s="16">
        <f>VLOOKUP($K168,'[5]FECs - good data'!$C$1:$Z$674,24,FALSE)</f>
        <v>1</v>
      </c>
      <c r="CL168" s="16">
        <f>CK168/AS168</f>
        <v>1.9342359767891677</v>
      </c>
      <c r="CS168" s="16">
        <f>IF(CT168&gt;0,1,0)</f>
        <v>0</v>
      </c>
      <c r="CT168" s="16">
        <f>SUM(CW168+CZ168,DC168)</f>
        <v>0</v>
      </c>
      <c r="CV168" s="16">
        <f>SUM(CY168,DB168,DE168)</f>
        <v>0</v>
      </c>
      <c r="CW168" s="16">
        <f>IF(CX168&gt;0,1,0)</f>
        <v>0</v>
      </c>
      <c r="CX168" s="16">
        <f>VLOOKUP($K168,'[5]FECs - good data'!$C$1:$Z$574,22,FALSE)</f>
        <v>0</v>
      </c>
      <c r="CY168" s="16">
        <f>CX168/AS168</f>
        <v>0</v>
      </c>
      <c r="CZ168" s="16">
        <f>IF(DA168&gt;0,1,0)</f>
        <v>0</v>
      </c>
      <c r="DA168" s="16">
        <f>VLOOKUP($K168,'[5]FECs - good data'!$C$1:$Z$5982,23,FALSE)</f>
        <v>0</v>
      </c>
      <c r="DB168" s="16">
        <f>DA168/AS168</f>
        <v>0</v>
      </c>
      <c r="DC168" s="16">
        <f>IF(DD168&gt;0,1,0)</f>
        <v>0</v>
      </c>
      <c r="DD168" s="16">
        <f>VLOOKUP($K168,'[5]FECs - good data'!$C$1:$Z$574,23,FALSE)</f>
        <v>0</v>
      </c>
      <c r="DE168" s="16">
        <f>DD168/AS168</f>
        <v>0</v>
      </c>
      <c r="DF168" s="16" t="e">
        <f>VLOOKUP(K168,'[3]RNA Seq summary tables'!$V$3:$V$99,1,FALSE)</f>
        <v>#N/A</v>
      </c>
      <c r="DG168" s="16">
        <v>1</v>
      </c>
      <c r="DH168" s="16" t="str">
        <f>VLOOKUP(D168,'[6]workflow 3.2018'!$A$1:$S$237,2,FALSE)</f>
        <v>2017MLBS_137</v>
      </c>
      <c r="JO168" s="38"/>
      <c r="JP168" s="38"/>
      <c r="JQ168" s="38"/>
    </row>
    <row r="169" spans="1:288" x14ac:dyDescent="0.2">
      <c r="B169" s="16">
        <v>2017</v>
      </c>
      <c r="C169" s="20">
        <v>42972</v>
      </c>
      <c r="D169" s="20" t="str">
        <f>CONCATENATE(J169,"-",C169)</f>
        <v>1052-42972</v>
      </c>
      <c r="E169" s="20" t="str">
        <f>CONCATENATE(T169,"-",U169,"-",C169)</f>
        <v>SP1-H2-42972</v>
      </c>
      <c r="F169" s="20" t="s">
        <v>106</v>
      </c>
      <c r="G169" s="20" t="s">
        <v>107</v>
      </c>
      <c r="I169" s="16">
        <v>0</v>
      </c>
      <c r="J169" s="21">
        <v>1052</v>
      </c>
      <c r="K169" s="21">
        <v>2239</v>
      </c>
      <c r="L169" s="18">
        <v>0</v>
      </c>
      <c r="M169" s="21">
        <f>VLOOKUP($K169,'[4]blood tubes 2017'!$D$1:$L$947,8,FALSE)</f>
        <v>0</v>
      </c>
      <c r="N169" s="15">
        <v>0</v>
      </c>
      <c r="O169" s="15" t="s">
        <v>119</v>
      </c>
      <c r="P169" s="16" t="s">
        <v>119</v>
      </c>
      <c r="Q169" s="16">
        <v>0</v>
      </c>
      <c r="R169" s="16">
        <v>14</v>
      </c>
      <c r="T169" s="16" t="s">
        <v>140</v>
      </c>
      <c r="U169" s="16" t="s">
        <v>190</v>
      </c>
      <c r="V169" s="16" t="s">
        <v>114</v>
      </c>
      <c r="W169" s="16">
        <f>AI169/AG169</f>
        <v>0.86956521739130432</v>
      </c>
      <c r="X169" s="16" t="s">
        <v>121</v>
      </c>
      <c r="Y169" s="16" t="s">
        <v>110</v>
      </c>
      <c r="Z169" s="16">
        <v>3</v>
      </c>
      <c r="AA169" s="16" t="s">
        <v>119</v>
      </c>
      <c r="AB169" s="16" t="s">
        <v>240</v>
      </c>
      <c r="AC169" s="16" t="s">
        <v>123</v>
      </c>
      <c r="AD169" s="16" t="s">
        <v>123</v>
      </c>
      <c r="AG169" s="16">
        <f>AH169-AI169</f>
        <v>92</v>
      </c>
      <c r="AH169" s="16">
        <v>172</v>
      </c>
      <c r="AI169" s="16">
        <v>80</v>
      </c>
      <c r="AK169" s="16">
        <v>24.5</v>
      </c>
      <c r="AL169" s="16">
        <v>0</v>
      </c>
      <c r="AM169" s="16">
        <v>0</v>
      </c>
      <c r="AN169" s="16">
        <v>0</v>
      </c>
      <c r="AO169" s="16">
        <v>0</v>
      </c>
      <c r="AP169" s="16">
        <f>SUM(AL169:AN169)</f>
        <v>0</v>
      </c>
      <c r="AQ169" s="16">
        <v>1.6639999999999999</v>
      </c>
      <c r="AR169" s="16">
        <f>AP169-1.472</f>
        <v>-1.472</v>
      </c>
      <c r="AS169" s="16">
        <f>AQ169-1.472</f>
        <v>0.19199999999999995</v>
      </c>
      <c r="AT169" s="16" t="str">
        <f>VLOOKUP(K169,'[5]FECs - good data'!$C$1:$P$575,13,FALSE)</f>
        <v>JB</v>
      </c>
      <c r="AW169" s="18">
        <f>IF(AX169&gt;0,1,0)</f>
        <v>1</v>
      </c>
      <c r="AX169" s="18">
        <f>SUM(BA169,BM169,CT169)</f>
        <v>4</v>
      </c>
      <c r="AY169" s="18">
        <f>SUM(BB169,BN169,CV169)</f>
        <v>1083.3333333333337</v>
      </c>
      <c r="AZ169" s="18">
        <f>IF(BA169&gt;0,1,0)</f>
        <v>1</v>
      </c>
      <c r="BA169" s="18">
        <f>SUM(BC169,BF169,BI169)</f>
        <v>2</v>
      </c>
      <c r="BB169" s="18">
        <f>SUM(BE169,BH169,BK169)</f>
        <v>1072.916666666667</v>
      </c>
      <c r="BC169" s="18">
        <f>IF(BD169&gt;0,1,0)</f>
        <v>1</v>
      </c>
      <c r="BD169" s="18">
        <f>VLOOKUP($K169,'[5]FECs - good data'!$C$1:$Z$574,14,FALSE)</f>
        <v>34</v>
      </c>
      <c r="BE169" s="16">
        <f>BD169/AS169</f>
        <v>177.08333333333337</v>
      </c>
      <c r="BF169" s="16">
        <f>IF(BG169&gt;0,1,0)</f>
        <v>1</v>
      </c>
      <c r="BG169" s="23">
        <f>VLOOKUP($K169,'[5]FECs - good data'!$C$1:$Z$574,15,FALSE)</f>
        <v>172</v>
      </c>
      <c r="BH169" s="16">
        <f>BG169/AS169</f>
        <v>895.8333333333336</v>
      </c>
      <c r="BI169" s="16">
        <f>IF(BJ169&gt;0,1,0)</f>
        <v>0</v>
      </c>
      <c r="BJ169" s="16">
        <f>VLOOKUP($K169,'[5]FECs - good data'!$C$1:$Z$574,16,FALSE)</f>
        <v>0</v>
      </c>
      <c r="BK169" s="16">
        <f>BJ169/AS169</f>
        <v>0</v>
      </c>
      <c r="BL169" s="16">
        <f>IF(BM169&gt;0,1,0)</f>
        <v>1</v>
      </c>
      <c r="BM169" s="16">
        <f>SUM(BR169,BU169,BX169,CA169,CD169,CG169,CJ169,CM169,CP169)</f>
        <v>2</v>
      </c>
      <c r="BN169" s="16">
        <f>SUM(BW169,BZ169,CC169,CF169,CI169,CL169,CO169,CR169,BT169)</f>
        <v>10.41666666666667</v>
      </c>
      <c r="BO169" s="16">
        <f>IF(BP169&gt;0,1,0)</f>
        <v>1</v>
      </c>
      <c r="BP169" s="16">
        <f>SUM(BU169,BX169,CA169,CD169,BR169)</f>
        <v>2</v>
      </c>
      <c r="BQ169" s="16">
        <f>SUM(BZ169,CC169,CF169,BT169,BW169)</f>
        <v>10.41666666666667</v>
      </c>
      <c r="BR169" s="16">
        <f>IF(BS169&gt;0,1,0)</f>
        <v>1</v>
      </c>
      <c r="BS169" s="16">
        <f>VLOOKUP($K169,'[5]FECs - good data'!$C$1:$Z$574,17,FALSE)</f>
        <v>1</v>
      </c>
      <c r="BT169" s="23">
        <f>BS169/AS169</f>
        <v>5.2083333333333348</v>
      </c>
      <c r="BU169" s="16">
        <f>IF(BV169&gt;0,1,0)</f>
        <v>1</v>
      </c>
      <c r="BV169" s="16">
        <f>VLOOKUP($K169,'[5]FECs - good data'!$C$1:$Z$574,18,FALSE)</f>
        <v>1</v>
      </c>
      <c r="BW169" s="16">
        <f>BV169/AS169</f>
        <v>5.2083333333333348</v>
      </c>
      <c r="BX169" s="16">
        <f>IF(BY169&gt;0,1,0)</f>
        <v>0</v>
      </c>
      <c r="BY169" s="16">
        <f>VLOOKUP($K169,'[5]FECs - good data'!$C$1:$Z$574,19,FALSE)</f>
        <v>0</v>
      </c>
      <c r="BZ169" s="16">
        <f>BY169/AS169</f>
        <v>0</v>
      </c>
      <c r="CA169" s="16">
        <f>IF(CB169&gt;0,1,0)</f>
        <v>0</v>
      </c>
      <c r="CB169" s="16">
        <f>VLOOKUP($K169,'[5]FECs - good data'!$C$1:$Z$574,20,FALSE)</f>
        <v>0</v>
      </c>
      <c r="CC169" s="16">
        <f>CB169/AS169</f>
        <v>0</v>
      </c>
      <c r="CD169" s="23">
        <f>IF(CE169&gt;0,1,0)</f>
        <v>0</v>
      </c>
      <c r="CE169" s="16">
        <f>VLOOKUP($K169,'[5]FECs - good data'!$C$1:$Z$574,21,FALSE)</f>
        <v>0</v>
      </c>
      <c r="CF169" s="16">
        <f>CE169/AS169</f>
        <v>0</v>
      </c>
      <c r="CG169" s="16">
        <f>IF(CH169&gt;0,1,0)</f>
        <v>0</v>
      </c>
      <c r="CH169" s="16">
        <f>VLOOKUP($K169,'[5]FECs - good data'!$C$1:$Z$574,22,FALSE)</f>
        <v>0</v>
      </c>
      <c r="CI169" s="16">
        <f>CH169/AS169</f>
        <v>0</v>
      </c>
      <c r="CJ169" s="16">
        <f>IF(CK169&gt;0,1,0)</f>
        <v>0</v>
      </c>
      <c r="CK169" s="16">
        <f>VLOOKUP($K169,'[5]FECs - good data'!$C$1:$Z$674,24,FALSE)</f>
        <v>0</v>
      </c>
      <c r="CL169" s="16">
        <f>CK169/AS169</f>
        <v>0</v>
      </c>
      <c r="CS169" s="16">
        <f>IF(CT169&gt;0,1,0)</f>
        <v>0</v>
      </c>
      <c r="CT169" s="16">
        <f>SUM(CW169+CZ169,DC169)</f>
        <v>0</v>
      </c>
      <c r="CV169" s="16">
        <f>SUM(CY169,DB169,DE169)</f>
        <v>0</v>
      </c>
      <c r="CW169" s="16">
        <f>IF(CX169&gt;0,1,0)</f>
        <v>0</v>
      </c>
      <c r="CX169" s="16">
        <f>VLOOKUP($K169,'[5]FECs - good data'!$C$1:$Z$574,22,FALSE)</f>
        <v>0</v>
      </c>
      <c r="CY169" s="16">
        <f>CX169/AS169</f>
        <v>0</v>
      </c>
      <c r="CZ169" s="16">
        <f>IF(DA169&gt;0,1,0)</f>
        <v>0</v>
      </c>
      <c r="DA169" s="16">
        <f>VLOOKUP($K169,'[5]FECs - good data'!$C$1:$Z$5982,23,FALSE)</f>
        <v>0</v>
      </c>
      <c r="DB169" s="16">
        <f>DA169/AS169</f>
        <v>0</v>
      </c>
      <c r="DC169" s="16">
        <f>IF(DD169&gt;0,1,0)</f>
        <v>0</v>
      </c>
      <c r="DD169" s="16">
        <f>VLOOKUP($K169,'[5]FECs - good data'!$C$1:$Z$574,23,FALSE)</f>
        <v>0</v>
      </c>
      <c r="DE169" s="16">
        <f>DD169/AS169</f>
        <v>0</v>
      </c>
      <c r="DF169" s="16" t="e">
        <f>VLOOKUP(K169,'[3]RNA Seq summary tables'!$V$3:$V$99,1,FALSE)</f>
        <v>#N/A</v>
      </c>
      <c r="DG169" s="16">
        <v>1</v>
      </c>
      <c r="DH169" s="16" t="str">
        <f>VLOOKUP(D169,'[6]workflow 3.2018'!$A$1:$S$237,2,FALSE)</f>
        <v>2017MLBS_177</v>
      </c>
    </row>
    <row r="170" spans="1:288" x14ac:dyDescent="0.2">
      <c r="B170" s="16">
        <v>2017</v>
      </c>
      <c r="C170" s="66">
        <v>42888</v>
      </c>
      <c r="D170" s="66" t="str">
        <f>CONCATENATE(J170,"-",C170)</f>
        <v>1054-42888</v>
      </c>
      <c r="E170" s="20" t="str">
        <f>CONCATENATE(T170,"-",U170,"-",C170)</f>
        <v>SP2-A4-42888</v>
      </c>
      <c r="F170" s="20" t="s">
        <v>106</v>
      </c>
      <c r="G170" s="20" t="s">
        <v>107</v>
      </c>
      <c r="I170" s="16">
        <v>0</v>
      </c>
      <c r="J170" s="21">
        <v>1054</v>
      </c>
      <c r="K170" s="21">
        <v>1609</v>
      </c>
      <c r="L170" s="18">
        <v>0</v>
      </c>
      <c r="M170" s="21">
        <f>VLOOKUP($K170,'[4]blood tubes 2017'!$D$1:$L$647,8,FALSE)</f>
        <v>0</v>
      </c>
      <c r="N170" s="15">
        <v>0</v>
      </c>
      <c r="O170" s="15" t="s">
        <v>119</v>
      </c>
      <c r="P170" s="16" t="s">
        <v>119</v>
      </c>
      <c r="Q170" s="16">
        <v>0</v>
      </c>
      <c r="R170" s="16" t="s">
        <v>111</v>
      </c>
      <c r="T170" s="16" t="s">
        <v>137</v>
      </c>
      <c r="U170" s="16" t="s">
        <v>134</v>
      </c>
      <c r="V170" s="16" t="s">
        <v>114</v>
      </c>
      <c r="W170" s="16">
        <f>AI170/AG170</f>
        <v>0.81521739130434778</v>
      </c>
      <c r="X170" s="16" t="s">
        <v>121</v>
      </c>
      <c r="Y170" s="16" t="s">
        <v>110</v>
      </c>
      <c r="Z170" s="16">
        <v>3</v>
      </c>
      <c r="AA170" s="16" t="s">
        <v>161</v>
      </c>
      <c r="AB170" s="16" t="s">
        <v>123</v>
      </c>
      <c r="AC170" s="16" t="s">
        <v>123</v>
      </c>
      <c r="AD170" s="16" t="s">
        <v>116</v>
      </c>
      <c r="AG170" s="16">
        <f>AH170-AI170</f>
        <v>92</v>
      </c>
      <c r="AH170" s="16">
        <v>167</v>
      </c>
      <c r="AI170" s="16">
        <v>75</v>
      </c>
      <c r="AK170" s="16">
        <v>21.5</v>
      </c>
      <c r="AL170" s="16">
        <v>0</v>
      </c>
      <c r="AM170" s="16">
        <v>0</v>
      </c>
      <c r="AN170" s="16">
        <v>0</v>
      </c>
      <c r="AO170" s="16">
        <v>0</v>
      </c>
      <c r="AP170" s="16">
        <f>SUM(AL170:AN170)</f>
        <v>0</v>
      </c>
      <c r="AQ170" s="16">
        <v>1.591</v>
      </c>
      <c r="AR170" s="16">
        <f>AP170-1.472</f>
        <v>-1.472</v>
      </c>
      <c r="AS170" s="16">
        <f>AQ170-1.472</f>
        <v>0.11899999999999999</v>
      </c>
      <c r="AT170" s="16" t="s">
        <v>234</v>
      </c>
      <c r="AW170" s="16">
        <f>IF(AX170&gt;0,1,0)</f>
        <v>1</v>
      </c>
      <c r="AX170" s="16">
        <f>SUM(BA170,BM170,CT170)</f>
        <v>5</v>
      </c>
      <c r="AY170" s="18">
        <f>SUM(BB170,BN170,CV170)</f>
        <v>378.15126050420167</v>
      </c>
      <c r="AZ170" s="16">
        <f>IF(BA170&gt;0,1,0)</f>
        <v>1</v>
      </c>
      <c r="BA170" s="16">
        <f>SUM(BC170,BF170,BI170)</f>
        <v>3</v>
      </c>
      <c r="BB170" s="16">
        <f>SUM(BE170,BH170,BK170)</f>
        <v>327.73109243697479</v>
      </c>
      <c r="BC170" s="16">
        <v>1</v>
      </c>
      <c r="BD170" s="16">
        <v>5</v>
      </c>
      <c r="BE170" s="16">
        <f>BD170/AS170</f>
        <v>42.016806722689076</v>
      </c>
      <c r="BF170" s="16">
        <v>1</v>
      </c>
      <c r="BG170" s="23">
        <v>8</v>
      </c>
      <c r="BH170" s="16">
        <f>BG170/AS170</f>
        <v>67.226890756302524</v>
      </c>
      <c r="BI170" s="16">
        <v>1</v>
      </c>
      <c r="BJ170" s="16">
        <v>26</v>
      </c>
      <c r="BK170" s="16">
        <f>BJ170/AS170</f>
        <v>218.48739495798321</v>
      </c>
      <c r="BL170" s="16">
        <f>IF(BM170&gt;0,1,0)</f>
        <v>1</v>
      </c>
      <c r="BM170" s="16">
        <f>SUM(BR170,BU170,BX170,CA170,CD170,CG170,CJ170,CM170,CP170)</f>
        <v>2</v>
      </c>
      <c r="BN170" s="16">
        <f>SUM(BW170,BZ170,CC170,CF170,CI170,CL170,CO170,CR170,BT170)</f>
        <v>50.420168067226889</v>
      </c>
      <c r="BO170" s="16">
        <f>IF(BP170&gt;0,1,0)</f>
        <v>1</v>
      </c>
      <c r="BP170" s="16">
        <f>SUM(BU170,BX170,CA170,CD170,BR170)</f>
        <v>2</v>
      </c>
      <c r="BQ170" s="16">
        <f>SUM(BZ170,CC170,CF170,BT170,BW170)</f>
        <v>50.420168067226889</v>
      </c>
      <c r="BR170" s="16">
        <v>0</v>
      </c>
      <c r="BS170" s="16">
        <v>0</v>
      </c>
      <c r="BT170" s="23">
        <f>BS170/AS170</f>
        <v>0</v>
      </c>
      <c r="BU170" s="16">
        <v>0</v>
      </c>
      <c r="BV170" s="16">
        <v>0</v>
      </c>
      <c r="BW170" s="16">
        <f>BV170/AS170</f>
        <v>0</v>
      </c>
      <c r="BX170" s="16">
        <v>1</v>
      </c>
      <c r="BY170" s="16">
        <v>5</v>
      </c>
      <c r="BZ170" s="16">
        <f>BY170/AS170</f>
        <v>42.016806722689076</v>
      </c>
      <c r="CA170" s="16">
        <v>1</v>
      </c>
      <c r="CB170" s="16">
        <v>1</v>
      </c>
      <c r="CC170" s="16">
        <f>CB170/AS170</f>
        <v>8.4033613445378155</v>
      </c>
      <c r="CD170" s="23">
        <v>0</v>
      </c>
      <c r="CE170" s="16">
        <v>0</v>
      </c>
      <c r="CF170" s="16">
        <f>CE170/AS170</f>
        <v>0</v>
      </c>
      <c r="CG170" s="22">
        <v>0</v>
      </c>
      <c r="CH170" s="22">
        <v>0</v>
      </c>
      <c r="CI170" s="16">
        <f>CH170/AS170</f>
        <v>0</v>
      </c>
      <c r="CM170" s="22">
        <v>0</v>
      </c>
      <c r="CN170" s="22">
        <v>0</v>
      </c>
      <c r="CO170" s="16">
        <f>CN170/AS170</f>
        <v>0</v>
      </c>
      <c r="CP170" s="22">
        <v>0</v>
      </c>
      <c r="CQ170" s="22">
        <v>0</v>
      </c>
      <c r="CR170" s="16">
        <f>CQ170/AS170</f>
        <v>0</v>
      </c>
      <c r="CS170" s="16">
        <f>IF(CT170&gt;0,1,0)</f>
        <v>0</v>
      </c>
      <c r="CT170" s="16">
        <f>SUM(CW170,CZ170,DC170)</f>
        <v>0</v>
      </c>
      <c r="CV170" s="16">
        <f>SUM(CY170,DB170,DE170)</f>
        <v>0</v>
      </c>
      <c r="CW170" s="16">
        <v>0</v>
      </c>
      <c r="CX170" s="16">
        <v>0</v>
      </c>
      <c r="CY170" s="16">
        <f>CX170/AS170</f>
        <v>0</v>
      </c>
      <c r="CZ170" s="16">
        <v>0</v>
      </c>
      <c r="DA170" s="16">
        <v>0</v>
      </c>
      <c r="DB170" s="16">
        <f>DA170/AS170</f>
        <v>0</v>
      </c>
      <c r="DC170" s="16">
        <v>0</v>
      </c>
      <c r="DD170" s="16">
        <v>0</v>
      </c>
      <c r="DE170" s="16">
        <f>DD170/AS170</f>
        <v>0</v>
      </c>
      <c r="DF170" s="16" t="e">
        <f>VLOOKUP(K170,'[3]RNA Seq summary tables'!$V$3:$V$99,1,FALSE)</f>
        <v>#N/A</v>
      </c>
      <c r="DG170" s="16">
        <v>1</v>
      </c>
      <c r="DH170" s="16" t="str">
        <f>VLOOKUP(D170,'[6]workflow 3.2018'!$A$1:$S$237,2,FALSE)</f>
        <v>2017MLBS_21</v>
      </c>
      <c r="DI170" s="16">
        <v>16</v>
      </c>
      <c r="DK170" s="16">
        <v>73</v>
      </c>
      <c r="DM170" s="16">
        <v>11</v>
      </c>
      <c r="DO170" s="16">
        <v>0</v>
      </c>
      <c r="DQ170" s="16">
        <v>0</v>
      </c>
      <c r="DR170" s="16">
        <v>100</v>
      </c>
    </row>
    <row r="171" spans="1:288" x14ac:dyDescent="0.2">
      <c r="B171" s="16">
        <v>2017</v>
      </c>
      <c r="C171" s="20">
        <v>42905</v>
      </c>
      <c r="D171" s="20" t="str">
        <f>CONCATENATE(J171,"-",C171)</f>
        <v>1054-42905</v>
      </c>
      <c r="E171" s="20" t="str">
        <f>CONCATENATE(T171,"-",U171,"-",C171)</f>
        <v>SP2-B5-42905</v>
      </c>
      <c r="F171" s="20" t="s">
        <v>106</v>
      </c>
      <c r="G171" s="20" t="s">
        <v>107</v>
      </c>
      <c r="I171" s="16">
        <v>0</v>
      </c>
      <c r="J171" s="21">
        <v>1054</v>
      </c>
      <c r="K171" s="21" t="s">
        <v>153</v>
      </c>
      <c r="L171" s="18">
        <v>0</v>
      </c>
      <c r="O171" s="15" t="s">
        <v>119</v>
      </c>
      <c r="P171" s="16" t="s">
        <v>119</v>
      </c>
      <c r="Q171" s="16">
        <v>0</v>
      </c>
      <c r="R171" s="16">
        <v>17</v>
      </c>
      <c r="T171" s="16" t="s">
        <v>137</v>
      </c>
      <c r="U171" s="16" t="s">
        <v>160</v>
      </c>
      <c r="V171" s="16" t="s">
        <v>114</v>
      </c>
      <c r="W171" s="16">
        <f>AI171/AG171</f>
        <v>0.88636363636363635</v>
      </c>
      <c r="X171" s="16" t="s">
        <v>121</v>
      </c>
      <c r="Y171" s="16" t="s">
        <v>110</v>
      </c>
      <c r="Z171" s="16">
        <v>3</v>
      </c>
      <c r="AA171" s="16" t="s">
        <v>119</v>
      </c>
      <c r="AB171" s="16" t="s">
        <v>115</v>
      </c>
      <c r="AC171" s="16" t="s">
        <v>123</v>
      </c>
      <c r="AD171" s="16" t="s">
        <v>123</v>
      </c>
      <c r="AG171" s="16">
        <f>AH171-AI171</f>
        <v>88</v>
      </c>
      <c r="AH171" s="16">
        <v>166</v>
      </c>
      <c r="AI171" s="16">
        <v>78</v>
      </c>
      <c r="AK171" s="16">
        <v>22.5</v>
      </c>
      <c r="AL171" s="16">
        <v>0</v>
      </c>
      <c r="AM171" s="16">
        <v>0</v>
      </c>
      <c r="AN171" s="16">
        <v>0</v>
      </c>
      <c r="AO171" s="16">
        <v>0</v>
      </c>
      <c r="AP171" s="16">
        <f>SUM(AL171:AN171)</f>
        <v>0</v>
      </c>
      <c r="AQ171" s="16">
        <v>1.726</v>
      </c>
      <c r="AR171" s="16">
        <f>AP171-1.472</f>
        <v>-1.472</v>
      </c>
      <c r="AS171" s="16">
        <f>AQ171-1.472</f>
        <v>0.254</v>
      </c>
      <c r="AT171" s="16" t="s">
        <v>234</v>
      </c>
      <c r="AW171" s="16">
        <f>IF(AX171&gt;0,1,0)</f>
        <v>1</v>
      </c>
      <c r="AX171" s="16">
        <f>SUM(BA171,BM171,CT171)</f>
        <v>7</v>
      </c>
      <c r="AY171" s="18">
        <f>SUM(BB171,BN171,CV171)</f>
        <v>8586.6141732283468</v>
      </c>
      <c r="AZ171" s="16">
        <f>IF(BA171&gt;0,1,0)</f>
        <v>1</v>
      </c>
      <c r="BA171" s="16">
        <f>SUM(BC171,BF171,BI171)</f>
        <v>3</v>
      </c>
      <c r="BB171" s="16">
        <f>SUM(BE171,BH171,BK171)</f>
        <v>31.496062992125985</v>
      </c>
      <c r="BC171" s="16">
        <v>1</v>
      </c>
      <c r="BD171" s="16">
        <v>2</v>
      </c>
      <c r="BE171" s="16">
        <f>BD171/AS171</f>
        <v>7.8740157480314963</v>
      </c>
      <c r="BF171" s="16">
        <v>1</v>
      </c>
      <c r="BG171" s="23">
        <v>4</v>
      </c>
      <c r="BH171" s="16">
        <f>BG171/AS171</f>
        <v>15.748031496062993</v>
      </c>
      <c r="BI171" s="16">
        <v>1</v>
      </c>
      <c r="BJ171" s="16">
        <v>2</v>
      </c>
      <c r="BK171" s="16">
        <f>BJ171/AS171</f>
        <v>7.8740157480314963</v>
      </c>
      <c r="BL171" s="16">
        <f>IF(BM171&gt;0,1,0)</f>
        <v>1</v>
      </c>
      <c r="BM171" s="16">
        <f>SUM(BR171,BU171,BX171,CA171,CD171,CG171,CJ171,CM171,CP171)</f>
        <v>3</v>
      </c>
      <c r="BN171" s="16">
        <f>SUM(BW171,BZ171,CC171,CF171,CI171,CL171,CO171,CR171,BT171)</f>
        <v>51.181102362204726</v>
      </c>
      <c r="BO171" s="16">
        <f>IF(BP171&gt;0,1,0)</f>
        <v>1</v>
      </c>
      <c r="BP171" s="16">
        <f>SUM(BU171,BX171,CA171,CD171,BR171)</f>
        <v>3</v>
      </c>
      <c r="BQ171" s="16">
        <f>SUM(BZ171,CC171,CF171,BT171,BW171)</f>
        <v>51.181102362204726</v>
      </c>
      <c r="BR171" s="16">
        <v>0</v>
      </c>
      <c r="BS171" s="16">
        <v>0</v>
      </c>
      <c r="BT171" s="23">
        <f>BS171/AS171</f>
        <v>0</v>
      </c>
      <c r="BU171" s="16">
        <v>0</v>
      </c>
      <c r="BV171" s="16">
        <v>0</v>
      </c>
      <c r="BW171" s="16">
        <f>BV171/AS171</f>
        <v>0</v>
      </c>
      <c r="BX171" s="16">
        <v>1</v>
      </c>
      <c r="BY171" s="16">
        <v>11</v>
      </c>
      <c r="BZ171" s="16">
        <f>BY171/AS171</f>
        <v>43.30708661417323</v>
      </c>
      <c r="CA171" s="16">
        <v>1</v>
      </c>
      <c r="CB171" s="16">
        <v>1</v>
      </c>
      <c r="CC171" s="16">
        <f>CB171/AS171</f>
        <v>3.9370078740157481</v>
      </c>
      <c r="CD171" s="23">
        <v>1</v>
      </c>
      <c r="CE171" s="16">
        <v>1</v>
      </c>
      <c r="CF171" s="16">
        <f>CE171/AS171</f>
        <v>3.9370078740157481</v>
      </c>
      <c r="CG171" s="16">
        <v>0</v>
      </c>
      <c r="CH171" s="16">
        <v>0</v>
      </c>
      <c r="CI171" s="16">
        <f>CH171/AS171</f>
        <v>0</v>
      </c>
      <c r="CM171" s="16">
        <v>0</v>
      </c>
      <c r="CN171" s="16">
        <v>0</v>
      </c>
      <c r="CO171" s="16">
        <f>CN171/AS171</f>
        <v>0</v>
      </c>
      <c r="CP171" s="16">
        <v>0</v>
      </c>
      <c r="CQ171" s="16">
        <v>0</v>
      </c>
      <c r="CR171" s="16">
        <f>CQ171/AS171</f>
        <v>0</v>
      </c>
      <c r="CS171" s="16">
        <f>IF(CT171&gt;0,1,0)</f>
        <v>1</v>
      </c>
      <c r="CT171" s="16">
        <f>SUM(CW171,CZ171,DC171)</f>
        <v>1</v>
      </c>
      <c r="CV171" s="16">
        <f>SUM(CY171,DB171,DE171)</f>
        <v>8503.9370078740158</v>
      </c>
      <c r="CW171" s="16">
        <v>1</v>
      </c>
      <c r="CX171" s="16">
        <v>2160</v>
      </c>
      <c r="CY171" s="16">
        <f>CX171/AS171</f>
        <v>8503.9370078740158</v>
      </c>
      <c r="CZ171" s="16">
        <v>0</v>
      </c>
      <c r="DA171" s="16">
        <v>0</v>
      </c>
      <c r="DB171" s="16">
        <f>DA171/AS171</f>
        <v>0</v>
      </c>
      <c r="DC171" s="16">
        <v>0</v>
      </c>
      <c r="DD171" s="16">
        <v>0</v>
      </c>
      <c r="DE171" s="16">
        <f>DD171/AS171</f>
        <v>0</v>
      </c>
      <c r="DF171" s="16" t="e">
        <f>VLOOKUP(K171,'[3]RNA Seq summary tables'!$V$3:$V$99,1,FALSE)</f>
        <v>#N/A</v>
      </c>
    </row>
    <row r="172" spans="1:288" x14ac:dyDescent="0.2">
      <c r="A172" s="19"/>
      <c r="B172" s="19">
        <v>2017</v>
      </c>
      <c r="C172" s="67">
        <v>42888</v>
      </c>
      <c r="D172" s="67" t="str">
        <f>CONCATENATE(J172,"-",C172)</f>
        <v>1056-42888</v>
      </c>
      <c r="E172" s="20" t="str">
        <f>CONCATENATE(T172,"-",U172,"-",C172)</f>
        <v>SP2-H2-42888</v>
      </c>
      <c r="F172" s="20" t="s">
        <v>106</v>
      </c>
      <c r="G172" s="68" t="s">
        <v>107</v>
      </c>
      <c r="H172" s="19"/>
      <c r="I172" s="16">
        <v>0</v>
      </c>
      <c r="J172" s="69">
        <v>1056</v>
      </c>
      <c r="K172" s="69">
        <v>1611</v>
      </c>
      <c r="L172" s="18">
        <v>0</v>
      </c>
      <c r="M172" s="69">
        <f>VLOOKUP($K172,'[4]blood tubes 2017'!$D$1:$L$647,8,FALSE)</f>
        <v>1</v>
      </c>
      <c r="N172" s="69">
        <f>VLOOKUP($K172,'[4]blood tubes 2017'!$D$1:$L$647,9,FALSE)</f>
        <v>13</v>
      </c>
      <c r="O172" s="15" t="s">
        <v>119</v>
      </c>
      <c r="P172" s="19" t="s">
        <v>119</v>
      </c>
      <c r="Q172" s="19">
        <v>0</v>
      </c>
      <c r="R172" s="19" t="s">
        <v>111</v>
      </c>
      <c r="S172" s="19"/>
      <c r="T172" s="19" t="s">
        <v>137</v>
      </c>
      <c r="U172" s="19" t="s">
        <v>190</v>
      </c>
      <c r="V172" s="19" t="s">
        <v>114</v>
      </c>
      <c r="W172" s="16">
        <f>AI172/AG172</f>
        <v>0.81818181818181823</v>
      </c>
      <c r="X172" s="19" t="s">
        <v>121</v>
      </c>
      <c r="Y172" s="19" t="s">
        <v>110</v>
      </c>
      <c r="Z172" s="19">
        <v>3</v>
      </c>
      <c r="AA172" s="19" t="s">
        <v>161</v>
      </c>
      <c r="AB172" s="19" t="s">
        <v>116</v>
      </c>
      <c r="AC172" s="19" t="s">
        <v>123</v>
      </c>
      <c r="AD172" s="19" t="s">
        <v>116</v>
      </c>
      <c r="AE172" s="19"/>
      <c r="AF172" s="19"/>
      <c r="AG172" s="19">
        <f>AH172-AI172</f>
        <v>99</v>
      </c>
      <c r="AH172" s="19">
        <v>180</v>
      </c>
      <c r="AI172" s="19">
        <v>81</v>
      </c>
      <c r="AJ172" s="19"/>
      <c r="AK172" s="19">
        <v>28</v>
      </c>
      <c r="AL172" s="19">
        <v>0</v>
      </c>
      <c r="AM172" s="19">
        <v>0</v>
      </c>
      <c r="AN172" s="19">
        <v>0</v>
      </c>
      <c r="AO172" s="19">
        <v>0</v>
      </c>
      <c r="AP172" s="19">
        <f>SUM(AL172:AN172)</f>
        <v>0</v>
      </c>
      <c r="AQ172" s="19">
        <v>1.861</v>
      </c>
      <c r="AR172" s="19">
        <f>AP172-1.472</f>
        <v>-1.472</v>
      </c>
      <c r="AS172" s="19">
        <f>AQ172-1.472</f>
        <v>0.38900000000000001</v>
      </c>
      <c r="AT172" s="19" t="s">
        <v>164</v>
      </c>
      <c r="AU172" s="19"/>
      <c r="AV172" s="19"/>
      <c r="AW172" s="19">
        <f>IF(AX172&gt;0,1,0)</f>
        <v>1</v>
      </c>
      <c r="AX172" s="19">
        <f>SUM(BA172,BM172,CT172)</f>
        <v>3</v>
      </c>
      <c r="AY172" s="19">
        <f>SUM(BB172,BN172,CV172)</f>
        <v>259.64010282776349</v>
      </c>
      <c r="AZ172" s="19">
        <f>IF(BA172&gt;0,1,0)</f>
        <v>1</v>
      </c>
      <c r="BA172" s="19">
        <f>SUM(BC172,BF172,BI172)</f>
        <v>2</v>
      </c>
      <c r="BB172" s="19">
        <f>SUM(BE172,BH172,BK172)</f>
        <v>205.65552699228789</v>
      </c>
      <c r="BC172" s="19">
        <v>0</v>
      </c>
      <c r="BD172" s="19">
        <v>0</v>
      </c>
      <c r="BE172" s="19">
        <f>BD172/AS172</f>
        <v>0</v>
      </c>
      <c r="BF172" s="19">
        <v>1</v>
      </c>
      <c r="BG172" s="70">
        <v>73</v>
      </c>
      <c r="BH172" s="19">
        <f>BG172/AS172</f>
        <v>187.66066838046271</v>
      </c>
      <c r="BI172" s="19">
        <v>1</v>
      </c>
      <c r="BJ172" s="19">
        <v>7</v>
      </c>
      <c r="BK172" s="19">
        <f>BJ172/AS172</f>
        <v>17.994858611825194</v>
      </c>
      <c r="BL172" s="19">
        <f>IF(BM172&gt;0,1,0)</f>
        <v>1</v>
      </c>
      <c r="BM172" s="19">
        <f>SUM(BR172,BU172,BX172,CA172,CD172,CG172,CJ172,CM172,CP172)</f>
        <v>1</v>
      </c>
      <c r="BN172" s="19">
        <f>SUM(BW172,BZ172,CC172,CF172,CI172,CL172,CO172,CR172,BT172)</f>
        <v>53.984575835475574</v>
      </c>
      <c r="BO172" s="16">
        <f>IF(BP172&gt;0,1,0)</f>
        <v>0</v>
      </c>
      <c r="BP172" s="16">
        <f>SUM(BU172,BX172,CA172,CD172,BR172)</f>
        <v>0</v>
      </c>
      <c r="BQ172" s="16">
        <f>SUM(BZ172,CC172,CF172,BT172,BW172)</f>
        <v>0</v>
      </c>
      <c r="BR172" s="19">
        <v>0</v>
      </c>
      <c r="BS172" s="19">
        <v>0</v>
      </c>
      <c r="BT172" s="70">
        <f>BS172/AS172</f>
        <v>0</v>
      </c>
      <c r="BU172" s="19">
        <v>0</v>
      </c>
      <c r="BV172" s="19">
        <v>0</v>
      </c>
      <c r="BW172" s="19">
        <f>BV172/AS172</f>
        <v>0</v>
      </c>
      <c r="BX172" s="19">
        <v>0</v>
      </c>
      <c r="BY172" s="19">
        <v>0</v>
      </c>
      <c r="BZ172" s="19">
        <f>BY172/AS172</f>
        <v>0</v>
      </c>
      <c r="CA172" s="19">
        <v>0</v>
      </c>
      <c r="CB172" s="19">
        <v>0</v>
      </c>
      <c r="CC172" s="19">
        <f>CB172/AS172</f>
        <v>0</v>
      </c>
      <c r="CD172" s="70">
        <v>0</v>
      </c>
      <c r="CE172" s="19">
        <v>0</v>
      </c>
      <c r="CF172" s="19">
        <f>CE172/AS172</f>
        <v>0</v>
      </c>
      <c r="CG172" s="19">
        <v>1</v>
      </c>
      <c r="CH172" s="19">
        <v>21</v>
      </c>
      <c r="CI172" s="19">
        <f>CH172/AS172</f>
        <v>53.984575835475574</v>
      </c>
      <c r="CJ172" s="19"/>
      <c r="CK172" s="19"/>
      <c r="CL172" s="19"/>
      <c r="CM172" s="19">
        <v>0</v>
      </c>
      <c r="CN172" s="19">
        <v>0</v>
      </c>
      <c r="CO172" s="19">
        <f>CN172/AS172</f>
        <v>0</v>
      </c>
      <c r="CP172" s="19">
        <v>0</v>
      </c>
      <c r="CQ172" s="19">
        <v>0</v>
      </c>
      <c r="CR172" s="19">
        <f>CQ172/AS172</f>
        <v>0</v>
      </c>
      <c r="CS172" s="19">
        <f>IF(CT172&gt;0,1,0)</f>
        <v>0</v>
      </c>
      <c r="CT172" s="19">
        <f>SUM(CW172,CZ172,DC172)</f>
        <v>0</v>
      </c>
      <c r="CU172" s="19"/>
      <c r="CV172" s="19">
        <f>SUM(CY172,DB172,DE172)</f>
        <v>0</v>
      </c>
      <c r="CW172" s="19">
        <v>0</v>
      </c>
      <c r="CX172" s="19">
        <v>0</v>
      </c>
      <c r="CY172" s="19">
        <f>CX172/AS172</f>
        <v>0</v>
      </c>
      <c r="CZ172" s="19">
        <v>0</v>
      </c>
      <c r="DA172" s="19">
        <v>0</v>
      </c>
      <c r="DB172" s="19">
        <f>DA172/AS172</f>
        <v>0</v>
      </c>
      <c r="DC172" s="19">
        <v>0</v>
      </c>
      <c r="DD172" s="19">
        <v>0</v>
      </c>
      <c r="DE172" s="19">
        <f>DD172/AS172</f>
        <v>0</v>
      </c>
      <c r="DF172" s="16" t="e">
        <f>VLOOKUP(K172,'[3]RNA Seq summary tables'!$V$3:$V$99,1,FALSE)</f>
        <v>#N/A</v>
      </c>
      <c r="DG172" s="16">
        <v>1</v>
      </c>
      <c r="DH172" s="16" t="str">
        <f>VLOOKUP(D172,'[6]workflow 3.2018'!$A$1:$S$237,2,FALSE)</f>
        <v>2017MLBS_22</v>
      </c>
      <c r="DI172" s="19">
        <v>60</v>
      </c>
      <c r="DJ172" s="19"/>
      <c r="DK172" s="19">
        <v>32</v>
      </c>
      <c r="DL172" s="19"/>
      <c r="DM172" s="19">
        <v>7</v>
      </c>
      <c r="DN172" s="19"/>
      <c r="DO172" s="19">
        <v>0</v>
      </c>
      <c r="DP172" s="19"/>
      <c r="DQ172" s="19">
        <v>1</v>
      </c>
      <c r="DR172" s="19">
        <v>100</v>
      </c>
      <c r="DS172" s="19"/>
      <c r="JP172" s="18"/>
      <c r="JQ172" s="18"/>
    </row>
    <row r="173" spans="1:288" x14ac:dyDescent="0.2">
      <c r="B173" s="16">
        <v>2017</v>
      </c>
      <c r="C173" s="20">
        <v>42906</v>
      </c>
      <c r="D173" s="20" t="str">
        <f>CONCATENATE(J173,"-",C173)</f>
        <v>1056-42906</v>
      </c>
      <c r="E173" s="20" t="str">
        <f>CONCATENATE(T173,"-",U173,"-",C173)</f>
        <v>SP2-H2-42906</v>
      </c>
      <c r="F173" s="20" t="s">
        <v>106</v>
      </c>
      <c r="G173" s="20" t="s">
        <v>107</v>
      </c>
      <c r="I173" s="16">
        <v>0</v>
      </c>
      <c r="J173" s="21">
        <v>1056</v>
      </c>
      <c r="K173" s="21">
        <v>1714</v>
      </c>
      <c r="L173" s="18">
        <v>0</v>
      </c>
      <c r="M173" s="21">
        <f>VLOOKUP($K173,'[4]blood tubes 2017'!$D$1:$L$647,8,FALSE)</f>
        <v>0</v>
      </c>
      <c r="N173" s="15">
        <v>0</v>
      </c>
      <c r="O173" s="15" t="s">
        <v>119</v>
      </c>
      <c r="P173" s="16" t="s">
        <v>119</v>
      </c>
      <c r="Q173" s="16">
        <v>0</v>
      </c>
      <c r="R173" s="16">
        <v>18</v>
      </c>
      <c r="T173" s="16" t="s">
        <v>137</v>
      </c>
      <c r="U173" s="16" t="s">
        <v>190</v>
      </c>
      <c r="V173" s="16" t="s">
        <v>114</v>
      </c>
      <c r="W173" s="16">
        <f>AI173/AG173</f>
        <v>0.76923076923076927</v>
      </c>
      <c r="X173" s="16" t="s">
        <v>121</v>
      </c>
      <c r="Y173" s="16" t="s">
        <v>110</v>
      </c>
      <c r="Z173" s="16">
        <v>3</v>
      </c>
      <c r="AA173" s="16" t="s">
        <v>119</v>
      </c>
      <c r="AB173" s="16" t="s">
        <v>240</v>
      </c>
      <c r="AC173" s="16" t="s">
        <v>116</v>
      </c>
      <c r="AD173" s="16" t="s">
        <v>116</v>
      </c>
      <c r="AG173" s="16">
        <f>AH173-AI173</f>
        <v>104</v>
      </c>
      <c r="AH173" s="16">
        <v>184</v>
      </c>
      <c r="AI173" s="16">
        <v>80</v>
      </c>
      <c r="AK173" s="16">
        <v>38</v>
      </c>
      <c r="AL173" s="16">
        <v>0</v>
      </c>
      <c r="AM173" s="16">
        <v>0</v>
      </c>
      <c r="AN173" s="16">
        <v>0</v>
      </c>
      <c r="AO173" s="16">
        <v>0</v>
      </c>
      <c r="AP173" s="16">
        <f>SUM(AL173:AN173)</f>
        <v>0</v>
      </c>
      <c r="AQ173" s="16">
        <v>2.4039999999999999</v>
      </c>
      <c r="AR173" s="16">
        <f>AP173-1.472</f>
        <v>-1.472</v>
      </c>
      <c r="AS173" s="16">
        <f>AQ173-1.472</f>
        <v>0.93199999999999994</v>
      </c>
      <c r="AT173" s="16" t="s">
        <v>233</v>
      </c>
      <c r="AW173" s="16">
        <f>IF(AX173&gt;0,1,0)</f>
        <v>1</v>
      </c>
      <c r="AX173" s="16">
        <f>SUM(BA173,BM173,CT173)</f>
        <v>3</v>
      </c>
      <c r="AY173" s="18">
        <f>SUM(BB173,BN173,CV173)</f>
        <v>1861.5879828326181</v>
      </c>
      <c r="AZ173" s="16">
        <f>IF(BA173&gt;0,1,0)</f>
        <v>1</v>
      </c>
      <c r="BA173" s="16">
        <f>SUM(BC173,BF173,BI173)</f>
        <v>1</v>
      </c>
      <c r="BB173" s="16">
        <f>SUM(BE173,BH173,BK173)</f>
        <v>1859.4420600858371</v>
      </c>
      <c r="BC173" s="16">
        <v>0</v>
      </c>
      <c r="BD173" s="16">
        <v>0</v>
      </c>
      <c r="BE173" s="16">
        <f>BD173/AS173</f>
        <v>0</v>
      </c>
      <c r="BF173" s="16">
        <v>1</v>
      </c>
      <c r="BG173" s="23">
        <v>1733</v>
      </c>
      <c r="BH173" s="16">
        <f>BG173/AS173</f>
        <v>1859.4420600858371</v>
      </c>
      <c r="BI173" s="16">
        <v>0</v>
      </c>
      <c r="BJ173" s="16">
        <v>0</v>
      </c>
      <c r="BK173" s="16">
        <f>BJ173/AS173</f>
        <v>0</v>
      </c>
      <c r="BL173" s="16">
        <f>IF(BM173&gt;0,1,0)</f>
        <v>1</v>
      </c>
      <c r="BM173" s="16">
        <f>SUM(BR173,BU173,BX173,CA173,CD173,CG173,CJ173,CM173,CP173)</f>
        <v>2</v>
      </c>
      <c r="BN173" s="16">
        <f>SUM(BW173,BZ173,CC173,CF173,CI173,CL173,CO173,CR173,BT173)</f>
        <v>2.1459227467811162</v>
      </c>
      <c r="BO173" s="16">
        <f>IF(BP173&gt;0,1,0)</f>
        <v>1</v>
      </c>
      <c r="BP173" s="16">
        <f>SUM(BU173,BX173,CA173,CD173,BR173)</f>
        <v>2</v>
      </c>
      <c r="BQ173" s="16">
        <f>SUM(BZ173,CC173,CF173,BT173,BW173)</f>
        <v>2.1459227467811162</v>
      </c>
      <c r="BR173" s="16">
        <v>0</v>
      </c>
      <c r="BS173" s="16">
        <v>0</v>
      </c>
      <c r="BT173" s="23">
        <f>BS173/AS173</f>
        <v>0</v>
      </c>
      <c r="BU173" s="16">
        <v>0</v>
      </c>
      <c r="BV173" s="16">
        <v>0</v>
      </c>
      <c r="BW173" s="16">
        <f>BV173/AS173</f>
        <v>0</v>
      </c>
      <c r="BX173" s="16">
        <v>0</v>
      </c>
      <c r="BY173" s="16">
        <v>0</v>
      </c>
      <c r="BZ173" s="16">
        <f>BY173/AS173</f>
        <v>0</v>
      </c>
      <c r="CA173" s="16">
        <v>1</v>
      </c>
      <c r="CB173" s="16">
        <v>1</v>
      </c>
      <c r="CC173" s="16">
        <f>CB173/AS173</f>
        <v>1.0729613733905581</v>
      </c>
      <c r="CD173" s="23">
        <v>1</v>
      </c>
      <c r="CE173" s="16">
        <v>1</v>
      </c>
      <c r="CF173" s="16">
        <f>CE173/AS173</f>
        <v>1.0729613733905581</v>
      </c>
      <c r="CG173" s="16">
        <v>0</v>
      </c>
      <c r="CH173" s="16">
        <v>0</v>
      </c>
      <c r="CI173" s="16">
        <f>CH173/AS173</f>
        <v>0</v>
      </c>
      <c r="CM173" s="16">
        <v>0</v>
      </c>
      <c r="CN173" s="16">
        <v>0</v>
      </c>
      <c r="CO173" s="16">
        <f>CN173/AS173</f>
        <v>0</v>
      </c>
      <c r="CP173" s="16">
        <v>0</v>
      </c>
      <c r="CQ173" s="16">
        <v>0</v>
      </c>
      <c r="CR173" s="16">
        <f>CQ173/AS173</f>
        <v>0</v>
      </c>
      <c r="CS173" s="16">
        <f>IF(CT173&gt;0,1,0)</f>
        <v>0</v>
      </c>
      <c r="CT173" s="16">
        <f>SUM(CW173,CZ173,DC173)</f>
        <v>0</v>
      </c>
      <c r="CV173" s="16">
        <f>SUM(CY173,DB173,DE173)</f>
        <v>0</v>
      </c>
      <c r="CW173" s="16">
        <v>0</v>
      </c>
      <c r="CX173" s="16">
        <v>0</v>
      </c>
      <c r="CY173" s="16">
        <f>CX173/AS173</f>
        <v>0</v>
      </c>
      <c r="CZ173" s="16">
        <v>0</v>
      </c>
      <c r="DA173" s="16">
        <v>0</v>
      </c>
      <c r="DB173" s="16">
        <f>DA173/AS173</f>
        <v>0</v>
      </c>
      <c r="DC173" s="16">
        <v>0</v>
      </c>
      <c r="DD173" s="16">
        <v>0</v>
      </c>
      <c r="DE173" s="16">
        <f>DD173/AS173</f>
        <v>0</v>
      </c>
      <c r="DF173" s="16" t="e">
        <f>VLOOKUP(K173,'[3]RNA Seq summary tables'!$V$3:$V$99,1,FALSE)</f>
        <v>#N/A</v>
      </c>
      <c r="DI173" s="16">
        <v>25</v>
      </c>
      <c r="DK173" s="16">
        <v>67</v>
      </c>
      <c r="DM173" s="16">
        <v>8</v>
      </c>
      <c r="DO173" s="16">
        <v>0</v>
      </c>
      <c r="DQ173" s="16">
        <v>0</v>
      </c>
      <c r="DR173" s="16">
        <f>SUM(DI173:DQ173)</f>
        <v>100</v>
      </c>
    </row>
    <row r="174" spans="1:288" x14ac:dyDescent="0.2">
      <c r="B174" s="16">
        <v>2017</v>
      </c>
      <c r="C174" s="20">
        <v>42958</v>
      </c>
      <c r="D174" s="20" t="str">
        <f>CONCATENATE(J174,"-",C174)</f>
        <v>1056-42958</v>
      </c>
      <c r="E174" s="20" t="str">
        <f>CONCATENATE(T174,"-",U174,"-",C174)</f>
        <v>SP2-H1-42958</v>
      </c>
      <c r="F174" s="20" t="s">
        <v>106</v>
      </c>
      <c r="G174" s="20" t="s">
        <v>107</v>
      </c>
      <c r="I174" s="16">
        <v>0</v>
      </c>
      <c r="J174" s="21">
        <v>1056</v>
      </c>
      <c r="K174" s="21">
        <v>2137</v>
      </c>
      <c r="L174" s="18">
        <v>0</v>
      </c>
      <c r="M174" s="21">
        <f>VLOOKUP($K174,'[4]blood tubes 2017'!$D$1:$L$647,8,FALSE)</f>
        <v>0</v>
      </c>
      <c r="N174" s="15">
        <v>0</v>
      </c>
      <c r="O174" s="15" t="s">
        <v>119</v>
      </c>
      <c r="P174" s="16" t="s">
        <v>119</v>
      </c>
      <c r="Q174" s="16">
        <v>0</v>
      </c>
      <c r="R174" s="16">
        <v>52</v>
      </c>
      <c r="T174" s="16" t="s">
        <v>137</v>
      </c>
      <c r="U174" s="16" t="s">
        <v>191</v>
      </c>
      <c r="V174" s="16" t="s">
        <v>114</v>
      </c>
      <c r="W174" s="16">
        <f>AI174/AG174</f>
        <v>0.83838383838383834</v>
      </c>
      <c r="X174" s="16" t="s">
        <v>121</v>
      </c>
      <c r="Y174" s="16" t="s">
        <v>110</v>
      </c>
      <c r="Z174" s="16">
        <v>3</v>
      </c>
      <c r="AA174" s="16" t="s">
        <v>119</v>
      </c>
      <c r="AB174" s="16" t="s">
        <v>240</v>
      </c>
      <c r="AC174" s="16" t="s">
        <v>123</v>
      </c>
      <c r="AD174" s="16" t="s">
        <v>123</v>
      </c>
      <c r="AG174" s="16">
        <f>AH174-AI174</f>
        <v>99</v>
      </c>
      <c r="AH174" s="16">
        <v>182</v>
      </c>
      <c r="AI174" s="16">
        <v>83</v>
      </c>
      <c r="AK174" s="16">
        <v>30.5</v>
      </c>
      <c r="AL174" s="16">
        <v>0</v>
      </c>
      <c r="AM174" s="16">
        <v>0</v>
      </c>
      <c r="AN174" s="16">
        <v>0</v>
      </c>
      <c r="AO174" s="16">
        <v>0</v>
      </c>
      <c r="AP174" s="16">
        <f>SUM(AL174:AN174)</f>
        <v>0</v>
      </c>
      <c r="AQ174" s="16">
        <v>2.2210000000000001</v>
      </c>
      <c r="AR174" s="16">
        <f>AP174-1.472</f>
        <v>-1.472</v>
      </c>
      <c r="AS174" s="16">
        <f>AQ174-1.472</f>
        <v>0.74900000000000011</v>
      </c>
      <c r="AT174" s="16" t="str">
        <f>VLOOKUP(K174,'[5]FECs - good data'!$C$1:$P$575,13,FALSE)</f>
        <v>SB</v>
      </c>
      <c r="AW174" s="18">
        <f>IF(AX174&gt;0,1,0)</f>
        <v>1</v>
      </c>
      <c r="AX174" s="18">
        <f>SUM(BA174,BM174,CT174)</f>
        <v>7</v>
      </c>
      <c r="AY174" s="18">
        <f>SUM(BB174,BN174,CV174)</f>
        <v>548.73164218958607</v>
      </c>
      <c r="AZ174" s="18">
        <f>IF(BA174&gt;0,1,0)</f>
        <v>1</v>
      </c>
      <c r="BA174" s="18">
        <f>SUM(BC174,BF174,BI174)</f>
        <v>3</v>
      </c>
      <c r="BB174" s="18">
        <f>SUM(BE174,BH174,BK174)</f>
        <v>436.5821094793057</v>
      </c>
      <c r="BC174" s="18">
        <f>IF(BD174&gt;0,1,0)</f>
        <v>1</v>
      </c>
      <c r="BD174" s="18">
        <f>VLOOKUP($K174,'[5]FECs - good data'!$C$1:$Z$574,14,FALSE)</f>
        <v>84</v>
      </c>
      <c r="BE174" s="16">
        <f>BD174/AS174</f>
        <v>112.14953271028035</v>
      </c>
      <c r="BF174" s="16">
        <f>IF(BG174&gt;0,1,0)</f>
        <v>1</v>
      </c>
      <c r="BG174" s="23">
        <f>VLOOKUP($K174,'[5]FECs - good data'!$C$1:$Z$574,15,FALSE)</f>
        <v>231</v>
      </c>
      <c r="BH174" s="16">
        <f>BG174/AS174</f>
        <v>308.41121495327099</v>
      </c>
      <c r="BI174" s="16">
        <f>IF(BJ174&gt;0,1,0)</f>
        <v>1</v>
      </c>
      <c r="BJ174" s="16">
        <f>VLOOKUP($K174,'[5]FECs - good data'!$C$1:$Z$574,16,FALSE)</f>
        <v>12</v>
      </c>
      <c r="BK174" s="16">
        <f>BJ174/AS174</f>
        <v>16.021361815754336</v>
      </c>
      <c r="BL174" s="16">
        <f>IF(BM174&gt;0,1,0)</f>
        <v>1</v>
      </c>
      <c r="BM174" s="16">
        <f>SUM(BR174,BU174,BX174,CA174,CD174,CG174,CJ174,CM174,CP174)</f>
        <v>1</v>
      </c>
      <c r="BN174" s="16">
        <f>SUM(BW174,BZ174,CC174,CF174,CI174,CL174,CO174,CR174,BT174)</f>
        <v>44.058744993324424</v>
      </c>
      <c r="BO174" s="16">
        <f>IF(BP174&gt;0,1,0)</f>
        <v>0</v>
      </c>
      <c r="BP174" s="16">
        <f>SUM(BU174,BX174,CA174,CD174,BR174)</f>
        <v>0</v>
      </c>
      <c r="BQ174" s="16">
        <f>SUM(BZ174,CC174,CF174,BT174,BW174)</f>
        <v>0</v>
      </c>
      <c r="BR174" s="16">
        <f>IF(BS174&gt;0,1,0)</f>
        <v>0</v>
      </c>
      <c r="BS174" s="16">
        <f>VLOOKUP($K174,'[5]FECs - good data'!$C$1:$Z$574,17,FALSE)</f>
        <v>0</v>
      </c>
      <c r="BT174" s="23">
        <f>BS174/AS174</f>
        <v>0</v>
      </c>
      <c r="BU174" s="16">
        <f>IF(BV174&gt;0,1,0)</f>
        <v>0</v>
      </c>
      <c r="BV174" s="16">
        <f>VLOOKUP($K174,'[5]FECs - good data'!$C$1:$Z$574,18,FALSE)</f>
        <v>0</v>
      </c>
      <c r="BW174" s="16">
        <f>BV174/AS174</f>
        <v>0</v>
      </c>
      <c r="BX174" s="16">
        <f>IF(BY174&gt;0,1,0)</f>
        <v>0</v>
      </c>
      <c r="BY174" s="16">
        <f>VLOOKUP($K174,'[5]FECs - good data'!$C$1:$Z$574,19,FALSE)</f>
        <v>0</v>
      </c>
      <c r="BZ174" s="16">
        <f>BY174/AS174</f>
        <v>0</v>
      </c>
      <c r="CA174" s="16">
        <f>IF(CB174&gt;0,1,0)</f>
        <v>0</v>
      </c>
      <c r="CB174" s="16">
        <f>VLOOKUP($K174,'[5]FECs - good data'!$C$1:$Z$574,20,FALSE)</f>
        <v>0</v>
      </c>
      <c r="CC174" s="16">
        <f>CB174/AS174</f>
        <v>0</v>
      </c>
      <c r="CD174" s="23">
        <f>IF(CE174&gt;0,1,0)</f>
        <v>0</v>
      </c>
      <c r="CE174" s="16">
        <f>VLOOKUP($K174,'[5]FECs - good data'!$C$1:$Z$574,21,FALSE)</f>
        <v>0</v>
      </c>
      <c r="CF174" s="16">
        <f>CE174/AS174</f>
        <v>0</v>
      </c>
      <c r="CG174" s="16">
        <f>IF(CH174&gt;0,1,0)</f>
        <v>1</v>
      </c>
      <c r="CH174" s="16">
        <f>VLOOKUP($K174,'[5]FECs - good data'!$C$1:$Z$574,22,FALSE)</f>
        <v>33</v>
      </c>
      <c r="CI174" s="16">
        <f>CH174/AS174</f>
        <v>44.058744993324424</v>
      </c>
      <c r="CJ174" s="16">
        <f>IF(CK174&gt;0,1,0)</f>
        <v>0</v>
      </c>
      <c r="CK174" s="16">
        <f>VLOOKUP($K174,'[5]FECs - good data'!$C$1:$Z$674,24,FALSE)</f>
        <v>0</v>
      </c>
      <c r="CL174" s="16">
        <f>CK174/AS174</f>
        <v>0</v>
      </c>
      <c r="CS174" s="16">
        <f>IF(CT174&gt;0,1,0)</f>
        <v>1</v>
      </c>
      <c r="CT174" s="16">
        <f>SUM(CW174+CZ174,DC174)</f>
        <v>3</v>
      </c>
      <c r="CV174" s="16">
        <f>SUM(CY174,DB174,DE174)</f>
        <v>68.09078771695593</v>
      </c>
      <c r="CW174" s="16">
        <f>IF(CX174&gt;0,1,0)</f>
        <v>1</v>
      </c>
      <c r="CX174" s="16">
        <f>VLOOKUP($K174,'[5]FECs - good data'!$C$1:$Z$574,22,FALSE)</f>
        <v>33</v>
      </c>
      <c r="CY174" s="16">
        <f>CX174/AS174</f>
        <v>44.058744993324424</v>
      </c>
      <c r="CZ174" s="16">
        <f>IF(DA174&gt;0,1,0)</f>
        <v>1</v>
      </c>
      <c r="DA174" s="16">
        <f>VLOOKUP($K174,'[5]FECs - good data'!$C$1:$Z$5982,23,FALSE)</f>
        <v>9</v>
      </c>
      <c r="DB174" s="16">
        <f>DA174/AS174</f>
        <v>12.016021361815753</v>
      </c>
      <c r="DC174" s="16">
        <f>IF(DD174&gt;0,1,0)</f>
        <v>1</v>
      </c>
      <c r="DD174" s="16">
        <f>VLOOKUP($K174,'[5]FECs - good data'!$C$1:$Z$574,23,FALSE)</f>
        <v>9</v>
      </c>
      <c r="DE174" s="16">
        <f>DD174/AS174</f>
        <v>12.016021361815753</v>
      </c>
      <c r="DF174" s="16" t="e">
        <f>VLOOKUP(K174,'[3]RNA Seq summary tables'!$V$3:$V$99,1,FALSE)</f>
        <v>#N/A</v>
      </c>
      <c r="DG174" s="16">
        <v>1</v>
      </c>
      <c r="DH174" s="16" t="str">
        <f>VLOOKUP(D174,'[6]workflow 3.2018'!$A$1:$S$237,2,FALSE)</f>
        <v>2017MLBS_134</v>
      </c>
      <c r="JO174" s="38"/>
      <c r="JP174" s="38"/>
      <c r="JQ174" s="38"/>
    </row>
    <row r="175" spans="1:288" x14ac:dyDescent="0.2">
      <c r="B175" s="16">
        <v>2017</v>
      </c>
      <c r="C175" s="20">
        <v>42972</v>
      </c>
      <c r="D175" s="20" t="str">
        <f>CONCATENATE(J175,"-",C175)</f>
        <v>1056-42972</v>
      </c>
      <c r="E175" s="20" t="str">
        <f>CONCATENATE(T175,"-",U175,"-",C175)</f>
        <v>SP2-G2-42972</v>
      </c>
      <c r="F175" s="20" t="s">
        <v>106</v>
      </c>
      <c r="G175" s="20" t="s">
        <v>107</v>
      </c>
      <c r="I175" s="16">
        <v>0</v>
      </c>
      <c r="J175" s="21">
        <v>1056</v>
      </c>
      <c r="K175" s="21">
        <v>2253</v>
      </c>
      <c r="L175" s="18">
        <v>0</v>
      </c>
      <c r="M175" s="21">
        <f>VLOOKUP($K175,'[4]blood tubes 2017'!$D$1:$L$947,8,FALSE)</f>
        <v>0</v>
      </c>
      <c r="N175" s="15">
        <v>0</v>
      </c>
      <c r="O175" s="15" t="s">
        <v>119</v>
      </c>
      <c r="P175" s="16" t="s">
        <v>119</v>
      </c>
      <c r="Q175" s="16">
        <v>0</v>
      </c>
      <c r="R175" s="16">
        <v>14</v>
      </c>
      <c r="T175" s="16" t="s">
        <v>137</v>
      </c>
      <c r="U175" s="16" t="s">
        <v>128</v>
      </c>
      <c r="V175" s="16" t="s">
        <v>114</v>
      </c>
      <c r="W175" s="16">
        <f>AI175/AG175</f>
        <v>0.80582524271844658</v>
      </c>
      <c r="X175" s="16" t="s">
        <v>121</v>
      </c>
      <c r="Y175" s="16" t="s">
        <v>110</v>
      </c>
      <c r="Z175" s="16">
        <v>3</v>
      </c>
      <c r="AA175" s="16" t="s">
        <v>119</v>
      </c>
      <c r="AB175" s="16" t="s">
        <v>239</v>
      </c>
      <c r="AC175" s="16" t="s">
        <v>123</v>
      </c>
      <c r="AD175" s="16" t="s">
        <v>123</v>
      </c>
      <c r="AG175" s="16">
        <f>AH175-AI175</f>
        <v>103</v>
      </c>
      <c r="AH175" s="16">
        <v>186</v>
      </c>
      <c r="AI175" s="16">
        <v>83</v>
      </c>
      <c r="AK175" s="16">
        <v>26.5</v>
      </c>
      <c r="AL175" s="16">
        <v>0</v>
      </c>
      <c r="AM175" s="16">
        <v>0</v>
      </c>
      <c r="AN175" s="16">
        <v>0</v>
      </c>
      <c r="AO175" s="16">
        <v>0</v>
      </c>
      <c r="AP175" s="16">
        <f>SUM(AL175:AN175)</f>
        <v>0</v>
      </c>
      <c r="AQ175" s="16">
        <v>1.7010000000000001</v>
      </c>
      <c r="AR175" s="16">
        <f>AP175-1.472</f>
        <v>-1.472</v>
      </c>
      <c r="AS175" s="16">
        <f>AQ175-1.472</f>
        <v>0.22900000000000009</v>
      </c>
      <c r="AT175" s="16" t="str">
        <f>VLOOKUP(K175,'[5]FECs - good data'!$C$1:$P$575,13,FALSE)</f>
        <v>JB</v>
      </c>
      <c r="AW175" s="18">
        <f>IF(AX175&gt;0,1,0)</f>
        <v>1</v>
      </c>
      <c r="AX175" s="18">
        <f>SUM(BA175,BM175,CT175)</f>
        <v>3</v>
      </c>
      <c r="AY175" s="18">
        <f>SUM(BB175,BN175,CV175)</f>
        <v>1423.5807860262003</v>
      </c>
      <c r="AZ175" s="18">
        <f>IF(BA175&gt;0,1,0)</f>
        <v>1</v>
      </c>
      <c r="BA175" s="18">
        <f>SUM(BC175,BF175,BI175)</f>
        <v>2</v>
      </c>
      <c r="BB175" s="18">
        <f>SUM(BE175,BH175,BK175)</f>
        <v>1414.8471615720518</v>
      </c>
      <c r="BC175" s="18">
        <f>IF(BD175&gt;0,1,0)</f>
        <v>1</v>
      </c>
      <c r="BD175" s="18">
        <f>VLOOKUP($K175,'[5]FECs - good data'!$C$1:$Z$574,14,FALSE)</f>
        <v>46</v>
      </c>
      <c r="BE175" s="16">
        <f>BD175/AS175</f>
        <v>200.87336244541476</v>
      </c>
      <c r="BF175" s="16">
        <f>IF(BG175&gt;0,1,0)</f>
        <v>1</v>
      </c>
      <c r="BG175" s="23">
        <f>VLOOKUP($K175,'[5]FECs - good data'!$C$1:$Z$574,15,FALSE)</f>
        <v>278</v>
      </c>
      <c r="BH175" s="16">
        <f>BG175/AS175</f>
        <v>1213.973799126637</v>
      </c>
      <c r="BI175" s="16">
        <f>IF(BJ175&gt;0,1,0)</f>
        <v>0</v>
      </c>
      <c r="BJ175" s="16">
        <f>VLOOKUP($K175,'[5]FECs - good data'!$C$1:$Z$574,16,FALSE)</f>
        <v>0</v>
      </c>
      <c r="BK175" s="16">
        <f>BJ175/AS175</f>
        <v>0</v>
      </c>
      <c r="BL175" s="16">
        <f>IF(BM175&gt;0,1,0)</f>
        <v>1</v>
      </c>
      <c r="BM175" s="16">
        <f>SUM(BR175,BU175,BX175,CA175,CD175,CG175,CJ175,CM175,CP175)</f>
        <v>1</v>
      </c>
      <c r="BN175" s="16">
        <f>SUM(BW175,BZ175,CC175,CF175,CI175,CL175,CO175,CR175,BT175)</f>
        <v>8.7336244541484689</v>
      </c>
      <c r="BO175" s="16">
        <f>IF(BP175&gt;0,1,0)</f>
        <v>0</v>
      </c>
      <c r="BP175" s="16">
        <f>SUM(BU175,BX175,CA175,CD175,BR175)</f>
        <v>0</v>
      </c>
      <c r="BQ175" s="16">
        <f>SUM(BZ175,CC175,CF175,BT175,BW175)</f>
        <v>0</v>
      </c>
      <c r="BR175" s="16">
        <f>IF(BS175&gt;0,1,0)</f>
        <v>0</v>
      </c>
      <c r="BS175" s="16">
        <f>VLOOKUP($K175,'[5]FECs - good data'!$C$1:$Z$574,17,FALSE)</f>
        <v>0</v>
      </c>
      <c r="BT175" s="23">
        <f>BS175/AS175</f>
        <v>0</v>
      </c>
      <c r="BU175" s="16">
        <f>IF(BV175&gt;0,1,0)</f>
        <v>0</v>
      </c>
      <c r="BV175" s="16">
        <f>VLOOKUP($K175,'[5]FECs - good data'!$C$1:$Z$574,18,FALSE)</f>
        <v>0</v>
      </c>
      <c r="BW175" s="16">
        <f>BV175/AS175</f>
        <v>0</v>
      </c>
      <c r="BX175" s="16">
        <f>IF(BY175&gt;0,1,0)</f>
        <v>0</v>
      </c>
      <c r="BY175" s="16">
        <f>VLOOKUP($K175,'[5]FECs - good data'!$C$1:$Z$574,19,FALSE)</f>
        <v>0</v>
      </c>
      <c r="BZ175" s="16">
        <f>BY175/AS175</f>
        <v>0</v>
      </c>
      <c r="CA175" s="16">
        <f>IF(CB175&gt;0,1,0)</f>
        <v>0</v>
      </c>
      <c r="CB175" s="16">
        <f>VLOOKUP($K175,'[5]FECs - good data'!$C$1:$Z$574,20,FALSE)</f>
        <v>0</v>
      </c>
      <c r="CC175" s="16">
        <f>CB175/AS175</f>
        <v>0</v>
      </c>
      <c r="CD175" s="23">
        <f>IF(CE175&gt;0,1,0)</f>
        <v>0</v>
      </c>
      <c r="CE175" s="16">
        <f>VLOOKUP($K175,'[5]FECs - good data'!$C$1:$Z$574,21,FALSE)</f>
        <v>0</v>
      </c>
      <c r="CF175" s="16">
        <f>CE175/AS175</f>
        <v>0</v>
      </c>
      <c r="CG175" s="16">
        <f>IF(CH175&gt;0,1,0)</f>
        <v>0</v>
      </c>
      <c r="CH175" s="16">
        <f>VLOOKUP($K175,'[5]FECs - good data'!$C$1:$Z$574,22,FALSE)</f>
        <v>0</v>
      </c>
      <c r="CI175" s="16">
        <f>CH175/AS175</f>
        <v>0</v>
      </c>
      <c r="CJ175" s="16">
        <f>IF(CK175&gt;0,1,0)</f>
        <v>1</v>
      </c>
      <c r="CK175" s="16">
        <f>VLOOKUP($K175,'[5]FECs - good data'!$C$1:$Z$674,24,FALSE)</f>
        <v>2</v>
      </c>
      <c r="CL175" s="16">
        <f>CK175/AS175</f>
        <v>8.7336244541484689</v>
      </c>
      <c r="CS175" s="16">
        <f>IF(CT175&gt;0,1,0)</f>
        <v>0</v>
      </c>
      <c r="CT175" s="16">
        <f>SUM(CW175+CZ175,DC175)</f>
        <v>0</v>
      </c>
      <c r="CV175" s="16">
        <f>SUM(CY175,DB175,DE175)</f>
        <v>0</v>
      </c>
      <c r="CW175" s="16">
        <f>IF(CX175&gt;0,1,0)</f>
        <v>0</v>
      </c>
      <c r="CX175" s="16">
        <f>VLOOKUP($K175,'[5]FECs - good data'!$C$1:$Z$574,22,FALSE)</f>
        <v>0</v>
      </c>
      <c r="CY175" s="16">
        <f>CX175/AS175</f>
        <v>0</v>
      </c>
      <c r="CZ175" s="16">
        <f>IF(DA175&gt;0,1,0)</f>
        <v>0</v>
      </c>
      <c r="DA175" s="16">
        <f>VLOOKUP($K175,'[5]FECs - good data'!$C$1:$Z$5982,23,FALSE)</f>
        <v>0</v>
      </c>
      <c r="DB175" s="16">
        <f>DA175/AS175</f>
        <v>0</v>
      </c>
      <c r="DC175" s="16">
        <f>IF(DD175&gt;0,1,0)</f>
        <v>0</v>
      </c>
      <c r="DD175" s="16">
        <f>VLOOKUP($K175,'[5]FECs - good data'!$C$1:$Z$574,23,FALSE)</f>
        <v>0</v>
      </c>
      <c r="DE175" s="16">
        <f>DD175/AS175</f>
        <v>0</v>
      </c>
      <c r="DF175" s="16" t="e">
        <f>VLOOKUP(K175,'[3]RNA Seq summary tables'!$V$3:$V$99,1,FALSE)</f>
        <v>#N/A</v>
      </c>
      <c r="DG175" s="16">
        <v>1</v>
      </c>
      <c r="DH175" s="16" t="str">
        <f>VLOOKUP(D175,'[6]workflow 3.2018'!$A$1:$S$237,2,FALSE)</f>
        <v>2017MLBS_188</v>
      </c>
    </row>
    <row r="176" spans="1:288" x14ac:dyDescent="0.2">
      <c r="B176" s="16">
        <v>2017</v>
      </c>
      <c r="C176" s="73">
        <v>42889</v>
      </c>
      <c r="D176" s="66" t="str">
        <f>CONCATENATE(J176,"-",C176)</f>
        <v>1058-42889</v>
      </c>
      <c r="E176" s="20" t="str">
        <f>CONCATENATE(T176,"-",U176,"-",C176)</f>
        <v>SP1-A5-42889</v>
      </c>
      <c r="F176" s="20" t="s">
        <v>106</v>
      </c>
      <c r="G176" s="43" t="s">
        <v>107</v>
      </c>
      <c r="H176" s="23"/>
      <c r="I176" s="23">
        <v>0</v>
      </c>
      <c r="J176" s="15">
        <v>1058</v>
      </c>
      <c r="K176" s="15">
        <v>1613</v>
      </c>
      <c r="L176" s="25">
        <v>0</v>
      </c>
      <c r="M176" s="21">
        <f>VLOOKUP($K176,'[4]blood tubes 2017'!$D$1:$L$647,8,FALSE)</f>
        <v>0</v>
      </c>
      <c r="N176" s="15">
        <v>0</v>
      </c>
      <c r="O176" s="15" t="s">
        <v>119</v>
      </c>
      <c r="P176" s="23" t="s">
        <v>119</v>
      </c>
      <c r="Q176" s="23">
        <v>0</v>
      </c>
      <c r="R176" s="23" t="s">
        <v>111</v>
      </c>
      <c r="S176" s="23"/>
      <c r="T176" s="23" t="s">
        <v>140</v>
      </c>
      <c r="U176" s="23" t="s">
        <v>167</v>
      </c>
      <c r="V176" s="23" t="s">
        <v>114</v>
      </c>
      <c r="W176" s="23">
        <f>AI176/AG176</f>
        <v>0.79746835443037978</v>
      </c>
      <c r="X176" s="23" t="s">
        <v>115</v>
      </c>
      <c r="Y176" s="23" t="s">
        <v>145</v>
      </c>
      <c r="Z176" s="23">
        <v>1</v>
      </c>
      <c r="AA176" s="23"/>
      <c r="AB176" s="23"/>
      <c r="AC176" s="23"/>
      <c r="AD176" s="23"/>
      <c r="AE176" s="23" t="s">
        <v>123</v>
      </c>
      <c r="AF176" s="23" t="s">
        <v>123</v>
      </c>
      <c r="AG176" s="23">
        <f>AH176-AI176</f>
        <v>79</v>
      </c>
      <c r="AH176" s="23">
        <v>142</v>
      </c>
      <c r="AI176" s="23">
        <v>63</v>
      </c>
      <c r="AJ176" s="23"/>
      <c r="AK176" s="23">
        <v>11</v>
      </c>
      <c r="AL176" s="23">
        <v>0</v>
      </c>
      <c r="AM176" s="23">
        <v>0</v>
      </c>
      <c r="AN176" s="23">
        <v>0</v>
      </c>
      <c r="AO176" s="23">
        <v>0</v>
      </c>
      <c r="AP176" s="23">
        <f>SUM(AL176:AN176)</f>
        <v>0</v>
      </c>
      <c r="AQ176" s="23">
        <v>1.5740000000000001</v>
      </c>
      <c r="AR176" s="23">
        <f>AP176-1.472</f>
        <v>-1.472</v>
      </c>
      <c r="AS176" s="23">
        <f>AQ176-1.472</f>
        <v>0.10200000000000009</v>
      </c>
      <c r="AT176" s="16" t="s">
        <v>164</v>
      </c>
      <c r="AW176" s="16">
        <f>IF(AX176&gt;0,1,0)</f>
        <v>1</v>
      </c>
      <c r="AX176" s="16">
        <f>SUM(BA176,BM176,CT176)</f>
        <v>3</v>
      </c>
      <c r="AY176" s="18">
        <f>SUM(BB176,BN176,CV176)</f>
        <v>11666.666666666657</v>
      </c>
      <c r="AZ176" s="16">
        <f>IF(BA176&gt;0,1,0)</f>
        <v>1</v>
      </c>
      <c r="BA176" s="16">
        <f>SUM(BC176,BF176,BI176)</f>
        <v>3</v>
      </c>
      <c r="BB176" s="16">
        <f>SUM(BE176,BH176,BK176)</f>
        <v>11666.666666666657</v>
      </c>
      <c r="BC176" s="16">
        <v>1</v>
      </c>
      <c r="BD176" s="16">
        <v>59</v>
      </c>
      <c r="BE176" s="16">
        <f>BD176/AS176</f>
        <v>578.4313725490191</v>
      </c>
      <c r="BF176" s="16">
        <v>1</v>
      </c>
      <c r="BG176" s="23">
        <v>599</v>
      </c>
      <c r="BH176" s="16">
        <f>BG176/AS176</f>
        <v>5872.5490196078381</v>
      </c>
      <c r="BI176" s="16">
        <v>1</v>
      </c>
      <c r="BJ176" s="16">
        <v>532</v>
      </c>
      <c r="BK176" s="16">
        <f>BJ176/AS176</f>
        <v>5215.6862745097997</v>
      </c>
      <c r="BL176" s="16">
        <f>IF(BM176&gt;0,1,0)</f>
        <v>0</v>
      </c>
      <c r="BM176" s="16">
        <f>SUM(BR176,BU176,BX176,CA176,CD176,CG176,CJ176,CM176,CP176)</f>
        <v>0</v>
      </c>
      <c r="BN176" s="16">
        <f>SUM(BW176,BZ176,CC176,CF176,CI176,CL176,CO176,CR176,BT176)</f>
        <v>0</v>
      </c>
      <c r="BO176" s="16">
        <f>IF(BP176&gt;0,1,0)</f>
        <v>0</v>
      </c>
      <c r="BP176" s="16">
        <f>SUM(BU176,BX176,CA176,CD176,BR176)</f>
        <v>0</v>
      </c>
      <c r="BQ176" s="16">
        <f>SUM(BZ176,CC176,CF176,BT176,BW176)</f>
        <v>0</v>
      </c>
      <c r="BR176" s="16">
        <v>0</v>
      </c>
      <c r="BS176" s="16">
        <v>0</v>
      </c>
      <c r="BT176" s="23">
        <f>BS176/AS176</f>
        <v>0</v>
      </c>
      <c r="BU176" s="16">
        <v>0</v>
      </c>
      <c r="BV176" s="16">
        <v>0</v>
      </c>
      <c r="BW176" s="16">
        <f>BV176/AS176</f>
        <v>0</v>
      </c>
      <c r="BX176" s="16">
        <v>0</v>
      </c>
      <c r="BY176" s="16">
        <v>0</v>
      </c>
      <c r="BZ176" s="16">
        <f>BY176/AS176</f>
        <v>0</v>
      </c>
      <c r="CA176" s="16">
        <v>0</v>
      </c>
      <c r="CB176" s="16">
        <v>0</v>
      </c>
      <c r="CC176" s="16">
        <f>CB176/AS176</f>
        <v>0</v>
      </c>
      <c r="CD176" s="23">
        <v>0</v>
      </c>
      <c r="CE176" s="16">
        <v>0</v>
      </c>
      <c r="CF176" s="16">
        <f>CE176/AS176</f>
        <v>0</v>
      </c>
      <c r="CG176" s="16">
        <v>0</v>
      </c>
      <c r="CH176" s="16">
        <v>0</v>
      </c>
      <c r="CI176" s="16">
        <f>CH176/AS176</f>
        <v>0</v>
      </c>
      <c r="CM176" s="16">
        <v>0</v>
      </c>
      <c r="CN176" s="16">
        <v>0</v>
      </c>
      <c r="CO176" s="16">
        <f>CN176/AS176</f>
        <v>0</v>
      </c>
      <c r="CP176" s="16">
        <v>0</v>
      </c>
      <c r="CQ176" s="16">
        <v>0</v>
      </c>
      <c r="CR176" s="16">
        <f>CQ176/AS176</f>
        <v>0</v>
      </c>
      <c r="CS176" s="16">
        <f>IF(CT176&gt;0,1,0)</f>
        <v>0</v>
      </c>
      <c r="CT176" s="16">
        <f>SUM(CW176,CZ176,DC176)</f>
        <v>0</v>
      </c>
      <c r="CV176" s="16">
        <f>SUM(CY176,DB176,DE176)</f>
        <v>0</v>
      </c>
      <c r="CW176" s="16">
        <v>0</v>
      </c>
      <c r="CX176" s="16">
        <v>0</v>
      </c>
      <c r="CY176" s="16">
        <f>CX176/AS176</f>
        <v>0</v>
      </c>
      <c r="CZ176" s="16">
        <v>0</v>
      </c>
      <c r="DA176" s="16">
        <v>0</v>
      </c>
      <c r="DB176" s="16">
        <f>DA176/AS176</f>
        <v>0</v>
      </c>
      <c r="DC176" s="23">
        <v>0</v>
      </c>
      <c r="DD176" s="23">
        <v>0</v>
      </c>
      <c r="DE176" s="23">
        <f>DD176/AS176</f>
        <v>0</v>
      </c>
      <c r="DF176" s="16" t="e">
        <f>VLOOKUP(K176,'[3]RNA Seq summary tables'!$V$3:$V$99,1,FALSE)</f>
        <v>#N/A</v>
      </c>
      <c r="DG176" s="23"/>
      <c r="DH176" s="23"/>
      <c r="DI176" s="23">
        <v>32</v>
      </c>
      <c r="DJ176" s="23"/>
      <c r="DK176" s="23">
        <v>29</v>
      </c>
      <c r="DL176" s="23"/>
      <c r="DM176" s="23">
        <v>12</v>
      </c>
      <c r="DN176" s="23"/>
      <c r="DO176" s="23">
        <v>0</v>
      </c>
      <c r="DP176" s="23"/>
      <c r="DQ176" s="23">
        <v>0</v>
      </c>
      <c r="DR176" s="23">
        <v>73</v>
      </c>
      <c r="DS176" s="23"/>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25"/>
      <c r="EU176" s="25"/>
      <c r="EV176" s="25"/>
      <c r="EW176" s="25"/>
      <c r="EX176" s="25"/>
      <c r="EY176" s="25"/>
      <c r="EZ176" s="25"/>
      <c r="FA176" s="25"/>
      <c r="FB176" s="25"/>
      <c r="FC176" s="25"/>
      <c r="FD176" s="25"/>
      <c r="FE176" s="25"/>
      <c r="FF176" s="25"/>
      <c r="FG176" s="25"/>
      <c r="FH176" s="25"/>
      <c r="FI176" s="25"/>
      <c r="FJ176" s="25"/>
      <c r="FK176" s="25"/>
      <c r="FL176" s="25"/>
      <c r="FM176" s="25"/>
      <c r="FN176" s="25"/>
      <c r="FO176" s="25"/>
      <c r="FP176" s="25"/>
      <c r="FQ176" s="25"/>
      <c r="FR176" s="25"/>
      <c r="FS176" s="25"/>
      <c r="FT176" s="25"/>
      <c r="FU176" s="25"/>
      <c r="FV176" s="25"/>
      <c r="FW176" s="25"/>
      <c r="FX176" s="25"/>
      <c r="FY176" s="25"/>
      <c r="FZ176" s="25"/>
      <c r="GA176" s="25"/>
      <c r="GB176" s="25"/>
      <c r="GC176" s="25"/>
      <c r="GD176" s="25"/>
      <c r="GE176" s="25"/>
      <c r="GF176" s="25"/>
      <c r="GG176" s="25"/>
      <c r="GH176" s="25"/>
      <c r="GI176" s="25"/>
      <c r="GJ176" s="25"/>
      <c r="GK176" s="25"/>
      <c r="GL176" s="25"/>
      <c r="GM176" s="25"/>
      <c r="GN176" s="25"/>
      <c r="GO176" s="25"/>
      <c r="GP176" s="25"/>
      <c r="GQ176" s="25"/>
      <c r="GR176" s="25"/>
      <c r="GS176" s="25"/>
      <c r="GT176" s="25"/>
      <c r="GU176" s="25"/>
      <c r="GV176" s="25"/>
      <c r="GW176" s="25"/>
      <c r="GX176" s="25"/>
      <c r="GY176" s="25"/>
      <c r="GZ176" s="25"/>
      <c r="HA176" s="25"/>
      <c r="HB176" s="25"/>
      <c r="HC176" s="25"/>
      <c r="HD176" s="25"/>
      <c r="HE176" s="25"/>
      <c r="HF176" s="25"/>
      <c r="HG176" s="25"/>
      <c r="HH176" s="25"/>
      <c r="HI176" s="25"/>
      <c r="HJ176" s="25"/>
      <c r="HK176" s="25"/>
      <c r="HL176" s="25"/>
      <c r="HM176" s="25"/>
      <c r="HN176" s="25"/>
      <c r="HO176" s="25"/>
      <c r="HP176" s="25"/>
      <c r="HQ176" s="25"/>
      <c r="HR176" s="25"/>
      <c r="HS176" s="25"/>
      <c r="HT176" s="25"/>
      <c r="HU176" s="25"/>
      <c r="HV176" s="25"/>
      <c r="HW176" s="25"/>
      <c r="HX176" s="25"/>
      <c r="HY176" s="25"/>
      <c r="HZ176" s="25"/>
      <c r="IA176" s="25"/>
      <c r="IB176" s="25"/>
      <c r="IC176" s="25"/>
      <c r="ID176" s="25"/>
      <c r="IE176" s="25"/>
      <c r="IF176" s="25"/>
      <c r="IG176" s="25"/>
      <c r="IH176" s="25"/>
      <c r="II176" s="25"/>
      <c r="IJ176" s="25"/>
      <c r="IK176" s="25"/>
      <c r="IL176" s="25"/>
      <c r="IM176" s="25"/>
      <c r="IN176" s="25"/>
      <c r="IO176" s="25"/>
      <c r="IP176" s="25"/>
      <c r="IQ176" s="25"/>
      <c r="IR176" s="25"/>
      <c r="IS176" s="25"/>
      <c r="IT176" s="25"/>
      <c r="IU176" s="25"/>
      <c r="IV176" s="25"/>
      <c r="IW176" s="25"/>
      <c r="IX176" s="25"/>
      <c r="IY176" s="25"/>
      <c r="IZ176" s="25"/>
      <c r="JA176" s="25"/>
      <c r="JB176" s="25"/>
      <c r="JC176" s="25"/>
      <c r="JD176" s="25"/>
      <c r="JE176" s="25"/>
      <c r="JF176" s="25"/>
      <c r="JG176" s="25"/>
      <c r="JH176" s="25"/>
      <c r="JI176" s="25"/>
      <c r="JJ176" s="25"/>
      <c r="JK176" s="25"/>
      <c r="JL176" s="25"/>
      <c r="JM176" s="25"/>
      <c r="JN176" s="25"/>
      <c r="JO176" s="23"/>
      <c r="JP176" s="25"/>
      <c r="JQ176" s="25"/>
      <c r="JR176" s="23"/>
      <c r="JS176" s="23"/>
      <c r="JT176" s="23"/>
      <c r="JU176" s="23"/>
      <c r="JV176" s="23"/>
      <c r="JW176" s="23"/>
      <c r="JX176" s="23"/>
      <c r="JY176" s="23"/>
      <c r="JZ176" s="23"/>
      <c r="KA176" s="23"/>
      <c r="KB176" s="23"/>
    </row>
    <row r="177" spans="1:288" x14ac:dyDescent="0.2">
      <c r="B177" s="16">
        <v>2017</v>
      </c>
      <c r="C177" s="66">
        <v>42889</v>
      </c>
      <c r="D177" s="66" t="str">
        <f>CONCATENATE(J177,"-",C177)</f>
        <v>1060-42889</v>
      </c>
      <c r="E177" s="20" t="str">
        <f>CONCATENATE(T177,"-",U177,"-",C177)</f>
        <v>SP1-H3-42889</v>
      </c>
      <c r="F177" s="20" t="s">
        <v>106</v>
      </c>
      <c r="G177" s="20" t="s">
        <v>107</v>
      </c>
      <c r="I177" s="16">
        <v>0</v>
      </c>
      <c r="J177" s="21">
        <v>1060</v>
      </c>
      <c r="K177" s="21">
        <v>1615</v>
      </c>
      <c r="L177" s="16">
        <v>1</v>
      </c>
      <c r="M177" s="21">
        <f>VLOOKUP($K177,'[4]blood tubes 2017'!$D$1:$L$647,8,FALSE)</f>
        <v>0</v>
      </c>
      <c r="N177" s="15">
        <v>0</v>
      </c>
      <c r="O177" s="15" t="s">
        <v>119</v>
      </c>
      <c r="P177" s="16" t="s">
        <v>119</v>
      </c>
      <c r="Q177" s="16">
        <v>0</v>
      </c>
      <c r="R177" s="16" t="s">
        <v>111</v>
      </c>
      <c r="T177" s="16" t="s">
        <v>140</v>
      </c>
      <c r="U177" s="16" t="s">
        <v>174</v>
      </c>
      <c r="V177" s="16" t="s">
        <v>114</v>
      </c>
      <c r="W177" s="16">
        <f>AI177/AG177</f>
        <v>0.83333333333333337</v>
      </c>
      <c r="X177" s="16" t="s">
        <v>115</v>
      </c>
      <c r="Y177" s="16" t="s">
        <v>110</v>
      </c>
      <c r="Z177" s="16">
        <v>3</v>
      </c>
      <c r="AE177" s="16" t="s">
        <v>123</v>
      </c>
      <c r="AF177" s="16" t="s">
        <v>123</v>
      </c>
      <c r="AG177" s="16">
        <f>AH177-AI177</f>
        <v>90</v>
      </c>
      <c r="AH177" s="16">
        <v>165</v>
      </c>
      <c r="AI177" s="16">
        <v>75</v>
      </c>
      <c r="AK177" s="16">
        <v>19.5</v>
      </c>
      <c r="AL177" s="16">
        <v>1</v>
      </c>
      <c r="AM177" s="16">
        <v>0</v>
      </c>
      <c r="AN177" s="16">
        <v>0</v>
      </c>
      <c r="AO177" s="16">
        <v>1</v>
      </c>
      <c r="AP177" s="16">
        <f>SUM(AL177:AN177)</f>
        <v>1</v>
      </c>
      <c r="AQ177" s="16">
        <v>1.6040000000000001</v>
      </c>
      <c r="AR177" s="16">
        <f>AP177-1.472</f>
        <v>-0.47199999999999998</v>
      </c>
      <c r="AS177" s="16">
        <f>AQ177-1.472</f>
        <v>0.13200000000000012</v>
      </c>
      <c r="AT177" s="16" t="s">
        <v>233</v>
      </c>
      <c r="AW177" s="16">
        <f>IF(AX177&gt;0,1,0)</f>
        <v>1</v>
      </c>
      <c r="AX177" s="16">
        <f>SUM(BA177,BM177,CT177)</f>
        <v>1</v>
      </c>
      <c r="AY177" s="18">
        <f>SUM(BB177,BN177,CV177)</f>
        <v>7.575757575757569</v>
      </c>
      <c r="AZ177" s="16">
        <f>IF(BA177&gt;0,1,0)</f>
        <v>1</v>
      </c>
      <c r="BA177" s="16">
        <f>SUM(BC177,BF177,BI177)</f>
        <v>1</v>
      </c>
      <c r="BB177" s="16">
        <f>SUM(BE177,BH177,BK177)</f>
        <v>7.575757575757569</v>
      </c>
      <c r="BC177" s="16">
        <v>0</v>
      </c>
      <c r="BD177" s="16">
        <v>0</v>
      </c>
      <c r="BE177" s="16">
        <f>BD177/AS177</f>
        <v>0</v>
      </c>
      <c r="BF177" s="16">
        <v>0</v>
      </c>
      <c r="BG177" s="23">
        <v>0</v>
      </c>
      <c r="BH177" s="16">
        <f>BG177/AS177</f>
        <v>0</v>
      </c>
      <c r="BI177" s="16">
        <v>1</v>
      </c>
      <c r="BJ177" s="16">
        <v>1</v>
      </c>
      <c r="BK177" s="16">
        <f>BJ177/AS177</f>
        <v>7.575757575757569</v>
      </c>
      <c r="BL177" s="16">
        <f>IF(BM177&gt;0,1,0)</f>
        <v>0</v>
      </c>
      <c r="BM177" s="16">
        <f>SUM(BR177,BU177,BX177,CA177,CD177,CG177,CJ177,CM177,CP177)</f>
        <v>0</v>
      </c>
      <c r="BN177" s="16">
        <f>SUM(BW177,BZ177,CC177,CF177,CI177,CL177,CO177,CR177,BT177)</f>
        <v>0</v>
      </c>
      <c r="BO177" s="16">
        <f>IF(BP177&gt;0,1,0)</f>
        <v>0</v>
      </c>
      <c r="BP177" s="16">
        <f>SUM(BU177,BX177,CA177,CD177,BR177)</f>
        <v>0</v>
      </c>
      <c r="BQ177" s="16">
        <f>SUM(BZ177,CC177,CF177,BT177,BW177)</f>
        <v>0</v>
      </c>
      <c r="BR177" s="16">
        <v>0</v>
      </c>
      <c r="BS177" s="16">
        <v>0</v>
      </c>
      <c r="BT177" s="23">
        <f>BS177/AS177</f>
        <v>0</v>
      </c>
      <c r="BU177" s="16">
        <v>0</v>
      </c>
      <c r="BV177" s="16">
        <v>0</v>
      </c>
      <c r="BW177" s="16">
        <f>BV177/AS177</f>
        <v>0</v>
      </c>
      <c r="BX177" s="16">
        <v>0</v>
      </c>
      <c r="BY177" s="16">
        <v>0</v>
      </c>
      <c r="BZ177" s="16">
        <f>BY177/AS177</f>
        <v>0</v>
      </c>
      <c r="CA177" s="16">
        <v>0</v>
      </c>
      <c r="CB177" s="16">
        <v>0</v>
      </c>
      <c r="CC177" s="16">
        <f>CB177/AS177</f>
        <v>0</v>
      </c>
      <c r="CD177" s="23">
        <v>0</v>
      </c>
      <c r="CE177" s="16">
        <v>0</v>
      </c>
      <c r="CF177" s="16">
        <f>CE177/AS177</f>
        <v>0</v>
      </c>
      <c r="CG177" s="16">
        <v>0</v>
      </c>
      <c r="CH177" s="16">
        <v>0</v>
      </c>
      <c r="CI177" s="16">
        <f>CH177/AS177</f>
        <v>0</v>
      </c>
      <c r="CM177" s="16">
        <v>0</v>
      </c>
      <c r="CN177" s="16">
        <v>0</v>
      </c>
      <c r="CO177" s="16">
        <f>CN177/AS177</f>
        <v>0</v>
      </c>
      <c r="CP177" s="16">
        <v>0</v>
      </c>
      <c r="CQ177" s="16">
        <v>0</v>
      </c>
      <c r="CR177" s="16">
        <f>CQ177/AS177</f>
        <v>0</v>
      </c>
      <c r="CS177" s="16">
        <f>IF(CT177&gt;0,1,0)</f>
        <v>0</v>
      </c>
      <c r="CT177" s="16">
        <f>SUM(CW177,CZ177,DC177)</f>
        <v>0</v>
      </c>
      <c r="CV177" s="16">
        <f>SUM(CY177,DB177,DE177)</f>
        <v>0</v>
      </c>
      <c r="CW177" s="16">
        <v>0</v>
      </c>
      <c r="CX177" s="16">
        <v>0</v>
      </c>
      <c r="CY177" s="16">
        <f>CX177/AS177</f>
        <v>0</v>
      </c>
      <c r="CZ177" s="16">
        <v>0</v>
      </c>
      <c r="DA177" s="16">
        <v>0</v>
      </c>
      <c r="DB177" s="16">
        <f>DA177/AS177</f>
        <v>0</v>
      </c>
      <c r="DC177" s="16">
        <v>0</v>
      </c>
      <c r="DD177" s="16">
        <v>0</v>
      </c>
      <c r="DE177" s="16">
        <f>DD177/AS177</f>
        <v>0</v>
      </c>
      <c r="DF177" s="16">
        <f>VLOOKUP(K177,'[3]RNA Seq summary tables'!$V$3:$V$99,1,FALSE)</f>
        <v>1615</v>
      </c>
      <c r="DG177" s="16">
        <v>1</v>
      </c>
      <c r="DH177" s="16" t="str">
        <f>VLOOKUP(D177,'[6]workflow 3.2018'!$A$1:$S$237,2,FALSE)</f>
        <v>2017MLBS_26</v>
      </c>
      <c r="DI177" s="16">
        <v>80</v>
      </c>
      <c r="DK177" s="16">
        <v>8</v>
      </c>
      <c r="DM177" s="16">
        <v>11</v>
      </c>
      <c r="DO177" s="16">
        <v>0</v>
      </c>
      <c r="DQ177" s="16">
        <v>1</v>
      </c>
      <c r="DR177" s="16">
        <v>100</v>
      </c>
    </row>
    <row r="178" spans="1:288" x14ac:dyDescent="0.2">
      <c r="B178" s="16">
        <v>2017</v>
      </c>
      <c r="C178" s="20">
        <v>42906</v>
      </c>
      <c r="D178" s="20" t="str">
        <f>CONCATENATE(J178,"-",C178)</f>
        <v>1060-42906</v>
      </c>
      <c r="E178" s="20" t="str">
        <f>CONCATENATE(T178,"-",U178,"-",C178)</f>
        <v>SP1-F3-42906</v>
      </c>
      <c r="F178" s="20" t="s">
        <v>106</v>
      </c>
      <c r="G178" s="20" t="s">
        <v>107</v>
      </c>
      <c r="I178" s="16">
        <v>0</v>
      </c>
      <c r="J178" s="21">
        <v>1060</v>
      </c>
      <c r="K178" s="21">
        <v>1708</v>
      </c>
      <c r="L178" s="16">
        <v>1</v>
      </c>
      <c r="M178" s="21">
        <f>VLOOKUP($K178,'[4]blood tubes 2017'!$D$1:$L$647,8,FALSE)</f>
        <v>0</v>
      </c>
      <c r="N178" s="15">
        <v>0</v>
      </c>
      <c r="O178" s="15" t="s">
        <v>119</v>
      </c>
      <c r="P178" s="16" t="s">
        <v>119</v>
      </c>
      <c r="Q178" s="16">
        <v>0</v>
      </c>
      <c r="R178" s="16">
        <v>17</v>
      </c>
      <c r="T178" s="16" t="s">
        <v>140</v>
      </c>
      <c r="U178" s="16" t="s">
        <v>182</v>
      </c>
      <c r="V178" s="16" t="s">
        <v>114</v>
      </c>
      <c r="W178" s="16">
        <f>AI178/AG178</f>
        <v>0.81395348837209303</v>
      </c>
      <c r="X178" s="16" t="s">
        <v>115</v>
      </c>
      <c r="Y178" s="16" t="s">
        <v>110</v>
      </c>
      <c r="Z178" s="16">
        <v>3</v>
      </c>
      <c r="AE178" s="16" t="s">
        <v>116</v>
      </c>
      <c r="AF178" s="16" t="s">
        <v>116</v>
      </c>
      <c r="AG178" s="16">
        <f>AH178-AI178</f>
        <v>86</v>
      </c>
      <c r="AH178" s="16">
        <v>156</v>
      </c>
      <c r="AI178" s="16">
        <v>70</v>
      </c>
      <c r="AK178" s="16">
        <v>21</v>
      </c>
      <c r="AL178" s="16">
        <v>1</v>
      </c>
      <c r="AM178" s="16">
        <v>0</v>
      </c>
      <c r="AN178" s="16">
        <v>0</v>
      </c>
      <c r="AO178" s="16">
        <v>1</v>
      </c>
      <c r="AP178" s="16">
        <f>SUM(AL178:AN178)</f>
        <v>1</v>
      </c>
      <c r="AQ178" s="16">
        <v>1.9379999999999999</v>
      </c>
      <c r="AR178" s="16">
        <f>AP178-1.472</f>
        <v>-0.47199999999999998</v>
      </c>
      <c r="AS178" s="16">
        <f>AQ178-1.472</f>
        <v>0.46599999999999997</v>
      </c>
      <c r="AT178" s="16" t="s">
        <v>234</v>
      </c>
      <c r="AW178" s="16">
        <f>IF(AX178&gt;0,1,0)</f>
        <v>1</v>
      </c>
      <c r="AX178" s="16">
        <f>SUM(BA178,BM178,CT178)</f>
        <v>2</v>
      </c>
      <c r="AY178" s="18">
        <f>SUM(BB178,BN178,CV178)</f>
        <v>6.4377682403433489</v>
      </c>
      <c r="AZ178" s="16">
        <f>IF(BA178&gt;0,1,0)</f>
        <v>1</v>
      </c>
      <c r="BA178" s="16">
        <f>SUM(BC178,BF178,BI178)</f>
        <v>1</v>
      </c>
      <c r="BB178" s="16">
        <f>SUM(BE178,BH178,BK178)</f>
        <v>2.1459227467811162</v>
      </c>
      <c r="BC178" s="16">
        <v>0</v>
      </c>
      <c r="BD178" s="16">
        <v>0</v>
      </c>
      <c r="BE178" s="16">
        <f>BD178/AS178</f>
        <v>0</v>
      </c>
      <c r="BF178" s="16">
        <v>1</v>
      </c>
      <c r="BG178" s="23">
        <v>1</v>
      </c>
      <c r="BH178" s="16">
        <f>BG178/AS178</f>
        <v>2.1459227467811162</v>
      </c>
      <c r="BI178" s="16">
        <v>0</v>
      </c>
      <c r="BJ178" s="16">
        <v>0</v>
      </c>
      <c r="BK178" s="16">
        <f>BJ178/AS178</f>
        <v>0</v>
      </c>
      <c r="BL178" s="16">
        <f>IF(BM178&gt;0,1,0)</f>
        <v>1</v>
      </c>
      <c r="BM178" s="16">
        <f>SUM(BR178,BU178,BX178,CA178,CD178,CG178,CJ178,CM178,CP178)</f>
        <v>1</v>
      </c>
      <c r="BN178" s="16">
        <f>SUM(BW178,BZ178,CC178,CF178,CI178,CL178,CO178,CR178,BT178)</f>
        <v>4.2918454935622323</v>
      </c>
      <c r="BO178" s="16">
        <f>IF(BP178&gt;0,1,0)</f>
        <v>1</v>
      </c>
      <c r="BP178" s="16">
        <f>SUM(BU178,BX178,CA178,CD178,BR178)</f>
        <v>1</v>
      </c>
      <c r="BQ178" s="16">
        <f>SUM(BZ178,CC178,CF178,BT178,BW178)</f>
        <v>4.2918454935622323</v>
      </c>
      <c r="BR178" s="16">
        <v>0</v>
      </c>
      <c r="BS178" s="16">
        <v>0</v>
      </c>
      <c r="BT178" s="23">
        <f>BS178/AS178</f>
        <v>0</v>
      </c>
      <c r="BU178" s="16">
        <v>0</v>
      </c>
      <c r="BV178" s="16">
        <v>0</v>
      </c>
      <c r="BW178" s="16">
        <f>BV178/AS178</f>
        <v>0</v>
      </c>
      <c r="BX178" s="16">
        <v>0</v>
      </c>
      <c r="BY178" s="16">
        <v>0</v>
      </c>
      <c r="BZ178" s="16">
        <f>BY178/AS178</f>
        <v>0</v>
      </c>
      <c r="CA178" s="16">
        <v>1</v>
      </c>
      <c r="CB178" s="16">
        <v>2</v>
      </c>
      <c r="CC178" s="16">
        <f>CB178/AS178</f>
        <v>4.2918454935622323</v>
      </c>
      <c r="CD178" s="23">
        <v>0</v>
      </c>
      <c r="CE178" s="16">
        <v>0</v>
      </c>
      <c r="CF178" s="16">
        <f>CE178/AS178</f>
        <v>0</v>
      </c>
      <c r="CG178" s="16">
        <v>0</v>
      </c>
      <c r="CH178" s="16">
        <v>0</v>
      </c>
      <c r="CI178" s="16">
        <f>CH178/AS178</f>
        <v>0</v>
      </c>
      <c r="CM178" s="16">
        <v>0</v>
      </c>
      <c r="CN178" s="16">
        <v>0</v>
      </c>
      <c r="CO178" s="16">
        <f>CN178/AS178</f>
        <v>0</v>
      </c>
      <c r="CP178" s="16">
        <v>0</v>
      </c>
      <c r="CQ178" s="16">
        <v>0</v>
      </c>
      <c r="CR178" s="16">
        <f>CQ178/AS178</f>
        <v>0</v>
      </c>
      <c r="CS178" s="16">
        <f>IF(CT178&gt;0,1,0)</f>
        <v>0</v>
      </c>
      <c r="CT178" s="16">
        <f>SUM(CW178,CZ178,DC178)</f>
        <v>0</v>
      </c>
      <c r="CV178" s="16">
        <f>SUM(CY178,DB178,DE178)</f>
        <v>0</v>
      </c>
      <c r="CW178" s="16">
        <v>0</v>
      </c>
      <c r="CX178" s="16">
        <v>0</v>
      </c>
      <c r="CY178" s="16">
        <f>CX178/AS178</f>
        <v>0</v>
      </c>
      <c r="CZ178" s="16">
        <v>0</v>
      </c>
      <c r="DA178" s="16">
        <v>0</v>
      </c>
      <c r="DB178" s="16">
        <f>DA178/AS178</f>
        <v>0</v>
      </c>
      <c r="DC178" s="16">
        <v>0</v>
      </c>
      <c r="DD178" s="16">
        <v>0</v>
      </c>
      <c r="DE178" s="16">
        <f>DD178/AS178</f>
        <v>0</v>
      </c>
      <c r="DF178" s="16">
        <f>VLOOKUP(K178,'[3]RNA Seq summary tables'!$V$3:$V$99,1,FALSE)</f>
        <v>1708</v>
      </c>
      <c r="DI178" s="16">
        <v>64</v>
      </c>
      <c r="DK178" s="16">
        <v>18</v>
      </c>
      <c r="DM178" s="16">
        <v>18</v>
      </c>
      <c r="DO178" s="16">
        <v>0</v>
      </c>
      <c r="DQ178" s="16">
        <v>0</v>
      </c>
      <c r="DR178" s="16">
        <f>SUM(DI178:DQ178)</f>
        <v>100</v>
      </c>
      <c r="JO178" s="18"/>
    </row>
    <row r="179" spans="1:288" x14ac:dyDescent="0.2">
      <c r="B179" s="16">
        <v>2017</v>
      </c>
      <c r="C179" s="66">
        <v>42889</v>
      </c>
      <c r="D179" s="66" t="str">
        <f>CONCATENATE(J179,"-",C179)</f>
        <v>1062-42889</v>
      </c>
      <c r="E179" s="20" t="str">
        <f>CONCATENATE(T179,"-",U179,"-",C179)</f>
        <v>SP2-H2-42889</v>
      </c>
      <c r="F179" s="20" t="s">
        <v>106</v>
      </c>
      <c r="G179" s="20" t="s">
        <v>107</v>
      </c>
      <c r="I179" s="16">
        <v>0</v>
      </c>
      <c r="J179" s="21">
        <v>1062</v>
      </c>
      <c r="K179" s="21" t="s">
        <v>153</v>
      </c>
      <c r="L179" s="18">
        <v>0</v>
      </c>
      <c r="O179" s="15" t="s">
        <v>119</v>
      </c>
      <c r="P179" s="16" t="s">
        <v>119</v>
      </c>
      <c r="Q179" s="16">
        <v>0</v>
      </c>
      <c r="R179" s="16" t="s">
        <v>111</v>
      </c>
      <c r="T179" s="16" t="s">
        <v>137</v>
      </c>
      <c r="U179" s="16" t="s">
        <v>190</v>
      </c>
      <c r="V179" s="16" t="s">
        <v>114</v>
      </c>
      <c r="W179" s="16">
        <f>AI179/AG179</f>
        <v>0.83720930232558144</v>
      </c>
      <c r="X179" s="16" t="s">
        <v>115</v>
      </c>
      <c r="Y179" s="16" t="s">
        <v>110</v>
      </c>
      <c r="Z179" s="16">
        <v>3</v>
      </c>
      <c r="AE179" s="16" t="s">
        <v>123</v>
      </c>
      <c r="AF179" s="16" t="s">
        <v>123</v>
      </c>
      <c r="AG179" s="16">
        <f>AH179-AI179</f>
        <v>86</v>
      </c>
      <c r="AH179" s="16">
        <v>158</v>
      </c>
      <c r="AI179" s="16">
        <v>72</v>
      </c>
      <c r="AK179" s="16">
        <v>16</v>
      </c>
      <c r="AL179" s="16">
        <v>0</v>
      </c>
      <c r="AM179" s="16">
        <v>0</v>
      </c>
      <c r="AN179" s="16">
        <v>0</v>
      </c>
      <c r="AO179" s="16">
        <v>0</v>
      </c>
      <c r="AP179" s="16">
        <f>SUM(AL179:AN179)</f>
        <v>0</v>
      </c>
      <c r="AQ179" s="16">
        <v>1.488</v>
      </c>
      <c r="AR179" s="16">
        <f>AP179-1.472</f>
        <v>-1.472</v>
      </c>
      <c r="AS179" s="16">
        <f>AQ179-1.472</f>
        <v>1.6000000000000014E-2</v>
      </c>
      <c r="AT179" s="16" t="s">
        <v>234</v>
      </c>
      <c r="AW179" s="16">
        <f>IF(AX179&gt;0,1,0)</f>
        <v>1</v>
      </c>
      <c r="AX179" s="16">
        <f>SUM(BA179,BM179,CT179)</f>
        <v>4</v>
      </c>
      <c r="AY179" s="18">
        <f>SUM(BB179,BN179,CV179)</f>
        <v>12562.499999999989</v>
      </c>
      <c r="AZ179" s="16">
        <f>IF(BA179&gt;0,1,0)</f>
        <v>1</v>
      </c>
      <c r="BA179" s="16">
        <f>SUM(BC179,BF179,BI179)</f>
        <v>3</v>
      </c>
      <c r="BB179" s="16">
        <f>SUM(BE179,BH179,BK179)</f>
        <v>7499.9999999999936</v>
      </c>
      <c r="BC179" s="16">
        <v>1</v>
      </c>
      <c r="BD179" s="16">
        <v>1</v>
      </c>
      <c r="BE179" s="16">
        <f>BD179/AS179</f>
        <v>62.499999999999943</v>
      </c>
      <c r="BF179" s="16">
        <v>1</v>
      </c>
      <c r="BG179" s="23">
        <v>106</v>
      </c>
      <c r="BH179" s="16">
        <f>BG179/AS179</f>
        <v>6624.9999999999945</v>
      </c>
      <c r="BI179" s="16">
        <v>1</v>
      </c>
      <c r="BJ179" s="16">
        <v>13</v>
      </c>
      <c r="BK179" s="16">
        <f>BJ179/AS179</f>
        <v>812.49999999999932</v>
      </c>
      <c r="BL179" s="16">
        <f>IF(BM179&gt;0,1,0)</f>
        <v>1</v>
      </c>
      <c r="BM179" s="16">
        <f>SUM(BR179,BU179,BX179,CA179,CD179,CG179,CJ179,CM179,CP179)</f>
        <v>1</v>
      </c>
      <c r="BN179" s="16">
        <f>SUM(BW179,BZ179,CC179,CF179,CI179,CL179,CO179,CR179,BT179)</f>
        <v>5062.4999999999955</v>
      </c>
      <c r="BO179" s="16">
        <f>IF(BP179&gt;0,1,0)</f>
        <v>0</v>
      </c>
      <c r="BP179" s="16">
        <f>SUM(BU179,BX179,CA179,CD179,BR179)</f>
        <v>0</v>
      </c>
      <c r="BQ179" s="16">
        <f>SUM(BZ179,CC179,CF179,BT179,BW179)</f>
        <v>0</v>
      </c>
      <c r="BR179" s="16">
        <v>0</v>
      </c>
      <c r="BS179" s="16">
        <v>0</v>
      </c>
      <c r="BT179" s="23">
        <f>BS179/AS179</f>
        <v>0</v>
      </c>
      <c r="BU179" s="16">
        <v>0</v>
      </c>
      <c r="BV179" s="16">
        <v>0</v>
      </c>
      <c r="BW179" s="16">
        <f>BV179/AS179</f>
        <v>0</v>
      </c>
      <c r="BX179" s="16">
        <v>0</v>
      </c>
      <c r="BY179" s="16">
        <v>0</v>
      </c>
      <c r="BZ179" s="16">
        <f>BY179/AS179</f>
        <v>0</v>
      </c>
      <c r="CA179" s="16">
        <v>0</v>
      </c>
      <c r="CB179" s="16">
        <v>0</v>
      </c>
      <c r="CC179" s="16">
        <f>CB179/AS179</f>
        <v>0</v>
      </c>
      <c r="CD179" s="23">
        <v>0</v>
      </c>
      <c r="CE179" s="16">
        <v>0</v>
      </c>
      <c r="CF179" s="16">
        <f>CE179/AS179</f>
        <v>0</v>
      </c>
      <c r="CG179" s="22">
        <v>0</v>
      </c>
      <c r="CH179" s="22">
        <v>0</v>
      </c>
      <c r="CI179" s="16">
        <f>CH179/AS179</f>
        <v>0</v>
      </c>
      <c r="CM179" s="22">
        <v>1</v>
      </c>
      <c r="CN179" s="22">
        <v>81</v>
      </c>
      <c r="CO179" s="16">
        <f>CN179/AS179</f>
        <v>5062.4999999999955</v>
      </c>
      <c r="CP179" s="22">
        <v>0</v>
      </c>
      <c r="CQ179" s="22">
        <v>0</v>
      </c>
      <c r="CR179" s="16">
        <f>CQ179/AS179</f>
        <v>0</v>
      </c>
      <c r="CS179" s="16">
        <f>IF(CT179&gt;0,1,0)</f>
        <v>0</v>
      </c>
      <c r="CT179" s="16">
        <f>SUM(CW179,CZ179,DC179)</f>
        <v>0</v>
      </c>
      <c r="CV179" s="16">
        <f>SUM(CY179,DB179,DE179)</f>
        <v>0</v>
      </c>
      <c r="CW179" s="16">
        <v>0</v>
      </c>
      <c r="CX179" s="16">
        <v>0</v>
      </c>
      <c r="CY179" s="16">
        <f>CX179/AS179</f>
        <v>0</v>
      </c>
      <c r="CZ179" s="16">
        <v>0</v>
      </c>
      <c r="DA179" s="16">
        <v>0</v>
      </c>
      <c r="DB179" s="16">
        <f>DA179/AS179</f>
        <v>0</v>
      </c>
      <c r="DC179" s="16">
        <v>0</v>
      </c>
      <c r="DD179" s="16">
        <v>0</v>
      </c>
      <c r="DE179" s="16">
        <f>DD179/AS179</f>
        <v>0</v>
      </c>
      <c r="DF179" s="16" t="e">
        <f>VLOOKUP(K179,'[3]RNA Seq summary tables'!$V$3:$V$99,1,FALSE)</f>
        <v>#N/A</v>
      </c>
      <c r="DG179" s="16">
        <v>1</v>
      </c>
      <c r="DH179" s="16" t="str">
        <f>VLOOKUP(D179,'[6]workflow 3.2018'!$A$1:$S$237,2,FALSE)</f>
        <v>2017MLBS_46</v>
      </c>
    </row>
    <row r="180" spans="1:288" x14ac:dyDescent="0.2">
      <c r="B180" s="16">
        <v>2017</v>
      </c>
      <c r="C180" s="20">
        <v>42940</v>
      </c>
      <c r="D180" s="20" t="str">
        <f>CONCATENATE(J180,"-",C180)</f>
        <v>1062-42940</v>
      </c>
      <c r="E180" s="20" t="str">
        <f>CONCATENATE(T180,"-",U180,"-",C180)</f>
        <v>SP2-H3-42940</v>
      </c>
      <c r="F180" s="20" t="s">
        <v>106</v>
      </c>
      <c r="G180" s="20" t="s">
        <v>107</v>
      </c>
      <c r="I180" s="16">
        <v>0</v>
      </c>
      <c r="J180" s="21">
        <v>1062</v>
      </c>
      <c r="K180" s="21">
        <v>1985</v>
      </c>
      <c r="L180" s="18">
        <v>0</v>
      </c>
      <c r="M180" s="21">
        <f>VLOOKUP($K180,'[4]blood tubes 2017'!$D$1:$L$647,8,FALSE)</f>
        <v>0</v>
      </c>
      <c r="N180" s="15">
        <v>0</v>
      </c>
      <c r="O180" s="15" t="s">
        <v>119</v>
      </c>
      <c r="P180" s="16" t="s">
        <v>119</v>
      </c>
      <c r="Q180" s="16">
        <v>0</v>
      </c>
      <c r="R180" s="16">
        <v>51</v>
      </c>
      <c r="T180" s="16" t="s">
        <v>137</v>
      </c>
      <c r="U180" s="16" t="s">
        <v>174</v>
      </c>
      <c r="V180" s="16" t="s">
        <v>114</v>
      </c>
      <c r="W180" s="16">
        <f>AI180/AG180</f>
        <v>0.84210526315789469</v>
      </c>
      <c r="X180" s="16" t="s">
        <v>115</v>
      </c>
      <c r="Y180" s="16" t="s">
        <v>110</v>
      </c>
      <c r="Z180" s="16">
        <v>3</v>
      </c>
      <c r="AE180" s="16" t="s">
        <v>116</v>
      </c>
      <c r="AF180" s="16" t="s">
        <v>116</v>
      </c>
      <c r="AG180" s="16">
        <f>AH180-AI180</f>
        <v>95</v>
      </c>
      <c r="AH180" s="16">
        <v>175</v>
      </c>
      <c r="AI180" s="16">
        <v>80</v>
      </c>
      <c r="AK180" s="16">
        <v>23.5</v>
      </c>
      <c r="AL180" s="16">
        <v>0</v>
      </c>
      <c r="AM180" s="16">
        <v>0</v>
      </c>
      <c r="AN180" s="16">
        <v>0</v>
      </c>
      <c r="AO180" s="16">
        <v>0</v>
      </c>
      <c r="AP180" s="16">
        <f>SUM(AL180:AN180)</f>
        <v>0</v>
      </c>
      <c r="AQ180" s="16">
        <v>2.44</v>
      </c>
      <c r="AR180" s="16">
        <f>AP180-1.472</f>
        <v>-1.472</v>
      </c>
      <c r="AS180" s="16">
        <f>AQ180-1.472</f>
        <v>0.96799999999999997</v>
      </c>
      <c r="AT180" s="16" t="str">
        <f>VLOOKUP(K180,'[5]FECs - good data'!$C$1:$P$575,13,FALSE)</f>
        <v>SB</v>
      </c>
      <c r="AW180" s="18">
        <f>IF(AX180&gt;0,1,0)</f>
        <v>1</v>
      </c>
      <c r="AX180" s="18">
        <f>SUM(BA180,BM180,CT180)</f>
        <v>5</v>
      </c>
      <c r="AY180" s="18">
        <f>SUM(BB180,BN180,CV180)</f>
        <v>4503.0991735537182</v>
      </c>
      <c r="AZ180" s="18">
        <f>IF(BA180&gt;0,1,0)</f>
        <v>1</v>
      </c>
      <c r="BA180" s="18">
        <f>SUM(BC180,BF180,BI180)</f>
        <v>3</v>
      </c>
      <c r="BB180" s="18">
        <f>SUM(BE180,BH180,BK180)</f>
        <v>4472.1074380165282</v>
      </c>
      <c r="BC180" s="18">
        <f>IF(BD180&gt;0,1,0)</f>
        <v>1</v>
      </c>
      <c r="BD180" s="18">
        <f>VLOOKUP($K180,'[5]FECs - good data'!$C$1:$Z$574,14,FALSE)</f>
        <v>53</v>
      </c>
      <c r="BE180" s="16">
        <f>BD180/AS180</f>
        <v>54.752066115702483</v>
      </c>
      <c r="BF180" s="16">
        <f>IF(BG180&gt;0,1,0)</f>
        <v>1</v>
      </c>
      <c r="BG180" s="23">
        <f>VLOOKUP($K180,'[5]FECs - good data'!$C$1:$Z$574,15,FALSE)</f>
        <v>4216</v>
      </c>
      <c r="BH180" s="16">
        <f>BG180/AS180</f>
        <v>4355.3719008264461</v>
      </c>
      <c r="BI180" s="16">
        <f>IF(BJ180&gt;0,1,0)</f>
        <v>1</v>
      </c>
      <c r="BJ180" s="16">
        <f>VLOOKUP($K180,'[5]FECs - good data'!$C$1:$Z$574,16,FALSE)</f>
        <v>60</v>
      </c>
      <c r="BK180" s="16">
        <f>BJ180/AS180</f>
        <v>61.983471074380169</v>
      </c>
      <c r="BL180" s="16">
        <f>IF(BM180&gt;0,1,0)</f>
        <v>1</v>
      </c>
      <c r="BM180" s="16">
        <f>SUM(BR180,BU180,BX180,CA180,CD180,CG180,CJ180,CM180,CP180)</f>
        <v>2</v>
      </c>
      <c r="BN180" s="16">
        <f>SUM(BW180,BZ180,CC180,CF180,CI180,CL180,CO180,CR180,BT180)</f>
        <v>30.991735537190085</v>
      </c>
      <c r="BO180" s="16">
        <f>IF(BP180&gt;0,1,0)</f>
        <v>1</v>
      </c>
      <c r="BP180" s="16">
        <f>SUM(BU180,BX180,CA180,CD180,BR180)</f>
        <v>2</v>
      </c>
      <c r="BQ180" s="16">
        <f>SUM(BZ180,CC180,CF180,BT180,BW180)</f>
        <v>30.991735537190085</v>
      </c>
      <c r="BR180" s="16">
        <f>IF(BS180&gt;0,1,0)</f>
        <v>0</v>
      </c>
      <c r="BS180" s="16">
        <f>VLOOKUP($K180,'[5]FECs - good data'!$C$1:$Z$574,17,FALSE)</f>
        <v>0</v>
      </c>
      <c r="BT180" s="23">
        <f>BS180/AS180</f>
        <v>0</v>
      </c>
      <c r="BU180" s="16">
        <f>IF(BV180&gt;0,1,0)</f>
        <v>0</v>
      </c>
      <c r="BV180" s="16">
        <f>VLOOKUP($K180,'[5]FECs - good data'!$C$1:$Z$574,18,FALSE)</f>
        <v>0</v>
      </c>
      <c r="BW180" s="16">
        <f>BV180/AS180</f>
        <v>0</v>
      </c>
      <c r="BX180" s="16">
        <f>IF(BY180&gt;0,1,0)</f>
        <v>1</v>
      </c>
      <c r="BY180" s="16">
        <f>VLOOKUP($K180,'[5]FECs - good data'!$C$1:$Z$574,19,FALSE)</f>
        <v>28</v>
      </c>
      <c r="BZ180" s="16">
        <f>BY180/AS180</f>
        <v>28.925619834710744</v>
      </c>
      <c r="CA180" s="16">
        <f>IF(CB180&gt;0,1,0)</f>
        <v>0</v>
      </c>
      <c r="CB180" s="16">
        <f>VLOOKUP($K180,'[5]FECs - good data'!$C$1:$Z$574,20,FALSE)</f>
        <v>0</v>
      </c>
      <c r="CC180" s="16">
        <f>CB180/AS180</f>
        <v>0</v>
      </c>
      <c r="CD180" s="23">
        <f>IF(CE180&gt;0,1,0)</f>
        <v>1</v>
      </c>
      <c r="CE180" s="16">
        <f>VLOOKUP($K180,'[5]FECs - good data'!$C$1:$Z$574,21,FALSE)</f>
        <v>2</v>
      </c>
      <c r="CF180" s="16">
        <f>CE180/AS180</f>
        <v>2.0661157024793391</v>
      </c>
      <c r="CG180" s="16">
        <f>IF(CH180&gt;0,1,0)</f>
        <v>0</v>
      </c>
      <c r="CH180" s="16">
        <f>VLOOKUP($K180,'[5]FECs - good data'!$C$1:$Z$574,22,FALSE)</f>
        <v>0</v>
      </c>
      <c r="CI180" s="16">
        <f>CH180/AS180</f>
        <v>0</v>
      </c>
      <c r="CJ180" s="16">
        <f>IF(CK180&gt;0,1,0)</f>
        <v>0</v>
      </c>
      <c r="CK180" s="16">
        <f>VLOOKUP($K180,'[5]FECs - good data'!$C$1:$Z$674,24,FALSE)</f>
        <v>0</v>
      </c>
      <c r="CL180" s="16">
        <f>CK180/AS180</f>
        <v>0</v>
      </c>
      <c r="CS180" s="16">
        <f>IF(CT180&gt;0,1,0)</f>
        <v>0</v>
      </c>
      <c r="CT180" s="16">
        <f>SUM(CW180+CZ180,DC180)</f>
        <v>0</v>
      </c>
      <c r="CV180" s="16">
        <f>SUM(CY180,DB180,DE180)</f>
        <v>0</v>
      </c>
      <c r="CW180" s="16">
        <f>IF(CX180&gt;0,1,0)</f>
        <v>0</v>
      </c>
      <c r="CX180" s="16">
        <f>VLOOKUP($K180,'[5]FECs - good data'!$C$1:$Z$574,22,FALSE)</f>
        <v>0</v>
      </c>
      <c r="CY180" s="16">
        <f>CX180/AS180</f>
        <v>0</v>
      </c>
      <c r="CZ180" s="16">
        <f>IF(DA180&gt;0,1,0)</f>
        <v>0</v>
      </c>
      <c r="DA180" s="16">
        <f>VLOOKUP($K180,'[5]FECs - good data'!$C$1:$Z$5982,23,FALSE)</f>
        <v>0</v>
      </c>
      <c r="DB180" s="16">
        <f>DA180/AS180</f>
        <v>0</v>
      </c>
      <c r="DC180" s="16">
        <f>IF(DD180&gt;0,1,0)</f>
        <v>0</v>
      </c>
      <c r="DD180" s="16">
        <f>VLOOKUP($K180,'[5]FECs - good data'!$C$1:$Z$574,23,FALSE)</f>
        <v>0</v>
      </c>
      <c r="DE180" s="16">
        <f>DD180/AS180</f>
        <v>0</v>
      </c>
      <c r="DF180" s="16" t="e">
        <f>VLOOKUP(K180,'[3]RNA Seq summary tables'!$V$3:$V$99,1,FALSE)</f>
        <v>#N/A</v>
      </c>
      <c r="DG180" s="16">
        <v>1</v>
      </c>
      <c r="DH180" s="16" t="str">
        <f>VLOOKUP(D180,'[6]workflow 3.2018'!$A$1:$S$237,2,FALSE)</f>
        <v>2017MLBS_83</v>
      </c>
    </row>
    <row r="181" spans="1:288" x14ac:dyDescent="0.2">
      <c r="B181" s="16">
        <v>2017</v>
      </c>
      <c r="C181" s="66">
        <v>42893</v>
      </c>
      <c r="D181" s="66" t="str">
        <f>CONCATENATE(J181,"-",C181)</f>
        <v>1064-42893</v>
      </c>
      <c r="E181" s="20" t="str">
        <f>CONCATENATE(T181,"-",U181,"-",C181)</f>
        <v>PO1-A8-42893</v>
      </c>
      <c r="F181" s="20" t="s">
        <v>106</v>
      </c>
      <c r="G181" s="20" t="s">
        <v>107</v>
      </c>
      <c r="I181" s="16">
        <v>0</v>
      </c>
      <c r="J181" s="21">
        <v>1064</v>
      </c>
      <c r="K181" s="21">
        <v>1618</v>
      </c>
      <c r="L181" s="18">
        <v>0</v>
      </c>
      <c r="M181" s="21">
        <f>VLOOKUP($K181,'[4]blood tubes 2017'!$D$1:$L$647,8,FALSE)</f>
        <v>0</v>
      </c>
      <c r="N181" s="15">
        <v>0</v>
      </c>
      <c r="O181" s="15" t="s">
        <v>119</v>
      </c>
      <c r="P181" s="16" t="s">
        <v>119</v>
      </c>
      <c r="Q181" s="16">
        <v>0</v>
      </c>
      <c r="R181" s="16" t="s">
        <v>111</v>
      </c>
      <c r="T181" s="16" t="s">
        <v>112</v>
      </c>
      <c r="U181" s="16" t="s">
        <v>194</v>
      </c>
      <c r="V181" s="16" t="s">
        <v>114</v>
      </c>
      <c r="W181" s="16">
        <f>AI181/AG181</f>
        <v>0.81720430107526887</v>
      </c>
      <c r="X181" s="16" t="s">
        <v>115</v>
      </c>
      <c r="Y181" s="16" t="s">
        <v>110</v>
      </c>
      <c r="Z181" s="16">
        <v>3</v>
      </c>
      <c r="AE181" s="16" t="s">
        <v>123</v>
      </c>
      <c r="AF181" s="16" t="s">
        <v>123</v>
      </c>
      <c r="AG181" s="16">
        <f>AH181-AI181</f>
        <v>93</v>
      </c>
      <c r="AH181" s="16">
        <v>169</v>
      </c>
      <c r="AI181" s="16">
        <v>76</v>
      </c>
      <c r="AK181" s="16">
        <v>24.5</v>
      </c>
      <c r="AL181" s="16">
        <v>1</v>
      </c>
      <c r="AM181" s="16">
        <v>0</v>
      </c>
      <c r="AN181" s="16">
        <v>0</v>
      </c>
      <c r="AO181" s="16">
        <v>1</v>
      </c>
      <c r="AP181" s="16">
        <f>SUM(AL181:AN181)</f>
        <v>1</v>
      </c>
      <c r="AQ181" s="16">
        <v>1.6559999999999999</v>
      </c>
      <c r="AR181" s="16">
        <f>AP181-1.472</f>
        <v>-0.47199999999999998</v>
      </c>
      <c r="AS181" s="16">
        <f>AQ181-1.472</f>
        <v>0.18399999999999994</v>
      </c>
      <c r="AT181" s="16" t="s">
        <v>119</v>
      </c>
      <c r="AW181" s="16">
        <f>IF(AX181&gt;0,1,0)</f>
        <v>1</v>
      </c>
      <c r="AX181" s="16">
        <f>SUM(BA181,BM181,CT181)</f>
        <v>2</v>
      </c>
      <c r="AY181" s="18">
        <f>SUM(BB181,BN181,CV181)</f>
        <v>179.34782608695659</v>
      </c>
      <c r="AZ181" s="16">
        <f>IF(BA181&gt;0,1,0)</f>
        <v>1</v>
      </c>
      <c r="BA181" s="16">
        <f>SUM(BC181,BF181,BI181)</f>
        <v>1</v>
      </c>
      <c r="BB181" s="16">
        <f>SUM(BE181,BH181,BK181)</f>
        <v>173.91304347826093</v>
      </c>
      <c r="BC181" s="16">
        <v>0</v>
      </c>
      <c r="BD181" s="16">
        <v>0</v>
      </c>
      <c r="BE181" s="16">
        <f>BD181/AS181</f>
        <v>0</v>
      </c>
      <c r="BF181" s="16">
        <v>1</v>
      </c>
      <c r="BG181" s="23">
        <v>32</v>
      </c>
      <c r="BH181" s="16">
        <f>BG181/AS181</f>
        <v>173.91304347826093</v>
      </c>
      <c r="BI181" s="16">
        <v>0</v>
      </c>
      <c r="BJ181" s="16">
        <v>0</v>
      </c>
      <c r="BK181" s="16">
        <f>BJ181/AS181</f>
        <v>0</v>
      </c>
      <c r="BL181" s="16">
        <f>IF(BM181&gt;0,1,0)</f>
        <v>1</v>
      </c>
      <c r="BM181" s="16">
        <f>SUM(BR181,BU181,BX181,CA181,CD181,CG181,CJ181,CM181,CP181)</f>
        <v>1</v>
      </c>
      <c r="BN181" s="16">
        <f>SUM(BW181,BZ181,CC181,CF181,CI181,CL181,CO181,CR181,BT181)</f>
        <v>5.4347826086956541</v>
      </c>
      <c r="BO181" s="16">
        <f>IF(BP181&gt;0,1,0)</f>
        <v>0</v>
      </c>
      <c r="BP181" s="16">
        <f>SUM(BU181,BX181,CA181,CD181,BR181)</f>
        <v>0</v>
      </c>
      <c r="BQ181" s="16">
        <f>SUM(BZ181,CC181,CF181,BT181,BW181)</f>
        <v>0</v>
      </c>
      <c r="BR181" s="16">
        <v>0</v>
      </c>
      <c r="BS181" s="16">
        <v>0</v>
      </c>
      <c r="BT181" s="23">
        <f>BS181/AS181</f>
        <v>0</v>
      </c>
      <c r="BU181" s="16">
        <v>0</v>
      </c>
      <c r="BV181" s="16">
        <v>0</v>
      </c>
      <c r="BW181" s="16">
        <f>BV181/AS181</f>
        <v>0</v>
      </c>
      <c r="BX181" s="16">
        <v>0</v>
      </c>
      <c r="BY181" s="16">
        <v>0</v>
      </c>
      <c r="BZ181" s="16">
        <f>BY181/AS181</f>
        <v>0</v>
      </c>
      <c r="CA181" s="16">
        <v>0</v>
      </c>
      <c r="CB181" s="16">
        <v>0</v>
      </c>
      <c r="CC181" s="16">
        <f>CB181/AS181</f>
        <v>0</v>
      </c>
      <c r="CD181" s="23">
        <v>0</v>
      </c>
      <c r="CE181" s="16">
        <v>0</v>
      </c>
      <c r="CF181" s="16">
        <f>CE181/AS181</f>
        <v>0</v>
      </c>
      <c r="CG181" s="16">
        <v>1</v>
      </c>
      <c r="CH181" s="16">
        <v>1</v>
      </c>
      <c r="CI181" s="16">
        <f>CH181/AS181</f>
        <v>5.4347826086956541</v>
      </c>
      <c r="CM181" s="16">
        <v>0</v>
      </c>
      <c r="CN181" s="16">
        <v>0</v>
      </c>
      <c r="CO181" s="16">
        <f>CN181/AS181</f>
        <v>0</v>
      </c>
      <c r="CP181" s="16">
        <v>0</v>
      </c>
      <c r="CQ181" s="16">
        <v>0</v>
      </c>
      <c r="CR181" s="16">
        <f>CQ181/AS181</f>
        <v>0</v>
      </c>
      <c r="CS181" s="16">
        <f>IF(CT181&gt;0,1,0)</f>
        <v>0</v>
      </c>
      <c r="CT181" s="16">
        <f>SUM(CW181,CZ181,DC181)</f>
        <v>0</v>
      </c>
      <c r="CV181" s="16">
        <f>SUM(CY181,DB181,DE181)</f>
        <v>0</v>
      </c>
      <c r="CW181" s="16">
        <v>0</v>
      </c>
      <c r="CX181" s="16">
        <v>0</v>
      </c>
      <c r="CY181" s="16">
        <f>CX181/AS181</f>
        <v>0</v>
      </c>
      <c r="CZ181" s="16">
        <v>0</v>
      </c>
      <c r="DA181" s="16">
        <v>0</v>
      </c>
      <c r="DB181" s="16">
        <f>DA181/AS181</f>
        <v>0</v>
      </c>
      <c r="DC181" s="16">
        <v>0</v>
      </c>
      <c r="DD181" s="16">
        <v>0</v>
      </c>
      <c r="DE181" s="16">
        <f>DD181/AS181</f>
        <v>0</v>
      </c>
      <c r="DF181" s="16" t="e">
        <f>VLOOKUP(K181,'[3]RNA Seq summary tables'!$V$3:$V$99,1,FALSE)</f>
        <v>#N/A</v>
      </c>
      <c r="DG181" s="16">
        <v>1</v>
      </c>
      <c r="DH181" s="16" t="str">
        <f>VLOOKUP(D181,'[6]workflow 3.2018'!$A$1:$S$237,2,FALSE)</f>
        <v>2017MLBS_28</v>
      </c>
      <c r="DI181" s="16">
        <v>51</v>
      </c>
      <c r="DK181" s="16">
        <v>33</v>
      </c>
      <c r="DM181" s="16">
        <v>14</v>
      </c>
      <c r="DO181" s="16">
        <v>0</v>
      </c>
      <c r="DQ181" s="16">
        <v>2</v>
      </c>
      <c r="DR181" s="16">
        <v>100</v>
      </c>
    </row>
    <row r="182" spans="1:288" x14ac:dyDescent="0.2">
      <c r="B182" s="16">
        <v>2017</v>
      </c>
      <c r="C182" s="20">
        <v>42911</v>
      </c>
      <c r="D182" s="20" t="str">
        <f>CONCATENATE(J182,"-",C182)</f>
        <v>1064-42911</v>
      </c>
      <c r="E182" s="20" t="str">
        <f>CONCATENATE(T182,"-",U182,"-",C182)</f>
        <v>PO1-D5-42911</v>
      </c>
      <c r="F182" s="20" t="s">
        <v>106</v>
      </c>
      <c r="G182" s="20" t="s">
        <v>107</v>
      </c>
      <c r="I182" s="16">
        <v>0</v>
      </c>
      <c r="J182" s="21">
        <v>1064</v>
      </c>
      <c r="K182" s="21">
        <v>1728</v>
      </c>
      <c r="L182" s="18">
        <v>0</v>
      </c>
      <c r="M182" s="21">
        <f>VLOOKUP($K182,'[4]blood tubes 2017'!$D$1:$L$647,8,FALSE)</f>
        <v>0</v>
      </c>
      <c r="N182" s="15">
        <v>0</v>
      </c>
      <c r="O182" s="15" t="s">
        <v>119</v>
      </c>
      <c r="P182" s="16" t="s">
        <v>119</v>
      </c>
      <c r="Q182" s="16">
        <v>0</v>
      </c>
      <c r="R182" s="16">
        <v>18</v>
      </c>
      <c r="T182" s="16" t="s">
        <v>112</v>
      </c>
      <c r="U182" s="16" t="s">
        <v>183</v>
      </c>
      <c r="V182" s="16" t="s">
        <v>114</v>
      </c>
      <c r="W182" s="16">
        <f>AI182/AG182</f>
        <v>0.82978723404255317</v>
      </c>
      <c r="X182" s="16" t="s">
        <v>115</v>
      </c>
      <c r="Y182" s="16" t="s">
        <v>110</v>
      </c>
      <c r="Z182" s="16">
        <v>3</v>
      </c>
      <c r="AE182" s="16" t="s">
        <v>116</v>
      </c>
      <c r="AF182" s="16" t="s">
        <v>116</v>
      </c>
      <c r="AG182" s="16">
        <f>AH182-AI182</f>
        <v>94</v>
      </c>
      <c r="AH182" s="16">
        <v>172</v>
      </c>
      <c r="AI182" s="16">
        <v>78</v>
      </c>
      <c r="AK182" s="16">
        <v>23</v>
      </c>
      <c r="AL182" s="16">
        <v>0</v>
      </c>
      <c r="AM182" s="16">
        <v>1</v>
      </c>
      <c r="AN182" s="16">
        <v>0</v>
      </c>
      <c r="AO182" s="16">
        <v>1</v>
      </c>
      <c r="AP182" s="16">
        <f>SUM(AL182:AN182)</f>
        <v>1</v>
      </c>
      <c r="AQ182" s="16">
        <v>1.708</v>
      </c>
      <c r="AR182" s="16">
        <f>AP182-1.472</f>
        <v>-0.47199999999999998</v>
      </c>
      <c r="AS182" s="16">
        <f>AQ182-1.472</f>
        <v>0.23599999999999999</v>
      </c>
      <c r="AT182" s="16" t="s">
        <v>233</v>
      </c>
      <c r="AW182" s="16">
        <f>IF(AX182&gt;0,1,0)</f>
        <v>1</v>
      </c>
      <c r="AX182" s="16">
        <f>SUM(BA182,BM182,CT182)</f>
        <v>1</v>
      </c>
      <c r="AY182" s="18">
        <f>SUM(BB182,BN182,CV182)</f>
        <v>1033.8983050847457</v>
      </c>
      <c r="AZ182" s="16">
        <f>IF(BA182&gt;0,1,0)</f>
        <v>1</v>
      </c>
      <c r="BA182" s="16">
        <f>SUM(BC182,BF182,BI182)</f>
        <v>1</v>
      </c>
      <c r="BB182" s="16">
        <f>SUM(BE182,BH182,BK182)</f>
        <v>1033.8983050847457</v>
      </c>
      <c r="BC182" s="16">
        <v>0</v>
      </c>
      <c r="BD182" s="16">
        <v>0</v>
      </c>
      <c r="BE182" s="16">
        <f>BD182/AS182</f>
        <v>0</v>
      </c>
      <c r="BF182" s="16">
        <v>1</v>
      </c>
      <c r="BG182" s="23">
        <v>244</v>
      </c>
      <c r="BH182" s="16">
        <f>BG182/AS182</f>
        <v>1033.8983050847457</v>
      </c>
      <c r="BI182" s="16">
        <v>0</v>
      </c>
      <c r="BJ182" s="16">
        <v>0</v>
      </c>
      <c r="BK182" s="16">
        <f>BJ182/AS182</f>
        <v>0</v>
      </c>
      <c r="BL182" s="16">
        <f>IF(BM182&gt;0,1,0)</f>
        <v>0</v>
      </c>
      <c r="BM182" s="16">
        <f>SUM(BR182,BU182,BX182,CA182,CD182,CG182,CJ182,CM182,CP182)</f>
        <v>0</v>
      </c>
      <c r="BN182" s="16">
        <f>SUM(BW182,BZ182,CC182,CF182,CI182,CL182,CO182,CR182,BT182)</f>
        <v>0</v>
      </c>
      <c r="BO182" s="16">
        <f>IF(BP182&gt;0,1,0)</f>
        <v>0</v>
      </c>
      <c r="BP182" s="16">
        <f>SUM(BU182,BX182,CA182,CD182,BR182)</f>
        <v>0</v>
      </c>
      <c r="BQ182" s="16">
        <f>SUM(BZ182,CC182,CF182,BT182,BW182)</f>
        <v>0</v>
      </c>
      <c r="BR182" s="16">
        <v>0</v>
      </c>
      <c r="BS182" s="16">
        <v>0</v>
      </c>
      <c r="BT182" s="23">
        <f>BS182/AS182</f>
        <v>0</v>
      </c>
      <c r="BU182" s="16">
        <v>0</v>
      </c>
      <c r="BV182" s="16">
        <v>0</v>
      </c>
      <c r="BW182" s="16">
        <f>BV182/AS182</f>
        <v>0</v>
      </c>
      <c r="BX182" s="16">
        <v>0</v>
      </c>
      <c r="BY182" s="16">
        <v>0</v>
      </c>
      <c r="BZ182" s="16">
        <f>BY182/AS182</f>
        <v>0</v>
      </c>
      <c r="CA182" s="16">
        <v>0</v>
      </c>
      <c r="CB182" s="16">
        <v>0</v>
      </c>
      <c r="CC182" s="16">
        <f>CB182/AS182</f>
        <v>0</v>
      </c>
      <c r="CD182" s="23">
        <v>0</v>
      </c>
      <c r="CE182" s="16">
        <v>0</v>
      </c>
      <c r="CF182" s="16">
        <f>CE182/AS182</f>
        <v>0</v>
      </c>
      <c r="CG182" s="16">
        <v>0</v>
      </c>
      <c r="CH182" s="16">
        <v>0</v>
      </c>
      <c r="CI182" s="16">
        <f>CH182/AS182</f>
        <v>0</v>
      </c>
      <c r="CM182" s="16">
        <v>0</v>
      </c>
      <c r="CN182" s="16">
        <v>0</v>
      </c>
      <c r="CO182" s="16">
        <f>CN182/AS182</f>
        <v>0</v>
      </c>
      <c r="CP182" s="16">
        <v>0</v>
      </c>
      <c r="CQ182" s="16">
        <v>0</v>
      </c>
      <c r="CR182" s="16">
        <f>CQ182/AS182</f>
        <v>0</v>
      </c>
      <c r="CS182" s="16">
        <f>IF(CT182&gt;0,1,0)</f>
        <v>0</v>
      </c>
      <c r="CT182" s="16">
        <f>SUM(CW182,CZ182,DC182)</f>
        <v>0</v>
      </c>
      <c r="CV182" s="16">
        <f>SUM(CY182,DB182,DE182)</f>
        <v>0</v>
      </c>
      <c r="CW182" s="16">
        <v>0</v>
      </c>
      <c r="CX182" s="16">
        <v>0</v>
      </c>
      <c r="CY182" s="16">
        <f>CX182/AS182</f>
        <v>0</v>
      </c>
      <c r="CZ182" s="16">
        <v>0</v>
      </c>
      <c r="DA182" s="16">
        <v>0</v>
      </c>
      <c r="DB182" s="16">
        <f>DA182/AS182</f>
        <v>0</v>
      </c>
      <c r="DC182" s="16">
        <v>0</v>
      </c>
      <c r="DD182" s="16">
        <v>0</v>
      </c>
      <c r="DE182" s="16">
        <f>DD182/AS182</f>
        <v>0</v>
      </c>
      <c r="DF182" s="16" t="e">
        <f>VLOOKUP(K182,'[3]RNA Seq summary tables'!$V$3:$V$99,1,FALSE)</f>
        <v>#N/A</v>
      </c>
      <c r="DI182" s="16">
        <v>65</v>
      </c>
      <c r="DK182" s="16">
        <v>26</v>
      </c>
      <c r="DM182" s="16">
        <v>9</v>
      </c>
      <c r="DO182" s="16">
        <v>0</v>
      </c>
      <c r="DQ182" s="16">
        <v>0</v>
      </c>
      <c r="DR182" s="16">
        <f>SUM(DI182:DQ182)</f>
        <v>100</v>
      </c>
    </row>
    <row r="183" spans="1:288" x14ac:dyDescent="0.2">
      <c r="B183" s="16">
        <v>2017</v>
      </c>
      <c r="C183" s="20">
        <v>42927</v>
      </c>
      <c r="D183" s="20" t="str">
        <f>CONCATENATE(J183,"-",C183)</f>
        <v>1064-42927</v>
      </c>
      <c r="E183" s="20" t="str">
        <f>CONCATENATE(T183,"-",U183,"-",C183)</f>
        <v>PO1-E8-42927</v>
      </c>
      <c r="F183" s="20" t="s">
        <v>106</v>
      </c>
      <c r="G183" s="20" t="s">
        <v>107</v>
      </c>
      <c r="I183" s="16">
        <v>0</v>
      </c>
      <c r="J183" s="21">
        <v>1064</v>
      </c>
      <c r="K183" s="21">
        <v>1858</v>
      </c>
      <c r="L183" s="18">
        <v>0</v>
      </c>
      <c r="M183" s="21">
        <f>VLOOKUP($K183,'[4]blood tubes 2017'!$D$1:$L$647,8,FALSE)</f>
        <v>0</v>
      </c>
      <c r="N183" s="15">
        <v>0</v>
      </c>
      <c r="O183" s="15" t="s">
        <v>119</v>
      </c>
      <c r="P183" s="16" t="s">
        <v>119</v>
      </c>
      <c r="Q183" s="16">
        <v>0</v>
      </c>
      <c r="R183" s="16">
        <v>16</v>
      </c>
      <c r="T183" s="16" t="s">
        <v>112</v>
      </c>
      <c r="U183" s="16" t="s">
        <v>181</v>
      </c>
      <c r="V183" s="16" t="s">
        <v>114</v>
      </c>
      <c r="W183" s="16">
        <f>AI183/AG183</f>
        <v>0.76530612244897955</v>
      </c>
      <c r="X183" s="16" t="s">
        <v>115</v>
      </c>
      <c r="Y183" s="16" t="s">
        <v>110</v>
      </c>
      <c r="Z183" s="16">
        <v>3</v>
      </c>
      <c r="AE183" s="16" t="s">
        <v>123</v>
      </c>
      <c r="AF183" s="16" t="s">
        <v>123</v>
      </c>
      <c r="AG183" s="16">
        <f>AH183-AI183</f>
        <v>98</v>
      </c>
      <c r="AH183" s="16">
        <v>173</v>
      </c>
      <c r="AI183" s="16">
        <v>75</v>
      </c>
      <c r="AK183" s="16">
        <v>23.5</v>
      </c>
      <c r="AL183" s="16">
        <v>0</v>
      </c>
      <c r="AM183" s="16">
        <v>0</v>
      </c>
      <c r="AN183" s="16">
        <v>0</v>
      </c>
      <c r="AO183" s="16">
        <v>0</v>
      </c>
      <c r="AP183" s="16">
        <f>SUM(AL183:AN183)</f>
        <v>0</v>
      </c>
      <c r="AQ183" s="16">
        <v>1.827</v>
      </c>
      <c r="AR183" s="16">
        <f>AP183-1.472</f>
        <v>-1.472</v>
      </c>
      <c r="AS183" s="16">
        <f>AQ183-1.472</f>
        <v>0.35499999999999998</v>
      </c>
      <c r="AT183" s="16" t="str">
        <f>VLOOKUP(K183,'[5]FECs - good data'!$C$1:$P$575,13,FALSE)</f>
        <v>TE</v>
      </c>
      <c r="AW183" s="18">
        <f>IF(AX183&gt;0,1,0)</f>
        <v>1</v>
      </c>
      <c r="AX183" s="18">
        <f>SUM(BA183,BM183,CT183)</f>
        <v>2</v>
      </c>
      <c r="AY183" s="18">
        <f>SUM(BB183,BN183,CV183)</f>
        <v>969.0140845070423</v>
      </c>
      <c r="AZ183" s="18">
        <f>IF(BA183&gt;0,1,0)</f>
        <v>1</v>
      </c>
      <c r="BA183" s="18">
        <f>SUM(BC183,BF183,BI183)</f>
        <v>2</v>
      </c>
      <c r="BB183" s="18">
        <f>SUM(BE183,BH183,BK183)</f>
        <v>969.0140845070423</v>
      </c>
      <c r="BC183" s="18">
        <f>IF(BD183&gt;0,1,0)</f>
        <v>1</v>
      </c>
      <c r="BD183" s="18">
        <f>VLOOKUP($K183,'[5]FECs - good data'!$C$1:$Z$574,14,FALSE)</f>
        <v>33</v>
      </c>
      <c r="BE183" s="16">
        <f>BD183/AS183</f>
        <v>92.957746478873247</v>
      </c>
      <c r="BF183" s="16">
        <f>IF(BG183&gt;0,1,0)</f>
        <v>1</v>
      </c>
      <c r="BG183" s="23">
        <f>VLOOKUP($K183,'[5]FECs - good data'!$C$1:$Z$574,15,FALSE)</f>
        <v>311</v>
      </c>
      <c r="BH183" s="16">
        <f>BG183/AS183</f>
        <v>876.05633802816908</v>
      </c>
      <c r="BI183" s="16">
        <f>IF(BJ183&gt;0,1,0)</f>
        <v>0</v>
      </c>
      <c r="BJ183" s="16">
        <f>VLOOKUP($K183,'[5]FECs - good data'!$C$1:$Z$574,16,FALSE)</f>
        <v>0</v>
      </c>
      <c r="BK183" s="16">
        <f>BJ183/AS183</f>
        <v>0</v>
      </c>
      <c r="BL183" s="16">
        <f>IF(BM183&gt;0,1,0)</f>
        <v>0</v>
      </c>
      <c r="BM183" s="16">
        <f>SUM(BR183,BU183,BX183,CA183,CD183,CG183,CJ183,CM183,CP183)</f>
        <v>0</v>
      </c>
      <c r="BN183" s="16">
        <f>SUM(BW183,BZ183,CC183,CF183,CI183,CL183,CO183,CR183,BT183)</f>
        <v>0</v>
      </c>
      <c r="BO183" s="16">
        <f>IF(BP183&gt;0,1,0)</f>
        <v>0</v>
      </c>
      <c r="BP183" s="16">
        <f>SUM(BU183,BX183,CA183,CD183,BR183)</f>
        <v>0</v>
      </c>
      <c r="BQ183" s="16">
        <f>SUM(BZ183,CC183,CF183,BT183,BW183)</f>
        <v>0</v>
      </c>
      <c r="BR183" s="16">
        <f>IF(BS183&gt;0,1,0)</f>
        <v>0</v>
      </c>
      <c r="BS183" s="16">
        <f>VLOOKUP($K183,'[5]FECs - good data'!$C$1:$Z$574,17,FALSE)</f>
        <v>0</v>
      </c>
      <c r="BT183" s="23">
        <f>BS183/AS183</f>
        <v>0</v>
      </c>
      <c r="BU183" s="16">
        <f>IF(BV183&gt;0,1,0)</f>
        <v>0</v>
      </c>
      <c r="BV183" s="16">
        <f>VLOOKUP($K183,'[5]FECs - good data'!$C$1:$Z$574,18,FALSE)</f>
        <v>0</v>
      </c>
      <c r="BW183" s="16">
        <f>BV183/AS183</f>
        <v>0</v>
      </c>
      <c r="BX183" s="16">
        <f>IF(BY183&gt;0,1,0)</f>
        <v>0</v>
      </c>
      <c r="BY183" s="16">
        <f>VLOOKUP($K183,'[5]FECs - good data'!$C$1:$Z$574,19,FALSE)</f>
        <v>0</v>
      </c>
      <c r="BZ183" s="16">
        <f>BY183/AS183</f>
        <v>0</v>
      </c>
      <c r="CA183" s="16">
        <f>IF(CB183&gt;0,1,0)</f>
        <v>0</v>
      </c>
      <c r="CB183" s="16">
        <f>VLOOKUP($K183,'[5]FECs - good data'!$C$1:$Z$574,20,FALSE)</f>
        <v>0</v>
      </c>
      <c r="CC183" s="16">
        <f>CB183/AS183</f>
        <v>0</v>
      </c>
      <c r="CD183" s="23">
        <f>IF(CE183&gt;0,1,0)</f>
        <v>0</v>
      </c>
      <c r="CE183" s="16">
        <f>VLOOKUP($K183,'[5]FECs - good data'!$C$1:$Z$574,21,FALSE)</f>
        <v>0</v>
      </c>
      <c r="CF183" s="16">
        <f>CE183/AS183</f>
        <v>0</v>
      </c>
      <c r="CG183" s="16">
        <f>IF(CH183&gt;0,1,0)</f>
        <v>0</v>
      </c>
      <c r="CH183" s="16">
        <f>VLOOKUP($K183,'[5]FECs - good data'!$C$1:$Z$574,22,FALSE)</f>
        <v>0</v>
      </c>
      <c r="CI183" s="16">
        <f>CH183/AS183</f>
        <v>0</v>
      </c>
      <c r="CJ183" s="16">
        <f>IF(CK183&gt;0,1,0)</f>
        <v>0</v>
      </c>
      <c r="CK183" s="16">
        <f>VLOOKUP($K183,'[5]FECs - good data'!$C$1:$Z$674,24,FALSE)</f>
        <v>0</v>
      </c>
      <c r="CL183" s="16">
        <f>CK183/AS183</f>
        <v>0</v>
      </c>
      <c r="CS183" s="16">
        <f>IF(CT183&gt;0,1,0)</f>
        <v>0</v>
      </c>
      <c r="CT183" s="16">
        <f>SUM(CW183+CZ183,DC183)</f>
        <v>0</v>
      </c>
      <c r="CV183" s="16">
        <f>SUM(CY183,DB183,DE183)</f>
        <v>0</v>
      </c>
      <c r="CW183" s="16">
        <f>IF(CX183&gt;0,1,0)</f>
        <v>0</v>
      </c>
      <c r="CX183" s="16">
        <f>VLOOKUP($K183,'[5]FECs - good data'!$C$1:$Z$574,22,FALSE)</f>
        <v>0</v>
      </c>
      <c r="CY183" s="16">
        <f>CX183/AS183</f>
        <v>0</v>
      </c>
      <c r="CZ183" s="16">
        <f>IF(DA183&gt;0,1,0)</f>
        <v>0</v>
      </c>
      <c r="DA183" s="16">
        <f>VLOOKUP($K183,'[5]FECs - good data'!$C$1:$Z$5982,23,FALSE)</f>
        <v>0</v>
      </c>
      <c r="DB183" s="16">
        <f>DA183/AS183</f>
        <v>0</v>
      </c>
      <c r="DC183" s="16">
        <f>IF(DD183&gt;0,1,0)</f>
        <v>0</v>
      </c>
      <c r="DD183" s="16">
        <f>VLOOKUP($K183,'[5]FECs - good data'!$C$1:$Z$574,23,FALSE)</f>
        <v>0</v>
      </c>
      <c r="DE183" s="16">
        <f>DD183/AS183</f>
        <v>0</v>
      </c>
      <c r="DF183" s="16" t="e">
        <f>VLOOKUP(K183,'[3]RNA Seq summary tables'!$V$3:$V$99,1,FALSE)</f>
        <v>#N/A</v>
      </c>
      <c r="JR183" s="27"/>
      <c r="JS183" s="27"/>
      <c r="JT183" s="27"/>
      <c r="JU183" s="27"/>
      <c r="JV183" s="27"/>
      <c r="JW183" s="27"/>
      <c r="JX183" s="27"/>
      <c r="JY183" s="27"/>
      <c r="JZ183" s="27"/>
      <c r="KA183" s="27"/>
      <c r="KB183" s="27"/>
    </row>
    <row r="184" spans="1:288" x14ac:dyDescent="0.2">
      <c r="B184" s="16">
        <v>2017</v>
      </c>
      <c r="C184" s="43">
        <v>42946</v>
      </c>
      <c r="D184" s="43" t="str">
        <f>CONCATENATE(J184,"-",C184)</f>
        <v>1064-42946</v>
      </c>
      <c r="E184" s="20" t="str">
        <f>CONCATENATE(T184,"-",U184,"-",C184)</f>
        <v>PO1-C8-42946</v>
      </c>
      <c r="F184" s="20" t="s">
        <v>106</v>
      </c>
      <c r="G184" s="43" t="s">
        <v>107</v>
      </c>
      <c r="H184" s="23"/>
      <c r="I184" s="16">
        <v>0</v>
      </c>
      <c r="J184" s="15">
        <v>1064</v>
      </c>
      <c r="K184" s="15">
        <v>2000</v>
      </c>
      <c r="L184" s="18">
        <v>0</v>
      </c>
      <c r="M184" s="21">
        <f>VLOOKUP($K184,'[4]blood tubes 2017'!$D$1:$L$647,8,FALSE)</f>
        <v>0</v>
      </c>
      <c r="N184" s="15">
        <v>0</v>
      </c>
      <c r="O184" s="15" t="s">
        <v>119</v>
      </c>
      <c r="P184" s="23" t="s">
        <v>119</v>
      </c>
      <c r="Q184" s="16">
        <v>0</v>
      </c>
      <c r="R184" s="23">
        <v>19</v>
      </c>
      <c r="S184" s="23"/>
      <c r="T184" s="23" t="s">
        <v>112</v>
      </c>
      <c r="U184" s="23" t="s">
        <v>188</v>
      </c>
      <c r="V184" s="23" t="s">
        <v>114</v>
      </c>
      <c r="W184" s="16">
        <f>AI184/AG184</f>
        <v>0.80208333333333337</v>
      </c>
      <c r="X184" s="23" t="s">
        <v>115</v>
      </c>
      <c r="Y184" s="23" t="s">
        <v>110</v>
      </c>
      <c r="Z184" s="23">
        <v>3</v>
      </c>
      <c r="AA184" s="23"/>
      <c r="AB184" s="23"/>
      <c r="AC184" s="23"/>
      <c r="AD184" s="23"/>
      <c r="AE184" s="23" t="s">
        <v>116</v>
      </c>
      <c r="AF184" s="23" t="s">
        <v>116</v>
      </c>
      <c r="AG184" s="23">
        <f>AH184-AI184</f>
        <v>96</v>
      </c>
      <c r="AH184" s="23">
        <v>173</v>
      </c>
      <c r="AI184" s="23">
        <v>77</v>
      </c>
      <c r="AJ184" s="23"/>
      <c r="AK184" s="23">
        <v>25</v>
      </c>
      <c r="AL184" s="23">
        <v>0</v>
      </c>
      <c r="AM184" s="23">
        <v>0</v>
      </c>
      <c r="AN184" s="23">
        <v>0</v>
      </c>
      <c r="AO184" s="23">
        <v>0</v>
      </c>
      <c r="AP184" s="23">
        <f>SUM(AL184:AN184)</f>
        <v>0</v>
      </c>
      <c r="AQ184" s="23">
        <v>2.077</v>
      </c>
      <c r="AR184" s="23">
        <f>AP184-1.472</f>
        <v>-1.472</v>
      </c>
      <c r="AS184" s="23">
        <f>AQ184-1.472</f>
        <v>0.60499999999999998</v>
      </c>
      <c r="AT184" s="23" t="str">
        <f>VLOOKUP(K184,'[5]FECs - good data'!$C$1:$P$575,13,FALSE)</f>
        <v>SB</v>
      </c>
      <c r="AU184" s="23"/>
      <c r="AV184" s="23"/>
      <c r="AW184" s="25">
        <f>IF(AX184&gt;0,1,0)</f>
        <v>1</v>
      </c>
      <c r="AX184" s="25">
        <f>SUM(BA184,BM184,CT184)</f>
        <v>1</v>
      </c>
      <c r="AY184" s="25">
        <f>SUM(BB184,BN184,CV184)</f>
        <v>3.3057851239669422</v>
      </c>
      <c r="AZ184" s="18">
        <f>IF(BA184&gt;0,1,0)</f>
        <v>0</v>
      </c>
      <c r="BA184" s="25">
        <f>SUM(BC184,BF184,BI184)</f>
        <v>0</v>
      </c>
      <c r="BB184" s="25">
        <f>SUM(BE184,BH184,BK184)</f>
        <v>0</v>
      </c>
      <c r="BC184" s="18">
        <f>IF(BD184&gt;0,1,0)</f>
        <v>0</v>
      </c>
      <c r="BD184" s="25">
        <f>VLOOKUP($K184,'[5]FECs - good data'!$C$1:$Z$574,14,FALSE)</f>
        <v>0</v>
      </c>
      <c r="BE184" s="23">
        <f>BD184/AS184</f>
        <v>0</v>
      </c>
      <c r="BF184" s="16">
        <f>IF(BG184&gt;0,1,0)</f>
        <v>0</v>
      </c>
      <c r="BG184" s="23">
        <f>VLOOKUP($K184,'[5]FECs - good data'!$C$1:$Z$574,15,FALSE)</f>
        <v>0</v>
      </c>
      <c r="BH184" s="23">
        <f>BG184/AS184</f>
        <v>0</v>
      </c>
      <c r="BI184" s="16">
        <f>IF(BJ184&gt;0,1,0)</f>
        <v>0</v>
      </c>
      <c r="BJ184" s="23">
        <f>VLOOKUP($K184,'[5]FECs - good data'!$C$1:$Z$574,16,FALSE)</f>
        <v>0</v>
      </c>
      <c r="BK184" s="23">
        <f>BJ184/AS184</f>
        <v>0</v>
      </c>
      <c r="BL184" s="16">
        <f>IF(BM184&gt;0,1,0)</f>
        <v>1</v>
      </c>
      <c r="BM184" s="16">
        <f>SUM(BR184,BU184,BX184,CA184,CD184,CG184,CJ184,CM184,CP184)</f>
        <v>1</v>
      </c>
      <c r="BN184" s="16">
        <f>SUM(BW184,BZ184,CC184,CF184,CI184,CL184,CO184,CR184,BT184)</f>
        <v>3.3057851239669422</v>
      </c>
      <c r="BO184" s="16">
        <f>IF(BP184&gt;0,1,0)</f>
        <v>1</v>
      </c>
      <c r="BP184" s="16">
        <f>SUM(BU184,BX184,CA184,CD184,BR184)</f>
        <v>1</v>
      </c>
      <c r="BQ184" s="16">
        <f>SUM(BZ184,CC184,CF184,BT184,BW184)</f>
        <v>3.3057851239669422</v>
      </c>
      <c r="BR184" s="16">
        <f>IF(BS184&gt;0,1,0)</f>
        <v>0</v>
      </c>
      <c r="BS184" s="23">
        <f>VLOOKUP($K184,'[5]FECs - good data'!$C$1:$Z$574,17,FALSE)</f>
        <v>0</v>
      </c>
      <c r="BT184" s="23">
        <f>BS184/AS184</f>
        <v>0</v>
      </c>
      <c r="BU184" s="16">
        <f>IF(BV184&gt;0,1,0)</f>
        <v>0</v>
      </c>
      <c r="BV184" s="23">
        <f>VLOOKUP($K184,'[5]FECs - good data'!$C$1:$Z$574,18,FALSE)</f>
        <v>0</v>
      </c>
      <c r="BW184" s="16">
        <f>BV184/AS184</f>
        <v>0</v>
      </c>
      <c r="BX184" s="16">
        <f>IF(BY184&gt;0,1,0)</f>
        <v>0</v>
      </c>
      <c r="BY184" s="23">
        <f>VLOOKUP($K184,'[5]FECs - good data'!$C$1:$Z$574,19,FALSE)</f>
        <v>0</v>
      </c>
      <c r="BZ184" s="16">
        <f>BY184/AS184</f>
        <v>0</v>
      </c>
      <c r="CA184" s="16">
        <f>IF(CB184&gt;0,1,0)</f>
        <v>1</v>
      </c>
      <c r="CB184" s="23">
        <f>VLOOKUP($K184,'[5]FECs - good data'!$C$1:$Z$574,20,FALSE)</f>
        <v>2</v>
      </c>
      <c r="CC184" s="23">
        <f>CB184/AS184</f>
        <v>3.3057851239669422</v>
      </c>
      <c r="CD184" s="23">
        <f>IF(CE184&gt;0,1,0)</f>
        <v>0</v>
      </c>
      <c r="CE184" s="23">
        <f>VLOOKUP($K184,'[5]FECs - good data'!$C$1:$Z$574,21,FALSE)</f>
        <v>0</v>
      </c>
      <c r="CF184" s="23">
        <f>CE184/AS184</f>
        <v>0</v>
      </c>
      <c r="CG184" s="23">
        <f>IF(CH184&gt;0,1,0)</f>
        <v>0</v>
      </c>
      <c r="CH184" s="23">
        <f>VLOOKUP($K184,'[5]FECs - good data'!$C$1:$Z$574,22,FALSE)</f>
        <v>0</v>
      </c>
      <c r="CI184" s="23">
        <f>CH184/AS184</f>
        <v>0</v>
      </c>
      <c r="CJ184" s="23">
        <f>IF(CK184&gt;0,1,0)</f>
        <v>0</v>
      </c>
      <c r="CK184" s="23">
        <f>VLOOKUP($K184,'[5]FECs - good data'!$C$1:$Z$674,24,FALSE)</f>
        <v>0</v>
      </c>
      <c r="CL184" s="23">
        <f>CK184/AS184</f>
        <v>0</v>
      </c>
      <c r="CM184" s="23"/>
      <c r="CN184" s="23"/>
      <c r="CO184" s="23"/>
      <c r="CP184" s="23"/>
      <c r="CQ184" s="23"/>
      <c r="CR184" s="23"/>
      <c r="CS184" s="16">
        <f>IF(CT184&gt;0,1,0)</f>
        <v>0</v>
      </c>
      <c r="CT184" s="16">
        <f>SUM(CW184+CZ184,DC184)</f>
        <v>0</v>
      </c>
      <c r="CV184" s="23">
        <f>SUM(CY184,DB184,DE184)</f>
        <v>0</v>
      </c>
      <c r="CW184" s="16">
        <f>IF(CX184&gt;0,1,0)</f>
        <v>0</v>
      </c>
      <c r="CX184" s="23">
        <f>VLOOKUP($K184,'[5]FECs - good data'!$C$1:$Z$574,22,FALSE)</f>
        <v>0</v>
      </c>
      <c r="CY184" s="23">
        <f>CX184/AS184</f>
        <v>0</v>
      </c>
      <c r="CZ184" s="23">
        <f>IF(DA184&gt;0,1,0)</f>
        <v>0</v>
      </c>
      <c r="DA184" s="23">
        <f>VLOOKUP($K184,'[5]FECs - good data'!$C$1:$Z$5982,23,FALSE)</f>
        <v>0</v>
      </c>
      <c r="DB184" s="23">
        <f>DA184/AS184</f>
        <v>0</v>
      </c>
      <c r="DC184" s="23">
        <f>IF(DD184&gt;0,1,0)</f>
        <v>0</v>
      </c>
      <c r="DD184" s="23">
        <f>VLOOKUP($K184,'[5]FECs - good data'!$C$1:$Z$574,23,FALSE)</f>
        <v>0</v>
      </c>
      <c r="DE184" s="23">
        <f>DD184/AS184</f>
        <v>0</v>
      </c>
      <c r="DF184" s="16" t="e">
        <f>VLOOKUP(K184,'[3]RNA Seq summary tables'!$V$3:$V$99,1,FALSE)</f>
        <v>#N/A</v>
      </c>
      <c r="DG184" s="16">
        <v>1</v>
      </c>
      <c r="DH184" s="16" t="str">
        <f>VLOOKUP(D184,'[6]workflow 3.2018'!$A$1:$S$237,2,FALSE)</f>
        <v>2017MLBS_111</v>
      </c>
      <c r="DI184" s="23"/>
      <c r="DJ184" s="23"/>
      <c r="DK184" s="23"/>
      <c r="DL184" s="23"/>
      <c r="DM184" s="23"/>
      <c r="DN184" s="23"/>
      <c r="DO184" s="23"/>
      <c r="DP184" s="23"/>
      <c r="DQ184" s="23"/>
      <c r="DR184" s="23"/>
      <c r="DS184" s="23"/>
      <c r="DT184" s="25"/>
      <c r="DU184" s="25"/>
      <c r="DV184" s="25"/>
      <c r="DW184" s="25"/>
      <c r="DX184" s="25"/>
      <c r="DY184" s="25"/>
      <c r="DZ184" s="25"/>
      <c r="EA184" s="25"/>
      <c r="EB184" s="25"/>
      <c r="EC184" s="25"/>
      <c r="ED184" s="25"/>
      <c r="EE184" s="25"/>
      <c r="JO184" s="30"/>
    </row>
    <row r="185" spans="1:288" x14ac:dyDescent="0.2">
      <c r="B185" s="16">
        <v>2017</v>
      </c>
      <c r="C185" s="20">
        <v>42975</v>
      </c>
      <c r="D185" s="20" t="str">
        <f>CONCATENATE(J185,"-",C185)</f>
        <v>1064-42975</v>
      </c>
      <c r="E185" s="20" t="str">
        <f>CONCATENATE(T185,"-",U185,"-",C185)</f>
        <v>PO1-C8-42975</v>
      </c>
      <c r="F185" s="37" t="s">
        <v>224</v>
      </c>
      <c r="G185" s="20" t="s">
        <v>107</v>
      </c>
      <c r="I185" s="16">
        <v>0</v>
      </c>
      <c r="J185" s="21">
        <v>1064</v>
      </c>
      <c r="K185" s="21">
        <v>2271</v>
      </c>
      <c r="L185" s="18">
        <v>0</v>
      </c>
      <c r="M185" s="21">
        <f>VLOOKUP($K185,'[4]blood tubes 2017'!$D$1:$L$947,8,FALSE)</f>
        <v>0</v>
      </c>
      <c r="N185" s="15">
        <v>0</v>
      </c>
      <c r="O185" s="15" t="s">
        <v>119</v>
      </c>
      <c r="P185" s="16" t="s">
        <v>119</v>
      </c>
      <c r="Q185" s="16">
        <v>0</v>
      </c>
      <c r="R185" s="16">
        <v>29</v>
      </c>
      <c r="T185" s="16" t="s">
        <v>112</v>
      </c>
      <c r="U185" s="16" t="s">
        <v>188</v>
      </c>
      <c r="V185" s="16" t="s">
        <v>114</v>
      </c>
      <c r="W185" s="16">
        <f>AI185/AG185</f>
        <v>0.9882352941176471</v>
      </c>
      <c r="X185" s="16" t="s">
        <v>115</v>
      </c>
      <c r="Y185" s="16" t="s">
        <v>110</v>
      </c>
      <c r="Z185" s="16">
        <v>3</v>
      </c>
      <c r="AE185" s="16" t="s">
        <v>116</v>
      </c>
      <c r="AF185" s="16" t="s">
        <v>116</v>
      </c>
      <c r="AG185" s="16">
        <f>AH185-AI185</f>
        <v>85</v>
      </c>
      <c r="AH185" s="16">
        <v>169</v>
      </c>
      <c r="AI185" s="16">
        <v>84</v>
      </c>
      <c r="AK185" s="16">
        <v>24</v>
      </c>
      <c r="AL185" s="16">
        <v>0</v>
      </c>
      <c r="AM185" s="16">
        <v>0</v>
      </c>
      <c r="AN185" s="16">
        <v>0</v>
      </c>
      <c r="AO185" s="16">
        <v>0</v>
      </c>
      <c r="AP185" s="16">
        <f>SUM(AL185:AN185)</f>
        <v>0</v>
      </c>
      <c r="AQ185" s="16">
        <v>1.7</v>
      </c>
      <c r="AR185" s="16">
        <f>AP185-1.472</f>
        <v>-1.472</v>
      </c>
      <c r="AS185" s="16">
        <f>AQ185-1.472</f>
        <v>0.22799999999999998</v>
      </c>
      <c r="AT185" s="16" t="s">
        <v>227</v>
      </c>
      <c r="AW185" s="18">
        <f>IF(AX185&gt;0,1,0)</f>
        <v>0</v>
      </c>
      <c r="AX185" s="18">
        <f>SUM(BA185,BM185,CT185)</f>
        <v>0</v>
      </c>
      <c r="AY185" s="18">
        <f>SUM(BB185,BN185,CV185)</f>
        <v>0</v>
      </c>
      <c r="AZ185" s="18">
        <f>IF(BA185&gt;0,1,0)</f>
        <v>0</v>
      </c>
      <c r="BA185" s="18">
        <f>SUM(BC185,BF185,BI185)</f>
        <v>0</v>
      </c>
      <c r="BB185" s="18">
        <f>SUM(BE185,BH185,BK185)</f>
        <v>0</v>
      </c>
      <c r="BC185" s="18">
        <f>IF(BD185&gt;0,1,0)</f>
        <v>0</v>
      </c>
      <c r="BD185" s="18">
        <f>VLOOKUP($K185,'[5]FECs - good data'!$C$1:$Z$574,14,FALSE)</f>
        <v>0</v>
      </c>
      <c r="BE185" s="16">
        <f>BD185/AS185</f>
        <v>0</v>
      </c>
      <c r="BF185" s="16">
        <f>IF(BG185&gt;0,1,0)</f>
        <v>0</v>
      </c>
      <c r="BG185" s="23">
        <f>VLOOKUP($K185,'[5]FECs - good data'!$C$1:$Z$574,15,FALSE)</f>
        <v>0</v>
      </c>
      <c r="BH185" s="16">
        <f>BG185/AS185</f>
        <v>0</v>
      </c>
      <c r="BI185" s="16">
        <f>IF(BJ185&gt;0,1,0)</f>
        <v>0</v>
      </c>
      <c r="BJ185" s="16">
        <f>VLOOKUP($K185,'[5]FECs - good data'!$C$1:$Z$574,16,FALSE)</f>
        <v>0</v>
      </c>
      <c r="BK185" s="16">
        <f>BJ185/AS185</f>
        <v>0</v>
      </c>
      <c r="BL185" s="16">
        <f>IF(BM185&gt;0,1,0)</f>
        <v>0</v>
      </c>
      <c r="BM185" s="16">
        <f>SUM(BR185,BU185,BX185,CA185,CD185,CG185,CJ185,CM185,CP185)</f>
        <v>0</v>
      </c>
      <c r="BN185" s="16">
        <f>SUM(BW185,BZ185,CC185,CF185,CI185,CL185,CO185,CR185,BT185)</f>
        <v>0</v>
      </c>
      <c r="BO185" s="16">
        <f>IF(BP185&gt;0,1,0)</f>
        <v>0</v>
      </c>
      <c r="BP185" s="16">
        <f>SUM(BU185,BX185,CA185,CD185,BR185)</f>
        <v>0</v>
      </c>
      <c r="BQ185" s="16">
        <f>SUM(BZ185,CC185,CF185,BT185,BW185)</f>
        <v>0</v>
      </c>
      <c r="BR185" s="16">
        <f>IF(BS185&gt;0,1,0)</f>
        <v>0</v>
      </c>
      <c r="BS185" s="16">
        <f>VLOOKUP($K185,'[5]FECs - good data'!$C$1:$Z$574,17,FALSE)</f>
        <v>0</v>
      </c>
      <c r="BT185" s="23">
        <f>BS185/AS185</f>
        <v>0</v>
      </c>
      <c r="BU185" s="16">
        <f>IF(BV185&gt;0,1,0)</f>
        <v>0</v>
      </c>
      <c r="BV185" s="16">
        <f>VLOOKUP($K185,'[5]FECs - good data'!$C$1:$Z$574,18,FALSE)</f>
        <v>0</v>
      </c>
      <c r="BW185" s="16">
        <f>BV185/AS185</f>
        <v>0</v>
      </c>
      <c r="BX185" s="16">
        <f>IF(BY185&gt;0,1,0)</f>
        <v>0</v>
      </c>
      <c r="BY185" s="16">
        <f>VLOOKUP($K185,'[5]FECs - good data'!$C$1:$Z$574,19,FALSE)</f>
        <v>0</v>
      </c>
      <c r="BZ185" s="16">
        <f>BY185/AS185</f>
        <v>0</v>
      </c>
      <c r="CA185" s="16">
        <f>IF(CB185&gt;0,1,0)</f>
        <v>0</v>
      </c>
      <c r="CB185" s="16">
        <f>VLOOKUP($K185,'[5]FECs - good data'!$C$1:$Z$574,20,FALSE)</f>
        <v>0</v>
      </c>
      <c r="CC185" s="16">
        <f>CB185/AS185</f>
        <v>0</v>
      </c>
      <c r="CD185" s="23">
        <f>IF(CE185&gt;0,1,0)</f>
        <v>0</v>
      </c>
      <c r="CE185" s="16">
        <f>VLOOKUP($K185,'[5]FECs - good data'!$C$1:$Z$574,21,FALSE)</f>
        <v>0</v>
      </c>
      <c r="CF185" s="16">
        <f>CE185/AS185</f>
        <v>0</v>
      </c>
      <c r="CG185" s="16">
        <f>IF(CH185&gt;0,1,0)</f>
        <v>0</v>
      </c>
      <c r="CH185" s="16">
        <f>VLOOKUP($K185,'[5]FECs - good data'!$C$1:$Z$574,22,FALSE)</f>
        <v>0</v>
      </c>
      <c r="CI185" s="16">
        <f>CH185/AS185</f>
        <v>0</v>
      </c>
      <c r="CJ185" s="16">
        <f>IF(CK185&gt;0,1,0)</f>
        <v>0</v>
      </c>
      <c r="CK185" s="16">
        <f>VLOOKUP($K185,'[5]FECs - good data'!$C$1:$Z$674,24,FALSE)</f>
        <v>0</v>
      </c>
      <c r="CL185" s="16">
        <f>CK185/AS185</f>
        <v>0</v>
      </c>
      <c r="CS185" s="16">
        <f>IF(CT185&gt;0,1,0)</f>
        <v>0</v>
      </c>
      <c r="CT185" s="16">
        <f>SUM(CW185+CZ185,DC185)</f>
        <v>0</v>
      </c>
      <c r="CV185" s="16">
        <f>SUM(CY185,DB185,DE185)</f>
        <v>0</v>
      </c>
      <c r="CW185" s="16">
        <f>IF(CX185&gt;0,1,0)</f>
        <v>0</v>
      </c>
      <c r="CX185" s="16">
        <f>VLOOKUP($K185,'[5]FECs - good data'!$C$1:$Z$574,22,FALSE)</f>
        <v>0</v>
      </c>
      <c r="CY185" s="16">
        <f>CX185/AS185</f>
        <v>0</v>
      </c>
      <c r="CZ185" s="16">
        <f>IF(DA185&gt;0,1,0)</f>
        <v>0</v>
      </c>
      <c r="DA185" s="16">
        <f>VLOOKUP($K185,'[5]FECs - good data'!$C$1:$Z$5982,23,FALSE)</f>
        <v>0</v>
      </c>
      <c r="DB185" s="16">
        <f>DA185/AS185</f>
        <v>0</v>
      </c>
      <c r="DC185" s="16">
        <f>IF(DD185&gt;0,1,0)</f>
        <v>0</v>
      </c>
      <c r="DD185" s="16">
        <f>VLOOKUP($K185,'[5]FECs - good data'!$C$1:$Z$574,23,FALSE)</f>
        <v>0</v>
      </c>
      <c r="DE185" s="16">
        <f>DD185/AS185</f>
        <v>0</v>
      </c>
      <c r="DF185" s="16" t="e">
        <f>VLOOKUP(K185,'[3]RNA Seq summary tables'!$V$3:$V$99,1,FALSE)</f>
        <v>#N/A</v>
      </c>
      <c r="DG185" s="16">
        <v>1</v>
      </c>
      <c r="DH185" s="16" t="str">
        <f>VLOOKUP(D185,'[6]workflow 3.2018'!$A$1:$S$237,2,FALSE)</f>
        <v>2017MLBS_197</v>
      </c>
    </row>
    <row r="186" spans="1:288" x14ac:dyDescent="0.2">
      <c r="B186" s="16">
        <v>2017</v>
      </c>
      <c r="C186" s="66">
        <v>42893</v>
      </c>
      <c r="D186" s="66" t="str">
        <f>CONCATENATE(J186,"-",C186)</f>
        <v>1066-42893</v>
      </c>
      <c r="E186" s="20" t="str">
        <f>CONCATENATE(T186,"-",U186,"-",C186)</f>
        <v>PO1-C4-42893</v>
      </c>
      <c r="F186" s="20" t="s">
        <v>106</v>
      </c>
      <c r="G186" s="20" t="s">
        <v>107</v>
      </c>
      <c r="I186" s="16">
        <v>0</v>
      </c>
      <c r="J186" s="21">
        <v>1066</v>
      </c>
      <c r="K186" s="21">
        <v>1620</v>
      </c>
      <c r="L186" s="18">
        <v>0</v>
      </c>
      <c r="M186" s="21">
        <f>VLOOKUP($K186,'[4]blood tubes 2017'!$D$1:$L$647,8,FALSE)</f>
        <v>0</v>
      </c>
      <c r="N186" s="15">
        <v>0</v>
      </c>
      <c r="O186" s="15" t="s">
        <v>119</v>
      </c>
      <c r="P186" s="16" t="s">
        <v>119</v>
      </c>
      <c r="Q186" s="16">
        <v>0</v>
      </c>
      <c r="R186" s="16" t="s">
        <v>111</v>
      </c>
      <c r="T186" s="16" t="s">
        <v>112</v>
      </c>
      <c r="U186" s="16" t="s">
        <v>229</v>
      </c>
      <c r="V186" s="16" t="s">
        <v>114</v>
      </c>
      <c r="W186" s="16">
        <f>AI186/AG186</f>
        <v>0.8202247191011236</v>
      </c>
      <c r="X186" s="16" t="s">
        <v>115</v>
      </c>
      <c r="Y186" s="16" t="s">
        <v>110</v>
      </c>
      <c r="Z186" s="16">
        <v>3</v>
      </c>
      <c r="AE186" s="16" t="s">
        <v>123</v>
      </c>
      <c r="AF186" s="16" t="s">
        <v>123</v>
      </c>
      <c r="AG186" s="16">
        <f>AH186-AI186</f>
        <v>89</v>
      </c>
      <c r="AH186" s="16">
        <v>162</v>
      </c>
      <c r="AI186" s="16">
        <v>73</v>
      </c>
      <c r="AK186" s="16">
        <v>18.100000000000001</v>
      </c>
      <c r="AL186" s="16">
        <v>1</v>
      </c>
      <c r="AM186" s="16">
        <v>0</v>
      </c>
      <c r="AN186" s="16">
        <v>0</v>
      </c>
      <c r="AO186" s="16">
        <f>IF(SUM(AL186:AN186)&gt;0, 1,0)</f>
        <v>1</v>
      </c>
      <c r="AP186" s="16">
        <f>SUM(AL186:AN186)</f>
        <v>1</v>
      </c>
      <c r="AQ186" s="16">
        <v>1.7769999999999999</v>
      </c>
      <c r="AR186" s="16">
        <f>AP186-1.472</f>
        <v>-0.47199999999999998</v>
      </c>
      <c r="AS186" s="16">
        <f>AQ186-1.472</f>
        <v>0.30499999999999994</v>
      </c>
      <c r="AT186" s="18" t="s">
        <v>235</v>
      </c>
      <c r="AU186" s="18"/>
      <c r="AY186" s="18"/>
      <c r="BG186" s="23"/>
      <c r="BT186" s="23"/>
      <c r="CD186" s="23"/>
      <c r="DF186" s="16" t="e">
        <f>VLOOKUP(K186,'[3]RNA Seq summary tables'!$V$3:$V$99,1,FALSE)</f>
        <v>#N/A</v>
      </c>
      <c r="DG186" s="16">
        <v>1</v>
      </c>
      <c r="DH186" s="16" t="str">
        <f>VLOOKUP(D186,'[6]workflow 3.2018'!$A$1:$S$237,2,FALSE)</f>
        <v>2017MLBS_31</v>
      </c>
      <c r="DI186" s="16">
        <v>36</v>
      </c>
      <c r="DK186" s="16">
        <v>58</v>
      </c>
      <c r="DM186" s="16">
        <v>6</v>
      </c>
    </row>
    <row r="187" spans="1:288" x14ac:dyDescent="0.2">
      <c r="B187" s="16">
        <v>2017</v>
      </c>
      <c r="C187" s="66">
        <v>42893</v>
      </c>
      <c r="D187" s="66" t="str">
        <f>CONCATENATE(J187,"-",C187)</f>
        <v>1068-42893</v>
      </c>
      <c r="E187" s="20" t="str">
        <f>CONCATENATE(T187,"-",U187,"-",C187)</f>
        <v>PO1-E6-42893</v>
      </c>
      <c r="F187" s="20" t="s">
        <v>106</v>
      </c>
      <c r="G187" s="20" t="s">
        <v>107</v>
      </c>
      <c r="I187" s="16">
        <v>0</v>
      </c>
      <c r="J187" s="21">
        <v>1068</v>
      </c>
      <c r="K187" s="21">
        <v>1622</v>
      </c>
      <c r="L187" s="18">
        <v>0</v>
      </c>
      <c r="M187" s="21">
        <f>VLOOKUP($K187,'[4]blood tubes 2017'!$D$1:$L$647,8,FALSE)</f>
        <v>0</v>
      </c>
      <c r="N187" s="15">
        <v>0</v>
      </c>
      <c r="O187" s="15" t="s">
        <v>119</v>
      </c>
      <c r="P187" s="16" t="s">
        <v>119</v>
      </c>
      <c r="Q187" s="16">
        <v>0</v>
      </c>
      <c r="R187" s="16" t="s">
        <v>111</v>
      </c>
      <c r="T187" s="16" t="s">
        <v>112</v>
      </c>
      <c r="U187" s="16" t="s">
        <v>232</v>
      </c>
      <c r="V187" s="16" t="s">
        <v>114</v>
      </c>
      <c r="W187" s="16">
        <f>AI187/AG187</f>
        <v>0.80821917808219179</v>
      </c>
      <c r="X187" s="16" t="s">
        <v>115</v>
      </c>
      <c r="Y187" s="16" t="s">
        <v>145</v>
      </c>
      <c r="Z187" s="16">
        <v>1</v>
      </c>
      <c r="AE187" s="16" t="s">
        <v>123</v>
      </c>
      <c r="AF187" s="16" t="s">
        <v>123</v>
      </c>
      <c r="AG187" s="16">
        <f>AH187-AI187</f>
        <v>73</v>
      </c>
      <c r="AH187" s="16">
        <v>132</v>
      </c>
      <c r="AI187" s="16">
        <v>59</v>
      </c>
      <c r="AK187" s="16">
        <v>12.5</v>
      </c>
      <c r="AL187" s="16">
        <v>1</v>
      </c>
      <c r="AM187" s="16">
        <v>0</v>
      </c>
      <c r="AN187" s="16">
        <v>0</v>
      </c>
      <c r="AO187" s="16">
        <v>0</v>
      </c>
      <c r="AP187" s="16">
        <f>SUM(AL187:AN187)</f>
        <v>1</v>
      </c>
      <c r="AQ187" s="16">
        <v>1.7070000000000001</v>
      </c>
      <c r="AR187" s="16">
        <f>AP187-1.472</f>
        <v>-0.47199999999999998</v>
      </c>
      <c r="AS187" s="16">
        <f>AQ187-1.472</f>
        <v>0.2350000000000001</v>
      </c>
      <c r="AT187" s="16" t="s">
        <v>233</v>
      </c>
      <c r="AW187" s="16">
        <f>IF(AX187&gt;0,1,0)</f>
        <v>1</v>
      </c>
      <c r="AX187" s="16">
        <f>SUM(BA187,BM187,CT187)</f>
        <v>1</v>
      </c>
      <c r="AY187" s="18">
        <f>SUM(BB187,BN187,CV187)</f>
        <v>6234.0425531914871</v>
      </c>
      <c r="AZ187" s="16">
        <f>IF(BA187&gt;0,1,0)</f>
        <v>1</v>
      </c>
      <c r="BA187" s="16">
        <f>SUM(BC187,BF187,BI187)</f>
        <v>1</v>
      </c>
      <c r="BB187" s="16">
        <f>SUM(BE187,BH187,BK187)</f>
        <v>6234.0425531914871</v>
      </c>
      <c r="BC187" s="16">
        <v>0</v>
      </c>
      <c r="BD187" s="16">
        <v>0</v>
      </c>
      <c r="BE187" s="16">
        <f>BD187/AS187</f>
        <v>0</v>
      </c>
      <c r="BF187" s="16">
        <v>1</v>
      </c>
      <c r="BG187" s="23">
        <v>1465</v>
      </c>
      <c r="BH187" s="16">
        <f>BG187/AS187</f>
        <v>6234.0425531914871</v>
      </c>
      <c r="BI187" s="16">
        <v>0</v>
      </c>
      <c r="BJ187" s="16">
        <v>0</v>
      </c>
      <c r="BK187" s="16">
        <f>BJ187/AS187</f>
        <v>0</v>
      </c>
      <c r="BL187" s="16">
        <f>IF(BM187&gt;0,1,0)</f>
        <v>0</v>
      </c>
      <c r="BM187" s="16">
        <f>SUM(BR187,BU187,BX187,CA187,CD187,CG187,CJ187,CM187,CP187)</f>
        <v>0</v>
      </c>
      <c r="BN187" s="16">
        <f>SUM(BW187,BZ187,CC187,CF187,CI187,CL187,CO187,CR187,BT187)</f>
        <v>0</v>
      </c>
      <c r="BO187" s="16">
        <f>IF(BP187&gt;0,1,0)</f>
        <v>0</v>
      </c>
      <c r="BP187" s="16">
        <f>SUM(BU187,BX187,CA187,CD187,BR187)</f>
        <v>0</v>
      </c>
      <c r="BQ187" s="16">
        <f>SUM(BZ187,CC187,CF187,BT187,BW187)</f>
        <v>0</v>
      </c>
      <c r="BR187" s="16">
        <v>0</v>
      </c>
      <c r="BS187" s="16">
        <v>0</v>
      </c>
      <c r="BT187" s="23">
        <f>BS187/AS187</f>
        <v>0</v>
      </c>
      <c r="BU187" s="16">
        <v>0</v>
      </c>
      <c r="BV187" s="16">
        <v>0</v>
      </c>
      <c r="BW187" s="16">
        <f>BV187/AS187</f>
        <v>0</v>
      </c>
      <c r="BX187" s="16">
        <v>0</v>
      </c>
      <c r="BY187" s="16">
        <v>0</v>
      </c>
      <c r="BZ187" s="16">
        <f>BY187/AS187</f>
        <v>0</v>
      </c>
      <c r="CA187" s="16">
        <v>0</v>
      </c>
      <c r="CB187" s="16">
        <v>0</v>
      </c>
      <c r="CC187" s="16">
        <f>CB187/AS187</f>
        <v>0</v>
      </c>
      <c r="CD187" s="23">
        <v>0</v>
      </c>
      <c r="CE187" s="16">
        <v>0</v>
      </c>
      <c r="CF187" s="16">
        <f>CE187/AS187</f>
        <v>0</v>
      </c>
      <c r="CG187" s="16">
        <v>0</v>
      </c>
      <c r="CH187" s="16">
        <v>0</v>
      </c>
      <c r="CI187" s="16">
        <f>CH187/AS187</f>
        <v>0</v>
      </c>
      <c r="CM187" s="16">
        <v>0</v>
      </c>
      <c r="CN187" s="16">
        <v>0</v>
      </c>
      <c r="CO187" s="16">
        <f>CN187/AS187</f>
        <v>0</v>
      </c>
      <c r="CP187" s="16">
        <v>0</v>
      </c>
      <c r="CQ187" s="16">
        <v>0</v>
      </c>
      <c r="CR187" s="16">
        <f>CQ187/AS187</f>
        <v>0</v>
      </c>
      <c r="CS187" s="16">
        <f>IF(CT187&gt;0,1,0)</f>
        <v>0</v>
      </c>
      <c r="CT187" s="16">
        <f>SUM(CW187,CZ187,DC187)</f>
        <v>0</v>
      </c>
      <c r="CV187" s="16">
        <f>SUM(CY187,DB187,DE187)</f>
        <v>0</v>
      </c>
      <c r="CW187" s="16">
        <v>0</v>
      </c>
      <c r="CX187" s="16">
        <v>0</v>
      </c>
      <c r="CY187" s="16">
        <f>CX187/AS187</f>
        <v>0</v>
      </c>
      <c r="CZ187" s="16">
        <v>0</v>
      </c>
      <c r="DA187" s="16">
        <v>0</v>
      </c>
      <c r="DB187" s="16">
        <f>DA187/AS187</f>
        <v>0</v>
      </c>
      <c r="DC187" s="16">
        <v>0</v>
      </c>
      <c r="DD187" s="16">
        <v>0</v>
      </c>
      <c r="DE187" s="16">
        <f>DD187/AS187</f>
        <v>0</v>
      </c>
      <c r="DF187" s="16" t="e">
        <f>VLOOKUP(K187,'[3]RNA Seq summary tables'!$V$3:$V$99,1,FALSE)</f>
        <v>#N/A</v>
      </c>
      <c r="DI187" s="16">
        <v>60</v>
      </c>
      <c r="DK187" s="16">
        <v>28</v>
      </c>
      <c r="DM187" s="16">
        <v>12</v>
      </c>
      <c r="DO187" s="16">
        <v>0</v>
      </c>
      <c r="DQ187" s="16">
        <v>0</v>
      </c>
      <c r="DR187" s="16">
        <v>100</v>
      </c>
      <c r="JR187" s="18"/>
      <c r="JS187" s="18"/>
      <c r="JT187" s="18"/>
      <c r="JU187" s="18"/>
      <c r="JV187" s="18"/>
      <c r="JW187" s="18"/>
      <c r="JX187" s="18"/>
      <c r="JY187" s="18"/>
      <c r="JZ187" s="18"/>
      <c r="KA187" s="18"/>
      <c r="KB187" s="18"/>
    </row>
    <row r="188" spans="1:288" x14ac:dyDescent="0.2">
      <c r="B188" s="16">
        <v>2017</v>
      </c>
      <c r="C188" s="66">
        <v>42893</v>
      </c>
      <c r="D188" s="66" t="str">
        <f>CONCATENATE(J188,"-",C188)</f>
        <v>1070-42893</v>
      </c>
      <c r="E188" s="20" t="str">
        <f>CONCATENATE(T188,"-",U188,"-",C188)</f>
        <v>PO1-F4-42893</v>
      </c>
      <c r="F188" s="20" t="s">
        <v>106</v>
      </c>
      <c r="G188" s="20" t="s">
        <v>107</v>
      </c>
      <c r="I188" s="16">
        <v>0</v>
      </c>
      <c r="J188" s="21">
        <v>1070</v>
      </c>
      <c r="K188" s="21">
        <v>1624</v>
      </c>
      <c r="L188" s="18">
        <v>0</v>
      </c>
      <c r="M188" s="21">
        <f>VLOOKUP($K188,'[4]blood tubes 2017'!$D$1:$L$647,8,FALSE)</f>
        <v>0</v>
      </c>
      <c r="N188" s="15">
        <v>0</v>
      </c>
      <c r="O188" s="15" t="s">
        <v>119</v>
      </c>
      <c r="P188" s="16" t="s">
        <v>119</v>
      </c>
      <c r="Q188" s="16">
        <v>0</v>
      </c>
      <c r="R188" s="16" t="s">
        <v>111</v>
      </c>
      <c r="T188" s="16" t="s">
        <v>112</v>
      </c>
      <c r="U188" s="16" t="s">
        <v>184</v>
      </c>
      <c r="V188" s="16" t="s">
        <v>114</v>
      </c>
      <c r="W188" s="16">
        <f>AI188/AG188</f>
        <v>0.87</v>
      </c>
      <c r="X188" s="16" t="s">
        <v>121</v>
      </c>
      <c r="Y188" s="16" t="s">
        <v>110</v>
      </c>
      <c r="Z188" s="16">
        <v>3</v>
      </c>
      <c r="AA188" s="16" t="s">
        <v>119</v>
      </c>
      <c r="AB188" s="16" t="s">
        <v>240</v>
      </c>
      <c r="AC188" s="16" t="s">
        <v>116</v>
      </c>
      <c r="AD188" s="16" t="s">
        <v>116</v>
      </c>
      <c r="AG188" s="16">
        <f>AH188-AI188</f>
        <v>100</v>
      </c>
      <c r="AH188" s="16">
        <v>187</v>
      </c>
      <c r="AI188" s="16">
        <v>87</v>
      </c>
      <c r="AK188" s="16">
        <v>34.5</v>
      </c>
      <c r="AL188" s="16">
        <v>0</v>
      </c>
      <c r="AM188" s="16">
        <v>0</v>
      </c>
      <c r="AN188" s="16">
        <v>0</v>
      </c>
      <c r="AO188" s="16">
        <f>IF(SUM(AL188:AN188)&gt;0, 1,0)</f>
        <v>0</v>
      </c>
      <c r="AP188" s="16">
        <f>SUM(AL188:AN188)</f>
        <v>0</v>
      </c>
      <c r="AQ188" s="16">
        <v>2.1389999999999998</v>
      </c>
      <c r="AR188" s="16">
        <f>AP188-1.472</f>
        <v>-1.472</v>
      </c>
      <c r="AS188" s="16">
        <f>AQ188-1.472</f>
        <v>0.66699999999999982</v>
      </c>
      <c r="AT188" s="16" t="s">
        <v>233</v>
      </c>
      <c r="AW188" s="16">
        <f>IF(AX188&gt;0,1,0)</f>
        <v>1</v>
      </c>
      <c r="AX188" s="16">
        <f>SUM(BA188,BM188,CT188)</f>
        <v>2</v>
      </c>
      <c r="AY188" s="18">
        <f>SUM(BB188,BN188,CV188)</f>
        <v>31.484257871064475</v>
      </c>
      <c r="AZ188" s="16">
        <f>IF(BA188&gt;0,1,0)</f>
        <v>1</v>
      </c>
      <c r="BA188" s="16">
        <f>SUM(BC188,BF188,BI188)</f>
        <v>1</v>
      </c>
      <c r="BB188" s="16">
        <f>SUM(BE188,BH188,BK188)</f>
        <v>2.9985007496251881</v>
      </c>
      <c r="BC188" s="16">
        <v>0</v>
      </c>
      <c r="BD188" s="16">
        <v>0</v>
      </c>
      <c r="BE188" s="16">
        <f>BD188/AS188</f>
        <v>0</v>
      </c>
      <c r="BF188" s="16">
        <v>1</v>
      </c>
      <c r="BG188" s="23">
        <v>2</v>
      </c>
      <c r="BH188" s="16">
        <f>BG188/AS188</f>
        <v>2.9985007496251881</v>
      </c>
      <c r="BI188" s="16">
        <v>0</v>
      </c>
      <c r="BJ188" s="16">
        <v>0</v>
      </c>
      <c r="BK188" s="16">
        <f>BJ188/AS188</f>
        <v>0</v>
      </c>
      <c r="BL188" s="16">
        <f>IF(BM188&gt;0,1,0)</f>
        <v>1</v>
      </c>
      <c r="BM188" s="16">
        <f>SUM(BR188,BU188,BX188,CA188,CD188,CG188,CJ188,CM188,CP188)</f>
        <v>1</v>
      </c>
      <c r="BN188" s="16">
        <f>SUM(BW188,BZ188,CC188,CF188,CI188,CL188,CO188,CR188,BT188)</f>
        <v>28.485757121439288</v>
      </c>
      <c r="BO188" s="16">
        <f>IF(BP188&gt;0,1,0)</f>
        <v>1</v>
      </c>
      <c r="BP188" s="16">
        <f>SUM(BU188,BX188,CA188,CD188,BR188)</f>
        <v>1</v>
      </c>
      <c r="BQ188" s="16">
        <f>SUM(BZ188,CC188,CF188,BT188,BW188)</f>
        <v>28.485757121439288</v>
      </c>
      <c r="BR188" s="16">
        <v>0</v>
      </c>
      <c r="BS188" s="16">
        <v>0</v>
      </c>
      <c r="BT188" s="23">
        <f>BS188/AS188</f>
        <v>0</v>
      </c>
      <c r="BU188" s="16">
        <v>0</v>
      </c>
      <c r="BV188" s="16">
        <v>0</v>
      </c>
      <c r="BW188" s="16">
        <f>BV188/AS188</f>
        <v>0</v>
      </c>
      <c r="BX188" s="16">
        <v>1</v>
      </c>
      <c r="BY188" s="16">
        <v>19</v>
      </c>
      <c r="BZ188" s="16">
        <f>BY188/AS188</f>
        <v>28.485757121439288</v>
      </c>
      <c r="CA188" s="16">
        <v>0</v>
      </c>
      <c r="CB188" s="16">
        <v>0</v>
      </c>
      <c r="CC188" s="16">
        <f>CB188/AS188</f>
        <v>0</v>
      </c>
      <c r="CD188" s="23">
        <v>0</v>
      </c>
      <c r="CE188" s="16">
        <v>0</v>
      </c>
      <c r="CF188" s="16">
        <f>CE188/AS188</f>
        <v>0</v>
      </c>
      <c r="CG188" s="16">
        <v>0</v>
      </c>
      <c r="CH188" s="16">
        <v>0</v>
      </c>
      <c r="CI188" s="16">
        <f>CH188/AS188</f>
        <v>0</v>
      </c>
      <c r="CM188" s="16">
        <v>0</v>
      </c>
      <c r="CN188" s="16">
        <v>0</v>
      </c>
      <c r="CO188" s="16">
        <f>CN188/AS188</f>
        <v>0</v>
      </c>
      <c r="CP188" s="16">
        <v>0</v>
      </c>
      <c r="CQ188" s="16">
        <v>0</v>
      </c>
      <c r="CR188" s="16">
        <f>CQ188/AS188</f>
        <v>0</v>
      </c>
      <c r="CS188" s="16">
        <f>IF(CT188&gt;0,1,0)</f>
        <v>0</v>
      </c>
      <c r="CT188" s="16">
        <f>SUM(CW188,CZ188,DC188)</f>
        <v>0</v>
      </c>
      <c r="CV188" s="16">
        <f>SUM(CY188,DB188,DE188)</f>
        <v>0</v>
      </c>
      <c r="CW188" s="16">
        <v>0</v>
      </c>
      <c r="CX188" s="16">
        <v>0</v>
      </c>
      <c r="CY188" s="16">
        <f>CX188/AS188</f>
        <v>0</v>
      </c>
      <c r="CZ188" s="16">
        <v>0</v>
      </c>
      <c r="DA188" s="16">
        <v>0</v>
      </c>
      <c r="DB188" s="16">
        <f>DA188/AS188</f>
        <v>0</v>
      </c>
      <c r="DC188" s="16">
        <v>0</v>
      </c>
      <c r="DD188" s="16">
        <v>0</v>
      </c>
      <c r="DE188" s="16">
        <f>DD188/AS188</f>
        <v>0</v>
      </c>
      <c r="DF188" s="16" t="e">
        <f>VLOOKUP(K188,'[3]RNA Seq summary tables'!$V$3:$V$99,1,FALSE)</f>
        <v>#N/A</v>
      </c>
      <c r="DG188" s="16">
        <v>1</v>
      </c>
      <c r="DH188" s="16" t="str">
        <f>VLOOKUP(D188,'[6]workflow 3.2018'!$A$1:$S$237,2,FALSE)</f>
        <v>2017MLBS_33</v>
      </c>
      <c r="DI188" s="16">
        <v>49</v>
      </c>
      <c r="DK188" s="16">
        <v>39</v>
      </c>
      <c r="DM188" s="16">
        <v>10</v>
      </c>
      <c r="DO188" s="16">
        <v>0</v>
      </c>
      <c r="DQ188" s="16">
        <v>2</v>
      </c>
      <c r="DR188" s="16">
        <v>100</v>
      </c>
      <c r="JR188" s="26"/>
      <c r="JS188" s="26"/>
      <c r="JT188" s="26"/>
      <c r="JU188" s="26"/>
      <c r="JV188" s="26"/>
      <c r="JW188" s="26"/>
      <c r="JX188" s="26"/>
      <c r="JY188" s="26"/>
      <c r="JZ188" s="26"/>
      <c r="KA188" s="26"/>
      <c r="KB188" s="26"/>
    </row>
    <row r="189" spans="1:288" x14ac:dyDescent="0.2">
      <c r="B189" s="16">
        <v>2017</v>
      </c>
      <c r="C189" s="20">
        <v>42911</v>
      </c>
      <c r="D189" s="20" t="str">
        <f>CONCATENATE(J189,"-",C189)</f>
        <v>1070-42911</v>
      </c>
      <c r="E189" s="20" t="str">
        <f>CONCATENATE(T189,"-",U189,"-",C189)</f>
        <v>PO1-H5-42911</v>
      </c>
      <c r="F189" s="20" t="s">
        <v>106</v>
      </c>
      <c r="G189" s="20" t="s">
        <v>107</v>
      </c>
      <c r="I189" s="16">
        <v>0</v>
      </c>
      <c r="J189" s="21">
        <v>1070</v>
      </c>
      <c r="K189" s="21">
        <v>1734</v>
      </c>
      <c r="L189" s="16">
        <v>1</v>
      </c>
      <c r="M189" s="21">
        <f>VLOOKUP($K189,'[4]blood tubes 2017'!$D$1:$L$647,8,FALSE)</f>
        <v>0</v>
      </c>
      <c r="N189" s="15">
        <v>0</v>
      </c>
      <c r="O189" s="15" t="s">
        <v>119</v>
      </c>
      <c r="P189" s="16" t="s">
        <v>119</v>
      </c>
      <c r="Q189" s="16">
        <v>0</v>
      </c>
      <c r="R189" s="16">
        <v>18</v>
      </c>
      <c r="T189" s="16" t="s">
        <v>112</v>
      </c>
      <c r="U189" s="16" t="s">
        <v>180</v>
      </c>
      <c r="V189" s="16" t="s">
        <v>114</v>
      </c>
      <c r="W189" s="16">
        <f>AI189/AG189</f>
        <v>0.82857142857142863</v>
      </c>
      <c r="X189" s="16" t="s">
        <v>121</v>
      </c>
      <c r="Y189" s="16" t="s">
        <v>110</v>
      </c>
      <c r="Z189" s="16">
        <v>3</v>
      </c>
      <c r="AA189" s="16" t="s">
        <v>119</v>
      </c>
      <c r="AB189" s="16" t="s">
        <v>239</v>
      </c>
      <c r="AC189" s="16" t="s">
        <v>123</v>
      </c>
      <c r="AD189" s="16" t="s">
        <v>123</v>
      </c>
      <c r="AG189" s="16">
        <f>AH189-AI189</f>
        <v>105</v>
      </c>
      <c r="AH189" s="16">
        <v>192</v>
      </c>
      <c r="AI189" s="16">
        <v>87</v>
      </c>
      <c r="AK189" s="16">
        <v>29.5</v>
      </c>
      <c r="AL189" s="16">
        <v>0</v>
      </c>
      <c r="AM189" s="16">
        <v>0</v>
      </c>
      <c r="AN189" s="16">
        <v>0</v>
      </c>
      <c r="AO189" s="16">
        <v>0</v>
      </c>
      <c r="AP189" s="16">
        <f>SUM(AL189:AN189)</f>
        <v>0</v>
      </c>
      <c r="AQ189" s="16">
        <v>2.1800000000000002</v>
      </c>
      <c r="AR189" s="16">
        <f>AP189-1.472</f>
        <v>-1.472</v>
      </c>
      <c r="AS189" s="16">
        <f>AQ189-1.472</f>
        <v>0.70800000000000018</v>
      </c>
      <c r="AT189" s="16" t="s">
        <v>233</v>
      </c>
      <c r="AW189" s="16">
        <f>IF(AX189&gt;0,1,0)</f>
        <v>1</v>
      </c>
      <c r="AX189" s="16">
        <f>SUM(BA189,BM189,CT189)</f>
        <v>2</v>
      </c>
      <c r="AY189" s="18">
        <f>SUM(BB189,BN189,CV189)</f>
        <v>399.7175141242937</v>
      </c>
      <c r="AZ189" s="16">
        <f>IF(BA189&gt;0,1,0)</f>
        <v>1</v>
      </c>
      <c r="BA189" s="16">
        <f>SUM(BC189,BF189,BI189)</f>
        <v>1</v>
      </c>
      <c r="BB189" s="16">
        <f>SUM(BE189,BH189,BK189)</f>
        <v>358.75706214689257</v>
      </c>
      <c r="BC189" s="16">
        <v>0</v>
      </c>
      <c r="BD189" s="16">
        <v>0</v>
      </c>
      <c r="BE189" s="16">
        <f>BD189/AS189</f>
        <v>0</v>
      </c>
      <c r="BF189" s="16">
        <v>1</v>
      </c>
      <c r="BG189" s="23">
        <v>254</v>
      </c>
      <c r="BH189" s="16">
        <f>BG189/AS189</f>
        <v>358.75706214689257</v>
      </c>
      <c r="BI189" s="16">
        <v>0</v>
      </c>
      <c r="BJ189" s="16">
        <v>0</v>
      </c>
      <c r="BK189" s="16">
        <f>BJ189/AS189</f>
        <v>0</v>
      </c>
      <c r="BL189" s="16">
        <f>IF(BM189&gt;0,1,0)</f>
        <v>1</v>
      </c>
      <c r="BM189" s="16">
        <f>SUM(BR189,BU189,BX189,CA189,CD189,CG189,CJ189,CM189,CP189)</f>
        <v>1</v>
      </c>
      <c r="BN189" s="16">
        <f>SUM(BW189,BZ189,CC189,CF189,CI189,CL189,CO189,CR189,BT189)</f>
        <v>40.960451977401121</v>
      </c>
      <c r="BO189" s="16">
        <f>IF(BP189&gt;0,1,0)</f>
        <v>1</v>
      </c>
      <c r="BP189" s="16">
        <f>SUM(BU189,BX189,CA189,CD189,BR189)</f>
        <v>1</v>
      </c>
      <c r="BQ189" s="16">
        <f>SUM(BZ189,CC189,CF189,BT189,BW189)</f>
        <v>40.960451977401121</v>
      </c>
      <c r="BR189" s="16">
        <v>0</v>
      </c>
      <c r="BS189" s="16">
        <v>0</v>
      </c>
      <c r="BT189" s="23">
        <f>BS189/AS189</f>
        <v>0</v>
      </c>
      <c r="BU189" s="16">
        <v>0</v>
      </c>
      <c r="BV189" s="16">
        <v>0</v>
      </c>
      <c r="BW189" s="16">
        <f>BV189/AS189</f>
        <v>0</v>
      </c>
      <c r="BX189" s="16">
        <v>1</v>
      </c>
      <c r="BY189" s="16">
        <v>29</v>
      </c>
      <c r="BZ189" s="16">
        <f>BY189/AS189</f>
        <v>40.960451977401121</v>
      </c>
      <c r="CA189" s="16">
        <v>0</v>
      </c>
      <c r="CB189" s="16">
        <v>0</v>
      </c>
      <c r="CC189" s="16">
        <f>CB189/AS189</f>
        <v>0</v>
      </c>
      <c r="CD189" s="23">
        <v>0</v>
      </c>
      <c r="CE189" s="16">
        <v>0</v>
      </c>
      <c r="CF189" s="16">
        <f>CE189/AS189</f>
        <v>0</v>
      </c>
      <c r="CG189" s="16">
        <v>0</v>
      </c>
      <c r="CH189" s="16">
        <v>0</v>
      </c>
      <c r="CI189" s="16">
        <f>CH189/AS189</f>
        <v>0</v>
      </c>
      <c r="CM189" s="16">
        <v>0</v>
      </c>
      <c r="CN189" s="16">
        <v>0</v>
      </c>
      <c r="CO189" s="16">
        <f>CN189/AS189</f>
        <v>0</v>
      </c>
      <c r="CP189" s="16">
        <v>0</v>
      </c>
      <c r="CQ189" s="16">
        <v>0</v>
      </c>
      <c r="CR189" s="16">
        <f>CQ189/AS189</f>
        <v>0</v>
      </c>
      <c r="CS189" s="16">
        <f>IF(CT189&gt;0,1,0)</f>
        <v>0</v>
      </c>
      <c r="CT189" s="16">
        <f>SUM(CW189,CZ189,DC189)</f>
        <v>0</v>
      </c>
      <c r="CV189" s="16">
        <f>SUM(CY189,DB189,DE189)</f>
        <v>0</v>
      </c>
      <c r="CW189" s="16">
        <v>0</v>
      </c>
      <c r="CX189" s="16">
        <v>0</v>
      </c>
      <c r="CY189" s="16">
        <f>CX189/AS189</f>
        <v>0</v>
      </c>
      <c r="CZ189" s="16">
        <v>0</v>
      </c>
      <c r="DA189" s="16">
        <v>0</v>
      </c>
      <c r="DB189" s="16">
        <f>DA189/AS189</f>
        <v>0</v>
      </c>
      <c r="DC189" s="16">
        <v>0</v>
      </c>
      <c r="DD189" s="16">
        <v>0</v>
      </c>
      <c r="DE189" s="16">
        <f>DD189/AS189</f>
        <v>0</v>
      </c>
      <c r="DF189" s="16">
        <f>VLOOKUP(K189,'[3]RNA Seq summary tables'!$V$3:$V$99,1,FALSE)</f>
        <v>1734</v>
      </c>
      <c r="DI189" s="16">
        <v>36</v>
      </c>
      <c r="DK189" s="16">
        <v>53</v>
      </c>
      <c r="DM189" s="16">
        <v>11</v>
      </c>
      <c r="DO189" s="16">
        <v>0</v>
      </c>
      <c r="DQ189" s="16">
        <v>0</v>
      </c>
      <c r="DR189" s="16">
        <f>SUM(DI189:DQ189)</f>
        <v>100</v>
      </c>
      <c r="JO189" s="18"/>
    </row>
    <row r="190" spans="1:288" x14ac:dyDescent="0.2">
      <c r="B190" s="16">
        <v>2017</v>
      </c>
      <c r="C190" s="20">
        <v>42927</v>
      </c>
      <c r="D190" s="20" t="str">
        <f>CONCATENATE(J190,"-",C190)</f>
        <v>1070-42927</v>
      </c>
      <c r="E190" s="20" t="str">
        <f>CONCATENATE(T190,"-",U190,"-",C190)</f>
        <v>PO1-G4-42927</v>
      </c>
      <c r="F190" s="20" t="s">
        <v>106</v>
      </c>
      <c r="G190" s="20" t="s">
        <v>107</v>
      </c>
      <c r="I190" s="16">
        <v>0</v>
      </c>
      <c r="J190" s="21">
        <v>1070</v>
      </c>
      <c r="K190" s="21">
        <v>1861</v>
      </c>
      <c r="L190" s="16">
        <v>1</v>
      </c>
      <c r="M190" s="21">
        <f>VLOOKUP($K190,'[4]blood tubes 2017'!$D$1:$L$647,8,FALSE)</f>
        <v>0</v>
      </c>
      <c r="N190" s="15">
        <v>0</v>
      </c>
      <c r="O190" s="15" t="s">
        <v>119</v>
      </c>
      <c r="P190" s="16" t="s">
        <v>119</v>
      </c>
      <c r="Q190" s="16">
        <v>0</v>
      </c>
      <c r="R190" s="16">
        <v>16</v>
      </c>
      <c r="T190" s="16" t="s">
        <v>112</v>
      </c>
      <c r="U190" s="16" t="s">
        <v>173</v>
      </c>
      <c r="V190" s="16" t="s">
        <v>114</v>
      </c>
      <c r="W190" s="16">
        <f>AI190/AG190</f>
        <v>0.81904761904761902</v>
      </c>
      <c r="X190" s="16" t="s">
        <v>121</v>
      </c>
      <c r="Y190" s="16" t="s">
        <v>110</v>
      </c>
      <c r="Z190" s="16">
        <v>3</v>
      </c>
      <c r="AA190" s="16" t="s">
        <v>161</v>
      </c>
      <c r="AB190" s="16" t="s">
        <v>115</v>
      </c>
      <c r="AC190" s="16" t="s">
        <v>123</v>
      </c>
      <c r="AD190" s="16" t="s">
        <v>116</v>
      </c>
      <c r="AG190" s="16">
        <f>AH190-AI190</f>
        <v>105</v>
      </c>
      <c r="AH190" s="16">
        <v>191</v>
      </c>
      <c r="AI190" s="16">
        <v>86</v>
      </c>
      <c r="AK190" s="16">
        <v>25</v>
      </c>
      <c r="AL190" s="16">
        <v>0</v>
      </c>
      <c r="AM190" s="16">
        <v>0</v>
      </c>
      <c r="AN190" s="16">
        <v>0</v>
      </c>
      <c r="AO190" s="16">
        <v>0</v>
      </c>
      <c r="AP190" s="16">
        <f>SUM(AL190:AN190)</f>
        <v>0</v>
      </c>
      <c r="AQ190" s="16">
        <v>1.792</v>
      </c>
      <c r="AR190" s="16">
        <f>AP190-1.472</f>
        <v>-1.472</v>
      </c>
      <c r="AS190" s="16">
        <f>AQ190-1.472</f>
        <v>0.32000000000000006</v>
      </c>
      <c r="AT190" s="16" t="str">
        <f>VLOOKUP(K190,'[5]FECs - good data'!$C$1:$P$575,13,FALSE)</f>
        <v>LV</v>
      </c>
      <c r="AW190" s="18">
        <f>IF(AX190&gt;0,1,0)</f>
        <v>1</v>
      </c>
      <c r="AX190" s="18">
        <f>SUM(BA190,BM190,CT190)</f>
        <v>2</v>
      </c>
      <c r="AY190" s="18">
        <f>SUM(BB190,BN190,CV190)</f>
        <v>849.99999999999989</v>
      </c>
      <c r="AZ190" s="18">
        <f>IF(BA190&gt;0,1,0)</f>
        <v>1</v>
      </c>
      <c r="BA190" s="18">
        <f>SUM(BC190,BF190,BI190)</f>
        <v>2</v>
      </c>
      <c r="BB190" s="18">
        <f>SUM(BE190,BH190,BK190)</f>
        <v>849.99999999999989</v>
      </c>
      <c r="BC190" s="18">
        <f>IF(BD190&gt;0,1,0)</f>
        <v>1</v>
      </c>
      <c r="BD190" s="18">
        <f>VLOOKUP($K190,'[5]FECs - good data'!$C$1:$Z$574,14,FALSE)</f>
        <v>23</v>
      </c>
      <c r="BE190" s="16">
        <f>BD190/AS190</f>
        <v>71.874999999999986</v>
      </c>
      <c r="BF190" s="16">
        <f>IF(BG190&gt;0,1,0)</f>
        <v>1</v>
      </c>
      <c r="BG190" s="23">
        <f>VLOOKUP($K190,'[5]FECs - good data'!$C$1:$Z$574,15,FALSE)</f>
        <v>249</v>
      </c>
      <c r="BH190" s="16">
        <f>BG190/AS190</f>
        <v>778.12499999999989</v>
      </c>
      <c r="BI190" s="16">
        <f>IF(BJ190&gt;0,1,0)</f>
        <v>0</v>
      </c>
      <c r="BJ190" s="16">
        <f>VLOOKUP($K190,'[5]FECs - good data'!$C$1:$Z$574,16,FALSE)</f>
        <v>0</v>
      </c>
      <c r="BK190" s="16">
        <f>BJ190/AS190</f>
        <v>0</v>
      </c>
      <c r="BL190" s="16">
        <f>IF(BM190&gt;0,1,0)</f>
        <v>0</v>
      </c>
      <c r="BM190" s="16">
        <f>SUM(BR190,BU190,BX190,CA190,CD190,CG190,CJ190,CM190,CP190)</f>
        <v>0</v>
      </c>
      <c r="BN190" s="16">
        <f>SUM(BW190,BZ190,CC190,CF190,CI190,CL190,CO190,CR190,BT190)</f>
        <v>0</v>
      </c>
      <c r="BO190" s="16">
        <f>IF(BP190&gt;0,1,0)</f>
        <v>0</v>
      </c>
      <c r="BP190" s="16">
        <f>SUM(BU190,BX190,CA190,CD190,BR190)</f>
        <v>0</v>
      </c>
      <c r="BQ190" s="16">
        <f>SUM(BZ190,CC190,CF190,BT190,BW190)</f>
        <v>0</v>
      </c>
      <c r="BR190" s="16">
        <f>IF(BS190&gt;0,1,0)</f>
        <v>0</v>
      </c>
      <c r="BS190" s="16">
        <f>VLOOKUP($K190,'[5]FECs - good data'!$C$1:$Z$574,17,FALSE)</f>
        <v>0</v>
      </c>
      <c r="BT190" s="23">
        <f>BS190/AS190</f>
        <v>0</v>
      </c>
      <c r="BU190" s="16">
        <f>IF(BV190&gt;0,1,0)</f>
        <v>0</v>
      </c>
      <c r="BV190" s="16">
        <f>VLOOKUP($K190,'[5]FECs - good data'!$C$1:$Z$574,18,FALSE)</f>
        <v>0</v>
      </c>
      <c r="BW190" s="16">
        <f>BV190/AS190</f>
        <v>0</v>
      </c>
      <c r="BX190" s="16">
        <f>IF(BY190&gt;0,1,0)</f>
        <v>0</v>
      </c>
      <c r="BY190" s="16">
        <f>VLOOKUP($K190,'[5]FECs - good data'!$C$1:$Z$574,19,FALSE)</f>
        <v>0</v>
      </c>
      <c r="BZ190" s="16">
        <f>BY190/AS190</f>
        <v>0</v>
      </c>
      <c r="CA190" s="16">
        <f>IF(CB190&gt;0,1,0)</f>
        <v>0</v>
      </c>
      <c r="CB190" s="16">
        <f>VLOOKUP($K190,'[5]FECs - good data'!$C$1:$Z$574,20,FALSE)</f>
        <v>0</v>
      </c>
      <c r="CC190" s="16">
        <f>CB190/AS190</f>
        <v>0</v>
      </c>
      <c r="CD190" s="23">
        <f>IF(CE190&gt;0,1,0)</f>
        <v>0</v>
      </c>
      <c r="CE190" s="16">
        <f>VLOOKUP($K190,'[5]FECs - good data'!$C$1:$Z$574,21,FALSE)</f>
        <v>0</v>
      </c>
      <c r="CF190" s="16">
        <f>CE190/AS190</f>
        <v>0</v>
      </c>
      <c r="CG190" s="16">
        <f>IF(CH190&gt;0,1,0)</f>
        <v>0</v>
      </c>
      <c r="CH190" s="16">
        <f>VLOOKUP($K190,'[5]FECs - good data'!$C$1:$Z$574,22,FALSE)</f>
        <v>0</v>
      </c>
      <c r="CI190" s="16">
        <f>CH190/AS190</f>
        <v>0</v>
      </c>
      <c r="CJ190" s="16">
        <f>IF(CK190&gt;0,1,0)</f>
        <v>0</v>
      </c>
      <c r="CK190" s="16">
        <f>VLOOKUP($K190,'[5]FECs - good data'!$C$1:$Z$674,24,FALSE)</f>
        <v>0</v>
      </c>
      <c r="CL190" s="16">
        <f>CK190/AS190</f>
        <v>0</v>
      </c>
      <c r="CS190" s="16">
        <f>IF(CT190&gt;0,1,0)</f>
        <v>0</v>
      </c>
      <c r="CT190" s="16">
        <f>SUM(CW190+CZ190,DC190)</f>
        <v>0</v>
      </c>
      <c r="CV190" s="16">
        <f>SUM(CY190,DB190,DE190)</f>
        <v>0</v>
      </c>
      <c r="CW190" s="16">
        <f>IF(CX190&gt;0,1,0)</f>
        <v>0</v>
      </c>
      <c r="CX190" s="16">
        <f>VLOOKUP($K190,'[5]FECs - good data'!$C$1:$Z$574,22,FALSE)</f>
        <v>0</v>
      </c>
      <c r="CY190" s="16">
        <f>CX190/AS190</f>
        <v>0</v>
      </c>
      <c r="CZ190" s="16">
        <f>IF(DA190&gt;0,1,0)</f>
        <v>0</v>
      </c>
      <c r="DA190" s="16">
        <f>VLOOKUP($K190,'[5]FECs - good data'!$C$1:$Z$5982,23,FALSE)</f>
        <v>0</v>
      </c>
      <c r="DB190" s="16">
        <f>DA190/AS190</f>
        <v>0</v>
      </c>
      <c r="DC190" s="16">
        <f>IF(DD190&gt;0,1,0)</f>
        <v>0</v>
      </c>
      <c r="DD190" s="16">
        <f>VLOOKUP($K190,'[5]FECs - good data'!$C$1:$Z$574,23,FALSE)</f>
        <v>0</v>
      </c>
      <c r="DE190" s="16">
        <f>DD190/AS190</f>
        <v>0</v>
      </c>
      <c r="DF190" s="16">
        <f>VLOOKUP(K190,'[3]RNA Seq summary tables'!$V$3:$V$99,1,FALSE)</f>
        <v>1861</v>
      </c>
      <c r="JR190" s="27"/>
      <c r="JS190" s="27"/>
      <c r="JT190" s="27"/>
      <c r="JU190" s="27"/>
      <c r="JV190" s="27"/>
      <c r="JW190" s="27"/>
      <c r="JX190" s="27"/>
      <c r="JY190" s="27"/>
      <c r="JZ190" s="27"/>
      <c r="KA190" s="27"/>
      <c r="KB190" s="27"/>
    </row>
    <row r="191" spans="1:288" x14ac:dyDescent="0.2">
      <c r="B191" s="16">
        <v>2017</v>
      </c>
      <c r="C191" s="20">
        <v>42947</v>
      </c>
      <c r="D191" s="20" t="str">
        <f>CONCATENATE(J191,"-",C191)</f>
        <v>1070-42947</v>
      </c>
      <c r="E191" s="20" t="str">
        <f>CONCATENATE(T191,"-",U191,"-",C191)</f>
        <v>PO1-G5-42947</v>
      </c>
      <c r="F191" s="20" t="s">
        <v>106</v>
      </c>
      <c r="G191" s="20" t="s">
        <v>107</v>
      </c>
      <c r="I191" s="16">
        <v>0</v>
      </c>
      <c r="J191" s="21">
        <v>1070</v>
      </c>
      <c r="K191" s="21">
        <v>2017</v>
      </c>
      <c r="L191" s="18">
        <v>0</v>
      </c>
      <c r="M191" s="21">
        <f>VLOOKUP($K191,'[4]blood tubes 2017'!$D$1:$L$647,8,FALSE)</f>
        <v>0</v>
      </c>
      <c r="N191" s="15">
        <v>0</v>
      </c>
      <c r="O191" s="15" t="s">
        <v>119</v>
      </c>
      <c r="P191" s="16" t="s">
        <v>119</v>
      </c>
      <c r="Q191" s="16">
        <v>0</v>
      </c>
      <c r="R191" s="16">
        <v>20</v>
      </c>
      <c r="T191" s="16" t="s">
        <v>112</v>
      </c>
      <c r="U191" s="16" t="s">
        <v>200</v>
      </c>
      <c r="V191" s="16" t="s">
        <v>114</v>
      </c>
      <c r="W191" s="16">
        <f>AI191/AG191</f>
        <v>0.88888888888888884</v>
      </c>
      <c r="X191" s="16" t="s">
        <v>121</v>
      </c>
      <c r="Y191" s="16" t="s">
        <v>110</v>
      </c>
      <c r="Z191" s="16">
        <v>3</v>
      </c>
      <c r="AA191" s="16" t="s">
        <v>119</v>
      </c>
      <c r="AB191" s="16" t="s">
        <v>123</v>
      </c>
      <c r="AC191" s="16" t="s">
        <v>123</v>
      </c>
      <c r="AD191" s="16" t="s">
        <v>123</v>
      </c>
      <c r="AG191" s="16">
        <f>AH191-AI191</f>
        <v>99</v>
      </c>
      <c r="AH191" s="16">
        <v>187</v>
      </c>
      <c r="AI191" s="16">
        <v>88</v>
      </c>
      <c r="AK191" s="16">
        <v>26</v>
      </c>
      <c r="AL191" s="16">
        <v>0</v>
      </c>
      <c r="AM191" s="16">
        <v>0</v>
      </c>
      <c r="AN191" s="16">
        <v>0</v>
      </c>
      <c r="AO191" s="16">
        <v>0</v>
      </c>
      <c r="AP191" s="16">
        <f>SUM(AL191:AN191)</f>
        <v>0</v>
      </c>
      <c r="AQ191" s="16">
        <v>1.9219999999999999</v>
      </c>
      <c r="AR191" s="16">
        <f>AP191-1.472</f>
        <v>-1.472</v>
      </c>
      <c r="AS191" s="16">
        <f>AQ191-1.472</f>
        <v>0.44999999999999996</v>
      </c>
      <c r="AT191" s="16" t="str">
        <f>VLOOKUP(K191,'[5]FECs - good data'!$C$1:$P$575,13,FALSE)</f>
        <v>TE</v>
      </c>
      <c r="AW191" s="18">
        <f>IF(AX191&gt;0,1,0)</f>
        <v>1</v>
      </c>
      <c r="AX191" s="18">
        <f>SUM(BA191,BM191,CT191)</f>
        <v>2</v>
      </c>
      <c r="AY191" s="18">
        <f>SUM(BB191,BN191,CV191)</f>
        <v>104.44444444444444</v>
      </c>
      <c r="AZ191" s="18">
        <f>IF(BA191&gt;0,1,0)</f>
        <v>1</v>
      </c>
      <c r="BA191" s="18">
        <f>SUM(BC191,BF191,BI191)</f>
        <v>1</v>
      </c>
      <c r="BB191" s="18">
        <f>SUM(BE191,BH191,BK191)</f>
        <v>13.333333333333334</v>
      </c>
      <c r="BC191" s="18">
        <f>IF(BD191&gt;0,1,0)</f>
        <v>0</v>
      </c>
      <c r="BD191" s="18">
        <f>VLOOKUP($K191,'[5]FECs - good data'!$C$1:$Z$574,14,FALSE)</f>
        <v>0</v>
      </c>
      <c r="BE191" s="16">
        <f>BD191/AS191</f>
        <v>0</v>
      </c>
      <c r="BF191" s="16">
        <f>IF(BG191&gt;0,1,0)</f>
        <v>1</v>
      </c>
      <c r="BG191" s="23">
        <f>VLOOKUP($K191,'[5]FECs - good data'!$C$1:$Z$574,15,FALSE)</f>
        <v>6</v>
      </c>
      <c r="BH191" s="16">
        <f>BG191/AS191</f>
        <v>13.333333333333334</v>
      </c>
      <c r="BI191" s="16">
        <f>IF(BJ191&gt;0,1,0)</f>
        <v>0</v>
      </c>
      <c r="BJ191" s="16">
        <f>VLOOKUP($K191,'[5]FECs - good data'!$C$1:$Z$574,16,FALSE)</f>
        <v>0</v>
      </c>
      <c r="BK191" s="16">
        <f>BJ191/AS191</f>
        <v>0</v>
      </c>
      <c r="BL191" s="16">
        <f>IF(BM191&gt;0,1,0)</f>
        <v>1</v>
      </c>
      <c r="BM191" s="16">
        <f>SUM(BR191,BU191,BX191,CA191,CD191,CG191,CJ191,CM191,CP191)</f>
        <v>1</v>
      </c>
      <c r="BN191" s="16">
        <f>SUM(BW191,BZ191,CC191,CF191,CI191,CL191,CO191,CR191,BT191)</f>
        <v>91.111111111111114</v>
      </c>
      <c r="BO191" s="16">
        <f>IF(BP191&gt;0,1,0)</f>
        <v>0</v>
      </c>
      <c r="BP191" s="16">
        <f>SUM(BU191,BX191,CA191,CD191,BR191)</f>
        <v>0</v>
      </c>
      <c r="BQ191" s="16">
        <f>SUM(BZ191,CC191,CF191,BT191,BW191)</f>
        <v>0</v>
      </c>
      <c r="BR191" s="16">
        <f>IF(BS191&gt;0,1,0)</f>
        <v>0</v>
      </c>
      <c r="BS191" s="16">
        <f>VLOOKUP($K191,'[5]FECs - good data'!$C$1:$Z$574,17,FALSE)</f>
        <v>0</v>
      </c>
      <c r="BT191" s="23">
        <f>BS191/AS191</f>
        <v>0</v>
      </c>
      <c r="BU191" s="16">
        <f>IF(BV191&gt;0,1,0)</f>
        <v>0</v>
      </c>
      <c r="BV191" s="16">
        <f>VLOOKUP($K191,'[5]FECs - good data'!$C$1:$Z$574,18,FALSE)</f>
        <v>0</v>
      </c>
      <c r="BW191" s="16">
        <f>BV191/AS191</f>
        <v>0</v>
      </c>
      <c r="BX191" s="16">
        <f>IF(BY191&gt;0,1,0)</f>
        <v>0</v>
      </c>
      <c r="BY191" s="16">
        <f>VLOOKUP($K191,'[5]FECs - good data'!$C$1:$Z$574,19,FALSE)</f>
        <v>0</v>
      </c>
      <c r="BZ191" s="16">
        <f>BY191/AS191</f>
        <v>0</v>
      </c>
      <c r="CA191" s="16">
        <f>IF(CB191&gt;0,1,0)</f>
        <v>0</v>
      </c>
      <c r="CB191" s="16">
        <f>VLOOKUP($K191,'[5]FECs - good data'!$C$1:$Z$574,20,FALSE)</f>
        <v>0</v>
      </c>
      <c r="CC191" s="16">
        <f>CB191/AS191</f>
        <v>0</v>
      </c>
      <c r="CD191" s="23">
        <f>IF(CE191&gt;0,1,0)</f>
        <v>0</v>
      </c>
      <c r="CE191" s="16">
        <f>VLOOKUP($K191,'[5]FECs - good data'!$C$1:$Z$574,21,FALSE)</f>
        <v>0</v>
      </c>
      <c r="CF191" s="16">
        <f>CE191/AS191</f>
        <v>0</v>
      </c>
      <c r="CG191" s="16">
        <f>IF(CH191&gt;0,1,0)</f>
        <v>0</v>
      </c>
      <c r="CH191" s="16">
        <f>VLOOKUP($K191,'[5]FECs - good data'!$C$1:$Z$574,22,FALSE)</f>
        <v>0</v>
      </c>
      <c r="CI191" s="16">
        <f>CH191/AS191</f>
        <v>0</v>
      </c>
      <c r="CJ191" s="16">
        <f>IF(CK191&gt;0,1,0)</f>
        <v>1</v>
      </c>
      <c r="CK191" s="16">
        <f>VLOOKUP($K191,'[5]FECs - good data'!$C$1:$Z$674,24,FALSE)</f>
        <v>41</v>
      </c>
      <c r="CL191" s="16">
        <f>CK191/AS191</f>
        <v>91.111111111111114</v>
      </c>
      <c r="CS191" s="16">
        <f>IF(CT191&gt;0,1,0)</f>
        <v>0</v>
      </c>
      <c r="CT191" s="16">
        <f>SUM(CW191+CZ191,DC191)</f>
        <v>0</v>
      </c>
      <c r="CV191" s="16">
        <f>SUM(CY191,DB191,DE191)</f>
        <v>0</v>
      </c>
      <c r="CW191" s="16">
        <f>IF(CX191&gt;0,1,0)</f>
        <v>0</v>
      </c>
      <c r="CX191" s="16">
        <f>VLOOKUP($K191,'[5]FECs - good data'!$C$1:$Z$574,22,FALSE)</f>
        <v>0</v>
      </c>
      <c r="CY191" s="16">
        <f>CX191/AS191</f>
        <v>0</v>
      </c>
      <c r="CZ191" s="16">
        <f>IF(DA191&gt;0,1,0)</f>
        <v>0</v>
      </c>
      <c r="DA191" s="16">
        <f>VLOOKUP($K191,'[5]FECs - good data'!$C$1:$Z$5982,23,FALSE)</f>
        <v>0</v>
      </c>
      <c r="DB191" s="16">
        <f>DA191/AS191</f>
        <v>0</v>
      </c>
      <c r="DC191" s="16">
        <f>IF(DD191&gt;0,1,0)</f>
        <v>0</v>
      </c>
      <c r="DD191" s="16">
        <f>VLOOKUP($K191,'[5]FECs - good data'!$C$1:$Z$574,23,FALSE)</f>
        <v>0</v>
      </c>
      <c r="DE191" s="16">
        <f>DD191/AS191</f>
        <v>0</v>
      </c>
      <c r="DF191" s="16" t="e">
        <f>VLOOKUP(K191,'[3]RNA Seq summary tables'!$V$3:$V$99,1,FALSE)</f>
        <v>#N/A</v>
      </c>
    </row>
    <row r="192" spans="1:288" x14ac:dyDescent="0.2">
      <c r="A192" s="30"/>
      <c r="B192" s="30">
        <v>2017</v>
      </c>
      <c r="C192" s="31">
        <v>42976</v>
      </c>
      <c r="D192" s="31" t="str">
        <f>CONCATENATE(J192,"-",C192)</f>
        <v>1072-42976</v>
      </c>
      <c r="E192" s="142" t="str">
        <f>CONCATENATE(T192,"-",U192,"-",C192)</f>
        <v>PO2-G8-42976</v>
      </c>
      <c r="F192" s="31" t="s">
        <v>224</v>
      </c>
      <c r="G192" s="31" t="s">
        <v>107</v>
      </c>
      <c r="H192" s="34" t="s">
        <v>175</v>
      </c>
      <c r="I192" s="30"/>
      <c r="J192" s="32">
        <v>1072</v>
      </c>
      <c r="K192" s="32">
        <v>2310</v>
      </c>
      <c r="L192" s="18">
        <v>0</v>
      </c>
      <c r="M192" s="32">
        <f>VLOOKUP($K192,'[4]blood tubes 2017'!$D$1:$L$947,8,FALSE)</f>
        <v>0</v>
      </c>
      <c r="N192" s="35">
        <v>0</v>
      </c>
      <c r="O192" s="35" t="s">
        <v>119</v>
      </c>
      <c r="P192" s="30" t="s">
        <v>119</v>
      </c>
      <c r="Q192" s="30">
        <v>0</v>
      </c>
      <c r="R192" s="30" t="s">
        <v>111</v>
      </c>
      <c r="S192" s="30"/>
      <c r="T192" s="30" t="s">
        <v>127</v>
      </c>
      <c r="U192" s="30" t="s">
        <v>216</v>
      </c>
      <c r="V192" s="30" t="s">
        <v>114</v>
      </c>
      <c r="W192" s="30">
        <f>AI192/AG192</f>
        <v>0.41249999999999998</v>
      </c>
      <c r="X192" s="30" t="s">
        <v>121</v>
      </c>
      <c r="Y192" s="30" t="s">
        <v>110</v>
      </c>
      <c r="Z192" s="30">
        <v>3</v>
      </c>
      <c r="AA192" s="30" t="s">
        <v>119</v>
      </c>
      <c r="AB192" s="30" t="s">
        <v>240</v>
      </c>
      <c r="AC192" s="30" t="s">
        <v>123</v>
      </c>
      <c r="AD192" s="30" t="s">
        <v>123</v>
      </c>
      <c r="AE192" s="30"/>
      <c r="AF192" s="30"/>
      <c r="AG192" s="30">
        <f>AH192-AI192</f>
        <v>80</v>
      </c>
      <c r="AH192" s="30">
        <v>113</v>
      </c>
      <c r="AI192" s="30">
        <v>33</v>
      </c>
      <c r="AJ192" s="30" t="s">
        <v>320</v>
      </c>
      <c r="AK192" s="30">
        <v>24</v>
      </c>
      <c r="AL192" s="30">
        <v>0</v>
      </c>
      <c r="AM192" s="30">
        <v>0</v>
      </c>
      <c r="AN192" s="30">
        <v>0</v>
      </c>
      <c r="AO192" s="30">
        <v>0</v>
      </c>
      <c r="AP192" s="30">
        <f>SUM(AL192:AN192)</f>
        <v>0</v>
      </c>
      <c r="AQ192" s="30">
        <v>2.1589999999999998</v>
      </c>
      <c r="AR192" s="30">
        <f>AP192-1.472</f>
        <v>-1.472</v>
      </c>
      <c r="AS192" s="30">
        <f>AQ192-1.472</f>
        <v>0.68699999999999983</v>
      </c>
      <c r="AT192" s="16" t="e">
        <f>VLOOKUP(E192,[2]Current!$A$1:$W$435,7,FALSE)</f>
        <v>#N/A</v>
      </c>
      <c r="AU192" s="16">
        <v>0</v>
      </c>
      <c r="AV192" s="30"/>
      <c r="AW192" s="30"/>
      <c r="AX192" s="30"/>
      <c r="AY192" s="30"/>
      <c r="AZ192" s="30"/>
      <c r="BA192" s="30"/>
      <c r="BB192" s="30"/>
      <c r="BC192" s="30"/>
      <c r="BD192" s="30"/>
      <c r="BE192" s="30"/>
      <c r="BF192" s="30"/>
      <c r="BG192" s="34"/>
      <c r="BH192" s="30"/>
      <c r="BI192" s="30"/>
      <c r="BJ192" s="30"/>
      <c r="BK192" s="30"/>
      <c r="BL192" s="30"/>
      <c r="BM192" s="30"/>
      <c r="BN192" s="30"/>
      <c r="BO192" s="30"/>
      <c r="BP192" s="30"/>
      <c r="BQ192" s="30"/>
      <c r="BR192" s="30"/>
      <c r="BS192" s="30"/>
      <c r="BT192" s="34"/>
      <c r="BU192" s="30"/>
      <c r="BV192" s="30"/>
      <c r="BW192" s="30"/>
      <c r="BX192" s="30"/>
      <c r="BY192" s="30"/>
      <c r="BZ192" s="30"/>
      <c r="CA192" s="30"/>
      <c r="CB192" s="30"/>
      <c r="CC192" s="30"/>
      <c r="CD192" s="34"/>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16" t="e">
        <f>VLOOKUP(K192,'[3]RNA Seq summary tables'!$V$3:$V$99,1,FALSE)</f>
        <v>#N/A</v>
      </c>
      <c r="DG192" s="16">
        <v>1</v>
      </c>
      <c r="DH192" s="16" t="str">
        <f>VLOOKUP(D192,'[6]workflow 3.2018'!$A$1:$S$237,2,FALSE)</f>
        <v>2017MLBS_220</v>
      </c>
      <c r="DI192" s="30"/>
      <c r="DJ192" s="30"/>
      <c r="DK192" s="30"/>
      <c r="DL192" s="30"/>
      <c r="DM192" s="30"/>
      <c r="DN192" s="30"/>
      <c r="DO192" s="30"/>
      <c r="DP192" s="30"/>
      <c r="DQ192" s="30"/>
      <c r="DR192" s="30"/>
      <c r="DS192" s="30"/>
    </row>
    <row r="193" spans="2:288" x14ac:dyDescent="0.2">
      <c r="B193" s="16">
        <v>2017</v>
      </c>
      <c r="C193" s="66">
        <v>42893</v>
      </c>
      <c r="D193" s="66" t="str">
        <f>CONCATENATE(J193,"-",C193)</f>
        <v>1073-42893</v>
      </c>
      <c r="E193" s="20" t="str">
        <f>CONCATENATE(T193,"-",U193,"-",C193)</f>
        <v>PO2-C4-42893</v>
      </c>
      <c r="F193" s="20" t="s">
        <v>106</v>
      </c>
      <c r="G193" s="20" t="s">
        <v>107</v>
      </c>
      <c r="I193" s="16">
        <v>0</v>
      </c>
      <c r="J193" s="21">
        <v>1073</v>
      </c>
      <c r="K193" s="21">
        <v>1627</v>
      </c>
      <c r="L193" s="16">
        <v>1</v>
      </c>
      <c r="M193" s="21">
        <f>VLOOKUP($K193,'[4]blood tubes 2017'!$D$1:$L$647,8,FALSE)</f>
        <v>0</v>
      </c>
      <c r="N193" s="15">
        <v>0</v>
      </c>
      <c r="O193" s="15" t="s">
        <v>119</v>
      </c>
      <c r="P193" s="16" t="s">
        <v>119</v>
      </c>
      <c r="Q193" s="16">
        <v>0</v>
      </c>
      <c r="R193" s="16" t="s">
        <v>111</v>
      </c>
      <c r="T193" s="16" t="s">
        <v>127</v>
      </c>
      <c r="U193" s="16" t="s">
        <v>229</v>
      </c>
      <c r="V193" s="16" t="s">
        <v>114</v>
      </c>
      <c r="W193" s="16">
        <f>AI193/AG193</f>
        <v>0.77173913043478259</v>
      </c>
      <c r="X193" s="16" t="s">
        <v>121</v>
      </c>
      <c r="Y193" s="16" t="s">
        <v>110</v>
      </c>
      <c r="Z193" s="16">
        <v>3</v>
      </c>
      <c r="AA193" s="16" t="s">
        <v>119</v>
      </c>
      <c r="AB193" s="16" t="s">
        <v>239</v>
      </c>
      <c r="AC193" s="16" t="s">
        <v>123</v>
      </c>
      <c r="AD193" s="16" t="s">
        <v>123</v>
      </c>
      <c r="AG193" s="16">
        <f>AH193-AI193</f>
        <v>92</v>
      </c>
      <c r="AH193" s="16">
        <v>163</v>
      </c>
      <c r="AI193" s="16">
        <v>71</v>
      </c>
      <c r="AK193" s="16">
        <v>28</v>
      </c>
      <c r="AL193" s="16">
        <v>0</v>
      </c>
      <c r="AM193" s="16">
        <v>0</v>
      </c>
      <c r="AN193" s="16">
        <v>0</v>
      </c>
      <c r="AO193" s="16">
        <f>IF(SUM(AL193:AN193)&gt;0, 1,0)</f>
        <v>0</v>
      </c>
      <c r="AP193" s="16">
        <f>SUM(AL193:AN193)</f>
        <v>0</v>
      </c>
      <c r="AQ193" s="16">
        <v>1.823</v>
      </c>
      <c r="AR193" s="16">
        <f>AP193-1.472</f>
        <v>-1.472</v>
      </c>
      <c r="AS193" s="16">
        <f>AQ193-1.472</f>
        <v>0.35099999999999998</v>
      </c>
      <c r="AT193" s="18" t="s">
        <v>242</v>
      </c>
      <c r="AU193" s="18"/>
      <c r="AW193" s="18"/>
      <c r="AX193" s="18"/>
      <c r="AY193" s="18"/>
      <c r="AZ193" s="18"/>
      <c r="BA193" s="18"/>
      <c r="BB193" s="18"/>
      <c r="BC193" s="18"/>
      <c r="BD193" s="18"/>
      <c r="BE193" s="18"/>
      <c r="BF193" s="18"/>
      <c r="BG193" s="25"/>
      <c r="BH193" s="18"/>
      <c r="BI193" s="18"/>
      <c r="BJ193" s="18"/>
      <c r="BK193" s="18"/>
      <c r="BL193" s="18"/>
      <c r="BM193" s="18"/>
      <c r="BN193" s="18"/>
      <c r="BO193" s="18"/>
      <c r="BP193" s="18"/>
      <c r="BQ193" s="18"/>
      <c r="BR193" s="18"/>
      <c r="BS193" s="18"/>
      <c r="BT193" s="25"/>
      <c r="BU193" s="18"/>
      <c r="BV193" s="18"/>
      <c r="BW193" s="18"/>
      <c r="BX193" s="18"/>
      <c r="BY193" s="18"/>
      <c r="BZ193" s="18"/>
      <c r="CA193" s="18"/>
      <c r="CB193" s="18"/>
      <c r="CC193" s="18"/>
      <c r="CD193" s="25"/>
      <c r="CE193" s="18"/>
      <c r="CF193" s="18"/>
      <c r="CG193" s="24"/>
      <c r="CH193" s="24"/>
      <c r="CI193" s="18"/>
      <c r="CJ193" s="18"/>
      <c r="CK193" s="18"/>
      <c r="CL193" s="18"/>
      <c r="CM193" s="24"/>
      <c r="CN193" s="24"/>
      <c r="CO193" s="18"/>
      <c r="CP193" s="24"/>
      <c r="CQ193" s="24"/>
      <c r="CR193" s="18"/>
      <c r="CS193" s="18"/>
      <c r="CT193" s="18"/>
      <c r="CU193" s="18"/>
      <c r="CV193" s="18"/>
      <c r="CW193" s="18"/>
      <c r="CX193" s="18"/>
      <c r="CY193" s="18"/>
      <c r="CZ193" s="18"/>
      <c r="DA193" s="18"/>
      <c r="DB193" s="18"/>
      <c r="DC193" s="18"/>
      <c r="DD193" s="18"/>
      <c r="DE193" s="18"/>
      <c r="DF193" s="16">
        <f>VLOOKUP(K193,'[3]RNA Seq summary tables'!$V$3:$V$99,1,FALSE)</f>
        <v>1627</v>
      </c>
      <c r="DG193" s="16">
        <v>1</v>
      </c>
      <c r="DH193" s="16" t="str">
        <f>VLOOKUP(D193,'[6]workflow 3.2018'!$A$1:$S$237,2,FALSE)</f>
        <v>2017MLBS_36</v>
      </c>
      <c r="DI193" s="18">
        <v>53</v>
      </c>
      <c r="DK193" s="16">
        <v>20</v>
      </c>
      <c r="DM193" s="16">
        <v>26</v>
      </c>
      <c r="DO193" s="16">
        <v>0</v>
      </c>
      <c r="DQ193" s="16">
        <v>1</v>
      </c>
      <c r="DR193" s="16">
        <v>100</v>
      </c>
    </row>
    <row r="194" spans="2:288" x14ac:dyDescent="0.2">
      <c r="B194" s="16">
        <v>2017</v>
      </c>
      <c r="C194" s="20">
        <v>42911</v>
      </c>
      <c r="D194" s="20" t="str">
        <f>CONCATENATE(J194,"-",C194)</f>
        <v>1073-42911</v>
      </c>
      <c r="E194" s="20" t="str">
        <f>CONCATENATE(T194,"-",U194,"-",C194)</f>
        <v>PO2-H4-42911</v>
      </c>
      <c r="F194" s="20" t="s">
        <v>106</v>
      </c>
      <c r="G194" s="20" t="s">
        <v>107</v>
      </c>
      <c r="I194" s="16">
        <v>0</v>
      </c>
      <c r="J194" s="21">
        <v>1073</v>
      </c>
      <c r="K194" s="21">
        <v>1742</v>
      </c>
      <c r="L194" s="16">
        <v>1</v>
      </c>
      <c r="M194" s="21">
        <f>VLOOKUP($K194,'[4]blood tubes 2017'!$D$1:$L$647,8,FALSE)</f>
        <v>0</v>
      </c>
      <c r="N194" s="15">
        <v>0</v>
      </c>
      <c r="O194" s="15" t="s">
        <v>119</v>
      </c>
      <c r="P194" s="16" t="s">
        <v>119</v>
      </c>
      <c r="Q194" s="16">
        <v>0</v>
      </c>
      <c r="R194" s="16">
        <v>18</v>
      </c>
      <c r="T194" s="16" t="s">
        <v>127</v>
      </c>
      <c r="U194" s="16" t="s">
        <v>151</v>
      </c>
      <c r="V194" s="16" t="s">
        <v>114</v>
      </c>
      <c r="W194" s="16">
        <f>AI194/AG194</f>
        <v>0.75531914893617025</v>
      </c>
      <c r="X194" s="16" t="s">
        <v>121</v>
      </c>
      <c r="Y194" s="16" t="s">
        <v>110</v>
      </c>
      <c r="Z194" s="16">
        <v>3</v>
      </c>
      <c r="AA194" s="16" t="s">
        <v>119</v>
      </c>
      <c r="AB194" s="16" t="s">
        <v>239</v>
      </c>
      <c r="AC194" s="16" t="s">
        <v>123</v>
      </c>
      <c r="AD194" s="16" t="s">
        <v>123</v>
      </c>
      <c r="AG194" s="16">
        <f>AH194-AI194</f>
        <v>94</v>
      </c>
      <c r="AH194" s="16">
        <v>165</v>
      </c>
      <c r="AI194" s="16">
        <v>71</v>
      </c>
      <c r="AK194" s="16">
        <v>22</v>
      </c>
      <c r="AL194" s="16">
        <v>0</v>
      </c>
      <c r="AM194" s="16">
        <v>0</v>
      </c>
      <c r="AN194" s="16">
        <v>0</v>
      </c>
      <c r="AO194" s="16">
        <v>0</v>
      </c>
      <c r="AP194" s="16">
        <f>SUM(AL194:AN194)</f>
        <v>0</v>
      </c>
      <c r="AQ194" s="16">
        <v>1.8320000000000001</v>
      </c>
      <c r="AR194" s="16">
        <f>AP194-1.472</f>
        <v>-1.472</v>
      </c>
      <c r="AS194" s="16">
        <f>AQ194-1.472</f>
        <v>0.3600000000000001</v>
      </c>
      <c r="AT194" s="16" t="s">
        <v>234</v>
      </c>
      <c r="AW194" s="16">
        <f>IF(AX194&gt;0,1,0)</f>
        <v>1</v>
      </c>
      <c r="AX194" s="16">
        <f>SUM(BA194,BM194,CT194)</f>
        <v>4</v>
      </c>
      <c r="AY194" s="18">
        <f>SUM(BB194,BN194,CV194)</f>
        <v>6441.6666666666642</v>
      </c>
      <c r="AZ194" s="16">
        <f>IF(BA194&gt;0,1,0)</f>
        <v>1</v>
      </c>
      <c r="BA194" s="16">
        <f>SUM(BC194,BF194,BI194)</f>
        <v>3</v>
      </c>
      <c r="BB194" s="16">
        <f>SUM(BE194,BH194,BK194)</f>
        <v>6438.8888888888869</v>
      </c>
      <c r="BC194" s="16">
        <v>1</v>
      </c>
      <c r="BD194" s="16">
        <v>19</v>
      </c>
      <c r="BE194" s="16">
        <f>BD194/AS194</f>
        <v>52.777777777777764</v>
      </c>
      <c r="BF194" s="16">
        <v>1</v>
      </c>
      <c r="BG194" s="23">
        <v>2295</v>
      </c>
      <c r="BH194" s="16">
        <f>BG194/AS194</f>
        <v>6374.9999999999982</v>
      </c>
      <c r="BI194" s="16">
        <v>1</v>
      </c>
      <c r="BJ194" s="16">
        <v>4</v>
      </c>
      <c r="BK194" s="16">
        <f>BJ194/AS194</f>
        <v>11.111111111111109</v>
      </c>
      <c r="BL194" s="16">
        <f>IF(BM194&gt;0,1,0)</f>
        <v>1</v>
      </c>
      <c r="BM194" s="16">
        <f>SUM(BR194,BU194,BX194,CA194,CD194,CG194,CJ194,CM194,CP194)</f>
        <v>1</v>
      </c>
      <c r="BN194" s="16">
        <f>SUM(BW194,BZ194,CC194,CF194,CI194,CL194,CO194,CR194,BT194)</f>
        <v>2.7777777777777772</v>
      </c>
      <c r="BO194" s="16">
        <f>IF(BP194&gt;0,1,0)</f>
        <v>1</v>
      </c>
      <c r="BP194" s="16">
        <f>SUM(BU194,BX194,CA194,CD194,BR194)</f>
        <v>1</v>
      </c>
      <c r="BQ194" s="16">
        <f>SUM(BZ194,CC194,CF194,BT194,BW194)</f>
        <v>2.7777777777777772</v>
      </c>
      <c r="BR194" s="16">
        <v>1</v>
      </c>
      <c r="BS194" s="16">
        <v>1</v>
      </c>
      <c r="BT194" s="23">
        <f>BS194/AS194</f>
        <v>2.7777777777777772</v>
      </c>
      <c r="BU194" s="16">
        <v>0</v>
      </c>
      <c r="BV194" s="16">
        <v>0</v>
      </c>
      <c r="BW194" s="16">
        <f>BV194/AS194</f>
        <v>0</v>
      </c>
      <c r="BX194" s="16">
        <v>0</v>
      </c>
      <c r="BY194" s="16">
        <v>0</v>
      </c>
      <c r="BZ194" s="16">
        <f>BY194/AS194</f>
        <v>0</v>
      </c>
      <c r="CA194" s="16">
        <v>0</v>
      </c>
      <c r="CB194" s="16">
        <v>0</v>
      </c>
      <c r="CC194" s="16">
        <f>CB194/AS194</f>
        <v>0</v>
      </c>
      <c r="CD194" s="23">
        <v>0</v>
      </c>
      <c r="CE194" s="16">
        <v>0</v>
      </c>
      <c r="CF194" s="16">
        <f>CE194/AS194</f>
        <v>0</v>
      </c>
      <c r="CG194" s="16">
        <v>0</v>
      </c>
      <c r="CH194" s="16">
        <v>0</v>
      </c>
      <c r="CI194" s="16">
        <f>CH194/AS194</f>
        <v>0</v>
      </c>
      <c r="CM194" s="16">
        <v>0</v>
      </c>
      <c r="CN194" s="16">
        <v>0</v>
      </c>
      <c r="CO194" s="16">
        <f>CN194/AS194</f>
        <v>0</v>
      </c>
      <c r="CP194" s="16">
        <v>0</v>
      </c>
      <c r="CQ194" s="16">
        <v>0</v>
      </c>
      <c r="CR194" s="16">
        <f>CQ194/AS194</f>
        <v>0</v>
      </c>
      <c r="CS194" s="16">
        <f>IF(CT194&gt;0,1,0)</f>
        <v>0</v>
      </c>
      <c r="CT194" s="16">
        <f>SUM(CW194,CZ194,DC194)</f>
        <v>0</v>
      </c>
      <c r="CV194" s="16">
        <f>SUM(CY194,DB194,DE194)</f>
        <v>0</v>
      </c>
      <c r="CW194" s="16">
        <v>0</v>
      </c>
      <c r="CX194" s="16">
        <v>0</v>
      </c>
      <c r="CY194" s="16">
        <f>CX194/AS194</f>
        <v>0</v>
      </c>
      <c r="CZ194" s="16">
        <v>0</v>
      </c>
      <c r="DA194" s="16">
        <v>0</v>
      </c>
      <c r="DB194" s="16">
        <f>DA194/AS194</f>
        <v>0</v>
      </c>
      <c r="DC194" s="16">
        <v>0</v>
      </c>
      <c r="DD194" s="16">
        <v>0</v>
      </c>
      <c r="DE194" s="16">
        <f>DD194/AS194</f>
        <v>0</v>
      </c>
      <c r="DF194" s="16">
        <f>VLOOKUP(K194,'[3]RNA Seq summary tables'!$V$3:$V$99,1,FALSE)</f>
        <v>1742</v>
      </c>
      <c r="DI194" s="16">
        <v>66</v>
      </c>
      <c r="DK194" s="16">
        <v>19</v>
      </c>
      <c r="DM194" s="16">
        <v>15</v>
      </c>
      <c r="DO194" s="16">
        <v>0</v>
      </c>
      <c r="DQ194" s="16">
        <v>0</v>
      </c>
      <c r="DR194" s="16">
        <f>SUM(DI194:DQ194)</f>
        <v>100</v>
      </c>
      <c r="JO194" s="18"/>
      <c r="JR194" s="18"/>
      <c r="JS194" s="18"/>
      <c r="JT194" s="18"/>
      <c r="JU194" s="18"/>
      <c r="JV194" s="18"/>
      <c r="JW194" s="18"/>
      <c r="JX194" s="18"/>
      <c r="JY194" s="18"/>
      <c r="JZ194" s="18"/>
      <c r="KA194" s="18"/>
      <c r="KB194" s="18"/>
    </row>
    <row r="195" spans="2:288" x14ac:dyDescent="0.2">
      <c r="B195" s="16">
        <v>2017</v>
      </c>
      <c r="C195" s="73">
        <v>42893</v>
      </c>
      <c r="D195" s="66" t="str">
        <f>CONCATENATE(J195,"-",C195)</f>
        <v>1074-42893</v>
      </c>
      <c r="E195" s="20" t="str">
        <f>CONCATENATE(T195,"-",U195,"-",C195)</f>
        <v>PO2-C8-42893</v>
      </c>
      <c r="F195" s="20" t="s">
        <v>106</v>
      </c>
      <c r="G195" s="43" t="s">
        <v>107</v>
      </c>
      <c r="H195" s="23"/>
      <c r="I195" s="16">
        <v>0</v>
      </c>
      <c r="J195" s="15">
        <v>1074</v>
      </c>
      <c r="K195" s="15">
        <v>1628</v>
      </c>
      <c r="L195" s="18">
        <v>0</v>
      </c>
      <c r="M195" s="21">
        <f>VLOOKUP($K195,'[4]blood tubes 2017'!$D$1:$L$647,8,FALSE)</f>
        <v>0</v>
      </c>
      <c r="N195" s="15">
        <v>0</v>
      </c>
      <c r="O195" s="15" t="s">
        <v>119</v>
      </c>
      <c r="P195" s="23" t="s">
        <v>119</v>
      </c>
      <c r="Q195" s="16">
        <v>0</v>
      </c>
      <c r="R195" s="23" t="s">
        <v>111</v>
      </c>
      <c r="S195" s="23"/>
      <c r="T195" s="23" t="s">
        <v>127</v>
      </c>
      <c r="U195" s="23" t="s">
        <v>188</v>
      </c>
      <c r="V195" s="23" t="s">
        <v>114</v>
      </c>
      <c r="W195" s="16">
        <f>AI195/AG195</f>
        <v>0.71578947368421053</v>
      </c>
      <c r="X195" s="23" t="s">
        <v>115</v>
      </c>
      <c r="Y195" s="23" t="s">
        <v>110</v>
      </c>
      <c r="Z195" s="23">
        <v>3</v>
      </c>
      <c r="AA195" s="23"/>
      <c r="AB195" s="23"/>
      <c r="AC195" s="23"/>
      <c r="AD195" s="23"/>
      <c r="AE195" s="23" t="s">
        <v>123</v>
      </c>
      <c r="AF195" s="23" t="s">
        <v>123</v>
      </c>
      <c r="AG195" s="23">
        <f>AH195-AI195</f>
        <v>95</v>
      </c>
      <c r="AH195" s="23">
        <v>163</v>
      </c>
      <c r="AI195" s="23">
        <v>68</v>
      </c>
      <c r="AJ195" s="23"/>
      <c r="AK195" s="23">
        <v>22.5</v>
      </c>
      <c r="AL195" s="23">
        <v>1</v>
      </c>
      <c r="AM195" s="23">
        <v>0</v>
      </c>
      <c r="AN195" s="23">
        <v>0</v>
      </c>
      <c r="AO195" s="23">
        <v>1</v>
      </c>
      <c r="AP195" s="23">
        <f>SUM(AL195:AN195)</f>
        <v>1</v>
      </c>
      <c r="AQ195" s="23">
        <v>1.621</v>
      </c>
      <c r="AR195" s="23">
        <f>AP195-1.472</f>
        <v>-0.47199999999999998</v>
      </c>
      <c r="AS195" s="23">
        <f>AQ195-1.472</f>
        <v>0.14900000000000002</v>
      </c>
      <c r="AT195" s="23" t="s">
        <v>233</v>
      </c>
      <c r="AU195" s="23"/>
      <c r="AV195" s="23"/>
      <c r="AW195" s="23">
        <f>IF(AX195&gt;0,1,0)</f>
        <v>1</v>
      </c>
      <c r="AX195" s="23">
        <f>SUM(BA195,BM195,CT195)</f>
        <v>1</v>
      </c>
      <c r="AY195" s="25">
        <f>SUM(BB195,BN195,CV195)</f>
        <v>302.01342281879192</v>
      </c>
      <c r="AZ195" s="16">
        <f>IF(BA195&gt;0,1,0)</f>
        <v>0</v>
      </c>
      <c r="BA195" s="23">
        <f>SUM(BC195,BF195,BI195)</f>
        <v>0</v>
      </c>
      <c r="BB195" s="23">
        <f>SUM(BE195,BH195,BK195)</f>
        <v>0</v>
      </c>
      <c r="BC195" s="16">
        <v>0</v>
      </c>
      <c r="BD195" s="23">
        <v>0</v>
      </c>
      <c r="BE195" s="23">
        <f>BD195/AS195</f>
        <v>0</v>
      </c>
      <c r="BF195" s="16">
        <v>0</v>
      </c>
      <c r="BG195" s="23">
        <v>0</v>
      </c>
      <c r="BH195" s="23">
        <f>BG195/AS195</f>
        <v>0</v>
      </c>
      <c r="BI195" s="16">
        <v>0</v>
      </c>
      <c r="BJ195" s="23">
        <v>0</v>
      </c>
      <c r="BK195" s="23">
        <f>BJ195/AS195</f>
        <v>0</v>
      </c>
      <c r="BL195" s="16">
        <f>IF(BM195&gt;0,1,0)</f>
        <v>0</v>
      </c>
      <c r="BM195" s="16">
        <f>SUM(BR195,BU195,BX195,CA195,CD195,CG195,CJ195,CM195,CP195)</f>
        <v>0</v>
      </c>
      <c r="BN195" s="16">
        <f>SUM(BW195,BZ195,CC195,CF195,CI195,CL195,CO195,CR195,BT195)</f>
        <v>0</v>
      </c>
      <c r="BO195" s="16">
        <f>IF(BP195&gt;0,1,0)</f>
        <v>0</v>
      </c>
      <c r="BP195" s="16">
        <f>SUM(BU195,BX195,CA195,CD195,BR195)</f>
        <v>0</v>
      </c>
      <c r="BQ195" s="16">
        <f>SUM(BZ195,CC195,CF195,BT195,BW195)</f>
        <v>0</v>
      </c>
      <c r="BR195" s="16">
        <v>0</v>
      </c>
      <c r="BS195" s="23">
        <v>0</v>
      </c>
      <c r="BT195" s="23">
        <f>BS195/AS195</f>
        <v>0</v>
      </c>
      <c r="BU195" s="16">
        <v>0</v>
      </c>
      <c r="BV195" s="23">
        <v>0</v>
      </c>
      <c r="BW195" s="16">
        <f>BV195/AS195</f>
        <v>0</v>
      </c>
      <c r="BX195" s="16">
        <v>0</v>
      </c>
      <c r="BY195" s="23">
        <v>0</v>
      </c>
      <c r="BZ195" s="16">
        <f>BY195/AS195</f>
        <v>0</v>
      </c>
      <c r="CA195" s="16">
        <v>0</v>
      </c>
      <c r="CB195" s="23">
        <v>0</v>
      </c>
      <c r="CC195" s="23">
        <f>CB195/AS195</f>
        <v>0</v>
      </c>
      <c r="CD195" s="23">
        <v>0</v>
      </c>
      <c r="CE195" s="23">
        <v>0</v>
      </c>
      <c r="CF195" s="23">
        <f>CE195/AS195</f>
        <v>0</v>
      </c>
      <c r="CG195" s="23">
        <v>0</v>
      </c>
      <c r="CH195" s="23">
        <v>0</v>
      </c>
      <c r="CI195" s="23">
        <f>CH195/AS195</f>
        <v>0</v>
      </c>
      <c r="CJ195" s="23"/>
      <c r="CK195" s="23"/>
      <c r="CL195" s="23"/>
      <c r="CM195" s="23">
        <v>0</v>
      </c>
      <c r="CN195" s="23">
        <v>0</v>
      </c>
      <c r="CO195" s="23">
        <f>CN195/AS195</f>
        <v>0</v>
      </c>
      <c r="CP195" s="23">
        <v>0</v>
      </c>
      <c r="CQ195" s="23">
        <v>0</v>
      </c>
      <c r="CR195" s="23">
        <f>CQ195/AS195</f>
        <v>0</v>
      </c>
      <c r="CS195" s="16">
        <f>IF(CT195&gt;0,1,0)</f>
        <v>1</v>
      </c>
      <c r="CT195" s="16">
        <f>SUM(CW195,CZ195,DC195)</f>
        <v>1</v>
      </c>
      <c r="CV195" s="23">
        <f>SUM(CY195,DB195,DE195)</f>
        <v>302.01342281879192</v>
      </c>
      <c r="CW195" s="16">
        <v>1</v>
      </c>
      <c r="CX195" s="23">
        <v>45</v>
      </c>
      <c r="CY195" s="23">
        <f>CX195/AS195</f>
        <v>302.01342281879192</v>
      </c>
      <c r="CZ195" s="23">
        <v>0</v>
      </c>
      <c r="DA195" s="23">
        <v>0</v>
      </c>
      <c r="DB195" s="23">
        <f>DA195/AS195</f>
        <v>0</v>
      </c>
      <c r="DC195" s="23">
        <v>0</v>
      </c>
      <c r="DD195" s="23">
        <v>0</v>
      </c>
      <c r="DE195" s="23">
        <f>DD195/AS195</f>
        <v>0</v>
      </c>
      <c r="DF195" s="16" t="e">
        <f>VLOOKUP(K195,'[3]RNA Seq summary tables'!$V$3:$V$99,1,FALSE)</f>
        <v>#N/A</v>
      </c>
      <c r="DG195" s="16">
        <v>1</v>
      </c>
      <c r="DH195" s="16" t="str">
        <f>VLOOKUP(D195,'[6]workflow 3.2018'!$A$1:$S$237,2,FALSE)</f>
        <v>2017MLBS_29</v>
      </c>
      <c r="DI195" s="23">
        <v>52</v>
      </c>
      <c r="DJ195" s="23"/>
      <c r="DK195" s="23">
        <v>26</v>
      </c>
      <c r="DL195" s="23"/>
      <c r="DM195" s="23">
        <v>22</v>
      </c>
      <c r="DN195" s="23"/>
      <c r="DO195" s="23">
        <v>0</v>
      </c>
      <c r="DP195" s="23"/>
      <c r="DQ195" s="23">
        <v>0</v>
      </c>
      <c r="DR195" s="23">
        <v>100</v>
      </c>
      <c r="DS195" s="23"/>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25"/>
      <c r="HB195" s="25"/>
      <c r="HC195" s="25"/>
      <c r="HD195" s="25"/>
      <c r="HE195" s="25"/>
      <c r="HF195" s="25"/>
      <c r="HG195" s="25"/>
      <c r="HH195" s="25"/>
      <c r="HI195" s="25"/>
      <c r="HJ195" s="25"/>
      <c r="HK195" s="25"/>
      <c r="HL195" s="25"/>
      <c r="HM195" s="25"/>
      <c r="HN195" s="25"/>
      <c r="HO195" s="25"/>
      <c r="HP195" s="25"/>
      <c r="HQ195" s="25"/>
      <c r="HR195" s="25"/>
      <c r="HS195" s="25"/>
      <c r="HT195" s="25"/>
      <c r="HU195" s="25"/>
      <c r="HV195" s="25"/>
      <c r="HW195" s="25"/>
      <c r="HX195" s="25"/>
      <c r="HY195" s="25"/>
      <c r="HZ195" s="25"/>
      <c r="IA195" s="25"/>
      <c r="IB195" s="25"/>
      <c r="IC195" s="25"/>
      <c r="ID195" s="25"/>
      <c r="IE195" s="25"/>
      <c r="IF195" s="25"/>
      <c r="IG195" s="25"/>
      <c r="IH195" s="25"/>
      <c r="II195" s="25"/>
      <c r="IJ195" s="25"/>
      <c r="IK195" s="25"/>
      <c r="IL195" s="25"/>
      <c r="IM195" s="25"/>
      <c r="IN195" s="25"/>
      <c r="IO195" s="25"/>
      <c r="IP195" s="25"/>
      <c r="IQ195" s="25"/>
      <c r="IR195" s="25"/>
      <c r="IS195" s="25"/>
      <c r="IT195" s="25"/>
      <c r="IU195" s="25"/>
      <c r="IV195" s="25"/>
      <c r="IW195" s="25"/>
      <c r="IX195" s="25"/>
      <c r="IY195" s="25"/>
      <c r="IZ195" s="25"/>
      <c r="JA195" s="25"/>
      <c r="JB195" s="25"/>
      <c r="JC195" s="25"/>
      <c r="JD195" s="25"/>
      <c r="JE195" s="25"/>
      <c r="JF195" s="25"/>
      <c r="JG195" s="25"/>
      <c r="JH195" s="25"/>
      <c r="JI195" s="25"/>
      <c r="JJ195" s="25"/>
      <c r="JK195" s="25"/>
      <c r="JL195" s="25"/>
      <c r="JM195" s="25"/>
      <c r="JN195" s="25"/>
      <c r="JO195" s="18"/>
    </row>
    <row r="196" spans="2:288" x14ac:dyDescent="0.2">
      <c r="B196" s="16">
        <v>2017</v>
      </c>
      <c r="C196" s="66">
        <v>42893</v>
      </c>
      <c r="D196" s="66" t="str">
        <f>CONCATENATE(J196,"-",C196)</f>
        <v>1076-42893</v>
      </c>
      <c r="E196" s="20" t="str">
        <f>CONCATENATE(T196,"-",U196,"-",C196)</f>
        <v>PO2-G6-42893</v>
      </c>
      <c r="F196" s="20" t="s">
        <v>106</v>
      </c>
      <c r="G196" s="20" t="s">
        <v>107</v>
      </c>
      <c r="I196" s="16">
        <v>0</v>
      </c>
      <c r="J196" s="21">
        <v>1076</v>
      </c>
      <c r="K196" s="21">
        <v>1630</v>
      </c>
      <c r="L196" s="18">
        <v>0</v>
      </c>
      <c r="M196" s="21">
        <f>VLOOKUP($K196,'[4]blood tubes 2017'!$D$1:$L$647,8,FALSE)</f>
        <v>0</v>
      </c>
      <c r="N196" s="15">
        <v>0</v>
      </c>
      <c r="O196" s="15" t="s">
        <v>119</v>
      </c>
      <c r="P196" s="16" t="s">
        <v>119</v>
      </c>
      <c r="Q196" s="16">
        <v>0</v>
      </c>
      <c r="R196" s="16" t="s">
        <v>111</v>
      </c>
      <c r="T196" s="16" t="s">
        <v>127</v>
      </c>
      <c r="U196" s="16" t="s">
        <v>218</v>
      </c>
      <c r="V196" s="16" t="s">
        <v>114</v>
      </c>
      <c r="W196" s="16">
        <f>AI196/AG196</f>
        <v>0.80645161290322576</v>
      </c>
      <c r="X196" s="16" t="s">
        <v>115</v>
      </c>
      <c r="Y196" s="16" t="s">
        <v>110</v>
      </c>
      <c r="Z196" s="16">
        <v>3</v>
      </c>
      <c r="AE196" s="16" t="s">
        <v>123</v>
      </c>
      <c r="AF196" s="16" t="s">
        <v>123</v>
      </c>
      <c r="AG196" s="16">
        <f>AH196-AI196</f>
        <v>93</v>
      </c>
      <c r="AH196" s="16">
        <v>168</v>
      </c>
      <c r="AI196" s="16">
        <v>75</v>
      </c>
      <c r="AK196" s="16">
        <v>25</v>
      </c>
      <c r="AL196" s="16">
        <v>1</v>
      </c>
      <c r="AM196" s="16">
        <v>0</v>
      </c>
      <c r="AN196" s="16">
        <v>0</v>
      </c>
      <c r="AO196" s="16">
        <v>1</v>
      </c>
      <c r="AP196" s="16">
        <f>SUM(AL196:AN196)</f>
        <v>1</v>
      </c>
      <c r="AQ196" s="16">
        <v>1.5760000000000001</v>
      </c>
      <c r="AR196" s="16">
        <f>AP196-1.472</f>
        <v>-0.47199999999999998</v>
      </c>
      <c r="AS196" s="16">
        <f>AQ196-1.472</f>
        <v>0.10400000000000009</v>
      </c>
      <c r="AT196" s="16" t="s">
        <v>233</v>
      </c>
      <c r="AV196" s="16">
        <v>1</v>
      </c>
      <c r="AW196" s="16">
        <f>IF(AX196&gt;0,1,0)</f>
        <v>0</v>
      </c>
      <c r="AX196" s="16">
        <f>SUM(BA196,BM196,CT196)</f>
        <v>0</v>
      </c>
      <c r="AY196" s="18">
        <f>SUM(BB196,BN196,CV196)</f>
        <v>0</v>
      </c>
      <c r="AZ196" s="16">
        <f>IF(BA196&gt;0,1,0)</f>
        <v>0</v>
      </c>
      <c r="BA196" s="16">
        <f>SUM(BC196,BF196,BI196)</f>
        <v>0</v>
      </c>
      <c r="BB196" s="16">
        <f>SUM(BE196,BH196,BK196)</f>
        <v>0</v>
      </c>
      <c r="BC196" s="16">
        <v>0</v>
      </c>
      <c r="BD196" s="16">
        <v>0</v>
      </c>
      <c r="BE196" s="16">
        <f>BD196/AS196</f>
        <v>0</v>
      </c>
      <c r="BF196" s="16">
        <v>0</v>
      </c>
      <c r="BG196" s="23">
        <v>0</v>
      </c>
      <c r="BH196" s="16">
        <f>BG196/AS196</f>
        <v>0</v>
      </c>
      <c r="BI196" s="16">
        <v>0</v>
      </c>
      <c r="BJ196" s="16">
        <v>0</v>
      </c>
      <c r="BK196" s="16">
        <f>BJ196/AS196</f>
        <v>0</v>
      </c>
      <c r="BL196" s="16">
        <f>IF(BM196&gt;0,1,0)</f>
        <v>0</v>
      </c>
      <c r="BM196" s="16">
        <f>SUM(BR196,BU196,BX196,CA196,CD196,CG196,CJ196,CM196,CP196)</f>
        <v>0</v>
      </c>
      <c r="BN196" s="16">
        <f>SUM(BW196,BZ196,CC196,CF196,CI196,CL196,CO196,CR196,BT196)</f>
        <v>0</v>
      </c>
      <c r="BO196" s="16">
        <f>IF(BP196&gt;0,1,0)</f>
        <v>0</v>
      </c>
      <c r="BP196" s="16">
        <f>SUM(BU196,BX196,CA196,CD196,BR196)</f>
        <v>0</v>
      </c>
      <c r="BQ196" s="16">
        <f>SUM(BZ196,CC196,CF196,BT196,BW196)</f>
        <v>0</v>
      </c>
      <c r="BR196" s="16">
        <v>0</v>
      </c>
      <c r="BS196" s="16">
        <v>0</v>
      </c>
      <c r="BT196" s="23">
        <f>BS196/AS196</f>
        <v>0</v>
      </c>
      <c r="BU196" s="16">
        <v>0</v>
      </c>
      <c r="BV196" s="16">
        <v>0</v>
      </c>
      <c r="BW196" s="16">
        <f>BV196/AS196</f>
        <v>0</v>
      </c>
      <c r="BX196" s="16">
        <v>0</v>
      </c>
      <c r="BY196" s="16">
        <v>0</v>
      </c>
      <c r="BZ196" s="16">
        <f>BY196/AS196</f>
        <v>0</v>
      </c>
      <c r="CA196" s="16">
        <v>0</v>
      </c>
      <c r="CB196" s="16">
        <v>0</v>
      </c>
      <c r="CC196" s="16">
        <f>CB196/AS196</f>
        <v>0</v>
      </c>
      <c r="CD196" s="23">
        <v>0</v>
      </c>
      <c r="CE196" s="16">
        <v>0</v>
      </c>
      <c r="CF196" s="16">
        <f>CE196/AS196</f>
        <v>0</v>
      </c>
      <c r="CG196" s="16">
        <v>0</v>
      </c>
      <c r="CH196" s="16">
        <v>0</v>
      </c>
      <c r="CI196" s="16">
        <f>CH196/AS196</f>
        <v>0</v>
      </c>
      <c r="CM196" s="16">
        <v>0</v>
      </c>
      <c r="CN196" s="16">
        <v>0</v>
      </c>
      <c r="CO196" s="16">
        <f>CN196/AS196</f>
        <v>0</v>
      </c>
      <c r="CP196" s="16">
        <v>0</v>
      </c>
      <c r="CQ196" s="16">
        <v>0</v>
      </c>
      <c r="CR196" s="16">
        <f>CQ196/AS196</f>
        <v>0</v>
      </c>
      <c r="CS196" s="16">
        <f>IF(CT196&gt;0,1,0)</f>
        <v>0</v>
      </c>
      <c r="CT196" s="16">
        <f>SUM(CW196,CZ196,DC196)</f>
        <v>0</v>
      </c>
      <c r="CV196" s="16">
        <f>SUM(CY196,DB196,DE196)</f>
        <v>0</v>
      </c>
      <c r="CW196" s="16">
        <v>0</v>
      </c>
      <c r="CX196" s="16">
        <v>0</v>
      </c>
      <c r="CY196" s="16">
        <f>CX196/AS196</f>
        <v>0</v>
      </c>
      <c r="CZ196" s="16">
        <v>0</v>
      </c>
      <c r="DA196" s="16">
        <v>0</v>
      </c>
      <c r="DB196" s="16">
        <f>DA196/AS196</f>
        <v>0</v>
      </c>
      <c r="DC196" s="16">
        <v>0</v>
      </c>
      <c r="DD196" s="16">
        <v>0</v>
      </c>
      <c r="DE196" s="16">
        <f>DD196/AS196</f>
        <v>0</v>
      </c>
      <c r="DF196" s="16" t="e">
        <f>VLOOKUP(K196,'[3]RNA Seq summary tables'!$V$3:$V$99,1,FALSE)</f>
        <v>#N/A</v>
      </c>
      <c r="DG196" s="16">
        <v>1</v>
      </c>
      <c r="DH196" s="16" t="str">
        <f>VLOOKUP(D196,'[6]workflow 3.2018'!$A$1:$S$237,2,FALSE)</f>
        <v>2017MLBS_37</v>
      </c>
      <c r="DI196" s="16">
        <v>34</v>
      </c>
      <c r="DK196" s="16">
        <v>51</v>
      </c>
      <c r="DM196" s="16">
        <v>15</v>
      </c>
      <c r="DO196" s="16">
        <v>0</v>
      </c>
      <c r="DQ196" s="16">
        <v>0</v>
      </c>
      <c r="DR196" s="16">
        <v>100</v>
      </c>
      <c r="JP196" s="18"/>
      <c r="JQ196" s="18"/>
      <c r="JR196" s="27"/>
      <c r="JS196" s="27"/>
      <c r="JT196" s="27"/>
      <c r="JU196" s="27"/>
      <c r="JV196" s="27"/>
      <c r="JW196" s="27"/>
      <c r="JX196" s="27"/>
      <c r="JY196" s="27"/>
      <c r="JZ196" s="27"/>
      <c r="KA196" s="27"/>
      <c r="KB196" s="27"/>
    </row>
    <row r="197" spans="2:288" x14ac:dyDescent="0.2">
      <c r="B197" s="16">
        <v>2017</v>
      </c>
      <c r="C197" s="20">
        <v>42911</v>
      </c>
      <c r="D197" s="20" t="str">
        <f>CONCATENATE(J197,"-",C197)</f>
        <v>1076-42911</v>
      </c>
      <c r="E197" s="20" t="str">
        <f>CONCATENATE(T197,"-",U197,"-",C197)</f>
        <v>PO2-H6-42911</v>
      </c>
      <c r="F197" s="20" t="s">
        <v>106</v>
      </c>
      <c r="G197" s="20" t="s">
        <v>107</v>
      </c>
      <c r="I197" s="16">
        <v>0</v>
      </c>
      <c r="J197" s="21">
        <v>1076</v>
      </c>
      <c r="K197" s="21">
        <v>1743</v>
      </c>
      <c r="L197" s="18">
        <v>0</v>
      </c>
      <c r="M197" s="21">
        <f>VLOOKUP($K197,'[4]blood tubes 2017'!$D$1:$L$647,8,FALSE)</f>
        <v>0</v>
      </c>
      <c r="N197" s="15">
        <v>0</v>
      </c>
      <c r="O197" s="15" t="s">
        <v>119</v>
      </c>
      <c r="P197" s="16" t="s">
        <v>119</v>
      </c>
      <c r="Q197" s="16">
        <v>0</v>
      </c>
      <c r="R197" s="16">
        <v>18</v>
      </c>
      <c r="T197" s="16" t="s">
        <v>127</v>
      </c>
      <c r="U197" s="16" t="s">
        <v>141</v>
      </c>
      <c r="V197" s="16" t="s">
        <v>114</v>
      </c>
      <c r="W197" s="16">
        <f>AI197/AG197</f>
        <v>0.84883720930232553</v>
      </c>
      <c r="X197" s="16" t="s">
        <v>115</v>
      </c>
      <c r="Y197" s="16" t="s">
        <v>110</v>
      </c>
      <c r="Z197" s="16">
        <v>3</v>
      </c>
      <c r="AE197" s="16" t="s">
        <v>123</v>
      </c>
      <c r="AF197" s="16" t="s">
        <v>123</v>
      </c>
      <c r="AG197" s="16">
        <f>AH197-AI197</f>
        <v>86</v>
      </c>
      <c r="AH197" s="16">
        <v>159</v>
      </c>
      <c r="AI197" s="16">
        <v>73</v>
      </c>
      <c r="AK197" s="16">
        <v>25</v>
      </c>
      <c r="AL197" s="16">
        <v>0</v>
      </c>
      <c r="AM197" s="16">
        <v>0</v>
      </c>
      <c r="AN197" s="16">
        <v>0</v>
      </c>
      <c r="AO197" s="16">
        <v>0</v>
      </c>
      <c r="AP197" s="16">
        <f>SUM(AL197:AN197)</f>
        <v>0</v>
      </c>
      <c r="AQ197" s="16">
        <v>1.6919999999999999</v>
      </c>
      <c r="AR197" s="16">
        <f>AP197-1.472</f>
        <v>-1.472</v>
      </c>
      <c r="AS197" s="16">
        <f>AQ197-1.472</f>
        <v>0.21999999999999997</v>
      </c>
      <c r="AT197" s="16" t="s">
        <v>119</v>
      </c>
      <c r="AW197" s="16">
        <f>IF(AX197&gt;0,1,0)</f>
        <v>1</v>
      </c>
      <c r="AX197" s="16">
        <f>SUM(BA197,BM197,CT197)</f>
        <v>2</v>
      </c>
      <c r="AY197" s="18">
        <f>SUM(BB197,BN197,CV197)</f>
        <v>1654.5454545454547</v>
      </c>
      <c r="AZ197" s="16">
        <f>IF(BA197&gt;0,1,0)</f>
        <v>1</v>
      </c>
      <c r="BA197" s="16">
        <f>SUM(BC197,BF197,BI197)</f>
        <v>2</v>
      </c>
      <c r="BB197" s="16">
        <f>SUM(BE197,BH197,BK197)</f>
        <v>1654.5454545454547</v>
      </c>
      <c r="BC197" s="16">
        <v>1</v>
      </c>
      <c r="BD197" s="16">
        <v>15</v>
      </c>
      <c r="BE197" s="16">
        <f>BD197/AS197</f>
        <v>68.181818181818187</v>
      </c>
      <c r="BF197" s="16">
        <v>1</v>
      </c>
      <c r="BG197" s="23">
        <v>349</v>
      </c>
      <c r="BH197" s="16">
        <f>BG197/AS197</f>
        <v>1586.3636363636365</v>
      </c>
      <c r="BI197" s="16">
        <v>0</v>
      </c>
      <c r="BJ197" s="16">
        <v>0</v>
      </c>
      <c r="BK197" s="16">
        <f>BJ197/AS197</f>
        <v>0</v>
      </c>
      <c r="BL197" s="16">
        <f>IF(BM197&gt;0,1,0)</f>
        <v>0</v>
      </c>
      <c r="BM197" s="16">
        <f>SUM(BR197,BU197,BX197,CA197,CD197,CG197,CJ197,CM197,CP197)</f>
        <v>0</v>
      </c>
      <c r="BN197" s="16">
        <f>SUM(BW197,BZ197,CC197,CF197,CI197,CL197,CO197,CR197,BT197)</f>
        <v>0</v>
      </c>
      <c r="BO197" s="16">
        <f>IF(BP197&gt;0,1,0)</f>
        <v>0</v>
      </c>
      <c r="BP197" s="16">
        <f>SUM(BU197,BX197,CA197,CD197,BR197)</f>
        <v>0</v>
      </c>
      <c r="BQ197" s="16">
        <f>SUM(BZ197,CC197,CF197,BT197,BW197)</f>
        <v>0</v>
      </c>
      <c r="BR197" s="16">
        <v>0</v>
      </c>
      <c r="BS197" s="16">
        <v>0</v>
      </c>
      <c r="BT197" s="23">
        <f>BS197/AS197</f>
        <v>0</v>
      </c>
      <c r="BU197" s="16">
        <v>0</v>
      </c>
      <c r="BV197" s="16">
        <v>0</v>
      </c>
      <c r="BW197" s="16">
        <f>BV197/AS197</f>
        <v>0</v>
      </c>
      <c r="BX197" s="16">
        <v>0</v>
      </c>
      <c r="BY197" s="16">
        <v>0</v>
      </c>
      <c r="BZ197" s="16">
        <f>BY197/AS197</f>
        <v>0</v>
      </c>
      <c r="CA197" s="16">
        <v>0</v>
      </c>
      <c r="CB197" s="16">
        <v>0</v>
      </c>
      <c r="CC197" s="16">
        <f>CB197/AS197</f>
        <v>0</v>
      </c>
      <c r="CD197" s="23">
        <v>0</v>
      </c>
      <c r="CE197" s="16">
        <v>0</v>
      </c>
      <c r="CF197" s="16">
        <f>CE197/AS197</f>
        <v>0</v>
      </c>
      <c r="CG197" s="16">
        <v>0</v>
      </c>
      <c r="CH197" s="16">
        <v>0</v>
      </c>
      <c r="CI197" s="16">
        <f>CH197/AS197</f>
        <v>0</v>
      </c>
      <c r="CM197" s="16">
        <v>0</v>
      </c>
      <c r="CN197" s="16">
        <v>0</v>
      </c>
      <c r="CO197" s="16">
        <f>CN197/AS197</f>
        <v>0</v>
      </c>
      <c r="CP197" s="16">
        <v>0</v>
      </c>
      <c r="CR197" s="16">
        <f>CQ197/AS197</f>
        <v>0</v>
      </c>
      <c r="CS197" s="16">
        <f>IF(CT197&gt;0,1,0)</f>
        <v>0</v>
      </c>
      <c r="CT197" s="16">
        <f>SUM(CW197,CZ197,DC197)</f>
        <v>0</v>
      </c>
      <c r="CV197" s="16">
        <f>SUM(CY197,DB197,DE197)</f>
        <v>0</v>
      </c>
      <c r="CW197" s="16">
        <v>0</v>
      </c>
      <c r="CX197" s="16">
        <v>0</v>
      </c>
      <c r="CY197" s="16">
        <f>CX197/AS197</f>
        <v>0</v>
      </c>
      <c r="CZ197" s="16">
        <v>0</v>
      </c>
      <c r="DA197" s="16">
        <v>0</v>
      </c>
      <c r="DB197" s="16">
        <f>DA197/AS197</f>
        <v>0</v>
      </c>
      <c r="DC197" s="16">
        <v>0</v>
      </c>
      <c r="DD197" s="16">
        <v>0</v>
      </c>
      <c r="DE197" s="16">
        <f>DD197/AS197</f>
        <v>0</v>
      </c>
      <c r="DF197" s="16" t="e">
        <f>VLOOKUP(K197,'[3]RNA Seq summary tables'!$V$3:$V$99,1,FALSE)</f>
        <v>#N/A</v>
      </c>
      <c r="DI197" s="16">
        <v>17</v>
      </c>
      <c r="DK197" s="16">
        <v>49</v>
      </c>
      <c r="DM197" s="16">
        <v>4</v>
      </c>
      <c r="DO197" s="16">
        <v>0</v>
      </c>
      <c r="DQ197" s="16">
        <v>0</v>
      </c>
      <c r="DR197" s="16">
        <f>SUM(DI197:DQ197)</f>
        <v>70</v>
      </c>
    </row>
    <row r="198" spans="2:288" ht="16" x14ac:dyDescent="0.2">
      <c r="B198" s="16">
        <v>2017</v>
      </c>
      <c r="C198" s="20">
        <v>42929</v>
      </c>
      <c r="D198" s="20" t="str">
        <f>CONCATENATE(J198,"-",C198)</f>
        <v>1076-42929</v>
      </c>
      <c r="E198" s="37" t="str">
        <f>CONCATENATE(T198,"-",U198,"-",C198)</f>
        <v>PO2-G4-42929</v>
      </c>
      <c r="F198" s="20" t="s">
        <v>106</v>
      </c>
      <c r="G198" s="20" t="s">
        <v>107</v>
      </c>
      <c r="I198" s="16">
        <v>0</v>
      </c>
      <c r="J198" s="21">
        <v>1076</v>
      </c>
      <c r="K198" s="21">
        <v>1892</v>
      </c>
      <c r="L198" s="18">
        <v>0</v>
      </c>
      <c r="M198" s="21">
        <f>VLOOKUP($K198,'[4]blood tubes 2017'!$D$1:$L$647,8,FALSE)</f>
        <v>0</v>
      </c>
      <c r="N198" s="15">
        <v>0</v>
      </c>
      <c r="O198" s="15" t="s">
        <v>119</v>
      </c>
      <c r="P198" s="16" t="s">
        <v>119</v>
      </c>
      <c r="Q198" s="16">
        <v>0</v>
      </c>
      <c r="R198" s="16">
        <v>18</v>
      </c>
      <c r="T198" s="16" t="s">
        <v>127</v>
      </c>
      <c r="U198" s="16" t="s">
        <v>173</v>
      </c>
      <c r="V198" s="16" t="s">
        <v>114</v>
      </c>
      <c r="W198" s="16">
        <f>AI198/AG198</f>
        <v>0.8314606741573034</v>
      </c>
      <c r="X198" s="16" t="s">
        <v>115</v>
      </c>
      <c r="Y198" s="16" t="s">
        <v>110</v>
      </c>
      <c r="Z198" s="16">
        <v>3</v>
      </c>
      <c r="AE198" s="16" t="s">
        <v>116</v>
      </c>
      <c r="AF198" s="16" t="s">
        <v>116</v>
      </c>
      <c r="AG198" s="16">
        <f>AH198-AI198</f>
        <v>89</v>
      </c>
      <c r="AH198" s="16">
        <v>163</v>
      </c>
      <c r="AI198" s="16">
        <v>74</v>
      </c>
      <c r="AK198" s="16">
        <v>25</v>
      </c>
      <c r="AL198" s="16">
        <v>0</v>
      </c>
      <c r="AM198" s="16">
        <v>0</v>
      </c>
      <c r="AN198" s="16">
        <v>0</v>
      </c>
      <c r="AO198" s="16">
        <v>0</v>
      </c>
      <c r="AP198" s="16">
        <f>SUM(AL198:AN198)</f>
        <v>0</v>
      </c>
      <c r="AQ198" s="16">
        <v>1.6819999999999999</v>
      </c>
      <c r="AR198" s="16">
        <f>AP198-1.472</f>
        <v>-1.472</v>
      </c>
      <c r="AS198" s="16">
        <f>AQ198-1.472</f>
        <v>0.20999999999999996</v>
      </c>
      <c r="AT198" s="16" t="str">
        <f>VLOOKUP(E198,[2]Current!$A$1:$W$435,7,FALSE)</f>
        <v>NB</v>
      </c>
      <c r="AU198" s="16" t="s">
        <v>1288</v>
      </c>
      <c r="AV198" s="23">
        <v>1</v>
      </c>
      <c r="AW198" s="128">
        <f>IF(AX198&gt;0,1,0)</f>
        <v>0</v>
      </c>
      <c r="AX198" s="128">
        <f>SUM(BA198,BM198,CU198)</f>
        <v>0</v>
      </c>
      <c r="AY198" s="128">
        <f>SUM(BB198,BN198,CV198)</f>
        <v>0</v>
      </c>
      <c r="AZ198" s="128">
        <f>IF(BA198&gt;0,1,0)</f>
        <v>0</v>
      </c>
      <c r="BA198" s="128">
        <f>SUM(BC198+BF198+BI198)</f>
        <v>0</v>
      </c>
      <c r="BB198" s="128">
        <f>SUM(BE198,BH198,BK198)</f>
        <v>0</v>
      </c>
      <c r="BC198" s="130">
        <f>IF(BD198&gt;0,1,0)</f>
        <v>0</v>
      </c>
      <c r="BD198" s="128">
        <f>VLOOKUP($E198,[2]Current!$A:$AC,26,FALSE)</f>
        <v>0</v>
      </c>
      <c r="BE198" s="128">
        <f>BD198/$AS198</f>
        <v>0</v>
      </c>
      <c r="BF198" s="130">
        <f>IF(BG198&gt;0,1,0)</f>
        <v>0</v>
      </c>
      <c r="BG198" s="175">
        <f>VLOOKUP($E198,[2]Current!$A:$AC,27,FALSE)</f>
        <v>0</v>
      </c>
      <c r="BH198" s="128">
        <f>BG198/$AS198</f>
        <v>0</v>
      </c>
      <c r="BI198" s="130">
        <f>IF(BJ198&gt;0,1,0)</f>
        <v>0</v>
      </c>
      <c r="BJ198" s="128">
        <f>VLOOKUP($E198,[2]Current!$A:$AC,28,FALSE)</f>
        <v>0</v>
      </c>
      <c r="BK198" s="128">
        <f>BJ198/$AS198</f>
        <v>0</v>
      </c>
      <c r="BL198" s="128">
        <f>IF(BM198&gt;0,1,0)</f>
        <v>0</v>
      </c>
      <c r="BM198" s="128">
        <f>SUM(BR198,BU198,BX198,CA198,CD198)</f>
        <v>0</v>
      </c>
      <c r="BN198" s="131">
        <f>SUM(BT198,BW198,BZ198,CC198,CF198)</f>
        <v>0</v>
      </c>
      <c r="BO198" s="128">
        <f>IF(BP198&gt;0,1,0)</f>
        <v>0</v>
      </c>
      <c r="BP198" s="128">
        <f>BM198+CJ198</f>
        <v>0</v>
      </c>
      <c r="BQ198" s="128">
        <f>BN198+CL198</f>
        <v>0</v>
      </c>
      <c r="BR198" s="130">
        <f>IF(BS198&gt;0,1,0)</f>
        <v>0</v>
      </c>
      <c r="BS198" s="128">
        <f>VLOOKUP($E198,[2]Current!$A:$AC,12,FALSE)</f>
        <v>0</v>
      </c>
      <c r="BT198" s="175">
        <f>BS198/$AS198</f>
        <v>0</v>
      </c>
      <c r="BU198" s="130">
        <f>IF(BV198&gt;0,1,0)</f>
        <v>0</v>
      </c>
      <c r="BV198" s="128">
        <f>VLOOKUP($E198,[2]Current!$A:$AC,13,FALSE)</f>
        <v>0</v>
      </c>
      <c r="BW198" s="128">
        <f>BV198/$AS198</f>
        <v>0</v>
      </c>
      <c r="BX198" s="130">
        <f>IF(BY198&gt;0,1,0)</f>
        <v>0</v>
      </c>
      <c r="BY198" s="128">
        <f>VLOOKUP($E198,[2]Current!$A:$AC,14,FALSE)</f>
        <v>0</v>
      </c>
      <c r="BZ198" s="128">
        <f>BY198/$AS198</f>
        <v>0</v>
      </c>
      <c r="CA198" s="130">
        <f>IF(CB198&gt;0,1,0)</f>
        <v>0</v>
      </c>
      <c r="CB198" s="128">
        <f>VLOOKUP($E198,[2]Current!$A:$AC,15,FALSE)</f>
        <v>0</v>
      </c>
      <c r="CC198" s="128">
        <f>CB198/$AS198</f>
        <v>0</v>
      </c>
      <c r="CD198" s="176">
        <f>IF(CE198&gt;0,1,0)</f>
        <v>0</v>
      </c>
      <c r="CE198" s="128">
        <f>VLOOKUP($E198,[2]Current!$A:$AC,16,FALSE)</f>
        <v>0</v>
      </c>
      <c r="CF198" s="128">
        <f>CE198/$AS198</f>
        <v>0</v>
      </c>
      <c r="CG198" s="18"/>
      <c r="CH198" s="18"/>
      <c r="CI198" s="18"/>
      <c r="CJ198" s="130">
        <f>IF(CK198&gt;0,1,0)</f>
        <v>0</v>
      </c>
      <c r="CK198" s="128">
        <f>VLOOKUP($E198,[2]Current!$A:$AC,18,FALSE)</f>
        <v>0</v>
      </c>
      <c r="CL198" s="128">
        <f>CK198/$AS198</f>
        <v>0</v>
      </c>
      <c r="CS198" s="130">
        <f>IF(CU198&gt;0,1,0)</f>
        <v>0</v>
      </c>
      <c r="CU198" s="128">
        <f>VLOOKUP($E198,[2]Current!$A:$AC,17,FALSE)</f>
        <v>0</v>
      </c>
      <c r="CV198" s="128">
        <f>CU198/$AS198</f>
        <v>0</v>
      </c>
      <c r="CW198" s="18"/>
      <c r="CX198" s="18"/>
      <c r="CY198" s="18"/>
      <c r="DF198" s="16" t="e">
        <f>VLOOKUP(K198,'[3]RNA Seq summary tables'!$V$3:$V$99,1,FALSE)</f>
        <v>#N/A</v>
      </c>
      <c r="JR198" s="19"/>
      <c r="JS198" s="19"/>
      <c r="JT198" s="19"/>
      <c r="JU198" s="19"/>
      <c r="JV198" s="19"/>
      <c r="JW198" s="19"/>
      <c r="JX198" s="19"/>
      <c r="JY198" s="19"/>
      <c r="JZ198" s="19"/>
      <c r="KA198" s="19"/>
      <c r="KB198" s="19"/>
    </row>
    <row r="199" spans="2:288" x14ac:dyDescent="0.2">
      <c r="B199" s="16">
        <v>2017</v>
      </c>
      <c r="C199" s="20">
        <v>42947</v>
      </c>
      <c r="D199" s="20" t="str">
        <f>CONCATENATE(J199,"-",C199)</f>
        <v>1076-42947</v>
      </c>
      <c r="E199" s="20" t="str">
        <f>CONCATENATE(T199,"-",U199,"-",C199)</f>
        <v>PO2-E8-42947</v>
      </c>
      <c r="F199" s="20" t="s">
        <v>106</v>
      </c>
      <c r="G199" s="20" t="s">
        <v>107</v>
      </c>
      <c r="I199" s="16">
        <v>0</v>
      </c>
      <c r="J199" s="21">
        <v>1076</v>
      </c>
      <c r="K199" s="21">
        <v>2023</v>
      </c>
      <c r="L199" s="18">
        <v>0</v>
      </c>
      <c r="M199" s="21">
        <f>VLOOKUP($K199,'[4]blood tubes 2017'!$D$1:$L$647,8,FALSE)</f>
        <v>0</v>
      </c>
      <c r="N199" s="15">
        <v>0</v>
      </c>
      <c r="O199" s="15" t="s">
        <v>119</v>
      </c>
      <c r="P199" s="16" t="s">
        <v>119</v>
      </c>
      <c r="Q199" s="16">
        <v>0</v>
      </c>
      <c r="R199" s="16">
        <v>18</v>
      </c>
      <c r="T199" s="16" t="s">
        <v>127</v>
      </c>
      <c r="U199" s="16" t="s">
        <v>181</v>
      </c>
      <c r="V199" s="16" t="s">
        <v>114</v>
      </c>
      <c r="W199" s="16">
        <f>AI199/AG199</f>
        <v>0.76288659793814428</v>
      </c>
      <c r="X199" s="16" t="s">
        <v>115</v>
      </c>
      <c r="Y199" s="16" t="s">
        <v>110</v>
      </c>
      <c r="Z199" s="16">
        <v>3</v>
      </c>
      <c r="AE199" s="16" t="s">
        <v>116</v>
      </c>
      <c r="AF199" s="16" t="s">
        <v>116</v>
      </c>
      <c r="AG199" s="16">
        <f>AH199-AI199</f>
        <v>97</v>
      </c>
      <c r="AH199" s="16">
        <v>171</v>
      </c>
      <c r="AI199" s="16">
        <v>74</v>
      </c>
      <c r="AK199" s="16">
        <v>25.5</v>
      </c>
      <c r="AL199" s="16">
        <v>0</v>
      </c>
      <c r="AM199" s="16">
        <v>0</v>
      </c>
      <c r="AN199" s="16">
        <v>0</v>
      </c>
      <c r="AO199" s="16">
        <v>0</v>
      </c>
      <c r="AP199" s="16">
        <f>SUM(AL199:AN199)</f>
        <v>0</v>
      </c>
      <c r="AQ199" s="16">
        <v>1.67</v>
      </c>
      <c r="AR199" s="16">
        <f>AP199-1.472</f>
        <v>-1.472</v>
      </c>
      <c r="AS199" s="16">
        <f>AQ199-1.472</f>
        <v>0.19799999999999995</v>
      </c>
      <c r="AT199" s="16" t="str">
        <f>VLOOKUP(K199,'[5]FECs - good data'!$C$1:$P$575,13,FALSE)</f>
        <v>JB</v>
      </c>
      <c r="AW199" s="18">
        <f>IF(AX199&gt;0,1,0)</f>
        <v>1</v>
      </c>
      <c r="AX199" s="18">
        <f>SUM(BA199,BM199,CT199)</f>
        <v>4</v>
      </c>
      <c r="AY199" s="18">
        <f>SUM(BB199,BN199,CV199)</f>
        <v>1727.2727272727277</v>
      </c>
      <c r="AZ199" s="18">
        <f>IF(BA199&gt;0,1,0)</f>
        <v>1</v>
      </c>
      <c r="BA199" s="18">
        <f>SUM(BC199,BF199,BI199)</f>
        <v>3</v>
      </c>
      <c r="BB199" s="18">
        <f>SUM(BE199,BH199,BK199)</f>
        <v>1722.2222222222226</v>
      </c>
      <c r="BC199" s="18">
        <f>IF(BD199&gt;0,1,0)</f>
        <v>1</v>
      </c>
      <c r="BD199" s="18">
        <f>VLOOKUP($K199,'[5]FECs - good data'!$C$1:$Z$574,14,FALSE)</f>
        <v>49</v>
      </c>
      <c r="BE199" s="16">
        <f>BD199/AS199</f>
        <v>247.47474747474755</v>
      </c>
      <c r="BF199" s="16">
        <f>IF(BG199&gt;0,1,0)</f>
        <v>1</v>
      </c>
      <c r="BG199" s="23">
        <f>VLOOKUP($K199,'[5]FECs - good data'!$C$1:$Z$574,15,FALSE)</f>
        <v>219</v>
      </c>
      <c r="BH199" s="16">
        <f>BG199/AS199</f>
        <v>1106.0606060606062</v>
      </c>
      <c r="BI199" s="16">
        <f>IF(BJ199&gt;0,1,0)</f>
        <v>1</v>
      </c>
      <c r="BJ199" s="16">
        <f>VLOOKUP($K199,'[5]FECs - good data'!$C$1:$Z$574,16,FALSE)</f>
        <v>73</v>
      </c>
      <c r="BK199" s="16">
        <f>BJ199/AS199</f>
        <v>368.68686868686876</v>
      </c>
      <c r="BL199" s="16">
        <f>IF(BM199&gt;0,1,0)</f>
        <v>1</v>
      </c>
      <c r="BM199" s="16">
        <f>SUM(BR199,BU199,BX199,CA199,CD199,CG199,CJ199,CM199,CP199)</f>
        <v>1</v>
      </c>
      <c r="BN199" s="16">
        <f>SUM(BW199,BZ199,CC199,CF199,CI199,CL199,CO199,CR199,BT199)</f>
        <v>5.0505050505050519</v>
      </c>
      <c r="BO199" s="16">
        <f>IF(BP199&gt;0,1,0)</f>
        <v>1</v>
      </c>
      <c r="BP199" s="16">
        <f>SUM(BU199,BX199,CA199,CD199,BR199)</f>
        <v>1</v>
      </c>
      <c r="BQ199" s="16">
        <f>SUM(BZ199,CC199,CF199,BT199,BW199)</f>
        <v>5.0505050505050519</v>
      </c>
      <c r="BR199" s="16">
        <f>IF(BS199&gt;0,1,0)</f>
        <v>0</v>
      </c>
      <c r="BS199" s="16">
        <f>VLOOKUP($K199,'[5]FECs - good data'!$C$1:$Z$574,17,FALSE)</f>
        <v>0</v>
      </c>
      <c r="BT199" s="23">
        <f>BS199/AS199</f>
        <v>0</v>
      </c>
      <c r="BU199" s="16">
        <f>IF(BV199&gt;0,1,0)</f>
        <v>0</v>
      </c>
      <c r="BV199" s="16">
        <f>VLOOKUP($K199,'[5]FECs - good data'!$C$1:$Z$574,18,FALSE)</f>
        <v>0</v>
      </c>
      <c r="BW199" s="16">
        <f>BV199/AS199</f>
        <v>0</v>
      </c>
      <c r="BX199" s="16">
        <f>IF(BY199&gt;0,1,0)</f>
        <v>0</v>
      </c>
      <c r="BY199" s="16">
        <f>VLOOKUP($K199,'[5]FECs - good data'!$C$1:$Z$574,19,FALSE)</f>
        <v>0</v>
      </c>
      <c r="BZ199" s="16">
        <f>BY199/AS199</f>
        <v>0</v>
      </c>
      <c r="CA199" s="16">
        <f>IF(CB199&gt;0,1,0)</f>
        <v>1</v>
      </c>
      <c r="CB199" s="16">
        <f>VLOOKUP($K199,'[5]FECs - good data'!$C$1:$Z$574,20,FALSE)</f>
        <v>1</v>
      </c>
      <c r="CC199" s="16">
        <f>CB199/AS199</f>
        <v>5.0505050505050519</v>
      </c>
      <c r="CD199" s="23">
        <f>IF(CE199&gt;0,1,0)</f>
        <v>0</v>
      </c>
      <c r="CE199" s="16">
        <f>VLOOKUP($K199,'[5]FECs - good data'!$C$1:$Z$574,21,FALSE)</f>
        <v>0</v>
      </c>
      <c r="CF199" s="16">
        <f>CE199/AS199</f>
        <v>0</v>
      </c>
      <c r="CG199" s="16">
        <f>IF(CH199&gt;0,1,0)</f>
        <v>0</v>
      </c>
      <c r="CH199" s="16">
        <f>VLOOKUP($K199,'[5]FECs - good data'!$C$1:$Z$574,22,FALSE)</f>
        <v>0</v>
      </c>
      <c r="CI199" s="16">
        <f>CH199/AS199</f>
        <v>0</v>
      </c>
      <c r="CJ199" s="16">
        <f>IF(CK199&gt;0,1,0)</f>
        <v>0</v>
      </c>
      <c r="CK199" s="16">
        <f>VLOOKUP($K199,'[5]FECs - good data'!$C$1:$Z$674,24,FALSE)</f>
        <v>0</v>
      </c>
      <c r="CL199" s="16">
        <f>CK199/AS199</f>
        <v>0</v>
      </c>
      <c r="CS199" s="16">
        <f>IF(CT199&gt;0,1,0)</f>
        <v>0</v>
      </c>
      <c r="CT199" s="16">
        <f>SUM(CW199+CZ199,DC199)</f>
        <v>0</v>
      </c>
      <c r="CV199" s="16">
        <f>SUM(CY199,DB199,DE199)</f>
        <v>0</v>
      </c>
      <c r="CW199" s="16">
        <f>IF(CX199&gt;0,1,0)</f>
        <v>0</v>
      </c>
      <c r="CX199" s="16">
        <f>VLOOKUP($K199,'[5]FECs - good data'!$C$1:$Z$574,22,FALSE)</f>
        <v>0</v>
      </c>
      <c r="CY199" s="16">
        <f>CX199/AS199</f>
        <v>0</v>
      </c>
      <c r="CZ199" s="16">
        <f>IF(DA199&gt;0,1,0)</f>
        <v>0</v>
      </c>
      <c r="DA199" s="16">
        <f>VLOOKUP($K199,'[5]FECs - good data'!$C$1:$Z$5982,23,FALSE)</f>
        <v>0</v>
      </c>
      <c r="DB199" s="16">
        <f>DA199/AS199</f>
        <v>0</v>
      </c>
      <c r="DC199" s="16">
        <f>IF(DD199&gt;0,1,0)</f>
        <v>0</v>
      </c>
      <c r="DD199" s="16">
        <f>VLOOKUP($K199,'[5]FECs - good data'!$C$1:$Z$574,23,FALSE)</f>
        <v>0</v>
      </c>
      <c r="DE199" s="16">
        <f>DD199/AS199</f>
        <v>0</v>
      </c>
      <c r="DF199" s="16" t="e">
        <f>VLOOKUP(K199,'[3]RNA Seq summary tables'!$V$3:$V$99,1,FALSE)</f>
        <v>#N/A</v>
      </c>
      <c r="DG199" s="16">
        <v>1</v>
      </c>
      <c r="DH199" s="16" t="str">
        <f>VLOOKUP(D199,'[6]workflow 3.2018'!$A$1:$S$237,2,FALSE)</f>
        <v>2017MLBS_98</v>
      </c>
    </row>
    <row r="200" spans="2:288" x14ac:dyDescent="0.2">
      <c r="B200" s="16">
        <v>2017</v>
      </c>
      <c r="C200" s="20">
        <v>42963</v>
      </c>
      <c r="D200" s="20" t="str">
        <f>CONCATENATE(J200,"-",C200)</f>
        <v>1076-42963</v>
      </c>
      <c r="E200" s="20" t="str">
        <f>CONCATENATE(T200,"-",U200,"-",C200)</f>
        <v>PO2-E2-42963</v>
      </c>
      <c r="F200" s="20" t="s">
        <v>106</v>
      </c>
      <c r="G200" s="20" t="s">
        <v>107</v>
      </c>
      <c r="I200" s="16">
        <v>0</v>
      </c>
      <c r="J200" s="21">
        <v>1076</v>
      </c>
      <c r="K200" s="21">
        <v>2160</v>
      </c>
      <c r="L200" s="18">
        <v>0</v>
      </c>
      <c r="M200" s="21">
        <f>VLOOKUP($K200,'[4]blood tubes 2017'!$D$1:$L$647,8,FALSE)</f>
        <v>0</v>
      </c>
      <c r="N200" s="15">
        <v>0</v>
      </c>
      <c r="O200" s="15" t="s">
        <v>119</v>
      </c>
      <c r="P200" s="16" t="s">
        <v>119</v>
      </c>
      <c r="Q200" s="16">
        <v>0</v>
      </c>
      <c r="R200" s="16">
        <v>16</v>
      </c>
      <c r="T200" s="16" t="s">
        <v>127</v>
      </c>
      <c r="U200" s="16" t="s">
        <v>136</v>
      </c>
      <c r="V200" s="16" t="s">
        <v>114</v>
      </c>
      <c r="W200" s="16">
        <f>AI200/AG200</f>
        <v>0.86363636363636365</v>
      </c>
      <c r="X200" s="16" t="s">
        <v>115</v>
      </c>
      <c r="Y200" s="16" t="s">
        <v>110</v>
      </c>
      <c r="Z200" s="16">
        <v>3</v>
      </c>
      <c r="AE200" s="16" t="s">
        <v>116</v>
      </c>
      <c r="AF200" s="16" t="s">
        <v>116</v>
      </c>
      <c r="AG200" s="16">
        <f>AH200-AI200</f>
        <v>88</v>
      </c>
      <c r="AH200" s="16">
        <v>164</v>
      </c>
      <c r="AI200" s="16">
        <v>76</v>
      </c>
      <c r="AK200" s="16">
        <v>25</v>
      </c>
      <c r="AL200" s="16">
        <v>1</v>
      </c>
      <c r="AM200" s="16">
        <v>0</v>
      </c>
      <c r="AN200" s="16">
        <v>0</v>
      </c>
      <c r="AO200" s="16">
        <v>1</v>
      </c>
      <c r="AP200" s="16">
        <f>SUM(AL200:AN200)</f>
        <v>1</v>
      </c>
      <c r="AQ200" s="16">
        <v>1.6060000000000001</v>
      </c>
      <c r="AR200" s="16">
        <f>AP200-1.472</f>
        <v>-0.47199999999999998</v>
      </c>
      <c r="AS200" s="16">
        <f>AQ200-1.472</f>
        <v>0.13400000000000012</v>
      </c>
      <c r="AT200" s="16" t="str">
        <f>VLOOKUP(K200,'[5]FECs - good data'!$C$1:$P$575,13,FALSE)</f>
        <v>NB</v>
      </c>
      <c r="AW200" s="18">
        <f>IF(AX200&gt;0,1,0)</f>
        <v>1</v>
      </c>
      <c r="AX200" s="18">
        <f>SUM(BA200,BM200,CT200)</f>
        <v>1</v>
      </c>
      <c r="AY200" s="18">
        <f>SUM(BB200,BN200,CV200)</f>
        <v>7.4626865671641722</v>
      </c>
      <c r="AZ200" s="18">
        <f>IF(BA200&gt;0,1,0)</f>
        <v>0</v>
      </c>
      <c r="BA200" s="18">
        <f>SUM(BC200,BF200,BI200)</f>
        <v>0</v>
      </c>
      <c r="BB200" s="18">
        <f>SUM(BE200,BH200,BK200)</f>
        <v>0</v>
      </c>
      <c r="BC200" s="18">
        <f>IF(BD200&gt;0,1,0)</f>
        <v>0</v>
      </c>
      <c r="BD200" s="18">
        <f>VLOOKUP($K200,'[5]FECs - good data'!$C$1:$Z$574,14,FALSE)</f>
        <v>0</v>
      </c>
      <c r="BE200" s="16">
        <f>BD200/AS200</f>
        <v>0</v>
      </c>
      <c r="BF200" s="16">
        <f>IF(BG200&gt;0,1,0)</f>
        <v>0</v>
      </c>
      <c r="BG200" s="23">
        <f>VLOOKUP($K200,'[5]FECs - good data'!$C$1:$Z$574,15,FALSE)</f>
        <v>0</v>
      </c>
      <c r="BH200" s="16">
        <f>BG200/AS200</f>
        <v>0</v>
      </c>
      <c r="BI200" s="16">
        <f>IF(BJ200&gt;0,1,0)</f>
        <v>0</v>
      </c>
      <c r="BJ200" s="16">
        <f>VLOOKUP($K200,'[5]FECs - good data'!$C$1:$Z$574,16,FALSE)</f>
        <v>0</v>
      </c>
      <c r="BK200" s="16">
        <f>BJ200/AS200</f>
        <v>0</v>
      </c>
      <c r="BL200" s="16">
        <f>IF(BM200&gt;0,1,0)</f>
        <v>1</v>
      </c>
      <c r="BM200" s="16">
        <f>SUM(BR200,BU200,BX200,CA200,CD200,CG200,CJ200,CM200,CP200)</f>
        <v>1</v>
      </c>
      <c r="BN200" s="16">
        <f>SUM(BW200,BZ200,CC200,CF200,CI200,CL200,CO200,CR200,BT200)</f>
        <v>7.4626865671641722</v>
      </c>
      <c r="BO200" s="16">
        <f>IF(BP200&gt;0,1,0)</f>
        <v>1</v>
      </c>
      <c r="BP200" s="16">
        <f>SUM(BU200,BX200,CA200,CD200,BR200)</f>
        <v>1</v>
      </c>
      <c r="BQ200" s="16">
        <f>SUM(BZ200,CC200,CF200,BT200,BW200)</f>
        <v>7.4626865671641722</v>
      </c>
      <c r="BR200" s="16">
        <f>IF(BS200&gt;0,1,0)</f>
        <v>0</v>
      </c>
      <c r="BS200" s="16">
        <f>VLOOKUP($K200,'[5]FECs - good data'!$C$1:$Z$574,17,FALSE)</f>
        <v>0</v>
      </c>
      <c r="BT200" s="23">
        <f>BS200/AS200</f>
        <v>0</v>
      </c>
      <c r="BU200" s="16">
        <f>IF(BV200&gt;0,1,0)</f>
        <v>0</v>
      </c>
      <c r="BV200" s="16">
        <f>VLOOKUP($K200,'[5]FECs - good data'!$C$1:$Z$574,18,FALSE)</f>
        <v>0</v>
      </c>
      <c r="BW200" s="16">
        <f>BV200/AS200</f>
        <v>0</v>
      </c>
      <c r="BX200" s="16">
        <f>IF(BY200&gt;0,1,0)</f>
        <v>0</v>
      </c>
      <c r="BY200" s="16">
        <f>VLOOKUP($K200,'[5]FECs - good data'!$C$1:$Z$574,19,FALSE)</f>
        <v>0</v>
      </c>
      <c r="BZ200" s="16">
        <f>BY200/AS200</f>
        <v>0</v>
      </c>
      <c r="CA200" s="16">
        <f>IF(CB200&gt;0,1,0)</f>
        <v>1</v>
      </c>
      <c r="CB200" s="16">
        <f>VLOOKUP($K200,'[5]FECs - good data'!$C$1:$Z$574,20,FALSE)</f>
        <v>1</v>
      </c>
      <c r="CC200" s="16">
        <f>CB200/AS200</f>
        <v>7.4626865671641722</v>
      </c>
      <c r="CD200" s="23">
        <f>IF(CE200&gt;0,1,0)</f>
        <v>0</v>
      </c>
      <c r="CE200" s="16">
        <f>VLOOKUP($K200,'[5]FECs - good data'!$C$1:$Z$574,21,FALSE)</f>
        <v>0</v>
      </c>
      <c r="CF200" s="16">
        <f>CE200/AS200</f>
        <v>0</v>
      </c>
      <c r="CG200" s="16">
        <f>IF(CH200&gt;0,1,0)</f>
        <v>0</v>
      </c>
      <c r="CH200" s="16">
        <f>VLOOKUP($K200,'[5]FECs - good data'!$C$1:$Z$574,22,FALSE)</f>
        <v>0</v>
      </c>
      <c r="CI200" s="16">
        <f>CH200/AS200</f>
        <v>0</v>
      </c>
      <c r="CJ200" s="16">
        <f>IF(CK200&gt;0,1,0)</f>
        <v>0</v>
      </c>
      <c r="CK200" s="16">
        <f>VLOOKUP($K200,'[5]FECs - good data'!$C$1:$Z$674,24,FALSE)</f>
        <v>0</v>
      </c>
      <c r="CL200" s="16">
        <f>CK200/AS200</f>
        <v>0</v>
      </c>
      <c r="CS200" s="16">
        <f>IF(CT200&gt;0,1,0)</f>
        <v>0</v>
      </c>
      <c r="CT200" s="16">
        <f>SUM(CW200+CZ200,DC200)</f>
        <v>0</v>
      </c>
      <c r="CV200" s="16">
        <f>SUM(CY200,DB200,DE200)</f>
        <v>0</v>
      </c>
      <c r="CW200" s="16">
        <f>IF(CX200&gt;0,1,0)</f>
        <v>0</v>
      </c>
      <c r="CX200" s="16">
        <f>VLOOKUP($K200,'[5]FECs - good data'!$C$1:$Z$574,22,FALSE)</f>
        <v>0</v>
      </c>
      <c r="CY200" s="16">
        <f>CX200/AS200</f>
        <v>0</v>
      </c>
      <c r="CZ200" s="16">
        <f>IF(DA200&gt;0,1,0)</f>
        <v>0</v>
      </c>
      <c r="DA200" s="16">
        <f>VLOOKUP($K200,'[5]FECs - good data'!$C$1:$Z$5982,23,FALSE)</f>
        <v>0</v>
      </c>
      <c r="DB200" s="16">
        <f>DA200/AS200</f>
        <v>0</v>
      </c>
      <c r="DC200" s="16">
        <f>IF(DD200&gt;0,1,0)</f>
        <v>0</v>
      </c>
      <c r="DD200" s="16">
        <f>VLOOKUP($K200,'[5]FECs - good data'!$C$1:$Z$574,23,FALSE)</f>
        <v>0</v>
      </c>
      <c r="DE200" s="16">
        <f>DD200/AS200</f>
        <v>0</v>
      </c>
      <c r="DF200" s="16" t="e">
        <f>VLOOKUP(K200,'[3]RNA Seq summary tables'!$V$3:$V$99,1,FALSE)</f>
        <v>#N/A</v>
      </c>
      <c r="DG200" s="16">
        <v>1</v>
      </c>
      <c r="DH200" s="16" t="str">
        <f>VLOOKUP(D200,'[6]workflow 3.2018'!$A$1:$S$237,2,FALSE)</f>
        <v>2017MLBS_153</v>
      </c>
      <c r="JO200" s="38"/>
      <c r="JP200" s="38"/>
      <c r="JQ200" s="38"/>
    </row>
    <row r="201" spans="2:288" x14ac:dyDescent="0.2">
      <c r="B201" s="16">
        <v>2017</v>
      </c>
      <c r="C201" s="20">
        <v>42975</v>
      </c>
      <c r="D201" s="20" t="str">
        <f>CONCATENATE(J201,"-",C201)</f>
        <v>1076-42975</v>
      </c>
      <c r="E201" s="20" t="str">
        <f>CONCATENATE(T201,"-",U201,"-",C201)</f>
        <v>PO2-G6-42975</v>
      </c>
      <c r="F201" s="37" t="s">
        <v>224</v>
      </c>
      <c r="G201" s="20" t="s">
        <v>107</v>
      </c>
      <c r="I201" s="16">
        <v>0</v>
      </c>
      <c r="J201" s="21">
        <v>1076</v>
      </c>
      <c r="K201" s="21">
        <v>2293</v>
      </c>
      <c r="L201" s="18">
        <v>0</v>
      </c>
      <c r="M201" s="21">
        <f>VLOOKUP($K201,'[4]blood tubes 2017'!$D$1:$L$947,8,FALSE)</f>
        <v>0</v>
      </c>
      <c r="N201" s="15">
        <v>0</v>
      </c>
      <c r="O201" s="15" t="s">
        <v>119</v>
      </c>
      <c r="P201" s="16" t="s">
        <v>119</v>
      </c>
      <c r="Q201" s="16">
        <v>0</v>
      </c>
      <c r="R201" s="16">
        <v>12</v>
      </c>
      <c r="T201" s="16" t="s">
        <v>127</v>
      </c>
      <c r="U201" s="16" t="s">
        <v>218</v>
      </c>
      <c r="V201" s="16" t="s">
        <v>114</v>
      </c>
      <c r="W201" s="16">
        <f>AI201/AG201</f>
        <v>0.81914893617021278</v>
      </c>
      <c r="X201" s="16" t="s">
        <v>115</v>
      </c>
      <c r="Y201" s="16" t="s">
        <v>110</v>
      </c>
      <c r="Z201" s="16">
        <v>3</v>
      </c>
      <c r="AE201" s="16" t="s">
        <v>116</v>
      </c>
      <c r="AF201" s="16" t="s">
        <v>116</v>
      </c>
      <c r="AG201" s="16">
        <f>AH201-AI201</f>
        <v>94</v>
      </c>
      <c r="AH201" s="16">
        <v>171</v>
      </c>
      <c r="AI201" s="16">
        <v>77</v>
      </c>
      <c r="AK201" s="16">
        <v>25.5</v>
      </c>
      <c r="AL201" s="16">
        <v>0</v>
      </c>
      <c r="AM201" s="16">
        <v>1</v>
      </c>
      <c r="AN201" s="16">
        <v>0</v>
      </c>
      <c r="AO201" s="16">
        <v>1</v>
      </c>
      <c r="AP201" s="16">
        <f>SUM(AL201:AN201)</f>
        <v>1</v>
      </c>
      <c r="AQ201" s="16">
        <v>1.655</v>
      </c>
      <c r="AR201" s="16">
        <f>AP201-1.472</f>
        <v>-0.47199999999999998</v>
      </c>
      <c r="AS201" s="16">
        <f>AQ201-1.472</f>
        <v>0.18300000000000005</v>
      </c>
      <c r="AT201" s="41" t="str">
        <f>VLOOKUP(K201,'[5]FECs - good data'!$C$1:$P$575,13,FALSE)</f>
        <v>missing</v>
      </c>
      <c r="AU201" s="41"/>
      <c r="AV201" s="41"/>
      <c r="AW201" s="41"/>
      <c r="AX201" s="41"/>
      <c r="AY201" s="41"/>
      <c r="AZ201" s="41"/>
      <c r="BA201" s="41"/>
      <c r="BB201" s="41"/>
      <c r="BC201" s="41"/>
      <c r="BD201" s="41"/>
      <c r="BE201" s="41"/>
      <c r="BF201" s="41"/>
      <c r="BG201" s="28"/>
      <c r="BH201" s="41"/>
      <c r="BI201" s="41"/>
      <c r="BJ201" s="41"/>
      <c r="BK201" s="41"/>
      <c r="BL201" s="41"/>
      <c r="BM201" s="41"/>
      <c r="BN201" s="41"/>
      <c r="BO201" s="41"/>
      <c r="BP201" s="41"/>
      <c r="BQ201" s="41"/>
      <c r="BR201" s="41"/>
      <c r="BS201" s="41"/>
      <c r="BT201" s="28"/>
      <c r="BU201" s="41"/>
      <c r="BV201" s="41"/>
      <c r="BW201" s="41"/>
      <c r="BX201" s="41"/>
      <c r="BY201" s="41"/>
      <c r="BZ201" s="41"/>
      <c r="CA201" s="41"/>
      <c r="CB201" s="41"/>
      <c r="CC201" s="41"/>
      <c r="CD201" s="28"/>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1"/>
      <c r="DB201" s="41"/>
      <c r="DC201" s="41"/>
      <c r="DD201" s="41"/>
      <c r="DE201" s="41"/>
      <c r="DF201" s="16" t="e">
        <f>VLOOKUP(K201,'[3]RNA Seq summary tables'!$V$3:$V$99,1,FALSE)</f>
        <v>#N/A</v>
      </c>
      <c r="DG201" s="16">
        <v>1</v>
      </c>
      <c r="DH201" s="16" t="str">
        <f>VLOOKUP(D201,'[6]workflow 3.2018'!$A$1:$S$237,2,FALSE)</f>
        <v>2017MLBS_211</v>
      </c>
    </row>
    <row r="202" spans="2:288" x14ac:dyDescent="0.2">
      <c r="B202" s="16">
        <v>2017</v>
      </c>
      <c r="C202" s="66">
        <v>42893</v>
      </c>
      <c r="D202" s="66" t="str">
        <f>CONCATENATE(J202,"-",C202)</f>
        <v>1078-42893</v>
      </c>
      <c r="E202" s="20" t="str">
        <f>CONCATENATE(T202,"-",U202,"-",C202)</f>
        <v>PO2-H4-42893</v>
      </c>
      <c r="F202" s="20" t="s">
        <v>106</v>
      </c>
      <c r="G202" s="20" t="s">
        <v>107</v>
      </c>
      <c r="I202" s="16">
        <v>0</v>
      </c>
      <c r="J202" s="21">
        <v>1078</v>
      </c>
      <c r="K202" s="21">
        <v>1632</v>
      </c>
      <c r="L202" s="18">
        <v>0</v>
      </c>
      <c r="M202" s="21">
        <f>VLOOKUP($K202,'[4]blood tubes 2017'!$D$1:$L$647,8,FALSE)</f>
        <v>0</v>
      </c>
      <c r="N202" s="15">
        <v>0</v>
      </c>
      <c r="O202" s="15" t="s">
        <v>119</v>
      </c>
      <c r="P202" s="16" t="s">
        <v>119</v>
      </c>
      <c r="Q202" s="16">
        <v>0</v>
      </c>
      <c r="R202" s="16" t="s">
        <v>111</v>
      </c>
      <c r="T202" s="16" t="s">
        <v>127</v>
      </c>
      <c r="U202" s="16" t="s">
        <v>151</v>
      </c>
      <c r="V202" s="16" t="s">
        <v>114</v>
      </c>
      <c r="W202" s="16">
        <f>AI202/AG202</f>
        <v>0.77894736842105261</v>
      </c>
      <c r="X202" s="16" t="s">
        <v>121</v>
      </c>
      <c r="Y202" s="16" t="s">
        <v>110</v>
      </c>
      <c r="Z202" s="16">
        <v>3</v>
      </c>
      <c r="AA202" s="16" t="s">
        <v>119</v>
      </c>
      <c r="AB202" s="16" t="s">
        <v>240</v>
      </c>
      <c r="AC202" s="16" t="s">
        <v>116</v>
      </c>
      <c r="AD202" s="16" t="s">
        <v>116</v>
      </c>
      <c r="AG202" s="16">
        <f>AH202-AI202</f>
        <v>95</v>
      </c>
      <c r="AH202" s="16">
        <v>169</v>
      </c>
      <c r="AI202" s="16">
        <v>74</v>
      </c>
      <c r="AK202" s="16">
        <v>30.5</v>
      </c>
      <c r="AL202" s="16">
        <v>1</v>
      </c>
      <c r="AM202" s="16">
        <v>0</v>
      </c>
      <c r="AN202" s="16">
        <v>0</v>
      </c>
      <c r="AO202" s="16">
        <v>1</v>
      </c>
      <c r="AP202" s="16">
        <f>SUM(AL202:AN202)</f>
        <v>1</v>
      </c>
      <c r="AQ202" s="16">
        <v>1.754</v>
      </c>
      <c r="AR202" s="16">
        <f>AP202-1.472</f>
        <v>-0.47199999999999998</v>
      </c>
      <c r="AS202" s="16">
        <f>AQ202-1.472</f>
        <v>0.28200000000000003</v>
      </c>
      <c r="AT202" s="16" t="s">
        <v>233</v>
      </c>
      <c r="AW202" s="16">
        <f>IF(AX202&gt;0,1,0)</f>
        <v>1</v>
      </c>
      <c r="AX202" s="16">
        <f>SUM(BA202,BM202,CT202)</f>
        <v>3</v>
      </c>
      <c r="AY202" s="18">
        <f>SUM(BB202,BN202,CV202)</f>
        <v>70.921985815602838</v>
      </c>
      <c r="AZ202" s="16">
        <f>IF(BA202&gt;0,1,0)</f>
        <v>1</v>
      </c>
      <c r="BA202" s="16">
        <f>SUM(BC202,BF202,BI202)</f>
        <v>1</v>
      </c>
      <c r="BB202" s="16">
        <f>SUM(BE202,BH202,BK202)</f>
        <v>46.099290780141843</v>
      </c>
      <c r="BC202" s="16">
        <v>0</v>
      </c>
      <c r="BD202" s="16">
        <v>0</v>
      </c>
      <c r="BE202" s="16">
        <f>BD202/AS202</f>
        <v>0</v>
      </c>
      <c r="BF202" s="16">
        <v>1</v>
      </c>
      <c r="BG202" s="23">
        <v>13</v>
      </c>
      <c r="BH202" s="16">
        <f>BG202/AS202</f>
        <v>46.099290780141843</v>
      </c>
      <c r="BI202" s="16">
        <v>0</v>
      </c>
      <c r="BJ202" s="16">
        <v>0</v>
      </c>
      <c r="BK202" s="16">
        <f>BJ202/AS202</f>
        <v>0</v>
      </c>
      <c r="BL202" s="16">
        <f>IF(BM202&gt;0,1,0)</f>
        <v>1</v>
      </c>
      <c r="BM202" s="16">
        <f>SUM(BR202,BU202,BX202,CA202,CD202,CG202,CJ202,CM202,CP202)</f>
        <v>2</v>
      </c>
      <c r="BN202" s="16">
        <f>SUM(BW202,BZ202,CC202,CF202,CI202,CL202,CO202,CR202,BT202)</f>
        <v>24.822695035460992</v>
      </c>
      <c r="BO202" s="16">
        <f>IF(BP202&gt;0,1,0)</f>
        <v>1</v>
      </c>
      <c r="BP202" s="16">
        <f>SUM(BU202,BX202,CA202,CD202,BR202)</f>
        <v>1</v>
      </c>
      <c r="BQ202" s="16">
        <f>SUM(BZ202,CC202,CF202,BT202,BW202)</f>
        <v>3.5460992907801416</v>
      </c>
      <c r="BR202" s="16">
        <v>0</v>
      </c>
      <c r="BS202" s="16">
        <v>0</v>
      </c>
      <c r="BT202" s="23">
        <f>BS202/AS202</f>
        <v>0</v>
      </c>
      <c r="BU202" s="16">
        <v>0</v>
      </c>
      <c r="BV202" s="16">
        <v>0</v>
      </c>
      <c r="BW202" s="16">
        <f>BV202/AS202</f>
        <v>0</v>
      </c>
      <c r="BX202" s="16">
        <v>1</v>
      </c>
      <c r="BY202" s="16">
        <v>1</v>
      </c>
      <c r="BZ202" s="16">
        <f>BY202/AS202</f>
        <v>3.5460992907801416</v>
      </c>
      <c r="CA202" s="16">
        <v>0</v>
      </c>
      <c r="CB202" s="16">
        <v>0</v>
      </c>
      <c r="CC202" s="16">
        <f>CB202/AS202</f>
        <v>0</v>
      </c>
      <c r="CD202" s="23">
        <v>0</v>
      </c>
      <c r="CE202" s="16">
        <v>0</v>
      </c>
      <c r="CF202" s="16">
        <f>CE202/AS202</f>
        <v>0</v>
      </c>
      <c r="CG202" s="16">
        <v>1</v>
      </c>
      <c r="CH202" s="16">
        <v>6</v>
      </c>
      <c r="CI202" s="16">
        <f>CH202/AS202</f>
        <v>21.276595744680851</v>
      </c>
      <c r="CM202" s="16">
        <v>0</v>
      </c>
      <c r="CN202" s="16">
        <v>0</v>
      </c>
      <c r="CO202" s="16">
        <f>CN202/AS202</f>
        <v>0</v>
      </c>
      <c r="CP202" s="16">
        <v>0</v>
      </c>
      <c r="CQ202" s="16">
        <v>0</v>
      </c>
      <c r="CR202" s="16">
        <f>CQ202/AS202</f>
        <v>0</v>
      </c>
      <c r="CS202" s="16">
        <f>IF(CT202&gt;0,1,0)</f>
        <v>0</v>
      </c>
      <c r="CT202" s="16">
        <f>SUM(CW202,CZ202,DC202)</f>
        <v>0</v>
      </c>
      <c r="CV202" s="16">
        <f>SUM(CY202,DB202,DE202)</f>
        <v>0</v>
      </c>
      <c r="CW202" s="16">
        <v>0</v>
      </c>
      <c r="CX202" s="16">
        <v>0</v>
      </c>
      <c r="CY202" s="16">
        <f>CX202/AS202</f>
        <v>0</v>
      </c>
      <c r="CZ202" s="16">
        <v>0</v>
      </c>
      <c r="DA202" s="16">
        <v>0</v>
      </c>
      <c r="DB202" s="16">
        <f>DA202/AS202</f>
        <v>0</v>
      </c>
      <c r="DC202" s="16">
        <v>0</v>
      </c>
      <c r="DD202" s="16">
        <v>0</v>
      </c>
      <c r="DE202" s="16">
        <f>DD202/AS202</f>
        <v>0</v>
      </c>
      <c r="DF202" s="16" t="e">
        <f>VLOOKUP(K202,'[3]RNA Seq summary tables'!$V$3:$V$99,1,FALSE)</f>
        <v>#N/A</v>
      </c>
      <c r="DG202" s="16">
        <v>1</v>
      </c>
      <c r="DH202" s="16" t="str">
        <f>VLOOKUP(D202,'[6]workflow 3.2018'!$A$1:$S$237,2,FALSE)</f>
        <v>2017MLBS_40</v>
      </c>
      <c r="DI202" s="16">
        <v>38</v>
      </c>
      <c r="DK202" s="16">
        <v>50</v>
      </c>
      <c r="DM202" s="16">
        <v>12</v>
      </c>
      <c r="DO202" s="16">
        <v>0</v>
      </c>
      <c r="DQ202" s="16">
        <v>0</v>
      </c>
      <c r="DR202" s="16">
        <v>100</v>
      </c>
      <c r="JP202" s="18"/>
      <c r="JQ202" s="18"/>
    </row>
    <row r="203" spans="2:288" x14ac:dyDescent="0.2">
      <c r="B203" s="16">
        <v>2017</v>
      </c>
      <c r="C203" s="20">
        <v>42911</v>
      </c>
      <c r="D203" s="20" t="str">
        <f>CONCATENATE(J203,"-",C203)</f>
        <v>1078-42911</v>
      </c>
      <c r="E203" s="20" t="str">
        <f>CONCATENATE(T203,"-",U203,"-",C203)</f>
        <v>PO2-H7-42911</v>
      </c>
      <c r="F203" s="20" t="s">
        <v>106</v>
      </c>
      <c r="G203" s="20" t="s">
        <v>107</v>
      </c>
      <c r="I203" s="16">
        <v>0</v>
      </c>
      <c r="J203" s="21">
        <v>1078</v>
      </c>
      <c r="K203" s="21">
        <v>1744</v>
      </c>
      <c r="L203" s="18">
        <v>0</v>
      </c>
      <c r="M203" s="21">
        <f>VLOOKUP($K203,'[4]blood tubes 2017'!$D$1:$L$647,8,FALSE)</f>
        <v>0</v>
      </c>
      <c r="N203" s="15">
        <v>0</v>
      </c>
      <c r="O203" s="15" t="s">
        <v>119</v>
      </c>
      <c r="P203" s="16" t="s">
        <v>119</v>
      </c>
      <c r="Q203" s="16">
        <v>0</v>
      </c>
      <c r="R203" s="16">
        <v>18</v>
      </c>
      <c r="T203" s="16" t="s">
        <v>127</v>
      </c>
      <c r="U203" s="16" t="s">
        <v>202</v>
      </c>
      <c r="V203" s="16" t="s">
        <v>114</v>
      </c>
      <c r="W203" s="16">
        <f>AI203/AG203</f>
        <v>0.82417582417582413</v>
      </c>
      <c r="X203" s="16" t="s">
        <v>121</v>
      </c>
      <c r="Y203" s="16" t="s">
        <v>110</v>
      </c>
      <c r="Z203" s="16">
        <v>3</v>
      </c>
      <c r="AA203" s="16" t="s">
        <v>119</v>
      </c>
      <c r="AB203" s="16" t="s">
        <v>240</v>
      </c>
      <c r="AC203" s="16" t="s">
        <v>123</v>
      </c>
      <c r="AD203" s="16" t="s">
        <v>123</v>
      </c>
      <c r="AG203" s="16">
        <f>AH203-AI203</f>
        <v>91</v>
      </c>
      <c r="AH203" s="16">
        <v>166</v>
      </c>
      <c r="AI203" s="16">
        <v>75</v>
      </c>
      <c r="AK203" s="16">
        <v>26.5</v>
      </c>
      <c r="AL203" s="16">
        <v>0</v>
      </c>
      <c r="AM203" s="16">
        <v>0</v>
      </c>
      <c r="AN203" s="16">
        <v>0</v>
      </c>
      <c r="AO203" s="16">
        <v>0</v>
      </c>
      <c r="AP203" s="16">
        <f>SUM(AL203:AN203)</f>
        <v>0</v>
      </c>
      <c r="AQ203" s="16">
        <v>1.9359999999999999</v>
      </c>
      <c r="AR203" s="16">
        <f>AP203-1.472</f>
        <v>-1.472</v>
      </c>
      <c r="AS203" s="16">
        <f>AQ203-1.472</f>
        <v>0.46399999999999997</v>
      </c>
      <c r="AT203" s="16" t="s">
        <v>233</v>
      </c>
      <c r="AW203" s="16">
        <f>IF(AX203&gt;0,1,0)</f>
        <v>1</v>
      </c>
      <c r="AX203" s="16">
        <f>SUM(BA203,BM203,CT203)</f>
        <v>2</v>
      </c>
      <c r="AY203" s="18">
        <f>SUM(BB203,BN203,CV203)</f>
        <v>174.56896551724139</v>
      </c>
      <c r="AZ203" s="16">
        <f>IF(BA203&gt;0,1,0)</f>
        <v>1</v>
      </c>
      <c r="BA203" s="16">
        <f>SUM(BC203,BF203,BI203)</f>
        <v>1</v>
      </c>
      <c r="BB203" s="16">
        <f>SUM(BE203,BH203,BK203)</f>
        <v>165.94827586206898</v>
      </c>
      <c r="BC203" s="16">
        <v>0</v>
      </c>
      <c r="BD203" s="16">
        <v>0</v>
      </c>
      <c r="BE203" s="16">
        <f>BD203/AS203</f>
        <v>0</v>
      </c>
      <c r="BF203" s="16">
        <v>1</v>
      </c>
      <c r="BG203" s="23">
        <v>77</v>
      </c>
      <c r="BH203" s="16">
        <f>BG203/AS203</f>
        <v>165.94827586206898</v>
      </c>
      <c r="BI203" s="16">
        <v>0</v>
      </c>
      <c r="BJ203" s="16">
        <v>0</v>
      </c>
      <c r="BK203" s="16">
        <f>BJ203/AS203</f>
        <v>0</v>
      </c>
      <c r="BL203" s="16">
        <f>IF(BM203&gt;0,1,0)</f>
        <v>1</v>
      </c>
      <c r="BM203" s="16">
        <f>SUM(BR203,BU203,BX203,CA203,CD203,CG203,CJ203,CM203,CP203)</f>
        <v>1</v>
      </c>
      <c r="BN203" s="16">
        <f>SUM(BW203,BZ203,CC203,CF203,CI203,CL203,CO203,CR203,BT203)</f>
        <v>8.6206896551724146</v>
      </c>
      <c r="BO203" s="16">
        <f>IF(BP203&gt;0,1,0)</f>
        <v>1</v>
      </c>
      <c r="BP203" s="16">
        <f>SUM(BU203,BX203,CA203,CD203,BR203)</f>
        <v>1</v>
      </c>
      <c r="BQ203" s="16">
        <f>SUM(BZ203,CC203,CF203,BT203,BW203)</f>
        <v>8.6206896551724146</v>
      </c>
      <c r="BR203" s="16">
        <v>0</v>
      </c>
      <c r="BS203" s="16">
        <v>0</v>
      </c>
      <c r="BT203" s="23">
        <f>BS203/AS203</f>
        <v>0</v>
      </c>
      <c r="BU203" s="16">
        <v>0</v>
      </c>
      <c r="BV203" s="16">
        <v>0</v>
      </c>
      <c r="BW203" s="16">
        <f>BV203/AS203</f>
        <v>0</v>
      </c>
      <c r="BX203" s="16">
        <v>1</v>
      </c>
      <c r="BY203" s="16">
        <v>4</v>
      </c>
      <c r="BZ203" s="16">
        <f>BY203/AS203</f>
        <v>8.6206896551724146</v>
      </c>
      <c r="CA203" s="16">
        <v>0</v>
      </c>
      <c r="CB203" s="16">
        <v>0</v>
      </c>
      <c r="CC203" s="16">
        <f>CB203/AS203</f>
        <v>0</v>
      </c>
      <c r="CD203" s="23">
        <v>0</v>
      </c>
      <c r="CE203" s="16">
        <v>0</v>
      </c>
      <c r="CF203" s="16">
        <f>CE203/AS203</f>
        <v>0</v>
      </c>
      <c r="CG203" s="16">
        <v>0</v>
      </c>
      <c r="CH203" s="16">
        <v>0</v>
      </c>
      <c r="CI203" s="16">
        <f>CH203/AS203</f>
        <v>0</v>
      </c>
      <c r="CM203" s="16">
        <v>0</v>
      </c>
      <c r="CN203" s="16">
        <v>0</v>
      </c>
      <c r="CO203" s="16">
        <f>CN203/AS203</f>
        <v>0</v>
      </c>
      <c r="CP203" s="16">
        <v>0</v>
      </c>
      <c r="CQ203" s="16">
        <v>0</v>
      </c>
      <c r="CR203" s="16">
        <f>CQ203/AS203</f>
        <v>0</v>
      </c>
      <c r="CS203" s="16">
        <f>IF(CT203&gt;0,1,0)</f>
        <v>0</v>
      </c>
      <c r="CT203" s="16">
        <f>SUM(CW203,CZ203,DC203)</f>
        <v>0</v>
      </c>
      <c r="CV203" s="16">
        <f>SUM(CY203,DB203,DE203)</f>
        <v>0</v>
      </c>
      <c r="CW203" s="16">
        <v>0</v>
      </c>
      <c r="CX203" s="16">
        <v>0</v>
      </c>
      <c r="CY203" s="16">
        <f>CX203/AS203</f>
        <v>0</v>
      </c>
      <c r="CZ203" s="16">
        <v>0</v>
      </c>
      <c r="DA203" s="16">
        <v>0</v>
      </c>
      <c r="DB203" s="16">
        <f>DA203/AS203</f>
        <v>0</v>
      </c>
      <c r="DC203" s="16">
        <v>0</v>
      </c>
      <c r="DD203" s="16">
        <v>0</v>
      </c>
      <c r="DE203" s="16">
        <f>DD203/AS203</f>
        <v>0</v>
      </c>
      <c r="DF203" s="16" t="e">
        <f>VLOOKUP(K203,'[3]RNA Seq summary tables'!$V$3:$V$99,1,FALSE)</f>
        <v>#N/A</v>
      </c>
      <c r="DI203" s="16">
        <v>59</v>
      </c>
      <c r="DK203" s="16">
        <v>37</v>
      </c>
      <c r="DM203" s="16">
        <v>4</v>
      </c>
      <c r="DO203" s="16">
        <v>0</v>
      </c>
      <c r="DQ203" s="16">
        <v>0</v>
      </c>
      <c r="DR203" s="16">
        <f>SUM(DI203:DQ203)</f>
        <v>100</v>
      </c>
    </row>
    <row r="204" spans="2:288" x14ac:dyDescent="0.2">
      <c r="B204" s="16">
        <v>2017</v>
      </c>
      <c r="C204" s="66">
        <v>42894</v>
      </c>
      <c r="D204" s="66" t="str">
        <f>CONCATENATE(J204,"-",C204)</f>
        <v>1080-42894</v>
      </c>
      <c r="E204" s="20" t="str">
        <f>CONCATENATE(T204,"-",U204,"-",C204)</f>
        <v>PO1-E7-42894</v>
      </c>
      <c r="F204" s="20" t="s">
        <v>106</v>
      </c>
      <c r="G204" s="20" t="s">
        <v>107</v>
      </c>
      <c r="I204" s="16">
        <v>0</v>
      </c>
      <c r="J204" s="21">
        <v>1080</v>
      </c>
      <c r="K204" s="21">
        <v>1634</v>
      </c>
      <c r="L204" s="18">
        <v>0</v>
      </c>
      <c r="M204" s="21">
        <f>VLOOKUP($K204,'[4]blood tubes 2017'!$D$1:$L$647,8,FALSE)</f>
        <v>0</v>
      </c>
      <c r="N204" s="15">
        <v>0</v>
      </c>
      <c r="O204" s="15" t="s">
        <v>119</v>
      </c>
      <c r="P204" s="16" t="s">
        <v>119</v>
      </c>
      <c r="Q204" s="16">
        <v>0</v>
      </c>
      <c r="R204" s="16" t="s">
        <v>111</v>
      </c>
      <c r="T204" s="16" t="s">
        <v>112</v>
      </c>
      <c r="U204" s="16" t="s">
        <v>135</v>
      </c>
      <c r="V204" s="16" t="s">
        <v>114</v>
      </c>
      <c r="W204" s="16">
        <f>AI204/AG204</f>
        <v>0.65822784810126578</v>
      </c>
      <c r="X204" s="16" t="s">
        <v>115</v>
      </c>
      <c r="Y204" s="16" t="s">
        <v>145</v>
      </c>
      <c r="Z204" s="16">
        <v>1</v>
      </c>
      <c r="AE204" s="16" t="s">
        <v>123</v>
      </c>
      <c r="AF204" s="16" t="s">
        <v>123</v>
      </c>
      <c r="AG204" s="16">
        <f>AH204-AI204</f>
        <v>79</v>
      </c>
      <c r="AH204" s="16">
        <v>131</v>
      </c>
      <c r="AI204" s="16">
        <v>52</v>
      </c>
      <c r="AK204" s="16">
        <v>12</v>
      </c>
      <c r="AL204" s="16">
        <v>0</v>
      </c>
      <c r="AM204" s="16">
        <v>0</v>
      </c>
      <c r="AN204" s="16">
        <v>0</v>
      </c>
      <c r="AO204" s="16">
        <v>0</v>
      </c>
      <c r="AP204" s="16">
        <f>SUM(AL204:AN204)</f>
        <v>0</v>
      </c>
      <c r="AT204" s="18" t="s">
        <v>204</v>
      </c>
      <c r="AU204" s="18"/>
      <c r="AV204" s="18"/>
      <c r="AY204" s="18"/>
      <c r="BG204" s="23"/>
      <c r="BT204" s="23"/>
      <c r="CD204" s="23"/>
      <c r="DF204" s="16" t="e">
        <f>VLOOKUP(K204,'[3]RNA Seq summary tables'!$V$3:$V$99,1,FALSE)</f>
        <v>#N/A</v>
      </c>
      <c r="DI204" s="16">
        <v>36</v>
      </c>
      <c r="DK204" s="16">
        <v>56</v>
      </c>
      <c r="DM204" s="16">
        <v>7</v>
      </c>
      <c r="DO204" s="16">
        <v>0</v>
      </c>
      <c r="DQ204" s="16">
        <v>1</v>
      </c>
      <c r="DR204" s="16">
        <v>100</v>
      </c>
      <c r="JO204" s="29"/>
      <c r="JP204" s="18"/>
      <c r="JQ204" s="18"/>
    </row>
    <row r="205" spans="2:288" x14ac:dyDescent="0.2">
      <c r="B205" s="16">
        <v>2017</v>
      </c>
      <c r="C205" s="20">
        <v>42911</v>
      </c>
      <c r="D205" s="20" t="str">
        <f>CONCATENATE(J205,"-",C205)</f>
        <v>1080-42911</v>
      </c>
      <c r="E205" s="20" t="str">
        <f>CONCATENATE(T205,"-",U205,"-",C205)</f>
        <v>PO1-F6-42911</v>
      </c>
      <c r="F205" s="20" t="s">
        <v>106</v>
      </c>
      <c r="G205" s="20" t="s">
        <v>107</v>
      </c>
      <c r="I205" s="16">
        <v>0</v>
      </c>
      <c r="J205" s="21">
        <v>1080</v>
      </c>
      <c r="K205" s="21">
        <v>1732</v>
      </c>
      <c r="L205" s="18">
        <v>0</v>
      </c>
      <c r="M205" s="21">
        <f>VLOOKUP($K205,'[4]blood tubes 2017'!$D$1:$L$647,8,FALSE)</f>
        <v>0</v>
      </c>
      <c r="N205" s="15">
        <v>0</v>
      </c>
      <c r="O205" s="15" t="s">
        <v>119</v>
      </c>
      <c r="P205" s="16" t="s">
        <v>119</v>
      </c>
      <c r="Q205" s="16">
        <v>0</v>
      </c>
      <c r="R205" s="16">
        <v>17</v>
      </c>
      <c r="T205" s="16" t="s">
        <v>112</v>
      </c>
      <c r="U205" s="16" t="s">
        <v>170</v>
      </c>
      <c r="V205" s="16" t="s">
        <v>114</v>
      </c>
      <c r="W205" s="16">
        <f>AI205/AG205</f>
        <v>0.79518072289156627</v>
      </c>
      <c r="X205" s="16" t="s">
        <v>115</v>
      </c>
      <c r="Y205" s="16" t="s">
        <v>110</v>
      </c>
      <c r="Z205" s="16">
        <v>3</v>
      </c>
      <c r="AE205" s="16" t="s">
        <v>123</v>
      </c>
      <c r="AF205" s="16" t="s">
        <v>123</v>
      </c>
      <c r="AG205" s="16">
        <f>AH205-AI205</f>
        <v>83</v>
      </c>
      <c r="AH205" s="16">
        <v>149</v>
      </c>
      <c r="AI205" s="16">
        <v>66</v>
      </c>
      <c r="AK205" s="16">
        <v>18</v>
      </c>
      <c r="AL205" s="16">
        <v>0</v>
      </c>
      <c r="AM205" s="16">
        <v>0</v>
      </c>
      <c r="AN205" s="16">
        <v>0</v>
      </c>
      <c r="AO205" s="16">
        <v>0</v>
      </c>
      <c r="AP205" s="16">
        <f>SUM(AL205:AN205)</f>
        <v>0</v>
      </c>
      <c r="AQ205" s="16">
        <v>1.607</v>
      </c>
      <c r="AR205" s="16">
        <f>AP205-1.472</f>
        <v>-1.472</v>
      </c>
      <c r="AS205" s="16">
        <f>AQ205-1.472</f>
        <v>0.13500000000000001</v>
      </c>
      <c r="AT205" s="16" t="s">
        <v>233</v>
      </c>
      <c r="AV205" s="16">
        <v>1</v>
      </c>
      <c r="AW205" s="16">
        <f>IF(AX205&gt;0,1,0)</f>
        <v>0</v>
      </c>
      <c r="AX205" s="16">
        <f>SUM(BA205,BM205,CT205)</f>
        <v>0</v>
      </c>
      <c r="AY205" s="18">
        <f>SUM(BB205,BN205,CV205)</f>
        <v>0</v>
      </c>
      <c r="AZ205" s="16">
        <f>IF(BA205&gt;0,1,0)</f>
        <v>0</v>
      </c>
      <c r="BA205" s="16">
        <f>SUM(BC205,BF205,BI205)</f>
        <v>0</v>
      </c>
      <c r="BB205" s="16">
        <f>SUM(BE205,BH205,BK205)</f>
        <v>0</v>
      </c>
      <c r="BC205" s="16">
        <v>0</v>
      </c>
      <c r="BD205" s="16">
        <v>0</v>
      </c>
      <c r="BE205" s="16">
        <f>BD205/AS205</f>
        <v>0</v>
      </c>
      <c r="BF205" s="16">
        <v>0</v>
      </c>
      <c r="BG205" s="23">
        <v>0</v>
      </c>
      <c r="BH205" s="16">
        <f>BG205/AS205</f>
        <v>0</v>
      </c>
      <c r="BI205" s="16">
        <v>0</v>
      </c>
      <c r="BJ205" s="16">
        <v>0</v>
      </c>
      <c r="BK205" s="16">
        <f>BJ205/AS205</f>
        <v>0</v>
      </c>
      <c r="BL205" s="16">
        <f>IF(BM205&gt;0,1,0)</f>
        <v>0</v>
      </c>
      <c r="BM205" s="16">
        <f>SUM(BR205,BU205,BX205,CA205,CD205,CG205,CJ205,CM205,CP205)</f>
        <v>0</v>
      </c>
      <c r="BN205" s="16">
        <f>SUM(BW205,BZ205,CC205,CF205,CI205,CL205,CO205,CR205,BT205)</f>
        <v>0</v>
      </c>
      <c r="BO205" s="16">
        <f>IF(BP205&gt;0,1,0)</f>
        <v>0</v>
      </c>
      <c r="BP205" s="16">
        <f>SUM(BU205,BX205,CA205,CD205,BR205)</f>
        <v>0</v>
      </c>
      <c r="BQ205" s="16">
        <f>SUM(BZ205,CC205,CF205,BT205,BW205)</f>
        <v>0</v>
      </c>
      <c r="BR205" s="16">
        <v>0</v>
      </c>
      <c r="BS205" s="16">
        <v>0</v>
      </c>
      <c r="BT205" s="23">
        <f>BS205/AS205</f>
        <v>0</v>
      </c>
      <c r="BU205" s="16">
        <v>0</v>
      </c>
      <c r="BV205" s="16">
        <v>0</v>
      </c>
      <c r="BW205" s="16">
        <f>BV205/AS205</f>
        <v>0</v>
      </c>
      <c r="BX205" s="16">
        <v>0</v>
      </c>
      <c r="BY205" s="16">
        <v>0</v>
      </c>
      <c r="BZ205" s="16">
        <f>BY205/AS205</f>
        <v>0</v>
      </c>
      <c r="CA205" s="16">
        <v>0</v>
      </c>
      <c r="CB205" s="16">
        <v>0</v>
      </c>
      <c r="CC205" s="16">
        <f>CB205/AS205</f>
        <v>0</v>
      </c>
      <c r="CD205" s="23">
        <v>0</v>
      </c>
      <c r="CE205" s="16">
        <v>0</v>
      </c>
      <c r="CF205" s="16">
        <f>CE205/AS205</f>
        <v>0</v>
      </c>
      <c r="CG205" s="16">
        <v>0</v>
      </c>
      <c r="CH205" s="16">
        <v>0</v>
      </c>
      <c r="CI205" s="16">
        <f>CH205/AS205</f>
        <v>0</v>
      </c>
      <c r="CM205" s="16">
        <v>0</v>
      </c>
      <c r="CN205" s="16">
        <v>0</v>
      </c>
      <c r="CO205" s="16">
        <f>CN205/AS205</f>
        <v>0</v>
      </c>
      <c r="CP205" s="16">
        <v>0</v>
      </c>
      <c r="CQ205" s="16">
        <v>0</v>
      </c>
      <c r="CR205" s="16">
        <f>CQ205/AS205</f>
        <v>0</v>
      </c>
      <c r="CS205" s="16">
        <f>IF(CT205&gt;0,1,0)</f>
        <v>0</v>
      </c>
      <c r="CT205" s="16">
        <f>SUM(CW205,CZ205,DC205)</f>
        <v>0</v>
      </c>
      <c r="CV205" s="16">
        <f>SUM(CY205,DB205,DE205)</f>
        <v>0</v>
      </c>
      <c r="CW205" s="16">
        <v>0</v>
      </c>
      <c r="CX205" s="16">
        <v>0</v>
      </c>
      <c r="CY205" s="16">
        <f>CX205/AS205</f>
        <v>0</v>
      </c>
      <c r="CZ205" s="16">
        <v>0</v>
      </c>
      <c r="DA205" s="16">
        <v>0</v>
      </c>
      <c r="DB205" s="16">
        <f>DA205/AS205</f>
        <v>0</v>
      </c>
      <c r="DC205" s="16">
        <v>0</v>
      </c>
      <c r="DD205" s="16">
        <v>0</v>
      </c>
      <c r="DE205" s="16">
        <f>DD205/AS205</f>
        <v>0</v>
      </c>
      <c r="DF205" s="16" t="e">
        <f>VLOOKUP(K205,'[3]RNA Seq summary tables'!$V$3:$V$99,1,FALSE)</f>
        <v>#N/A</v>
      </c>
      <c r="DI205" s="16">
        <v>69</v>
      </c>
      <c r="DK205" s="16">
        <v>18</v>
      </c>
      <c r="DM205" s="16">
        <v>13</v>
      </c>
      <c r="DO205" s="16">
        <v>0</v>
      </c>
      <c r="DQ205" s="16">
        <v>0</v>
      </c>
      <c r="DR205" s="16">
        <f>SUM(DI205:DQ205)</f>
        <v>100</v>
      </c>
      <c r="JO205" s="41"/>
      <c r="JP205" s="18"/>
      <c r="JQ205" s="18"/>
    </row>
    <row r="206" spans="2:288" x14ac:dyDescent="0.2">
      <c r="B206" s="16">
        <v>2017</v>
      </c>
      <c r="C206" s="43">
        <v>42927</v>
      </c>
      <c r="D206" s="20" t="str">
        <f>CONCATENATE(J206,"-",C206)</f>
        <v>1080-42927</v>
      </c>
      <c r="E206" s="20" t="str">
        <f>CONCATENATE(T206,"-",U206,"-",C206)</f>
        <v>PO1-E7-42927</v>
      </c>
      <c r="F206" s="20" t="s">
        <v>106</v>
      </c>
      <c r="G206" s="43" t="s">
        <v>107</v>
      </c>
      <c r="H206" s="23"/>
      <c r="I206" s="23">
        <v>0</v>
      </c>
      <c r="J206" s="15">
        <v>1080</v>
      </c>
      <c r="K206" s="15">
        <v>1857</v>
      </c>
      <c r="L206" s="25">
        <v>0</v>
      </c>
      <c r="M206" s="21">
        <f>VLOOKUP($K206,'[4]blood tubes 2017'!$D$1:$L$647,8,FALSE)</f>
        <v>0</v>
      </c>
      <c r="N206" s="15">
        <v>0</v>
      </c>
      <c r="O206" s="15" t="s">
        <v>119</v>
      </c>
      <c r="P206" s="23" t="s">
        <v>119</v>
      </c>
      <c r="Q206" s="23">
        <v>0</v>
      </c>
      <c r="R206" s="23">
        <v>16</v>
      </c>
      <c r="S206" s="23"/>
      <c r="T206" s="23" t="s">
        <v>112</v>
      </c>
      <c r="U206" s="23" t="s">
        <v>135</v>
      </c>
      <c r="V206" s="23" t="s">
        <v>114</v>
      </c>
      <c r="W206" s="23">
        <f>AI206/AG206</f>
        <v>0.7528089887640449</v>
      </c>
      <c r="X206" s="23" t="s">
        <v>115</v>
      </c>
      <c r="Y206" s="23" t="s">
        <v>110</v>
      </c>
      <c r="Z206" s="23">
        <v>3</v>
      </c>
      <c r="AA206" s="23"/>
      <c r="AB206" s="23"/>
      <c r="AC206" s="23"/>
      <c r="AD206" s="23"/>
      <c r="AE206" s="23" t="s">
        <v>123</v>
      </c>
      <c r="AF206" s="23" t="s">
        <v>123</v>
      </c>
      <c r="AG206" s="23">
        <f>AH206-AI206</f>
        <v>89</v>
      </c>
      <c r="AH206" s="23">
        <v>156</v>
      </c>
      <c r="AI206" s="23">
        <v>67</v>
      </c>
      <c r="AJ206" s="23"/>
      <c r="AK206" s="23">
        <v>20</v>
      </c>
      <c r="AL206" s="23">
        <v>0</v>
      </c>
      <c r="AM206" s="23">
        <v>0</v>
      </c>
      <c r="AN206" s="23">
        <v>0</v>
      </c>
      <c r="AO206" s="23">
        <v>0</v>
      </c>
      <c r="AP206" s="23">
        <f>SUM(AL206:AN206)</f>
        <v>0</v>
      </c>
      <c r="AQ206" s="23">
        <v>1.7470000000000001</v>
      </c>
      <c r="AR206" s="23">
        <f>AP206-1.472</f>
        <v>-1.472</v>
      </c>
      <c r="AS206" s="23">
        <f>AQ206-1.472</f>
        <v>0.27500000000000013</v>
      </c>
      <c r="AT206" s="16" t="str">
        <f>VLOOKUP(K206,'[5]FECs - good data'!$C$1:$P$575,13,FALSE)</f>
        <v>NB</v>
      </c>
      <c r="AW206" s="18">
        <f>IF(AX206&gt;0,1,0)</f>
        <v>0</v>
      </c>
      <c r="AX206" s="18">
        <f>SUM(BA206,BM206,CT206)</f>
        <v>0</v>
      </c>
      <c r="AY206" s="18">
        <f>SUM(BB206,BN206,CV206)</f>
        <v>0</v>
      </c>
      <c r="AZ206" s="18">
        <f>IF(BA206&gt;0,1,0)</f>
        <v>0</v>
      </c>
      <c r="BA206" s="18">
        <f>SUM(BC206,BF206,BI206)</f>
        <v>0</v>
      </c>
      <c r="BB206" s="18">
        <f>SUM(BE206,BH206,BK206)</f>
        <v>0</v>
      </c>
      <c r="BC206" s="18">
        <f>IF(BD206&gt;0,1,0)</f>
        <v>0</v>
      </c>
      <c r="BD206" s="18">
        <f>VLOOKUP($K206,'[5]FECs - good data'!$C$1:$Z$574,14,FALSE)</f>
        <v>0</v>
      </c>
      <c r="BE206" s="16">
        <f>BD206/AS206</f>
        <v>0</v>
      </c>
      <c r="BF206" s="16">
        <f>IF(BG206&gt;0,1,0)</f>
        <v>0</v>
      </c>
      <c r="BG206" s="23">
        <f>VLOOKUP($K206,'[5]FECs - good data'!$C$1:$Z$574,15,FALSE)</f>
        <v>0</v>
      </c>
      <c r="BH206" s="16">
        <f>BG206/AS206</f>
        <v>0</v>
      </c>
      <c r="BI206" s="16">
        <f>IF(BJ206&gt;0,1,0)</f>
        <v>0</v>
      </c>
      <c r="BJ206" s="16">
        <f>VLOOKUP($K206,'[5]FECs - good data'!$C$1:$Z$574,16,FALSE)</f>
        <v>0</v>
      </c>
      <c r="BK206" s="16">
        <f>BJ206/AS206</f>
        <v>0</v>
      </c>
      <c r="BL206" s="16">
        <f>IF(BM206&gt;0,1,0)</f>
        <v>0</v>
      </c>
      <c r="BM206" s="16">
        <f>SUM(BR206,BU206,BX206,CA206,CD206,CG206,CJ206,CM206,CP206)</f>
        <v>0</v>
      </c>
      <c r="BN206" s="16">
        <f>SUM(BW206,BZ206,CC206,CF206,CI206,CL206,CO206,CR206,BT206)</f>
        <v>0</v>
      </c>
      <c r="BO206" s="16">
        <f>IF(BP206&gt;0,1,0)</f>
        <v>0</v>
      </c>
      <c r="BP206" s="16">
        <f>SUM(BU206,BX206,CA206,CD206,BR206)</f>
        <v>0</v>
      </c>
      <c r="BQ206" s="16">
        <f>SUM(BZ206,CC206,CF206,BT206,BW206)</f>
        <v>0</v>
      </c>
      <c r="BR206" s="16">
        <f>IF(BS206&gt;0,1,0)</f>
        <v>0</v>
      </c>
      <c r="BS206" s="16">
        <f>VLOOKUP($K206,'[5]FECs - good data'!$C$1:$Z$574,17,FALSE)</f>
        <v>0</v>
      </c>
      <c r="BT206" s="23">
        <f>BS206/AS206</f>
        <v>0</v>
      </c>
      <c r="BU206" s="16">
        <f>IF(BV206&gt;0,1,0)</f>
        <v>0</v>
      </c>
      <c r="BV206" s="16">
        <f>VLOOKUP($K206,'[5]FECs - good data'!$C$1:$Z$574,18,FALSE)</f>
        <v>0</v>
      </c>
      <c r="BW206" s="16">
        <f>BV206/AS206</f>
        <v>0</v>
      </c>
      <c r="BX206" s="16">
        <f>IF(BY206&gt;0,1,0)</f>
        <v>0</v>
      </c>
      <c r="BY206" s="16">
        <f>VLOOKUP($K206,'[5]FECs - good data'!$C$1:$Z$574,19,FALSE)</f>
        <v>0</v>
      </c>
      <c r="BZ206" s="16">
        <f>BY206/AS206</f>
        <v>0</v>
      </c>
      <c r="CA206" s="16">
        <f>IF(CB206&gt;0,1,0)</f>
        <v>0</v>
      </c>
      <c r="CB206" s="16">
        <f>VLOOKUP($K206,'[5]FECs - good data'!$C$1:$Z$574,20,FALSE)</f>
        <v>0</v>
      </c>
      <c r="CC206" s="16">
        <f>CB206/AS206</f>
        <v>0</v>
      </c>
      <c r="CD206" s="23">
        <f>IF(CE206&gt;0,1,0)</f>
        <v>0</v>
      </c>
      <c r="CE206" s="16">
        <f>VLOOKUP($K206,'[5]FECs - good data'!$C$1:$Z$574,21,FALSE)</f>
        <v>0</v>
      </c>
      <c r="CF206" s="16">
        <f>CE206/AS206</f>
        <v>0</v>
      </c>
      <c r="CG206" s="16">
        <f>IF(CH206&gt;0,1,0)</f>
        <v>0</v>
      </c>
      <c r="CH206" s="16">
        <f>VLOOKUP($K206,'[5]FECs - good data'!$C$1:$Z$574,22,FALSE)</f>
        <v>0</v>
      </c>
      <c r="CI206" s="16">
        <f>CH206/AS206</f>
        <v>0</v>
      </c>
      <c r="CJ206" s="16">
        <f>IF(CK206&gt;0,1,0)</f>
        <v>0</v>
      </c>
      <c r="CK206" s="16">
        <f>VLOOKUP($K206,'[5]FECs - good data'!$C$1:$Z$674,24,FALSE)</f>
        <v>0</v>
      </c>
      <c r="CL206" s="16">
        <f>CK206/AS206</f>
        <v>0</v>
      </c>
      <c r="CS206" s="16">
        <f>IF(CT206&gt;0,1,0)</f>
        <v>0</v>
      </c>
      <c r="CT206" s="16">
        <f>SUM(CW206+CZ206,DC206)</f>
        <v>0</v>
      </c>
      <c r="CV206" s="16">
        <f>SUM(CY206,DB206,DE206)</f>
        <v>0</v>
      </c>
      <c r="CW206" s="16">
        <f>IF(CX206&gt;0,1,0)</f>
        <v>0</v>
      </c>
      <c r="CX206" s="16">
        <f>VLOOKUP($K206,'[5]FECs - good data'!$C$1:$Z$574,22,FALSE)</f>
        <v>0</v>
      </c>
      <c r="CY206" s="16">
        <f>CX206/AS206</f>
        <v>0</v>
      </c>
      <c r="CZ206" s="16">
        <f>IF(DA206&gt;0,1,0)</f>
        <v>0</v>
      </c>
      <c r="DA206" s="16">
        <f>VLOOKUP($K206,'[5]FECs - good data'!$C$1:$Z$5982,23,FALSE)</f>
        <v>0</v>
      </c>
      <c r="DB206" s="16">
        <f>DA206/AS206</f>
        <v>0</v>
      </c>
      <c r="DC206" s="23">
        <f>IF(DD206&gt;0,1,0)</f>
        <v>0</v>
      </c>
      <c r="DD206" s="23">
        <f>VLOOKUP($K206,'[5]FECs - good data'!$C$1:$Z$574,23,FALSE)</f>
        <v>0</v>
      </c>
      <c r="DE206" s="23">
        <f>DD206/AS206</f>
        <v>0</v>
      </c>
      <c r="DF206" s="16" t="e">
        <f>VLOOKUP(K206,'[3]RNA Seq summary tables'!$V$3:$V$99,1,FALSE)</f>
        <v>#N/A</v>
      </c>
      <c r="DG206" s="23"/>
      <c r="DH206" s="23"/>
      <c r="DI206" s="23"/>
      <c r="DJ206" s="23"/>
      <c r="DK206" s="23"/>
      <c r="DL206" s="23"/>
      <c r="DM206" s="23"/>
      <c r="DN206" s="23"/>
      <c r="DO206" s="23"/>
      <c r="DP206" s="23"/>
      <c r="DQ206" s="23"/>
      <c r="DR206" s="23"/>
      <c r="DS206" s="23"/>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25"/>
      <c r="FG206" s="25"/>
      <c r="FH206" s="25"/>
      <c r="FI206" s="25"/>
      <c r="FJ206" s="25"/>
      <c r="FK206" s="25"/>
      <c r="FL206" s="25"/>
      <c r="FM206" s="25"/>
      <c r="FN206" s="25"/>
      <c r="FO206" s="25"/>
      <c r="FP206" s="25"/>
      <c r="FQ206" s="25"/>
      <c r="FR206" s="25"/>
      <c r="FS206" s="25"/>
      <c r="FT206" s="25"/>
      <c r="FU206" s="25"/>
      <c r="FV206" s="25"/>
      <c r="FW206" s="25"/>
      <c r="FX206" s="25"/>
      <c r="FY206" s="25"/>
      <c r="FZ206" s="25"/>
      <c r="GA206" s="25"/>
      <c r="GB206" s="25"/>
      <c r="GC206" s="25"/>
      <c r="GD206" s="25"/>
      <c r="GE206" s="25"/>
      <c r="GF206" s="25"/>
      <c r="GG206" s="25"/>
      <c r="GH206" s="25"/>
      <c r="GI206" s="25"/>
      <c r="GJ206" s="25"/>
      <c r="GK206" s="25"/>
      <c r="GL206" s="25"/>
      <c r="GM206" s="25"/>
      <c r="GN206" s="25"/>
      <c r="GO206" s="25"/>
      <c r="GP206" s="25"/>
      <c r="GQ206" s="25"/>
      <c r="GR206" s="25"/>
      <c r="GS206" s="25"/>
      <c r="GT206" s="25"/>
      <c r="GU206" s="25"/>
      <c r="GV206" s="25"/>
      <c r="GW206" s="25"/>
      <c r="GX206" s="25"/>
      <c r="GY206" s="25"/>
      <c r="GZ206" s="25"/>
      <c r="HA206" s="25"/>
      <c r="HB206" s="25"/>
      <c r="HC206" s="25"/>
      <c r="HD206" s="25"/>
      <c r="HE206" s="25"/>
      <c r="HF206" s="25"/>
      <c r="HG206" s="25"/>
      <c r="HH206" s="25"/>
      <c r="HI206" s="25"/>
      <c r="HJ206" s="25"/>
      <c r="HK206" s="25"/>
      <c r="HL206" s="25"/>
      <c r="HM206" s="25"/>
      <c r="HN206" s="25"/>
      <c r="HO206" s="25"/>
      <c r="HP206" s="25"/>
      <c r="HQ206" s="25"/>
      <c r="HR206" s="25"/>
      <c r="HS206" s="25"/>
      <c r="HT206" s="25"/>
      <c r="HU206" s="25"/>
      <c r="HV206" s="25"/>
      <c r="HW206" s="25"/>
      <c r="HX206" s="25"/>
      <c r="HY206" s="25"/>
      <c r="HZ206" s="25"/>
      <c r="IA206" s="25"/>
      <c r="IB206" s="25"/>
      <c r="IC206" s="25"/>
      <c r="ID206" s="25"/>
      <c r="IE206" s="25"/>
      <c r="IF206" s="25"/>
      <c r="IG206" s="25"/>
      <c r="IH206" s="25"/>
      <c r="II206" s="25"/>
      <c r="IJ206" s="25"/>
      <c r="IK206" s="25"/>
      <c r="IL206" s="25"/>
      <c r="IM206" s="25"/>
      <c r="IN206" s="25"/>
      <c r="IO206" s="25"/>
      <c r="IP206" s="25"/>
      <c r="IQ206" s="25"/>
      <c r="IR206" s="25"/>
      <c r="IS206" s="25"/>
      <c r="IT206" s="25"/>
      <c r="IU206" s="25"/>
      <c r="IV206" s="25"/>
      <c r="IW206" s="25"/>
      <c r="IX206" s="25"/>
      <c r="IY206" s="25"/>
      <c r="IZ206" s="25"/>
      <c r="JA206" s="25"/>
      <c r="JB206" s="25"/>
      <c r="JC206" s="25"/>
      <c r="JD206" s="25"/>
      <c r="JE206" s="25"/>
      <c r="JF206" s="25"/>
      <c r="JG206" s="25"/>
      <c r="JH206" s="25"/>
      <c r="JI206" s="25"/>
      <c r="JJ206" s="25"/>
      <c r="JK206" s="25"/>
      <c r="JL206" s="25"/>
      <c r="JM206" s="25"/>
      <c r="JN206" s="25"/>
      <c r="JO206" s="23"/>
      <c r="JP206" s="23"/>
      <c r="JQ206" s="23"/>
      <c r="JR206" s="27"/>
      <c r="JS206" s="27"/>
      <c r="JT206" s="27"/>
      <c r="JU206" s="27"/>
      <c r="JV206" s="27"/>
      <c r="JW206" s="27"/>
      <c r="JX206" s="27"/>
      <c r="JY206" s="27"/>
      <c r="JZ206" s="27"/>
      <c r="KA206" s="27"/>
      <c r="KB206" s="27"/>
    </row>
    <row r="207" spans="2:288" x14ac:dyDescent="0.2">
      <c r="B207" s="16">
        <v>2017</v>
      </c>
      <c r="C207" s="66">
        <v>42894</v>
      </c>
      <c r="D207" s="66" t="str">
        <f>CONCATENATE(J207,"-",C207)</f>
        <v>1082-42894</v>
      </c>
      <c r="E207" s="20" t="str">
        <f>CONCATENATE(T207,"-",U207,"-",C207)</f>
        <v>PO1-G1-42894</v>
      </c>
      <c r="F207" s="20" t="s">
        <v>106</v>
      </c>
      <c r="G207" s="20" t="s">
        <v>107</v>
      </c>
      <c r="I207" s="16">
        <v>0</v>
      </c>
      <c r="J207" s="21">
        <v>1082</v>
      </c>
      <c r="K207" s="21">
        <v>1636</v>
      </c>
      <c r="L207" s="18">
        <v>0</v>
      </c>
      <c r="M207" s="21">
        <f>VLOOKUP($K207,'[4]blood tubes 2017'!$D$1:$L$647,8,FALSE)</f>
        <v>0</v>
      </c>
      <c r="N207" s="15">
        <v>0</v>
      </c>
      <c r="O207" s="15" t="s">
        <v>119</v>
      </c>
      <c r="P207" s="16" t="s">
        <v>119</v>
      </c>
      <c r="Q207" s="16">
        <v>0</v>
      </c>
      <c r="R207" s="16" t="s">
        <v>111</v>
      </c>
      <c r="T207" s="16" t="s">
        <v>112</v>
      </c>
      <c r="U207" s="16" t="s">
        <v>155</v>
      </c>
      <c r="V207" s="16" t="s">
        <v>114</v>
      </c>
      <c r="W207" s="16">
        <f>AI207/AG207</f>
        <v>0.85</v>
      </c>
      <c r="X207" s="16" t="s">
        <v>121</v>
      </c>
      <c r="Y207" s="16" t="s">
        <v>110</v>
      </c>
      <c r="Z207" s="16">
        <v>3</v>
      </c>
      <c r="AA207" s="16" t="s">
        <v>119</v>
      </c>
      <c r="AB207" s="16" t="s">
        <v>239</v>
      </c>
      <c r="AC207" s="16" t="s">
        <v>123</v>
      </c>
      <c r="AD207" s="16" t="s">
        <v>123</v>
      </c>
      <c r="AG207" s="16">
        <f>AH207-AI207</f>
        <v>100</v>
      </c>
      <c r="AH207" s="16">
        <v>185</v>
      </c>
      <c r="AI207" s="16">
        <v>85</v>
      </c>
      <c r="AK207" s="16">
        <v>25.5</v>
      </c>
      <c r="AL207" s="16">
        <v>0</v>
      </c>
      <c r="AM207" s="16">
        <v>0</v>
      </c>
      <c r="AN207" s="16">
        <v>0</v>
      </c>
      <c r="AO207" s="16">
        <v>0</v>
      </c>
      <c r="AP207" s="16">
        <f>SUM(AL207:AN207)</f>
        <v>0</v>
      </c>
      <c r="AQ207" s="16">
        <v>1.825</v>
      </c>
      <c r="AR207" s="16">
        <f>AP207-1.472</f>
        <v>-1.472</v>
      </c>
      <c r="AS207" s="16">
        <f>AQ207-1.472</f>
        <v>0.35299999999999998</v>
      </c>
      <c r="AT207" s="16" t="s">
        <v>233</v>
      </c>
      <c r="AW207" s="16">
        <f>IF(AX207&gt;0,1,0)</f>
        <v>1</v>
      </c>
      <c r="AX207" s="16">
        <f>SUM(BA207,BM207,CT207)</f>
        <v>1</v>
      </c>
      <c r="AY207" s="18">
        <f>SUM(BB207,BN207,CV207)</f>
        <v>5.6657223796034</v>
      </c>
      <c r="AZ207" s="16">
        <f>IF(BA207&gt;0,1,0)</f>
        <v>0</v>
      </c>
      <c r="BA207" s="16">
        <f>SUM(BC207,BF207,BI207)</f>
        <v>0</v>
      </c>
      <c r="BB207" s="16">
        <f>SUM(BE207,BH207,BK207)</f>
        <v>0</v>
      </c>
      <c r="BC207" s="16">
        <v>0</v>
      </c>
      <c r="BD207" s="16">
        <v>0</v>
      </c>
      <c r="BE207" s="16">
        <f>BD207/AS207</f>
        <v>0</v>
      </c>
      <c r="BF207" s="16">
        <v>0</v>
      </c>
      <c r="BG207" s="23">
        <v>0</v>
      </c>
      <c r="BH207" s="16">
        <f>BG207/AS207</f>
        <v>0</v>
      </c>
      <c r="BI207" s="16">
        <v>0</v>
      </c>
      <c r="BJ207" s="16">
        <v>0</v>
      </c>
      <c r="BK207" s="16">
        <f>BJ207/AS207</f>
        <v>0</v>
      </c>
      <c r="BL207" s="16">
        <f>IF(BM207&gt;0,1,0)</f>
        <v>1</v>
      </c>
      <c r="BM207" s="16">
        <f>SUM(BR207,BU207,BX207,CA207,CD207,CG207,CJ207,CM207,CP207)</f>
        <v>1</v>
      </c>
      <c r="BN207" s="16">
        <f>SUM(BW207,BZ207,CC207,CF207,CI207,CL207,CO207,CR207,BT207)</f>
        <v>5.6657223796034</v>
      </c>
      <c r="BO207" s="16">
        <f>IF(BP207&gt;0,1,0)</f>
        <v>1</v>
      </c>
      <c r="BP207" s="16">
        <f>SUM(BU207,BX207,CA207,CD207,BR207)</f>
        <v>1</v>
      </c>
      <c r="BQ207" s="16">
        <f>SUM(BZ207,CC207,CF207,BT207,BW207)</f>
        <v>5.6657223796034</v>
      </c>
      <c r="BR207" s="16">
        <v>0</v>
      </c>
      <c r="BS207" s="16">
        <v>0</v>
      </c>
      <c r="BT207" s="23">
        <f>BS207/AS207</f>
        <v>0</v>
      </c>
      <c r="BU207" s="16">
        <v>0</v>
      </c>
      <c r="BV207" s="16">
        <v>0</v>
      </c>
      <c r="BW207" s="16">
        <f>BV207/AS207</f>
        <v>0</v>
      </c>
      <c r="BX207" s="16">
        <v>1</v>
      </c>
      <c r="BY207" s="16">
        <v>2</v>
      </c>
      <c r="BZ207" s="16">
        <f>BY207/AS207</f>
        <v>5.6657223796034</v>
      </c>
      <c r="CA207" s="16">
        <v>0</v>
      </c>
      <c r="CB207" s="16">
        <v>0</v>
      </c>
      <c r="CC207" s="16">
        <f>CB207/AS207</f>
        <v>0</v>
      </c>
      <c r="CD207" s="23">
        <v>0</v>
      </c>
      <c r="CE207" s="16">
        <v>0</v>
      </c>
      <c r="CF207" s="16">
        <f>CE207/AS207</f>
        <v>0</v>
      </c>
      <c r="CG207" s="16">
        <v>0</v>
      </c>
      <c r="CH207" s="16">
        <v>0</v>
      </c>
      <c r="CI207" s="16">
        <f>CH207/AS207</f>
        <v>0</v>
      </c>
      <c r="CM207" s="16">
        <v>0</v>
      </c>
      <c r="CN207" s="16">
        <v>0</v>
      </c>
      <c r="CO207" s="16">
        <f>CN207/AS207</f>
        <v>0</v>
      </c>
      <c r="CP207" s="16">
        <v>0</v>
      </c>
      <c r="CQ207" s="16">
        <v>0</v>
      </c>
      <c r="CR207" s="16">
        <f>CQ207/AS207</f>
        <v>0</v>
      </c>
      <c r="CS207" s="16">
        <f>IF(CT207&gt;0,1,0)</f>
        <v>0</v>
      </c>
      <c r="CT207" s="16">
        <f>SUM(CW207,CZ207,DC207)</f>
        <v>0</v>
      </c>
      <c r="CV207" s="16">
        <f>SUM(CY207,DB207,DE207)</f>
        <v>0</v>
      </c>
      <c r="CW207" s="16">
        <v>0</v>
      </c>
      <c r="CX207" s="16">
        <v>0</v>
      </c>
      <c r="CY207" s="16">
        <f>CX207/AS207</f>
        <v>0</v>
      </c>
      <c r="CZ207" s="16">
        <v>0</v>
      </c>
      <c r="DA207" s="16">
        <v>0</v>
      </c>
      <c r="DB207" s="16">
        <f>DA207/AS207</f>
        <v>0</v>
      </c>
      <c r="DC207" s="16">
        <v>0</v>
      </c>
      <c r="DD207" s="16">
        <v>0</v>
      </c>
      <c r="DE207" s="16">
        <f>DD207/AS207</f>
        <v>0</v>
      </c>
      <c r="DF207" s="16" t="e">
        <f>VLOOKUP(K207,'[3]RNA Seq summary tables'!$V$3:$V$99,1,FALSE)</f>
        <v>#N/A</v>
      </c>
      <c r="DG207" s="16">
        <v>1</v>
      </c>
      <c r="DH207" s="16" t="str">
        <f>VLOOKUP(D207,'[6]workflow 3.2018'!$A$1:$S$237,2,FALSE)</f>
        <v>2017MLBS_43</v>
      </c>
      <c r="DI207" s="16">
        <v>31</v>
      </c>
      <c r="DK207" s="16">
        <v>58</v>
      </c>
      <c r="DM207" s="16">
        <v>11</v>
      </c>
      <c r="DO207" s="16">
        <v>0</v>
      </c>
      <c r="DQ207" s="16">
        <v>0</v>
      </c>
      <c r="DR207" s="16">
        <v>100</v>
      </c>
      <c r="JR207" s="27"/>
      <c r="JS207" s="27"/>
      <c r="JT207" s="27"/>
      <c r="JU207" s="27"/>
      <c r="JV207" s="27"/>
      <c r="JW207" s="27"/>
      <c r="JX207" s="27"/>
      <c r="JY207" s="27"/>
      <c r="JZ207" s="27"/>
      <c r="KA207" s="27"/>
      <c r="KB207" s="27"/>
    </row>
    <row r="208" spans="2:288" x14ac:dyDescent="0.2">
      <c r="B208" s="16">
        <v>2017</v>
      </c>
      <c r="C208" s="20">
        <v>42912</v>
      </c>
      <c r="D208" s="20" t="str">
        <f>CONCATENATE(J208,"-",C208)</f>
        <v>1082-42912</v>
      </c>
      <c r="E208" s="20" t="str">
        <f>CONCATENATE(T208,"-",U208,"-",C208)</f>
        <v>PO1-H2-42912</v>
      </c>
      <c r="F208" s="20" t="s">
        <v>106</v>
      </c>
      <c r="G208" s="20" t="s">
        <v>107</v>
      </c>
      <c r="I208" s="16">
        <v>0</v>
      </c>
      <c r="J208" s="21">
        <v>1082</v>
      </c>
      <c r="K208" s="21">
        <v>1749</v>
      </c>
      <c r="L208" s="16">
        <v>1</v>
      </c>
      <c r="M208" s="21">
        <f>VLOOKUP($K208,'[4]blood tubes 2017'!$D$1:$L$647,8,FALSE)</f>
        <v>0</v>
      </c>
      <c r="N208" s="15">
        <v>0</v>
      </c>
      <c r="O208" s="15" t="s">
        <v>119</v>
      </c>
      <c r="P208" s="16" t="s">
        <v>119</v>
      </c>
      <c r="Q208" s="16">
        <v>0</v>
      </c>
      <c r="R208" s="16">
        <v>18</v>
      </c>
      <c r="T208" s="16" t="s">
        <v>112</v>
      </c>
      <c r="U208" s="16" t="s">
        <v>190</v>
      </c>
      <c r="V208" s="16" t="s">
        <v>114</v>
      </c>
      <c r="W208" s="16">
        <f>AI208/AG208</f>
        <v>0.80582524271844658</v>
      </c>
      <c r="X208" s="16" t="s">
        <v>121</v>
      </c>
      <c r="Y208" s="16" t="s">
        <v>110</v>
      </c>
      <c r="Z208" s="16">
        <v>3</v>
      </c>
      <c r="AA208" s="16" t="s">
        <v>119</v>
      </c>
      <c r="AB208" s="16" t="s">
        <v>123</v>
      </c>
      <c r="AC208" s="16" t="s">
        <v>123</v>
      </c>
      <c r="AD208" s="16" t="s">
        <v>123</v>
      </c>
      <c r="AG208" s="16">
        <f>AH208-AI208</f>
        <v>103</v>
      </c>
      <c r="AH208" s="16">
        <v>186</v>
      </c>
      <c r="AI208" s="16">
        <v>83</v>
      </c>
      <c r="AK208" s="16">
        <v>27</v>
      </c>
      <c r="AL208" s="16">
        <v>1</v>
      </c>
      <c r="AM208" s="16">
        <v>0</v>
      </c>
      <c r="AN208" s="16">
        <v>0</v>
      </c>
      <c r="AO208" s="16">
        <v>1</v>
      </c>
      <c r="AP208" s="16">
        <f>SUM(AL208:AN208)</f>
        <v>1</v>
      </c>
      <c r="AQ208" s="16">
        <v>1.76</v>
      </c>
      <c r="AR208" s="16">
        <f>AP208-1.472</f>
        <v>-0.47199999999999998</v>
      </c>
      <c r="AS208" s="16">
        <f>AQ208-1.472</f>
        <v>0.28800000000000003</v>
      </c>
      <c r="AT208" s="16" t="s">
        <v>233</v>
      </c>
      <c r="AW208" s="16">
        <f>IF(AX208&gt;0,1,0)</f>
        <v>1</v>
      </c>
      <c r="AX208" s="16">
        <f>SUM(BA208,BM208,CT208)</f>
        <v>1</v>
      </c>
      <c r="AY208" s="18">
        <f>SUM(BB208,BN208,CV208)</f>
        <v>20.833333333333332</v>
      </c>
      <c r="AZ208" s="16">
        <f>IF(BA208&gt;0,1,0)</f>
        <v>1</v>
      </c>
      <c r="BA208" s="16">
        <f>SUM(BC208,BF208,BI208)</f>
        <v>1</v>
      </c>
      <c r="BB208" s="16">
        <f>SUM(BE208,BH208,BK208)</f>
        <v>20.833333333333332</v>
      </c>
      <c r="BC208" s="16">
        <v>0</v>
      </c>
      <c r="BD208" s="16">
        <v>0</v>
      </c>
      <c r="BE208" s="16">
        <f>BD208/AS208</f>
        <v>0</v>
      </c>
      <c r="BF208" s="16">
        <v>1</v>
      </c>
      <c r="BG208" s="23">
        <v>6</v>
      </c>
      <c r="BH208" s="16">
        <f>BG208/AS208</f>
        <v>20.833333333333332</v>
      </c>
      <c r="BI208" s="16">
        <v>0</v>
      </c>
      <c r="BJ208" s="16">
        <v>0</v>
      </c>
      <c r="BK208" s="16">
        <f>BJ208/AS208</f>
        <v>0</v>
      </c>
      <c r="BL208" s="16">
        <f>IF(BM208&gt;0,1,0)</f>
        <v>0</v>
      </c>
      <c r="BM208" s="16">
        <f>SUM(BR208,BU208,BX208,CA208,CD208,CG208,CJ208,CM208,CP208)</f>
        <v>0</v>
      </c>
      <c r="BN208" s="16">
        <f>SUM(BW208,BZ208,CC208,CF208,CI208,CL208,CO208,CR208,BT208)</f>
        <v>0</v>
      </c>
      <c r="BO208" s="16">
        <f>IF(BP208&gt;0,1,0)</f>
        <v>0</v>
      </c>
      <c r="BP208" s="16">
        <f>SUM(BU208,BX208,CA208,CD208,BR208)</f>
        <v>0</v>
      </c>
      <c r="BQ208" s="16">
        <f>SUM(BZ208,CC208,CF208,BT208,BW208)</f>
        <v>0</v>
      </c>
      <c r="BR208" s="16">
        <v>0</v>
      </c>
      <c r="BS208" s="16">
        <v>0</v>
      </c>
      <c r="BT208" s="23">
        <f>BS208/AS208</f>
        <v>0</v>
      </c>
      <c r="BU208" s="16">
        <v>0</v>
      </c>
      <c r="BV208" s="16">
        <v>0</v>
      </c>
      <c r="BW208" s="16">
        <f>BV208/AS208</f>
        <v>0</v>
      </c>
      <c r="BX208" s="16">
        <v>0</v>
      </c>
      <c r="BY208" s="16">
        <v>0</v>
      </c>
      <c r="BZ208" s="16">
        <f>BY208/AS208</f>
        <v>0</v>
      </c>
      <c r="CA208" s="16">
        <v>0</v>
      </c>
      <c r="CB208" s="16">
        <v>0</v>
      </c>
      <c r="CC208" s="16">
        <f>CB208/AS208</f>
        <v>0</v>
      </c>
      <c r="CD208" s="23">
        <v>0</v>
      </c>
      <c r="CE208" s="16">
        <v>0</v>
      </c>
      <c r="CF208" s="16">
        <f>CE208/AS208</f>
        <v>0</v>
      </c>
      <c r="CG208" s="16">
        <v>0</v>
      </c>
      <c r="CH208" s="16">
        <v>0</v>
      </c>
      <c r="CI208" s="16">
        <f>CH208/AS208</f>
        <v>0</v>
      </c>
      <c r="CM208" s="16">
        <v>0</v>
      </c>
      <c r="CN208" s="16">
        <v>0</v>
      </c>
      <c r="CO208" s="16">
        <f>CN208/AS208</f>
        <v>0</v>
      </c>
      <c r="CP208" s="16">
        <v>0</v>
      </c>
      <c r="CQ208" s="16">
        <v>0</v>
      </c>
      <c r="CR208" s="16">
        <f>CQ208/AS208</f>
        <v>0</v>
      </c>
      <c r="CS208" s="16">
        <f>IF(CT208&gt;0,1,0)</f>
        <v>0</v>
      </c>
      <c r="CT208" s="16">
        <f>SUM(CW208,CZ208,DC208)</f>
        <v>0</v>
      </c>
      <c r="CV208" s="16">
        <f>SUM(CY208,DB208,DE208)</f>
        <v>0</v>
      </c>
      <c r="CW208" s="16">
        <v>0</v>
      </c>
      <c r="CX208" s="16">
        <v>0</v>
      </c>
      <c r="CY208" s="16">
        <f>CX208/AS208</f>
        <v>0</v>
      </c>
      <c r="CZ208" s="16">
        <v>0</v>
      </c>
      <c r="DA208" s="16">
        <v>0</v>
      </c>
      <c r="DB208" s="16">
        <f>DA208/AS208</f>
        <v>0</v>
      </c>
      <c r="DC208" s="16">
        <v>0</v>
      </c>
      <c r="DD208" s="16">
        <v>0</v>
      </c>
      <c r="DE208" s="16">
        <f>DD208/AS208</f>
        <v>0</v>
      </c>
      <c r="DF208" s="16">
        <f>VLOOKUP(K208,'[3]RNA Seq summary tables'!$V$3:$V$99,1,FALSE)</f>
        <v>1749</v>
      </c>
      <c r="DI208" s="16">
        <v>26</v>
      </c>
      <c r="DK208" s="16">
        <v>64</v>
      </c>
      <c r="DM208" s="16">
        <v>10</v>
      </c>
      <c r="DO208" s="16">
        <v>0</v>
      </c>
      <c r="DQ208" s="16">
        <v>0</v>
      </c>
      <c r="DR208" s="16">
        <f>SUM(DI208:DQ208)</f>
        <v>100</v>
      </c>
      <c r="JO208" s="18"/>
    </row>
    <row r="209" spans="1:288" s="18" customFormat="1" x14ac:dyDescent="0.2">
      <c r="B209" s="16">
        <v>2017</v>
      </c>
      <c r="C209" s="43">
        <v>42927</v>
      </c>
      <c r="D209" s="43" t="str">
        <f>CONCATENATE(J209,"-",C209)</f>
        <v>1082-42927</v>
      </c>
      <c r="E209" s="20" t="str">
        <f>CONCATENATE(T209,"-",U209,"-",C209)</f>
        <v>PO1-G1-42927</v>
      </c>
      <c r="F209" s="20" t="s">
        <v>106</v>
      </c>
      <c r="G209" s="43" t="s">
        <v>107</v>
      </c>
      <c r="H209" s="23"/>
      <c r="I209" s="16">
        <v>0</v>
      </c>
      <c r="J209" s="15">
        <v>1082</v>
      </c>
      <c r="K209" s="15">
        <v>1859</v>
      </c>
      <c r="L209" s="16">
        <v>1</v>
      </c>
      <c r="M209" s="21">
        <f>VLOOKUP($K209,'[4]blood tubes 2017'!$D$1:$L$647,8,FALSE)</f>
        <v>0</v>
      </c>
      <c r="N209" s="15">
        <v>0</v>
      </c>
      <c r="O209" s="15" t="s">
        <v>119</v>
      </c>
      <c r="P209" s="23" t="s">
        <v>119</v>
      </c>
      <c r="Q209" s="16">
        <v>0</v>
      </c>
      <c r="R209" s="23">
        <v>15</v>
      </c>
      <c r="S209" s="23"/>
      <c r="T209" s="23" t="s">
        <v>112</v>
      </c>
      <c r="U209" s="23" t="s">
        <v>155</v>
      </c>
      <c r="V209" s="23" t="s">
        <v>114</v>
      </c>
      <c r="W209" s="16">
        <f>AI209/AG209</f>
        <v>0.87</v>
      </c>
      <c r="X209" s="23" t="s">
        <v>121</v>
      </c>
      <c r="Y209" s="23" t="s">
        <v>110</v>
      </c>
      <c r="Z209" s="23">
        <v>3</v>
      </c>
      <c r="AA209" s="23" t="s">
        <v>119</v>
      </c>
      <c r="AB209" s="23" t="s">
        <v>239</v>
      </c>
      <c r="AC209" s="23" t="s">
        <v>123</v>
      </c>
      <c r="AD209" s="23" t="s">
        <v>123</v>
      </c>
      <c r="AE209" s="23"/>
      <c r="AF209" s="23"/>
      <c r="AG209" s="23">
        <f>AH209-AI209</f>
        <v>100</v>
      </c>
      <c r="AH209" s="23">
        <v>187</v>
      </c>
      <c r="AI209" s="23">
        <v>87</v>
      </c>
      <c r="AJ209" s="23"/>
      <c r="AK209" s="23">
        <v>24.5</v>
      </c>
      <c r="AL209" s="23">
        <v>0</v>
      </c>
      <c r="AM209" s="23">
        <v>0</v>
      </c>
      <c r="AN209" s="23">
        <v>0</v>
      </c>
      <c r="AO209" s="23">
        <v>0</v>
      </c>
      <c r="AP209" s="23">
        <f>SUM(AL209:AN209)</f>
        <v>0</v>
      </c>
      <c r="AQ209" s="23">
        <v>1.968</v>
      </c>
      <c r="AR209" s="23">
        <f>AP209-1.472</f>
        <v>-1.472</v>
      </c>
      <c r="AS209" s="23">
        <f>AQ209-1.472</f>
        <v>0.496</v>
      </c>
      <c r="AT209" s="23" t="str">
        <f>VLOOKUP(K209,'[5]FECs - good data'!$C$1:$P$575,13,FALSE)</f>
        <v>NB</v>
      </c>
      <c r="AU209" s="23"/>
      <c r="AV209" s="23"/>
      <c r="AW209" s="25">
        <f>IF(AX209&gt;0,1,0)</f>
        <v>1</v>
      </c>
      <c r="AX209" s="25">
        <f>SUM(BA209,BM209,CT209)</f>
        <v>2</v>
      </c>
      <c r="AY209" s="25">
        <f>SUM(BB209,BN209,CV209)</f>
        <v>28.225806451612904</v>
      </c>
      <c r="AZ209" s="18">
        <f>IF(BA209&gt;0,1,0)</f>
        <v>1</v>
      </c>
      <c r="BA209" s="25">
        <f>SUM(BC209,BF209,BI209)</f>
        <v>1</v>
      </c>
      <c r="BB209" s="25">
        <f>SUM(BE209,BH209,BK209)</f>
        <v>22.177419354838708</v>
      </c>
      <c r="BC209" s="18">
        <f>IF(BD209&gt;0,1,0)</f>
        <v>0</v>
      </c>
      <c r="BD209" s="25">
        <f>VLOOKUP($K209,'[5]FECs - good data'!$C$1:$Z$574,14,FALSE)</f>
        <v>0</v>
      </c>
      <c r="BE209" s="23">
        <f>BD209/AS209</f>
        <v>0</v>
      </c>
      <c r="BF209" s="16">
        <f>IF(BG209&gt;0,1,0)</f>
        <v>1</v>
      </c>
      <c r="BG209" s="23">
        <f>VLOOKUP($K209,'[5]FECs - good data'!$C$1:$Z$574,15,FALSE)</f>
        <v>11</v>
      </c>
      <c r="BH209" s="23">
        <f>BG209/AS209</f>
        <v>22.177419354838708</v>
      </c>
      <c r="BI209" s="16">
        <f>IF(BJ209&gt;0,1,0)</f>
        <v>0</v>
      </c>
      <c r="BJ209" s="23">
        <f>VLOOKUP($K209,'[5]FECs - good data'!$C$1:$Z$574,16,FALSE)</f>
        <v>0</v>
      </c>
      <c r="BK209" s="23">
        <f>BJ209/AS209</f>
        <v>0</v>
      </c>
      <c r="BL209" s="16">
        <f>IF(BM209&gt;0,1,0)</f>
        <v>1</v>
      </c>
      <c r="BM209" s="16">
        <f>SUM(BR209,BU209,BX209,CA209,CD209,CG209,CJ209,CM209,CP209)</f>
        <v>1</v>
      </c>
      <c r="BN209" s="16">
        <f>SUM(BW209,BZ209,CC209,CF209,CI209,CL209,CO209,CR209,BT209)</f>
        <v>6.0483870967741939</v>
      </c>
      <c r="BO209" s="16">
        <f>IF(BP209&gt;0,1,0)</f>
        <v>1</v>
      </c>
      <c r="BP209" s="16">
        <f>SUM(BU209,BX209,CA209,CD209,BR209)</f>
        <v>1</v>
      </c>
      <c r="BQ209" s="16">
        <f>SUM(BZ209,CC209,CF209,BT209,BW209)</f>
        <v>6.0483870967741939</v>
      </c>
      <c r="BR209" s="16">
        <f>IF(BS209&gt;0,1,0)</f>
        <v>1</v>
      </c>
      <c r="BS209" s="23">
        <f>VLOOKUP($K209,'[5]FECs - good data'!$C$1:$Z$574,17,FALSE)</f>
        <v>3</v>
      </c>
      <c r="BT209" s="23">
        <f>BS209/AS209</f>
        <v>6.0483870967741939</v>
      </c>
      <c r="BU209" s="16">
        <f>IF(BV209&gt;0,1,0)</f>
        <v>0</v>
      </c>
      <c r="BV209" s="23">
        <f>VLOOKUP($K209,'[5]FECs - good data'!$C$1:$Z$574,18,FALSE)</f>
        <v>0</v>
      </c>
      <c r="BW209" s="16">
        <f>BV209/AS209</f>
        <v>0</v>
      </c>
      <c r="BX209" s="16">
        <f>IF(BY209&gt;0,1,0)</f>
        <v>0</v>
      </c>
      <c r="BY209" s="23">
        <f>VLOOKUP($K209,'[5]FECs - good data'!$C$1:$Z$574,19,FALSE)</f>
        <v>0</v>
      </c>
      <c r="BZ209" s="16">
        <f>BY209/AS209</f>
        <v>0</v>
      </c>
      <c r="CA209" s="16">
        <f>IF(CB209&gt;0,1,0)</f>
        <v>0</v>
      </c>
      <c r="CB209" s="23">
        <f>VLOOKUP($K209,'[5]FECs - good data'!$C$1:$Z$574,20,FALSE)</f>
        <v>0</v>
      </c>
      <c r="CC209" s="23">
        <f>CB209/AS209</f>
        <v>0</v>
      </c>
      <c r="CD209" s="23">
        <f>IF(CE209&gt;0,1,0)</f>
        <v>0</v>
      </c>
      <c r="CE209" s="23">
        <f>VLOOKUP($K209,'[5]FECs - good data'!$C$1:$Z$574,21,FALSE)</f>
        <v>0</v>
      </c>
      <c r="CF209" s="23">
        <f>CE209/AS209</f>
        <v>0</v>
      </c>
      <c r="CG209" s="23">
        <f>IF(CH209&gt;0,1,0)</f>
        <v>0</v>
      </c>
      <c r="CH209" s="23">
        <f>VLOOKUP($K209,'[5]FECs - good data'!$C$1:$Z$574,22,FALSE)</f>
        <v>0</v>
      </c>
      <c r="CI209" s="23">
        <f>CH209/AS209</f>
        <v>0</v>
      </c>
      <c r="CJ209" s="23">
        <f>IF(CK209&gt;0,1,0)</f>
        <v>0</v>
      </c>
      <c r="CK209" s="23">
        <f>VLOOKUP($K209,'[5]FECs - good data'!$C$1:$Z$674,24,FALSE)</f>
        <v>0</v>
      </c>
      <c r="CL209" s="23">
        <f>CK209/AS209</f>
        <v>0</v>
      </c>
      <c r="CM209" s="23"/>
      <c r="CN209" s="23"/>
      <c r="CO209" s="23"/>
      <c r="CP209" s="23"/>
      <c r="CQ209" s="23"/>
      <c r="CR209" s="23"/>
      <c r="CS209" s="16">
        <f>IF(CT209&gt;0,1,0)</f>
        <v>0</v>
      </c>
      <c r="CT209" s="16">
        <f>SUM(CW209+CZ209,DC209)</f>
        <v>0</v>
      </c>
      <c r="CU209" s="16"/>
      <c r="CV209" s="23">
        <f>SUM(CY209,DB209,DE209)</f>
        <v>0</v>
      </c>
      <c r="CW209" s="16">
        <f>IF(CX209&gt;0,1,0)</f>
        <v>0</v>
      </c>
      <c r="CX209" s="23">
        <f>VLOOKUP($K209,'[5]FECs - good data'!$C$1:$Z$574,22,FALSE)</f>
        <v>0</v>
      </c>
      <c r="CY209" s="23">
        <f>CX209/AS209</f>
        <v>0</v>
      </c>
      <c r="CZ209" s="23">
        <f>IF(DA209&gt;0,1,0)</f>
        <v>0</v>
      </c>
      <c r="DA209" s="23">
        <f>VLOOKUP($K209,'[5]FECs - good data'!$C$1:$Z$5982,23,FALSE)</f>
        <v>0</v>
      </c>
      <c r="DB209" s="23">
        <f>DA209/AS209</f>
        <v>0</v>
      </c>
      <c r="DC209" s="23">
        <f>IF(DD209&gt;0,1,0)</f>
        <v>0</v>
      </c>
      <c r="DD209" s="23">
        <f>VLOOKUP($K209,'[5]FECs - good data'!$C$1:$Z$574,23,FALSE)</f>
        <v>0</v>
      </c>
      <c r="DE209" s="23">
        <f>DD209/AS209</f>
        <v>0</v>
      </c>
      <c r="DF209" s="16">
        <f>VLOOKUP(K209,'[3]RNA Seq summary tables'!$V$3:$V$99,1,FALSE)</f>
        <v>1859</v>
      </c>
      <c r="DG209" s="16"/>
      <c r="DH209" s="16"/>
      <c r="DI209" s="23"/>
      <c r="DJ209" s="23"/>
      <c r="DK209" s="23"/>
      <c r="DL209" s="23"/>
      <c r="DM209" s="23"/>
      <c r="DN209" s="23"/>
      <c r="DO209" s="23"/>
      <c r="DP209" s="23"/>
      <c r="DQ209" s="23"/>
      <c r="DR209" s="23"/>
      <c r="DS209" s="23"/>
      <c r="JO209" s="16"/>
      <c r="JP209" s="16"/>
      <c r="JQ209" s="16"/>
    </row>
    <row r="210" spans="1:288" ht="16" x14ac:dyDescent="0.2">
      <c r="B210" s="16">
        <v>2017</v>
      </c>
      <c r="C210" s="20">
        <v>42947</v>
      </c>
      <c r="D210" s="20" t="str">
        <f>CONCATENATE(J210,"-",C210)</f>
        <v>1082-42947</v>
      </c>
      <c r="E210" s="37" t="str">
        <f>CONCATENATE(T210,"-",U210,"-",C210)</f>
        <v>PO1-H1-42947</v>
      </c>
      <c r="F210" s="20" t="s">
        <v>106</v>
      </c>
      <c r="G210" s="20" t="s">
        <v>107</v>
      </c>
      <c r="I210" s="16">
        <v>0</v>
      </c>
      <c r="J210" s="21">
        <v>1082</v>
      </c>
      <c r="K210" s="21">
        <v>2019</v>
      </c>
      <c r="L210" s="18">
        <v>0</v>
      </c>
      <c r="M210" s="21">
        <f>VLOOKUP($K210,'[4]blood tubes 2017'!$D$1:$L$647,8,FALSE)</f>
        <v>0</v>
      </c>
      <c r="N210" s="15">
        <v>0</v>
      </c>
      <c r="O210" s="15" t="s">
        <v>119</v>
      </c>
      <c r="P210" s="16" t="s">
        <v>119</v>
      </c>
      <c r="Q210" s="16">
        <v>0</v>
      </c>
      <c r="R210" s="16">
        <v>20</v>
      </c>
      <c r="T210" s="16" t="s">
        <v>112</v>
      </c>
      <c r="U210" s="16" t="s">
        <v>191</v>
      </c>
      <c r="V210" s="16" t="s">
        <v>114</v>
      </c>
      <c r="W210" s="16">
        <f>AI210/AG210</f>
        <v>0.84313725490196079</v>
      </c>
      <c r="X210" s="16" t="s">
        <v>121</v>
      </c>
      <c r="Y210" s="16" t="s">
        <v>110</v>
      </c>
      <c r="Z210" s="16">
        <v>3</v>
      </c>
      <c r="AA210" s="16" t="s">
        <v>161</v>
      </c>
      <c r="AB210" s="16" t="s">
        <v>239</v>
      </c>
      <c r="AC210" s="16" t="s">
        <v>123</v>
      </c>
      <c r="AD210" s="16" t="s">
        <v>116</v>
      </c>
      <c r="AG210" s="16">
        <f>AH210-AI210</f>
        <v>102</v>
      </c>
      <c r="AH210" s="16">
        <v>188</v>
      </c>
      <c r="AI210" s="16">
        <v>86</v>
      </c>
      <c r="AK210" s="16">
        <v>23.5</v>
      </c>
      <c r="AL210" s="16">
        <v>0</v>
      </c>
      <c r="AM210" s="16">
        <v>0</v>
      </c>
      <c r="AN210" s="16">
        <v>0</v>
      </c>
      <c r="AO210" s="16">
        <v>0</v>
      </c>
      <c r="AP210" s="16">
        <f>SUM(AL210:AN210)</f>
        <v>0</v>
      </c>
      <c r="AQ210" s="16">
        <v>2.2959999999999998</v>
      </c>
      <c r="AR210" s="16">
        <f>AP210-1.472</f>
        <v>-1.472</v>
      </c>
      <c r="AS210" s="16">
        <f>AQ210-1.472</f>
        <v>0.82399999999999984</v>
      </c>
      <c r="AT210" s="16" t="str">
        <f>VLOOKUP(E210,[2]Current!$A$1:$W$435,7,FALSE)</f>
        <v>TE</v>
      </c>
      <c r="AU210" s="16" t="s">
        <v>1288</v>
      </c>
      <c r="AV210" s="23"/>
      <c r="AW210" s="128">
        <f>IF(AX210&gt;0,1,0)</f>
        <v>1</v>
      </c>
      <c r="AX210" s="128">
        <f>SUM(BA210,BM210,CU210)</f>
        <v>2</v>
      </c>
      <c r="AY210" s="128">
        <f>SUM(BB210,BN210,CV210)</f>
        <v>1351.9417475728158</v>
      </c>
      <c r="AZ210" s="128">
        <f>IF(BA210&gt;0,1,0)</f>
        <v>1</v>
      </c>
      <c r="BA210" s="128">
        <f>SUM(BC210+BF210+BI210)</f>
        <v>2</v>
      </c>
      <c r="BB210" s="128">
        <f>SUM(BE210,BH210,BK210)</f>
        <v>1351.9417475728158</v>
      </c>
      <c r="BC210" s="130">
        <f>IF(BD210&gt;0,1,0)</f>
        <v>0</v>
      </c>
      <c r="BD210" s="128">
        <f>VLOOKUP($E210,[2]Current!$A:$AC,26,FALSE)</f>
        <v>0</v>
      </c>
      <c r="BE210" s="128">
        <f>BD210/$AS210</f>
        <v>0</v>
      </c>
      <c r="BF210" s="130">
        <f>IF(BG210&gt;0,1,0)</f>
        <v>1</v>
      </c>
      <c r="BG210" s="175">
        <f>VLOOKUP($E210,[2]Current!$A:$AC,27,FALSE)</f>
        <v>84</v>
      </c>
      <c r="BH210" s="128">
        <f>BG210/$AS210</f>
        <v>101.94174757281556</v>
      </c>
      <c r="BI210" s="130">
        <f>IF(BJ210&gt;0,1,0)</f>
        <v>1</v>
      </c>
      <c r="BJ210" s="128">
        <f>VLOOKUP($E210,[2]Current!$A:$AC,28,FALSE)</f>
        <v>1030</v>
      </c>
      <c r="BK210" s="128">
        <f>BJ210/$AS210</f>
        <v>1250.0000000000002</v>
      </c>
      <c r="BL210" s="128">
        <f>IF(BM210&gt;0,1,0)</f>
        <v>0</v>
      </c>
      <c r="BM210" s="128">
        <f>SUM(BR210,BU210,BX210,CA210,CD210)</f>
        <v>0</v>
      </c>
      <c r="BN210" s="131">
        <f>SUM(BT210,BW210,BZ210,CC210,CF210)</f>
        <v>0</v>
      </c>
      <c r="BO210" s="128">
        <f>IF(BP210&gt;0,1,0)</f>
        <v>0</v>
      </c>
      <c r="BP210" s="128">
        <f>BM210+CJ210</f>
        <v>0</v>
      </c>
      <c r="BQ210" s="128">
        <f>BN210+CL210</f>
        <v>0</v>
      </c>
      <c r="BR210" s="130">
        <f>IF(BS210&gt;0,1,0)</f>
        <v>0</v>
      </c>
      <c r="BS210" s="128">
        <f>VLOOKUP($E210,[2]Current!$A:$AC,12,FALSE)</f>
        <v>0</v>
      </c>
      <c r="BT210" s="175">
        <f>BS210/$AS210</f>
        <v>0</v>
      </c>
      <c r="BU210" s="130">
        <f>IF(BV210&gt;0,1,0)</f>
        <v>0</v>
      </c>
      <c r="BV210" s="128">
        <f>VLOOKUP($E210,[2]Current!$A:$AC,13,FALSE)</f>
        <v>0</v>
      </c>
      <c r="BW210" s="128">
        <f>BV210/$AS210</f>
        <v>0</v>
      </c>
      <c r="BX210" s="130">
        <f>IF(BY210&gt;0,1,0)</f>
        <v>0</v>
      </c>
      <c r="BY210" s="128">
        <f>VLOOKUP($E210,[2]Current!$A:$AC,14,FALSE)</f>
        <v>0</v>
      </c>
      <c r="BZ210" s="128">
        <f>BY210/$AS210</f>
        <v>0</v>
      </c>
      <c r="CA210" s="130">
        <f>IF(CB210&gt;0,1,0)</f>
        <v>0</v>
      </c>
      <c r="CB210" s="128">
        <f>VLOOKUP($E210,[2]Current!$A:$AC,15,FALSE)</f>
        <v>0</v>
      </c>
      <c r="CC210" s="128">
        <f>CB210/$AS210</f>
        <v>0</v>
      </c>
      <c r="CD210" s="176">
        <f>IF(CE210&gt;0,1,0)</f>
        <v>0</v>
      </c>
      <c r="CE210" s="128">
        <f>VLOOKUP($E210,[2]Current!$A:$AC,16,FALSE)</f>
        <v>0</v>
      </c>
      <c r="CF210" s="128">
        <f>CE210/$AS210</f>
        <v>0</v>
      </c>
      <c r="CG210" s="18"/>
      <c r="CH210" s="18"/>
      <c r="CI210" s="18"/>
      <c r="CJ210" s="130">
        <f>IF(CK210&gt;0,1,0)</f>
        <v>0</v>
      </c>
      <c r="CK210" s="128">
        <f>VLOOKUP($E210,[2]Current!$A:$AC,18,FALSE)</f>
        <v>0</v>
      </c>
      <c r="CL210" s="128">
        <f>CK210/$AS210</f>
        <v>0</v>
      </c>
      <c r="CS210" s="130">
        <f>IF(CU210&gt;0,1,0)</f>
        <v>0</v>
      </c>
      <c r="CU210" s="128">
        <f>VLOOKUP($E210,[2]Current!$A:$AC,17,FALSE)</f>
        <v>0</v>
      </c>
      <c r="CV210" s="128">
        <f>CU210/$AS210</f>
        <v>0</v>
      </c>
      <c r="CW210" s="18"/>
      <c r="CX210" s="18"/>
      <c r="CY210" s="18"/>
      <c r="DF210" s="16" t="e">
        <f>VLOOKUP(K210,'[3]RNA Seq summary tables'!$V$3:$V$99,1,FALSE)</f>
        <v>#N/A</v>
      </c>
      <c r="DG210" s="16">
        <v>1</v>
      </c>
      <c r="DH210" s="16" t="str">
        <f>VLOOKUP(D210,'[6]workflow 3.2018'!$A$1:$S$237,2,FALSE)</f>
        <v>2017MLBS_104</v>
      </c>
    </row>
    <row r="211" spans="1:288" x14ac:dyDescent="0.2">
      <c r="B211" s="18">
        <v>2017</v>
      </c>
      <c r="C211" s="71">
        <v>42894</v>
      </c>
      <c r="D211" s="71" t="str">
        <f>CONCATENATE(J211,"-",C211)</f>
        <v>1084-42894</v>
      </c>
      <c r="E211" s="20" t="str">
        <f>CONCATENATE(T211,"-",U211,"-",C211)</f>
        <v>PO1-H1-42894</v>
      </c>
      <c r="F211" s="20" t="s">
        <v>106</v>
      </c>
      <c r="G211" s="37" t="s">
        <v>107</v>
      </c>
      <c r="H211" s="18"/>
      <c r="I211" s="16">
        <v>0</v>
      </c>
      <c r="J211" s="36">
        <v>1084</v>
      </c>
      <c r="K211" s="36">
        <v>1637</v>
      </c>
      <c r="L211" s="18">
        <v>0</v>
      </c>
      <c r="M211" s="21">
        <f>VLOOKUP($K211,'[4]blood tubes 2017'!$D$1:$L$647,8,FALSE)</f>
        <v>0</v>
      </c>
      <c r="N211" s="15">
        <v>0</v>
      </c>
      <c r="O211" s="15" t="s">
        <v>119</v>
      </c>
      <c r="P211" s="18" t="s">
        <v>119</v>
      </c>
      <c r="Q211" s="16">
        <v>0</v>
      </c>
      <c r="R211" s="18" t="s">
        <v>111</v>
      </c>
      <c r="S211" s="18"/>
      <c r="T211" s="18" t="s">
        <v>112</v>
      </c>
      <c r="U211" s="18" t="s">
        <v>191</v>
      </c>
      <c r="V211" s="18" t="s">
        <v>114</v>
      </c>
      <c r="W211" s="16">
        <f>AI211/AG211</f>
        <v>0.79347826086956519</v>
      </c>
      <c r="X211" s="18" t="s">
        <v>115</v>
      </c>
      <c r="Y211" s="18" t="s">
        <v>110</v>
      </c>
      <c r="Z211" s="18">
        <v>3</v>
      </c>
      <c r="AA211" s="18"/>
      <c r="AB211" s="18"/>
      <c r="AC211" s="18"/>
      <c r="AD211" s="18"/>
      <c r="AE211" s="18" t="s">
        <v>123</v>
      </c>
      <c r="AF211" s="18" t="s">
        <v>123</v>
      </c>
      <c r="AG211" s="18">
        <f>AH211-AI211</f>
        <v>92</v>
      </c>
      <c r="AH211" s="18">
        <v>165</v>
      </c>
      <c r="AI211" s="18">
        <v>73</v>
      </c>
      <c r="AJ211" s="18"/>
      <c r="AK211" s="18">
        <v>20</v>
      </c>
      <c r="AL211" s="18">
        <v>0</v>
      </c>
      <c r="AM211" s="18">
        <v>0</v>
      </c>
      <c r="AN211" s="18">
        <v>0</v>
      </c>
      <c r="AO211" s="18">
        <v>0</v>
      </c>
      <c r="AP211" s="18">
        <f>SUM(AL211:AN211)</f>
        <v>0</v>
      </c>
      <c r="AQ211" s="18">
        <v>1.786</v>
      </c>
      <c r="AR211" s="18">
        <f>AP211-1.472</f>
        <v>-1.472</v>
      </c>
      <c r="AS211" s="18">
        <f>AQ211-1.472</f>
        <v>0.31400000000000006</v>
      </c>
      <c r="AT211" s="16" t="s">
        <v>164</v>
      </c>
      <c r="AV211" s="24"/>
      <c r="AW211" s="16">
        <f>IF(AX211&gt;0,1,0)</f>
        <v>1</v>
      </c>
      <c r="AX211" s="16">
        <f>SUM(BA211,BM211,CT211)</f>
        <v>5</v>
      </c>
      <c r="AY211" s="18">
        <f>SUM(BB211,BN211,CV211)</f>
        <v>1627.3885350318469</v>
      </c>
      <c r="AZ211" s="16">
        <f>IF(BA211&gt;0,1,0)</f>
        <v>1</v>
      </c>
      <c r="BA211" s="16">
        <f>SUM(BC211,BF211,BI211)</f>
        <v>3</v>
      </c>
      <c r="BB211" s="16">
        <f>SUM(BE211,BH211,BK211)</f>
        <v>1334.3949044585986</v>
      </c>
      <c r="BC211" s="16">
        <v>1</v>
      </c>
      <c r="BD211" s="16">
        <v>14</v>
      </c>
      <c r="BE211" s="16">
        <f>BD211/AS211</f>
        <v>44.585987261146492</v>
      </c>
      <c r="BF211" s="16">
        <v>1</v>
      </c>
      <c r="BG211" s="23">
        <v>394</v>
      </c>
      <c r="BH211" s="16">
        <f>BG211/AS211</f>
        <v>1254.7770700636941</v>
      </c>
      <c r="BI211" s="16">
        <v>1</v>
      </c>
      <c r="BJ211" s="16">
        <v>11</v>
      </c>
      <c r="BK211" s="16">
        <f>BJ211/AS211</f>
        <v>35.031847133757957</v>
      </c>
      <c r="BL211" s="16">
        <f>IF(BM211&gt;0,1,0)</f>
        <v>1</v>
      </c>
      <c r="BM211" s="16">
        <f>SUM(BR211,BU211,BX211,CA211,CD211,CG211,CJ211,CM211,CP211)</f>
        <v>1</v>
      </c>
      <c r="BN211" s="16">
        <f>SUM(BW211,BZ211,CC211,CF211,CI211,CL211,CO211,CR211,BT211)</f>
        <v>12.738853503184711</v>
      </c>
      <c r="BO211" s="16">
        <f>IF(BP211&gt;0,1,0)</f>
        <v>1</v>
      </c>
      <c r="BP211" s="16">
        <f>SUM(BU211,BX211,CA211,CD211,BR211)</f>
        <v>1</v>
      </c>
      <c r="BQ211" s="16">
        <f>SUM(BZ211,CC211,CF211,BT211,BW211)</f>
        <v>12.738853503184711</v>
      </c>
      <c r="BR211" s="16">
        <v>1</v>
      </c>
      <c r="BS211" s="16">
        <v>4</v>
      </c>
      <c r="BT211" s="23">
        <f>BS211/AS211</f>
        <v>12.738853503184711</v>
      </c>
      <c r="BU211" s="16">
        <v>0</v>
      </c>
      <c r="BV211" s="16">
        <v>0</v>
      </c>
      <c r="BW211" s="16">
        <f>BV211/AS211</f>
        <v>0</v>
      </c>
      <c r="BX211" s="16">
        <v>0</v>
      </c>
      <c r="BY211" s="16">
        <v>0</v>
      </c>
      <c r="BZ211" s="16">
        <f>BY211/AS211</f>
        <v>0</v>
      </c>
      <c r="CA211" s="16">
        <v>0</v>
      </c>
      <c r="CB211" s="16">
        <v>0</v>
      </c>
      <c r="CC211" s="16">
        <f>CB211/AS211</f>
        <v>0</v>
      </c>
      <c r="CD211" s="23">
        <v>0</v>
      </c>
      <c r="CE211" s="16">
        <v>0</v>
      </c>
      <c r="CF211" s="16">
        <f>CE211/AS211</f>
        <v>0</v>
      </c>
      <c r="CG211" s="16">
        <v>0</v>
      </c>
      <c r="CH211" s="16">
        <v>0</v>
      </c>
      <c r="CI211" s="16">
        <f>CH211/AS211</f>
        <v>0</v>
      </c>
      <c r="CM211" s="16">
        <v>0</v>
      </c>
      <c r="CN211" s="16">
        <v>0</v>
      </c>
      <c r="CO211" s="16">
        <f>CN211/AS211</f>
        <v>0</v>
      </c>
      <c r="CP211" s="16">
        <v>0</v>
      </c>
      <c r="CQ211" s="16">
        <v>0</v>
      </c>
      <c r="CR211" s="16">
        <f>CQ211/AS211</f>
        <v>0</v>
      </c>
      <c r="CS211" s="16">
        <f>IF(CT211&gt;0,1,0)</f>
        <v>1</v>
      </c>
      <c r="CT211" s="16">
        <f>SUM(CW211,CZ211,DC211)</f>
        <v>1</v>
      </c>
      <c r="CV211" s="16">
        <f>SUM(CY211,DB211,DE211)</f>
        <v>280.25477707006365</v>
      </c>
      <c r="CW211" s="16">
        <v>1</v>
      </c>
      <c r="CX211" s="16">
        <v>88</v>
      </c>
      <c r="CY211" s="16">
        <f>CX211/AS211</f>
        <v>280.25477707006365</v>
      </c>
      <c r="CZ211" s="16">
        <v>0</v>
      </c>
      <c r="DA211" s="16">
        <v>0</v>
      </c>
      <c r="DB211" s="16">
        <f>DA211/AS211</f>
        <v>0</v>
      </c>
      <c r="DC211" s="16">
        <v>0</v>
      </c>
      <c r="DD211" s="16">
        <v>0</v>
      </c>
      <c r="DE211" s="16">
        <f>DD211/AS211</f>
        <v>0</v>
      </c>
      <c r="DF211" s="16" t="e">
        <f>VLOOKUP(K211,'[3]RNA Seq summary tables'!$V$3:$V$99,1,FALSE)</f>
        <v>#N/A</v>
      </c>
      <c r="DG211" s="16">
        <v>1</v>
      </c>
      <c r="DH211" s="16" t="str">
        <f>VLOOKUP(D211,'[6]workflow 3.2018'!$A$1:$S$237,2,FALSE)</f>
        <v>2017MLBS_45</v>
      </c>
      <c r="DI211" s="18">
        <v>56</v>
      </c>
      <c r="DJ211" s="18"/>
      <c r="DK211" s="18">
        <v>35</v>
      </c>
      <c r="DL211" s="18"/>
      <c r="DM211" s="18">
        <v>9</v>
      </c>
      <c r="DN211" s="18"/>
      <c r="DO211" s="18">
        <v>0</v>
      </c>
      <c r="DP211" s="18"/>
      <c r="DQ211" s="18">
        <v>0</v>
      </c>
      <c r="DR211" s="18">
        <v>100</v>
      </c>
      <c r="DS211" s="18"/>
    </row>
    <row r="212" spans="1:288" x14ac:dyDescent="0.2">
      <c r="B212" s="16">
        <v>2017</v>
      </c>
      <c r="C212" s="20">
        <v>42911</v>
      </c>
      <c r="D212" s="20" t="str">
        <f>CONCATENATE(J212,"-",C212)</f>
        <v>1084-42911</v>
      </c>
      <c r="E212" s="20" t="str">
        <f>CONCATENATE(T212,"-",U212,"-",C212)</f>
        <v>PO1-F1-42911</v>
      </c>
      <c r="F212" s="20" t="s">
        <v>106</v>
      </c>
      <c r="G212" s="20" t="s">
        <v>107</v>
      </c>
      <c r="I212" s="16">
        <v>0</v>
      </c>
      <c r="J212" s="21">
        <v>1084</v>
      </c>
      <c r="K212" s="21">
        <v>1729</v>
      </c>
      <c r="L212" s="18">
        <v>0</v>
      </c>
      <c r="M212" s="21">
        <f>VLOOKUP($K212,'[4]blood tubes 2017'!$D$1:$L$647,8,FALSE)</f>
        <v>0</v>
      </c>
      <c r="N212" s="15">
        <v>0</v>
      </c>
      <c r="O212" s="15" t="s">
        <v>119</v>
      </c>
      <c r="P212" s="16" t="s">
        <v>119</v>
      </c>
      <c r="Q212" s="16">
        <v>0</v>
      </c>
      <c r="R212" s="16">
        <v>17</v>
      </c>
      <c r="T212" s="16" t="s">
        <v>112</v>
      </c>
      <c r="U212" s="16" t="s">
        <v>217</v>
      </c>
      <c r="V212" s="16" t="s">
        <v>114</v>
      </c>
      <c r="W212" s="16">
        <f>AI212/AG212</f>
        <v>0.74226804123711343</v>
      </c>
      <c r="X212" s="16" t="s">
        <v>115</v>
      </c>
      <c r="Y212" s="16" t="s">
        <v>110</v>
      </c>
      <c r="Z212" s="16">
        <v>3</v>
      </c>
      <c r="AE212" s="16" t="s">
        <v>123</v>
      </c>
      <c r="AF212" s="16" t="s">
        <v>123</v>
      </c>
      <c r="AG212" s="16">
        <f>AH212-AI212</f>
        <v>97</v>
      </c>
      <c r="AH212" s="16">
        <v>169</v>
      </c>
      <c r="AI212" s="16">
        <v>72</v>
      </c>
      <c r="AK212" s="16">
        <v>23</v>
      </c>
      <c r="AL212" s="16">
        <v>0</v>
      </c>
      <c r="AM212" s="16">
        <v>0</v>
      </c>
      <c r="AN212" s="16">
        <v>0</v>
      </c>
      <c r="AO212" s="16">
        <v>0</v>
      </c>
      <c r="AP212" s="16">
        <f>SUM(AL212:AN212)</f>
        <v>0</v>
      </c>
      <c r="AQ212" s="16">
        <v>1.623</v>
      </c>
      <c r="AR212" s="16">
        <f>AP212-1.472</f>
        <v>-1.472</v>
      </c>
      <c r="AS212" s="16">
        <f>AQ212-1.472</f>
        <v>0.15100000000000002</v>
      </c>
      <c r="AT212" s="18" t="s">
        <v>235</v>
      </c>
      <c r="AU212" s="18"/>
      <c r="AW212" s="40"/>
      <c r="AX212" s="40"/>
      <c r="AY212" s="40"/>
      <c r="AZ212" s="40"/>
      <c r="BA212" s="40"/>
      <c r="BB212" s="40"/>
      <c r="BC212" s="40"/>
      <c r="BD212" s="40"/>
      <c r="BE212" s="40"/>
      <c r="BF212" s="40"/>
      <c r="BG212" s="75"/>
      <c r="BH212" s="40"/>
      <c r="BI212" s="40"/>
      <c r="BJ212" s="40"/>
      <c r="BK212" s="40"/>
      <c r="BL212" s="40"/>
      <c r="BM212" s="40"/>
      <c r="BN212" s="40"/>
      <c r="BO212" s="40"/>
      <c r="BP212" s="40"/>
      <c r="BQ212" s="40"/>
      <c r="BR212" s="40"/>
      <c r="BS212" s="40"/>
      <c r="BT212" s="75"/>
      <c r="BU212" s="40"/>
      <c r="BV212" s="40"/>
      <c r="BW212" s="40"/>
      <c r="BX212" s="40"/>
      <c r="BY212" s="40"/>
      <c r="BZ212" s="40"/>
      <c r="CA212" s="40"/>
      <c r="CB212" s="40"/>
      <c r="CC212" s="40"/>
      <c r="CD212" s="75"/>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0"/>
      <c r="DB212" s="40"/>
      <c r="DC212" s="40"/>
      <c r="DD212" s="40"/>
      <c r="DE212" s="40"/>
      <c r="DF212" s="16" t="e">
        <f>VLOOKUP(K212,'[3]RNA Seq summary tables'!$V$3:$V$99,1,FALSE)</f>
        <v>#N/A</v>
      </c>
      <c r="DI212" s="40"/>
      <c r="DK212" s="16">
        <v>39</v>
      </c>
      <c r="DM212" s="16">
        <v>12</v>
      </c>
      <c r="DO212" s="16">
        <v>0</v>
      </c>
      <c r="DQ212" s="16">
        <v>0</v>
      </c>
      <c r="DR212" s="16">
        <f>SUM(DI212:DQ212)</f>
        <v>51</v>
      </c>
      <c r="JO212" s="29"/>
    </row>
    <row r="213" spans="1:288" x14ac:dyDescent="0.2">
      <c r="B213" s="16">
        <v>2017</v>
      </c>
      <c r="C213" s="20">
        <v>42927</v>
      </c>
      <c r="D213" s="20" t="str">
        <f>CONCATENATE(J213,"-",C213)</f>
        <v>1084-42927</v>
      </c>
      <c r="E213" s="20" t="str">
        <f>CONCATENATE(T213,"-",U213,"-",C213)</f>
        <v>PO1-H2-42927</v>
      </c>
      <c r="F213" s="20" t="s">
        <v>106</v>
      </c>
      <c r="G213" s="20" t="s">
        <v>107</v>
      </c>
      <c r="I213" s="16">
        <v>0</v>
      </c>
      <c r="J213" s="21">
        <v>1084</v>
      </c>
      <c r="K213" s="21">
        <v>1863</v>
      </c>
      <c r="L213" s="18">
        <v>0</v>
      </c>
      <c r="M213" s="21">
        <f>VLOOKUP($K213,'[4]blood tubes 2017'!$D$1:$L$647,8,FALSE)</f>
        <v>0</v>
      </c>
      <c r="N213" s="15">
        <v>0</v>
      </c>
      <c r="O213" s="15" t="s">
        <v>119</v>
      </c>
      <c r="P213" s="16" t="s">
        <v>119</v>
      </c>
      <c r="Q213" s="16">
        <v>0</v>
      </c>
      <c r="R213" s="16">
        <v>16</v>
      </c>
      <c r="T213" s="16" t="s">
        <v>112</v>
      </c>
      <c r="U213" s="16" t="s">
        <v>190</v>
      </c>
      <c r="V213" s="16" t="s">
        <v>114</v>
      </c>
      <c r="W213" s="16">
        <f>AI213/AG213</f>
        <v>0.80645161290322576</v>
      </c>
      <c r="X213" s="16" t="s">
        <v>115</v>
      </c>
      <c r="Y213" s="16" t="s">
        <v>110</v>
      </c>
      <c r="Z213" s="16">
        <v>3</v>
      </c>
      <c r="AE213" s="16" t="s">
        <v>116</v>
      </c>
      <c r="AF213" s="16" t="s">
        <v>116</v>
      </c>
      <c r="AG213" s="16">
        <f>AH213-AI213</f>
        <v>93</v>
      </c>
      <c r="AH213" s="16">
        <v>168</v>
      </c>
      <c r="AI213" s="16">
        <v>75</v>
      </c>
      <c r="AK213" s="16">
        <v>22.5</v>
      </c>
      <c r="AL213" s="16">
        <v>0</v>
      </c>
      <c r="AM213" s="16">
        <v>0</v>
      </c>
      <c r="AN213" s="16">
        <v>0</v>
      </c>
      <c r="AO213" s="16">
        <v>0</v>
      </c>
      <c r="AP213" s="16">
        <f>SUM(AL213:AN213)</f>
        <v>0</v>
      </c>
      <c r="AQ213" s="16">
        <v>1.82</v>
      </c>
      <c r="AR213" s="16">
        <f>AP213-1.472</f>
        <v>-1.472</v>
      </c>
      <c r="AS213" s="16">
        <f>AQ213-1.472</f>
        <v>0.34800000000000009</v>
      </c>
      <c r="AT213" s="16" t="str">
        <f>VLOOKUP(K213,'[5]FECs - good data'!$C$1:$P$575,13,FALSE)</f>
        <v>LV</v>
      </c>
      <c r="AW213" s="18">
        <f>IF(AX213&gt;0,1,0)</f>
        <v>1</v>
      </c>
      <c r="AX213" s="18">
        <f>SUM(BA213,BM213,CT213)</f>
        <v>3</v>
      </c>
      <c r="AY213" s="18">
        <f>SUM(BB213,BN213,CV213)</f>
        <v>1864.9425287356316</v>
      </c>
      <c r="AZ213" s="18">
        <f>IF(BA213&gt;0,1,0)</f>
        <v>1</v>
      </c>
      <c r="BA213" s="18">
        <f>SUM(BC213,BF213,BI213)</f>
        <v>2</v>
      </c>
      <c r="BB213" s="18">
        <f>SUM(BE213,BH213,BK213)</f>
        <v>1821.8390804597695</v>
      </c>
      <c r="BC213" s="18">
        <f>IF(BD213&gt;0,1,0)</f>
        <v>1</v>
      </c>
      <c r="BD213" s="18">
        <f>VLOOKUP($K213,'[5]FECs - good data'!$C$1:$Z$574,14,FALSE)</f>
        <v>71</v>
      </c>
      <c r="BE213" s="16">
        <f>BD213/AS213</f>
        <v>204.02298850574707</v>
      </c>
      <c r="BF213" s="16">
        <f>IF(BG213&gt;0,1,0)</f>
        <v>1</v>
      </c>
      <c r="BG213" s="23">
        <f>VLOOKUP($K213,'[5]FECs - good data'!$C$1:$Z$574,15,FALSE)</f>
        <v>563</v>
      </c>
      <c r="BH213" s="16">
        <f>BG213/AS213</f>
        <v>1617.8160919540226</v>
      </c>
      <c r="BI213" s="16">
        <f>IF(BJ213&gt;0,1,0)</f>
        <v>0</v>
      </c>
      <c r="BJ213" s="16">
        <f>VLOOKUP($K213,'[5]FECs - good data'!$C$1:$Z$574,16,FALSE)</f>
        <v>0</v>
      </c>
      <c r="BK213" s="16">
        <f>BJ213/AS213</f>
        <v>0</v>
      </c>
      <c r="BL213" s="16">
        <f>IF(BM213&gt;0,1,0)</f>
        <v>1</v>
      </c>
      <c r="BM213" s="16">
        <f>SUM(BR213,BU213,BX213,CA213,CD213,CG213,CJ213,CM213,CP213)</f>
        <v>1</v>
      </c>
      <c r="BN213" s="16">
        <f>SUM(BW213,BZ213,CC213,CF213,CI213,CL213,CO213,CR213,BT213)</f>
        <v>43.103448275862057</v>
      </c>
      <c r="BO213" s="16">
        <f>IF(BP213&gt;0,1,0)</f>
        <v>1</v>
      </c>
      <c r="BP213" s="16">
        <f>SUM(BU213,BX213,CA213,CD213,BR213)</f>
        <v>1</v>
      </c>
      <c r="BQ213" s="16">
        <f>SUM(BZ213,CC213,CF213,BT213,BW213)</f>
        <v>43.103448275862057</v>
      </c>
      <c r="BR213" s="16">
        <f>IF(BS213&gt;0,1,0)</f>
        <v>1</v>
      </c>
      <c r="BS213" s="16">
        <f>VLOOKUP($K213,'[5]FECs - good data'!$C$1:$Z$574,17,FALSE)</f>
        <v>15</v>
      </c>
      <c r="BT213" s="23">
        <f>BS213/AS213</f>
        <v>43.103448275862057</v>
      </c>
      <c r="BU213" s="16">
        <f>IF(BV213&gt;0,1,0)</f>
        <v>0</v>
      </c>
      <c r="BV213" s="16">
        <f>VLOOKUP($K213,'[5]FECs - good data'!$C$1:$Z$574,18,FALSE)</f>
        <v>0</v>
      </c>
      <c r="BW213" s="16">
        <f>BV213/AS213</f>
        <v>0</v>
      </c>
      <c r="BX213" s="16">
        <f>IF(BY213&gt;0,1,0)</f>
        <v>0</v>
      </c>
      <c r="BY213" s="16">
        <f>VLOOKUP($K213,'[5]FECs - good data'!$C$1:$Z$574,19,FALSE)</f>
        <v>0</v>
      </c>
      <c r="BZ213" s="16">
        <f>BY213/AS213</f>
        <v>0</v>
      </c>
      <c r="CA213" s="16">
        <f>IF(CB213&gt;0,1,0)</f>
        <v>0</v>
      </c>
      <c r="CB213" s="16">
        <f>VLOOKUP($K213,'[5]FECs - good data'!$C$1:$Z$574,20,FALSE)</f>
        <v>0</v>
      </c>
      <c r="CC213" s="16">
        <f>CB213/AS213</f>
        <v>0</v>
      </c>
      <c r="CD213" s="23">
        <f>IF(CE213&gt;0,1,0)</f>
        <v>0</v>
      </c>
      <c r="CE213" s="16">
        <f>VLOOKUP($K213,'[5]FECs - good data'!$C$1:$Z$574,21,FALSE)</f>
        <v>0</v>
      </c>
      <c r="CF213" s="16">
        <f>CE213/AS213</f>
        <v>0</v>
      </c>
      <c r="CG213" s="16">
        <f>IF(CH213&gt;0,1,0)</f>
        <v>0</v>
      </c>
      <c r="CH213" s="16">
        <f>VLOOKUP($K213,'[5]FECs - good data'!$C$1:$Z$574,22,FALSE)</f>
        <v>0</v>
      </c>
      <c r="CI213" s="16">
        <f>CH213/AS213</f>
        <v>0</v>
      </c>
      <c r="CJ213" s="16">
        <f>IF(CK213&gt;0,1,0)</f>
        <v>0</v>
      </c>
      <c r="CK213" s="16">
        <f>VLOOKUP($K213,'[5]FECs - good data'!$C$1:$Z$674,24,FALSE)</f>
        <v>0</v>
      </c>
      <c r="CL213" s="16">
        <f>CK213/AS213</f>
        <v>0</v>
      </c>
      <c r="CS213" s="16">
        <f>IF(CT213&gt;0,1,0)</f>
        <v>0</v>
      </c>
      <c r="CT213" s="16">
        <f>SUM(CW213+CZ213,DC213)</f>
        <v>0</v>
      </c>
      <c r="CV213" s="16">
        <f>SUM(CY213,DB213,DE213)</f>
        <v>0</v>
      </c>
      <c r="CW213" s="16">
        <f>IF(CX213&gt;0,1,0)</f>
        <v>0</v>
      </c>
      <c r="CX213" s="16">
        <f>VLOOKUP($K213,'[5]FECs - good data'!$C$1:$Z$574,22,FALSE)</f>
        <v>0</v>
      </c>
      <c r="CY213" s="16">
        <f>CX213/AS213</f>
        <v>0</v>
      </c>
      <c r="CZ213" s="16">
        <f>IF(DA213&gt;0,1,0)</f>
        <v>0</v>
      </c>
      <c r="DA213" s="16">
        <f>VLOOKUP($K213,'[5]FECs - good data'!$C$1:$Z$5982,23,FALSE)</f>
        <v>0</v>
      </c>
      <c r="DB213" s="16">
        <f>DA213/AS213</f>
        <v>0</v>
      </c>
      <c r="DC213" s="16">
        <f>IF(DD213&gt;0,1,0)</f>
        <v>0</v>
      </c>
      <c r="DD213" s="16">
        <f>VLOOKUP($K213,'[5]FECs - good data'!$C$1:$Z$574,23,FALSE)</f>
        <v>0</v>
      </c>
      <c r="DE213" s="16">
        <f>DD213/AS213</f>
        <v>0</v>
      </c>
      <c r="DF213" s="16" t="e">
        <f>VLOOKUP(K213,'[3]RNA Seq summary tables'!$V$3:$V$99,1,FALSE)</f>
        <v>#N/A</v>
      </c>
      <c r="JR213" s="18"/>
      <c r="JS213" s="18"/>
      <c r="JT213" s="18"/>
      <c r="JU213" s="18"/>
      <c r="JV213" s="18"/>
      <c r="JW213" s="18"/>
      <c r="JX213" s="18"/>
      <c r="JY213" s="18"/>
      <c r="JZ213" s="18"/>
      <c r="KA213" s="18"/>
      <c r="KB213" s="18"/>
    </row>
    <row r="214" spans="1:288" ht="16" x14ac:dyDescent="0.2">
      <c r="B214" s="16">
        <v>2017</v>
      </c>
      <c r="C214" s="20">
        <v>42947</v>
      </c>
      <c r="D214" s="20" t="str">
        <f>CONCATENATE(J214,"-",C214)</f>
        <v>1084-42947</v>
      </c>
      <c r="E214" s="37" t="str">
        <f>CONCATENATE(T214,"-",U214,"-",C214)</f>
        <v>PO1-H4-42947</v>
      </c>
      <c r="F214" s="20" t="s">
        <v>106</v>
      </c>
      <c r="G214" s="20" t="s">
        <v>107</v>
      </c>
      <c r="I214" s="16">
        <v>0</v>
      </c>
      <c r="J214" s="21">
        <v>1084</v>
      </c>
      <c r="K214" s="21">
        <v>2020</v>
      </c>
      <c r="L214" s="18">
        <v>0</v>
      </c>
      <c r="M214" s="21">
        <f>VLOOKUP($K214,'[4]blood tubes 2017'!$D$1:$L$647,8,FALSE)</f>
        <v>0</v>
      </c>
      <c r="N214" s="15">
        <v>0</v>
      </c>
      <c r="O214" s="15" t="s">
        <v>119</v>
      </c>
      <c r="P214" s="16" t="s">
        <v>119</v>
      </c>
      <c r="Q214" s="16">
        <v>0</v>
      </c>
      <c r="R214" s="16">
        <v>20</v>
      </c>
      <c r="T214" s="16" t="s">
        <v>112</v>
      </c>
      <c r="U214" s="16" t="s">
        <v>151</v>
      </c>
      <c r="V214" s="16" t="s">
        <v>114</v>
      </c>
      <c r="W214" s="16">
        <f>AI214/AG214</f>
        <v>0.81914893617021278</v>
      </c>
      <c r="X214" s="16" t="s">
        <v>115</v>
      </c>
      <c r="Y214" s="16" t="s">
        <v>110</v>
      </c>
      <c r="Z214" s="16">
        <v>3</v>
      </c>
      <c r="AE214" s="16" t="s">
        <v>123</v>
      </c>
      <c r="AF214" s="16" t="s">
        <v>123</v>
      </c>
      <c r="AG214" s="16">
        <f>AH214-AI214</f>
        <v>94</v>
      </c>
      <c r="AH214" s="16">
        <v>171</v>
      </c>
      <c r="AI214" s="16">
        <v>77</v>
      </c>
      <c r="AK214" s="16">
        <v>22.5</v>
      </c>
      <c r="AL214" s="16">
        <v>0</v>
      </c>
      <c r="AM214" s="16">
        <v>0</v>
      </c>
      <c r="AN214" s="16">
        <v>0</v>
      </c>
      <c r="AO214" s="16">
        <v>0</v>
      </c>
      <c r="AP214" s="16">
        <f>SUM(AL214:AN214)</f>
        <v>0</v>
      </c>
      <c r="AQ214" s="16">
        <v>2.0430000000000001</v>
      </c>
      <c r="AR214" s="16">
        <f>AP214-1.472</f>
        <v>-1.472</v>
      </c>
      <c r="AS214" s="16">
        <f>AQ214-1.472</f>
        <v>0.57100000000000017</v>
      </c>
      <c r="AT214" s="16" t="str">
        <f>VLOOKUP(E214,[2]Current!$A$1:$W$435,7,FALSE)</f>
        <v>JY</v>
      </c>
      <c r="AU214" s="16" t="s">
        <v>1288</v>
      </c>
      <c r="AV214" s="23"/>
      <c r="AW214" s="128">
        <f>IF(AX214&gt;0,1,0)</f>
        <v>1</v>
      </c>
      <c r="AX214" s="128">
        <f>SUM(BA214,BM214,CU214)</f>
        <v>1</v>
      </c>
      <c r="AY214" s="128">
        <f>SUM(BB214,BN214,CV214)</f>
        <v>217.16287215411552</v>
      </c>
      <c r="AZ214" s="128">
        <f>IF(BA214&gt;0,1,0)</f>
        <v>1</v>
      </c>
      <c r="BA214" s="128">
        <f>SUM(BC214+BF214+BI214)</f>
        <v>1</v>
      </c>
      <c r="BB214" s="128">
        <f>SUM(BE214,BH214,BK214)</f>
        <v>217.16287215411552</v>
      </c>
      <c r="BC214" s="130">
        <f>IF(BD214&gt;0,1,0)</f>
        <v>0</v>
      </c>
      <c r="BD214" s="128">
        <f>VLOOKUP($E214,[2]Current!$A:$AC,26,FALSE)</f>
        <v>0</v>
      </c>
      <c r="BE214" s="128">
        <f>BD214/$AS214</f>
        <v>0</v>
      </c>
      <c r="BF214" s="130">
        <f>IF(BG214&gt;0,1,0)</f>
        <v>1</v>
      </c>
      <c r="BG214" s="175">
        <f>VLOOKUP($E214,[2]Current!$A:$AC,27,FALSE)</f>
        <v>124</v>
      </c>
      <c r="BH214" s="128">
        <f>BG214/$AS214</f>
        <v>217.16287215411552</v>
      </c>
      <c r="BI214" s="130">
        <f>IF(BJ214&gt;0,1,0)</f>
        <v>0</v>
      </c>
      <c r="BJ214" s="128">
        <f>VLOOKUP($E214,[2]Current!$A:$AC,28,FALSE)</f>
        <v>0</v>
      </c>
      <c r="BK214" s="128">
        <f>BJ214/$AS214</f>
        <v>0</v>
      </c>
      <c r="BL214" s="128">
        <f>IF(BM214&gt;0,1,0)</f>
        <v>0</v>
      </c>
      <c r="BM214" s="128">
        <f>SUM(BR214,BU214,BX214,CA214,CD214)</f>
        <v>0</v>
      </c>
      <c r="BN214" s="131">
        <f>SUM(BT214,BW214,BZ214,CC214,CF214)</f>
        <v>0</v>
      </c>
      <c r="BO214" s="128">
        <f>IF(BP214&gt;0,1,0)</f>
        <v>0</v>
      </c>
      <c r="BP214" s="128">
        <f>BM214+CJ214</f>
        <v>0</v>
      </c>
      <c r="BQ214" s="128">
        <f>BN214+CL214</f>
        <v>0</v>
      </c>
      <c r="BR214" s="130">
        <f>IF(BS214&gt;0,1,0)</f>
        <v>0</v>
      </c>
      <c r="BS214" s="128">
        <f>VLOOKUP($E214,[2]Current!$A:$AC,12,FALSE)</f>
        <v>0</v>
      </c>
      <c r="BT214" s="175">
        <f>BS214/$AS214</f>
        <v>0</v>
      </c>
      <c r="BU214" s="130">
        <f>IF(BV214&gt;0,1,0)</f>
        <v>0</v>
      </c>
      <c r="BV214" s="128">
        <f>VLOOKUP($E214,[2]Current!$A:$AC,13,FALSE)</f>
        <v>0</v>
      </c>
      <c r="BW214" s="128">
        <f>BV214/$AS214</f>
        <v>0</v>
      </c>
      <c r="BX214" s="130">
        <f>IF(BY214&gt;0,1,0)</f>
        <v>0</v>
      </c>
      <c r="BY214" s="128">
        <f>VLOOKUP($E214,[2]Current!$A:$AC,14,FALSE)</f>
        <v>0</v>
      </c>
      <c r="BZ214" s="128">
        <f>BY214/$AS214</f>
        <v>0</v>
      </c>
      <c r="CA214" s="130">
        <f>IF(CB214&gt;0,1,0)</f>
        <v>0</v>
      </c>
      <c r="CB214" s="128">
        <f>VLOOKUP($E214,[2]Current!$A:$AC,15,FALSE)</f>
        <v>0</v>
      </c>
      <c r="CC214" s="128">
        <f>CB214/$AS214</f>
        <v>0</v>
      </c>
      <c r="CD214" s="176">
        <f>IF(CE214&gt;0,1,0)</f>
        <v>0</v>
      </c>
      <c r="CE214" s="128">
        <f>VLOOKUP($E214,[2]Current!$A:$AC,16,FALSE)</f>
        <v>0</v>
      </c>
      <c r="CF214" s="128">
        <f>CE214/$AS214</f>
        <v>0</v>
      </c>
      <c r="CG214" s="18"/>
      <c r="CH214" s="18"/>
      <c r="CI214" s="18"/>
      <c r="CJ214" s="130">
        <f>IF(CK214&gt;0,1,0)</f>
        <v>0</v>
      </c>
      <c r="CK214" s="128">
        <f>VLOOKUP($E214,[2]Current!$A:$AC,18,FALSE)</f>
        <v>0</v>
      </c>
      <c r="CL214" s="128">
        <f>CK214/$AS214</f>
        <v>0</v>
      </c>
      <c r="CS214" s="130">
        <f>IF(CU214&gt;0,1,0)</f>
        <v>0</v>
      </c>
      <c r="CU214" s="128">
        <f>VLOOKUP($E214,[2]Current!$A:$AC,17,FALSE)</f>
        <v>0</v>
      </c>
      <c r="CV214" s="128">
        <f>CU214/$AS214</f>
        <v>0</v>
      </c>
      <c r="CW214" s="18"/>
      <c r="CX214" s="18"/>
      <c r="CY214" s="18"/>
      <c r="DF214" s="16" t="e">
        <f>VLOOKUP(K214,'[3]RNA Seq summary tables'!$V$3:$V$99,1,FALSE)</f>
        <v>#N/A</v>
      </c>
      <c r="DG214" s="16">
        <v>1</v>
      </c>
      <c r="DH214" s="16" t="str">
        <f>VLOOKUP(D214,'[6]workflow 3.2018'!$A$1:$S$237,2,FALSE)</f>
        <v>2017MLBS_95</v>
      </c>
    </row>
    <row r="215" spans="1:288" x14ac:dyDescent="0.2">
      <c r="B215" s="16">
        <v>2017</v>
      </c>
      <c r="C215" s="20">
        <v>42963</v>
      </c>
      <c r="D215" s="20" t="str">
        <f>CONCATENATE(J215,"-",C215)</f>
        <v>1084-42963</v>
      </c>
      <c r="E215" s="20" t="str">
        <f>CONCATENATE(T215,"-",U215,"-",C215)</f>
        <v>PO1-G2-42963</v>
      </c>
      <c r="F215" s="20" t="s">
        <v>106</v>
      </c>
      <c r="G215" s="20" t="s">
        <v>107</v>
      </c>
      <c r="I215" s="16">
        <v>0</v>
      </c>
      <c r="J215" s="21">
        <v>1084</v>
      </c>
      <c r="K215" s="21">
        <v>2153</v>
      </c>
      <c r="L215" s="18">
        <v>0</v>
      </c>
      <c r="M215" s="21">
        <f>VLOOKUP($K215,'[4]blood tubes 2017'!$D$1:$L$647,8,FALSE)</f>
        <v>0</v>
      </c>
      <c r="N215" s="15">
        <v>0</v>
      </c>
      <c r="O215" s="15" t="s">
        <v>119</v>
      </c>
      <c r="P215" s="16" t="s">
        <v>119</v>
      </c>
      <c r="Q215" s="16">
        <v>0</v>
      </c>
      <c r="R215" s="16">
        <v>16</v>
      </c>
      <c r="T215" s="16" t="s">
        <v>112</v>
      </c>
      <c r="U215" s="16" t="s">
        <v>128</v>
      </c>
      <c r="V215" s="16" t="s">
        <v>114</v>
      </c>
      <c r="W215" s="16">
        <f>AI215/AG215</f>
        <v>0.83333333333333337</v>
      </c>
      <c r="X215" s="16" t="s">
        <v>115</v>
      </c>
      <c r="Y215" s="16" t="s">
        <v>110</v>
      </c>
      <c r="Z215" s="16">
        <v>3</v>
      </c>
      <c r="AE215" s="16" t="s">
        <v>116</v>
      </c>
      <c r="AF215" s="16" t="s">
        <v>116</v>
      </c>
      <c r="AG215" s="16">
        <f>AH215-AI215</f>
        <v>90</v>
      </c>
      <c r="AH215" s="16">
        <v>165</v>
      </c>
      <c r="AI215" s="16">
        <v>75</v>
      </c>
      <c r="AK215" s="16">
        <v>24.5</v>
      </c>
      <c r="AL215" s="16">
        <v>0</v>
      </c>
      <c r="AM215" s="16">
        <v>0</v>
      </c>
      <c r="AN215" s="16">
        <v>0</v>
      </c>
      <c r="AO215" s="16">
        <v>0</v>
      </c>
      <c r="AP215" s="16">
        <f>SUM(AL215:AN215)</f>
        <v>0</v>
      </c>
      <c r="AQ215" s="16">
        <v>1.8759999999999999</v>
      </c>
      <c r="AR215" s="16">
        <f>AP215-1.472</f>
        <v>-1.472</v>
      </c>
      <c r="AS215" s="16">
        <f>AQ215-1.472</f>
        <v>0.40399999999999991</v>
      </c>
      <c r="AT215" s="16" t="str">
        <f>VLOOKUP(K215,'[5]FECs - good data'!$C$1:$P$575,13,FALSE)</f>
        <v>SB</v>
      </c>
      <c r="AW215" s="18">
        <f>IF(AX215&gt;0,1,0)</f>
        <v>1</v>
      </c>
      <c r="AX215" s="18">
        <f>SUM(BA215,BM215,CT215)</f>
        <v>2</v>
      </c>
      <c r="AY215" s="18">
        <f>SUM(BB215,BN215,CV215)</f>
        <v>56.93069306930694</v>
      </c>
      <c r="AZ215" s="18">
        <f>IF(BA215&gt;0,1,0)</f>
        <v>0</v>
      </c>
      <c r="BA215" s="18">
        <f>SUM(BC215,BF215,BI215)</f>
        <v>0</v>
      </c>
      <c r="BB215" s="18">
        <f>SUM(BE215,BH215,BK215)</f>
        <v>0</v>
      </c>
      <c r="BC215" s="18">
        <f>IF(BD215&gt;0,1,0)</f>
        <v>0</v>
      </c>
      <c r="BD215" s="18">
        <f>VLOOKUP($K215,'[5]FECs - good data'!$C$1:$Z$574,14,FALSE)</f>
        <v>0</v>
      </c>
      <c r="BE215" s="16">
        <f>BD215/AS215</f>
        <v>0</v>
      </c>
      <c r="BF215" s="16">
        <f>IF(BG215&gt;0,1,0)</f>
        <v>0</v>
      </c>
      <c r="BG215" s="23">
        <f>VLOOKUP($K215,'[5]FECs - good data'!$C$1:$Z$574,15,FALSE)</f>
        <v>0</v>
      </c>
      <c r="BH215" s="16">
        <f>BG215/AS215</f>
        <v>0</v>
      </c>
      <c r="BI215" s="16">
        <f>IF(BJ215&gt;0,1,0)</f>
        <v>0</v>
      </c>
      <c r="BJ215" s="16">
        <f>VLOOKUP($K215,'[5]FECs - good data'!$C$1:$Z$574,16,FALSE)</f>
        <v>0</v>
      </c>
      <c r="BK215" s="16">
        <f>BJ215/AS215</f>
        <v>0</v>
      </c>
      <c r="BL215" s="16">
        <f>IF(BM215&gt;0,1,0)</f>
        <v>1</v>
      </c>
      <c r="BM215" s="16">
        <f>SUM(BR215,BU215,BX215,CA215,CD215,CG215,CJ215,CM215,CP215)</f>
        <v>2</v>
      </c>
      <c r="BN215" s="16">
        <f>SUM(BW215,BZ215,CC215,CF215,CI215,CL215,CO215,CR215,BT215)</f>
        <v>56.93069306930694</v>
      </c>
      <c r="BO215" s="16">
        <f>IF(BP215&gt;0,1,0)</f>
        <v>1</v>
      </c>
      <c r="BP215" s="16">
        <f>SUM(BU215,BX215,CA215,CD215,BR215)</f>
        <v>2</v>
      </c>
      <c r="BQ215" s="16">
        <f>SUM(BZ215,CC215,CF215,BT215,BW215)</f>
        <v>56.93069306930694</v>
      </c>
      <c r="BR215" s="16">
        <f>IF(BS215&gt;0,1,0)</f>
        <v>1</v>
      </c>
      <c r="BS215" s="16">
        <f>VLOOKUP($K215,'[5]FECs - good data'!$C$1:$Z$574,17,FALSE)</f>
        <v>22</v>
      </c>
      <c r="BT215" s="23">
        <f>BS215/AS215</f>
        <v>54.455445544554465</v>
      </c>
      <c r="BU215" s="16">
        <f>IF(BV215&gt;0,1,0)</f>
        <v>1</v>
      </c>
      <c r="BV215" s="16">
        <f>VLOOKUP($K215,'[5]FECs - good data'!$C$1:$Z$574,18,FALSE)</f>
        <v>1</v>
      </c>
      <c r="BW215" s="16">
        <f>BV215/AS215</f>
        <v>2.4752475247524757</v>
      </c>
      <c r="BX215" s="16">
        <f>IF(BY215&gt;0,1,0)</f>
        <v>0</v>
      </c>
      <c r="BY215" s="16">
        <f>VLOOKUP($K215,'[5]FECs - good data'!$C$1:$Z$574,19,FALSE)</f>
        <v>0</v>
      </c>
      <c r="BZ215" s="16">
        <f>BY215/AS215</f>
        <v>0</v>
      </c>
      <c r="CA215" s="16">
        <f>IF(CB215&gt;0,1,0)</f>
        <v>0</v>
      </c>
      <c r="CB215" s="16">
        <f>VLOOKUP($K215,'[5]FECs - good data'!$C$1:$Z$574,20,FALSE)</f>
        <v>0</v>
      </c>
      <c r="CC215" s="16">
        <f>CB215/AS215</f>
        <v>0</v>
      </c>
      <c r="CD215" s="23">
        <f>IF(CE215&gt;0,1,0)</f>
        <v>0</v>
      </c>
      <c r="CE215" s="16">
        <f>VLOOKUP($K215,'[5]FECs - good data'!$C$1:$Z$574,21,FALSE)</f>
        <v>0</v>
      </c>
      <c r="CF215" s="16">
        <f>CE215/AS215</f>
        <v>0</v>
      </c>
      <c r="CG215" s="16">
        <f>IF(CH215&gt;0,1,0)</f>
        <v>0</v>
      </c>
      <c r="CH215" s="16">
        <f>VLOOKUP($K215,'[5]FECs - good data'!$C$1:$Z$574,22,FALSE)</f>
        <v>0</v>
      </c>
      <c r="CI215" s="16">
        <f>CH215/AS215</f>
        <v>0</v>
      </c>
      <c r="CJ215" s="16">
        <f>IF(CK215&gt;0,1,0)</f>
        <v>0</v>
      </c>
      <c r="CK215" s="16">
        <f>VLOOKUP($K215,'[5]FECs - good data'!$C$1:$Z$674,24,FALSE)</f>
        <v>0</v>
      </c>
      <c r="CL215" s="16">
        <f>CK215/AS215</f>
        <v>0</v>
      </c>
      <c r="CS215" s="16">
        <f>IF(CT215&gt;0,1,0)</f>
        <v>0</v>
      </c>
      <c r="CT215" s="16">
        <f>SUM(CW215+CZ215,DC215)</f>
        <v>0</v>
      </c>
      <c r="CV215" s="16">
        <f>SUM(CY215,DB215,DE215)</f>
        <v>0</v>
      </c>
      <c r="CW215" s="16">
        <f>IF(CX215&gt;0,1,0)</f>
        <v>0</v>
      </c>
      <c r="CX215" s="16">
        <f>VLOOKUP($K215,'[5]FECs - good data'!$C$1:$Z$574,22,FALSE)</f>
        <v>0</v>
      </c>
      <c r="CY215" s="16">
        <f>CX215/AS215</f>
        <v>0</v>
      </c>
      <c r="CZ215" s="16">
        <f>IF(DA215&gt;0,1,0)</f>
        <v>0</v>
      </c>
      <c r="DA215" s="16">
        <f>VLOOKUP($K215,'[5]FECs - good data'!$C$1:$Z$5982,23,FALSE)</f>
        <v>0</v>
      </c>
      <c r="DB215" s="16">
        <f>DA215/AS215</f>
        <v>0</v>
      </c>
      <c r="DC215" s="16">
        <f>IF(DD215&gt;0,1,0)</f>
        <v>0</v>
      </c>
      <c r="DD215" s="16">
        <f>VLOOKUP($K215,'[5]FECs - good data'!$C$1:$Z$574,23,FALSE)</f>
        <v>0</v>
      </c>
      <c r="DE215" s="16">
        <f>DD215/AS215</f>
        <v>0</v>
      </c>
      <c r="DF215" s="16" t="e">
        <f>VLOOKUP(K215,'[3]RNA Seq summary tables'!$V$3:$V$99,1,FALSE)</f>
        <v>#N/A</v>
      </c>
      <c r="DG215" s="16">
        <v>1</v>
      </c>
      <c r="DH215" s="16" t="str">
        <f>VLOOKUP(D215,'[6]workflow 3.2018'!$A$1:$S$237,2,FALSE)</f>
        <v>2017MLBS_150</v>
      </c>
      <c r="JO215" s="38"/>
      <c r="JP215" s="38"/>
      <c r="JQ215" s="38"/>
    </row>
    <row r="216" spans="1:288" s="18" customFormat="1" x14ac:dyDescent="0.2">
      <c r="B216" s="16">
        <v>2017</v>
      </c>
      <c r="C216" s="43">
        <v>42975</v>
      </c>
      <c r="D216" s="20" t="str">
        <f>CONCATENATE(J216,"-",C216)</f>
        <v>1084-42975</v>
      </c>
      <c r="E216" s="20" t="str">
        <f>CONCATENATE(T216,"-",U216,"-",C216)</f>
        <v>PO1-D3-42975</v>
      </c>
      <c r="F216" s="37" t="s">
        <v>224</v>
      </c>
      <c r="G216" s="43" t="s">
        <v>107</v>
      </c>
      <c r="H216" s="23"/>
      <c r="I216" s="16">
        <v>0</v>
      </c>
      <c r="J216" s="42">
        <v>1084</v>
      </c>
      <c r="K216" s="42">
        <v>2273</v>
      </c>
      <c r="L216" s="18">
        <v>0</v>
      </c>
      <c r="M216" s="36">
        <f>VLOOKUP($K216,'[4]blood tubes 2017'!$D$1:$L$947,8,FALSE)</f>
        <v>0</v>
      </c>
      <c r="N216" s="42">
        <v>0</v>
      </c>
      <c r="O216" s="15" t="s">
        <v>119</v>
      </c>
      <c r="P216" s="25" t="s">
        <v>119</v>
      </c>
      <c r="Q216" s="18">
        <v>0</v>
      </c>
      <c r="R216" s="25">
        <v>12</v>
      </c>
      <c r="S216" s="25"/>
      <c r="T216" s="25" t="s">
        <v>112</v>
      </c>
      <c r="U216" s="25" t="s">
        <v>149</v>
      </c>
      <c r="V216" s="25" t="s">
        <v>114</v>
      </c>
      <c r="W216" s="16">
        <f>AI216/AG216</f>
        <v>0.81443298969072164</v>
      </c>
      <c r="X216" s="23" t="s">
        <v>115</v>
      </c>
      <c r="Y216" s="23" t="s">
        <v>110</v>
      </c>
      <c r="Z216" s="23">
        <v>3</v>
      </c>
      <c r="AA216" s="23"/>
      <c r="AB216" s="23"/>
      <c r="AC216" s="23"/>
      <c r="AD216" s="23"/>
      <c r="AE216" s="23" t="s">
        <v>116</v>
      </c>
      <c r="AF216" s="23" t="s">
        <v>116</v>
      </c>
      <c r="AG216" s="23">
        <f>AH216-AI216</f>
        <v>97</v>
      </c>
      <c r="AH216" s="23">
        <v>176</v>
      </c>
      <c r="AI216" s="23">
        <v>79</v>
      </c>
      <c r="AJ216" s="23"/>
      <c r="AK216" s="23">
        <v>25</v>
      </c>
      <c r="AL216" s="23">
        <v>0</v>
      </c>
      <c r="AM216" s="23">
        <v>0</v>
      </c>
      <c r="AN216" s="23">
        <v>0</v>
      </c>
      <c r="AO216" s="23">
        <v>0</v>
      </c>
      <c r="AP216" s="23">
        <f>SUM(AL216:AN216)</f>
        <v>0</v>
      </c>
      <c r="AQ216" s="23">
        <v>1.5389999999999999</v>
      </c>
      <c r="AR216" s="23">
        <f>AP216-1.472</f>
        <v>-1.472</v>
      </c>
      <c r="AS216" s="23">
        <f>AQ216-1.472</f>
        <v>6.6999999999999948E-2</v>
      </c>
      <c r="AT216" s="23" t="s">
        <v>227</v>
      </c>
      <c r="AU216" s="23"/>
      <c r="AV216" s="23"/>
      <c r="AW216" s="25">
        <f>IF(AX216&gt;0,1,0)</f>
        <v>1</v>
      </c>
      <c r="AX216" s="25">
        <f>SUM(BA216,BM216,CT216)</f>
        <v>1</v>
      </c>
      <c r="AY216" s="25">
        <f>SUM(BB216,BN216,CV216)</f>
        <v>14.925373134328369</v>
      </c>
      <c r="AZ216" s="18">
        <f>IF(BA216&gt;0,1,0)</f>
        <v>0</v>
      </c>
      <c r="BA216" s="25">
        <f>SUM(BC216,BF216,BI216)</f>
        <v>0</v>
      </c>
      <c r="BB216" s="25">
        <f>SUM(BE216,BH216,BK216)</f>
        <v>0</v>
      </c>
      <c r="BC216" s="18">
        <f>IF(BD216&gt;0,1,0)</f>
        <v>0</v>
      </c>
      <c r="BD216" s="25">
        <f>VLOOKUP($K216,'[5]FECs - good data'!$C$1:$Z$574,14,FALSE)</f>
        <v>0</v>
      </c>
      <c r="BE216" s="23">
        <f>BD216/AS216</f>
        <v>0</v>
      </c>
      <c r="BF216" s="16">
        <f>IF(BG216&gt;0,1,0)</f>
        <v>0</v>
      </c>
      <c r="BG216" s="23">
        <f>VLOOKUP($K216,'[5]FECs - good data'!$C$1:$Z$574,15,FALSE)</f>
        <v>0</v>
      </c>
      <c r="BH216" s="23">
        <f>BG216/AS216</f>
        <v>0</v>
      </c>
      <c r="BI216" s="16">
        <f>IF(BJ216&gt;0,1,0)</f>
        <v>0</v>
      </c>
      <c r="BJ216" s="23">
        <f>VLOOKUP($K216,'[5]FECs - good data'!$C$1:$Z$574,16,FALSE)</f>
        <v>0</v>
      </c>
      <c r="BK216" s="23">
        <f>BJ216/AS216</f>
        <v>0</v>
      </c>
      <c r="BL216" s="16">
        <f>IF(BM216&gt;0,1,0)</f>
        <v>1</v>
      </c>
      <c r="BM216" s="16">
        <f>SUM(BR216,BU216,BX216,CA216,CD216,CG216,CJ216,CM216,CP216)</f>
        <v>1</v>
      </c>
      <c r="BN216" s="16">
        <f>SUM(BW216,BZ216,CC216,CF216,CI216,CL216,CO216,CR216,BT216)</f>
        <v>14.925373134328369</v>
      </c>
      <c r="BO216" s="16">
        <f>IF(BP216&gt;0,1,0)</f>
        <v>0</v>
      </c>
      <c r="BP216" s="16">
        <f>SUM(BU216,BX216,CA216,CD216,BR216)</f>
        <v>0</v>
      </c>
      <c r="BQ216" s="16">
        <f>SUM(BZ216,CC216,CF216,BT216,BW216)</f>
        <v>0</v>
      </c>
      <c r="BR216" s="16">
        <f>IF(BS216&gt;0,1,0)</f>
        <v>0</v>
      </c>
      <c r="BS216" s="23">
        <f>VLOOKUP($K216,'[5]FECs - good data'!$C$1:$Z$574,17,FALSE)</f>
        <v>0</v>
      </c>
      <c r="BT216" s="23">
        <f>BS216/AS216</f>
        <v>0</v>
      </c>
      <c r="BU216" s="16">
        <f>IF(BV216&gt;0,1,0)</f>
        <v>0</v>
      </c>
      <c r="BV216" s="23">
        <f>VLOOKUP($K216,'[5]FECs - good data'!$C$1:$Z$574,18,FALSE)</f>
        <v>0</v>
      </c>
      <c r="BW216" s="16">
        <f>BV216/AS216</f>
        <v>0</v>
      </c>
      <c r="BX216" s="16">
        <f>IF(BY216&gt;0,1,0)</f>
        <v>0</v>
      </c>
      <c r="BY216" s="23">
        <f>VLOOKUP($K216,'[5]FECs - good data'!$C$1:$Z$574,19,FALSE)</f>
        <v>0</v>
      </c>
      <c r="BZ216" s="16">
        <f>BY216/AS216</f>
        <v>0</v>
      </c>
      <c r="CA216" s="16">
        <f>IF(CB216&gt;0,1,0)</f>
        <v>0</v>
      </c>
      <c r="CB216" s="23">
        <f>VLOOKUP($K216,'[5]FECs - good data'!$C$1:$Z$574,20,FALSE)</f>
        <v>0</v>
      </c>
      <c r="CC216" s="23">
        <f>CB216/AS216</f>
        <v>0</v>
      </c>
      <c r="CD216" s="23">
        <f>IF(CE216&gt;0,1,0)</f>
        <v>0</v>
      </c>
      <c r="CE216" s="23">
        <f>VLOOKUP($K216,'[5]FECs - good data'!$C$1:$Z$574,21,FALSE)</f>
        <v>0</v>
      </c>
      <c r="CF216" s="23">
        <f>CE216/AS216</f>
        <v>0</v>
      </c>
      <c r="CG216" s="23">
        <f>IF(CH216&gt;0,1,0)</f>
        <v>0</v>
      </c>
      <c r="CH216" s="23">
        <f>VLOOKUP($K216,'[5]FECs - good data'!$C$1:$Z$574,22,FALSE)</f>
        <v>0</v>
      </c>
      <c r="CI216" s="23">
        <f>CH216/AS216</f>
        <v>0</v>
      </c>
      <c r="CJ216" s="23">
        <f>IF(CK216&gt;0,1,0)</f>
        <v>1</v>
      </c>
      <c r="CK216" s="23">
        <f>VLOOKUP($K216,'[5]FECs - good data'!$C$1:$Z$674,24,FALSE)</f>
        <v>1</v>
      </c>
      <c r="CL216" s="23">
        <f>CK216/AS216</f>
        <v>14.925373134328369</v>
      </c>
      <c r="CM216" s="23"/>
      <c r="CN216" s="23"/>
      <c r="CO216" s="23"/>
      <c r="CP216" s="23"/>
      <c r="CQ216" s="23"/>
      <c r="CR216" s="23"/>
      <c r="CS216" s="16">
        <f>IF(CT216&gt;0,1,0)</f>
        <v>0</v>
      </c>
      <c r="CT216" s="16">
        <f>SUM(CW216+CZ216,DC216)</f>
        <v>0</v>
      </c>
      <c r="CU216" s="16"/>
      <c r="CV216" s="23">
        <f>SUM(CY216,DB216,DE216)</f>
        <v>0</v>
      </c>
      <c r="CW216" s="16">
        <f>IF(CX216&gt;0,1,0)</f>
        <v>0</v>
      </c>
      <c r="CX216" s="23">
        <f>VLOOKUP($K216,'[5]FECs - good data'!$C$1:$Z$574,22,FALSE)</f>
        <v>0</v>
      </c>
      <c r="CY216" s="23">
        <f>CX216/AS216</f>
        <v>0</v>
      </c>
      <c r="CZ216" s="23">
        <f>IF(DA216&gt;0,1,0)</f>
        <v>0</v>
      </c>
      <c r="DA216" s="23">
        <f>VLOOKUP($K216,'[5]FECs - good data'!$C$1:$Z$5982,23,FALSE)</f>
        <v>0</v>
      </c>
      <c r="DB216" s="23">
        <f>DA216/AS216</f>
        <v>0</v>
      </c>
      <c r="DC216" s="23">
        <f>IF(DD216&gt;0,1,0)</f>
        <v>0</v>
      </c>
      <c r="DD216" s="23">
        <f>VLOOKUP($K216,'[5]FECs - good data'!$C$1:$Z$574,23,FALSE)</f>
        <v>0</v>
      </c>
      <c r="DE216" s="23">
        <f>DD216/AS216</f>
        <v>0</v>
      </c>
      <c r="DF216" s="16" t="e">
        <f>VLOOKUP(K216,'[3]RNA Seq summary tables'!$V$3:$V$99,1,FALSE)</f>
        <v>#N/A</v>
      </c>
      <c r="DG216" s="16">
        <v>1</v>
      </c>
      <c r="DH216" s="16" t="str">
        <f>VLOOKUP(D216,'[6]workflow 3.2018'!$A$1:$S$237,2,FALSE)</f>
        <v>2017MLBS_199</v>
      </c>
      <c r="DI216" s="23"/>
      <c r="DJ216" s="23"/>
      <c r="DK216" s="23"/>
      <c r="DL216" s="23"/>
      <c r="DM216" s="23"/>
      <c r="DN216" s="23"/>
      <c r="DO216" s="23"/>
      <c r="DP216" s="23"/>
      <c r="DQ216" s="23"/>
      <c r="DR216" s="23"/>
      <c r="DS216" s="23"/>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3"/>
      <c r="JP216" s="23"/>
      <c r="JQ216" s="23"/>
      <c r="JR216" s="23"/>
      <c r="JS216" s="23"/>
      <c r="JT216" s="23"/>
      <c r="JU216" s="23"/>
      <c r="JV216" s="23"/>
      <c r="JW216" s="23"/>
      <c r="JX216" s="23"/>
      <c r="JY216" s="23"/>
      <c r="JZ216" s="23"/>
      <c r="KA216" s="23"/>
      <c r="KB216" s="23"/>
    </row>
    <row r="217" spans="1:288" x14ac:dyDescent="0.2">
      <c r="B217" s="16">
        <v>2017</v>
      </c>
      <c r="C217" s="20">
        <v>42894</v>
      </c>
      <c r="D217" s="20" t="str">
        <f>CONCATENATE(J217,"-",C217)</f>
        <v>1086-42894</v>
      </c>
      <c r="E217" s="20" t="str">
        <f>CONCATENATE(T217,"-",U217,"-",C217)</f>
        <v>PO2-A7-42894</v>
      </c>
      <c r="F217" s="20" t="s">
        <v>106</v>
      </c>
      <c r="G217" s="20" t="s">
        <v>107</v>
      </c>
      <c r="I217" s="16">
        <v>0</v>
      </c>
      <c r="J217" s="21">
        <v>1086</v>
      </c>
      <c r="K217" s="21">
        <v>1639</v>
      </c>
      <c r="L217" s="18">
        <v>0</v>
      </c>
      <c r="M217" s="21">
        <f>VLOOKUP($K217,'[4]blood tubes 2017'!$D$1:$L$647,8,FALSE)</f>
        <v>0</v>
      </c>
      <c r="N217" s="15">
        <v>0</v>
      </c>
      <c r="O217" s="15" t="s">
        <v>119</v>
      </c>
      <c r="P217" s="16" t="s">
        <v>119</v>
      </c>
      <c r="Q217" s="16">
        <v>0</v>
      </c>
      <c r="R217" s="16" t="s">
        <v>111</v>
      </c>
      <c r="T217" s="16" t="s">
        <v>127</v>
      </c>
      <c r="U217" s="16" t="s">
        <v>120</v>
      </c>
      <c r="V217" s="16" t="s">
        <v>114</v>
      </c>
      <c r="W217" s="16">
        <f>AI217/AG217</f>
        <v>0.8125</v>
      </c>
      <c r="X217" s="16" t="s">
        <v>121</v>
      </c>
      <c r="Y217" s="16" t="s">
        <v>110</v>
      </c>
      <c r="Z217" s="16">
        <v>3</v>
      </c>
      <c r="AA217" s="16" t="s">
        <v>119</v>
      </c>
      <c r="AB217" s="16" t="s">
        <v>123</v>
      </c>
      <c r="AC217" s="16" t="s">
        <v>123</v>
      </c>
      <c r="AD217" s="16" t="s">
        <v>123</v>
      </c>
      <c r="AG217" s="16">
        <f>AH217-AI217</f>
        <v>96</v>
      </c>
      <c r="AH217" s="16">
        <v>174</v>
      </c>
      <c r="AI217" s="16">
        <v>78</v>
      </c>
      <c r="AK217" s="16">
        <v>23.5</v>
      </c>
      <c r="AL217" s="16">
        <v>0</v>
      </c>
      <c r="AM217" s="16">
        <v>0</v>
      </c>
      <c r="AN217" s="16">
        <v>0</v>
      </c>
      <c r="AO217" s="16">
        <v>0</v>
      </c>
      <c r="AP217" s="16">
        <f>SUM(AL217:AN217)</f>
        <v>0</v>
      </c>
      <c r="AQ217" s="16">
        <v>1.6779999999999999</v>
      </c>
      <c r="AR217" s="16">
        <f>AP217-1.472</f>
        <v>-1.472</v>
      </c>
      <c r="AS217" s="16">
        <f>AQ217-1.472</f>
        <v>0.20599999999999996</v>
      </c>
      <c r="AT217" s="16" t="s">
        <v>119</v>
      </c>
      <c r="AW217" s="16">
        <f>IF(AX217&gt;0,1,0)</f>
        <v>1</v>
      </c>
      <c r="AX217" s="16">
        <f>SUM(BA217,BM217,CT217)</f>
        <v>4</v>
      </c>
      <c r="AY217" s="18">
        <f>SUM(BB217,BN217,CV217)</f>
        <v>7029.1262135922343</v>
      </c>
      <c r="AZ217" s="16">
        <f>IF(BA217&gt;0,1,0)</f>
        <v>1</v>
      </c>
      <c r="BA217" s="16">
        <f>SUM(BC217,BF217,BI217)</f>
        <v>2</v>
      </c>
      <c r="BB217" s="16">
        <f>SUM(BE217,BH217,BK217)</f>
        <v>4427.1844660194183</v>
      </c>
      <c r="BC217" s="16">
        <v>1</v>
      </c>
      <c r="BD217" s="16">
        <v>1</v>
      </c>
      <c r="BE217" s="16">
        <f>BD217/AS217</f>
        <v>4.8543689320388355</v>
      </c>
      <c r="BF217" s="16">
        <v>1</v>
      </c>
      <c r="BG217" s="23">
        <v>911</v>
      </c>
      <c r="BH217" s="16">
        <f>BG217/AS217</f>
        <v>4422.3300970873797</v>
      </c>
      <c r="BI217" s="16">
        <v>0</v>
      </c>
      <c r="BJ217" s="16">
        <v>0</v>
      </c>
      <c r="BK217" s="16">
        <f>BJ217/AS217</f>
        <v>0</v>
      </c>
      <c r="BL217" s="16">
        <f>IF(BM217&gt;0,1,0)</f>
        <v>1</v>
      </c>
      <c r="BM217" s="16">
        <f>SUM(BR217,BU217,BX217,CA217,CD217,CG217,CJ217,CM217,CP217)</f>
        <v>2</v>
      </c>
      <c r="BN217" s="16">
        <f>SUM(BW217,BZ217,CC217,CF217,CI217,CL217,CO217,CR217,BT217)</f>
        <v>2601.941747572816</v>
      </c>
      <c r="BO217" s="16">
        <f>IF(BP217&gt;0,1,0)</f>
        <v>0</v>
      </c>
      <c r="BP217" s="16">
        <f>SUM(BU217,BX217,CA217,CD217,BR217)</f>
        <v>0</v>
      </c>
      <c r="BQ217" s="16">
        <f>SUM(BZ217,CC217,CF217,BT217,BW217)</f>
        <v>0</v>
      </c>
      <c r="BR217" s="16">
        <v>0</v>
      </c>
      <c r="BS217" s="16">
        <v>0</v>
      </c>
      <c r="BT217" s="23">
        <f>BS217/AS217</f>
        <v>0</v>
      </c>
      <c r="BU217" s="16">
        <v>0</v>
      </c>
      <c r="BV217" s="16">
        <v>0</v>
      </c>
      <c r="BW217" s="16">
        <f>BV217/AS217</f>
        <v>0</v>
      </c>
      <c r="BX217" s="16">
        <v>0</v>
      </c>
      <c r="BY217" s="16">
        <v>0</v>
      </c>
      <c r="BZ217" s="16">
        <f>BY217/AS217</f>
        <v>0</v>
      </c>
      <c r="CA217" s="16">
        <v>0</v>
      </c>
      <c r="CB217" s="16">
        <v>0</v>
      </c>
      <c r="CC217" s="16">
        <f>CB217/AS217</f>
        <v>0</v>
      </c>
      <c r="CD217" s="23">
        <v>0</v>
      </c>
      <c r="CE217" s="16">
        <v>0</v>
      </c>
      <c r="CF217" s="16">
        <f>CE217/AS217</f>
        <v>0</v>
      </c>
      <c r="CG217" s="16">
        <v>1</v>
      </c>
      <c r="CH217" s="16">
        <v>520</v>
      </c>
      <c r="CI217" s="16">
        <f>CH217/AS217</f>
        <v>2524.2718446601948</v>
      </c>
      <c r="CM217" s="16">
        <v>1</v>
      </c>
      <c r="CN217" s="16">
        <v>16</v>
      </c>
      <c r="CO217" s="16">
        <f>CN217/AS217</f>
        <v>77.669902912621367</v>
      </c>
      <c r="CP217" s="16">
        <v>0</v>
      </c>
      <c r="CQ217" s="16">
        <v>0</v>
      </c>
      <c r="CR217" s="16">
        <f>CQ217/AS217</f>
        <v>0</v>
      </c>
      <c r="CS217" s="16">
        <f>IF(CT217&gt;0,1,0)</f>
        <v>0</v>
      </c>
      <c r="CT217" s="16">
        <f>SUM(CW217,CZ217,DC217)</f>
        <v>0</v>
      </c>
      <c r="CV217" s="16">
        <f>SUM(CY217,DB217,DE217)</f>
        <v>0</v>
      </c>
      <c r="CW217" s="16">
        <v>0</v>
      </c>
      <c r="CX217" s="16">
        <v>0</v>
      </c>
      <c r="CY217" s="16">
        <f>CX217/AS217</f>
        <v>0</v>
      </c>
      <c r="CZ217" s="16">
        <v>0</v>
      </c>
      <c r="DA217" s="16">
        <v>0</v>
      </c>
      <c r="DB217" s="16">
        <f>DA217/AS217</f>
        <v>0</v>
      </c>
      <c r="DC217" s="16">
        <v>0</v>
      </c>
      <c r="DD217" s="16">
        <v>0</v>
      </c>
      <c r="DE217" s="16">
        <f>DD217/AS217</f>
        <v>0</v>
      </c>
      <c r="DF217" s="16" t="e">
        <f>VLOOKUP(K217,'[3]RNA Seq summary tables'!$V$3:$V$99,1,FALSE)</f>
        <v>#N/A</v>
      </c>
      <c r="DG217" s="16">
        <v>1</v>
      </c>
      <c r="DH217" s="16" t="str">
        <f>VLOOKUP(D217,'[6]workflow 3.2018'!$A$1:$S$237,2,FALSE)</f>
        <v>2017MLBS_50</v>
      </c>
      <c r="DI217" s="16">
        <v>31</v>
      </c>
      <c r="DK217" s="16">
        <v>57</v>
      </c>
      <c r="DM217" s="16">
        <v>10</v>
      </c>
      <c r="DO217" s="16">
        <v>0</v>
      </c>
      <c r="DQ217" s="16">
        <v>2</v>
      </c>
      <c r="DR217" s="16">
        <v>100</v>
      </c>
    </row>
    <row r="218" spans="1:288" x14ac:dyDescent="0.2">
      <c r="B218" s="16">
        <v>2017</v>
      </c>
      <c r="C218" s="20">
        <v>42911</v>
      </c>
      <c r="D218" s="20" t="str">
        <f>CONCATENATE(J218,"-",C218)</f>
        <v>1086-42911</v>
      </c>
      <c r="E218" s="20" t="str">
        <f>CONCATENATE(T218,"-",U218,"-",C218)</f>
        <v>PO2-C8-42911</v>
      </c>
      <c r="F218" s="20" t="s">
        <v>106</v>
      </c>
      <c r="G218" s="20" t="s">
        <v>107</v>
      </c>
      <c r="I218" s="16">
        <v>0</v>
      </c>
      <c r="J218" s="21">
        <v>1086</v>
      </c>
      <c r="K218" s="21">
        <v>1738</v>
      </c>
      <c r="L218" s="16">
        <v>1</v>
      </c>
      <c r="M218" s="21">
        <f>VLOOKUP($K218,'[4]blood tubes 2017'!$D$1:$L$647,8,FALSE)</f>
        <v>0</v>
      </c>
      <c r="N218" s="15">
        <v>0</v>
      </c>
      <c r="O218" s="15" t="s">
        <v>119</v>
      </c>
      <c r="P218" s="16" t="s">
        <v>119</v>
      </c>
      <c r="Q218" s="16">
        <v>0</v>
      </c>
      <c r="R218" s="16">
        <v>17</v>
      </c>
      <c r="T218" s="16" t="s">
        <v>127</v>
      </c>
      <c r="U218" s="16" t="s">
        <v>188</v>
      </c>
      <c r="V218" s="16" t="s">
        <v>114</v>
      </c>
      <c r="W218" s="16">
        <f>AI218/AG218</f>
        <v>0.72549019607843135</v>
      </c>
      <c r="X218" s="16" t="s">
        <v>121</v>
      </c>
      <c r="Y218" s="16" t="s">
        <v>110</v>
      </c>
      <c r="Z218" s="16">
        <v>3</v>
      </c>
      <c r="AA218" s="16" t="s">
        <v>161</v>
      </c>
      <c r="AB218" s="16" t="s">
        <v>239</v>
      </c>
      <c r="AC218" s="16" t="s">
        <v>123</v>
      </c>
      <c r="AD218" s="16" t="s">
        <v>116</v>
      </c>
      <c r="AG218" s="16">
        <f>AH218-AI218</f>
        <v>102</v>
      </c>
      <c r="AH218" s="16">
        <v>176</v>
      </c>
      <c r="AI218" s="16">
        <v>74</v>
      </c>
      <c r="AK218" s="16">
        <v>24.5</v>
      </c>
      <c r="AL218" s="16">
        <v>0</v>
      </c>
      <c r="AM218" s="16">
        <v>0</v>
      </c>
      <c r="AN218" s="16">
        <v>0</v>
      </c>
      <c r="AO218" s="16">
        <v>0</v>
      </c>
      <c r="AP218" s="16">
        <f>SUM(AL218:AN218)</f>
        <v>0</v>
      </c>
      <c r="AQ218" s="16">
        <v>1.9390000000000001</v>
      </c>
      <c r="AR218" s="16">
        <f>AP218-1.472</f>
        <v>-1.472</v>
      </c>
      <c r="AS218" s="16">
        <f>AQ218-1.472</f>
        <v>0.46700000000000008</v>
      </c>
      <c r="AT218" s="16" t="s">
        <v>233</v>
      </c>
      <c r="AW218" s="16">
        <f>IF(AX218&gt;0,1,0)</f>
        <v>1</v>
      </c>
      <c r="AX218" s="16">
        <f>SUM(BA218,BM218,CT218)</f>
        <v>2</v>
      </c>
      <c r="AY218" s="18">
        <f>SUM(BB218,BN218,CV218)</f>
        <v>6914.3468950749457</v>
      </c>
      <c r="AZ218" s="16">
        <f>IF(BA218&gt;0,1,0)</f>
        <v>1</v>
      </c>
      <c r="BA218" s="16">
        <f>SUM(BC218,BF218,BI218)</f>
        <v>1</v>
      </c>
      <c r="BB218" s="16">
        <f>SUM(BE218,BH218,BK218)</f>
        <v>6764.4539614561018</v>
      </c>
      <c r="BC218" s="16">
        <v>0</v>
      </c>
      <c r="BD218" s="16">
        <v>0</v>
      </c>
      <c r="BE218" s="16">
        <f>BD218/AS218</f>
        <v>0</v>
      </c>
      <c r="BF218" s="16">
        <v>1</v>
      </c>
      <c r="BG218" s="23">
        <v>3159</v>
      </c>
      <c r="BH218" s="16">
        <f>BG218/AS218</f>
        <v>6764.4539614561018</v>
      </c>
      <c r="BI218" s="16">
        <v>0</v>
      </c>
      <c r="BJ218" s="16">
        <v>0</v>
      </c>
      <c r="BK218" s="16">
        <f>BJ218/AS218</f>
        <v>0</v>
      </c>
      <c r="BL218" s="16">
        <f>IF(BM218&gt;0,1,0)</f>
        <v>1</v>
      </c>
      <c r="BM218" s="16">
        <f>SUM(BR218,BU218,BX218,CA218,CD218,CG218,CJ218,CM218,CP218)</f>
        <v>1</v>
      </c>
      <c r="BN218" s="16">
        <f>SUM(BW218,BZ218,CC218,CF218,CI218,CL218,CO218,CR218,BT218)</f>
        <v>149.89293361884367</v>
      </c>
      <c r="BO218" s="16">
        <f>IF(BP218&gt;0,1,0)</f>
        <v>0</v>
      </c>
      <c r="BP218" s="16">
        <f>SUM(BU218,BX218,CA218,CD218,BR218)</f>
        <v>0</v>
      </c>
      <c r="BQ218" s="16">
        <f>SUM(BZ218,CC218,CF218,BT218,BW218)</f>
        <v>0</v>
      </c>
      <c r="BR218" s="16">
        <v>0</v>
      </c>
      <c r="BS218" s="16">
        <v>0</v>
      </c>
      <c r="BT218" s="23">
        <f>BS218/AS218</f>
        <v>0</v>
      </c>
      <c r="BU218" s="16">
        <v>0</v>
      </c>
      <c r="BV218" s="16">
        <v>0</v>
      </c>
      <c r="BW218" s="16">
        <f>BV218/AS218</f>
        <v>0</v>
      </c>
      <c r="BX218" s="16">
        <v>0</v>
      </c>
      <c r="BY218" s="16">
        <v>0</v>
      </c>
      <c r="BZ218" s="16">
        <f>BY218/AS218</f>
        <v>0</v>
      </c>
      <c r="CA218" s="16">
        <v>0</v>
      </c>
      <c r="CB218" s="16">
        <v>0</v>
      </c>
      <c r="CC218" s="16">
        <f>CB218/AS218</f>
        <v>0</v>
      </c>
      <c r="CD218" s="23">
        <v>0</v>
      </c>
      <c r="CE218" s="16">
        <v>0</v>
      </c>
      <c r="CF218" s="16">
        <f>CE218/AS218</f>
        <v>0</v>
      </c>
      <c r="CG218" s="16">
        <v>1</v>
      </c>
      <c r="CH218" s="16">
        <v>70</v>
      </c>
      <c r="CI218" s="16">
        <f>CH218/AS218</f>
        <v>149.89293361884367</v>
      </c>
      <c r="CM218" s="16">
        <v>0</v>
      </c>
      <c r="CN218" s="16">
        <v>0</v>
      </c>
      <c r="CO218" s="16">
        <f>CN218/AS218</f>
        <v>0</v>
      </c>
      <c r="CP218" s="16">
        <v>0</v>
      </c>
      <c r="CQ218" s="16">
        <v>0</v>
      </c>
      <c r="CR218" s="16">
        <f>CQ218/AS218</f>
        <v>0</v>
      </c>
      <c r="CS218" s="16">
        <f>IF(CT218&gt;0,1,0)</f>
        <v>0</v>
      </c>
      <c r="CT218" s="16">
        <f>SUM(CW218,CZ218,DC218)</f>
        <v>0</v>
      </c>
      <c r="CV218" s="16">
        <f>SUM(CY218,DB218,DE218)</f>
        <v>0</v>
      </c>
      <c r="CW218" s="16">
        <v>0</v>
      </c>
      <c r="CX218" s="16">
        <v>0</v>
      </c>
      <c r="CY218" s="16">
        <f>CX218/AS218</f>
        <v>0</v>
      </c>
      <c r="CZ218" s="16">
        <v>0</v>
      </c>
      <c r="DA218" s="16">
        <v>0</v>
      </c>
      <c r="DB218" s="16">
        <f>DA218/AS218</f>
        <v>0</v>
      </c>
      <c r="DC218" s="16">
        <v>0</v>
      </c>
      <c r="DD218" s="16">
        <v>0</v>
      </c>
      <c r="DE218" s="16">
        <f>DD218/AS218</f>
        <v>0</v>
      </c>
      <c r="DF218" s="16">
        <f>VLOOKUP(K218,'[3]RNA Seq summary tables'!$V$3:$V$99,1,FALSE)</f>
        <v>1738</v>
      </c>
      <c r="DI218" s="16">
        <v>30</v>
      </c>
      <c r="DK218" s="16">
        <v>46</v>
      </c>
      <c r="DM218" s="16">
        <v>21</v>
      </c>
      <c r="DO218" s="16">
        <v>0</v>
      </c>
      <c r="DQ218" s="16">
        <v>3</v>
      </c>
      <c r="DR218" s="16">
        <f>SUM(DI218:DQ218)</f>
        <v>100</v>
      </c>
      <c r="JO218" s="18"/>
    </row>
    <row r="219" spans="1:288" x14ac:dyDescent="0.2">
      <c r="B219" s="16">
        <v>2017</v>
      </c>
      <c r="C219" s="20">
        <v>42928</v>
      </c>
      <c r="D219" s="20" t="str">
        <f>CONCATENATE(J219,"-",C219)</f>
        <v>1086-42928</v>
      </c>
      <c r="E219" s="20" t="str">
        <f>CONCATENATE(T219,"-",U219,"-",C219)</f>
        <v>PO2-C8-42928</v>
      </c>
      <c r="F219" s="20" t="s">
        <v>106</v>
      </c>
      <c r="G219" s="20" t="s">
        <v>107</v>
      </c>
      <c r="H219" s="16" t="s">
        <v>254</v>
      </c>
      <c r="I219" s="16">
        <v>0</v>
      </c>
      <c r="J219" s="21">
        <v>1086</v>
      </c>
      <c r="K219" s="21">
        <v>1879</v>
      </c>
      <c r="L219" s="16">
        <v>1</v>
      </c>
      <c r="M219" s="21">
        <f>VLOOKUP($K219,'[4]blood tubes 2017'!$D$1:$L$647,8,FALSE)</f>
        <v>0</v>
      </c>
      <c r="N219" s="15">
        <v>0</v>
      </c>
      <c r="O219" s="15" t="s">
        <v>119</v>
      </c>
      <c r="P219" s="16" t="s">
        <v>119</v>
      </c>
      <c r="Q219" s="16">
        <v>0</v>
      </c>
      <c r="R219" s="16">
        <v>17</v>
      </c>
      <c r="T219" s="16" t="s">
        <v>127</v>
      </c>
      <c r="U219" s="16" t="s">
        <v>188</v>
      </c>
      <c r="V219" s="16" t="s">
        <v>114</v>
      </c>
      <c r="W219" s="16">
        <f>AI219/AG219</f>
        <v>0.78947368421052633</v>
      </c>
      <c r="X219" s="16" t="s">
        <v>121</v>
      </c>
      <c r="Y219" s="16" t="s">
        <v>110</v>
      </c>
      <c r="Z219" s="16">
        <v>3</v>
      </c>
      <c r="AA219" s="16" t="s">
        <v>119</v>
      </c>
      <c r="AB219" s="16" t="s">
        <v>123</v>
      </c>
      <c r="AC219" s="16" t="s">
        <v>123</v>
      </c>
      <c r="AD219" s="16" t="s">
        <v>123</v>
      </c>
      <c r="AG219" s="16">
        <f>AH219-AI219</f>
        <v>95</v>
      </c>
      <c r="AH219" s="16">
        <v>170</v>
      </c>
      <c r="AI219" s="16">
        <v>75</v>
      </c>
      <c r="AK219" s="16">
        <v>23</v>
      </c>
      <c r="AL219" s="16">
        <v>0</v>
      </c>
      <c r="AM219" s="16">
        <v>0</v>
      </c>
      <c r="AN219" s="16">
        <v>0</v>
      </c>
      <c r="AO219" s="16">
        <v>0</v>
      </c>
      <c r="AP219" s="16">
        <f>SUM(AL219:AN219)</f>
        <v>0</v>
      </c>
      <c r="AQ219" s="16">
        <v>1.752</v>
      </c>
      <c r="AR219" s="16">
        <f>AP219-1.472</f>
        <v>-1.472</v>
      </c>
      <c r="AS219" s="16">
        <f>AQ219-1.472</f>
        <v>0.28000000000000003</v>
      </c>
      <c r="AT219" s="16" t="str">
        <f>VLOOKUP(K219,'[5]FECs - good data'!$C$1:$P$575,13,FALSE)</f>
        <v>NB</v>
      </c>
      <c r="AW219" s="18">
        <f>IF(AX219&gt;0,1,0)</f>
        <v>1</v>
      </c>
      <c r="AX219" s="18">
        <f>SUM(BA219,BM219,CT219)</f>
        <v>1</v>
      </c>
      <c r="AY219" s="18">
        <f>SUM(BB219,BN219,CV219)</f>
        <v>299.99999999999994</v>
      </c>
      <c r="AZ219" s="18">
        <f>IF(BA219&gt;0,1,0)</f>
        <v>1</v>
      </c>
      <c r="BA219" s="18">
        <f>SUM(BC219,BF219,BI219)</f>
        <v>1</v>
      </c>
      <c r="BB219" s="18">
        <f>SUM(BE219,BH219,BK219)</f>
        <v>299.99999999999994</v>
      </c>
      <c r="BC219" s="18">
        <f>IF(BD219&gt;0,1,0)</f>
        <v>0</v>
      </c>
      <c r="BD219" s="18">
        <f>VLOOKUP($K219,'[5]FECs - good data'!$C$1:$Z$574,14,FALSE)</f>
        <v>0</v>
      </c>
      <c r="BE219" s="16">
        <f>BD219/AS219</f>
        <v>0</v>
      </c>
      <c r="BF219" s="16">
        <f>IF(BG219&gt;0,1,0)</f>
        <v>1</v>
      </c>
      <c r="BG219" s="23">
        <f>VLOOKUP($K219,'[5]FECs - good data'!$C$1:$Z$574,15,FALSE)</f>
        <v>84</v>
      </c>
      <c r="BH219" s="16">
        <f>BG219/AS219</f>
        <v>299.99999999999994</v>
      </c>
      <c r="BI219" s="16">
        <f>IF(BJ219&gt;0,1,0)</f>
        <v>0</v>
      </c>
      <c r="BJ219" s="16">
        <f>VLOOKUP($K219,'[5]FECs - good data'!$C$1:$Z$574,16,FALSE)</f>
        <v>0</v>
      </c>
      <c r="BK219" s="16">
        <f>BJ219/AS219</f>
        <v>0</v>
      </c>
      <c r="BL219" s="16">
        <f>IF(BM219&gt;0,1,0)</f>
        <v>0</v>
      </c>
      <c r="BM219" s="16">
        <f>SUM(BR219,BU219,BX219,CA219,CD219,CG219,CJ219,CM219,CP219)</f>
        <v>0</v>
      </c>
      <c r="BN219" s="16">
        <f>SUM(BW219,BZ219,CC219,CF219,CI219,CL219,CO219,CR219,BT219)</f>
        <v>0</v>
      </c>
      <c r="BO219" s="16">
        <f>IF(BP219&gt;0,1,0)</f>
        <v>0</v>
      </c>
      <c r="BP219" s="16">
        <f>SUM(BU219,BX219,CA219,CD219,BR219)</f>
        <v>0</v>
      </c>
      <c r="BQ219" s="16">
        <f>SUM(BZ219,CC219,CF219,BT219,BW219)</f>
        <v>0</v>
      </c>
      <c r="BR219" s="16">
        <f>IF(BS219&gt;0,1,0)</f>
        <v>0</v>
      </c>
      <c r="BS219" s="16">
        <f>VLOOKUP($K219,'[5]FECs - good data'!$C$1:$Z$574,17,FALSE)</f>
        <v>0</v>
      </c>
      <c r="BT219" s="23">
        <f>BS219/AS219</f>
        <v>0</v>
      </c>
      <c r="BU219" s="16">
        <f>IF(BV219&gt;0,1,0)</f>
        <v>0</v>
      </c>
      <c r="BV219" s="16">
        <f>VLOOKUP($K219,'[5]FECs - good data'!$C$1:$Z$574,18,FALSE)</f>
        <v>0</v>
      </c>
      <c r="BW219" s="16">
        <f>BV219/AS219</f>
        <v>0</v>
      </c>
      <c r="BX219" s="16">
        <f>IF(BY219&gt;0,1,0)</f>
        <v>0</v>
      </c>
      <c r="BY219" s="16">
        <f>VLOOKUP($K219,'[5]FECs - good data'!$C$1:$Z$574,19,FALSE)</f>
        <v>0</v>
      </c>
      <c r="BZ219" s="16">
        <f>BY219/AS219</f>
        <v>0</v>
      </c>
      <c r="CA219" s="16">
        <f>IF(CB219&gt;0,1,0)</f>
        <v>0</v>
      </c>
      <c r="CB219" s="16">
        <f>VLOOKUP($K219,'[5]FECs - good data'!$C$1:$Z$574,20,FALSE)</f>
        <v>0</v>
      </c>
      <c r="CC219" s="16">
        <f>CB219/AS219</f>
        <v>0</v>
      </c>
      <c r="CD219" s="23">
        <f>IF(CE219&gt;0,1,0)</f>
        <v>0</v>
      </c>
      <c r="CE219" s="16">
        <f>VLOOKUP($K219,'[5]FECs - good data'!$C$1:$Z$574,21,FALSE)</f>
        <v>0</v>
      </c>
      <c r="CF219" s="16">
        <f>CE219/AS219</f>
        <v>0</v>
      </c>
      <c r="CG219" s="16">
        <f>IF(CH219&gt;0,1,0)</f>
        <v>0</v>
      </c>
      <c r="CH219" s="16">
        <f>VLOOKUP($K219,'[5]FECs - good data'!$C$1:$Z$574,22,FALSE)</f>
        <v>0</v>
      </c>
      <c r="CI219" s="16">
        <f>CH219/AS219</f>
        <v>0</v>
      </c>
      <c r="CJ219" s="16">
        <f>IF(CK219&gt;0,1,0)</f>
        <v>0</v>
      </c>
      <c r="CK219" s="16">
        <f>VLOOKUP($K219,'[5]FECs - good data'!$C$1:$Z$674,24,FALSE)</f>
        <v>0</v>
      </c>
      <c r="CL219" s="16">
        <f>CK219/AS219</f>
        <v>0</v>
      </c>
      <c r="CS219" s="16">
        <f>IF(CT219&gt;0,1,0)</f>
        <v>0</v>
      </c>
      <c r="CT219" s="16">
        <f>SUM(CW219+CZ219,DC219)</f>
        <v>0</v>
      </c>
      <c r="CV219" s="16">
        <f>SUM(CY219,DB219,DE219)</f>
        <v>0</v>
      </c>
      <c r="CW219" s="16">
        <f>IF(CX219&gt;0,1,0)</f>
        <v>0</v>
      </c>
      <c r="CX219" s="16">
        <f>VLOOKUP($K219,'[5]FECs - good data'!$C$1:$Z$574,22,FALSE)</f>
        <v>0</v>
      </c>
      <c r="CY219" s="16">
        <f>CX219/AS219</f>
        <v>0</v>
      </c>
      <c r="CZ219" s="16">
        <f>IF(DA219&gt;0,1,0)</f>
        <v>0</v>
      </c>
      <c r="DA219" s="16">
        <f>VLOOKUP($K219,'[5]FECs - good data'!$C$1:$Z$5982,23,FALSE)</f>
        <v>0</v>
      </c>
      <c r="DB219" s="16">
        <f>DA219/AS219</f>
        <v>0</v>
      </c>
      <c r="DC219" s="16">
        <f>IF(DD219&gt;0,1,0)</f>
        <v>0</v>
      </c>
      <c r="DD219" s="16">
        <f>VLOOKUP($K219,'[5]FECs - good data'!$C$1:$Z$574,23,FALSE)</f>
        <v>0</v>
      </c>
      <c r="DE219" s="16">
        <f>DD219/AS219</f>
        <v>0</v>
      </c>
      <c r="DF219" s="16">
        <f>VLOOKUP(K219,'[3]RNA Seq summary tables'!$V$3:$V$99,1,FALSE)</f>
        <v>1879</v>
      </c>
      <c r="JP219" s="39"/>
      <c r="JQ219" s="39"/>
      <c r="JR219" s="27"/>
      <c r="JS219" s="27"/>
      <c r="JT219" s="27"/>
      <c r="JU219" s="27"/>
      <c r="JV219" s="27"/>
      <c r="JW219" s="27"/>
      <c r="JX219" s="27"/>
      <c r="JY219" s="27"/>
      <c r="JZ219" s="27"/>
      <c r="KA219" s="27"/>
      <c r="KB219" s="27"/>
    </row>
    <row r="220" spans="1:288" x14ac:dyDescent="0.2">
      <c r="B220" s="16">
        <v>2017</v>
      </c>
      <c r="C220" s="66">
        <v>42894</v>
      </c>
      <c r="D220" s="66" t="str">
        <f>CONCATENATE(J220,"-",C220)</f>
        <v>1088-42894</v>
      </c>
      <c r="E220" s="20" t="str">
        <f>CONCATENATE(T220,"-",U220,"-",C220)</f>
        <v>PO2-C3-42894</v>
      </c>
      <c r="F220" s="20" t="s">
        <v>106</v>
      </c>
      <c r="G220" s="20" t="s">
        <v>107</v>
      </c>
      <c r="I220" s="16">
        <v>0</v>
      </c>
      <c r="J220" s="21">
        <v>1088</v>
      </c>
      <c r="K220" s="21">
        <v>1641</v>
      </c>
      <c r="L220" s="18">
        <v>0</v>
      </c>
      <c r="M220" s="21">
        <f>VLOOKUP($K220,'[4]blood tubes 2017'!$D$1:$L$647,8,FALSE)</f>
        <v>0</v>
      </c>
      <c r="N220" s="15">
        <v>0</v>
      </c>
      <c r="O220" s="15" t="s">
        <v>119</v>
      </c>
      <c r="P220" s="16" t="s">
        <v>119</v>
      </c>
      <c r="Q220" s="16">
        <v>0</v>
      </c>
      <c r="R220" s="16" t="s">
        <v>111</v>
      </c>
      <c r="T220" s="16" t="s">
        <v>127</v>
      </c>
      <c r="U220" s="16" t="s">
        <v>237</v>
      </c>
      <c r="V220" s="16" t="s">
        <v>114</v>
      </c>
      <c r="W220" s="16">
        <f>AI220/AG220</f>
        <v>0.90109890109890112</v>
      </c>
      <c r="X220" s="16" t="s">
        <v>121</v>
      </c>
      <c r="Y220" s="16" t="s">
        <v>110</v>
      </c>
      <c r="Z220" s="16">
        <v>3</v>
      </c>
      <c r="AA220" s="16" t="s">
        <v>119</v>
      </c>
      <c r="AB220" s="16" t="s">
        <v>239</v>
      </c>
      <c r="AC220" s="16" t="s">
        <v>123</v>
      </c>
      <c r="AD220" s="16" t="s">
        <v>123</v>
      </c>
      <c r="AG220" s="16">
        <f>AH220-AI220</f>
        <v>91</v>
      </c>
      <c r="AH220" s="16">
        <v>173</v>
      </c>
      <c r="AI220" s="16">
        <v>82</v>
      </c>
      <c r="AK220" s="16">
        <v>27.5</v>
      </c>
      <c r="AL220" s="16">
        <v>0</v>
      </c>
      <c r="AM220" s="16">
        <v>0</v>
      </c>
      <c r="AN220" s="16">
        <v>0</v>
      </c>
      <c r="AO220" s="16">
        <v>0</v>
      </c>
      <c r="AP220" s="16">
        <f>SUM(AL220:AN220)</f>
        <v>0</v>
      </c>
      <c r="AQ220" s="16">
        <v>2.04</v>
      </c>
      <c r="AR220" s="16">
        <f>AP220-1.472</f>
        <v>-1.472</v>
      </c>
      <c r="AS220" s="16">
        <f>AQ220-1.472</f>
        <v>0.56800000000000006</v>
      </c>
      <c r="AT220" s="16" t="s">
        <v>119</v>
      </c>
      <c r="AW220" s="16">
        <f>IF(AX220&gt;0,1,0)</f>
        <v>1</v>
      </c>
      <c r="AX220" s="16">
        <f>SUM(BA220,BM220,CT220)</f>
        <v>5</v>
      </c>
      <c r="AY220" s="18">
        <f>SUM(BB220,BN220,CV220)</f>
        <v>12299.295774647886</v>
      </c>
      <c r="AZ220" s="16">
        <f>IF(BA220&gt;0,1,0)</f>
        <v>1</v>
      </c>
      <c r="BA220" s="16">
        <f>SUM(BC220,BF220,BI220)</f>
        <v>3</v>
      </c>
      <c r="BB220" s="16">
        <f>SUM(BE220,BH220,BK220)</f>
        <v>12295.774647887323</v>
      </c>
      <c r="BC220" s="16">
        <v>1</v>
      </c>
      <c r="BD220" s="16">
        <v>1</v>
      </c>
      <c r="BE220" s="16">
        <f>BD220/AS220</f>
        <v>1.76056338028169</v>
      </c>
      <c r="BF220" s="16">
        <v>1</v>
      </c>
      <c r="BG220" s="23">
        <v>6629</v>
      </c>
      <c r="BH220" s="16">
        <f>BG220/AS220</f>
        <v>11670.774647887323</v>
      </c>
      <c r="BI220" s="16">
        <v>1</v>
      </c>
      <c r="BJ220" s="16">
        <v>354</v>
      </c>
      <c r="BK220" s="16">
        <f>BJ220/AS220</f>
        <v>623.23943661971828</v>
      </c>
      <c r="BL220" s="16">
        <f>IF(BM220&gt;0,1,0)</f>
        <v>1</v>
      </c>
      <c r="BM220" s="16">
        <f>SUM(BR220,BU220,BX220,CA220,CD220,CG220,CJ220,CM220,CP220)</f>
        <v>2</v>
      </c>
      <c r="BN220" s="16">
        <f>SUM(BW220,BZ220,CC220,CF220,CI220,CL220,CO220,CR220,BT220)</f>
        <v>3.52112676056338</v>
      </c>
      <c r="BO220" s="16">
        <f>IF(BP220&gt;0,1,0)</f>
        <v>0</v>
      </c>
      <c r="BP220" s="16">
        <f>SUM(BU220,BX220,CA220,CD220,BR220)</f>
        <v>0</v>
      </c>
      <c r="BQ220" s="16">
        <f>SUM(BZ220,CC220,CF220,BT220,BW220)</f>
        <v>0</v>
      </c>
      <c r="BR220" s="16">
        <v>0</v>
      </c>
      <c r="BS220" s="16">
        <v>0</v>
      </c>
      <c r="BT220" s="23">
        <f>BS220/AS220</f>
        <v>0</v>
      </c>
      <c r="BU220" s="16">
        <v>0</v>
      </c>
      <c r="BV220" s="16">
        <v>0</v>
      </c>
      <c r="BW220" s="16">
        <f>BV220/AS220</f>
        <v>0</v>
      </c>
      <c r="BX220" s="16">
        <v>0</v>
      </c>
      <c r="BY220" s="16">
        <v>0</v>
      </c>
      <c r="BZ220" s="16">
        <f>BY220/AS220</f>
        <v>0</v>
      </c>
      <c r="CA220" s="16">
        <v>0</v>
      </c>
      <c r="CB220" s="16">
        <v>0</v>
      </c>
      <c r="CC220" s="16">
        <f>CB220/AS220</f>
        <v>0</v>
      </c>
      <c r="CD220" s="23">
        <v>0</v>
      </c>
      <c r="CE220" s="16">
        <v>0</v>
      </c>
      <c r="CF220" s="16">
        <f>CE220/AS220</f>
        <v>0</v>
      </c>
      <c r="CG220" s="16">
        <v>1</v>
      </c>
      <c r="CH220" s="16">
        <v>1</v>
      </c>
      <c r="CI220" s="16">
        <f>CH220/AS220</f>
        <v>1.76056338028169</v>
      </c>
      <c r="CM220" s="16">
        <v>1</v>
      </c>
      <c r="CN220" s="16">
        <v>1</v>
      </c>
      <c r="CO220" s="16">
        <f>CN220/AS220</f>
        <v>1.76056338028169</v>
      </c>
      <c r="CP220" s="16">
        <v>0</v>
      </c>
      <c r="CQ220" s="16">
        <v>0</v>
      </c>
      <c r="CR220" s="16">
        <f>CQ220/AS220</f>
        <v>0</v>
      </c>
      <c r="CS220" s="16">
        <f>IF(CT220&gt;0,1,0)</f>
        <v>0</v>
      </c>
      <c r="CT220" s="16">
        <f>SUM(CW220,CZ220,DC220)</f>
        <v>0</v>
      </c>
      <c r="CV220" s="16">
        <f>SUM(CY220,DB220,DE220)</f>
        <v>0</v>
      </c>
      <c r="CW220" s="16">
        <v>0</v>
      </c>
      <c r="CX220" s="16">
        <v>0</v>
      </c>
      <c r="CY220" s="16">
        <f>CX220/AS220</f>
        <v>0</v>
      </c>
      <c r="CZ220" s="16">
        <v>0</v>
      </c>
      <c r="DA220" s="16">
        <v>0</v>
      </c>
      <c r="DB220" s="16">
        <f>DA220/AS220</f>
        <v>0</v>
      </c>
      <c r="DC220" s="16">
        <v>0</v>
      </c>
      <c r="DD220" s="16">
        <v>0</v>
      </c>
      <c r="DE220" s="16">
        <f>DD220/AS220</f>
        <v>0</v>
      </c>
      <c r="DF220" s="16" t="e">
        <f>VLOOKUP(K220,'[3]RNA Seq summary tables'!$V$3:$V$99,1,FALSE)</f>
        <v>#N/A</v>
      </c>
      <c r="DG220" s="16">
        <v>1</v>
      </c>
      <c r="DH220" s="16" t="str">
        <f>VLOOKUP(D220,'[6]workflow 3.2018'!$A$1:$S$237,2,FALSE)</f>
        <v>2017MLBS_52</v>
      </c>
      <c r="DI220" s="16">
        <v>21</v>
      </c>
      <c r="DK220" s="16">
        <v>70</v>
      </c>
      <c r="DM220" s="16">
        <v>8</v>
      </c>
      <c r="DO220" s="16">
        <v>0</v>
      </c>
      <c r="DQ220" s="16">
        <v>1</v>
      </c>
      <c r="DR220" s="16">
        <v>100</v>
      </c>
    </row>
    <row r="221" spans="1:288" x14ac:dyDescent="0.2">
      <c r="B221" s="16">
        <v>2017</v>
      </c>
      <c r="C221" s="20">
        <v>42911</v>
      </c>
      <c r="D221" s="20" t="str">
        <f>CONCATENATE(J221,"-",C221)</f>
        <v>1088-42911</v>
      </c>
      <c r="E221" s="20" t="str">
        <f>CONCATENATE(T221,"-",U221,"-",C221)</f>
        <v>PO2-D2-42911</v>
      </c>
      <c r="F221" s="20" t="s">
        <v>106</v>
      </c>
      <c r="G221" s="20" t="s">
        <v>107</v>
      </c>
      <c r="I221" s="16">
        <v>0</v>
      </c>
      <c r="J221" s="21">
        <v>1088</v>
      </c>
      <c r="K221" s="21">
        <v>1739</v>
      </c>
      <c r="L221" s="18">
        <v>0</v>
      </c>
      <c r="M221" s="21">
        <f>VLOOKUP($K221,'[4]blood tubes 2017'!$D$1:$L$647,8,FALSE)</f>
        <v>0</v>
      </c>
      <c r="N221" s="15">
        <v>0</v>
      </c>
      <c r="O221" s="15" t="s">
        <v>119</v>
      </c>
      <c r="P221" s="16" t="s">
        <v>119</v>
      </c>
      <c r="Q221" s="16">
        <v>0</v>
      </c>
      <c r="R221" s="16">
        <v>17</v>
      </c>
      <c r="T221" s="16" t="s">
        <v>127</v>
      </c>
      <c r="U221" s="16" t="s">
        <v>198</v>
      </c>
      <c r="V221" s="16" t="s">
        <v>114</v>
      </c>
      <c r="W221" s="16">
        <f>AI221/AG221</f>
        <v>0.83505154639175261</v>
      </c>
      <c r="X221" s="16" t="s">
        <v>121</v>
      </c>
      <c r="Y221" s="16" t="s">
        <v>110</v>
      </c>
      <c r="Z221" s="16">
        <v>3</v>
      </c>
      <c r="AA221" s="16" t="s">
        <v>161</v>
      </c>
      <c r="AB221" s="16" t="s">
        <v>115</v>
      </c>
      <c r="AC221" s="16" t="s">
        <v>123</v>
      </c>
      <c r="AD221" s="16" t="s">
        <v>116</v>
      </c>
      <c r="AG221" s="16">
        <f>AH221-AI221</f>
        <v>97</v>
      </c>
      <c r="AH221" s="16">
        <v>178</v>
      </c>
      <c r="AI221" s="16">
        <v>81</v>
      </c>
      <c r="AK221" s="16">
        <v>26.5</v>
      </c>
      <c r="AL221" s="16">
        <v>1</v>
      </c>
      <c r="AM221" s="16">
        <v>0</v>
      </c>
      <c r="AN221" s="16">
        <v>0</v>
      </c>
      <c r="AO221" s="16">
        <v>1</v>
      </c>
      <c r="AP221" s="16">
        <f>SUM(AL221:AN221)</f>
        <v>1</v>
      </c>
      <c r="AQ221" s="16">
        <v>1.6819999999999999</v>
      </c>
      <c r="AR221" s="16">
        <f>AP221-1.472</f>
        <v>-0.47199999999999998</v>
      </c>
      <c r="AS221" s="16">
        <f>AQ221-1.472</f>
        <v>0.20999999999999996</v>
      </c>
      <c r="AT221" s="16" t="s">
        <v>234</v>
      </c>
      <c r="AW221" s="16">
        <f>IF(AX221&gt;0,1,0)</f>
        <v>1</v>
      </c>
      <c r="AX221" s="16">
        <f>SUM(BA221,BM221,CT221)</f>
        <v>4</v>
      </c>
      <c r="AY221" s="18">
        <f>SUM(BB221,BN221,CV221)</f>
        <v>6861.9047619047642</v>
      </c>
      <c r="AZ221" s="16">
        <f>IF(BA221&gt;0,1,0)</f>
        <v>1</v>
      </c>
      <c r="BA221" s="16">
        <f>SUM(BC221,BF221,BI221)</f>
        <v>3</v>
      </c>
      <c r="BB221" s="16">
        <f>SUM(BE221,BH221,BK221)</f>
        <v>6842.8571428571449</v>
      </c>
      <c r="BC221" s="16">
        <v>1</v>
      </c>
      <c r="BD221" s="16">
        <v>39</v>
      </c>
      <c r="BE221" s="16">
        <f>BD221/AS221</f>
        <v>185.71428571428575</v>
      </c>
      <c r="BF221" s="16">
        <v>1</v>
      </c>
      <c r="BG221" s="23">
        <v>245</v>
      </c>
      <c r="BH221" s="16">
        <f>BG221/AS221</f>
        <v>1166.666666666667</v>
      </c>
      <c r="BI221" s="16">
        <v>1</v>
      </c>
      <c r="BJ221" s="16">
        <v>1153</v>
      </c>
      <c r="BK221" s="16">
        <f>BJ221/AS221</f>
        <v>5490.4761904761917</v>
      </c>
      <c r="BL221" s="16">
        <f>IF(BM221&gt;0,1,0)</f>
        <v>1</v>
      </c>
      <c r="BM221" s="16">
        <f>SUM(BR221,BU221,BX221,CA221,CD221,CG221,CJ221,CM221,CP221)</f>
        <v>1</v>
      </c>
      <c r="BN221" s="16">
        <f>SUM(BW221,BZ221,CC221,CF221,CI221,CL221,CO221,CR221,BT221)</f>
        <v>19.047619047619051</v>
      </c>
      <c r="BO221" s="16">
        <f>IF(BP221&gt;0,1,0)</f>
        <v>1</v>
      </c>
      <c r="BP221" s="16">
        <f>SUM(BU221,BX221,CA221,CD221,BR221)</f>
        <v>1</v>
      </c>
      <c r="BQ221" s="16">
        <f>SUM(BZ221,CC221,CF221,BT221,BW221)</f>
        <v>19.047619047619051</v>
      </c>
      <c r="BR221" s="16">
        <v>0</v>
      </c>
      <c r="BS221" s="16">
        <v>0</v>
      </c>
      <c r="BT221" s="23">
        <f>BS221/AS221</f>
        <v>0</v>
      </c>
      <c r="BU221" s="16">
        <v>0</v>
      </c>
      <c r="BV221" s="16">
        <v>0</v>
      </c>
      <c r="BW221" s="16">
        <f>BV221/AS221</f>
        <v>0</v>
      </c>
      <c r="BX221" s="16">
        <v>1</v>
      </c>
      <c r="BY221" s="16">
        <v>4</v>
      </c>
      <c r="BZ221" s="16">
        <f>BY221/AS221</f>
        <v>19.047619047619051</v>
      </c>
      <c r="CA221" s="16">
        <v>0</v>
      </c>
      <c r="CB221" s="16">
        <v>0</v>
      </c>
      <c r="CC221" s="16">
        <f>CB221/AS221</f>
        <v>0</v>
      </c>
      <c r="CD221" s="23">
        <v>0</v>
      </c>
      <c r="CE221" s="16">
        <v>0</v>
      </c>
      <c r="CF221" s="16">
        <f>CE221/AS221</f>
        <v>0</v>
      </c>
      <c r="CG221" s="16">
        <v>0</v>
      </c>
      <c r="CH221" s="16">
        <v>0</v>
      </c>
      <c r="CI221" s="16">
        <f>CH221/AS221</f>
        <v>0</v>
      </c>
      <c r="CM221" s="16">
        <v>0</v>
      </c>
      <c r="CN221" s="16">
        <v>0</v>
      </c>
      <c r="CO221" s="16">
        <f>CN221/AS221</f>
        <v>0</v>
      </c>
      <c r="CP221" s="16">
        <v>0</v>
      </c>
      <c r="CQ221" s="16">
        <v>0</v>
      </c>
      <c r="CR221" s="16">
        <f>CQ221/AS221</f>
        <v>0</v>
      </c>
      <c r="CS221" s="16">
        <f>IF(CT221&gt;0,1,0)</f>
        <v>0</v>
      </c>
      <c r="CT221" s="16">
        <f>SUM(CW221,CZ221,DC221)</f>
        <v>0</v>
      </c>
      <c r="CV221" s="16">
        <f>SUM(CY221,DB221,DE221)</f>
        <v>0</v>
      </c>
      <c r="CW221" s="16">
        <v>0</v>
      </c>
      <c r="CX221" s="16">
        <v>0</v>
      </c>
      <c r="CY221" s="16">
        <f>CX221/AS221</f>
        <v>0</v>
      </c>
      <c r="CZ221" s="16">
        <v>0</v>
      </c>
      <c r="DA221" s="16">
        <v>0</v>
      </c>
      <c r="DB221" s="16">
        <f>DA221/AS221</f>
        <v>0</v>
      </c>
      <c r="DC221" s="16">
        <v>0</v>
      </c>
      <c r="DD221" s="16">
        <v>0</v>
      </c>
      <c r="DE221" s="16">
        <f>DD221/AS221</f>
        <v>0</v>
      </c>
      <c r="DF221" s="16" t="e">
        <f>VLOOKUP(K221,'[3]RNA Seq summary tables'!$V$3:$V$99,1,FALSE)</f>
        <v>#N/A</v>
      </c>
      <c r="DI221" s="16">
        <v>67</v>
      </c>
      <c r="DK221" s="16">
        <v>20</v>
      </c>
      <c r="DM221" s="16">
        <v>13</v>
      </c>
      <c r="DO221" s="16">
        <v>0</v>
      </c>
      <c r="DQ221" s="16">
        <v>0</v>
      </c>
      <c r="DR221" s="16">
        <f>SUM(DI221:DQ221)</f>
        <v>100</v>
      </c>
      <c r="DT221" s="25"/>
      <c r="DU221" s="25"/>
      <c r="DV221" s="25"/>
      <c r="DW221" s="25"/>
      <c r="DX221" s="25"/>
      <c r="DY221" s="25"/>
      <c r="DZ221" s="25"/>
      <c r="EA221" s="25"/>
      <c r="EB221" s="25"/>
      <c r="EC221" s="25"/>
      <c r="ED221" s="25"/>
      <c r="JO221" s="18"/>
    </row>
    <row r="222" spans="1:288" x14ac:dyDescent="0.2">
      <c r="A222" s="19"/>
      <c r="B222" s="19">
        <v>2017</v>
      </c>
      <c r="C222" s="68">
        <v>42927</v>
      </c>
      <c r="D222" s="68" t="str">
        <f>CONCATENATE(J222,"-",C222)</f>
        <v>1088-42927</v>
      </c>
      <c r="E222" s="20" t="str">
        <f>CONCATENATE(T222,"-",U222,"-",C222)</f>
        <v>PO2-C4-42927</v>
      </c>
      <c r="F222" s="20" t="s">
        <v>106</v>
      </c>
      <c r="G222" s="68" t="s">
        <v>107</v>
      </c>
      <c r="H222" s="19"/>
      <c r="I222" s="16">
        <v>0</v>
      </c>
      <c r="J222" s="69">
        <v>1088</v>
      </c>
      <c r="K222" s="69">
        <v>1867</v>
      </c>
      <c r="L222" s="18">
        <v>0</v>
      </c>
      <c r="M222" s="69">
        <f>VLOOKUP($K222,'[4]blood tubes 2017'!$D$1:$L$647,8,FALSE)</f>
        <v>1</v>
      </c>
      <c r="N222" s="69">
        <f>VLOOKUP($K222,'[4]blood tubes 2017'!$D$1:$L$647,9,FALSE)</f>
        <v>13</v>
      </c>
      <c r="O222" s="15" t="s">
        <v>119</v>
      </c>
      <c r="P222" s="19" t="s">
        <v>119</v>
      </c>
      <c r="Q222" s="19">
        <v>0</v>
      </c>
      <c r="R222" s="19">
        <v>16</v>
      </c>
      <c r="S222" s="19"/>
      <c r="T222" s="19" t="s">
        <v>127</v>
      </c>
      <c r="U222" s="19" t="s">
        <v>229</v>
      </c>
      <c r="V222" s="19" t="s">
        <v>114</v>
      </c>
      <c r="W222" s="16">
        <f>AI222/AG222</f>
        <v>0.88421052631578945</v>
      </c>
      <c r="X222" s="19" t="s">
        <v>121</v>
      </c>
      <c r="Y222" s="19" t="s">
        <v>110</v>
      </c>
      <c r="Z222" s="19">
        <v>3</v>
      </c>
      <c r="AA222" s="19" t="s">
        <v>119</v>
      </c>
      <c r="AB222" s="19" t="s">
        <v>115</v>
      </c>
      <c r="AC222" s="19" t="s">
        <v>116</v>
      </c>
      <c r="AD222" s="19" t="s">
        <v>116</v>
      </c>
      <c r="AE222" s="19"/>
      <c r="AF222" s="19"/>
      <c r="AG222" s="19">
        <f>AH222-AI222</f>
        <v>95</v>
      </c>
      <c r="AH222" s="19">
        <v>179</v>
      </c>
      <c r="AI222" s="19">
        <v>84</v>
      </c>
      <c r="AJ222" s="19"/>
      <c r="AK222" s="19">
        <v>31</v>
      </c>
      <c r="AL222" s="19">
        <v>0</v>
      </c>
      <c r="AM222" s="19">
        <v>0</v>
      </c>
      <c r="AN222" s="19">
        <v>0</v>
      </c>
      <c r="AO222" s="19">
        <v>0</v>
      </c>
      <c r="AP222" s="19">
        <f>SUM(AL222:AN222)</f>
        <v>0</v>
      </c>
      <c r="AQ222" s="19">
        <v>1.875</v>
      </c>
      <c r="AR222" s="19">
        <f>AP222-1.472</f>
        <v>-1.472</v>
      </c>
      <c r="AS222" s="19">
        <f>AQ222-1.472</f>
        <v>0.40300000000000002</v>
      </c>
      <c r="AT222" s="19" t="str">
        <f>VLOOKUP(K222,'[5]FECs - good data'!$C$1:$P$575,13,FALSE)</f>
        <v>CH</v>
      </c>
      <c r="AU222" s="19"/>
      <c r="AV222" s="19"/>
      <c r="AW222" s="19">
        <f>IF(AX222&gt;0,1,0)</f>
        <v>1</v>
      </c>
      <c r="AX222" s="19">
        <f>SUM(BA222,BM222,CT222)</f>
        <v>1</v>
      </c>
      <c r="AY222" s="19">
        <f>SUM(BB222,BN222,CV222)</f>
        <v>7.4441687344913143</v>
      </c>
      <c r="AZ222" s="19">
        <f>IF(BA222&gt;0,1,0)</f>
        <v>0</v>
      </c>
      <c r="BA222" s="19">
        <f>SUM(BC222,BF222,BI222)</f>
        <v>0</v>
      </c>
      <c r="BB222" s="19">
        <f>SUM(BE222,BH222,BK222)</f>
        <v>0</v>
      </c>
      <c r="BC222" s="19">
        <f>IF(BD222&gt;0,1,0)</f>
        <v>0</v>
      </c>
      <c r="BD222" s="19">
        <f>VLOOKUP($K222,'[5]FECs - good data'!$C$1:$Z$574,14,FALSE)</f>
        <v>0</v>
      </c>
      <c r="BE222" s="19">
        <f>BD222/AS222</f>
        <v>0</v>
      </c>
      <c r="BF222" s="19">
        <f>IF(BG222&gt;0,1,0)</f>
        <v>0</v>
      </c>
      <c r="BG222" s="70">
        <f>VLOOKUP($K222,'[5]FECs - good data'!$C$1:$Z$574,15,FALSE)</f>
        <v>0</v>
      </c>
      <c r="BH222" s="19">
        <f>BG222/AS222</f>
        <v>0</v>
      </c>
      <c r="BI222" s="19">
        <f>IF(BJ222&gt;0,1,0)</f>
        <v>0</v>
      </c>
      <c r="BJ222" s="19">
        <f>VLOOKUP($K222,'[5]FECs - good data'!$C$1:$Z$574,16,FALSE)</f>
        <v>0</v>
      </c>
      <c r="BK222" s="19">
        <f>BJ222/AS222</f>
        <v>0</v>
      </c>
      <c r="BL222" s="19">
        <f>IF(BM222&gt;0,1,0)</f>
        <v>1</v>
      </c>
      <c r="BM222" s="19">
        <f>SUM(BR222,BU222,BX222,CA222,CD222,CG222,CJ222,CM222,CP222)</f>
        <v>1</v>
      </c>
      <c r="BN222" s="19">
        <f>SUM(BW222,BZ222,CC222,CF222,CI222,CL222,CO222,CR222,BT222)</f>
        <v>7.4441687344913143</v>
      </c>
      <c r="BO222" s="16">
        <f>IF(BP222&gt;0,1,0)</f>
        <v>1</v>
      </c>
      <c r="BP222" s="16">
        <f>SUM(BU222,BX222,CA222,CD222,BR222)</f>
        <v>1</v>
      </c>
      <c r="BQ222" s="16">
        <f>SUM(BZ222,CC222,CF222,BT222,BW222)</f>
        <v>7.4441687344913143</v>
      </c>
      <c r="BR222" s="19">
        <f>IF(BS222&gt;0,1,0)</f>
        <v>0</v>
      </c>
      <c r="BS222" s="19">
        <f>VLOOKUP($K222,'[5]FECs - good data'!$C$1:$Z$574,17,FALSE)</f>
        <v>0</v>
      </c>
      <c r="BT222" s="70">
        <f>BS222/AS222</f>
        <v>0</v>
      </c>
      <c r="BU222" s="19">
        <f>IF(BV222&gt;0,1,0)</f>
        <v>0</v>
      </c>
      <c r="BV222" s="19">
        <f>VLOOKUP($K222,'[5]FECs - good data'!$C$1:$Z$574,18,FALSE)</f>
        <v>0</v>
      </c>
      <c r="BW222" s="19">
        <f>BV222/AS222</f>
        <v>0</v>
      </c>
      <c r="BX222" s="19">
        <f>IF(BY222&gt;0,1,0)</f>
        <v>1</v>
      </c>
      <c r="BY222" s="19">
        <f>VLOOKUP($K222,'[5]FECs - good data'!$C$1:$Z$574,19,FALSE)</f>
        <v>3</v>
      </c>
      <c r="BZ222" s="19">
        <f>BY222/AS222</f>
        <v>7.4441687344913143</v>
      </c>
      <c r="CA222" s="19">
        <f>IF(CB222&gt;0,1,0)</f>
        <v>0</v>
      </c>
      <c r="CB222" s="19">
        <f>VLOOKUP($K222,'[5]FECs - good data'!$C$1:$Z$574,20,FALSE)</f>
        <v>0</v>
      </c>
      <c r="CC222" s="19">
        <f>CB222/AS222</f>
        <v>0</v>
      </c>
      <c r="CD222" s="70">
        <f>IF(CE222&gt;0,1,0)</f>
        <v>0</v>
      </c>
      <c r="CE222" s="19">
        <f>VLOOKUP($K222,'[5]FECs - good data'!$C$1:$Z$574,21,FALSE)</f>
        <v>0</v>
      </c>
      <c r="CF222" s="19">
        <f>CE222/AS222</f>
        <v>0</v>
      </c>
      <c r="CG222" s="19">
        <f>IF(CH222&gt;0,1,0)</f>
        <v>0</v>
      </c>
      <c r="CH222" s="19">
        <f>VLOOKUP($K222,'[5]FECs - good data'!$C$1:$Z$574,22,FALSE)</f>
        <v>0</v>
      </c>
      <c r="CI222" s="19">
        <f>CH222/AS222</f>
        <v>0</v>
      </c>
      <c r="CJ222" s="19">
        <f>IF(CK222&gt;0,1,0)</f>
        <v>0</v>
      </c>
      <c r="CK222" s="19">
        <f>VLOOKUP($K222,'[5]FECs - good data'!$C$1:$Z$674,24,FALSE)</f>
        <v>0</v>
      </c>
      <c r="CL222" s="19">
        <f>CK222/AS222</f>
        <v>0</v>
      </c>
      <c r="CM222" s="19"/>
      <c r="CN222" s="19"/>
      <c r="CO222" s="19"/>
      <c r="CP222" s="19"/>
      <c r="CQ222" s="19"/>
      <c r="CR222" s="19"/>
      <c r="CS222" s="19">
        <f>IF(CT222&gt;0,1,0)</f>
        <v>0</v>
      </c>
      <c r="CT222" s="19">
        <f>SUM(CW222+CZ222,DC222)</f>
        <v>0</v>
      </c>
      <c r="CU222" s="19"/>
      <c r="CV222" s="19">
        <f>SUM(CY222,DB222,DE222)</f>
        <v>0</v>
      </c>
      <c r="CW222" s="19">
        <f>IF(CX222&gt;0,1,0)</f>
        <v>0</v>
      </c>
      <c r="CX222" s="19">
        <f>VLOOKUP($K222,'[5]FECs - good data'!$C$1:$Z$574,22,FALSE)</f>
        <v>0</v>
      </c>
      <c r="CY222" s="19">
        <f>CX222/AS222</f>
        <v>0</v>
      </c>
      <c r="CZ222" s="19">
        <f>IF(DA222&gt;0,1,0)</f>
        <v>0</v>
      </c>
      <c r="DA222" s="19">
        <f>VLOOKUP($K222,'[5]FECs - good data'!$C$1:$Z$5982,23,FALSE)</f>
        <v>0</v>
      </c>
      <c r="DB222" s="19">
        <f>DA222/AS222</f>
        <v>0</v>
      </c>
      <c r="DC222" s="19">
        <f>IF(DD222&gt;0,1,0)</f>
        <v>0</v>
      </c>
      <c r="DD222" s="19">
        <f>VLOOKUP($K222,'[5]FECs - good data'!$C$1:$Z$574,23,FALSE)</f>
        <v>0</v>
      </c>
      <c r="DE222" s="19">
        <f>DD222/AS222</f>
        <v>0</v>
      </c>
      <c r="DF222" s="16" t="e">
        <f>VLOOKUP(K222,'[3]RNA Seq summary tables'!$V$3:$V$99,1,FALSE)</f>
        <v>#N/A</v>
      </c>
      <c r="DI222" s="19"/>
      <c r="DJ222" s="19"/>
      <c r="DK222" s="19"/>
      <c r="DL222" s="19"/>
      <c r="DM222" s="19"/>
      <c r="DN222" s="19"/>
      <c r="DO222" s="19"/>
      <c r="DP222" s="19"/>
      <c r="DQ222" s="19"/>
      <c r="DR222" s="19"/>
      <c r="DS222" s="19"/>
      <c r="JR222" s="27"/>
      <c r="JS222" s="27"/>
      <c r="JT222" s="27"/>
      <c r="JU222" s="27"/>
      <c r="JV222" s="27"/>
      <c r="JW222" s="27"/>
      <c r="JX222" s="27"/>
      <c r="JY222" s="27"/>
      <c r="JZ222" s="27"/>
      <c r="KA222" s="27"/>
      <c r="KB222" s="27"/>
    </row>
    <row r="223" spans="1:288" ht="16" x14ac:dyDescent="0.2">
      <c r="B223" s="16">
        <v>2017</v>
      </c>
      <c r="C223" s="20">
        <v>42947</v>
      </c>
      <c r="D223" s="20" t="str">
        <f>CONCATENATE(J223,"-",C223)</f>
        <v>1088-42947</v>
      </c>
      <c r="E223" s="37" t="str">
        <f>CONCATENATE(T223,"-",U223,"-",C223)</f>
        <v>PO2-A3-42947</v>
      </c>
      <c r="F223" s="20" t="s">
        <v>106</v>
      </c>
      <c r="G223" s="20" t="s">
        <v>107</v>
      </c>
      <c r="I223" s="16">
        <v>0</v>
      </c>
      <c r="J223" s="21">
        <v>1088</v>
      </c>
      <c r="K223" s="21">
        <v>2021</v>
      </c>
      <c r="L223" s="18">
        <v>0</v>
      </c>
      <c r="M223" s="21">
        <f>VLOOKUP($K223,'[4]blood tubes 2017'!$D$1:$L$647,8,FALSE)</f>
        <v>0</v>
      </c>
      <c r="N223" s="15">
        <v>0</v>
      </c>
      <c r="O223" s="15" t="s">
        <v>119</v>
      </c>
      <c r="P223" s="16" t="s">
        <v>119</v>
      </c>
      <c r="Q223" s="16">
        <v>0</v>
      </c>
      <c r="R223" s="16">
        <v>20</v>
      </c>
      <c r="T223" s="16" t="s">
        <v>127</v>
      </c>
      <c r="U223" s="16" t="s">
        <v>201</v>
      </c>
      <c r="V223" s="16" t="s">
        <v>114</v>
      </c>
      <c r="W223" s="16">
        <f>AI223/AG223</f>
        <v>0.79207920792079212</v>
      </c>
      <c r="X223" s="16" t="s">
        <v>121</v>
      </c>
      <c r="Y223" s="16" t="s">
        <v>110</v>
      </c>
      <c r="Z223" s="16">
        <v>3</v>
      </c>
      <c r="AA223" s="16" t="s">
        <v>161</v>
      </c>
      <c r="AB223" s="16" t="s">
        <v>123</v>
      </c>
      <c r="AC223" s="16" t="s">
        <v>123</v>
      </c>
      <c r="AD223" s="16" t="s">
        <v>116</v>
      </c>
      <c r="AG223" s="16">
        <f>AH223-AI223</f>
        <v>101</v>
      </c>
      <c r="AH223" s="16">
        <v>181</v>
      </c>
      <c r="AI223" s="16">
        <v>80</v>
      </c>
      <c r="AK223" s="16">
        <v>24.5</v>
      </c>
      <c r="AL223" s="16">
        <v>0</v>
      </c>
      <c r="AM223" s="16">
        <v>0</v>
      </c>
      <c r="AN223" s="16">
        <v>0</v>
      </c>
      <c r="AO223" s="16">
        <v>0</v>
      </c>
      <c r="AP223" s="16">
        <f>SUM(AL223:AN223)</f>
        <v>0</v>
      </c>
      <c r="AQ223" s="16">
        <v>1.92</v>
      </c>
      <c r="AR223" s="16">
        <f>AP223-1.472</f>
        <v>-1.472</v>
      </c>
      <c r="AS223" s="16">
        <f>AQ223-1.472</f>
        <v>0.44799999999999995</v>
      </c>
      <c r="AT223" s="16" t="str">
        <f>VLOOKUP(E223,[2]Current!$A$1:$W$435,7,FALSE)</f>
        <v>JY</v>
      </c>
      <c r="AU223" s="16" t="s">
        <v>1288</v>
      </c>
      <c r="AW223" s="128">
        <f>IF(AX223&gt;0,1,0)</f>
        <v>1</v>
      </c>
      <c r="AX223" s="128">
        <f>SUM(BA223,BM223,CU223)</f>
        <v>1</v>
      </c>
      <c r="AY223" s="128">
        <f>SUM(BB223,BN223,CV223)</f>
        <v>125.00000000000001</v>
      </c>
      <c r="AZ223" s="128">
        <f>IF(BA223&gt;0,1,0)</f>
        <v>1</v>
      </c>
      <c r="BA223" s="128">
        <f>SUM(BC223+BF223+BI223)</f>
        <v>1</v>
      </c>
      <c r="BB223" s="128">
        <f>SUM(BE223,BH223,BK223)</f>
        <v>125.00000000000001</v>
      </c>
      <c r="BC223" s="130">
        <f>IF(BD223&gt;0,1,0)</f>
        <v>0</v>
      </c>
      <c r="BD223" s="128">
        <f>VLOOKUP($E223,[2]Current!$A:$AC,26,FALSE)</f>
        <v>0</v>
      </c>
      <c r="BE223" s="128">
        <f>BD223/$AS223</f>
        <v>0</v>
      </c>
      <c r="BF223" s="130">
        <f>IF(BG223&gt;0,1,0)</f>
        <v>1</v>
      </c>
      <c r="BG223" s="175">
        <f>VLOOKUP($E223,[2]Current!$A:$AC,27,FALSE)</f>
        <v>56</v>
      </c>
      <c r="BH223" s="128">
        <f>BG223/$AS223</f>
        <v>125.00000000000001</v>
      </c>
      <c r="BI223" s="130">
        <f>IF(BJ223&gt;0,1,0)</f>
        <v>0</v>
      </c>
      <c r="BJ223" s="128">
        <f>VLOOKUP($E223,[2]Current!$A:$AC,28,FALSE)</f>
        <v>0</v>
      </c>
      <c r="BK223" s="128">
        <f>BJ223/$AS223</f>
        <v>0</v>
      </c>
      <c r="BL223" s="128">
        <f>IF(BM223&gt;0,1,0)</f>
        <v>0</v>
      </c>
      <c r="BM223" s="128">
        <f>SUM(BR223,BU223,BX223,CA223,CD223)</f>
        <v>0</v>
      </c>
      <c r="BN223" s="131">
        <f>SUM(BT223,BW223,BZ223,CC223,CF223)</f>
        <v>0</v>
      </c>
      <c r="BO223" s="128">
        <f>IF(BP223&gt;0,1,0)</f>
        <v>0</v>
      </c>
      <c r="BP223" s="128">
        <f>BM223+CJ223</f>
        <v>0</v>
      </c>
      <c r="BQ223" s="128">
        <f>BN223+CL223</f>
        <v>0</v>
      </c>
      <c r="BR223" s="130">
        <f>IF(BS223&gt;0,1,0)</f>
        <v>0</v>
      </c>
      <c r="BS223" s="128">
        <f>VLOOKUP($E223,[2]Current!$A:$AC,12,FALSE)</f>
        <v>0</v>
      </c>
      <c r="BT223" s="175">
        <f>BS223/$AS223</f>
        <v>0</v>
      </c>
      <c r="BU223" s="130">
        <f>IF(BV223&gt;0,1,0)</f>
        <v>0</v>
      </c>
      <c r="BV223" s="128">
        <f>VLOOKUP($E223,[2]Current!$A:$AC,13,FALSE)</f>
        <v>0</v>
      </c>
      <c r="BW223" s="128">
        <f>BV223/$AS223</f>
        <v>0</v>
      </c>
      <c r="BX223" s="130">
        <f>IF(BY223&gt;0,1,0)</f>
        <v>0</v>
      </c>
      <c r="BY223" s="128">
        <f>VLOOKUP($E223,[2]Current!$A:$AC,14,FALSE)</f>
        <v>0</v>
      </c>
      <c r="BZ223" s="128">
        <f>BY223/$AS223</f>
        <v>0</v>
      </c>
      <c r="CA223" s="130">
        <f>IF(CB223&gt;0,1,0)</f>
        <v>0</v>
      </c>
      <c r="CB223" s="128">
        <f>VLOOKUP($E223,[2]Current!$A:$AC,15,FALSE)</f>
        <v>0</v>
      </c>
      <c r="CC223" s="128">
        <f>CB223/$AS223</f>
        <v>0</v>
      </c>
      <c r="CD223" s="176">
        <f>IF(CE223&gt;0,1,0)</f>
        <v>0</v>
      </c>
      <c r="CE223" s="128">
        <f>VLOOKUP($E223,[2]Current!$A:$AC,16,FALSE)</f>
        <v>0</v>
      </c>
      <c r="CF223" s="128">
        <f>CE223/$AS223</f>
        <v>0</v>
      </c>
      <c r="CG223" s="18"/>
      <c r="CH223" s="18"/>
      <c r="CI223" s="18"/>
      <c r="CJ223" s="130">
        <f>IF(CK223&gt;0,1,0)</f>
        <v>0</v>
      </c>
      <c r="CK223" s="128">
        <f>VLOOKUP($E223,[2]Current!$A:$AC,18,FALSE)</f>
        <v>0</v>
      </c>
      <c r="CL223" s="128">
        <f>CK223/$AS223</f>
        <v>0</v>
      </c>
      <c r="CS223" s="130">
        <f>IF(CU223&gt;0,1,0)</f>
        <v>0</v>
      </c>
      <c r="CU223" s="128">
        <f>VLOOKUP($E223,[2]Current!$A:$AC,17,FALSE)</f>
        <v>0</v>
      </c>
      <c r="CV223" s="128">
        <f>CU223/$AS223</f>
        <v>0</v>
      </c>
      <c r="CW223" s="18"/>
      <c r="CX223" s="18"/>
      <c r="CY223" s="18"/>
      <c r="DF223" s="16" t="e">
        <f>VLOOKUP(K223,'[3]RNA Seq summary tables'!$V$3:$V$99,1,FALSE)</f>
        <v>#N/A</v>
      </c>
      <c r="DG223" s="16">
        <v>1</v>
      </c>
      <c r="DH223" s="16" t="str">
        <f>VLOOKUP(D223,'[6]workflow 3.2018'!$A$1:$S$237,2,FALSE)</f>
        <v>2017MLBS_91</v>
      </c>
    </row>
    <row r="224" spans="1:288" ht="16" x14ac:dyDescent="0.2">
      <c r="B224" s="16">
        <v>2017</v>
      </c>
      <c r="C224" s="20">
        <v>42964</v>
      </c>
      <c r="D224" s="20" t="str">
        <f>CONCATENATE(J224,"-",C224)</f>
        <v>1088-42964</v>
      </c>
      <c r="E224" s="37" t="str">
        <f>CONCATENATE(T224,"-",U224,"-",C224)</f>
        <v>PO2-C2-42964</v>
      </c>
      <c r="F224" s="20" t="s">
        <v>106</v>
      </c>
      <c r="G224" s="20" t="s">
        <v>107</v>
      </c>
      <c r="I224" s="16">
        <v>0</v>
      </c>
      <c r="J224" s="21">
        <v>1088</v>
      </c>
      <c r="K224" s="21">
        <v>2177</v>
      </c>
      <c r="L224" s="18">
        <v>0</v>
      </c>
      <c r="M224" s="21">
        <f>VLOOKUP($K224,'[4]blood tubes 2017'!$D$1:$L$647,8,FALSE)</f>
        <v>0</v>
      </c>
      <c r="N224" s="15">
        <v>0</v>
      </c>
      <c r="O224" s="15" t="s">
        <v>119</v>
      </c>
      <c r="P224" s="16" t="s">
        <v>119</v>
      </c>
      <c r="Q224" s="16">
        <v>0</v>
      </c>
      <c r="R224" s="16">
        <v>17</v>
      </c>
      <c r="T224" s="16" t="s">
        <v>127</v>
      </c>
      <c r="U224" s="16" t="s">
        <v>162</v>
      </c>
      <c r="V224" s="16" t="s">
        <v>114</v>
      </c>
      <c r="W224" s="16">
        <f>AI224/AG224</f>
        <v>0.8</v>
      </c>
      <c r="X224" s="16" t="s">
        <v>121</v>
      </c>
      <c r="Y224" s="16" t="s">
        <v>110</v>
      </c>
      <c r="Z224" s="16">
        <v>3</v>
      </c>
      <c r="AA224" s="16" t="s">
        <v>119</v>
      </c>
      <c r="AB224" s="16" t="s">
        <v>240</v>
      </c>
      <c r="AC224" s="16" t="s">
        <v>123</v>
      </c>
      <c r="AD224" s="16" t="s">
        <v>123</v>
      </c>
      <c r="AG224" s="16">
        <f>AH224-AI224</f>
        <v>100</v>
      </c>
      <c r="AH224" s="16">
        <v>180</v>
      </c>
      <c r="AI224" s="16">
        <v>80</v>
      </c>
      <c r="AK224" s="16">
        <v>26</v>
      </c>
      <c r="AL224" s="16">
        <v>0</v>
      </c>
      <c r="AM224" s="16">
        <v>0</v>
      </c>
      <c r="AN224" s="16">
        <v>0</v>
      </c>
      <c r="AO224" s="16">
        <v>0</v>
      </c>
      <c r="AP224" s="16">
        <f>SUM(AL224:AN224)</f>
        <v>0</v>
      </c>
      <c r="AQ224" s="16">
        <v>1.716</v>
      </c>
      <c r="AR224" s="16">
        <f>AP224-1.472</f>
        <v>-1.472</v>
      </c>
      <c r="AS224" s="16">
        <f>AQ224-1.472</f>
        <v>0.24399999999999999</v>
      </c>
      <c r="AT224" s="16" t="str">
        <f>VLOOKUP(E224,[2]Current!$A$1:$W$435,7,FALSE)</f>
        <v>NB</v>
      </c>
      <c r="AU224" s="16" t="s">
        <v>1288</v>
      </c>
      <c r="AW224" s="128">
        <f>IF(AX224&gt;0,1,0)</f>
        <v>1</v>
      </c>
      <c r="AX224" s="128">
        <f>SUM(BA224,BM224,CU224)</f>
        <v>1</v>
      </c>
      <c r="AY224" s="128">
        <f>SUM(BB224,BN224,CV224)</f>
        <v>1524.5901639344263</v>
      </c>
      <c r="AZ224" s="128">
        <f>IF(BA224&gt;0,1,0)</f>
        <v>1</v>
      </c>
      <c r="BA224" s="128">
        <f>SUM(BC224+BF224+BI224)</f>
        <v>1</v>
      </c>
      <c r="BB224" s="128">
        <f>SUM(BE224,BH224,BK224)</f>
        <v>1524.5901639344263</v>
      </c>
      <c r="BC224" s="130">
        <f>IF(BD224&gt;0,1,0)</f>
        <v>1</v>
      </c>
      <c r="BD224" s="128">
        <f>VLOOKUP($E224,[2]Current!$A:$AC,26,FALSE)</f>
        <v>372</v>
      </c>
      <c r="BE224" s="128">
        <f>BD224/$AS224</f>
        <v>1524.5901639344263</v>
      </c>
      <c r="BF224" s="130">
        <f>IF(BG224&gt;0,1,0)</f>
        <v>0</v>
      </c>
      <c r="BG224" s="175">
        <f>VLOOKUP($E224,[2]Current!$A:$AC,27,FALSE)</f>
        <v>0</v>
      </c>
      <c r="BH224" s="128">
        <f>BG224/$AS224</f>
        <v>0</v>
      </c>
      <c r="BI224" s="130">
        <f>IF(BJ224&gt;0,1,0)</f>
        <v>0</v>
      </c>
      <c r="BJ224" s="128">
        <f>VLOOKUP($E224,[2]Current!$A:$AC,28,FALSE)</f>
        <v>0</v>
      </c>
      <c r="BK224" s="128">
        <f>BJ224/$AS224</f>
        <v>0</v>
      </c>
      <c r="BL224" s="128">
        <f>IF(BM224&gt;0,1,0)</f>
        <v>0</v>
      </c>
      <c r="BM224" s="128">
        <f>SUM(BR224,BU224,BX224,CA224,CD224)</f>
        <v>0</v>
      </c>
      <c r="BN224" s="131">
        <f>SUM(BT224,BW224,BZ224,CC224,CF224)</f>
        <v>0</v>
      </c>
      <c r="BO224" s="128">
        <f>IF(BP224&gt;0,1,0)</f>
        <v>0</v>
      </c>
      <c r="BP224" s="128">
        <f>BM224+CJ224</f>
        <v>0</v>
      </c>
      <c r="BQ224" s="128">
        <f>BN224+CL224</f>
        <v>0</v>
      </c>
      <c r="BR224" s="130">
        <f>IF(BS224&gt;0,1,0)</f>
        <v>0</v>
      </c>
      <c r="BS224" s="128">
        <f>VLOOKUP($E224,[2]Current!$A:$AC,12,FALSE)</f>
        <v>0</v>
      </c>
      <c r="BT224" s="175">
        <f>BS224/$AS224</f>
        <v>0</v>
      </c>
      <c r="BU224" s="130">
        <f>IF(BV224&gt;0,1,0)</f>
        <v>0</v>
      </c>
      <c r="BV224" s="128">
        <f>VLOOKUP($E224,[2]Current!$A:$AC,13,FALSE)</f>
        <v>0</v>
      </c>
      <c r="BW224" s="128">
        <f>BV224/$AS224</f>
        <v>0</v>
      </c>
      <c r="BX224" s="130">
        <f>IF(BY224&gt;0,1,0)</f>
        <v>0</v>
      </c>
      <c r="BY224" s="128">
        <f>VLOOKUP($E224,[2]Current!$A:$AC,14,FALSE)</f>
        <v>0</v>
      </c>
      <c r="BZ224" s="128">
        <f>BY224/$AS224</f>
        <v>0</v>
      </c>
      <c r="CA224" s="130">
        <f>IF(CB224&gt;0,1,0)</f>
        <v>0</v>
      </c>
      <c r="CB224" s="128">
        <f>VLOOKUP($E224,[2]Current!$A:$AC,15,FALSE)</f>
        <v>0</v>
      </c>
      <c r="CC224" s="128">
        <f>CB224/$AS224</f>
        <v>0</v>
      </c>
      <c r="CD224" s="176">
        <f>IF(CE224&gt;0,1,0)</f>
        <v>0</v>
      </c>
      <c r="CE224" s="128">
        <f>VLOOKUP($E224,[2]Current!$A:$AC,16,FALSE)</f>
        <v>0</v>
      </c>
      <c r="CF224" s="128">
        <f>CE224/$AS224</f>
        <v>0</v>
      </c>
      <c r="CG224" s="18"/>
      <c r="CH224" s="18"/>
      <c r="CI224" s="18"/>
      <c r="CJ224" s="130">
        <f>IF(CK224&gt;0,1,0)</f>
        <v>0</v>
      </c>
      <c r="CK224" s="128">
        <f>VLOOKUP($E224,[2]Current!$A:$AC,18,FALSE)</f>
        <v>0</v>
      </c>
      <c r="CL224" s="128">
        <f>CK224/$AS224</f>
        <v>0</v>
      </c>
      <c r="CS224" s="130">
        <f>IF(CU224&gt;0,1,0)</f>
        <v>0</v>
      </c>
      <c r="CU224" s="128">
        <f>VLOOKUP($E224,[2]Current!$A:$AC,17,FALSE)</f>
        <v>0</v>
      </c>
      <c r="CV224" s="128">
        <f>CU224/$AS224</f>
        <v>0</v>
      </c>
      <c r="CW224" s="18"/>
      <c r="CX224" s="18"/>
      <c r="CY224" s="18"/>
      <c r="DF224" s="16" t="e">
        <f>VLOOKUP(K224,'[3]RNA Seq summary tables'!$V$3:$V$99,1,FALSE)</f>
        <v>#N/A</v>
      </c>
      <c r="DG224" s="16">
        <v>1</v>
      </c>
      <c r="DH224" s="16" t="str">
        <f>VLOOKUP(D224,'[6]workflow 3.2018'!$A$1:$S$237,2,FALSE)</f>
        <v>2017MLBS_165</v>
      </c>
    </row>
    <row r="225" spans="2:288" ht="16" x14ac:dyDescent="0.2">
      <c r="B225" s="16">
        <v>2017</v>
      </c>
      <c r="C225" s="20">
        <v>42975</v>
      </c>
      <c r="D225" s="20" t="str">
        <f>CONCATENATE(J225,"-",C225)</f>
        <v>1088-42975</v>
      </c>
      <c r="E225" s="37" t="str">
        <f>CONCATENATE(T225,"-",U225,"-",C225)</f>
        <v>PO2-A3-42975</v>
      </c>
      <c r="F225" s="37" t="s">
        <v>224</v>
      </c>
      <c r="G225" s="20" t="s">
        <v>107</v>
      </c>
      <c r="I225" s="16">
        <v>0</v>
      </c>
      <c r="J225" s="21">
        <v>1088</v>
      </c>
      <c r="K225" s="21">
        <v>2281</v>
      </c>
      <c r="L225" s="18">
        <v>0</v>
      </c>
      <c r="M225" s="21">
        <f>VLOOKUP($K225,'[4]blood tubes 2017'!$D$1:$L$947,8,FALSE)</f>
        <v>0</v>
      </c>
      <c r="N225" s="15">
        <v>0</v>
      </c>
      <c r="O225" s="15" t="s">
        <v>119</v>
      </c>
      <c r="P225" s="16" t="s">
        <v>119</v>
      </c>
      <c r="Q225" s="16">
        <v>0</v>
      </c>
      <c r="R225" s="16">
        <v>11</v>
      </c>
      <c r="T225" s="16" t="s">
        <v>127</v>
      </c>
      <c r="U225" s="16" t="s">
        <v>201</v>
      </c>
      <c r="V225" s="16" t="s">
        <v>114</v>
      </c>
      <c r="W225" s="16">
        <f>AI225/AG225</f>
        <v>0.85858585858585856</v>
      </c>
      <c r="X225" s="16" t="s">
        <v>121</v>
      </c>
      <c r="Y225" s="16" t="s">
        <v>110</v>
      </c>
      <c r="Z225" s="16">
        <v>3</v>
      </c>
      <c r="AA225" s="16" t="s">
        <v>119</v>
      </c>
      <c r="AB225" s="16" t="s">
        <v>239</v>
      </c>
      <c r="AC225" s="16" t="s">
        <v>123</v>
      </c>
      <c r="AD225" s="16" t="s">
        <v>123</v>
      </c>
      <c r="AG225" s="16">
        <f>AH225-AI225</f>
        <v>99</v>
      </c>
      <c r="AH225" s="16">
        <v>184</v>
      </c>
      <c r="AI225" s="16">
        <v>85</v>
      </c>
      <c r="AK225" s="16">
        <v>28.5</v>
      </c>
      <c r="AL225" s="16">
        <v>0</v>
      </c>
      <c r="AM225" s="16">
        <v>0</v>
      </c>
      <c r="AN225" s="16">
        <v>0</v>
      </c>
      <c r="AO225" s="16">
        <v>0</v>
      </c>
      <c r="AP225" s="16">
        <f>SUM(AL225:AN225)</f>
        <v>0</v>
      </c>
      <c r="AQ225" s="16">
        <v>1.8740000000000001</v>
      </c>
      <c r="AR225" s="16">
        <f>AP225-1.472</f>
        <v>-1.472</v>
      </c>
      <c r="AS225" s="16">
        <f>AQ225-1.472</f>
        <v>0.40200000000000014</v>
      </c>
      <c r="AT225" s="16" t="str">
        <f>VLOOKUP(E225,[2]Current!$A$1:$W$435,7,FALSE)</f>
        <v>LV</v>
      </c>
      <c r="AU225" s="16" t="s">
        <v>1288</v>
      </c>
      <c r="AW225" s="128">
        <f>IF(AX225&gt;0,1,0)</f>
        <v>1</v>
      </c>
      <c r="AX225" s="128">
        <f>SUM(BA225,BM225,CU225)</f>
        <v>2</v>
      </c>
      <c r="AY225" s="128">
        <f>SUM(BB225,BN225,CV225)</f>
        <v>1208.9552238805968</v>
      </c>
      <c r="AZ225" s="128">
        <f>IF(BA225&gt;0,1,0)</f>
        <v>1</v>
      </c>
      <c r="BA225" s="128">
        <f>SUM(BC225+BF225+BI225)</f>
        <v>2</v>
      </c>
      <c r="BB225" s="128">
        <f>SUM(BE225,BH225,BK225)</f>
        <v>1208.9552238805968</v>
      </c>
      <c r="BC225" s="130">
        <f>IF(BD225&gt;0,1,0)</f>
        <v>1</v>
      </c>
      <c r="BD225" s="128">
        <f>VLOOKUP($E225,[2]Current!$A:$AC,26,FALSE)</f>
        <v>48</v>
      </c>
      <c r="BE225" s="128">
        <f>BD225/$AS225</f>
        <v>119.40298507462683</v>
      </c>
      <c r="BF225" s="130">
        <f>IF(BG225&gt;0,1,0)</f>
        <v>1</v>
      </c>
      <c r="BG225" s="175">
        <f>VLOOKUP($E225,[2]Current!$A:$AC,27,FALSE)</f>
        <v>438</v>
      </c>
      <c r="BH225" s="128">
        <f>BG225/$AS225</f>
        <v>1089.5522388059699</v>
      </c>
      <c r="BI225" s="130">
        <f>IF(BJ225&gt;0,1,0)</f>
        <v>0</v>
      </c>
      <c r="BJ225" s="128">
        <f>VLOOKUP($E225,[2]Current!$A:$AC,28,FALSE)</f>
        <v>0</v>
      </c>
      <c r="BK225" s="128">
        <f>BJ225/$AS225</f>
        <v>0</v>
      </c>
      <c r="BL225" s="128">
        <f>IF(BM225&gt;0,1,0)</f>
        <v>0</v>
      </c>
      <c r="BM225" s="128">
        <f>SUM(BR225,BU225,BX225,CA225,CD225)</f>
        <v>0</v>
      </c>
      <c r="BN225" s="131">
        <f>SUM(BT225,BW225,BZ225,CC225,CF225)</f>
        <v>0</v>
      </c>
      <c r="BO225" s="128">
        <f>IF(BP225&gt;0,1,0)</f>
        <v>0</v>
      </c>
      <c r="BP225" s="128">
        <f>BM225+CJ225</f>
        <v>0</v>
      </c>
      <c r="BQ225" s="128">
        <f>BN225+CL225</f>
        <v>0</v>
      </c>
      <c r="BR225" s="130">
        <f>IF(BS225&gt;0,1,0)</f>
        <v>0</v>
      </c>
      <c r="BS225" s="128">
        <f>VLOOKUP($E225,[2]Current!$A:$AC,12,FALSE)</f>
        <v>0</v>
      </c>
      <c r="BT225" s="175">
        <f>BS225/$AS225</f>
        <v>0</v>
      </c>
      <c r="BU225" s="130">
        <f>IF(BV225&gt;0,1,0)</f>
        <v>0</v>
      </c>
      <c r="BV225" s="128">
        <f>VLOOKUP($E225,[2]Current!$A:$AC,13,FALSE)</f>
        <v>0</v>
      </c>
      <c r="BW225" s="128">
        <f>BV225/$AS225</f>
        <v>0</v>
      </c>
      <c r="BX225" s="130">
        <f>IF(BY225&gt;0,1,0)</f>
        <v>0</v>
      </c>
      <c r="BY225" s="128">
        <f>VLOOKUP($E225,[2]Current!$A:$AC,14,FALSE)</f>
        <v>0</v>
      </c>
      <c r="BZ225" s="128">
        <f>BY225/$AS225</f>
        <v>0</v>
      </c>
      <c r="CA225" s="130">
        <f>IF(CB225&gt;0,1,0)</f>
        <v>0</v>
      </c>
      <c r="CB225" s="128">
        <f>VLOOKUP($E225,[2]Current!$A:$AC,15,FALSE)</f>
        <v>0</v>
      </c>
      <c r="CC225" s="128">
        <f>CB225/$AS225</f>
        <v>0</v>
      </c>
      <c r="CD225" s="176">
        <f>IF(CE225&gt;0,1,0)</f>
        <v>0</v>
      </c>
      <c r="CE225" s="128">
        <f>VLOOKUP($E225,[2]Current!$A:$AC,16,FALSE)</f>
        <v>0</v>
      </c>
      <c r="CF225" s="128">
        <f>CE225/$AS225</f>
        <v>0</v>
      </c>
      <c r="CG225" s="18"/>
      <c r="CH225" s="18"/>
      <c r="CI225" s="18"/>
      <c r="CJ225" s="130">
        <f>IF(CK225&gt;0,1,0)</f>
        <v>0</v>
      </c>
      <c r="CK225" s="128">
        <f>VLOOKUP($E225,[2]Current!$A:$AC,18,FALSE)</f>
        <v>0</v>
      </c>
      <c r="CL225" s="128">
        <f>CK225/$AS225</f>
        <v>0</v>
      </c>
      <c r="CS225" s="130">
        <f>IF(CU225&gt;0,1,0)</f>
        <v>0</v>
      </c>
      <c r="CT225" s="18"/>
      <c r="CU225" s="128">
        <f>VLOOKUP($E225,[2]Current!$A:$AC,17,FALSE)</f>
        <v>0</v>
      </c>
      <c r="CV225" s="128">
        <f>CU225/$AS225</f>
        <v>0</v>
      </c>
      <c r="CW225" s="18"/>
      <c r="CX225" s="18"/>
      <c r="CY225" s="18"/>
      <c r="DF225" s="16" t="e">
        <f>VLOOKUP(K225,'[3]RNA Seq summary tables'!$V$3:$V$99,1,FALSE)</f>
        <v>#N/A</v>
      </c>
      <c r="DG225" s="16">
        <v>1</v>
      </c>
      <c r="DH225" s="16" t="str">
        <f>VLOOKUP(D225,'[6]workflow 3.2018'!$A$1:$S$237,2,FALSE)</f>
        <v>2017MLBS_202</v>
      </c>
    </row>
    <row r="226" spans="2:288" x14ac:dyDescent="0.2">
      <c r="B226" s="16">
        <v>2017</v>
      </c>
      <c r="C226" s="66">
        <v>42894</v>
      </c>
      <c r="D226" s="66" t="str">
        <f>CONCATENATE(J226,"-",C226)</f>
        <v>1089-42894</v>
      </c>
      <c r="E226" s="20" t="str">
        <f>CONCATENATE(T226,"-",U226,"-",C226)</f>
        <v>PO2-C8-42894</v>
      </c>
      <c r="F226" s="20" t="s">
        <v>106</v>
      </c>
      <c r="G226" s="20" t="s">
        <v>107</v>
      </c>
      <c r="I226" s="16">
        <v>0</v>
      </c>
      <c r="J226" s="21">
        <v>1089</v>
      </c>
      <c r="K226" s="21" t="s">
        <v>153</v>
      </c>
      <c r="L226" s="18">
        <v>0</v>
      </c>
      <c r="O226" s="15" t="s">
        <v>119</v>
      </c>
      <c r="P226" s="16" t="s">
        <v>119</v>
      </c>
      <c r="Q226" s="16">
        <v>0</v>
      </c>
      <c r="R226" s="16" t="s">
        <v>111</v>
      </c>
      <c r="T226" s="16" t="s">
        <v>127</v>
      </c>
      <c r="U226" s="16" t="s">
        <v>188</v>
      </c>
      <c r="V226" s="16" t="s">
        <v>114</v>
      </c>
      <c r="W226" s="16">
        <f>AI226/AG226</f>
        <v>0.76543209876543206</v>
      </c>
      <c r="X226" s="16" t="s">
        <v>115</v>
      </c>
      <c r="Y226" s="16" t="s">
        <v>145</v>
      </c>
      <c r="Z226" s="16">
        <v>1</v>
      </c>
      <c r="AE226" s="16" t="s">
        <v>123</v>
      </c>
      <c r="AF226" s="16" t="s">
        <v>123</v>
      </c>
      <c r="AG226" s="16">
        <f>AH226-AI226</f>
        <v>81</v>
      </c>
      <c r="AH226" s="16">
        <v>143</v>
      </c>
      <c r="AI226" s="16">
        <v>62</v>
      </c>
      <c r="AK226" s="16">
        <v>13.5</v>
      </c>
      <c r="AL226" s="16">
        <v>0</v>
      </c>
      <c r="AM226" s="16">
        <v>0</v>
      </c>
      <c r="AN226" s="16">
        <v>0</v>
      </c>
      <c r="AO226" s="16">
        <v>0</v>
      </c>
      <c r="AP226" s="16">
        <f>SUM(AL226:AN226)</f>
        <v>0</v>
      </c>
      <c r="AQ226" s="16">
        <v>1.5640000000000001</v>
      </c>
      <c r="AR226" s="16">
        <f>AP226-1.472</f>
        <v>-1.472</v>
      </c>
      <c r="AS226" s="16">
        <f>AQ226-1.472</f>
        <v>9.2000000000000082E-2</v>
      </c>
      <c r="AT226" s="16" t="s">
        <v>233</v>
      </c>
      <c r="AW226" s="16">
        <f>IF(AX226&gt;0,1,0)</f>
        <v>1</v>
      </c>
      <c r="AX226" s="16">
        <f>SUM(BA226,BM226,CT226)</f>
        <v>1</v>
      </c>
      <c r="AY226" s="18">
        <f>SUM(BB226,BN226,CV226)</f>
        <v>75684.78260869559</v>
      </c>
      <c r="AZ226" s="16">
        <f>IF(BA226&gt;0,1,0)</f>
        <v>1</v>
      </c>
      <c r="BA226" s="16">
        <f>SUM(BC226,BF226,BI226)</f>
        <v>1</v>
      </c>
      <c r="BB226" s="16">
        <f>SUM(BE226,BH226,BK226)</f>
        <v>75684.78260869559</v>
      </c>
      <c r="BC226" s="16">
        <v>0</v>
      </c>
      <c r="BD226" s="16">
        <v>0</v>
      </c>
      <c r="BE226" s="16">
        <f>BD226/AS226</f>
        <v>0</v>
      </c>
      <c r="BF226" s="16">
        <v>1</v>
      </c>
      <c r="BG226" s="23">
        <v>6963</v>
      </c>
      <c r="BH226" s="16">
        <f>BG226/AS226</f>
        <v>75684.78260869559</v>
      </c>
      <c r="BI226" s="16">
        <v>0</v>
      </c>
      <c r="BJ226" s="16">
        <v>0</v>
      </c>
      <c r="BK226" s="16">
        <f>BJ226/AS226</f>
        <v>0</v>
      </c>
      <c r="BL226" s="16">
        <f>IF(BM226&gt;0,1,0)</f>
        <v>0</v>
      </c>
      <c r="BM226" s="16">
        <f>SUM(BR226,BU226,BX226,CA226,CD226,CG226,CJ226,CM226,CP226)</f>
        <v>0</v>
      </c>
      <c r="BN226" s="16">
        <f>SUM(BW226,BZ226,CC226,CF226,CI226,CL226,CO226,CR226,BT226)</f>
        <v>0</v>
      </c>
      <c r="BO226" s="16">
        <f>IF(BP226&gt;0,1,0)</f>
        <v>0</v>
      </c>
      <c r="BP226" s="16">
        <f>SUM(BU226,BX226,CA226,CD226,BR226)</f>
        <v>0</v>
      </c>
      <c r="BQ226" s="16">
        <f>SUM(BZ226,CC226,CF226,BT226,BW226)</f>
        <v>0</v>
      </c>
      <c r="BR226" s="16">
        <v>0</v>
      </c>
      <c r="BS226" s="16">
        <v>0</v>
      </c>
      <c r="BT226" s="23">
        <f>BS226/AS226</f>
        <v>0</v>
      </c>
      <c r="BU226" s="16">
        <v>0</v>
      </c>
      <c r="BV226" s="16">
        <v>0</v>
      </c>
      <c r="BW226" s="16">
        <f>BV226/AS226</f>
        <v>0</v>
      </c>
      <c r="BX226" s="16">
        <v>0</v>
      </c>
      <c r="BY226" s="16">
        <v>0</v>
      </c>
      <c r="BZ226" s="16">
        <f>BY226/AS226</f>
        <v>0</v>
      </c>
      <c r="CA226" s="16">
        <v>0</v>
      </c>
      <c r="CB226" s="16">
        <v>0</v>
      </c>
      <c r="CC226" s="16">
        <f>CB226/AS226</f>
        <v>0</v>
      </c>
      <c r="CD226" s="23">
        <v>0</v>
      </c>
      <c r="CE226" s="16">
        <v>0</v>
      </c>
      <c r="CF226" s="16">
        <f>CE226/AS226</f>
        <v>0</v>
      </c>
      <c r="CG226" s="16">
        <v>0</v>
      </c>
      <c r="CH226" s="16">
        <v>0</v>
      </c>
      <c r="CI226" s="16">
        <f>CH226/AS226</f>
        <v>0</v>
      </c>
      <c r="CM226" s="16">
        <v>0</v>
      </c>
      <c r="CN226" s="16">
        <v>0</v>
      </c>
      <c r="CO226" s="16">
        <f>CN226/AS226</f>
        <v>0</v>
      </c>
      <c r="CP226" s="16">
        <v>0</v>
      </c>
      <c r="CQ226" s="16">
        <v>0</v>
      </c>
      <c r="CR226" s="16">
        <f>CQ226/AS226</f>
        <v>0</v>
      </c>
      <c r="CS226" s="16">
        <f>IF(CT226&gt;0,1,0)</f>
        <v>0</v>
      </c>
      <c r="CT226" s="16">
        <f>SUM(CW226,CZ226,DC226)</f>
        <v>0</v>
      </c>
      <c r="CV226" s="16">
        <f>SUM(CY226,DB226,DE226)</f>
        <v>0</v>
      </c>
      <c r="CW226" s="16">
        <v>0</v>
      </c>
      <c r="CX226" s="16">
        <v>0</v>
      </c>
      <c r="CY226" s="16">
        <f>CX226/AS226</f>
        <v>0</v>
      </c>
      <c r="CZ226" s="16">
        <v>0</v>
      </c>
      <c r="DA226" s="16">
        <v>0</v>
      </c>
      <c r="DB226" s="16">
        <f>DA226/AS226</f>
        <v>0</v>
      </c>
      <c r="DC226" s="16">
        <v>0</v>
      </c>
      <c r="DD226" s="16">
        <v>0</v>
      </c>
      <c r="DE226" s="16">
        <f>DD226/AS226</f>
        <v>0</v>
      </c>
      <c r="DF226" s="16" t="e">
        <f>VLOOKUP(K226,'[3]RNA Seq summary tables'!$V$3:$V$99,1,FALSE)</f>
        <v>#N/A</v>
      </c>
    </row>
    <row r="227" spans="2:288" x14ac:dyDescent="0.2">
      <c r="B227" s="16">
        <v>2017</v>
      </c>
      <c r="C227" s="66">
        <v>42894</v>
      </c>
      <c r="D227" s="66" t="str">
        <f>CONCATENATE(J227,"-",C227)</f>
        <v>1092-42894</v>
      </c>
      <c r="E227" s="20" t="str">
        <f>CONCATENATE(T227,"-",U227,"-",C227)</f>
        <v>PO2-H8-42894</v>
      </c>
      <c r="F227" s="20" t="s">
        <v>106</v>
      </c>
      <c r="G227" s="20" t="s">
        <v>107</v>
      </c>
      <c r="I227" s="16">
        <v>0</v>
      </c>
      <c r="J227" s="21">
        <v>1092</v>
      </c>
      <c r="K227" s="21">
        <v>1644</v>
      </c>
      <c r="L227" s="18">
        <v>0</v>
      </c>
      <c r="M227" s="21">
        <f>VLOOKUP($K227,'[4]blood tubes 2017'!$D$1:$L$647,8,FALSE)</f>
        <v>0</v>
      </c>
      <c r="N227" s="15">
        <v>0</v>
      </c>
      <c r="O227" s="15" t="s">
        <v>119</v>
      </c>
      <c r="P227" s="16" t="s">
        <v>119</v>
      </c>
      <c r="Q227" s="16">
        <v>0</v>
      </c>
      <c r="R227" s="16" t="s">
        <v>111</v>
      </c>
      <c r="T227" s="16" t="s">
        <v>127</v>
      </c>
      <c r="U227" s="16" t="s">
        <v>152</v>
      </c>
      <c r="V227" s="16" t="s">
        <v>114</v>
      </c>
      <c r="W227" s="16">
        <f>AI227/AG227</f>
        <v>0.79452054794520544</v>
      </c>
      <c r="X227" s="16" t="s">
        <v>121</v>
      </c>
      <c r="Y227" s="16" t="s">
        <v>145</v>
      </c>
      <c r="Z227" s="16">
        <v>3</v>
      </c>
      <c r="AA227" s="16" t="s">
        <v>119</v>
      </c>
      <c r="AB227" s="16" t="s">
        <v>123</v>
      </c>
      <c r="AC227" s="16" t="s">
        <v>123</v>
      </c>
      <c r="AD227" s="16" t="s">
        <v>123</v>
      </c>
      <c r="AG227" s="16">
        <f>AH227-AI227</f>
        <v>73</v>
      </c>
      <c r="AH227" s="16">
        <v>131</v>
      </c>
      <c r="AI227" s="16">
        <v>58</v>
      </c>
      <c r="AK227" s="16">
        <v>11.5</v>
      </c>
      <c r="AL227" s="16">
        <v>0</v>
      </c>
      <c r="AM227" s="16">
        <v>0</v>
      </c>
      <c r="AN227" s="16">
        <v>0</v>
      </c>
      <c r="AO227" s="16">
        <v>0</v>
      </c>
      <c r="AP227" s="16">
        <f>SUM(AL227:AN227)</f>
        <v>0</v>
      </c>
      <c r="AQ227" s="16">
        <v>1.5960000000000001</v>
      </c>
      <c r="AR227" s="16">
        <f>AP227-1.472</f>
        <v>-1.472</v>
      </c>
      <c r="AS227" s="16">
        <f>AQ227-1.472</f>
        <v>0.12400000000000011</v>
      </c>
      <c r="AT227" s="16" t="s">
        <v>234</v>
      </c>
      <c r="AW227" s="16">
        <f>IF(AX227&gt;0,1,0)</f>
        <v>1</v>
      </c>
      <c r="AX227" s="16">
        <f>SUM(BA227,BM227,CT227)</f>
        <v>2</v>
      </c>
      <c r="AY227" s="18">
        <f>SUM(BB227,BN227,CV227)</f>
        <v>32.258064516129004</v>
      </c>
      <c r="AZ227" s="16">
        <f>IF(BA227&gt;0,1,0)</f>
        <v>1</v>
      </c>
      <c r="BA227" s="16">
        <f>SUM(BC227,BF227,BI227)</f>
        <v>2</v>
      </c>
      <c r="BB227" s="16">
        <f>SUM(BE227,BH227,BK227)</f>
        <v>32.258064516129004</v>
      </c>
      <c r="BC227" s="16">
        <v>0</v>
      </c>
      <c r="BD227" s="16">
        <v>0</v>
      </c>
      <c r="BE227" s="16">
        <f>BD227/AS227</f>
        <v>0</v>
      </c>
      <c r="BF227" s="16">
        <v>1</v>
      </c>
      <c r="BG227" s="23">
        <v>3</v>
      </c>
      <c r="BH227" s="16">
        <f>BG227/AS227</f>
        <v>24.193548387096754</v>
      </c>
      <c r="BI227" s="16">
        <v>1</v>
      </c>
      <c r="BJ227" s="16">
        <v>1</v>
      </c>
      <c r="BK227" s="16">
        <f>BJ227/AS227</f>
        <v>8.0645161290322509</v>
      </c>
      <c r="BL227" s="16">
        <f>IF(BM227&gt;0,1,0)</f>
        <v>0</v>
      </c>
      <c r="BM227" s="16">
        <f>SUM(BR227,BU227,BX227,CA227,CD227,CG227,CJ227,CM227,CP227)</f>
        <v>0</v>
      </c>
      <c r="BN227" s="16">
        <f>SUM(BW227,BZ227,CC227,CF227,CI227,CL227,CO227,CR227,BT227)</f>
        <v>0</v>
      </c>
      <c r="BO227" s="16">
        <f>IF(BP227&gt;0,1,0)</f>
        <v>0</v>
      </c>
      <c r="BP227" s="16">
        <f>SUM(BU227,BX227,CA227,CD227,BR227)</f>
        <v>0</v>
      </c>
      <c r="BQ227" s="16">
        <f>SUM(BZ227,CC227,CF227,BT227,BW227)</f>
        <v>0</v>
      </c>
      <c r="BR227" s="16">
        <v>0</v>
      </c>
      <c r="BS227" s="16">
        <v>0</v>
      </c>
      <c r="BT227" s="23">
        <f>BS227/AS227</f>
        <v>0</v>
      </c>
      <c r="BU227" s="16">
        <v>0</v>
      </c>
      <c r="BV227" s="16">
        <v>0</v>
      </c>
      <c r="BW227" s="16">
        <f>BV227/AS227</f>
        <v>0</v>
      </c>
      <c r="BX227" s="16">
        <v>0</v>
      </c>
      <c r="BY227" s="16">
        <v>0</v>
      </c>
      <c r="BZ227" s="16">
        <f>BY227/AS227</f>
        <v>0</v>
      </c>
      <c r="CA227" s="16">
        <v>0</v>
      </c>
      <c r="CB227" s="16">
        <v>0</v>
      </c>
      <c r="CC227" s="16">
        <f>CB227/AS227</f>
        <v>0</v>
      </c>
      <c r="CD227" s="23">
        <v>0</v>
      </c>
      <c r="CE227" s="16">
        <v>0</v>
      </c>
      <c r="CF227" s="16">
        <f>CE227/AS227</f>
        <v>0</v>
      </c>
      <c r="CG227" s="22">
        <v>0</v>
      </c>
      <c r="CH227" s="22">
        <v>0</v>
      </c>
      <c r="CI227" s="16">
        <f>CH227/AS227</f>
        <v>0</v>
      </c>
      <c r="CM227" s="22">
        <v>0</v>
      </c>
      <c r="CN227" s="22">
        <v>0</v>
      </c>
      <c r="CO227" s="16">
        <f>CN227/AS227</f>
        <v>0</v>
      </c>
      <c r="CP227" s="22">
        <v>0</v>
      </c>
      <c r="CQ227" s="22">
        <v>0</v>
      </c>
      <c r="CR227" s="16">
        <f>CQ227/AS227</f>
        <v>0</v>
      </c>
      <c r="CS227" s="16">
        <f>IF(CT227&gt;0,1,0)</f>
        <v>0</v>
      </c>
      <c r="CT227" s="16">
        <f>SUM(CW227,CZ227,DC227)</f>
        <v>0</v>
      </c>
      <c r="CV227" s="16">
        <f>SUM(CY227,DB227,DE227)</f>
        <v>0</v>
      </c>
      <c r="CW227" s="16">
        <v>0</v>
      </c>
      <c r="CX227" s="16">
        <v>0</v>
      </c>
      <c r="CY227" s="16">
        <f>CX227/AS227</f>
        <v>0</v>
      </c>
      <c r="CZ227" s="16">
        <v>0</v>
      </c>
      <c r="DA227" s="16">
        <v>0</v>
      </c>
      <c r="DB227" s="16">
        <f>DA227/AS227</f>
        <v>0</v>
      </c>
      <c r="DC227" s="16">
        <v>0</v>
      </c>
      <c r="DD227" s="16">
        <v>0</v>
      </c>
      <c r="DE227" s="16">
        <f>DD227/AS227</f>
        <v>0</v>
      </c>
      <c r="DF227" s="16" t="e">
        <f>VLOOKUP(K227,'[3]RNA Seq summary tables'!$V$3:$V$99,1,FALSE)</f>
        <v>#N/A</v>
      </c>
      <c r="DI227" s="16">
        <v>0</v>
      </c>
      <c r="DK227" s="16">
        <v>5</v>
      </c>
      <c r="DM227" s="16">
        <v>7</v>
      </c>
      <c r="DO227" s="16">
        <v>0</v>
      </c>
      <c r="DQ227" s="16">
        <v>0</v>
      </c>
      <c r="DR227" s="16">
        <v>12</v>
      </c>
      <c r="JO227" s="18"/>
    </row>
    <row r="228" spans="2:288" x14ac:dyDescent="0.2">
      <c r="B228" s="16">
        <v>2017</v>
      </c>
      <c r="C228" s="20">
        <v>42913</v>
      </c>
      <c r="D228" s="20" t="str">
        <f>CONCATENATE(J228,"-",C228)</f>
        <v>1092-42913</v>
      </c>
      <c r="E228" s="20" t="str">
        <f>CONCATENATE(T228,"-",U228,"-",C228)</f>
        <v>PO2-H8-42913</v>
      </c>
      <c r="F228" s="20" t="s">
        <v>106</v>
      </c>
      <c r="G228" s="20" t="s">
        <v>107</v>
      </c>
      <c r="I228" s="16">
        <v>0</v>
      </c>
      <c r="J228" s="21">
        <v>1092</v>
      </c>
      <c r="K228" s="21">
        <v>1764</v>
      </c>
      <c r="L228" s="18">
        <v>0</v>
      </c>
      <c r="M228" s="21">
        <f>VLOOKUP($K228,'[4]blood tubes 2017'!$D$1:$L$647,8,FALSE)</f>
        <v>0</v>
      </c>
      <c r="N228" s="15">
        <v>0</v>
      </c>
      <c r="O228" s="15" t="s">
        <v>119</v>
      </c>
      <c r="P228" s="16" t="s">
        <v>119</v>
      </c>
      <c r="Q228" s="16">
        <v>0</v>
      </c>
      <c r="R228" s="16">
        <v>19</v>
      </c>
      <c r="T228" s="16" t="s">
        <v>127</v>
      </c>
      <c r="U228" s="16" t="s">
        <v>152</v>
      </c>
      <c r="V228" s="16" t="s">
        <v>114</v>
      </c>
      <c r="W228" s="16">
        <f>AI228/AG228</f>
        <v>0.83529411764705885</v>
      </c>
      <c r="X228" s="16" t="s">
        <v>121</v>
      </c>
      <c r="Y228" s="16" t="s">
        <v>122</v>
      </c>
      <c r="Z228" s="16">
        <v>2.2999999999999998</v>
      </c>
      <c r="AA228" s="16" t="s">
        <v>119</v>
      </c>
      <c r="AB228" s="16" t="s">
        <v>123</v>
      </c>
      <c r="AC228" s="16" t="s">
        <v>123</v>
      </c>
      <c r="AD228" s="16" t="s">
        <v>123</v>
      </c>
      <c r="AG228" s="16">
        <f>AH228-AI228</f>
        <v>85</v>
      </c>
      <c r="AH228" s="16">
        <v>156</v>
      </c>
      <c r="AI228" s="16">
        <v>71</v>
      </c>
      <c r="AK228" s="16">
        <v>14.5</v>
      </c>
      <c r="AL228" s="16">
        <v>0</v>
      </c>
      <c r="AM228" s="16">
        <v>0</v>
      </c>
      <c r="AN228" s="16">
        <v>0</v>
      </c>
      <c r="AO228" s="16">
        <v>0</v>
      </c>
      <c r="AP228" s="16">
        <f>SUM(AL228:AN228)</f>
        <v>0</v>
      </c>
      <c r="AQ228" s="16">
        <v>1.7689999999999999</v>
      </c>
      <c r="AR228" s="16">
        <f>AP228-1.472</f>
        <v>-1.472</v>
      </c>
      <c r="AS228" s="16">
        <f>AQ228-1.472</f>
        <v>0.29699999999999993</v>
      </c>
      <c r="AT228" s="16" t="s">
        <v>164</v>
      </c>
      <c r="AV228" s="16">
        <v>1</v>
      </c>
      <c r="AW228" s="16">
        <f>IF(AX228&gt;0,1,0)</f>
        <v>0</v>
      </c>
      <c r="AX228" s="16">
        <f>SUM(BA228,BM228,CT228)</f>
        <v>0</v>
      </c>
      <c r="AY228" s="18">
        <f>SUM(BB228,BN228,CV228)</f>
        <v>0</v>
      </c>
      <c r="AZ228" s="16">
        <v>0</v>
      </c>
      <c r="BA228" s="16">
        <v>0</v>
      </c>
      <c r="BB228" s="16">
        <f>SUM(BE228,BH228,BK228)</f>
        <v>0</v>
      </c>
      <c r="BC228" s="16">
        <v>0</v>
      </c>
      <c r="BD228" s="16">
        <v>0</v>
      </c>
      <c r="BE228" s="16">
        <v>0</v>
      </c>
      <c r="BF228" s="16">
        <v>0</v>
      </c>
      <c r="BG228" s="23">
        <v>0</v>
      </c>
      <c r="BH228" s="16">
        <v>0</v>
      </c>
      <c r="BI228" s="16">
        <v>0</v>
      </c>
      <c r="BJ228" s="16">
        <v>0</v>
      </c>
      <c r="BK228" s="16">
        <v>0</v>
      </c>
      <c r="BL228" s="16">
        <f>IF(BM228&gt;0,1,0)</f>
        <v>0</v>
      </c>
      <c r="BM228" s="16">
        <f>SUM(BR228,BU228,BX228,CA228,CD228,CG228,CJ228,CM228,CP228)</f>
        <v>0</v>
      </c>
      <c r="BN228" s="16">
        <f>SUM(BW228,BZ228,CC228,CF228,CI228,CL228,CO228,CR228,BT228)</f>
        <v>0</v>
      </c>
      <c r="BO228" s="16">
        <f>IF(BP228&gt;0,1,0)</f>
        <v>0</v>
      </c>
      <c r="BP228" s="16">
        <f>SUM(BU228,BX228,CA228,CD228,BR228)</f>
        <v>0</v>
      </c>
      <c r="BQ228" s="16">
        <f>SUM(BZ228,CC228,CF228,BT228,BW228)</f>
        <v>0</v>
      </c>
      <c r="BR228" s="16">
        <v>0</v>
      </c>
      <c r="BS228" s="16">
        <v>0</v>
      </c>
      <c r="BT228" s="23">
        <v>0</v>
      </c>
      <c r="BU228" s="16">
        <v>0</v>
      </c>
      <c r="BV228" s="16">
        <v>0</v>
      </c>
      <c r="BW228" s="16">
        <f>BV228/AS228</f>
        <v>0</v>
      </c>
      <c r="BX228" s="16">
        <v>0</v>
      </c>
      <c r="BY228" s="16">
        <v>0</v>
      </c>
      <c r="BZ228" s="16">
        <f>BY228/AS228</f>
        <v>0</v>
      </c>
      <c r="CA228" s="16">
        <v>0</v>
      </c>
      <c r="CB228" s="16">
        <v>0</v>
      </c>
      <c r="CC228" s="16">
        <f>CB228/AS228</f>
        <v>0</v>
      </c>
      <c r="CD228" s="23">
        <v>0</v>
      </c>
      <c r="CE228" s="16">
        <v>0</v>
      </c>
      <c r="CF228" s="16">
        <f>CE228/AS228</f>
        <v>0</v>
      </c>
      <c r="CG228" s="16">
        <v>0</v>
      </c>
      <c r="CH228" s="16">
        <v>0</v>
      </c>
      <c r="CI228" s="16">
        <f>CH228/AS228</f>
        <v>0</v>
      </c>
      <c r="CM228" s="16">
        <v>0</v>
      </c>
      <c r="CN228" s="16">
        <v>0</v>
      </c>
      <c r="CO228" s="16">
        <f>CN228/AS228</f>
        <v>0</v>
      </c>
      <c r="CP228" s="16">
        <v>0</v>
      </c>
      <c r="CQ228" s="16">
        <v>0</v>
      </c>
      <c r="CR228" s="16">
        <f>CQ228/AS228</f>
        <v>0</v>
      </c>
      <c r="CS228" s="16">
        <v>0</v>
      </c>
      <c r="CT228" s="16">
        <v>0</v>
      </c>
      <c r="CV228" s="16">
        <f>SUM(CY228,DB228,DE228)</f>
        <v>0</v>
      </c>
      <c r="CW228" s="16">
        <v>0</v>
      </c>
      <c r="CX228" s="16">
        <v>0</v>
      </c>
      <c r="CY228" s="16">
        <f>CX228/AS228</f>
        <v>0</v>
      </c>
      <c r="CZ228" s="16">
        <v>0</v>
      </c>
      <c r="DA228" s="16">
        <v>0</v>
      </c>
      <c r="DB228" s="16">
        <f>DA228/AS228</f>
        <v>0</v>
      </c>
      <c r="DC228" s="16">
        <v>0</v>
      </c>
      <c r="DD228" s="16">
        <v>0</v>
      </c>
      <c r="DE228" s="16">
        <f>DD228/AS228</f>
        <v>0</v>
      </c>
      <c r="DF228" s="16" t="e">
        <f>VLOOKUP(K228,'[3]RNA Seq summary tables'!$V$3:$V$99,1,FALSE)</f>
        <v>#N/A</v>
      </c>
      <c r="DI228" s="16">
        <v>67</v>
      </c>
      <c r="DK228" s="16">
        <v>27</v>
      </c>
      <c r="DM228" s="16">
        <v>6</v>
      </c>
      <c r="DO228" s="16">
        <v>0</v>
      </c>
      <c r="DQ228" s="16">
        <v>0</v>
      </c>
      <c r="DR228" s="16">
        <f>SUM(DI228:DQ228)</f>
        <v>100</v>
      </c>
      <c r="JP228" s="18"/>
      <c r="JQ228" s="18"/>
      <c r="JR228" s="27"/>
      <c r="JS228" s="27"/>
      <c r="JT228" s="27"/>
      <c r="JU228" s="27"/>
      <c r="JV228" s="27"/>
      <c r="JW228" s="27"/>
      <c r="JX228" s="27"/>
      <c r="JY228" s="27"/>
      <c r="JZ228" s="27"/>
      <c r="KA228" s="27"/>
      <c r="KB228" s="27"/>
    </row>
    <row r="229" spans="2:288" x14ac:dyDescent="0.2">
      <c r="B229" s="16">
        <v>2017</v>
      </c>
      <c r="C229" s="20">
        <v>42927</v>
      </c>
      <c r="D229" s="20" t="str">
        <f>CONCATENATE(J229,"-",C229)</f>
        <v>1092-42927</v>
      </c>
      <c r="E229" s="20" t="str">
        <f>CONCATENATE(T229,"-",U229,"-",C229)</f>
        <v>PO2-H8-42927</v>
      </c>
      <c r="F229" s="37" t="s">
        <v>106</v>
      </c>
      <c r="G229" s="20" t="s">
        <v>107</v>
      </c>
      <c r="H229" s="16" t="s">
        <v>253</v>
      </c>
      <c r="I229" s="16">
        <v>0</v>
      </c>
      <c r="J229" s="21">
        <v>1092</v>
      </c>
      <c r="K229" s="21">
        <v>1874</v>
      </c>
      <c r="L229" s="18">
        <v>0</v>
      </c>
      <c r="M229" s="21">
        <f>VLOOKUP($K229,'[4]blood tubes 2017'!$D$1:$L$647,8,FALSE)</f>
        <v>0</v>
      </c>
      <c r="N229" s="15">
        <v>0</v>
      </c>
      <c r="O229" s="15" t="s">
        <v>119</v>
      </c>
      <c r="P229" s="16" t="s">
        <v>119</v>
      </c>
      <c r="Q229" s="16">
        <v>0</v>
      </c>
      <c r="R229" s="16">
        <v>14</v>
      </c>
      <c r="T229" s="16" t="s">
        <v>127</v>
      </c>
      <c r="U229" s="16" t="s">
        <v>152</v>
      </c>
      <c r="V229" s="16" t="s">
        <v>114</v>
      </c>
      <c r="W229" s="16">
        <f>AI229/AG229</f>
        <v>0.36363636363636365</v>
      </c>
      <c r="X229" s="16" t="s">
        <v>121</v>
      </c>
      <c r="Y229" s="16" t="s">
        <v>110</v>
      </c>
      <c r="Z229" s="16">
        <v>3</v>
      </c>
      <c r="AA229" s="16" t="s">
        <v>119</v>
      </c>
      <c r="AB229" s="16" t="s">
        <v>123</v>
      </c>
      <c r="AC229" s="16" t="s">
        <v>123</v>
      </c>
      <c r="AD229" s="16" t="s">
        <v>123</v>
      </c>
      <c r="AG229" s="16">
        <f>AH229-AI229</f>
        <v>88</v>
      </c>
      <c r="AH229" s="16">
        <v>120</v>
      </c>
      <c r="AI229" s="18">
        <v>32</v>
      </c>
      <c r="AJ229" s="40" t="s">
        <v>320</v>
      </c>
      <c r="AK229" s="16">
        <v>17</v>
      </c>
      <c r="AL229" s="16">
        <v>0</v>
      </c>
      <c r="AM229" s="16">
        <v>0</v>
      </c>
      <c r="AN229" s="16">
        <v>0</v>
      </c>
      <c r="AO229" s="16">
        <v>0</v>
      </c>
      <c r="AP229" s="16">
        <f>SUM(AL229:AN229)</f>
        <v>0</v>
      </c>
      <c r="AQ229" s="16">
        <v>1.17</v>
      </c>
      <c r="AR229" s="18">
        <v>1.17</v>
      </c>
      <c r="AS229" s="18">
        <v>1.17</v>
      </c>
      <c r="AT229" s="16" t="str">
        <f>VLOOKUP(K229,'[5]FECs - good data'!$C$1:$P$575,13,FALSE)</f>
        <v>JB</v>
      </c>
      <c r="AW229" s="18">
        <f>IF(AX229&gt;0,1,0)</f>
        <v>1</v>
      </c>
      <c r="AX229" s="18">
        <f>SUM(BA229,BM229,CT229)</f>
        <v>3</v>
      </c>
      <c r="AY229" s="18">
        <f>SUM(BB229,BN229,CV229)</f>
        <v>831.62393162393164</v>
      </c>
      <c r="AZ229" s="18">
        <f>IF(BA229&gt;0,1,0)</f>
        <v>1</v>
      </c>
      <c r="BA229" s="18">
        <f>SUM(BC229,BF229,BI229)</f>
        <v>3</v>
      </c>
      <c r="BB229" s="18">
        <f>SUM(BE229,BH229,BK229)</f>
        <v>831.62393162393164</v>
      </c>
      <c r="BC229" s="18">
        <f>IF(BD229&gt;0,1,0)</f>
        <v>1</v>
      </c>
      <c r="BD229" s="18">
        <f>VLOOKUP($K229,'[5]FECs - good data'!$C$1:$Z$574,14,FALSE)</f>
        <v>202</v>
      </c>
      <c r="BE229" s="16">
        <f>BD229/AS229</f>
        <v>172.64957264957266</v>
      </c>
      <c r="BF229" s="16">
        <f>IF(BG229&gt;0,1,0)</f>
        <v>1</v>
      </c>
      <c r="BG229" s="23">
        <f>VLOOKUP($K229,'[5]FECs - good data'!$C$1:$Z$574,15,FALSE)</f>
        <v>746</v>
      </c>
      <c r="BH229" s="16">
        <f>BG229/AS229</f>
        <v>637.60683760683764</v>
      </c>
      <c r="BI229" s="16">
        <f>IF(BJ229&gt;0,1,0)</f>
        <v>1</v>
      </c>
      <c r="BJ229" s="16">
        <f>VLOOKUP($K229,'[5]FECs - good data'!$C$1:$Z$574,16,FALSE)</f>
        <v>25</v>
      </c>
      <c r="BK229" s="16">
        <f>BJ229/AS229</f>
        <v>21.36752136752137</v>
      </c>
      <c r="BL229" s="16">
        <f>IF(BM229&gt;0,1,0)</f>
        <v>0</v>
      </c>
      <c r="BM229" s="16">
        <f>SUM(BR229,BU229,BX229,CA229,CD229,CG229,CJ229,CM229,CP229)</f>
        <v>0</v>
      </c>
      <c r="BN229" s="16">
        <f>SUM(BW229,BZ229,CC229,CF229,CI229,CL229,CO229,CR229,BT229)</f>
        <v>0</v>
      </c>
      <c r="BO229" s="16">
        <f>IF(BP229&gt;0,1,0)</f>
        <v>0</v>
      </c>
      <c r="BP229" s="16">
        <f>SUM(BU229,BX229,CA229,CD229,BR229)</f>
        <v>0</v>
      </c>
      <c r="BQ229" s="16">
        <f>SUM(BZ229,CC229,CF229,BT229,BW229)</f>
        <v>0</v>
      </c>
      <c r="BR229" s="16">
        <f>IF(BS229&gt;0,1,0)</f>
        <v>0</v>
      </c>
      <c r="BS229" s="16">
        <f>VLOOKUP($K229,'[5]FECs - good data'!$C$1:$Z$574,17,FALSE)</f>
        <v>0</v>
      </c>
      <c r="BT229" s="23">
        <f>BS229/AS229</f>
        <v>0</v>
      </c>
      <c r="BU229" s="16">
        <f>IF(BV229&gt;0,1,0)</f>
        <v>0</v>
      </c>
      <c r="BV229" s="16">
        <f>VLOOKUP($K229,'[5]FECs - good data'!$C$1:$Z$574,18,FALSE)</f>
        <v>0</v>
      </c>
      <c r="BW229" s="16">
        <f>BV229/AS229</f>
        <v>0</v>
      </c>
      <c r="BX229" s="16">
        <f>IF(BY229&gt;0,1,0)</f>
        <v>0</v>
      </c>
      <c r="BY229" s="16">
        <f>VLOOKUP($K229,'[5]FECs - good data'!$C$1:$Z$574,19,FALSE)</f>
        <v>0</v>
      </c>
      <c r="BZ229" s="16">
        <f>BY229/AS229</f>
        <v>0</v>
      </c>
      <c r="CA229" s="16">
        <f>IF(CB229&gt;0,1,0)</f>
        <v>0</v>
      </c>
      <c r="CB229" s="16">
        <f>VLOOKUP($K229,'[5]FECs - good data'!$C$1:$Z$574,20,FALSE)</f>
        <v>0</v>
      </c>
      <c r="CC229" s="16">
        <f>CB229/AS229</f>
        <v>0</v>
      </c>
      <c r="CD229" s="23">
        <f>IF(CE229&gt;0,1,0)</f>
        <v>0</v>
      </c>
      <c r="CE229" s="16">
        <f>VLOOKUP($K229,'[5]FECs - good data'!$C$1:$Z$574,21,FALSE)</f>
        <v>0</v>
      </c>
      <c r="CF229" s="16">
        <f>CE229/AS229</f>
        <v>0</v>
      </c>
      <c r="CG229" s="16">
        <f>IF(CH229&gt;0,1,0)</f>
        <v>0</v>
      </c>
      <c r="CH229" s="16">
        <f>VLOOKUP($K229,'[5]FECs - good data'!$C$1:$Z$574,22,FALSE)</f>
        <v>0</v>
      </c>
      <c r="CI229" s="16">
        <f>CH229/AS229</f>
        <v>0</v>
      </c>
      <c r="CJ229" s="16">
        <f>IF(CK229&gt;0,1,0)</f>
        <v>0</v>
      </c>
      <c r="CK229" s="16">
        <f>VLOOKUP($K229,'[5]FECs - good data'!$C$1:$Z$674,24,FALSE)</f>
        <v>0</v>
      </c>
      <c r="CL229" s="16">
        <f>CK229/AS229</f>
        <v>0</v>
      </c>
      <c r="CS229" s="16">
        <f>IF(CT229&gt;0,1,0)</f>
        <v>0</v>
      </c>
      <c r="CT229" s="16">
        <f>SUM(CW229+CZ229,DC229)</f>
        <v>0</v>
      </c>
      <c r="CV229" s="16">
        <f>SUM(CY229,DB229,DE229)</f>
        <v>0</v>
      </c>
      <c r="CW229" s="16">
        <f>IF(CX229&gt;0,1,0)</f>
        <v>0</v>
      </c>
      <c r="CX229" s="16">
        <f>VLOOKUP($K229,'[5]FECs - good data'!$C$1:$Z$574,22,FALSE)</f>
        <v>0</v>
      </c>
      <c r="CY229" s="16">
        <f>CX229/AS229</f>
        <v>0</v>
      </c>
      <c r="CZ229" s="16">
        <f>IF(DA229&gt;0,1,0)</f>
        <v>0</v>
      </c>
      <c r="DA229" s="16">
        <f>VLOOKUP($K229,'[5]FECs - good data'!$C$1:$Z$5982,23,FALSE)</f>
        <v>0</v>
      </c>
      <c r="DB229" s="16">
        <f>DA229/AS229</f>
        <v>0</v>
      </c>
      <c r="DC229" s="16">
        <f>IF(DD229&gt;0,1,0)</f>
        <v>0</v>
      </c>
      <c r="DD229" s="16">
        <f>VLOOKUP($K229,'[5]FECs - good data'!$C$1:$Z$574,23,FALSE)</f>
        <v>0</v>
      </c>
      <c r="DE229" s="16">
        <f>DD229/AS229</f>
        <v>0</v>
      </c>
      <c r="DF229" s="16" t="e">
        <f>VLOOKUP(K229,'[3]RNA Seq summary tables'!$V$3:$V$99,1,FALSE)</f>
        <v>#N/A</v>
      </c>
      <c r="JR229" s="27"/>
      <c r="JS229" s="27"/>
      <c r="JT229" s="27"/>
      <c r="JU229" s="27"/>
      <c r="JV229" s="27"/>
      <c r="JW229" s="27"/>
      <c r="JX229" s="27"/>
      <c r="JY229" s="27"/>
      <c r="JZ229" s="27"/>
      <c r="KA229" s="27"/>
      <c r="KB229" s="27"/>
    </row>
    <row r="230" spans="2:288" ht="16" x14ac:dyDescent="0.2">
      <c r="B230" s="16">
        <v>2017</v>
      </c>
      <c r="C230" s="20">
        <v>42947</v>
      </c>
      <c r="D230" s="20" t="str">
        <f>CONCATENATE(J230,"-",C230)</f>
        <v>1092-42947</v>
      </c>
      <c r="E230" s="37" t="str">
        <f>CONCATENATE(T230,"-",U230,"-",C230)</f>
        <v>PO2-H6-42947</v>
      </c>
      <c r="F230" s="37" t="s">
        <v>106</v>
      </c>
      <c r="G230" s="20" t="s">
        <v>107</v>
      </c>
      <c r="H230" s="16" t="s">
        <v>253</v>
      </c>
      <c r="I230" s="16">
        <v>0</v>
      </c>
      <c r="J230" s="21">
        <v>1092</v>
      </c>
      <c r="K230" s="21">
        <v>2026</v>
      </c>
      <c r="L230" s="18">
        <v>0</v>
      </c>
      <c r="M230" s="21">
        <f>VLOOKUP($K230,'[4]blood tubes 2017'!$D$1:$L$647,8,FALSE)</f>
        <v>0</v>
      </c>
      <c r="N230" s="15">
        <v>0</v>
      </c>
      <c r="O230" s="15" t="s">
        <v>119</v>
      </c>
      <c r="P230" s="16" t="s">
        <v>119</v>
      </c>
      <c r="Q230" s="16">
        <v>0</v>
      </c>
      <c r="R230" s="16">
        <v>20</v>
      </c>
      <c r="T230" s="16" t="s">
        <v>127</v>
      </c>
      <c r="U230" s="16" t="s">
        <v>141</v>
      </c>
      <c r="V230" s="16" t="s">
        <v>114</v>
      </c>
      <c r="W230" s="16">
        <f>AI230/AG230</f>
        <v>0.33333333333333331</v>
      </c>
      <c r="X230" s="16" t="s">
        <v>121</v>
      </c>
      <c r="Y230" s="16" t="s">
        <v>110</v>
      </c>
      <c r="Z230" s="16">
        <v>3</v>
      </c>
      <c r="AA230" s="16" t="s">
        <v>119</v>
      </c>
      <c r="AB230" s="16" t="s">
        <v>123</v>
      </c>
      <c r="AC230" s="16" t="s">
        <v>123</v>
      </c>
      <c r="AD230" s="16" t="s">
        <v>123</v>
      </c>
      <c r="AG230" s="16">
        <f>AH230-AI230</f>
        <v>93</v>
      </c>
      <c r="AH230" s="16">
        <v>124</v>
      </c>
      <c r="AI230" s="18">
        <v>31</v>
      </c>
      <c r="AJ230" s="40" t="s">
        <v>320</v>
      </c>
      <c r="AK230" s="16">
        <v>19.5</v>
      </c>
      <c r="AL230" s="16">
        <v>0</v>
      </c>
      <c r="AM230" s="16">
        <v>0</v>
      </c>
      <c r="AN230" s="16">
        <v>0</v>
      </c>
      <c r="AO230" s="16">
        <v>0</v>
      </c>
      <c r="AP230" s="16">
        <f>SUM(AL230:AN230)</f>
        <v>0</v>
      </c>
      <c r="AQ230" s="16">
        <v>1.8420000000000001</v>
      </c>
      <c r="AR230" s="16">
        <f>AP230-1.472</f>
        <v>-1.472</v>
      </c>
      <c r="AS230" s="16">
        <f>AQ230-1.472</f>
        <v>0.37000000000000011</v>
      </c>
      <c r="AT230" s="16" t="str">
        <f>VLOOKUP(E230,[2]Current!$A$1:$W$435,7,FALSE)</f>
        <v>TE</v>
      </c>
      <c r="AU230" s="16" t="s">
        <v>1288</v>
      </c>
      <c r="AV230" s="23">
        <v>1</v>
      </c>
      <c r="AW230" s="128">
        <f>IF(AX230&gt;0,1,0)</f>
        <v>0</v>
      </c>
      <c r="AX230" s="128">
        <f>SUM(BA230,BM230,CU230)</f>
        <v>0</v>
      </c>
      <c r="AY230" s="128">
        <f>SUM(BB230,BN230,CV230)</f>
        <v>0</v>
      </c>
      <c r="AZ230" s="128">
        <f>IF(BA230&gt;0,1,0)</f>
        <v>0</v>
      </c>
      <c r="BA230" s="128">
        <f>SUM(BC230+BF230+BI230)</f>
        <v>0</v>
      </c>
      <c r="BB230" s="128">
        <f>SUM(BE230,BH230,BK230)</f>
        <v>0</v>
      </c>
      <c r="BC230" s="130">
        <f>IF(BD230&gt;0,1,0)</f>
        <v>0</v>
      </c>
      <c r="BD230" s="128">
        <f>VLOOKUP($E230,[2]Current!$A:$AC,26,FALSE)</f>
        <v>0</v>
      </c>
      <c r="BE230" s="128">
        <f>BD230/$AS230</f>
        <v>0</v>
      </c>
      <c r="BF230" s="130">
        <f>IF(BG230&gt;0,1,0)</f>
        <v>0</v>
      </c>
      <c r="BG230" s="175">
        <f>VLOOKUP($E230,[2]Current!$A:$AC,27,FALSE)</f>
        <v>0</v>
      </c>
      <c r="BH230" s="128">
        <f>BG230/$AS230</f>
        <v>0</v>
      </c>
      <c r="BI230" s="130">
        <f>IF(BJ230&gt;0,1,0)</f>
        <v>0</v>
      </c>
      <c r="BJ230" s="128">
        <f>VLOOKUP($E230,[2]Current!$A:$AC,28,FALSE)</f>
        <v>0</v>
      </c>
      <c r="BK230" s="128">
        <f>BJ230/$AS230</f>
        <v>0</v>
      </c>
      <c r="BL230" s="128">
        <f>IF(BM230&gt;0,1,0)</f>
        <v>0</v>
      </c>
      <c r="BM230" s="128">
        <f>SUM(BR230,BU230,BX230,CA230,CD230)</f>
        <v>0</v>
      </c>
      <c r="BN230" s="131">
        <f>SUM(BT230,BW230,BZ230,CC230,CF230)</f>
        <v>0</v>
      </c>
      <c r="BO230" s="128">
        <f>IF(BP230&gt;0,1,0)</f>
        <v>0</v>
      </c>
      <c r="BP230" s="128">
        <f>BM230+CJ230</f>
        <v>0</v>
      </c>
      <c r="BQ230" s="128">
        <f>BN230+CL230</f>
        <v>0</v>
      </c>
      <c r="BR230" s="130">
        <f>IF(BS230&gt;0,1,0)</f>
        <v>0</v>
      </c>
      <c r="BS230" s="128">
        <f>VLOOKUP($E230,[2]Current!$A:$AC,12,FALSE)</f>
        <v>0</v>
      </c>
      <c r="BT230" s="175">
        <f>BS230/$AS230</f>
        <v>0</v>
      </c>
      <c r="BU230" s="130">
        <f>IF(BV230&gt;0,1,0)</f>
        <v>0</v>
      </c>
      <c r="BV230" s="128">
        <f>VLOOKUP($E230,[2]Current!$A:$AC,13,FALSE)</f>
        <v>0</v>
      </c>
      <c r="BW230" s="128">
        <f>BV230/$AS230</f>
        <v>0</v>
      </c>
      <c r="BX230" s="130">
        <f>IF(BY230&gt;0,1,0)</f>
        <v>0</v>
      </c>
      <c r="BY230" s="128">
        <f>VLOOKUP($E230,[2]Current!$A:$AC,14,FALSE)</f>
        <v>0</v>
      </c>
      <c r="BZ230" s="128">
        <f>BY230/$AS230</f>
        <v>0</v>
      </c>
      <c r="CA230" s="130">
        <f>IF(CB230&gt;0,1,0)</f>
        <v>0</v>
      </c>
      <c r="CB230" s="128">
        <f>VLOOKUP($E230,[2]Current!$A:$AC,15,FALSE)</f>
        <v>0</v>
      </c>
      <c r="CC230" s="128">
        <f>CB230/$AS230</f>
        <v>0</v>
      </c>
      <c r="CD230" s="176">
        <f>IF(CE230&gt;0,1,0)</f>
        <v>0</v>
      </c>
      <c r="CE230" s="128">
        <f>VLOOKUP($E230,[2]Current!$A:$AC,16,FALSE)</f>
        <v>0</v>
      </c>
      <c r="CF230" s="128">
        <f>CE230/$AS230</f>
        <v>0</v>
      </c>
      <c r="CG230" s="18"/>
      <c r="CH230" s="18"/>
      <c r="CI230" s="18"/>
      <c r="CJ230" s="130">
        <f>IF(CK230&gt;0,1,0)</f>
        <v>0</v>
      </c>
      <c r="CK230" s="128">
        <f>VLOOKUP($E230,[2]Current!$A:$AC,18,FALSE)</f>
        <v>0</v>
      </c>
      <c r="CL230" s="128">
        <f>CK230/$AS230</f>
        <v>0</v>
      </c>
      <c r="CS230" s="130">
        <f>IF(CU230&gt;0,1,0)</f>
        <v>0</v>
      </c>
      <c r="CU230" s="128">
        <f>VLOOKUP($E230,[2]Current!$A:$AC,17,FALSE)</f>
        <v>0</v>
      </c>
      <c r="CV230" s="128">
        <f>CU230/$AS230</f>
        <v>0</v>
      </c>
      <c r="CW230" s="18"/>
      <c r="CX230" s="18"/>
      <c r="CY230" s="18"/>
      <c r="DF230" s="16" t="e">
        <f>VLOOKUP(K230,'[3]RNA Seq summary tables'!$V$3:$V$99,1,FALSE)</f>
        <v>#N/A</v>
      </c>
      <c r="DG230" s="16">
        <v>1</v>
      </c>
      <c r="DH230" s="16" t="str">
        <f>VLOOKUP(D230,'[6]workflow 3.2018'!$A$1:$S$237,2,FALSE)</f>
        <v>2017MLBS_93</v>
      </c>
    </row>
    <row r="231" spans="2:288" ht="16" x14ac:dyDescent="0.2">
      <c r="B231" s="16">
        <v>2017</v>
      </c>
      <c r="C231" s="20">
        <v>42963</v>
      </c>
      <c r="D231" s="20" t="str">
        <f>CONCATENATE(J231,"-",C231)</f>
        <v>1092-42963</v>
      </c>
      <c r="E231" s="37" t="str">
        <f>CONCATENATE(T231,"-",U231,"-",C231)</f>
        <v>PO2-H7-42963</v>
      </c>
      <c r="F231" s="37" t="s">
        <v>106</v>
      </c>
      <c r="G231" s="20" t="s">
        <v>107</v>
      </c>
      <c r="H231" s="16" t="s">
        <v>253</v>
      </c>
      <c r="I231" s="16">
        <v>0</v>
      </c>
      <c r="J231" s="21">
        <v>1092</v>
      </c>
      <c r="K231" s="21">
        <v>2165</v>
      </c>
      <c r="L231" s="18">
        <v>0</v>
      </c>
      <c r="M231" s="21">
        <f>VLOOKUP($K231,'[4]blood tubes 2017'!$D$1:$L$647,8,FALSE)</f>
        <v>0</v>
      </c>
      <c r="N231" s="15">
        <v>0</v>
      </c>
      <c r="O231" s="15" t="s">
        <v>119</v>
      </c>
      <c r="P231" s="16" t="s">
        <v>119</v>
      </c>
      <c r="Q231" s="16">
        <v>0</v>
      </c>
      <c r="R231" s="16">
        <v>16</v>
      </c>
      <c r="T231" s="16" t="s">
        <v>127</v>
      </c>
      <c r="U231" s="16" t="s">
        <v>202</v>
      </c>
      <c r="V231" s="16" t="s">
        <v>114</v>
      </c>
      <c r="W231" s="16">
        <f>AI231/AG231</f>
        <v>0.38461538461538464</v>
      </c>
      <c r="X231" s="16" t="s">
        <v>121</v>
      </c>
      <c r="Y231" s="16" t="s">
        <v>110</v>
      </c>
      <c r="Z231" s="16">
        <v>3</v>
      </c>
      <c r="AA231" s="16" t="s">
        <v>161</v>
      </c>
      <c r="AB231" s="16" t="s">
        <v>239</v>
      </c>
      <c r="AC231" s="16" t="s">
        <v>123</v>
      </c>
      <c r="AD231" s="16" t="s">
        <v>116</v>
      </c>
      <c r="AG231" s="16">
        <f>AH231-AI231</f>
        <v>91</v>
      </c>
      <c r="AH231" s="16">
        <v>126</v>
      </c>
      <c r="AI231" s="18">
        <v>35</v>
      </c>
      <c r="AJ231" s="40" t="s">
        <v>320</v>
      </c>
      <c r="AK231" s="16">
        <v>20.5</v>
      </c>
      <c r="AL231" s="16">
        <v>0</v>
      </c>
      <c r="AM231" s="16">
        <v>0</v>
      </c>
      <c r="AN231" s="16">
        <v>0</v>
      </c>
      <c r="AO231" s="16">
        <v>0</v>
      </c>
      <c r="AP231" s="16">
        <f>SUM(AL231:AN231)</f>
        <v>0</v>
      </c>
      <c r="AQ231" s="16">
        <v>2.1280000000000001</v>
      </c>
      <c r="AR231" s="16">
        <f>AP231-1.472</f>
        <v>-1.472</v>
      </c>
      <c r="AS231" s="16">
        <f>AQ231-1.472</f>
        <v>0.65600000000000014</v>
      </c>
      <c r="AT231" s="16" t="str">
        <f>VLOOKUP(E231,[2]Current!$A$1:$W$435,7,FALSE)</f>
        <v>NB</v>
      </c>
      <c r="AU231" s="16" t="s">
        <v>1288</v>
      </c>
      <c r="AV231" s="23"/>
      <c r="AW231" s="128">
        <f>IF(AX231&gt;0,1,0)</f>
        <v>1</v>
      </c>
      <c r="AX231" s="128">
        <f>SUM(BA231,BM231,CU231)</f>
        <v>3</v>
      </c>
      <c r="AY231" s="128">
        <f>SUM(BB231,BN231,CV231)</f>
        <v>144.81707317073167</v>
      </c>
      <c r="AZ231" s="128">
        <f>IF(BA231&gt;0,1,0)</f>
        <v>1</v>
      </c>
      <c r="BA231" s="128">
        <f>SUM(BC231+BF231+BI231)</f>
        <v>1</v>
      </c>
      <c r="BB231" s="128">
        <f>SUM(BE231,BH231,BK231)</f>
        <v>137.19512195121948</v>
      </c>
      <c r="BC231" s="130">
        <f>IF(BD231&gt;0,1,0)</f>
        <v>0</v>
      </c>
      <c r="BD231" s="128">
        <f>VLOOKUP($E231,[2]Current!$A:$AC,26,FALSE)</f>
        <v>0</v>
      </c>
      <c r="BE231" s="128">
        <f>BD231/$AS231</f>
        <v>0</v>
      </c>
      <c r="BF231" s="130">
        <f>IF(BG231&gt;0,1,0)</f>
        <v>1</v>
      </c>
      <c r="BG231" s="175">
        <f>VLOOKUP($E231,[2]Current!$A:$AC,27,FALSE)</f>
        <v>90</v>
      </c>
      <c r="BH231" s="128">
        <f>BG231/$AS231</f>
        <v>137.19512195121948</v>
      </c>
      <c r="BI231" s="130">
        <f>IF(BJ231&gt;0,1,0)</f>
        <v>0</v>
      </c>
      <c r="BJ231" s="128">
        <f>VLOOKUP($E231,[2]Current!$A:$AC,28,FALSE)</f>
        <v>0</v>
      </c>
      <c r="BK231" s="128">
        <f>BJ231/$AS231</f>
        <v>0</v>
      </c>
      <c r="BL231" s="128">
        <f>IF(BM231&gt;0,1,0)</f>
        <v>1</v>
      </c>
      <c r="BM231" s="128">
        <f>SUM(BR231,BU231,BX231,CA231,CD231)</f>
        <v>2</v>
      </c>
      <c r="BN231" s="131">
        <f>SUM(BT231,BW231,BZ231,CC231,CF231)</f>
        <v>7.6219512195121935</v>
      </c>
      <c r="BO231" s="128">
        <f>IF(BP231&gt;0,1,0)</f>
        <v>1</v>
      </c>
      <c r="BP231" s="128">
        <f>BM231+CJ231</f>
        <v>2</v>
      </c>
      <c r="BQ231" s="128">
        <f>BN231+CL231</f>
        <v>7.6219512195121935</v>
      </c>
      <c r="BR231" s="130">
        <f>IF(BS231&gt;0,1,0)</f>
        <v>1</v>
      </c>
      <c r="BS231" s="128">
        <f>VLOOKUP($E231,[2]Current!$A:$AC,12,FALSE)</f>
        <v>2</v>
      </c>
      <c r="BT231" s="175">
        <f>BS231/$AS231</f>
        <v>3.0487804878048772</v>
      </c>
      <c r="BU231" s="130">
        <f>IF(BV231&gt;0,1,0)</f>
        <v>0</v>
      </c>
      <c r="BV231" s="128">
        <f>VLOOKUP($E231,[2]Current!$A:$AC,13,FALSE)</f>
        <v>0</v>
      </c>
      <c r="BW231" s="128">
        <f>BV231/$AS231</f>
        <v>0</v>
      </c>
      <c r="BX231" s="130">
        <f>IF(BY231&gt;0,1,0)</f>
        <v>0</v>
      </c>
      <c r="BY231" s="128">
        <f>VLOOKUP($E231,[2]Current!$A:$AC,14,FALSE)</f>
        <v>0</v>
      </c>
      <c r="BZ231" s="128">
        <f>BY231/$AS231</f>
        <v>0</v>
      </c>
      <c r="CA231" s="130">
        <f>IF(CB231&gt;0,1,0)</f>
        <v>1</v>
      </c>
      <c r="CB231" s="128">
        <f>VLOOKUP($E231,[2]Current!$A:$AC,15,FALSE)</f>
        <v>3</v>
      </c>
      <c r="CC231" s="128">
        <f>CB231/$AS231</f>
        <v>4.5731707317073162</v>
      </c>
      <c r="CD231" s="176">
        <f>IF(CE231&gt;0,1,0)</f>
        <v>0</v>
      </c>
      <c r="CE231" s="128">
        <f>VLOOKUP($E231,[2]Current!$A:$AC,16,FALSE)</f>
        <v>0</v>
      </c>
      <c r="CF231" s="128">
        <f>CE231/$AS231</f>
        <v>0</v>
      </c>
      <c r="CG231" s="18"/>
      <c r="CH231" s="18"/>
      <c r="CI231" s="18"/>
      <c r="CJ231" s="130">
        <f>IF(CK231&gt;0,1,0)</f>
        <v>0</v>
      </c>
      <c r="CK231" s="128">
        <f>VLOOKUP($E231,[2]Current!$A:$AC,18,FALSE)</f>
        <v>0</v>
      </c>
      <c r="CL231" s="128">
        <f>CK231/$AS231</f>
        <v>0</v>
      </c>
      <c r="CS231" s="130">
        <f>IF(CU231&gt;0,1,0)</f>
        <v>0</v>
      </c>
      <c r="CU231" s="128">
        <f>VLOOKUP($E231,[2]Current!$A:$AC,17,FALSE)</f>
        <v>0</v>
      </c>
      <c r="CV231" s="128">
        <f>CU231/$AS231</f>
        <v>0</v>
      </c>
      <c r="CW231" s="18"/>
      <c r="CX231" s="18"/>
      <c r="CY231" s="18"/>
      <c r="DF231" s="16" t="e">
        <f>VLOOKUP(K231,'[3]RNA Seq summary tables'!$V$3:$V$99,1,FALSE)</f>
        <v>#N/A</v>
      </c>
      <c r="DG231" s="16">
        <v>1</v>
      </c>
      <c r="DH231" s="16" t="str">
        <f>VLOOKUP(D231,'[6]workflow 3.2018'!$A$1:$S$237,2,FALSE)</f>
        <v>2017MLBS_158</v>
      </c>
      <c r="JO231" s="38"/>
      <c r="JP231" s="38"/>
      <c r="JQ231" s="38"/>
    </row>
    <row r="232" spans="2:288" ht="16" x14ac:dyDescent="0.2">
      <c r="B232" s="16">
        <v>2017</v>
      </c>
      <c r="C232" s="20">
        <v>42977</v>
      </c>
      <c r="D232" s="20" t="str">
        <f>CONCATENATE(J232,"-",C232)</f>
        <v>1092-42977</v>
      </c>
      <c r="E232" s="37" t="str">
        <f>CONCATENATE(T232,"-",U232,"-",C232)</f>
        <v>PO2-G8-42977</v>
      </c>
      <c r="F232" s="37" t="s">
        <v>224</v>
      </c>
      <c r="G232" s="20" t="s">
        <v>107</v>
      </c>
      <c r="H232" s="16" t="s">
        <v>271</v>
      </c>
      <c r="I232" s="16">
        <v>0</v>
      </c>
      <c r="J232" s="21">
        <v>1092</v>
      </c>
      <c r="K232" s="21">
        <v>2315</v>
      </c>
      <c r="L232" s="18">
        <v>0</v>
      </c>
      <c r="M232" s="21">
        <f>VLOOKUP($K232,'[4]blood tubes 2017'!$D$1:$L$947,8,FALSE)</f>
        <v>0</v>
      </c>
      <c r="N232" s="15">
        <v>0</v>
      </c>
      <c r="O232" s="15" t="s">
        <v>119</v>
      </c>
      <c r="P232" s="16" t="s">
        <v>119</v>
      </c>
      <c r="Q232" s="16">
        <v>0</v>
      </c>
      <c r="R232" s="16">
        <v>14</v>
      </c>
      <c r="T232" s="16" t="s">
        <v>127</v>
      </c>
      <c r="U232" s="16" t="s">
        <v>216</v>
      </c>
      <c r="V232" s="16" t="s">
        <v>114</v>
      </c>
      <c r="W232" s="16">
        <f>AI232/AG232</f>
        <v>0.39393939393939392</v>
      </c>
      <c r="X232" s="16" t="s">
        <v>121</v>
      </c>
      <c r="Y232" s="16" t="s">
        <v>110</v>
      </c>
      <c r="Z232" s="16">
        <v>3</v>
      </c>
      <c r="AA232" s="16" t="s">
        <v>119</v>
      </c>
      <c r="AB232" s="16" t="s">
        <v>240</v>
      </c>
      <c r="AC232" s="16" t="s">
        <v>123</v>
      </c>
      <c r="AD232" s="16" t="s">
        <v>123</v>
      </c>
      <c r="AG232" s="18">
        <f>AH232-AI232</f>
        <v>99</v>
      </c>
      <c r="AH232" s="16">
        <v>138</v>
      </c>
      <c r="AI232" s="16">
        <v>39</v>
      </c>
      <c r="AJ232" s="40" t="s">
        <v>320</v>
      </c>
      <c r="AK232" s="16">
        <v>21.5</v>
      </c>
      <c r="AL232" s="16">
        <v>0</v>
      </c>
      <c r="AM232" s="16">
        <v>0</v>
      </c>
      <c r="AN232" s="16">
        <v>0</v>
      </c>
      <c r="AO232" s="16">
        <v>0</v>
      </c>
      <c r="AP232" s="16">
        <f>SUM(AL232:AN232)</f>
        <v>0</v>
      </c>
      <c r="AQ232" s="16">
        <v>1.8129999999999999</v>
      </c>
      <c r="AR232" s="16">
        <f>AP232-1.472</f>
        <v>-1.472</v>
      </c>
      <c r="AS232" s="16">
        <f>AQ232-1.472</f>
        <v>0.34099999999999997</v>
      </c>
      <c r="AT232" s="16" t="str">
        <f>VLOOKUP(E232,[2]Current!$A$1:$W$435,7,FALSE)</f>
        <v>LV</v>
      </c>
      <c r="AU232" s="16" t="s">
        <v>1288</v>
      </c>
      <c r="AW232" s="128">
        <f>IF(AX232&gt;0,1,0)</f>
        <v>1</v>
      </c>
      <c r="AX232" s="128">
        <f>SUM(BA232,BM232,CU232)</f>
        <v>4</v>
      </c>
      <c r="AY232" s="128">
        <f>SUM(BB232,BN232,CV232)</f>
        <v>3733.1378299120238</v>
      </c>
      <c r="AZ232" s="128">
        <f>IF(BA232&gt;0,1,0)</f>
        <v>1</v>
      </c>
      <c r="BA232" s="128">
        <f>SUM(BC232+BF232+BI232)</f>
        <v>2</v>
      </c>
      <c r="BB232" s="128">
        <f>SUM(BE232,BH232,BK232)</f>
        <v>434.01759530791793</v>
      </c>
      <c r="BC232" s="130">
        <f>IF(BD232&gt;0,1,0)</f>
        <v>1</v>
      </c>
      <c r="BD232" s="128">
        <f>VLOOKUP($E232,[2]Current!$A:$AC,26,FALSE)</f>
        <v>18</v>
      </c>
      <c r="BE232" s="128">
        <f>BD232/$AS232</f>
        <v>52.785923753665692</v>
      </c>
      <c r="BF232" s="130">
        <f>IF(BG232&gt;0,1,0)</f>
        <v>1</v>
      </c>
      <c r="BG232" s="175">
        <f>VLOOKUP($E232,[2]Current!$A:$AC,27,FALSE)</f>
        <v>130</v>
      </c>
      <c r="BH232" s="128">
        <f>BG232/$AS232</f>
        <v>381.23167155425222</v>
      </c>
      <c r="BI232" s="130">
        <f>IF(BJ232&gt;0,1,0)</f>
        <v>0</v>
      </c>
      <c r="BJ232" s="128">
        <f>VLOOKUP($E232,[2]Current!$A:$AC,28,FALSE)</f>
        <v>0</v>
      </c>
      <c r="BK232" s="128">
        <f>BJ232/$AS232</f>
        <v>0</v>
      </c>
      <c r="BL232" s="128">
        <f>IF(BM232&gt;0,1,0)</f>
        <v>1</v>
      </c>
      <c r="BM232" s="128">
        <f>SUM(BR232,BU232,BX232,CA232,CD232)</f>
        <v>2</v>
      </c>
      <c r="BN232" s="131">
        <f>SUM(BT232,BW232,BZ232,CC232,CF232)</f>
        <v>3299.1202346041059</v>
      </c>
      <c r="BO232" s="128">
        <f>IF(BP232&gt;0,1,0)</f>
        <v>1</v>
      </c>
      <c r="BP232" s="128">
        <f>BM232+CJ232</f>
        <v>2</v>
      </c>
      <c r="BQ232" s="128">
        <f>BN232+CL232</f>
        <v>3299.1202346041059</v>
      </c>
      <c r="BR232" s="130">
        <f>IF(BS232&gt;0,1,0)</f>
        <v>1</v>
      </c>
      <c r="BS232" s="128">
        <f>VLOOKUP($E232,[2]Current!$A:$AC,12,FALSE)</f>
        <v>6</v>
      </c>
      <c r="BT232" s="175">
        <f>BS232/$AS232</f>
        <v>17.595307917888565</v>
      </c>
      <c r="BU232" s="130">
        <f>IF(BV232&gt;0,1,0)</f>
        <v>0</v>
      </c>
      <c r="BV232" s="128">
        <f>VLOOKUP($E232,[2]Current!$A:$AC,13,FALSE)</f>
        <v>0</v>
      </c>
      <c r="BW232" s="128">
        <f>BV232/$AS232</f>
        <v>0</v>
      </c>
      <c r="BX232" s="130">
        <f>IF(BY232&gt;0,1,0)</f>
        <v>1</v>
      </c>
      <c r="BY232" s="128">
        <f>VLOOKUP($E232,[2]Current!$A:$AC,14,FALSE)</f>
        <v>1119</v>
      </c>
      <c r="BZ232" s="128">
        <f>BY232/$AS232</f>
        <v>3281.5249266862174</v>
      </c>
      <c r="CA232" s="130">
        <f>IF(CB232&gt;0,1,0)</f>
        <v>0</v>
      </c>
      <c r="CB232" s="128">
        <f>VLOOKUP($E232,[2]Current!$A:$AC,15,FALSE)</f>
        <v>0</v>
      </c>
      <c r="CC232" s="128">
        <f>CB232/$AS232</f>
        <v>0</v>
      </c>
      <c r="CD232" s="176">
        <f>IF(CE232&gt;0,1,0)</f>
        <v>0</v>
      </c>
      <c r="CE232" s="128">
        <f>VLOOKUP($E232,[2]Current!$A:$AC,16,FALSE)</f>
        <v>0</v>
      </c>
      <c r="CF232" s="128">
        <f>CE232/$AS232</f>
        <v>0</v>
      </c>
      <c r="CG232" s="18"/>
      <c r="CH232" s="18"/>
      <c r="CI232" s="18"/>
      <c r="CJ232" s="130">
        <f>IF(CK232&gt;0,1,0)</f>
        <v>0</v>
      </c>
      <c r="CK232" s="128">
        <f>VLOOKUP($E232,[2]Current!$A:$AC,18,FALSE)</f>
        <v>0</v>
      </c>
      <c r="CL232" s="128">
        <f>CK232/$AS232</f>
        <v>0</v>
      </c>
      <c r="CS232" s="130">
        <f>IF(CU232&gt;0,1,0)</f>
        <v>0</v>
      </c>
      <c r="CU232" s="128">
        <f>VLOOKUP($E232,[2]Current!$A:$AC,17,FALSE)</f>
        <v>0</v>
      </c>
      <c r="CV232" s="128">
        <f>CU232/$AS232</f>
        <v>0</v>
      </c>
      <c r="CW232" s="18"/>
      <c r="CX232" s="18"/>
      <c r="CY232" s="18"/>
      <c r="DF232" s="16" t="e">
        <f>VLOOKUP(K232,'[3]RNA Seq summary tables'!$V$3:$V$99,1,FALSE)</f>
        <v>#N/A</v>
      </c>
      <c r="DG232" s="16">
        <v>1</v>
      </c>
      <c r="DH232" s="16" t="str">
        <f>VLOOKUP(D232,'[6]workflow 3.2018'!$A$1:$S$237,2,FALSE)</f>
        <v>2017MLBS_223</v>
      </c>
    </row>
    <row r="233" spans="2:288" x14ac:dyDescent="0.2">
      <c r="B233" s="16">
        <v>2017</v>
      </c>
      <c r="C233" s="73">
        <v>42895</v>
      </c>
      <c r="D233" s="73" t="str">
        <f>CONCATENATE(J233,"-",C233)</f>
        <v>1094-42895</v>
      </c>
      <c r="E233" s="20" t="str">
        <f>CONCATENATE(T233,"-",U233,"-",C233)</f>
        <v>PO1-D6-42895</v>
      </c>
      <c r="F233" s="20" t="s">
        <v>106</v>
      </c>
      <c r="G233" s="43" t="s">
        <v>107</v>
      </c>
      <c r="H233" s="23"/>
      <c r="I233" s="16">
        <v>0</v>
      </c>
      <c r="J233" s="15">
        <v>1094</v>
      </c>
      <c r="K233" s="15" t="s">
        <v>153</v>
      </c>
      <c r="L233" s="18">
        <v>0</v>
      </c>
      <c r="O233" s="15" t="s">
        <v>119</v>
      </c>
      <c r="P233" s="23" t="s">
        <v>119</v>
      </c>
      <c r="Q233" s="16">
        <v>0</v>
      </c>
      <c r="R233" s="23" t="s">
        <v>111</v>
      </c>
      <c r="S233" s="23"/>
      <c r="T233" s="23" t="s">
        <v>112</v>
      </c>
      <c r="U233" s="23" t="s">
        <v>186</v>
      </c>
      <c r="V233" s="23" t="s">
        <v>114</v>
      </c>
      <c r="W233" s="16">
        <f>AI233/AG233</f>
        <v>0.8</v>
      </c>
      <c r="X233" s="23" t="s">
        <v>115</v>
      </c>
      <c r="Y233" s="23" t="s">
        <v>145</v>
      </c>
      <c r="Z233" s="23">
        <v>1</v>
      </c>
      <c r="AA233" s="23"/>
      <c r="AB233" s="23"/>
      <c r="AC233" s="23"/>
      <c r="AD233" s="23"/>
      <c r="AE233" s="23" t="s">
        <v>123</v>
      </c>
      <c r="AF233" s="23" t="s">
        <v>123</v>
      </c>
      <c r="AG233" s="23">
        <f>AH233-AI233</f>
        <v>75</v>
      </c>
      <c r="AH233" s="23">
        <v>135</v>
      </c>
      <c r="AI233" s="23">
        <v>60</v>
      </c>
      <c r="AJ233" s="23"/>
      <c r="AK233" s="23">
        <v>9.5</v>
      </c>
      <c r="AL233" s="23">
        <v>0</v>
      </c>
      <c r="AM233" s="23">
        <v>0</v>
      </c>
      <c r="AN233" s="23">
        <v>0</v>
      </c>
      <c r="AO233" s="23">
        <v>0</v>
      </c>
      <c r="AP233" s="23">
        <f>SUM(AL233:AN233)</f>
        <v>0</v>
      </c>
      <c r="AQ233" s="23">
        <v>1.895</v>
      </c>
      <c r="AR233" s="23">
        <f>AP233-1.472</f>
        <v>-1.472</v>
      </c>
      <c r="AS233" s="23">
        <f>AQ233-1.472</f>
        <v>0.42300000000000004</v>
      </c>
      <c r="AT233" s="23" t="s">
        <v>119</v>
      </c>
      <c r="AU233" s="23"/>
      <c r="AV233" s="23"/>
      <c r="AW233" s="23">
        <f>IF(AX233&gt;0,1,0)</f>
        <v>1</v>
      </c>
      <c r="AX233" s="23">
        <f>SUM(BA233,BM233,CT233)</f>
        <v>2</v>
      </c>
      <c r="AY233" s="25">
        <f>SUM(BB233,BN233,CV233)</f>
        <v>40498.817966903065</v>
      </c>
      <c r="AZ233" s="23">
        <f>IF(BA233&gt;0,1,0)</f>
        <v>1</v>
      </c>
      <c r="BA233" s="23">
        <f>SUM(BC233,BF233,BI233)</f>
        <v>2</v>
      </c>
      <c r="BB233" s="23">
        <f>SUM(BE233,BH233,BK233)</f>
        <v>40498.817966903065</v>
      </c>
      <c r="BC233" s="23">
        <v>0</v>
      </c>
      <c r="BD233" s="23">
        <v>0</v>
      </c>
      <c r="BE233" s="23">
        <f>BD233/AS233</f>
        <v>0</v>
      </c>
      <c r="BF233" s="23">
        <v>1</v>
      </c>
      <c r="BG233" s="23">
        <v>16638</v>
      </c>
      <c r="BH233" s="23">
        <f>BG233/AS233</f>
        <v>39333.333333333328</v>
      </c>
      <c r="BI233" s="23">
        <v>1</v>
      </c>
      <c r="BJ233" s="23">
        <v>493</v>
      </c>
      <c r="BK233" s="23">
        <f>BJ233/AS233</f>
        <v>1165.4846335697398</v>
      </c>
      <c r="BL233" s="16">
        <f>IF(BM233&gt;0,1,0)</f>
        <v>0</v>
      </c>
      <c r="BM233" s="16">
        <f>SUM(BR233,BU233,BX233,CA233,CD233,CG233,CJ233,CM233,CP233)</f>
        <v>0</v>
      </c>
      <c r="BN233" s="23">
        <f>SUM(BW233,BZ233,CC233,CF233,CI233,CL233,CO233,CR233,BT233)</f>
        <v>0</v>
      </c>
      <c r="BO233" s="23">
        <f>IF(BP233&gt;0,1,0)</f>
        <v>0</v>
      </c>
      <c r="BP233" s="23">
        <f>SUM(BU233,BX233,CA233,CD233,BR233)</f>
        <v>0</v>
      </c>
      <c r="BQ233" s="23">
        <f>SUM(BZ233,CC233,CF233,BT233,BW233)</f>
        <v>0</v>
      </c>
      <c r="BR233" s="23">
        <v>0</v>
      </c>
      <c r="BS233" s="23">
        <v>0</v>
      </c>
      <c r="BT233" s="23">
        <f>BS233/AS233</f>
        <v>0</v>
      </c>
      <c r="BU233" s="23">
        <v>0</v>
      </c>
      <c r="BV233" s="23">
        <v>0</v>
      </c>
      <c r="BW233" s="23">
        <f>BV233/AS233</f>
        <v>0</v>
      </c>
      <c r="BX233" s="23">
        <v>0</v>
      </c>
      <c r="BY233" s="23">
        <v>0</v>
      </c>
      <c r="BZ233" s="23">
        <f>BY233/AS233</f>
        <v>0</v>
      </c>
      <c r="CA233" s="23">
        <v>0</v>
      </c>
      <c r="CB233" s="23">
        <v>0</v>
      </c>
      <c r="CC233" s="23">
        <f>CB233/AS233</f>
        <v>0</v>
      </c>
      <c r="CD233" s="23">
        <v>0</v>
      </c>
      <c r="CE233" s="23">
        <v>0</v>
      </c>
      <c r="CF233" s="23">
        <f>CE233/AS233</f>
        <v>0</v>
      </c>
      <c r="CG233" s="23">
        <v>0</v>
      </c>
      <c r="CH233" s="23">
        <v>0</v>
      </c>
      <c r="CI233" s="23">
        <f>CH233/AS233</f>
        <v>0</v>
      </c>
      <c r="CJ233" s="23"/>
      <c r="CK233" s="23"/>
      <c r="CL233" s="23"/>
      <c r="CM233" s="23">
        <v>0</v>
      </c>
      <c r="CN233" s="23">
        <v>0</v>
      </c>
      <c r="CO233" s="23">
        <f>CN233/AS233</f>
        <v>0</v>
      </c>
      <c r="CP233" s="23">
        <v>0</v>
      </c>
      <c r="CQ233" s="23">
        <v>0</v>
      </c>
      <c r="CR233" s="23">
        <f>CQ233/AS233</f>
        <v>0</v>
      </c>
      <c r="CS233" s="23">
        <f>IF(CT233&gt;0,1,0)</f>
        <v>0</v>
      </c>
      <c r="CT233" s="23">
        <f>SUM(CW233,CZ233,DC233)</f>
        <v>0</v>
      </c>
      <c r="CU233" s="23"/>
      <c r="CV233" s="23">
        <f>SUM(CY233,DB233,DE233)</f>
        <v>0</v>
      </c>
      <c r="CW233" s="23">
        <v>0</v>
      </c>
      <c r="CX233" s="23">
        <v>0</v>
      </c>
      <c r="CY233" s="23">
        <f>CX233/AS233</f>
        <v>0</v>
      </c>
      <c r="CZ233" s="23">
        <v>0</v>
      </c>
      <c r="DA233" s="23">
        <v>0</v>
      </c>
      <c r="DB233" s="23">
        <f>DA233/AS233</f>
        <v>0</v>
      </c>
      <c r="DC233" s="23">
        <v>0</v>
      </c>
      <c r="DD233" s="23">
        <v>0</v>
      </c>
      <c r="DE233" s="23">
        <f>DD233/AS233</f>
        <v>0</v>
      </c>
      <c r="DF233" s="16" t="e">
        <f>VLOOKUP(K233,'[3]RNA Seq summary tables'!$V$3:$V$99,1,FALSE)</f>
        <v>#N/A</v>
      </c>
      <c r="DI233" s="23"/>
      <c r="DJ233" s="23"/>
      <c r="DK233" s="23"/>
      <c r="DL233" s="23"/>
      <c r="DM233" s="23"/>
      <c r="DN233" s="23"/>
      <c r="DO233" s="23"/>
      <c r="DP233" s="23"/>
      <c r="DQ233" s="23"/>
      <c r="DR233" s="23"/>
      <c r="DS233" s="23"/>
    </row>
    <row r="234" spans="2:288" x14ac:dyDescent="0.2">
      <c r="B234" s="16">
        <v>2017</v>
      </c>
      <c r="C234" s="73">
        <v>42895</v>
      </c>
      <c r="D234" s="73" t="str">
        <f>CONCATENATE(J234,"-",C234)</f>
        <v>1096-42895</v>
      </c>
      <c r="E234" s="20" t="str">
        <f>CONCATENATE(T234,"-",U234,"-",C234)</f>
        <v>PO1-H2-42895</v>
      </c>
      <c r="F234" s="20" t="s">
        <v>106</v>
      </c>
      <c r="G234" s="43" t="s">
        <v>107</v>
      </c>
      <c r="H234" s="23"/>
      <c r="I234" s="16">
        <v>0</v>
      </c>
      <c r="J234" s="15">
        <v>1096</v>
      </c>
      <c r="K234" s="15">
        <v>1647</v>
      </c>
      <c r="L234" s="18">
        <v>0</v>
      </c>
      <c r="M234" s="21">
        <f>VLOOKUP($K234,'[4]blood tubes 2017'!$D$1:$L$647,8,FALSE)</f>
        <v>0</v>
      </c>
      <c r="N234" s="15">
        <v>0</v>
      </c>
      <c r="O234" s="15" t="s">
        <v>119</v>
      </c>
      <c r="P234" s="23" t="s">
        <v>119</v>
      </c>
      <c r="Q234" s="16">
        <v>0</v>
      </c>
      <c r="R234" s="23" t="s">
        <v>111</v>
      </c>
      <c r="S234" s="23"/>
      <c r="T234" s="23" t="s">
        <v>112</v>
      </c>
      <c r="U234" s="23" t="s">
        <v>190</v>
      </c>
      <c r="V234" s="23" t="s">
        <v>114</v>
      </c>
      <c r="W234" s="16">
        <f>AI234/AG234</f>
        <v>0.78947368421052633</v>
      </c>
      <c r="X234" s="23" t="s">
        <v>115</v>
      </c>
      <c r="Y234" s="23" t="s">
        <v>145</v>
      </c>
      <c r="Z234" s="23">
        <v>1</v>
      </c>
      <c r="AA234" s="23"/>
      <c r="AB234" s="23"/>
      <c r="AC234" s="23"/>
      <c r="AD234" s="23"/>
      <c r="AE234" s="23" t="s">
        <v>123</v>
      </c>
      <c r="AF234" s="23" t="s">
        <v>123</v>
      </c>
      <c r="AG234" s="23">
        <f>AH234-AI234</f>
        <v>76</v>
      </c>
      <c r="AH234" s="23">
        <v>136</v>
      </c>
      <c r="AI234" s="23">
        <v>60</v>
      </c>
      <c r="AJ234" s="23"/>
      <c r="AK234" s="23">
        <v>14</v>
      </c>
      <c r="AL234" s="23">
        <v>0</v>
      </c>
      <c r="AM234" s="23">
        <v>0</v>
      </c>
      <c r="AN234" s="23">
        <v>0</v>
      </c>
      <c r="AO234" s="23">
        <v>0</v>
      </c>
      <c r="AP234" s="23">
        <f>SUM(AL234:AN234)</f>
        <v>0</v>
      </c>
      <c r="AQ234" s="23">
        <v>1.893</v>
      </c>
      <c r="AR234" s="23">
        <f>AP234-1.472</f>
        <v>-1.472</v>
      </c>
      <c r="AS234" s="23">
        <f>AQ234-1.472</f>
        <v>0.42100000000000004</v>
      </c>
      <c r="AT234" s="23" t="s">
        <v>119</v>
      </c>
      <c r="AU234" s="23"/>
      <c r="AV234" s="23"/>
      <c r="AW234" s="23">
        <f>IF(AX234&gt;0,1,0)</f>
        <v>1</v>
      </c>
      <c r="AX234" s="23">
        <f>SUM(BA234,BM234,CT234)</f>
        <v>5</v>
      </c>
      <c r="AY234" s="25">
        <f>SUM(BB234,BN234,CV234)</f>
        <v>7812.351543942993</v>
      </c>
      <c r="AZ234" s="16">
        <f>IF(BA234&gt;0,1,0)</f>
        <v>1</v>
      </c>
      <c r="BA234" s="23">
        <f>SUM(BC234,BF234,BI234)</f>
        <v>3</v>
      </c>
      <c r="BB234" s="23">
        <f>SUM(BE234,BH234,BK234)</f>
        <v>7684.0855106888357</v>
      </c>
      <c r="BC234" s="16">
        <v>1</v>
      </c>
      <c r="BD234" s="23">
        <v>79</v>
      </c>
      <c r="BE234" s="23">
        <f>BD234/AS234</f>
        <v>187.64845605700711</v>
      </c>
      <c r="BF234" s="16">
        <v>1</v>
      </c>
      <c r="BG234" s="23">
        <v>1642</v>
      </c>
      <c r="BH234" s="23">
        <f>BG234/AS234</f>
        <v>3900.237529691211</v>
      </c>
      <c r="BI234" s="16">
        <v>1</v>
      </c>
      <c r="BJ234" s="23">
        <v>1514</v>
      </c>
      <c r="BK234" s="23">
        <f>BJ234/AS234</f>
        <v>3596.1995249406173</v>
      </c>
      <c r="BL234" s="16">
        <f>IF(BM234&gt;0,1,0)</f>
        <v>1</v>
      </c>
      <c r="BM234" s="16">
        <f>SUM(BR234,BU234,BX234,CA234,CD234,CG234,CJ234,CM234,CP234)</f>
        <v>1</v>
      </c>
      <c r="BN234" s="16">
        <f>SUM(BW234,BZ234,CC234,CF234,CI234,CL234,CO234,CR234,BT234)</f>
        <v>2.3752969121140142</v>
      </c>
      <c r="BO234" s="16">
        <f>IF(BP234&gt;0,1,0)</f>
        <v>1</v>
      </c>
      <c r="BP234" s="16">
        <f>SUM(BU234,BX234,CA234,CD234,BR234)</f>
        <v>1</v>
      </c>
      <c r="BQ234" s="16">
        <f>SUM(BZ234,CC234,CF234,BT234,BW234)</f>
        <v>2.3752969121140142</v>
      </c>
      <c r="BR234" s="16">
        <v>0</v>
      </c>
      <c r="BS234" s="23">
        <v>0</v>
      </c>
      <c r="BT234" s="23">
        <f>BS234/AS234</f>
        <v>0</v>
      </c>
      <c r="BU234" s="16">
        <v>0</v>
      </c>
      <c r="BV234" s="23">
        <v>0</v>
      </c>
      <c r="BW234" s="16">
        <f>BV234/AS234</f>
        <v>0</v>
      </c>
      <c r="BX234" s="16">
        <v>0</v>
      </c>
      <c r="BY234" s="23">
        <v>0</v>
      </c>
      <c r="BZ234" s="16">
        <f>BY234/AS234</f>
        <v>0</v>
      </c>
      <c r="CA234" s="16">
        <v>1</v>
      </c>
      <c r="CB234" s="23">
        <v>1</v>
      </c>
      <c r="CC234" s="23">
        <f>CB234/AS234</f>
        <v>2.3752969121140142</v>
      </c>
      <c r="CD234" s="23">
        <v>0</v>
      </c>
      <c r="CE234" s="23">
        <v>0</v>
      </c>
      <c r="CF234" s="23">
        <f>CE234/AS234</f>
        <v>0</v>
      </c>
      <c r="CG234" s="23">
        <v>0</v>
      </c>
      <c r="CH234" s="23">
        <v>0</v>
      </c>
      <c r="CI234" s="23">
        <f>CH234/AS234</f>
        <v>0</v>
      </c>
      <c r="CJ234" s="23"/>
      <c r="CK234" s="23"/>
      <c r="CL234" s="23"/>
      <c r="CM234" s="23">
        <v>0</v>
      </c>
      <c r="CN234" s="23">
        <v>0</v>
      </c>
      <c r="CO234" s="23">
        <f>CN234/AS234</f>
        <v>0</v>
      </c>
      <c r="CP234" s="23">
        <v>0</v>
      </c>
      <c r="CQ234" s="23">
        <v>0</v>
      </c>
      <c r="CR234" s="23">
        <f>CQ234/AS234</f>
        <v>0</v>
      </c>
      <c r="CS234" s="16">
        <f>IF(CT234&gt;0,1,0)</f>
        <v>1</v>
      </c>
      <c r="CT234" s="16">
        <f>SUM(CW234,CZ234,DC234)</f>
        <v>1</v>
      </c>
      <c r="CV234" s="23">
        <f>SUM(CY234,DB234,DE234)</f>
        <v>125.89073634204274</v>
      </c>
      <c r="CW234" s="16">
        <v>1</v>
      </c>
      <c r="CX234" s="23">
        <v>53</v>
      </c>
      <c r="CY234" s="23">
        <f>CX234/AS234</f>
        <v>125.89073634204274</v>
      </c>
      <c r="CZ234" s="23">
        <v>0</v>
      </c>
      <c r="DA234" s="23">
        <v>0</v>
      </c>
      <c r="DB234" s="23">
        <f>DA234/AS234</f>
        <v>0</v>
      </c>
      <c r="DC234" s="23">
        <v>0</v>
      </c>
      <c r="DD234" s="23">
        <v>0</v>
      </c>
      <c r="DE234" s="23">
        <f>DD234/AS234</f>
        <v>0</v>
      </c>
      <c r="DF234" s="16" t="e">
        <f>VLOOKUP(K234,'[3]RNA Seq summary tables'!$V$3:$V$99,1,FALSE)</f>
        <v>#N/A</v>
      </c>
      <c r="DI234" s="23">
        <v>59</v>
      </c>
      <c r="DJ234" s="23"/>
      <c r="DK234" s="23">
        <v>26</v>
      </c>
      <c r="DL234" s="23"/>
      <c r="DM234" s="23">
        <v>14</v>
      </c>
      <c r="DN234" s="23"/>
      <c r="DO234" s="23">
        <v>0</v>
      </c>
      <c r="DP234" s="23"/>
      <c r="DQ234" s="23">
        <v>1</v>
      </c>
      <c r="DR234" s="23">
        <v>100</v>
      </c>
      <c r="DS234" s="23"/>
      <c r="JP234" s="18"/>
      <c r="JQ234" s="18"/>
    </row>
    <row r="235" spans="2:288" x14ac:dyDescent="0.2">
      <c r="B235" s="16">
        <v>2017</v>
      </c>
      <c r="C235" s="20">
        <v>42912</v>
      </c>
      <c r="D235" s="20" t="str">
        <f>CONCATENATE(J235,"-",C235)</f>
        <v>1096-42912</v>
      </c>
      <c r="E235" s="20" t="str">
        <f>CONCATENATE(T235,"-",U235,"-",C235)</f>
        <v>PO1-H4-42912</v>
      </c>
      <c r="F235" s="20" t="s">
        <v>106</v>
      </c>
      <c r="G235" s="20" t="s">
        <v>107</v>
      </c>
      <c r="I235" s="16">
        <v>0</v>
      </c>
      <c r="J235" s="21">
        <v>1096</v>
      </c>
      <c r="K235" s="21">
        <v>1750</v>
      </c>
      <c r="L235" s="18">
        <v>0</v>
      </c>
      <c r="M235" s="21">
        <f>VLOOKUP($K235,'[4]blood tubes 2017'!$D$1:$L$647,8,FALSE)</f>
        <v>0</v>
      </c>
      <c r="N235" s="15">
        <v>0</v>
      </c>
      <c r="O235" s="15" t="s">
        <v>119</v>
      </c>
      <c r="P235" s="16" t="s">
        <v>119</v>
      </c>
      <c r="Q235" s="16">
        <v>0</v>
      </c>
      <c r="R235" s="16">
        <v>17</v>
      </c>
      <c r="T235" s="16" t="s">
        <v>112</v>
      </c>
      <c r="U235" s="16" t="s">
        <v>151</v>
      </c>
      <c r="V235" s="16" t="s">
        <v>114</v>
      </c>
      <c r="W235" s="16">
        <f>AI235/AG235</f>
        <v>0.74725274725274726</v>
      </c>
      <c r="X235" s="16" t="s">
        <v>115</v>
      </c>
      <c r="Y235" s="16" t="s">
        <v>110</v>
      </c>
      <c r="Z235" s="16">
        <v>3</v>
      </c>
      <c r="AE235" s="16" t="s">
        <v>123</v>
      </c>
      <c r="AF235" s="16" t="s">
        <v>123</v>
      </c>
      <c r="AG235" s="16">
        <f>AH235-AI235</f>
        <v>91</v>
      </c>
      <c r="AH235" s="16">
        <v>159</v>
      </c>
      <c r="AI235" s="16">
        <v>68</v>
      </c>
      <c r="AK235" s="16">
        <v>19</v>
      </c>
      <c r="AL235" s="16">
        <v>0</v>
      </c>
      <c r="AM235" s="16">
        <v>0</v>
      </c>
      <c r="AN235" s="16">
        <v>0</v>
      </c>
      <c r="AO235" s="16">
        <v>0</v>
      </c>
      <c r="AP235" s="16">
        <f>SUM(AL235:AN235)</f>
        <v>0</v>
      </c>
      <c r="AQ235" s="16">
        <v>1.716</v>
      </c>
      <c r="AR235" s="16">
        <f>AP235-1.472</f>
        <v>-1.472</v>
      </c>
      <c r="AS235" s="16">
        <f>AQ235-1.472</f>
        <v>0.24399999999999999</v>
      </c>
      <c r="AT235" s="16" t="s">
        <v>119</v>
      </c>
      <c r="AW235" s="16">
        <f>IF(AX235&gt;0,1,0)</f>
        <v>1</v>
      </c>
      <c r="AX235" s="16">
        <f>SUM(BA235,BM235,CT235)</f>
        <v>5</v>
      </c>
      <c r="AY235" s="18">
        <f>SUM(BB235,BN235,CV235)</f>
        <v>393.44262295081967</v>
      </c>
      <c r="AZ235" s="16">
        <f>IF(BA235&gt;0,1,0)</f>
        <v>1</v>
      </c>
      <c r="BA235" s="16">
        <f>SUM(BC235,BF235,BI235)</f>
        <v>2</v>
      </c>
      <c r="BB235" s="16">
        <f>SUM(BE235,BH235,BK235)</f>
        <v>40.983606557377051</v>
      </c>
      <c r="BC235" s="16">
        <v>1</v>
      </c>
      <c r="BD235" s="16">
        <v>1</v>
      </c>
      <c r="BE235" s="16">
        <f>BD235/AS235</f>
        <v>4.0983606557377046</v>
      </c>
      <c r="BF235" s="16">
        <v>1</v>
      </c>
      <c r="BG235" s="23">
        <v>9</v>
      </c>
      <c r="BH235" s="16">
        <f>BG235/AS235</f>
        <v>36.885245901639344</v>
      </c>
      <c r="BI235" s="16">
        <v>0</v>
      </c>
      <c r="BJ235" s="16">
        <v>0</v>
      </c>
      <c r="BK235" s="16">
        <f>BJ235/AS235</f>
        <v>0</v>
      </c>
      <c r="BL235" s="16">
        <f>IF(BM235&gt;0,1,0)</f>
        <v>1</v>
      </c>
      <c r="BM235" s="16">
        <f>SUM(BR235,BU235,BX235,CA235,CD235,CG235,CJ235,CM235,CP235)</f>
        <v>1</v>
      </c>
      <c r="BN235" s="16">
        <f>SUM(BW235,BZ235,CC235,CF235,CI235,CL235,CO235,CR235,BT235)</f>
        <v>4.0983606557377046</v>
      </c>
      <c r="BO235" s="16">
        <f>IF(BP235&gt;0,1,0)</f>
        <v>1</v>
      </c>
      <c r="BP235" s="16">
        <f>SUM(BU235,BX235,CA235,CD235,BR235)</f>
        <v>1</v>
      </c>
      <c r="BQ235" s="16">
        <f>SUM(BZ235,CC235,CF235,BT235,BW235)</f>
        <v>4.0983606557377046</v>
      </c>
      <c r="BR235" s="16">
        <v>1</v>
      </c>
      <c r="BS235" s="16">
        <v>1</v>
      </c>
      <c r="BT235" s="23">
        <f>BS235/AS235</f>
        <v>4.0983606557377046</v>
      </c>
      <c r="BU235" s="16">
        <v>0</v>
      </c>
      <c r="BV235" s="16">
        <v>0</v>
      </c>
      <c r="BW235" s="16">
        <f>BV235/AS235</f>
        <v>0</v>
      </c>
      <c r="BX235" s="16">
        <v>0</v>
      </c>
      <c r="BY235" s="16">
        <v>0</v>
      </c>
      <c r="BZ235" s="16">
        <f>BY235/AS235</f>
        <v>0</v>
      </c>
      <c r="CA235" s="16">
        <v>0</v>
      </c>
      <c r="CB235" s="16">
        <v>0</v>
      </c>
      <c r="CC235" s="16">
        <f>CB235/AS235</f>
        <v>0</v>
      </c>
      <c r="CD235" s="23">
        <v>0</v>
      </c>
      <c r="CE235" s="16">
        <v>0</v>
      </c>
      <c r="CF235" s="16">
        <f>CE235/AS235</f>
        <v>0</v>
      </c>
      <c r="CG235" s="16">
        <v>0</v>
      </c>
      <c r="CH235" s="16">
        <v>0</v>
      </c>
      <c r="CI235" s="16">
        <f>CH235/AS235</f>
        <v>0</v>
      </c>
      <c r="CM235" s="16">
        <v>0</v>
      </c>
      <c r="CN235" s="16">
        <v>0</v>
      </c>
      <c r="CO235" s="16">
        <f>CN235/AS235</f>
        <v>0</v>
      </c>
      <c r="CP235" s="16">
        <v>0</v>
      </c>
      <c r="CQ235" s="16">
        <v>0</v>
      </c>
      <c r="CR235" s="16">
        <f>CQ235/AS235</f>
        <v>0</v>
      </c>
      <c r="CS235" s="16">
        <f>IF(CT235&gt;0,1,0)</f>
        <v>1</v>
      </c>
      <c r="CT235" s="16">
        <f>SUM(CW235,CZ235,DC235)</f>
        <v>2</v>
      </c>
      <c r="CV235" s="16">
        <f>SUM(CY235,DB235,DE235)</f>
        <v>348.36065573770492</v>
      </c>
      <c r="CW235" s="16">
        <v>1</v>
      </c>
      <c r="CX235" s="16">
        <v>79</v>
      </c>
      <c r="CY235" s="16">
        <f>CX235/AS235</f>
        <v>323.77049180327867</v>
      </c>
      <c r="CZ235" s="16">
        <v>1</v>
      </c>
      <c r="DA235" s="16">
        <v>6</v>
      </c>
      <c r="DB235" s="16">
        <f>DA235/AS235</f>
        <v>24.590163934426229</v>
      </c>
      <c r="DC235" s="16">
        <v>0</v>
      </c>
      <c r="DD235" s="16">
        <v>0</v>
      </c>
      <c r="DE235" s="16">
        <f>DD235/AS235</f>
        <v>0</v>
      </c>
      <c r="DF235" s="16" t="e">
        <f>VLOOKUP(K235,'[3]RNA Seq summary tables'!$V$3:$V$99,1,FALSE)</f>
        <v>#N/A</v>
      </c>
      <c r="DI235" s="16">
        <v>60</v>
      </c>
      <c r="DK235" s="16">
        <v>31</v>
      </c>
      <c r="DM235" s="16">
        <v>9</v>
      </c>
      <c r="DO235" s="16">
        <v>0</v>
      </c>
      <c r="DQ235" s="16">
        <v>0</v>
      </c>
      <c r="DR235" s="16">
        <f>SUM(DI235:DQ235)</f>
        <v>100</v>
      </c>
      <c r="JP235" s="18"/>
      <c r="JQ235" s="18"/>
    </row>
    <row r="236" spans="2:288" x14ac:dyDescent="0.2">
      <c r="B236" s="16">
        <v>2017</v>
      </c>
      <c r="C236" s="66">
        <v>42895</v>
      </c>
      <c r="D236" s="66" t="str">
        <f>CONCATENATE(J236,"-",C236)</f>
        <v>1099-42895</v>
      </c>
      <c r="E236" s="20" t="str">
        <f>CONCATENATE(T236,"-",U236,"-",C236)</f>
        <v>PO2-H2-42895</v>
      </c>
      <c r="F236" s="20" t="s">
        <v>106</v>
      </c>
      <c r="G236" s="20" t="s">
        <v>107</v>
      </c>
      <c r="I236" s="16">
        <v>0</v>
      </c>
      <c r="J236" s="21">
        <v>1099</v>
      </c>
      <c r="K236" s="21" t="s">
        <v>153</v>
      </c>
      <c r="L236" s="18">
        <v>0</v>
      </c>
      <c r="O236" s="15" t="s">
        <v>119</v>
      </c>
      <c r="P236" s="16" t="s">
        <v>119</v>
      </c>
      <c r="Q236" s="16">
        <v>0</v>
      </c>
      <c r="R236" s="16" t="s">
        <v>111</v>
      </c>
      <c r="T236" s="16" t="s">
        <v>127</v>
      </c>
      <c r="U236" s="16" t="s">
        <v>190</v>
      </c>
      <c r="V236" s="16" t="s">
        <v>114</v>
      </c>
      <c r="W236" s="16">
        <f>AI236/AG236</f>
        <v>0.84883720930232553</v>
      </c>
      <c r="X236" s="16" t="s">
        <v>115</v>
      </c>
      <c r="Y236" s="16" t="s">
        <v>110</v>
      </c>
      <c r="Z236" s="16">
        <v>3</v>
      </c>
      <c r="AE236" s="16" t="s">
        <v>123</v>
      </c>
      <c r="AF236" s="16" t="s">
        <v>123</v>
      </c>
      <c r="AG236" s="16">
        <f>AH236-AI236</f>
        <v>86</v>
      </c>
      <c r="AH236" s="16">
        <v>159</v>
      </c>
      <c r="AI236" s="16">
        <v>73</v>
      </c>
      <c r="AK236" s="16">
        <v>17</v>
      </c>
      <c r="AL236" s="16">
        <v>0</v>
      </c>
      <c r="AM236" s="16">
        <v>0</v>
      </c>
      <c r="AN236" s="16">
        <v>0</v>
      </c>
      <c r="AO236" s="16">
        <v>0</v>
      </c>
      <c r="AP236" s="16">
        <f>SUM(AL236:AN236)</f>
        <v>0</v>
      </c>
      <c r="AQ236" s="16">
        <v>1.708</v>
      </c>
      <c r="AR236" s="16">
        <f>AP236-1.472</f>
        <v>-1.472</v>
      </c>
      <c r="AS236" s="16">
        <f>AQ236-1.472</f>
        <v>0.23599999999999999</v>
      </c>
      <c r="AT236" s="16" t="s">
        <v>234</v>
      </c>
      <c r="AW236" s="16">
        <f>IF(AX236&gt;0,1,0)</f>
        <v>1</v>
      </c>
      <c r="AX236" s="16">
        <f>SUM(BA236,BM236,CT236)</f>
        <v>3</v>
      </c>
      <c r="AY236" s="18">
        <f>SUM(BB236,BN236,CV236)</f>
        <v>72.033898305084747</v>
      </c>
      <c r="AZ236" s="16">
        <f>IF(BA236&gt;0,1,0)</f>
        <v>1</v>
      </c>
      <c r="BA236" s="16">
        <f>SUM(BC236,BF236,BI236)</f>
        <v>2</v>
      </c>
      <c r="BB236" s="16">
        <f>SUM(BE236,BH236,BK236)</f>
        <v>46.610169491525426</v>
      </c>
      <c r="BC236" s="16">
        <v>0</v>
      </c>
      <c r="BD236" s="16">
        <v>0</v>
      </c>
      <c r="BE236" s="16">
        <f>BD236/AS236</f>
        <v>0</v>
      </c>
      <c r="BF236" s="16">
        <v>1</v>
      </c>
      <c r="BG236" s="23">
        <v>2</v>
      </c>
      <c r="BH236" s="16">
        <f>BG236/AS236</f>
        <v>8.4745762711864412</v>
      </c>
      <c r="BI236" s="16">
        <v>1</v>
      </c>
      <c r="BJ236" s="16">
        <v>9</v>
      </c>
      <c r="BK236" s="16">
        <f>BJ236/AS236</f>
        <v>38.135593220338983</v>
      </c>
      <c r="BL236" s="16">
        <f>IF(BM236&gt;0,1,0)</f>
        <v>1</v>
      </c>
      <c r="BM236" s="16">
        <f>SUM(BR236,BU236,BX236,CA236,CD236,CG236,CJ236,CM236,CP236)</f>
        <v>1</v>
      </c>
      <c r="BN236" s="16">
        <f>SUM(BW236,BZ236,CC236,CF236,CI236,CL236,CO236,CR236,BT236)</f>
        <v>25.423728813559322</v>
      </c>
      <c r="BO236" s="16">
        <f>IF(BP236&gt;0,1,0)</f>
        <v>1</v>
      </c>
      <c r="BP236" s="16">
        <f>SUM(BU236,BX236,CA236,CD236,BR236)</f>
        <v>1</v>
      </c>
      <c r="BQ236" s="16">
        <f>SUM(BZ236,CC236,CF236,BT236,BW236)</f>
        <v>25.423728813559322</v>
      </c>
      <c r="BR236" s="16">
        <v>1</v>
      </c>
      <c r="BS236" s="16">
        <v>6</v>
      </c>
      <c r="BT236" s="23">
        <f>BS236/AS236</f>
        <v>25.423728813559322</v>
      </c>
      <c r="BU236" s="16">
        <v>0</v>
      </c>
      <c r="BV236" s="16">
        <v>0</v>
      </c>
      <c r="BW236" s="16">
        <f>BV236/AS236</f>
        <v>0</v>
      </c>
      <c r="BX236" s="16">
        <v>0</v>
      </c>
      <c r="BY236" s="16">
        <v>0</v>
      </c>
      <c r="BZ236" s="16">
        <f>BY236/AS236</f>
        <v>0</v>
      </c>
      <c r="CA236" s="16">
        <v>0</v>
      </c>
      <c r="CB236" s="16">
        <v>0</v>
      </c>
      <c r="CC236" s="16">
        <f>CB236/AS236</f>
        <v>0</v>
      </c>
      <c r="CD236" s="23">
        <v>0</v>
      </c>
      <c r="CE236" s="16">
        <v>0</v>
      </c>
      <c r="CF236" s="16">
        <f>CE236/AS236</f>
        <v>0</v>
      </c>
      <c r="CG236" s="16">
        <v>0</v>
      </c>
      <c r="CH236" s="16">
        <v>0</v>
      </c>
      <c r="CI236" s="16">
        <f>CH236/AS236</f>
        <v>0</v>
      </c>
      <c r="CM236" s="16">
        <v>0</v>
      </c>
      <c r="CN236" s="16">
        <v>0</v>
      </c>
      <c r="CO236" s="16">
        <f>CN236/AS236</f>
        <v>0</v>
      </c>
      <c r="CP236" s="16">
        <v>0</v>
      </c>
      <c r="CQ236" s="16">
        <v>0</v>
      </c>
      <c r="CR236" s="16">
        <f>CQ236/AS236</f>
        <v>0</v>
      </c>
      <c r="CS236" s="16">
        <f>IF(CT236&gt;0,1,0)</f>
        <v>0</v>
      </c>
      <c r="CT236" s="16">
        <f>SUM(CW236,CZ236,DC236)</f>
        <v>0</v>
      </c>
      <c r="CV236" s="16">
        <f>SUM(CY236,DB236,DE236)</f>
        <v>0</v>
      </c>
      <c r="CW236" s="16">
        <v>0</v>
      </c>
      <c r="CX236" s="16">
        <v>0</v>
      </c>
      <c r="CY236" s="16">
        <f>CX236/AS236</f>
        <v>0</v>
      </c>
      <c r="CZ236" s="16">
        <v>0</v>
      </c>
      <c r="DA236" s="16">
        <v>0</v>
      </c>
      <c r="DB236" s="16">
        <f>DA236/AS236</f>
        <v>0</v>
      </c>
      <c r="DC236" s="16">
        <v>0</v>
      </c>
      <c r="DD236" s="16">
        <v>0</v>
      </c>
      <c r="DE236" s="16">
        <f>DD236/AS236</f>
        <v>0</v>
      </c>
      <c r="DF236" s="16" t="e">
        <f>VLOOKUP(K236,'[3]RNA Seq summary tables'!$V$3:$V$99,1,FALSE)</f>
        <v>#N/A</v>
      </c>
      <c r="DG236" s="16">
        <v>1</v>
      </c>
      <c r="DH236" s="16" t="str">
        <f>VLOOKUP(D236,'[6]workflow 3.2018'!$A$1:$S$237,2,FALSE)</f>
        <v>2017MLBS_58</v>
      </c>
      <c r="JP236" s="18"/>
      <c r="JQ236" s="18"/>
    </row>
    <row r="237" spans="2:288" x14ac:dyDescent="0.2">
      <c r="B237" s="16">
        <v>2017</v>
      </c>
      <c r="C237" s="20">
        <v>42911</v>
      </c>
      <c r="D237" s="20" t="str">
        <f>CONCATENATE(J237,"-",C237)</f>
        <v>1099-42911</v>
      </c>
      <c r="E237" s="20" t="str">
        <f>CONCATENATE(T237,"-",U237,"-",C237)</f>
        <v>PO2-H3-42911</v>
      </c>
      <c r="F237" s="20" t="s">
        <v>106</v>
      </c>
      <c r="G237" s="20" t="s">
        <v>107</v>
      </c>
      <c r="I237" s="16">
        <v>0</v>
      </c>
      <c r="J237" s="21">
        <v>1099</v>
      </c>
      <c r="K237" s="21">
        <v>1741</v>
      </c>
      <c r="L237" s="18">
        <v>0</v>
      </c>
      <c r="M237" s="21">
        <f>VLOOKUP($K237,'[4]blood tubes 2017'!$D$1:$L$647,8,FALSE)</f>
        <v>0</v>
      </c>
      <c r="N237" s="15">
        <v>0</v>
      </c>
      <c r="O237" s="15" t="s">
        <v>119</v>
      </c>
      <c r="P237" s="16" t="s">
        <v>119</v>
      </c>
      <c r="Q237" s="16">
        <v>0</v>
      </c>
      <c r="R237" s="16">
        <v>16</v>
      </c>
      <c r="T237" s="16" t="s">
        <v>127</v>
      </c>
      <c r="U237" s="16" t="s">
        <v>174</v>
      </c>
      <c r="V237" s="16" t="s">
        <v>114</v>
      </c>
      <c r="W237" s="16">
        <f>AI237/AG237</f>
        <v>0.87209302325581395</v>
      </c>
      <c r="X237" s="16" t="s">
        <v>115</v>
      </c>
      <c r="Y237" s="16" t="s">
        <v>110</v>
      </c>
      <c r="Z237" s="16">
        <v>3</v>
      </c>
      <c r="AE237" s="16" t="s">
        <v>116</v>
      </c>
      <c r="AF237" s="16" t="s">
        <v>116</v>
      </c>
      <c r="AG237" s="16">
        <f>AH237-AI237</f>
        <v>86</v>
      </c>
      <c r="AH237" s="16">
        <v>161</v>
      </c>
      <c r="AI237" s="16">
        <v>75</v>
      </c>
      <c r="AK237" s="16">
        <v>17.5</v>
      </c>
      <c r="AL237" s="16">
        <v>0</v>
      </c>
      <c r="AM237" s="16">
        <v>0</v>
      </c>
      <c r="AN237" s="16">
        <v>0</v>
      </c>
      <c r="AO237" s="16">
        <v>0</v>
      </c>
      <c r="AP237" s="16">
        <f>SUM(AL237:AN237)</f>
        <v>0</v>
      </c>
      <c r="AQ237" s="16">
        <v>1.68</v>
      </c>
      <c r="AR237" s="16">
        <f>AP237-1.472</f>
        <v>-1.472</v>
      </c>
      <c r="AS237" s="16">
        <f>AQ237-1.472</f>
        <v>0.20799999999999996</v>
      </c>
      <c r="AT237" s="16" t="s">
        <v>233</v>
      </c>
      <c r="AW237" s="16">
        <f>IF(AX237&gt;0,1,0)</f>
        <v>1</v>
      </c>
      <c r="AX237" s="16">
        <f>SUM(BA237,BM237,CT237)</f>
        <v>3</v>
      </c>
      <c r="AY237" s="18">
        <f>SUM(BB237,BN237,CV237)</f>
        <v>11769.230769230771</v>
      </c>
      <c r="AZ237" s="16">
        <f>IF(BA237&gt;0,1,0)</f>
        <v>1</v>
      </c>
      <c r="BA237" s="16">
        <f>SUM(BC237,BF237,BI237)</f>
        <v>1</v>
      </c>
      <c r="BB237" s="16">
        <f>SUM(BE237,BH237,BK237)</f>
        <v>11750.000000000002</v>
      </c>
      <c r="BC237" s="16">
        <v>0</v>
      </c>
      <c r="BD237" s="16">
        <v>0</v>
      </c>
      <c r="BE237" s="16">
        <f>BD237/AS237</f>
        <v>0</v>
      </c>
      <c r="BF237" s="16">
        <v>1</v>
      </c>
      <c r="BG237" s="23">
        <v>2444</v>
      </c>
      <c r="BH237" s="16">
        <f>BG237/AS237</f>
        <v>11750.000000000002</v>
      </c>
      <c r="BI237" s="16">
        <v>0</v>
      </c>
      <c r="BJ237" s="16">
        <v>0</v>
      </c>
      <c r="BK237" s="16">
        <f>BJ237/AS237</f>
        <v>0</v>
      </c>
      <c r="BL237" s="16">
        <f>IF(BM237&gt;0,1,0)</f>
        <v>1</v>
      </c>
      <c r="BM237" s="16">
        <f>SUM(BR237,BU237,BX237,CA237,CD237,CG237,CJ237,CM237,CP237)</f>
        <v>2</v>
      </c>
      <c r="BN237" s="16">
        <f>SUM(BW237,BZ237,CC237,CF237,CI237,CL237,CO237,CR237,BT237)</f>
        <v>19.230769230769234</v>
      </c>
      <c r="BO237" s="16">
        <f>IF(BP237&gt;0,1,0)</f>
        <v>1</v>
      </c>
      <c r="BP237" s="16">
        <f>SUM(BU237,BX237,CA237,CD237,BR237)</f>
        <v>2</v>
      </c>
      <c r="BQ237" s="16">
        <f>SUM(BZ237,CC237,CF237,BT237,BW237)</f>
        <v>19.230769230769234</v>
      </c>
      <c r="BR237" s="16">
        <v>1</v>
      </c>
      <c r="BS237" s="16">
        <v>1</v>
      </c>
      <c r="BT237" s="23">
        <f>BS237/AS237</f>
        <v>4.8076923076923084</v>
      </c>
      <c r="BU237" s="16">
        <v>0</v>
      </c>
      <c r="BV237" s="16">
        <v>0</v>
      </c>
      <c r="BW237" s="16">
        <f>BV237/AS237</f>
        <v>0</v>
      </c>
      <c r="BX237" s="16">
        <v>0</v>
      </c>
      <c r="BY237" s="16">
        <v>0</v>
      </c>
      <c r="BZ237" s="16">
        <f>BY237/AS237</f>
        <v>0</v>
      </c>
      <c r="CA237" s="16">
        <v>1</v>
      </c>
      <c r="CB237" s="16">
        <v>3</v>
      </c>
      <c r="CC237" s="16">
        <f>CB237/AS237</f>
        <v>14.423076923076925</v>
      </c>
      <c r="CD237" s="23">
        <v>0</v>
      </c>
      <c r="CE237" s="16">
        <v>0</v>
      </c>
      <c r="CF237" s="16">
        <f>CE237/AS237</f>
        <v>0</v>
      </c>
      <c r="CG237" s="16">
        <v>0</v>
      </c>
      <c r="CH237" s="16">
        <v>0</v>
      </c>
      <c r="CI237" s="16">
        <f>CH237/AS237</f>
        <v>0</v>
      </c>
      <c r="CM237" s="16">
        <v>0</v>
      </c>
      <c r="CN237" s="16">
        <v>0</v>
      </c>
      <c r="CO237" s="16">
        <f>CN237/AS237</f>
        <v>0</v>
      </c>
      <c r="CP237" s="16">
        <v>0</v>
      </c>
      <c r="CQ237" s="16">
        <v>0</v>
      </c>
      <c r="CR237" s="16">
        <f>CQ237/AS237</f>
        <v>0</v>
      </c>
      <c r="CS237" s="16">
        <f>IF(CT237&gt;0,1,0)</f>
        <v>0</v>
      </c>
      <c r="CT237" s="16">
        <f>SUM(CW237,CZ237,DC237)</f>
        <v>0</v>
      </c>
      <c r="CV237" s="16">
        <f>SUM(CY237,DB237,DE237)</f>
        <v>0</v>
      </c>
      <c r="CW237" s="16">
        <v>0</v>
      </c>
      <c r="CX237" s="16">
        <v>0</v>
      </c>
      <c r="CY237" s="16">
        <f>CX237/AS237</f>
        <v>0</v>
      </c>
      <c r="CZ237" s="16">
        <v>0</v>
      </c>
      <c r="DA237" s="16">
        <v>0</v>
      </c>
      <c r="DB237" s="16">
        <f>DA237/AS237</f>
        <v>0</v>
      </c>
      <c r="DC237" s="16">
        <v>0</v>
      </c>
      <c r="DD237" s="16">
        <v>0</v>
      </c>
      <c r="DE237" s="16">
        <f>DD237/AS237</f>
        <v>0</v>
      </c>
      <c r="DF237" s="16" t="e">
        <f>VLOOKUP(K237,'[3]RNA Seq summary tables'!$V$3:$V$99,1,FALSE)</f>
        <v>#N/A</v>
      </c>
      <c r="DI237" s="16">
        <v>34</v>
      </c>
      <c r="DK237" s="16">
        <v>55</v>
      </c>
      <c r="DM237" s="16">
        <v>11</v>
      </c>
      <c r="DO237" s="16">
        <v>0</v>
      </c>
      <c r="DQ237" s="16">
        <v>0</v>
      </c>
      <c r="DR237" s="16">
        <f>SUM(DI237:DQ237)</f>
        <v>100</v>
      </c>
    </row>
    <row r="238" spans="2:288" x14ac:dyDescent="0.2">
      <c r="B238" s="16">
        <v>2017</v>
      </c>
      <c r="C238" s="43">
        <v>42963</v>
      </c>
      <c r="D238" s="43" t="str">
        <f>CONCATENATE(J238,"-",C238)</f>
        <v>1099-42963</v>
      </c>
      <c r="E238" s="20" t="str">
        <f>CONCATENATE(T238,"-",U238,"-",C238)</f>
        <v>PO2-H3-42963</v>
      </c>
      <c r="F238" s="20" t="s">
        <v>106</v>
      </c>
      <c r="G238" s="43" t="s">
        <v>107</v>
      </c>
      <c r="H238" s="23"/>
      <c r="I238" s="16">
        <v>0</v>
      </c>
      <c r="J238" s="15">
        <v>1099</v>
      </c>
      <c r="K238" s="15">
        <v>2164</v>
      </c>
      <c r="L238" s="18">
        <v>0</v>
      </c>
      <c r="M238" s="21">
        <f>VLOOKUP($K238,'[4]blood tubes 2017'!$D$1:$L$647,8,FALSE)</f>
        <v>0</v>
      </c>
      <c r="N238" s="15">
        <v>0</v>
      </c>
      <c r="O238" s="15" t="s">
        <v>119</v>
      </c>
      <c r="P238" s="23" t="s">
        <v>119</v>
      </c>
      <c r="Q238" s="16">
        <v>0</v>
      </c>
      <c r="R238" s="23">
        <v>52</v>
      </c>
      <c r="S238" s="23"/>
      <c r="T238" s="23" t="s">
        <v>127</v>
      </c>
      <c r="U238" s="23" t="s">
        <v>174</v>
      </c>
      <c r="V238" s="23" t="s">
        <v>114</v>
      </c>
      <c r="W238" s="16">
        <f>AI238/AG238</f>
        <v>0.875</v>
      </c>
      <c r="X238" s="23" t="s">
        <v>115</v>
      </c>
      <c r="Y238" s="23" t="s">
        <v>110</v>
      </c>
      <c r="Z238" s="23">
        <v>3</v>
      </c>
      <c r="AA238" s="23"/>
      <c r="AB238" s="23"/>
      <c r="AC238" s="23"/>
      <c r="AD238" s="23"/>
      <c r="AE238" s="23" t="s">
        <v>116</v>
      </c>
      <c r="AF238" s="23" t="s">
        <v>116</v>
      </c>
      <c r="AG238" s="23">
        <f>AH238-AI238</f>
        <v>88</v>
      </c>
      <c r="AH238" s="23">
        <v>165</v>
      </c>
      <c r="AI238" s="23">
        <v>77</v>
      </c>
      <c r="AJ238" s="23"/>
      <c r="AK238" s="23">
        <v>20</v>
      </c>
      <c r="AL238" s="23">
        <v>0</v>
      </c>
      <c r="AM238" s="23">
        <v>0</v>
      </c>
      <c r="AN238" s="23">
        <v>0</v>
      </c>
      <c r="AO238" s="23">
        <v>0</v>
      </c>
      <c r="AP238" s="23">
        <f>SUM(AL238:AN238)</f>
        <v>0</v>
      </c>
      <c r="AQ238" s="23">
        <v>1.7909999999999999</v>
      </c>
      <c r="AR238" s="23">
        <f>AP238-1.472</f>
        <v>-1.472</v>
      </c>
      <c r="AS238" s="23">
        <f>AQ238-1.472</f>
        <v>0.31899999999999995</v>
      </c>
      <c r="AT238" s="23" t="str">
        <f>VLOOKUP(K238,'[5]FECs - good data'!$C$1:$P$575,13,FALSE)</f>
        <v>SB</v>
      </c>
      <c r="AU238" s="23"/>
      <c r="AV238" s="23"/>
      <c r="AW238" s="25">
        <f>IF(AX238&gt;0,1,0)</f>
        <v>1</v>
      </c>
      <c r="AX238" s="25">
        <f>SUM(BA238,BM238,CT238)</f>
        <v>3</v>
      </c>
      <c r="AY238" s="25">
        <f>SUM(BB238,BN238,CV238)</f>
        <v>9.4043887147335425</v>
      </c>
      <c r="AZ238" s="18">
        <f>IF(BA238&gt;0,1,0)</f>
        <v>0</v>
      </c>
      <c r="BA238" s="25">
        <f>SUM(BC238,BF238,BI238)</f>
        <v>0</v>
      </c>
      <c r="BB238" s="25">
        <f>SUM(BE238,BH238,BK238)</f>
        <v>0</v>
      </c>
      <c r="BC238" s="18">
        <f>IF(BD238&gt;0,1,0)</f>
        <v>0</v>
      </c>
      <c r="BD238" s="25">
        <f>VLOOKUP($K238,'[5]FECs - good data'!$C$1:$Z$574,14,FALSE)</f>
        <v>0</v>
      </c>
      <c r="BE238" s="23">
        <f>BD238/AS238</f>
        <v>0</v>
      </c>
      <c r="BF238" s="16">
        <f>IF(BG238&gt;0,1,0)</f>
        <v>0</v>
      </c>
      <c r="BG238" s="23">
        <f>VLOOKUP($K238,'[5]FECs - good data'!$C$1:$Z$574,15,FALSE)</f>
        <v>0</v>
      </c>
      <c r="BH238" s="23">
        <f>BG238/AS238</f>
        <v>0</v>
      </c>
      <c r="BI238" s="16">
        <f>IF(BJ238&gt;0,1,0)</f>
        <v>0</v>
      </c>
      <c r="BJ238" s="23">
        <f>VLOOKUP($K238,'[5]FECs - good data'!$C$1:$Z$574,16,FALSE)</f>
        <v>0</v>
      </c>
      <c r="BK238" s="23">
        <f>BJ238/AS238</f>
        <v>0</v>
      </c>
      <c r="BL238" s="16">
        <f>IF(BM238&gt;0,1,0)</f>
        <v>1</v>
      </c>
      <c r="BM238" s="16">
        <f>SUM(BR238,BU238,BX238,CA238,CD238,CG238,CJ238,CM238,CP238)</f>
        <v>3</v>
      </c>
      <c r="BN238" s="16">
        <f>SUM(BW238,BZ238,CC238,CF238,CI238,CL238,CO238,CR238,BT238)</f>
        <v>9.4043887147335425</v>
      </c>
      <c r="BO238" s="16">
        <f>IF(BP238&gt;0,1,0)</f>
        <v>1</v>
      </c>
      <c r="BP238" s="16">
        <f>SUM(BU238,BX238,CA238,CD238,BR238)</f>
        <v>2</v>
      </c>
      <c r="BQ238" s="16">
        <f>SUM(BZ238,CC238,CF238,BT238,BW238)</f>
        <v>6.269592476489029</v>
      </c>
      <c r="BR238" s="16">
        <f>IF(BS238&gt;0,1,0)</f>
        <v>0</v>
      </c>
      <c r="BS238" s="23">
        <f>VLOOKUP($K238,'[5]FECs - good data'!$C$1:$Z$574,17,FALSE)</f>
        <v>0</v>
      </c>
      <c r="BT238" s="23">
        <f>BS238/AS238</f>
        <v>0</v>
      </c>
      <c r="BU238" s="16">
        <f>IF(BV238&gt;0,1,0)</f>
        <v>0</v>
      </c>
      <c r="BV238" s="23">
        <f>VLOOKUP($K238,'[5]FECs - good data'!$C$1:$Z$574,18,FALSE)</f>
        <v>0</v>
      </c>
      <c r="BW238" s="16">
        <f>BV238/AS238</f>
        <v>0</v>
      </c>
      <c r="BX238" s="16">
        <f>IF(BY238&gt;0,1,0)</f>
        <v>0</v>
      </c>
      <c r="BY238" s="23">
        <f>VLOOKUP($K238,'[5]FECs - good data'!$C$1:$Z$574,19,FALSE)</f>
        <v>0</v>
      </c>
      <c r="BZ238" s="16">
        <f>BY238/AS238</f>
        <v>0</v>
      </c>
      <c r="CA238" s="16">
        <f>IF(CB238&gt;0,1,0)</f>
        <v>1</v>
      </c>
      <c r="CB238" s="23">
        <f>VLOOKUP($K238,'[5]FECs - good data'!$C$1:$Z$574,20,FALSE)</f>
        <v>1</v>
      </c>
      <c r="CC238" s="23">
        <f>CB238/AS238</f>
        <v>3.1347962382445145</v>
      </c>
      <c r="CD238" s="23">
        <f>IF(CE238&gt;0,1,0)</f>
        <v>1</v>
      </c>
      <c r="CE238" s="23">
        <f>VLOOKUP($K238,'[5]FECs - good data'!$C$1:$Z$574,21,FALSE)</f>
        <v>1</v>
      </c>
      <c r="CF238" s="23">
        <f>CE238/AS238</f>
        <v>3.1347962382445145</v>
      </c>
      <c r="CG238" s="23">
        <f>IF(CH238&gt;0,1,0)</f>
        <v>0</v>
      </c>
      <c r="CH238" s="23">
        <f>VLOOKUP($K238,'[5]FECs - good data'!$C$1:$Z$574,22,FALSE)</f>
        <v>0</v>
      </c>
      <c r="CI238" s="23">
        <f>CH238/AS238</f>
        <v>0</v>
      </c>
      <c r="CJ238" s="23">
        <f>IF(CK238&gt;0,1,0)</f>
        <v>1</v>
      </c>
      <c r="CK238" s="23">
        <f>VLOOKUP($K238,'[5]FECs - good data'!$C$1:$Z$674,24,FALSE)</f>
        <v>1</v>
      </c>
      <c r="CL238" s="23">
        <f>CK238/AS238</f>
        <v>3.1347962382445145</v>
      </c>
      <c r="CM238" s="23"/>
      <c r="CN238" s="23"/>
      <c r="CO238" s="23"/>
      <c r="CP238" s="23"/>
      <c r="CQ238" s="23"/>
      <c r="CR238" s="23"/>
      <c r="CS238" s="16">
        <f>IF(CT238&gt;0,1,0)</f>
        <v>0</v>
      </c>
      <c r="CT238" s="16">
        <f>SUM(CW238+CZ238,DC238)</f>
        <v>0</v>
      </c>
      <c r="CV238" s="23">
        <f>SUM(CY238,DB238,DE238)</f>
        <v>0</v>
      </c>
      <c r="CW238" s="16">
        <f>IF(CX238&gt;0,1,0)</f>
        <v>0</v>
      </c>
      <c r="CX238" s="23">
        <f>VLOOKUP($K238,'[5]FECs - good data'!$C$1:$Z$574,22,FALSE)</f>
        <v>0</v>
      </c>
      <c r="CY238" s="23">
        <f>CX238/AS238</f>
        <v>0</v>
      </c>
      <c r="CZ238" s="23">
        <f>IF(DA238&gt;0,1,0)</f>
        <v>0</v>
      </c>
      <c r="DA238" s="23">
        <f>VLOOKUP($K238,'[5]FECs - good data'!$C$1:$Z$5982,23,FALSE)</f>
        <v>0</v>
      </c>
      <c r="DB238" s="23">
        <f>DA238/AS238</f>
        <v>0</v>
      </c>
      <c r="DC238" s="23">
        <f>IF(DD238&gt;0,1,0)</f>
        <v>0</v>
      </c>
      <c r="DD238" s="23">
        <f>VLOOKUP($K238,'[5]FECs - good data'!$C$1:$Z$574,23,FALSE)</f>
        <v>0</v>
      </c>
      <c r="DE238" s="23">
        <f>DD238/AS238</f>
        <v>0</v>
      </c>
      <c r="DF238" s="16" t="e">
        <f>VLOOKUP(K238,'[3]RNA Seq summary tables'!$V$3:$V$99,1,FALSE)</f>
        <v>#N/A</v>
      </c>
      <c r="DG238" s="16">
        <v>1</v>
      </c>
      <c r="DH238" s="16" t="str">
        <f>VLOOKUP(D238,'[6]workflow 3.2018'!$A$1:$S$237,2,FALSE)</f>
        <v>2017MLBS_157</v>
      </c>
      <c r="DI238" s="23"/>
      <c r="DJ238" s="23"/>
      <c r="DK238" s="23"/>
      <c r="DL238" s="23"/>
      <c r="DM238" s="23"/>
      <c r="DN238" s="23"/>
      <c r="DO238" s="23"/>
      <c r="DP238" s="23"/>
      <c r="DQ238" s="23"/>
      <c r="DR238" s="23"/>
      <c r="DS238" s="23"/>
      <c r="JO238" s="38"/>
      <c r="JP238" s="38"/>
      <c r="JQ238" s="38"/>
    </row>
    <row r="239" spans="2:288" s="18" customFormat="1" ht="16" x14ac:dyDescent="0.2">
      <c r="B239" s="16">
        <v>2017</v>
      </c>
      <c r="C239" s="20">
        <v>42975</v>
      </c>
      <c r="D239" s="20" t="str">
        <f>CONCATENATE(J239,"-",C239)</f>
        <v>1099-42975</v>
      </c>
      <c r="E239" s="37" t="str">
        <f>CONCATENATE(T239,"-",U239,"-",C239)</f>
        <v>PO2-G1-42975</v>
      </c>
      <c r="F239" s="37" t="s">
        <v>224</v>
      </c>
      <c r="G239" s="20" t="s">
        <v>107</v>
      </c>
      <c r="H239" s="16"/>
      <c r="I239" s="16">
        <v>0</v>
      </c>
      <c r="J239" s="21">
        <v>1099</v>
      </c>
      <c r="K239" s="21">
        <v>2291</v>
      </c>
      <c r="L239" s="18">
        <v>0</v>
      </c>
      <c r="M239" s="21">
        <f>VLOOKUP($K239,'[4]blood tubes 2017'!$D$1:$L$947,8,FALSE)</f>
        <v>0</v>
      </c>
      <c r="N239" s="15">
        <v>0</v>
      </c>
      <c r="O239" s="15" t="s">
        <v>119</v>
      </c>
      <c r="P239" s="16" t="s">
        <v>119</v>
      </c>
      <c r="Q239" s="16">
        <v>0</v>
      </c>
      <c r="R239" s="16">
        <v>12</v>
      </c>
      <c r="S239" s="16"/>
      <c r="T239" s="16" t="s">
        <v>127</v>
      </c>
      <c r="U239" s="16" t="s">
        <v>155</v>
      </c>
      <c r="V239" s="16" t="s">
        <v>114</v>
      </c>
      <c r="W239" s="16">
        <f>AI239/AG239</f>
        <v>0.90909090909090906</v>
      </c>
      <c r="X239" s="16" t="s">
        <v>115</v>
      </c>
      <c r="Y239" s="16" t="s">
        <v>110</v>
      </c>
      <c r="Z239" s="16">
        <v>3</v>
      </c>
      <c r="AA239" s="16"/>
      <c r="AB239" s="16"/>
      <c r="AC239" s="16"/>
      <c r="AD239" s="16"/>
      <c r="AE239" s="16" t="s">
        <v>116</v>
      </c>
      <c r="AF239" s="16" t="s">
        <v>116</v>
      </c>
      <c r="AG239" s="16">
        <f>AH239-AI239</f>
        <v>88</v>
      </c>
      <c r="AH239" s="16">
        <v>168</v>
      </c>
      <c r="AI239" s="16">
        <v>80</v>
      </c>
      <c r="AJ239" s="16"/>
      <c r="AK239" s="16">
        <v>21.5</v>
      </c>
      <c r="AL239" s="16">
        <v>0</v>
      </c>
      <c r="AM239" s="16">
        <v>0</v>
      </c>
      <c r="AN239" s="16">
        <v>0</v>
      </c>
      <c r="AO239" s="16">
        <v>0</v>
      </c>
      <c r="AP239" s="16">
        <f>SUM(AL239:AN239)</f>
        <v>0</v>
      </c>
      <c r="AQ239" s="16">
        <v>1.6639999999999999</v>
      </c>
      <c r="AR239" s="16">
        <f>AP239-1.472</f>
        <v>-1.472</v>
      </c>
      <c r="AS239" s="16">
        <f>AQ239-1.472</f>
        <v>0.19199999999999995</v>
      </c>
      <c r="AT239" s="16" t="str">
        <f>VLOOKUP(E239,[2]Current!$A$1:$W$435,7,FALSE)</f>
        <v>LV</v>
      </c>
      <c r="AU239" s="16" t="s">
        <v>1288</v>
      </c>
      <c r="AV239" s="16"/>
      <c r="AW239" s="128">
        <f>IF(AX239&gt;0,1,0)</f>
        <v>1</v>
      </c>
      <c r="AX239" s="128">
        <f>SUM(BA239,BM239,CU239)</f>
        <v>1</v>
      </c>
      <c r="AY239" s="128">
        <f>SUM(BB239,BN239,CV239)</f>
        <v>10.41666666666667</v>
      </c>
      <c r="AZ239" s="128">
        <f>IF(BA239&gt;0,1,0)</f>
        <v>1</v>
      </c>
      <c r="BA239" s="128">
        <f>SUM(BC239+BF239+BI239)</f>
        <v>1</v>
      </c>
      <c r="BB239" s="128">
        <f>SUM(BE239,BH239,BK239)</f>
        <v>10.41666666666667</v>
      </c>
      <c r="BC239" s="130">
        <f>IF(BD239&gt;0,1,0)</f>
        <v>0</v>
      </c>
      <c r="BD239" s="128">
        <f>VLOOKUP($E239,[2]Current!$A:$AC,26,FALSE)</f>
        <v>0</v>
      </c>
      <c r="BE239" s="128">
        <f>BD239/$AS239</f>
        <v>0</v>
      </c>
      <c r="BF239" s="130">
        <f>IF(BG239&gt;0,1,0)</f>
        <v>1</v>
      </c>
      <c r="BG239" s="175">
        <f>VLOOKUP($E239,[2]Current!$A:$AC,27,FALSE)</f>
        <v>2</v>
      </c>
      <c r="BH239" s="128">
        <f>BG239/$AS239</f>
        <v>10.41666666666667</v>
      </c>
      <c r="BI239" s="130">
        <f>IF(BJ239&gt;0,1,0)</f>
        <v>0</v>
      </c>
      <c r="BJ239" s="128">
        <f>VLOOKUP($E239,[2]Current!$A:$AC,28,FALSE)</f>
        <v>0</v>
      </c>
      <c r="BK239" s="128">
        <f>BJ239/$AS239</f>
        <v>0</v>
      </c>
      <c r="BL239" s="128">
        <f>IF(BM239&gt;0,1,0)</f>
        <v>0</v>
      </c>
      <c r="BM239" s="128">
        <f>SUM(BR239,BU239,BX239,CA239,CD239)</f>
        <v>0</v>
      </c>
      <c r="BN239" s="131">
        <f>SUM(BT239,BW239,BZ239,CC239,CF239)</f>
        <v>0</v>
      </c>
      <c r="BO239" s="128">
        <f>IF(BP239&gt;0,1,0)</f>
        <v>0</v>
      </c>
      <c r="BP239" s="128">
        <f>BM239+CJ239</f>
        <v>0</v>
      </c>
      <c r="BQ239" s="128">
        <f>BN239+CL239</f>
        <v>0</v>
      </c>
      <c r="BR239" s="130">
        <f>IF(BS239&gt;0,1,0)</f>
        <v>0</v>
      </c>
      <c r="BS239" s="128">
        <f>VLOOKUP($E239,[2]Current!$A:$AC,12,FALSE)</f>
        <v>0</v>
      </c>
      <c r="BT239" s="175">
        <f>BS239/$AS239</f>
        <v>0</v>
      </c>
      <c r="BU239" s="130">
        <f>IF(BV239&gt;0,1,0)</f>
        <v>0</v>
      </c>
      <c r="BV239" s="128">
        <f>VLOOKUP($E239,[2]Current!$A:$AC,13,FALSE)</f>
        <v>0</v>
      </c>
      <c r="BW239" s="128">
        <f>BV239/$AS239</f>
        <v>0</v>
      </c>
      <c r="BX239" s="130">
        <f>IF(BY239&gt;0,1,0)</f>
        <v>0</v>
      </c>
      <c r="BY239" s="128">
        <f>VLOOKUP($E239,[2]Current!$A:$AC,14,FALSE)</f>
        <v>0</v>
      </c>
      <c r="BZ239" s="128">
        <f>BY239/$AS239</f>
        <v>0</v>
      </c>
      <c r="CA239" s="130">
        <f>IF(CB239&gt;0,1,0)</f>
        <v>0</v>
      </c>
      <c r="CB239" s="128">
        <f>VLOOKUP($E239,[2]Current!$A:$AC,15,FALSE)</f>
        <v>0</v>
      </c>
      <c r="CC239" s="128">
        <f>CB239/$AS239</f>
        <v>0</v>
      </c>
      <c r="CD239" s="176">
        <f>IF(CE239&gt;0,1,0)</f>
        <v>0</v>
      </c>
      <c r="CE239" s="128">
        <f>VLOOKUP($E239,[2]Current!$A:$AC,16,FALSE)</f>
        <v>0</v>
      </c>
      <c r="CF239" s="128">
        <f>CE239/$AS239</f>
        <v>0</v>
      </c>
      <c r="CJ239" s="130">
        <f>IF(CK239&gt;0,1,0)</f>
        <v>0</v>
      </c>
      <c r="CK239" s="128">
        <f>VLOOKUP($E239,[2]Current!$A:$AC,18,FALSE)</f>
        <v>0</v>
      </c>
      <c r="CL239" s="128">
        <f>CK239/$AS239</f>
        <v>0</v>
      </c>
      <c r="CM239" s="16"/>
      <c r="CN239" s="16"/>
      <c r="CO239" s="16"/>
      <c r="CP239" s="16"/>
      <c r="CQ239" s="16"/>
      <c r="CR239" s="16"/>
      <c r="CS239" s="130">
        <f>IF(CU239&gt;0,1,0)</f>
        <v>0</v>
      </c>
      <c r="CT239" s="16"/>
      <c r="CU239" s="128">
        <f>VLOOKUP($E239,[2]Current!$A:$AC,17,FALSE)</f>
        <v>0</v>
      </c>
      <c r="CV239" s="128">
        <f>CU239/$AS239</f>
        <v>0</v>
      </c>
      <c r="CZ239" s="16"/>
      <c r="DA239" s="16"/>
      <c r="DB239" s="16"/>
      <c r="DC239" s="16"/>
      <c r="DD239" s="16"/>
      <c r="DE239" s="16"/>
      <c r="DF239" s="16" t="e">
        <f>VLOOKUP(K239,'[3]RNA Seq summary tables'!$V$3:$V$99,1,FALSE)</f>
        <v>#N/A</v>
      </c>
      <c r="DG239" s="16">
        <v>1</v>
      </c>
      <c r="DH239" s="16" t="str">
        <f>VLOOKUP(D239,'[6]workflow 3.2018'!$A$1:$S$237,2,FALSE)</f>
        <v>2017MLBS_210</v>
      </c>
      <c r="DI239" s="16"/>
      <c r="DJ239" s="16"/>
      <c r="DK239" s="16"/>
      <c r="DL239" s="16"/>
      <c r="DM239" s="16"/>
      <c r="DN239" s="16"/>
      <c r="DO239" s="16"/>
      <c r="DP239" s="16"/>
      <c r="DQ239" s="16"/>
      <c r="DR239" s="16"/>
      <c r="DS239" s="16"/>
      <c r="JO239" s="16"/>
      <c r="JP239" s="16"/>
      <c r="JQ239" s="16"/>
      <c r="JR239" s="16"/>
      <c r="JS239" s="16"/>
      <c r="JT239" s="16"/>
      <c r="JU239" s="16"/>
      <c r="JV239" s="16"/>
      <c r="JW239" s="16"/>
      <c r="JX239" s="16"/>
      <c r="JY239" s="16"/>
      <c r="JZ239" s="16"/>
      <c r="KA239" s="16"/>
      <c r="KB239" s="16"/>
    </row>
    <row r="240" spans="2:288" x14ac:dyDescent="0.2">
      <c r="B240" s="16">
        <v>2017</v>
      </c>
      <c r="C240" s="66">
        <v>42896</v>
      </c>
      <c r="D240" s="66" t="str">
        <f>CONCATENATE(J240,"-",C240)</f>
        <v>1101-42896</v>
      </c>
      <c r="E240" s="20" t="str">
        <f>CONCATENATE(T240,"-",U240,"-",C240)</f>
        <v>HW2-C5-42896</v>
      </c>
      <c r="F240" s="20" t="s">
        <v>106</v>
      </c>
      <c r="G240" s="20" t="s">
        <v>107</v>
      </c>
      <c r="I240" s="16">
        <v>0</v>
      </c>
      <c r="J240" s="21">
        <v>1101</v>
      </c>
      <c r="K240" s="21">
        <v>1651</v>
      </c>
      <c r="L240" s="18">
        <v>0</v>
      </c>
      <c r="M240" s="21">
        <f>VLOOKUP($K240,'[4]blood tubes 2017'!$D$1:$L$647,8,FALSE)</f>
        <v>0</v>
      </c>
      <c r="N240" s="15">
        <v>0</v>
      </c>
      <c r="O240" s="15" t="s">
        <v>119</v>
      </c>
      <c r="P240" s="16" t="s">
        <v>119</v>
      </c>
      <c r="Q240" s="16">
        <v>0</v>
      </c>
      <c r="R240" s="16" t="s">
        <v>111</v>
      </c>
      <c r="T240" s="16" t="s">
        <v>129</v>
      </c>
      <c r="U240" s="16" t="s">
        <v>172</v>
      </c>
      <c r="V240" s="16" t="s">
        <v>114</v>
      </c>
      <c r="W240" s="16">
        <f>AI240/AG240</f>
        <v>1</v>
      </c>
      <c r="X240" s="16" t="s">
        <v>115</v>
      </c>
      <c r="Y240" s="16" t="s">
        <v>110</v>
      </c>
      <c r="Z240" s="16">
        <v>3</v>
      </c>
      <c r="AE240" s="16" t="s">
        <v>123</v>
      </c>
      <c r="AF240" s="16" t="s">
        <v>123</v>
      </c>
      <c r="AG240" s="16">
        <f>AH240-AI240</f>
        <v>87</v>
      </c>
      <c r="AH240" s="16">
        <v>174</v>
      </c>
      <c r="AI240" s="16">
        <v>87</v>
      </c>
      <c r="AK240" s="16">
        <v>21</v>
      </c>
      <c r="AL240" s="16">
        <v>0</v>
      </c>
      <c r="AM240" s="16">
        <v>0</v>
      </c>
      <c r="AN240" s="16">
        <v>0</v>
      </c>
      <c r="AO240" s="16">
        <v>0</v>
      </c>
      <c r="AP240" s="16">
        <f>SUM(AL240:AN240)</f>
        <v>0</v>
      </c>
      <c r="AQ240" s="16">
        <v>1.6850000000000001</v>
      </c>
      <c r="AR240" s="16">
        <f>AP240-1.472</f>
        <v>-1.472</v>
      </c>
      <c r="AS240" s="16">
        <f>AQ240-1.472</f>
        <v>0.21300000000000008</v>
      </c>
      <c r="AT240" s="16" t="s">
        <v>233</v>
      </c>
      <c r="AV240" s="16">
        <v>1</v>
      </c>
      <c r="AW240" s="16">
        <f>IF(AX240&gt;0,1,0)</f>
        <v>0</v>
      </c>
      <c r="AX240" s="16">
        <f>SUM(BA240,BM240,CT240)</f>
        <v>0</v>
      </c>
      <c r="AY240" s="18">
        <f>SUM(BB240,BN240,CV240)</f>
        <v>0</v>
      </c>
      <c r="AZ240" s="16">
        <f>IF(BA240&gt;0,1,0)</f>
        <v>0</v>
      </c>
      <c r="BA240" s="16">
        <f>SUM(BC240,BF240,BI240)</f>
        <v>0</v>
      </c>
      <c r="BB240" s="16">
        <f>SUM(BE240,BH240,BK240)</f>
        <v>0</v>
      </c>
      <c r="BC240" s="16">
        <v>0</v>
      </c>
      <c r="BD240" s="16">
        <v>0</v>
      </c>
      <c r="BE240" s="16">
        <f>BD240/AS240</f>
        <v>0</v>
      </c>
      <c r="BF240" s="16">
        <v>0</v>
      </c>
      <c r="BG240" s="23">
        <v>0</v>
      </c>
      <c r="BH240" s="16">
        <f>BG240/AS240</f>
        <v>0</v>
      </c>
      <c r="BI240" s="16">
        <v>0</v>
      </c>
      <c r="BJ240" s="16">
        <v>0</v>
      </c>
      <c r="BK240" s="16">
        <f>BJ240/AS240</f>
        <v>0</v>
      </c>
      <c r="BL240" s="16">
        <f>IF(BM240&gt;0,1,0)</f>
        <v>0</v>
      </c>
      <c r="BM240" s="16">
        <f>SUM(BR240,BU240,BX240,CA240,CD240,CG240,CJ240,CM240,CP240)</f>
        <v>0</v>
      </c>
      <c r="BN240" s="16">
        <f>SUM(BW240,BZ240,CC240,CF240,CI240,CL240,CO240,CR240,BT240)</f>
        <v>0</v>
      </c>
      <c r="BO240" s="16">
        <f>IF(BP240&gt;0,1,0)</f>
        <v>0</v>
      </c>
      <c r="BP240" s="16">
        <f>SUM(BU240,BX240,CA240,CD240,BR240)</f>
        <v>0</v>
      </c>
      <c r="BQ240" s="16">
        <f>SUM(BZ240,CC240,CF240,BT240,BW240)</f>
        <v>0</v>
      </c>
      <c r="BR240" s="16">
        <v>0</v>
      </c>
      <c r="BS240" s="16">
        <v>0</v>
      </c>
      <c r="BT240" s="23">
        <f>BS240/AS240</f>
        <v>0</v>
      </c>
      <c r="BU240" s="16">
        <v>0</v>
      </c>
      <c r="BV240" s="16">
        <v>0</v>
      </c>
      <c r="BW240" s="16">
        <f>BV240/AS240</f>
        <v>0</v>
      </c>
      <c r="BX240" s="16">
        <v>0</v>
      </c>
      <c r="BY240" s="16">
        <v>0</v>
      </c>
      <c r="BZ240" s="16">
        <f>BY240/AS240</f>
        <v>0</v>
      </c>
      <c r="CA240" s="16">
        <v>0</v>
      </c>
      <c r="CB240" s="16">
        <v>0</v>
      </c>
      <c r="CC240" s="16">
        <f>CB240/AS240</f>
        <v>0</v>
      </c>
      <c r="CD240" s="23">
        <v>0</v>
      </c>
      <c r="CE240" s="16">
        <v>0</v>
      </c>
      <c r="CF240" s="16">
        <f>CE240/AS240</f>
        <v>0</v>
      </c>
      <c r="CG240" s="16">
        <v>0</v>
      </c>
      <c r="CH240" s="16">
        <v>0</v>
      </c>
      <c r="CI240" s="16">
        <f>CH240/AS240</f>
        <v>0</v>
      </c>
      <c r="CM240" s="16">
        <v>0</v>
      </c>
      <c r="CN240" s="16">
        <v>0</v>
      </c>
      <c r="CO240" s="16">
        <f>CN240/AS240</f>
        <v>0</v>
      </c>
      <c r="CP240" s="16">
        <v>0</v>
      </c>
      <c r="CQ240" s="16">
        <v>0</v>
      </c>
      <c r="CR240" s="16">
        <f>CQ240/AS240</f>
        <v>0</v>
      </c>
      <c r="CS240" s="16">
        <f>IF(CT240&gt;0,1,0)</f>
        <v>0</v>
      </c>
      <c r="CT240" s="16">
        <f>SUM(CW240,CZ240,DC240)</f>
        <v>0</v>
      </c>
      <c r="CV240" s="16">
        <f>SUM(CY240,DB240,DE240)</f>
        <v>0</v>
      </c>
      <c r="CW240" s="16">
        <v>0</v>
      </c>
      <c r="CX240" s="16">
        <v>0</v>
      </c>
      <c r="CY240" s="16">
        <f>CX240/AS240</f>
        <v>0</v>
      </c>
      <c r="CZ240" s="16">
        <v>0</v>
      </c>
      <c r="DA240" s="16">
        <v>0</v>
      </c>
      <c r="DB240" s="16">
        <f>DA240/AS240</f>
        <v>0</v>
      </c>
      <c r="DC240" s="16">
        <v>0</v>
      </c>
      <c r="DD240" s="16">
        <v>0</v>
      </c>
      <c r="DE240" s="16">
        <f>DD240/AS240</f>
        <v>0</v>
      </c>
      <c r="DF240" s="16" t="e">
        <f>VLOOKUP(K240,'[3]RNA Seq summary tables'!$V$3:$V$99,1,FALSE)</f>
        <v>#N/A</v>
      </c>
      <c r="DI240" s="16">
        <v>55</v>
      </c>
      <c r="DK240" s="16">
        <v>20</v>
      </c>
      <c r="DM240" s="16">
        <v>25</v>
      </c>
      <c r="DO240" s="16">
        <v>0</v>
      </c>
      <c r="DQ240" s="16">
        <v>0</v>
      </c>
      <c r="DR240" s="16">
        <v>100</v>
      </c>
    </row>
    <row r="241" spans="2:288" x14ac:dyDescent="0.2">
      <c r="B241" s="16">
        <v>2017</v>
      </c>
      <c r="C241" s="20">
        <v>42914</v>
      </c>
      <c r="D241" s="20" t="str">
        <f>CONCATENATE(J241,"-",C241)</f>
        <v>1101-42914</v>
      </c>
      <c r="E241" s="20" t="str">
        <f>CONCATENATE(T241,"-",U241,"-",C241)</f>
        <v>HW2-B8-42914</v>
      </c>
      <c r="F241" s="20" t="s">
        <v>106</v>
      </c>
      <c r="G241" s="20" t="s">
        <v>107</v>
      </c>
      <c r="I241" s="16">
        <v>0</v>
      </c>
      <c r="J241" s="21">
        <v>1101</v>
      </c>
      <c r="K241" s="21">
        <v>1769</v>
      </c>
      <c r="L241" s="18">
        <v>0</v>
      </c>
      <c r="M241" s="21">
        <f>VLOOKUP($K241,'[4]blood tubes 2017'!$D$1:$L$647,8,FALSE)</f>
        <v>0</v>
      </c>
      <c r="N241" s="15">
        <v>0</v>
      </c>
      <c r="O241" s="15" t="s">
        <v>119</v>
      </c>
      <c r="P241" s="16" t="s">
        <v>119</v>
      </c>
      <c r="Q241" s="16">
        <v>0</v>
      </c>
      <c r="R241" s="16">
        <v>18</v>
      </c>
      <c r="T241" s="16" t="s">
        <v>129</v>
      </c>
      <c r="U241" s="16" t="s">
        <v>209</v>
      </c>
      <c r="V241" s="16" t="s">
        <v>114</v>
      </c>
      <c r="W241" s="16">
        <f>AI241/AG241</f>
        <v>0.90322580645161288</v>
      </c>
      <c r="X241" s="16" t="s">
        <v>115</v>
      </c>
      <c r="Y241" s="16" t="s">
        <v>110</v>
      </c>
      <c r="Z241" s="16">
        <v>3</v>
      </c>
      <c r="AE241" s="16" t="s">
        <v>123</v>
      </c>
      <c r="AF241" s="16" t="s">
        <v>123</v>
      </c>
      <c r="AG241" s="16">
        <f>AH241-AI241</f>
        <v>93</v>
      </c>
      <c r="AH241" s="16">
        <v>177</v>
      </c>
      <c r="AI241" s="16">
        <v>84</v>
      </c>
      <c r="AK241" s="16">
        <v>21</v>
      </c>
      <c r="AL241" s="16">
        <v>0</v>
      </c>
      <c r="AM241" s="16">
        <v>0</v>
      </c>
      <c r="AN241" s="16">
        <v>0</v>
      </c>
      <c r="AO241" s="16">
        <v>0</v>
      </c>
      <c r="AP241" s="16">
        <f>SUM(AL241:AN241)</f>
        <v>0</v>
      </c>
      <c r="AQ241" s="16">
        <v>1.907</v>
      </c>
      <c r="AR241" s="16">
        <f>AP241-1.472</f>
        <v>-1.472</v>
      </c>
      <c r="AS241" s="16">
        <f>AQ241-1.472</f>
        <v>0.43500000000000005</v>
      </c>
      <c r="AT241" s="16" t="s">
        <v>119</v>
      </c>
      <c r="AW241" s="16">
        <f>IF(AX241&gt;0,1,0)</f>
        <v>1</v>
      </c>
      <c r="AX241" s="16">
        <f>SUM(BA241,BM241,CT241)</f>
        <v>3</v>
      </c>
      <c r="AY241" s="18">
        <f>SUM(BB241,BN241,CV241)</f>
        <v>719.54022988505744</v>
      </c>
      <c r="AZ241" s="16">
        <v>1</v>
      </c>
      <c r="BA241" s="16">
        <v>2</v>
      </c>
      <c r="BB241" s="16">
        <f>SUM(BE241,BH241,BK241)</f>
        <v>717.24137931034477</v>
      </c>
      <c r="BC241" s="16">
        <v>1</v>
      </c>
      <c r="BD241" s="16">
        <v>56</v>
      </c>
      <c r="BE241" s="16">
        <f>BD241/AS241</f>
        <v>128.73563218390802</v>
      </c>
      <c r="BF241" s="16">
        <v>1</v>
      </c>
      <c r="BG241" s="23">
        <v>256</v>
      </c>
      <c r="BH241" s="16">
        <f>BG241/AS241</f>
        <v>588.50574712643675</v>
      </c>
      <c r="BI241" s="16">
        <v>0</v>
      </c>
      <c r="BJ241" s="16">
        <v>0</v>
      </c>
      <c r="BK241" s="16">
        <f>BJ241/AS241</f>
        <v>0</v>
      </c>
      <c r="BL241" s="16">
        <f>IF(BM241&gt;0,1,0)</f>
        <v>1</v>
      </c>
      <c r="BM241" s="16">
        <f>SUM(BR241,BU241,BX241,CA241,CD241,CG241,CJ241,CM241,CP241)</f>
        <v>1</v>
      </c>
      <c r="BN241" s="16">
        <f>SUM(BW241,BZ241,CC241,CF241,CI241,CL241,CO241,CR241,BT241)</f>
        <v>2.2988505747126435</v>
      </c>
      <c r="BO241" s="16">
        <f>IF(BP241&gt;0,1,0)</f>
        <v>0</v>
      </c>
      <c r="BP241" s="16">
        <f>SUM(BU241,BX241,CA241,CD241,BR241)</f>
        <v>0</v>
      </c>
      <c r="BQ241" s="16">
        <f>SUM(BZ241,CC241,CF241,BT241,BW241)</f>
        <v>0</v>
      </c>
      <c r="BR241" s="16">
        <v>0</v>
      </c>
      <c r="BS241" s="16">
        <v>0</v>
      </c>
      <c r="BT241" s="23">
        <f>BS241/AS241</f>
        <v>0</v>
      </c>
      <c r="BU241" s="16">
        <v>0</v>
      </c>
      <c r="BV241" s="16">
        <v>0</v>
      </c>
      <c r="BW241" s="16">
        <f>BV241/AS241</f>
        <v>0</v>
      </c>
      <c r="BX241" s="16">
        <v>0</v>
      </c>
      <c r="BY241" s="16">
        <v>0</v>
      </c>
      <c r="BZ241" s="16">
        <f>BY241/AS241</f>
        <v>0</v>
      </c>
      <c r="CA241" s="16">
        <v>0</v>
      </c>
      <c r="CB241" s="16">
        <v>0</v>
      </c>
      <c r="CC241" s="16">
        <f>CB241/AS241</f>
        <v>0</v>
      </c>
      <c r="CD241" s="23">
        <v>0</v>
      </c>
      <c r="CE241" s="16">
        <v>0</v>
      </c>
      <c r="CF241" s="16">
        <f>CE241/AS241</f>
        <v>0</v>
      </c>
      <c r="CG241" s="16">
        <v>1</v>
      </c>
      <c r="CH241" s="16">
        <v>1</v>
      </c>
      <c r="CI241" s="16">
        <f>CH241/AS241</f>
        <v>2.2988505747126435</v>
      </c>
      <c r="CM241" s="16">
        <v>0</v>
      </c>
      <c r="CN241" s="16">
        <v>0</v>
      </c>
      <c r="CO241" s="16">
        <f>CN241/AS241</f>
        <v>0</v>
      </c>
      <c r="CP241" s="16">
        <v>0</v>
      </c>
      <c r="CQ241" s="16">
        <v>0</v>
      </c>
      <c r="CR241" s="16">
        <f>CQ241/AS241</f>
        <v>0</v>
      </c>
      <c r="CS241" s="16">
        <v>0</v>
      </c>
      <c r="CT241" s="16">
        <v>0</v>
      </c>
      <c r="CV241" s="16">
        <f>SUM(CY241,DB241,DE241)</f>
        <v>0</v>
      </c>
      <c r="CW241" s="16">
        <v>0</v>
      </c>
      <c r="CX241" s="16">
        <v>0</v>
      </c>
      <c r="CY241" s="16">
        <f>CX241/AS241</f>
        <v>0</v>
      </c>
      <c r="CZ241" s="16">
        <v>0</v>
      </c>
      <c r="DA241" s="16">
        <v>0</v>
      </c>
      <c r="DB241" s="16">
        <f>DA241/AS241</f>
        <v>0</v>
      </c>
      <c r="DC241" s="16">
        <v>0</v>
      </c>
      <c r="DD241" s="16">
        <v>0</v>
      </c>
      <c r="DE241" s="16">
        <f>DD241/AS241</f>
        <v>0</v>
      </c>
      <c r="DF241" s="16" t="e">
        <f>VLOOKUP(K241,'[3]RNA Seq summary tables'!$V$3:$V$99,1,FALSE)</f>
        <v>#N/A</v>
      </c>
      <c r="DI241" s="16">
        <v>43</v>
      </c>
      <c r="DK241" s="16">
        <v>42</v>
      </c>
      <c r="DM241" s="16">
        <v>15</v>
      </c>
      <c r="DO241" s="16">
        <v>0</v>
      </c>
      <c r="DQ241" s="16">
        <v>0</v>
      </c>
      <c r="DR241" s="16">
        <f>SUM(DI241:DQ241)</f>
        <v>100</v>
      </c>
      <c r="JO241" s="18"/>
      <c r="JR241" s="27"/>
      <c r="JS241" s="27"/>
      <c r="JT241" s="27"/>
      <c r="JU241" s="27"/>
      <c r="JV241" s="27"/>
      <c r="JW241" s="27"/>
      <c r="JX241" s="27"/>
      <c r="JY241" s="27"/>
      <c r="JZ241" s="27"/>
      <c r="KA241" s="27"/>
      <c r="KB241" s="27"/>
    </row>
    <row r="242" spans="2:288" ht="16" x14ac:dyDescent="0.2">
      <c r="B242" s="16">
        <v>2017</v>
      </c>
      <c r="C242" s="20">
        <v>42930</v>
      </c>
      <c r="D242" s="20" t="str">
        <f>CONCATENATE(J242,"-",C242)</f>
        <v>1101-42930</v>
      </c>
      <c r="E242" s="37" t="str">
        <f>CONCATENATE(T242,"-",U242,"-",C242)</f>
        <v>HW2-H5-42930</v>
      </c>
      <c r="F242" s="20" t="s">
        <v>106</v>
      </c>
      <c r="G242" s="20" t="s">
        <v>107</v>
      </c>
      <c r="I242" s="16">
        <v>0</v>
      </c>
      <c r="J242" s="21">
        <v>1101</v>
      </c>
      <c r="K242" s="21">
        <v>1904</v>
      </c>
      <c r="L242" s="18">
        <v>0</v>
      </c>
      <c r="M242" s="21">
        <f>VLOOKUP($K242,'[4]blood tubes 2017'!$D$1:$L$647,8,FALSE)</f>
        <v>0</v>
      </c>
      <c r="N242" s="15">
        <v>0</v>
      </c>
      <c r="O242" s="15" t="s">
        <v>119</v>
      </c>
      <c r="P242" s="16" t="s">
        <v>119</v>
      </c>
      <c r="Q242" s="16">
        <v>0</v>
      </c>
      <c r="R242" s="16">
        <v>16</v>
      </c>
      <c r="T242" s="16" t="s">
        <v>129</v>
      </c>
      <c r="U242" s="16" t="s">
        <v>180</v>
      </c>
      <c r="V242" s="16" t="s">
        <v>114</v>
      </c>
      <c r="W242" s="16">
        <f>AI242/AG242</f>
        <v>0.92391304347826086</v>
      </c>
      <c r="X242" s="16" t="s">
        <v>115</v>
      </c>
      <c r="Y242" s="16" t="s">
        <v>110</v>
      </c>
      <c r="Z242" s="16">
        <v>3</v>
      </c>
      <c r="AE242" s="16" t="s">
        <v>116</v>
      </c>
      <c r="AF242" s="16" t="s">
        <v>116</v>
      </c>
      <c r="AG242" s="16">
        <f>AH242-AI242</f>
        <v>92</v>
      </c>
      <c r="AH242" s="16">
        <v>177</v>
      </c>
      <c r="AI242" s="16">
        <v>85</v>
      </c>
      <c r="AK242" s="16">
        <v>22.5</v>
      </c>
      <c r="AL242" s="16">
        <v>0</v>
      </c>
      <c r="AM242" s="16">
        <v>0</v>
      </c>
      <c r="AN242" s="16">
        <v>0</v>
      </c>
      <c r="AO242" s="16">
        <v>0</v>
      </c>
      <c r="AP242" s="16">
        <f>SUM(AL242:AN242)</f>
        <v>0</v>
      </c>
      <c r="AQ242" s="16">
        <v>2.141</v>
      </c>
      <c r="AR242" s="16">
        <f>AP242-1.472</f>
        <v>-1.472</v>
      </c>
      <c r="AS242" s="16">
        <f>AQ242-1.472</f>
        <v>0.66900000000000004</v>
      </c>
      <c r="AT242" s="16" t="str">
        <f>VLOOKUP(E242,[2]Current!$A$1:$W$435,7,FALSE)</f>
        <v>JY</v>
      </c>
      <c r="AU242" s="16" t="s">
        <v>1288</v>
      </c>
      <c r="AV242" s="23"/>
      <c r="AW242" s="128">
        <f>IF(AX242&gt;0,1,0)</f>
        <v>1</v>
      </c>
      <c r="AX242" s="128">
        <f>SUM(BA242,BM242,CU242)</f>
        <v>3</v>
      </c>
      <c r="AY242" s="128">
        <f>SUM(BB242,BN242,CV242)</f>
        <v>4799.7010463378174</v>
      </c>
      <c r="AZ242" s="128">
        <f>IF(BA242&gt;0,1,0)</f>
        <v>1</v>
      </c>
      <c r="BA242" s="128">
        <f>SUM(BC242+BF242+BI242)</f>
        <v>2</v>
      </c>
      <c r="BB242" s="128">
        <f>SUM(BE242,BH242,BK242)</f>
        <v>4792.2272047832585</v>
      </c>
      <c r="BC242" s="130">
        <f>IF(BD242&gt;0,1,0)</f>
        <v>0</v>
      </c>
      <c r="BD242" s="128">
        <f>VLOOKUP($E242,[2]Current!$A:$AC,26,FALSE)</f>
        <v>0</v>
      </c>
      <c r="BE242" s="128">
        <f>BD242/$AS242</f>
        <v>0</v>
      </c>
      <c r="BF242" s="130">
        <f>IF(BG242&gt;0,1,0)</f>
        <v>1</v>
      </c>
      <c r="BG242" s="175">
        <f>VLOOKUP($E242,[2]Current!$A:$AC,27,FALSE)</f>
        <v>3201</v>
      </c>
      <c r="BH242" s="128">
        <f>BG242/$AS242</f>
        <v>4784.7533632286995</v>
      </c>
      <c r="BI242" s="130">
        <f>IF(BJ242&gt;0,1,0)</f>
        <v>1</v>
      </c>
      <c r="BJ242" s="128">
        <f>VLOOKUP($E242,[2]Current!$A:$AC,28,FALSE)</f>
        <v>5</v>
      </c>
      <c r="BK242" s="128">
        <f>BJ242/$AS242</f>
        <v>7.4738415545590433</v>
      </c>
      <c r="BL242" s="128">
        <f>IF(BM242&gt;0,1,0)</f>
        <v>1</v>
      </c>
      <c r="BM242" s="128">
        <f>SUM(BR242,BU242,BX242,CA242,CD242)</f>
        <v>1</v>
      </c>
      <c r="BN242" s="131">
        <f>SUM(BT242,BW242,BZ242,CC242,CF242)</f>
        <v>7.4738415545590433</v>
      </c>
      <c r="BO242" s="128">
        <f>IF(BP242&gt;0,1,0)</f>
        <v>1</v>
      </c>
      <c r="BP242" s="128">
        <f>BM242+CJ242</f>
        <v>1</v>
      </c>
      <c r="BQ242" s="128">
        <f>BN242+CL242</f>
        <v>7.4738415545590433</v>
      </c>
      <c r="BR242" s="130">
        <f>IF(BS242&gt;0,1,0)</f>
        <v>1</v>
      </c>
      <c r="BS242" s="128">
        <f>VLOOKUP($E242,[2]Current!$A:$AC,12,FALSE)</f>
        <v>5</v>
      </c>
      <c r="BT242" s="175">
        <f>BS242/$AS242</f>
        <v>7.4738415545590433</v>
      </c>
      <c r="BU242" s="130">
        <f>IF(BV242&gt;0,1,0)</f>
        <v>0</v>
      </c>
      <c r="BV242" s="128">
        <f>VLOOKUP($E242,[2]Current!$A:$AC,13,FALSE)</f>
        <v>0</v>
      </c>
      <c r="BW242" s="128">
        <f>BV242/$AS242</f>
        <v>0</v>
      </c>
      <c r="BX242" s="130">
        <f>IF(BY242&gt;0,1,0)</f>
        <v>0</v>
      </c>
      <c r="BY242" s="128">
        <f>VLOOKUP($E242,[2]Current!$A:$AC,14,FALSE)</f>
        <v>0</v>
      </c>
      <c r="BZ242" s="128">
        <f>BY242/$AS242</f>
        <v>0</v>
      </c>
      <c r="CA242" s="130">
        <f>IF(CB242&gt;0,1,0)</f>
        <v>0</v>
      </c>
      <c r="CB242" s="128">
        <f>VLOOKUP($E242,[2]Current!$A:$AC,15,FALSE)</f>
        <v>0</v>
      </c>
      <c r="CC242" s="128">
        <f>CB242/$AS242</f>
        <v>0</v>
      </c>
      <c r="CD242" s="176">
        <f>IF(CE242&gt;0,1,0)</f>
        <v>0</v>
      </c>
      <c r="CE242" s="128">
        <f>VLOOKUP($E242,[2]Current!$A:$AC,16,FALSE)</f>
        <v>0</v>
      </c>
      <c r="CF242" s="128">
        <f>CE242/$AS242</f>
        <v>0</v>
      </c>
      <c r="CG242" s="18"/>
      <c r="CH242" s="18"/>
      <c r="CI242" s="18"/>
      <c r="CJ242" s="130">
        <f>IF(CK242&gt;0,1,0)</f>
        <v>0</v>
      </c>
      <c r="CK242" s="128">
        <f>VLOOKUP($E242,[2]Current!$A:$AC,18,FALSE)</f>
        <v>0</v>
      </c>
      <c r="CL242" s="128">
        <f>CK242/$AS242</f>
        <v>0</v>
      </c>
      <c r="CS242" s="130">
        <f>IF(CU242&gt;0,1,0)</f>
        <v>0</v>
      </c>
      <c r="CU242" s="128">
        <f>VLOOKUP($E242,[2]Current!$A:$AC,17,FALSE)</f>
        <v>0</v>
      </c>
      <c r="CV242" s="128">
        <f>CU242/$AS242</f>
        <v>0</v>
      </c>
      <c r="CW242" s="18"/>
      <c r="CX242" s="18"/>
      <c r="CY242" s="18"/>
      <c r="DF242" s="16" t="e">
        <f>VLOOKUP(K242,'[3]RNA Seq summary tables'!$V$3:$V$99,1,FALSE)</f>
        <v>#N/A</v>
      </c>
      <c r="JR242" s="26"/>
      <c r="JS242" s="26"/>
      <c r="JT242" s="26"/>
      <c r="JU242" s="26"/>
      <c r="JV242" s="26"/>
      <c r="JW242" s="26"/>
      <c r="JX242" s="26"/>
      <c r="JY242" s="26"/>
      <c r="JZ242" s="26"/>
      <c r="KA242" s="26"/>
      <c r="KB242" s="26"/>
    </row>
    <row r="243" spans="2:288" x14ac:dyDescent="0.2">
      <c r="B243" s="16">
        <v>2017</v>
      </c>
      <c r="C243" s="20">
        <v>42948</v>
      </c>
      <c r="D243" s="20" t="str">
        <f>CONCATENATE(J243,"-",C243)</f>
        <v>1101-42948</v>
      </c>
      <c r="E243" s="142" t="str">
        <f>CONCATENATE(T243,"-",U243,"-",C243)</f>
        <v>HW2-A2-42948</v>
      </c>
      <c r="F243" s="20" t="s">
        <v>106</v>
      </c>
      <c r="G243" s="20" t="s">
        <v>107</v>
      </c>
      <c r="J243" s="21">
        <v>1101</v>
      </c>
      <c r="K243" s="21">
        <v>2028</v>
      </c>
      <c r="L243" s="18">
        <v>0</v>
      </c>
      <c r="M243" s="21">
        <f>VLOOKUP($K243,'[4]blood tubes 2017'!$D$1:$L$647,8,FALSE)</f>
        <v>0</v>
      </c>
      <c r="N243" s="15">
        <v>0</v>
      </c>
      <c r="O243" s="15" t="s">
        <v>119</v>
      </c>
      <c r="P243" s="16" t="s">
        <v>119</v>
      </c>
      <c r="Q243" s="16">
        <v>0</v>
      </c>
      <c r="R243" s="16">
        <v>18</v>
      </c>
      <c r="T243" s="16" t="s">
        <v>129</v>
      </c>
      <c r="U243" s="16" t="s">
        <v>171</v>
      </c>
      <c r="V243" s="16" t="s">
        <v>114</v>
      </c>
      <c r="W243" s="16">
        <f>AI243/AG243</f>
        <v>0.96666666666666667</v>
      </c>
      <c r="X243" s="16" t="s">
        <v>115</v>
      </c>
      <c r="Y243" s="16" t="s">
        <v>110</v>
      </c>
      <c r="Z243" s="16">
        <v>3</v>
      </c>
      <c r="AE243" s="16" t="s">
        <v>116</v>
      </c>
      <c r="AF243" s="16" t="s">
        <v>116</v>
      </c>
      <c r="AG243" s="16">
        <f>AH243-AI243</f>
        <v>90</v>
      </c>
      <c r="AH243" s="16">
        <v>177</v>
      </c>
      <c r="AI243" s="16">
        <v>87</v>
      </c>
      <c r="AK243" s="16">
        <v>23</v>
      </c>
      <c r="AL243" s="16">
        <v>1</v>
      </c>
      <c r="AM243" s="16">
        <v>0</v>
      </c>
      <c r="AN243" s="16">
        <v>0</v>
      </c>
      <c r="AO243" s="16">
        <v>1</v>
      </c>
      <c r="AP243" s="16">
        <f>SUM(AL243:AN243)</f>
        <v>1</v>
      </c>
      <c r="AQ243" s="16">
        <v>1.7010000000000001</v>
      </c>
      <c r="AR243" s="16">
        <f>AP243-1.472</f>
        <v>-0.47199999999999998</v>
      </c>
      <c r="AS243" s="16">
        <f>AQ243-1.472</f>
        <v>0.22900000000000009</v>
      </c>
      <c r="AT243" s="16" t="e">
        <f>VLOOKUP(E243,[2]Current!$A$1:$W$435,7,FALSE)</f>
        <v>#N/A</v>
      </c>
      <c r="AU243" s="16">
        <v>0</v>
      </c>
      <c r="AW243" s="18"/>
      <c r="AX243" s="18"/>
      <c r="AY243" s="18"/>
      <c r="AZ243" s="18"/>
      <c r="BA243" s="18"/>
      <c r="BB243" s="18"/>
      <c r="BC243" s="18"/>
      <c r="BD243" s="18"/>
      <c r="BG243" s="23"/>
      <c r="BT243" s="23"/>
      <c r="CD243" s="23"/>
      <c r="DF243" s="16" t="e">
        <f>VLOOKUP(K243,'[3]RNA Seq summary tables'!$V$3:$V$99,1,FALSE)</f>
        <v>#N/A</v>
      </c>
    </row>
    <row r="244" spans="2:288" x14ac:dyDescent="0.2">
      <c r="B244" s="16">
        <v>2017</v>
      </c>
      <c r="C244" s="43">
        <v>42966</v>
      </c>
      <c r="D244" s="43" t="str">
        <f>CONCATENATE(J244,"-",C244)</f>
        <v>1101-42966</v>
      </c>
      <c r="E244" s="142" t="str">
        <f>CONCATENATE(T244,"-",U244,"-",C244)</f>
        <v>HW2-B3-42966</v>
      </c>
      <c r="F244" s="20" t="s">
        <v>106</v>
      </c>
      <c r="G244" s="43" t="s">
        <v>107</v>
      </c>
      <c r="H244" s="23"/>
      <c r="J244" s="15">
        <v>1101</v>
      </c>
      <c r="K244" s="15">
        <v>2188</v>
      </c>
      <c r="L244" s="18">
        <v>0</v>
      </c>
      <c r="M244" s="21">
        <f>VLOOKUP($K244,'[4]blood tubes 2017'!$D$1:$L$647,8,FALSE)</f>
        <v>0</v>
      </c>
      <c r="N244" s="15">
        <v>0</v>
      </c>
      <c r="O244" s="15" t="s">
        <v>119</v>
      </c>
      <c r="P244" s="23" t="s">
        <v>119</v>
      </c>
      <c r="Q244" s="16">
        <v>0</v>
      </c>
      <c r="R244" s="23">
        <v>18</v>
      </c>
      <c r="S244" s="23"/>
      <c r="T244" s="23" t="s">
        <v>129</v>
      </c>
      <c r="U244" s="23" t="s">
        <v>131</v>
      </c>
      <c r="V244" s="23" t="s">
        <v>114</v>
      </c>
      <c r="W244" s="16">
        <f>AI244/AG244</f>
        <v>0.90526315789473688</v>
      </c>
      <c r="X244" s="23" t="s">
        <v>115</v>
      </c>
      <c r="Y244" s="23" t="s">
        <v>110</v>
      </c>
      <c r="Z244" s="23">
        <v>3</v>
      </c>
      <c r="AA244" s="23"/>
      <c r="AB244" s="23"/>
      <c r="AC244" s="23"/>
      <c r="AD244" s="23"/>
      <c r="AE244" s="23" t="s">
        <v>116</v>
      </c>
      <c r="AF244" s="23" t="s">
        <v>116</v>
      </c>
      <c r="AG244" s="23">
        <f>AH244-AI244</f>
        <v>95</v>
      </c>
      <c r="AH244" s="23">
        <v>181</v>
      </c>
      <c r="AI244" s="23">
        <v>86</v>
      </c>
      <c r="AJ244" s="23"/>
      <c r="AK244" s="23">
        <v>26</v>
      </c>
      <c r="AL244" s="23">
        <v>1</v>
      </c>
      <c r="AM244" s="23">
        <v>1</v>
      </c>
      <c r="AN244" s="23">
        <v>0</v>
      </c>
      <c r="AO244" s="23">
        <v>1</v>
      </c>
      <c r="AP244" s="23">
        <f>SUM(AL244:AN244)</f>
        <v>2</v>
      </c>
      <c r="AQ244" s="23">
        <v>1.6759999999999999</v>
      </c>
      <c r="AR244" s="23">
        <f>AP244-1.472</f>
        <v>0.52800000000000002</v>
      </c>
      <c r="AS244" s="23">
        <f>AQ244-1.472</f>
        <v>0.20399999999999996</v>
      </c>
      <c r="AT244" s="16" t="e">
        <f>VLOOKUP(E244,[2]Current!$A$1:$W$435,7,FALSE)</f>
        <v>#N/A</v>
      </c>
      <c r="AU244" s="16">
        <v>0</v>
      </c>
      <c r="AV244" s="23"/>
      <c r="AW244" s="25"/>
      <c r="AX244" s="25"/>
      <c r="AY244" s="25"/>
      <c r="AZ244" s="18"/>
      <c r="BA244" s="25"/>
      <c r="BB244" s="25"/>
      <c r="BC244" s="18"/>
      <c r="BD244" s="25"/>
      <c r="BE244" s="23"/>
      <c r="BG244" s="23"/>
      <c r="BH244" s="23"/>
      <c r="BJ244" s="23"/>
      <c r="BK244" s="23"/>
      <c r="BS244" s="23"/>
      <c r="BT244" s="23"/>
      <c r="BV244" s="23"/>
      <c r="BY244" s="23"/>
      <c r="CB244" s="23"/>
      <c r="CC244" s="23"/>
      <c r="CD244" s="23"/>
      <c r="CE244" s="23"/>
      <c r="CF244" s="23"/>
      <c r="CG244" s="23"/>
      <c r="CH244" s="23"/>
      <c r="CI244" s="23"/>
      <c r="CJ244" s="23"/>
      <c r="CK244" s="23"/>
      <c r="CL244" s="23"/>
      <c r="CM244" s="23"/>
      <c r="CN244" s="23"/>
      <c r="CO244" s="23"/>
      <c r="CP244" s="23"/>
      <c r="CQ244" s="23"/>
      <c r="CR244" s="23"/>
      <c r="CV244" s="23"/>
      <c r="CX244" s="23"/>
      <c r="CY244" s="23"/>
      <c r="CZ244" s="23"/>
      <c r="DA244" s="23"/>
      <c r="DB244" s="23"/>
      <c r="DC244" s="23"/>
      <c r="DD244" s="23"/>
      <c r="DE244" s="23"/>
      <c r="DF244" s="16" t="e">
        <f>VLOOKUP(K244,'[3]RNA Seq summary tables'!$V$3:$V$99,1,FALSE)</f>
        <v>#N/A</v>
      </c>
      <c r="DI244" s="23"/>
      <c r="DJ244" s="23"/>
      <c r="DK244" s="23"/>
      <c r="DL244" s="23"/>
      <c r="DM244" s="23"/>
      <c r="DN244" s="23"/>
      <c r="DO244" s="23"/>
      <c r="DP244" s="23"/>
      <c r="DQ244" s="23"/>
      <c r="DR244" s="23"/>
      <c r="DS244" s="23"/>
      <c r="JR244" s="30"/>
      <c r="JS244" s="30"/>
      <c r="JT244" s="30"/>
      <c r="JU244" s="30"/>
      <c r="JV244" s="30"/>
      <c r="JW244" s="30"/>
      <c r="JX244" s="30"/>
      <c r="JY244" s="30"/>
      <c r="JZ244" s="30"/>
      <c r="KA244" s="30"/>
      <c r="KB244" s="30"/>
    </row>
    <row r="245" spans="2:288" s="18" customFormat="1" x14ac:dyDescent="0.2">
      <c r="B245" s="16">
        <v>2017</v>
      </c>
      <c r="C245" s="20">
        <v>42896</v>
      </c>
      <c r="D245" s="20" t="str">
        <f>CONCATENATE(J245,"-",C245)</f>
        <v>1103-42896</v>
      </c>
      <c r="E245" s="20" t="str">
        <f>CONCATENATE(T245,"-",U245,"-",C245)</f>
        <v>HW2-D4-42896</v>
      </c>
      <c r="F245" s="20" t="s">
        <v>106</v>
      </c>
      <c r="G245" s="20" t="s">
        <v>107</v>
      </c>
      <c r="H245" s="16"/>
      <c r="I245" s="16">
        <v>0</v>
      </c>
      <c r="J245" s="21">
        <v>1103</v>
      </c>
      <c r="K245" s="21">
        <v>1653</v>
      </c>
      <c r="L245" s="18">
        <v>0</v>
      </c>
      <c r="M245" s="21">
        <f>VLOOKUP($K245,'[4]blood tubes 2017'!$D$1:$L$647,8,FALSE)</f>
        <v>0</v>
      </c>
      <c r="N245" s="15">
        <v>0</v>
      </c>
      <c r="O245" s="15" t="s">
        <v>119</v>
      </c>
      <c r="P245" s="16" t="s">
        <v>119</v>
      </c>
      <c r="Q245" s="16">
        <v>0</v>
      </c>
      <c r="R245" s="16" t="s">
        <v>111</v>
      </c>
      <c r="S245" s="16"/>
      <c r="T245" s="16" t="s">
        <v>129</v>
      </c>
      <c r="U245" s="16" t="s">
        <v>221</v>
      </c>
      <c r="V245" s="16" t="s">
        <v>114</v>
      </c>
      <c r="W245" s="16">
        <f>AI245/AG245</f>
        <v>0.77173913043478259</v>
      </c>
      <c r="X245" s="16" t="s">
        <v>115</v>
      </c>
      <c r="Y245" s="16" t="s">
        <v>110</v>
      </c>
      <c r="Z245" s="16">
        <v>3</v>
      </c>
      <c r="AA245" s="16"/>
      <c r="AB245" s="16"/>
      <c r="AC245" s="16"/>
      <c r="AD245" s="16"/>
      <c r="AE245" s="16" t="s">
        <v>123</v>
      </c>
      <c r="AF245" s="16" t="s">
        <v>123</v>
      </c>
      <c r="AG245" s="16">
        <f>AH245-AI245</f>
        <v>92</v>
      </c>
      <c r="AH245" s="16">
        <v>163</v>
      </c>
      <c r="AI245" s="16">
        <v>71</v>
      </c>
      <c r="AJ245" s="16"/>
      <c r="AK245" s="16">
        <v>16.5</v>
      </c>
      <c r="AL245" s="16">
        <v>1</v>
      </c>
      <c r="AM245" s="16">
        <v>0</v>
      </c>
      <c r="AN245" s="16">
        <v>0</v>
      </c>
      <c r="AO245" s="16">
        <v>1</v>
      </c>
      <c r="AP245" s="16">
        <f>SUM(AL245:AN245)</f>
        <v>1</v>
      </c>
      <c r="AQ245" s="16">
        <v>1.579</v>
      </c>
      <c r="AR245" s="16">
        <f>AP245-1.472</f>
        <v>-0.47199999999999998</v>
      </c>
      <c r="AS245" s="16">
        <f>AQ245-1.472</f>
        <v>0.10699999999999998</v>
      </c>
      <c r="AT245" s="16" t="s">
        <v>119</v>
      </c>
      <c r="AU245" s="16"/>
      <c r="AV245" s="16"/>
      <c r="AW245" s="16">
        <f>IF(AX245&gt;0,1,0)</f>
        <v>1</v>
      </c>
      <c r="AX245" s="16">
        <f>SUM(BA245,BM245,CT245)</f>
        <v>2</v>
      </c>
      <c r="AY245" s="18">
        <f>SUM(BB245,BN245,CV245)</f>
        <v>182803.73831775706</v>
      </c>
      <c r="AZ245" s="16">
        <f>IF(BA245&gt;0,1,0)</f>
        <v>1</v>
      </c>
      <c r="BA245" s="16">
        <f>SUM(BC245,BF245,BI245)</f>
        <v>2</v>
      </c>
      <c r="BB245" s="16">
        <f>SUM(BE245,BH245,BK245)</f>
        <v>182803.73831775706</v>
      </c>
      <c r="BC245" s="16">
        <v>0</v>
      </c>
      <c r="BD245" s="16">
        <v>0</v>
      </c>
      <c r="BE245" s="16">
        <f>BD245/AS245</f>
        <v>0</v>
      </c>
      <c r="BF245" s="16">
        <v>1</v>
      </c>
      <c r="BG245" s="23">
        <v>19531</v>
      </c>
      <c r="BH245" s="16">
        <f>BG245/AS245</f>
        <v>182532.71028037387</v>
      </c>
      <c r="BI245" s="16">
        <v>1</v>
      </c>
      <c r="BJ245" s="16">
        <v>29</v>
      </c>
      <c r="BK245" s="16">
        <f>BJ245/AS245</f>
        <v>271.0280373831776</v>
      </c>
      <c r="BL245" s="16">
        <f>IF(BM245&gt;0,1,0)</f>
        <v>0</v>
      </c>
      <c r="BM245" s="16">
        <f>SUM(BR245,BU245,BX245,CA245,CD245,CG245,CJ245,CM245,CP245)</f>
        <v>0</v>
      </c>
      <c r="BN245" s="16">
        <f>SUM(BW245,BZ245,CC245,CF245,CI245,CL245,CO245,CR245,BT245)</f>
        <v>0</v>
      </c>
      <c r="BO245" s="16">
        <f>IF(BP245&gt;0,1,0)</f>
        <v>0</v>
      </c>
      <c r="BP245" s="16">
        <f>SUM(BU245,BX245,CA245,CD245,BR245)</f>
        <v>0</v>
      </c>
      <c r="BQ245" s="16">
        <f>SUM(BZ245,CC245,CF245,BT245,BW245)</f>
        <v>0</v>
      </c>
      <c r="BR245" s="16">
        <v>0</v>
      </c>
      <c r="BS245" s="16">
        <v>0</v>
      </c>
      <c r="BT245" s="23">
        <f>BS245/AS245</f>
        <v>0</v>
      </c>
      <c r="BU245" s="16">
        <v>0</v>
      </c>
      <c r="BV245" s="16">
        <v>0</v>
      </c>
      <c r="BW245" s="16">
        <f>BV245/AS245</f>
        <v>0</v>
      </c>
      <c r="BX245" s="16">
        <v>0</v>
      </c>
      <c r="BY245" s="16">
        <v>0</v>
      </c>
      <c r="BZ245" s="16">
        <f>BY245/AS245</f>
        <v>0</v>
      </c>
      <c r="CA245" s="16">
        <v>0</v>
      </c>
      <c r="CB245" s="16">
        <v>0</v>
      </c>
      <c r="CC245" s="16">
        <f>CB245/AS245</f>
        <v>0</v>
      </c>
      <c r="CD245" s="23">
        <v>0</v>
      </c>
      <c r="CE245" s="16">
        <v>0</v>
      </c>
      <c r="CF245" s="16">
        <f>CE245/AS245</f>
        <v>0</v>
      </c>
      <c r="CG245" s="16">
        <v>0</v>
      </c>
      <c r="CH245" s="16">
        <v>0</v>
      </c>
      <c r="CI245" s="16">
        <f>CH245/AS245</f>
        <v>0</v>
      </c>
      <c r="CJ245" s="16"/>
      <c r="CK245" s="16"/>
      <c r="CL245" s="16"/>
      <c r="CM245" s="16">
        <v>0</v>
      </c>
      <c r="CN245" s="16">
        <v>0</v>
      </c>
      <c r="CO245" s="16">
        <f>CN245/AS245</f>
        <v>0</v>
      </c>
      <c r="CP245" s="16">
        <v>0</v>
      </c>
      <c r="CQ245" s="16">
        <v>0</v>
      </c>
      <c r="CR245" s="16">
        <f>CQ245/AS245</f>
        <v>0</v>
      </c>
      <c r="CS245" s="16">
        <f>IF(CT245&gt;0,1,0)</f>
        <v>0</v>
      </c>
      <c r="CT245" s="16">
        <f>SUM(CW245,CZ245,DC245)</f>
        <v>0</v>
      </c>
      <c r="CU245" s="16"/>
      <c r="CV245" s="16">
        <f>SUM(CY245,DB245,DE245)</f>
        <v>0</v>
      </c>
      <c r="CW245" s="16">
        <v>0</v>
      </c>
      <c r="CX245" s="16">
        <v>0</v>
      </c>
      <c r="CY245" s="16">
        <f>CX245/AS245</f>
        <v>0</v>
      </c>
      <c r="CZ245" s="16">
        <v>0</v>
      </c>
      <c r="DA245" s="16">
        <v>0</v>
      </c>
      <c r="DB245" s="16">
        <f>DA245/AS245</f>
        <v>0</v>
      </c>
      <c r="DC245" s="16">
        <v>0</v>
      </c>
      <c r="DD245" s="16">
        <v>0</v>
      </c>
      <c r="DE245" s="16">
        <f>DD245/AS245</f>
        <v>0</v>
      </c>
      <c r="DF245" s="16" t="e">
        <f>VLOOKUP(K245,'[3]RNA Seq summary tables'!$V$3:$V$99,1,FALSE)</f>
        <v>#N/A</v>
      </c>
      <c r="DG245" s="16"/>
      <c r="DH245" s="16"/>
      <c r="DI245" s="16">
        <v>59</v>
      </c>
      <c r="DJ245" s="16"/>
      <c r="DK245" s="16">
        <v>30</v>
      </c>
      <c r="DL245" s="16"/>
      <c r="DM245" s="16">
        <v>9</v>
      </c>
      <c r="DN245" s="16"/>
      <c r="DO245" s="16">
        <v>0</v>
      </c>
      <c r="DP245" s="16"/>
      <c r="DQ245" s="16">
        <v>2</v>
      </c>
      <c r="DR245" s="16">
        <v>100</v>
      </c>
      <c r="DS245" s="16"/>
      <c r="JO245" s="16"/>
      <c r="JP245" s="16"/>
      <c r="JQ245" s="16"/>
      <c r="JR245" s="16"/>
      <c r="JS245" s="16"/>
      <c r="JT245" s="16"/>
      <c r="JU245" s="16"/>
      <c r="JV245" s="16"/>
      <c r="JW245" s="16"/>
      <c r="JX245" s="16"/>
      <c r="JY245" s="16"/>
      <c r="JZ245" s="16"/>
      <c r="KA245" s="16"/>
      <c r="KB245" s="16"/>
    </row>
    <row r="246" spans="2:288" x14ac:dyDescent="0.2">
      <c r="B246" s="16">
        <v>2017</v>
      </c>
      <c r="C246" s="66">
        <v>42896</v>
      </c>
      <c r="D246" s="66" t="str">
        <f>CONCATENATE(J246,"-",C246)</f>
        <v>1105-42896</v>
      </c>
      <c r="E246" s="20" t="str">
        <f>CONCATENATE(T246,"-",U246,"-",C246)</f>
        <v>HW2-G1-42896</v>
      </c>
      <c r="F246" s="20" t="s">
        <v>106</v>
      </c>
      <c r="G246" s="20" t="s">
        <v>107</v>
      </c>
      <c r="I246" s="16">
        <v>0</v>
      </c>
      <c r="J246" s="21">
        <v>1105</v>
      </c>
      <c r="K246" s="21">
        <v>1655</v>
      </c>
      <c r="L246" s="18">
        <v>0</v>
      </c>
      <c r="M246" s="21">
        <f>VLOOKUP($K246,'[4]blood tubes 2017'!$D$1:$L$647,8,FALSE)</f>
        <v>0</v>
      </c>
      <c r="N246" s="15">
        <v>0</v>
      </c>
      <c r="O246" s="15" t="s">
        <v>119</v>
      </c>
      <c r="P246" s="16" t="s">
        <v>119</v>
      </c>
      <c r="Q246" s="16">
        <v>0</v>
      </c>
      <c r="R246" s="16" t="s">
        <v>111</v>
      </c>
      <c r="T246" s="16" t="s">
        <v>129</v>
      </c>
      <c r="U246" s="16" t="s">
        <v>155</v>
      </c>
      <c r="V246" s="16" t="s">
        <v>114</v>
      </c>
      <c r="W246" s="16">
        <f>AI246/AG246</f>
        <v>0.7816091954022989</v>
      </c>
      <c r="X246" s="16" t="s">
        <v>121</v>
      </c>
      <c r="Y246" s="16" t="s">
        <v>110</v>
      </c>
      <c r="Z246" s="16">
        <v>3</v>
      </c>
      <c r="AA246" s="16" t="s">
        <v>119</v>
      </c>
      <c r="AB246" s="16" t="s">
        <v>123</v>
      </c>
      <c r="AC246" s="16" t="s">
        <v>123</v>
      </c>
      <c r="AD246" s="16" t="s">
        <v>123</v>
      </c>
      <c r="AG246" s="16">
        <f>AH246-AI246</f>
        <v>87</v>
      </c>
      <c r="AH246" s="16">
        <v>155</v>
      </c>
      <c r="AI246" s="16">
        <v>68</v>
      </c>
      <c r="AK246" s="16">
        <v>19</v>
      </c>
      <c r="AL246" s="16">
        <v>0</v>
      </c>
      <c r="AM246" s="16">
        <v>0</v>
      </c>
      <c r="AN246" s="16">
        <v>0</v>
      </c>
      <c r="AO246" s="16">
        <v>0</v>
      </c>
      <c r="AP246" s="16">
        <f>SUM(AL246:AN246)</f>
        <v>0</v>
      </c>
      <c r="AQ246" s="16">
        <v>1.917</v>
      </c>
      <c r="AR246" s="16">
        <f>AP246-1.472</f>
        <v>-1.472</v>
      </c>
      <c r="AS246" s="16">
        <f>AQ246-1.472</f>
        <v>0.44500000000000006</v>
      </c>
      <c r="AT246" s="16" t="s">
        <v>234</v>
      </c>
      <c r="AW246" s="16">
        <f>IF(AX246&gt;0,1,0)</f>
        <v>1</v>
      </c>
      <c r="AX246" s="16">
        <f>SUM(BA246,BM246,CT246)</f>
        <v>2</v>
      </c>
      <c r="AY246" s="18">
        <f>SUM(BB246,BN246,CV246)</f>
        <v>16548.314606741573</v>
      </c>
      <c r="AZ246" s="16">
        <f>IF(BA246&gt;0,1,0)</f>
        <v>1</v>
      </c>
      <c r="BA246" s="16">
        <f>SUM(BC246,BF246,BI246)</f>
        <v>2</v>
      </c>
      <c r="BB246" s="16">
        <f>SUM(BE246,BH246,BK246)</f>
        <v>16548.314606741573</v>
      </c>
      <c r="BC246" s="16">
        <v>0</v>
      </c>
      <c r="BD246" s="16">
        <v>0</v>
      </c>
      <c r="BE246" s="16">
        <f>BD246/AS246</f>
        <v>0</v>
      </c>
      <c r="BF246" s="16">
        <v>1</v>
      </c>
      <c r="BG246" s="23">
        <v>7363</v>
      </c>
      <c r="BH246" s="16">
        <f>BG246/AS246</f>
        <v>16546.067415730337</v>
      </c>
      <c r="BI246" s="16">
        <v>1</v>
      </c>
      <c r="BJ246" s="16">
        <v>1</v>
      </c>
      <c r="BK246" s="16">
        <f>BJ246/AS246</f>
        <v>2.2471910112359548</v>
      </c>
      <c r="BL246" s="16">
        <f>IF(BM246&gt;0,1,0)</f>
        <v>0</v>
      </c>
      <c r="BM246" s="16">
        <f>SUM(BR246,BU246,BX246,CA246,CD246,CG246,CJ246,CM246,CP246)</f>
        <v>0</v>
      </c>
      <c r="BN246" s="16">
        <f>SUM(BW246,BZ246,CC246,CF246,CI246,CL246,CO246,CR246,BT246)</f>
        <v>0</v>
      </c>
      <c r="BO246" s="16">
        <f>IF(BP246&gt;0,1,0)</f>
        <v>0</v>
      </c>
      <c r="BP246" s="16">
        <f>SUM(BU246,BX246,CA246,CD246,BR246)</f>
        <v>0</v>
      </c>
      <c r="BQ246" s="16">
        <f>SUM(BZ246,CC246,CF246,BT246,BW246)</f>
        <v>0</v>
      </c>
      <c r="BR246" s="16">
        <v>0</v>
      </c>
      <c r="BS246" s="16">
        <v>0</v>
      </c>
      <c r="BT246" s="23">
        <f>BS246/AS246</f>
        <v>0</v>
      </c>
      <c r="BU246" s="16">
        <v>0</v>
      </c>
      <c r="BV246" s="16">
        <v>0</v>
      </c>
      <c r="BW246" s="16">
        <f>BV246/AS246</f>
        <v>0</v>
      </c>
      <c r="BX246" s="16">
        <v>0</v>
      </c>
      <c r="BY246" s="16">
        <v>0</v>
      </c>
      <c r="BZ246" s="16">
        <f>BY246/AS246</f>
        <v>0</v>
      </c>
      <c r="CA246" s="16">
        <v>0</v>
      </c>
      <c r="CB246" s="16">
        <v>0</v>
      </c>
      <c r="CC246" s="16">
        <f>CB246/AS246</f>
        <v>0</v>
      </c>
      <c r="CD246" s="23">
        <v>0</v>
      </c>
      <c r="CE246" s="16">
        <v>0</v>
      </c>
      <c r="CF246" s="16">
        <f>CE246/AS246</f>
        <v>0</v>
      </c>
      <c r="CG246" s="16">
        <v>0</v>
      </c>
      <c r="CH246" s="16">
        <v>0</v>
      </c>
      <c r="CI246" s="16">
        <f>CH246/AS246</f>
        <v>0</v>
      </c>
      <c r="CM246" s="16">
        <v>0</v>
      </c>
      <c r="CN246" s="16">
        <v>0</v>
      </c>
      <c r="CO246" s="16">
        <f>CN246/AS246</f>
        <v>0</v>
      </c>
      <c r="CP246" s="16">
        <v>0</v>
      </c>
      <c r="CQ246" s="16">
        <v>0</v>
      </c>
      <c r="CR246" s="16">
        <f>CQ246/AS246</f>
        <v>0</v>
      </c>
      <c r="CS246" s="16">
        <f>IF(CT246&gt;0,1,0)</f>
        <v>0</v>
      </c>
      <c r="CT246" s="16">
        <f>SUM(CW246,CZ246,DC246)</f>
        <v>0</v>
      </c>
      <c r="CV246" s="16">
        <f>SUM(CY246,DB246,DE246)</f>
        <v>0</v>
      </c>
      <c r="CW246" s="16">
        <v>0</v>
      </c>
      <c r="CX246" s="16">
        <v>0</v>
      </c>
      <c r="CY246" s="16">
        <f>CX246/AS246</f>
        <v>0</v>
      </c>
      <c r="CZ246" s="16">
        <v>0</v>
      </c>
      <c r="DA246" s="16">
        <v>0</v>
      </c>
      <c r="DB246" s="16">
        <f>DA246/AS246</f>
        <v>0</v>
      </c>
      <c r="DC246" s="16">
        <v>0</v>
      </c>
      <c r="DD246" s="16">
        <v>0</v>
      </c>
      <c r="DE246" s="16">
        <f>DD246/AS246</f>
        <v>0</v>
      </c>
      <c r="DF246" s="16" t="e">
        <f>VLOOKUP(K246,'[3]RNA Seq summary tables'!$V$3:$V$99,1,FALSE)</f>
        <v>#N/A</v>
      </c>
      <c r="DI246" s="16">
        <v>73</v>
      </c>
      <c r="DK246" s="16">
        <v>19</v>
      </c>
      <c r="DM246" s="16">
        <v>8</v>
      </c>
      <c r="DO246" s="16">
        <v>0</v>
      </c>
      <c r="DQ246" s="16">
        <v>0</v>
      </c>
      <c r="DR246" s="16">
        <f>SUM(DI246:DQ246)</f>
        <v>100</v>
      </c>
    </row>
    <row r="247" spans="2:288" x14ac:dyDescent="0.2">
      <c r="B247" s="16">
        <v>2017</v>
      </c>
      <c r="C247" s="43">
        <v>42914</v>
      </c>
      <c r="D247" s="20" t="str">
        <f>CONCATENATE(J247,"-",C247)</f>
        <v>1105-42914</v>
      </c>
      <c r="E247" s="20" t="str">
        <f>CONCATENATE(T247,"-",U247,"-",C247)</f>
        <v>HW2-H4-42914</v>
      </c>
      <c r="F247" s="20" t="s">
        <v>106</v>
      </c>
      <c r="G247" s="43" t="s">
        <v>107</v>
      </c>
      <c r="H247" s="23"/>
      <c r="I247" s="16">
        <v>0</v>
      </c>
      <c r="J247" s="15">
        <v>1105</v>
      </c>
      <c r="K247" s="15">
        <v>1773</v>
      </c>
      <c r="L247" s="18">
        <v>0</v>
      </c>
      <c r="M247" s="21">
        <f>VLOOKUP($K247,'[4]blood tubes 2017'!$D$1:$L$647,8,FALSE)</f>
        <v>0</v>
      </c>
      <c r="N247" s="15">
        <v>0</v>
      </c>
      <c r="O247" s="15" t="s">
        <v>119</v>
      </c>
      <c r="P247" s="23" t="s">
        <v>119</v>
      </c>
      <c r="Q247" s="16">
        <v>0</v>
      </c>
      <c r="R247" s="23">
        <v>18</v>
      </c>
      <c r="S247" s="23"/>
      <c r="T247" s="23" t="s">
        <v>129</v>
      </c>
      <c r="U247" s="23" t="s">
        <v>151</v>
      </c>
      <c r="V247" s="23" t="s">
        <v>114</v>
      </c>
      <c r="W247" s="16">
        <f>AI247/AG247</f>
        <v>0.8045977011494253</v>
      </c>
      <c r="X247" s="23" t="s">
        <v>121</v>
      </c>
      <c r="Y247" s="23" t="s">
        <v>110</v>
      </c>
      <c r="Z247" s="23">
        <v>3</v>
      </c>
      <c r="AA247" s="23" t="s">
        <v>161</v>
      </c>
      <c r="AB247" s="23" t="s">
        <v>240</v>
      </c>
      <c r="AC247" s="23" t="s">
        <v>123</v>
      </c>
      <c r="AD247" s="23" t="s">
        <v>116</v>
      </c>
      <c r="AE247" s="23"/>
      <c r="AF247" s="23"/>
      <c r="AG247" s="23">
        <f>AH247-AI247</f>
        <v>87</v>
      </c>
      <c r="AH247" s="23">
        <v>157</v>
      </c>
      <c r="AI247" s="23">
        <v>70</v>
      </c>
      <c r="AJ247" s="23"/>
      <c r="AK247" s="23">
        <v>23</v>
      </c>
      <c r="AL247" s="23">
        <v>0</v>
      </c>
      <c r="AM247" s="23">
        <v>0</v>
      </c>
      <c r="AN247" s="23">
        <v>0</v>
      </c>
      <c r="AO247" s="23">
        <v>0</v>
      </c>
      <c r="AP247" s="23">
        <f>SUM(AL247:AN247)</f>
        <v>0</v>
      </c>
      <c r="AQ247" s="23">
        <v>2.2000000000000002</v>
      </c>
      <c r="AR247" s="23">
        <f>AP247-1.472</f>
        <v>-1.472</v>
      </c>
      <c r="AS247" s="23">
        <f>AQ247-1.472</f>
        <v>0.7280000000000002</v>
      </c>
      <c r="AT247" s="23" t="s">
        <v>233</v>
      </c>
      <c r="AU247" s="23"/>
      <c r="AV247" s="23"/>
      <c r="AW247" s="23">
        <f>IF(AX247&gt;0,1,0)</f>
        <v>1</v>
      </c>
      <c r="AX247" s="23">
        <f>SUM(BA247,BM247,CT247)</f>
        <v>4</v>
      </c>
      <c r="AY247" s="25">
        <f>SUM(BB247,BN247,CV247)</f>
        <v>909.34065934065916</v>
      </c>
      <c r="AZ247" s="16">
        <v>1</v>
      </c>
      <c r="BA247" s="23">
        <v>1</v>
      </c>
      <c r="BB247" s="23">
        <f>SUM(BE247,BH247,BK247)</f>
        <v>296.70329670329664</v>
      </c>
      <c r="BC247" s="16">
        <v>0</v>
      </c>
      <c r="BD247" s="23">
        <v>0</v>
      </c>
      <c r="BE247" s="23">
        <f>BD247/AS247</f>
        <v>0</v>
      </c>
      <c r="BF247" s="16">
        <v>1</v>
      </c>
      <c r="BG247" s="23">
        <v>216</v>
      </c>
      <c r="BH247" s="23">
        <f>BG247/AS247</f>
        <v>296.70329670329664</v>
      </c>
      <c r="BI247" s="16">
        <v>0</v>
      </c>
      <c r="BJ247" s="23">
        <v>0</v>
      </c>
      <c r="BK247" s="23">
        <f>BJ247/AS247</f>
        <v>0</v>
      </c>
      <c r="BL247" s="16">
        <f>IF(BM247&gt;0,1,0)</f>
        <v>1</v>
      </c>
      <c r="BM247" s="16">
        <f>SUM(BR247,BU247,BX247,CA247,CD247,CG247,CJ247,CM247,CP247)</f>
        <v>3</v>
      </c>
      <c r="BN247" s="16">
        <f>SUM(BW247,BZ247,CC247,CF247,CI247,CL247,CO247,CR247,BT247)</f>
        <v>612.63736263736246</v>
      </c>
      <c r="BO247" s="16">
        <f>IF(BP247&gt;0,1,0)</f>
        <v>1</v>
      </c>
      <c r="BP247" s="16">
        <f>SUM(BU247,BX247,CA247,CD247,BR247)</f>
        <v>2</v>
      </c>
      <c r="BQ247" s="16">
        <f>SUM(BZ247,CC247,CF247,BT247,BW247)</f>
        <v>192.30769230769226</v>
      </c>
      <c r="BR247" s="16">
        <v>1</v>
      </c>
      <c r="BS247" s="23">
        <v>4</v>
      </c>
      <c r="BT247" s="23">
        <f>BS247/AS247</f>
        <v>5.4945054945054927</v>
      </c>
      <c r="BU247" s="16">
        <v>0</v>
      </c>
      <c r="BV247" s="23">
        <v>0</v>
      </c>
      <c r="BW247" s="16">
        <f>BV247/AS247</f>
        <v>0</v>
      </c>
      <c r="BX247" s="16">
        <v>1</v>
      </c>
      <c r="BY247" s="23">
        <v>136</v>
      </c>
      <c r="BZ247" s="16">
        <f>BY247/AS247</f>
        <v>186.81318681318677</v>
      </c>
      <c r="CA247" s="16">
        <v>0</v>
      </c>
      <c r="CB247" s="23">
        <v>0</v>
      </c>
      <c r="CC247" s="23">
        <f>CB247/AS247</f>
        <v>0</v>
      </c>
      <c r="CD247" s="23">
        <v>0</v>
      </c>
      <c r="CE247" s="23">
        <v>0</v>
      </c>
      <c r="CF247" s="23">
        <f>CE247/AS247</f>
        <v>0</v>
      </c>
      <c r="CG247" s="23">
        <v>1</v>
      </c>
      <c r="CH247" s="23">
        <v>306</v>
      </c>
      <c r="CI247" s="23">
        <f>CH247/AS247</f>
        <v>420.32967032967019</v>
      </c>
      <c r="CJ247" s="23"/>
      <c r="CK247" s="23"/>
      <c r="CL247" s="23"/>
      <c r="CM247" s="23">
        <v>0</v>
      </c>
      <c r="CN247" s="23">
        <v>0</v>
      </c>
      <c r="CO247" s="23">
        <f>CN247/AS247</f>
        <v>0</v>
      </c>
      <c r="CP247" s="23">
        <v>0</v>
      </c>
      <c r="CQ247" s="23">
        <v>0</v>
      </c>
      <c r="CR247" s="23">
        <f>CQ247/AS247</f>
        <v>0</v>
      </c>
      <c r="CS247" s="16">
        <v>0</v>
      </c>
      <c r="CT247" s="16">
        <v>0</v>
      </c>
      <c r="CV247" s="23">
        <f>SUM(CY247,DB247,DE247)</f>
        <v>0</v>
      </c>
      <c r="CW247" s="16">
        <v>0</v>
      </c>
      <c r="CX247" s="23">
        <v>0</v>
      </c>
      <c r="CY247" s="23">
        <f>CX247/AS247</f>
        <v>0</v>
      </c>
      <c r="CZ247" s="23">
        <v>0</v>
      </c>
      <c r="DA247" s="23">
        <v>0</v>
      </c>
      <c r="DB247" s="23">
        <f>DA247/AS247</f>
        <v>0</v>
      </c>
      <c r="DC247" s="23">
        <v>0</v>
      </c>
      <c r="DD247" s="23">
        <v>0</v>
      </c>
      <c r="DE247" s="23">
        <f>DD247/AS247</f>
        <v>0</v>
      </c>
      <c r="DF247" s="16" t="e">
        <f>VLOOKUP(K247,'[3]RNA Seq summary tables'!$V$3:$V$99,1,FALSE)</f>
        <v>#N/A</v>
      </c>
      <c r="DI247" s="23">
        <v>75</v>
      </c>
      <c r="DJ247" s="23"/>
      <c r="DK247" s="23">
        <v>12</v>
      </c>
      <c r="DL247" s="23"/>
      <c r="DM247" s="23">
        <v>13</v>
      </c>
      <c r="DN247" s="23"/>
      <c r="DO247" s="23">
        <v>0</v>
      </c>
      <c r="DP247" s="23"/>
      <c r="DQ247" s="23">
        <v>0</v>
      </c>
      <c r="DR247" s="23">
        <f>SUM(DI247:DQ247)</f>
        <v>100</v>
      </c>
      <c r="DS247" s="23"/>
      <c r="DT247" s="25"/>
      <c r="DU247" s="25"/>
      <c r="DV247" s="25"/>
      <c r="DW247" s="25"/>
      <c r="DX247" s="25"/>
      <c r="DY247" s="25"/>
      <c r="DZ247" s="25"/>
      <c r="EA247" s="25"/>
      <c r="EB247" s="25"/>
      <c r="EC247" s="25"/>
      <c r="ED247" s="25"/>
      <c r="EE247" s="25"/>
      <c r="EF247" s="25"/>
      <c r="EG247" s="25"/>
      <c r="EH247" s="25"/>
      <c r="EI247" s="25"/>
      <c r="EJ247" s="25"/>
      <c r="EK247" s="25"/>
      <c r="EL247" s="25"/>
      <c r="EM247" s="25"/>
      <c r="EN247" s="25"/>
      <c r="EO247" s="25"/>
      <c r="EP247" s="25"/>
      <c r="EQ247" s="25"/>
      <c r="ER247" s="25"/>
      <c r="ES247" s="25"/>
      <c r="ET247" s="25"/>
      <c r="EU247" s="25"/>
      <c r="EV247" s="25"/>
      <c r="EW247" s="25"/>
      <c r="EX247" s="25"/>
      <c r="EY247" s="25"/>
      <c r="EZ247" s="25"/>
      <c r="FA247" s="25"/>
      <c r="FB247" s="25"/>
      <c r="FC247" s="25"/>
      <c r="FD247" s="25"/>
      <c r="FE247" s="25"/>
      <c r="FF247" s="25"/>
      <c r="FG247" s="25"/>
      <c r="FH247" s="25"/>
      <c r="FI247" s="25"/>
      <c r="FJ247" s="25"/>
      <c r="FK247" s="25"/>
      <c r="FL247" s="25"/>
      <c r="FM247" s="25"/>
      <c r="FN247" s="25"/>
      <c r="FO247" s="25"/>
      <c r="FP247" s="25"/>
      <c r="FQ247" s="25"/>
      <c r="FR247" s="25"/>
      <c r="FS247" s="25"/>
      <c r="FT247" s="25"/>
      <c r="FU247" s="25"/>
      <c r="FV247" s="25"/>
      <c r="FW247" s="25"/>
      <c r="FX247" s="25"/>
      <c r="FY247" s="25"/>
      <c r="FZ247" s="25"/>
      <c r="GA247" s="25"/>
      <c r="GB247" s="25"/>
      <c r="GC247" s="25"/>
      <c r="GD247" s="25"/>
      <c r="GE247" s="25"/>
      <c r="GF247" s="25"/>
      <c r="GG247" s="25"/>
      <c r="GH247" s="25"/>
      <c r="GI247" s="25"/>
      <c r="GJ247" s="25"/>
      <c r="GK247" s="25"/>
      <c r="GL247" s="25"/>
      <c r="GM247" s="25"/>
      <c r="GN247" s="25"/>
      <c r="GO247" s="25"/>
      <c r="GP247" s="25"/>
      <c r="GQ247" s="25"/>
      <c r="GR247" s="25"/>
      <c r="GS247" s="25"/>
      <c r="GT247" s="25"/>
      <c r="GU247" s="25"/>
      <c r="GV247" s="25"/>
      <c r="GW247" s="25"/>
      <c r="GX247" s="25"/>
      <c r="GY247" s="25"/>
      <c r="GZ247" s="25"/>
      <c r="HA247" s="25"/>
      <c r="HB247" s="25"/>
      <c r="HC247" s="25"/>
      <c r="HD247" s="25"/>
      <c r="HE247" s="25"/>
      <c r="HF247" s="25"/>
      <c r="HG247" s="25"/>
      <c r="HH247" s="25"/>
      <c r="HI247" s="25"/>
      <c r="HJ247" s="25"/>
      <c r="HK247" s="25"/>
      <c r="HL247" s="25"/>
      <c r="HM247" s="25"/>
      <c r="HN247" s="25"/>
      <c r="HO247" s="25"/>
      <c r="HP247" s="25"/>
      <c r="HQ247" s="25"/>
      <c r="HR247" s="25"/>
      <c r="HS247" s="25"/>
      <c r="HT247" s="25"/>
      <c r="HU247" s="25"/>
      <c r="HV247" s="25"/>
      <c r="HW247" s="25"/>
      <c r="HX247" s="25"/>
      <c r="HY247" s="25"/>
      <c r="HZ247" s="25"/>
      <c r="IA247" s="25"/>
      <c r="IB247" s="25"/>
      <c r="IC247" s="25"/>
      <c r="ID247" s="25"/>
      <c r="IE247" s="25"/>
      <c r="IF247" s="25"/>
      <c r="IG247" s="25"/>
      <c r="IH247" s="25"/>
      <c r="II247" s="25"/>
      <c r="IJ247" s="25"/>
      <c r="IK247" s="25"/>
      <c r="IL247" s="25"/>
      <c r="IM247" s="25"/>
      <c r="IN247" s="25"/>
      <c r="IO247" s="25"/>
      <c r="IP247" s="25"/>
      <c r="IQ247" s="25"/>
      <c r="IR247" s="25"/>
      <c r="IS247" s="25"/>
      <c r="IT247" s="25"/>
      <c r="IU247" s="25"/>
      <c r="IV247" s="25"/>
      <c r="IW247" s="25"/>
      <c r="IX247" s="25"/>
      <c r="IY247" s="25"/>
      <c r="IZ247" s="25"/>
      <c r="JA247" s="25"/>
      <c r="JB247" s="25"/>
      <c r="JC247" s="25"/>
      <c r="JD247" s="25"/>
      <c r="JE247" s="25"/>
      <c r="JF247" s="25"/>
      <c r="JG247" s="25"/>
      <c r="JH247" s="25"/>
      <c r="JI247" s="25"/>
      <c r="JJ247" s="25"/>
      <c r="JK247" s="25"/>
      <c r="JL247" s="25"/>
      <c r="JM247" s="25"/>
      <c r="JN247" s="25"/>
      <c r="JP247" s="30"/>
      <c r="JQ247" s="30"/>
      <c r="JR247" s="30"/>
      <c r="JS247" s="30"/>
      <c r="JT247" s="30"/>
      <c r="JU247" s="30"/>
      <c r="JV247" s="30"/>
      <c r="JW247" s="30"/>
      <c r="JX247" s="30"/>
      <c r="JY247" s="30"/>
      <c r="JZ247" s="30"/>
      <c r="KA247" s="30"/>
      <c r="KB247" s="30"/>
    </row>
    <row r="248" spans="2:288" x14ac:dyDescent="0.2">
      <c r="B248" s="16">
        <v>2017</v>
      </c>
      <c r="C248" s="66">
        <v>42896</v>
      </c>
      <c r="D248" s="66" t="str">
        <f>CONCATENATE(J248,"-",C248)</f>
        <v>1107-42896</v>
      </c>
      <c r="E248" s="20" t="str">
        <f>CONCATENATE(T248,"-",U248,"-",C248)</f>
        <v>HW1-A2-42896</v>
      </c>
      <c r="F248" s="20" t="s">
        <v>106</v>
      </c>
      <c r="G248" s="20" t="s">
        <v>107</v>
      </c>
      <c r="I248" s="16">
        <v>0</v>
      </c>
      <c r="J248" s="21">
        <v>1107</v>
      </c>
      <c r="K248" s="21">
        <v>1657</v>
      </c>
      <c r="L248" s="18">
        <v>0</v>
      </c>
      <c r="M248" s="21">
        <f>VLOOKUP($K248,'[4]blood tubes 2017'!$D$1:$L$647,8,FALSE)</f>
        <v>0</v>
      </c>
      <c r="N248" s="15">
        <v>0</v>
      </c>
      <c r="O248" s="15" t="s">
        <v>119</v>
      </c>
      <c r="P248" s="16" t="s">
        <v>119</v>
      </c>
      <c r="Q248" s="16">
        <v>0</v>
      </c>
      <c r="R248" s="16" t="s">
        <v>111</v>
      </c>
      <c r="T248" s="16" t="s">
        <v>133</v>
      </c>
      <c r="U248" s="16" t="s">
        <v>171</v>
      </c>
      <c r="V248" s="16" t="s">
        <v>114</v>
      </c>
      <c r="W248" s="16">
        <f>AI248/AG248</f>
        <v>0.86842105263157898</v>
      </c>
      <c r="X248" s="16" t="s">
        <v>121</v>
      </c>
      <c r="Y248" s="16" t="s">
        <v>122</v>
      </c>
      <c r="Z248" s="16">
        <v>2.6</v>
      </c>
      <c r="AA248" s="16" t="s">
        <v>119</v>
      </c>
      <c r="AB248" s="16" t="s">
        <v>123</v>
      </c>
      <c r="AC248" s="16" t="s">
        <v>123</v>
      </c>
      <c r="AD248" s="16" t="s">
        <v>123</v>
      </c>
      <c r="AG248" s="16">
        <f>AH248-AI248</f>
        <v>76</v>
      </c>
      <c r="AH248" s="16">
        <v>142</v>
      </c>
      <c r="AI248" s="16">
        <v>66</v>
      </c>
      <c r="AK248" s="16">
        <v>15</v>
      </c>
      <c r="AL248" s="16">
        <v>0</v>
      </c>
      <c r="AM248" s="16">
        <v>0</v>
      </c>
      <c r="AN248" s="16">
        <v>0</v>
      </c>
      <c r="AO248" s="16">
        <v>0</v>
      </c>
      <c r="AP248" s="16">
        <f>SUM(AL248:AN248)</f>
        <v>0</v>
      </c>
      <c r="AQ248" s="16">
        <v>1.6259999999999999</v>
      </c>
      <c r="AR248" s="16">
        <f>AP248-1.472</f>
        <v>-1.472</v>
      </c>
      <c r="AS248" s="16">
        <f>AQ248-1.472</f>
        <v>0.15399999999999991</v>
      </c>
      <c r="AT248" s="16" t="s">
        <v>233</v>
      </c>
      <c r="AW248" s="16">
        <f>IF(AX248&gt;0,1,0)</f>
        <v>1</v>
      </c>
      <c r="AX248" s="16">
        <f>SUM(BA248,BM248,CT248)</f>
        <v>1</v>
      </c>
      <c r="AY248" s="18">
        <f>SUM(BB248,BN248,CV248)</f>
        <v>512.98701298701326</v>
      </c>
      <c r="AZ248" s="16">
        <f>IF(BA248&gt;0,1,0)</f>
        <v>0</v>
      </c>
      <c r="BA248" s="16">
        <f>SUM(BC248,BF248,BI248)</f>
        <v>0</v>
      </c>
      <c r="BB248" s="16">
        <f>SUM(BE248,BH248,BK248)</f>
        <v>0</v>
      </c>
      <c r="BC248" s="16">
        <v>0</v>
      </c>
      <c r="BD248" s="16">
        <v>0</v>
      </c>
      <c r="BE248" s="16">
        <f>BD248/AS248</f>
        <v>0</v>
      </c>
      <c r="BF248" s="16">
        <v>0</v>
      </c>
      <c r="BG248" s="23">
        <v>0</v>
      </c>
      <c r="BH248" s="16">
        <f>BG248/AS248</f>
        <v>0</v>
      </c>
      <c r="BI248" s="16">
        <v>0</v>
      </c>
      <c r="BJ248" s="16">
        <v>0</v>
      </c>
      <c r="BK248" s="16">
        <f>BJ248/AS248</f>
        <v>0</v>
      </c>
      <c r="BL248" s="16">
        <f>IF(BM248&gt;0,1,0)</f>
        <v>1</v>
      </c>
      <c r="BM248" s="16">
        <f>SUM(BR248,BU248,BX248,CA248,CD248,CG248,CJ248,CM248,CP248)</f>
        <v>1</v>
      </c>
      <c r="BN248" s="16">
        <f>SUM(BW248,BZ248,CC248,CF248,CI248,CL248,CO248,CR248,BT248)</f>
        <v>512.98701298701326</v>
      </c>
      <c r="BO248" s="16">
        <f>IF(BP248&gt;0,1,0)</f>
        <v>1</v>
      </c>
      <c r="BP248" s="16">
        <f>SUM(BU248,BX248,CA248,CD248,BR248)</f>
        <v>1</v>
      </c>
      <c r="BQ248" s="16">
        <f>SUM(BZ248,CC248,CF248,BT248,BW248)</f>
        <v>512.98701298701326</v>
      </c>
      <c r="BR248" s="16">
        <v>0</v>
      </c>
      <c r="BS248" s="16">
        <v>0</v>
      </c>
      <c r="BT248" s="23">
        <f>BS248/AS248</f>
        <v>0</v>
      </c>
      <c r="BU248" s="16">
        <v>0</v>
      </c>
      <c r="BV248" s="16">
        <v>0</v>
      </c>
      <c r="BW248" s="16">
        <f>BV248/AS248</f>
        <v>0</v>
      </c>
      <c r="BX248" s="16">
        <v>0</v>
      </c>
      <c r="BY248" s="16">
        <v>0</v>
      </c>
      <c r="BZ248" s="16">
        <f>BY248/AS248</f>
        <v>0</v>
      </c>
      <c r="CA248" s="16">
        <v>1</v>
      </c>
      <c r="CB248" s="16">
        <v>79</v>
      </c>
      <c r="CC248" s="16">
        <f>CB248/AS248</f>
        <v>512.98701298701326</v>
      </c>
      <c r="CD248" s="23">
        <v>0</v>
      </c>
      <c r="CE248" s="16">
        <v>0</v>
      </c>
      <c r="CF248" s="16">
        <f>CE248/AS248</f>
        <v>0</v>
      </c>
      <c r="CG248" s="16">
        <v>0</v>
      </c>
      <c r="CH248" s="16">
        <v>0</v>
      </c>
      <c r="CI248" s="16">
        <f>CH248/AS248</f>
        <v>0</v>
      </c>
      <c r="CM248" s="16">
        <v>0</v>
      </c>
      <c r="CN248" s="16">
        <v>0</v>
      </c>
      <c r="CO248" s="16">
        <f>CN248/AS248</f>
        <v>0</v>
      </c>
      <c r="CP248" s="16">
        <v>0</v>
      </c>
      <c r="CQ248" s="16">
        <v>0</v>
      </c>
      <c r="CR248" s="16">
        <f>CQ248/AS248</f>
        <v>0</v>
      </c>
      <c r="CS248" s="16">
        <f>IF(CT248&gt;0,1,0)</f>
        <v>0</v>
      </c>
      <c r="CT248" s="16">
        <f>SUM(CW248,CZ248,DC248)</f>
        <v>0</v>
      </c>
      <c r="CV248" s="16">
        <f>SUM(CY248,DB248,DE248)</f>
        <v>0</v>
      </c>
      <c r="CW248" s="16">
        <v>0</v>
      </c>
      <c r="CX248" s="16">
        <v>0</v>
      </c>
      <c r="CY248" s="16">
        <f>CX248/AS248</f>
        <v>0</v>
      </c>
      <c r="CZ248" s="16">
        <v>0</v>
      </c>
      <c r="DA248" s="16">
        <v>0</v>
      </c>
      <c r="DB248" s="16">
        <f>DA248/AS248</f>
        <v>0</v>
      </c>
      <c r="DC248" s="16">
        <v>0</v>
      </c>
      <c r="DD248" s="16">
        <v>0</v>
      </c>
      <c r="DE248" s="16">
        <f>DD248/AS248</f>
        <v>0</v>
      </c>
      <c r="DF248" s="16" t="e">
        <f>VLOOKUP(K248,'[3]RNA Seq summary tables'!$V$3:$V$99,1,FALSE)</f>
        <v>#N/A</v>
      </c>
      <c r="DI248" s="16">
        <v>66</v>
      </c>
      <c r="DK248" s="16">
        <v>17</v>
      </c>
      <c r="DM248" s="16">
        <v>17</v>
      </c>
      <c r="DO248" s="16">
        <v>0</v>
      </c>
      <c r="DQ248" s="16">
        <v>0</v>
      </c>
      <c r="DR248" s="16">
        <f>SUM(DI248:DQ248)</f>
        <v>100</v>
      </c>
    </row>
    <row r="249" spans="2:288" x14ac:dyDescent="0.2">
      <c r="B249" s="16">
        <v>2017</v>
      </c>
      <c r="C249" s="66">
        <v>42896</v>
      </c>
      <c r="D249" s="66" t="str">
        <f>CONCATENATE(J249,"-",C249)</f>
        <v>1109-42896</v>
      </c>
      <c r="E249" s="20" t="str">
        <f>CONCATENATE(T249,"-",U249,"-",C249)</f>
        <v>HW1-B4-42896</v>
      </c>
      <c r="F249" s="20" t="s">
        <v>106</v>
      </c>
      <c r="G249" s="20" t="s">
        <v>107</v>
      </c>
      <c r="I249" s="16">
        <v>0</v>
      </c>
      <c r="J249" s="21">
        <v>1109</v>
      </c>
      <c r="K249" s="21">
        <v>1659</v>
      </c>
      <c r="L249" s="18">
        <v>0</v>
      </c>
      <c r="M249" s="21">
        <f>VLOOKUP($K249,'[4]blood tubes 2017'!$D$1:$L$647,8,FALSE)</f>
        <v>0</v>
      </c>
      <c r="N249" s="15">
        <v>0</v>
      </c>
      <c r="O249" s="15" t="s">
        <v>119</v>
      </c>
      <c r="P249" s="16" t="s">
        <v>119</v>
      </c>
      <c r="Q249" s="16">
        <v>0</v>
      </c>
      <c r="R249" s="16" t="s">
        <v>111</v>
      </c>
      <c r="T249" s="16" t="s">
        <v>133</v>
      </c>
      <c r="U249" s="16" t="s">
        <v>144</v>
      </c>
      <c r="V249" s="16" t="s">
        <v>114</v>
      </c>
      <c r="W249" s="16">
        <f>AI249/AG249</f>
        <v>0.83529411764705885</v>
      </c>
      <c r="X249" s="16" t="s">
        <v>115</v>
      </c>
      <c r="Y249" s="16" t="s">
        <v>110</v>
      </c>
      <c r="Z249" s="16">
        <v>3</v>
      </c>
      <c r="AE249" s="16" t="s">
        <v>123</v>
      </c>
      <c r="AF249" s="16" t="s">
        <v>123</v>
      </c>
      <c r="AG249" s="16">
        <f>AH249-AI249</f>
        <v>85</v>
      </c>
      <c r="AH249" s="16">
        <v>156</v>
      </c>
      <c r="AI249" s="16">
        <v>71</v>
      </c>
      <c r="AK249" s="16">
        <v>17.5</v>
      </c>
      <c r="AL249" s="16">
        <v>0</v>
      </c>
      <c r="AM249" s="16">
        <v>0</v>
      </c>
      <c r="AN249" s="16">
        <v>0</v>
      </c>
      <c r="AO249" s="16">
        <v>0</v>
      </c>
      <c r="AP249" s="16">
        <f>SUM(AL249:AN249)</f>
        <v>0</v>
      </c>
      <c r="AQ249" s="16">
        <v>1.6919999999999999</v>
      </c>
      <c r="AR249" s="16">
        <f>AP249-1.472</f>
        <v>-1.472</v>
      </c>
      <c r="AS249" s="16">
        <f>AQ249-1.472</f>
        <v>0.21999999999999997</v>
      </c>
      <c r="AT249" s="16" t="s">
        <v>234</v>
      </c>
      <c r="AV249" s="16">
        <v>1</v>
      </c>
      <c r="AW249" s="16">
        <f>IF(AX249&gt;0,1,0)</f>
        <v>0</v>
      </c>
      <c r="AX249" s="16">
        <f>SUM(BA249,BM249,CT249)</f>
        <v>0</v>
      </c>
      <c r="AY249" s="18">
        <f>SUM(BB249,BN249,CV249)</f>
        <v>0</v>
      </c>
      <c r="AZ249" s="16">
        <f>IF(BA249&gt;0,1,0)</f>
        <v>0</v>
      </c>
      <c r="BA249" s="16">
        <f>SUM(BC249,BF249,BI249)</f>
        <v>0</v>
      </c>
      <c r="BB249" s="16">
        <f>SUM(BE249,BH249,BK249)</f>
        <v>0</v>
      </c>
      <c r="BC249" s="16">
        <v>0</v>
      </c>
      <c r="BD249" s="16">
        <v>0</v>
      </c>
      <c r="BE249" s="16">
        <f>BD249/AS249</f>
        <v>0</v>
      </c>
      <c r="BF249" s="16">
        <v>0</v>
      </c>
      <c r="BG249" s="23">
        <v>0</v>
      </c>
      <c r="BH249" s="16">
        <f>BG249/AS249</f>
        <v>0</v>
      </c>
      <c r="BI249" s="16">
        <v>0</v>
      </c>
      <c r="BJ249" s="16">
        <v>0</v>
      </c>
      <c r="BK249" s="16">
        <f>BJ249/AS249</f>
        <v>0</v>
      </c>
      <c r="BL249" s="16">
        <f>IF(BM249&gt;0,1,0)</f>
        <v>0</v>
      </c>
      <c r="BM249" s="16">
        <f>SUM(BR249,BU249,BX249,CA249,CD249,CG249,CJ249,CM249,CP249)</f>
        <v>0</v>
      </c>
      <c r="BN249" s="16">
        <f>SUM(BW249,BZ249,CC249,CF249,CI249,CL249,CO249,CR249,BT249)</f>
        <v>0</v>
      </c>
      <c r="BO249" s="16">
        <f>IF(BP249&gt;0,1,0)</f>
        <v>0</v>
      </c>
      <c r="BP249" s="16">
        <f>SUM(BU249,BX249,CA249,CD249,BR249)</f>
        <v>0</v>
      </c>
      <c r="BQ249" s="16">
        <f>SUM(BZ249,CC249,CF249,BT249,BW249)</f>
        <v>0</v>
      </c>
      <c r="BR249" s="16">
        <v>0</v>
      </c>
      <c r="BS249" s="16">
        <v>0</v>
      </c>
      <c r="BT249" s="23">
        <f>BS249/AS249</f>
        <v>0</v>
      </c>
      <c r="BU249" s="16">
        <v>0</v>
      </c>
      <c r="BV249" s="16">
        <v>0</v>
      </c>
      <c r="BW249" s="16">
        <f>BV249/AS249</f>
        <v>0</v>
      </c>
      <c r="BX249" s="16">
        <v>0</v>
      </c>
      <c r="BY249" s="16">
        <v>0</v>
      </c>
      <c r="BZ249" s="16">
        <f>BY249/AS249</f>
        <v>0</v>
      </c>
      <c r="CA249" s="16">
        <v>0</v>
      </c>
      <c r="CB249" s="16">
        <v>0</v>
      </c>
      <c r="CC249" s="16">
        <f>CB249/AS249</f>
        <v>0</v>
      </c>
      <c r="CD249" s="23">
        <v>0</v>
      </c>
      <c r="CE249" s="16">
        <v>0</v>
      </c>
      <c r="CF249" s="16">
        <f>CE249/AS249</f>
        <v>0</v>
      </c>
      <c r="CG249" s="16">
        <v>0</v>
      </c>
      <c r="CH249" s="16">
        <v>0</v>
      </c>
      <c r="CI249" s="16">
        <f>CH249/AS249</f>
        <v>0</v>
      </c>
      <c r="CM249" s="16">
        <v>0</v>
      </c>
      <c r="CN249" s="16">
        <v>0</v>
      </c>
      <c r="CO249" s="16">
        <f>CN249/AS249</f>
        <v>0</v>
      </c>
      <c r="CP249" s="16">
        <v>0</v>
      </c>
      <c r="CQ249" s="16">
        <v>0</v>
      </c>
      <c r="CR249" s="16">
        <f>CQ249/AS249</f>
        <v>0</v>
      </c>
      <c r="CS249" s="16">
        <f>IF(CT249&gt;0,1,0)</f>
        <v>0</v>
      </c>
      <c r="CT249" s="16">
        <f>SUM(CW249,CZ249,DC249)</f>
        <v>0</v>
      </c>
      <c r="CV249" s="16">
        <f>SUM(CY249,DB249,DE249)</f>
        <v>0</v>
      </c>
      <c r="CW249" s="16">
        <v>0</v>
      </c>
      <c r="CX249" s="16">
        <v>0</v>
      </c>
      <c r="CY249" s="16">
        <f>CX249/AS249</f>
        <v>0</v>
      </c>
      <c r="CZ249" s="16">
        <v>0</v>
      </c>
      <c r="DA249" s="16">
        <v>0</v>
      </c>
      <c r="DB249" s="16">
        <f>DA249/AS249</f>
        <v>0</v>
      </c>
      <c r="DC249" s="16">
        <v>0</v>
      </c>
      <c r="DD249" s="16">
        <v>0</v>
      </c>
      <c r="DE249" s="16">
        <f>DD249/AS249</f>
        <v>0</v>
      </c>
      <c r="DF249" s="16" t="e">
        <f>VLOOKUP(K249,'[3]RNA Seq summary tables'!$V$3:$V$99,1,FALSE)</f>
        <v>#N/A</v>
      </c>
      <c r="DI249" s="16">
        <v>63</v>
      </c>
      <c r="DK249" s="16">
        <v>21</v>
      </c>
      <c r="DM249" s="16">
        <v>9</v>
      </c>
      <c r="DO249" s="16">
        <v>0</v>
      </c>
      <c r="DQ249" s="16">
        <v>7</v>
      </c>
      <c r="DR249" s="16">
        <f>SUM(DI249:DQ249)</f>
        <v>100</v>
      </c>
      <c r="JO249" s="18"/>
      <c r="JR249" s="27"/>
      <c r="JS249" s="27"/>
      <c r="JT249" s="27"/>
      <c r="JU249" s="27"/>
      <c r="JV249" s="27"/>
      <c r="JW249" s="27"/>
      <c r="JX249" s="27"/>
      <c r="JY249" s="27"/>
      <c r="JZ249" s="27"/>
      <c r="KA249" s="27"/>
      <c r="KB249" s="27"/>
    </row>
    <row r="250" spans="2:288" x14ac:dyDescent="0.2">
      <c r="B250" s="16">
        <v>2017</v>
      </c>
      <c r="C250" s="20">
        <v>42914</v>
      </c>
      <c r="D250" s="20" t="str">
        <f>CONCATENATE(J250,"-",C250)</f>
        <v>1109-42914</v>
      </c>
      <c r="E250" s="20" t="str">
        <f>CONCATENATE(T250,"-",U250,"-",C250)</f>
        <v>HW1-G1-42914</v>
      </c>
      <c r="F250" s="20" t="s">
        <v>106</v>
      </c>
      <c r="G250" s="20" t="s">
        <v>107</v>
      </c>
      <c r="H250" s="16" t="s">
        <v>248</v>
      </c>
      <c r="I250" s="16">
        <v>0</v>
      </c>
      <c r="J250" s="21">
        <v>1109</v>
      </c>
      <c r="K250" s="21">
        <v>1790</v>
      </c>
      <c r="L250" s="18">
        <v>0</v>
      </c>
      <c r="M250" s="21">
        <f>VLOOKUP($K250,'[4]blood tubes 2017'!$D$1:$L$647,8,FALSE)</f>
        <v>0</v>
      </c>
      <c r="N250" s="15">
        <v>0</v>
      </c>
      <c r="O250" s="15" t="s">
        <v>119</v>
      </c>
      <c r="P250" s="16" t="s">
        <v>119</v>
      </c>
      <c r="Q250" s="16">
        <v>0</v>
      </c>
      <c r="R250" s="16">
        <v>18</v>
      </c>
      <c r="T250" s="16" t="s">
        <v>133</v>
      </c>
      <c r="U250" s="16" t="s">
        <v>155</v>
      </c>
      <c r="V250" s="16" t="s">
        <v>114</v>
      </c>
      <c r="W250" s="16">
        <f>AI250/AG250</f>
        <v>0.82758620689655171</v>
      </c>
      <c r="X250" s="16" t="s">
        <v>115</v>
      </c>
      <c r="Y250" s="16" t="s">
        <v>110</v>
      </c>
      <c r="Z250" s="16">
        <v>3</v>
      </c>
      <c r="AE250" s="16" t="s">
        <v>123</v>
      </c>
      <c r="AF250" s="16" t="s">
        <v>123</v>
      </c>
      <c r="AG250" s="16">
        <f>AH250-AI250</f>
        <v>87</v>
      </c>
      <c r="AH250" s="16">
        <v>159</v>
      </c>
      <c r="AI250" s="16">
        <v>72</v>
      </c>
      <c r="AK250" s="16">
        <v>17.5</v>
      </c>
      <c r="AL250" s="16">
        <v>0</v>
      </c>
      <c r="AM250" s="16">
        <v>0</v>
      </c>
      <c r="AN250" s="16">
        <v>0</v>
      </c>
      <c r="AO250" s="16">
        <v>0</v>
      </c>
      <c r="AP250" s="16">
        <f>SUM(AL250:AN250)</f>
        <v>0</v>
      </c>
      <c r="AQ250" s="16">
        <v>1.8839999999999999</v>
      </c>
      <c r="AR250" s="16">
        <f>AP250-1.472</f>
        <v>-1.472</v>
      </c>
      <c r="AS250" s="16">
        <f>AQ250-1.472</f>
        <v>0.41199999999999992</v>
      </c>
      <c r="AT250" s="16" t="s">
        <v>233</v>
      </c>
      <c r="AV250" s="16">
        <v>1</v>
      </c>
      <c r="AW250" s="16">
        <f>IF(AX250&gt;0,1,0)</f>
        <v>0</v>
      </c>
      <c r="AX250" s="16">
        <f>SUM(BA250,BM250,CT250)</f>
        <v>0</v>
      </c>
      <c r="AY250" s="18">
        <f>SUM(BB250,BN250,CV250)</f>
        <v>0</v>
      </c>
      <c r="AZ250" s="16">
        <v>0</v>
      </c>
      <c r="BA250" s="16">
        <v>0</v>
      </c>
      <c r="BB250" s="16">
        <f>SUM(BE250,BH250,BK250)</f>
        <v>0</v>
      </c>
      <c r="BC250" s="16">
        <v>0</v>
      </c>
      <c r="BD250" s="16">
        <v>0</v>
      </c>
      <c r="BE250" s="16">
        <v>0</v>
      </c>
      <c r="BF250" s="16">
        <v>0</v>
      </c>
      <c r="BG250" s="23">
        <v>0</v>
      </c>
      <c r="BH250" s="16">
        <v>0</v>
      </c>
      <c r="BI250" s="16">
        <v>0</v>
      </c>
      <c r="BJ250" s="16">
        <v>0</v>
      </c>
      <c r="BK250" s="16">
        <v>0</v>
      </c>
      <c r="BL250" s="16">
        <f>IF(BM250&gt;0,1,0)</f>
        <v>0</v>
      </c>
      <c r="BM250" s="16">
        <f>SUM(BR250,BU250,BX250,CA250,CD250,CG250,CJ250,CM250,CP250)</f>
        <v>0</v>
      </c>
      <c r="BN250" s="16">
        <f>SUM(BW250,BZ250,CC250,CF250,CI250,CL250,CO250,CR250,BT250)</f>
        <v>0</v>
      </c>
      <c r="BO250" s="16">
        <f>IF(BP250&gt;0,1,0)</f>
        <v>0</v>
      </c>
      <c r="BP250" s="16">
        <f>SUM(BU250,BX250,CA250,CD250,BR250)</f>
        <v>0</v>
      </c>
      <c r="BQ250" s="16">
        <f>SUM(BZ250,CC250,CF250,BT250,BW250)</f>
        <v>0</v>
      </c>
      <c r="BR250" s="16">
        <v>0</v>
      </c>
      <c r="BS250" s="16">
        <v>0</v>
      </c>
      <c r="BT250" s="23">
        <v>0</v>
      </c>
      <c r="BU250" s="16">
        <v>0</v>
      </c>
      <c r="BV250" s="16">
        <v>0</v>
      </c>
      <c r="BW250" s="16">
        <f>BV250/AS250</f>
        <v>0</v>
      </c>
      <c r="BX250" s="16">
        <v>0</v>
      </c>
      <c r="BY250" s="16">
        <v>0</v>
      </c>
      <c r="BZ250" s="16">
        <f>BY250/AS250</f>
        <v>0</v>
      </c>
      <c r="CA250" s="16">
        <v>0</v>
      </c>
      <c r="CB250" s="16">
        <v>0</v>
      </c>
      <c r="CC250" s="16">
        <f>CB250/AS250</f>
        <v>0</v>
      </c>
      <c r="CD250" s="23">
        <v>0</v>
      </c>
      <c r="CE250" s="16">
        <v>0</v>
      </c>
      <c r="CF250" s="16">
        <v>0</v>
      </c>
      <c r="CG250" s="16">
        <v>0</v>
      </c>
      <c r="CH250" s="16">
        <v>0</v>
      </c>
      <c r="CI250" s="16">
        <f>CH250/AS250</f>
        <v>0</v>
      </c>
      <c r="CM250" s="16">
        <v>0</v>
      </c>
      <c r="CN250" s="16">
        <v>0</v>
      </c>
      <c r="CO250" s="16">
        <f>CN250/AS250</f>
        <v>0</v>
      </c>
      <c r="CP250" s="16">
        <v>0</v>
      </c>
      <c r="CQ250" s="16">
        <v>0</v>
      </c>
      <c r="CR250" s="16">
        <f>CQ250/AS250</f>
        <v>0</v>
      </c>
      <c r="CS250" s="16">
        <v>0</v>
      </c>
      <c r="CT250" s="16">
        <v>0</v>
      </c>
      <c r="CV250" s="16">
        <f>SUM(CY250,DB250,DE250)</f>
        <v>0</v>
      </c>
      <c r="CW250" s="16">
        <v>0</v>
      </c>
      <c r="CX250" s="16">
        <v>0</v>
      </c>
      <c r="CY250" s="16">
        <f>CX250/AS250</f>
        <v>0</v>
      </c>
      <c r="CZ250" s="16">
        <v>0</v>
      </c>
      <c r="DA250" s="16">
        <v>0</v>
      </c>
      <c r="DB250" s="16">
        <f>DA250/AS250</f>
        <v>0</v>
      </c>
      <c r="DC250" s="16">
        <v>0</v>
      </c>
      <c r="DD250" s="16">
        <v>0</v>
      </c>
      <c r="DE250" s="16">
        <f>DD250/AS250</f>
        <v>0</v>
      </c>
      <c r="DF250" s="16" t="e">
        <f>VLOOKUP(K250,'[3]RNA Seq summary tables'!$V$3:$V$99,1,FALSE)</f>
        <v>#N/A</v>
      </c>
      <c r="DI250" s="16">
        <v>46</v>
      </c>
      <c r="DK250" s="16">
        <v>42</v>
      </c>
      <c r="DM250" s="16">
        <v>12</v>
      </c>
      <c r="DO250" s="16">
        <v>0</v>
      </c>
      <c r="DQ250" s="16">
        <v>0</v>
      </c>
      <c r="DR250" s="16">
        <f>SUM(DI250:DQ250)</f>
        <v>100</v>
      </c>
      <c r="JR250" s="27"/>
      <c r="JS250" s="27"/>
      <c r="JT250" s="27"/>
      <c r="JU250" s="27"/>
      <c r="JV250" s="27"/>
      <c r="JW250" s="27"/>
      <c r="JX250" s="27"/>
      <c r="JY250" s="27"/>
      <c r="JZ250" s="27"/>
      <c r="KA250" s="27"/>
      <c r="KB250" s="27"/>
    </row>
    <row r="251" spans="2:288" ht="16" x14ac:dyDescent="0.2">
      <c r="B251" s="16">
        <v>2017</v>
      </c>
      <c r="C251" s="20">
        <v>42930</v>
      </c>
      <c r="D251" s="20" t="str">
        <f>CONCATENATE(J251,"-",C251)</f>
        <v>1109-42930</v>
      </c>
      <c r="E251" s="37" t="str">
        <f>CONCATENATE(T251,"-",U251,"-",C251)</f>
        <v>HW1-G1-42930</v>
      </c>
      <c r="F251" s="20" t="s">
        <v>106</v>
      </c>
      <c r="G251" s="20" t="s">
        <v>107</v>
      </c>
      <c r="I251" s="16">
        <v>0</v>
      </c>
      <c r="J251" s="21">
        <v>1109</v>
      </c>
      <c r="K251" s="21">
        <v>1911</v>
      </c>
      <c r="L251" s="18">
        <v>0</v>
      </c>
      <c r="M251" s="21">
        <f>VLOOKUP($K251,'[4]blood tubes 2017'!$D$1:$L$647,8,FALSE)</f>
        <v>0</v>
      </c>
      <c r="N251" s="15">
        <v>0</v>
      </c>
      <c r="O251" s="15" t="s">
        <v>119</v>
      </c>
      <c r="P251" s="16" t="s">
        <v>119</v>
      </c>
      <c r="Q251" s="16">
        <v>0</v>
      </c>
      <c r="R251" s="16">
        <v>16</v>
      </c>
      <c r="T251" s="16" t="s">
        <v>133</v>
      </c>
      <c r="U251" s="16" t="s">
        <v>155</v>
      </c>
      <c r="V251" s="16" t="s">
        <v>114</v>
      </c>
      <c r="W251" s="16">
        <f>AI251/AG251</f>
        <v>0.87356321839080464</v>
      </c>
      <c r="X251" s="16" t="s">
        <v>115</v>
      </c>
      <c r="Y251" s="16" t="s">
        <v>110</v>
      </c>
      <c r="Z251" s="16">
        <v>3</v>
      </c>
      <c r="AE251" s="16" t="s">
        <v>116</v>
      </c>
      <c r="AF251" s="16" t="s">
        <v>116</v>
      </c>
      <c r="AG251" s="16">
        <f>AH251-AI251</f>
        <v>87</v>
      </c>
      <c r="AH251" s="16">
        <v>163</v>
      </c>
      <c r="AI251" s="16">
        <v>76</v>
      </c>
      <c r="AK251" s="16">
        <v>19</v>
      </c>
      <c r="AL251" s="16">
        <v>0</v>
      </c>
      <c r="AM251" s="16">
        <v>0</v>
      </c>
      <c r="AN251" s="16">
        <v>0</v>
      </c>
      <c r="AO251" s="16">
        <v>0</v>
      </c>
      <c r="AP251" s="16">
        <f>SUM(AL251:AN251)</f>
        <v>0</v>
      </c>
      <c r="AQ251" s="16">
        <v>1.823</v>
      </c>
      <c r="AR251" s="16">
        <f>AP251-1.472</f>
        <v>-1.472</v>
      </c>
      <c r="AS251" s="16">
        <f>AQ251-1.472</f>
        <v>0.35099999999999998</v>
      </c>
      <c r="AT251" s="16" t="str">
        <f>VLOOKUP(E251,[2]Current!$A$1:$W$435,7,FALSE)</f>
        <v>JY</v>
      </c>
      <c r="AU251" s="16" t="s">
        <v>1288</v>
      </c>
      <c r="AW251" s="128">
        <f>IF(AX251&gt;0,1,0)</f>
        <v>1</v>
      </c>
      <c r="AX251" s="128">
        <f>SUM(BA251,BM251,CU251)</f>
        <v>1</v>
      </c>
      <c r="AY251" s="128">
        <f>SUM(BB251,BN251,CV251)</f>
        <v>276.35327635327639</v>
      </c>
      <c r="AZ251" s="128">
        <f>IF(BA251&gt;0,1,0)</f>
        <v>1</v>
      </c>
      <c r="BA251" s="128">
        <f>SUM(BC251+BF251+BI251)</f>
        <v>1</v>
      </c>
      <c r="BB251" s="128">
        <f>SUM(BE251,BH251,BK251)</f>
        <v>276.35327635327639</v>
      </c>
      <c r="BC251" s="130">
        <f>IF(BD251&gt;0,1,0)</f>
        <v>0</v>
      </c>
      <c r="BD251" s="128">
        <f>VLOOKUP($E251,[2]Current!$A:$AC,26,FALSE)</f>
        <v>0</v>
      </c>
      <c r="BE251" s="128">
        <f>BD251/$AS251</f>
        <v>0</v>
      </c>
      <c r="BF251" s="130">
        <f>IF(BG251&gt;0,1,0)</f>
        <v>1</v>
      </c>
      <c r="BG251" s="175">
        <f>VLOOKUP($E251,[2]Current!$A:$AC,27,FALSE)</f>
        <v>97</v>
      </c>
      <c r="BH251" s="128">
        <f>BG251/$AS251</f>
        <v>276.35327635327639</v>
      </c>
      <c r="BI251" s="130">
        <f>IF(BJ251&gt;0,1,0)</f>
        <v>0</v>
      </c>
      <c r="BJ251" s="128">
        <f>VLOOKUP($E251,[2]Current!$A:$AC,28,FALSE)</f>
        <v>0</v>
      </c>
      <c r="BK251" s="128">
        <f>BJ251/$AS251</f>
        <v>0</v>
      </c>
      <c r="BL251" s="128">
        <f>IF(BM251&gt;0,1,0)</f>
        <v>0</v>
      </c>
      <c r="BM251" s="128">
        <f>SUM(BR251,BU251,BX251,CA251,CD251)</f>
        <v>0</v>
      </c>
      <c r="BN251" s="131">
        <f>SUM(BT251,BW251,BZ251,CC251,CF251)</f>
        <v>0</v>
      </c>
      <c r="BO251" s="128">
        <f>IF(BP251&gt;0,1,0)</f>
        <v>0</v>
      </c>
      <c r="BP251" s="128">
        <f>BM251+CJ251</f>
        <v>0</v>
      </c>
      <c r="BQ251" s="128">
        <f>BN251+CL251</f>
        <v>0</v>
      </c>
      <c r="BR251" s="130">
        <f>IF(BS251&gt;0,1,0)</f>
        <v>0</v>
      </c>
      <c r="BS251" s="128">
        <f>VLOOKUP($E251,[2]Current!$A:$AC,12,FALSE)</f>
        <v>0</v>
      </c>
      <c r="BT251" s="175">
        <f>BS251/$AS251</f>
        <v>0</v>
      </c>
      <c r="BU251" s="130">
        <f>IF(BV251&gt;0,1,0)</f>
        <v>0</v>
      </c>
      <c r="BV251" s="128">
        <f>VLOOKUP($E251,[2]Current!$A:$AC,13,FALSE)</f>
        <v>0</v>
      </c>
      <c r="BW251" s="128">
        <f>BV251/$AS251</f>
        <v>0</v>
      </c>
      <c r="BX251" s="130">
        <f>IF(BY251&gt;0,1,0)</f>
        <v>0</v>
      </c>
      <c r="BY251" s="128">
        <f>VLOOKUP($E251,[2]Current!$A:$AC,14,FALSE)</f>
        <v>0</v>
      </c>
      <c r="BZ251" s="128">
        <f>BY251/$AS251</f>
        <v>0</v>
      </c>
      <c r="CA251" s="130">
        <f>IF(CB251&gt;0,1,0)</f>
        <v>0</v>
      </c>
      <c r="CB251" s="128">
        <f>VLOOKUP($E251,[2]Current!$A:$AC,15,FALSE)</f>
        <v>0</v>
      </c>
      <c r="CC251" s="128">
        <f>CB251/$AS251</f>
        <v>0</v>
      </c>
      <c r="CD251" s="176">
        <f>IF(CE251&gt;0,1,0)</f>
        <v>0</v>
      </c>
      <c r="CE251" s="128">
        <f>VLOOKUP($E251,[2]Current!$A:$AC,16,FALSE)</f>
        <v>0</v>
      </c>
      <c r="CF251" s="128">
        <f>CE251/$AS251</f>
        <v>0</v>
      </c>
      <c r="CG251" s="18"/>
      <c r="CH251" s="18"/>
      <c r="CI251" s="18"/>
      <c r="CJ251" s="130">
        <f>IF(CK251&gt;0,1,0)</f>
        <v>0</v>
      </c>
      <c r="CK251" s="128">
        <f>VLOOKUP($E251,[2]Current!$A:$AC,18,FALSE)</f>
        <v>0</v>
      </c>
      <c r="CL251" s="128">
        <f>CK251/$AS251</f>
        <v>0</v>
      </c>
      <c r="CS251" s="130">
        <f>IF(CU251&gt;0,1,0)</f>
        <v>0</v>
      </c>
      <c r="CU251" s="128">
        <f>VLOOKUP($E251,[2]Current!$A:$AC,17,FALSE)</f>
        <v>0</v>
      </c>
      <c r="CV251" s="128">
        <f>CU251/$AS251</f>
        <v>0</v>
      </c>
      <c r="CW251" s="18"/>
      <c r="CX251" s="18"/>
      <c r="CY251" s="18"/>
      <c r="DF251" s="16" t="e">
        <f>VLOOKUP(K251,'[3]RNA Seq summary tables'!$V$3:$V$99,1,FALSE)</f>
        <v>#N/A</v>
      </c>
      <c r="JR251" s="26"/>
      <c r="JS251" s="26"/>
      <c r="JT251" s="26"/>
      <c r="JU251" s="26"/>
      <c r="JV251" s="26"/>
      <c r="JW251" s="26"/>
      <c r="JX251" s="26"/>
      <c r="JY251" s="26"/>
      <c r="JZ251" s="26"/>
      <c r="KA251" s="26"/>
      <c r="KB251" s="26"/>
    </row>
    <row r="252" spans="2:288" x14ac:dyDescent="0.2">
      <c r="B252" s="16">
        <v>2017</v>
      </c>
      <c r="C252" s="66">
        <v>42896</v>
      </c>
      <c r="D252" s="66" t="str">
        <f>CONCATENATE(J252,"-",C252)</f>
        <v>1111-42896</v>
      </c>
      <c r="E252" s="20" t="str">
        <f>CONCATENATE(T252,"-",U252,"-",C252)</f>
        <v>HW1-B7-42896</v>
      </c>
      <c r="F252" s="20" t="s">
        <v>106</v>
      </c>
      <c r="G252" s="20" t="s">
        <v>107</v>
      </c>
      <c r="I252" s="16">
        <v>0</v>
      </c>
      <c r="J252" s="21">
        <v>1111</v>
      </c>
      <c r="K252" s="21">
        <v>1661</v>
      </c>
      <c r="L252" s="18">
        <v>0</v>
      </c>
      <c r="M252" s="21">
        <f>VLOOKUP($K252,'[4]blood tubes 2017'!$D$1:$L$647,8,FALSE)</f>
        <v>0</v>
      </c>
      <c r="N252" s="15">
        <v>0</v>
      </c>
      <c r="O252" s="15" t="s">
        <v>119</v>
      </c>
      <c r="P252" s="16" t="s">
        <v>119</v>
      </c>
      <c r="Q252" s="16">
        <v>0</v>
      </c>
      <c r="R252" s="16" t="s">
        <v>111</v>
      </c>
      <c r="T252" s="16" t="s">
        <v>133</v>
      </c>
      <c r="U252" s="16" t="s">
        <v>168</v>
      </c>
      <c r="V252" s="16" t="s">
        <v>114</v>
      </c>
      <c r="W252" s="16">
        <f>AI252/AG252</f>
        <v>0.77027027027027029</v>
      </c>
      <c r="X252" s="16" t="s">
        <v>115</v>
      </c>
      <c r="Y252" s="16" t="s">
        <v>122</v>
      </c>
      <c r="Z252" s="16">
        <v>2.2999999999999998</v>
      </c>
      <c r="AE252" s="16" t="s">
        <v>123</v>
      </c>
      <c r="AF252" s="16" t="s">
        <v>123</v>
      </c>
      <c r="AG252" s="16">
        <f>AH252-AI252</f>
        <v>74</v>
      </c>
      <c r="AH252" s="16">
        <v>131</v>
      </c>
      <c r="AI252" s="16">
        <v>57</v>
      </c>
      <c r="AK252" s="16">
        <v>13.5</v>
      </c>
      <c r="AL252" s="16">
        <v>0</v>
      </c>
      <c r="AM252" s="16">
        <v>0</v>
      </c>
      <c r="AN252" s="16">
        <v>0</v>
      </c>
      <c r="AO252" s="16">
        <v>0</v>
      </c>
      <c r="AP252" s="16">
        <f>SUM(AL252:AN252)</f>
        <v>0</v>
      </c>
      <c r="AQ252" s="16">
        <v>1.5780000000000001</v>
      </c>
      <c r="AR252" s="16">
        <f>AP252-1.472</f>
        <v>-1.472</v>
      </c>
      <c r="AS252" s="16">
        <f>AQ252-1.472</f>
        <v>0.10600000000000009</v>
      </c>
      <c r="AT252" s="16" t="s">
        <v>164</v>
      </c>
      <c r="AW252" s="16">
        <f>IF(AX252&gt;0,1,0)</f>
        <v>1</v>
      </c>
      <c r="AX252" s="16">
        <f>SUM(BA252,BM252,CT252)</f>
        <v>3</v>
      </c>
      <c r="AY252" s="18">
        <f>SUM(BB252,BN252,CV252)</f>
        <v>575.47169811320703</v>
      </c>
      <c r="AZ252" s="16">
        <f>IF(BA252&gt;0,1,0)</f>
        <v>1</v>
      </c>
      <c r="BA252" s="16">
        <f>SUM(BC252,BF252,BI252)</f>
        <v>3</v>
      </c>
      <c r="BB252" s="16">
        <f>SUM(BE252,BH252,BK252)</f>
        <v>575.47169811320703</v>
      </c>
      <c r="BC252" s="16">
        <v>1</v>
      </c>
      <c r="BD252" s="16">
        <v>18</v>
      </c>
      <c r="BE252" s="16">
        <f>BD252/AS252</f>
        <v>169.81132075471683</v>
      </c>
      <c r="BF252" s="16">
        <v>1</v>
      </c>
      <c r="BG252" s="23">
        <v>38</v>
      </c>
      <c r="BH252" s="16">
        <f>BG252/AS252</f>
        <v>358.4905660377355</v>
      </c>
      <c r="BI252" s="16">
        <v>1</v>
      </c>
      <c r="BJ252" s="16">
        <v>5</v>
      </c>
      <c r="BK252" s="16">
        <f>BJ252/AS252</f>
        <v>47.169811320754675</v>
      </c>
      <c r="BL252" s="16">
        <f>IF(BM252&gt;0,1,0)</f>
        <v>0</v>
      </c>
      <c r="BM252" s="16">
        <f>SUM(BR252,BU252,BX252,CA252,CD252,CG252,CJ252,CM252,CP252)</f>
        <v>0</v>
      </c>
      <c r="BN252" s="16">
        <f>SUM(BW252,BZ252,CC252,CF252,CI252,CL252,CO252,CR252,BT252)</f>
        <v>0</v>
      </c>
      <c r="BO252" s="16">
        <f>IF(BP252&gt;0,1,0)</f>
        <v>0</v>
      </c>
      <c r="BP252" s="16">
        <f>SUM(BU252,BX252,CA252,CD252,BR252)</f>
        <v>0</v>
      </c>
      <c r="BQ252" s="16">
        <f>SUM(BZ252,CC252,CF252,BT252,BW252)</f>
        <v>0</v>
      </c>
      <c r="BR252" s="16">
        <v>0</v>
      </c>
      <c r="BS252" s="16">
        <v>0</v>
      </c>
      <c r="BT252" s="23">
        <f>BS252/AS252</f>
        <v>0</v>
      </c>
      <c r="BU252" s="16">
        <v>0</v>
      </c>
      <c r="BV252" s="16">
        <v>0</v>
      </c>
      <c r="BW252" s="16">
        <f>BV252/AS252</f>
        <v>0</v>
      </c>
      <c r="BX252" s="16">
        <v>0</v>
      </c>
      <c r="BY252" s="16">
        <v>0</v>
      </c>
      <c r="BZ252" s="16">
        <f>BY252/AS252</f>
        <v>0</v>
      </c>
      <c r="CA252" s="16">
        <v>0</v>
      </c>
      <c r="CB252" s="16">
        <v>0</v>
      </c>
      <c r="CC252" s="16">
        <f>CB252/AS252</f>
        <v>0</v>
      </c>
      <c r="CD252" s="23">
        <v>0</v>
      </c>
      <c r="CE252" s="16">
        <v>0</v>
      </c>
      <c r="CF252" s="16">
        <f>CE252/AS252</f>
        <v>0</v>
      </c>
      <c r="CG252" s="16">
        <v>0</v>
      </c>
      <c r="CH252" s="16">
        <v>0</v>
      </c>
      <c r="CI252" s="16">
        <f>CH252/AS252</f>
        <v>0</v>
      </c>
      <c r="CM252" s="16">
        <v>0</v>
      </c>
      <c r="CN252" s="16">
        <v>0</v>
      </c>
      <c r="CO252" s="16">
        <f>CN252/AS252</f>
        <v>0</v>
      </c>
      <c r="CP252" s="16">
        <v>0</v>
      </c>
      <c r="CQ252" s="16">
        <v>0</v>
      </c>
      <c r="CR252" s="16">
        <f>CQ252/AS252</f>
        <v>0</v>
      </c>
      <c r="CS252" s="16">
        <f>IF(CT252&gt;0,1,0)</f>
        <v>0</v>
      </c>
      <c r="CT252" s="16">
        <f>SUM(CW252,CZ252,DC252)</f>
        <v>0</v>
      </c>
      <c r="CV252" s="16">
        <f>SUM(CY252,DB252,DE252)</f>
        <v>0</v>
      </c>
      <c r="CW252" s="16">
        <v>0</v>
      </c>
      <c r="CX252" s="16">
        <v>0</v>
      </c>
      <c r="CY252" s="16">
        <f>CX252/AS252</f>
        <v>0</v>
      </c>
      <c r="CZ252" s="16">
        <v>0</v>
      </c>
      <c r="DA252" s="16">
        <v>0</v>
      </c>
      <c r="DB252" s="16">
        <f>DA252/AS252</f>
        <v>0</v>
      </c>
      <c r="DC252" s="16">
        <v>0</v>
      </c>
      <c r="DD252" s="16">
        <v>0</v>
      </c>
      <c r="DE252" s="16">
        <f>DD252/AS252</f>
        <v>0</v>
      </c>
      <c r="DF252" s="16" t="e">
        <f>VLOOKUP(K252,'[3]RNA Seq summary tables'!$V$3:$V$99,1,FALSE)</f>
        <v>#N/A</v>
      </c>
      <c r="DI252" s="16">
        <v>67</v>
      </c>
      <c r="DK252" s="16">
        <v>24</v>
      </c>
      <c r="DM252" s="16">
        <v>8</v>
      </c>
      <c r="DO252" s="16">
        <v>0</v>
      </c>
      <c r="DQ252" s="16">
        <v>1</v>
      </c>
      <c r="DR252" s="16">
        <f>SUM(DI252:DQ252)</f>
        <v>100</v>
      </c>
      <c r="JO252" s="18"/>
      <c r="JP252" s="18"/>
      <c r="JQ252" s="18"/>
    </row>
    <row r="253" spans="2:288" x14ac:dyDescent="0.2">
      <c r="B253" s="16">
        <v>2017</v>
      </c>
      <c r="C253" s="20">
        <v>42914</v>
      </c>
      <c r="D253" s="20" t="str">
        <f>CONCATENATE(J253,"-",C253)</f>
        <v>1111-42914</v>
      </c>
      <c r="E253" s="20" t="str">
        <f>CONCATENATE(T253,"-",U253,"-",C253)</f>
        <v>HW1-B8-42914</v>
      </c>
      <c r="F253" s="20" t="s">
        <v>106</v>
      </c>
      <c r="G253" s="20" t="s">
        <v>107</v>
      </c>
      <c r="I253" s="16">
        <v>0</v>
      </c>
      <c r="J253" s="21">
        <v>1111</v>
      </c>
      <c r="K253" s="21">
        <v>1780</v>
      </c>
      <c r="L253" s="18">
        <v>0</v>
      </c>
      <c r="M253" s="21">
        <f>VLOOKUP($K253,'[4]blood tubes 2017'!$D$1:$L$647,8,FALSE)</f>
        <v>0</v>
      </c>
      <c r="N253" s="15">
        <v>0</v>
      </c>
      <c r="O253" s="15" t="s">
        <v>119</v>
      </c>
      <c r="P253" s="16" t="s">
        <v>119</v>
      </c>
      <c r="Q253" s="16">
        <v>0</v>
      </c>
      <c r="R253" s="16">
        <v>18</v>
      </c>
      <c r="T253" s="16" t="s">
        <v>133</v>
      </c>
      <c r="U253" s="16" t="s">
        <v>209</v>
      </c>
      <c r="V253" s="16" t="s">
        <v>114</v>
      </c>
      <c r="W253" s="16">
        <f>AI253/AG253</f>
        <v>0.72289156626506024</v>
      </c>
      <c r="X253" s="16" t="s">
        <v>115</v>
      </c>
      <c r="Y253" s="16" t="s">
        <v>110</v>
      </c>
      <c r="Z253" s="16">
        <v>3</v>
      </c>
      <c r="AE253" s="16" t="s">
        <v>123</v>
      </c>
      <c r="AF253" s="16" t="s">
        <v>123</v>
      </c>
      <c r="AG253" s="16">
        <f>AH253-AI253</f>
        <v>83</v>
      </c>
      <c r="AH253" s="16">
        <v>143</v>
      </c>
      <c r="AI253" s="16">
        <v>60</v>
      </c>
      <c r="AK253" s="16">
        <v>26.5</v>
      </c>
      <c r="AL253" s="16">
        <v>1</v>
      </c>
      <c r="AM253" s="16">
        <v>0</v>
      </c>
      <c r="AN253" s="16">
        <v>0</v>
      </c>
      <c r="AO253" s="16">
        <v>1</v>
      </c>
      <c r="AP253" s="16">
        <f>SUM(AL253:AN253)</f>
        <v>1</v>
      </c>
      <c r="AQ253" s="16">
        <v>1.637</v>
      </c>
      <c r="AR253" s="16">
        <f>AP253-1.472</f>
        <v>-0.47199999999999998</v>
      </c>
      <c r="AS253" s="16">
        <f>AQ253-1.472</f>
        <v>0.16500000000000004</v>
      </c>
      <c r="AT253" s="16" t="s">
        <v>164</v>
      </c>
      <c r="AV253" s="16">
        <v>1</v>
      </c>
      <c r="AW253" s="16">
        <f>IF(AX253&gt;0,1,0)</f>
        <v>0</v>
      </c>
      <c r="AX253" s="16">
        <f>SUM(BA253,BM253,CT253)</f>
        <v>0</v>
      </c>
      <c r="AY253" s="18">
        <f>SUM(BB253,BN253,CV253)</f>
        <v>0</v>
      </c>
      <c r="AZ253" s="16">
        <v>0</v>
      </c>
      <c r="BA253" s="16">
        <v>0</v>
      </c>
      <c r="BB253" s="16">
        <f>SUM(BE253,BH253,BK253)</f>
        <v>0</v>
      </c>
      <c r="BC253" s="16">
        <v>0</v>
      </c>
      <c r="BD253" s="16">
        <v>0</v>
      </c>
      <c r="BE253" s="16">
        <v>0</v>
      </c>
      <c r="BF253" s="16">
        <v>0</v>
      </c>
      <c r="BG253" s="23">
        <v>0</v>
      </c>
      <c r="BH253" s="16">
        <v>0</v>
      </c>
      <c r="BI253" s="16">
        <v>0</v>
      </c>
      <c r="BJ253" s="16">
        <v>0</v>
      </c>
      <c r="BK253" s="16">
        <v>0</v>
      </c>
      <c r="BL253" s="16">
        <v>0</v>
      </c>
      <c r="BM253" s="16">
        <f>SUM(BR253,BU253,BX253,CA253,CD253,CG253,CJ253,CM253,CP253)</f>
        <v>0</v>
      </c>
      <c r="BN253" s="16">
        <f>SUM(BW253,BZ253,CC253,CF253,CI253,CL253,CO253,CR253,BT253)</f>
        <v>0</v>
      </c>
      <c r="BO253" s="16">
        <f>IF(BP253&gt;0,1,0)</f>
        <v>0</v>
      </c>
      <c r="BP253" s="16">
        <f>SUM(BU253,BX253,CA253,CD253,BR253)</f>
        <v>0</v>
      </c>
      <c r="BQ253" s="16">
        <f>SUM(BZ253,CC253,CF253,BT253,BW253)</f>
        <v>0</v>
      </c>
      <c r="BR253" s="16">
        <v>0</v>
      </c>
      <c r="BS253" s="16">
        <v>0</v>
      </c>
      <c r="BT253" s="23">
        <v>0</v>
      </c>
      <c r="BU253" s="16">
        <v>0</v>
      </c>
      <c r="BV253" s="16">
        <v>0</v>
      </c>
      <c r="BW253" s="16">
        <v>0</v>
      </c>
      <c r="BX253" s="16">
        <v>0</v>
      </c>
      <c r="BY253" s="16">
        <v>0</v>
      </c>
      <c r="BZ253" s="16">
        <v>0</v>
      </c>
      <c r="CA253" s="16">
        <v>0</v>
      </c>
      <c r="CB253" s="16">
        <v>0</v>
      </c>
      <c r="CC253" s="16">
        <f>CB253/AS253</f>
        <v>0</v>
      </c>
      <c r="CD253" s="23">
        <v>0</v>
      </c>
      <c r="CE253" s="16">
        <v>0</v>
      </c>
      <c r="CF253" s="16">
        <f>CE253/AS253</f>
        <v>0</v>
      </c>
      <c r="CG253" s="16">
        <v>0</v>
      </c>
      <c r="CH253" s="16">
        <v>0</v>
      </c>
      <c r="CI253" s="16">
        <f>CH253/AS253</f>
        <v>0</v>
      </c>
      <c r="CM253" s="16">
        <v>0</v>
      </c>
      <c r="CN253" s="16">
        <v>0</v>
      </c>
      <c r="CO253" s="16">
        <f>CN253/AS253</f>
        <v>0</v>
      </c>
      <c r="CP253" s="16">
        <v>0</v>
      </c>
      <c r="CQ253" s="16">
        <v>0</v>
      </c>
      <c r="CR253" s="16">
        <f>CQ253/AS253</f>
        <v>0</v>
      </c>
      <c r="CS253" s="16">
        <v>0</v>
      </c>
      <c r="CT253" s="16">
        <v>0</v>
      </c>
      <c r="CV253" s="16">
        <f>SUM(CY253,DB253,DE253)</f>
        <v>0</v>
      </c>
      <c r="CW253" s="16">
        <v>0</v>
      </c>
      <c r="CX253" s="16">
        <v>0</v>
      </c>
      <c r="CY253" s="16">
        <f>CX253/AS253</f>
        <v>0</v>
      </c>
      <c r="CZ253" s="16">
        <v>0</v>
      </c>
      <c r="DA253" s="16">
        <v>0</v>
      </c>
      <c r="DB253" s="16">
        <f>DA253/AS253</f>
        <v>0</v>
      </c>
      <c r="DC253" s="16">
        <v>0</v>
      </c>
      <c r="DD253" s="16">
        <v>0</v>
      </c>
      <c r="DE253" s="16">
        <f>DD253/AS253</f>
        <v>0</v>
      </c>
      <c r="DF253" s="16" t="e">
        <f>VLOOKUP(K253,'[3]RNA Seq summary tables'!$V$3:$V$99,1,FALSE)</f>
        <v>#N/A</v>
      </c>
      <c r="DI253" s="16">
        <v>78</v>
      </c>
      <c r="DK253" s="16">
        <v>15</v>
      </c>
      <c r="DM253" s="16">
        <v>7</v>
      </c>
      <c r="DO253" s="16">
        <v>0</v>
      </c>
      <c r="DQ253" s="16">
        <v>0</v>
      </c>
      <c r="DR253" s="16">
        <f>SUM(DI253:DQ253)</f>
        <v>100</v>
      </c>
      <c r="JR253" s="27"/>
      <c r="JS253" s="27"/>
      <c r="JT253" s="27"/>
      <c r="JU253" s="27"/>
      <c r="JV253" s="27"/>
      <c r="JW253" s="27"/>
      <c r="JX253" s="27"/>
      <c r="JY253" s="27"/>
      <c r="JZ253" s="27"/>
      <c r="KA253" s="27"/>
      <c r="KB253" s="27"/>
    </row>
    <row r="254" spans="2:288" x14ac:dyDescent="0.2">
      <c r="B254" s="16">
        <v>2017</v>
      </c>
      <c r="C254" s="66">
        <v>42896</v>
      </c>
      <c r="D254" s="66" t="str">
        <f>CONCATENATE(J254,"-",C254)</f>
        <v>1113-42896</v>
      </c>
      <c r="E254" s="20" t="str">
        <f>CONCATENATE(T254,"-",U254,"-",C254)</f>
        <v>HW1-F1-42896</v>
      </c>
      <c r="F254" s="20" t="s">
        <v>106</v>
      </c>
      <c r="G254" s="20" t="s">
        <v>107</v>
      </c>
      <c r="I254" s="16">
        <v>0</v>
      </c>
      <c r="J254" s="21">
        <v>1113</v>
      </c>
      <c r="K254" s="21">
        <v>1663</v>
      </c>
      <c r="L254" s="18">
        <v>0</v>
      </c>
      <c r="M254" s="21">
        <f>VLOOKUP($K254,'[4]blood tubes 2017'!$D$1:$L$647,8,FALSE)</f>
        <v>0</v>
      </c>
      <c r="N254" s="15">
        <v>0</v>
      </c>
      <c r="O254" s="15" t="s">
        <v>119</v>
      </c>
      <c r="P254" s="16" t="s">
        <v>119</v>
      </c>
      <c r="Q254" s="16">
        <v>0</v>
      </c>
      <c r="R254" s="16" t="s">
        <v>111</v>
      </c>
      <c r="T254" s="16" t="s">
        <v>133</v>
      </c>
      <c r="U254" s="16" t="s">
        <v>217</v>
      </c>
      <c r="V254" s="16" t="s">
        <v>114</v>
      </c>
      <c r="W254" s="16">
        <f>AI254/AG254</f>
        <v>0.70652173913043481</v>
      </c>
      <c r="X254" s="16" t="s">
        <v>115</v>
      </c>
      <c r="Y254" s="16" t="s">
        <v>110</v>
      </c>
      <c r="Z254" s="16">
        <v>3</v>
      </c>
      <c r="AE254" s="16" t="s">
        <v>116</v>
      </c>
      <c r="AF254" s="16" t="s">
        <v>116</v>
      </c>
      <c r="AG254" s="16">
        <f>AH254-AI254</f>
        <v>92</v>
      </c>
      <c r="AH254" s="16">
        <v>157</v>
      </c>
      <c r="AI254" s="16">
        <v>65</v>
      </c>
      <c r="AK254" s="16">
        <v>16</v>
      </c>
      <c r="AL254" s="16">
        <v>0</v>
      </c>
      <c r="AM254" s="16">
        <v>0</v>
      </c>
      <c r="AN254" s="16">
        <v>0</v>
      </c>
      <c r="AO254" s="16">
        <v>0</v>
      </c>
      <c r="AP254" s="16">
        <f>SUM(AL254:AN254)</f>
        <v>0</v>
      </c>
      <c r="AQ254" s="16">
        <v>1.595</v>
      </c>
      <c r="AR254" s="16">
        <f>AP254-1.472</f>
        <v>-1.472</v>
      </c>
      <c r="AS254" s="16">
        <f>AQ254-1.472</f>
        <v>0.123</v>
      </c>
      <c r="AT254" s="16" t="s">
        <v>234</v>
      </c>
      <c r="AW254" s="16">
        <f>IF(AX254&gt;0,1,0)</f>
        <v>1</v>
      </c>
      <c r="AX254" s="16">
        <f>SUM(BA254,BM254,CT254)</f>
        <v>2</v>
      </c>
      <c r="AY254" s="18">
        <f>SUM(BB254,BN254,CV254)</f>
        <v>24.390243902439025</v>
      </c>
      <c r="AZ254" s="16">
        <f>IF(BA254&gt;0,1,0)</f>
        <v>0</v>
      </c>
      <c r="BA254" s="16">
        <f>SUM(BC254,BF254,BI254)</f>
        <v>0</v>
      </c>
      <c r="BB254" s="16">
        <f>SUM(BE254,BH254,BK254)</f>
        <v>0</v>
      </c>
      <c r="BC254" s="16">
        <v>0</v>
      </c>
      <c r="BD254" s="16">
        <v>0</v>
      </c>
      <c r="BE254" s="16">
        <f>BD254/AS254</f>
        <v>0</v>
      </c>
      <c r="BF254" s="16">
        <v>0</v>
      </c>
      <c r="BG254" s="23">
        <v>0</v>
      </c>
      <c r="BH254" s="16">
        <f>BG254/AS254</f>
        <v>0</v>
      </c>
      <c r="BI254" s="16">
        <v>0</v>
      </c>
      <c r="BJ254" s="16">
        <v>0</v>
      </c>
      <c r="BK254" s="16">
        <f>BJ254/AS254</f>
        <v>0</v>
      </c>
      <c r="BL254" s="16">
        <f>IF(BM254&gt;0,1,0)</f>
        <v>1</v>
      </c>
      <c r="BM254" s="16">
        <f>SUM(BR254,BU254,BX254,CA254,CD254,CG254,CJ254,CM254,CP254)</f>
        <v>2</v>
      </c>
      <c r="BN254" s="16">
        <f>SUM(BW254,BZ254,CC254,CF254,CI254,CL254,CO254,CR254,BT254)</f>
        <v>24.390243902439025</v>
      </c>
      <c r="BO254" s="16">
        <f>IF(BP254&gt;0,1,0)</f>
        <v>1</v>
      </c>
      <c r="BP254" s="16">
        <f>SUM(BU254,BX254,CA254,CD254,BR254)</f>
        <v>1</v>
      </c>
      <c r="BQ254" s="16">
        <f>SUM(BZ254,CC254,CF254,BT254,BW254)</f>
        <v>8.1300813008130088</v>
      </c>
      <c r="BR254" s="16">
        <v>0</v>
      </c>
      <c r="BS254" s="16">
        <v>0</v>
      </c>
      <c r="BT254" s="23">
        <f>BS254/AS254</f>
        <v>0</v>
      </c>
      <c r="BU254" s="16">
        <v>0</v>
      </c>
      <c r="BV254" s="16">
        <v>0</v>
      </c>
      <c r="BW254" s="16">
        <f>BV254/AS254</f>
        <v>0</v>
      </c>
      <c r="BX254" s="16">
        <v>0</v>
      </c>
      <c r="BY254" s="16">
        <v>0</v>
      </c>
      <c r="BZ254" s="16">
        <f>BY254/AS254</f>
        <v>0</v>
      </c>
      <c r="CA254" s="16">
        <v>1</v>
      </c>
      <c r="CB254" s="16">
        <v>1</v>
      </c>
      <c r="CC254" s="16">
        <f>CB254/AS254</f>
        <v>8.1300813008130088</v>
      </c>
      <c r="CD254" s="23">
        <v>0</v>
      </c>
      <c r="CE254" s="16">
        <v>0</v>
      </c>
      <c r="CF254" s="16">
        <f>CE254/AS254</f>
        <v>0</v>
      </c>
      <c r="CG254" s="16">
        <v>0</v>
      </c>
      <c r="CH254" s="16">
        <v>0</v>
      </c>
      <c r="CI254" s="16">
        <f>CH254/AS254</f>
        <v>0</v>
      </c>
      <c r="CM254" s="16">
        <v>1</v>
      </c>
      <c r="CN254" s="16">
        <v>2</v>
      </c>
      <c r="CO254" s="16">
        <f>CN254/AS254</f>
        <v>16.260162601626018</v>
      </c>
      <c r="CP254" s="16">
        <v>0</v>
      </c>
      <c r="CQ254" s="16">
        <v>0</v>
      </c>
      <c r="CR254" s="16">
        <f>CQ254/AS254</f>
        <v>0</v>
      </c>
      <c r="CS254" s="16">
        <f>IF(CT254&gt;0,1,0)</f>
        <v>0</v>
      </c>
      <c r="CT254" s="16">
        <f>SUM(CW254,CZ254,DC254)</f>
        <v>0</v>
      </c>
      <c r="CV254" s="16">
        <f>SUM(CY254,DB254,DE254)</f>
        <v>0</v>
      </c>
      <c r="CW254" s="16">
        <v>0</v>
      </c>
      <c r="CX254" s="16">
        <v>0</v>
      </c>
      <c r="CY254" s="16">
        <f>CX254/AS254</f>
        <v>0</v>
      </c>
      <c r="CZ254" s="16">
        <v>0</v>
      </c>
      <c r="DA254" s="16">
        <v>0</v>
      </c>
      <c r="DB254" s="16">
        <f>DA254/AS254</f>
        <v>0</v>
      </c>
      <c r="DC254" s="16">
        <v>0</v>
      </c>
      <c r="DD254" s="16">
        <v>0</v>
      </c>
      <c r="DE254" s="16">
        <f>DD254/AS254</f>
        <v>0</v>
      </c>
      <c r="DF254" s="16" t="e">
        <f>VLOOKUP(K254,'[3]RNA Seq summary tables'!$V$3:$V$99,1,FALSE)</f>
        <v>#N/A</v>
      </c>
      <c r="DI254" s="16">
        <v>58</v>
      </c>
      <c r="DK254" s="16">
        <v>33</v>
      </c>
      <c r="DM254" s="16">
        <v>7</v>
      </c>
      <c r="DO254" s="16">
        <v>0</v>
      </c>
      <c r="DQ254" s="16">
        <v>2</v>
      </c>
      <c r="DR254" s="16">
        <f>SUM(DI254:DQ254)</f>
        <v>100</v>
      </c>
      <c r="JP254" s="18"/>
      <c r="JQ254" s="18"/>
    </row>
    <row r="255" spans="2:288" x14ac:dyDescent="0.2">
      <c r="B255" s="16">
        <v>2017</v>
      </c>
      <c r="C255" s="73">
        <v>42897</v>
      </c>
      <c r="D255" s="73" t="str">
        <f>CONCATENATE(J255,"-",C255)</f>
        <v>1115-42897</v>
      </c>
      <c r="E255" s="20" t="str">
        <f>CONCATENATE(T255,"-",U255,"-",C255)</f>
        <v>HW2-F4-42897</v>
      </c>
      <c r="F255" s="20" t="s">
        <v>106</v>
      </c>
      <c r="G255" s="43" t="s">
        <v>107</v>
      </c>
      <c r="H255" s="23"/>
      <c r="I255" s="16">
        <v>0</v>
      </c>
      <c r="J255" s="15">
        <v>1115</v>
      </c>
      <c r="K255" s="15">
        <v>1665</v>
      </c>
      <c r="L255" s="18">
        <v>0</v>
      </c>
      <c r="M255" s="21">
        <f>VLOOKUP($K255,'[4]blood tubes 2017'!$D$1:$L$647,8,FALSE)</f>
        <v>0</v>
      </c>
      <c r="N255" s="15">
        <v>0</v>
      </c>
      <c r="O255" s="15" t="s">
        <v>119</v>
      </c>
      <c r="P255" s="23" t="s">
        <v>119</v>
      </c>
      <c r="Q255" s="16">
        <v>0</v>
      </c>
      <c r="R255" s="23" t="s">
        <v>111</v>
      </c>
      <c r="S255" s="23"/>
      <c r="T255" s="23" t="s">
        <v>129</v>
      </c>
      <c r="U255" s="23" t="s">
        <v>184</v>
      </c>
      <c r="V255" s="23" t="s">
        <v>114</v>
      </c>
      <c r="W255" s="16">
        <f>AI255/AG255</f>
        <v>0.85365853658536583</v>
      </c>
      <c r="X255" s="23" t="s">
        <v>121</v>
      </c>
      <c r="Y255" s="23" t="s">
        <v>122</v>
      </c>
      <c r="Z255" s="23">
        <v>2.2999999999999998</v>
      </c>
      <c r="AA255" s="23" t="s">
        <v>119</v>
      </c>
      <c r="AB255" s="23" t="s">
        <v>123</v>
      </c>
      <c r="AC255" s="23" t="s">
        <v>123</v>
      </c>
      <c r="AD255" s="23" t="s">
        <v>123</v>
      </c>
      <c r="AE255" s="23"/>
      <c r="AF255" s="23"/>
      <c r="AG255" s="23">
        <f>AH255-AI255</f>
        <v>82</v>
      </c>
      <c r="AH255" s="23">
        <v>152</v>
      </c>
      <c r="AI255" s="23">
        <v>70</v>
      </c>
      <c r="AJ255" s="23"/>
      <c r="AK255" s="23">
        <v>15</v>
      </c>
      <c r="AL255" s="23">
        <v>1</v>
      </c>
      <c r="AM255" s="23">
        <v>0</v>
      </c>
      <c r="AN255" s="23">
        <v>0</v>
      </c>
      <c r="AO255" s="23">
        <v>1</v>
      </c>
      <c r="AP255" s="23">
        <f>SUM(AL255:AN255)</f>
        <v>1</v>
      </c>
      <c r="AQ255" s="23">
        <v>1.645</v>
      </c>
      <c r="AR255" s="23">
        <f>AP255-1.472</f>
        <v>-0.47199999999999998</v>
      </c>
      <c r="AS255" s="23">
        <f>AQ255-1.472</f>
        <v>0.17300000000000004</v>
      </c>
      <c r="AT255" s="23" t="s">
        <v>233</v>
      </c>
      <c r="AU255" s="23"/>
      <c r="AV255" s="23"/>
      <c r="AW255" s="23">
        <f>IF(AX255&gt;0,1,0)</f>
        <v>1</v>
      </c>
      <c r="AX255" s="23">
        <f>SUM(BA255,BM255,CT255)</f>
        <v>1</v>
      </c>
      <c r="AY255" s="25">
        <f>SUM(BB255,BN255,CV255)</f>
        <v>1965.3179190751441</v>
      </c>
      <c r="AZ255" s="23">
        <f>IF(BA255&gt;0,1,0)</f>
        <v>1</v>
      </c>
      <c r="BA255" s="23">
        <f>SUM(BC255,BF255,BI255)</f>
        <v>1</v>
      </c>
      <c r="BB255" s="23">
        <f>SUM(BE255,BH255,BK255)</f>
        <v>1965.3179190751441</v>
      </c>
      <c r="BC255" s="23">
        <v>0</v>
      </c>
      <c r="BD255" s="23">
        <v>0</v>
      </c>
      <c r="BE255" s="23">
        <f>BD255/AS255</f>
        <v>0</v>
      </c>
      <c r="BF255" s="23">
        <v>1</v>
      </c>
      <c r="BG255" s="23">
        <v>340</v>
      </c>
      <c r="BH255" s="23">
        <f>BG255/AS255</f>
        <v>1965.3179190751441</v>
      </c>
      <c r="BI255" s="23">
        <v>0</v>
      </c>
      <c r="BJ255" s="23">
        <v>0</v>
      </c>
      <c r="BK255" s="23">
        <f>BJ255/AS255</f>
        <v>0</v>
      </c>
      <c r="BL255" s="16">
        <f>IF(BM255&gt;0,1,0)</f>
        <v>0</v>
      </c>
      <c r="BM255" s="16">
        <f>SUM(BR255,BU255,BX255,CA255,CD255,CG255,CJ255,CM255,CP255)</f>
        <v>0</v>
      </c>
      <c r="BN255" s="23">
        <f>SUM(BW255,BZ255,CC255,CF255,CI255,CL255,CO255,CR255,BT255)</f>
        <v>0</v>
      </c>
      <c r="BO255" s="23">
        <f>IF(BP255&gt;0,1,0)</f>
        <v>0</v>
      </c>
      <c r="BP255" s="23">
        <f>SUM(BU255,BX255,CA255,CD255,BR255)</f>
        <v>0</v>
      </c>
      <c r="BQ255" s="23">
        <f>SUM(BZ255,CC255,CF255,BT255,BW255)</f>
        <v>0</v>
      </c>
      <c r="BR255" s="23">
        <v>0</v>
      </c>
      <c r="BS255" s="23">
        <v>0</v>
      </c>
      <c r="BT255" s="23">
        <f>BS255/AS255</f>
        <v>0</v>
      </c>
      <c r="BU255" s="23">
        <v>0</v>
      </c>
      <c r="BV255" s="23">
        <v>0</v>
      </c>
      <c r="BW255" s="23">
        <f>BV255/AS255</f>
        <v>0</v>
      </c>
      <c r="BX255" s="23">
        <v>0</v>
      </c>
      <c r="BY255" s="23">
        <v>0</v>
      </c>
      <c r="BZ255" s="23">
        <f>BY255/AS255</f>
        <v>0</v>
      </c>
      <c r="CA255" s="23">
        <v>0</v>
      </c>
      <c r="CB255" s="23">
        <v>0</v>
      </c>
      <c r="CC255" s="23">
        <f>CB255/AS255</f>
        <v>0</v>
      </c>
      <c r="CD255" s="23">
        <v>0</v>
      </c>
      <c r="CE255" s="23">
        <v>0</v>
      </c>
      <c r="CF255" s="23">
        <f>CE255/AS255</f>
        <v>0</v>
      </c>
      <c r="CG255" s="23">
        <v>0</v>
      </c>
      <c r="CH255" s="23">
        <v>0</v>
      </c>
      <c r="CI255" s="23">
        <f>CH255/AS255</f>
        <v>0</v>
      </c>
      <c r="CJ255" s="23"/>
      <c r="CK255" s="23"/>
      <c r="CL255" s="23"/>
      <c r="CM255" s="23">
        <v>0</v>
      </c>
      <c r="CN255" s="23">
        <v>0</v>
      </c>
      <c r="CO255" s="23">
        <f>CN255/AS255</f>
        <v>0</v>
      </c>
      <c r="CP255" s="23">
        <v>0</v>
      </c>
      <c r="CQ255" s="23">
        <v>0</v>
      </c>
      <c r="CR255" s="23">
        <f>CQ255/AS255</f>
        <v>0</v>
      </c>
      <c r="CS255" s="23">
        <f>IF(CT255&gt;0,1,0)</f>
        <v>0</v>
      </c>
      <c r="CT255" s="23">
        <f>SUM(CW255,CZ255,DC255)</f>
        <v>0</v>
      </c>
      <c r="CU255" s="23"/>
      <c r="CV255" s="23">
        <f>SUM(CY255,DB255,DE255)</f>
        <v>0</v>
      </c>
      <c r="CW255" s="23">
        <v>0</v>
      </c>
      <c r="CX255" s="23">
        <v>0</v>
      </c>
      <c r="CY255" s="23">
        <f>CX255/AS255</f>
        <v>0</v>
      </c>
      <c r="CZ255" s="23">
        <v>0</v>
      </c>
      <c r="DA255" s="23">
        <v>0</v>
      </c>
      <c r="DB255" s="23">
        <f>DA255/AS255</f>
        <v>0</v>
      </c>
      <c r="DC255" s="23">
        <v>0</v>
      </c>
      <c r="DD255" s="23">
        <v>0</v>
      </c>
      <c r="DE255" s="23">
        <f>DD255/AS255</f>
        <v>0</v>
      </c>
      <c r="DF255" s="16" t="e">
        <f>VLOOKUP(K255,'[3]RNA Seq summary tables'!$V$3:$V$99,1,FALSE)</f>
        <v>#N/A</v>
      </c>
      <c r="DI255" s="23">
        <v>79</v>
      </c>
      <c r="DJ255" s="23"/>
      <c r="DK255" s="23">
        <v>14</v>
      </c>
      <c r="DL255" s="23"/>
      <c r="DM255" s="23">
        <v>7</v>
      </c>
      <c r="DN255" s="23"/>
      <c r="DO255" s="23">
        <v>0</v>
      </c>
      <c r="DP255" s="23"/>
      <c r="DQ255" s="23">
        <v>0</v>
      </c>
      <c r="DR255" s="23">
        <f>SUM(DI255:DQ255)</f>
        <v>100</v>
      </c>
      <c r="DS255" s="23"/>
    </row>
    <row r="256" spans="2:288" x14ac:dyDescent="0.2">
      <c r="B256" s="16">
        <v>2017</v>
      </c>
      <c r="C256" s="66">
        <v>42897</v>
      </c>
      <c r="D256" s="66" t="str">
        <f>CONCATENATE(J256,"-",C256)</f>
        <v>1117-42897</v>
      </c>
      <c r="E256" s="20" t="str">
        <f>CONCATENATE(T256,"-",U256,"-",C256)</f>
        <v>HW1-C8-42897</v>
      </c>
      <c r="F256" s="20" t="s">
        <v>106</v>
      </c>
      <c r="G256" s="20" t="s">
        <v>107</v>
      </c>
      <c r="I256" s="16">
        <v>0</v>
      </c>
      <c r="J256" s="21">
        <v>1117</v>
      </c>
      <c r="K256" s="21">
        <v>1667</v>
      </c>
      <c r="L256" s="18">
        <v>0</v>
      </c>
      <c r="M256" s="21">
        <f>VLOOKUP($K256,'[4]blood tubes 2017'!$D$1:$L$647,8,FALSE)</f>
        <v>0</v>
      </c>
      <c r="N256" s="15">
        <v>0</v>
      </c>
      <c r="O256" s="15" t="s">
        <v>119</v>
      </c>
      <c r="P256" s="16" t="s">
        <v>119</v>
      </c>
      <c r="Q256" s="16">
        <v>0</v>
      </c>
      <c r="R256" s="16" t="s">
        <v>111</v>
      </c>
      <c r="T256" s="16" t="s">
        <v>133</v>
      </c>
      <c r="U256" s="16" t="s">
        <v>188</v>
      </c>
      <c r="V256" s="16" t="s">
        <v>114</v>
      </c>
      <c r="W256" s="16">
        <f>AI256/AG256</f>
        <v>0.85526315789473684</v>
      </c>
      <c r="X256" s="16" t="s">
        <v>115</v>
      </c>
      <c r="Y256" s="16" t="s">
        <v>122</v>
      </c>
      <c r="Z256" s="16">
        <v>2.2999999999999998</v>
      </c>
      <c r="AE256" s="16" t="s">
        <v>123</v>
      </c>
      <c r="AF256" s="16" t="s">
        <v>123</v>
      </c>
      <c r="AG256" s="16">
        <f>AH256-AI256</f>
        <v>76</v>
      </c>
      <c r="AH256" s="16">
        <v>141</v>
      </c>
      <c r="AI256" s="16">
        <v>65</v>
      </c>
      <c r="AK256" s="16">
        <v>16</v>
      </c>
      <c r="AL256" s="16">
        <v>0</v>
      </c>
      <c r="AM256" s="16">
        <v>0</v>
      </c>
      <c r="AN256" s="16">
        <v>0</v>
      </c>
      <c r="AO256" s="16">
        <v>0</v>
      </c>
      <c r="AP256" s="16">
        <f>SUM(AL256:AN256)</f>
        <v>0</v>
      </c>
      <c r="AQ256" s="16">
        <v>1.605</v>
      </c>
      <c r="AR256" s="16">
        <f>AP256-1.472</f>
        <v>-1.472</v>
      </c>
      <c r="AS256" s="16">
        <f>AQ256-1.472</f>
        <v>0.13300000000000001</v>
      </c>
      <c r="AT256" s="16" t="s">
        <v>164</v>
      </c>
      <c r="AW256" s="16">
        <f>IF(AX256&gt;0,1,0)</f>
        <v>1</v>
      </c>
      <c r="AX256" s="16">
        <f>SUM(BA256,BM256,CT256)</f>
        <v>3</v>
      </c>
      <c r="AY256" s="18">
        <f>SUM(BB256,BN256,CV256)</f>
        <v>248.12030075187968</v>
      </c>
      <c r="AZ256" s="16">
        <f>IF(BA256&gt;0,1,0)</f>
        <v>1</v>
      </c>
      <c r="BA256" s="16">
        <f>SUM(BC256,BF256,BI256)</f>
        <v>3</v>
      </c>
      <c r="BB256" s="16">
        <f>SUM(BE256,BH256,BK256)</f>
        <v>248.12030075187968</v>
      </c>
      <c r="BC256" s="16">
        <v>1</v>
      </c>
      <c r="BD256" s="16">
        <v>11</v>
      </c>
      <c r="BE256" s="16">
        <f>BD256/AS256</f>
        <v>82.706766917293223</v>
      </c>
      <c r="BF256" s="16">
        <v>1</v>
      </c>
      <c r="BG256" s="23">
        <v>12</v>
      </c>
      <c r="BH256" s="16">
        <f>BG256/AS256</f>
        <v>90.225563909774436</v>
      </c>
      <c r="BI256" s="16">
        <v>1</v>
      </c>
      <c r="BJ256" s="16">
        <v>10</v>
      </c>
      <c r="BK256" s="16">
        <f>BJ256/AS256</f>
        <v>75.187969924812023</v>
      </c>
      <c r="BL256" s="16">
        <f>IF(BM256&gt;0,1,0)</f>
        <v>0</v>
      </c>
      <c r="BM256" s="16">
        <f>SUM(BR256,BU256,BX256,CA256,CD256,CG256,CJ256,CM256,CP256)</f>
        <v>0</v>
      </c>
      <c r="BN256" s="16">
        <f>SUM(BW256,BZ256,CC256,CF256,CI256,CL256,CO256,CR256,BT256)</f>
        <v>0</v>
      </c>
      <c r="BO256" s="16">
        <f>IF(BP256&gt;0,1,0)</f>
        <v>0</v>
      </c>
      <c r="BP256" s="16">
        <f>SUM(BU256,BX256,CA256,CD256,BR256)</f>
        <v>0</v>
      </c>
      <c r="BQ256" s="16">
        <f>SUM(BZ256,CC256,CF256,BT256,BW256)</f>
        <v>0</v>
      </c>
      <c r="BR256" s="16">
        <v>0</v>
      </c>
      <c r="BS256" s="16">
        <v>0</v>
      </c>
      <c r="BT256" s="23">
        <f>BS256/AS256</f>
        <v>0</v>
      </c>
      <c r="BU256" s="16">
        <v>0</v>
      </c>
      <c r="BV256" s="16">
        <v>0</v>
      </c>
      <c r="BW256" s="16">
        <f>BV256/AS256</f>
        <v>0</v>
      </c>
      <c r="BX256" s="16">
        <v>0</v>
      </c>
      <c r="BY256" s="16">
        <v>0</v>
      </c>
      <c r="BZ256" s="16">
        <f>BY256/AS256</f>
        <v>0</v>
      </c>
      <c r="CA256" s="16">
        <v>0</v>
      </c>
      <c r="CB256" s="16">
        <v>0</v>
      </c>
      <c r="CC256" s="16">
        <f>CB256/AS256</f>
        <v>0</v>
      </c>
      <c r="CD256" s="23">
        <v>0</v>
      </c>
      <c r="CE256" s="16">
        <v>0</v>
      </c>
      <c r="CF256" s="16">
        <f>CE256/AS256</f>
        <v>0</v>
      </c>
      <c r="CG256" s="16">
        <v>0</v>
      </c>
      <c r="CH256" s="16">
        <v>0</v>
      </c>
      <c r="CI256" s="16">
        <f>CH256/AS256</f>
        <v>0</v>
      </c>
      <c r="CM256" s="16">
        <v>0</v>
      </c>
      <c r="CN256" s="16">
        <v>0</v>
      </c>
      <c r="CO256" s="16">
        <f>CN256/AS256</f>
        <v>0</v>
      </c>
      <c r="CP256" s="16">
        <v>0</v>
      </c>
      <c r="CQ256" s="16">
        <v>0</v>
      </c>
      <c r="CR256" s="16">
        <f>CQ256/AS256</f>
        <v>0</v>
      </c>
      <c r="CS256" s="16">
        <f>IF(CT256&gt;0,1,0)</f>
        <v>0</v>
      </c>
      <c r="CT256" s="16">
        <f>SUM(CW256,CZ256,DC256)</f>
        <v>0</v>
      </c>
      <c r="CV256" s="16">
        <f>SUM(CY256,DB256,DE256)</f>
        <v>0</v>
      </c>
      <c r="CW256" s="16">
        <v>0</v>
      </c>
      <c r="CX256" s="16">
        <v>0</v>
      </c>
      <c r="CY256" s="16">
        <f>CX256/AS256</f>
        <v>0</v>
      </c>
      <c r="CZ256" s="16">
        <v>0</v>
      </c>
      <c r="DA256" s="16">
        <v>0</v>
      </c>
      <c r="DB256" s="16">
        <f>DA256/AS256</f>
        <v>0</v>
      </c>
      <c r="DC256" s="16">
        <v>0</v>
      </c>
      <c r="DD256" s="16">
        <v>0</v>
      </c>
      <c r="DE256" s="16">
        <f>DD256/AS256</f>
        <v>0</v>
      </c>
      <c r="DF256" s="16" t="e">
        <f>VLOOKUP(K256,'[3]RNA Seq summary tables'!$V$3:$V$99,1,FALSE)</f>
        <v>#N/A</v>
      </c>
      <c r="DI256" s="16">
        <v>52</v>
      </c>
      <c r="DK256" s="16">
        <v>44</v>
      </c>
      <c r="DM256" s="16">
        <v>4</v>
      </c>
      <c r="DO256" s="16">
        <v>0</v>
      </c>
      <c r="DQ256" s="16">
        <v>0</v>
      </c>
      <c r="DR256" s="16">
        <f>SUM(DI256:DQ256)</f>
        <v>100</v>
      </c>
    </row>
    <row r="257" spans="2:288" x14ac:dyDescent="0.2">
      <c r="B257" s="16">
        <v>2017</v>
      </c>
      <c r="C257" s="20">
        <v>42914</v>
      </c>
      <c r="D257" s="20" t="str">
        <f>CONCATENATE(J257,"-",C257)</f>
        <v>1117-42914</v>
      </c>
      <c r="E257" s="20" t="str">
        <f>CONCATENATE(T257,"-",U257,"-",C257)</f>
        <v>HW1-C7-42914</v>
      </c>
      <c r="F257" s="20" t="s">
        <v>106</v>
      </c>
      <c r="G257" s="20" t="s">
        <v>107</v>
      </c>
      <c r="I257" s="16">
        <v>0</v>
      </c>
      <c r="J257" s="21">
        <v>1117</v>
      </c>
      <c r="K257" s="21">
        <v>1782</v>
      </c>
      <c r="L257" s="18">
        <v>0</v>
      </c>
      <c r="M257" s="21">
        <f>VLOOKUP($K257,'[4]blood tubes 2017'!$D$1:$L$647,8,FALSE)</f>
        <v>0</v>
      </c>
      <c r="N257" s="15">
        <v>0</v>
      </c>
      <c r="O257" s="15" t="s">
        <v>119</v>
      </c>
      <c r="P257" s="16" t="s">
        <v>119</v>
      </c>
      <c r="Q257" s="16">
        <v>0</v>
      </c>
      <c r="R257" s="16">
        <v>17</v>
      </c>
      <c r="T257" s="16" t="s">
        <v>133</v>
      </c>
      <c r="U257" s="16" t="s">
        <v>207</v>
      </c>
      <c r="V257" s="16" t="s">
        <v>114</v>
      </c>
      <c r="W257" s="16">
        <f>AI257/AG257</f>
        <v>0.7857142857142857</v>
      </c>
      <c r="X257" s="16" t="s">
        <v>115</v>
      </c>
      <c r="Y257" s="16" t="s">
        <v>110</v>
      </c>
      <c r="Z257" s="16">
        <v>3</v>
      </c>
      <c r="AE257" s="16" t="s">
        <v>123</v>
      </c>
      <c r="AF257" s="16" t="s">
        <v>123</v>
      </c>
      <c r="AG257" s="16">
        <f>AH257-AI257</f>
        <v>84</v>
      </c>
      <c r="AH257" s="16">
        <v>150</v>
      </c>
      <c r="AI257" s="16">
        <v>66</v>
      </c>
      <c r="AK257" s="16">
        <v>19</v>
      </c>
      <c r="AL257" s="16">
        <v>1</v>
      </c>
      <c r="AM257" s="16">
        <v>0</v>
      </c>
      <c r="AN257" s="16">
        <v>0</v>
      </c>
      <c r="AO257" s="16">
        <v>1</v>
      </c>
      <c r="AP257" s="16">
        <f>SUM(AL257:AN257)</f>
        <v>1</v>
      </c>
      <c r="AQ257" s="16">
        <v>1.732</v>
      </c>
      <c r="AR257" s="16">
        <f>AP257-1.472</f>
        <v>-0.47199999999999998</v>
      </c>
      <c r="AS257" s="16">
        <f>AQ257-1.472</f>
        <v>0.26</v>
      </c>
      <c r="AT257" s="18" t="s">
        <v>235</v>
      </c>
      <c r="AU257" s="18"/>
      <c r="AW257" s="40"/>
      <c r="AX257" s="40"/>
      <c r="AY257" s="40"/>
      <c r="AZ257" s="40"/>
      <c r="BA257" s="40"/>
      <c r="BB257" s="40"/>
      <c r="BC257" s="40"/>
      <c r="BD257" s="40"/>
      <c r="BE257" s="40"/>
      <c r="BF257" s="40"/>
      <c r="BG257" s="75"/>
      <c r="BH257" s="40"/>
      <c r="BI257" s="40"/>
      <c r="BJ257" s="40"/>
      <c r="BK257" s="40"/>
      <c r="BL257" s="40"/>
      <c r="BM257" s="40"/>
      <c r="BN257" s="40"/>
      <c r="BO257" s="40"/>
      <c r="BP257" s="40"/>
      <c r="BQ257" s="40"/>
      <c r="BR257" s="40"/>
      <c r="BS257" s="40"/>
      <c r="BT257" s="75"/>
      <c r="BU257" s="40"/>
      <c r="BV257" s="40"/>
      <c r="BW257" s="40"/>
      <c r="BX257" s="40"/>
      <c r="BY257" s="40"/>
      <c r="BZ257" s="40"/>
      <c r="CA257" s="40"/>
      <c r="CB257" s="40"/>
      <c r="CC257" s="40"/>
      <c r="CD257" s="75"/>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s="40"/>
      <c r="DD257" s="40"/>
      <c r="DE257" s="40"/>
      <c r="DF257" s="16" t="e">
        <f>VLOOKUP(K257,'[3]RNA Seq summary tables'!$V$3:$V$99,1,FALSE)</f>
        <v>#N/A</v>
      </c>
      <c r="DI257" s="40"/>
      <c r="DK257" s="16">
        <v>30</v>
      </c>
      <c r="DM257" s="16">
        <v>5</v>
      </c>
      <c r="DO257" s="16">
        <v>0</v>
      </c>
      <c r="DQ257" s="16">
        <v>0</v>
      </c>
      <c r="DR257" s="16">
        <f>SUM(DI257:DQ257)</f>
        <v>35</v>
      </c>
      <c r="JO257" s="18"/>
      <c r="JR257" s="27"/>
      <c r="JS257" s="27"/>
      <c r="JT257" s="27"/>
      <c r="JU257" s="27"/>
      <c r="JV257" s="27"/>
      <c r="JW257" s="27"/>
      <c r="JX257" s="27"/>
      <c r="JY257" s="27"/>
      <c r="JZ257" s="27"/>
      <c r="KA257" s="27"/>
      <c r="KB257" s="27"/>
    </row>
    <row r="258" spans="2:288" x14ac:dyDescent="0.2">
      <c r="B258" s="16">
        <v>2017</v>
      </c>
      <c r="C258" s="66">
        <v>42897</v>
      </c>
      <c r="D258" s="66" t="str">
        <f>CONCATENATE(J258,"-",C258)</f>
        <v>1119-42897</v>
      </c>
      <c r="E258" s="20" t="str">
        <f>CONCATENATE(T258,"-",U258,"-",C258)</f>
        <v>HW1-F5-42897</v>
      </c>
      <c r="F258" s="20" t="s">
        <v>106</v>
      </c>
      <c r="G258" s="20" t="s">
        <v>107</v>
      </c>
      <c r="I258" s="16">
        <v>0</v>
      </c>
      <c r="J258" s="21">
        <v>1119</v>
      </c>
      <c r="K258" s="21">
        <v>1669</v>
      </c>
      <c r="L258" s="18">
        <v>0</v>
      </c>
      <c r="M258" s="21">
        <f>VLOOKUP($K258,'[4]blood tubes 2017'!$D$1:$L$647,8,FALSE)</f>
        <v>0</v>
      </c>
      <c r="N258" s="15">
        <v>0</v>
      </c>
      <c r="O258" s="15" t="s">
        <v>119</v>
      </c>
      <c r="P258" s="16" t="s">
        <v>119</v>
      </c>
      <c r="Q258" s="16">
        <v>0</v>
      </c>
      <c r="R258" s="16" t="s">
        <v>111</v>
      </c>
      <c r="T258" s="16" t="s">
        <v>133</v>
      </c>
      <c r="U258" s="16" t="s">
        <v>185</v>
      </c>
      <c r="V258" s="16" t="s">
        <v>114</v>
      </c>
      <c r="W258" s="16">
        <f>AI258/AG258</f>
        <v>0.69473684210526321</v>
      </c>
      <c r="X258" s="16" t="s">
        <v>115</v>
      </c>
      <c r="Y258" s="16" t="s">
        <v>110</v>
      </c>
      <c r="Z258" s="16">
        <v>3</v>
      </c>
      <c r="AE258" s="16" t="s">
        <v>123</v>
      </c>
      <c r="AF258" s="16" t="s">
        <v>123</v>
      </c>
      <c r="AG258" s="16">
        <f>AH258-AI258</f>
        <v>95</v>
      </c>
      <c r="AH258" s="16">
        <v>161</v>
      </c>
      <c r="AI258" s="16">
        <v>66</v>
      </c>
      <c r="AK258" s="16">
        <v>24</v>
      </c>
      <c r="AL258" s="16">
        <v>0</v>
      </c>
      <c r="AM258" s="16">
        <v>0</v>
      </c>
      <c r="AN258" s="16">
        <v>0</v>
      </c>
      <c r="AO258" s="16">
        <v>0</v>
      </c>
      <c r="AP258" s="16">
        <f>SUM(AL258:AN258)</f>
        <v>0</v>
      </c>
      <c r="AQ258" s="16">
        <v>1.54</v>
      </c>
      <c r="AR258" s="16">
        <f>AP258-1.472</f>
        <v>-1.472</v>
      </c>
      <c r="AS258" s="16">
        <f>AQ258-1.472</f>
        <v>6.800000000000006E-2</v>
      </c>
      <c r="AT258" s="16" t="s">
        <v>234</v>
      </c>
      <c r="AW258" s="16">
        <f>IF(AX258&gt;0,1,0)</f>
        <v>1</v>
      </c>
      <c r="AX258" s="16">
        <f>SUM(BA258,BM258,CT258)</f>
        <v>4</v>
      </c>
      <c r="AY258" s="18">
        <f>SUM(BB258,BN258,CV258)</f>
        <v>235.29411764705861</v>
      </c>
      <c r="AZ258" s="16">
        <f>IF(BA258&gt;0,1,0)</f>
        <v>1</v>
      </c>
      <c r="BA258" s="16">
        <f>SUM(BC258,BF258,BI258)</f>
        <v>3</v>
      </c>
      <c r="BB258" s="16">
        <f>SUM(BE258,BH258,BK258)</f>
        <v>73.529411764705813</v>
      </c>
      <c r="BC258" s="16">
        <v>1</v>
      </c>
      <c r="BD258" s="16">
        <v>3</v>
      </c>
      <c r="BE258" s="16">
        <f>BD258/AS258</f>
        <v>44.117647058823493</v>
      </c>
      <c r="BF258" s="16">
        <v>1</v>
      </c>
      <c r="BG258" s="23">
        <v>1</v>
      </c>
      <c r="BH258" s="16">
        <f>BG258/AS258</f>
        <v>14.705882352941163</v>
      </c>
      <c r="BI258" s="16">
        <v>1</v>
      </c>
      <c r="BJ258" s="16">
        <v>1</v>
      </c>
      <c r="BK258" s="16">
        <f>BJ258/AS258</f>
        <v>14.705882352941163</v>
      </c>
      <c r="BL258" s="16">
        <f>IF(BM258&gt;0,1,0)</f>
        <v>1</v>
      </c>
      <c r="BM258" s="16">
        <f>SUM(BR258,BU258,BX258,CA258,CD258,CG258,CJ258,CM258,CP258)</f>
        <v>1</v>
      </c>
      <c r="BN258" s="16">
        <f>SUM(BW258,BZ258,CC258,CF258,CI258,CL258,CO258,CR258,BT258)</f>
        <v>161.76470588235279</v>
      </c>
      <c r="BO258" s="16">
        <f>IF(BP258&gt;0,1,0)</f>
        <v>1</v>
      </c>
      <c r="BP258" s="16">
        <f>SUM(BU258,BX258,CA258,CD258,BR258)</f>
        <v>1</v>
      </c>
      <c r="BQ258" s="16">
        <f>SUM(BZ258,CC258,CF258,BT258,BW258)</f>
        <v>161.76470588235279</v>
      </c>
      <c r="BR258" s="16">
        <v>0</v>
      </c>
      <c r="BS258" s="16">
        <v>0</v>
      </c>
      <c r="BT258" s="23">
        <f>BS258/AS258</f>
        <v>0</v>
      </c>
      <c r="BU258" s="16">
        <v>0</v>
      </c>
      <c r="BV258" s="16">
        <v>0</v>
      </c>
      <c r="BW258" s="16">
        <f>BV258/AS258</f>
        <v>0</v>
      </c>
      <c r="BX258" s="16">
        <v>1</v>
      </c>
      <c r="BY258" s="16">
        <v>11</v>
      </c>
      <c r="BZ258" s="16">
        <f>BY258/AS258</f>
        <v>161.76470588235279</v>
      </c>
      <c r="CA258" s="16">
        <v>0</v>
      </c>
      <c r="CB258" s="16">
        <v>0</v>
      </c>
      <c r="CC258" s="16">
        <f>CB258/AS258</f>
        <v>0</v>
      </c>
      <c r="CD258" s="23">
        <v>0</v>
      </c>
      <c r="CE258" s="16">
        <v>0</v>
      </c>
      <c r="CF258" s="16">
        <f>CE258/AS258</f>
        <v>0</v>
      </c>
      <c r="CG258" s="16">
        <v>0</v>
      </c>
      <c r="CH258" s="16">
        <v>0</v>
      </c>
      <c r="CI258" s="16">
        <f>CH258/AS258</f>
        <v>0</v>
      </c>
      <c r="CM258" s="16">
        <v>0</v>
      </c>
      <c r="CN258" s="16">
        <v>0</v>
      </c>
      <c r="CO258" s="16">
        <f>CN258/AS258</f>
        <v>0</v>
      </c>
      <c r="CP258" s="16">
        <v>0</v>
      </c>
      <c r="CQ258" s="16">
        <v>0</v>
      </c>
      <c r="CR258" s="16">
        <f>CQ258/AS258</f>
        <v>0</v>
      </c>
      <c r="CS258" s="16">
        <f>IF(CT258&gt;0,1,0)</f>
        <v>0</v>
      </c>
      <c r="CT258" s="16">
        <f>SUM(CW258,CZ258,DC258)</f>
        <v>0</v>
      </c>
      <c r="CV258" s="16">
        <f>SUM(CY258,DB258,DE258)</f>
        <v>0</v>
      </c>
      <c r="CW258" s="16">
        <v>0</v>
      </c>
      <c r="CX258" s="16">
        <v>0</v>
      </c>
      <c r="CY258" s="16">
        <f>CX258/AS258</f>
        <v>0</v>
      </c>
      <c r="CZ258" s="16">
        <v>0</v>
      </c>
      <c r="DA258" s="16">
        <v>0</v>
      </c>
      <c r="DB258" s="16">
        <f>DA258/AS258</f>
        <v>0</v>
      </c>
      <c r="DC258" s="16">
        <v>0</v>
      </c>
      <c r="DD258" s="16">
        <v>0</v>
      </c>
      <c r="DE258" s="16">
        <f>DD258/AS258</f>
        <v>0</v>
      </c>
      <c r="DF258" s="16" t="e">
        <f>VLOOKUP(K258,'[3]RNA Seq summary tables'!$V$3:$V$99,1,FALSE)</f>
        <v>#N/A</v>
      </c>
      <c r="DI258" s="16">
        <v>27</v>
      </c>
      <c r="DK258" s="16">
        <v>67</v>
      </c>
      <c r="DM258" s="16">
        <v>6</v>
      </c>
      <c r="DO258" s="16">
        <v>0</v>
      </c>
      <c r="DQ258" s="16">
        <v>0</v>
      </c>
      <c r="DR258" s="16">
        <f>SUM(DI258:DQ258)</f>
        <v>100</v>
      </c>
    </row>
    <row r="259" spans="2:288" x14ac:dyDescent="0.2">
      <c r="B259" s="16">
        <v>2017</v>
      </c>
      <c r="C259" s="20">
        <v>42914</v>
      </c>
      <c r="D259" s="20" t="str">
        <f>CONCATENATE(J259,"-",C259)</f>
        <v>1119-42914</v>
      </c>
      <c r="E259" s="20" t="str">
        <f>CONCATENATE(T259,"-",U259,"-",C259)</f>
        <v>HW1-C1-42914</v>
      </c>
      <c r="F259" s="20" t="s">
        <v>106</v>
      </c>
      <c r="G259" s="20" t="s">
        <v>107</v>
      </c>
      <c r="I259" s="16">
        <v>0</v>
      </c>
      <c r="J259" s="21">
        <v>1119</v>
      </c>
      <c r="K259" s="21">
        <v>1781</v>
      </c>
      <c r="L259" s="18">
        <v>0</v>
      </c>
      <c r="M259" s="21">
        <f>VLOOKUP($K259,'[4]blood tubes 2017'!$D$1:$L$647,8,FALSE)</f>
        <v>0</v>
      </c>
      <c r="N259" s="15">
        <v>0</v>
      </c>
      <c r="O259" s="15" t="s">
        <v>119</v>
      </c>
      <c r="P259" s="16" t="s">
        <v>119</v>
      </c>
      <c r="Q259" s="16">
        <v>0</v>
      </c>
      <c r="R259" s="16">
        <v>17</v>
      </c>
      <c r="T259" s="16" t="s">
        <v>133</v>
      </c>
      <c r="U259" s="16" t="s">
        <v>150</v>
      </c>
      <c r="V259" s="16" t="s">
        <v>114</v>
      </c>
      <c r="W259" s="16">
        <f>AI259/AG259</f>
        <v>0.70967741935483875</v>
      </c>
      <c r="X259" s="16" t="s">
        <v>115</v>
      </c>
      <c r="Y259" s="16" t="s">
        <v>110</v>
      </c>
      <c r="Z259" s="16">
        <v>3</v>
      </c>
      <c r="AE259" s="16" t="s">
        <v>123</v>
      </c>
      <c r="AF259" s="16" t="s">
        <v>123</v>
      </c>
      <c r="AG259" s="16">
        <f>AH259-AI259</f>
        <v>93</v>
      </c>
      <c r="AH259" s="16">
        <v>159</v>
      </c>
      <c r="AI259" s="16">
        <v>66</v>
      </c>
      <c r="AK259" s="16">
        <v>24</v>
      </c>
      <c r="AL259" s="16">
        <v>0</v>
      </c>
      <c r="AM259" s="16">
        <v>0</v>
      </c>
      <c r="AN259" s="16">
        <v>0</v>
      </c>
      <c r="AO259" s="16">
        <v>0</v>
      </c>
      <c r="AP259" s="16">
        <f>SUM(AL259:AN259)</f>
        <v>0</v>
      </c>
      <c r="AQ259" s="16">
        <v>1.8009999999999999</v>
      </c>
      <c r="AR259" s="16">
        <f>AP259-1.472</f>
        <v>-1.472</v>
      </c>
      <c r="AS259" s="16">
        <f>AQ259-1.472</f>
        <v>0.32899999999999996</v>
      </c>
      <c r="AT259" s="16" t="s">
        <v>249</v>
      </c>
      <c r="AW259" s="40"/>
      <c r="AX259" s="40"/>
      <c r="AY259" s="40"/>
      <c r="AZ259" s="40"/>
      <c r="BA259" s="40"/>
      <c r="BB259" s="40"/>
      <c r="BC259" s="40"/>
      <c r="BD259" s="40"/>
      <c r="BE259" s="40"/>
      <c r="BF259" s="40"/>
      <c r="BG259" s="75"/>
      <c r="BH259" s="40"/>
      <c r="BI259" s="40"/>
      <c r="BJ259" s="40"/>
      <c r="BK259" s="40"/>
      <c r="BL259" s="40"/>
      <c r="BM259" s="40"/>
      <c r="BN259" s="40"/>
      <c r="BO259" s="40"/>
      <c r="BP259" s="40"/>
      <c r="BQ259" s="40"/>
      <c r="BR259" s="40"/>
      <c r="BS259" s="40"/>
      <c r="BT259" s="75"/>
      <c r="BU259" s="40"/>
      <c r="BV259" s="40"/>
      <c r="BW259" s="40"/>
      <c r="BX259" s="40"/>
      <c r="BY259" s="40"/>
      <c r="BZ259" s="40"/>
      <c r="CA259" s="40"/>
      <c r="CB259" s="40"/>
      <c r="CC259" s="40"/>
      <c r="CD259" s="75"/>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16" t="e">
        <f>VLOOKUP(K259,'[3]RNA Seq summary tables'!$V$3:$V$99,1,FALSE)</f>
        <v>#N/A</v>
      </c>
      <c r="DI259" s="40"/>
      <c r="DK259" s="16">
        <v>14</v>
      </c>
      <c r="DM259" s="16">
        <v>8</v>
      </c>
      <c r="DO259" s="16">
        <v>0</v>
      </c>
      <c r="DQ259" s="16">
        <v>0</v>
      </c>
      <c r="DR259" s="16">
        <f>SUM(DI259:DQ259)</f>
        <v>22</v>
      </c>
      <c r="JO259" s="18"/>
      <c r="JR259" s="27"/>
      <c r="JS259" s="27"/>
      <c r="JT259" s="27"/>
      <c r="JU259" s="27"/>
      <c r="JV259" s="27"/>
      <c r="JW259" s="27"/>
      <c r="JX259" s="27"/>
      <c r="JY259" s="27"/>
      <c r="JZ259" s="27"/>
      <c r="KA259" s="27"/>
      <c r="KB259" s="27"/>
    </row>
    <row r="260" spans="2:288" ht="16" x14ac:dyDescent="0.2">
      <c r="B260" s="18">
        <v>2017</v>
      </c>
      <c r="C260" s="37">
        <v>42932</v>
      </c>
      <c r="D260" s="37" t="str">
        <f>CONCATENATE(J260,"-",C260)</f>
        <v>1119-42932</v>
      </c>
      <c r="E260" s="37" t="str">
        <f>CONCATENATE(T260,"-",U260,"-",C260)</f>
        <v>HW1-D4-42932</v>
      </c>
      <c r="F260" s="20" t="s">
        <v>106</v>
      </c>
      <c r="G260" s="37" t="s">
        <v>107</v>
      </c>
      <c r="H260" s="18" t="s">
        <v>254</v>
      </c>
      <c r="I260" s="16">
        <v>0</v>
      </c>
      <c r="J260" s="36">
        <v>1119</v>
      </c>
      <c r="K260" s="36">
        <v>1927</v>
      </c>
      <c r="L260" s="18">
        <v>0</v>
      </c>
      <c r="M260" s="21">
        <f>VLOOKUP($K260,'[4]blood tubes 2017'!$D$1:$L$647,8,FALSE)</f>
        <v>0</v>
      </c>
      <c r="N260" s="15">
        <v>0</v>
      </c>
      <c r="O260" s="15" t="s">
        <v>119</v>
      </c>
      <c r="P260" s="18" t="s">
        <v>119</v>
      </c>
      <c r="Q260" s="16">
        <v>0</v>
      </c>
      <c r="R260" s="18">
        <v>18</v>
      </c>
      <c r="S260" s="18"/>
      <c r="T260" s="18" t="s">
        <v>133</v>
      </c>
      <c r="U260" s="18" t="s">
        <v>221</v>
      </c>
      <c r="V260" s="18" t="s">
        <v>114</v>
      </c>
      <c r="W260" s="16">
        <f>AI260/AG260</f>
        <v>0.73626373626373631</v>
      </c>
      <c r="X260" s="18" t="s">
        <v>115</v>
      </c>
      <c r="Y260" s="18" t="s">
        <v>110</v>
      </c>
      <c r="Z260" s="18">
        <v>3</v>
      </c>
      <c r="AA260" s="18"/>
      <c r="AB260" s="18"/>
      <c r="AC260" s="18"/>
      <c r="AD260" s="18"/>
      <c r="AE260" s="18" t="s">
        <v>116</v>
      </c>
      <c r="AF260" s="18" t="s">
        <v>116</v>
      </c>
      <c r="AG260" s="18">
        <f>AH260-AI260</f>
        <v>91</v>
      </c>
      <c r="AH260" s="18">
        <v>158</v>
      </c>
      <c r="AI260" s="18">
        <v>67</v>
      </c>
      <c r="AJ260" s="18"/>
      <c r="AK260" s="18">
        <v>24.5</v>
      </c>
      <c r="AL260" s="18">
        <v>0</v>
      </c>
      <c r="AM260" s="18">
        <v>0</v>
      </c>
      <c r="AN260" s="18">
        <v>1</v>
      </c>
      <c r="AO260" s="18">
        <v>1</v>
      </c>
      <c r="AP260" s="18">
        <f>SUM(AL260:AN260)</f>
        <v>1</v>
      </c>
      <c r="AQ260" s="18">
        <v>1.929</v>
      </c>
      <c r="AR260" s="18">
        <f>AP260-1.472</f>
        <v>-0.47199999999999998</v>
      </c>
      <c r="AS260" s="18">
        <f>AQ260-1.472</f>
        <v>0.45700000000000007</v>
      </c>
      <c r="AT260" s="16" t="str">
        <f>VLOOKUP(E260,[2]Current!$A$1:$W$435,7,FALSE)</f>
        <v>JY</v>
      </c>
      <c r="AU260" s="16" t="s">
        <v>1288</v>
      </c>
      <c r="AV260" s="23">
        <v>1</v>
      </c>
      <c r="AW260" s="128">
        <f>IF(AX260&gt;0,1,0)</f>
        <v>0</v>
      </c>
      <c r="AX260" s="128">
        <f>SUM(BA260,BM260,CU260)</f>
        <v>0</v>
      </c>
      <c r="AY260" s="128">
        <f>SUM(BB260,BN260,CV260)</f>
        <v>0</v>
      </c>
      <c r="AZ260" s="128">
        <f>IF(BA260&gt;0,1,0)</f>
        <v>0</v>
      </c>
      <c r="BA260" s="128">
        <f>SUM(BC260+BF260+BI260)</f>
        <v>0</v>
      </c>
      <c r="BB260" s="128">
        <f>SUM(BE260,BH260,BK260)</f>
        <v>0</v>
      </c>
      <c r="BC260" s="130">
        <f>IF(BD260&gt;0,1,0)</f>
        <v>0</v>
      </c>
      <c r="BD260" s="128">
        <f>VLOOKUP($E260,[2]Current!$A:$AC,26,FALSE)</f>
        <v>0</v>
      </c>
      <c r="BE260" s="128">
        <f>BD260/$AS260</f>
        <v>0</v>
      </c>
      <c r="BF260" s="130">
        <f>IF(BG260&gt;0,1,0)</f>
        <v>0</v>
      </c>
      <c r="BG260" s="175">
        <f>VLOOKUP($E260,[2]Current!$A:$AC,27,FALSE)</f>
        <v>0</v>
      </c>
      <c r="BH260" s="128">
        <f>BG260/$AS260</f>
        <v>0</v>
      </c>
      <c r="BI260" s="130">
        <f>IF(BJ260&gt;0,1,0)</f>
        <v>0</v>
      </c>
      <c r="BJ260" s="128">
        <f>VLOOKUP($E260,[2]Current!$A:$AC,28,FALSE)</f>
        <v>0</v>
      </c>
      <c r="BK260" s="128">
        <f>BJ260/$AS260</f>
        <v>0</v>
      </c>
      <c r="BL260" s="128">
        <f>IF(BM260&gt;0,1,0)</f>
        <v>0</v>
      </c>
      <c r="BM260" s="128">
        <f>SUM(BR260,BU260,BX260,CA260,CD260)</f>
        <v>0</v>
      </c>
      <c r="BN260" s="131">
        <f>SUM(BT260,BW260,BZ260,CC260,CF260)</f>
        <v>0</v>
      </c>
      <c r="BO260" s="128">
        <f>IF(BP260&gt;0,1,0)</f>
        <v>0</v>
      </c>
      <c r="BP260" s="128">
        <f>BM260+CJ260</f>
        <v>0</v>
      </c>
      <c r="BQ260" s="128">
        <f>BN260+CL260</f>
        <v>0</v>
      </c>
      <c r="BR260" s="130">
        <f>IF(BS260&gt;0,1,0)</f>
        <v>0</v>
      </c>
      <c r="BS260" s="128">
        <f>VLOOKUP($E260,[2]Current!$A:$AC,12,FALSE)</f>
        <v>0</v>
      </c>
      <c r="BT260" s="175">
        <f>BS260/$AS260</f>
        <v>0</v>
      </c>
      <c r="BU260" s="130">
        <f>IF(BV260&gt;0,1,0)</f>
        <v>0</v>
      </c>
      <c r="BV260" s="128">
        <f>VLOOKUP($E260,[2]Current!$A:$AC,13,FALSE)</f>
        <v>0</v>
      </c>
      <c r="BW260" s="128">
        <f>BV260/$AS260</f>
        <v>0</v>
      </c>
      <c r="BX260" s="130">
        <f>IF(BY260&gt;0,1,0)</f>
        <v>0</v>
      </c>
      <c r="BY260" s="128">
        <f>VLOOKUP($E260,[2]Current!$A:$AC,14,FALSE)</f>
        <v>0</v>
      </c>
      <c r="BZ260" s="128">
        <f>BY260/$AS260</f>
        <v>0</v>
      </c>
      <c r="CA260" s="130">
        <f>IF(CB260&gt;0,1,0)</f>
        <v>0</v>
      </c>
      <c r="CB260" s="128">
        <f>VLOOKUP($E260,[2]Current!$A:$AC,15,FALSE)</f>
        <v>0</v>
      </c>
      <c r="CC260" s="128">
        <f>CB260/$AS260</f>
        <v>0</v>
      </c>
      <c r="CD260" s="176">
        <f>IF(CE260&gt;0,1,0)</f>
        <v>0</v>
      </c>
      <c r="CE260" s="128">
        <f>VLOOKUP($E260,[2]Current!$A:$AC,16,FALSE)</f>
        <v>0</v>
      </c>
      <c r="CF260" s="128">
        <f>CE260/$AS260</f>
        <v>0</v>
      </c>
      <c r="CG260" s="18"/>
      <c r="CH260" s="18"/>
      <c r="CI260" s="18"/>
      <c r="CJ260" s="130">
        <f>IF(CK260&gt;0,1,0)</f>
        <v>0</v>
      </c>
      <c r="CK260" s="128">
        <f>VLOOKUP($E260,[2]Current!$A:$AC,18,FALSE)</f>
        <v>0</v>
      </c>
      <c r="CL260" s="128">
        <f>CK260/$AS260</f>
        <v>0</v>
      </c>
      <c r="CS260" s="130">
        <f>IF(CU260&gt;0,1,0)</f>
        <v>0</v>
      </c>
      <c r="CU260" s="128">
        <f>VLOOKUP($E260,[2]Current!$A:$AC,17,FALSE)</f>
        <v>0</v>
      </c>
      <c r="CV260" s="128">
        <f>CU260/$AS260</f>
        <v>0</v>
      </c>
      <c r="CW260" s="18"/>
      <c r="CX260" s="18"/>
      <c r="CY260" s="18"/>
      <c r="DF260" s="16" t="e">
        <f>VLOOKUP(K260,'[3]RNA Seq summary tables'!$V$3:$V$99,1,FALSE)</f>
        <v>#N/A</v>
      </c>
      <c r="DI260" s="18"/>
      <c r="DJ260" s="18"/>
      <c r="DK260" s="18"/>
      <c r="DL260" s="18"/>
      <c r="DM260" s="18"/>
      <c r="DN260" s="18"/>
      <c r="DO260" s="18"/>
      <c r="DP260" s="18"/>
      <c r="DQ260" s="18"/>
      <c r="DR260" s="18"/>
      <c r="DS260" s="18"/>
    </row>
    <row r="261" spans="2:288" x14ac:dyDescent="0.2">
      <c r="B261" s="16">
        <v>2017</v>
      </c>
      <c r="C261" s="73">
        <v>42897</v>
      </c>
      <c r="D261" s="66" t="str">
        <f>CONCATENATE(J261,"-",C261)</f>
        <v>1121-42897</v>
      </c>
      <c r="E261" s="20" t="str">
        <f>CONCATENATE(T261,"-",U261,"-",C261)</f>
        <v>HW1-G6-42897</v>
      </c>
      <c r="F261" s="20" t="s">
        <v>106</v>
      </c>
      <c r="G261" s="43" t="s">
        <v>107</v>
      </c>
      <c r="H261" s="23"/>
      <c r="I261" s="16">
        <v>0</v>
      </c>
      <c r="J261" s="15">
        <v>1121</v>
      </c>
      <c r="K261" s="15">
        <v>1671</v>
      </c>
      <c r="L261" s="18">
        <v>0</v>
      </c>
      <c r="M261" s="21">
        <f>VLOOKUP($K261,'[4]blood tubes 2017'!$D$1:$L$647,8,FALSE)</f>
        <v>0</v>
      </c>
      <c r="N261" s="15">
        <v>0</v>
      </c>
      <c r="O261" s="15" t="s">
        <v>119</v>
      </c>
      <c r="P261" s="23" t="s">
        <v>119</v>
      </c>
      <c r="Q261" s="16">
        <v>0</v>
      </c>
      <c r="R261" s="23" t="s">
        <v>111</v>
      </c>
      <c r="S261" s="23"/>
      <c r="T261" s="23" t="s">
        <v>133</v>
      </c>
      <c r="U261" s="23" t="s">
        <v>218</v>
      </c>
      <c r="V261" s="23" t="s">
        <v>114</v>
      </c>
      <c r="W261" s="16">
        <f>AI261/AG261</f>
        <v>0.8936170212765957</v>
      </c>
      <c r="X261" s="23" t="s">
        <v>115</v>
      </c>
      <c r="Y261" s="23" t="s">
        <v>110</v>
      </c>
      <c r="Z261" s="23">
        <v>3</v>
      </c>
      <c r="AA261" s="23"/>
      <c r="AB261" s="23"/>
      <c r="AC261" s="23"/>
      <c r="AD261" s="23"/>
      <c r="AE261" s="23" t="s">
        <v>123</v>
      </c>
      <c r="AF261" s="23" t="s">
        <v>123</v>
      </c>
      <c r="AG261" s="23">
        <f>AH261-AI261</f>
        <v>94</v>
      </c>
      <c r="AH261" s="23">
        <v>178</v>
      </c>
      <c r="AI261" s="23">
        <v>84</v>
      </c>
      <c r="AJ261" s="23"/>
      <c r="AK261" s="23">
        <v>29</v>
      </c>
      <c r="AL261" s="23">
        <v>0</v>
      </c>
      <c r="AM261" s="23">
        <v>0</v>
      </c>
      <c r="AN261" s="23">
        <v>0</v>
      </c>
      <c r="AO261" s="23">
        <v>0</v>
      </c>
      <c r="AP261" s="23">
        <f>SUM(AL261:AN261)</f>
        <v>0</v>
      </c>
      <c r="AQ261" s="23">
        <v>1.629</v>
      </c>
      <c r="AR261" s="23">
        <f>AP261-1.472</f>
        <v>-1.472</v>
      </c>
      <c r="AS261" s="23">
        <f>AQ261-1.472</f>
        <v>0.15700000000000003</v>
      </c>
      <c r="AT261" s="23" t="s">
        <v>119</v>
      </c>
      <c r="AU261" s="23"/>
      <c r="AV261" s="23"/>
      <c r="AW261" s="23">
        <f>IF(AX261&gt;0,1,0)</f>
        <v>1</v>
      </c>
      <c r="AX261" s="23">
        <f>SUM(BA261,BM261,CT261)</f>
        <v>2</v>
      </c>
      <c r="AY261" s="25">
        <f>SUM(BB261,BN261,CV261)</f>
        <v>1292.9936305732481</v>
      </c>
      <c r="AZ261" s="16">
        <f>IF(BA261&gt;0,1,0)</f>
        <v>1</v>
      </c>
      <c r="BA261" s="23">
        <f>SUM(BC261,BF261,BI261)</f>
        <v>1</v>
      </c>
      <c r="BB261" s="23">
        <f>SUM(BE261,BH261,BK261)</f>
        <v>1261.1464968152864</v>
      </c>
      <c r="BC261" s="16">
        <v>0</v>
      </c>
      <c r="BD261" s="23">
        <v>0</v>
      </c>
      <c r="BE261" s="23">
        <f>BD261/AS261</f>
        <v>0</v>
      </c>
      <c r="BF261" s="16">
        <v>1</v>
      </c>
      <c r="BG261" s="23">
        <v>198</v>
      </c>
      <c r="BH261" s="23">
        <f>BG261/AS261</f>
        <v>1261.1464968152864</v>
      </c>
      <c r="BI261" s="16">
        <v>0</v>
      </c>
      <c r="BJ261" s="23">
        <v>0</v>
      </c>
      <c r="BK261" s="23">
        <f>BJ261/AS261</f>
        <v>0</v>
      </c>
      <c r="BL261" s="16">
        <f>IF(BM261&gt;0,1,0)</f>
        <v>1</v>
      </c>
      <c r="BM261" s="16">
        <f>SUM(BR261,BU261,BX261,CA261,CD261,CG261,CJ261,CM261,CP261)</f>
        <v>1</v>
      </c>
      <c r="BN261" s="16">
        <f>SUM(BW261,BZ261,CC261,CF261,CI261,CL261,CO261,CR261,BT261)</f>
        <v>31.847133757961778</v>
      </c>
      <c r="BO261" s="16">
        <f>IF(BP261&gt;0,1,0)</f>
        <v>1</v>
      </c>
      <c r="BP261" s="16">
        <f>SUM(BU261,BX261,CA261,CD261,BR261)</f>
        <v>1</v>
      </c>
      <c r="BQ261" s="16">
        <f>SUM(BZ261,CC261,CF261,BT261,BW261)</f>
        <v>31.847133757961778</v>
      </c>
      <c r="BR261" s="16">
        <v>0</v>
      </c>
      <c r="BS261" s="23">
        <v>0</v>
      </c>
      <c r="BT261" s="23">
        <f>BS261/AS261</f>
        <v>0</v>
      </c>
      <c r="BU261" s="16">
        <v>0</v>
      </c>
      <c r="BV261" s="23">
        <v>0</v>
      </c>
      <c r="BW261" s="16">
        <f>BV261/AS261</f>
        <v>0</v>
      </c>
      <c r="BX261" s="16">
        <v>1</v>
      </c>
      <c r="BY261" s="23">
        <v>5</v>
      </c>
      <c r="BZ261" s="16">
        <f>BY261/AS261</f>
        <v>31.847133757961778</v>
      </c>
      <c r="CA261" s="16">
        <v>0</v>
      </c>
      <c r="CB261" s="23">
        <v>0</v>
      </c>
      <c r="CC261" s="23">
        <f>CB261/AS261</f>
        <v>0</v>
      </c>
      <c r="CD261" s="23">
        <v>0</v>
      </c>
      <c r="CE261" s="23">
        <v>0</v>
      </c>
      <c r="CF261" s="23">
        <f>CE261/AS261</f>
        <v>0</v>
      </c>
      <c r="CG261" s="23">
        <v>0</v>
      </c>
      <c r="CH261" s="23">
        <v>0</v>
      </c>
      <c r="CI261" s="23">
        <f>CH261/AS261</f>
        <v>0</v>
      </c>
      <c r="CJ261" s="23"/>
      <c r="CK261" s="23"/>
      <c r="CL261" s="23"/>
      <c r="CM261" s="23">
        <v>0</v>
      </c>
      <c r="CN261" s="23">
        <v>0</v>
      </c>
      <c r="CO261" s="23">
        <f>CN261/AS261</f>
        <v>0</v>
      </c>
      <c r="CP261" s="23">
        <v>0</v>
      </c>
      <c r="CQ261" s="23">
        <v>0</v>
      </c>
      <c r="CR261" s="23">
        <f>CQ261/AS261</f>
        <v>0</v>
      </c>
      <c r="CS261" s="16">
        <f>IF(CT261&gt;0,1,0)</f>
        <v>0</v>
      </c>
      <c r="CT261" s="16">
        <f>SUM(CW261,CZ261,DC261)</f>
        <v>0</v>
      </c>
      <c r="CV261" s="23">
        <f>SUM(CY261,DB261,DE261)</f>
        <v>0</v>
      </c>
      <c r="CW261" s="16">
        <v>0</v>
      </c>
      <c r="CX261" s="23">
        <v>0</v>
      </c>
      <c r="CY261" s="23">
        <f>CX261/AS261</f>
        <v>0</v>
      </c>
      <c r="CZ261" s="23">
        <v>0</v>
      </c>
      <c r="DA261" s="23">
        <v>0</v>
      </c>
      <c r="DB261" s="23">
        <f>DA261/AS261</f>
        <v>0</v>
      </c>
      <c r="DC261" s="23">
        <v>0</v>
      </c>
      <c r="DD261" s="23">
        <v>0</v>
      </c>
      <c r="DE261" s="23">
        <f>DD261/AS261</f>
        <v>0</v>
      </c>
      <c r="DF261" s="16" t="e">
        <f>VLOOKUP(K261,'[3]RNA Seq summary tables'!$V$3:$V$99,1,FALSE)</f>
        <v>#N/A</v>
      </c>
      <c r="DI261" s="23">
        <v>49</v>
      </c>
      <c r="DJ261" s="23"/>
      <c r="DK261" s="23">
        <v>34</v>
      </c>
      <c r="DL261" s="23"/>
      <c r="DM261" s="23">
        <v>16</v>
      </c>
      <c r="DN261" s="23"/>
      <c r="DO261" s="23">
        <v>0</v>
      </c>
      <c r="DP261" s="23"/>
      <c r="DQ261" s="23">
        <v>1</v>
      </c>
      <c r="DR261" s="23">
        <f>SUM(DI261:DQ261)</f>
        <v>100</v>
      </c>
      <c r="DS261" s="23"/>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25"/>
      <c r="FG261" s="25"/>
      <c r="FH261" s="25"/>
      <c r="FI261" s="25"/>
      <c r="FJ261" s="25"/>
      <c r="FK261" s="25"/>
      <c r="FL261" s="25"/>
      <c r="FM261" s="25"/>
      <c r="FN261" s="25"/>
      <c r="FO261" s="25"/>
      <c r="FP261" s="25"/>
      <c r="FQ261" s="25"/>
      <c r="FR261" s="25"/>
      <c r="FS261" s="25"/>
      <c r="FT261" s="25"/>
      <c r="FU261" s="25"/>
      <c r="FV261" s="25"/>
      <c r="FW261" s="25"/>
      <c r="FX261" s="25"/>
      <c r="FY261" s="25"/>
      <c r="FZ261" s="25"/>
      <c r="GA261" s="25"/>
      <c r="GB261" s="25"/>
      <c r="GC261" s="25"/>
      <c r="GD261" s="25"/>
      <c r="GE261" s="25"/>
      <c r="GF261" s="25"/>
      <c r="GG261" s="25"/>
      <c r="GH261" s="25"/>
      <c r="GI261" s="25"/>
      <c r="GJ261" s="25"/>
      <c r="GK261" s="25"/>
      <c r="GL261" s="25"/>
      <c r="GM261" s="25"/>
      <c r="GN261" s="25"/>
      <c r="GO261" s="25"/>
      <c r="GP261" s="25"/>
      <c r="GQ261" s="25"/>
      <c r="GR261" s="25"/>
      <c r="GS261" s="25"/>
      <c r="GT261" s="25"/>
      <c r="GU261" s="25"/>
      <c r="GV261" s="25"/>
      <c r="GW261" s="25"/>
      <c r="GX261" s="25"/>
      <c r="GY261" s="25"/>
      <c r="GZ261" s="25"/>
      <c r="HA261" s="25"/>
      <c r="HB261" s="25"/>
      <c r="HC261" s="25"/>
      <c r="HD261" s="25"/>
      <c r="HE261" s="25"/>
      <c r="HF261" s="25"/>
      <c r="HG261" s="25"/>
      <c r="HH261" s="25"/>
      <c r="HI261" s="25"/>
      <c r="HJ261" s="25"/>
      <c r="HK261" s="25"/>
      <c r="HL261" s="25"/>
      <c r="HM261" s="25"/>
      <c r="HN261" s="25"/>
      <c r="HO261" s="25"/>
      <c r="HP261" s="25"/>
      <c r="HQ261" s="25"/>
      <c r="HR261" s="25"/>
      <c r="HS261" s="25"/>
      <c r="HT261" s="25"/>
      <c r="HU261" s="25"/>
      <c r="HV261" s="25"/>
      <c r="HW261" s="25"/>
      <c r="HX261" s="25"/>
      <c r="HY261" s="25"/>
      <c r="HZ261" s="25"/>
      <c r="IA261" s="25"/>
      <c r="IB261" s="25"/>
      <c r="IC261" s="25"/>
      <c r="ID261" s="25"/>
      <c r="IE261" s="25"/>
      <c r="IF261" s="25"/>
      <c r="IG261" s="25"/>
      <c r="IH261" s="25"/>
      <c r="II261" s="25"/>
      <c r="IJ261" s="25"/>
      <c r="IK261" s="25"/>
      <c r="IL261" s="25"/>
      <c r="IM261" s="25"/>
      <c r="IN261" s="25"/>
      <c r="IO261" s="25"/>
      <c r="IP261" s="25"/>
      <c r="IQ261" s="25"/>
      <c r="IR261" s="25"/>
      <c r="IS261" s="25"/>
      <c r="IT261" s="25"/>
      <c r="IU261" s="25"/>
      <c r="IV261" s="25"/>
      <c r="IW261" s="25"/>
      <c r="IX261" s="25"/>
      <c r="IY261" s="25"/>
      <c r="IZ261" s="25"/>
      <c r="JA261" s="25"/>
      <c r="JB261" s="25"/>
      <c r="JC261" s="25"/>
      <c r="JD261" s="25"/>
      <c r="JE261" s="25"/>
      <c r="JF261" s="25"/>
      <c r="JG261" s="25"/>
      <c r="JH261" s="25"/>
      <c r="JI261" s="25"/>
      <c r="JJ261" s="25"/>
      <c r="JK261" s="25"/>
      <c r="JL261" s="25"/>
      <c r="JM261" s="25"/>
      <c r="JN261" s="25"/>
    </row>
    <row r="262" spans="2:288" x14ac:dyDescent="0.2">
      <c r="B262" s="16">
        <v>2017</v>
      </c>
      <c r="C262" s="20">
        <v>42914</v>
      </c>
      <c r="D262" s="20" t="str">
        <f>CONCATENATE(J262,"-",C262)</f>
        <v>1121-42914</v>
      </c>
      <c r="E262" s="20" t="str">
        <f>CONCATENATE(T262,"-",U262,"-",C262)</f>
        <v>HW1-H6-42914</v>
      </c>
      <c r="F262" s="20" t="s">
        <v>106</v>
      </c>
      <c r="G262" s="20" t="s">
        <v>107</v>
      </c>
      <c r="I262" s="16">
        <v>0</v>
      </c>
      <c r="J262" s="21">
        <v>1121</v>
      </c>
      <c r="K262" s="21">
        <v>1794</v>
      </c>
      <c r="L262" s="18">
        <v>0</v>
      </c>
      <c r="M262" s="21">
        <f>VLOOKUP($K262,'[4]blood tubes 2017'!$D$1:$L$647,8,FALSE)</f>
        <v>0</v>
      </c>
      <c r="N262" s="15">
        <v>0</v>
      </c>
      <c r="O262" s="15" t="s">
        <v>119</v>
      </c>
      <c r="P262" s="16" t="s">
        <v>119</v>
      </c>
      <c r="Q262" s="16">
        <v>0</v>
      </c>
      <c r="R262" s="16">
        <v>17</v>
      </c>
      <c r="T262" s="16" t="s">
        <v>133</v>
      </c>
      <c r="U262" s="16" t="s">
        <v>141</v>
      </c>
      <c r="V262" s="16" t="s">
        <v>114</v>
      </c>
      <c r="W262" s="16">
        <f>AI262/AG262</f>
        <v>0.84210526315789469</v>
      </c>
      <c r="X262" s="16" t="s">
        <v>115</v>
      </c>
      <c r="Y262" s="16" t="s">
        <v>110</v>
      </c>
      <c r="Z262" s="16">
        <v>3</v>
      </c>
      <c r="AE262" s="16" t="s">
        <v>123</v>
      </c>
      <c r="AF262" s="16" t="s">
        <v>123</v>
      </c>
      <c r="AG262" s="16">
        <f>AH262-AI262</f>
        <v>95</v>
      </c>
      <c r="AH262" s="16">
        <v>175</v>
      </c>
      <c r="AI262" s="16">
        <v>80</v>
      </c>
      <c r="AK262" s="16">
        <v>27</v>
      </c>
      <c r="AL262" s="16">
        <v>1</v>
      </c>
      <c r="AM262" s="16">
        <v>0</v>
      </c>
      <c r="AN262" s="16">
        <v>0</v>
      </c>
      <c r="AO262" s="16">
        <v>1</v>
      </c>
      <c r="AP262" s="16">
        <f>SUM(AL262:AN262)</f>
        <v>1</v>
      </c>
      <c r="AQ262" s="16">
        <v>1.6739999999999999</v>
      </c>
      <c r="AR262" s="16">
        <f>AP262-1.472</f>
        <v>-0.47199999999999998</v>
      </c>
      <c r="AS262" s="16">
        <f>AQ262-1.472</f>
        <v>0.20199999999999996</v>
      </c>
      <c r="AT262" s="18" t="s">
        <v>119</v>
      </c>
      <c r="AU262" s="18"/>
      <c r="AW262" s="16">
        <f>IF(AX262&gt;0,1,0)</f>
        <v>1</v>
      </c>
      <c r="AX262" s="16">
        <f>SUM(BA262,BM262,CT262)</f>
        <v>1</v>
      </c>
      <c r="AY262" s="18">
        <f>SUM(BB262,BN262,CV262)</f>
        <v>24.752475247524757</v>
      </c>
      <c r="AZ262" s="16">
        <v>1</v>
      </c>
      <c r="BA262" s="16">
        <v>1</v>
      </c>
      <c r="BB262" s="16">
        <f>SUM(BE262,BH262,BK262)</f>
        <v>24.752475247524757</v>
      </c>
      <c r="BC262" s="16">
        <v>0</v>
      </c>
      <c r="BD262" s="16">
        <v>0</v>
      </c>
      <c r="BE262" s="16">
        <f>BD262/AS262</f>
        <v>0</v>
      </c>
      <c r="BF262" s="16">
        <v>1</v>
      </c>
      <c r="BG262" s="23">
        <v>5</v>
      </c>
      <c r="BH262" s="16">
        <f>BG262/AS262</f>
        <v>24.752475247524757</v>
      </c>
      <c r="BI262" s="16">
        <v>0</v>
      </c>
      <c r="BJ262" s="16">
        <v>0</v>
      </c>
      <c r="BK262" s="16">
        <f>BJ262/AS262</f>
        <v>0</v>
      </c>
      <c r="BL262" s="16">
        <f>IF(BM262&gt;0,1,0)</f>
        <v>0</v>
      </c>
      <c r="BM262" s="16">
        <f>SUM(BR262,BU262,BX262,CA262,CD262,CG262,CJ262,CM262,CP262)</f>
        <v>0</v>
      </c>
      <c r="BN262" s="16">
        <f>SUM(BW262,BZ262,CC262,CF262,CI262,CL262,CO262,CR262,BT262)</f>
        <v>0</v>
      </c>
      <c r="BO262" s="16">
        <f>IF(BP262&gt;0,1,0)</f>
        <v>0</v>
      </c>
      <c r="BP262" s="16">
        <f>SUM(BU262,BX262,CA262,CD262,BR262)</f>
        <v>0</v>
      </c>
      <c r="BQ262" s="16">
        <f>SUM(BZ262,CC262,CF262,BT262,BW262)</f>
        <v>0</v>
      </c>
      <c r="BR262" s="16">
        <v>0</v>
      </c>
      <c r="BS262" s="16">
        <v>0</v>
      </c>
      <c r="BT262" s="23">
        <f>BS262/AS262</f>
        <v>0</v>
      </c>
      <c r="BU262" s="16">
        <v>0</v>
      </c>
      <c r="BV262" s="16">
        <v>0</v>
      </c>
      <c r="BW262" s="16">
        <f>BV262/AS262</f>
        <v>0</v>
      </c>
      <c r="BX262" s="16">
        <v>0</v>
      </c>
      <c r="BY262" s="16">
        <v>0</v>
      </c>
      <c r="BZ262" s="16">
        <f>BY262/AS262</f>
        <v>0</v>
      </c>
      <c r="CA262" s="16">
        <v>0</v>
      </c>
      <c r="CB262" s="16">
        <v>0</v>
      </c>
      <c r="CC262" s="16">
        <f>CB262/AS262</f>
        <v>0</v>
      </c>
      <c r="CD262" s="23">
        <v>0</v>
      </c>
      <c r="CE262" s="16">
        <v>0</v>
      </c>
      <c r="CF262" s="16">
        <f>CE262/AS262</f>
        <v>0</v>
      </c>
      <c r="CG262" s="16">
        <v>0</v>
      </c>
      <c r="CH262" s="16">
        <v>0</v>
      </c>
      <c r="CI262" s="16">
        <f>CH262/AS262</f>
        <v>0</v>
      </c>
      <c r="CM262" s="16">
        <v>0</v>
      </c>
      <c r="CN262" s="16">
        <v>0</v>
      </c>
      <c r="CO262" s="16">
        <f>CN262/AS262</f>
        <v>0</v>
      </c>
      <c r="CP262" s="16">
        <v>0</v>
      </c>
      <c r="CQ262" s="16">
        <v>0</v>
      </c>
      <c r="CR262" s="16">
        <f>CQ262/AS262</f>
        <v>0</v>
      </c>
      <c r="CS262" s="16">
        <v>0</v>
      </c>
      <c r="CT262" s="16">
        <v>0</v>
      </c>
      <c r="CV262" s="16">
        <f>SUM(CY262,DB262,DE262)</f>
        <v>0</v>
      </c>
      <c r="CW262" s="16">
        <v>0</v>
      </c>
      <c r="CX262" s="16">
        <v>0</v>
      </c>
      <c r="CY262" s="16">
        <f>CX262/AS262</f>
        <v>0</v>
      </c>
      <c r="CZ262" s="16">
        <v>0</v>
      </c>
      <c r="DA262" s="16">
        <v>0</v>
      </c>
      <c r="DB262" s="16">
        <f>DA262/AS262</f>
        <v>0</v>
      </c>
      <c r="DC262" s="16">
        <v>0</v>
      </c>
      <c r="DD262" s="16">
        <v>0</v>
      </c>
      <c r="DE262" s="16">
        <f>DD262/AS262</f>
        <v>0</v>
      </c>
      <c r="DF262" s="16" t="e">
        <f>VLOOKUP(K262,'[3]RNA Seq summary tables'!$V$3:$V$99,1,FALSE)</f>
        <v>#N/A</v>
      </c>
      <c r="DI262" s="16">
        <v>65</v>
      </c>
      <c r="DK262" s="16">
        <v>33</v>
      </c>
      <c r="DM262" s="16">
        <v>2</v>
      </c>
      <c r="DO262" s="16">
        <v>0</v>
      </c>
      <c r="DQ262" s="16">
        <v>0</v>
      </c>
      <c r="DR262" s="16">
        <f>SUM(DI262:DQ262)</f>
        <v>100</v>
      </c>
      <c r="JR262" s="27"/>
      <c r="JS262" s="27"/>
      <c r="JT262" s="27"/>
      <c r="JU262" s="27"/>
      <c r="JV262" s="27"/>
      <c r="JW262" s="27"/>
      <c r="JX262" s="27"/>
      <c r="JY262" s="27"/>
      <c r="JZ262" s="27"/>
      <c r="KA262" s="27"/>
      <c r="KB262" s="27"/>
    </row>
    <row r="263" spans="2:288" x14ac:dyDescent="0.2">
      <c r="B263" s="16">
        <v>2017</v>
      </c>
      <c r="C263" s="66">
        <v>42897</v>
      </c>
      <c r="D263" s="66" t="str">
        <f>CONCATENATE(J263,"-",C263)</f>
        <v>1123-42897</v>
      </c>
      <c r="E263" s="20" t="str">
        <f>CONCATENATE(T263,"-",U263,"-",C263)</f>
        <v>HW1-H3-42897</v>
      </c>
      <c r="F263" s="20" t="s">
        <v>106</v>
      </c>
      <c r="G263" s="20" t="s">
        <v>107</v>
      </c>
      <c r="I263" s="16">
        <v>0</v>
      </c>
      <c r="J263" s="21">
        <v>1123</v>
      </c>
      <c r="K263" s="21">
        <v>1673</v>
      </c>
      <c r="L263" s="18">
        <v>0</v>
      </c>
      <c r="M263" s="21">
        <f>VLOOKUP($K263,'[4]blood tubes 2017'!$D$1:$L$647,8,FALSE)</f>
        <v>0</v>
      </c>
      <c r="N263" s="15">
        <v>0</v>
      </c>
      <c r="O263" s="15" t="s">
        <v>119</v>
      </c>
      <c r="P263" s="16" t="s">
        <v>119</v>
      </c>
      <c r="Q263" s="16">
        <v>0</v>
      </c>
      <c r="R263" s="16" t="s">
        <v>111</v>
      </c>
      <c r="T263" s="16" t="s">
        <v>133</v>
      </c>
      <c r="U263" s="16" t="s">
        <v>174</v>
      </c>
      <c r="V263" s="16" t="s">
        <v>114</v>
      </c>
      <c r="W263" s="16">
        <f>AI263/AG263</f>
        <v>0.86904761904761907</v>
      </c>
      <c r="X263" s="16" t="s">
        <v>115</v>
      </c>
      <c r="Y263" s="16" t="s">
        <v>110</v>
      </c>
      <c r="Z263" s="16">
        <v>3</v>
      </c>
      <c r="AE263" s="16" t="s">
        <v>123</v>
      </c>
      <c r="AF263" s="16" t="s">
        <v>123</v>
      </c>
      <c r="AG263" s="16">
        <f>AH263-AI263</f>
        <v>84</v>
      </c>
      <c r="AH263" s="16">
        <v>157</v>
      </c>
      <c r="AI263" s="16">
        <v>73</v>
      </c>
      <c r="AK263" s="16">
        <v>15.5</v>
      </c>
      <c r="AL263" s="16">
        <v>0</v>
      </c>
      <c r="AM263" s="16">
        <v>0</v>
      </c>
      <c r="AN263" s="16">
        <v>0</v>
      </c>
      <c r="AO263" s="16">
        <v>0</v>
      </c>
      <c r="AP263" s="16">
        <f>SUM(AL263:AN263)</f>
        <v>0</v>
      </c>
      <c r="AQ263" s="16">
        <v>1.67</v>
      </c>
      <c r="AR263" s="16">
        <f>AP263-1.472</f>
        <v>-1.472</v>
      </c>
      <c r="AS263" s="16">
        <f>AQ263-1.472</f>
        <v>0.19799999999999995</v>
      </c>
      <c r="AT263" s="16" t="s">
        <v>233</v>
      </c>
      <c r="AW263" s="16">
        <f>IF(AX263&gt;0,1,0)</f>
        <v>1</v>
      </c>
      <c r="AX263" s="16">
        <f>SUM(BA263,BM263,CT263)</f>
        <v>1</v>
      </c>
      <c r="AY263" s="18">
        <f>SUM(BB263,BN263,CV263)</f>
        <v>40.404040404040416</v>
      </c>
      <c r="AZ263" s="16">
        <f>IF(BA263&gt;0,1,0)</f>
        <v>1</v>
      </c>
      <c r="BA263" s="16">
        <f>SUM(BC263,BF263,BI263)</f>
        <v>1</v>
      </c>
      <c r="BB263" s="16">
        <f>SUM(BE263,BH263,BK263)</f>
        <v>40.404040404040416</v>
      </c>
      <c r="BC263" s="16">
        <v>0</v>
      </c>
      <c r="BD263" s="16">
        <v>0</v>
      </c>
      <c r="BE263" s="16">
        <f>BD263/AS263</f>
        <v>0</v>
      </c>
      <c r="BF263" s="16">
        <v>0</v>
      </c>
      <c r="BG263" s="23">
        <v>0</v>
      </c>
      <c r="BH263" s="16">
        <f>BG263/AS263</f>
        <v>0</v>
      </c>
      <c r="BI263" s="16">
        <v>1</v>
      </c>
      <c r="BJ263" s="16">
        <v>8</v>
      </c>
      <c r="BK263" s="16">
        <f>BJ263/AS263</f>
        <v>40.404040404040416</v>
      </c>
      <c r="BL263" s="16">
        <f>IF(BM263&gt;0,1,0)</f>
        <v>0</v>
      </c>
      <c r="BM263" s="16">
        <f>SUM(BR263,BU263,BX263,CA263,CD263,CG263,CJ263,CM263,CP263)</f>
        <v>0</v>
      </c>
      <c r="BN263" s="16">
        <f>SUM(BW263,BZ263,CC263,CF263,CI263,CL263,CO263,CR263,BT263)</f>
        <v>0</v>
      </c>
      <c r="BO263" s="16">
        <f>IF(BP263&gt;0,1,0)</f>
        <v>0</v>
      </c>
      <c r="BP263" s="16">
        <f>SUM(BU263,BX263,CA263,CD263,BR263)</f>
        <v>0</v>
      </c>
      <c r="BQ263" s="16">
        <f>SUM(BZ263,CC263,CF263,BT263,BW263)</f>
        <v>0</v>
      </c>
      <c r="BR263" s="16">
        <v>0</v>
      </c>
      <c r="BS263" s="16">
        <v>0</v>
      </c>
      <c r="BT263" s="23">
        <f>BS263/AS263</f>
        <v>0</v>
      </c>
      <c r="BU263" s="16">
        <v>0</v>
      </c>
      <c r="BV263" s="16">
        <v>0</v>
      </c>
      <c r="BW263" s="16">
        <f>BV263/AS263</f>
        <v>0</v>
      </c>
      <c r="BX263" s="16">
        <v>0</v>
      </c>
      <c r="BY263" s="16">
        <v>0</v>
      </c>
      <c r="BZ263" s="16">
        <f>BY263/AS263</f>
        <v>0</v>
      </c>
      <c r="CA263" s="16">
        <v>0</v>
      </c>
      <c r="CB263" s="16">
        <v>0</v>
      </c>
      <c r="CC263" s="16">
        <f>CB263/AS263</f>
        <v>0</v>
      </c>
      <c r="CD263" s="23">
        <v>0</v>
      </c>
      <c r="CE263" s="16">
        <v>0</v>
      </c>
      <c r="CF263" s="16">
        <f>CE263/AS263</f>
        <v>0</v>
      </c>
      <c r="CG263" s="16">
        <v>0</v>
      </c>
      <c r="CH263" s="16">
        <v>0</v>
      </c>
      <c r="CI263" s="16">
        <f>CH263/AS263</f>
        <v>0</v>
      </c>
      <c r="CM263" s="16">
        <v>0</v>
      </c>
      <c r="CN263" s="16">
        <v>0</v>
      </c>
      <c r="CO263" s="16">
        <f>CN263/AS263</f>
        <v>0</v>
      </c>
      <c r="CP263" s="16">
        <v>0</v>
      </c>
      <c r="CQ263" s="16">
        <v>0</v>
      </c>
      <c r="CR263" s="16">
        <f>CQ263/AS263</f>
        <v>0</v>
      </c>
      <c r="CS263" s="16">
        <f>IF(CT263&gt;0,1,0)</f>
        <v>0</v>
      </c>
      <c r="CT263" s="16">
        <f>SUM(CW263,CZ263,DC263)</f>
        <v>0</v>
      </c>
      <c r="CV263" s="16">
        <f>SUM(CY263,DB263,DE263)</f>
        <v>0</v>
      </c>
      <c r="CW263" s="16">
        <v>0</v>
      </c>
      <c r="CX263" s="16">
        <v>0</v>
      </c>
      <c r="CY263" s="16">
        <f>CX263/AS263</f>
        <v>0</v>
      </c>
      <c r="CZ263" s="16">
        <v>0</v>
      </c>
      <c r="DA263" s="16">
        <v>0</v>
      </c>
      <c r="DB263" s="16">
        <f>DA263/AS263</f>
        <v>0</v>
      </c>
      <c r="DC263" s="16">
        <v>0</v>
      </c>
      <c r="DD263" s="16">
        <v>0</v>
      </c>
      <c r="DE263" s="16">
        <f>DD263/AS263</f>
        <v>0</v>
      </c>
      <c r="DF263" s="16" t="e">
        <f>VLOOKUP(K263,'[3]RNA Seq summary tables'!$V$3:$V$99,1,FALSE)</f>
        <v>#N/A</v>
      </c>
      <c r="DI263" s="16">
        <v>74</v>
      </c>
      <c r="DK263" s="16">
        <v>18</v>
      </c>
      <c r="DM263" s="16">
        <v>8</v>
      </c>
      <c r="DO263" s="16">
        <v>0</v>
      </c>
      <c r="DQ263" s="16">
        <v>0</v>
      </c>
      <c r="DR263" s="16">
        <f>SUM(DI263:DQ263)</f>
        <v>100</v>
      </c>
    </row>
    <row r="264" spans="2:288" x14ac:dyDescent="0.2">
      <c r="B264" s="16">
        <v>2017</v>
      </c>
      <c r="C264" s="43">
        <v>42898</v>
      </c>
      <c r="D264" s="43" t="str">
        <f>CONCATENATE(J264,"-",C264)</f>
        <v>1125-42898</v>
      </c>
      <c r="E264" s="20" t="str">
        <f>CONCATENATE(T264,"-",U264,"-",C264)</f>
        <v>HW2-C1-42898</v>
      </c>
      <c r="F264" s="20" t="s">
        <v>106</v>
      </c>
      <c r="G264" s="43" t="s">
        <v>107</v>
      </c>
      <c r="H264" s="23"/>
      <c r="I264" s="16">
        <v>0</v>
      </c>
      <c r="J264" s="15">
        <v>1125</v>
      </c>
      <c r="K264" s="15">
        <v>1675</v>
      </c>
      <c r="L264" s="18">
        <v>0</v>
      </c>
      <c r="M264" s="21">
        <f>VLOOKUP($K264,'[4]blood tubes 2017'!$D$1:$L$647,8,FALSE)</f>
        <v>0</v>
      </c>
      <c r="N264" s="15">
        <v>0</v>
      </c>
      <c r="O264" s="15" t="s">
        <v>119</v>
      </c>
      <c r="P264" s="23" t="s">
        <v>119</v>
      </c>
      <c r="Q264" s="16">
        <v>0</v>
      </c>
      <c r="R264" s="23" t="s">
        <v>111</v>
      </c>
      <c r="S264" s="23"/>
      <c r="T264" s="23" t="s">
        <v>129</v>
      </c>
      <c r="U264" s="23" t="s">
        <v>150</v>
      </c>
      <c r="V264" s="23" t="s">
        <v>114</v>
      </c>
      <c r="W264" s="16">
        <f>AI264/AG264</f>
        <v>0.94936708860759489</v>
      </c>
      <c r="X264" s="23" t="s">
        <v>115</v>
      </c>
      <c r="Y264" s="23" t="s">
        <v>110</v>
      </c>
      <c r="Z264" s="23">
        <v>3</v>
      </c>
      <c r="AA264" s="23"/>
      <c r="AB264" s="23"/>
      <c r="AC264" s="23"/>
      <c r="AD264" s="23"/>
      <c r="AE264" s="23" t="s">
        <v>123</v>
      </c>
      <c r="AF264" s="23" t="s">
        <v>123</v>
      </c>
      <c r="AG264" s="23">
        <f>AH264-AI264</f>
        <v>79</v>
      </c>
      <c r="AH264" s="23">
        <v>154</v>
      </c>
      <c r="AI264" s="23">
        <v>75</v>
      </c>
      <c r="AJ264" s="23"/>
      <c r="AK264" s="23">
        <v>18</v>
      </c>
      <c r="AL264" s="23">
        <v>0</v>
      </c>
      <c r="AM264" s="23">
        <v>0</v>
      </c>
      <c r="AN264" s="23">
        <v>0</v>
      </c>
      <c r="AO264" s="23">
        <v>0</v>
      </c>
      <c r="AP264" s="23">
        <f>SUM(AL264:AN264)</f>
        <v>0</v>
      </c>
      <c r="AQ264" s="23">
        <v>1.6240000000000001</v>
      </c>
      <c r="AR264" s="23">
        <f>AP264-1.472</f>
        <v>-1.472</v>
      </c>
      <c r="AS264" s="23">
        <f>AQ264-1.472</f>
        <v>0.15200000000000014</v>
      </c>
      <c r="AT264" s="23" t="s">
        <v>234</v>
      </c>
      <c r="AU264" s="23"/>
      <c r="AV264" s="23"/>
      <c r="AW264" s="23">
        <f>IF(AX264&gt;0,1,0)</f>
        <v>1</v>
      </c>
      <c r="AX264" s="23">
        <f>SUM(BA264,BM264,CT264)</f>
        <v>4</v>
      </c>
      <c r="AY264" s="25">
        <f>SUM(BB264,BN264,CV264)</f>
        <v>447.36842105263116</v>
      </c>
      <c r="AZ264" s="16">
        <f>IF(BA264&gt;0,1,0)</f>
        <v>1</v>
      </c>
      <c r="BA264" s="23">
        <f>SUM(BC264,BF264,BI264)</f>
        <v>3</v>
      </c>
      <c r="BB264" s="23">
        <f>SUM(BE264,BH264,BK264)</f>
        <v>394.73684210526278</v>
      </c>
      <c r="BC264" s="16">
        <v>1</v>
      </c>
      <c r="BD264" s="23">
        <v>18</v>
      </c>
      <c r="BE264" s="23">
        <f>BD264/AS264</f>
        <v>118.42105263157885</v>
      </c>
      <c r="BF264" s="16">
        <v>1</v>
      </c>
      <c r="BG264" s="23">
        <v>40</v>
      </c>
      <c r="BH264" s="23">
        <f>BG264/AS264</f>
        <v>263.15789473684185</v>
      </c>
      <c r="BI264" s="16">
        <v>1</v>
      </c>
      <c r="BJ264" s="23">
        <v>2</v>
      </c>
      <c r="BK264" s="23">
        <f>BJ264/AS264</f>
        <v>13.157894736842094</v>
      </c>
      <c r="BL264" s="16">
        <f>IF(BM264&gt;0,1,0)</f>
        <v>1</v>
      </c>
      <c r="BM264" s="16">
        <f>SUM(BR264,BU264,BX264,CA264,CD264,CG264,CJ264,CM264,CP264)</f>
        <v>1</v>
      </c>
      <c r="BN264" s="16">
        <f>SUM(BW264,BZ264,CC264,CF264,CI264,CL264,CO264,CR264,BT264)</f>
        <v>52.631578947368375</v>
      </c>
      <c r="BO264" s="16">
        <f>IF(BP264&gt;0,1,0)</f>
        <v>1</v>
      </c>
      <c r="BP264" s="16">
        <f>SUM(BU264,BX264,CA264,CD264,BR264)</f>
        <v>1</v>
      </c>
      <c r="BQ264" s="16">
        <f>SUM(BZ264,CC264,CF264,BT264,BW264)</f>
        <v>52.631578947368375</v>
      </c>
      <c r="BR264" s="16">
        <v>1</v>
      </c>
      <c r="BS264" s="23">
        <v>8</v>
      </c>
      <c r="BT264" s="23">
        <f>BS264/AS264</f>
        <v>52.631578947368375</v>
      </c>
      <c r="BU264" s="16">
        <v>0</v>
      </c>
      <c r="BV264" s="23">
        <v>0</v>
      </c>
      <c r="BW264" s="16">
        <f>BV264/AS264</f>
        <v>0</v>
      </c>
      <c r="BX264" s="16">
        <v>0</v>
      </c>
      <c r="BY264" s="23">
        <v>0</v>
      </c>
      <c r="BZ264" s="16">
        <f>BY264/AS264</f>
        <v>0</v>
      </c>
      <c r="CA264" s="16">
        <v>0</v>
      </c>
      <c r="CB264" s="23">
        <v>0</v>
      </c>
      <c r="CC264" s="23">
        <f>CB264/AS264</f>
        <v>0</v>
      </c>
      <c r="CD264" s="23">
        <v>0</v>
      </c>
      <c r="CE264" s="23">
        <v>0</v>
      </c>
      <c r="CF264" s="23">
        <f>CE264/AS264</f>
        <v>0</v>
      </c>
      <c r="CG264" s="23">
        <v>0</v>
      </c>
      <c r="CH264" s="23">
        <v>0</v>
      </c>
      <c r="CI264" s="23">
        <f>CH264/AS264</f>
        <v>0</v>
      </c>
      <c r="CJ264" s="23"/>
      <c r="CK264" s="23"/>
      <c r="CL264" s="23"/>
      <c r="CM264" s="23">
        <v>0</v>
      </c>
      <c r="CN264" s="23">
        <v>0</v>
      </c>
      <c r="CO264" s="23">
        <f>CN264/AS264</f>
        <v>0</v>
      </c>
      <c r="CP264" s="23">
        <v>0</v>
      </c>
      <c r="CQ264" s="23">
        <v>0</v>
      </c>
      <c r="CR264" s="23">
        <f>CQ264/AS264</f>
        <v>0</v>
      </c>
      <c r="CS264" s="16">
        <f>IF(CT264&gt;0,1,0)</f>
        <v>0</v>
      </c>
      <c r="CT264" s="16">
        <f>SUM(CW264,CZ264,DC264)</f>
        <v>0</v>
      </c>
      <c r="CV264" s="23">
        <f>SUM(CY264,DB264,DE264)</f>
        <v>0</v>
      </c>
      <c r="CW264" s="16">
        <v>0</v>
      </c>
      <c r="CX264" s="23">
        <v>0</v>
      </c>
      <c r="CY264" s="23">
        <f>CX264/AS264</f>
        <v>0</v>
      </c>
      <c r="CZ264" s="23">
        <v>0</v>
      </c>
      <c r="DA264" s="23">
        <v>0</v>
      </c>
      <c r="DB264" s="23">
        <f>DA264/AS264</f>
        <v>0</v>
      </c>
      <c r="DC264" s="23">
        <v>0</v>
      </c>
      <c r="DD264" s="23">
        <v>0</v>
      </c>
      <c r="DE264" s="23">
        <f>DD264/AS264</f>
        <v>0</v>
      </c>
      <c r="DF264" s="16" t="e">
        <f>VLOOKUP(K264,'[3]RNA Seq summary tables'!$V$3:$V$99,1,FALSE)</f>
        <v>#N/A</v>
      </c>
      <c r="DI264" s="23">
        <v>71</v>
      </c>
      <c r="DJ264" s="23"/>
      <c r="DK264" s="23">
        <v>20</v>
      </c>
      <c r="DL264" s="23"/>
      <c r="DM264" s="23">
        <v>9</v>
      </c>
      <c r="DN264" s="23"/>
      <c r="DO264" s="23"/>
      <c r="DP264" s="23"/>
      <c r="DQ264" s="23"/>
      <c r="DR264" s="23">
        <f>SUM(DI264:DQ264)</f>
        <v>100</v>
      </c>
      <c r="DS264" s="23"/>
      <c r="DT264" s="25"/>
      <c r="DU264" s="25"/>
      <c r="DV264" s="25"/>
      <c r="DW264" s="25"/>
      <c r="DX264" s="25"/>
      <c r="DY264" s="25"/>
      <c r="DZ264" s="25"/>
      <c r="EA264" s="25"/>
      <c r="EB264" s="25"/>
      <c r="EC264" s="25"/>
      <c r="ED264" s="25"/>
      <c r="EE264" s="25"/>
      <c r="JO264" s="18"/>
    </row>
    <row r="265" spans="2:288" x14ac:dyDescent="0.2">
      <c r="B265" s="16">
        <v>2017</v>
      </c>
      <c r="C265" s="20">
        <v>42898</v>
      </c>
      <c r="D265" s="20" t="str">
        <f>CONCATENATE(J265,"-",C265)</f>
        <v>1127-42898</v>
      </c>
      <c r="E265" s="20" t="str">
        <f>CONCATENATE(T265,"-",U265,"-",C265)</f>
        <v>HW2-F5-42898</v>
      </c>
      <c r="F265" s="20" t="s">
        <v>106</v>
      </c>
      <c r="G265" s="20" t="s">
        <v>107</v>
      </c>
      <c r="I265" s="16">
        <v>0</v>
      </c>
      <c r="J265" s="21">
        <v>1127</v>
      </c>
      <c r="K265" s="21">
        <v>1678</v>
      </c>
      <c r="L265" s="18">
        <v>0</v>
      </c>
      <c r="M265" s="21">
        <f>VLOOKUP($K265,'[4]blood tubes 2017'!$D$1:$L$647,8,FALSE)</f>
        <v>0</v>
      </c>
      <c r="N265" s="15">
        <v>0</v>
      </c>
      <c r="O265" s="15" t="s">
        <v>119</v>
      </c>
      <c r="P265" s="16" t="s">
        <v>119</v>
      </c>
      <c r="Q265" s="16">
        <v>0</v>
      </c>
      <c r="R265" s="16" t="s">
        <v>111</v>
      </c>
      <c r="T265" s="16" t="s">
        <v>129</v>
      </c>
      <c r="U265" s="16" t="s">
        <v>185</v>
      </c>
      <c r="V265" s="16" t="s">
        <v>114</v>
      </c>
      <c r="W265" s="16">
        <f>AI265/AG265</f>
        <v>0.83333333333333337</v>
      </c>
      <c r="X265" s="16" t="s">
        <v>115</v>
      </c>
      <c r="Y265" s="16" t="s">
        <v>110</v>
      </c>
      <c r="Z265" s="16">
        <v>3</v>
      </c>
      <c r="AE265" s="16" t="s">
        <v>116</v>
      </c>
      <c r="AF265" s="16" t="s">
        <v>116</v>
      </c>
      <c r="AG265" s="16">
        <f>AH265-AI265</f>
        <v>96</v>
      </c>
      <c r="AH265" s="16">
        <v>176</v>
      </c>
      <c r="AI265" s="16">
        <v>80</v>
      </c>
      <c r="AK265" s="16">
        <v>24</v>
      </c>
      <c r="AL265" s="16">
        <v>1</v>
      </c>
      <c r="AM265" s="16">
        <v>0</v>
      </c>
      <c r="AN265" s="16">
        <v>0</v>
      </c>
      <c r="AO265" s="16">
        <v>1</v>
      </c>
      <c r="AP265" s="16">
        <f>SUM(AL265:AN265)</f>
        <v>1</v>
      </c>
      <c r="AQ265" s="16">
        <v>1.7010000000000001</v>
      </c>
      <c r="AR265" s="16">
        <f>AP265-1.472</f>
        <v>-0.47199999999999998</v>
      </c>
      <c r="AS265" s="16">
        <f>AQ265-1.472</f>
        <v>0.22900000000000009</v>
      </c>
      <c r="AT265" s="16" t="s">
        <v>234</v>
      </c>
      <c r="AW265" s="16">
        <f>IF(AX265&gt;0,1,0)</f>
        <v>1</v>
      </c>
      <c r="AX265" s="16">
        <f>SUM(BA265,BM265,CT265)</f>
        <v>2</v>
      </c>
      <c r="AY265" s="18">
        <f>SUM(BB265,BN265,CV265)</f>
        <v>63296.943231441022</v>
      </c>
      <c r="AZ265" s="16">
        <f>IF(BA265&gt;0,1,0)</f>
        <v>1</v>
      </c>
      <c r="BA265" s="16">
        <f>SUM(BC265,BF265,BI265)</f>
        <v>1</v>
      </c>
      <c r="BB265" s="16">
        <f>SUM(BE265,BH265,BK265)</f>
        <v>63292.576419213947</v>
      </c>
      <c r="BC265" s="16">
        <v>0</v>
      </c>
      <c r="BD265" s="16">
        <v>0</v>
      </c>
      <c r="BE265" s="16">
        <f>BD265/AS265</f>
        <v>0</v>
      </c>
      <c r="BF265" s="16">
        <v>1</v>
      </c>
      <c r="BG265" s="23">
        <v>14494</v>
      </c>
      <c r="BH265" s="16">
        <f>BG265/AS265</f>
        <v>63292.576419213947</v>
      </c>
      <c r="BI265" s="16">
        <v>0</v>
      </c>
      <c r="BJ265" s="16">
        <v>0</v>
      </c>
      <c r="BK265" s="16">
        <f>BJ265/AS265</f>
        <v>0</v>
      </c>
      <c r="BL265" s="16">
        <f>IF(BM265&gt;0,1,0)</f>
        <v>1</v>
      </c>
      <c r="BM265" s="16">
        <f>SUM(BR265,BU265,BX265,CA265,CD265,CG265,CJ265,CM265,CP265)</f>
        <v>1</v>
      </c>
      <c r="BN265" s="16">
        <f>SUM(BW265,BZ265,CC265,CF265,CI265,CL265,CO265,CR265,BT265)</f>
        <v>4.3668122270742344</v>
      </c>
      <c r="BO265" s="16">
        <f>IF(BP265&gt;0,1,0)</f>
        <v>1</v>
      </c>
      <c r="BP265" s="16">
        <f>SUM(BU265,BX265,CA265,CD265,BR265)</f>
        <v>1</v>
      </c>
      <c r="BQ265" s="16">
        <f>SUM(BZ265,CC265,CF265,BT265,BW265)</f>
        <v>4.3668122270742344</v>
      </c>
      <c r="BR265" s="16">
        <v>1</v>
      </c>
      <c r="BS265" s="16">
        <v>1</v>
      </c>
      <c r="BT265" s="23">
        <f>BS265/AS265</f>
        <v>4.3668122270742344</v>
      </c>
      <c r="BU265" s="16">
        <v>0</v>
      </c>
      <c r="BV265" s="16">
        <v>0</v>
      </c>
      <c r="BW265" s="16">
        <f>BV265/AS265</f>
        <v>0</v>
      </c>
      <c r="BX265" s="16">
        <v>0</v>
      </c>
      <c r="BY265" s="16">
        <v>0</v>
      </c>
      <c r="BZ265" s="16">
        <f>BY265/AS265</f>
        <v>0</v>
      </c>
      <c r="CA265" s="16">
        <v>0</v>
      </c>
      <c r="CB265" s="16">
        <v>0</v>
      </c>
      <c r="CC265" s="16">
        <f>CB265/AS265</f>
        <v>0</v>
      </c>
      <c r="CD265" s="23">
        <v>0</v>
      </c>
      <c r="CE265" s="16">
        <v>0</v>
      </c>
      <c r="CF265" s="16">
        <f>CE265/AS265</f>
        <v>0</v>
      </c>
      <c r="CG265" s="16">
        <v>0</v>
      </c>
      <c r="CH265" s="16">
        <v>0</v>
      </c>
      <c r="CI265" s="16">
        <f>CH265/AS265</f>
        <v>0</v>
      </c>
      <c r="CM265" s="16">
        <v>0</v>
      </c>
      <c r="CN265" s="16">
        <v>0</v>
      </c>
      <c r="CO265" s="16">
        <f>CN265/AS265</f>
        <v>0</v>
      </c>
      <c r="CP265" s="16">
        <v>0</v>
      </c>
      <c r="CQ265" s="16">
        <v>0</v>
      </c>
      <c r="CR265" s="16">
        <f>CQ265/AS265</f>
        <v>0</v>
      </c>
      <c r="CS265" s="16">
        <f>IF(CT265&gt;0,1,0)</f>
        <v>0</v>
      </c>
      <c r="CT265" s="16">
        <f>SUM(CW265,CZ265,DC265)</f>
        <v>0</v>
      </c>
      <c r="CV265" s="16">
        <f>SUM(CY265,DB265,DE265)</f>
        <v>0</v>
      </c>
      <c r="CW265" s="16">
        <v>0</v>
      </c>
      <c r="CX265" s="16">
        <v>0</v>
      </c>
      <c r="CY265" s="16">
        <f>CX265/AS265</f>
        <v>0</v>
      </c>
      <c r="CZ265" s="16">
        <v>0</v>
      </c>
      <c r="DA265" s="16">
        <v>0</v>
      </c>
      <c r="DB265" s="16">
        <f>DA265/AS265</f>
        <v>0</v>
      </c>
      <c r="DC265" s="16">
        <v>0</v>
      </c>
      <c r="DD265" s="16">
        <v>0</v>
      </c>
      <c r="DE265" s="16">
        <f>DD265/AS265</f>
        <v>0</v>
      </c>
      <c r="DF265" s="16" t="e">
        <f>VLOOKUP(K265,'[3]RNA Seq summary tables'!$V$3:$V$99,1,FALSE)</f>
        <v>#N/A</v>
      </c>
      <c r="DI265" s="16">
        <v>67</v>
      </c>
      <c r="DK265" s="16">
        <v>23</v>
      </c>
      <c r="DM265" s="16">
        <v>10</v>
      </c>
      <c r="DO265" s="16">
        <v>0</v>
      </c>
      <c r="DQ265" s="16">
        <v>0</v>
      </c>
      <c r="DR265" s="16">
        <f>SUM(DI265:DQ265)</f>
        <v>100</v>
      </c>
    </row>
    <row r="266" spans="2:288" x14ac:dyDescent="0.2">
      <c r="B266" s="16">
        <v>2017</v>
      </c>
      <c r="C266" s="20">
        <v>42898</v>
      </c>
      <c r="D266" s="20" t="str">
        <f>CONCATENATE(J266,"-",C266)</f>
        <v>1129-42898</v>
      </c>
      <c r="E266" s="20" t="str">
        <f>CONCATENATE(T266,"-",U266,"-",C266)</f>
        <v>HW1-G1-42898</v>
      </c>
      <c r="F266" s="20" t="s">
        <v>106</v>
      </c>
      <c r="G266" s="20" t="s">
        <v>107</v>
      </c>
      <c r="I266" s="16">
        <v>0</v>
      </c>
      <c r="J266" s="21">
        <v>1129</v>
      </c>
      <c r="K266" s="21">
        <v>1680</v>
      </c>
      <c r="L266" s="18">
        <v>0</v>
      </c>
      <c r="M266" s="21">
        <f>VLOOKUP($K266,'[4]blood tubes 2017'!$D$1:$L$647,8,FALSE)</f>
        <v>0</v>
      </c>
      <c r="N266" s="15">
        <v>0</v>
      </c>
      <c r="O266" s="15" t="s">
        <v>119</v>
      </c>
      <c r="P266" s="16" t="s">
        <v>119</v>
      </c>
      <c r="Q266" s="16">
        <v>0</v>
      </c>
      <c r="R266" s="16" t="s">
        <v>111</v>
      </c>
      <c r="T266" s="16" t="s">
        <v>133</v>
      </c>
      <c r="U266" s="16" t="s">
        <v>155</v>
      </c>
      <c r="V266" s="16" t="s">
        <v>114</v>
      </c>
      <c r="W266" s="16">
        <f>AI266/AG266</f>
        <v>0.79591836734693877</v>
      </c>
      <c r="X266" s="16" t="s">
        <v>121</v>
      </c>
      <c r="Y266" s="16" t="s">
        <v>110</v>
      </c>
      <c r="Z266" s="16">
        <v>3</v>
      </c>
      <c r="AA266" s="16" t="s">
        <v>119</v>
      </c>
      <c r="AB266" s="16" t="s">
        <v>240</v>
      </c>
      <c r="AC266" s="16" t="s">
        <v>116</v>
      </c>
      <c r="AD266" s="16" t="s">
        <v>116</v>
      </c>
      <c r="AG266" s="16">
        <f>AH266-AI266</f>
        <v>98</v>
      </c>
      <c r="AH266" s="16">
        <v>176</v>
      </c>
      <c r="AI266" s="16">
        <v>78</v>
      </c>
      <c r="AK266" s="16">
        <v>30</v>
      </c>
      <c r="AL266" s="16">
        <v>1</v>
      </c>
      <c r="AM266" s="16">
        <v>0</v>
      </c>
      <c r="AN266" s="16">
        <v>0</v>
      </c>
      <c r="AO266" s="16">
        <v>1</v>
      </c>
      <c r="AP266" s="16">
        <f>SUM(AL266:AN266)</f>
        <v>1</v>
      </c>
      <c r="AQ266" s="16">
        <v>1.7150000000000001</v>
      </c>
      <c r="AR266" s="16">
        <f>AP266-1.472</f>
        <v>-0.47199999999999998</v>
      </c>
      <c r="AS266" s="16">
        <f>AQ266-1.472</f>
        <v>0.2430000000000001</v>
      </c>
      <c r="AT266" s="16" t="s">
        <v>119</v>
      </c>
      <c r="AW266" s="16">
        <f>IF(AX266&gt;0,1,0)</f>
        <v>1</v>
      </c>
      <c r="AX266" s="16">
        <f>SUM(BA266,BM266,CT266)</f>
        <v>2</v>
      </c>
      <c r="AY266" s="18">
        <f>SUM(BB266,BN266,CV266)</f>
        <v>12061.728395061724</v>
      </c>
      <c r="AZ266" s="16">
        <f>IF(BA266&gt;0,1,0)</f>
        <v>1</v>
      </c>
      <c r="BA266" s="16">
        <f>SUM(BC266,BF266,BI266)</f>
        <v>2</v>
      </c>
      <c r="BB266" s="16">
        <f>SUM(BE266,BH266,BK266)</f>
        <v>12061.728395061724</v>
      </c>
      <c r="BC266" s="16">
        <v>0</v>
      </c>
      <c r="BD266" s="16">
        <v>0</v>
      </c>
      <c r="BE266" s="16">
        <f>BD266/AS266</f>
        <v>0</v>
      </c>
      <c r="BF266" s="16">
        <v>1</v>
      </c>
      <c r="BG266" s="23">
        <v>2917</v>
      </c>
      <c r="BH266" s="16">
        <f>BG266/AS266</f>
        <v>12004.115226337444</v>
      </c>
      <c r="BI266" s="16">
        <v>1</v>
      </c>
      <c r="BJ266" s="16">
        <v>14</v>
      </c>
      <c r="BK266" s="16">
        <f>BJ266/AS266</f>
        <v>57.613168724279809</v>
      </c>
      <c r="BL266" s="16">
        <f>IF(BM266&gt;0,1,0)</f>
        <v>0</v>
      </c>
      <c r="BM266" s="16">
        <f>SUM(BR266,BU266,BX266,CA266,CD266,CG266,CJ266,CM266,CP266)</f>
        <v>0</v>
      </c>
      <c r="BN266" s="16">
        <f>SUM(BW266,BZ266,CC266,CF266,CI266,CL266,CO266,CR266,BT266)</f>
        <v>0</v>
      </c>
      <c r="BO266" s="16">
        <f>IF(BP266&gt;0,1,0)</f>
        <v>0</v>
      </c>
      <c r="BP266" s="16">
        <f>SUM(BU266,BX266,CA266,CD266,BR266)</f>
        <v>0</v>
      </c>
      <c r="BQ266" s="16">
        <f>SUM(BZ266,CC266,CF266,BT266,BW266)</f>
        <v>0</v>
      </c>
      <c r="BR266" s="16">
        <v>0</v>
      </c>
      <c r="BS266" s="16">
        <v>0</v>
      </c>
      <c r="BT266" s="23">
        <f>BS266/AS266</f>
        <v>0</v>
      </c>
      <c r="BU266" s="16">
        <v>0</v>
      </c>
      <c r="BV266" s="16">
        <v>0</v>
      </c>
      <c r="BW266" s="16">
        <f>BV266/AS266</f>
        <v>0</v>
      </c>
      <c r="BX266" s="16">
        <v>0</v>
      </c>
      <c r="BY266" s="16">
        <v>0</v>
      </c>
      <c r="BZ266" s="16">
        <f>BY266/AS266</f>
        <v>0</v>
      </c>
      <c r="CA266" s="16">
        <v>0</v>
      </c>
      <c r="CB266" s="16">
        <v>0</v>
      </c>
      <c r="CC266" s="16">
        <f>CB266/AS266</f>
        <v>0</v>
      </c>
      <c r="CD266" s="23">
        <v>0</v>
      </c>
      <c r="CE266" s="16">
        <v>0</v>
      </c>
      <c r="CF266" s="16">
        <f>CE266/AS266</f>
        <v>0</v>
      </c>
      <c r="CG266" s="16">
        <v>0</v>
      </c>
      <c r="CH266" s="16">
        <v>0</v>
      </c>
      <c r="CI266" s="16">
        <f>CH266/AS266</f>
        <v>0</v>
      </c>
      <c r="CM266" s="16">
        <v>0</v>
      </c>
      <c r="CN266" s="16">
        <v>0</v>
      </c>
      <c r="CO266" s="16">
        <f>CN266/AS266</f>
        <v>0</v>
      </c>
      <c r="CP266" s="16">
        <v>0</v>
      </c>
      <c r="CQ266" s="16">
        <v>0</v>
      </c>
      <c r="CR266" s="16">
        <f>CQ266/AS266</f>
        <v>0</v>
      </c>
      <c r="CS266" s="16">
        <f>IF(CT266&gt;0,1,0)</f>
        <v>0</v>
      </c>
      <c r="CT266" s="16">
        <f>SUM(CW266,CZ266,DC266)</f>
        <v>0</v>
      </c>
      <c r="CV266" s="16">
        <f>SUM(CY266,DB266,DE266)</f>
        <v>0</v>
      </c>
      <c r="CW266" s="16">
        <v>0</v>
      </c>
      <c r="CX266" s="16">
        <v>0</v>
      </c>
      <c r="CY266" s="16">
        <f>CX266/AS266</f>
        <v>0</v>
      </c>
      <c r="CZ266" s="16">
        <v>0</v>
      </c>
      <c r="DA266" s="16">
        <v>0</v>
      </c>
      <c r="DB266" s="16">
        <f>DA266/AS266</f>
        <v>0</v>
      </c>
      <c r="DC266" s="16">
        <v>0</v>
      </c>
      <c r="DD266" s="16">
        <v>0</v>
      </c>
      <c r="DE266" s="16">
        <f>DD266/AS266</f>
        <v>0</v>
      </c>
      <c r="DF266" s="16" t="e">
        <f>VLOOKUP(K266,'[3]RNA Seq summary tables'!$V$3:$V$99,1,FALSE)</f>
        <v>#N/A</v>
      </c>
      <c r="DI266" s="16">
        <v>21</v>
      </c>
      <c r="DK266" s="16">
        <v>75</v>
      </c>
      <c r="DM266" s="16">
        <v>4</v>
      </c>
      <c r="DO266" s="16">
        <v>0</v>
      </c>
      <c r="DQ266" s="16">
        <v>0</v>
      </c>
      <c r="DR266" s="16">
        <f>SUM(DI266:DQ266)</f>
        <v>100</v>
      </c>
    </row>
    <row r="267" spans="2:288" ht="16" x14ac:dyDescent="0.2">
      <c r="B267" s="16">
        <v>2017</v>
      </c>
      <c r="C267" s="20">
        <v>42931</v>
      </c>
      <c r="D267" s="20" t="str">
        <f>CONCATENATE(J267,"-",C267)</f>
        <v>1129-42931</v>
      </c>
      <c r="E267" s="37" t="str">
        <f>CONCATENATE(T267,"-",U267,"-",C267)</f>
        <v>HW1-F1-42931</v>
      </c>
      <c r="F267" s="20" t="s">
        <v>106</v>
      </c>
      <c r="G267" s="20" t="s">
        <v>107</v>
      </c>
      <c r="I267" s="16">
        <v>0</v>
      </c>
      <c r="J267" s="21">
        <v>1129</v>
      </c>
      <c r="K267" s="21">
        <v>1923</v>
      </c>
      <c r="L267" s="18">
        <v>0</v>
      </c>
      <c r="M267" s="21">
        <f>VLOOKUP($K267,'[4]blood tubes 2017'!$D$1:$L$647,8,FALSE)</f>
        <v>0</v>
      </c>
      <c r="N267" s="15">
        <v>0</v>
      </c>
      <c r="O267" s="15" t="s">
        <v>119</v>
      </c>
      <c r="P267" s="16" t="s">
        <v>119</v>
      </c>
      <c r="Q267" s="16">
        <v>0</v>
      </c>
      <c r="R267" s="16">
        <v>33</v>
      </c>
      <c r="T267" s="16" t="s">
        <v>133</v>
      </c>
      <c r="U267" s="16" t="s">
        <v>217</v>
      </c>
      <c r="V267" s="16" t="s">
        <v>114</v>
      </c>
      <c r="W267" s="16">
        <f>AI267/AG267</f>
        <v>0.84210526315789469</v>
      </c>
      <c r="X267" s="16" t="s">
        <v>121</v>
      </c>
      <c r="Y267" s="16" t="s">
        <v>110</v>
      </c>
      <c r="Z267" s="16">
        <v>3</v>
      </c>
      <c r="AA267" s="16" t="s">
        <v>119</v>
      </c>
      <c r="AB267" s="16" t="s">
        <v>240</v>
      </c>
      <c r="AC267" s="16" t="s">
        <v>123</v>
      </c>
      <c r="AD267" s="16" t="s">
        <v>123</v>
      </c>
      <c r="AG267" s="16">
        <f>AH267-AI267</f>
        <v>95</v>
      </c>
      <c r="AH267" s="16">
        <v>175</v>
      </c>
      <c r="AI267" s="16">
        <v>80</v>
      </c>
      <c r="AK267" s="16">
        <v>26</v>
      </c>
      <c r="AL267" s="16">
        <v>1</v>
      </c>
      <c r="AM267" s="16">
        <v>0</v>
      </c>
      <c r="AN267" s="16">
        <v>0</v>
      </c>
      <c r="AO267" s="16">
        <v>1</v>
      </c>
      <c r="AP267" s="16">
        <f>SUM(AL267:AN267)</f>
        <v>1</v>
      </c>
      <c r="AQ267" s="18">
        <v>3.5550000000000002</v>
      </c>
      <c r="AR267" s="16">
        <f>AP267-1.472-1.243</f>
        <v>-1.7150000000000001</v>
      </c>
      <c r="AS267" s="16">
        <f>AQ267-1.472-1.243</f>
        <v>0.84000000000000008</v>
      </c>
      <c r="AT267" s="16" t="str">
        <f>VLOOKUP(E267,[2]Current!$A$1:$W$435,7,FALSE)</f>
        <v>TE</v>
      </c>
      <c r="AU267" s="16" t="s">
        <v>1288</v>
      </c>
      <c r="AV267" s="23"/>
      <c r="AW267" s="128">
        <f>IF(AX267&gt;0,1,0)</f>
        <v>1</v>
      </c>
      <c r="AX267" s="128">
        <f>SUM(BA267,BM267,CU267)</f>
        <v>2</v>
      </c>
      <c r="AY267" s="128">
        <f>SUM(BB267,BN267,CV267)</f>
        <v>25</v>
      </c>
      <c r="AZ267" s="128">
        <f>IF(BA267&gt;0,1,0)</f>
        <v>1</v>
      </c>
      <c r="BA267" s="128">
        <f>SUM(BC267+BF267+BI267)</f>
        <v>2</v>
      </c>
      <c r="BB267" s="128">
        <f>SUM(BE267,BH267,BK267)</f>
        <v>25</v>
      </c>
      <c r="BC267" s="130">
        <f>IF(BD267&gt;0,1,0)</f>
        <v>0</v>
      </c>
      <c r="BD267" s="128">
        <f>VLOOKUP($E267,[2]Current!$A:$AC,26,FALSE)</f>
        <v>0</v>
      </c>
      <c r="BE267" s="128">
        <f>BD267/$AS267</f>
        <v>0</v>
      </c>
      <c r="BF267" s="130">
        <f>IF(BG267&gt;0,1,0)</f>
        <v>1</v>
      </c>
      <c r="BG267" s="175">
        <f>VLOOKUP($E267,[2]Current!$A:$AC,27,FALSE)</f>
        <v>8</v>
      </c>
      <c r="BH267" s="128">
        <f>BG267/$AS267</f>
        <v>9.5238095238095237</v>
      </c>
      <c r="BI267" s="130">
        <f>IF(BJ267&gt;0,1,0)</f>
        <v>1</v>
      </c>
      <c r="BJ267" s="128">
        <f>VLOOKUP($E267,[2]Current!$A:$AC,28,FALSE)</f>
        <v>13</v>
      </c>
      <c r="BK267" s="128">
        <f>BJ267/$AS267</f>
        <v>15.476190476190474</v>
      </c>
      <c r="BL267" s="128">
        <f>IF(BM267&gt;0,1,0)</f>
        <v>0</v>
      </c>
      <c r="BM267" s="128">
        <f>SUM(BR267,BU267,BX267,CA267,CD267)</f>
        <v>0</v>
      </c>
      <c r="BN267" s="131">
        <f>SUM(BT267,BW267,BZ267,CC267,CF267)</f>
        <v>0</v>
      </c>
      <c r="BO267" s="128">
        <f>IF(BP267&gt;0,1,0)</f>
        <v>0</v>
      </c>
      <c r="BP267" s="128">
        <f>BM267+CJ267</f>
        <v>0</v>
      </c>
      <c r="BQ267" s="128">
        <f>BN267+CL267</f>
        <v>0</v>
      </c>
      <c r="BR267" s="130">
        <f>IF(BS267&gt;0,1,0)</f>
        <v>0</v>
      </c>
      <c r="BS267" s="128">
        <f>VLOOKUP($E267,[2]Current!$A:$AC,12,FALSE)</f>
        <v>0</v>
      </c>
      <c r="BT267" s="175">
        <f>BS267/$AS267</f>
        <v>0</v>
      </c>
      <c r="BU267" s="130">
        <f>IF(BV267&gt;0,1,0)</f>
        <v>0</v>
      </c>
      <c r="BV267" s="128">
        <f>VLOOKUP($E267,[2]Current!$A:$AC,13,FALSE)</f>
        <v>0</v>
      </c>
      <c r="BW267" s="128">
        <f>BV267/$AS267</f>
        <v>0</v>
      </c>
      <c r="BX267" s="130">
        <f>IF(BY267&gt;0,1,0)</f>
        <v>0</v>
      </c>
      <c r="BY267" s="128">
        <f>VLOOKUP($E267,[2]Current!$A:$AC,14,FALSE)</f>
        <v>0</v>
      </c>
      <c r="BZ267" s="128">
        <f>BY267/$AS267</f>
        <v>0</v>
      </c>
      <c r="CA267" s="130">
        <f>IF(CB267&gt;0,1,0)</f>
        <v>0</v>
      </c>
      <c r="CB267" s="128">
        <f>VLOOKUP($E267,[2]Current!$A:$AC,15,FALSE)</f>
        <v>0</v>
      </c>
      <c r="CC267" s="128">
        <f>CB267/$AS267</f>
        <v>0</v>
      </c>
      <c r="CD267" s="176">
        <f>IF(CE267&gt;0,1,0)</f>
        <v>0</v>
      </c>
      <c r="CE267" s="128">
        <f>VLOOKUP($E267,[2]Current!$A:$AC,16,FALSE)</f>
        <v>0</v>
      </c>
      <c r="CF267" s="128">
        <f>CE267/$AS267</f>
        <v>0</v>
      </c>
      <c r="CG267" s="18"/>
      <c r="CH267" s="18"/>
      <c r="CI267" s="18"/>
      <c r="CJ267" s="130">
        <f>IF(CK267&gt;0,1,0)</f>
        <v>0</v>
      </c>
      <c r="CK267" s="128">
        <f>VLOOKUP($E267,[2]Current!$A:$AC,18,FALSE)</f>
        <v>0</v>
      </c>
      <c r="CL267" s="128">
        <f>CK267/$AS267</f>
        <v>0</v>
      </c>
      <c r="CS267" s="130">
        <f>IF(CU267&gt;0,1,0)</f>
        <v>0</v>
      </c>
      <c r="CU267" s="128">
        <f>VLOOKUP($E267,[2]Current!$A:$AC,17,FALSE)</f>
        <v>0</v>
      </c>
      <c r="CV267" s="128">
        <f>CU267/$AS267</f>
        <v>0</v>
      </c>
      <c r="CW267" s="18"/>
      <c r="CX267" s="18"/>
      <c r="CY267" s="18"/>
      <c r="DF267" s="16" t="e">
        <f>VLOOKUP(K267,'[3]RNA Seq summary tables'!$V$3:$V$99,1,FALSE)</f>
        <v>#N/A</v>
      </c>
      <c r="JR267" s="30"/>
      <c r="JS267" s="30"/>
      <c r="JT267" s="30"/>
      <c r="JU267" s="30"/>
      <c r="JV267" s="30"/>
      <c r="JW267" s="30"/>
      <c r="JX267" s="30"/>
      <c r="JY267" s="30"/>
      <c r="JZ267" s="30"/>
      <c r="KA267" s="30"/>
      <c r="KB267" s="30"/>
    </row>
    <row r="268" spans="2:288" x14ac:dyDescent="0.2">
      <c r="B268" s="18">
        <v>2017</v>
      </c>
      <c r="C268" s="114">
        <v>42904</v>
      </c>
      <c r="D268" s="71" t="str">
        <f>CONCATENATE(J268,"-",C268)</f>
        <v>1132-42904</v>
      </c>
      <c r="E268" s="20" t="str">
        <f>CONCATENATE(T268,"-",U268,"-",C268)</f>
        <v>BC2-D6-42904</v>
      </c>
      <c r="F268" s="20" t="s">
        <v>106</v>
      </c>
      <c r="G268" s="65" t="s">
        <v>107</v>
      </c>
      <c r="H268" s="25"/>
      <c r="I268" s="16">
        <v>0</v>
      </c>
      <c r="J268" s="42">
        <v>1132</v>
      </c>
      <c r="K268" s="42">
        <v>1677</v>
      </c>
      <c r="L268" s="18">
        <v>0</v>
      </c>
      <c r="M268" s="21">
        <f>VLOOKUP($K268,'[4]blood tubes 2017'!$D$1:$L$647,8,FALSE)</f>
        <v>0</v>
      </c>
      <c r="N268" s="15">
        <v>0</v>
      </c>
      <c r="O268" s="15" t="s">
        <v>119</v>
      </c>
      <c r="P268" s="25" t="s">
        <v>119</v>
      </c>
      <c r="Q268" s="16">
        <v>0</v>
      </c>
      <c r="R268" s="25" t="s">
        <v>111</v>
      </c>
      <c r="S268" s="25"/>
      <c r="T268" s="25" t="s">
        <v>154</v>
      </c>
      <c r="U268" s="25" t="s">
        <v>186</v>
      </c>
      <c r="V268" s="25" t="s">
        <v>114</v>
      </c>
      <c r="W268" s="16">
        <f>AI268/AG268</f>
        <v>0.85263157894736841</v>
      </c>
      <c r="X268" s="25" t="s">
        <v>115</v>
      </c>
      <c r="Y268" s="25" t="s">
        <v>110</v>
      </c>
      <c r="Z268" s="25">
        <v>3</v>
      </c>
      <c r="AA268" s="25"/>
      <c r="AB268" s="25"/>
      <c r="AC268" s="25"/>
      <c r="AD268" s="25"/>
      <c r="AE268" s="25" t="s">
        <v>116</v>
      </c>
      <c r="AF268" s="25" t="s">
        <v>116</v>
      </c>
      <c r="AG268" s="25">
        <f>AH268-AI268</f>
        <v>95</v>
      </c>
      <c r="AH268" s="25">
        <v>176</v>
      </c>
      <c r="AI268" s="25">
        <v>81</v>
      </c>
      <c r="AJ268" s="25"/>
      <c r="AK268" s="25">
        <v>24.5</v>
      </c>
      <c r="AL268" s="25">
        <v>0</v>
      </c>
      <c r="AM268" s="25">
        <v>0</v>
      </c>
      <c r="AN268" s="25">
        <v>0</v>
      </c>
      <c r="AO268" s="25">
        <v>0</v>
      </c>
      <c r="AP268" s="25">
        <f>SUM(AL268:AN268)</f>
        <v>0</v>
      </c>
      <c r="AQ268" s="25">
        <v>1.633</v>
      </c>
      <c r="AR268" s="25">
        <f>AP268-1.472</f>
        <v>-1.472</v>
      </c>
      <c r="AS268" s="25">
        <f>AQ268-1.472</f>
        <v>0.16100000000000003</v>
      </c>
      <c r="AT268" s="25" t="s">
        <v>234</v>
      </c>
      <c r="AU268" s="25"/>
      <c r="AV268" s="25"/>
      <c r="AW268" s="25">
        <f>IF(AX268&gt;0,1,0)</f>
        <v>1</v>
      </c>
      <c r="AX268" s="25">
        <f>SUM(BA268,BM268,CT268)</f>
        <v>3</v>
      </c>
      <c r="AY268" s="25">
        <f>SUM(BB268,BN268,CV268)</f>
        <v>3204.9689440993784</v>
      </c>
      <c r="AZ268" s="18">
        <f>IF(BA268&gt;0,1,0)</f>
        <v>1</v>
      </c>
      <c r="BA268" s="25">
        <f>SUM(BC268,BF268,BI268)</f>
        <v>3</v>
      </c>
      <c r="BB268" s="25">
        <f>SUM(BE268,BH268,BK268)</f>
        <v>3204.9689440993784</v>
      </c>
      <c r="BC268" s="18">
        <v>1</v>
      </c>
      <c r="BD268" s="25">
        <v>10</v>
      </c>
      <c r="BE268" s="25">
        <f>BD268/AS268</f>
        <v>62.111801242236012</v>
      </c>
      <c r="BF268" s="18">
        <v>1</v>
      </c>
      <c r="BG268" s="25">
        <v>505</v>
      </c>
      <c r="BH268" s="25">
        <f>BG268/AS268</f>
        <v>3136.6459627329186</v>
      </c>
      <c r="BI268" s="18">
        <v>1</v>
      </c>
      <c r="BJ268" s="25">
        <v>1</v>
      </c>
      <c r="BK268" s="25">
        <f>BJ268/AS268</f>
        <v>6.2111801242236009</v>
      </c>
      <c r="BL268" s="16">
        <f>IF(BM268&gt;0,1,0)</f>
        <v>0</v>
      </c>
      <c r="BM268" s="16">
        <f>SUM(BR268,BU268,BX268,CA268,CD268,CG268,CJ268,CM268,CP268)</f>
        <v>0</v>
      </c>
      <c r="BN268" s="18">
        <f>SUM(BW268,BZ268,CC268,CF268,CI268,CL268,CO268,CR268,BT268)</f>
        <v>0</v>
      </c>
      <c r="BO268" s="18">
        <f>IF(BP268&gt;0,1,0)</f>
        <v>0</v>
      </c>
      <c r="BP268" s="18">
        <f>SUM(BU268,BX268,CA268,CD268,BR268)</f>
        <v>0</v>
      </c>
      <c r="BQ268" s="18">
        <f>SUM(BZ268,CC268,CF268,BT268,BW268)</f>
        <v>0</v>
      </c>
      <c r="BR268" s="18">
        <v>0</v>
      </c>
      <c r="BS268" s="25">
        <v>0</v>
      </c>
      <c r="BT268" s="25">
        <f>BS268/AS268</f>
        <v>0</v>
      </c>
      <c r="BU268" s="18">
        <v>0</v>
      </c>
      <c r="BV268" s="25">
        <v>0</v>
      </c>
      <c r="BW268" s="18">
        <f>BV268/AS268</f>
        <v>0</v>
      </c>
      <c r="BX268" s="18">
        <v>0</v>
      </c>
      <c r="BY268" s="25">
        <v>0</v>
      </c>
      <c r="BZ268" s="18">
        <f>BY268/AS268</f>
        <v>0</v>
      </c>
      <c r="CA268" s="18">
        <v>0</v>
      </c>
      <c r="CB268" s="25">
        <v>0</v>
      </c>
      <c r="CC268" s="25">
        <f>CB268/AS268</f>
        <v>0</v>
      </c>
      <c r="CD268" s="25">
        <v>0</v>
      </c>
      <c r="CE268" s="25">
        <v>0</v>
      </c>
      <c r="CF268" s="25">
        <f>CE268/AS268</f>
        <v>0</v>
      </c>
      <c r="CG268" s="25">
        <v>0</v>
      </c>
      <c r="CH268" s="25">
        <v>0</v>
      </c>
      <c r="CI268" s="25">
        <f>CH268/AS268</f>
        <v>0</v>
      </c>
      <c r="CJ268" s="25"/>
      <c r="CK268" s="25"/>
      <c r="CL268" s="25"/>
      <c r="CM268" s="25">
        <v>0</v>
      </c>
      <c r="CN268" s="25">
        <v>0</v>
      </c>
      <c r="CO268" s="25">
        <f>CN268/AS268</f>
        <v>0</v>
      </c>
      <c r="CP268" s="25">
        <v>0</v>
      </c>
      <c r="CQ268" s="25">
        <v>0</v>
      </c>
      <c r="CR268" s="25">
        <f>CQ268/AS268</f>
        <v>0</v>
      </c>
      <c r="CS268" s="18">
        <f>IF(CT268&gt;0,1,0)</f>
        <v>0</v>
      </c>
      <c r="CT268" s="18">
        <f>SUM(CW268,CZ268,DC268)</f>
        <v>0</v>
      </c>
      <c r="CU268" s="18"/>
      <c r="CV268" s="25">
        <f>SUM(CY268,DB268,DE268)</f>
        <v>0</v>
      </c>
      <c r="CW268" s="18">
        <v>0</v>
      </c>
      <c r="CX268" s="25">
        <v>0</v>
      </c>
      <c r="CY268" s="25">
        <f>CX268/AS268</f>
        <v>0</v>
      </c>
      <c r="CZ268" s="25">
        <v>0</v>
      </c>
      <c r="DA268" s="25">
        <v>0</v>
      </c>
      <c r="DB268" s="25">
        <f>DA268/AS268</f>
        <v>0</v>
      </c>
      <c r="DC268" s="25">
        <v>0</v>
      </c>
      <c r="DD268" s="25">
        <v>0</v>
      </c>
      <c r="DE268" s="25">
        <f>DD268/AS268</f>
        <v>0</v>
      </c>
      <c r="DF268" s="16" t="e">
        <f>VLOOKUP(K268,'[3]RNA Seq summary tables'!$V$3:$V$99,1,FALSE)</f>
        <v>#N/A</v>
      </c>
      <c r="DI268" s="25">
        <v>58</v>
      </c>
      <c r="DJ268" s="25"/>
      <c r="DK268" s="25">
        <v>31</v>
      </c>
      <c r="DL268" s="25"/>
      <c r="DM268" s="25">
        <v>11</v>
      </c>
      <c r="DN268" s="25"/>
      <c r="DO268" s="25">
        <v>0</v>
      </c>
      <c r="DP268" s="25"/>
      <c r="DQ268" s="25">
        <v>0</v>
      </c>
      <c r="DR268" s="25">
        <f>SUM(DI268:DQ268)</f>
        <v>100</v>
      </c>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25"/>
      <c r="FG268" s="25"/>
      <c r="FH268" s="25"/>
      <c r="FI268" s="25"/>
      <c r="FJ268" s="25"/>
      <c r="FK268" s="25"/>
      <c r="FL268" s="25"/>
      <c r="FM268" s="25"/>
      <c r="FN268" s="25"/>
      <c r="FO268" s="25"/>
      <c r="FP268" s="25"/>
      <c r="FQ268" s="25"/>
      <c r="FR268" s="25"/>
      <c r="FS268" s="25"/>
      <c r="FT268" s="25"/>
      <c r="FU268" s="25"/>
      <c r="FV268" s="25"/>
      <c r="FW268" s="25"/>
      <c r="FX268" s="25"/>
      <c r="FY268" s="25"/>
      <c r="FZ268" s="25"/>
      <c r="GA268" s="25"/>
      <c r="GB268" s="25"/>
      <c r="GC268" s="25"/>
      <c r="GD268" s="25"/>
      <c r="GE268" s="25"/>
      <c r="GF268" s="25"/>
      <c r="GG268" s="25"/>
      <c r="GH268" s="25"/>
      <c r="GI268" s="25"/>
      <c r="GJ268" s="25"/>
      <c r="GK268" s="25"/>
      <c r="GL268" s="25"/>
      <c r="GM268" s="25"/>
      <c r="GN268" s="25"/>
      <c r="GO268" s="25"/>
      <c r="GP268" s="25"/>
      <c r="GQ268" s="25"/>
      <c r="GR268" s="25"/>
      <c r="GS268" s="25"/>
      <c r="GT268" s="25"/>
      <c r="GU268" s="25"/>
      <c r="GV268" s="25"/>
      <c r="GW268" s="25"/>
      <c r="GX268" s="25"/>
      <c r="GY268" s="25"/>
      <c r="GZ268" s="25"/>
      <c r="HA268" s="25"/>
      <c r="HB268" s="25"/>
      <c r="HC268" s="25"/>
      <c r="HD268" s="25"/>
      <c r="HE268" s="25"/>
      <c r="HF268" s="25"/>
      <c r="HG268" s="25"/>
      <c r="HH268" s="25"/>
      <c r="HI268" s="25"/>
      <c r="HJ268" s="25"/>
      <c r="HK268" s="25"/>
      <c r="HL268" s="25"/>
      <c r="HM268" s="25"/>
      <c r="HN268" s="25"/>
      <c r="HO268" s="25"/>
      <c r="HP268" s="25"/>
      <c r="HQ268" s="25"/>
      <c r="HR268" s="25"/>
      <c r="HS268" s="25"/>
      <c r="HT268" s="25"/>
      <c r="HU268" s="25"/>
      <c r="HV268" s="25"/>
      <c r="HW268" s="25"/>
      <c r="HX268" s="25"/>
      <c r="HY268" s="25"/>
      <c r="HZ268" s="25"/>
      <c r="IA268" s="25"/>
      <c r="IB268" s="25"/>
      <c r="IC268" s="25"/>
      <c r="ID268" s="25"/>
      <c r="IE268" s="25"/>
      <c r="IF268" s="25"/>
      <c r="IG268" s="25"/>
      <c r="IH268" s="25"/>
      <c r="II268" s="25"/>
      <c r="IJ268" s="25"/>
      <c r="IK268" s="25"/>
      <c r="IL268" s="25"/>
      <c r="IM268" s="25"/>
      <c r="IN268" s="25"/>
      <c r="IO268" s="25"/>
      <c r="IP268" s="25"/>
      <c r="IQ268" s="25"/>
      <c r="IR268" s="25"/>
      <c r="IS268" s="25"/>
      <c r="IT268" s="25"/>
      <c r="IU268" s="25"/>
      <c r="IV268" s="25"/>
      <c r="IW268" s="25"/>
      <c r="IX268" s="25"/>
      <c r="IY268" s="25"/>
      <c r="IZ268" s="25"/>
      <c r="JA268" s="25"/>
      <c r="JB268" s="25"/>
      <c r="JC268" s="25"/>
      <c r="JD268" s="25"/>
      <c r="JE268" s="25"/>
      <c r="JF268" s="25"/>
      <c r="JG268" s="25"/>
      <c r="JH268" s="25"/>
      <c r="JI268" s="25"/>
      <c r="JJ268" s="25"/>
      <c r="JK268" s="25"/>
      <c r="JL268" s="25"/>
      <c r="JM268" s="25"/>
      <c r="JN268" s="25"/>
      <c r="JO268" s="18"/>
    </row>
    <row r="269" spans="2:288" x14ac:dyDescent="0.2">
      <c r="B269" s="16">
        <v>2017</v>
      </c>
      <c r="C269" s="66">
        <v>42919</v>
      </c>
      <c r="D269" s="66" t="str">
        <f>CONCATENATE(J269,"-",C269)</f>
        <v>1132-42919</v>
      </c>
      <c r="E269" s="20" t="str">
        <f>CONCATENATE(T269,"-",U269,"-",C269)</f>
        <v>BC2-H3-42919</v>
      </c>
      <c r="F269" s="20" t="s">
        <v>106</v>
      </c>
      <c r="G269" s="20" t="s">
        <v>107</v>
      </c>
      <c r="I269" s="16">
        <v>0</v>
      </c>
      <c r="J269" s="21">
        <v>1132</v>
      </c>
      <c r="K269" s="21">
        <v>1813</v>
      </c>
      <c r="L269" s="18">
        <v>0</v>
      </c>
      <c r="M269" s="21">
        <f>VLOOKUP($K269,'[4]blood tubes 2017'!$D$1:$L$647,8,FALSE)</f>
        <v>0</v>
      </c>
      <c r="N269" s="15">
        <v>0</v>
      </c>
      <c r="O269" s="15" t="s">
        <v>119</v>
      </c>
      <c r="P269" s="16" t="s">
        <v>119</v>
      </c>
      <c r="Q269" s="16">
        <v>0</v>
      </c>
      <c r="R269" s="16">
        <v>15</v>
      </c>
      <c r="T269" s="16" t="s">
        <v>154</v>
      </c>
      <c r="U269" s="16" t="s">
        <v>174</v>
      </c>
      <c r="V269" s="16" t="s">
        <v>114</v>
      </c>
      <c r="W269" s="16">
        <f>AI269/AG269</f>
        <v>0.88764044943820219</v>
      </c>
      <c r="X269" s="16" t="s">
        <v>115</v>
      </c>
      <c r="Y269" s="16" t="s">
        <v>110</v>
      </c>
      <c r="Z269" s="16">
        <v>3</v>
      </c>
      <c r="AE269" s="16" t="s">
        <v>116</v>
      </c>
      <c r="AF269" s="16" t="s">
        <v>116</v>
      </c>
      <c r="AG269" s="16">
        <f>AH269-AI269</f>
        <v>89</v>
      </c>
      <c r="AH269" s="16">
        <v>168</v>
      </c>
      <c r="AI269" s="16">
        <v>79</v>
      </c>
      <c r="AK269" s="16">
        <v>25.5</v>
      </c>
      <c r="AL269" s="16">
        <v>1</v>
      </c>
      <c r="AM269" s="16">
        <v>0</v>
      </c>
      <c r="AN269" s="16">
        <v>0</v>
      </c>
      <c r="AO269" s="16">
        <v>1</v>
      </c>
      <c r="AP269" s="16">
        <f>SUM(AL269:AN269)</f>
        <v>1</v>
      </c>
      <c r="AQ269" s="16">
        <v>1.5880000000000001</v>
      </c>
      <c r="AR269" s="16">
        <f>AP269-1.472</f>
        <v>-0.47199999999999998</v>
      </c>
      <c r="AS269" s="16">
        <f>AQ269-1.472</f>
        <v>0.1160000000000001</v>
      </c>
      <c r="AT269" s="16" t="s">
        <v>234</v>
      </c>
      <c r="AW269" s="16">
        <f>IF(AX269&gt;0,1,0)</f>
        <v>1</v>
      </c>
      <c r="AX269" s="16">
        <f>SUM(BA269,BM269,CT269)</f>
        <v>1</v>
      </c>
      <c r="AY269" s="18">
        <f>SUM(BB269,BN269,CV269)</f>
        <v>706.89655172413734</v>
      </c>
      <c r="AZ269" s="16">
        <v>1</v>
      </c>
      <c r="BA269" s="16">
        <v>1</v>
      </c>
      <c r="BB269" s="16">
        <f>SUM(BE269,BH269,BK269)</f>
        <v>706.89655172413734</v>
      </c>
      <c r="BC269" s="16">
        <v>1</v>
      </c>
      <c r="BD269" s="16">
        <v>82</v>
      </c>
      <c r="BE269" s="16">
        <f>BD269/AS269</f>
        <v>706.89655172413734</v>
      </c>
      <c r="BF269" s="16">
        <v>0</v>
      </c>
      <c r="BG269" s="23">
        <v>0</v>
      </c>
      <c r="BH269" s="16">
        <f>BG269/AS269</f>
        <v>0</v>
      </c>
      <c r="BI269" s="16">
        <v>0</v>
      </c>
      <c r="BJ269" s="16">
        <v>0</v>
      </c>
      <c r="BK269" s="16">
        <f>BJ269/AS269</f>
        <v>0</v>
      </c>
      <c r="BL269" s="16">
        <f>IF(BM269&gt;0,1,0)</f>
        <v>0</v>
      </c>
      <c r="BM269" s="16">
        <f>SUM(BR269,BU269,BX269,CA269,CD269,CG269,CJ269,CM269,CP269)</f>
        <v>0</v>
      </c>
      <c r="BN269" s="16">
        <f>SUM(BW269,BZ269,CC269,CF269,CI269,CL269,CO269,CR269,BT269)</f>
        <v>0</v>
      </c>
      <c r="BO269" s="16">
        <f>IF(BP269&gt;0,1,0)</f>
        <v>0</v>
      </c>
      <c r="BP269" s="16">
        <f>SUM(BU269,BX269,CA269,CD269,BR269)</f>
        <v>0</v>
      </c>
      <c r="BQ269" s="16">
        <f>SUM(BZ269,CC269,CF269,BT269,BW269)</f>
        <v>0</v>
      </c>
      <c r="BR269" s="16">
        <v>0</v>
      </c>
      <c r="BS269" s="16">
        <v>0</v>
      </c>
      <c r="BT269" s="23">
        <f>BS269/AS269</f>
        <v>0</v>
      </c>
      <c r="BU269" s="16">
        <v>0</v>
      </c>
      <c r="BV269" s="16">
        <v>0</v>
      </c>
      <c r="BW269" s="16">
        <f>BV269/AS269</f>
        <v>0</v>
      </c>
      <c r="BX269" s="16">
        <v>0</v>
      </c>
      <c r="BY269" s="16">
        <v>0</v>
      </c>
      <c r="BZ269" s="16">
        <f>BY269/AS269</f>
        <v>0</v>
      </c>
      <c r="CA269" s="16">
        <v>0</v>
      </c>
      <c r="CB269" s="16">
        <v>0</v>
      </c>
      <c r="CC269" s="16">
        <f>CB269/AS269</f>
        <v>0</v>
      </c>
      <c r="CD269" s="23">
        <v>0</v>
      </c>
      <c r="CE269" s="16">
        <v>0</v>
      </c>
      <c r="CF269" s="16">
        <f>CE269/AS269</f>
        <v>0</v>
      </c>
      <c r="CG269" s="16">
        <v>0</v>
      </c>
      <c r="CH269" s="16">
        <v>0</v>
      </c>
      <c r="CI269" s="16">
        <f>CH269/AS269</f>
        <v>0</v>
      </c>
      <c r="CM269" s="16">
        <v>0</v>
      </c>
      <c r="CN269" s="16">
        <v>0</v>
      </c>
      <c r="CO269" s="16">
        <f>CN269/AS269</f>
        <v>0</v>
      </c>
      <c r="CP269" s="16">
        <v>0</v>
      </c>
      <c r="CQ269" s="16">
        <v>0</v>
      </c>
      <c r="CR269" s="16">
        <f>CQ269/AS269</f>
        <v>0</v>
      </c>
      <c r="CS269" s="16">
        <v>0</v>
      </c>
      <c r="CT269" s="16">
        <v>0</v>
      </c>
      <c r="CV269" s="16">
        <f>SUM(CY269,DB269,DE269)</f>
        <v>0</v>
      </c>
      <c r="CW269" s="16">
        <v>0</v>
      </c>
      <c r="CX269" s="16">
        <v>0</v>
      </c>
      <c r="CY269" s="16">
        <f>CX269/AS269</f>
        <v>0</v>
      </c>
      <c r="CZ269" s="16">
        <v>0</v>
      </c>
      <c r="DA269" s="16">
        <v>0</v>
      </c>
      <c r="DB269" s="16">
        <f>DA269/AS269</f>
        <v>0</v>
      </c>
      <c r="DC269" s="16">
        <v>0</v>
      </c>
      <c r="DD269" s="16">
        <v>0</v>
      </c>
      <c r="DE269" s="16">
        <f>DD269/AS269</f>
        <v>0</v>
      </c>
      <c r="DF269" s="16" t="e">
        <f>VLOOKUP(K269,'[3]RNA Seq summary tables'!$V$3:$V$99,1,FALSE)</f>
        <v>#N/A</v>
      </c>
      <c r="DI269" s="16">
        <v>53</v>
      </c>
      <c r="DK269" s="16">
        <v>34</v>
      </c>
      <c r="DM269" s="16">
        <v>13</v>
      </c>
      <c r="DO269" s="16">
        <v>0</v>
      </c>
      <c r="DQ269" s="16">
        <v>0</v>
      </c>
      <c r="DR269" s="16">
        <f>SUM(DI269:DQ269)</f>
        <v>100</v>
      </c>
      <c r="JR269" s="27"/>
      <c r="JS269" s="27"/>
      <c r="JT269" s="27"/>
      <c r="JU269" s="27"/>
      <c r="JV269" s="27"/>
      <c r="JW269" s="27"/>
      <c r="JX269" s="27"/>
      <c r="JY269" s="27"/>
      <c r="JZ269" s="27"/>
      <c r="KA269" s="27"/>
      <c r="KB269" s="27"/>
    </row>
    <row r="270" spans="2:288" x14ac:dyDescent="0.2">
      <c r="B270" s="16">
        <v>2017</v>
      </c>
      <c r="C270" s="43">
        <v>42956</v>
      </c>
      <c r="D270" s="43" t="str">
        <f>CONCATENATE(J270,"-",C270)</f>
        <v>1132-42956</v>
      </c>
      <c r="E270" s="142" t="str">
        <f>CONCATENATE(T270,"-",U270,"-",C270)</f>
        <v>BC2-F5-42956</v>
      </c>
      <c r="F270" s="20" t="s">
        <v>106</v>
      </c>
      <c r="G270" s="43" t="s">
        <v>107</v>
      </c>
      <c r="H270" s="23"/>
      <c r="J270" s="15">
        <v>1132</v>
      </c>
      <c r="K270" s="15">
        <v>2101</v>
      </c>
      <c r="L270" s="18">
        <v>0</v>
      </c>
      <c r="M270" s="21">
        <f>VLOOKUP($K270,'[4]blood tubes 2017'!$D$1:$L$647,8,FALSE)</f>
        <v>0</v>
      </c>
      <c r="N270" s="15">
        <v>0</v>
      </c>
      <c r="O270" s="15" t="s">
        <v>119</v>
      </c>
      <c r="P270" s="23" t="s">
        <v>119</v>
      </c>
      <c r="Q270" s="16">
        <v>0</v>
      </c>
      <c r="R270" s="23">
        <v>37</v>
      </c>
      <c r="S270" s="23"/>
      <c r="T270" s="23" t="s">
        <v>154</v>
      </c>
      <c r="U270" s="23" t="s">
        <v>185</v>
      </c>
      <c r="V270" s="23" t="s">
        <v>114</v>
      </c>
      <c r="W270" s="16">
        <f>AI270/AG270</f>
        <v>0.89010989010989006</v>
      </c>
      <c r="X270" s="23" t="s">
        <v>115</v>
      </c>
      <c r="Y270" s="23" t="s">
        <v>110</v>
      </c>
      <c r="Z270" s="23">
        <v>3</v>
      </c>
      <c r="AA270" s="23"/>
      <c r="AB270" s="23"/>
      <c r="AC270" s="23"/>
      <c r="AD270" s="23"/>
      <c r="AE270" s="23" t="s">
        <v>116</v>
      </c>
      <c r="AF270" s="23" t="s">
        <v>116</v>
      </c>
      <c r="AG270" s="23">
        <f>AH270-AI270</f>
        <v>91</v>
      </c>
      <c r="AH270" s="23">
        <v>172</v>
      </c>
      <c r="AI270" s="23">
        <v>81</v>
      </c>
      <c r="AJ270" s="23"/>
      <c r="AK270" s="23">
        <v>25.5</v>
      </c>
      <c r="AL270" s="23">
        <v>1</v>
      </c>
      <c r="AM270" s="23">
        <v>0</v>
      </c>
      <c r="AN270" s="23">
        <v>0</v>
      </c>
      <c r="AO270" s="23">
        <v>1</v>
      </c>
      <c r="AP270" s="23">
        <f>SUM(AL270:AN270)</f>
        <v>1</v>
      </c>
      <c r="AQ270" s="23">
        <v>1.571</v>
      </c>
      <c r="AR270" s="23">
        <f>AP270-1.472</f>
        <v>-0.47199999999999998</v>
      </c>
      <c r="AS270" s="23">
        <f>AQ270-1.472</f>
        <v>9.8999999999999977E-2</v>
      </c>
      <c r="AT270" s="16" t="e">
        <f>VLOOKUP(E270,[2]Current!$A$1:$W$435,7,FALSE)</f>
        <v>#N/A</v>
      </c>
      <c r="AU270" s="16">
        <v>0</v>
      </c>
      <c r="AV270" s="23"/>
      <c r="AW270" s="25"/>
      <c r="AX270" s="25"/>
      <c r="AY270" s="25"/>
      <c r="AZ270" s="18"/>
      <c r="BA270" s="25"/>
      <c r="BB270" s="25"/>
      <c r="BC270" s="18"/>
      <c r="BD270" s="25"/>
      <c r="BE270" s="23"/>
      <c r="BG270" s="23"/>
      <c r="BH270" s="23"/>
      <c r="BJ270" s="23"/>
      <c r="BK270" s="23"/>
      <c r="BS270" s="23"/>
      <c r="BT270" s="23"/>
      <c r="BV270" s="23"/>
      <c r="BY270" s="23"/>
      <c r="CB270" s="23"/>
      <c r="CC270" s="23"/>
      <c r="CD270" s="23"/>
      <c r="CE270" s="23"/>
      <c r="CF270" s="23"/>
      <c r="CG270" s="23"/>
      <c r="CH270" s="23"/>
      <c r="CI270" s="23"/>
      <c r="CJ270" s="23"/>
      <c r="CK270" s="23"/>
      <c r="CL270" s="23"/>
      <c r="CM270" s="23"/>
      <c r="CN270" s="23"/>
      <c r="CO270" s="23"/>
      <c r="CP270" s="23"/>
      <c r="CQ270" s="23"/>
      <c r="CR270" s="23"/>
      <c r="CV270" s="23"/>
      <c r="CX270" s="23"/>
      <c r="CY270" s="23"/>
      <c r="CZ270" s="23"/>
      <c r="DA270" s="23"/>
      <c r="DB270" s="23"/>
      <c r="DC270" s="23"/>
      <c r="DD270" s="23"/>
      <c r="DE270" s="23"/>
      <c r="DF270" s="16" t="e">
        <f>VLOOKUP(K270,'[3]RNA Seq summary tables'!$V$3:$V$99,1,FALSE)</f>
        <v>#N/A</v>
      </c>
      <c r="DI270" s="23"/>
      <c r="DJ270" s="23"/>
      <c r="DK270" s="23"/>
      <c r="DL270" s="23"/>
      <c r="DM270" s="23"/>
      <c r="DN270" s="23"/>
      <c r="DO270" s="23"/>
      <c r="DP270" s="23"/>
      <c r="DQ270" s="23"/>
      <c r="DR270" s="23"/>
      <c r="DS270" s="23"/>
    </row>
    <row r="271" spans="2:288" x14ac:dyDescent="0.2">
      <c r="B271" s="16">
        <v>2017</v>
      </c>
      <c r="C271" s="73">
        <v>42904</v>
      </c>
      <c r="D271" s="66" t="str">
        <f>CONCATENATE(J271,"-",C271)</f>
        <v>1134-42904</v>
      </c>
      <c r="E271" s="20" t="str">
        <f>CONCATENATE(T271,"-",U271,"-",C271)</f>
        <v>BC2-H6-42904</v>
      </c>
      <c r="F271" s="20" t="s">
        <v>106</v>
      </c>
      <c r="G271" s="43" t="s">
        <v>107</v>
      </c>
      <c r="H271" s="23"/>
      <c r="I271" s="16">
        <v>0</v>
      </c>
      <c r="J271" s="15">
        <v>1134</v>
      </c>
      <c r="K271" s="15">
        <v>1685</v>
      </c>
      <c r="L271" s="18">
        <v>0</v>
      </c>
      <c r="M271" s="21">
        <f>VLOOKUP($K271,'[4]blood tubes 2017'!$D$1:$L$647,8,FALSE)</f>
        <v>0</v>
      </c>
      <c r="N271" s="15">
        <v>0</v>
      </c>
      <c r="O271" s="15" t="s">
        <v>119</v>
      </c>
      <c r="P271" s="23" t="s">
        <v>119</v>
      </c>
      <c r="Q271" s="16">
        <v>0</v>
      </c>
      <c r="R271" s="23" t="s">
        <v>111</v>
      </c>
      <c r="S271" s="23"/>
      <c r="T271" s="23" t="s">
        <v>154</v>
      </c>
      <c r="U271" s="23" t="s">
        <v>141</v>
      </c>
      <c r="V271" s="23" t="s">
        <v>114</v>
      </c>
      <c r="W271" s="16">
        <f>AI271/AG271</f>
        <v>0.82417582417582413</v>
      </c>
      <c r="X271" s="23" t="s">
        <v>115</v>
      </c>
      <c r="Y271" s="23" t="s">
        <v>110</v>
      </c>
      <c r="Z271" s="23">
        <v>3</v>
      </c>
      <c r="AA271" s="23"/>
      <c r="AB271" s="23"/>
      <c r="AC271" s="23"/>
      <c r="AD271" s="23"/>
      <c r="AE271" s="23" t="s">
        <v>116</v>
      </c>
      <c r="AF271" s="23" t="s">
        <v>116</v>
      </c>
      <c r="AG271" s="23">
        <f>AH271-AI271</f>
        <v>91</v>
      </c>
      <c r="AH271" s="23">
        <v>166</v>
      </c>
      <c r="AI271" s="23">
        <v>75</v>
      </c>
      <c r="AJ271" s="23"/>
      <c r="AK271" s="23">
        <v>21.5</v>
      </c>
      <c r="AL271" s="23">
        <v>0</v>
      </c>
      <c r="AM271" s="23">
        <v>0</v>
      </c>
      <c r="AN271" s="23">
        <v>0</v>
      </c>
      <c r="AO271" s="23">
        <v>0</v>
      </c>
      <c r="AP271" s="23">
        <f>SUM(AL271:AN271)</f>
        <v>0</v>
      </c>
      <c r="AQ271" s="23">
        <v>1.865</v>
      </c>
      <c r="AR271" s="23">
        <f>AP271-1.472</f>
        <v>-1.472</v>
      </c>
      <c r="AS271" s="23">
        <f>AQ271-1.472</f>
        <v>0.39300000000000002</v>
      </c>
      <c r="AT271" s="23" t="s">
        <v>119</v>
      </c>
      <c r="AU271" s="23"/>
      <c r="AV271" s="23"/>
      <c r="AW271" s="23">
        <f>IF(AX271&gt;0,1,0)</f>
        <v>1</v>
      </c>
      <c r="AX271" s="23">
        <f>SUM(BA271,BM271,CT271)</f>
        <v>2</v>
      </c>
      <c r="AY271" s="25">
        <f>SUM(BB271,BN271,CV271)</f>
        <v>1768.4478371501273</v>
      </c>
      <c r="AZ271" s="16">
        <f>IF(BA271&gt;0,1,0)</f>
        <v>1</v>
      </c>
      <c r="BA271" s="23">
        <f>SUM(BC271,BF271,BI271)</f>
        <v>1</v>
      </c>
      <c r="BB271" s="23">
        <f>SUM(BE271,BH271,BK271)</f>
        <v>1760.8142493638677</v>
      </c>
      <c r="BC271" s="16">
        <v>0</v>
      </c>
      <c r="BD271" s="23">
        <v>0</v>
      </c>
      <c r="BE271" s="23">
        <f>BD271/AS271</f>
        <v>0</v>
      </c>
      <c r="BF271" s="16">
        <v>1</v>
      </c>
      <c r="BG271" s="23">
        <v>692</v>
      </c>
      <c r="BH271" s="23">
        <f>BG271/AS271</f>
        <v>1760.8142493638677</v>
      </c>
      <c r="BI271" s="16">
        <v>0</v>
      </c>
      <c r="BJ271" s="23">
        <v>0</v>
      </c>
      <c r="BK271" s="23">
        <f>BJ271/AS271</f>
        <v>0</v>
      </c>
      <c r="BL271" s="16">
        <f>IF(BM271&gt;0,1,0)</f>
        <v>1</v>
      </c>
      <c r="BM271" s="16">
        <f>SUM(BR271,BU271,BX271,CA271,CD271,CG271,CJ271,CM271,CP271)</f>
        <v>1</v>
      </c>
      <c r="BN271" s="16">
        <f>SUM(BW271,BZ271,CC271,CF271,CI271,CL271,CO271,CR271,BT271)</f>
        <v>7.6335877862595414</v>
      </c>
      <c r="BO271" s="16">
        <f>IF(BP271&gt;0,1,0)</f>
        <v>1</v>
      </c>
      <c r="BP271" s="16">
        <f>SUM(BU271,BX271,CA271,CD271,BR271)</f>
        <v>1</v>
      </c>
      <c r="BQ271" s="16">
        <f>SUM(BZ271,CC271,CF271,BT271,BW271)</f>
        <v>7.6335877862595414</v>
      </c>
      <c r="BR271" s="16">
        <v>0</v>
      </c>
      <c r="BS271" s="23">
        <v>0</v>
      </c>
      <c r="BT271" s="23">
        <f>BS271/AS271</f>
        <v>0</v>
      </c>
      <c r="BU271" s="16">
        <v>0</v>
      </c>
      <c r="BV271" s="23">
        <v>0</v>
      </c>
      <c r="BW271" s="16">
        <f>BV271/AS271</f>
        <v>0</v>
      </c>
      <c r="BX271" s="16">
        <v>1</v>
      </c>
      <c r="BY271" s="23">
        <v>3</v>
      </c>
      <c r="BZ271" s="16">
        <f>BY271/AS271</f>
        <v>7.6335877862595414</v>
      </c>
      <c r="CA271" s="16">
        <v>0</v>
      </c>
      <c r="CB271" s="23">
        <v>0</v>
      </c>
      <c r="CC271" s="23">
        <f>CB271/AS271</f>
        <v>0</v>
      </c>
      <c r="CD271" s="23">
        <v>0</v>
      </c>
      <c r="CE271" s="23">
        <v>0</v>
      </c>
      <c r="CF271" s="23">
        <f>CE271/AS271</f>
        <v>0</v>
      </c>
      <c r="CG271" s="23">
        <v>0</v>
      </c>
      <c r="CH271" s="23">
        <v>0</v>
      </c>
      <c r="CI271" s="23">
        <f>CH271/AS271</f>
        <v>0</v>
      </c>
      <c r="CJ271" s="23"/>
      <c r="CK271" s="23"/>
      <c r="CL271" s="23"/>
      <c r="CM271" s="23">
        <v>0</v>
      </c>
      <c r="CN271" s="23">
        <v>0</v>
      </c>
      <c r="CO271" s="23">
        <f>CN271/AS271</f>
        <v>0</v>
      </c>
      <c r="CP271" s="23">
        <v>0</v>
      </c>
      <c r="CQ271" s="23">
        <v>0</v>
      </c>
      <c r="CR271" s="23">
        <f>CQ271/AS271</f>
        <v>0</v>
      </c>
      <c r="CS271" s="16">
        <f>IF(CT271&gt;0,1,0)</f>
        <v>0</v>
      </c>
      <c r="CT271" s="16">
        <f>SUM(CW271,CZ271,DC271)</f>
        <v>0</v>
      </c>
      <c r="CV271" s="23">
        <f>SUM(CY271,DB271,DE271)</f>
        <v>0</v>
      </c>
      <c r="CW271" s="16">
        <v>0</v>
      </c>
      <c r="CX271" s="23">
        <v>0</v>
      </c>
      <c r="CY271" s="23">
        <f>CX271/AS271</f>
        <v>0</v>
      </c>
      <c r="CZ271" s="23">
        <v>0</v>
      </c>
      <c r="DA271" s="23">
        <v>0</v>
      </c>
      <c r="DB271" s="23">
        <f>DA271/AS271</f>
        <v>0</v>
      </c>
      <c r="DC271" s="23">
        <v>0</v>
      </c>
      <c r="DD271" s="23">
        <v>0</v>
      </c>
      <c r="DE271" s="23">
        <f>DD271/AS271</f>
        <v>0</v>
      </c>
      <c r="DF271" s="16" t="e">
        <f>VLOOKUP(K271,'[3]RNA Seq summary tables'!$V$3:$V$99,1,FALSE)</f>
        <v>#N/A</v>
      </c>
      <c r="DI271" s="23">
        <v>56</v>
      </c>
      <c r="DJ271" s="23"/>
      <c r="DK271" s="23">
        <v>29</v>
      </c>
      <c r="DL271" s="23"/>
      <c r="DM271" s="23">
        <v>15</v>
      </c>
      <c r="DN271" s="23"/>
      <c r="DO271" s="23">
        <v>0</v>
      </c>
      <c r="DP271" s="23"/>
      <c r="DQ271" s="23">
        <v>0</v>
      </c>
      <c r="DR271" s="23">
        <f>SUM(DI271:DQ271)</f>
        <v>100</v>
      </c>
      <c r="DS271" s="23"/>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25"/>
      <c r="FG271" s="25"/>
      <c r="FH271" s="25"/>
      <c r="FI271" s="25"/>
      <c r="FJ271" s="25"/>
      <c r="FK271" s="25"/>
      <c r="FL271" s="25"/>
      <c r="FM271" s="25"/>
      <c r="FN271" s="25"/>
      <c r="FO271" s="25"/>
      <c r="FP271" s="25"/>
      <c r="FQ271" s="25"/>
      <c r="FR271" s="25"/>
      <c r="FS271" s="25"/>
      <c r="FT271" s="25"/>
      <c r="FU271" s="25"/>
      <c r="FV271" s="25"/>
      <c r="FW271" s="25"/>
      <c r="FX271" s="25"/>
      <c r="FY271" s="25"/>
      <c r="FZ271" s="25"/>
      <c r="GA271" s="25"/>
      <c r="GB271" s="25"/>
      <c r="GC271" s="25"/>
      <c r="GD271" s="25"/>
      <c r="GE271" s="25"/>
      <c r="GF271" s="25"/>
      <c r="GG271" s="25"/>
      <c r="GH271" s="25"/>
      <c r="GI271" s="25"/>
      <c r="GJ271" s="25"/>
      <c r="GK271" s="25"/>
      <c r="GL271" s="25"/>
      <c r="GM271" s="25"/>
      <c r="GN271" s="25"/>
      <c r="GO271" s="25"/>
      <c r="GP271" s="25"/>
      <c r="GQ271" s="25"/>
      <c r="GR271" s="25"/>
      <c r="GS271" s="25"/>
      <c r="GT271" s="25"/>
      <c r="GU271" s="25"/>
      <c r="GV271" s="25"/>
      <c r="GW271" s="25"/>
      <c r="GX271" s="25"/>
      <c r="GY271" s="25"/>
      <c r="GZ271" s="25"/>
      <c r="HA271" s="25"/>
      <c r="HB271" s="25"/>
      <c r="HC271" s="25"/>
      <c r="HD271" s="25"/>
      <c r="HE271" s="25"/>
      <c r="HF271" s="25"/>
      <c r="HG271" s="25"/>
      <c r="HH271" s="25"/>
      <c r="HI271" s="25"/>
      <c r="HJ271" s="25"/>
      <c r="HK271" s="25"/>
      <c r="HL271" s="25"/>
      <c r="HM271" s="25"/>
      <c r="HN271" s="25"/>
      <c r="HO271" s="25"/>
      <c r="HP271" s="25"/>
      <c r="HQ271" s="25"/>
      <c r="HR271" s="25"/>
      <c r="HS271" s="25"/>
      <c r="HT271" s="25"/>
      <c r="HU271" s="25"/>
      <c r="HV271" s="25"/>
      <c r="HW271" s="25"/>
      <c r="HX271" s="25"/>
      <c r="HY271" s="25"/>
      <c r="HZ271" s="25"/>
      <c r="IA271" s="25"/>
      <c r="IB271" s="25"/>
      <c r="IC271" s="25"/>
      <c r="ID271" s="25"/>
      <c r="IE271" s="25"/>
      <c r="IF271" s="25"/>
      <c r="IG271" s="25"/>
      <c r="IH271" s="25"/>
      <c r="II271" s="25"/>
      <c r="IJ271" s="25"/>
      <c r="IK271" s="25"/>
      <c r="IL271" s="25"/>
      <c r="IM271" s="25"/>
      <c r="IN271" s="25"/>
      <c r="IO271" s="25"/>
      <c r="IP271" s="25"/>
      <c r="IQ271" s="25"/>
      <c r="IR271" s="25"/>
      <c r="IS271" s="25"/>
      <c r="IT271" s="25"/>
      <c r="IU271" s="25"/>
      <c r="IV271" s="25"/>
      <c r="IW271" s="25"/>
      <c r="IX271" s="25"/>
      <c r="IY271" s="25"/>
      <c r="IZ271" s="25"/>
      <c r="JA271" s="25"/>
      <c r="JB271" s="25"/>
      <c r="JC271" s="25"/>
      <c r="JD271" s="25"/>
      <c r="JE271" s="25"/>
      <c r="JF271" s="25"/>
      <c r="JG271" s="25"/>
      <c r="JH271" s="25"/>
      <c r="JI271" s="25"/>
      <c r="JJ271" s="25"/>
      <c r="JK271" s="25"/>
      <c r="JL271" s="25"/>
      <c r="JM271" s="25"/>
      <c r="JN271" s="25"/>
      <c r="JO271" s="18"/>
    </row>
    <row r="272" spans="2:288" x14ac:dyDescent="0.2">
      <c r="B272" s="18">
        <v>2017</v>
      </c>
      <c r="C272" s="37">
        <v>42920</v>
      </c>
      <c r="D272" s="37" t="str">
        <f>CONCATENATE(J272,"-",C272)</f>
        <v>1134-42920</v>
      </c>
      <c r="E272" s="20" t="str">
        <f>CONCATENATE(T272,"-",U272,"-",C272)</f>
        <v>BC2-H7-42920</v>
      </c>
      <c r="F272" s="20" t="s">
        <v>106</v>
      </c>
      <c r="G272" s="37" t="s">
        <v>107</v>
      </c>
      <c r="H272" s="18"/>
      <c r="I272" s="16">
        <v>0</v>
      </c>
      <c r="J272" s="36">
        <v>1134</v>
      </c>
      <c r="K272" s="36">
        <v>1825</v>
      </c>
      <c r="L272" s="18">
        <v>0</v>
      </c>
      <c r="M272" s="21">
        <f>VLOOKUP($K272,'[4]blood tubes 2017'!$D$1:$L$647,8,FALSE)</f>
        <v>0</v>
      </c>
      <c r="N272" s="15">
        <v>0</v>
      </c>
      <c r="O272" s="15" t="s">
        <v>119</v>
      </c>
      <c r="P272" s="18" t="s">
        <v>119</v>
      </c>
      <c r="Q272" s="16">
        <v>0</v>
      </c>
      <c r="R272" s="18">
        <v>16</v>
      </c>
      <c r="S272" s="18"/>
      <c r="T272" s="18" t="s">
        <v>154</v>
      </c>
      <c r="U272" s="18" t="s">
        <v>202</v>
      </c>
      <c r="V272" s="18" t="s">
        <v>114</v>
      </c>
      <c r="W272" s="16">
        <f>AI272/AG272</f>
        <v>0.84444444444444444</v>
      </c>
      <c r="X272" s="18" t="s">
        <v>115</v>
      </c>
      <c r="Y272" s="18" t="s">
        <v>110</v>
      </c>
      <c r="Z272" s="18">
        <v>3</v>
      </c>
      <c r="AA272" s="18"/>
      <c r="AB272" s="18"/>
      <c r="AC272" s="18"/>
      <c r="AD272" s="18"/>
      <c r="AE272" s="18" t="s">
        <v>116</v>
      </c>
      <c r="AF272" s="18" t="s">
        <v>116</v>
      </c>
      <c r="AG272" s="18">
        <f>AH272-AI272</f>
        <v>90</v>
      </c>
      <c r="AH272" s="18">
        <v>166</v>
      </c>
      <c r="AI272" s="18">
        <v>76</v>
      </c>
      <c r="AJ272" s="18"/>
      <c r="AK272" s="18">
        <v>21</v>
      </c>
      <c r="AL272" s="18">
        <v>0</v>
      </c>
      <c r="AM272" s="18">
        <v>0</v>
      </c>
      <c r="AN272" s="18">
        <v>0</v>
      </c>
      <c r="AO272" s="18">
        <v>0</v>
      </c>
      <c r="AP272" s="18">
        <f>SUM(AL272:AN272)</f>
        <v>0</v>
      </c>
      <c r="AQ272" s="18">
        <v>1.603</v>
      </c>
      <c r="AR272" s="18">
        <f>AP272-1.472</f>
        <v>-1.472</v>
      </c>
      <c r="AS272" s="18">
        <f>AQ272-1.472</f>
        <v>0.13100000000000001</v>
      </c>
      <c r="AT272" s="18" t="s">
        <v>234</v>
      </c>
      <c r="AU272" s="18"/>
      <c r="AV272" s="18">
        <v>1</v>
      </c>
      <c r="AW272" s="81">
        <v>0</v>
      </c>
      <c r="AX272" s="81">
        <v>0</v>
      </c>
      <c r="AY272" s="81">
        <v>0</v>
      </c>
      <c r="AZ272" s="81">
        <v>0</v>
      </c>
      <c r="BA272" s="81">
        <v>0</v>
      </c>
      <c r="BB272" s="81">
        <v>0</v>
      </c>
      <c r="BC272" s="81">
        <v>0</v>
      </c>
      <c r="BD272" s="81">
        <v>0</v>
      </c>
      <c r="BE272" s="81">
        <v>0</v>
      </c>
      <c r="BF272" s="81">
        <v>0</v>
      </c>
      <c r="BG272" s="143">
        <v>0</v>
      </c>
      <c r="BH272" s="81">
        <v>0</v>
      </c>
      <c r="BI272" s="81">
        <v>0</v>
      </c>
      <c r="BJ272" s="81">
        <v>0</v>
      </c>
      <c r="BK272" s="81">
        <v>0</v>
      </c>
      <c r="BL272" s="81">
        <v>0</v>
      </c>
      <c r="BM272" s="81">
        <f>SUM(BR272,BU272,BX272,CA272,CD272,CG272,CJ272,CM272,CP272)</f>
        <v>0</v>
      </c>
      <c r="BN272" s="81">
        <f>SUM(BW272,BZ272,CC272,CF272,CI272,CL272,CO272,CR272,BT272)</f>
        <v>0</v>
      </c>
      <c r="BO272" s="81">
        <f>IF(BP272&gt;0,1,0)</f>
        <v>0</v>
      </c>
      <c r="BP272" s="81">
        <f>SUM(BU272,BX272,CA272,CD272,BR272)</f>
        <v>0</v>
      </c>
      <c r="BQ272" s="81">
        <f>SUM(BZ272,CC272,CF272,BT272,BW272)</f>
        <v>0</v>
      </c>
      <c r="BR272" s="81">
        <v>0</v>
      </c>
      <c r="BS272" s="81">
        <v>0</v>
      </c>
      <c r="BT272" s="143">
        <v>0</v>
      </c>
      <c r="BU272" s="81">
        <v>0</v>
      </c>
      <c r="BV272" s="81">
        <v>0</v>
      </c>
      <c r="BW272" s="81">
        <v>0</v>
      </c>
      <c r="BX272" s="81">
        <v>0</v>
      </c>
      <c r="BY272" s="81">
        <v>0</v>
      </c>
      <c r="BZ272" s="81">
        <v>0</v>
      </c>
      <c r="CA272" s="81">
        <v>0</v>
      </c>
      <c r="CB272" s="81">
        <v>0</v>
      </c>
      <c r="CC272" s="81">
        <v>0</v>
      </c>
      <c r="CD272" s="143">
        <v>0</v>
      </c>
      <c r="CE272" s="81">
        <v>0</v>
      </c>
      <c r="CF272" s="81">
        <v>0</v>
      </c>
      <c r="CG272" s="81">
        <v>0</v>
      </c>
      <c r="CH272" s="81">
        <v>0</v>
      </c>
      <c r="CI272" s="81">
        <v>0</v>
      </c>
      <c r="CJ272" s="81"/>
      <c r="CK272" s="81"/>
      <c r="CL272" s="81"/>
      <c r="CM272" s="81">
        <v>0</v>
      </c>
      <c r="CN272" s="81">
        <v>0</v>
      </c>
      <c r="CO272" s="81">
        <v>0</v>
      </c>
      <c r="CP272" s="81">
        <v>0</v>
      </c>
      <c r="CQ272" s="81">
        <v>0</v>
      </c>
      <c r="CR272" s="81">
        <v>0</v>
      </c>
      <c r="CS272" s="81">
        <v>0</v>
      </c>
      <c r="CT272" s="81">
        <v>0</v>
      </c>
      <c r="CU272" s="81"/>
      <c r="CV272" s="81">
        <v>0</v>
      </c>
      <c r="CW272" s="81">
        <v>0</v>
      </c>
      <c r="CX272" s="81">
        <v>0</v>
      </c>
      <c r="CY272" s="81">
        <v>0</v>
      </c>
      <c r="CZ272" s="81">
        <v>0</v>
      </c>
      <c r="DA272" s="81">
        <v>0</v>
      </c>
      <c r="DB272" s="81">
        <v>0</v>
      </c>
      <c r="DC272" s="81">
        <v>0</v>
      </c>
      <c r="DD272" s="81">
        <v>0</v>
      </c>
      <c r="DE272" s="81">
        <v>0</v>
      </c>
      <c r="DF272" s="16" t="e">
        <f>VLOOKUP(K272,'[3]RNA Seq summary tables'!$V$3:$V$99,1,FALSE)</f>
        <v>#N/A</v>
      </c>
      <c r="DI272" s="18">
        <v>74</v>
      </c>
      <c r="DJ272" s="18"/>
      <c r="DK272" s="18">
        <v>9</v>
      </c>
      <c r="DL272" s="18"/>
      <c r="DM272" s="18">
        <v>17</v>
      </c>
      <c r="DN272" s="18"/>
      <c r="DO272" s="18">
        <v>0</v>
      </c>
      <c r="DP272" s="18"/>
      <c r="DQ272" s="18">
        <v>0</v>
      </c>
      <c r="DR272" s="18">
        <f>SUM(DI272:DQ272)</f>
        <v>100</v>
      </c>
      <c r="DS272" s="18"/>
      <c r="JO272" s="30"/>
      <c r="JR272" s="27"/>
      <c r="JS272" s="27"/>
      <c r="JT272" s="27"/>
      <c r="JU272" s="27"/>
      <c r="JV272" s="27"/>
      <c r="JW272" s="27"/>
      <c r="JX272" s="27"/>
      <c r="JY272" s="27"/>
      <c r="JZ272" s="27"/>
      <c r="KA272" s="27"/>
      <c r="KB272" s="27"/>
    </row>
    <row r="273" spans="1:288" x14ac:dyDescent="0.2">
      <c r="A273" s="30"/>
      <c r="B273" s="30">
        <v>2017</v>
      </c>
      <c r="C273" s="74">
        <v>42904</v>
      </c>
      <c r="D273" s="74" t="str">
        <f>CONCATENATE(J273,"-",C273)</f>
        <v>1136-42904</v>
      </c>
      <c r="E273" s="20" t="str">
        <f>CONCATENATE(T273,"-",U273,"-",C273)</f>
        <v>BC1-C5-42904</v>
      </c>
      <c r="F273" s="31" t="s">
        <v>106</v>
      </c>
      <c r="G273" s="31" t="s">
        <v>107</v>
      </c>
      <c r="H273" s="30" t="s">
        <v>175</v>
      </c>
      <c r="I273" s="30">
        <v>1</v>
      </c>
      <c r="J273" s="32">
        <v>1136</v>
      </c>
      <c r="K273" s="32">
        <v>1688</v>
      </c>
      <c r="L273" s="18">
        <v>0</v>
      </c>
      <c r="M273" s="32">
        <f>VLOOKUP($K273,'[4]blood tubes 2017'!$D$1:$L$647,8,FALSE)</f>
        <v>0</v>
      </c>
      <c r="N273" s="35">
        <v>0</v>
      </c>
      <c r="O273" s="35" t="s">
        <v>119</v>
      </c>
      <c r="P273" s="30" t="s">
        <v>119</v>
      </c>
      <c r="Q273" s="30">
        <v>0</v>
      </c>
      <c r="R273" s="30" t="s">
        <v>111</v>
      </c>
      <c r="S273" s="30"/>
      <c r="T273" s="30" t="s">
        <v>159</v>
      </c>
      <c r="U273" s="30" t="s">
        <v>172</v>
      </c>
      <c r="V273" s="30" t="s">
        <v>114</v>
      </c>
      <c r="W273" s="30">
        <f>AI273/AG273</f>
        <v>0.92783505154639179</v>
      </c>
      <c r="X273" s="30" t="s">
        <v>121</v>
      </c>
      <c r="Y273" s="30" t="s">
        <v>110</v>
      </c>
      <c r="Z273" s="30">
        <v>3</v>
      </c>
      <c r="AA273" s="30" t="s">
        <v>119</v>
      </c>
      <c r="AB273" s="30" t="s">
        <v>240</v>
      </c>
      <c r="AC273" s="30" t="s">
        <v>123</v>
      </c>
      <c r="AD273" s="30" t="s">
        <v>123</v>
      </c>
      <c r="AE273" s="30"/>
      <c r="AF273" s="30"/>
      <c r="AG273" s="30">
        <f>AH273-AI273</f>
        <v>97</v>
      </c>
      <c r="AH273" s="30">
        <v>187</v>
      </c>
      <c r="AI273" s="30">
        <v>90</v>
      </c>
      <c r="AJ273" s="30"/>
      <c r="AK273" s="30">
        <v>34.5</v>
      </c>
      <c r="AL273" s="30">
        <v>0</v>
      </c>
      <c r="AM273" s="30">
        <v>0</v>
      </c>
      <c r="AN273" s="30">
        <v>0</v>
      </c>
      <c r="AO273" s="30">
        <v>0</v>
      </c>
      <c r="AP273" s="30">
        <f>SUM(AL273:AN273)</f>
        <v>0</v>
      </c>
      <c r="AQ273" s="30">
        <v>2.4849999999999999</v>
      </c>
      <c r="AR273" s="30">
        <f>AP273-1.472</f>
        <v>-1.472</v>
      </c>
      <c r="AS273" s="30">
        <f>AQ273-1.472</f>
        <v>1.0129999999999999</v>
      </c>
      <c r="AT273" s="30" t="s">
        <v>119</v>
      </c>
      <c r="AU273" s="30"/>
      <c r="AV273" s="30"/>
      <c r="AW273" s="30">
        <f>IF(AX273&gt;0,1,0)</f>
        <v>1</v>
      </c>
      <c r="AX273" s="30">
        <f>SUM(BA273,BM273,CT273)</f>
        <v>2</v>
      </c>
      <c r="AY273" s="30">
        <f>SUM(BB273,BN273,CV273)</f>
        <v>448.17374136229029</v>
      </c>
      <c r="AZ273" s="30">
        <f>IF(BA273&gt;0,1,0)</f>
        <v>1</v>
      </c>
      <c r="BA273" s="30">
        <f>SUM(BC273,BF273,BI273)</f>
        <v>1</v>
      </c>
      <c r="BB273" s="30">
        <f>SUM(BE273,BH273,BK273)</f>
        <v>364.26456071076018</v>
      </c>
      <c r="BC273" s="30">
        <v>0</v>
      </c>
      <c r="BD273" s="30">
        <v>0</v>
      </c>
      <c r="BE273" s="30">
        <f>BD273/AS273</f>
        <v>0</v>
      </c>
      <c r="BF273" s="30">
        <v>1</v>
      </c>
      <c r="BG273" s="34">
        <v>369</v>
      </c>
      <c r="BH273" s="30">
        <f>BG273/AS273</f>
        <v>364.26456071076018</v>
      </c>
      <c r="BI273" s="30">
        <v>0</v>
      </c>
      <c r="BJ273" s="30">
        <v>0</v>
      </c>
      <c r="BK273" s="30">
        <f>BJ273/AS273</f>
        <v>0</v>
      </c>
      <c r="BL273" s="30">
        <f>IF(BM273&gt;0,1,0)</f>
        <v>1</v>
      </c>
      <c r="BM273" s="30">
        <f>SUM(BR273,BU273,BX273,CA273,CD273,CG273,CJ273,CM273,CP273)</f>
        <v>1</v>
      </c>
      <c r="BN273" s="30">
        <f>SUM(BW273,BZ273,CC273,CF273,CI273,CL273,CO273,CR273,BT273)</f>
        <v>83.909180651530122</v>
      </c>
      <c r="BO273" s="16">
        <f>IF(BP273&gt;0,1,0)</f>
        <v>1</v>
      </c>
      <c r="BP273" s="16">
        <f>SUM(BU273,BX273,CA273,CD273,BR273)</f>
        <v>1</v>
      </c>
      <c r="BQ273" s="16">
        <f>SUM(BZ273,CC273,CF273,BT273,BW273)</f>
        <v>83.909180651530122</v>
      </c>
      <c r="BR273" s="30">
        <v>0</v>
      </c>
      <c r="BS273" s="30">
        <v>0</v>
      </c>
      <c r="BT273" s="34">
        <f>BS273/AS273</f>
        <v>0</v>
      </c>
      <c r="BU273" s="30">
        <v>0</v>
      </c>
      <c r="BV273" s="30">
        <v>0</v>
      </c>
      <c r="BW273" s="30">
        <f>BV273/AS273</f>
        <v>0</v>
      </c>
      <c r="BX273" s="30">
        <v>1</v>
      </c>
      <c r="BY273" s="30">
        <v>85</v>
      </c>
      <c r="BZ273" s="30">
        <f>BY273/AS273</f>
        <v>83.909180651530122</v>
      </c>
      <c r="CA273" s="30">
        <v>0</v>
      </c>
      <c r="CB273" s="30">
        <v>0</v>
      </c>
      <c r="CC273" s="30">
        <f>CB273/AS273</f>
        <v>0</v>
      </c>
      <c r="CD273" s="34">
        <v>0</v>
      </c>
      <c r="CE273" s="30">
        <v>0</v>
      </c>
      <c r="CF273" s="30">
        <f>CE273/AS273</f>
        <v>0</v>
      </c>
      <c r="CG273" s="30">
        <v>0</v>
      </c>
      <c r="CH273" s="30">
        <v>0</v>
      </c>
      <c r="CI273" s="30">
        <f>CH273/AS273</f>
        <v>0</v>
      </c>
      <c r="CJ273" s="30"/>
      <c r="CK273" s="30"/>
      <c r="CL273" s="30"/>
      <c r="CM273" s="30">
        <v>0</v>
      </c>
      <c r="CN273" s="30">
        <v>0</v>
      </c>
      <c r="CO273" s="30">
        <f>CN273/AS273</f>
        <v>0</v>
      </c>
      <c r="CP273" s="30">
        <v>0</v>
      </c>
      <c r="CQ273" s="30">
        <v>0</v>
      </c>
      <c r="CR273" s="30">
        <f>CQ273/AS273</f>
        <v>0</v>
      </c>
      <c r="CS273" s="30">
        <f>IF(CT273&gt;0,1,0)</f>
        <v>0</v>
      </c>
      <c r="CT273" s="30">
        <f>SUM(CW273,CZ273,DC273)</f>
        <v>0</v>
      </c>
      <c r="CU273" s="30"/>
      <c r="CV273" s="30">
        <f>SUM(CY273,DB273,DE273)</f>
        <v>0</v>
      </c>
      <c r="CW273" s="30">
        <v>0</v>
      </c>
      <c r="CX273" s="30">
        <v>0</v>
      </c>
      <c r="CY273" s="30">
        <f>CX273/AS273</f>
        <v>0</v>
      </c>
      <c r="CZ273" s="30">
        <v>0</v>
      </c>
      <c r="DA273" s="30">
        <v>0</v>
      </c>
      <c r="DB273" s="30">
        <f>DA273/AS273</f>
        <v>0</v>
      </c>
      <c r="DC273" s="30">
        <v>0</v>
      </c>
      <c r="DD273" s="30">
        <v>0</v>
      </c>
      <c r="DE273" s="30">
        <f>DD273/AS273</f>
        <v>0</v>
      </c>
      <c r="DF273" s="16" t="e">
        <f>VLOOKUP(K273,'[3]RNA Seq summary tables'!$V$3:$V$99,1,FALSE)</f>
        <v>#N/A</v>
      </c>
      <c r="DI273" s="30">
        <v>30</v>
      </c>
      <c r="DJ273" s="30"/>
      <c r="DK273" s="30">
        <v>66</v>
      </c>
      <c r="DL273" s="30"/>
      <c r="DM273" s="30">
        <v>4</v>
      </c>
      <c r="DN273" s="30"/>
      <c r="DO273" s="30">
        <v>0</v>
      </c>
      <c r="DP273" s="30"/>
      <c r="DQ273" s="30">
        <v>0</v>
      </c>
      <c r="DR273" s="30">
        <f>SUM(DI273:DQ273)</f>
        <v>100</v>
      </c>
      <c r="DS273" s="30"/>
    </row>
    <row r="274" spans="1:288" x14ac:dyDescent="0.2">
      <c r="A274" s="30"/>
      <c r="B274" s="30">
        <v>2017</v>
      </c>
      <c r="C274" s="74">
        <v>42919</v>
      </c>
      <c r="D274" s="74" t="str">
        <f>CONCATENATE(J274,"-",C274)</f>
        <v>1136-42919</v>
      </c>
      <c r="E274" s="20" t="str">
        <f>CONCATENATE(T274,"-",U274,"-",C274)</f>
        <v>BC2-G4-42919</v>
      </c>
      <c r="F274" s="31" t="s">
        <v>106</v>
      </c>
      <c r="G274" s="31" t="s">
        <v>107</v>
      </c>
      <c r="H274" s="30" t="s">
        <v>175</v>
      </c>
      <c r="I274" s="30">
        <v>1</v>
      </c>
      <c r="J274" s="32">
        <v>1136</v>
      </c>
      <c r="K274" s="32" t="s">
        <v>153</v>
      </c>
      <c r="L274" s="18">
        <v>0</v>
      </c>
      <c r="M274" s="32"/>
      <c r="N274" s="32"/>
      <c r="O274" s="35" t="s">
        <v>119</v>
      </c>
      <c r="P274" s="30" t="s">
        <v>119</v>
      </c>
      <c r="Q274" s="30">
        <v>0</v>
      </c>
      <c r="R274" s="30">
        <v>15</v>
      </c>
      <c r="S274" s="30"/>
      <c r="T274" s="30" t="s">
        <v>154</v>
      </c>
      <c r="U274" s="30" t="s">
        <v>173</v>
      </c>
      <c r="V274" s="30" t="s">
        <v>114</v>
      </c>
      <c r="W274" s="30">
        <f>AI274/AG274</f>
        <v>0.8666666666666667</v>
      </c>
      <c r="X274" s="30" t="s">
        <v>115</v>
      </c>
      <c r="Y274" s="30" t="s">
        <v>110</v>
      </c>
      <c r="Z274" s="30">
        <v>3</v>
      </c>
      <c r="AA274" s="30"/>
      <c r="AB274" s="30"/>
      <c r="AC274" s="30"/>
      <c r="AD274" s="30"/>
      <c r="AE274" s="30" t="s">
        <v>116</v>
      </c>
      <c r="AF274" s="30" t="s">
        <v>116</v>
      </c>
      <c r="AG274" s="30">
        <f>AH274-AI274</f>
        <v>90</v>
      </c>
      <c r="AH274" s="30">
        <v>168</v>
      </c>
      <c r="AI274" s="30">
        <v>78</v>
      </c>
      <c r="AJ274" s="30"/>
      <c r="AK274" s="30">
        <v>21</v>
      </c>
      <c r="AL274" s="30">
        <v>1</v>
      </c>
      <c r="AM274" s="30">
        <v>0</v>
      </c>
      <c r="AN274" s="30">
        <v>0</v>
      </c>
      <c r="AO274" s="30">
        <v>1</v>
      </c>
      <c r="AP274" s="30">
        <f>SUM(AL274:AN274)</f>
        <v>1</v>
      </c>
      <c r="AQ274" s="30">
        <v>1.677</v>
      </c>
      <c r="AR274" s="30">
        <f>AP274-1.472</f>
        <v>-0.47199999999999998</v>
      </c>
      <c r="AS274" s="30">
        <f>AQ274-1.472</f>
        <v>0.20500000000000007</v>
      </c>
      <c r="AT274" s="30" t="s">
        <v>119</v>
      </c>
      <c r="AU274" s="30"/>
      <c r="AV274" s="30">
        <v>1</v>
      </c>
      <c r="AW274" s="30">
        <f>IF(AX274&gt;0,1,0)</f>
        <v>0</v>
      </c>
      <c r="AX274" s="30">
        <f>SUM(BA274,BM274,CT274)</f>
        <v>0</v>
      </c>
      <c r="AY274" s="30">
        <f>SUM(BB274,BN274,CV274)</f>
        <v>0</v>
      </c>
      <c r="AZ274" s="30">
        <v>0</v>
      </c>
      <c r="BA274" s="30">
        <v>0</v>
      </c>
      <c r="BB274" s="30">
        <f>SUM(BE274,BH274,BK274)</f>
        <v>0</v>
      </c>
      <c r="BC274" s="30">
        <v>0</v>
      </c>
      <c r="BD274" s="30">
        <v>0</v>
      </c>
      <c r="BE274" s="30">
        <f>BD274/AS274</f>
        <v>0</v>
      </c>
      <c r="BF274" s="30">
        <v>0</v>
      </c>
      <c r="BG274" s="34">
        <v>0</v>
      </c>
      <c r="BH274" s="30">
        <f>BG274/AS274</f>
        <v>0</v>
      </c>
      <c r="BI274" s="30">
        <v>0</v>
      </c>
      <c r="BJ274" s="30">
        <v>0</v>
      </c>
      <c r="BK274" s="30">
        <f>BJ274/AS274</f>
        <v>0</v>
      </c>
      <c r="BL274" s="30">
        <v>0</v>
      </c>
      <c r="BM274" s="30">
        <f>SUM(BR274,BU274,BX274,CA274,CD274,CG274,CJ274,CM274,CP274)</f>
        <v>0</v>
      </c>
      <c r="BN274" s="30">
        <f>SUM(BW274,BZ274,CC274,CF274,CI274,CL274,CO274,CR274,BT274)</f>
        <v>0</v>
      </c>
      <c r="BO274" s="30">
        <f>IF(BP274&gt;0,1,0)</f>
        <v>0</v>
      </c>
      <c r="BP274" s="30">
        <f>SUM(BU274,BX274,CA274,CD274,BR274)</f>
        <v>0</v>
      </c>
      <c r="BQ274" s="30">
        <f>SUM(BZ274,CC274,CF274,BT274,BW274)</f>
        <v>0</v>
      </c>
      <c r="BR274" s="30">
        <v>0</v>
      </c>
      <c r="BS274" s="30">
        <v>0</v>
      </c>
      <c r="BT274" s="34">
        <f>BS274/AS274</f>
        <v>0</v>
      </c>
      <c r="BU274" s="30">
        <v>0</v>
      </c>
      <c r="BV274" s="30">
        <v>0</v>
      </c>
      <c r="BW274" s="30">
        <f>BV274/AS274</f>
        <v>0</v>
      </c>
      <c r="BX274" s="30">
        <v>0</v>
      </c>
      <c r="BY274" s="30">
        <v>0</v>
      </c>
      <c r="BZ274" s="30">
        <f>BY274/AS274</f>
        <v>0</v>
      </c>
      <c r="CA274" s="30">
        <v>0</v>
      </c>
      <c r="CB274" s="30">
        <v>0</v>
      </c>
      <c r="CC274" s="30">
        <f>CB274/AS274</f>
        <v>0</v>
      </c>
      <c r="CD274" s="34">
        <v>0</v>
      </c>
      <c r="CE274" s="30">
        <v>0</v>
      </c>
      <c r="CF274" s="30">
        <f>CE274/AS274</f>
        <v>0</v>
      </c>
      <c r="CG274" s="30">
        <v>0</v>
      </c>
      <c r="CH274" s="30">
        <v>0</v>
      </c>
      <c r="CI274" s="30">
        <f>CH274/AS274</f>
        <v>0</v>
      </c>
      <c r="CJ274" s="30"/>
      <c r="CK274" s="30"/>
      <c r="CL274" s="30"/>
      <c r="CM274" s="30">
        <v>0</v>
      </c>
      <c r="CN274" s="30">
        <v>0</v>
      </c>
      <c r="CO274" s="30">
        <f>CN274/AS274</f>
        <v>0</v>
      </c>
      <c r="CP274" s="30">
        <v>0</v>
      </c>
      <c r="CQ274" s="30">
        <v>0</v>
      </c>
      <c r="CR274" s="30">
        <f>CQ274/AS274</f>
        <v>0</v>
      </c>
      <c r="CS274" s="30">
        <v>0</v>
      </c>
      <c r="CT274" s="30">
        <v>0</v>
      </c>
      <c r="CU274" s="30"/>
      <c r="CV274" s="30">
        <f>SUM(CY274,DB274,DE274)</f>
        <v>0</v>
      </c>
      <c r="CW274" s="30">
        <v>0</v>
      </c>
      <c r="CX274" s="30">
        <v>0</v>
      </c>
      <c r="CY274" s="30">
        <f>CX274/AS274</f>
        <v>0</v>
      </c>
      <c r="CZ274" s="30">
        <v>0</v>
      </c>
      <c r="DA274" s="30">
        <v>0</v>
      </c>
      <c r="DB274" s="30">
        <f>DA274/AS274</f>
        <v>0</v>
      </c>
      <c r="DC274" s="30">
        <v>0</v>
      </c>
      <c r="DD274" s="30">
        <v>0</v>
      </c>
      <c r="DE274" s="30">
        <f>DD274/AS274</f>
        <v>0</v>
      </c>
      <c r="DF274" s="16" t="e">
        <f>VLOOKUP(K274,'[3]RNA Seq summary tables'!$V$3:$V$99,1,FALSE)</f>
        <v>#N/A</v>
      </c>
      <c r="DI274" s="30"/>
      <c r="DJ274" s="30"/>
      <c r="DK274" s="30"/>
      <c r="DL274" s="30"/>
      <c r="DM274" s="30"/>
      <c r="DN274" s="30"/>
      <c r="DO274" s="30"/>
      <c r="DP274" s="30"/>
      <c r="DQ274" s="30"/>
      <c r="DR274" s="30"/>
      <c r="DS274" s="30"/>
      <c r="JR274" s="27"/>
      <c r="JS274" s="27"/>
      <c r="JT274" s="27"/>
      <c r="JU274" s="27"/>
      <c r="JV274" s="27"/>
      <c r="JW274" s="27"/>
      <c r="JX274" s="27"/>
      <c r="JY274" s="27"/>
      <c r="JZ274" s="27"/>
      <c r="KA274" s="27"/>
      <c r="KB274" s="27"/>
    </row>
    <row r="275" spans="1:288" x14ac:dyDescent="0.2">
      <c r="B275" s="16">
        <v>2017</v>
      </c>
      <c r="C275" s="66">
        <v>42904</v>
      </c>
      <c r="D275" s="66" t="str">
        <f>CONCATENATE(J275,"-",C275)</f>
        <v>1138-42904</v>
      </c>
      <c r="E275" s="20" t="str">
        <f>CONCATENATE(T275,"-",U275,"-",C275)</f>
        <v>BC1-G3-42904</v>
      </c>
      <c r="F275" s="20" t="s">
        <v>106</v>
      </c>
      <c r="G275" s="20" t="s">
        <v>107</v>
      </c>
      <c r="I275" s="16">
        <v>0</v>
      </c>
      <c r="J275" s="21">
        <v>1138</v>
      </c>
      <c r="K275" s="21">
        <v>1691</v>
      </c>
      <c r="L275" s="18">
        <v>0</v>
      </c>
      <c r="M275" s="21">
        <f>VLOOKUP($K275,'[4]blood tubes 2017'!$D$1:$L$647,8,FALSE)</f>
        <v>0</v>
      </c>
      <c r="N275" s="15">
        <v>0</v>
      </c>
      <c r="O275" s="15" t="s">
        <v>119</v>
      </c>
      <c r="P275" s="16" t="s">
        <v>119</v>
      </c>
      <c r="Q275" s="16">
        <v>0</v>
      </c>
      <c r="R275" s="16" t="s">
        <v>111</v>
      </c>
      <c r="T275" s="16" t="s">
        <v>159</v>
      </c>
      <c r="U275" s="16" t="s">
        <v>179</v>
      </c>
      <c r="V275" s="16" t="s">
        <v>114</v>
      </c>
      <c r="W275" s="16">
        <f>AI275/AG275</f>
        <v>0.68181818181818177</v>
      </c>
      <c r="X275" s="16" t="s">
        <v>115</v>
      </c>
      <c r="Y275" s="16" t="s">
        <v>122</v>
      </c>
      <c r="Z275" s="16">
        <v>2.2999999999999998</v>
      </c>
      <c r="AE275" s="16" t="s">
        <v>123</v>
      </c>
      <c r="AF275" s="16" t="s">
        <v>123</v>
      </c>
      <c r="AG275" s="16">
        <f>AH275-AI275</f>
        <v>88</v>
      </c>
      <c r="AH275" s="16">
        <v>148</v>
      </c>
      <c r="AI275" s="16">
        <v>60</v>
      </c>
      <c r="AK275" s="16">
        <v>15.5</v>
      </c>
      <c r="AL275" s="16">
        <v>0</v>
      </c>
      <c r="AM275" s="16">
        <v>0</v>
      </c>
      <c r="AN275" s="16">
        <v>0</v>
      </c>
      <c r="AO275" s="16">
        <v>0</v>
      </c>
      <c r="AP275" s="16">
        <f>SUM(AL275:AN275)</f>
        <v>0</v>
      </c>
      <c r="AQ275" s="16">
        <v>1.649</v>
      </c>
      <c r="AR275" s="16">
        <f>AP275-1.472</f>
        <v>-1.472</v>
      </c>
      <c r="AS275" s="16">
        <f>AQ275-1.472</f>
        <v>0.17700000000000005</v>
      </c>
      <c r="AT275" s="16" t="s">
        <v>234</v>
      </c>
      <c r="AW275" s="16">
        <f>IF(AX275&gt;0,1,0)</f>
        <v>1</v>
      </c>
      <c r="AX275" s="16">
        <f>SUM(BA275,BM275,CT275)</f>
        <v>4</v>
      </c>
      <c r="AY275" s="18">
        <f>SUM(BB275,BN275,CV275)</f>
        <v>1853.1073446327682</v>
      </c>
      <c r="AZ275" s="16">
        <f>IF(BA275&gt;0,1,0)</f>
        <v>1</v>
      </c>
      <c r="BA275" s="16">
        <f>SUM(BC275,BF275,BI275)</f>
        <v>3</v>
      </c>
      <c r="BB275" s="16">
        <f>SUM(BE275,BH275,BK275)</f>
        <v>1836.1581920903952</v>
      </c>
      <c r="BC275" s="16">
        <v>1</v>
      </c>
      <c r="BD275" s="16">
        <v>31</v>
      </c>
      <c r="BE275" s="16">
        <f>BD275/AS275</f>
        <v>175.14124293785306</v>
      </c>
      <c r="BF275" s="16">
        <v>1</v>
      </c>
      <c r="BG275" s="23">
        <v>283</v>
      </c>
      <c r="BH275" s="16">
        <f>BG275/AS275</f>
        <v>1598.8700564971748</v>
      </c>
      <c r="BI275" s="16">
        <v>1</v>
      </c>
      <c r="BJ275" s="16">
        <v>11</v>
      </c>
      <c r="BK275" s="16">
        <f>BJ275/AS275</f>
        <v>62.146892655367218</v>
      </c>
      <c r="BL275" s="16">
        <f>IF(BM275&gt;0,1,0)</f>
        <v>1</v>
      </c>
      <c r="BM275" s="16">
        <f>SUM(BR275,BU275,BX275,CA275,CD275,CG275,CJ275,CM275,CP275)</f>
        <v>1</v>
      </c>
      <c r="BN275" s="16">
        <f>SUM(BW275,BZ275,CC275,CF275,CI275,CL275,CO275,CR275,BT275)</f>
        <v>16.949152542372875</v>
      </c>
      <c r="BO275" s="16">
        <f>IF(BP275&gt;0,1,0)</f>
        <v>1</v>
      </c>
      <c r="BP275" s="16">
        <f>SUM(BU275,BX275,CA275,CD275,BR275)</f>
        <v>1</v>
      </c>
      <c r="BQ275" s="16">
        <f>SUM(BZ275,CC275,CF275,BT275,BW275)</f>
        <v>16.949152542372875</v>
      </c>
      <c r="BR275" s="16">
        <v>0</v>
      </c>
      <c r="BS275" s="16">
        <v>0</v>
      </c>
      <c r="BT275" s="23">
        <f>BS275/AS275</f>
        <v>0</v>
      </c>
      <c r="BU275" s="16">
        <v>0</v>
      </c>
      <c r="BV275" s="16">
        <v>0</v>
      </c>
      <c r="BW275" s="16">
        <f>BV275/AS275</f>
        <v>0</v>
      </c>
      <c r="BX275" s="16">
        <v>0</v>
      </c>
      <c r="BY275" s="16">
        <v>0</v>
      </c>
      <c r="BZ275" s="16">
        <f>BY275/AS275</f>
        <v>0</v>
      </c>
      <c r="CA275" s="16">
        <v>1</v>
      </c>
      <c r="CB275" s="16">
        <v>3</v>
      </c>
      <c r="CC275" s="16">
        <f>CB275/AS275</f>
        <v>16.949152542372875</v>
      </c>
      <c r="CD275" s="23">
        <v>0</v>
      </c>
      <c r="CE275" s="16">
        <v>0</v>
      </c>
      <c r="CF275" s="16">
        <f>CE275/AS275</f>
        <v>0</v>
      </c>
      <c r="CG275" s="16">
        <v>0</v>
      </c>
      <c r="CH275" s="16">
        <v>0</v>
      </c>
      <c r="CI275" s="16">
        <f>CH275/AS275</f>
        <v>0</v>
      </c>
      <c r="CM275" s="16">
        <v>0</v>
      </c>
      <c r="CN275" s="16">
        <v>0</v>
      </c>
      <c r="CO275" s="16">
        <f>CN275/AS275</f>
        <v>0</v>
      </c>
      <c r="CP275" s="16">
        <v>0</v>
      </c>
      <c r="CQ275" s="16">
        <v>0</v>
      </c>
      <c r="CR275" s="16">
        <f>CQ275/AS275</f>
        <v>0</v>
      </c>
      <c r="CS275" s="16">
        <f>IF(CT275&gt;0,1,0)</f>
        <v>0</v>
      </c>
      <c r="CT275" s="16">
        <f>SUM(CW275,CZ275,DC275)</f>
        <v>0</v>
      </c>
      <c r="CV275" s="16">
        <f>SUM(CY275,DB275,DE275)</f>
        <v>0</v>
      </c>
      <c r="CW275" s="16">
        <v>0</v>
      </c>
      <c r="CX275" s="16">
        <v>0</v>
      </c>
      <c r="CY275" s="16">
        <f>CX275/AS275</f>
        <v>0</v>
      </c>
      <c r="CZ275" s="16">
        <v>0</v>
      </c>
      <c r="DA275" s="16">
        <v>0</v>
      </c>
      <c r="DB275" s="16">
        <f>DA275/AS275</f>
        <v>0</v>
      </c>
      <c r="DC275" s="16">
        <v>0</v>
      </c>
      <c r="DD275" s="16">
        <v>0</v>
      </c>
      <c r="DE275" s="16">
        <f>DD275/AS275</f>
        <v>0</v>
      </c>
      <c r="DF275" s="16" t="e">
        <f>VLOOKUP(K275,'[3]RNA Seq summary tables'!$V$3:$V$99,1,FALSE)</f>
        <v>#N/A</v>
      </c>
      <c r="DI275" s="16">
        <v>73</v>
      </c>
      <c r="DK275" s="16">
        <v>23</v>
      </c>
      <c r="DM275" s="16">
        <v>4</v>
      </c>
      <c r="DO275" s="16">
        <v>0</v>
      </c>
      <c r="DQ275" s="16">
        <v>0</v>
      </c>
      <c r="DR275" s="16">
        <f>SUM(DI275:DQ275)</f>
        <v>100</v>
      </c>
      <c r="JP275" s="18"/>
      <c r="JQ275" s="18"/>
    </row>
    <row r="276" spans="1:288" x14ac:dyDescent="0.2">
      <c r="B276" s="16">
        <v>2017</v>
      </c>
      <c r="C276" s="20">
        <v>42905</v>
      </c>
      <c r="D276" s="20" t="str">
        <f>CONCATENATE(J276,"-",C276)</f>
        <v>1140-42905</v>
      </c>
      <c r="E276" s="20" t="str">
        <f>CONCATENATE(T276,"-",U276,"-",C276)</f>
        <v>SP1-F3-42905</v>
      </c>
      <c r="F276" s="20" t="s">
        <v>106</v>
      </c>
      <c r="G276" s="20" t="s">
        <v>107</v>
      </c>
      <c r="I276" s="16">
        <v>0</v>
      </c>
      <c r="J276" s="21">
        <v>1140</v>
      </c>
      <c r="K276" s="21">
        <v>1697</v>
      </c>
      <c r="L276" s="16">
        <v>1</v>
      </c>
      <c r="M276" s="21">
        <f>VLOOKUP($K276,'[4]blood tubes 2017'!$D$1:$L$647,8,FALSE)</f>
        <v>0</v>
      </c>
      <c r="N276" s="15">
        <v>0</v>
      </c>
      <c r="O276" s="15" t="s">
        <v>119</v>
      </c>
      <c r="P276" s="16" t="s">
        <v>119</v>
      </c>
      <c r="Q276" s="16">
        <v>0</v>
      </c>
      <c r="R276" s="16" t="s">
        <v>111</v>
      </c>
      <c r="T276" s="16" t="s">
        <v>140</v>
      </c>
      <c r="U276" s="16" t="s">
        <v>182</v>
      </c>
      <c r="V276" s="16" t="s">
        <v>114</v>
      </c>
      <c r="W276" s="16">
        <f>AI276/AG276</f>
        <v>0.87058823529411766</v>
      </c>
      <c r="X276" s="16" t="s">
        <v>115</v>
      </c>
      <c r="Y276" s="16" t="s">
        <v>110</v>
      </c>
      <c r="Z276" s="16">
        <v>3</v>
      </c>
      <c r="AE276" s="16" t="s">
        <v>123</v>
      </c>
      <c r="AF276" s="16" t="s">
        <v>123</v>
      </c>
      <c r="AG276" s="16">
        <f>AH276-AI276</f>
        <v>85</v>
      </c>
      <c r="AH276" s="16">
        <v>159</v>
      </c>
      <c r="AI276" s="16">
        <v>74</v>
      </c>
      <c r="AK276" s="16">
        <v>17.5</v>
      </c>
      <c r="AL276" s="16">
        <v>0</v>
      </c>
      <c r="AM276" s="16">
        <v>0</v>
      </c>
      <c r="AN276" s="16">
        <v>0</v>
      </c>
      <c r="AO276" s="16">
        <v>0</v>
      </c>
      <c r="AP276" s="16">
        <f>SUM(AL276:AN276)</f>
        <v>0</v>
      </c>
      <c r="AQ276" s="16">
        <v>2.2599999999999998</v>
      </c>
      <c r="AR276" s="16">
        <f>AP276-1.472</f>
        <v>-1.472</v>
      </c>
      <c r="AS276" s="16">
        <f>AQ276-1.472</f>
        <v>0.78799999999999981</v>
      </c>
      <c r="AT276" s="16" t="s">
        <v>234</v>
      </c>
      <c r="AW276" s="16">
        <f>IF(AX276&gt;0,1,0)</f>
        <v>1</v>
      </c>
      <c r="AX276" s="16">
        <f>SUM(BA276,BM276,CT276)</f>
        <v>1</v>
      </c>
      <c r="AY276" s="18">
        <f>SUM(BB276,BN276,CV276)</f>
        <v>2.5380710659898482</v>
      </c>
      <c r="AZ276" s="16">
        <f>IF(BA276&gt;0,1,0)</f>
        <v>1</v>
      </c>
      <c r="BA276" s="16">
        <f>SUM(BC276,BF276,BI276)</f>
        <v>1</v>
      </c>
      <c r="BB276" s="16">
        <f>SUM(BE276,BH276,BK276)</f>
        <v>2.5380710659898482</v>
      </c>
      <c r="BC276" s="16">
        <v>0</v>
      </c>
      <c r="BD276" s="16">
        <v>0</v>
      </c>
      <c r="BE276" s="16">
        <f>BD276/AS276</f>
        <v>0</v>
      </c>
      <c r="BF276" s="16">
        <v>1</v>
      </c>
      <c r="BG276" s="23">
        <v>2</v>
      </c>
      <c r="BH276" s="16">
        <f>BG276/AS276</f>
        <v>2.5380710659898482</v>
      </c>
      <c r="BI276" s="16">
        <v>0</v>
      </c>
      <c r="BJ276" s="16">
        <v>0</v>
      </c>
      <c r="BK276" s="16">
        <f>BJ276/AS276</f>
        <v>0</v>
      </c>
      <c r="BL276" s="16">
        <f>IF(BM276&gt;0,1,0)</f>
        <v>0</v>
      </c>
      <c r="BM276" s="16">
        <f>SUM(BR276,BU276,BX276,CA276,CD276,CG276,CJ276,CM276,CP276)</f>
        <v>0</v>
      </c>
      <c r="BN276" s="16">
        <f>SUM(BW276,BZ276,CC276,CF276,CI276,CL276,CO276,CR276,BT276)</f>
        <v>0</v>
      </c>
      <c r="BO276" s="16">
        <f>IF(BP276&gt;0,1,0)</f>
        <v>0</v>
      </c>
      <c r="BP276" s="16">
        <f>SUM(BU276,BX276,CA276,CD276,BR276)</f>
        <v>0</v>
      </c>
      <c r="BQ276" s="16">
        <f>SUM(BZ276,CC276,CF276,BT276,BW276)</f>
        <v>0</v>
      </c>
      <c r="BR276" s="16">
        <v>0</v>
      </c>
      <c r="BS276" s="16">
        <v>0</v>
      </c>
      <c r="BT276" s="23">
        <f>BS276/AS276</f>
        <v>0</v>
      </c>
      <c r="BU276" s="16">
        <v>0</v>
      </c>
      <c r="BV276" s="16">
        <v>0</v>
      </c>
      <c r="BW276" s="16">
        <f>BV276/AS276</f>
        <v>0</v>
      </c>
      <c r="BX276" s="16">
        <v>0</v>
      </c>
      <c r="BY276" s="16">
        <v>0</v>
      </c>
      <c r="BZ276" s="16">
        <f>BY276/AS276</f>
        <v>0</v>
      </c>
      <c r="CA276" s="16">
        <v>0</v>
      </c>
      <c r="CB276" s="16">
        <v>0</v>
      </c>
      <c r="CC276" s="16">
        <f>CB276/AS276</f>
        <v>0</v>
      </c>
      <c r="CD276" s="23">
        <v>0</v>
      </c>
      <c r="CE276" s="16">
        <v>0</v>
      </c>
      <c r="CF276" s="16">
        <f>CE276/AS276</f>
        <v>0</v>
      </c>
      <c r="CG276" s="16">
        <v>0</v>
      </c>
      <c r="CH276" s="16">
        <v>0</v>
      </c>
      <c r="CI276" s="16">
        <f>CH276/AS276</f>
        <v>0</v>
      </c>
      <c r="CM276" s="16">
        <v>0</v>
      </c>
      <c r="CN276" s="16">
        <v>0</v>
      </c>
      <c r="CO276" s="16">
        <f>CN276/AS276</f>
        <v>0</v>
      </c>
      <c r="CP276" s="16">
        <v>0</v>
      </c>
      <c r="CQ276" s="16">
        <v>0</v>
      </c>
      <c r="CR276" s="16">
        <f>CQ276/AS276</f>
        <v>0</v>
      </c>
      <c r="CS276" s="16">
        <f>IF(CT276&gt;0,1,0)</f>
        <v>0</v>
      </c>
      <c r="CT276" s="16">
        <f>SUM(CW276,CZ276,DC276)</f>
        <v>0</v>
      </c>
      <c r="CV276" s="16">
        <f>SUM(CY276,DB276,DE276)</f>
        <v>0</v>
      </c>
      <c r="CW276" s="16">
        <v>0</v>
      </c>
      <c r="CX276" s="16">
        <v>0</v>
      </c>
      <c r="CY276" s="16">
        <f>CX276/AS276</f>
        <v>0</v>
      </c>
      <c r="CZ276" s="16">
        <v>0</v>
      </c>
      <c r="DA276" s="16">
        <v>0</v>
      </c>
      <c r="DB276" s="16">
        <f>DA276/AS276</f>
        <v>0</v>
      </c>
      <c r="DC276" s="16">
        <v>0</v>
      </c>
      <c r="DD276" s="16">
        <v>0</v>
      </c>
      <c r="DE276" s="16">
        <f>DD276/AS276</f>
        <v>0</v>
      </c>
      <c r="DF276" s="16">
        <f>VLOOKUP(K276,'[3]RNA Seq summary tables'!$V$3:$V$99,1,FALSE)</f>
        <v>1697</v>
      </c>
      <c r="DI276" s="16">
        <v>81</v>
      </c>
      <c r="DK276" s="16">
        <v>17</v>
      </c>
      <c r="DM276" s="16">
        <v>2</v>
      </c>
      <c r="DO276" s="16">
        <v>0</v>
      </c>
      <c r="DQ276" s="16">
        <v>0</v>
      </c>
      <c r="DR276" s="16">
        <f>SUM(DI276:DQ276)</f>
        <v>100</v>
      </c>
      <c r="JO276" s="18"/>
    </row>
    <row r="277" spans="1:288" x14ac:dyDescent="0.2">
      <c r="B277" s="16">
        <v>2017</v>
      </c>
      <c r="C277" s="20">
        <v>42923</v>
      </c>
      <c r="D277" s="20" t="str">
        <f>CONCATENATE(J277,"-",C277)</f>
        <v>1140-42923</v>
      </c>
      <c r="E277" s="20" t="str">
        <f>CONCATENATE(T277,"-",U277,"-",C277)</f>
        <v>SP1-H8-42923</v>
      </c>
      <c r="F277" s="20" t="s">
        <v>106</v>
      </c>
      <c r="G277" s="20" t="s">
        <v>107</v>
      </c>
      <c r="I277" s="16">
        <v>0</v>
      </c>
      <c r="J277" s="21">
        <v>1140</v>
      </c>
      <c r="K277" s="36">
        <v>1843</v>
      </c>
      <c r="L277" s="16">
        <v>1</v>
      </c>
      <c r="M277" s="21">
        <f>VLOOKUP($K277,'[4]blood tubes 2017'!$D$1:$L$647,8,FALSE)</f>
        <v>0</v>
      </c>
      <c r="N277" s="15">
        <v>0</v>
      </c>
      <c r="O277" s="15" t="s">
        <v>119</v>
      </c>
      <c r="P277" s="16" t="s">
        <v>119</v>
      </c>
      <c r="Q277" s="16">
        <v>0</v>
      </c>
      <c r="R277" s="16">
        <v>18</v>
      </c>
      <c r="T277" s="16" t="s">
        <v>140</v>
      </c>
      <c r="U277" s="16" t="s">
        <v>152</v>
      </c>
      <c r="V277" s="16" t="s">
        <v>114</v>
      </c>
      <c r="W277" s="16">
        <f>AI277/AG277</f>
        <v>0.87058823529411766</v>
      </c>
      <c r="X277" s="16" t="s">
        <v>115</v>
      </c>
      <c r="Y277" s="16" t="s">
        <v>110</v>
      </c>
      <c r="Z277" s="16">
        <v>3</v>
      </c>
      <c r="AE277" s="16" t="s">
        <v>116</v>
      </c>
      <c r="AF277" s="16" t="s">
        <v>116</v>
      </c>
      <c r="AG277" s="16">
        <f>AH277-AI277</f>
        <v>85</v>
      </c>
      <c r="AH277" s="16">
        <v>159</v>
      </c>
      <c r="AI277" s="16">
        <v>74</v>
      </c>
      <c r="AK277" s="16">
        <v>20.5</v>
      </c>
      <c r="AL277" s="16">
        <v>0</v>
      </c>
      <c r="AM277" s="16">
        <v>0</v>
      </c>
      <c r="AN277" s="16">
        <v>0</v>
      </c>
      <c r="AO277" s="16">
        <v>0</v>
      </c>
      <c r="AP277" s="16">
        <f>SUM(AL277:AN277)</f>
        <v>0</v>
      </c>
      <c r="AQ277" s="16">
        <v>2.3319999999999999</v>
      </c>
      <c r="AR277" s="16">
        <f>AP277-1.472</f>
        <v>-1.472</v>
      </c>
      <c r="AS277" s="16">
        <f>AQ277-1.472</f>
        <v>0.85999999999999988</v>
      </c>
      <c r="AT277" s="16" t="str">
        <f>VLOOKUP(K277,'[5]FECs - good data'!$C$1:$P$575,13,FALSE)</f>
        <v>CH</v>
      </c>
      <c r="AW277" s="18">
        <f>IF(AX277&gt;0,1,0)</f>
        <v>1</v>
      </c>
      <c r="AX277" s="18">
        <f>SUM(BA277,BM277,CT277)</f>
        <v>3</v>
      </c>
      <c r="AY277" s="18">
        <f>SUM(BB277,BN277,CV277)</f>
        <v>270.93023255813961</v>
      </c>
      <c r="AZ277" s="18">
        <f>IF(BA277&gt;0,1,0)</f>
        <v>1</v>
      </c>
      <c r="BA277" s="18">
        <f>SUM(BC277,BF277,BI277)</f>
        <v>2</v>
      </c>
      <c r="BB277" s="18">
        <f>SUM(BE277,BH277,BK277)</f>
        <v>269.76744186046517</v>
      </c>
      <c r="BC277" s="18">
        <f>IF(BD277&gt;0,1,0)</f>
        <v>1</v>
      </c>
      <c r="BD277" s="18">
        <f>VLOOKUP($K277,'[5]FECs - good data'!$C$1:$Z$574,14,FALSE)</f>
        <v>56</v>
      </c>
      <c r="BE277" s="18">
        <f>BD277/AS277</f>
        <v>65.116279069767458</v>
      </c>
      <c r="BF277" s="18">
        <f>IF(BG277&gt;0,1,0)</f>
        <v>1</v>
      </c>
      <c r="BG277" s="25">
        <f>VLOOKUP($K277,'[5]FECs - good data'!$C$1:$Z$432,15,FALSE)</f>
        <v>176</v>
      </c>
      <c r="BH277" s="16">
        <f>BG277/AS277</f>
        <v>204.6511627906977</v>
      </c>
      <c r="BI277" s="16">
        <f>IF(BJ277&gt;0,1,0)</f>
        <v>0</v>
      </c>
      <c r="BJ277" s="16">
        <f>VLOOKUP($K277,'[5]FECs - good data'!$C$1:$Z$432,16,FALSE)</f>
        <v>0</v>
      </c>
      <c r="BK277" s="16">
        <f>BJ277/AS277</f>
        <v>0</v>
      </c>
      <c r="BL277" s="16">
        <f>IF(BM277&gt;0,1,0)</f>
        <v>1</v>
      </c>
      <c r="BM277" s="16">
        <f>SUM(BR277,BU277,BX277,CA277,CD277,CG277,CJ277,CM277,CP277)</f>
        <v>1</v>
      </c>
      <c r="BN277" s="16">
        <f>SUM(BW277,BZ277,CC277,CF277,CI277,CL277,CO277,CR277,BT277)</f>
        <v>1.1627906976744187</v>
      </c>
      <c r="BO277" s="16">
        <f>IF(BP277&gt;0,1,0)</f>
        <v>1</v>
      </c>
      <c r="BP277" s="16">
        <f>SUM(BU277,BX277,CA277,CD277,BR277)</f>
        <v>1</v>
      </c>
      <c r="BQ277" s="16">
        <f>SUM(BZ277,CC277,CF277,BT277,BW277)</f>
        <v>1.1627906976744187</v>
      </c>
      <c r="BR277" s="16">
        <f>IF(BS277&gt;0,1,0)</f>
        <v>0</v>
      </c>
      <c r="BS277" s="16">
        <f>VLOOKUP($K277,'[5]FECs - good data'!$C$1:$Z$432,17,FALSE)</f>
        <v>0</v>
      </c>
      <c r="BT277" s="23">
        <f>BS277/AS277</f>
        <v>0</v>
      </c>
      <c r="BU277" s="16">
        <f>IF(BV277&gt;0,1,0)</f>
        <v>0</v>
      </c>
      <c r="BV277" s="16">
        <f>VLOOKUP($K277,'[5]FECs - good data'!$C$1:$Z$432,18,FALSE)</f>
        <v>0</v>
      </c>
      <c r="BW277" s="16">
        <f>BV277/AS277</f>
        <v>0</v>
      </c>
      <c r="BX277" s="16">
        <f>IF(BY277&gt;0,1,0)</f>
        <v>0</v>
      </c>
      <c r="BY277" s="16">
        <f>VLOOKUP($K277,'[5]FECs - good data'!$C$1:$Z$432,19,FALSE)</f>
        <v>0</v>
      </c>
      <c r="BZ277" s="16">
        <f>BY277/AS277</f>
        <v>0</v>
      </c>
      <c r="CA277" s="16">
        <f>IF(CB277&gt;0,1,0)</f>
        <v>0</v>
      </c>
      <c r="CB277" s="16">
        <f>VLOOKUP($K277,'[5]FECs - good data'!$C$1:$Z$432,20,FALSE)</f>
        <v>0</v>
      </c>
      <c r="CC277" s="16">
        <f>CB277/AS277</f>
        <v>0</v>
      </c>
      <c r="CD277" s="23">
        <f>IF(CE277&gt;0,1,0)</f>
        <v>1</v>
      </c>
      <c r="CE277" s="16">
        <f>VLOOKUP($K277,'[5]FECs - good data'!$C$1:$Z$432,21,FALSE)</f>
        <v>1</v>
      </c>
      <c r="CF277" s="16">
        <f>CE277/AS277</f>
        <v>1.1627906976744187</v>
      </c>
      <c r="CG277" s="16">
        <f>IF(CH277&gt;0,1,0)</f>
        <v>0</v>
      </c>
      <c r="CH277" s="16">
        <f>VLOOKUP($K277,'[5]FECs - good data'!$C$1:$Z$432,22,FALSE)</f>
        <v>0</v>
      </c>
      <c r="CI277" s="16">
        <f>CH277/AS277</f>
        <v>0</v>
      </c>
      <c r="CJ277" s="16">
        <f>IF(CK277&gt;0,1,0)</f>
        <v>0</v>
      </c>
      <c r="CK277" s="16">
        <f>VLOOKUP($K277,'[5]FECs - good data'!$C$1:$Z$674,24,FALSE)</f>
        <v>0</v>
      </c>
      <c r="CL277" s="16">
        <f>CK277/AS277</f>
        <v>0</v>
      </c>
      <c r="CS277" s="16">
        <f>IF(CT277&gt;0,1,0)</f>
        <v>0</v>
      </c>
      <c r="CT277" s="16">
        <f>SUM(CW277+CZ277,DC277)</f>
        <v>0</v>
      </c>
      <c r="CV277" s="16">
        <f>SUM(CY277,DB277,DE277)</f>
        <v>0</v>
      </c>
      <c r="CW277" s="16">
        <f>IF(CX277&gt;0,1,0)</f>
        <v>0</v>
      </c>
      <c r="CX277" s="16">
        <f>VLOOKUP($K277,'[5]FECs - good data'!$C$1:$Z$432,22,FALSE)</f>
        <v>0</v>
      </c>
      <c r="CY277" s="16">
        <f>CX277/AS277</f>
        <v>0</v>
      </c>
      <c r="CZ277" s="16">
        <f>IF(DA277&gt;0,1,0)</f>
        <v>0</v>
      </c>
      <c r="DA277" s="16">
        <f>VLOOKUP($K277,'[5]FECs - good data'!$C$1:$Z$432,23,FALSE)</f>
        <v>0</v>
      </c>
      <c r="DB277" s="16">
        <f>DA277/AS277</f>
        <v>0</v>
      </c>
      <c r="DF277" s="16">
        <f>VLOOKUP(K277,'[3]RNA Seq summary tables'!$V$3:$V$99,1,FALSE)</f>
        <v>1843</v>
      </c>
      <c r="DI277" s="16">
        <v>80</v>
      </c>
      <c r="DK277" s="16">
        <v>14</v>
      </c>
      <c r="DM277" s="16">
        <v>4</v>
      </c>
      <c r="DO277" s="16">
        <v>0</v>
      </c>
      <c r="DQ277" s="16">
        <v>2</v>
      </c>
      <c r="DR277" s="16">
        <f>SUM(DI277:DQ277)</f>
        <v>100</v>
      </c>
      <c r="JR277" s="27"/>
      <c r="JS277" s="27"/>
      <c r="JT277" s="27"/>
      <c r="JU277" s="27"/>
      <c r="JV277" s="27"/>
      <c r="JW277" s="27"/>
      <c r="JX277" s="27"/>
      <c r="JY277" s="27"/>
      <c r="JZ277" s="27"/>
      <c r="KA277" s="27"/>
      <c r="KB277" s="27"/>
    </row>
    <row r="278" spans="1:288" s="18" customFormat="1" x14ac:dyDescent="0.2">
      <c r="B278" s="16">
        <v>2017</v>
      </c>
      <c r="C278" s="20">
        <v>42905</v>
      </c>
      <c r="D278" s="20" t="str">
        <f>CONCATENATE(J278,"-",C278)</f>
        <v>1142-42905</v>
      </c>
      <c r="E278" s="20" t="str">
        <f>CONCATENATE(T278,"-",U278,"-",C278)</f>
        <v>SP2-A3-42905</v>
      </c>
      <c r="F278" s="20" t="s">
        <v>106</v>
      </c>
      <c r="G278" s="20" t="s">
        <v>107</v>
      </c>
      <c r="H278" s="16"/>
      <c r="I278" s="16">
        <v>0</v>
      </c>
      <c r="J278" s="21">
        <v>1142</v>
      </c>
      <c r="K278" s="21">
        <v>1702</v>
      </c>
      <c r="L278" s="16">
        <v>1</v>
      </c>
      <c r="M278" s="21">
        <f>VLOOKUP($K278,'[4]blood tubes 2017'!$D$1:$L$647,8,FALSE)</f>
        <v>0</v>
      </c>
      <c r="N278" s="15">
        <v>0</v>
      </c>
      <c r="O278" s="15" t="s">
        <v>119</v>
      </c>
      <c r="P278" s="16" t="s">
        <v>119</v>
      </c>
      <c r="Q278" s="16">
        <v>0</v>
      </c>
      <c r="R278" s="16" t="s">
        <v>111</v>
      </c>
      <c r="S278" s="16"/>
      <c r="T278" s="16" t="s">
        <v>137</v>
      </c>
      <c r="U278" s="16" t="s">
        <v>201</v>
      </c>
      <c r="V278" s="16" t="s">
        <v>114</v>
      </c>
      <c r="W278" s="16">
        <f>AI278/AG278</f>
        <v>0.83529411764705885</v>
      </c>
      <c r="X278" s="16" t="s">
        <v>115</v>
      </c>
      <c r="Y278" s="16" t="s">
        <v>110</v>
      </c>
      <c r="Z278" s="16">
        <v>3</v>
      </c>
      <c r="AA278" s="16"/>
      <c r="AB278" s="16"/>
      <c r="AC278" s="16"/>
      <c r="AD278" s="16"/>
      <c r="AE278" s="16" t="s">
        <v>123</v>
      </c>
      <c r="AF278" s="16" t="s">
        <v>123</v>
      </c>
      <c r="AG278" s="16">
        <f>AH278-AI278</f>
        <v>85</v>
      </c>
      <c r="AH278" s="16">
        <v>156</v>
      </c>
      <c r="AI278" s="16">
        <v>71</v>
      </c>
      <c r="AJ278" s="16"/>
      <c r="AK278" s="16">
        <v>17</v>
      </c>
      <c r="AL278" s="16">
        <v>0</v>
      </c>
      <c r="AM278" s="16">
        <v>0</v>
      </c>
      <c r="AN278" s="16">
        <v>0</v>
      </c>
      <c r="AO278" s="16">
        <v>0</v>
      </c>
      <c r="AP278" s="16">
        <f>SUM(AL278:AN278)</f>
        <v>0</v>
      </c>
      <c r="AQ278" s="16">
        <v>1.9450000000000001</v>
      </c>
      <c r="AR278" s="16">
        <f>AP278-1.472</f>
        <v>-1.472</v>
      </c>
      <c r="AS278" s="16">
        <f>AQ278-1.472</f>
        <v>0.47300000000000009</v>
      </c>
      <c r="AT278" s="16" t="s">
        <v>233</v>
      </c>
      <c r="AU278" s="16"/>
      <c r="AV278" s="16"/>
      <c r="AW278" s="16">
        <f>IF(AX278&gt;0,1,0)</f>
        <v>1</v>
      </c>
      <c r="AX278" s="16">
        <f>SUM(BA278,BM278,CT278)</f>
        <v>2</v>
      </c>
      <c r="AY278" s="18">
        <f>SUM(BB278,BN278,CV278)</f>
        <v>16.91331923890063</v>
      </c>
      <c r="AZ278" s="16">
        <f>IF(BA278&gt;0,1,0)</f>
        <v>1</v>
      </c>
      <c r="BA278" s="16">
        <f>SUM(BC278,BF278,BI278)</f>
        <v>1</v>
      </c>
      <c r="BB278" s="16">
        <f>SUM(BE278,BH278,BK278)</f>
        <v>14.799154334038052</v>
      </c>
      <c r="BC278" s="16">
        <v>0</v>
      </c>
      <c r="BD278" s="16">
        <v>0</v>
      </c>
      <c r="BE278" s="16">
        <f>BD278/AS278</f>
        <v>0</v>
      </c>
      <c r="BF278" s="16">
        <v>1</v>
      </c>
      <c r="BG278" s="23">
        <v>7</v>
      </c>
      <c r="BH278" s="16">
        <f>BG278/AS278</f>
        <v>14.799154334038052</v>
      </c>
      <c r="BI278" s="16">
        <v>0</v>
      </c>
      <c r="BJ278" s="16">
        <v>0</v>
      </c>
      <c r="BK278" s="16">
        <f>BJ278/AS278</f>
        <v>0</v>
      </c>
      <c r="BL278" s="16">
        <f>IF(BM278&gt;0,1,0)</f>
        <v>1</v>
      </c>
      <c r="BM278" s="16">
        <f>SUM(BR278,BU278,BX278,CA278,CD278,CG278,CJ278,CM278,CP278)</f>
        <v>1</v>
      </c>
      <c r="BN278" s="16">
        <f>SUM(BW278,BZ278,CC278,CF278,CI278,CL278,CO278,CR278,BT278)</f>
        <v>2.1141649048625788</v>
      </c>
      <c r="BO278" s="16">
        <f>IF(BP278&gt;0,1,0)</f>
        <v>1</v>
      </c>
      <c r="BP278" s="16">
        <f>SUM(BU278,BX278,CA278,CD278,BR278)</f>
        <v>1</v>
      </c>
      <c r="BQ278" s="16">
        <f>SUM(BZ278,CC278,CF278,BT278,BW278)</f>
        <v>2.1141649048625788</v>
      </c>
      <c r="BR278" s="16">
        <v>0</v>
      </c>
      <c r="BS278" s="16">
        <v>0</v>
      </c>
      <c r="BT278" s="23">
        <f>BS278/AS278</f>
        <v>0</v>
      </c>
      <c r="BU278" s="16">
        <v>0</v>
      </c>
      <c r="BV278" s="16">
        <v>0</v>
      </c>
      <c r="BW278" s="16">
        <f>BV278/AS278</f>
        <v>0</v>
      </c>
      <c r="BX278" s="16">
        <v>0</v>
      </c>
      <c r="BY278" s="16">
        <v>0</v>
      </c>
      <c r="BZ278" s="16">
        <f>BY278/AS278</f>
        <v>0</v>
      </c>
      <c r="CA278" s="16">
        <v>1</v>
      </c>
      <c r="CB278" s="16">
        <v>1</v>
      </c>
      <c r="CC278" s="16">
        <f>CB278/AS278</f>
        <v>2.1141649048625788</v>
      </c>
      <c r="CD278" s="23">
        <v>0</v>
      </c>
      <c r="CE278" s="16">
        <v>0</v>
      </c>
      <c r="CF278" s="16">
        <f>CE278/AS278</f>
        <v>0</v>
      </c>
      <c r="CG278" s="16">
        <v>0</v>
      </c>
      <c r="CH278" s="16">
        <v>0</v>
      </c>
      <c r="CI278" s="16">
        <f>CH278/AS278</f>
        <v>0</v>
      </c>
      <c r="CJ278" s="16"/>
      <c r="CK278" s="16"/>
      <c r="CL278" s="16"/>
      <c r="CM278" s="16">
        <v>0</v>
      </c>
      <c r="CN278" s="16">
        <v>0</v>
      </c>
      <c r="CO278" s="16">
        <f>CN278/AS278</f>
        <v>0</v>
      </c>
      <c r="CP278" s="16">
        <v>0</v>
      </c>
      <c r="CQ278" s="16">
        <v>0</v>
      </c>
      <c r="CR278" s="16">
        <f>CQ278/AS278</f>
        <v>0</v>
      </c>
      <c r="CS278" s="16">
        <f>IF(CT278&gt;0,1,0)</f>
        <v>0</v>
      </c>
      <c r="CT278" s="16">
        <f>SUM(CW278,CZ278,DC278)</f>
        <v>0</v>
      </c>
      <c r="CU278" s="16"/>
      <c r="CV278" s="16">
        <f>SUM(CY278,DB278,DE278)</f>
        <v>0</v>
      </c>
      <c r="CW278" s="16">
        <v>0</v>
      </c>
      <c r="CX278" s="16">
        <v>0</v>
      </c>
      <c r="CY278" s="16">
        <f>CX278/AS278</f>
        <v>0</v>
      </c>
      <c r="CZ278" s="16">
        <v>0</v>
      </c>
      <c r="DA278" s="16">
        <v>0</v>
      </c>
      <c r="DB278" s="16">
        <f>DA278/AS278</f>
        <v>0</v>
      </c>
      <c r="DC278" s="16">
        <v>0</v>
      </c>
      <c r="DD278" s="16">
        <v>0</v>
      </c>
      <c r="DE278" s="16">
        <f>DD278/AS278</f>
        <v>0</v>
      </c>
      <c r="DF278" s="16">
        <f>VLOOKUP(K278,'[3]RNA Seq summary tables'!$V$3:$V$99,1,FALSE)</f>
        <v>1702</v>
      </c>
      <c r="DG278" s="16"/>
      <c r="DH278" s="16"/>
      <c r="DI278" s="16">
        <v>44</v>
      </c>
      <c r="DJ278" s="16"/>
      <c r="DK278" s="16">
        <v>55</v>
      </c>
      <c r="DL278" s="16"/>
      <c r="DM278" s="16">
        <v>1</v>
      </c>
      <c r="DN278" s="16"/>
      <c r="DO278" s="16">
        <v>0</v>
      </c>
      <c r="DP278" s="16"/>
      <c r="DQ278" s="16">
        <v>0</v>
      </c>
      <c r="DR278" s="16">
        <f>SUM(DI278:DQ278)</f>
        <v>100</v>
      </c>
      <c r="DS278" s="16"/>
      <c r="JO278" s="16"/>
      <c r="JP278" s="16"/>
      <c r="JQ278" s="16"/>
      <c r="JR278" s="16"/>
      <c r="JS278" s="16"/>
      <c r="JT278" s="16"/>
      <c r="JU278" s="16"/>
      <c r="JV278" s="16"/>
      <c r="JW278" s="16"/>
      <c r="JX278" s="16"/>
      <c r="JY278" s="16"/>
      <c r="JZ278" s="16"/>
      <c r="KA278" s="16"/>
      <c r="KB278" s="16"/>
    </row>
    <row r="279" spans="1:288" x14ac:dyDescent="0.2">
      <c r="B279" s="16">
        <v>2017</v>
      </c>
      <c r="C279" s="20">
        <v>42941</v>
      </c>
      <c r="D279" s="20" t="str">
        <f>CONCATENATE(J279,"-",C279)</f>
        <v>1142-42941</v>
      </c>
      <c r="E279" s="20" t="str">
        <f>CONCATENATE(T279,"-",U279,"-",C279)</f>
        <v>SP2-C2-42941</v>
      </c>
      <c r="F279" s="20" t="s">
        <v>106</v>
      </c>
      <c r="G279" s="20" t="s">
        <v>107</v>
      </c>
      <c r="I279" s="16">
        <v>0</v>
      </c>
      <c r="J279" s="21">
        <v>1142</v>
      </c>
      <c r="K279" s="21">
        <v>1990</v>
      </c>
      <c r="L279" s="16">
        <v>1</v>
      </c>
      <c r="M279" s="21">
        <f>VLOOKUP($K279,'[4]blood tubes 2017'!$D$1:$L$647,8,FALSE)</f>
        <v>0</v>
      </c>
      <c r="N279" s="15">
        <v>0</v>
      </c>
      <c r="O279" s="15" t="s">
        <v>119</v>
      </c>
      <c r="P279" s="16" t="s">
        <v>119</v>
      </c>
      <c r="Q279" s="16">
        <v>0</v>
      </c>
      <c r="R279" s="16">
        <v>36</v>
      </c>
      <c r="T279" s="16" t="s">
        <v>137</v>
      </c>
      <c r="U279" s="16" t="s">
        <v>162</v>
      </c>
      <c r="V279" s="16" t="s">
        <v>114</v>
      </c>
      <c r="W279" s="16">
        <f>AI279/AG279</f>
        <v>0.79347826086956519</v>
      </c>
      <c r="X279" s="16" t="s">
        <v>115</v>
      </c>
      <c r="Y279" s="16" t="s">
        <v>110</v>
      </c>
      <c r="Z279" s="16">
        <v>3</v>
      </c>
      <c r="AE279" s="16" t="s">
        <v>116</v>
      </c>
      <c r="AF279" s="16" t="s">
        <v>116</v>
      </c>
      <c r="AG279" s="16">
        <f>AH279-AI279</f>
        <v>92</v>
      </c>
      <c r="AH279" s="16">
        <v>165</v>
      </c>
      <c r="AI279" s="16">
        <v>73</v>
      </c>
      <c r="AK279" s="16">
        <v>20</v>
      </c>
      <c r="AL279" s="16">
        <v>0</v>
      </c>
      <c r="AM279" s="16">
        <v>0</v>
      </c>
      <c r="AN279" s="16">
        <v>0</v>
      </c>
      <c r="AO279" s="16">
        <v>0</v>
      </c>
      <c r="AP279" s="16">
        <f>SUM(AL279:AN279)</f>
        <v>0</v>
      </c>
      <c r="AQ279" s="16">
        <v>1.609</v>
      </c>
      <c r="AR279" s="16">
        <f>AP279-1.472</f>
        <v>-1.472</v>
      </c>
      <c r="AS279" s="16">
        <f>AQ279-1.472</f>
        <v>0.13700000000000001</v>
      </c>
      <c r="AT279" s="16" t="str">
        <f>VLOOKUP(K279,'[5]FECs - good data'!$C$1:$P$575,13,FALSE)</f>
        <v>SB</v>
      </c>
      <c r="AW279" s="18">
        <f>IF(AX279&gt;0,1,0)</f>
        <v>1</v>
      </c>
      <c r="AX279" s="18">
        <f>SUM(BA279,BM279,CT279)</f>
        <v>2</v>
      </c>
      <c r="AY279" s="18">
        <f>SUM(BB279,BN279,CV279)</f>
        <v>29.197080291970799</v>
      </c>
      <c r="AZ279" s="18">
        <f>IF(BA279&gt;0,1,0)</f>
        <v>1</v>
      </c>
      <c r="BA279" s="18">
        <f>SUM(BC279,BF279,BI279)</f>
        <v>2</v>
      </c>
      <c r="BB279" s="18">
        <f>SUM(BE279,BH279,BK279)</f>
        <v>29.197080291970799</v>
      </c>
      <c r="BC279" s="18">
        <f>IF(BD279&gt;0,1,0)</f>
        <v>0</v>
      </c>
      <c r="BD279" s="18">
        <f>VLOOKUP($K279,'[5]FECs - good data'!$C$1:$Z$574,14,FALSE)</f>
        <v>0</v>
      </c>
      <c r="BE279" s="16">
        <f>BD279/AS279</f>
        <v>0</v>
      </c>
      <c r="BF279" s="16">
        <f>IF(BG279&gt;0,1,0)</f>
        <v>1</v>
      </c>
      <c r="BG279" s="23">
        <f>VLOOKUP($K279,'[5]FECs - good data'!$C$1:$Z$574,15,FALSE)</f>
        <v>3</v>
      </c>
      <c r="BH279" s="16">
        <f>BG279/AS279</f>
        <v>21.897810218978101</v>
      </c>
      <c r="BI279" s="16">
        <f>IF(BJ279&gt;0,1,0)</f>
        <v>1</v>
      </c>
      <c r="BJ279" s="16">
        <f>VLOOKUP($K279,'[5]FECs - good data'!$C$1:$Z$574,16,FALSE)</f>
        <v>1</v>
      </c>
      <c r="BK279" s="16">
        <f>BJ279/AS279</f>
        <v>7.2992700729926998</v>
      </c>
      <c r="BL279" s="16">
        <f>IF(BM279&gt;0,1,0)</f>
        <v>0</v>
      </c>
      <c r="BM279" s="16">
        <f>SUM(BR279,BU279,BX279,CA279,CD279,CG279,CJ279,CM279,CP279)</f>
        <v>0</v>
      </c>
      <c r="BN279" s="16">
        <f>SUM(BW279,BZ279,CC279,CF279,CI279,CL279,CO279,CR279,BT279)</f>
        <v>0</v>
      </c>
      <c r="BO279" s="16">
        <f>IF(BP279&gt;0,1,0)</f>
        <v>0</v>
      </c>
      <c r="BP279" s="16">
        <f>SUM(BU279,BX279,CA279,CD279,BR279)</f>
        <v>0</v>
      </c>
      <c r="BQ279" s="16">
        <f>SUM(BZ279,CC279,CF279,BT279,BW279)</f>
        <v>0</v>
      </c>
      <c r="BR279" s="16">
        <f>IF(BS279&gt;0,1,0)</f>
        <v>0</v>
      </c>
      <c r="BS279" s="16">
        <f>VLOOKUP($K279,'[5]FECs - good data'!$C$1:$Z$574,17,FALSE)</f>
        <v>0</v>
      </c>
      <c r="BT279" s="23">
        <f>BS279/AS279</f>
        <v>0</v>
      </c>
      <c r="BU279" s="16">
        <f>IF(BV279&gt;0,1,0)</f>
        <v>0</v>
      </c>
      <c r="BV279" s="16">
        <f>VLOOKUP($K279,'[5]FECs - good data'!$C$1:$Z$574,18,FALSE)</f>
        <v>0</v>
      </c>
      <c r="BW279" s="16">
        <f>BV279/AS279</f>
        <v>0</v>
      </c>
      <c r="BX279" s="16">
        <f>IF(BY279&gt;0,1,0)</f>
        <v>0</v>
      </c>
      <c r="BY279" s="16">
        <f>VLOOKUP($K279,'[5]FECs - good data'!$C$1:$Z$574,19,FALSE)</f>
        <v>0</v>
      </c>
      <c r="BZ279" s="16">
        <f>BY279/AS279</f>
        <v>0</v>
      </c>
      <c r="CA279" s="16">
        <f>IF(CB279&gt;0,1,0)</f>
        <v>0</v>
      </c>
      <c r="CB279" s="16">
        <f>VLOOKUP($K279,'[5]FECs - good data'!$C$1:$Z$574,20,FALSE)</f>
        <v>0</v>
      </c>
      <c r="CC279" s="16">
        <f>CB279/AS279</f>
        <v>0</v>
      </c>
      <c r="CD279" s="23">
        <f>IF(CE279&gt;0,1,0)</f>
        <v>0</v>
      </c>
      <c r="CE279" s="16">
        <f>VLOOKUP($K279,'[5]FECs - good data'!$C$1:$Z$574,21,FALSE)</f>
        <v>0</v>
      </c>
      <c r="CF279" s="16">
        <f>CE279/AS279</f>
        <v>0</v>
      </c>
      <c r="CG279" s="16">
        <f>IF(CH279&gt;0,1,0)</f>
        <v>0</v>
      </c>
      <c r="CH279" s="16">
        <f>VLOOKUP($K279,'[5]FECs - good data'!$C$1:$Z$574,22,FALSE)</f>
        <v>0</v>
      </c>
      <c r="CI279" s="16">
        <f>CH279/AS279</f>
        <v>0</v>
      </c>
      <c r="CJ279" s="16">
        <f>IF(CK279&gt;0,1,0)</f>
        <v>0</v>
      </c>
      <c r="CK279" s="16">
        <f>VLOOKUP($K279,'[5]FECs - good data'!$C$1:$Z$674,24,FALSE)</f>
        <v>0</v>
      </c>
      <c r="CL279" s="16">
        <f>CK279/AS279</f>
        <v>0</v>
      </c>
      <c r="CS279" s="16">
        <f>IF(CT279&gt;0,1,0)</f>
        <v>0</v>
      </c>
      <c r="CT279" s="16">
        <f>SUM(CW279+CZ279,DC279)</f>
        <v>0</v>
      </c>
      <c r="CV279" s="16">
        <f>SUM(CY279,DB279,DE279)</f>
        <v>0</v>
      </c>
      <c r="CW279" s="16">
        <f>IF(CX279&gt;0,1,0)</f>
        <v>0</v>
      </c>
      <c r="CX279" s="16">
        <f>VLOOKUP($K279,'[5]FECs - good data'!$C$1:$Z$574,22,FALSE)</f>
        <v>0</v>
      </c>
      <c r="CY279" s="16">
        <f>CX279/AS279</f>
        <v>0</v>
      </c>
      <c r="CZ279" s="16">
        <f>IF(DA279&gt;0,1,0)</f>
        <v>0</v>
      </c>
      <c r="DA279" s="16">
        <f>VLOOKUP($K279,'[5]FECs - good data'!$C$1:$Z$5982,23,FALSE)</f>
        <v>0</v>
      </c>
      <c r="DB279" s="16">
        <f>DA279/AS279</f>
        <v>0</v>
      </c>
      <c r="DC279" s="16">
        <f>IF(DD279&gt;0,1,0)</f>
        <v>0</v>
      </c>
      <c r="DD279" s="16">
        <f>VLOOKUP($K279,'[5]FECs - good data'!$C$1:$Z$574,23,FALSE)</f>
        <v>0</v>
      </c>
      <c r="DE279" s="16">
        <f>DD279/AS279</f>
        <v>0</v>
      </c>
      <c r="DF279" s="16">
        <f>VLOOKUP(K279,'[3]RNA Seq summary tables'!$V$3:$V$99,1,FALSE)</f>
        <v>1990</v>
      </c>
      <c r="DG279" s="16">
        <v>1</v>
      </c>
      <c r="DH279" s="16" t="str">
        <f>VLOOKUP(D279,'[6]workflow 3.2018'!$A$1:$S$237,2,FALSE)</f>
        <v>2017MLBS_102</v>
      </c>
    </row>
    <row r="280" spans="1:288" x14ac:dyDescent="0.2">
      <c r="B280" s="16">
        <v>2017</v>
      </c>
      <c r="C280" s="20">
        <v>42959</v>
      </c>
      <c r="D280" s="20" t="str">
        <f>CONCATENATE(J280,"-",C280)</f>
        <v>1142-42959</v>
      </c>
      <c r="E280" s="20" t="str">
        <f>CONCATENATE(T280,"-",U280,"-",C280)</f>
        <v>SP2-A4-42959</v>
      </c>
      <c r="F280" s="20" t="s">
        <v>106</v>
      </c>
      <c r="G280" s="20" t="s">
        <v>107</v>
      </c>
      <c r="I280" s="16">
        <v>0</v>
      </c>
      <c r="J280" s="21">
        <v>1142</v>
      </c>
      <c r="K280" s="21">
        <v>2142</v>
      </c>
      <c r="L280" s="16">
        <v>1</v>
      </c>
      <c r="M280" s="21">
        <f>VLOOKUP($K280,'[4]blood tubes 2017'!$D$1:$L$647,8,FALSE)</f>
        <v>0</v>
      </c>
      <c r="N280" s="15">
        <v>0</v>
      </c>
      <c r="O280" s="15" t="s">
        <v>119</v>
      </c>
      <c r="P280" s="16" t="s">
        <v>119</v>
      </c>
      <c r="Q280" s="16">
        <v>0</v>
      </c>
      <c r="R280" s="16">
        <v>18</v>
      </c>
      <c r="T280" s="16" t="s">
        <v>137</v>
      </c>
      <c r="U280" s="16" t="s">
        <v>134</v>
      </c>
      <c r="V280" s="16" t="s">
        <v>114</v>
      </c>
      <c r="W280" s="16">
        <f>AI280/AG280</f>
        <v>0.84444444444444444</v>
      </c>
      <c r="X280" s="16" t="s">
        <v>115</v>
      </c>
      <c r="Y280" s="16" t="s">
        <v>110</v>
      </c>
      <c r="Z280" s="16">
        <v>3</v>
      </c>
      <c r="AE280" s="16" t="s">
        <v>116</v>
      </c>
      <c r="AF280" s="16" t="s">
        <v>116</v>
      </c>
      <c r="AG280" s="16">
        <f>AH280-AI280</f>
        <v>90</v>
      </c>
      <c r="AH280" s="16">
        <v>166</v>
      </c>
      <c r="AI280" s="16">
        <v>76</v>
      </c>
      <c r="AK280" s="16">
        <v>23</v>
      </c>
      <c r="AL280" s="16">
        <v>1</v>
      </c>
      <c r="AM280" s="16">
        <v>0</v>
      </c>
      <c r="AN280" s="16">
        <v>0</v>
      </c>
      <c r="AO280" s="16">
        <v>1</v>
      </c>
      <c r="AP280" s="16">
        <f>SUM(AL280:AN280)</f>
        <v>1</v>
      </c>
      <c r="AQ280" s="16">
        <v>1.819</v>
      </c>
      <c r="AR280" s="16">
        <f>AP280-1.472</f>
        <v>-0.47199999999999998</v>
      </c>
      <c r="AS280" s="16">
        <f>AQ280-1.472</f>
        <v>0.34699999999999998</v>
      </c>
      <c r="AT280" s="16" t="str">
        <f>VLOOKUP(K280,'[5]FECs - good data'!$C$1:$P$575,13,FALSE)</f>
        <v>SB</v>
      </c>
      <c r="AW280" s="18">
        <f>IF(AX280&gt;0,1,0)</f>
        <v>1</v>
      </c>
      <c r="AX280" s="18">
        <f>SUM(BA280,BM280,CT280)</f>
        <v>3</v>
      </c>
      <c r="AY280" s="18">
        <f>SUM(BB280,BN280,CV280)</f>
        <v>360.23054755043228</v>
      </c>
      <c r="AZ280" s="18">
        <f>IF(BA280&gt;0,1,0)</f>
        <v>1</v>
      </c>
      <c r="BA280" s="18">
        <f>SUM(BC280,BF280,BI280)</f>
        <v>3</v>
      </c>
      <c r="BB280" s="18">
        <f>SUM(BE280,BH280,BK280)</f>
        <v>360.23054755043228</v>
      </c>
      <c r="BC280" s="18">
        <f>IF(BD280&gt;0,1,0)</f>
        <v>1</v>
      </c>
      <c r="BD280" s="18">
        <f>VLOOKUP($K280,'[5]FECs - good data'!$C$1:$Z$574,14,FALSE)</f>
        <v>31</v>
      </c>
      <c r="BE280" s="16">
        <f>BD280/AS280</f>
        <v>89.33717579250721</v>
      </c>
      <c r="BF280" s="16">
        <f>IF(BG280&gt;0,1,0)</f>
        <v>1</v>
      </c>
      <c r="BG280" s="23">
        <f>VLOOKUP($K280,'[5]FECs - good data'!$C$1:$Z$574,15,FALSE)</f>
        <v>92</v>
      </c>
      <c r="BH280" s="16">
        <f>BG280/AS280</f>
        <v>265.12968299711815</v>
      </c>
      <c r="BI280" s="16">
        <f>IF(BJ280&gt;0,1,0)</f>
        <v>1</v>
      </c>
      <c r="BJ280" s="16">
        <f>VLOOKUP($K280,'[5]FECs - good data'!$C$1:$Z$574,16,FALSE)</f>
        <v>2</v>
      </c>
      <c r="BK280" s="16">
        <f>BJ280/AS280</f>
        <v>5.7636887608069172</v>
      </c>
      <c r="BL280" s="16">
        <f>IF(BM280&gt;0,1,0)</f>
        <v>0</v>
      </c>
      <c r="BM280" s="16">
        <f>SUM(BR280,BU280,BX280,CA280,CD280,CG280,CJ280,CM280,CP280)</f>
        <v>0</v>
      </c>
      <c r="BN280" s="16">
        <f>SUM(BW280,BZ280,CC280,CF280,CI280,CL280,CO280,CR280,BT280)</f>
        <v>0</v>
      </c>
      <c r="BO280" s="16">
        <f>IF(BP280&gt;0,1,0)</f>
        <v>0</v>
      </c>
      <c r="BP280" s="16">
        <f>SUM(BU280,BX280,CA280,CD280,BR280)</f>
        <v>0</v>
      </c>
      <c r="BQ280" s="16">
        <f>SUM(BZ280,CC280,CF280,BT280,BW280)</f>
        <v>0</v>
      </c>
      <c r="BR280" s="16">
        <f>IF(BS280&gt;0,1,0)</f>
        <v>0</v>
      </c>
      <c r="BS280" s="16">
        <f>VLOOKUP($K280,'[5]FECs - good data'!$C$1:$Z$574,17,FALSE)</f>
        <v>0</v>
      </c>
      <c r="BT280" s="23">
        <f>BS280/AS280</f>
        <v>0</v>
      </c>
      <c r="BU280" s="16">
        <f>IF(BV280&gt;0,1,0)</f>
        <v>0</v>
      </c>
      <c r="BV280" s="16">
        <f>VLOOKUP($K280,'[5]FECs - good data'!$C$1:$Z$574,18,FALSE)</f>
        <v>0</v>
      </c>
      <c r="BW280" s="16">
        <f>BV280/AS280</f>
        <v>0</v>
      </c>
      <c r="BX280" s="16">
        <f>IF(BY280&gt;0,1,0)</f>
        <v>0</v>
      </c>
      <c r="BY280" s="16">
        <f>VLOOKUP($K280,'[5]FECs - good data'!$C$1:$Z$574,19,FALSE)</f>
        <v>0</v>
      </c>
      <c r="BZ280" s="16">
        <f>BY280/AS280</f>
        <v>0</v>
      </c>
      <c r="CA280" s="16">
        <f>IF(CB280&gt;0,1,0)</f>
        <v>0</v>
      </c>
      <c r="CB280" s="16">
        <f>VLOOKUP($K280,'[5]FECs - good data'!$C$1:$Z$574,20,FALSE)</f>
        <v>0</v>
      </c>
      <c r="CC280" s="16">
        <f>CB280/AS280</f>
        <v>0</v>
      </c>
      <c r="CD280" s="23">
        <f>IF(CE280&gt;0,1,0)</f>
        <v>0</v>
      </c>
      <c r="CE280" s="16">
        <f>VLOOKUP($K280,'[5]FECs - good data'!$C$1:$Z$574,21,FALSE)</f>
        <v>0</v>
      </c>
      <c r="CF280" s="16">
        <f>CE280/AS280</f>
        <v>0</v>
      </c>
      <c r="CG280" s="16">
        <f>IF(CH280&gt;0,1,0)</f>
        <v>0</v>
      </c>
      <c r="CH280" s="16">
        <f>VLOOKUP($K280,'[5]FECs - good data'!$C$1:$Z$574,22,FALSE)</f>
        <v>0</v>
      </c>
      <c r="CI280" s="16">
        <f>CH280/AS280</f>
        <v>0</v>
      </c>
      <c r="CJ280" s="16">
        <f>IF(CK280&gt;0,1,0)</f>
        <v>0</v>
      </c>
      <c r="CK280" s="16">
        <f>VLOOKUP($K280,'[5]FECs - good data'!$C$1:$Z$674,24,FALSE)</f>
        <v>0</v>
      </c>
      <c r="CL280" s="16">
        <f>CK280/AS280</f>
        <v>0</v>
      </c>
      <c r="CS280" s="16">
        <f>IF(CT280&gt;0,1,0)</f>
        <v>0</v>
      </c>
      <c r="CT280" s="16">
        <f>SUM(CW280+CZ280,DC280)</f>
        <v>0</v>
      </c>
      <c r="CV280" s="16">
        <f>SUM(CY280,DB280,DE280)</f>
        <v>0</v>
      </c>
      <c r="CW280" s="16">
        <f>IF(CX280&gt;0,1,0)</f>
        <v>0</v>
      </c>
      <c r="CX280" s="16">
        <f>VLOOKUP($K280,'[5]FECs - good data'!$C$1:$Z$574,22,FALSE)</f>
        <v>0</v>
      </c>
      <c r="CY280" s="16">
        <f>CX280/AS280</f>
        <v>0</v>
      </c>
      <c r="CZ280" s="16">
        <f>IF(DA280&gt;0,1,0)</f>
        <v>0</v>
      </c>
      <c r="DA280" s="16">
        <f>VLOOKUP($K280,'[5]FECs - good data'!$C$1:$Z$5982,23,FALSE)</f>
        <v>0</v>
      </c>
      <c r="DB280" s="16">
        <f>DA280/AS280</f>
        <v>0</v>
      </c>
      <c r="DC280" s="16">
        <f>IF(DD280&gt;0,1,0)</f>
        <v>0</v>
      </c>
      <c r="DD280" s="16">
        <f>VLOOKUP($K280,'[5]FECs - good data'!$C$1:$Z$574,23,FALSE)</f>
        <v>0</v>
      </c>
      <c r="DE280" s="16">
        <f>DD280/AS280</f>
        <v>0</v>
      </c>
      <c r="DF280" s="16">
        <f>VLOOKUP(K280,'[3]RNA Seq summary tables'!$V$3:$V$99,1,FALSE)</f>
        <v>2142</v>
      </c>
      <c r="DG280" s="16">
        <v>1</v>
      </c>
      <c r="DH280" s="16" t="str">
        <f>VLOOKUP(D280,'[6]workflow 3.2018'!$A$1:$S$237,2,FALSE)</f>
        <v>2017MLBS_140</v>
      </c>
      <c r="JO280" s="38"/>
    </row>
    <row r="281" spans="1:288" x14ac:dyDescent="0.2">
      <c r="B281" s="16">
        <v>2017</v>
      </c>
      <c r="C281" s="20">
        <v>42972</v>
      </c>
      <c r="D281" s="20" t="str">
        <f>CONCATENATE(J281,"-",C281)</f>
        <v>1142-42972</v>
      </c>
      <c r="E281" s="20" t="str">
        <f>CONCATENATE(T281,"-",U281,"-",C281)</f>
        <v>SP2-A3-42972</v>
      </c>
      <c r="F281" s="20" t="s">
        <v>106</v>
      </c>
      <c r="G281" s="20" t="s">
        <v>107</v>
      </c>
      <c r="I281" s="16">
        <v>0</v>
      </c>
      <c r="J281" s="21">
        <v>1142</v>
      </c>
      <c r="K281" s="21">
        <v>2243</v>
      </c>
      <c r="L281" s="16">
        <v>1</v>
      </c>
      <c r="M281" s="21">
        <f>VLOOKUP($K281,'[4]blood tubes 2017'!$D$1:$L$947,8,FALSE)</f>
        <v>0</v>
      </c>
      <c r="N281" s="15">
        <v>0</v>
      </c>
      <c r="O281" s="15" t="s">
        <v>119</v>
      </c>
      <c r="P281" s="16" t="s">
        <v>119</v>
      </c>
      <c r="Q281" s="16">
        <v>0</v>
      </c>
      <c r="R281" s="16">
        <v>13</v>
      </c>
      <c r="T281" s="16" t="s">
        <v>137</v>
      </c>
      <c r="U281" s="16" t="s">
        <v>201</v>
      </c>
      <c r="V281" s="16" t="s">
        <v>114</v>
      </c>
      <c r="W281" s="16">
        <f>AI281/AG281</f>
        <v>0.8539325842696629</v>
      </c>
      <c r="X281" s="16" t="s">
        <v>115</v>
      </c>
      <c r="Y281" s="16" t="s">
        <v>110</v>
      </c>
      <c r="Z281" s="16">
        <v>3</v>
      </c>
      <c r="AE281" s="16" t="s">
        <v>116</v>
      </c>
      <c r="AF281" s="16" t="s">
        <v>116</v>
      </c>
      <c r="AG281" s="16">
        <f>AH281-AI281</f>
        <v>89</v>
      </c>
      <c r="AH281" s="16">
        <v>165</v>
      </c>
      <c r="AI281" s="16">
        <v>76</v>
      </c>
      <c r="AK281" s="16">
        <v>22</v>
      </c>
      <c r="AL281" s="16">
        <v>0</v>
      </c>
      <c r="AM281" s="16">
        <v>0</v>
      </c>
      <c r="AN281" s="16">
        <v>0</v>
      </c>
      <c r="AO281" s="16">
        <v>0</v>
      </c>
      <c r="AP281" s="16">
        <f>SUM(AL281:AN281)</f>
        <v>0</v>
      </c>
      <c r="AQ281" s="16">
        <v>1.655</v>
      </c>
      <c r="AR281" s="16">
        <f>AP281-1.472</f>
        <v>-1.472</v>
      </c>
      <c r="AS281" s="16">
        <f>AQ281-1.472</f>
        <v>0.18300000000000005</v>
      </c>
      <c r="AT281" s="16" t="str">
        <f>VLOOKUP(K281,'[5]FECs - good data'!$C$1:$P$575,13,FALSE)</f>
        <v>LB</v>
      </c>
      <c r="AW281" s="18">
        <f>IF(AX281&gt;0,1,0)</f>
        <v>1</v>
      </c>
      <c r="AX281" s="18">
        <f>SUM(BA281,BM281,CT281)</f>
        <v>3</v>
      </c>
      <c r="AY281" s="18">
        <f>SUM(BB281,BN281,CV281)</f>
        <v>972.67759562841491</v>
      </c>
      <c r="AZ281" s="18">
        <f>IF(BA281&gt;0,1,0)</f>
        <v>1</v>
      </c>
      <c r="BA281" s="18">
        <f>SUM(BC281,BF281,BI281)</f>
        <v>2</v>
      </c>
      <c r="BB281" s="18">
        <f>SUM(BE281,BH281,BK281)</f>
        <v>874.31693989071005</v>
      </c>
      <c r="BC281" s="18">
        <f>IF(BD281&gt;0,1,0)</f>
        <v>1</v>
      </c>
      <c r="BD281" s="18">
        <f>VLOOKUP($K281,'[5]FECs - good data'!$C$1:$Z$574,14,FALSE)</f>
        <v>29</v>
      </c>
      <c r="BE281" s="16">
        <f>BD281/AS281</f>
        <v>158.46994535519121</v>
      </c>
      <c r="BF281" s="16">
        <f>IF(BG281&gt;0,1,0)</f>
        <v>1</v>
      </c>
      <c r="BG281" s="23">
        <f>VLOOKUP($K281,'[5]FECs - good data'!$C$1:$Z$574,15,FALSE)</f>
        <v>131</v>
      </c>
      <c r="BH281" s="16">
        <f>BG281/AS281</f>
        <v>715.84699453551889</v>
      </c>
      <c r="BI281" s="16">
        <f>IF(BJ281&gt;0,1,0)</f>
        <v>0</v>
      </c>
      <c r="BJ281" s="16">
        <f>VLOOKUP($K281,'[5]FECs - good data'!$C$1:$Z$574,16,FALSE)</f>
        <v>0</v>
      </c>
      <c r="BK281" s="16">
        <f>BJ281/AS281</f>
        <v>0</v>
      </c>
      <c r="BL281" s="16">
        <f>IF(BM281&gt;0,1,0)</f>
        <v>1</v>
      </c>
      <c r="BM281" s="16">
        <f>SUM(BR281,BU281,BX281,CA281,CD281,CG281,CJ281,CM281,CP281)</f>
        <v>1</v>
      </c>
      <c r="BN281" s="16">
        <f>SUM(BW281,BZ281,CC281,CF281,CI281,CL281,CO281,CR281,BT281)</f>
        <v>98.360655737704889</v>
      </c>
      <c r="BO281" s="16">
        <f>IF(BP281&gt;0,1,0)</f>
        <v>1</v>
      </c>
      <c r="BP281" s="16">
        <f>SUM(BU281,BX281,CA281,CD281,BR281)</f>
        <v>1</v>
      </c>
      <c r="BQ281" s="16">
        <f>SUM(BZ281,CC281,CF281,BT281,BW281)</f>
        <v>98.360655737704889</v>
      </c>
      <c r="BR281" s="16">
        <f>IF(BS281&gt;0,1,0)</f>
        <v>0</v>
      </c>
      <c r="BS281" s="16">
        <f>VLOOKUP($K281,'[5]FECs - good data'!$C$1:$Z$574,17,FALSE)</f>
        <v>0</v>
      </c>
      <c r="BT281" s="23">
        <f>BS281/AS281</f>
        <v>0</v>
      </c>
      <c r="BU281" s="16">
        <f>IF(BV281&gt;0,1,0)</f>
        <v>0</v>
      </c>
      <c r="BV281" s="16">
        <f>VLOOKUP($K281,'[5]FECs - good data'!$C$1:$Z$574,18,FALSE)</f>
        <v>0</v>
      </c>
      <c r="BW281" s="16">
        <f>BV281/AS281</f>
        <v>0</v>
      </c>
      <c r="BX281" s="16">
        <f>IF(BY281&gt;0,1,0)</f>
        <v>1</v>
      </c>
      <c r="BY281" s="16">
        <f>VLOOKUP($K281,'[5]FECs - good data'!$C$1:$Z$574,19,FALSE)</f>
        <v>18</v>
      </c>
      <c r="BZ281" s="16">
        <f>BY281/AS281</f>
        <v>98.360655737704889</v>
      </c>
      <c r="CA281" s="16">
        <f>IF(CB281&gt;0,1,0)</f>
        <v>0</v>
      </c>
      <c r="CB281" s="16">
        <f>VLOOKUP($K281,'[5]FECs - good data'!$C$1:$Z$574,20,FALSE)</f>
        <v>0</v>
      </c>
      <c r="CC281" s="16">
        <f>CB281/AS281</f>
        <v>0</v>
      </c>
      <c r="CD281" s="23">
        <f>IF(CE281&gt;0,1,0)</f>
        <v>0</v>
      </c>
      <c r="CE281" s="16">
        <f>VLOOKUP($K281,'[5]FECs - good data'!$C$1:$Z$574,21,FALSE)</f>
        <v>0</v>
      </c>
      <c r="CF281" s="16">
        <f>CE281/AS281</f>
        <v>0</v>
      </c>
      <c r="CG281" s="16">
        <f>IF(CH281&gt;0,1,0)</f>
        <v>0</v>
      </c>
      <c r="CH281" s="16">
        <f>VLOOKUP($K281,'[5]FECs - good data'!$C$1:$Z$574,22,FALSE)</f>
        <v>0</v>
      </c>
      <c r="CI281" s="16">
        <f>CH281/AS281</f>
        <v>0</v>
      </c>
      <c r="CJ281" s="16">
        <f>IF(CK281&gt;0,1,0)</f>
        <v>0</v>
      </c>
      <c r="CK281" s="16">
        <f>VLOOKUP($K281,'[5]FECs - good data'!$C$1:$Z$674,24,FALSE)</f>
        <v>0</v>
      </c>
      <c r="CL281" s="16">
        <f>CK281/AS281</f>
        <v>0</v>
      </c>
      <c r="CS281" s="16">
        <f>IF(CT281&gt;0,1,0)</f>
        <v>0</v>
      </c>
      <c r="CT281" s="16">
        <f>SUM(CW281+CZ281,DC281)</f>
        <v>0</v>
      </c>
      <c r="CV281" s="16">
        <f>SUM(CY281,DB281,DE281)</f>
        <v>0</v>
      </c>
      <c r="CW281" s="16">
        <f>IF(CX281&gt;0,1,0)</f>
        <v>0</v>
      </c>
      <c r="CX281" s="16">
        <f>VLOOKUP($K281,'[5]FECs - good data'!$C$1:$Z$574,22,FALSE)</f>
        <v>0</v>
      </c>
      <c r="CY281" s="16">
        <f>CX281/AS281</f>
        <v>0</v>
      </c>
      <c r="CZ281" s="16">
        <f>IF(DA281&gt;0,1,0)</f>
        <v>0</v>
      </c>
      <c r="DA281" s="16">
        <f>VLOOKUP($K281,'[5]FECs - good data'!$C$1:$Z$5982,23,FALSE)</f>
        <v>0</v>
      </c>
      <c r="DB281" s="16">
        <f>DA281/AS281</f>
        <v>0</v>
      </c>
      <c r="DC281" s="16">
        <f>IF(DD281&gt;0,1,0)</f>
        <v>0</v>
      </c>
      <c r="DD281" s="16">
        <f>VLOOKUP($K281,'[5]FECs - good data'!$C$1:$Z$574,23,FALSE)</f>
        <v>0</v>
      </c>
      <c r="DE281" s="16">
        <f>DD281/AS281</f>
        <v>0</v>
      </c>
      <c r="DF281" s="16">
        <f>VLOOKUP(K281,'[3]RNA Seq summary tables'!$V$3:$V$99,1,FALSE)</f>
        <v>2243</v>
      </c>
      <c r="DG281" s="16">
        <v>1</v>
      </c>
      <c r="DH281" s="16" t="str">
        <f>VLOOKUP(D281,'[6]workflow 3.2018'!$A$1:$S$237,2,FALSE)</f>
        <v>2017MLBS_180</v>
      </c>
    </row>
    <row r="282" spans="1:288" x14ac:dyDescent="0.2">
      <c r="B282" s="16">
        <v>2017</v>
      </c>
      <c r="C282" s="20">
        <v>42905</v>
      </c>
      <c r="D282" s="20" t="str">
        <f>CONCATENATE(J282,"-",C282)</f>
        <v>1144-42905</v>
      </c>
      <c r="E282" s="20" t="str">
        <f>CONCATENATE(T282,"-",U282,"-",C282)</f>
        <v>SP2-B7-42905</v>
      </c>
      <c r="F282" s="20" t="s">
        <v>106</v>
      </c>
      <c r="G282" s="20" t="s">
        <v>107</v>
      </c>
      <c r="I282" s="16">
        <v>0</v>
      </c>
      <c r="J282" s="21">
        <v>1144</v>
      </c>
      <c r="K282" s="21" t="s">
        <v>153</v>
      </c>
      <c r="L282" s="18">
        <v>0</v>
      </c>
      <c r="O282" s="15" t="s">
        <v>119</v>
      </c>
      <c r="P282" s="16" t="s">
        <v>119</v>
      </c>
      <c r="Q282" s="16">
        <v>0</v>
      </c>
      <c r="R282" s="16" t="s">
        <v>111</v>
      </c>
      <c r="T282" s="16" t="s">
        <v>137</v>
      </c>
      <c r="U282" s="16" t="s">
        <v>168</v>
      </c>
      <c r="V282" s="16" t="s">
        <v>114</v>
      </c>
      <c r="W282" s="16">
        <f>AI282/AG282</f>
        <v>0.81081081081081086</v>
      </c>
      <c r="X282" s="16" t="s">
        <v>121</v>
      </c>
      <c r="Y282" s="16" t="s">
        <v>145</v>
      </c>
      <c r="Z282" s="16">
        <v>1</v>
      </c>
      <c r="AA282" s="16" t="s">
        <v>119</v>
      </c>
      <c r="AB282" s="16" t="s">
        <v>123</v>
      </c>
      <c r="AC282" s="16" t="s">
        <v>123</v>
      </c>
      <c r="AD282" s="16" t="s">
        <v>123</v>
      </c>
      <c r="AG282" s="16">
        <f>AH282-AI282</f>
        <v>74</v>
      </c>
      <c r="AH282" s="16">
        <v>134</v>
      </c>
      <c r="AI282" s="16">
        <v>60</v>
      </c>
      <c r="AK282" s="16">
        <v>11.5</v>
      </c>
      <c r="AL282" s="16">
        <v>0</v>
      </c>
      <c r="AM282" s="16">
        <v>0</v>
      </c>
      <c r="AN282" s="16">
        <v>0</v>
      </c>
      <c r="AO282" s="16">
        <v>0</v>
      </c>
      <c r="AP282" s="16">
        <f>SUM(AL282:AN282)</f>
        <v>0</v>
      </c>
      <c r="AQ282" s="16">
        <v>1.76</v>
      </c>
      <c r="AR282" s="16">
        <f>AP282-1.472</f>
        <v>-1.472</v>
      </c>
      <c r="AS282" s="16">
        <f>AQ282-1.472</f>
        <v>0.28800000000000003</v>
      </c>
      <c r="AT282" s="16" t="s">
        <v>164</v>
      </c>
      <c r="AW282" s="16">
        <f>IF(AX282&gt;0,1,0)</f>
        <v>1</v>
      </c>
      <c r="AX282" s="16">
        <f>SUM(BA282,BM282,CT282)</f>
        <v>3</v>
      </c>
      <c r="AY282" s="18">
        <f>SUM(BB282,BN282,CV282)</f>
        <v>1340.2777777777776</v>
      </c>
      <c r="AZ282" s="16">
        <f>IF(BA282&gt;0,1,0)</f>
        <v>1</v>
      </c>
      <c r="BA282" s="16">
        <f>SUM(BC282,BF282,BI282)</f>
        <v>3</v>
      </c>
      <c r="BB282" s="16">
        <f>SUM(BE282,BH282,BK282)</f>
        <v>1340.2777777777776</v>
      </c>
      <c r="BC282" s="16">
        <v>1</v>
      </c>
      <c r="BD282" s="16">
        <v>36</v>
      </c>
      <c r="BE282" s="16">
        <f>BD282/AS282</f>
        <v>124.99999999999999</v>
      </c>
      <c r="BF282" s="16">
        <v>1</v>
      </c>
      <c r="BG282" s="23">
        <v>319</v>
      </c>
      <c r="BH282" s="16">
        <f>BG282/AS282</f>
        <v>1107.6388888888887</v>
      </c>
      <c r="BI282" s="16">
        <v>1</v>
      </c>
      <c r="BJ282" s="16">
        <v>31</v>
      </c>
      <c r="BK282" s="16">
        <f>BJ282/AS282</f>
        <v>107.63888888888887</v>
      </c>
      <c r="BL282" s="16">
        <f>IF(BM282&gt;0,1,0)</f>
        <v>0</v>
      </c>
      <c r="BM282" s="16">
        <f>SUM(BR282,BU282,BX282,CA282,CD282,CG282,CJ282,CM282,CP282)</f>
        <v>0</v>
      </c>
      <c r="BN282" s="16">
        <f>SUM(BW282,BZ282,CC282,CF282,CI282,CL282,CO282,CR282,BT282)</f>
        <v>0</v>
      </c>
      <c r="BO282" s="16">
        <f>IF(BP282&gt;0,1,0)</f>
        <v>0</v>
      </c>
      <c r="BP282" s="16">
        <f>SUM(BU282,BX282,CA282,CD282,BR282)</f>
        <v>0</v>
      </c>
      <c r="BQ282" s="16">
        <f>SUM(BZ282,CC282,CF282,BT282,BW282)</f>
        <v>0</v>
      </c>
      <c r="BR282" s="16">
        <v>0</v>
      </c>
      <c r="BS282" s="16">
        <v>0</v>
      </c>
      <c r="BT282" s="23">
        <f>BS282/AS282</f>
        <v>0</v>
      </c>
      <c r="BU282" s="16">
        <v>0</v>
      </c>
      <c r="BV282" s="16">
        <v>0</v>
      </c>
      <c r="BW282" s="16">
        <f>BV282/AS282</f>
        <v>0</v>
      </c>
      <c r="BX282" s="16">
        <v>0</v>
      </c>
      <c r="BY282" s="16">
        <v>0</v>
      </c>
      <c r="BZ282" s="16">
        <f>BY282/AS282</f>
        <v>0</v>
      </c>
      <c r="CA282" s="16">
        <v>0</v>
      </c>
      <c r="CB282" s="16">
        <v>0</v>
      </c>
      <c r="CC282" s="16">
        <f>CB282/AS282</f>
        <v>0</v>
      </c>
      <c r="CD282" s="23">
        <v>0</v>
      </c>
      <c r="CE282" s="16">
        <v>0</v>
      </c>
      <c r="CF282" s="16">
        <f>CE282/AS282</f>
        <v>0</v>
      </c>
      <c r="CG282" s="16">
        <v>0</v>
      </c>
      <c r="CH282" s="16">
        <v>0</v>
      </c>
      <c r="CI282" s="16">
        <f>CH282/AS282</f>
        <v>0</v>
      </c>
      <c r="CM282" s="16">
        <v>0</v>
      </c>
      <c r="CN282" s="16">
        <v>0</v>
      </c>
      <c r="CO282" s="16">
        <f>CN282/AS282</f>
        <v>0</v>
      </c>
      <c r="CP282" s="16">
        <v>0</v>
      </c>
      <c r="CQ282" s="16">
        <v>0</v>
      </c>
      <c r="CR282" s="16">
        <f>CQ282/AS282</f>
        <v>0</v>
      </c>
      <c r="CS282" s="16">
        <f>IF(CT282&gt;0,1,0)</f>
        <v>0</v>
      </c>
      <c r="CT282" s="16">
        <f>SUM(CW282,CZ282,DC282)</f>
        <v>0</v>
      </c>
      <c r="CV282" s="16">
        <f>SUM(CY282,DB282,DE282)</f>
        <v>0</v>
      </c>
      <c r="CW282" s="16">
        <v>0</v>
      </c>
      <c r="CX282" s="16">
        <v>0</v>
      </c>
      <c r="CY282" s="16">
        <f>CX282/AS282</f>
        <v>0</v>
      </c>
      <c r="CZ282" s="16">
        <v>0</v>
      </c>
      <c r="DA282" s="16">
        <v>0</v>
      </c>
      <c r="DB282" s="16">
        <f>DA282/AS282</f>
        <v>0</v>
      </c>
      <c r="DC282" s="16">
        <v>0</v>
      </c>
      <c r="DD282" s="16">
        <v>0</v>
      </c>
      <c r="DE282" s="16">
        <f>DD282/AS282</f>
        <v>0</v>
      </c>
      <c r="DF282" s="16" t="e">
        <f>VLOOKUP(K282,'[3]RNA Seq summary tables'!$V$3:$V$99,1,FALSE)</f>
        <v>#N/A</v>
      </c>
    </row>
    <row r="283" spans="1:288" s="29" customFormat="1" x14ac:dyDescent="0.2">
      <c r="A283" s="18"/>
      <c r="B283" s="16">
        <v>2017</v>
      </c>
      <c r="C283" s="20">
        <v>42905</v>
      </c>
      <c r="D283" s="20" t="str">
        <f>CONCATENATE(J283,"-",C283)</f>
        <v>1146-42905</v>
      </c>
      <c r="E283" s="20" t="str">
        <f>CONCATENATE(T283,"-",U283,"-",C283)</f>
        <v>SP2-F4-42905</v>
      </c>
      <c r="F283" s="20" t="s">
        <v>106</v>
      </c>
      <c r="G283" s="20" t="s">
        <v>107</v>
      </c>
      <c r="H283" s="16"/>
      <c r="I283" s="16">
        <v>0</v>
      </c>
      <c r="J283" s="21">
        <v>1146</v>
      </c>
      <c r="K283" s="21">
        <v>1705</v>
      </c>
      <c r="L283" s="18">
        <v>0</v>
      </c>
      <c r="M283" s="21">
        <f>VLOOKUP($K283,'[4]blood tubes 2017'!$D$1:$L$647,8,FALSE)</f>
        <v>0</v>
      </c>
      <c r="N283" s="15">
        <v>0</v>
      </c>
      <c r="O283" s="15" t="s">
        <v>119</v>
      </c>
      <c r="P283" s="16" t="s">
        <v>119</v>
      </c>
      <c r="Q283" s="16">
        <v>0</v>
      </c>
      <c r="R283" s="16" t="s">
        <v>111</v>
      </c>
      <c r="S283" s="16"/>
      <c r="T283" s="16" t="s">
        <v>137</v>
      </c>
      <c r="U283" s="16" t="s">
        <v>184</v>
      </c>
      <c r="V283" s="16" t="s">
        <v>114</v>
      </c>
      <c r="W283" s="16">
        <f>AI283/AG283</f>
        <v>0.84444444444444444</v>
      </c>
      <c r="X283" s="16" t="s">
        <v>121</v>
      </c>
      <c r="Y283" s="16" t="s">
        <v>110</v>
      </c>
      <c r="Z283" s="16">
        <v>3</v>
      </c>
      <c r="AA283" s="16" t="s">
        <v>119</v>
      </c>
      <c r="AB283" s="16" t="s">
        <v>123</v>
      </c>
      <c r="AC283" s="16" t="s">
        <v>123</v>
      </c>
      <c r="AD283" s="16" t="s">
        <v>123</v>
      </c>
      <c r="AE283" s="16"/>
      <c r="AF283" s="16"/>
      <c r="AG283" s="16">
        <f>AH283-AI283</f>
        <v>90</v>
      </c>
      <c r="AH283" s="16">
        <v>166</v>
      </c>
      <c r="AI283" s="16">
        <v>76</v>
      </c>
      <c r="AJ283" s="16"/>
      <c r="AK283" s="16">
        <v>21</v>
      </c>
      <c r="AL283" s="16">
        <v>0</v>
      </c>
      <c r="AM283" s="16">
        <v>0</v>
      </c>
      <c r="AN283" s="16">
        <v>0</v>
      </c>
      <c r="AO283" s="16">
        <v>0</v>
      </c>
      <c r="AP283" s="16">
        <f>SUM(AL283:AN283)</f>
        <v>0</v>
      </c>
      <c r="AQ283" s="16">
        <v>2.7370000000000001</v>
      </c>
      <c r="AR283" s="16">
        <f>AP283-1.472</f>
        <v>-1.472</v>
      </c>
      <c r="AS283" s="16">
        <f>AQ283-1.472</f>
        <v>1.2650000000000001</v>
      </c>
      <c r="AT283" s="16" t="s">
        <v>233</v>
      </c>
      <c r="AU283" s="16"/>
      <c r="AV283" s="16"/>
      <c r="AW283" s="16">
        <f>IF(AX283&gt;0,1,0)</f>
        <v>1</v>
      </c>
      <c r="AX283" s="16">
        <f>SUM(BA283,BM283,CT283)</f>
        <v>2</v>
      </c>
      <c r="AY283" s="18">
        <f>SUM(BB283,BN283,CV283)</f>
        <v>4197.6284584980231</v>
      </c>
      <c r="AZ283" s="16">
        <f>IF(BA283&gt;0,1,0)</f>
        <v>1</v>
      </c>
      <c r="BA283" s="16">
        <f>SUM(BC283,BF283,BI283)</f>
        <v>1</v>
      </c>
      <c r="BB283" s="16">
        <f>SUM(BE283,BH283,BK283)</f>
        <v>4195.256916996047</v>
      </c>
      <c r="BC283" s="16">
        <v>0</v>
      </c>
      <c r="BD283" s="16">
        <v>0</v>
      </c>
      <c r="BE283" s="16">
        <f>BD283/AS283</f>
        <v>0</v>
      </c>
      <c r="BF283" s="16">
        <v>1</v>
      </c>
      <c r="BG283" s="23">
        <v>5307</v>
      </c>
      <c r="BH283" s="16">
        <f>BG283/AS283</f>
        <v>4195.256916996047</v>
      </c>
      <c r="BI283" s="16">
        <v>0</v>
      </c>
      <c r="BJ283" s="16">
        <v>0</v>
      </c>
      <c r="BK283" s="16">
        <f>BJ283/AS283</f>
        <v>0</v>
      </c>
      <c r="BL283" s="16">
        <f>IF(BM283&gt;0,1,0)</f>
        <v>1</v>
      </c>
      <c r="BM283" s="16">
        <f>SUM(BR283,BU283,BX283,CA283,CD283,CG283,CJ283,CM283,CP283)</f>
        <v>1</v>
      </c>
      <c r="BN283" s="16">
        <f>SUM(BW283,BZ283,CC283,CF283,CI283,CL283,CO283,CR283,BT283)</f>
        <v>2.3715415019762842</v>
      </c>
      <c r="BO283" s="16">
        <f>IF(BP283&gt;0,1,0)</f>
        <v>1</v>
      </c>
      <c r="BP283" s="16">
        <f>SUM(BU283,BX283,CA283,CD283,BR283)</f>
        <v>1</v>
      </c>
      <c r="BQ283" s="16">
        <f>SUM(BZ283,CC283,CF283,BT283,BW283)</f>
        <v>2.3715415019762842</v>
      </c>
      <c r="BR283" s="16">
        <v>1</v>
      </c>
      <c r="BS283" s="16">
        <v>3</v>
      </c>
      <c r="BT283" s="23">
        <f>BS283/AS283</f>
        <v>2.3715415019762842</v>
      </c>
      <c r="BU283" s="16">
        <v>0</v>
      </c>
      <c r="BV283" s="16">
        <v>0</v>
      </c>
      <c r="BW283" s="16">
        <f>BV283/AS283</f>
        <v>0</v>
      </c>
      <c r="BX283" s="16">
        <v>0</v>
      </c>
      <c r="BY283" s="16">
        <v>0</v>
      </c>
      <c r="BZ283" s="16">
        <f>BY283/AS283</f>
        <v>0</v>
      </c>
      <c r="CA283" s="16">
        <v>0</v>
      </c>
      <c r="CB283" s="16">
        <v>0</v>
      </c>
      <c r="CC283" s="16">
        <f>CB283/AS283</f>
        <v>0</v>
      </c>
      <c r="CD283" s="23">
        <v>0</v>
      </c>
      <c r="CE283" s="16">
        <v>0</v>
      </c>
      <c r="CF283" s="16">
        <f>CE283/AS283</f>
        <v>0</v>
      </c>
      <c r="CG283" s="16">
        <v>0</v>
      </c>
      <c r="CH283" s="16">
        <v>0</v>
      </c>
      <c r="CI283" s="16">
        <f>CH283/AS283</f>
        <v>0</v>
      </c>
      <c r="CJ283" s="16"/>
      <c r="CK283" s="16"/>
      <c r="CL283" s="16"/>
      <c r="CM283" s="16">
        <v>0</v>
      </c>
      <c r="CN283" s="16">
        <v>0</v>
      </c>
      <c r="CO283" s="16">
        <f>CN283/AS283</f>
        <v>0</v>
      </c>
      <c r="CP283" s="16">
        <v>0</v>
      </c>
      <c r="CQ283" s="16">
        <v>0</v>
      </c>
      <c r="CR283" s="16">
        <f>CQ283/AS283</f>
        <v>0</v>
      </c>
      <c r="CS283" s="16">
        <f>IF(CT283&gt;0,1,0)</f>
        <v>0</v>
      </c>
      <c r="CT283" s="16">
        <f>SUM(CW283,CZ283,DC283)</f>
        <v>0</v>
      </c>
      <c r="CU283" s="16"/>
      <c r="CV283" s="16">
        <f>SUM(CY283,DB283,DE283)</f>
        <v>0</v>
      </c>
      <c r="CW283" s="16">
        <v>0</v>
      </c>
      <c r="CX283" s="16">
        <v>0</v>
      </c>
      <c r="CY283" s="16">
        <f>CX283/AS283</f>
        <v>0</v>
      </c>
      <c r="CZ283" s="16">
        <v>0</v>
      </c>
      <c r="DA283" s="16">
        <v>0</v>
      </c>
      <c r="DB283" s="16">
        <f>DA283/AS283</f>
        <v>0</v>
      </c>
      <c r="DC283" s="16">
        <v>0</v>
      </c>
      <c r="DD283" s="16">
        <v>0</v>
      </c>
      <c r="DE283" s="16">
        <f>DD283/AS283</f>
        <v>0</v>
      </c>
      <c r="DF283" s="16" t="e">
        <f>VLOOKUP(K283,'[3]RNA Seq summary tables'!$V$3:$V$99,1,FALSE)</f>
        <v>#N/A</v>
      </c>
      <c r="DG283" s="16"/>
      <c r="DH283" s="16"/>
      <c r="DI283" s="16">
        <v>58</v>
      </c>
      <c r="DJ283" s="16"/>
      <c r="DK283" s="16">
        <v>33</v>
      </c>
      <c r="DL283" s="16"/>
      <c r="DM283" s="16">
        <v>6</v>
      </c>
      <c r="DN283" s="16"/>
      <c r="DO283" s="16">
        <v>0</v>
      </c>
      <c r="DP283" s="16"/>
      <c r="DQ283" s="16">
        <v>3</v>
      </c>
      <c r="DR283" s="16">
        <f>SUM(DI283:DQ283)</f>
        <v>100</v>
      </c>
      <c r="DS283" s="16"/>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c r="FN283" s="18"/>
      <c r="FO283" s="18"/>
      <c r="FP283" s="18"/>
      <c r="FQ283" s="18"/>
      <c r="FR283" s="18"/>
      <c r="FS283" s="18"/>
      <c r="FT283" s="18"/>
      <c r="FU283" s="18"/>
      <c r="FV283" s="18"/>
      <c r="FW283" s="18"/>
      <c r="FX283" s="18"/>
      <c r="FY283" s="18"/>
      <c r="FZ283" s="18"/>
      <c r="GA283" s="18"/>
      <c r="GB283" s="18"/>
      <c r="GC283" s="18"/>
      <c r="GD283" s="18"/>
      <c r="GE283" s="18"/>
      <c r="GF283" s="18"/>
      <c r="GG283" s="18"/>
      <c r="GH283" s="18"/>
      <c r="GI283" s="18"/>
      <c r="GJ283" s="18"/>
      <c r="GK283" s="18"/>
      <c r="GL283" s="18"/>
      <c r="GM283" s="18"/>
      <c r="GN283" s="18"/>
      <c r="GO283" s="18"/>
      <c r="GP283" s="18"/>
      <c r="GQ283" s="18"/>
      <c r="GR283" s="18"/>
      <c r="GS283" s="18"/>
      <c r="GT283" s="18"/>
      <c r="GU283" s="18"/>
      <c r="GV283" s="18"/>
      <c r="GW283" s="18"/>
      <c r="GX283" s="18"/>
      <c r="GY283" s="18"/>
      <c r="GZ283" s="18"/>
      <c r="HA283" s="18"/>
      <c r="HB283" s="18"/>
      <c r="HC283" s="18"/>
      <c r="HD283" s="18"/>
      <c r="HE283" s="18"/>
      <c r="HF283" s="18"/>
      <c r="HG283" s="18"/>
      <c r="HH283" s="18"/>
      <c r="HI283" s="18"/>
      <c r="HJ283" s="18"/>
      <c r="HK283" s="18"/>
      <c r="HL283" s="18"/>
      <c r="HM283" s="18"/>
      <c r="HN283" s="18"/>
      <c r="HO283" s="18"/>
      <c r="HP283" s="18"/>
      <c r="HQ283" s="18"/>
      <c r="HR283" s="18"/>
      <c r="HS283" s="18"/>
      <c r="HT283" s="18"/>
      <c r="HU283" s="18"/>
      <c r="HV283" s="18"/>
      <c r="HW283" s="18"/>
      <c r="HX283" s="18"/>
      <c r="HY283" s="18"/>
      <c r="HZ283" s="18"/>
      <c r="IA283" s="18"/>
      <c r="IB283" s="18"/>
      <c r="IC283" s="18"/>
      <c r="ID283" s="18"/>
      <c r="IE283" s="18"/>
      <c r="IF283" s="18"/>
      <c r="IG283" s="18"/>
      <c r="IH283" s="18"/>
      <c r="II283" s="18"/>
      <c r="IJ283" s="18"/>
      <c r="IK283" s="18"/>
      <c r="IL283" s="18"/>
      <c r="IM283" s="18"/>
      <c r="IN283" s="18"/>
      <c r="IO283" s="18"/>
      <c r="IP283" s="18"/>
      <c r="IQ283" s="18"/>
      <c r="IR283" s="18"/>
      <c r="IS283" s="18"/>
      <c r="IT283" s="18"/>
      <c r="IU283" s="18"/>
      <c r="IV283" s="18"/>
      <c r="IW283" s="18"/>
      <c r="IX283" s="18"/>
      <c r="IY283" s="18"/>
      <c r="IZ283" s="18"/>
      <c r="JA283" s="18"/>
      <c r="JB283" s="18"/>
      <c r="JC283" s="18"/>
      <c r="JD283" s="18"/>
      <c r="JE283" s="18"/>
      <c r="JF283" s="18"/>
      <c r="JG283" s="18"/>
      <c r="JH283" s="18"/>
      <c r="JI283" s="18"/>
      <c r="JJ283" s="18"/>
      <c r="JK283" s="18"/>
      <c r="JL283" s="18"/>
      <c r="JM283" s="18"/>
      <c r="JN283" s="18"/>
      <c r="JO283" s="16"/>
      <c r="JP283" s="18"/>
      <c r="JQ283" s="18"/>
      <c r="JR283" s="16"/>
      <c r="JS283" s="16"/>
      <c r="JT283" s="16"/>
      <c r="JU283" s="16"/>
      <c r="JV283" s="16"/>
      <c r="JW283" s="16"/>
      <c r="JX283" s="16"/>
      <c r="JY283" s="16"/>
      <c r="JZ283" s="16"/>
      <c r="KA283" s="16"/>
      <c r="KB283" s="16"/>
    </row>
    <row r="284" spans="1:288" s="27" customFormat="1" x14ac:dyDescent="0.2">
      <c r="A284" s="18"/>
      <c r="B284" s="16">
        <v>2017</v>
      </c>
      <c r="C284" s="43">
        <v>42922</v>
      </c>
      <c r="D284" s="43" t="str">
        <f>CONCATENATE(J284,"-",C284)</f>
        <v>1146-42922</v>
      </c>
      <c r="E284" s="20" t="str">
        <f>CONCATENATE(T284,"-",U284,"-",C284)</f>
        <v>SP2-D4-42922</v>
      </c>
      <c r="F284" s="20" t="s">
        <v>106</v>
      </c>
      <c r="G284" s="43" t="s">
        <v>107</v>
      </c>
      <c r="H284" s="23"/>
      <c r="I284" s="16">
        <v>0</v>
      </c>
      <c r="J284" s="15">
        <v>1146</v>
      </c>
      <c r="K284" s="15">
        <v>1833</v>
      </c>
      <c r="L284" s="18">
        <v>0</v>
      </c>
      <c r="M284" s="21">
        <f>VLOOKUP($K284,'[4]blood tubes 2017'!$D$1:$L$647,8,FALSE)</f>
        <v>0</v>
      </c>
      <c r="N284" s="15">
        <v>0</v>
      </c>
      <c r="O284" s="15" t="s">
        <v>119</v>
      </c>
      <c r="P284" s="23" t="s">
        <v>119</v>
      </c>
      <c r="Q284" s="16">
        <v>0</v>
      </c>
      <c r="R284" s="23">
        <v>17</v>
      </c>
      <c r="S284" s="23"/>
      <c r="T284" s="23" t="s">
        <v>137</v>
      </c>
      <c r="U284" s="23" t="s">
        <v>221</v>
      </c>
      <c r="V284" s="23" t="s">
        <v>114</v>
      </c>
      <c r="W284" s="16">
        <f>AI284/AG284</f>
        <v>0.82474226804123707</v>
      </c>
      <c r="X284" s="23" t="s">
        <v>121</v>
      </c>
      <c r="Y284" s="23" t="s">
        <v>110</v>
      </c>
      <c r="Z284" s="23">
        <v>3</v>
      </c>
      <c r="AA284" s="23" t="s">
        <v>119</v>
      </c>
      <c r="AB284" s="23" t="s">
        <v>239</v>
      </c>
      <c r="AC284" s="23" t="s">
        <v>123</v>
      </c>
      <c r="AD284" s="23" t="s">
        <v>123</v>
      </c>
      <c r="AE284" s="23"/>
      <c r="AF284" s="23"/>
      <c r="AG284" s="23">
        <f>AH284-AI284</f>
        <v>97</v>
      </c>
      <c r="AH284" s="23">
        <v>177</v>
      </c>
      <c r="AI284" s="23">
        <v>80</v>
      </c>
      <c r="AJ284" s="23"/>
      <c r="AK284" s="23">
        <v>23</v>
      </c>
      <c r="AL284" s="23">
        <v>0</v>
      </c>
      <c r="AM284" s="23">
        <v>0</v>
      </c>
      <c r="AN284" s="23">
        <v>0</v>
      </c>
      <c r="AO284" s="23">
        <v>0</v>
      </c>
      <c r="AP284" s="23">
        <f>SUM(AL284:AN284)</f>
        <v>0</v>
      </c>
      <c r="AQ284" s="23">
        <v>2.1520000000000001</v>
      </c>
      <c r="AR284" s="23">
        <f>AP284-1.472</f>
        <v>-1.472</v>
      </c>
      <c r="AS284" s="23">
        <f>AQ284-1.472</f>
        <v>0.68000000000000016</v>
      </c>
      <c r="AT284" s="23" t="s">
        <v>234</v>
      </c>
      <c r="AU284" s="23"/>
      <c r="AV284" s="23"/>
      <c r="AW284" s="23">
        <f>IF(AX284&gt;0,1,0)</f>
        <v>1</v>
      </c>
      <c r="AX284" s="23">
        <f>SUM(BA284,BM284,CT284)</f>
        <v>3</v>
      </c>
      <c r="AY284" s="25">
        <f>SUM(BB284,BN284,CV284)</f>
        <v>189.70588235294113</v>
      </c>
      <c r="AZ284" s="16">
        <v>1</v>
      </c>
      <c r="BA284" s="23">
        <v>1</v>
      </c>
      <c r="BB284" s="23">
        <f>SUM(BE284,BH284,BK284)</f>
        <v>41.176470588235283</v>
      </c>
      <c r="BC284" s="16">
        <v>0</v>
      </c>
      <c r="BD284" s="23">
        <v>0</v>
      </c>
      <c r="BE284" s="23">
        <f>BD284/AS284</f>
        <v>0</v>
      </c>
      <c r="BF284" s="16">
        <v>1</v>
      </c>
      <c r="BG284" s="23">
        <v>28</v>
      </c>
      <c r="BH284" s="23">
        <f>BG284/AS284</f>
        <v>41.176470588235283</v>
      </c>
      <c r="BI284" s="16">
        <v>0</v>
      </c>
      <c r="BJ284" s="23">
        <v>0</v>
      </c>
      <c r="BK284" s="23">
        <f>BJ284/AS284</f>
        <v>0</v>
      </c>
      <c r="BL284" s="16">
        <f>IF(BM284&gt;0,1,0)</f>
        <v>1</v>
      </c>
      <c r="BM284" s="16">
        <f>SUM(BR284,BU284,BX284,CA284,CD284,CG284,CJ284,CM284,CP284)</f>
        <v>2</v>
      </c>
      <c r="BN284" s="16">
        <f>SUM(BW284,BZ284,CC284,CF284,CI284,CL284,CO284,CR284,BT284)</f>
        <v>148.52941176470586</v>
      </c>
      <c r="BO284" s="16">
        <f>IF(BP284&gt;0,1,0)</f>
        <v>1</v>
      </c>
      <c r="BP284" s="16">
        <f>SUM(BU284,BX284,CA284,CD284,BR284)</f>
        <v>2</v>
      </c>
      <c r="BQ284" s="16">
        <f>SUM(BZ284,CC284,CF284,BT284,BW284)</f>
        <v>148.52941176470586</v>
      </c>
      <c r="BR284" s="16">
        <v>1</v>
      </c>
      <c r="BS284" s="23">
        <v>97</v>
      </c>
      <c r="BT284" s="23">
        <f>BS284/AS284</f>
        <v>142.64705882352939</v>
      </c>
      <c r="BU284" s="16">
        <v>0</v>
      </c>
      <c r="BV284" s="23">
        <v>0</v>
      </c>
      <c r="BW284" s="16">
        <f>BV284/AS284</f>
        <v>0</v>
      </c>
      <c r="BX284" s="16">
        <v>0</v>
      </c>
      <c r="BY284" s="23">
        <v>0</v>
      </c>
      <c r="BZ284" s="16">
        <f>BY284/AS284</f>
        <v>0</v>
      </c>
      <c r="CA284" s="16">
        <v>1</v>
      </c>
      <c r="CB284" s="23">
        <v>4</v>
      </c>
      <c r="CC284" s="23">
        <f>CB284/AS284</f>
        <v>5.8823529411764692</v>
      </c>
      <c r="CD284" s="23">
        <v>0</v>
      </c>
      <c r="CE284" s="23">
        <v>0</v>
      </c>
      <c r="CF284" s="23">
        <f>CE284/AS284</f>
        <v>0</v>
      </c>
      <c r="CG284" s="23">
        <v>0</v>
      </c>
      <c r="CH284" s="23">
        <v>0</v>
      </c>
      <c r="CI284" s="23">
        <f>CH284/AS284</f>
        <v>0</v>
      </c>
      <c r="CJ284" s="23"/>
      <c r="CK284" s="23"/>
      <c r="CL284" s="23"/>
      <c r="CM284" s="23">
        <v>0</v>
      </c>
      <c r="CN284" s="23">
        <v>0</v>
      </c>
      <c r="CO284" s="23">
        <f>CN284/AS284</f>
        <v>0</v>
      </c>
      <c r="CP284" s="23">
        <v>0</v>
      </c>
      <c r="CQ284" s="23">
        <v>0</v>
      </c>
      <c r="CR284" s="23">
        <f>CQ284/AS284</f>
        <v>0</v>
      </c>
      <c r="CS284" s="16">
        <v>0</v>
      </c>
      <c r="CT284" s="16">
        <v>0</v>
      </c>
      <c r="CU284" s="16"/>
      <c r="CV284" s="23">
        <f>SUM(CY284,DB284,DE284)</f>
        <v>0</v>
      </c>
      <c r="CW284" s="16">
        <v>0</v>
      </c>
      <c r="CX284" s="23">
        <v>0</v>
      </c>
      <c r="CY284" s="23">
        <f>CX284/AS284</f>
        <v>0</v>
      </c>
      <c r="CZ284" s="23">
        <v>0</v>
      </c>
      <c r="DA284" s="23">
        <v>0</v>
      </c>
      <c r="DB284" s="23">
        <f>DA284/AS284</f>
        <v>0</v>
      </c>
      <c r="DC284" s="23">
        <v>0</v>
      </c>
      <c r="DD284" s="23">
        <v>0</v>
      </c>
      <c r="DE284" s="23">
        <f>DD284/AS284</f>
        <v>0</v>
      </c>
      <c r="DF284" s="16" t="e">
        <f>VLOOKUP(K284,'[3]RNA Seq summary tables'!$V$3:$V$99,1,FALSE)</f>
        <v>#N/A</v>
      </c>
      <c r="DG284" s="16"/>
      <c r="DH284" s="16"/>
      <c r="DI284" s="23">
        <v>60</v>
      </c>
      <c r="DJ284" s="23"/>
      <c r="DK284" s="23">
        <v>34</v>
      </c>
      <c r="DL284" s="23"/>
      <c r="DM284" s="23">
        <v>4</v>
      </c>
      <c r="DN284" s="23"/>
      <c r="DO284" s="23">
        <v>0</v>
      </c>
      <c r="DP284" s="23"/>
      <c r="DQ284" s="23">
        <v>2</v>
      </c>
      <c r="DR284" s="23">
        <f>SUM(DI284:DQ284)</f>
        <v>100</v>
      </c>
      <c r="DS284" s="23"/>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c r="FN284" s="18"/>
      <c r="FO284" s="18"/>
      <c r="FP284" s="18"/>
      <c r="FQ284" s="18"/>
      <c r="FR284" s="18"/>
      <c r="FS284" s="18"/>
      <c r="FT284" s="18"/>
      <c r="FU284" s="18"/>
      <c r="FV284" s="18"/>
      <c r="FW284" s="18"/>
      <c r="FX284" s="18"/>
      <c r="FY284" s="18"/>
      <c r="FZ284" s="18"/>
      <c r="GA284" s="18"/>
      <c r="GB284" s="18"/>
      <c r="GC284" s="18"/>
      <c r="GD284" s="18"/>
      <c r="GE284" s="18"/>
      <c r="GF284" s="18"/>
      <c r="GG284" s="18"/>
      <c r="GH284" s="18"/>
      <c r="GI284" s="18"/>
      <c r="GJ284" s="18"/>
      <c r="GK284" s="18"/>
      <c r="GL284" s="18"/>
      <c r="GM284" s="18"/>
      <c r="GN284" s="18"/>
      <c r="GO284" s="18"/>
      <c r="GP284" s="18"/>
      <c r="GQ284" s="18"/>
      <c r="GR284" s="18"/>
      <c r="GS284" s="18"/>
      <c r="GT284" s="18"/>
      <c r="GU284" s="18"/>
      <c r="GV284" s="18"/>
      <c r="GW284" s="18"/>
      <c r="GX284" s="18"/>
      <c r="GY284" s="18"/>
      <c r="GZ284" s="18"/>
      <c r="HA284" s="18"/>
      <c r="HB284" s="18"/>
      <c r="HC284" s="18"/>
      <c r="HD284" s="18"/>
      <c r="HE284" s="18"/>
      <c r="HF284" s="18"/>
      <c r="HG284" s="18"/>
      <c r="HH284" s="18"/>
      <c r="HI284" s="18"/>
      <c r="HJ284" s="18"/>
      <c r="HK284" s="18"/>
      <c r="HL284" s="18"/>
      <c r="HM284" s="18"/>
      <c r="HN284" s="18"/>
      <c r="HO284" s="18"/>
      <c r="HP284" s="18"/>
      <c r="HQ284" s="18"/>
      <c r="HR284" s="18"/>
      <c r="HS284" s="18"/>
      <c r="HT284" s="18"/>
      <c r="HU284" s="18"/>
      <c r="HV284" s="18"/>
      <c r="HW284" s="18"/>
      <c r="HX284" s="18"/>
      <c r="HY284" s="18"/>
      <c r="HZ284" s="18"/>
      <c r="IA284" s="18"/>
      <c r="IB284" s="18"/>
      <c r="IC284" s="18"/>
      <c r="ID284" s="18"/>
      <c r="IE284" s="18"/>
      <c r="IF284" s="18"/>
      <c r="IG284" s="18"/>
      <c r="IH284" s="18"/>
      <c r="II284" s="18"/>
      <c r="IJ284" s="18"/>
      <c r="IK284" s="18"/>
      <c r="IL284" s="18"/>
      <c r="IM284" s="18"/>
      <c r="IN284" s="18"/>
      <c r="IO284" s="18"/>
      <c r="IP284" s="18"/>
      <c r="IQ284" s="18"/>
      <c r="IR284" s="18"/>
      <c r="IS284" s="18"/>
      <c r="IT284" s="18"/>
      <c r="IU284" s="18"/>
      <c r="IV284" s="18"/>
      <c r="IW284" s="18"/>
      <c r="IX284" s="18"/>
      <c r="IY284" s="18"/>
      <c r="IZ284" s="18"/>
      <c r="JA284" s="18"/>
      <c r="JB284" s="18"/>
      <c r="JC284" s="18"/>
      <c r="JD284" s="18"/>
      <c r="JE284" s="18"/>
      <c r="JF284" s="18"/>
      <c r="JG284" s="18"/>
      <c r="JH284" s="18"/>
      <c r="JI284" s="18"/>
      <c r="JJ284" s="18"/>
      <c r="JK284" s="18"/>
      <c r="JL284" s="18"/>
      <c r="JM284" s="18"/>
      <c r="JN284" s="18"/>
      <c r="JO284" s="16"/>
      <c r="JP284" s="16"/>
      <c r="JQ284" s="16"/>
    </row>
    <row r="285" spans="1:288" s="29" customFormat="1" x14ac:dyDescent="0.2">
      <c r="A285" s="18"/>
      <c r="B285" s="16">
        <v>2017</v>
      </c>
      <c r="C285" s="20">
        <v>42957</v>
      </c>
      <c r="D285" s="20" t="str">
        <f>CONCATENATE(J285,"-",C285)</f>
        <v>1146-42957</v>
      </c>
      <c r="E285" s="20" t="str">
        <f>CONCATENATE(T285,"-",U285,"-",C285)</f>
        <v>SP2-E6-42957</v>
      </c>
      <c r="F285" s="20" t="s">
        <v>106</v>
      </c>
      <c r="G285" s="20" t="s">
        <v>107</v>
      </c>
      <c r="H285" s="16"/>
      <c r="I285" s="16">
        <v>0</v>
      </c>
      <c r="J285" s="21">
        <v>1146</v>
      </c>
      <c r="K285" s="21">
        <v>2118</v>
      </c>
      <c r="L285" s="18">
        <v>0</v>
      </c>
      <c r="M285" s="21">
        <f>VLOOKUP($K285,'[4]blood tubes 2017'!$D$1:$L$647,8,FALSE)</f>
        <v>0</v>
      </c>
      <c r="N285" s="15">
        <v>0</v>
      </c>
      <c r="O285" s="15" t="s">
        <v>119</v>
      </c>
      <c r="P285" s="16" t="s">
        <v>119</v>
      </c>
      <c r="Q285" s="16">
        <v>0</v>
      </c>
      <c r="R285" s="16">
        <v>35</v>
      </c>
      <c r="S285" s="16"/>
      <c r="T285" s="16" t="s">
        <v>137</v>
      </c>
      <c r="U285" s="16" t="s">
        <v>232</v>
      </c>
      <c r="V285" s="16" t="s">
        <v>114</v>
      </c>
      <c r="W285" s="16">
        <f>AI285/AG285</f>
        <v>0.85</v>
      </c>
      <c r="X285" s="16" t="s">
        <v>121</v>
      </c>
      <c r="Y285" s="16" t="s">
        <v>110</v>
      </c>
      <c r="Z285" s="16">
        <v>3</v>
      </c>
      <c r="AA285" s="16" t="s">
        <v>161</v>
      </c>
      <c r="AB285" s="16" t="s">
        <v>239</v>
      </c>
      <c r="AC285" s="16" t="s">
        <v>123</v>
      </c>
      <c r="AD285" s="16" t="s">
        <v>116</v>
      </c>
      <c r="AE285" s="16"/>
      <c r="AF285" s="16"/>
      <c r="AG285" s="16">
        <f>AH285-AI285</f>
        <v>100</v>
      </c>
      <c r="AH285" s="16">
        <v>185</v>
      </c>
      <c r="AI285" s="16">
        <v>85</v>
      </c>
      <c r="AJ285" s="16"/>
      <c r="AK285" s="16">
        <v>26</v>
      </c>
      <c r="AL285" s="16">
        <v>0</v>
      </c>
      <c r="AM285" s="16">
        <v>0</v>
      </c>
      <c r="AN285" s="16">
        <v>0</v>
      </c>
      <c r="AO285" s="16">
        <v>0</v>
      </c>
      <c r="AP285" s="16">
        <f>SUM(AL285:AN285)</f>
        <v>0</v>
      </c>
      <c r="AQ285" s="16">
        <v>1.764</v>
      </c>
      <c r="AR285" s="16">
        <f>AP285-1.472</f>
        <v>-1.472</v>
      </c>
      <c r="AS285" s="16">
        <f>AQ285-1.472</f>
        <v>0.29200000000000004</v>
      </c>
      <c r="AT285" s="16" t="str">
        <f>VLOOKUP(K285,'[5]FECs - good data'!$C$1:$P$575,13,FALSE)</f>
        <v>LV</v>
      </c>
      <c r="AU285" s="16"/>
      <c r="AV285" s="16"/>
      <c r="AW285" s="18">
        <f>IF(AX285&gt;0,1,0)</f>
        <v>1</v>
      </c>
      <c r="AX285" s="18">
        <f>SUM(BA285,BM285,CT285)</f>
        <v>5</v>
      </c>
      <c r="AY285" s="18">
        <f>SUM(BB285,BN285,CV285)</f>
        <v>215.7534246575342</v>
      </c>
      <c r="AZ285" s="18">
        <f>IF(BA285&gt;0,1,0)</f>
        <v>1</v>
      </c>
      <c r="BA285" s="18">
        <f>SUM(BC285,BF285,BI285)</f>
        <v>1</v>
      </c>
      <c r="BB285" s="18">
        <f>SUM(BE285,BH285,BK285)</f>
        <v>30.821917808219172</v>
      </c>
      <c r="BC285" s="18">
        <f>IF(BD285&gt;0,1,0)</f>
        <v>0</v>
      </c>
      <c r="BD285" s="18">
        <f>VLOOKUP($K285,'[5]FECs - good data'!$C$1:$Z$574,14,FALSE)</f>
        <v>0</v>
      </c>
      <c r="BE285" s="16">
        <f>BD285/AS285</f>
        <v>0</v>
      </c>
      <c r="BF285" s="16">
        <f>IF(BG285&gt;0,1,0)</f>
        <v>1</v>
      </c>
      <c r="BG285" s="23">
        <f>VLOOKUP($K285,'[5]FECs - good data'!$C$1:$Z$574,15,FALSE)</f>
        <v>9</v>
      </c>
      <c r="BH285" s="16">
        <f>BG285/AS285</f>
        <v>30.821917808219172</v>
      </c>
      <c r="BI285" s="16">
        <f>IF(BJ285&gt;0,1,0)</f>
        <v>0</v>
      </c>
      <c r="BJ285" s="16">
        <f>VLOOKUP($K285,'[5]FECs - good data'!$C$1:$Z$574,16,FALSE)</f>
        <v>0</v>
      </c>
      <c r="BK285" s="16">
        <f>BJ285/AS285</f>
        <v>0</v>
      </c>
      <c r="BL285" s="16">
        <f>IF(BM285&gt;0,1,0)</f>
        <v>1</v>
      </c>
      <c r="BM285" s="16">
        <f>SUM(BR285,BU285,BX285,CA285,CD285,CG285,CJ285,CM285,CP285)</f>
        <v>3</v>
      </c>
      <c r="BN285" s="16">
        <f>SUM(BW285,BZ285,CC285,CF285,CI285,CL285,CO285,CR285,BT285)</f>
        <v>95.890410958904098</v>
      </c>
      <c r="BO285" s="16">
        <f>IF(BP285&gt;0,1,0)</f>
        <v>1</v>
      </c>
      <c r="BP285" s="16">
        <f>SUM(BU285,BX285,CA285,CD285,BR285)</f>
        <v>1</v>
      </c>
      <c r="BQ285" s="16">
        <f>SUM(BZ285,CC285,CF285,BT285,BW285)</f>
        <v>3.4246575342465748</v>
      </c>
      <c r="BR285" s="16">
        <f>IF(BS285&gt;0,1,0)</f>
        <v>0</v>
      </c>
      <c r="BS285" s="16">
        <f>VLOOKUP($K285,'[5]FECs - good data'!$C$1:$Z$574,17,FALSE)</f>
        <v>0</v>
      </c>
      <c r="BT285" s="23">
        <f>BS285/AS285</f>
        <v>0</v>
      </c>
      <c r="BU285" s="16">
        <f>IF(BV285&gt;0,1,0)</f>
        <v>0</v>
      </c>
      <c r="BV285" s="16">
        <f>VLOOKUP($K285,'[5]FECs - good data'!$C$1:$Z$574,18,FALSE)</f>
        <v>0</v>
      </c>
      <c r="BW285" s="16">
        <f>BV285/AS285</f>
        <v>0</v>
      </c>
      <c r="BX285" s="16">
        <f>IF(BY285&gt;0,1,0)</f>
        <v>0</v>
      </c>
      <c r="BY285" s="16">
        <f>VLOOKUP($K285,'[5]FECs - good data'!$C$1:$Z$574,19,FALSE)</f>
        <v>0</v>
      </c>
      <c r="BZ285" s="16">
        <f>BY285/AS285</f>
        <v>0</v>
      </c>
      <c r="CA285" s="16">
        <f>IF(CB285&gt;0,1,0)</f>
        <v>1</v>
      </c>
      <c r="CB285" s="16">
        <f>VLOOKUP($K285,'[5]FECs - good data'!$C$1:$Z$574,20,FALSE)</f>
        <v>1</v>
      </c>
      <c r="CC285" s="16">
        <f>CB285/AS285</f>
        <v>3.4246575342465748</v>
      </c>
      <c r="CD285" s="23">
        <f>IF(CE285&gt;0,1,0)</f>
        <v>0</v>
      </c>
      <c r="CE285" s="16">
        <f>VLOOKUP($K285,'[5]FECs - good data'!$C$1:$Z$574,21,FALSE)</f>
        <v>0</v>
      </c>
      <c r="CF285" s="16">
        <f>CE285/AS285</f>
        <v>0</v>
      </c>
      <c r="CG285" s="16">
        <f>IF(CH285&gt;0,1,0)</f>
        <v>1</v>
      </c>
      <c r="CH285" s="16">
        <f>VLOOKUP($K285,'[5]FECs - good data'!$C$1:$Z$574,22,FALSE)</f>
        <v>26</v>
      </c>
      <c r="CI285" s="16">
        <f>CH285/AS285</f>
        <v>89.041095890410944</v>
      </c>
      <c r="CJ285" s="16">
        <f>IF(CK285&gt;0,1,0)</f>
        <v>1</v>
      </c>
      <c r="CK285" s="16">
        <f>VLOOKUP($K285,'[5]FECs - good data'!$C$1:$Z$674,24,FALSE)</f>
        <v>1</v>
      </c>
      <c r="CL285" s="16">
        <f>CK285/AS285</f>
        <v>3.4246575342465748</v>
      </c>
      <c r="CM285" s="16"/>
      <c r="CN285" s="16"/>
      <c r="CO285" s="16"/>
      <c r="CP285" s="16"/>
      <c r="CQ285" s="16"/>
      <c r="CR285" s="16"/>
      <c r="CS285" s="16">
        <f>IF(CT285&gt;0,1,0)</f>
        <v>1</v>
      </c>
      <c r="CT285" s="16">
        <f>SUM(CW285+CZ285,DC285)</f>
        <v>1</v>
      </c>
      <c r="CU285" s="16"/>
      <c r="CV285" s="16">
        <f>SUM(CY285,DB285,DE285)</f>
        <v>89.041095890410944</v>
      </c>
      <c r="CW285" s="16">
        <f>IF(CX285&gt;0,1,0)</f>
        <v>1</v>
      </c>
      <c r="CX285" s="16">
        <f>VLOOKUP($K285,'[5]FECs - good data'!$C$1:$Z$574,22,FALSE)</f>
        <v>26</v>
      </c>
      <c r="CY285" s="16">
        <f>CX285/AS285</f>
        <v>89.041095890410944</v>
      </c>
      <c r="CZ285" s="16">
        <f>IF(DA285&gt;0,1,0)</f>
        <v>0</v>
      </c>
      <c r="DA285" s="16">
        <f>VLOOKUP($K285,'[5]FECs - good data'!$C$1:$Z$5982,23,FALSE)</f>
        <v>0</v>
      </c>
      <c r="DB285" s="16">
        <f>DA285/AS285</f>
        <v>0</v>
      </c>
      <c r="DC285" s="16">
        <f>IF(DD285&gt;0,1,0)</f>
        <v>0</v>
      </c>
      <c r="DD285" s="16">
        <f>VLOOKUP($K285,'[5]FECs - good data'!$C$1:$Z$574,23,FALSE)</f>
        <v>0</v>
      </c>
      <c r="DE285" s="16">
        <f>DD285/AS285</f>
        <v>0</v>
      </c>
      <c r="DF285" s="16" t="e">
        <f>VLOOKUP(K285,'[3]RNA Seq summary tables'!$V$3:$V$99,1,FALSE)</f>
        <v>#N/A</v>
      </c>
      <c r="DG285" s="16">
        <v>1</v>
      </c>
      <c r="DH285" s="16" t="str">
        <f>VLOOKUP(D285,'[6]workflow 3.2018'!$A$1:$S$237,2,FALSE)</f>
        <v>2017MLBS_123</v>
      </c>
      <c r="DI285" s="16"/>
      <c r="DJ285" s="16"/>
      <c r="DK285" s="16"/>
      <c r="DL285" s="16"/>
      <c r="DM285" s="16"/>
      <c r="DN285" s="16"/>
      <c r="DO285" s="16"/>
      <c r="DP285" s="16"/>
      <c r="DQ285" s="16"/>
      <c r="DR285" s="16"/>
      <c r="DS285" s="16"/>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c r="FN285" s="18"/>
      <c r="FO285" s="18"/>
      <c r="FP285" s="18"/>
      <c r="FQ285" s="18"/>
      <c r="FR285" s="18"/>
      <c r="FS285" s="18"/>
      <c r="FT285" s="18"/>
      <c r="FU285" s="18"/>
      <c r="FV285" s="18"/>
      <c r="FW285" s="18"/>
      <c r="FX285" s="18"/>
      <c r="FY285" s="18"/>
      <c r="FZ285" s="18"/>
      <c r="GA285" s="18"/>
      <c r="GB285" s="18"/>
      <c r="GC285" s="18"/>
      <c r="GD285" s="18"/>
      <c r="GE285" s="18"/>
      <c r="GF285" s="18"/>
      <c r="GG285" s="18"/>
      <c r="GH285" s="18"/>
      <c r="GI285" s="18"/>
      <c r="GJ285" s="18"/>
      <c r="GK285" s="18"/>
      <c r="GL285" s="18"/>
      <c r="GM285" s="18"/>
      <c r="GN285" s="18"/>
      <c r="GO285" s="18"/>
      <c r="GP285" s="18"/>
      <c r="GQ285" s="18"/>
      <c r="GR285" s="18"/>
      <c r="GS285" s="18"/>
      <c r="GT285" s="18"/>
      <c r="GU285" s="18"/>
      <c r="GV285" s="18"/>
      <c r="GW285" s="18"/>
      <c r="GX285" s="18"/>
      <c r="GY285" s="18"/>
      <c r="GZ285" s="18"/>
      <c r="HA285" s="18"/>
      <c r="HB285" s="18"/>
      <c r="HC285" s="18"/>
      <c r="HD285" s="18"/>
      <c r="HE285" s="18"/>
      <c r="HF285" s="18"/>
      <c r="HG285" s="18"/>
      <c r="HH285" s="18"/>
      <c r="HI285" s="18"/>
      <c r="HJ285" s="18"/>
      <c r="HK285" s="18"/>
      <c r="HL285" s="18"/>
      <c r="HM285" s="18"/>
      <c r="HN285" s="18"/>
      <c r="HO285" s="18"/>
      <c r="HP285" s="18"/>
      <c r="HQ285" s="18"/>
      <c r="HR285" s="18"/>
      <c r="HS285" s="18"/>
      <c r="HT285" s="18"/>
      <c r="HU285" s="18"/>
      <c r="HV285" s="18"/>
      <c r="HW285" s="18"/>
      <c r="HX285" s="18"/>
      <c r="HY285" s="18"/>
      <c r="HZ285" s="18"/>
      <c r="IA285" s="18"/>
      <c r="IB285" s="18"/>
      <c r="IC285" s="18"/>
      <c r="ID285" s="18"/>
      <c r="IE285" s="18"/>
      <c r="IF285" s="18"/>
      <c r="IG285" s="18"/>
      <c r="IH285" s="18"/>
      <c r="II285" s="18"/>
      <c r="IJ285" s="18"/>
      <c r="IK285" s="18"/>
      <c r="IL285" s="18"/>
      <c r="IM285" s="18"/>
      <c r="IN285" s="18"/>
      <c r="IO285" s="18"/>
      <c r="IP285" s="18"/>
      <c r="IQ285" s="18"/>
      <c r="IR285" s="18"/>
      <c r="IS285" s="18"/>
      <c r="IT285" s="18"/>
      <c r="IU285" s="18"/>
      <c r="IV285" s="18"/>
      <c r="IW285" s="18"/>
      <c r="IX285" s="18"/>
      <c r="IY285" s="18"/>
      <c r="IZ285" s="18"/>
      <c r="JA285" s="18"/>
      <c r="JB285" s="18"/>
      <c r="JC285" s="18"/>
      <c r="JD285" s="18"/>
      <c r="JE285" s="18"/>
      <c r="JF285" s="18"/>
      <c r="JG285" s="18"/>
      <c r="JH285" s="18"/>
      <c r="JI285" s="18"/>
      <c r="JJ285" s="18"/>
      <c r="JK285" s="18"/>
      <c r="JL285" s="18"/>
      <c r="JM285" s="18"/>
      <c r="JN285" s="18"/>
      <c r="JO285" s="16"/>
      <c r="JP285" s="16"/>
      <c r="JQ285" s="16"/>
      <c r="JR285" s="16"/>
      <c r="JS285" s="16"/>
      <c r="JT285" s="16"/>
      <c r="JU285" s="16"/>
      <c r="JV285" s="16"/>
      <c r="JW285" s="16"/>
      <c r="JX285" s="16"/>
      <c r="JY285" s="16"/>
      <c r="JZ285" s="16"/>
      <c r="KA285" s="16"/>
      <c r="KB285" s="16"/>
    </row>
    <row r="286" spans="1:288" s="27" customFormat="1" x14ac:dyDescent="0.2">
      <c r="A286" s="18"/>
      <c r="B286" s="16">
        <v>2017</v>
      </c>
      <c r="C286" s="20">
        <v>42972</v>
      </c>
      <c r="D286" s="20" t="str">
        <f>CONCATENATE(J286,"-",C286)</f>
        <v>1146-42972</v>
      </c>
      <c r="E286" s="20" t="str">
        <f>CONCATENATE(T286,"-",U286,"-",C286)</f>
        <v>SP2-D6-42972</v>
      </c>
      <c r="F286" s="20" t="s">
        <v>106</v>
      </c>
      <c r="G286" s="20" t="s">
        <v>107</v>
      </c>
      <c r="H286" s="16"/>
      <c r="I286" s="16">
        <v>0</v>
      </c>
      <c r="J286" s="21">
        <v>1146</v>
      </c>
      <c r="K286" s="21">
        <v>2250</v>
      </c>
      <c r="L286" s="18">
        <v>0</v>
      </c>
      <c r="M286" s="21">
        <f>VLOOKUP($K286,'[4]blood tubes 2017'!$D$1:$L$947,8,FALSE)</f>
        <v>0</v>
      </c>
      <c r="N286" s="15">
        <v>0</v>
      </c>
      <c r="O286" s="15" t="s">
        <v>119</v>
      </c>
      <c r="P286" s="16" t="s">
        <v>119</v>
      </c>
      <c r="Q286" s="16">
        <v>0</v>
      </c>
      <c r="R286" s="16">
        <v>15</v>
      </c>
      <c r="S286" s="16"/>
      <c r="T286" s="16" t="s">
        <v>137</v>
      </c>
      <c r="U286" s="16" t="s">
        <v>186</v>
      </c>
      <c r="V286" s="16" t="s">
        <v>114</v>
      </c>
      <c r="W286" s="16">
        <f>AI286/AG286</f>
        <v>0.89583333333333337</v>
      </c>
      <c r="X286" s="16" t="s">
        <v>121</v>
      </c>
      <c r="Y286" s="16" t="s">
        <v>110</v>
      </c>
      <c r="Z286" s="16">
        <v>3</v>
      </c>
      <c r="AA286" s="16" t="s">
        <v>119</v>
      </c>
      <c r="AB286" s="16" t="s">
        <v>239</v>
      </c>
      <c r="AC286" s="16" t="s">
        <v>123</v>
      </c>
      <c r="AD286" s="16" t="s">
        <v>123</v>
      </c>
      <c r="AE286" s="16"/>
      <c r="AF286" s="16"/>
      <c r="AG286" s="16">
        <f>AH286-AI286</f>
        <v>96</v>
      </c>
      <c r="AH286" s="16">
        <v>182</v>
      </c>
      <c r="AI286" s="16">
        <v>86</v>
      </c>
      <c r="AJ286" s="16"/>
      <c r="AK286" s="16">
        <v>25</v>
      </c>
      <c r="AL286" s="16">
        <v>0</v>
      </c>
      <c r="AM286" s="16">
        <v>0</v>
      </c>
      <c r="AN286" s="16">
        <v>0</v>
      </c>
      <c r="AO286" s="16">
        <v>0</v>
      </c>
      <c r="AP286" s="16">
        <f>SUM(AL286:AN286)</f>
        <v>0</v>
      </c>
      <c r="AQ286" s="16">
        <v>1.855</v>
      </c>
      <c r="AR286" s="16">
        <f>AP286-1.472</f>
        <v>-1.472</v>
      </c>
      <c r="AS286" s="16">
        <f>AQ286-1.472</f>
        <v>0.38300000000000001</v>
      </c>
      <c r="AT286" s="16" t="str">
        <f>VLOOKUP(K286,'[5]FECs - good data'!$C$1:$P$575,13,FALSE)</f>
        <v>JY</v>
      </c>
      <c r="AU286" s="16"/>
      <c r="AV286" s="16"/>
      <c r="AW286" s="18">
        <f>IF(AX286&gt;0,1,0)</f>
        <v>1</v>
      </c>
      <c r="AX286" s="18">
        <f>SUM(BA286,BM286,CT286)</f>
        <v>2</v>
      </c>
      <c r="AY286" s="18">
        <f>SUM(BB286,BN286,CV286)</f>
        <v>266.31853785900785</v>
      </c>
      <c r="AZ286" s="18">
        <f>IF(BA286&gt;0,1,0)</f>
        <v>0</v>
      </c>
      <c r="BA286" s="18">
        <f>SUM(BC286,BF286,BI286)</f>
        <v>0</v>
      </c>
      <c r="BB286" s="18">
        <f>SUM(BE286,BH286,BK286)</f>
        <v>0</v>
      </c>
      <c r="BC286" s="18">
        <f>IF(BD286&gt;0,1,0)</f>
        <v>0</v>
      </c>
      <c r="BD286" s="18">
        <f>VLOOKUP($K286,'[5]FECs - good data'!$C$1:$Z$574,14,FALSE)</f>
        <v>0</v>
      </c>
      <c r="BE286" s="16">
        <f>BD286/AS286</f>
        <v>0</v>
      </c>
      <c r="BF286" s="16">
        <f>IF(BG286&gt;0,1,0)</f>
        <v>0</v>
      </c>
      <c r="BG286" s="23">
        <f>VLOOKUP($K286,'[5]FECs - good data'!$C$1:$Z$574,15,FALSE)</f>
        <v>0</v>
      </c>
      <c r="BH286" s="16">
        <f>BG286/AS286</f>
        <v>0</v>
      </c>
      <c r="BI286" s="16">
        <f>IF(BJ286&gt;0,1,0)</f>
        <v>0</v>
      </c>
      <c r="BJ286" s="16">
        <f>VLOOKUP($K286,'[5]FECs - good data'!$C$1:$Z$574,16,FALSE)</f>
        <v>0</v>
      </c>
      <c r="BK286" s="16">
        <f>BJ286/AS286</f>
        <v>0</v>
      </c>
      <c r="BL286" s="16">
        <f>IF(BM286&gt;0,1,0)</f>
        <v>1</v>
      </c>
      <c r="BM286" s="16">
        <f>SUM(BR286,BU286,BX286,CA286,CD286,CG286,CJ286,CM286,CP286)</f>
        <v>1</v>
      </c>
      <c r="BN286" s="16">
        <f>SUM(BW286,BZ286,CC286,CF286,CI286,CL286,CO286,CR286,BT286)</f>
        <v>133.15926892950392</v>
      </c>
      <c r="BO286" s="16">
        <f>IF(BP286&gt;0,1,0)</f>
        <v>0</v>
      </c>
      <c r="BP286" s="16">
        <f>SUM(BU286,BX286,CA286,CD286,BR286)</f>
        <v>0</v>
      </c>
      <c r="BQ286" s="16">
        <f>SUM(BZ286,CC286,CF286,BT286,BW286)</f>
        <v>0</v>
      </c>
      <c r="BR286" s="16">
        <f>IF(BS286&gt;0,1,0)</f>
        <v>0</v>
      </c>
      <c r="BS286" s="16">
        <f>VLOOKUP($K286,'[5]FECs - good data'!$C$1:$Z$574,17,FALSE)</f>
        <v>0</v>
      </c>
      <c r="BT286" s="23">
        <f>BS286/AS286</f>
        <v>0</v>
      </c>
      <c r="BU286" s="16">
        <f>IF(BV286&gt;0,1,0)</f>
        <v>0</v>
      </c>
      <c r="BV286" s="16">
        <f>VLOOKUP($K286,'[5]FECs - good data'!$C$1:$Z$574,18,FALSE)</f>
        <v>0</v>
      </c>
      <c r="BW286" s="16">
        <f>BV286/AS286</f>
        <v>0</v>
      </c>
      <c r="BX286" s="16">
        <f>IF(BY286&gt;0,1,0)</f>
        <v>0</v>
      </c>
      <c r="BY286" s="16">
        <f>VLOOKUP($K286,'[5]FECs - good data'!$C$1:$Z$574,19,FALSE)</f>
        <v>0</v>
      </c>
      <c r="BZ286" s="16">
        <f>BY286/AS286</f>
        <v>0</v>
      </c>
      <c r="CA286" s="16">
        <f>IF(CB286&gt;0,1,0)</f>
        <v>0</v>
      </c>
      <c r="CB286" s="16">
        <f>VLOOKUP($K286,'[5]FECs - good data'!$C$1:$Z$574,20,FALSE)</f>
        <v>0</v>
      </c>
      <c r="CC286" s="16">
        <f>CB286/AS286</f>
        <v>0</v>
      </c>
      <c r="CD286" s="23">
        <f>IF(CE286&gt;0,1,0)</f>
        <v>0</v>
      </c>
      <c r="CE286" s="16">
        <f>VLOOKUP($K286,'[5]FECs - good data'!$C$1:$Z$574,21,FALSE)</f>
        <v>0</v>
      </c>
      <c r="CF286" s="16">
        <f>CE286/AS286</f>
        <v>0</v>
      </c>
      <c r="CG286" s="16">
        <f>IF(CH286&gt;0,1,0)</f>
        <v>1</v>
      </c>
      <c r="CH286" s="16">
        <f>VLOOKUP($K286,'[5]FECs - good data'!$C$1:$Z$574,22,FALSE)</f>
        <v>51</v>
      </c>
      <c r="CI286" s="16">
        <f>CH286/AS286</f>
        <v>133.15926892950392</v>
      </c>
      <c r="CJ286" s="16">
        <f>IF(CK286&gt;0,1,0)</f>
        <v>0</v>
      </c>
      <c r="CK286" s="16">
        <f>VLOOKUP($K286,'[5]FECs - good data'!$C$1:$Z$674,24,FALSE)</f>
        <v>0</v>
      </c>
      <c r="CL286" s="16">
        <f>CK286/AS286</f>
        <v>0</v>
      </c>
      <c r="CM286" s="16"/>
      <c r="CN286" s="16"/>
      <c r="CO286" s="16"/>
      <c r="CP286" s="16"/>
      <c r="CQ286" s="16"/>
      <c r="CR286" s="16"/>
      <c r="CS286" s="16">
        <f>IF(CT286&gt;0,1,0)</f>
        <v>1</v>
      </c>
      <c r="CT286" s="16">
        <f>SUM(CW286+CZ286,DC286)</f>
        <v>1</v>
      </c>
      <c r="CU286" s="16"/>
      <c r="CV286" s="16">
        <f>SUM(CY286,DB286,DE286)</f>
        <v>133.15926892950392</v>
      </c>
      <c r="CW286" s="16">
        <f>IF(CX286&gt;0,1,0)</f>
        <v>1</v>
      </c>
      <c r="CX286" s="16">
        <f>VLOOKUP($K286,'[5]FECs - good data'!$C$1:$Z$574,22,FALSE)</f>
        <v>51</v>
      </c>
      <c r="CY286" s="16">
        <f>CX286/AS286</f>
        <v>133.15926892950392</v>
      </c>
      <c r="CZ286" s="16">
        <f>IF(DA286&gt;0,1,0)</f>
        <v>0</v>
      </c>
      <c r="DA286" s="16">
        <f>VLOOKUP($K286,'[5]FECs - good data'!$C$1:$Z$5982,23,FALSE)</f>
        <v>0</v>
      </c>
      <c r="DB286" s="16">
        <f>DA286/AS286</f>
        <v>0</v>
      </c>
      <c r="DC286" s="16">
        <f>IF(DD286&gt;0,1,0)</f>
        <v>0</v>
      </c>
      <c r="DD286" s="16">
        <f>VLOOKUP($K286,'[5]FECs - good data'!$C$1:$Z$574,23,FALSE)</f>
        <v>0</v>
      </c>
      <c r="DE286" s="16">
        <f>DD286/AS286</f>
        <v>0</v>
      </c>
      <c r="DF286" s="16" t="e">
        <f>VLOOKUP(K286,'[3]RNA Seq summary tables'!$V$3:$V$99,1,FALSE)</f>
        <v>#N/A</v>
      </c>
      <c r="DG286" s="16">
        <v>1</v>
      </c>
      <c r="DH286" s="16" t="str">
        <f>VLOOKUP(D286,'[6]workflow 3.2018'!$A$1:$S$237,2,FALSE)</f>
        <v>2017MLBS_186</v>
      </c>
      <c r="DI286" s="16"/>
      <c r="DJ286" s="16"/>
      <c r="DK286" s="16"/>
      <c r="DL286" s="16"/>
      <c r="DM286" s="16"/>
      <c r="DN286" s="16"/>
      <c r="DO286" s="16"/>
      <c r="DP286" s="16"/>
      <c r="DQ286" s="16"/>
      <c r="DR286" s="16"/>
      <c r="DS286" s="16"/>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c r="FN286" s="18"/>
      <c r="FO286" s="18"/>
      <c r="FP286" s="18"/>
      <c r="FQ286" s="18"/>
      <c r="FR286" s="18"/>
      <c r="FS286" s="18"/>
      <c r="FT286" s="18"/>
      <c r="FU286" s="18"/>
      <c r="FV286" s="18"/>
      <c r="FW286" s="18"/>
      <c r="FX286" s="18"/>
      <c r="FY286" s="18"/>
      <c r="FZ286" s="18"/>
      <c r="GA286" s="18"/>
      <c r="GB286" s="18"/>
      <c r="GC286" s="18"/>
      <c r="GD286" s="18"/>
      <c r="GE286" s="18"/>
      <c r="GF286" s="18"/>
      <c r="GG286" s="18"/>
      <c r="GH286" s="18"/>
      <c r="GI286" s="18"/>
      <c r="GJ286" s="18"/>
      <c r="GK286" s="18"/>
      <c r="GL286" s="18"/>
      <c r="GM286" s="18"/>
      <c r="GN286" s="18"/>
      <c r="GO286" s="18"/>
      <c r="GP286" s="18"/>
      <c r="GQ286" s="18"/>
      <c r="GR286" s="18"/>
      <c r="GS286" s="18"/>
      <c r="GT286" s="18"/>
      <c r="GU286" s="18"/>
      <c r="GV286" s="18"/>
      <c r="GW286" s="18"/>
      <c r="GX286" s="18"/>
      <c r="GY286" s="18"/>
      <c r="GZ286" s="18"/>
      <c r="HA286" s="18"/>
      <c r="HB286" s="18"/>
      <c r="HC286" s="18"/>
      <c r="HD286" s="18"/>
      <c r="HE286" s="18"/>
      <c r="HF286" s="18"/>
      <c r="HG286" s="18"/>
      <c r="HH286" s="18"/>
      <c r="HI286" s="18"/>
      <c r="HJ286" s="18"/>
      <c r="HK286" s="18"/>
      <c r="HL286" s="18"/>
      <c r="HM286" s="18"/>
      <c r="HN286" s="18"/>
      <c r="HO286" s="18"/>
      <c r="HP286" s="18"/>
      <c r="HQ286" s="18"/>
      <c r="HR286" s="18"/>
      <c r="HS286" s="18"/>
      <c r="HT286" s="18"/>
      <c r="HU286" s="18"/>
      <c r="HV286" s="18"/>
      <c r="HW286" s="18"/>
      <c r="HX286" s="18"/>
      <c r="HY286" s="18"/>
      <c r="HZ286" s="18"/>
      <c r="IA286" s="18"/>
      <c r="IB286" s="18"/>
      <c r="IC286" s="18"/>
      <c r="ID286" s="18"/>
      <c r="IE286" s="18"/>
      <c r="IF286" s="18"/>
      <c r="IG286" s="18"/>
      <c r="IH286" s="18"/>
      <c r="II286" s="18"/>
      <c r="IJ286" s="18"/>
      <c r="IK286" s="18"/>
      <c r="IL286" s="18"/>
      <c r="IM286" s="18"/>
      <c r="IN286" s="18"/>
      <c r="IO286" s="18"/>
      <c r="IP286" s="18"/>
      <c r="IQ286" s="18"/>
      <c r="IR286" s="18"/>
      <c r="IS286" s="18"/>
      <c r="IT286" s="18"/>
      <c r="IU286" s="18"/>
      <c r="IV286" s="18"/>
      <c r="IW286" s="18"/>
      <c r="IX286" s="18"/>
      <c r="IY286" s="18"/>
      <c r="IZ286" s="18"/>
      <c r="JA286" s="18"/>
      <c r="JB286" s="18"/>
      <c r="JC286" s="18"/>
      <c r="JD286" s="18"/>
      <c r="JE286" s="18"/>
      <c r="JF286" s="18"/>
      <c r="JG286" s="18"/>
      <c r="JH286" s="18"/>
      <c r="JI286" s="18"/>
      <c r="JJ286" s="18"/>
      <c r="JK286" s="18"/>
      <c r="JL286" s="18"/>
      <c r="JM286" s="18"/>
      <c r="JN286" s="18"/>
      <c r="JO286" s="16"/>
      <c r="JP286" s="16"/>
      <c r="JQ286" s="16"/>
      <c r="JR286" s="16"/>
      <c r="JS286" s="16"/>
      <c r="JT286" s="16"/>
      <c r="JU286" s="16"/>
      <c r="JV286" s="16"/>
      <c r="JW286" s="16"/>
      <c r="JX286" s="16"/>
      <c r="JY286" s="16"/>
      <c r="JZ286" s="16"/>
      <c r="KA286" s="16"/>
      <c r="KB286" s="16"/>
    </row>
    <row r="287" spans="1:288" x14ac:dyDescent="0.2">
      <c r="B287" s="16">
        <v>2017</v>
      </c>
      <c r="C287" s="20">
        <v>42906</v>
      </c>
      <c r="D287" s="20" t="str">
        <f>CONCATENATE(J287,"-",C287)</f>
        <v>1148-42906</v>
      </c>
      <c r="E287" s="20" t="str">
        <f>CONCATENATE(T287,"-",U287,"-",C287)</f>
        <v>SP2-C5-42906</v>
      </c>
      <c r="F287" s="20" t="s">
        <v>106</v>
      </c>
      <c r="G287" s="20" t="s">
        <v>107</v>
      </c>
      <c r="I287" s="16">
        <v>0</v>
      </c>
      <c r="J287" s="21">
        <v>1148</v>
      </c>
      <c r="K287" s="21">
        <v>1711</v>
      </c>
      <c r="L287" s="18">
        <v>0</v>
      </c>
      <c r="M287" s="21">
        <f>VLOOKUP($K287,'[4]blood tubes 2017'!$D$1:$L$647,8,FALSE)</f>
        <v>0</v>
      </c>
      <c r="N287" s="15">
        <v>0</v>
      </c>
      <c r="O287" s="15" t="s">
        <v>119</v>
      </c>
      <c r="P287" s="16" t="s">
        <v>119</v>
      </c>
      <c r="Q287" s="16">
        <v>0</v>
      </c>
      <c r="R287" s="16" t="s">
        <v>111</v>
      </c>
      <c r="T287" s="16" t="s">
        <v>137</v>
      </c>
      <c r="U287" s="16" t="s">
        <v>172</v>
      </c>
      <c r="V287" s="16" t="s">
        <v>114</v>
      </c>
      <c r="W287" s="16">
        <f>AI287/AG287</f>
        <v>0.80681818181818177</v>
      </c>
      <c r="X287" s="16" t="s">
        <v>115</v>
      </c>
      <c r="Y287" s="16" t="s">
        <v>110</v>
      </c>
      <c r="Z287" s="16">
        <v>3</v>
      </c>
      <c r="AE287" s="16" t="s">
        <v>123</v>
      </c>
      <c r="AF287" s="16" t="s">
        <v>123</v>
      </c>
      <c r="AG287" s="16">
        <f>AH287-AI287</f>
        <v>88</v>
      </c>
      <c r="AH287" s="16">
        <v>159</v>
      </c>
      <c r="AI287" s="16">
        <v>71</v>
      </c>
      <c r="AK287" s="16">
        <v>18</v>
      </c>
      <c r="AL287" s="16">
        <v>0</v>
      </c>
      <c r="AM287" s="16">
        <v>0</v>
      </c>
      <c r="AN287" s="16">
        <v>0</v>
      </c>
      <c r="AO287" s="16">
        <v>0</v>
      </c>
      <c r="AP287" s="16">
        <f>SUM(AL287:AN287)</f>
        <v>0</v>
      </c>
      <c r="AQ287" s="16">
        <v>1.671</v>
      </c>
      <c r="AR287" s="16">
        <f>AP287-1.472</f>
        <v>-1.472</v>
      </c>
      <c r="AS287" s="16">
        <f>AQ287-1.472</f>
        <v>0.19900000000000007</v>
      </c>
      <c r="AT287" s="16" t="s">
        <v>233</v>
      </c>
      <c r="AW287" s="16">
        <f>IF(AX287&gt;0,1,0)</f>
        <v>1</v>
      </c>
      <c r="AX287" s="16">
        <f>SUM(BA287,BM287,CT287)</f>
        <v>1</v>
      </c>
      <c r="AY287" s="18">
        <f>SUM(BB287,BN287,CV287)</f>
        <v>62547.73869346732</v>
      </c>
      <c r="AZ287" s="16">
        <f>IF(BA287&gt;0,1,0)</f>
        <v>1</v>
      </c>
      <c r="BA287" s="16">
        <f>SUM(BC287,BF287,BI287)</f>
        <v>1</v>
      </c>
      <c r="BB287" s="16">
        <f>SUM(BE287,BH287,BK287)</f>
        <v>62547.73869346732</v>
      </c>
      <c r="BC287" s="16">
        <v>0</v>
      </c>
      <c r="BD287" s="16">
        <v>0</v>
      </c>
      <c r="BE287" s="16">
        <f>BD287/AS287</f>
        <v>0</v>
      </c>
      <c r="BF287" s="16">
        <v>1</v>
      </c>
      <c r="BG287" s="23">
        <v>12447</v>
      </c>
      <c r="BH287" s="16">
        <f>BG287/AS287</f>
        <v>62547.73869346732</v>
      </c>
      <c r="BI287" s="16">
        <v>0</v>
      </c>
      <c r="BJ287" s="16">
        <v>0</v>
      </c>
      <c r="BK287" s="16">
        <f>BJ287/AS287</f>
        <v>0</v>
      </c>
      <c r="BL287" s="16">
        <f>IF(BM287&gt;0,1,0)</f>
        <v>0</v>
      </c>
      <c r="BM287" s="16">
        <f>SUM(BR287,BU287,BX287,CA287,CD287,CG287,CJ287,CM287,CP287)</f>
        <v>0</v>
      </c>
      <c r="BN287" s="16">
        <f>SUM(BW287,BZ287,CC287,CF287,CI287,CL287,CO287,CR287,BT287)</f>
        <v>0</v>
      </c>
      <c r="BO287" s="16">
        <f>IF(BP287&gt;0,1,0)</f>
        <v>0</v>
      </c>
      <c r="BP287" s="16">
        <f>SUM(BU287,BX287,CA287,CD287,BR287)</f>
        <v>0</v>
      </c>
      <c r="BQ287" s="16">
        <f>SUM(BZ287,CC287,CF287,BT287,BW287)</f>
        <v>0</v>
      </c>
      <c r="BR287" s="16">
        <v>0</v>
      </c>
      <c r="BS287" s="16">
        <v>0</v>
      </c>
      <c r="BT287" s="23">
        <f>BS287/AS287</f>
        <v>0</v>
      </c>
      <c r="BU287" s="16">
        <v>0</v>
      </c>
      <c r="BV287" s="16">
        <v>0</v>
      </c>
      <c r="BW287" s="16">
        <f>BV287/AS287</f>
        <v>0</v>
      </c>
      <c r="BX287" s="16">
        <v>0</v>
      </c>
      <c r="BY287" s="16">
        <v>0</v>
      </c>
      <c r="BZ287" s="16">
        <f>BY287/AS287</f>
        <v>0</v>
      </c>
      <c r="CA287" s="16">
        <v>0</v>
      </c>
      <c r="CB287" s="16">
        <v>0</v>
      </c>
      <c r="CC287" s="16">
        <f>CB287/AS287</f>
        <v>0</v>
      </c>
      <c r="CD287" s="23">
        <v>0</v>
      </c>
      <c r="CE287" s="16">
        <v>0</v>
      </c>
      <c r="CF287" s="16">
        <f>CE287/AS287</f>
        <v>0</v>
      </c>
      <c r="CG287" s="16">
        <v>0</v>
      </c>
      <c r="CH287" s="16">
        <v>0</v>
      </c>
      <c r="CI287" s="16">
        <f>CH287/AS287</f>
        <v>0</v>
      </c>
      <c r="CM287" s="16">
        <v>0</v>
      </c>
      <c r="CN287" s="16">
        <v>0</v>
      </c>
      <c r="CO287" s="16">
        <f>CN287/AS287</f>
        <v>0</v>
      </c>
      <c r="CP287" s="16">
        <v>0</v>
      </c>
      <c r="CQ287" s="16">
        <v>0</v>
      </c>
      <c r="CR287" s="16">
        <f>CQ287/AS287</f>
        <v>0</v>
      </c>
      <c r="CS287" s="16">
        <f>IF(CT287&gt;0,1,0)</f>
        <v>0</v>
      </c>
      <c r="CT287" s="16">
        <f>SUM(CW287,CZ287,DC287)</f>
        <v>0</v>
      </c>
      <c r="CV287" s="16">
        <f>SUM(CY287,DB287,DE287)</f>
        <v>0</v>
      </c>
      <c r="CW287" s="16">
        <v>0</v>
      </c>
      <c r="CX287" s="16">
        <v>0</v>
      </c>
      <c r="CY287" s="16">
        <f>CX287/AS287</f>
        <v>0</v>
      </c>
      <c r="CZ287" s="16">
        <v>0</v>
      </c>
      <c r="DA287" s="16">
        <v>0</v>
      </c>
      <c r="DB287" s="16">
        <f>DA287/AS287</f>
        <v>0</v>
      </c>
      <c r="DC287" s="16">
        <v>0</v>
      </c>
      <c r="DD287" s="16">
        <v>0</v>
      </c>
      <c r="DE287" s="16">
        <f>DD287/AS287</f>
        <v>0</v>
      </c>
      <c r="DF287" s="16" t="e">
        <f>VLOOKUP(K287,'[3]RNA Seq summary tables'!$V$3:$V$99,1,FALSE)</f>
        <v>#N/A</v>
      </c>
      <c r="DI287" s="16">
        <v>54</v>
      </c>
      <c r="DK287" s="16">
        <v>35</v>
      </c>
      <c r="DM287" s="16">
        <v>11</v>
      </c>
      <c r="DO287" s="16">
        <v>0</v>
      </c>
      <c r="DQ287" s="16">
        <v>0</v>
      </c>
      <c r="DR287" s="16">
        <f>SUM(DI287:DQ287)</f>
        <v>100</v>
      </c>
      <c r="JO287" s="18"/>
      <c r="JP287" s="18"/>
      <c r="JQ287" s="18"/>
    </row>
    <row r="288" spans="1:288" s="29" customFormat="1" x14ac:dyDescent="0.2">
      <c r="A288" s="18"/>
      <c r="B288" s="16">
        <v>2017</v>
      </c>
      <c r="C288" s="20">
        <v>42923</v>
      </c>
      <c r="D288" s="20" t="str">
        <f>CONCATENATE(J288,"-",C288)</f>
        <v>1148-42923</v>
      </c>
      <c r="E288" s="20" t="str">
        <f>CONCATENATE(T288,"-",U288,"-",C288)</f>
        <v>SP2-B6-42923</v>
      </c>
      <c r="F288" s="20" t="s">
        <v>106</v>
      </c>
      <c r="G288" s="20" t="s">
        <v>107</v>
      </c>
      <c r="H288" s="16"/>
      <c r="I288" s="16">
        <v>0</v>
      </c>
      <c r="J288" s="21">
        <v>1148</v>
      </c>
      <c r="K288" s="21">
        <v>1847</v>
      </c>
      <c r="L288" s="18">
        <v>0</v>
      </c>
      <c r="M288" s="21">
        <f>VLOOKUP($K288,'[4]blood tubes 2017'!$D$1:$L$647,8,FALSE)</f>
        <v>0</v>
      </c>
      <c r="N288" s="15">
        <v>0</v>
      </c>
      <c r="O288" s="15" t="s">
        <v>119</v>
      </c>
      <c r="P288" s="16" t="s">
        <v>119</v>
      </c>
      <c r="Q288" s="16">
        <v>0</v>
      </c>
      <c r="R288" s="16">
        <v>17</v>
      </c>
      <c r="S288" s="16"/>
      <c r="T288" s="16" t="s">
        <v>137</v>
      </c>
      <c r="U288" s="16" t="s">
        <v>132</v>
      </c>
      <c r="V288" s="16" t="s">
        <v>114</v>
      </c>
      <c r="W288" s="16">
        <f>AI288/AG288</f>
        <v>0.85057471264367812</v>
      </c>
      <c r="X288" s="16" t="s">
        <v>115</v>
      </c>
      <c r="Y288" s="16" t="s">
        <v>110</v>
      </c>
      <c r="Z288" s="16">
        <v>3</v>
      </c>
      <c r="AA288" s="16"/>
      <c r="AB288" s="16"/>
      <c r="AC288" s="16"/>
      <c r="AD288" s="16"/>
      <c r="AE288" s="16" t="s">
        <v>116</v>
      </c>
      <c r="AF288" s="16" t="s">
        <v>116</v>
      </c>
      <c r="AG288" s="16">
        <f>AH288-AI288</f>
        <v>87</v>
      </c>
      <c r="AH288" s="16">
        <v>161</v>
      </c>
      <c r="AI288" s="16">
        <v>74</v>
      </c>
      <c r="AJ288" s="16"/>
      <c r="AK288" s="16">
        <v>21</v>
      </c>
      <c r="AL288" s="16">
        <v>1</v>
      </c>
      <c r="AM288" s="16">
        <v>0</v>
      </c>
      <c r="AN288" s="16">
        <v>0</v>
      </c>
      <c r="AO288" s="16">
        <v>1</v>
      </c>
      <c r="AP288" s="16">
        <f>SUM(AL288:AN288)</f>
        <v>1</v>
      </c>
      <c r="AQ288" s="16">
        <v>2.0350000000000001</v>
      </c>
      <c r="AR288" s="16">
        <f>AP288-1.472</f>
        <v>-0.47199999999999998</v>
      </c>
      <c r="AS288" s="16">
        <f>AQ288-1.472</f>
        <v>0.56300000000000017</v>
      </c>
      <c r="AT288" s="16" t="s">
        <v>234</v>
      </c>
      <c r="AU288" s="16"/>
      <c r="AV288" s="16"/>
      <c r="AW288" s="18">
        <f>IF(AX288&gt;0,1,0)</f>
        <v>1</v>
      </c>
      <c r="AX288" s="18">
        <f>SUM(BA288,BM288,CT288)</f>
        <v>2</v>
      </c>
      <c r="AY288" s="18">
        <f>SUM(BB288,BN288,CV288)</f>
        <v>8.8809946714031938</v>
      </c>
      <c r="AZ288" s="18">
        <v>0</v>
      </c>
      <c r="BA288" s="18">
        <v>0</v>
      </c>
      <c r="BB288" s="18">
        <f>SUM(BE288,BH288,BK288)</f>
        <v>0</v>
      </c>
      <c r="BC288" s="18">
        <v>0</v>
      </c>
      <c r="BD288" s="18">
        <v>0</v>
      </c>
      <c r="BE288" s="18">
        <f>BD288/AS288</f>
        <v>0</v>
      </c>
      <c r="BF288" s="18">
        <v>0</v>
      </c>
      <c r="BG288" s="25">
        <v>0</v>
      </c>
      <c r="BH288" s="16">
        <f>BG288/AS288</f>
        <v>0</v>
      </c>
      <c r="BI288" s="16">
        <v>0</v>
      </c>
      <c r="BJ288" s="16">
        <v>0</v>
      </c>
      <c r="BK288" s="16">
        <f>BJ288/AS288</f>
        <v>0</v>
      </c>
      <c r="BL288" s="16">
        <f>IF(BM288&gt;0,1,0)</f>
        <v>1</v>
      </c>
      <c r="BM288" s="16">
        <f>SUM(BR288,BU288,BX288,CA288,CD288,CG288,CJ288,CM288,CP288)</f>
        <v>2</v>
      </c>
      <c r="BN288" s="16">
        <f>SUM(BW288,BZ288,CC288,CF288,CI288,CL288,CO288,CR288,BT288)</f>
        <v>8.8809946714031938</v>
      </c>
      <c r="BO288" s="16">
        <f>IF(BP288&gt;0,1,0)</f>
        <v>1</v>
      </c>
      <c r="BP288" s="16">
        <f>SUM(BU288,BX288,CA288,CD288,BR288)</f>
        <v>2</v>
      </c>
      <c r="BQ288" s="16">
        <f>SUM(BZ288,CC288,CF288,BT288,BW288)</f>
        <v>8.8809946714031938</v>
      </c>
      <c r="BR288" s="16">
        <v>0</v>
      </c>
      <c r="BS288" s="16">
        <v>0</v>
      </c>
      <c r="BT288" s="23">
        <f>BS288/AS288</f>
        <v>0</v>
      </c>
      <c r="BU288" s="16">
        <v>1</v>
      </c>
      <c r="BV288" s="16">
        <v>4</v>
      </c>
      <c r="BW288" s="16">
        <f>BV288/AS288</f>
        <v>7.1047957371225552</v>
      </c>
      <c r="BX288" s="16">
        <v>0</v>
      </c>
      <c r="BY288" s="16">
        <v>0</v>
      </c>
      <c r="BZ288" s="16">
        <f>BY288/AS288</f>
        <v>0</v>
      </c>
      <c r="CA288" s="16">
        <v>1</v>
      </c>
      <c r="CB288" s="16">
        <v>1</v>
      </c>
      <c r="CC288" s="16">
        <f>CB288/AS288</f>
        <v>1.7761989342806388</v>
      </c>
      <c r="CD288" s="23">
        <v>0</v>
      </c>
      <c r="CE288" s="16">
        <v>0</v>
      </c>
      <c r="CF288" s="16">
        <f>CE288/AS288</f>
        <v>0</v>
      </c>
      <c r="CG288" s="16">
        <v>0</v>
      </c>
      <c r="CH288" s="16">
        <v>0</v>
      </c>
      <c r="CI288" s="16">
        <f>CH288/AS288</f>
        <v>0</v>
      </c>
      <c r="CJ288" s="16"/>
      <c r="CK288" s="16"/>
      <c r="CL288" s="16"/>
      <c r="CM288" s="16">
        <v>0</v>
      </c>
      <c r="CN288" s="16">
        <v>0</v>
      </c>
      <c r="CO288" s="16">
        <f>CN288/AS288</f>
        <v>0</v>
      </c>
      <c r="CP288" s="16">
        <v>0</v>
      </c>
      <c r="CQ288" s="16">
        <v>0</v>
      </c>
      <c r="CR288" s="16">
        <f>CQ288/AS288</f>
        <v>0</v>
      </c>
      <c r="CS288" s="16">
        <v>0</v>
      </c>
      <c r="CT288" s="16">
        <v>0</v>
      </c>
      <c r="CU288" s="16"/>
      <c r="CV288" s="16">
        <f>SUM(CY288,DB288,DE288)</f>
        <v>0</v>
      </c>
      <c r="CW288" s="16">
        <v>0</v>
      </c>
      <c r="CX288" s="16">
        <v>0</v>
      </c>
      <c r="CY288" s="16">
        <f>CX288/AS288</f>
        <v>0</v>
      </c>
      <c r="CZ288" s="16">
        <v>0</v>
      </c>
      <c r="DA288" s="16">
        <v>0</v>
      </c>
      <c r="DB288" s="16">
        <f>DA288/AS288</f>
        <v>0</v>
      </c>
      <c r="DC288" s="16">
        <v>0</v>
      </c>
      <c r="DD288" s="16">
        <v>0</v>
      </c>
      <c r="DE288" s="16">
        <f>DD288/AS288</f>
        <v>0</v>
      </c>
      <c r="DF288" s="16" t="e">
        <f>VLOOKUP(K288,'[3]RNA Seq summary tables'!$V$3:$V$99,1,FALSE)</f>
        <v>#N/A</v>
      </c>
      <c r="DG288" s="16"/>
      <c r="DH288" s="16"/>
      <c r="DI288" s="16">
        <v>49</v>
      </c>
      <c r="DJ288" s="16"/>
      <c r="DK288" s="16">
        <v>33</v>
      </c>
      <c r="DL288" s="16"/>
      <c r="DM288" s="16">
        <v>18</v>
      </c>
      <c r="DN288" s="16"/>
      <c r="DO288" s="16">
        <v>0</v>
      </c>
      <c r="DP288" s="16"/>
      <c r="DQ288" s="16">
        <v>0</v>
      </c>
      <c r="DR288" s="16">
        <f>SUM(DI288:DQ288)</f>
        <v>100</v>
      </c>
      <c r="DS288" s="16"/>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c r="FN288" s="18"/>
      <c r="FO288" s="18"/>
      <c r="FP288" s="18"/>
      <c r="FQ288" s="18"/>
      <c r="FR288" s="18"/>
      <c r="FS288" s="18"/>
      <c r="FT288" s="18"/>
      <c r="FU288" s="18"/>
      <c r="FV288" s="18"/>
      <c r="FW288" s="18"/>
      <c r="FX288" s="18"/>
      <c r="FY288" s="18"/>
      <c r="FZ288" s="18"/>
      <c r="GA288" s="18"/>
      <c r="GB288" s="18"/>
      <c r="GC288" s="18"/>
      <c r="GD288" s="18"/>
      <c r="GE288" s="18"/>
      <c r="GF288" s="18"/>
      <c r="GG288" s="18"/>
      <c r="GH288" s="18"/>
      <c r="GI288" s="18"/>
      <c r="GJ288" s="18"/>
      <c r="GK288" s="18"/>
      <c r="GL288" s="18"/>
      <c r="GM288" s="18"/>
      <c r="GN288" s="18"/>
      <c r="GO288" s="18"/>
      <c r="GP288" s="18"/>
      <c r="GQ288" s="18"/>
      <c r="GR288" s="18"/>
      <c r="GS288" s="18"/>
      <c r="GT288" s="18"/>
      <c r="GU288" s="18"/>
      <c r="GV288" s="18"/>
      <c r="GW288" s="18"/>
      <c r="GX288" s="18"/>
      <c r="GY288" s="18"/>
      <c r="GZ288" s="18"/>
      <c r="HA288" s="18"/>
      <c r="HB288" s="18"/>
      <c r="HC288" s="18"/>
      <c r="HD288" s="18"/>
      <c r="HE288" s="18"/>
      <c r="HF288" s="18"/>
      <c r="HG288" s="18"/>
      <c r="HH288" s="18"/>
      <c r="HI288" s="18"/>
      <c r="HJ288" s="18"/>
      <c r="HK288" s="18"/>
      <c r="HL288" s="18"/>
      <c r="HM288" s="18"/>
      <c r="HN288" s="18"/>
      <c r="HO288" s="18"/>
      <c r="HP288" s="18"/>
      <c r="HQ288" s="18"/>
      <c r="HR288" s="18"/>
      <c r="HS288" s="18"/>
      <c r="HT288" s="18"/>
      <c r="HU288" s="18"/>
      <c r="HV288" s="18"/>
      <c r="HW288" s="18"/>
      <c r="HX288" s="18"/>
      <c r="HY288" s="18"/>
      <c r="HZ288" s="18"/>
      <c r="IA288" s="18"/>
      <c r="IB288" s="18"/>
      <c r="IC288" s="18"/>
      <c r="ID288" s="18"/>
      <c r="IE288" s="18"/>
      <c r="IF288" s="18"/>
      <c r="IG288" s="18"/>
      <c r="IH288" s="18"/>
      <c r="II288" s="18"/>
      <c r="IJ288" s="18"/>
      <c r="IK288" s="18"/>
      <c r="IL288" s="18"/>
      <c r="IM288" s="18"/>
      <c r="IN288" s="18"/>
      <c r="IO288" s="18"/>
      <c r="IP288" s="18"/>
      <c r="IQ288" s="18"/>
      <c r="IR288" s="18"/>
      <c r="IS288" s="18"/>
      <c r="IT288" s="18"/>
      <c r="IU288" s="18"/>
      <c r="IV288" s="18"/>
      <c r="IW288" s="18"/>
      <c r="IX288" s="18"/>
      <c r="IY288" s="18"/>
      <c r="IZ288" s="18"/>
      <c r="JA288" s="18"/>
      <c r="JB288" s="18"/>
      <c r="JC288" s="18"/>
      <c r="JD288" s="18"/>
      <c r="JE288" s="18"/>
      <c r="JF288" s="18"/>
      <c r="JG288" s="18"/>
      <c r="JH288" s="18"/>
      <c r="JI288" s="18"/>
      <c r="JJ288" s="18"/>
      <c r="JK288" s="18"/>
      <c r="JL288" s="18"/>
      <c r="JM288" s="18"/>
      <c r="JN288" s="18"/>
      <c r="JO288" s="16"/>
      <c r="JP288" s="16"/>
      <c r="JQ288" s="16"/>
      <c r="JR288" s="27"/>
      <c r="JS288" s="27"/>
      <c r="JT288" s="27"/>
      <c r="JU288" s="27"/>
      <c r="JV288" s="27"/>
      <c r="JW288" s="27"/>
      <c r="JX288" s="27"/>
      <c r="JY288" s="27"/>
      <c r="JZ288" s="27"/>
      <c r="KA288" s="27"/>
      <c r="KB288" s="27"/>
    </row>
    <row r="289" spans="1:288" x14ac:dyDescent="0.2">
      <c r="B289" s="16">
        <v>2017</v>
      </c>
      <c r="C289" s="20">
        <v>42941</v>
      </c>
      <c r="D289" s="20" t="str">
        <f>CONCATENATE(J289,"-",C289)</f>
        <v>1148-42941</v>
      </c>
      <c r="E289" s="20" t="str">
        <f>CONCATENATE(T289,"-",U289,"-",C289)</f>
        <v>SP2-A5-42941</v>
      </c>
      <c r="F289" s="20" t="s">
        <v>106</v>
      </c>
      <c r="G289" s="20" t="s">
        <v>107</v>
      </c>
      <c r="I289" s="16">
        <v>0</v>
      </c>
      <c r="J289" s="21">
        <v>1148</v>
      </c>
      <c r="K289" s="21">
        <v>1988</v>
      </c>
      <c r="L289" s="18">
        <v>0</v>
      </c>
      <c r="M289" s="21">
        <f>VLOOKUP($K289,'[4]blood tubes 2017'!$D$1:$L$647,8,FALSE)</f>
        <v>0</v>
      </c>
      <c r="N289" s="15">
        <v>0</v>
      </c>
      <c r="O289" s="15" t="s">
        <v>119</v>
      </c>
      <c r="P289" s="16" t="s">
        <v>119</v>
      </c>
      <c r="Q289" s="16">
        <v>0</v>
      </c>
      <c r="R289" s="16">
        <v>18</v>
      </c>
      <c r="T289" s="16" t="s">
        <v>137</v>
      </c>
      <c r="U289" s="16" t="s">
        <v>167</v>
      </c>
      <c r="V289" s="16" t="s">
        <v>114</v>
      </c>
      <c r="W289" s="16">
        <f>AI289/AG289</f>
        <v>0.8351648351648352</v>
      </c>
      <c r="X289" s="16" t="s">
        <v>115</v>
      </c>
      <c r="Y289" s="16" t="s">
        <v>110</v>
      </c>
      <c r="Z289" s="16">
        <v>3</v>
      </c>
      <c r="AE289" s="16" t="s">
        <v>116</v>
      </c>
      <c r="AF289" s="16" t="s">
        <v>116</v>
      </c>
      <c r="AG289" s="16">
        <f>AH289-AI289</f>
        <v>91</v>
      </c>
      <c r="AH289" s="16">
        <v>167</v>
      </c>
      <c r="AI289" s="16">
        <v>76</v>
      </c>
      <c r="AK289" s="16">
        <v>21.5</v>
      </c>
      <c r="AL289" s="16">
        <v>0</v>
      </c>
      <c r="AM289" s="16">
        <v>0</v>
      </c>
      <c r="AN289" s="16">
        <v>0</v>
      </c>
      <c r="AO289" s="16">
        <v>0</v>
      </c>
      <c r="AP289" s="16">
        <f>SUM(AL289:AN289)</f>
        <v>0</v>
      </c>
      <c r="AQ289" s="16">
        <v>1.7909999999999999</v>
      </c>
      <c r="AR289" s="16">
        <f>AP289-1.472</f>
        <v>-1.472</v>
      </c>
      <c r="AS289" s="16">
        <f>AQ289-1.472</f>
        <v>0.31899999999999995</v>
      </c>
      <c r="AT289" s="16" t="str">
        <f>VLOOKUP(K289,'[5]FECs - good data'!$C$1:$P$575,13,FALSE)</f>
        <v>SB</v>
      </c>
      <c r="AW289" s="18">
        <f>IF(AX289&gt;0,1,0)</f>
        <v>1</v>
      </c>
      <c r="AX289" s="18">
        <f>SUM(BA289,BM289,CT289)</f>
        <v>3</v>
      </c>
      <c r="AY289" s="18">
        <f>SUM(BB289,BN289,CV289)</f>
        <v>106.5830721003135</v>
      </c>
      <c r="AZ289" s="18">
        <f>IF(BA289&gt;0,1,0)</f>
        <v>1</v>
      </c>
      <c r="BA289" s="18">
        <f>SUM(BC289,BF289,BI289)</f>
        <v>2</v>
      </c>
      <c r="BB289" s="18">
        <f>SUM(BE289,BH289,BK289)</f>
        <v>103.44827586206898</v>
      </c>
      <c r="BC289" s="18">
        <f>IF(BD289&gt;0,1,0)</f>
        <v>0</v>
      </c>
      <c r="BD289" s="18">
        <f>VLOOKUP($K289,'[5]FECs - good data'!$C$1:$Z$574,14,FALSE)</f>
        <v>0</v>
      </c>
      <c r="BE289" s="16">
        <f>BD289/AS289</f>
        <v>0</v>
      </c>
      <c r="BF289" s="16">
        <f>IF(BG289&gt;0,1,0)</f>
        <v>1</v>
      </c>
      <c r="BG289" s="23">
        <f>VLOOKUP($K289,'[5]FECs - good data'!$C$1:$Z$574,15,FALSE)</f>
        <v>5</v>
      </c>
      <c r="BH289" s="16">
        <f>BG289/AS289</f>
        <v>15.673981191222573</v>
      </c>
      <c r="BI289" s="16">
        <f>IF(BJ289&gt;0,1,0)</f>
        <v>1</v>
      </c>
      <c r="BJ289" s="16">
        <f>VLOOKUP($K289,'[5]FECs - good data'!$C$1:$Z$574,16,FALSE)</f>
        <v>28</v>
      </c>
      <c r="BK289" s="16">
        <f>BJ289/AS289</f>
        <v>87.774294670846402</v>
      </c>
      <c r="BL289" s="16">
        <f>IF(BM289&gt;0,1,0)</f>
        <v>1</v>
      </c>
      <c r="BM289" s="16">
        <f>SUM(BR289,BU289,BX289,CA289,CD289,CG289,CJ289,CM289,CP289)</f>
        <v>1</v>
      </c>
      <c r="BN289" s="16">
        <f>SUM(BW289,BZ289,CC289,CF289,CI289,CL289,CO289,CR289,BT289)</f>
        <v>3.1347962382445145</v>
      </c>
      <c r="BO289" s="16">
        <f>IF(BP289&gt;0,1,0)</f>
        <v>1</v>
      </c>
      <c r="BP289" s="16">
        <f>SUM(BU289,BX289,CA289,CD289,BR289)</f>
        <v>1</v>
      </c>
      <c r="BQ289" s="16">
        <f>SUM(BZ289,CC289,CF289,BT289,BW289)</f>
        <v>3.1347962382445145</v>
      </c>
      <c r="BR289" s="16">
        <f>IF(BS289&gt;0,1,0)</f>
        <v>0</v>
      </c>
      <c r="BS289" s="16">
        <f>VLOOKUP($K289,'[5]FECs - good data'!$C$1:$Z$574,17,FALSE)</f>
        <v>0</v>
      </c>
      <c r="BT289" s="23">
        <f>BS289/AS289</f>
        <v>0</v>
      </c>
      <c r="BU289" s="16">
        <f>IF(BV289&gt;0,1,0)</f>
        <v>0</v>
      </c>
      <c r="BV289" s="16">
        <f>VLOOKUP($K289,'[5]FECs - good data'!$C$1:$Z$574,18,FALSE)</f>
        <v>0</v>
      </c>
      <c r="BW289" s="16">
        <f>BV289/AS289</f>
        <v>0</v>
      </c>
      <c r="BX289" s="16">
        <f>IF(BY289&gt;0,1,0)</f>
        <v>1</v>
      </c>
      <c r="BY289" s="16">
        <f>VLOOKUP($K289,'[5]FECs - good data'!$C$1:$Z$574,19,FALSE)</f>
        <v>1</v>
      </c>
      <c r="BZ289" s="16">
        <f>BY289/AS289</f>
        <v>3.1347962382445145</v>
      </c>
      <c r="CA289" s="16">
        <f>IF(CB289&gt;0,1,0)</f>
        <v>0</v>
      </c>
      <c r="CB289" s="16">
        <f>VLOOKUP($K289,'[5]FECs - good data'!$C$1:$Z$574,20,FALSE)</f>
        <v>0</v>
      </c>
      <c r="CC289" s="16">
        <f>CB289/AS289</f>
        <v>0</v>
      </c>
      <c r="CD289" s="23">
        <f>IF(CE289&gt;0,1,0)</f>
        <v>0</v>
      </c>
      <c r="CE289" s="16">
        <f>VLOOKUP($K289,'[5]FECs - good data'!$C$1:$Z$574,21,FALSE)</f>
        <v>0</v>
      </c>
      <c r="CF289" s="16">
        <f>CE289/AS289</f>
        <v>0</v>
      </c>
      <c r="CG289" s="16">
        <f>IF(CH289&gt;0,1,0)</f>
        <v>0</v>
      </c>
      <c r="CH289" s="16">
        <f>VLOOKUP($K289,'[5]FECs - good data'!$C$1:$Z$574,22,FALSE)</f>
        <v>0</v>
      </c>
      <c r="CI289" s="16">
        <f>CH289/AS289</f>
        <v>0</v>
      </c>
      <c r="CJ289" s="16">
        <f>IF(CK289&gt;0,1,0)</f>
        <v>0</v>
      </c>
      <c r="CK289" s="16">
        <f>VLOOKUP($K289,'[5]FECs - good data'!$C$1:$Z$674,24,FALSE)</f>
        <v>0</v>
      </c>
      <c r="CL289" s="16">
        <f>CK289/AS289</f>
        <v>0</v>
      </c>
      <c r="CS289" s="16">
        <f>IF(CT289&gt;0,1,0)</f>
        <v>0</v>
      </c>
      <c r="CT289" s="16">
        <f>SUM(CW289+CZ289,DC289)</f>
        <v>0</v>
      </c>
      <c r="CV289" s="16">
        <f>SUM(CY289,DB289,DE289)</f>
        <v>0</v>
      </c>
      <c r="CW289" s="16">
        <f>IF(CX289&gt;0,1,0)</f>
        <v>0</v>
      </c>
      <c r="CX289" s="16">
        <f>VLOOKUP($K289,'[5]FECs - good data'!$C$1:$Z$574,22,FALSE)</f>
        <v>0</v>
      </c>
      <c r="CY289" s="16">
        <f>CX289/AS289</f>
        <v>0</v>
      </c>
      <c r="CZ289" s="16">
        <f>IF(DA289&gt;0,1,0)</f>
        <v>0</v>
      </c>
      <c r="DA289" s="16">
        <f>VLOOKUP($K289,'[5]FECs - good data'!$C$1:$Z$5982,23,FALSE)</f>
        <v>0</v>
      </c>
      <c r="DB289" s="16">
        <f>DA289/AS289</f>
        <v>0</v>
      </c>
      <c r="DC289" s="16">
        <f>IF(DD289&gt;0,1,0)</f>
        <v>0</v>
      </c>
      <c r="DD289" s="16">
        <f>VLOOKUP($K289,'[5]FECs - good data'!$C$1:$Z$574,23,FALSE)</f>
        <v>0</v>
      </c>
      <c r="DE289" s="16">
        <f>DD289/AS289</f>
        <v>0</v>
      </c>
      <c r="DF289" s="16" t="e">
        <f>VLOOKUP(K289,'[3]RNA Seq summary tables'!$V$3:$V$99,1,FALSE)</f>
        <v>#N/A</v>
      </c>
      <c r="DG289" s="16">
        <v>1</v>
      </c>
      <c r="DH289" s="16" t="str">
        <f>VLOOKUP(D289,'[6]workflow 3.2018'!$A$1:$S$237,2,FALSE)</f>
        <v>2017MLBS_103</v>
      </c>
    </row>
    <row r="290" spans="1:288" x14ac:dyDescent="0.2">
      <c r="B290" s="16">
        <v>2017</v>
      </c>
      <c r="C290" s="20">
        <v>42959</v>
      </c>
      <c r="D290" s="20" t="str">
        <f>CONCATENATE(J290,"-",C290)</f>
        <v>1148-42959</v>
      </c>
      <c r="E290" s="20" t="str">
        <f>CONCATENATE(T290,"-",U290,"-",C290)</f>
        <v>SP2-A7-42959</v>
      </c>
      <c r="F290" s="20" t="s">
        <v>106</v>
      </c>
      <c r="G290" s="20" t="s">
        <v>107</v>
      </c>
      <c r="I290" s="16">
        <v>0</v>
      </c>
      <c r="J290" s="21">
        <v>1148</v>
      </c>
      <c r="K290" s="21">
        <v>2143</v>
      </c>
      <c r="L290" s="18">
        <v>0</v>
      </c>
      <c r="M290" s="21">
        <f>VLOOKUP($K290,'[4]blood tubes 2017'!$D$1:$L$647,8,FALSE)</f>
        <v>0</v>
      </c>
      <c r="N290" s="15">
        <v>0</v>
      </c>
      <c r="O290" s="15" t="s">
        <v>119</v>
      </c>
      <c r="P290" s="16" t="s">
        <v>119</v>
      </c>
      <c r="Q290" s="16">
        <v>0</v>
      </c>
      <c r="R290" s="16">
        <v>18</v>
      </c>
      <c r="T290" s="16" t="s">
        <v>137</v>
      </c>
      <c r="U290" s="16" t="s">
        <v>120</v>
      </c>
      <c r="V290" s="16" t="s">
        <v>114</v>
      </c>
      <c r="W290" s="16">
        <f>AI290/AG290</f>
        <v>0.875</v>
      </c>
      <c r="X290" s="16" t="s">
        <v>115</v>
      </c>
      <c r="Y290" s="16" t="s">
        <v>110</v>
      </c>
      <c r="Z290" s="16">
        <v>3</v>
      </c>
      <c r="AE290" s="16" t="s">
        <v>116</v>
      </c>
      <c r="AF290" s="16" t="s">
        <v>116</v>
      </c>
      <c r="AG290" s="16">
        <f>AH290-AI290</f>
        <v>88</v>
      </c>
      <c r="AH290" s="16">
        <v>165</v>
      </c>
      <c r="AI290" s="16">
        <v>77</v>
      </c>
      <c r="AK290" s="16">
        <v>23</v>
      </c>
      <c r="AL290" s="16">
        <v>0</v>
      </c>
      <c r="AM290" s="16">
        <v>0</v>
      </c>
      <c r="AN290" s="16">
        <v>0</v>
      </c>
      <c r="AO290" s="16">
        <v>0</v>
      </c>
      <c r="AP290" s="16">
        <f>SUM(AL290:AN290)</f>
        <v>0</v>
      </c>
      <c r="AQ290" s="16">
        <v>1.748</v>
      </c>
      <c r="AR290" s="16">
        <f>AP290-1.472</f>
        <v>-1.472</v>
      </c>
      <c r="AS290" s="16">
        <f>AQ290-1.472</f>
        <v>0.27600000000000002</v>
      </c>
      <c r="AT290" s="16" t="str">
        <f>VLOOKUP(K290,'[5]FECs - good data'!$C$1:$P$575,13,FALSE)</f>
        <v>SB</v>
      </c>
      <c r="AW290" s="18">
        <f>IF(AX290&gt;0,1,0)</f>
        <v>1</v>
      </c>
      <c r="AX290" s="18">
        <f>SUM(BA290,BM290,CT290)</f>
        <v>4</v>
      </c>
      <c r="AY290" s="18">
        <f>SUM(BB290,BN290,CV290)</f>
        <v>4717.391304347826</v>
      </c>
      <c r="AZ290" s="18">
        <f>IF(BA290&gt;0,1,0)</f>
        <v>1</v>
      </c>
      <c r="BA290" s="18">
        <f>SUM(BC290,BF290,BI290)</f>
        <v>3</v>
      </c>
      <c r="BB290" s="18">
        <f>SUM(BE290,BH290,BK290)</f>
        <v>4699.2753623188401</v>
      </c>
      <c r="BC290" s="18">
        <f>IF(BD290&gt;0,1,0)</f>
        <v>1</v>
      </c>
      <c r="BD290" s="18">
        <f>VLOOKUP($K290,'[5]FECs - good data'!$C$1:$Z$574,14,FALSE)</f>
        <v>47</v>
      </c>
      <c r="BE290" s="16">
        <f>BD290/AS290</f>
        <v>170.28985507246375</v>
      </c>
      <c r="BF290" s="16">
        <f>IF(BG290&gt;0,1,0)</f>
        <v>1</v>
      </c>
      <c r="BG290" s="23">
        <f>VLOOKUP($K290,'[5]FECs - good data'!$C$1:$Z$574,15,FALSE)</f>
        <v>1239</v>
      </c>
      <c r="BH290" s="16">
        <f>BG290/AS290</f>
        <v>4489.1304347826081</v>
      </c>
      <c r="BI290" s="16">
        <f>IF(BJ290&gt;0,1,0)</f>
        <v>1</v>
      </c>
      <c r="BJ290" s="16">
        <f>VLOOKUP($K290,'[5]FECs - good data'!$C$1:$Z$574,16,FALSE)</f>
        <v>11</v>
      </c>
      <c r="BK290" s="16">
        <f>BJ290/AS290</f>
        <v>39.85507246376811</v>
      </c>
      <c r="BL290" s="16">
        <f>IF(BM290&gt;0,1,0)</f>
        <v>1</v>
      </c>
      <c r="BM290" s="16">
        <f>SUM(BR290,BU290,BX290,CA290,CD290,CG290,CJ290,CM290,CP290)</f>
        <v>1</v>
      </c>
      <c r="BN290" s="16">
        <f>SUM(BW290,BZ290,CC290,CF290,CI290,CL290,CO290,CR290,BT290)</f>
        <v>18.115942028985504</v>
      </c>
      <c r="BO290" s="16">
        <f>IF(BP290&gt;0,1,0)</f>
        <v>1</v>
      </c>
      <c r="BP290" s="16">
        <f>SUM(BU290,BX290,CA290,CD290,BR290)</f>
        <v>1</v>
      </c>
      <c r="BQ290" s="16">
        <f>SUM(BZ290,CC290,CF290,BT290,BW290)</f>
        <v>18.115942028985504</v>
      </c>
      <c r="BR290" s="16">
        <f>IF(BS290&gt;0,1,0)</f>
        <v>0</v>
      </c>
      <c r="BS290" s="16">
        <f>VLOOKUP($K290,'[5]FECs - good data'!$C$1:$Z$574,17,FALSE)</f>
        <v>0</v>
      </c>
      <c r="BT290" s="23">
        <f>BS290/AS290</f>
        <v>0</v>
      </c>
      <c r="BU290" s="16">
        <f>IF(BV290&gt;0,1,0)</f>
        <v>0</v>
      </c>
      <c r="BV290" s="16">
        <f>VLOOKUP($K290,'[5]FECs - good data'!$C$1:$Z$574,18,FALSE)</f>
        <v>0</v>
      </c>
      <c r="BW290" s="16">
        <f>BV290/AS290</f>
        <v>0</v>
      </c>
      <c r="BX290" s="16">
        <f>IF(BY290&gt;0,1,0)</f>
        <v>1</v>
      </c>
      <c r="BY290" s="16">
        <f>VLOOKUP($K290,'[5]FECs - good data'!$C$1:$Z$574,19,FALSE)</f>
        <v>5</v>
      </c>
      <c r="BZ290" s="16">
        <f>BY290/AS290</f>
        <v>18.115942028985504</v>
      </c>
      <c r="CA290" s="16">
        <f>IF(CB290&gt;0,1,0)</f>
        <v>0</v>
      </c>
      <c r="CB290" s="16">
        <f>VLOOKUP($K290,'[5]FECs - good data'!$C$1:$Z$574,20,FALSE)</f>
        <v>0</v>
      </c>
      <c r="CC290" s="16">
        <f>CB290/AS290</f>
        <v>0</v>
      </c>
      <c r="CD290" s="23">
        <f>IF(CE290&gt;0,1,0)</f>
        <v>0</v>
      </c>
      <c r="CE290" s="16">
        <f>VLOOKUP($K290,'[5]FECs - good data'!$C$1:$Z$574,21,FALSE)</f>
        <v>0</v>
      </c>
      <c r="CF290" s="16">
        <f>CE290/AS290</f>
        <v>0</v>
      </c>
      <c r="CG290" s="16">
        <f>IF(CH290&gt;0,1,0)</f>
        <v>0</v>
      </c>
      <c r="CH290" s="16">
        <f>VLOOKUP($K290,'[5]FECs - good data'!$C$1:$Z$574,22,FALSE)</f>
        <v>0</v>
      </c>
      <c r="CI290" s="16">
        <f>CH290/AS290</f>
        <v>0</v>
      </c>
      <c r="CJ290" s="16">
        <f>IF(CK290&gt;0,1,0)</f>
        <v>0</v>
      </c>
      <c r="CK290" s="16">
        <f>VLOOKUP($K290,'[5]FECs - good data'!$C$1:$Z$674,24,FALSE)</f>
        <v>0</v>
      </c>
      <c r="CL290" s="16">
        <f>CK290/AS290</f>
        <v>0</v>
      </c>
      <c r="CS290" s="16">
        <f>IF(CT290&gt;0,1,0)</f>
        <v>0</v>
      </c>
      <c r="CT290" s="16">
        <f>SUM(CW290+CZ290,DC290)</f>
        <v>0</v>
      </c>
      <c r="CV290" s="16">
        <f>SUM(CY290,DB290,DE290)</f>
        <v>0</v>
      </c>
      <c r="CW290" s="16">
        <f>IF(CX290&gt;0,1,0)</f>
        <v>0</v>
      </c>
      <c r="CX290" s="16">
        <f>VLOOKUP($K290,'[5]FECs - good data'!$C$1:$Z$574,22,FALSE)</f>
        <v>0</v>
      </c>
      <c r="CY290" s="16">
        <f>CX290/AS290</f>
        <v>0</v>
      </c>
      <c r="CZ290" s="16">
        <f>IF(DA290&gt;0,1,0)</f>
        <v>0</v>
      </c>
      <c r="DA290" s="16">
        <f>VLOOKUP($K290,'[5]FECs - good data'!$C$1:$Z$5982,23,FALSE)</f>
        <v>0</v>
      </c>
      <c r="DB290" s="16">
        <f>DA290/AS290</f>
        <v>0</v>
      </c>
      <c r="DC290" s="16">
        <f>IF(DD290&gt;0,1,0)</f>
        <v>0</v>
      </c>
      <c r="DD290" s="16">
        <f>VLOOKUP($K290,'[5]FECs - good data'!$C$1:$Z$574,23,FALSE)</f>
        <v>0</v>
      </c>
      <c r="DE290" s="16">
        <f>DD290/AS290</f>
        <v>0</v>
      </c>
      <c r="DF290" s="16" t="e">
        <f>VLOOKUP(K290,'[3]RNA Seq summary tables'!$V$3:$V$99,1,FALSE)</f>
        <v>#N/A</v>
      </c>
      <c r="DG290" s="16">
        <v>1</v>
      </c>
      <c r="DH290" s="16" t="str">
        <f>VLOOKUP(D290,'[6]workflow 3.2018'!$A$1:$S$237,2,FALSE)</f>
        <v>2017MLBS_141</v>
      </c>
      <c r="JO290" s="38"/>
      <c r="JP290" s="38"/>
      <c r="JQ290" s="38"/>
    </row>
    <row r="291" spans="1:288" x14ac:dyDescent="0.2">
      <c r="B291" s="16">
        <v>2017</v>
      </c>
      <c r="C291" s="20">
        <v>42972</v>
      </c>
      <c r="D291" s="20" t="str">
        <f>CONCATENATE(J291,"-",C291)</f>
        <v>1148-42972</v>
      </c>
      <c r="E291" s="20" t="str">
        <f>CONCATENATE(T291,"-",U291,"-",C291)</f>
        <v>SP2-A8-42972</v>
      </c>
      <c r="F291" s="20" t="s">
        <v>106</v>
      </c>
      <c r="G291" s="20" t="s">
        <v>107</v>
      </c>
      <c r="I291" s="16">
        <v>0</v>
      </c>
      <c r="J291" s="21">
        <v>1148</v>
      </c>
      <c r="K291" s="21">
        <v>2244</v>
      </c>
      <c r="L291" s="18">
        <v>0</v>
      </c>
      <c r="M291" s="21">
        <f>VLOOKUP($K291,'[4]blood tubes 2017'!$D$1:$L$947,8,FALSE)</f>
        <v>0</v>
      </c>
      <c r="N291" s="15">
        <v>0</v>
      </c>
      <c r="O291" s="15" t="s">
        <v>119</v>
      </c>
      <c r="P291" s="16" t="s">
        <v>119</v>
      </c>
      <c r="Q291" s="16">
        <v>0</v>
      </c>
      <c r="R291" s="16">
        <v>13</v>
      </c>
      <c r="T291" s="16" t="s">
        <v>137</v>
      </c>
      <c r="U291" s="16" t="s">
        <v>194</v>
      </c>
      <c r="V291" s="16" t="s">
        <v>114</v>
      </c>
      <c r="W291" s="16">
        <f>AI291/AG291</f>
        <v>0.82795698924731187</v>
      </c>
      <c r="X291" s="16" t="s">
        <v>115</v>
      </c>
      <c r="Y291" s="16" t="s">
        <v>110</v>
      </c>
      <c r="Z291" s="16">
        <v>3</v>
      </c>
      <c r="AE291" s="16" t="s">
        <v>116</v>
      </c>
      <c r="AF291" s="16" t="s">
        <v>116</v>
      </c>
      <c r="AG291" s="16">
        <f>AH291-AI291</f>
        <v>93</v>
      </c>
      <c r="AH291" s="16">
        <v>170</v>
      </c>
      <c r="AI291" s="16">
        <v>77</v>
      </c>
      <c r="AK291" s="16">
        <v>21.5</v>
      </c>
      <c r="AL291" s="16">
        <v>0</v>
      </c>
      <c r="AM291" s="16">
        <v>0</v>
      </c>
      <c r="AN291" s="16">
        <v>0</v>
      </c>
      <c r="AO291" s="16">
        <v>0</v>
      </c>
      <c r="AP291" s="16">
        <f>SUM(AL291:AN291)</f>
        <v>0</v>
      </c>
      <c r="AQ291" s="16">
        <v>1.6859999999999999</v>
      </c>
      <c r="AR291" s="16">
        <f>AP291-1.472</f>
        <v>-1.472</v>
      </c>
      <c r="AS291" s="16">
        <f>AQ291-1.472</f>
        <v>0.21399999999999997</v>
      </c>
      <c r="AT291" s="16" t="str">
        <f>VLOOKUP(K291,'[5]FECs - good data'!$C$1:$P$575,13,FALSE)</f>
        <v>JB</v>
      </c>
      <c r="AW291" s="18">
        <f>IF(AX291&gt;0,1,0)</f>
        <v>1</v>
      </c>
      <c r="AX291" s="18">
        <f>SUM(BA291,BM291,CT291)</f>
        <v>3</v>
      </c>
      <c r="AY291" s="18">
        <f>SUM(BB291,BN291,CV291)</f>
        <v>79.439252336448618</v>
      </c>
      <c r="AZ291" s="18">
        <f>IF(BA291&gt;0,1,0)</f>
        <v>1</v>
      </c>
      <c r="BA291" s="18">
        <f>SUM(BC291,BF291,BI291)</f>
        <v>1</v>
      </c>
      <c r="BB291" s="18">
        <f>SUM(BE291,BH291,BK291)</f>
        <v>4.6728971962616832</v>
      </c>
      <c r="BC291" s="18">
        <f>IF(BD291&gt;0,1,0)</f>
        <v>0</v>
      </c>
      <c r="BD291" s="18">
        <f>VLOOKUP($K291,'[5]FECs - good data'!$C$1:$Z$574,14,FALSE)</f>
        <v>0</v>
      </c>
      <c r="BE291" s="16">
        <f>BD291/AS291</f>
        <v>0</v>
      </c>
      <c r="BF291" s="16">
        <f>IF(BG291&gt;0,1,0)</f>
        <v>1</v>
      </c>
      <c r="BG291" s="23">
        <f>VLOOKUP($K291,'[5]FECs - good data'!$C$1:$Z$574,15,FALSE)</f>
        <v>1</v>
      </c>
      <c r="BH291" s="16">
        <f>BG291/AS291</f>
        <v>4.6728971962616832</v>
      </c>
      <c r="BI291" s="16">
        <f>IF(BJ291&gt;0,1,0)</f>
        <v>0</v>
      </c>
      <c r="BJ291" s="16">
        <f>VLOOKUP($K291,'[5]FECs - good data'!$C$1:$Z$574,16,FALSE)</f>
        <v>0</v>
      </c>
      <c r="BK291" s="16">
        <f>BJ291/AS291</f>
        <v>0</v>
      </c>
      <c r="BL291" s="16">
        <f>IF(BM291&gt;0,1,0)</f>
        <v>1</v>
      </c>
      <c r="BM291" s="16">
        <f>SUM(BR291,BU291,BX291,CA291,CD291,CG291,CJ291,CM291,CP291)</f>
        <v>2</v>
      </c>
      <c r="BN291" s="16">
        <f>SUM(BW291,BZ291,CC291,CF291,CI291,CL291,CO291,CR291,BT291)</f>
        <v>74.766355140186931</v>
      </c>
      <c r="BO291" s="16">
        <f>IF(BP291&gt;0,1,0)</f>
        <v>1</v>
      </c>
      <c r="BP291" s="16">
        <f>SUM(BU291,BX291,CA291,CD291,BR291)</f>
        <v>1</v>
      </c>
      <c r="BQ291" s="16">
        <f>SUM(BZ291,CC291,CF291,BT291,BW291)</f>
        <v>4.6728971962616832</v>
      </c>
      <c r="BR291" s="16">
        <f>IF(BS291&gt;0,1,0)</f>
        <v>0</v>
      </c>
      <c r="BS291" s="16">
        <f>VLOOKUP($K291,'[5]FECs - good data'!$C$1:$Z$574,17,FALSE)</f>
        <v>0</v>
      </c>
      <c r="BT291" s="23">
        <f>BS291/AS291</f>
        <v>0</v>
      </c>
      <c r="BU291" s="16">
        <f>IF(BV291&gt;0,1,0)</f>
        <v>0</v>
      </c>
      <c r="BV291" s="16">
        <f>VLOOKUP($K291,'[5]FECs - good data'!$C$1:$Z$574,18,FALSE)</f>
        <v>0</v>
      </c>
      <c r="BW291" s="16">
        <f>BV291/AS291</f>
        <v>0</v>
      </c>
      <c r="BX291" s="16">
        <f>IF(BY291&gt;0,1,0)</f>
        <v>1</v>
      </c>
      <c r="BY291" s="16">
        <f>VLOOKUP($K291,'[5]FECs - good data'!$C$1:$Z$574,19,FALSE)</f>
        <v>1</v>
      </c>
      <c r="BZ291" s="16">
        <f>BY291/AS291</f>
        <v>4.6728971962616832</v>
      </c>
      <c r="CA291" s="16">
        <f>IF(CB291&gt;0,1,0)</f>
        <v>0</v>
      </c>
      <c r="CB291" s="16">
        <f>VLOOKUP($K291,'[5]FECs - good data'!$C$1:$Z$574,20,FALSE)</f>
        <v>0</v>
      </c>
      <c r="CC291" s="16">
        <f>CB291/AS291</f>
        <v>0</v>
      </c>
      <c r="CD291" s="23">
        <f>IF(CE291&gt;0,1,0)</f>
        <v>0</v>
      </c>
      <c r="CE291" s="16">
        <f>VLOOKUP($K291,'[5]FECs - good data'!$C$1:$Z$574,21,FALSE)</f>
        <v>0</v>
      </c>
      <c r="CF291" s="16">
        <f>CE291/AS291</f>
        <v>0</v>
      </c>
      <c r="CG291" s="16">
        <f>IF(CH291&gt;0,1,0)</f>
        <v>0</v>
      </c>
      <c r="CH291" s="16">
        <f>VLOOKUP($K291,'[5]FECs - good data'!$C$1:$Z$574,22,FALSE)</f>
        <v>0</v>
      </c>
      <c r="CI291" s="16">
        <f>CH291/AS291</f>
        <v>0</v>
      </c>
      <c r="CJ291" s="16">
        <f>IF(CK291&gt;0,1,0)</f>
        <v>1</v>
      </c>
      <c r="CK291" s="16">
        <f>VLOOKUP($K291,'[5]FECs - good data'!$C$1:$Z$674,24,FALSE)</f>
        <v>15</v>
      </c>
      <c r="CL291" s="16">
        <f>CK291/AS291</f>
        <v>70.093457943925245</v>
      </c>
      <c r="CS291" s="16">
        <f>IF(CT291&gt;0,1,0)</f>
        <v>0</v>
      </c>
      <c r="CT291" s="16">
        <f>SUM(CW291+CZ291,DC291)</f>
        <v>0</v>
      </c>
      <c r="CV291" s="16">
        <f>SUM(CY291,DB291,DE291)</f>
        <v>0</v>
      </c>
      <c r="CW291" s="16">
        <f>IF(CX291&gt;0,1,0)</f>
        <v>0</v>
      </c>
      <c r="CX291" s="16">
        <f>VLOOKUP($K291,'[5]FECs - good data'!$C$1:$Z$574,22,FALSE)</f>
        <v>0</v>
      </c>
      <c r="CY291" s="16">
        <f>CX291/AS291</f>
        <v>0</v>
      </c>
      <c r="CZ291" s="16">
        <f>IF(DA291&gt;0,1,0)</f>
        <v>0</v>
      </c>
      <c r="DA291" s="16">
        <f>VLOOKUP($K291,'[5]FECs - good data'!$C$1:$Z$5982,23,FALSE)</f>
        <v>0</v>
      </c>
      <c r="DB291" s="16">
        <f>DA291/AS291</f>
        <v>0</v>
      </c>
      <c r="DC291" s="16">
        <f>IF(DD291&gt;0,1,0)</f>
        <v>0</v>
      </c>
      <c r="DD291" s="16">
        <f>VLOOKUP($K291,'[5]FECs - good data'!$C$1:$Z$574,23,FALSE)</f>
        <v>0</v>
      </c>
      <c r="DE291" s="16">
        <f>DD291/AS291</f>
        <v>0</v>
      </c>
      <c r="DF291" s="16" t="e">
        <f>VLOOKUP(K291,'[3]RNA Seq summary tables'!$V$3:$V$99,1,FALSE)</f>
        <v>#N/A</v>
      </c>
      <c r="DG291" s="16">
        <v>1</v>
      </c>
      <c r="DH291" s="16" t="str">
        <f>VLOOKUP(D291,'[6]workflow 3.2018'!$A$1:$S$237,2,FALSE)</f>
        <v>2017MLBS_181</v>
      </c>
    </row>
    <row r="292" spans="1:288" x14ac:dyDescent="0.2">
      <c r="B292" s="16">
        <v>2017</v>
      </c>
      <c r="C292" s="20">
        <v>42907</v>
      </c>
      <c r="D292" s="20" t="str">
        <f>CONCATENATE(J292,"-",C292)</f>
        <v>1150-42907</v>
      </c>
      <c r="E292" s="20" t="str">
        <f>CONCATENATE(T292,"-",U292,"-",C292)</f>
        <v>SP1-G7-42907</v>
      </c>
      <c r="F292" s="20" t="s">
        <v>106</v>
      </c>
      <c r="G292" s="20" t="s">
        <v>107</v>
      </c>
      <c r="I292" s="16">
        <v>0</v>
      </c>
      <c r="J292" s="21">
        <v>1150</v>
      </c>
      <c r="K292" s="21">
        <v>1716</v>
      </c>
      <c r="L292" s="18">
        <v>0</v>
      </c>
      <c r="M292" s="21">
        <f>VLOOKUP($K292,'[4]blood tubes 2017'!$D$1:$L$647,8,FALSE)</f>
        <v>0</v>
      </c>
      <c r="N292" s="15">
        <v>0</v>
      </c>
      <c r="O292" s="15" t="s">
        <v>119</v>
      </c>
      <c r="P292" s="16" t="s">
        <v>119</v>
      </c>
      <c r="Q292" s="16">
        <v>0</v>
      </c>
      <c r="R292" s="16" t="s">
        <v>111</v>
      </c>
      <c r="T292" s="16" t="s">
        <v>140</v>
      </c>
      <c r="U292" s="16" t="s">
        <v>156</v>
      </c>
      <c r="V292" s="16" t="s">
        <v>114</v>
      </c>
      <c r="W292" s="16">
        <f>AI292/AG292</f>
        <v>0.79487179487179482</v>
      </c>
      <c r="X292" s="16" t="s">
        <v>121</v>
      </c>
      <c r="Y292" s="16" t="s">
        <v>122</v>
      </c>
      <c r="Z292" s="16">
        <v>2.2999999999999998</v>
      </c>
      <c r="AA292" s="16" t="s">
        <v>119</v>
      </c>
      <c r="AB292" s="16" t="s">
        <v>123</v>
      </c>
      <c r="AC292" s="16" t="s">
        <v>123</v>
      </c>
      <c r="AD292" s="16" t="s">
        <v>123</v>
      </c>
      <c r="AG292" s="16">
        <f>AH292-AI292</f>
        <v>78</v>
      </c>
      <c r="AH292" s="16">
        <v>140</v>
      </c>
      <c r="AI292" s="16">
        <v>62</v>
      </c>
      <c r="AK292" s="16">
        <v>13.5</v>
      </c>
      <c r="AL292" s="16">
        <v>1</v>
      </c>
      <c r="AM292" s="16">
        <v>0</v>
      </c>
      <c r="AN292" s="16">
        <v>0</v>
      </c>
      <c r="AO292" s="16">
        <v>1</v>
      </c>
      <c r="AP292" s="16">
        <f>SUM(AL292:AN292)</f>
        <v>1</v>
      </c>
      <c r="AQ292" s="16">
        <v>1.5629999999999999</v>
      </c>
      <c r="AR292" s="16">
        <f>AP292-1.472</f>
        <v>-0.47199999999999998</v>
      </c>
      <c r="AS292" s="16">
        <f>AQ292-1.472</f>
        <v>9.099999999999997E-2</v>
      </c>
      <c r="AT292" s="16" t="s">
        <v>164</v>
      </c>
      <c r="AW292" s="16">
        <f>IF(AX292&gt;0,1,0)</f>
        <v>1</v>
      </c>
      <c r="AX292" s="16">
        <f>SUM(BA292,BM292,CT292)</f>
        <v>2</v>
      </c>
      <c r="AY292" s="18">
        <f>SUM(BB292,BN292,CV292)</f>
        <v>1197.8021978021982</v>
      </c>
      <c r="AZ292" s="16">
        <f>IF(BA292&gt;0,1,0)</f>
        <v>1</v>
      </c>
      <c r="BA292" s="16">
        <f>SUM(BC292,BF292,BI292)</f>
        <v>2</v>
      </c>
      <c r="BB292" s="16">
        <f>SUM(BE292,BH292,BK292)</f>
        <v>1197.8021978021982</v>
      </c>
      <c r="BC292" s="16">
        <v>0</v>
      </c>
      <c r="BD292" s="16">
        <v>0</v>
      </c>
      <c r="BE292" s="16">
        <v>0</v>
      </c>
      <c r="BF292" s="16">
        <v>1</v>
      </c>
      <c r="BG292" s="23">
        <v>96</v>
      </c>
      <c r="BH292" s="16">
        <f>BG292/AS292</f>
        <v>1054.9450549450553</v>
      </c>
      <c r="BI292" s="16">
        <v>1</v>
      </c>
      <c r="BJ292" s="16">
        <v>13</v>
      </c>
      <c r="BK292" s="16">
        <f>BJ292/AS292</f>
        <v>142.85714285714292</v>
      </c>
      <c r="BL292" s="16">
        <f>IF(BM292&gt;0,1,0)</f>
        <v>0</v>
      </c>
      <c r="BM292" s="16">
        <f>SUM(BR292,BU292,BX292,CA292,CD292,CG292,CJ292,CM292,CP292)</f>
        <v>0</v>
      </c>
      <c r="BN292" s="16">
        <f>SUM(BW292,BZ292,CC292,CF292,CI292,CL292,CO292,CR292,BT292)</f>
        <v>0</v>
      </c>
      <c r="BO292" s="16">
        <f>IF(BP292&gt;0,1,0)</f>
        <v>0</v>
      </c>
      <c r="BP292" s="16">
        <f>SUM(BU292,BX292,CA292,CD292,BR292)</f>
        <v>0</v>
      </c>
      <c r="BQ292" s="16">
        <f>SUM(BZ292,CC292,CF292,BT292,BW292)</f>
        <v>0</v>
      </c>
      <c r="BR292" s="16">
        <v>0</v>
      </c>
      <c r="BS292" s="16">
        <v>0</v>
      </c>
      <c r="BT292" s="23">
        <f>BS292/AS292</f>
        <v>0</v>
      </c>
      <c r="BU292" s="16">
        <v>0</v>
      </c>
      <c r="BV292" s="16">
        <v>0</v>
      </c>
      <c r="BW292" s="16">
        <f>BV292/AS292</f>
        <v>0</v>
      </c>
      <c r="BX292" s="16">
        <v>0</v>
      </c>
      <c r="BY292" s="16">
        <v>0</v>
      </c>
      <c r="BZ292" s="16">
        <f>BY292/AS292</f>
        <v>0</v>
      </c>
      <c r="CA292" s="16">
        <v>0</v>
      </c>
      <c r="CB292" s="16">
        <v>0</v>
      </c>
      <c r="CC292" s="16">
        <f>CB292/AS292</f>
        <v>0</v>
      </c>
      <c r="CD292" s="23">
        <v>0</v>
      </c>
      <c r="CE292" s="16">
        <v>0</v>
      </c>
      <c r="CF292" s="16">
        <f>CE292/AS292</f>
        <v>0</v>
      </c>
      <c r="CG292" s="16">
        <v>0</v>
      </c>
      <c r="CH292" s="16">
        <v>0</v>
      </c>
      <c r="CI292" s="16">
        <f>CH292/AS292</f>
        <v>0</v>
      </c>
      <c r="CM292" s="16">
        <v>0</v>
      </c>
      <c r="CN292" s="16">
        <v>0</v>
      </c>
      <c r="CO292" s="16">
        <f>CN292/AS292</f>
        <v>0</v>
      </c>
      <c r="CP292" s="16">
        <v>0</v>
      </c>
      <c r="CQ292" s="16">
        <v>0</v>
      </c>
      <c r="CR292" s="16">
        <f>CQ292/AS292</f>
        <v>0</v>
      </c>
      <c r="CS292" s="16">
        <f>IF(CT292&gt;0,1,0)</f>
        <v>0</v>
      </c>
      <c r="CT292" s="16">
        <f>SUM(CW292,CZ292,DC292)</f>
        <v>0</v>
      </c>
      <c r="CV292" s="16">
        <f>SUM(CY292,DB292,DE292)</f>
        <v>0</v>
      </c>
      <c r="CW292" s="16">
        <v>0</v>
      </c>
      <c r="CX292" s="16">
        <v>0</v>
      </c>
      <c r="CY292" s="16">
        <f>CX292/AS292</f>
        <v>0</v>
      </c>
      <c r="CZ292" s="16">
        <v>0</v>
      </c>
      <c r="DA292" s="16">
        <v>0</v>
      </c>
      <c r="DB292" s="16">
        <f>DA292/AS292</f>
        <v>0</v>
      </c>
      <c r="DC292" s="16">
        <v>0</v>
      </c>
      <c r="DD292" s="16">
        <v>0</v>
      </c>
      <c r="DE292" s="16">
        <f>DD292/AS292</f>
        <v>0</v>
      </c>
      <c r="DF292" s="16" t="e">
        <f>VLOOKUP(K292,'[3]RNA Seq summary tables'!$V$3:$V$99,1,FALSE)</f>
        <v>#N/A</v>
      </c>
      <c r="DI292" s="16">
        <v>77</v>
      </c>
      <c r="DK292" s="16">
        <v>17</v>
      </c>
      <c r="DM292" s="16">
        <v>6</v>
      </c>
      <c r="DO292" s="16">
        <v>0</v>
      </c>
      <c r="DQ292" s="16">
        <v>0</v>
      </c>
      <c r="DR292" s="16">
        <f>SUM(DI292:DQ292)</f>
        <v>100</v>
      </c>
      <c r="JR292" s="18"/>
      <c r="JS292" s="18"/>
      <c r="JT292" s="18"/>
      <c r="JU292" s="18"/>
      <c r="JV292" s="18"/>
      <c r="JW292" s="18"/>
      <c r="JX292" s="18"/>
      <c r="JY292" s="18"/>
      <c r="JZ292" s="18"/>
      <c r="KA292" s="18"/>
      <c r="KB292" s="18"/>
    </row>
    <row r="293" spans="1:288" x14ac:dyDescent="0.2">
      <c r="B293" s="16">
        <v>2017</v>
      </c>
      <c r="C293" s="43">
        <v>42907</v>
      </c>
      <c r="D293" s="43" t="str">
        <f>CONCATENATE(J293,"-",C293)</f>
        <v>1152-42907</v>
      </c>
      <c r="E293" s="20" t="str">
        <f>CONCATENATE(T293,"-",U293,"-",C293)</f>
        <v>SP2-A8-42907</v>
      </c>
      <c r="F293" s="20" t="s">
        <v>106</v>
      </c>
      <c r="G293" s="43" t="s">
        <v>107</v>
      </c>
      <c r="H293" s="23"/>
      <c r="I293" s="16">
        <v>0</v>
      </c>
      <c r="J293" s="15">
        <v>1152</v>
      </c>
      <c r="K293" s="15">
        <v>1718</v>
      </c>
      <c r="L293" s="18">
        <v>0</v>
      </c>
      <c r="M293" s="21">
        <f>VLOOKUP($K293,'[4]blood tubes 2017'!$D$1:$L$647,8,FALSE)</f>
        <v>0</v>
      </c>
      <c r="N293" s="15">
        <v>0</v>
      </c>
      <c r="O293" s="15" t="s">
        <v>119</v>
      </c>
      <c r="P293" s="23" t="s">
        <v>119</v>
      </c>
      <c r="Q293" s="16">
        <v>0</v>
      </c>
      <c r="R293" s="23" t="s">
        <v>111</v>
      </c>
      <c r="S293" s="23"/>
      <c r="T293" s="23" t="s">
        <v>137</v>
      </c>
      <c r="U293" s="23" t="s">
        <v>194</v>
      </c>
      <c r="V293" s="23" t="s">
        <v>114</v>
      </c>
      <c r="W293" s="16">
        <f>AI293/AG293</f>
        <v>0.7816091954022989</v>
      </c>
      <c r="X293" s="23" t="s">
        <v>115</v>
      </c>
      <c r="Y293" s="23" t="s">
        <v>110</v>
      </c>
      <c r="Z293" s="23">
        <v>3</v>
      </c>
      <c r="AA293" s="23"/>
      <c r="AB293" s="23"/>
      <c r="AC293" s="23"/>
      <c r="AD293" s="23"/>
      <c r="AE293" s="23" t="s">
        <v>123</v>
      </c>
      <c r="AF293" s="23" t="s">
        <v>123</v>
      </c>
      <c r="AG293" s="23">
        <f>AH293-AI293</f>
        <v>87</v>
      </c>
      <c r="AH293" s="23">
        <v>155</v>
      </c>
      <c r="AI293" s="23">
        <v>68</v>
      </c>
      <c r="AJ293" s="23"/>
      <c r="AK293" s="23">
        <v>18.5</v>
      </c>
      <c r="AL293" s="23">
        <v>1</v>
      </c>
      <c r="AM293" s="23">
        <v>0</v>
      </c>
      <c r="AN293" s="23">
        <v>0</v>
      </c>
      <c r="AO293" s="23">
        <v>1</v>
      </c>
      <c r="AP293" s="23">
        <f>SUM(AL293:AN293)</f>
        <v>1</v>
      </c>
      <c r="AQ293" s="23">
        <v>1.5960000000000001</v>
      </c>
      <c r="AR293" s="23">
        <f>AP293-1.472</f>
        <v>-0.47199999999999998</v>
      </c>
      <c r="AS293" s="23">
        <f>AQ293-1.472</f>
        <v>0.12400000000000011</v>
      </c>
      <c r="AT293" s="23" t="s">
        <v>233</v>
      </c>
      <c r="AU293" s="23"/>
      <c r="AV293" s="23">
        <v>1</v>
      </c>
      <c r="AW293" s="23">
        <f>IF(AX293&gt;0,1,0)</f>
        <v>0</v>
      </c>
      <c r="AX293" s="23">
        <f>SUM(BA293,BM293,CT293)</f>
        <v>0</v>
      </c>
      <c r="AY293" s="25">
        <f>SUM(BB293,BN293,CV293)</f>
        <v>0</v>
      </c>
      <c r="AZ293" s="16">
        <f>IF(BA293&gt;0,1,0)</f>
        <v>0</v>
      </c>
      <c r="BA293" s="23">
        <f>SUM(BC293,BF293,BI293)</f>
        <v>0</v>
      </c>
      <c r="BB293" s="23">
        <f>SUM(BE293,BH293,BK293)</f>
        <v>0</v>
      </c>
      <c r="BC293" s="16">
        <v>0</v>
      </c>
      <c r="BD293" s="23">
        <v>0</v>
      </c>
      <c r="BE293" s="23">
        <f>BD293/AS293</f>
        <v>0</v>
      </c>
      <c r="BF293" s="16">
        <v>0</v>
      </c>
      <c r="BG293" s="23">
        <v>0</v>
      </c>
      <c r="BH293" s="23">
        <f>BG293/AS293</f>
        <v>0</v>
      </c>
      <c r="BI293" s="16">
        <v>0</v>
      </c>
      <c r="BJ293" s="23">
        <v>0</v>
      </c>
      <c r="BK293" s="23">
        <f>BJ293/AS293</f>
        <v>0</v>
      </c>
      <c r="BL293" s="16">
        <f>IF(BM293&gt;0,1,0)</f>
        <v>0</v>
      </c>
      <c r="BM293" s="16">
        <f>SUM(BR293,BU293,BX293,CA293,CD293,CG293,CJ293,CM293,CP293)</f>
        <v>0</v>
      </c>
      <c r="BN293" s="16">
        <f>SUM(BW293,BZ293,CC293,CF293,CI293,CL293,CO293,CR293,BT293)</f>
        <v>0</v>
      </c>
      <c r="BO293" s="16">
        <f>IF(BP293&gt;0,1,0)</f>
        <v>0</v>
      </c>
      <c r="BP293" s="16">
        <f>SUM(BU293,BX293,CA293,CD293,BR293)</f>
        <v>0</v>
      </c>
      <c r="BQ293" s="16">
        <f>SUM(BZ293,CC293,CF293,BT293,BW293)</f>
        <v>0</v>
      </c>
      <c r="BR293" s="16">
        <v>0</v>
      </c>
      <c r="BS293" s="23">
        <v>0</v>
      </c>
      <c r="BT293" s="23">
        <f>BS293/AS293</f>
        <v>0</v>
      </c>
      <c r="BU293" s="16">
        <v>0</v>
      </c>
      <c r="BV293" s="23">
        <v>0</v>
      </c>
      <c r="BW293" s="16">
        <f>BV293/AS293</f>
        <v>0</v>
      </c>
      <c r="BX293" s="16">
        <v>0</v>
      </c>
      <c r="BY293" s="23">
        <v>0</v>
      </c>
      <c r="BZ293" s="16">
        <f>BY293/AS293</f>
        <v>0</v>
      </c>
      <c r="CA293" s="16">
        <v>0</v>
      </c>
      <c r="CB293" s="23">
        <v>0</v>
      </c>
      <c r="CC293" s="23">
        <f>CB293/AS293</f>
        <v>0</v>
      </c>
      <c r="CD293" s="23">
        <v>0</v>
      </c>
      <c r="CE293" s="23">
        <v>0</v>
      </c>
      <c r="CF293" s="23">
        <f>CE293/AS293</f>
        <v>0</v>
      </c>
      <c r="CG293" s="23">
        <v>0</v>
      </c>
      <c r="CH293" s="23">
        <v>0</v>
      </c>
      <c r="CI293" s="23">
        <f>CH293/AS293</f>
        <v>0</v>
      </c>
      <c r="CJ293" s="23"/>
      <c r="CK293" s="23"/>
      <c r="CL293" s="23"/>
      <c r="CM293" s="23">
        <v>0</v>
      </c>
      <c r="CN293" s="23">
        <v>0</v>
      </c>
      <c r="CO293" s="23">
        <f>CN293/AS293</f>
        <v>0</v>
      </c>
      <c r="CP293" s="23">
        <v>0</v>
      </c>
      <c r="CQ293" s="23">
        <v>0</v>
      </c>
      <c r="CR293" s="23">
        <f>CQ293/AS293</f>
        <v>0</v>
      </c>
      <c r="CS293" s="16">
        <f>IF(CT293&gt;0,1,0)</f>
        <v>0</v>
      </c>
      <c r="CT293" s="16">
        <f>SUM(CW293,CZ293,DC293)</f>
        <v>0</v>
      </c>
      <c r="CV293" s="23">
        <f>SUM(CY293,DB293,DE293)</f>
        <v>0</v>
      </c>
      <c r="CW293" s="16">
        <v>0</v>
      </c>
      <c r="CX293" s="23">
        <v>0</v>
      </c>
      <c r="CY293" s="23">
        <f>CX293/AS293</f>
        <v>0</v>
      </c>
      <c r="CZ293" s="23">
        <v>0</v>
      </c>
      <c r="DA293" s="23">
        <v>0</v>
      </c>
      <c r="DB293" s="23">
        <f>DA293/AS293</f>
        <v>0</v>
      </c>
      <c r="DC293" s="23">
        <v>0</v>
      </c>
      <c r="DD293" s="23">
        <v>0</v>
      </c>
      <c r="DE293" s="23">
        <f>DD293/AS293</f>
        <v>0</v>
      </c>
      <c r="DF293" s="16" t="e">
        <f>VLOOKUP(K293,'[3]RNA Seq summary tables'!$V$3:$V$99,1,FALSE)</f>
        <v>#N/A</v>
      </c>
      <c r="DI293" s="23">
        <v>78</v>
      </c>
      <c r="DJ293" s="23"/>
      <c r="DK293" s="23">
        <v>19</v>
      </c>
      <c r="DL293" s="23"/>
      <c r="DM293" s="23">
        <v>3</v>
      </c>
      <c r="DN293" s="23"/>
      <c r="DO293" s="23">
        <v>0</v>
      </c>
      <c r="DP293" s="23"/>
      <c r="DQ293" s="23">
        <v>0</v>
      </c>
      <c r="DR293" s="23">
        <f>SUM(DI293:DQ293)</f>
        <v>100</v>
      </c>
      <c r="DS293" s="23"/>
      <c r="DT293" s="25"/>
      <c r="DU293" s="25"/>
      <c r="DV293" s="25"/>
      <c r="DW293" s="25"/>
      <c r="DX293" s="25"/>
      <c r="DY293" s="25"/>
      <c r="DZ293" s="25"/>
      <c r="EA293" s="25"/>
      <c r="EB293" s="25"/>
      <c r="EC293" s="25"/>
      <c r="ED293" s="25"/>
      <c r="EE293" s="25"/>
      <c r="EF293" s="25"/>
      <c r="EG293" s="25"/>
      <c r="EH293" s="25"/>
      <c r="EI293" s="25"/>
      <c r="EJ293" s="25"/>
      <c r="EK293" s="25"/>
      <c r="EL293" s="25"/>
      <c r="EM293" s="25"/>
      <c r="EN293" s="25"/>
      <c r="EO293" s="25"/>
      <c r="EP293" s="25"/>
      <c r="EQ293" s="25"/>
      <c r="ER293" s="25"/>
      <c r="ES293" s="25"/>
      <c r="ET293" s="25"/>
      <c r="EU293" s="25"/>
      <c r="EV293" s="25"/>
      <c r="EW293" s="25"/>
      <c r="EX293" s="25"/>
      <c r="EY293" s="25"/>
      <c r="EZ293" s="25"/>
      <c r="FA293" s="25"/>
      <c r="FB293" s="25"/>
      <c r="FC293" s="25"/>
      <c r="FD293" s="25"/>
      <c r="FE293" s="25"/>
      <c r="FF293" s="25"/>
      <c r="FG293" s="25"/>
      <c r="FH293" s="25"/>
      <c r="FI293" s="25"/>
      <c r="FJ293" s="25"/>
      <c r="FK293" s="25"/>
      <c r="FL293" s="25"/>
      <c r="FM293" s="25"/>
      <c r="FN293" s="25"/>
      <c r="FO293" s="25"/>
      <c r="FP293" s="25"/>
      <c r="FQ293" s="25"/>
      <c r="FR293" s="25"/>
      <c r="FS293" s="25"/>
      <c r="FT293" s="25"/>
      <c r="FU293" s="25"/>
      <c r="FV293" s="25"/>
      <c r="FW293" s="25"/>
      <c r="FX293" s="25"/>
      <c r="FY293" s="25"/>
      <c r="FZ293" s="25"/>
      <c r="GA293" s="25"/>
      <c r="GB293" s="25"/>
      <c r="GC293" s="25"/>
      <c r="GD293" s="25"/>
      <c r="GE293" s="25"/>
      <c r="GF293" s="25"/>
      <c r="GG293" s="25"/>
      <c r="GH293" s="25"/>
      <c r="GI293" s="25"/>
      <c r="GJ293" s="25"/>
      <c r="GK293" s="25"/>
      <c r="GL293" s="25"/>
      <c r="GM293" s="25"/>
      <c r="GN293" s="25"/>
      <c r="GO293" s="25"/>
      <c r="GP293" s="25"/>
      <c r="GQ293" s="25"/>
      <c r="GR293" s="25"/>
      <c r="GS293" s="25"/>
      <c r="GT293" s="25"/>
      <c r="GU293" s="25"/>
      <c r="GV293" s="25"/>
      <c r="GW293" s="25"/>
      <c r="GX293" s="25"/>
      <c r="GY293" s="25"/>
      <c r="GZ293" s="25"/>
      <c r="HA293" s="25"/>
      <c r="HB293" s="25"/>
      <c r="HC293" s="25"/>
      <c r="HD293" s="25"/>
      <c r="HE293" s="25"/>
      <c r="HF293" s="25"/>
      <c r="HG293" s="25"/>
      <c r="HH293" s="25"/>
      <c r="HI293" s="25"/>
      <c r="HJ293" s="25"/>
      <c r="HK293" s="25"/>
      <c r="HL293" s="25"/>
      <c r="HM293" s="25"/>
      <c r="HN293" s="25"/>
      <c r="HO293" s="25"/>
      <c r="HP293" s="25"/>
      <c r="HQ293" s="25"/>
      <c r="HR293" s="25"/>
      <c r="HS293" s="25"/>
      <c r="HT293" s="25"/>
      <c r="HU293" s="25"/>
      <c r="HV293" s="25"/>
      <c r="HW293" s="25"/>
      <c r="HX293" s="25"/>
      <c r="HY293" s="25"/>
      <c r="HZ293" s="25"/>
      <c r="IA293" s="25"/>
      <c r="IB293" s="25"/>
      <c r="IC293" s="25"/>
      <c r="ID293" s="25"/>
      <c r="IE293" s="25"/>
      <c r="IF293" s="25"/>
      <c r="IG293" s="25"/>
      <c r="IH293" s="25"/>
      <c r="II293" s="25"/>
      <c r="IJ293" s="25"/>
      <c r="IK293" s="25"/>
      <c r="IL293" s="25"/>
      <c r="IM293" s="25"/>
      <c r="IN293" s="25"/>
      <c r="IO293" s="25"/>
      <c r="IP293" s="25"/>
      <c r="IQ293" s="25"/>
      <c r="IR293" s="25"/>
      <c r="IS293" s="25"/>
      <c r="IT293" s="25"/>
      <c r="IU293" s="25"/>
      <c r="IV293" s="25"/>
      <c r="IW293" s="25"/>
      <c r="IX293" s="25"/>
      <c r="IY293" s="25"/>
      <c r="IZ293" s="25"/>
      <c r="JA293" s="25"/>
      <c r="JB293" s="25"/>
      <c r="JC293" s="25"/>
      <c r="JD293" s="25"/>
      <c r="JE293" s="25"/>
      <c r="JF293" s="25"/>
      <c r="JG293" s="25"/>
      <c r="JH293" s="25"/>
      <c r="JI293" s="25"/>
      <c r="JJ293" s="25"/>
      <c r="JK293" s="25"/>
      <c r="JL293" s="25"/>
      <c r="JM293" s="25"/>
      <c r="JN293" s="25"/>
      <c r="JO293" s="18"/>
    </row>
    <row r="294" spans="1:288" x14ac:dyDescent="0.2">
      <c r="B294" s="16">
        <v>2017</v>
      </c>
      <c r="C294" s="20">
        <v>42940</v>
      </c>
      <c r="D294" s="20" t="str">
        <f>CONCATENATE(J294,"-",C294)</f>
        <v>1153-42940</v>
      </c>
      <c r="E294" s="20" t="str">
        <f>CONCATENATE(T294,"-",U294,"-",C294)</f>
        <v>SP2-A8-42940</v>
      </c>
      <c r="F294" s="20" t="s">
        <v>106</v>
      </c>
      <c r="G294" s="20" t="s">
        <v>107</v>
      </c>
      <c r="I294" s="16">
        <v>0</v>
      </c>
      <c r="J294" s="21">
        <v>1153</v>
      </c>
      <c r="K294" s="21">
        <v>1980</v>
      </c>
      <c r="L294" s="18">
        <v>0</v>
      </c>
      <c r="M294" s="21">
        <f>VLOOKUP($K294,'[4]blood tubes 2017'!$D$1:$L$647,8,FALSE)</f>
        <v>0</v>
      </c>
      <c r="N294" s="15">
        <v>0</v>
      </c>
      <c r="O294" s="15" t="s">
        <v>119</v>
      </c>
      <c r="P294" s="16" t="s">
        <v>119</v>
      </c>
      <c r="Q294" s="16">
        <v>0</v>
      </c>
      <c r="R294" s="16" t="s">
        <v>111</v>
      </c>
      <c r="T294" s="16" t="s">
        <v>137</v>
      </c>
      <c r="U294" s="16" t="s">
        <v>194</v>
      </c>
      <c r="V294" s="16" t="s">
        <v>114</v>
      </c>
      <c r="W294" s="16">
        <f>AI294/AG294</f>
        <v>0.84946236559139787</v>
      </c>
      <c r="X294" s="16" t="s">
        <v>115</v>
      </c>
      <c r="Y294" s="16" t="s">
        <v>110</v>
      </c>
      <c r="Z294" s="16">
        <v>3</v>
      </c>
      <c r="AE294" s="16" t="s">
        <v>116</v>
      </c>
      <c r="AF294" s="16" t="s">
        <v>116</v>
      </c>
      <c r="AG294" s="16">
        <f>AH294-AI294</f>
        <v>93</v>
      </c>
      <c r="AH294" s="16">
        <v>172</v>
      </c>
      <c r="AI294" s="16">
        <v>79</v>
      </c>
      <c r="AK294" s="16">
        <v>24</v>
      </c>
      <c r="AL294" s="16">
        <v>0</v>
      </c>
      <c r="AM294" s="16">
        <v>0</v>
      </c>
      <c r="AN294" s="16">
        <v>0</v>
      </c>
      <c r="AO294" s="16">
        <v>0</v>
      </c>
      <c r="AP294" s="16">
        <f>SUM(AL294:AN294)</f>
        <v>0</v>
      </c>
      <c r="AQ294" s="16">
        <v>1.9390000000000001</v>
      </c>
      <c r="AR294" s="16">
        <f>AP294-1.472</f>
        <v>-1.472</v>
      </c>
      <c r="AS294" s="16">
        <f>AQ294-1.472</f>
        <v>0.46700000000000008</v>
      </c>
      <c r="AT294" s="16" t="str">
        <f>VLOOKUP(K294,'[5]FECs - good data'!$C$1:$P$575,13,FALSE)</f>
        <v>CH</v>
      </c>
      <c r="AW294" s="18">
        <f>IF(AX294&gt;0,1,0)</f>
        <v>1</v>
      </c>
      <c r="AX294" s="18">
        <f>SUM(BA294,BM294,CT294)</f>
        <v>4</v>
      </c>
      <c r="AY294" s="18">
        <f>SUM(BB294,BN294,CV294)</f>
        <v>40.685224839400419</v>
      </c>
      <c r="AZ294" s="18">
        <f>IF(BA294&gt;0,1,0)</f>
        <v>1</v>
      </c>
      <c r="BA294" s="18">
        <f>SUM(BC294,BF294,BI294)</f>
        <v>1</v>
      </c>
      <c r="BB294" s="18">
        <f>SUM(BE294,BH294,BK294)</f>
        <v>2.1413276231263381</v>
      </c>
      <c r="BC294" s="18">
        <f>IF(BD294&gt;0,1,0)</f>
        <v>1</v>
      </c>
      <c r="BD294" s="18">
        <f>VLOOKUP($K294,'[5]FECs - good data'!$C$1:$Z$574,14,FALSE)</f>
        <v>1</v>
      </c>
      <c r="BE294" s="16">
        <f>BD294/AS294</f>
        <v>2.1413276231263381</v>
      </c>
      <c r="BF294" s="16">
        <f>IF(BG294&gt;0,1,0)</f>
        <v>0</v>
      </c>
      <c r="BG294" s="23">
        <f>VLOOKUP($K294,'[5]FECs - good data'!$C$1:$Z$574,15,FALSE)</f>
        <v>0</v>
      </c>
      <c r="BH294" s="16">
        <f>BG294/AS294</f>
        <v>0</v>
      </c>
      <c r="BI294" s="16">
        <f>IF(BJ294&gt;0,1,0)</f>
        <v>0</v>
      </c>
      <c r="BJ294" s="16">
        <f>VLOOKUP($K294,'[5]FECs - good data'!$C$1:$Z$574,16,FALSE)</f>
        <v>0</v>
      </c>
      <c r="BK294" s="16">
        <f>BJ294/AS294</f>
        <v>0</v>
      </c>
      <c r="BL294" s="16">
        <f>IF(BM294&gt;0,1,0)</f>
        <v>1</v>
      </c>
      <c r="BM294" s="16">
        <f>SUM(BR294,BU294,BX294,CA294,CD294,CG294,CJ294,CM294,CP294)</f>
        <v>3</v>
      </c>
      <c r="BN294" s="16">
        <f>SUM(BW294,BZ294,CC294,CF294,CI294,CL294,CO294,CR294,BT294)</f>
        <v>38.543897216274082</v>
      </c>
      <c r="BO294" s="16">
        <f>IF(BP294&gt;0,1,0)</f>
        <v>1</v>
      </c>
      <c r="BP294" s="16">
        <f>SUM(BU294,BX294,CA294,CD294,BR294)</f>
        <v>3</v>
      </c>
      <c r="BQ294" s="16">
        <f>SUM(BZ294,CC294,CF294,BT294,BW294)</f>
        <v>38.543897216274082</v>
      </c>
      <c r="BR294" s="16">
        <f>IF(BS294&gt;0,1,0)</f>
        <v>0</v>
      </c>
      <c r="BS294" s="16">
        <f>VLOOKUP($K294,'[5]FECs - good data'!$C$1:$Z$574,17,FALSE)</f>
        <v>0</v>
      </c>
      <c r="BT294" s="23">
        <f>BS294/AS294</f>
        <v>0</v>
      </c>
      <c r="BU294" s="16">
        <f>IF(BV294&gt;0,1,0)</f>
        <v>0</v>
      </c>
      <c r="BV294" s="16">
        <f>VLOOKUP($K294,'[5]FECs - good data'!$C$1:$Z$574,18,FALSE)</f>
        <v>0</v>
      </c>
      <c r="BW294" s="16">
        <f>BV294/AS294</f>
        <v>0</v>
      </c>
      <c r="BX294" s="16">
        <f>IF(BY294&gt;0,1,0)</f>
        <v>1</v>
      </c>
      <c r="BY294" s="16">
        <f>VLOOKUP($K294,'[5]FECs - good data'!$C$1:$Z$574,19,FALSE)</f>
        <v>15</v>
      </c>
      <c r="BZ294" s="16">
        <f>BY294/AS294</f>
        <v>32.119914346895072</v>
      </c>
      <c r="CA294" s="16">
        <f>IF(CB294&gt;0,1,0)</f>
        <v>1</v>
      </c>
      <c r="CB294" s="16">
        <f>VLOOKUP($K294,'[5]FECs - good data'!$C$1:$Z$574,20,FALSE)</f>
        <v>2</v>
      </c>
      <c r="CC294" s="16">
        <f>CB294/AS294</f>
        <v>4.2826552462526761</v>
      </c>
      <c r="CD294" s="23">
        <f>IF(CE294&gt;0,1,0)</f>
        <v>1</v>
      </c>
      <c r="CE294" s="16">
        <f>VLOOKUP($K294,'[5]FECs - good data'!$C$1:$Z$574,21,FALSE)</f>
        <v>1</v>
      </c>
      <c r="CF294" s="16">
        <f>CE294/AS294</f>
        <v>2.1413276231263381</v>
      </c>
      <c r="CG294" s="16">
        <f>IF(CH294&gt;0,1,0)</f>
        <v>0</v>
      </c>
      <c r="CH294" s="16">
        <f>VLOOKUP($K294,'[5]FECs - good data'!$C$1:$Z$574,22,FALSE)</f>
        <v>0</v>
      </c>
      <c r="CI294" s="16">
        <f>CH294/AS294</f>
        <v>0</v>
      </c>
      <c r="CJ294" s="16">
        <f>IF(CK294&gt;0,1,0)</f>
        <v>0</v>
      </c>
      <c r="CK294" s="16">
        <f>VLOOKUP($K294,'[5]FECs - good data'!$C$1:$Z$674,24,FALSE)</f>
        <v>0</v>
      </c>
      <c r="CL294" s="16">
        <f>CK294/AS294</f>
        <v>0</v>
      </c>
      <c r="CS294" s="16">
        <f>IF(CT294&gt;0,1,0)</f>
        <v>0</v>
      </c>
      <c r="CT294" s="16">
        <f>SUM(CW294+CZ294,DC294)</f>
        <v>0</v>
      </c>
      <c r="CV294" s="16">
        <f>SUM(CY294,DB294,DE294)</f>
        <v>0</v>
      </c>
      <c r="CW294" s="16">
        <f>IF(CX294&gt;0,1,0)</f>
        <v>0</v>
      </c>
      <c r="CX294" s="16">
        <f>VLOOKUP($K294,'[5]FECs - good data'!$C$1:$Z$574,22,FALSE)</f>
        <v>0</v>
      </c>
      <c r="CY294" s="16">
        <f>CX294/AS294</f>
        <v>0</v>
      </c>
      <c r="CZ294" s="16">
        <f>IF(DA294&gt;0,1,0)</f>
        <v>0</v>
      </c>
      <c r="DA294" s="16">
        <f>VLOOKUP($K294,'[5]FECs - good data'!$C$1:$Z$5982,23,FALSE)</f>
        <v>0</v>
      </c>
      <c r="DB294" s="16">
        <f>DA294/AS294</f>
        <v>0</v>
      </c>
      <c r="DC294" s="16">
        <f>IF(DD294&gt;0,1,0)</f>
        <v>0</v>
      </c>
      <c r="DD294" s="16">
        <f>VLOOKUP($K294,'[5]FECs - good data'!$C$1:$Z$574,23,FALSE)</f>
        <v>0</v>
      </c>
      <c r="DE294" s="16">
        <f>DD294/AS294</f>
        <v>0</v>
      </c>
      <c r="DF294" s="16" t="e">
        <f>VLOOKUP(K294,'[3]RNA Seq summary tables'!$V$3:$V$99,1,FALSE)</f>
        <v>#N/A</v>
      </c>
      <c r="DG294" s="16">
        <v>1</v>
      </c>
      <c r="DH294" s="16" t="str">
        <f>VLOOKUP(D294,'[6]workflow 3.2018'!$A$1:$S$237,2,FALSE)</f>
        <v>2017MLBS_80</v>
      </c>
    </row>
    <row r="295" spans="1:288" x14ac:dyDescent="0.2">
      <c r="B295" s="18">
        <v>2017</v>
      </c>
      <c r="C295" s="37">
        <v>42911</v>
      </c>
      <c r="D295" s="37" t="str">
        <f>CONCATENATE(J295,"-",C295)</f>
        <v>1155-42911</v>
      </c>
      <c r="E295" s="20" t="str">
        <f>CONCATENATE(T295,"-",U295,"-",C295)</f>
        <v>PO1-A7-42911</v>
      </c>
      <c r="F295" s="20" t="s">
        <v>106</v>
      </c>
      <c r="G295" s="37" t="s">
        <v>107</v>
      </c>
      <c r="H295" s="18"/>
      <c r="I295" s="16">
        <v>0</v>
      </c>
      <c r="J295" s="36">
        <v>1155</v>
      </c>
      <c r="K295" s="36">
        <v>1723</v>
      </c>
      <c r="L295" s="18">
        <v>0</v>
      </c>
      <c r="M295" s="21">
        <f>VLOOKUP($K295,'[4]blood tubes 2017'!$D$1:$L$647,8,FALSE)</f>
        <v>0</v>
      </c>
      <c r="N295" s="15">
        <v>0</v>
      </c>
      <c r="O295" s="15" t="s">
        <v>119</v>
      </c>
      <c r="P295" s="18" t="s">
        <v>119</v>
      </c>
      <c r="Q295" s="16">
        <v>0</v>
      </c>
      <c r="R295" s="18" t="s">
        <v>111</v>
      </c>
      <c r="S295" s="18"/>
      <c r="T295" s="18" t="s">
        <v>112</v>
      </c>
      <c r="U295" s="18" t="s">
        <v>120</v>
      </c>
      <c r="V295" s="18" t="s">
        <v>142</v>
      </c>
      <c r="W295" s="16">
        <f>AI295/AG295</f>
        <v>1.0326086956521738</v>
      </c>
      <c r="X295" s="18" t="s">
        <v>121</v>
      </c>
      <c r="Y295" s="18" t="s">
        <v>110</v>
      </c>
      <c r="Z295" s="18">
        <v>3</v>
      </c>
      <c r="AA295" s="18" t="s">
        <v>119</v>
      </c>
      <c r="AB295" s="18" t="s">
        <v>123</v>
      </c>
      <c r="AC295" s="18" t="s">
        <v>123</v>
      </c>
      <c r="AD295" s="18" t="s">
        <v>123</v>
      </c>
      <c r="AE295" s="18"/>
      <c r="AF295" s="18"/>
      <c r="AG295" s="18">
        <f>AH295-AI295</f>
        <v>92</v>
      </c>
      <c r="AH295" s="18">
        <v>187</v>
      </c>
      <c r="AI295" s="18">
        <v>95</v>
      </c>
      <c r="AJ295" s="18"/>
      <c r="AK295" s="18">
        <v>19.5</v>
      </c>
      <c r="AL295" s="18">
        <v>0</v>
      </c>
      <c r="AM295" s="18">
        <v>0</v>
      </c>
      <c r="AN295" s="18">
        <v>0</v>
      </c>
      <c r="AO295" s="18">
        <v>0</v>
      </c>
      <c r="AP295" s="18">
        <f>SUM(AL295:AN295)</f>
        <v>0</v>
      </c>
      <c r="AQ295" s="18">
        <v>1.88</v>
      </c>
      <c r="AR295" s="18">
        <f>AP295-1.472</f>
        <v>-1.472</v>
      </c>
      <c r="AS295" s="18">
        <f>AQ295-1.472</f>
        <v>0.40799999999999992</v>
      </c>
      <c r="AT295" s="16" t="s">
        <v>164</v>
      </c>
      <c r="AV295" s="18"/>
      <c r="AW295" s="18">
        <f>IF(AX295&gt;0,1,0)</f>
        <v>1</v>
      </c>
      <c r="AX295" s="18">
        <f>SUM(BA295,BM295,CT295)</f>
        <v>3</v>
      </c>
      <c r="AY295" s="18">
        <f>SUM(BB295,BN295,CV295)</f>
        <v>44.117647058823536</v>
      </c>
      <c r="AZ295" s="18">
        <f>IF(BA295&gt;0,1,0)</f>
        <v>1</v>
      </c>
      <c r="BA295" s="18">
        <f>SUM(BC295,BF295,BI295)</f>
        <v>3</v>
      </c>
      <c r="BB295" s="18">
        <f>SUM(BE295,BH295,BK295)</f>
        <v>44.117647058823536</v>
      </c>
      <c r="BC295" s="18">
        <f>IF(BD295&gt;0,1,0)</f>
        <v>1</v>
      </c>
      <c r="BD295" s="18">
        <v>2</v>
      </c>
      <c r="BE295" s="18">
        <f>BD295/AS295</f>
        <v>4.9019607843137267</v>
      </c>
      <c r="BF295" s="18">
        <f>IF(BG295&gt;0,1,0)</f>
        <v>1</v>
      </c>
      <c r="BG295" s="25">
        <v>12</v>
      </c>
      <c r="BH295" s="18">
        <f>BG295/AS295</f>
        <v>29.411764705882359</v>
      </c>
      <c r="BI295" s="18">
        <f>IF(BJ295&gt;0,1,0)</f>
        <v>1</v>
      </c>
      <c r="BJ295" s="18">
        <v>4</v>
      </c>
      <c r="BK295" s="18">
        <f>BJ295/AS295</f>
        <v>9.8039215686274535</v>
      </c>
      <c r="BL295" s="18">
        <f>IF(BM295&gt;0,1,0)</f>
        <v>0</v>
      </c>
      <c r="BM295" s="18">
        <f>SUM(BR295,BU295,BX295,CA295,CD295,CG295,CJ295,CM295,CP295)</f>
        <v>0</v>
      </c>
      <c r="BN295" s="18">
        <f>SUM(BW295,BZ295,CC295,CF295,CI295,CL295,CO295,CR295,BT295)</f>
        <v>0</v>
      </c>
      <c r="BO295" s="18">
        <f>IF(BP295&gt;0,1,0)</f>
        <v>0</v>
      </c>
      <c r="BP295" s="18">
        <f>SUM(BU295,BX295,CA295,CD295,BR295)</f>
        <v>0</v>
      </c>
      <c r="BQ295" s="18">
        <f>SUM(BZ295,CC295,CF295,BT295,BW295)</f>
        <v>0</v>
      </c>
      <c r="BR295" s="18">
        <f>IF(BS295&gt;0,1,0)</f>
        <v>0</v>
      </c>
      <c r="BS295" s="18">
        <v>0</v>
      </c>
      <c r="BT295" s="25">
        <f>BS295/AS295</f>
        <v>0</v>
      </c>
      <c r="BU295" s="18">
        <f>IF(BV295&gt;0,1,0)</f>
        <v>0</v>
      </c>
      <c r="BV295" s="18">
        <v>0</v>
      </c>
      <c r="BW295" s="18">
        <f>BV295/AS295</f>
        <v>0</v>
      </c>
      <c r="BX295" s="18">
        <f>IF(BY295&gt;0,1,0)</f>
        <v>0</v>
      </c>
      <c r="BY295" s="18">
        <v>0</v>
      </c>
      <c r="BZ295" s="18">
        <f>BY295/AS295</f>
        <v>0</v>
      </c>
      <c r="CA295" s="18">
        <f>IF(CB295&gt;0,1,0)</f>
        <v>0</v>
      </c>
      <c r="CB295" s="18">
        <v>0</v>
      </c>
      <c r="CC295" s="18">
        <f>CB295/AS295</f>
        <v>0</v>
      </c>
      <c r="CD295" s="25">
        <f>IF(CE295&gt;0,1,0)</f>
        <v>0</v>
      </c>
      <c r="CE295" s="18">
        <v>0</v>
      </c>
      <c r="CF295" s="18">
        <f>CE295/AS295</f>
        <v>0</v>
      </c>
      <c r="CG295" s="18">
        <f>IF(CH295&gt;0,1,0)</f>
        <v>0</v>
      </c>
      <c r="CH295" s="18">
        <v>0</v>
      </c>
      <c r="CI295" s="18">
        <f>CH295/AS295</f>
        <v>0</v>
      </c>
      <c r="CJ295" s="18">
        <v>0</v>
      </c>
      <c r="CK295" s="18">
        <v>0</v>
      </c>
      <c r="CL295" s="18">
        <v>0</v>
      </c>
      <c r="CM295" s="18"/>
      <c r="CN295" s="18"/>
      <c r="CO295" s="18"/>
      <c r="CP295" s="18"/>
      <c r="CQ295" s="18"/>
      <c r="CR295" s="18"/>
      <c r="CS295" s="18">
        <f>IF(CT295&gt;0,1,0)</f>
        <v>0</v>
      </c>
      <c r="CT295" s="18">
        <f>SUM(CW295+CZ295,DC295)</f>
        <v>0</v>
      </c>
      <c r="CU295" s="18"/>
      <c r="CV295" s="18">
        <f>SUM(CY295,DB295,DE295)</f>
        <v>0</v>
      </c>
      <c r="CW295" s="18">
        <f>IF(CX295&gt;0,1,0)</f>
        <v>0</v>
      </c>
      <c r="CX295" s="18">
        <v>0</v>
      </c>
      <c r="CY295" s="18">
        <f>CX295/AS295</f>
        <v>0</v>
      </c>
      <c r="CZ295" s="18">
        <f>IF(DA295&gt;0,1,0)</f>
        <v>0</v>
      </c>
      <c r="DA295" s="18">
        <v>0</v>
      </c>
      <c r="DB295" s="18">
        <f>DA295/AS295</f>
        <v>0</v>
      </c>
      <c r="DC295" s="18">
        <v>0</v>
      </c>
      <c r="DD295" s="18">
        <v>0</v>
      </c>
      <c r="DE295" s="18">
        <f>DD295/AS295</f>
        <v>0</v>
      </c>
      <c r="DF295" s="16" t="e">
        <f>VLOOKUP(K295,'[3]RNA Seq summary tables'!$V$3:$V$99,1,FALSE)</f>
        <v>#N/A</v>
      </c>
      <c r="DI295" s="18">
        <v>12</v>
      </c>
      <c r="DJ295" s="18"/>
      <c r="DK295" s="18">
        <v>79</v>
      </c>
      <c r="DL295" s="18"/>
      <c r="DM295" s="18">
        <v>8</v>
      </c>
      <c r="DN295" s="18"/>
      <c r="DO295" s="18">
        <v>1</v>
      </c>
      <c r="DP295" s="18"/>
      <c r="DQ295" s="18">
        <v>0</v>
      </c>
      <c r="DR295" s="18">
        <f>SUM(DI295:DQ295)</f>
        <v>100</v>
      </c>
      <c r="DS295" s="18"/>
      <c r="JO295" s="18"/>
    </row>
    <row r="296" spans="1:288" ht="16" x14ac:dyDescent="0.2">
      <c r="B296" s="16">
        <v>2017</v>
      </c>
      <c r="C296" s="20">
        <v>42947</v>
      </c>
      <c r="D296" s="20" t="str">
        <f>CONCATENATE(J296,"-",C296)</f>
        <v>1155-42947</v>
      </c>
      <c r="E296" s="37" t="str">
        <f>CONCATENATE(T296,"-",U296,"-",C296)</f>
        <v>PO1-A7-42947</v>
      </c>
      <c r="F296" s="20" t="s">
        <v>106</v>
      </c>
      <c r="G296" s="20" t="s">
        <v>107</v>
      </c>
      <c r="I296" s="16">
        <v>0</v>
      </c>
      <c r="J296" s="21">
        <v>1155</v>
      </c>
      <c r="K296" s="21">
        <v>2008</v>
      </c>
      <c r="L296" s="18">
        <v>0</v>
      </c>
      <c r="M296" s="21">
        <f>VLOOKUP($K296,'[4]blood tubes 2017'!$D$1:$L$647,8,FALSE)</f>
        <v>0</v>
      </c>
      <c r="N296" s="15">
        <v>0</v>
      </c>
      <c r="O296" s="15" t="s">
        <v>119</v>
      </c>
      <c r="P296" s="16" t="s">
        <v>119</v>
      </c>
      <c r="Q296" s="16">
        <v>0</v>
      </c>
      <c r="R296" s="16">
        <v>36</v>
      </c>
      <c r="T296" s="16" t="s">
        <v>112</v>
      </c>
      <c r="U296" s="16" t="s">
        <v>120</v>
      </c>
      <c r="V296" s="16" t="s">
        <v>142</v>
      </c>
      <c r="W296" s="16">
        <f>AI296/AG296</f>
        <v>1.1022727272727273</v>
      </c>
      <c r="X296" s="16" t="s">
        <v>121</v>
      </c>
      <c r="Y296" s="16" t="s">
        <v>110</v>
      </c>
      <c r="Z296" s="16">
        <v>3</v>
      </c>
      <c r="AA296" s="16" t="s">
        <v>119</v>
      </c>
      <c r="AB296" s="16" t="s">
        <v>123</v>
      </c>
      <c r="AC296" s="16" t="s">
        <v>123</v>
      </c>
      <c r="AD296" s="16" t="s">
        <v>123</v>
      </c>
      <c r="AG296" s="16">
        <f>AH296-AI296</f>
        <v>88</v>
      </c>
      <c r="AH296" s="16">
        <v>185</v>
      </c>
      <c r="AI296" s="16">
        <v>97</v>
      </c>
      <c r="AK296" s="16">
        <v>19.5</v>
      </c>
      <c r="AL296" s="16">
        <v>0</v>
      </c>
      <c r="AM296" s="16">
        <v>0</v>
      </c>
      <c r="AN296" s="16">
        <v>0</v>
      </c>
      <c r="AO296" s="16">
        <v>0</v>
      </c>
      <c r="AP296" s="16">
        <f>SUM(AL296:AN296)</f>
        <v>0</v>
      </c>
      <c r="AQ296" s="16">
        <v>1.8620000000000001</v>
      </c>
      <c r="AR296" s="16">
        <f>AP296-1.472</f>
        <v>-1.472</v>
      </c>
      <c r="AS296" s="16">
        <f>AQ296-1.472</f>
        <v>0.39000000000000012</v>
      </c>
      <c r="AT296" s="16" t="str">
        <f>VLOOKUP(E296,[2]Current!$A$1:$W$435,7,FALSE)</f>
        <v>LV</v>
      </c>
      <c r="AU296" s="16" t="s">
        <v>1288</v>
      </c>
      <c r="AW296" s="128">
        <f>IF(AX296&gt;0,1,0)</f>
        <v>1</v>
      </c>
      <c r="AX296" s="128">
        <f>SUM(BA296,BM296,CU296)</f>
        <v>2</v>
      </c>
      <c r="AY296" s="128">
        <f>SUM(BB296,BN296,CV296)</f>
        <v>1282.0512820512818</v>
      </c>
      <c r="AZ296" s="128">
        <f>IF(BA296&gt;0,1,0)</f>
        <v>1</v>
      </c>
      <c r="BA296" s="128">
        <f>SUM(BC296+BF296+BI296)</f>
        <v>2</v>
      </c>
      <c r="BB296" s="128">
        <f>SUM(BE296,BH296,BK296)</f>
        <v>1282.0512820512818</v>
      </c>
      <c r="BC296" s="130">
        <f>IF(BD296&gt;0,1,0)</f>
        <v>1</v>
      </c>
      <c r="BD296" s="128">
        <f>VLOOKUP($E296,[2]Current!$A:$AC,26,FALSE)</f>
        <v>16</v>
      </c>
      <c r="BE296" s="128">
        <f>BD296/$AS296</f>
        <v>41.025641025641015</v>
      </c>
      <c r="BF296" s="130">
        <f>IF(BG296&gt;0,1,0)</f>
        <v>1</v>
      </c>
      <c r="BG296" s="175">
        <f>VLOOKUP($E296,[2]Current!$A:$AC,27,FALSE)</f>
        <v>484</v>
      </c>
      <c r="BH296" s="128">
        <f>BG296/$AS296</f>
        <v>1241.0256410256407</v>
      </c>
      <c r="BI296" s="130">
        <f>IF(BJ296&gt;0,1,0)</f>
        <v>0</v>
      </c>
      <c r="BJ296" s="128">
        <f>VLOOKUP($E296,[2]Current!$A:$AC,28,FALSE)</f>
        <v>0</v>
      </c>
      <c r="BK296" s="128">
        <f>BJ296/$AS296</f>
        <v>0</v>
      </c>
      <c r="BL296" s="128">
        <f>IF(BM296&gt;0,1,0)</f>
        <v>0</v>
      </c>
      <c r="BM296" s="128">
        <f>SUM(BR296,BU296,BX296,CA296,CD296)</f>
        <v>0</v>
      </c>
      <c r="BN296" s="131">
        <f>SUM(BT296,BW296,BZ296,CC296,CF296)</f>
        <v>0</v>
      </c>
      <c r="BO296" s="128">
        <f>IF(BP296&gt;0,1,0)</f>
        <v>0</v>
      </c>
      <c r="BP296" s="128">
        <f>BM296+CJ296</f>
        <v>0</v>
      </c>
      <c r="BQ296" s="128">
        <f>BN296+CL296</f>
        <v>0</v>
      </c>
      <c r="BR296" s="130">
        <f>IF(BS296&gt;0,1,0)</f>
        <v>0</v>
      </c>
      <c r="BS296" s="128">
        <f>VLOOKUP($E296,[2]Current!$A:$AC,12,FALSE)</f>
        <v>0</v>
      </c>
      <c r="BT296" s="175">
        <f>BS296/$AS296</f>
        <v>0</v>
      </c>
      <c r="BU296" s="130">
        <f>IF(BV296&gt;0,1,0)</f>
        <v>0</v>
      </c>
      <c r="BV296" s="128">
        <f>VLOOKUP($E296,[2]Current!$A:$AC,13,FALSE)</f>
        <v>0</v>
      </c>
      <c r="BW296" s="128">
        <f>BV296/$AS296</f>
        <v>0</v>
      </c>
      <c r="BX296" s="130">
        <f>IF(BY296&gt;0,1,0)</f>
        <v>0</v>
      </c>
      <c r="BY296" s="128">
        <f>VLOOKUP($E296,[2]Current!$A:$AC,14,FALSE)</f>
        <v>0</v>
      </c>
      <c r="BZ296" s="128">
        <f>BY296/$AS296</f>
        <v>0</v>
      </c>
      <c r="CA296" s="130">
        <f>IF(CB296&gt;0,1,0)</f>
        <v>0</v>
      </c>
      <c r="CB296" s="128">
        <f>VLOOKUP($E296,[2]Current!$A:$AC,15,FALSE)</f>
        <v>0</v>
      </c>
      <c r="CC296" s="128">
        <f>CB296/$AS296</f>
        <v>0</v>
      </c>
      <c r="CD296" s="176">
        <f>IF(CE296&gt;0,1,0)</f>
        <v>0</v>
      </c>
      <c r="CE296" s="128">
        <f>VLOOKUP($E296,[2]Current!$A:$AC,16,FALSE)</f>
        <v>0</v>
      </c>
      <c r="CF296" s="128">
        <f>CE296/$AS296</f>
        <v>0</v>
      </c>
      <c r="CG296" s="18"/>
      <c r="CH296" s="18"/>
      <c r="CI296" s="18"/>
      <c r="CJ296" s="130">
        <f>IF(CK296&gt;0,1,0)</f>
        <v>0</v>
      </c>
      <c r="CK296" s="128">
        <f>VLOOKUP($E296,[2]Current!$A:$AC,18,FALSE)</f>
        <v>0</v>
      </c>
      <c r="CL296" s="128">
        <f>CK296/$AS296</f>
        <v>0</v>
      </c>
      <c r="CS296" s="130">
        <f>IF(CU296&gt;0,1,0)</f>
        <v>0</v>
      </c>
      <c r="CU296" s="128">
        <f>VLOOKUP($E296,[2]Current!$A:$AC,17,FALSE)</f>
        <v>0</v>
      </c>
      <c r="CV296" s="128">
        <f>CU296/$AS296</f>
        <v>0</v>
      </c>
      <c r="CW296" s="18"/>
      <c r="CX296" s="18"/>
      <c r="CY296" s="18"/>
      <c r="DF296" s="16" t="e">
        <f>VLOOKUP(K296,'[3]RNA Seq summary tables'!$V$3:$V$99,1,FALSE)</f>
        <v>#N/A</v>
      </c>
      <c r="DG296" s="16">
        <v>1</v>
      </c>
      <c r="DH296" s="16" t="str">
        <f>VLOOKUP(D296,'[6]workflow 3.2018'!$A$1:$S$237,2,FALSE)</f>
        <v>2017MLBS_99</v>
      </c>
      <c r="JR296" s="18"/>
      <c r="JS296" s="18"/>
      <c r="JT296" s="18"/>
      <c r="JU296" s="18"/>
      <c r="JV296" s="18"/>
      <c r="JW296" s="18"/>
      <c r="JX296" s="18"/>
      <c r="JY296" s="18"/>
      <c r="JZ296" s="18"/>
      <c r="KA296" s="18"/>
      <c r="KB296" s="18"/>
    </row>
    <row r="297" spans="1:288" s="18" customFormat="1" x14ac:dyDescent="0.2">
      <c r="B297" s="18">
        <v>2017</v>
      </c>
      <c r="C297" s="37">
        <v>42911</v>
      </c>
      <c r="D297" s="37" t="str">
        <f>CONCATENATE(J297,"-",C297)</f>
        <v>1157-42911</v>
      </c>
      <c r="E297" s="20" t="str">
        <f>CONCATENATE(T297,"-",U297,"-",C297)</f>
        <v>PO2-D4-42911</v>
      </c>
      <c r="F297" s="20" t="s">
        <v>106</v>
      </c>
      <c r="G297" s="37" t="s">
        <v>107</v>
      </c>
      <c r="I297" s="16">
        <v>0</v>
      </c>
      <c r="J297" s="36">
        <v>1157</v>
      </c>
      <c r="K297" s="36">
        <v>1740</v>
      </c>
      <c r="L297" s="18">
        <v>0</v>
      </c>
      <c r="M297" s="21">
        <f>VLOOKUP($K297,'[4]blood tubes 2017'!$D$1:$L$647,8,FALSE)</f>
        <v>0</v>
      </c>
      <c r="N297" s="15">
        <v>0</v>
      </c>
      <c r="O297" s="15" t="s">
        <v>119</v>
      </c>
      <c r="P297" s="18" t="s">
        <v>119</v>
      </c>
      <c r="Q297" s="16">
        <v>0</v>
      </c>
      <c r="R297" s="18" t="s">
        <v>111</v>
      </c>
      <c r="T297" s="18" t="s">
        <v>127</v>
      </c>
      <c r="U297" s="18" t="s">
        <v>221</v>
      </c>
      <c r="V297" s="18" t="s">
        <v>114</v>
      </c>
      <c r="W297" s="16">
        <f>AI297/AG297</f>
        <v>0.79012345679012341</v>
      </c>
      <c r="X297" s="18" t="s">
        <v>115</v>
      </c>
      <c r="Y297" s="18" t="s">
        <v>145</v>
      </c>
      <c r="Z297" s="18">
        <v>1</v>
      </c>
      <c r="AE297" s="18" t="s">
        <v>123</v>
      </c>
      <c r="AF297" s="18" t="s">
        <v>123</v>
      </c>
      <c r="AG297" s="18">
        <f>AH297-AI297</f>
        <v>81</v>
      </c>
      <c r="AH297" s="18">
        <v>145</v>
      </c>
      <c r="AI297" s="18">
        <v>64</v>
      </c>
      <c r="AK297" s="18">
        <v>13.5</v>
      </c>
      <c r="AL297" s="18">
        <v>1</v>
      </c>
      <c r="AM297" s="18">
        <v>0</v>
      </c>
      <c r="AN297" s="18">
        <v>0</v>
      </c>
      <c r="AO297" s="18">
        <v>1</v>
      </c>
      <c r="AP297" s="18">
        <f>SUM(AL297:AN297)</f>
        <v>1</v>
      </c>
      <c r="AQ297" s="18">
        <v>1.6439999999999999</v>
      </c>
      <c r="AR297" s="18">
        <f>AP297-1.472</f>
        <v>-0.47199999999999998</v>
      </c>
      <c r="AS297" s="18">
        <f>AQ297-1.472</f>
        <v>0.17199999999999993</v>
      </c>
      <c r="AT297" s="18" t="s">
        <v>245</v>
      </c>
      <c r="AW297" s="40"/>
      <c r="AX297" s="40"/>
      <c r="AY297" s="40"/>
      <c r="AZ297" s="40"/>
      <c r="BA297" s="40"/>
      <c r="BB297" s="40"/>
      <c r="BC297" s="40"/>
      <c r="BD297" s="40"/>
      <c r="BE297" s="40"/>
      <c r="BF297" s="40"/>
      <c r="BG297" s="75"/>
      <c r="BH297" s="40"/>
      <c r="BI297" s="40"/>
      <c r="BJ297" s="40"/>
      <c r="BK297" s="40"/>
      <c r="BL297" s="40"/>
      <c r="BM297" s="40"/>
      <c r="BN297" s="40"/>
      <c r="BO297" s="40"/>
      <c r="BP297" s="40"/>
      <c r="BQ297" s="40"/>
      <c r="BR297" s="40"/>
      <c r="BS297" s="40"/>
      <c r="BT297" s="75"/>
      <c r="BU297" s="40"/>
      <c r="BV297" s="40"/>
      <c r="BW297" s="40"/>
      <c r="BX297" s="40"/>
      <c r="BY297" s="40"/>
      <c r="BZ297" s="40"/>
      <c r="CA297" s="40"/>
      <c r="CB297" s="40"/>
      <c r="CC297" s="40"/>
      <c r="CD297" s="75"/>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16" t="e">
        <f>VLOOKUP(K297,'[3]RNA Seq summary tables'!$V$3:$V$99,1,FALSE)</f>
        <v>#N/A</v>
      </c>
      <c r="DG297" s="16"/>
      <c r="DH297" s="16"/>
      <c r="DI297" s="40"/>
      <c r="DJ297" s="41"/>
      <c r="DK297" s="41">
        <v>36</v>
      </c>
      <c r="DL297" s="41"/>
      <c r="DM297" s="41">
        <v>11</v>
      </c>
      <c r="DN297" s="41"/>
      <c r="DO297" s="41">
        <v>0</v>
      </c>
      <c r="DP297" s="41"/>
      <c r="DQ297" s="41">
        <v>0</v>
      </c>
      <c r="DR297" s="41">
        <f>SUM(DI297:DQ297)</f>
        <v>47</v>
      </c>
      <c r="DS297" s="41"/>
      <c r="JP297" s="16"/>
      <c r="JQ297" s="16"/>
      <c r="JR297" s="16"/>
      <c r="JS297" s="16"/>
      <c r="JT297" s="16"/>
      <c r="JU297" s="16"/>
      <c r="JV297" s="16"/>
      <c r="JW297" s="16"/>
      <c r="JX297" s="16"/>
      <c r="JY297" s="16"/>
      <c r="JZ297" s="16"/>
      <c r="KA297" s="16"/>
      <c r="KB297" s="16"/>
    </row>
    <row r="298" spans="1:288" s="27" customFormat="1" x14ac:dyDescent="0.2">
      <c r="A298" s="18"/>
      <c r="B298" s="16">
        <v>2017</v>
      </c>
      <c r="C298" s="43">
        <v>42912</v>
      </c>
      <c r="D298" s="43" t="str">
        <f>CONCATENATE(J298,"-",C298)</f>
        <v>1159-42912</v>
      </c>
      <c r="E298" s="20" t="str">
        <f>CONCATENATE(T298,"-",U298,"-",C298)</f>
        <v>PO1-B1-42912</v>
      </c>
      <c r="F298" s="20" t="s">
        <v>106</v>
      </c>
      <c r="G298" s="43" t="s">
        <v>107</v>
      </c>
      <c r="H298" s="23"/>
      <c r="I298" s="16">
        <v>0</v>
      </c>
      <c r="J298" s="15">
        <v>1159</v>
      </c>
      <c r="K298" s="15">
        <v>1746</v>
      </c>
      <c r="L298" s="16">
        <v>1</v>
      </c>
      <c r="M298" s="21">
        <f>VLOOKUP($K298,'[4]blood tubes 2017'!$D$1:$L$647,8,FALSE)</f>
        <v>0</v>
      </c>
      <c r="N298" s="15">
        <v>0</v>
      </c>
      <c r="O298" s="15" t="s">
        <v>119</v>
      </c>
      <c r="P298" s="23" t="s">
        <v>119</v>
      </c>
      <c r="Q298" s="16">
        <v>0</v>
      </c>
      <c r="R298" s="23" t="s">
        <v>111</v>
      </c>
      <c r="S298" s="23"/>
      <c r="T298" s="23" t="s">
        <v>112</v>
      </c>
      <c r="U298" s="23" t="s">
        <v>113</v>
      </c>
      <c r="V298" s="23" t="s">
        <v>114</v>
      </c>
      <c r="W298" s="16">
        <f>AI298/AG298</f>
        <v>0.88172043010752688</v>
      </c>
      <c r="X298" s="23" t="s">
        <v>115</v>
      </c>
      <c r="Y298" s="23" t="s">
        <v>110</v>
      </c>
      <c r="Z298" s="23">
        <v>3</v>
      </c>
      <c r="AA298" s="23"/>
      <c r="AB298" s="23"/>
      <c r="AC298" s="23"/>
      <c r="AD298" s="23"/>
      <c r="AE298" s="23" t="s">
        <v>116</v>
      </c>
      <c r="AF298" s="23" t="s">
        <v>116</v>
      </c>
      <c r="AG298" s="23">
        <f>AH298-AI298</f>
        <v>93</v>
      </c>
      <c r="AH298" s="23">
        <v>175</v>
      </c>
      <c r="AI298" s="23">
        <v>82</v>
      </c>
      <c r="AJ298" s="23"/>
      <c r="AK298" s="23">
        <v>18</v>
      </c>
      <c r="AL298" s="23">
        <v>0</v>
      </c>
      <c r="AM298" s="23">
        <v>0</v>
      </c>
      <c r="AN298" s="23">
        <v>0</v>
      </c>
      <c r="AO298" s="23">
        <v>0</v>
      </c>
      <c r="AP298" s="23">
        <f>SUM(AL298:AN298)</f>
        <v>0</v>
      </c>
      <c r="AQ298" s="23">
        <v>1.673</v>
      </c>
      <c r="AR298" s="23">
        <f>AP298-1.472</f>
        <v>-1.472</v>
      </c>
      <c r="AS298" s="23">
        <f>AQ298-1.472</f>
        <v>0.20100000000000007</v>
      </c>
      <c r="AT298" s="23" t="s">
        <v>234</v>
      </c>
      <c r="AU298" s="23"/>
      <c r="AV298" s="23">
        <v>1</v>
      </c>
      <c r="AW298" s="23">
        <f>IF(AX298&gt;0,1,0)</f>
        <v>0</v>
      </c>
      <c r="AX298" s="23">
        <f>SUM(BA298,BM298,CT298)</f>
        <v>0</v>
      </c>
      <c r="AY298" s="25">
        <f>SUM(BB298,BN298,CV298)</f>
        <v>0</v>
      </c>
      <c r="AZ298" s="16">
        <f>IF(BA298&gt;0,1,0)</f>
        <v>0</v>
      </c>
      <c r="BA298" s="23">
        <f>SUM(BC298,BF298,BI298)</f>
        <v>0</v>
      </c>
      <c r="BB298" s="23">
        <f>SUM(BE298,BH298,BK298)</f>
        <v>0</v>
      </c>
      <c r="BC298" s="22">
        <v>0</v>
      </c>
      <c r="BD298" s="50">
        <v>0</v>
      </c>
      <c r="BE298" s="23">
        <f>BD298/AS298</f>
        <v>0</v>
      </c>
      <c r="BF298" s="22">
        <v>0</v>
      </c>
      <c r="BG298" s="50">
        <v>0</v>
      </c>
      <c r="BH298" s="23">
        <f>BG298/AS298</f>
        <v>0</v>
      </c>
      <c r="BI298" s="22">
        <v>0</v>
      </c>
      <c r="BJ298" s="50">
        <v>0</v>
      </c>
      <c r="BK298" s="23">
        <f>BJ298/AS298</f>
        <v>0</v>
      </c>
      <c r="BL298" s="16">
        <f>IF(BM298&gt;0,1,0)</f>
        <v>0</v>
      </c>
      <c r="BM298" s="16">
        <f>SUM(BR298,BU298,BX298,CA298,CD298,CG298,CJ298,CM298,CP298)</f>
        <v>0</v>
      </c>
      <c r="BN298" s="16">
        <f>SUM(BW298,BZ298,CC298,CF298,CI298,CL298,CO298,CR298,BT298)</f>
        <v>0</v>
      </c>
      <c r="BO298" s="16">
        <f>IF(BP298&gt;0,1,0)</f>
        <v>0</v>
      </c>
      <c r="BP298" s="16">
        <f>SUM(BU298,BX298,CA298,CD298,BR298)</f>
        <v>0</v>
      </c>
      <c r="BQ298" s="16">
        <f>SUM(BZ298,CC298,CF298,BT298,BW298)</f>
        <v>0</v>
      </c>
      <c r="BR298" s="22">
        <v>0</v>
      </c>
      <c r="BS298" s="50">
        <v>0</v>
      </c>
      <c r="BT298" s="23">
        <f>BS298/AS298</f>
        <v>0</v>
      </c>
      <c r="BU298" s="22">
        <v>0</v>
      </c>
      <c r="BV298" s="50">
        <v>0</v>
      </c>
      <c r="BW298" s="16">
        <f>BV298/AS298</f>
        <v>0</v>
      </c>
      <c r="BX298" s="22">
        <v>0</v>
      </c>
      <c r="BY298" s="50">
        <v>0</v>
      </c>
      <c r="BZ298" s="16">
        <f>BY298/AS298</f>
        <v>0</v>
      </c>
      <c r="CA298" s="22">
        <v>0</v>
      </c>
      <c r="CB298" s="50">
        <v>0</v>
      </c>
      <c r="CC298" s="23">
        <f>CB298/AS298</f>
        <v>0</v>
      </c>
      <c r="CD298" s="50">
        <v>0</v>
      </c>
      <c r="CE298" s="50">
        <v>0</v>
      </c>
      <c r="CF298" s="23">
        <f>CE298/AS298</f>
        <v>0</v>
      </c>
      <c r="CG298" s="50">
        <v>0</v>
      </c>
      <c r="CH298" s="50">
        <v>0</v>
      </c>
      <c r="CI298" s="23">
        <f>CH298/AS298</f>
        <v>0</v>
      </c>
      <c r="CJ298" s="23"/>
      <c r="CK298" s="23"/>
      <c r="CL298" s="23"/>
      <c r="CM298" s="50">
        <v>0</v>
      </c>
      <c r="CN298" s="50">
        <v>0</v>
      </c>
      <c r="CO298" s="23">
        <f>CN298/AS298</f>
        <v>0</v>
      </c>
      <c r="CP298" s="50">
        <v>0</v>
      </c>
      <c r="CQ298" s="50">
        <v>0</v>
      </c>
      <c r="CR298" s="23">
        <f>CQ298/AS298</f>
        <v>0</v>
      </c>
      <c r="CS298" s="16">
        <f>IF(CT298&gt;0,1,0)</f>
        <v>0</v>
      </c>
      <c r="CT298" s="16">
        <f>SUM(CW298,CZ298,DC298)</f>
        <v>0</v>
      </c>
      <c r="CU298" s="16"/>
      <c r="CV298" s="23">
        <f>SUM(CY298,DB298,DE298)</f>
        <v>0</v>
      </c>
      <c r="CW298" s="22">
        <v>0</v>
      </c>
      <c r="CX298" s="50">
        <v>0</v>
      </c>
      <c r="CY298" s="23">
        <f>CX298/AS298</f>
        <v>0</v>
      </c>
      <c r="CZ298" s="50">
        <v>0</v>
      </c>
      <c r="DA298" s="50">
        <v>0</v>
      </c>
      <c r="DB298" s="23">
        <f>DA298/AS298</f>
        <v>0</v>
      </c>
      <c r="DC298" s="50">
        <v>0</v>
      </c>
      <c r="DD298" s="50">
        <v>0</v>
      </c>
      <c r="DE298" s="23">
        <f>DD298/AS298</f>
        <v>0</v>
      </c>
      <c r="DF298" s="16">
        <f>VLOOKUP(K298,'[3]RNA Seq summary tables'!$V$3:$V$99,1,FALSE)</f>
        <v>1746</v>
      </c>
      <c r="DG298" s="16"/>
      <c r="DH298" s="16"/>
      <c r="DI298" s="23">
        <v>52</v>
      </c>
      <c r="DJ298" s="23"/>
      <c r="DK298" s="23">
        <v>43</v>
      </c>
      <c r="DL298" s="23"/>
      <c r="DM298" s="23">
        <v>5</v>
      </c>
      <c r="DN298" s="23"/>
      <c r="DO298" s="23">
        <v>0</v>
      </c>
      <c r="DP298" s="23"/>
      <c r="DQ298" s="23">
        <v>0</v>
      </c>
      <c r="DR298" s="23">
        <f>SUM(DI298:DQ298)</f>
        <v>100</v>
      </c>
      <c r="DS298" s="23"/>
      <c r="DT298" s="25"/>
      <c r="DU298" s="25"/>
      <c r="DV298" s="25"/>
      <c r="DW298" s="25"/>
      <c r="DX298" s="25"/>
      <c r="DY298" s="25"/>
      <c r="DZ298" s="25"/>
      <c r="EA298" s="25"/>
      <c r="EB298" s="25"/>
      <c r="EC298" s="25"/>
      <c r="ED298" s="25"/>
      <c r="EE298" s="25"/>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c r="FN298" s="18"/>
      <c r="FO298" s="18"/>
      <c r="FP298" s="18"/>
      <c r="FQ298" s="18"/>
      <c r="FR298" s="18"/>
      <c r="FS298" s="18"/>
      <c r="FT298" s="18"/>
      <c r="FU298" s="18"/>
      <c r="FV298" s="18"/>
      <c r="FW298" s="18"/>
      <c r="FX298" s="18"/>
      <c r="FY298" s="18"/>
      <c r="FZ298" s="18"/>
      <c r="GA298" s="18"/>
      <c r="GB298" s="18"/>
      <c r="GC298" s="18"/>
      <c r="GD298" s="18"/>
      <c r="GE298" s="18"/>
      <c r="GF298" s="18"/>
      <c r="GG298" s="18"/>
      <c r="GH298" s="18"/>
      <c r="GI298" s="18"/>
      <c r="GJ298" s="18"/>
      <c r="GK298" s="18"/>
      <c r="GL298" s="18"/>
      <c r="GM298" s="18"/>
      <c r="GN298" s="18"/>
      <c r="GO298" s="18"/>
      <c r="GP298" s="18"/>
      <c r="GQ298" s="18"/>
      <c r="GR298" s="18"/>
      <c r="GS298" s="18"/>
      <c r="GT298" s="18"/>
      <c r="GU298" s="18"/>
      <c r="GV298" s="18"/>
      <c r="GW298" s="18"/>
      <c r="GX298" s="18"/>
      <c r="GY298" s="18"/>
      <c r="GZ298" s="18"/>
      <c r="HA298" s="18"/>
      <c r="HB298" s="18"/>
      <c r="HC298" s="18"/>
      <c r="HD298" s="18"/>
      <c r="HE298" s="18"/>
      <c r="HF298" s="18"/>
      <c r="HG298" s="18"/>
      <c r="HH298" s="18"/>
      <c r="HI298" s="18"/>
      <c r="HJ298" s="18"/>
      <c r="HK298" s="18"/>
      <c r="HL298" s="18"/>
      <c r="HM298" s="18"/>
      <c r="HN298" s="18"/>
      <c r="HO298" s="18"/>
      <c r="HP298" s="18"/>
      <c r="HQ298" s="18"/>
      <c r="HR298" s="18"/>
      <c r="HS298" s="18"/>
      <c r="HT298" s="18"/>
      <c r="HU298" s="18"/>
      <c r="HV298" s="18"/>
      <c r="HW298" s="18"/>
      <c r="HX298" s="18"/>
      <c r="HY298" s="18"/>
      <c r="HZ298" s="18"/>
      <c r="IA298" s="18"/>
      <c r="IB298" s="18"/>
      <c r="IC298" s="18"/>
      <c r="ID298" s="18"/>
      <c r="IE298" s="18"/>
      <c r="IF298" s="18"/>
      <c r="IG298" s="18"/>
      <c r="IH298" s="18"/>
      <c r="II298" s="18"/>
      <c r="IJ298" s="18"/>
      <c r="IK298" s="18"/>
      <c r="IL298" s="18"/>
      <c r="IM298" s="18"/>
      <c r="IN298" s="18"/>
      <c r="IO298" s="18"/>
      <c r="IP298" s="18"/>
      <c r="IQ298" s="18"/>
      <c r="IR298" s="18"/>
      <c r="IS298" s="18"/>
      <c r="IT298" s="18"/>
      <c r="IU298" s="18"/>
      <c r="IV298" s="18"/>
      <c r="IW298" s="18"/>
      <c r="IX298" s="18"/>
      <c r="IY298" s="18"/>
      <c r="IZ298" s="18"/>
      <c r="JA298" s="18"/>
      <c r="JB298" s="18"/>
      <c r="JC298" s="18"/>
      <c r="JD298" s="18"/>
      <c r="JE298" s="18"/>
      <c r="JF298" s="18"/>
      <c r="JG298" s="18"/>
      <c r="JH298" s="18"/>
      <c r="JI298" s="18"/>
      <c r="JJ298" s="18"/>
      <c r="JK298" s="18"/>
      <c r="JL298" s="18"/>
      <c r="JM298" s="18"/>
      <c r="JN298" s="18"/>
      <c r="JO298" s="16"/>
      <c r="JP298" s="16"/>
      <c r="JQ298" s="16"/>
      <c r="JR298" s="16"/>
      <c r="JS298" s="16"/>
      <c r="JT298" s="16"/>
      <c r="JU298" s="16"/>
      <c r="JV298" s="16"/>
      <c r="JW298" s="16"/>
      <c r="JX298" s="16"/>
      <c r="JY298" s="16"/>
      <c r="JZ298" s="16"/>
      <c r="KA298" s="16"/>
      <c r="KB298" s="16"/>
    </row>
    <row r="299" spans="1:288" ht="16" x14ac:dyDescent="0.2">
      <c r="B299" s="16">
        <v>2017</v>
      </c>
      <c r="C299" s="20">
        <v>42929</v>
      </c>
      <c r="D299" s="20" t="str">
        <f>CONCATENATE(J299,"-",C299)</f>
        <v>1159-42929</v>
      </c>
      <c r="E299" s="37" t="str">
        <f>CONCATENATE(T299,"-",U299,"-",C299)</f>
        <v>PO1-A2-42929</v>
      </c>
      <c r="F299" s="20" t="s">
        <v>106</v>
      </c>
      <c r="G299" s="20" t="s">
        <v>107</v>
      </c>
      <c r="I299" s="16">
        <v>0</v>
      </c>
      <c r="J299" s="21">
        <v>1159</v>
      </c>
      <c r="K299" s="21">
        <v>1883</v>
      </c>
      <c r="L299" s="18">
        <v>0</v>
      </c>
      <c r="M299" s="21">
        <f>VLOOKUP($K299,'[4]blood tubes 2017'!$D$1:$L$647,8,FALSE)</f>
        <v>0</v>
      </c>
      <c r="N299" s="15">
        <v>0</v>
      </c>
      <c r="O299" s="15" t="s">
        <v>119</v>
      </c>
      <c r="P299" s="16" t="s">
        <v>119</v>
      </c>
      <c r="Q299" s="16">
        <v>0</v>
      </c>
      <c r="R299" s="16">
        <v>17</v>
      </c>
      <c r="T299" s="16" t="s">
        <v>112</v>
      </c>
      <c r="U299" s="16" t="s">
        <v>171</v>
      </c>
      <c r="V299" s="16" t="s">
        <v>114</v>
      </c>
      <c r="W299" s="16">
        <f>AI299/AG299</f>
        <v>0.90109890109890112</v>
      </c>
      <c r="X299" s="16" t="s">
        <v>115</v>
      </c>
      <c r="Y299" s="16" t="s">
        <v>110</v>
      </c>
      <c r="Z299" s="16">
        <v>3</v>
      </c>
      <c r="AE299" s="16" t="s">
        <v>116</v>
      </c>
      <c r="AF299" s="16" t="s">
        <v>116</v>
      </c>
      <c r="AG299" s="16">
        <f>AH299-AI299</f>
        <v>91</v>
      </c>
      <c r="AH299" s="16">
        <v>173</v>
      </c>
      <c r="AI299" s="16">
        <v>82</v>
      </c>
      <c r="AK299" s="16">
        <v>22</v>
      </c>
      <c r="AL299" s="16">
        <v>0</v>
      </c>
      <c r="AM299" s="16">
        <v>0</v>
      </c>
      <c r="AN299" s="16">
        <v>0</v>
      </c>
      <c r="AO299" s="16">
        <v>0</v>
      </c>
      <c r="AP299" s="16">
        <f>SUM(AL299:AN299)</f>
        <v>0</v>
      </c>
      <c r="AQ299" s="16">
        <v>1.7869999999999999</v>
      </c>
      <c r="AR299" s="16">
        <f>AP299-1.472</f>
        <v>-1.472</v>
      </c>
      <c r="AS299" s="16">
        <f>AQ299-1.472</f>
        <v>0.31499999999999995</v>
      </c>
      <c r="AT299" s="16" t="str">
        <f>VLOOKUP(E299,[2]Current!$A$1:$W$435,7,FALSE)</f>
        <v>TE</v>
      </c>
      <c r="AU299" s="16" t="s">
        <v>1288</v>
      </c>
      <c r="AV299" s="23">
        <v>1</v>
      </c>
      <c r="AW299" s="128">
        <f>IF(AX299&gt;0,1,0)</f>
        <v>0</v>
      </c>
      <c r="AX299" s="128">
        <f>SUM(BA299,BM299,CU299)</f>
        <v>0</v>
      </c>
      <c r="AY299" s="128">
        <f>SUM(BB299,BN299,CV299)</f>
        <v>0</v>
      </c>
      <c r="AZ299" s="128">
        <f>IF(BA299&gt;0,1,0)</f>
        <v>0</v>
      </c>
      <c r="BA299" s="128">
        <f>SUM(BC299+BF299+BI299)</f>
        <v>0</v>
      </c>
      <c r="BB299" s="128">
        <f>SUM(BE299,BH299,BK299)</f>
        <v>0</v>
      </c>
      <c r="BC299" s="130">
        <f>IF(BD299&gt;0,1,0)</f>
        <v>0</v>
      </c>
      <c r="BD299" s="128">
        <f>VLOOKUP($E299,[2]Current!$A:$AC,26,FALSE)</f>
        <v>0</v>
      </c>
      <c r="BE299" s="128">
        <f>BD299/$AS299</f>
        <v>0</v>
      </c>
      <c r="BF299" s="130">
        <f>IF(BG299&gt;0,1,0)</f>
        <v>0</v>
      </c>
      <c r="BG299" s="175">
        <f>VLOOKUP($E299,[2]Current!$A:$AC,27,FALSE)</f>
        <v>0</v>
      </c>
      <c r="BH299" s="128">
        <f>BG299/$AS299</f>
        <v>0</v>
      </c>
      <c r="BI299" s="130">
        <f>IF(BJ299&gt;0,1,0)</f>
        <v>0</v>
      </c>
      <c r="BJ299" s="128">
        <f>VLOOKUP($E299,[2]Current!$A:$AC,28,FALSE)</f>
        <v>0</v>
      </c>
      <c r="BK299" s="128">
        <f>BJ299/$AS299</f>
        <v>0</v>
      </c>
      <c r="BL299" s="128">
        <f>IF(BM299&gt;0,1,0)</f>
        <v>0</v>
      </c>
      <c r="BM299" s="128">
        <f>SUM(BR299,BU299,BX299,CA299,CD299)</f>
        <v>0</v>
      </c>
      <c r="BN299" s="131">
        <f>SUM(BT299,BW299,BZ299,CC299,CF299)</f>
        <v>0</v>
      </c>
      <c r="BO299" s="128">
        <f>IF(BP299&gt;0,1,0)</f>
        <v>0</v>
      </c>
      <c r="BP299" s="128">
        <f>BM299+CJ299</f>
        <v>0</v>
      </c>
      <c r="BQ299" s="128">
        <f>BN299+CL299</f>
        <v>0</v>
      </c>
      <c r="BR299" s="130">
        <f>IF(BS299&gt;0,1,0)</f>
        <v>0</v>
      </c>
      <c r="BS299" s="128">
        <f>VLOOKUP($E299,[2]Current!$A:$AC,12,FALSE)</f>
        <v>0</v>
      </c>
      <c r="BT299" s="175">
        <f>BS299/$AS299</f>
        <v>0</v>
      </c>
      <c r="BU299" s="130">
        <f>IF(BV299&gt;0,1,0)</f>
        <v>0</v>
      </c>
      <c r="BV299" s="128">
        <f>VLOOKUP($E299,[2]Current!$A:$AC,13,FALSE)</f>
        <v>0</v>
      </c>
      <c r="BW299" s="128">
        <f>BV299/$AS299</f>
        <v>0</v>
      </c>
      <c r="BX299" s="130">
        <f>IF(BY299&gt;0,1,0)</f>
        <v>0</v>
      </c>
      <c r="BY299" s="128">
        <f>VLOOKUP($E299,[2]Current!$A:$AC,14,FALSE)</f>
        <v>0</v>
      </c>
      <c r="BZ299" s="128">
        <f>BY299/$AS299</f>
        <v>0</v>
      </c>
      <c r="CA299" s="130">
        <f>IF(CB299&gt;0,1,0)</f>
        <v>0</v>
      </c>
      <c r="CB299" s="128">
        <f>VLOOKUP($E299,[2]Current!$A:$AC,15,FALSE)</f>
        <v>0</v>
      </c>
      <c r="CC299" s="128">
        <f>CB299/$AS299</f>
        <v>0</v>
      </c>
      <c r="CD299" s="176">
        <f>IF(CE299&gt;0,1,0)</f>
        <v>0</v>
      </c>
      <c r="CE299" s="128">
        <f>VLOOKUP($E299,[2]Current!$A:$AC,16,FALSE)</f>
        <v>0</v>
      </c>
      <c r="CF299" s="128">
        <f>CE299/$AS299</f>
        <v>0</v>
      </c>
      <c r="CG299" s="18"/>
      <c r="CH299" s="18"/>
      <c r="CI299" s="18"/>
      <c r="CJ299" s="130">
        <f>IF(CK299&gt;0,1,0)</f>
        <v>0</v>
      </c>
      <c r="CK299" s="128">
        <f>VLOOKUP($E299,[2]Current!$A:$AC,18,FALSE)</f>
        <v>0</v>
      </c>
      <c r="CL299" s="128">
        <f>CK299/$AS299</f>
        <v>0</v>
      </c>
      <c r="CS299" s="130">
        <f>IF(CU299&gt;0,1,0)</f>
        <v>0</v>
      </c>
      <c r="CU299" s="128">
        <f>VLOOKUP($E299,[2]Current!$A:$AC,17,FALSE)</f>
        <v>0</v>
      </c>
      <c r="CV299" s="128">
        <f>CU299/$AS299</f>
        <v>0</v>
      </c>
      <c r="CW299" s="18"/>
      <c r="CX299" s="18"/>
      <c r="CY299" s="18"/>
      <c r="DF299" s="16" t="e">
        <f>VLOOKUP(K299,'[3]RNA Seq summary tables'!$V$3:$V$99,1,FALSE)</f>
        <v>#N/A</v>
      </c>
      <c r="JR299" s="26"/>
      <c r="JS299" s="26"/>
      <c r="JT299" s="26"/>
      <c r="JU299" s="26"/>
      <c r="JV299" s="26"/>
      <c r="JW299" s="26"/>
      <c r="JX299" s="26"/>
      <c r="JY299" s="26"/>
      <c r="JZ299" s="26"/>
      <c r="KA299" s="26"/>
      <c r="KB299" s="26"/>
    </row>
    <row r="300" spans="1:288" x14ac:dyDescent="0.2">
      <c r="B300" s="16">
        <v>2017</v>
      </c>
      <c r="C300" s="20">
        <v>42975</v>
      </c>
      <c r="D300" s="20" t="str">
        <f>CONCATENATE(J300,"-",C300)</f>
        <v>1159-42975</v>
      </c>
      <c r="E300" s="20" t="str">
        <f>CONCATENATE(T300,"-",U300,"-",C300)</f>
        <v>PO1-B2-42975</v>
      </c>
      <c r="F300" s="37" t="s">
        <v>224</v>
      </c>
      <c r="G300" s="20" t="s">
        <v>107</v>
      </c>
      <c r="I300" s="16">
        <v>0</v>
      </c>
      <c r="J300" s="21">
        <v>1159</v>
      </c>
      <c r="K300" s="21">
        <v>2270</v>
      </c>
      <c r="L300" s="16">
        <v>1</v>
      </c>
      <c r="M300" s="21">
        <f>VLOOKUP($K300,'[4]blood tubes 2017'!$D$1:$L$947,8,FALSE)</f>
        <v>0</v>
      </c>
      <c r="N300" s="15">
        <v>0</v>
      </c>
      <c r="O300" s="15" t="s">
        <v>119</v>
      </c>
      <c r="P300" s="16" t="s">
        <v>119</v>
      </c>
      <c r="Q300" s="16">
        <v>0</v>
      </c>
      <c r="R300" s="16">
        <v>46</v>
      </c>
      <c r="T300" s="16" t="s">
        <v>112</v>
      </c>
      <c r="U300" s="16" t="s">
        <v>130</v>
      </c>
      <c r="V300" s="16" t="s">
        <v>114</v>
      </c>
      <c r="W300" s="16">
        <f>AI300/AG300</f>
        <v>0.88541666666666663</v>
      </c>
      <c r="X300" s="16" t="s">
        <v>115</v>
      </c>
      <c r="Y300" s="16" t="s">
        <v>110</v>
      </c>
      <c r="Z300" s="16">
        <v>3</v>
      </c>
      <c r="AE300" s="16" t="s">
        <v>123</v>
      </c>
      <c r="AF300" s="16" t="s">
        <v>123</v>
      </c>
      <c r="AG300" s="16">
        <f>AH300-AI300</f>
        <v>96</v>
      </c>
      <c r="AH300" s="16">
        <v>181</v>
      </c>
      <c r="AI300" s="16">
        <v>85</v>
      </c>
      <c r="AK300" s="16">
        <v>23.5</v>
      </c>
      <c r="AL300" s="16">
        <v>1</v>
      </c>
      <c r="AM300" s="16">
        <v>0</v>
      </c>
      <c r="AN300" s="16">
        <v>0</v>
      </c>
      <c r="AO300" s="16">
        <v>1</v>
      </c>
      <c r="AP300" s="16">
        <f>SUM(AL300:AN300)</f>
        <v>1</v>
      </c>
      <c r="AQ300" s="16">
        <v>1.6950000000000001</v>
      </c>
      <c r="AR300" s="16">
        <f>AP300-1.472</f>
        <v>-0.47199999999999998</v>
      </c>
      <c r="AS300" s="16">
        <f>AQ300-1.472</f>
        <v>0.22300000000000009</v>
      </c>
      <c r="AT300" s="16" t="str">
        <f>VLOOKUP(K300,'[5]FECs - good data'!$C$1:$P$575,13,FALSE)</f>
        <v>SB</v>
      </c>
      <c r="AW300" s="18">
        <f>IF(AX300&gt;0,1,0)</f>
        <v>1</v>
      </c>
      <c r="AX300" s="18">
        <f>SUM(BA300,BM300,CT300)</f>
        <v>3</v>
      </c>
      <c r="AY300" s="18">
        <f>SUM(BB300,BN300,CV300)</f>
        <v>771.30044843049302</v>
      </c>
      <c r="AZ300" s="18">
        <f>IF(BA300&gt;0,1,0)</f>
        <v>1</v>
      </c>
      <c r="BA300" s="18">
        <f>SUM(BC300,BF300,BI300)</f>
        <v>2</v>
      </c>
      <c r="BB300" s="18">
        <f>SUM(BE300,BH300,BK300)</f>
        <v>699.5515695067262</v>
      </c>
      <c r="BC300" s="18">
        <f>IF(BD300&gt;0,1,0)</f>
        <v>1</v>
      </c>
      <c r="BD300" s="18">
        <f>VLOOKUP($K300,'[5]FECs - good data'!$C$1:$Z$574,14,FALSE)</f>
        <v>35</v>
      </c>
      <c r="BE300" s="16">
        <f>BD300/AS300</f>
        <v>156.95067264573984</v>
      </c>
      <c r="BF300" s="16">
        <f>IF(BG300&gt;0,1,0)</f>
        <v>1</v>
      </c>
      <c r="BG300" s="23">
        <f>VLOOKUP($K300,'[5]FECs - good data'!$C$1:$Z$574,15,FALSE)</f>
        <v>121</v>
      </c>
      <c r="BH300" s="16">
        <f>BG300/AS300</f>
        <v>542.60089686098638</v>
      </c>
      <c r="BI300" s="16">
        <f>IF(BJ300&gt;0,1,0)</f>
        <v>0</v>
      </c>
      <c r="BJ300" s="16">
        <f>VLOOKUP($K300,'[5]FECs - good data'!$C$1:$Z$574,16,FALSE)</f>
        <v>0</v>
      </c>
      <c r="BK300" s="16">
        <f>BJ300/AS300</f>
        <v>0</v>
      </c>
      <c r="BL300" s="16">
        <f>IF(BM300&gt;0,1,0)</f>
        <v>1</v>
      </c>
      <c r="BM300" s="16">
        <f>SUM(BR300,BU300,BX300,CA300,CD300,CG300,CJ300,CM300,CP300)</f>
        <v>1</v>
      </c>
      <c r="BN300" s="16">
        <f>SUM(BW300,BZ300,CC300,CF300,CI300,CL300,CO300,CR300,BT300)</f>
        <v>71.748878923766782</v>
      </c>
      <c r="BO300" s="16">
        <f>IF(BP300&gt;0,1,0)</f>
        <v>0</v>
      </c>
      <c r="BP300" s="16">
        <f>SUM(BU300,BX300,CA300,CD300,BR300)</f>
        <v>0</v>
      </c>
      <c r="BQ300" s="16">
        <f>SUM(BZ300,CC300,CF300,BT300,BW300)</f>
        <v>0</v>
      </c>
      <c r="BR300" s="16">
        <f>IF(BS300&gt;0,1,0)</f>
        <v>0</v>
      </c>
      <c r="BS300" s="16">
        <f>VLOOKUP($K300,'[5]FECs - good data'!$C$1:$Z$574,17,FALSE)</f>
        <v>0</v>
      </c>
      <c r="BT300" s="23">
        <f>BS300/AS300</f>
        <v>0</v>
      </c>
      <c r="BU300" s="16">
        <f>IF(BV300&gt;0,1,0)</f>
        <v>0</v>
      </c>
      <c r="BV300" s="16">
        <f>VLOOKUP($K300,'[5]FECs - good data'!$C$1:$Z$574,18,FALSE)</f>
        <v>0</v>
      </c>
      <c r="BW300" s="16">
        <f>BV300/AS300</f>
        <v>0</v>
      </c>
      <c r="BX300" s="16">
        <f>IF(BY300&gt;0,1,0)</f>
        <v>0</v>
      </c>
      <c r="BY300" s="16">
        <f>VLOOKUP($K300,'[5]FECs - good data'!$C$1:$Z$574,19,FALSE)</f>
        <v>0</v>
      </c>
      <c r="BZ300" s="16">
        <f>BY300/AS300</f>
        <v>0</v>
      </c>
      <c r="CA300" s="16">
        <f>IF(CB300&gt;0,1,0)</f>
        <v>0</v>
      </c>
      <c r="CB300" s="16">
        <f>VLOOKUP($K300,'[5]FECs - good data'!$C$1:$Z$574,20,FALSE)</f>
        <v>0</v>
      </c>
      <c r="CC300" s="16">
        <f>CB300/AS300</f>
        <v>0</v>
      </c>
      <c r="CD300" s="23">
        <f>IF(CE300&gt;0,1,0)</f>
        <v>0</v>
      </c>
      <c r="CE300" s="16">
        <f>VLOOKUP($K300,'[5]FECs - good data'!$C$1:$Z$574,21,FALSE)</f>
        <v>0</v>
      </c>
      <c r="CF300" s="16">
        <f>CE300/AS300</f>
        <v>0</v>
      </c>
      <c r="CG300" s="16">
        <f>IF(CH300&gt;0,1,0)</f>
        <v>0</v>
      </c>
      <c r="CH300" s="16">
        <f>VLOOKUP($K300,'[5]FECs - good data'!$C$1:$Z$574,22,FALSE)</f>
        <v>0</v>
      </c>
      <c r="CI300" s="16">
        <f>CH300/AS300</f>
        <v>0</v>
      </c>
      <c r="CJ300" s="16">
        <f>IF(CK300&gt;0,1,0)</f>
        <v>1</v>
      </c>
      <c r="CK300" s="16">
        <f>VLOOKUP($K300,'[5]FECs - good data'!$C$1:$Z$674,24,FALSE)</f>
        <v>16</v>
      </c>
      <c r="CL300" s="16">
        <f>CK300/AS300</f>
        <v>71.748878923766782</v>
      </c>
      <c r="CS300" s="16">
        <f>IF(CT300&gt;0,1,0)</f>
        <v>0</v>
      </c>
      <c r="CT300" s="16">
        <f>SUM(CW300+CZ300,DC300)</f>
        <v>0</v>
      </c>
      <c r="CV300" s="16">
        <f>SUM(CY300,DB300,DE300)</f>
        <v>0</v>
      </c>
      <c r="CW300" s="16">
        <f>IF(CX300&gt;0,1,0)</f>
        <v>0</v>
      </c>
      <c r="CX300" s="16">
        <f>VLOOKUP($K300,'[5]FECs - good data'!$C$1:$Z$574,22,FALSE)</f>
        <v>0</v>
      </c>
      <c r="CY300" s="16">
        <f>CX300/AS300</f>
        <v>0</v>
      </c>
      <c r="CZ300" s="16">
        <f>IF(DA300&gt;0,1,0)</f>
        <v>0</v>
      </c>
      <c r="DA300" s="16">
        <f>VLOOKUP($K300,'[5]FECs - good data'!$C$1:$Z$5982,23,FALSE)</f>
        <v>0</v>
      </c>
      <c r="DB300" s="16">
        <f>DA300/AS300</f>
        <v>0</v>
      </c>
      <c r="DC300" s="16">
        <f>IF(DD300&gt;0,1,0)</f>
        <v>0</v>
      </c>
      <c r="DD300" s="16">
        <f>VLOOKUP($K300,'[5]FECs - good data'!$C$1:$Z$574,23,FALSE)</f>
        <v>0</v>
      </c>
      <c r="DE300" s="16">
        <f>DD300/AS300</f>
        <v>0</v>
      </c>
      <c r="DF300" s="16">
        <f>VLOOKUP(K300,'[3]RNA Seq summary tables'!$V$3:$V$99,1,FALSE)</f>
        <v>2270</v>
      </c>
      <c r="DG300" s="16">
        <v>1</v>
      </c>
      <c r="DH300" s="16" t="str">
        <f>VLOOKUP(D300,'[6]workflow 3.2018'!$A$1:$S$237,2,FALSE)</f>
        <v>2017MLBS_196</v>
      </c>
    </row>
    <row r="301" spans="1:288" x14ac:dyDescent="0.2">
      <c r="B301" s="16">
        <v>2017</v>
      </c>
      <c r="C301" s="20">
        <v>42912</v>
      </c>
      <c r="D301" s="20" t="str">
        <f>CONCATENATE(J301,"-",C301)</f>
        <v>1161-42912</v>
      </c>
      <c r="E301" s="20" t="str">
        <f>CONCATENATE(T301,"-",U301,"-",C301)</f>
        <v>PO1-E4-42912</v>
      </c>
      <c r="F301" s="20" t="s">
        <v>106</v>
      </c>
      <c r="G301" s="20" t="s">
        <v>107</v>
      </c>
      <c r="I301" s="16">
        <v>0</v>
      </c>
      <c r="J301" s="21">
        <v>1161</v>
      </c>
      <c r="K301" s="21">
        <v>1748</v>
      </c>
      <c r="L301" s="18">
        <v>0</v>
      </c>
      <c r="M301" s="21">
        <f>VLOOKUP($K301,'[4]blood tubes 2017'!$D$1:$L$647,8,FALSE)</f>
        <v>0</v>
      </c>
      <c r="N301" s="15">
        <v>0</v>
      </c>
      <c r="O301" s="15" t="s">
        <v>119</v>
      </c>
      <c r="P301" s="16" t="s">
        <v>119</v>
      </c>
      <c r="Q301" s="16">
        <v>0</v>
      </c>
      <c r="R301" s="16" t="s">
        <v>111</v>
      </c>
      <c r="T301" s="16" t="s">
        <v>112</v>
      </c>
      <c r="U301" s="16" t="s">
        <v>206</v>
      </c>
      <c r="V301" s="16" t="s">
        <v>114</v>
      </c>
      <c r="W301" s="16">
        <f>AI301/AG301</f>
        <v>0.73333333333333328</v>
      </c>
      <c r="X301" s="16" t="s">
        <v>115</v>
      </c>
      <c r="Y301" s="16" t="s">
        <v>145</v>
      </c>
      <c r="Z301" s="16">
        <v>1</v>
      </c>
      <c r="AE301" s="16" t="s">
        <v>123</v>
      </c>
      <c r="AF301" s="16" t="s">
        <v>123</v>
      </c>
      <c r="AG301" s="16">
        <f>AH301-AI301</f>
        <v>75</v>
      </c>
      <c r="AH301" s="16">
        <v>130</v>
      </c>
      <c r="AI301" s="16">
        <v>55</v>
      </c>
      <c r="AK301" s="16">
        <v>9.5</v>
      </c>
      <c r="AL301" s="16">
        <v>0</v>
      </c>
      <c r="AM301" s="16">
        <v>0</v>
      </c>
      <c r="AN301" s="16">
        <v>0</v>
      </c>
      <c r="AO301" s="16">
        <v>0</v>
      </c>
      <c r="AP301" s="16">
        <f>SUM(AL301:AN301)</f>
        <v>0</v>
      </c>
      <c r="AQ301" s="16">
        <v>1.5960000000000001</v>
      </c>
      <c r="AR301" s="16">
        <f>AP301-1.472</f>
        <v>-1.472</v>
      </c>
      <c r="AS301" s="16">
        <f>AQ301-1.472</f>
        <v>0.12400000000000011</v>
      </c>
      <c r="AT301" s="16" t="s">
        <v>234</v>
      </c>
      <c r="AW301" s="16">
        <f>IF(AX301&gt;0,1,0)</f>
        <v>1</v>
      </c>
      <c r="AX301" s="16">
        <f>SUM(BA301,BM301,CT301)</f>
        <v>2</v>
      </c>
      <c r="AY301" s="18">
        <f>SUM(BB301,BN301,CV301)</f>
        <v>23814.516129032239</v>
      </c>
      <c r="AZ301" s="16">
        <f>IF(BA301&gt;0,1,0)</f>
        <v>1</v>
      </c>
      <c r="BA301" s="16">
        <f>SUM(BC301,BF301,BI301)</f>
        <v>2</v>
      </c>
      <c r="BB301" s="16">
        <f>SUM(BE301,BH301,BK301)</f>
        <v>23814.516129032239</v>
      </c>
      <c r="BC301" s="16">
        <v>1</v>
      </c>
      <c r="BD301" s="16">
        <v>2806</v>
      </c>
      <c r="BE301" s="16">
        <f>BD301/AS301</f>
        <v>22629.032258064497</v>
      </c>
      <c r="BF301" s="16">
        <v>0</v>
      </c>
      <c r="BG301" s="23">
        <v>0</v>
      </c>
      <c r="BH301" s="16">
        <f>BG301/AS301</f>
        <v>0</v>
      </c>
      <c r="BI301" s="16">
        <v>1</v>
      </c>
      <c r="BJ301" s="16">
        <v>147</v>
      </c>
      <c r="BK301" s="16">
        <f>BJ301/AS301</f>
        <v>1185.4838709677408</v>
      </c>
      <c r="BL301" s="16">
        <f>IF(BM301&gt;0,1,0)</f>
        <v>0</v>
      </c>
      <c r="BM301" s="16">
        <f>SUM(BR301,BU301,BX301,CA301,CD301,CG301,CJ301,CM301,CP301)</f>
        <v>0</v>
      </c>
      <c r="BN301" s="16">
        <f>SUM(BW301,BZ301,CC301,CF301,CI301,CL301,CO301,CR301,BT301)</f>
        <v>0</v>
      </c>
      <c r="BO301" s="16">
        <f>IF(BP301&gt;0,1,0)</f>
        <v>0</v>
      </c>
      <c r="BP301" s="16">
        <f>SUM(BU301,BX301,CA301,CD301,BR301)</f>
        <v>0</v>
      </c>
      <c r="BQ301" s="16">
        <f>SUM(BZ301,CC301,CF301,BT301,BW301)</f>
        <v>0</v>
      </c>
      <c r="BR301" s="16">
        <v>0</v>
      </c>
      <c r="BS301" s="16">
        <v>0</v>
      </c>
      <c r="BT301" s="23">
        <f>BS301/AS301</f>
        <v>0</v>
      </c>
      <c r="BU301" s="16">
        <v>0</v>
      </c>
      <c r="BV301" s="16">
        <v>0</v>
      </c>
      <c r="BW301" s="16">
        <f>BV301/AS301</f>
        <v>0</v>
      </c>
      <c r="BX301" s="16">
        <v>0</v>
      </c>
      <c r="BY301" s="16">
        <v>0</v>
      </c>
      <c r="BZ301" s="16">
        <f>BY301/AS301</f>
        <v>0</v>
      </c>
      <c r="CA301" s="16">
        <v>0</v>
      </c>
      <c r="CB301" s="16">
        <v>0</v>
      </c>
      <c r="CC301" s="16">
        <f>CB301/AS301</f>
        <v>0</v>
      </c>
      <c r="CD301" s="23">
        <v>0</v>
      </c>
      <c r="CE301" s="16">
        <v>0</v>
      </c>
      <c r="CF301" s="16">
        <f>CE301/AS301</f>
        <v>0</v>
      </c>
      <c r="CG301" s="16">
        <v>0</v>
      </c>
      <c r="CH301" s="16">
        <v>0</v>
      </c>
      <c r="CI301" s="16">
        <f>CH301/AS301</f>
        <v>0</v>
      </c>
      <c r="CM301" s="16">
        <v>0</v>
      </c>
      <c r="CN301" s="16">
        <v>0</v>
      </c>
      <c r="CO301" s="16">
        <f>CN301/AS301</f>
        <v>0</v>
      </c>
      <c r="CP301" s="16">
        <v>0</v>
      </c>
      <c r="CQ301" s="16">
        <v>0</v>
      </c>
      <c r="CR301" s="16">
        <f>CQ301/AS301</f>
        <v>0</v>
      </c>
      <c r="CS301" s="16">
        <f>IF(CT301&gt;0,1,0)</f>
        <v>0</v>
      </c>
      <c r="CT301" s="16">
        <f>SUM(CW301,CZ301,DC301)</f>
        <v>0</v>
      </c>
      <c r="CV301" s="16">
        <f>SUM(CY301,DB301,DE301)</f>
        <v>0</v>
      </c>
      <c r="CW301" s="16">
        <v>0</v>
      </c>
      <c r="CX301" s="16">
        <v>0</v>
      </c>
      <c r="CY301" s="16">
        <f>CX301/AS301</f>
        <v>0</v>
      </c>
      <c r="CZ301" s="16">
        <v>0</v>
      </c>
      <c r="DA301" s="16">
        <v>0</v>
      </c>
      <c r="DB301" s="16">
        <f>DA301/AS301</f>
        <v>0</v>
      </c>
      <c r="DC301" s="16">
        <v>0</v>
      </c>
      <c r="DD301" s="16">
        <v>0</v>
      </c>
      <c r="DE301" s="16">
        <f>DD301/AS301</f>
        <v>0</v>
      </c>
      <c r="DF301" s="16" t="e">
        <f>VLOOKUP(K301,'[3]RNA Seq summary tables'!$V$3:$V$99,1,FALSE)</f>
        <v>#N/A</v>
      </c>
      <c r="DI301" s="16">
        <v>67</v>
      </c>
      <c r="DK301" s="16">
        <v>31</v>
      </c>
      <c r="DM301" s="16">
        <v>2</v>
      </c>
      <c r="DO301" s="16">
        <v>0</v>
      </c>
      <c r="DQ301" s="16">
        <v>0</v>
      </c>
      <c r="DR301" s="16">
        <f>SUM(DI301:DQ301)</f>
        <v>100</v>
      </c>
      <c r="JP301" s="18"/>
      <c r="JQ301" s="18"/>
    </row>
    <row r="302" spans="1:288" s="18" customFormat="1" x14ac:dyDescent="0.2">
      <c r="B302" s="16">
        <v>2017</v>
      </c>
      <c r="C302" s="20">
        <v>42929</v>
      </c>
      <c r="D302" s="20" t="str">
        <f>CONCATENATE(J302,"-",C302)</f>
        <v>1161-42929</v>
      </c>
      <c r="E302" s="20" t="str">
        <f>CONCATENATE(T302,"-",U302,"-",C302)</f>
        <v>PO1-F4-42929</v>
      </c>
      <c r="F302" s="20" t="s">
        <v>106</v>
      </c>
      <c r="G302" s="20" t="s">
        <v>107</v>
      </c>
      <c r="H302" s="16"/>
      <c r="I302" s="16">
        <v>0</v>
      </c>
      <c r="J302" s="21">
        <v>1161</v>
      </c>
      <c r="K302" s="21">
        <v>1885</v>
      </c>
      <c r="L302" s="18">
        <v>0</v>
      </c>
      <c r="M302" s="21">
        <f>VLOOKUP($K302,'[4]blood tubes 2017'!$D$1:$L$647,8,FALSE)</f>
        <v>0</v>
      </c>
      <c r="N302" s="15">
        <v>0</v>
      </c>
      <c r="O302" s="15" t="s">
        <v>119</v>
      </c>
      <c r="P302" s="16" t="s">
        <v>119</v>
      </c>
      <c r="Q302" s="16">
        <v>0</v>
      </c>
      <c r="R302" s="16">
        <v>17</v>
      </c>
      <c r="S302" s="16"/>
      <c r="T302" s="16" t="s">
        <v>112</v>
      </c>
      <c r="U302" s="16" t="s">
        <v>184</v>
      </c>
      <c r="V302" s="16" t="s">
        <v>114</v>
      </c>
      <c r="W302" s="16">
        <f>AI302/AG302</f>
        <v>0.73170731707317072</v>
      </c>
      <c r="X302" s="16" t="s">
        <v>115</v>
      </c>
      <c r="Y302" s="16" t="s">
        <v>122</v>
      </c>
      <c r="Z302" s="16">
        <v>2.2999999999999998</v>
      </c>
      <c r="AA302" s="16"/>
      <c r="AB302" s="16"/>
      <c r="AC302" s="16"/>
      <c r="AD302" s="16"/>
      <c r="AE302" s="16" t="s">
        <v>123</v>
      </c>
      <c r="AF302" s="16" t="s">
        <v>123</v>
      </c>
      <c r="AG302" s="16">
        <f>AH302-AI302</f>
        <v>82</v>
      </c>
      <c r="AH302" s="16">
        <v>142</v>
      </c>
      <c r="AI302" s="16">
        <v>60</v>
      </c>
      <c r="AJ302" s="16"/>
      <c r="AK302" s="16">
        <v>13</v>
      </c>
      <c r="AL302" s="16">
        <v>0</v>
      </c>
      <c r="AM302" s="16">
        <v>0</v>
      </c>
      <c r="AN302" s="16">
        <v>0</v>
      </c>
      <c r="AO302" s="16">
        <v>0</v>
      </c>
      <c r="AP302" s="16">
        <f>SUM(AL302:AN302)</f>
        <v>0</v>
      </c>
      <c r="AQ302" s="16">
        <v>1.611</v>
      </c>
      <c r="AR302" s="16">
        <f>AP302-1.472</f>
        <v>-1.472</v>
      </c>
      <c r="AS302" s="16">
        <f>AQ302-1.472</f>
        <v>0.13900000000000001</v>
      </c>
      <c r="AT302" s="16" t="str">
        <f>VLOOKUP(K302,'[5]FECs - good data'!$C$1:$P$575,13,FALSE)</f>
        <v>CH</v>
      </c>
      <c r="AU302" s="16"/>
      <c r="AV302" s="16"/>
      <c r="AW302" s="18">
        <f>IF(AX302&gt;0,1,0)</f>
        <v>1</v>
      </c>
      <c r="AX302" s="18">
        <f>SUM(BA302,BM302,CT302)</f>
        <v>3</v>
      </c>
      <c r="AY302" s="18">
        <f>SUM(BB302,BN302,CV302)</f>
        <v>892.08633093525179</v>
      </c>
      <c r="AZ302" s="18">
        <f>IF(BA302&gt;0,1,0)</f>
        <v>1</v>
      </c>
      <c r="BA302" s="18">
        <f>SUM(BC302,BF302,BI302)</f>
        <v>2</v>
      </c>
      <c r="BB302" s="18">
        <f>SUM(BE302,BH302,BK302)</f>
        <v>755.39568345323744</v>
      </c>
      <c r="BC302" s="18">
        <f>IF(BD302&gt;0,1,0)</f>
        <v>1</v>
      </c>
      <c r="BD302" s="18">
        <f>VLOOKUP($K302,'[5]FECs - good data'!$C$1:$Z$574,14,FALSE)</f>
        <v>5</v>
      </c>
      <c r="BE302" s="16">
        <f>BD302/AS302</f>
        <v>35.97122302158273</v>
      </c>
      <c r="BF302" s="16">
        <f>IF(BG302&gt;0,1,0)</f>
        <v>1</v>
      </c>
      <c r="BG302" s="23">
        <f>VLOOKUP($K302,'[5]FECs - good data'!$C$1:$Z$574,15,FALSE)</f>
        <v>100</v>
      </c>
      <c r="BH302" s="16">
        <f>BG302/AS302</f>
        <v>719.42446043165467</v>
      </c>
      <c r="BI302" s="16">
        <f>IF(BJ302&gt;0,1,0)</f>
        <v>0</v>
      </c>
      <c r="BJ302" s="16">
        <f>VLOOKUP($K302,'[5]FECs - good data'!$C$1:$Z$574,16,FALSE)</f>
        <v>0</v>
      </c>
      <c r="BK302" s="16">
        <f>BJ302/AS302</f>
        <v>0</v>
      </c>
      <c r="BL302" s="16">
        <f>IF(BM302&gt;0,1,0)</f>
        <v>1</v>
      </c>
      <c r="BM302" s="16">
        <f>SUM(BR302,BU302,BX302,CA302,CD302,CG302,CJ302,CM302,CP302)</f>
        <v>1</v>
      </c>
      <c r="BN302" s="16">
        <f>SUM(BW302,BZ302,CC302,CF302,CI302,CL302,CO302,CR302,BT302)</f>
        <v>136.69064748201438</v>
      </c>
      <c r="BO302" s="16">
        <f>IF(BP302&gt;0,1,0)</f>
        <v>1</v>
      </c>
      <c r="BP302" s="16">
        <f>SUM(BU302,BX302,CA302,CD302,BR302)</f>
        <v>1</v>
      </c>
      <c r="BQ302" s="16">
        <f>SUM(BZ302,CC302,CF302,BT302,BW302)</f>
        <v>136.69064748201438</v>
      </c>
      <c r="BR302" s="16">
        <f>IF(BS302&gt;0,1,0)</f>
        <v>0</v>
      </c>
      <c r="BS302" s="16">
        <f>VLOOKUP($K302,'[5]FECs - good data'!$C$1:$Z$574,17,FALSE)</f>
        <v>0</v>
      </c>
      <c r="BT302" s="23">
        <f>BS302/AS302</f>
        <v>0</v>
      </c>
      <c r="BU302" s="16">
        <f>IF(BV302&gt;0,1,0)</f>
        <v>1</v>
      </c>
      <c r="BV302" s="16">
        <f>VLOOKUP($K302,'[5]FECs - good data'!$C$1:$Z$574,18,FALSE)</f>
        <v>19</v>
      </c>
      <c r="BW302" s="16">
        <f>BV302/AS302</f>
        <v>136.69064748201438</v>
      </c>
      <c r="BX302" s="16">
        <f>IF(BY302&gt;0,1,0)</f>
        <v>0</v>
      </c>
      <c r="BY302" s="16">
        <f>VLOOKUP($K302,'[5]FECs - good data'!$C$1:$Z$574,19,FALSE)</f>
        <v>0</v>
      </c>
      <c r="BZ302" s="16">
        <f>BY302/AS302</f>
        <v>0</v>
      </c>
      <c r="CA302" s="16">
        <f>IF(CB302&gt;0,1,0)</f>
        <v>0</v>
      </c>
      <c r="CB302" s="16">
        <f>VLOOKUP($K302,'[5]FECs - good data'!$C$1:$Z$574,20,FALSE)</f>
        <v>0</v>
      </c>
      <c r="CC302" s="16">
        <f>CB302/AS302</f>
        <v>0</v>
      </c>
      <c r="CD302" s="23">
        <f>IF(CE302&gt;0,1,0)</f>
        <v>0</v>
      </c>
      <c r="CE302" s="16">
        <f>VLOOKUP($K302,'[5]FECs - good data'!$C$1:$Z$574,21,FALSE)</f>
        <v>0</v>
      </c>
      <c r="CF302" s="16">
        <f>CE302/AS302</f>
        <v>0</v>
      </c>
      <c r="CG302" s="16">
        <f>IF(CH302&gt;0,1,0)</f>
        <v>0</v>
      </c>
      <c r="CH302" s="16">
        <f>VLOOKUP($K302,'[5]FECs - good data'!$C$1:$Z$574,22,FALSE)</f>
        <v>0</v>
      </c>
      <c r="CI302" s="16">
        <f>CH302/AS302</f>
        <v>0</v>
      </c>
      <c r="CJ302" s="16">
        <f>IF(CK302&gt;0,1,0)</f>
        <v>0</v>
      </c>
      <c r="CK302" s="16">
        <f>VLOOKUP($K302,'[5]FECs - good data'!$C$1:$Z$674,24,FALSE)</f>
        <v>0</v>
      </c>
      <c r="CL302" s="16">
        <f>CK302/AS302</f>
        <v>0</v>
      </c>
      <c r="CM302" s="16"/>
      <c r="CN302" s="16"/>
      <c r="CO302" s="16"/>
      <c r="CP302" s="16"/>
      <c r="CQ302" s="16"/>
      <c r="CR302" s="16"/>
      <c r="CS302" s="16">
        <f>IF(CT302&gt;0,1,0)</f>
        <v>0</v>
      </c>
      <c r="CT302" s="16">
        <f>SUM(CW302+CZ302,DC302)</f>
        <v>0</v>
      </c>
      <c r="CU302" s="16"/>
      <c r="CV302" s="16">
        <f>SUM(CY302,DB302,DE302)</f>
        <v>0</v>
      </c>
      <c r="CW302" s="16">
        <f>IF(CX302&gt;0,1,0)</f>
        <v>0</v>
      </c>
      <c r="CX302" s="16">
        <f>VLOOKUP($K302,'[5]FECs - good data'!$C$1:$Z$574,22,FALSE)</f>
        <v>0</v>
      </c>
      <c r="CY302" s="16">
        <f>CX302/AS302</f>
        <v>0</v>
      </c>
      <c r="CZ302" s="16">
        <f>IF(DA302&gt;0,1,0)</f>
        <v>0</v>
      </c>
      <c r="DA302" s="16">
        <f>VLOOKUP($K302,'[5]FECs - good data'!$C$1:$Z$5982,23,FALSE)</f>
        <v>0</v>
      </c>
      <c r="DB302" s="16">
        <f>DA302/AS302</f>
        <v>0</v>
      </c>
      <c r="DC302" s="16">
        <f>IF(DD302&gt;0,1,0)</f>
        <v>0</v>
      </c>
      <c r="DD302" s="16">
        <f>VLOOKUP($K302,'[5]FECs - good data'!$C$1:$Z$574,23,FALSE)</f>
        <v>0</v>
      </c>
      <c r="DE302" s="16">
        <f>DD302/AS302</f>
        <v>0</v>
      </c>
      <c r="DF302" s="16" t="e">
        <f>VLOOKUP(K302,'[3]RNA Seq summary tables'!$V$3:$V$99,1,FALSE)</f>
        <v>#N/A</v>
      </c>
      <c r="DG302" s="16"/>
      <c r="DH302" s="16"/>
      <c r="DI302" s="16"/>
      <c r="DJ302" s="16"/>
      <c r="DK302" s="16"/>
      <c r="DL302" s="16"/>
      <c r="DM302" s="16"/>
      <c r="DN302" s="16"/>
      <c r="DO302" s="16"/>
      <c r="DP302" s="16"/>
      <c r="DQ302" s="16"/>
      <c r="DR302" s="16"/>
      <c r="DS302" s="16"/>
      <c r="JO302" s="16"/>
      <c r="JP302" s="16"/>
      <c r="JQ302" s="16"/>
    </row>
    <row r="303" spans="1:288" x14ac:dyDescent="0.2">
      <c r="B303" s="16">
        <v>2017</v>
      </c>
      <c r="C303" s="20">
        <v>42912</v>
      </c>
      <c r="D303" s="20" t="str">
        <f>CONCATENATE(J303,"-",C303)</f>
        <v>1162-42912</v>
      </c>
      <c r="E303" s="20" t="str">
        <f>CONCATENATE(T303,"-",U303,"-",C303)</f>
        <v>PO2-A8-42912</v>
      </c>
      <c r="F303" s="20" t="s">
        <v>106</v>
      </c>
      <c r="G303" s="20" t="s">
        <v>107</v>
      </c>
      <c r="I303" s="16">
        <v>0</v>
      </c>
      <c r="J303" s="36">
        <v>1162</v>
      </c>
      <c r="K303" s="36">
        <v>1753</v>
      </c>
      <c r="L303" s="18">
        <v>0</v>
      </c>
      <c r="M303" s="36">
        <f>VLOOKUP($K303,'[4]blood tubes 2017'!$D$1:$L$647,8,FALSE)</f>
        <v>0</v>
      </c>
      <c r="N303" s="42">
        <v>0</v>
      </c>
      <c r="O303" s="15" t="s">
        <v>119</v>
      </c>
      <c r="P303" s="18" t="s">
        <v>119</v>
      </c>
      <c r="Q303" s="18">
        <v>0</v>
      </c>
      <c r="R303" s="18" t="s">
        <v>111</v>
      </c>
      <c r="S303" s="18"/>
      <c r="T303" s="18" t="s">
        <v>127</v>
      </c>
      <c r="U303" s="18" t="s">
        <v>194</v>
      </c>
      <c r="V303" s="18" t="s">
        <v>114</v>
      </c>
      <c r="W303" s="16">
        <f>AI303/AG303</f>
        <v>0.7752808988764045</v>
      </c>
      <c r="X303" s="16" t="s">
        <v>115</v>
      </c>
      <c r="Y303" s="16" t="s">
        <v>110</v>
      </c>
      <c r="Z303" s="16">
        <v>3</v>
      </c>
      <c r="AE303" s="16" t="s">
        <v>123</v>
      </c>
      <c r="AF303" s="16" t="s">
        <v>123</v>
      </c>
      <c r="AG303" s="16">
        <f>AH303-AI303</f>
        <v>89</v>
      </c>
      <c r="AH303" s="16">
        <v>158</v>
      </c>
      <c r="AI303" s="16">
        <v>69</v>
      </c>
      <c r="AK303" s="16">
        <v>16.5</v>
      </c>
      <c r="AL303" s="16">
        <v>1</v>
      </c>
      <c r="AM303" s="16">
        <v>0</v>
      </c>
      <c r="AN303" s="16">
        <v>0</v>
      </c>
      <c r="AO303" s="16">
        <v>1</v>
      </c>
      <c r="AP303" s="16">
        <f>SUM(AL303:AN303)</f>
        <v>1</v>
      </c>
      <c r="AQ303" s="16">
        <v>1.7310000000000001</v>
      </c>
      <c r="AR303" s="16">
        <f>AP303-1.472</f>
        <v>-0.47199999999999998</v>
      </c>
      <c r="AS303" s="16">
        <f>AQ303-1.472</f>
        <v>0.25900000000000012</v>
      </c>
      <c r="AT303" s="16" t="s">
        <v>119</v>
      </c>
      <c r="AV303" s="16">
        <v>1</v>
      </c>
      <c r="AW303" s="16">
        <f>IF(AX303&gt;0,1,0)</f>
        <v>0</v>
      </c>
      <c r="AX303" s="16">
        <f>SUM(BA303,BM303,CT303)</f>
        <v>0</v>
      </c>
      <c r="AY303" s="18">
        <f>SUM(BB303,BN303,CV303)</f>
        <v>0</v>
      </c>
      <c r="AZ303" s="16">
        <f>IF(BA303&gt;0,1,0)</f>
        <v>0</v>
      </c>
      <c r="BA303" s="16">
        <f>SUM(BC303,BF303,BI303)</f>
        <v>0</v>
      </c>
      <c r="BB303" s="16">
        <f>SUM(BE303,BH303,BK303)</f>
        <v>0</v>
      </c>
      <c r="BC303" s="16">
        <v>0</v>
      </c>
      <c r="BD303" s="16">
        <v>0</v>
      </c>
      <c r="BE303" s="16">
        <f>BD303/AS303</f>
        <v>0</v>
      </c>
      <c r="BF303" s="16">
        <v>0</v>
      </c>
      <c r="BG303" s="23">
        <v>0</v>
      </c>
      <c r="BH303" s="16">
        <f>BG303/AS303</f>
        <v>0</v>
      </c>
      <c r="BI303" s="16">
        <v>0</v>
      </c>
      <c r="BJ303" s="16">
        <v>0</v>
      </c>
      <c r="BK303" s="16">
        <f>BJ303/AS303</f>
        <v>0</v>
      </c>
      <c r="BL303" s="16">
        <f>IF(BM303&gt;0,1,0)</f>
        <v>0</v>
      </c>
      <c r="BM303" s="16">
        <f>SUM(BR303,BU303,BX303,CA303,CD303,CG303,CJ303,CM303,CP303)</f>
        <v>0</v>
      </c>
      <c r="BN303" s="16">
        <f>SUM(BW303,BZ303,CC303,CF303,CI303,CL303,CO303,CR303,BT303)</f>
        <v>0</v>
      </c>
      <c r="BO303" s="16">
        <f>IF(BP303&gt;0,1,0)</f>
        <v>0</v>
      </c>
      <c r="BP303" s="16">
        <f>SUM(BU303,BX303,CA303,CD303,BR303)</f>
        <v>0</v>
      </c>
      <c r="BQ303" s="16">
        <f>SUM(BZ303,CC303,CF303,BT303,BW303)</f>
        <v>0</v>
      </c>
      <c r="BR303" s="16">
        <v>0</v>
      </c>
      <c r="BS303" s="16">
        <v>0</v>
      </c>
      <c r="BT303" s="23">
        <f>BS303/AS303</f>
        <v>0</v>
      </c>
      <c r="BU303" s="16">
        <v>0</v>
      </c>
      <c r="BV303" s="16">
        <v>0</v>
      </c>
      <c r="BW303" s="16">
        <f>BV303/AS303</f>
        <v>0</v>
      </c>
      <c r="BX303" s="16">
        <v>0</v>
      </c>
      <c r="BY303" s="16">
        <v>0</v>
      </c>
      <c r="BZ303" s="16">
        <f>BY303/AS303</f>
        <v>0</v>
      </c>
      <c r="CA303" s="16">
        <v>0</v>
      </c>
      <c r="CB303" s="16">
        <v>0</v>
      </c>
      <c r="CC303" s="16">
        <f>CB303/AS303</f>
        <v>0</v>
      </c>
      <c r="CD303" s="23">
        <v>0</v>
      </c>
      <c r="CE303" s="16">
        <v>0</v>
      </c>
      <c r="CF303" s="16">
        <f>CE303/AS303</f>
        <v>0</v>
      </c>
      <c r="CG303" s="16">
        <v>0</v>
      </c>
      <c r="CH303" s="16">
        <v>0</v>
      </c>
      <c r="CI303" s="16">
        <f>CH303/AS303</f>
        <v>0</v>
      </c>
      <c r="CM303" s="16">
        <v>0</v>
      </c>
      <c r="CN303" s="16">
        <v>0</v>
      </c>
      <c r="CO303" s="16">
        <f>CN303/AS303</f>
        <v>0</v>
      </c>
      <c r="CP303" s="16">
        <v>0</v>
      </c>
      <c r="CQ303" s="16">
        <v>0</v>
      </c>
      <c r="CR303" s="16">
        <f>CQ303/AS303</f>
        <v>0</v>
      </c>
      <c r="CS303" s="16">
        <f>IF(CT303&gt;0,1,0)</f>
        <v>0</v>
      </c>
      <c r="CT303" s="16">
        <f>SUM(CW303,CZ303,DC303)</f>
        <v>0</v>
      </c>
      <c r="CV303" s="16">
        <f>SUM(CY303,DB303,DE303)</f>
        <v>0</v>
      </c>
      <c r="CW303" s="16">
        <v>0</v>
      </c>
      <c r="CX303" s="16">
        <v>0</v>
      </c>
      <c r="CY303" s="16">
        <f>CX303/AS303</f>
        <v>0</v>
      </c>
      <c r="CZ303" s="16">
        <v>0</v>
      </c>
      <c r="DA303" s="16">
        <v>0</v>
      </c>
      <c r="DB303" s="16">
        <f>DA303/AS303</f>
        <v>0</v>
      </c>
      <c r="DC303" s="16">
        <v>0</v>
      </c>
      <c r="DD303" s="16">
        <v>0</v>
      </c>
      <c r="DE303" s="16">
        <f>DD303/AS303</f>
        <v>0</v>
      </c>
      <c r="DF303" s="16" t="e">
        <f>VLOOKUP(K303,'[3]RNA Seq summary tables'!$V$3:$V$99,1,FALSE)</f>
        <v>#N/A</v>
      </c>
      <c r="DI303" s="16">
        <v>61</v>
      </c>
      <c r="DK303" s="16">
        <v>17</v>
      </c>
      <c r="DM303" s="16">
        <v>22</v>
      </c>
      <c r="DO303" s="16">
        <v>0</v>
      </c>
      <c r="DQ303" s="16">
        <v>0</v>
      </c>
      <c r="DR303" s="16">
        <f>SUM(DI303:DQ303)</f>
        <v>100</v>
      </c>
    </row>
    <row r="304" spans="1:288" x14ac:dyDescent="0.2">
      <c r="B304" s="16">
        <v>2017</v>
      </c>
      <c r="C304" s="20">
        <v>42976</v>
      </c>
      <c r="D304" s="20" t="str">
        <f>CONCATENATE(J304,"-",C304)</f>
        <v>1162-42976</v>
      </c>
      <c r="E304" s="20" t="str">
        <f>CONCATENATE(T304,"-",U304,"-",C304)</f>
        <v>PO2-A8-42976</v>
      </c>
      <c r="F304" s="37" t="s">
        <v>224</v>
      </c>
      <c r="G304" s="20" t="s">
        <v>107</v>
      </c>
      <c r="H304" s="16" t="s">
        <v>264</v>
      </c>
      <c r="I304" s="16">
        <v>0</v>
      </c>
      <c r="J304" s="36">
        <v>1162</v>
      </c>
      <c r="K304" s="36">
        <v>2305</v>
      </c>
      <c r="L304" s="18">
        <v>0</v>
      </c>
      <c r="M304" s="36">
        <f>VLOOKUP($K304,'[4]blood tubes 2017'!$D$1:$L$947,8,FALSE)</f>
        <v>0</v>
      </c>
      <c r="N304" s="42">
        <v>0</v>
      </c>
      <c r="O304" s="15" t="s">
        <v>119</v>
      </c>
      <c r="P304" s="18" t="s">
        <v>119</v>
      </c>
      <c r="Q304" s="18">
        <v>0</v>
      </c>
      <c r="R304" s="18">
        <v>64</v>
      </c>
      <c r="S304" s="18"/>
      <c r="T304" s="18" t="s">
        <v>127</v>
      </c>
      <c r="U304" s="18" t="s">
        <v>194</v>
      </c>
      <c r="V304" s="18" t="s">
        <v>114</v>
      </c>
      <c r="W304" s="16">
        <f>AI304/AG304</f>
        <v>0.90588235294117647</v>
      </c>
      <c r="X304" s="16" t="s">
        <v>115</v>
      </c>
      <c r="Y304" s="16" t="s">
        <v>110</v>
      </c>
      <c r="Z304" s="16">
        <v>3</v>
      </c>
      <c r="AE304" s="16" t="s">
        <v>116</v>
      </c>
      <c r="AF304" s="16" t="s">
        <v>116</v>
      </c>
      <c r="AG304" s="16">
        <f>AH304-AI304</f>
        <v>85</v>
      </c>
      <c r="AH304" s="16">
        <v>162</v>
      </c>
      <c r="AI304" s="16">
        <v>77</v>
      </c>
      <c r="AK304" s="16">
        <v>25.5</v>
      </c>
      <c r="AL304" s="16">
        <v>0</v>
      </c>
      <c r="AM304" s="16">
        <v>0</v>
      </c>
      <c r="AN304" s="16">
        <v>0</v>
      </c>
      <c r="AO304" s="16">
        <v>0</v>
      </c>
      <c r="AP304" s="16">
        <f>SUM(AL304:AN304)</f>
        <v>0</v>
      </c>
      <c r="AQ304" s="16">
        <v>1.722</v>
      </c>
      <c r="AR304" s="16">
        <f>AP304-1.472</f>
        <v>-1.472</v>
      </c>
      <c r="AS304" s="16">
        <f>AQ304-1.472</f>
        <v>0.25</v>
      </c>
      <c r="AT304" s="16" t="str">
        <f>VLOOKUP(K304,'[5]FECs - good data'!$C$1:$P$575,13,FALSE)</f>
        <v>SB</v>
      </c>
      <c r="AW304" s="18">
        <f>IF(AX304&gt;0,1,0)</f>
        <v>1</v>
      </c>
      <c r="AX304" s="18">
        <f>SUM(BA304,BM304,CT304)</f>
        <v>3</v>
      </c>
      <c r="AY304" s="18">
        <f>SUM(BB304,BN304,CV304)</f>
        <v>112</v>
      </c>
      <c r="AZ304" s="18">
        <f>IF(BA304&gt;0,1,0)</f>
        <v>0</v>
      </c>
      <c r="BA304" s="18">
        <f>SUM(BC304,BF304,BI304)</f>
        <v>0</v>
      </c>
      <c r="BB304" s="18">
        <f>SUM(BE304,BH304,BK304)</f>
        <v>0</v>
      </c>
      <c r="BC304" s="18">
        <f>IF(BD304&gt;0,1,0)</f>
        <v>0</v>
      </c>
      <c r="BD304" s="18">
        <f>VLOOKUP($K304,'[5]FECs - good data'!$C$1:$Z$574,14,FALSE)</f>
        <v>0</v>
      </c>
      <c r="BE304" s="16">
        <f>BD304/AS304</f>
        <v>0</v>
      </c>
      <c r="BF304" s="16">
        <f>IF(BG304&gt;0,1,0)</f>
        <v>0</v>
      </c>
      <c r="BG304" s="23">
        <f>VLOOKUP($K304,'[5]FECs - good data'!$C$1:$Z$574,15,FALSE)</f>
        <v>0</v>
      </c>
      <c r="BH304" s="16">
        <f>BG304/AS304</f>
        <v>0</v>
      </c>
      <c r="BI304" s="16">
        <f>IF(BJ304&gt;0,1,0)</f>
        <v>0</v>
      </c>
      <c r="BJ304" s="16">
        <f>VLOOKUP($K304,'[5]FECs - good data'!$C$1:$Z$574,16,FALSE)</f>
        <v>0</v>
      </c>
      <c r="BK304" s="16">
        <f>BJ304/AS304</f>
        <v>0</v>
      </c>
      <c r="BL304" s="16">
        <f>IF(BM304&gt;0,1,0)</f>
        <v>1</v>
      </c>
      <c r="BM304" s="16">
        <f>SUM(BR304,BU304,BX304,CA304,CD304,CG304,CJ304,CM304,CP304)</f>
        <v>3</v>
      </c>
      <c r="BN304" s="16">
        <f>SUM(BW304,BZ304,CC304,CF304,CI304,CL304,CO304,CR304,BT304)</f>
        <v>112</v>
      </c>
      <c r="BO304" s="16">
        <f>IF(BP304&gt;0,1,0)</f>
        <v>1</v>
      </c>
      <c r="BP304" s="16">
        <f>SUM(BU304,BX304,CA304,CD304,BR304)</f>
        <v>2</v>
      </c>
      <c r="BQ304" s="16">
        <f>SUM(BZ304,CC304,CF304,BT304,BW304)</f>
        <v>88</v>
      </c>
      <c r="BR304" s="16">
        <f>IF(BS304&gt;0,1,0)</f>
        <v>0</v>
      </c>
      <c r="BS304" s="16">
        <f>VLOOKUP($K304,'[5]FECs - good data'!$C$1:$Z$574,17,FALSE)</f>
        <v>0</v>
      </c>
      <c r="BT304" s="23">
        <f>BS304/AS304</f>
        <v>0</v>
      </c>
      <c r="BU304" s="16">
        <f>IF(BV304&gt;0,1,0)</f>
        <v>0</v>
      </c>
      <c r="BV304" s="16">
        <f>VLOOKUP($K304,'[5]FECs - good data'!$C$1:$Z$574,18,FALSE)</f>
        <v>0</v>
      </c>
      <c r="BW304" s="16">
        <f>BV304/AS304</f>
        <v>0</v>
      </c>
      <c r="BX304" s="16">
        <f>IF(BY304&gt;0,1,0)</f>
        <v>1</v>
      </c>
      <c r="BY304" s="16">
        <f>VLOOKUP($K304,'[5]FECs - good data'!$C$1:$Z$574,19,FALSE)</f>
        <v>20</v>
      </c>
      <c r="BZ304" s="16">
        <f>BY304/AS304</f>
        <v>80</v>
      </c>
      <c r="CA304" s="16">
        <f>IF(CB304&gt;0,1,0)</f>
        <v>1</v>
      </c>
      <c r="CB304" s="16">
        <f>VLOOKUP($K304,'[5]FECs - good data'!$C$1:$Z$574,20,FALSE)</f>
        <v>2</v>
      </c>
      <c r="CC304" s="16">
        <f>CB304/AS304</f>
        <v>8</v>
      </c>
      <c r="CD304" s="23">
        <f>IF(CE304&gt;0,1,0)</f>
        <v>0</v>
      </c>
      <c r="CE304" s="16">
        <f>VLOOKUP($K304,'[5]FECs - good data'!$C$1:$Z$574,21,FALSE)</f>
        <v>0</v>
      </c>
      <c r="CF304" s="16">
        <f>CE304/AS304</f>
        <v>0</v>
      </c>
      <c r="CG304" s="16">
        <f>IF(CH304&gt;0,1,0)</f>
        <v>0</v>
      </c>
      <c r="CH304" s="16">
        <f>VLOOKUP($K304,'[5]FECs - good data'!$C$1:$Z$574,22,FALSE)</f>
        <v>0</v>
      </c>
      <c r="CI304" s="16">
        <f>CH304/AS304</f>
        <v>0</v>
      </c>
      <c r="CJ304" s="16">
        <f>IF(CK304&gt;0,1,0)</f>
        <v>1</v>
      </c>
      <c r="CK304" s="16">
        <f>VLOOKUP($K304,'[5]FECs - good data'!$C$1:$Z$674,24,FALSE)</f>
        <v>6</v>
      </c>
      <c r="CL304" s="16">
        <f>CK304/AS304</f>
        <v>24</v>
      </c>
      <c r="CS304" s="16">
        <f>IF(CT304&gt;0,1,0)</f>
        <v>0</v>
      </c>
      <c r="CT304" s="16">
        <f>SUM(CW304+CZ304,DC304)</f>
        <v>0</v>
      </c>
      <c r="CV304" s="16">
        <f>SUM(CY304,DB304,DE304)</f>
        <v>0</v>
      </c>
      <c r="CW304" s="16">
        <f>IF(CX304&gt;0,1,0)</f>
        <v>0</v>
      </c>
      <c r="CX304" s="16">
        <f>VLOOKUP($K304,'[5]FECs - good data'!$C$1:$Z$574,22,FALSE)</f>
        <v>0</v>
      </c>
      <c r="CY304" s="16">
        <f>CX304/AS304</f>
        <v>0</v>
      </c>
      <c r="CZ304" s="16">
        <f>IF(DA304&gt;0,1,0)</f>
        <v>0</v>
      </c>
      <c r="DA304" s="16">
        <f>VLOOKUP($K304,'[5]FECs - good data'!$C$1:$Z$5982,23,FALSE)</f>
        <v>0</v>
      </c>
      <c r="DB304" s="16">
        <f>DA304/AS304</f>
        <v>0</v>
      </c>
      <c r="DC304" s="16">
        <f>IF(DD304&gt;0,1,0)</f>
        <v>0</v>
      </c>
      <c r="DD304" s="16">
        <f>VLOOKUP($K304,'[5]FECs - good data'!$C$1:$Z$574,23,FALSE)</f>
        <v>0</v>
      </c>
      <c r="DE304" s="16">
        <f>DD304/AS304</f>
        <v>0</v>
      </c>
      <c r="DF304" s="16" t="e">
        <f>VLOOKUP(K304,'[3]RNA Seq summary tables'!$V$3:$V$99,1,FALSE)</f>
        <v>#N/A</v>
      </c>
      <c r="DG304" s="16">
        <v>1</v>
      </c>
      <c r="DH304" s="16" t="str">
        <f>VLOOKUP(D304,'[6]workflow 3.2018'!$A$1:$S$237,2,FALSE)</f>
        <v>2017MLBS_218</v>
      </c>
    </row>
    <row r="305" spans="2:288" x14ac:dyDescent="0.2">
      <c r="B305" s="16">
        <v>2017</v>
      </c>
      <c r="C305" s="20">
        <v>42927</v>
      </c>
      <c r="D305" s="20" t="str">
        <f>CONCATENATE(J305,"-",C305)</f>
        <v>1164-42927</v>
      </c>
      <c r="E305" s="20" t="str">
        <f>CONCATENATE(T305,"-",U305,"-",C305)</f>
        <v>PO2-D5-42927</v>
      </c>
      <c r="F305" s="20" t="s">
        <v>106</v>
      </c>
      <c r="G305" s="20" t="s">
        <v>107</v>
      </c>
      <c r="I305" s="16">
        <v>0</v>
      </c>
      <c r="J305" s="21">
        <v>1164</v>
      </c>
      <c r="K305" s="21">
        <v>1871</v>
      </c>
      <c r="L305" s="18">
        <v>0</v>
      </c>
      <c r="M305" s="21">
        <f>VLOOKUP($K305,'[4]blood tubes 2017'!$D$1:$L$647,8,FALSE)</f>
        <v>0</v>
      </c>
      <c r="N305" s="15">
        <v>0</v>
      </c>
      <c r="O305" s="15" t="s">
        <v>119</v>
      </c>
      <c r="P305" s="41" t="s">
        <v>119</v>
      </c>
      <c r="Q305" s="16">
        <v>1</v>
      </c>
      <c r="R305" s="16">
        <v>15</v>
      </c>
      <c r="T305" s="16" t="s">
        <v>127</v>
      </c>
      <c r="U305" s="16" t="s">
        <v>183</v>
      </c>
      <c r="V305" s="16" t="s">
        <v>114</v>
      </c>
      <c r="W305" s="16">
        <f>AI305/AG305</f>
        <v>0.8125</v>
      </c>
      <c r="X305" s="16" t="s">
        <v>121</v>
      </c>
      <c r="Y305" s="16" t="s">
        <v>122</v>
      </c>
      <c r="Z305" s="16">
        <v>2.6</v>
      </c>
      <c r="AA305" s="16" t="s">
        <v>119</v>
      </c>
      <c r="AB305" s="16" t="s">
        <v>123</v>
      </c>
      <c r="AC305" s="16" t="s">
        <v>123</v>
      </c>
      <c r="AD305" s="16" t="s">
        <v>123</v>
      </c>
      <c r="AG305" s="16">
        <f>AH305-AI305</f>
        <v>80</v>
      </c>
      <c r="AH305" s="16">
        <v>145</v>
      </c>
      <c r="AI305" s="16">
        <v>65</v>
      </c>
      <c r="AK305" s="16">
        <v>15</v>
      </c>
      <c r="AL305" s="16">
        <v>0</v>
      </c>
      <c r="AM305" s="16">
        <v>0</v>
      </c>
      <c r="AN305" s="16">
        <v>0</v>
      </c>
      <c r="AO305" s="16">
        <v>0</v>
      </c>
      <c r="AP305" s="16">
        <f>SUM(AL305:AN305)</f>
        <v>0</v>
      </c>
      <c r="AQ305" s="16">
        <v>1.7050000000000001</v>
      </c>
      <c r="AR305" s="16">
        <f>AP305-1.472</f>
        <v>-1.472</v>
      </c>
      <c r="AS305" s="16">
        <f>AQ305-1.472</f>
        <v>0.2330000000000001</v>
      </c>
      <c r="AT305" s="16" t="str">
        <f>VLOOKUP(K305,'[5]FECs - good data'!$C$1:$P$575,13,FALSE)</f>
        <v>JB</v>
      </c>
      <c r="AW305" s="18">
        <f>IF(AX305&gt;0,1,0)</f>
        <v>1</v>
      </c>
      <c r="AX305" s="18">
        <f>SUM(BA305,BM305,CT305)</f>
        <v>3</v>
      </c>
      <c r="AY305" s="18">
        <f>SUM(BB305,BN305,CV305)</f>
        <v>815.45064377682377</v>
      </c>
      <c r="AZ305" s="18">
        <f>IF(BA305&gt;0,1,0)</f>
        <v>1</v>
      </c>
      <c r="BA305" s="18">
        <f>SUM(BC305,BF305,BI305)</f>
        <v>2</v>
      </c>
      <c r="BB305" s="18">
        <f>SUM(BE305,BH305,BK305)</f>
        <v>811.15879828326149</v>
      </c>
      <c r="BC305" s="18">
        <f>IF(BD305&gt;0,1,0)</f>
        <v>1</v>
      </c>
      <c r="BD305" s="18">
        <f>VLOOKUP($K305,'[5]FECs - good data'!$C$1:$Z$574,14,FALSE)</f>
        <v>17</v>
      </c>
      <c r="BE305" s="16">
        <f>BD305/AS305</f>
        <v>72.96137339055791</v>
      </c>
      <c r="BF305" s="16">
        <f>IF(BG305&gt;0,1,0)</f>
        <v>1</v>
      </c>
      <c r="BG305" s="23">
        <f>VLOOKUP($K305,'[5]FECs - good data'!$C$1:$Z$574,15,FALSE)</f>
        <v>172</v>
      </c>
      <c r="BH305" s="16">
        <f>BG305/AS305</f>
        <v>738.19742489270357</v>
      </c>
      <c r="BI305" s="16">
        <f>IF(BJ305&gt;0,1,0)</f>
        <v>0</v>
      </c>
      <c r="BJ305" s="16">
        <f>VLOOKUP($K305,'[5]FECs - good data'!$C$1:$Z$574,16,FALSE)</f>
        <v>0</v>
      </c>
      <c r="BK305" s="16">
        <f>BJ305/AS305</f>
        <v>0</v>
      </c>
      <c r="BL305" s="16">
        <f>IF(BM305&gt;0,1,0)</f>
        <v>1</v>
      </c>
      <c r="BM305" s="16">
        <f>SUM(BR305,BU305,BX305,CA305,CD305,CG305,CJ305,CM305,CP305)</f>
        <v>1</v>
      </c>
      <c r="BN305" s="16">
        <f>SUM(BW305,BZ305,CC305,CF305,CI305,CL305,CO305,CR305,BT305)</f>
        <v>4.2918454935622297</v>
      </c>
      <c r="BO305" s="16">
        <f>IF(BP305&gt;0,1,0)</f>
        <v>0</v>
      </c>
      <c r="BP305" s="16">
        <f>SUM(BU305,BX305,CA305,CD305,BR305)</f>
        <v>0</v>
      </c>
      <c r="BQ305" s="16">
        <f>SUM(BZ305,CC305,CF305,BT305,BW305)</f>
        <v>0</v>
      </c>
      <c r="BR305" s="16">
        <f>IF(BS305&gt;0,1,0)</f>
        <v>0</v>
      </c>
      <c r="BS305" s="16">
        <f>VLOOKUP($K305,'[5]FECs - good data'!$C$1:$Z$574,17,FALSE)</f>
        <v>0</v>
      </c>
      <c r="BT305" s="23">
        <f>BS305/AS305</f>
        <v>0</v>
      </c>
      <c r="BU305" s="16">
        <f>IF(BV305&gt;0,1,0)</f>
        <v>0</v>
      </c>
      <c r="BV305" s="16">
        <f>VLOOKUP($K305,'[5]FECs - good data'!$C$1:$Z$574,18,FALSE)</f>
        <v>0</v>
      </c>
      <c r="BW305" s="16">
        <f>BV305/AS305</f>
        <v>0</v>
      </c>
      <c r="BX305" s="16">
        <f>IF(BY305&gt;0,1,0)</f>
        <v>0</v>
      </c>
      <c r="BY305" s="16">
        <f>VLOOKUP($K305,'[5]FECs - good data'!$C$1:$Z$574,19,FALSE)</f>
        <v>0</v>
      </c>
      <c r="BZ305" s="16">
        <f>BY305/AS305</f>
        <v>0</v>
      </c>
      <c r="CA305" s="16">
        <f>IF(CB305&gt;0,1,0)</f>
        <v>0</v>
      </c>
      <c r="CB305" s="16">
        <f>VLOOKUP($K305,'[5]FECs - good data'!$C$1:$Z$574,20,FALSE)</f>
        <v>0</v>
      </c>
      <c r="CC305" s="16">
        <f>CB305/AS305</f>
        <v>0</v>
      </c>
      <c r="CD305" s="23">
        <f>IF(CE305&gt;0,1,0)</f>
        <v>0</v>
      </c>
      <c r="CE305" s="16">
        <f>VLOOKUP($K305,'[5]FECs - good data'!$C$1:$Z$574,21,FALSE)</f>
        <v>0</v>
      </c>
      <c r="CF305" s="16">
        <f>CE305/AS305</f>
        <v>0</v>
      </c>
      <c r="CG305" s="16">
        <f>IF(CH305&gt;0,1,0)</f>
        <v>0</v>
      </c>
      <c r="CH305" s="16">
        <f>VLOOKUP($K305,'[5]FECs - good data'!$C$1:$Z$574,22,FALSE)</f>
        <v>0</v>
      </c>
      <c r="CI305" s="16">
        <f>CH305/AS305</f>
        <v>0</v>
      </c>
      <c r="CJ305" s="16">
        <f>IF(CK305&gt;0,1,0)</f>
        <v>1</v>
      </c>
      <c r="CK305" s="16">
        <f>VLOOKUP($K305,'[5]FECs - good data'!$C$1:$Z$674,24,FALSE)</f>
        <v>1</v>
      </c>
      <c r="CL305" s="16">
        <f>CK305/AS305</f>
        <v>4.2918454935622297</v>
      </c>
      <c r="CS305" s="16">
        <f>IF(CT305&gt;0,1,0)</f>
        <v>0</v>
      </c>
      <c r="CT305" s="16">
        <f>SUM(CW305+CZ305,DC305)</f>
        <v>0</v>
      </c>
      <c r="CV305" s="16">
        <f>SUM(CY305,DB305,DE305)</f>
        <v>0</v>
      </c>
      <c r="CW305" s="16">
        <f>IF(CX305&gt;0,1,0)</f>
        <v>0</v>
      </c>
      <c r="CX305" s="16">
        <f>VLOOKUP($K305,'[5]FECs - good data'!$C$1:$Z$574,22,FALSE)</f>
        <v>0</v>
      </c>
      <c r="CY305" s="16">
        <f>CX305/AS305</f>
        <v>0</v>
      </c>
      <c r="CZ305" s="16">
        <f>IF(DA305&gt;0,1,0)</f>
        <v>0</v>
      </c>
      <c r="DA305" s="16">
        <f>VLOOKUP($K305,'[5]FECs - good data'!$C$1:$Z$5982,23,FALSE)</f>
        <v>0</v>
      </c>
      <c r="DB305" s="16">
        <f>DA305/AS305</f>
        <v>0</v>
      </c>
      <c r="DC305" s="16">
        <f>IF(DD305&gt;0,1,0)</f>
        <v>0</v>
      </c>
      <c r="DD305" s="16">
        <f>VLOOKUP($K305,'[5]FECs - good data'!$C$1:$Z$574,23,FALSE)</f>
        <v>0</v>
      </c>
      <c r="DE305" s="16">
        <f>DD305/AS305</f>
        <v>0</v>
      </c>
      <c r="DF305" s="16" t="e">
        <f>VLOOKUP(K305,'[3]RNA Seq summary tables'!$V$3:$V$99,1,FALSE)</f>
        <v>#N/A</v>
      </c>
      <c r="JR305" s="27"/>
      <c r="JS305" s="27"/>
      <c r="JT305" s="27"/>
      <c r="JU305" s="27"/>
      <c r="JV305" s="27"/>
      <c r="JW305" s="27"/>
      <c r="JX305" s="27"/>
      <c r="JY305" s="27"/>
      <c r="JZ305" s="27"/>
      <c r="KA305" s="27"/>
      <c r="KB305" s="27"/>
    </row>
    <row r="306" spans="2:288" x14ac:dyDescent="0.2">
      <c r="B306" s="16">
        <v>2016</v>
      </c>
      <c r="C306" s="20">
        <v>42573</v>
      </c>
      <c r="D306" s="20" t="str">
        <f>CONCATENATE(J306,"-",C306)</f>
        <v>1165-42573</v>
      </c>
      <c r="E306" s="20" t="str">
        <f>CONCATENATE(T306,"-",U306,"-",C306)</f>
        <v>PO1-G1-42573</v>
      </c>
      <c r="F306" s="20" t="s">
        <v>106</v>
      </c>
      <c r="G306" s="20" t="s">
        <v>107</v>
      </c>
      <c r="H306" s="16" t="s">
        <v>220</v>
      </c>
      <c r="I306" s="16">
        <v>0</v>
      </c>
      <c r="J306" s="36">
        <v>1165</v>
      </c>
      <c r="K306" s="36">
        <v>1500</v>
      </c>
      <c r="L306" s="18">
        <v>0</v>
      </c>
      <c r="M306" s="42">
        <f>VLOOKUP(K306,'[7]MLBS 2016 SNV-nem Coinfection d'!$C$1:$G$238,4,FALSE)</f>
        <v>0</v>
      </c>
      <c r="N306" s="42">
        <v>0</v>
      </c>
      <c r="O306" s="15" t="s">
        <v>119</v>
      </c>
      <c r="P306" s="18" t="s">
        <v>119</v>
      </c>
      <c r="Q306" s="18">
        <v>0</v>
      </c>
      <c r="R306" s="18" t="s">
        <v>111</v>
      </c>
      <c r="S306" s="18"/>
      <c r="T306" s="18" t="s">
        <v>112</v>
      </c>
      <c r="U306" s="18" t="s">
        <v>155</v>
      </c>
      <c r="V306" s="18" t="s">
        <v>114</v>
      </c>
      <c r="W306" s="16">
        <f>AI306/AG306</f>
        <v>1.058139534883721</v>
      </c>
      <c r="X306" s="16" t="s">
        <v>115</v>
      </c>
      <c r="Y306" s="16" t="s">
        <v>110</v>
      </c>
      <c r="Z306" s="16">
        <v>3</v>
      </c>
      <c r="AE306" s="16" t="s">
        <v>116</v>
      </c>
      <c r="AF306" s="16" t="s">
        <v>116</v>
      </c>
      <c r="AG306" s="16">
        <f>AH306-AI306</f>
        <v>86</v>
      </c>
      <c r="AH306" s="16">
        <v>177</v>
      </c>
      <c r="AI306" s="16">
        <v>91</v>
      </c>
      <c r="AK306" s="16">
        <v>18</v>
      </c>
      <c r="AL306" s="16">
        <v>0</v>
      </c>
      <c r="AM306" s="16">
        <v>0</v>
      </c>
      <c r="AN306" s="16">
        <v>0</v>
      </c>
      <c r="AO306" s="16">
        <f>IF(SUM(AL306:AN306)&gt;0,1,0)</f>
        <v>0</v>
      </c>
      <c r="AP306" s="16">
        <f>SUM(AL306:AN306)</f>
        <v>0</v>
      </c>
      <c r="AQ306" s="16">
        <v>1.885</v>
      </c>
      <c r="AR306" s="16">
        <v>0.40799999999999997</v>
      </c>
      <c r="AS306" s="16">
        <v>0.40799999999999997</v>
      </c>
      <c r="AT306" s="16" t="s">
        <v>205</v>
      </c>
      <c r="AU306" s="18" t="s">
        <v>1293</v>
      </c>
      <c r="AV306" s="16">
        <v>0</v>
      </c>
      <c r="AW306" s="18">
        <v>0</v>
      </c>
      <c r="AX306" s="16">
        <v>0</v>
      </c>
      <c r="AY306" s="16">
        <v>0</v>
      </c>
      <c r="AZ306" s="18">
        <v>0</v>
      </c>
      <c r="BA306" s="16">
        <v>0</v>
      </c>
      <c r="BB306" s="16">
        <v>0</v>
      </c>
      <c r="BC306" s="18">
        <v>0</v>
      </c>
      <c r="BD306" s="16">
        <v>0</v>
      </c>
      <c r="BE306" s="16">
        <v>0</v>
      </c>
      <c r="BF306" s="18">
        <v>0</v>
      </c>
      <c r="BG306" s="23">
        <v>0</v>
      </c>
      <c r="BH306" s="16">
        <v>0</v>
      </c>
      <c r="BI306" s="18">
        <v>0</v>
      </c>
      <c r="BJ306" s="16">
        <v>0</v>
      </c>
      <c r="BK306" s="16">
        <v>0</v>
      </c>
      <c r="BL306" s="16">
        <f>IF(BM306&gt;0,1,0)</f>
        <v>0</v>
      </c>
      <c r="BM306" s="16">
        <f>SUM(BR306,BU306,BX306,CA306,CD306,CG306,CJ306,CM306,CP306)</f>
        <v>0</v>
      </c>
      <c r="BN306" s="16">
        <f>SUM(BW306,BZ306,CC306,CF306,CI306,CL306,CO306,CR306,BT306)</f>
        <v>0</v>
      </c>
      <c r="BO306" s="16">
        <f>IF(BP306&gt;0,1,0)</f>
        <v>0</v>
      </c>
      <c r="BP306" s="16">
        <f>SUM(BU306,BX306,CA306,CD306,BR306)</f>
        <v>0</v>
      </c>
      <c r="BQ306" s="16">
        <f>SUM(BZ306,CC306,CF306,BT306,BW306)</f>
        <v>0</v>
      </c>
      <c r="BR306" s="18">
        <v>0</v>
      </c>
      <c r="BS306" s="16">
        <v>0</v>
      </c>
      <c r="BT306" s="23">
        <f>BS306/AS306</f>
        <v>0</v>
      </c>
      <c r="BU306" s="18">
        <v>0</v>
      </c>
      <c r="BV306" s="16">
        <v>0</v>
      </c>
      <c r="BW306" s="18">
        <f>BV306/AS306</f>
        <v>0</v>
      </c>
      <c r="BX306" s="18">
        <v>0</v>
      </c>
      <c r="BY306" s="16">
        <v>0</v>
      </c>
      <c r="BZ306" s="16">
        <f>BY306/AS306</f>
        <v>0</v>
      </c>
      <c r="CA306" s="24">
        <v>0</v>
      </c>
      <c r="CB306" s="16">
        <v>0</v>
      </c>
      <c r="CC306" s="16">
        <v>0</v>
      </c>
      <c r="CD306" s="25">
        <v>0</v>
      </c>
      <c r="CE306" s="16">
        <v>0</v>
      </c>
      <c r="CF306" s="16">
        <v>0</v>
      </c>
      <c r="CP306" s="16" t="s">
        <v>123</v>
      </c>
      <c r="CQ306" s="16">
        <v>0</v>
      </c>
      <c r="CR306" s="16">
        <v>0</v>
      </c>
      <c r="CS306" s="18">
        <f>IF(CT306&gt;0,1,0)</f>
        <v>0</v>
      </c>
      <c r="CT306" s="25">
        <f>SUM(CW306,CZ306,DC306)</f>
        <v>0</v>
      </c>
      <c r="CU306" s="25"/>
      <c r="CV306" s="16">
        <v>0</v>
      </c>
      <c r="CW306" s="25">
        <v>0</v>
      </c>
      <c r="CX306" s="16">
        <v>0</v>
      </c>
      <c r="CY306" s="16">
        <v>0</v>
      </c>
      <c r="CZ306" s="18">
        <v>0</v>
      </c>
      <c r="DA306" s="16">
        <v>0</v>
      </c>
      <c r="DB306" s="16">
        <v>0</v>
      </c>
      <c r="DC306" s="18">
        <v>0</v>
      </c>
      <c r="DD306" s="16">
        <v>0</v>
      </c>
      <c r="DE306" s="16">
        <v>0</v>
      </c>
      <c r="DF306" s="16" t="e">
        <f>VLOOKUP(K306,'[3]RNA Seq summary tables'!$V$3:$V$99,1,FALSE)</f>
        <v>#N/A</v>
      </c>
      <c r="DG306" s="16">
        <v>1</v>
      </c>
      <c r="DH306" s="16" t="str">
        <f>VLOOKUP(D306,'[8]Data with duplicates'!$B$1:$J$70,9,FALSE)</f>
        <v>sample.21</v>
      </c>
    </row>
    <row r="307" spans="2:288" x14ac:dyDescent="0.2">
      <c r="B307" s="16">
        <v>2017</v>
      </c>
      <c r="C307" s="20">
        <v>42912</v>
      </c>
      <c r="D307" s="20" t="str">
        <f>CONCATENATE(J307,"-",C307)</f>
        <v>1165-42912</v>
      </c>
      <c r="E307" s="20" t="str">
        <f>CONCATENATE(T307,"-",U307,"-",C307)</f>
        <v>PO2-H8-42912</v>
      </c>
      <c r="F307" s="20" t="s">
        <v>106</v>
      </c>
      <c r="G307" s="20" t="s">
        <v>107</v>
      </c>
      <c r="I307" s="16">
        <v>0</v>
      </c>
      <c r="J307" s="21">
        <v>1165</v>
      </c>
      <c r="K307" s="21">
        <v>1757</v>
      </c>
      <c r="L307" s="18">
        <v>0</v>
      </c>
      <c r="M307" s="21">
        <f>VLOOKUP($K307,'[4]blood tubes 2017'!$D$1:$L$647,8,FALSE)</f>
        <v>0</v>
      </c>
      <c r="N307" s="15">
        <v>0</v>
      </c>
      <c r="O307" s="15" t="s">
        <v>119</v>
      </c>
      <c r="P307" s="16" t="s">
        <v>119</v>
      </c>
      <c r="Q307" s="16">
        <v>0</v>
      </c>
      <c r="R307" s="16">
        <v>339</v>
      </c>
      <c r="T307" s="16" t="s">
        <v>127</v>
      </c>
      <c r="U307" s="16" t="s">
        <v>152</v>
      </c>
      <c r="V307" s="16" t="s">
        <v>114</v>
      </c>
      <c r="W307" s="16">
        <f>AI307/AG307</f>
        <v>0.7640449438202247</v>
      </c>
      <c r="X307" s="16" t="s">
        <v>115</v>
      </c>
      <c r="Y307" s="16" t="s">
        <v>110</v>
      </c>
      <c r="Z307" s="16">
        <v>3</v>
      </c>
      <c r="AE307" s="16" t="s">
        <v>123</v>
      </c>
      <c r="AF307" s="16" t="s">
        <v>123</v>
      </c>
      <c r="AG307" s="16">
        <f>AH307-AI307</f>
        <v>89</v>
      </c>
      <c r="AH307" s="16">
        <v>157</v>
      </c>
      <c r="AI307" s="16">
        <v>68</v>
      </c>
      <c r="AK307" s="16">
        <v>17</v>
      </c>
      <c r="AL307" s="16">
        <v>0</v>
      </c>
      <c r="AM307" s="16">
        <v>0</v>
      </c>
      <c r="AN307" s="16">
        <v>0</v>
      </c>
      <c r="AO307" s="16">
        <v>0</v>
      </c>
      <c r="AP307" s="16">
        <f>SUM(AL307:AN307)</f>
        <v>0</v>
      </c>
      <c r="AQ307" s="16">
        <v>1.7170000000000001</v>
      </c>
      <c r="AR307" s="16">
        <f>AP307-1.472</f>
        <v>-1.472</v>
      </c>
      <c r="AS307" s="16">
        <f>AQ307-1.472</f>
        <v>0.24500000000000011</v>
      </c>
      <c r="AT307" s="16" t="s">
        <v>164</v>
      </c>
      <c r="AW307" s="16">
        <f>IF(AX307&gt;0,1,0)</f>
        <v>1</v>
      </c>
      <c r="AX307" s="16">
        <f>SUM(BA307,BM307,CT307)</f>
        <v>1</v>
      </c>
      <c r="AY307" s="18">
        <f>SUM(BB307,BN307,CV307)</f>
        <v>28.571428571428559</v>
      </c>
      <c r="AZ307" s="16">
        <f>IF(BA307&gt;0,1,0)</f>
        <v>0</v>
      </c>
      <c r="BA307" s="16">
        <f>SUM(BC307,BF307,BI307)</f>
        <v>0</v>
      </c>
      <c r="BB307" s="16">
        <f>SUM(BE307,BH307,BK307)</f>
        <v>0</v>
      </c>
      <c r="BC307" s="16">
        <v>0</v>
      </c>
      <c r="BD307" s="16">
        <v>0</v>
      </c>
      <c r="BE307" s="16">
        <f>BD307/AS307</f>
        <v>0</v>
      </c>
      <c r="BF307" s="16">
        <v>0</v>
      </c>
      <c r="BG307" s="23">
        <v>0</v>
      </c>
      <c r="BH307" s="16">
        <f>BG307/AS307</f>
        <v>0</v>
      </c>
      <c r="BI307" s="16">
        <v>0</v>
      </c>
      <c r="BJ307" s="16">
        <v>0</v>
      </c>
      <c r="BK307" s="16">
        <f>BJ307/AS307</f>
        <v>0</v>
      </c>
      <c r="BL307" s="16">
        <f>IF(BM307&gt;0,1,0)</f>
        <v>1</v>
      </c>
      <c r="BM307" s="16">
        <f>SUM(BR307,BU307,BX307,CA307,CD307,CG307,CJ307,CM307,CP307)</f>
        <v>1</v>
      </c>
      <c r="BN307" s="16">
        <f>SUM(BW307,BZ307,CC307,CF307,CI307,CL307,CO307,CR307,BT307)</f>
        <v>28.571428571428559</v>
      </c>
      <c r="BO307" s="16">
        <f>IF(BP307&gt;0,1,0)</f>
        <v>1</v>
      </c>
      <c r="BP307" s="16">
        <f>SUM(BU307,BX307,CA307,CD307,BR307)</f>
        <v>1</v>
      </c>
      <c r="BQ307" s="16">
        <f>SUM(BZ307,CC307,CF307,BT307,BW307)</f>
        <v>28.571428571428559</v>
      </c>
      <c r="BR307" s="16">
        <v>1</v>
      </c>
      <c r="BS307" s="16">
        <v>7</v>
      </c>
      <c r="BT307" s="23">
        <f>BS307/AS307</f>
        <v>28.571428571428559</v>
      </c>
      <c r="BU307" s="16">
        <v>0</v>
      </c>
      <c r="BV307" s="16">
        <v>0</v>
      </c>
      <c r="BW307" s="16">
        <f>BV307/AS307</f>
        <v>0</v>
      </c>
      <c r="BX307" s="16">
        <v>0</v>
      </c>
      <c r="BY307" s="16">
        <v>0</v>
      </c>
      <c r="BZ307" s="16">
        <f>BY307/AS307</f>
        <v>0</v>
      </c>
      <c r="CA307" s="16">
        <v>0</v>
      </c>
      <c r="CB307" s="16">
        <v>0</v>
      </c>
      <c r="CC307" s="16">
        <v>0</v>
      </c>
      <c r="CD307" s="23">
        <v>0</v>
      </c>
      <c r="CE307" s="16">
        <v>0</v>
      </c>
      <c r="CF307" s="16">
        <f>CE307/AS307</f>
        <v>0</v>
      </c>
      <c r="CG307" s="16">
        <v>0</v>
      </c>
      <c r="CH307" s="16">
        <v>0</v>
      </c>
      <c r="CI307" s="16">
        <f>CH307/AS307</f>
        <v>0</v>
      </c>
      <c r="CM307" s="16">
        <v>0</v>
      </c>
      <c r="CN307" s="16">
        <v>0</v>
      </c>
      <c r="CO307" s="16">
        <f>CN307/AS307</f>
        <v>0</v>
      </c>
      <c r="CP307" s="16">
        <v>0</v>
      </c>
      <c r="CQ307" s="16">
        <v>0</v>
      </c>
      <c r="CR307" s="16">
        <f>CQ307/AS307</f>
        <v>0</v>
      </c>
      <c r="CS307" s="16">
        <f>IF(CT307&gt;0,1,0)</f>
        <v>0</v>
      </c>
      <c r="CT307" s="16">
        <f>SUM(CW307,CZ307,DC307)</f>
        <v>0</v>
      </c>
      <c r="CV307" s="16">
        <f>SUM(CY307,DB307,DE307)</f>
        <v>0</v>
      </c>
      <c r="CW307" s="16">
        <v>0</v>
      </c>
      <c r="CX307" s="16">
        <v>0</v>
      </c>
      <c r="CY307" s="16">
        <f>CX307/AS307</f>
        <v>0</v>
      </c>
      <c r="CZ307" s="16">
        <v>0</v>
      </c>
      <c r="DA307" s="16">
        <v>0</v>
      </c>
      <c r="DB307" s="16">
        <f>DA307/AS307</f>
        <v>0</v>
      </c>
      <c r="DC307" s="16">
        <v>0</v>
      </c>
      <c r="DD307" s="16">
        <v>0</v>
      </c>
      <c r="DE307" s="16">
        <f>DD307/AS307</f>
        <v>0</v>
      </c>
      <c r="DF307" s="16" t="e">
        <f>VLOOKUP(K307,'[3]RNA Seq summary tables'!$V$3:$V$99,1,FALSE)</f>
        <v>#N/A</v>
      </c>
      <c r="DI307" s="16">
        <v>60</v>
      </c>
      <c r="DK307" s="16">
        <v>24</v>
      </c>
      <c r="DM307" s="16">
        <v>16</v>
      </c>
      <c r="DO307" s="16">
        <v>0</v>
      </c>
      <c r="DQ307" s="16">
        <v>0</v>
      </c>
      <c r="DR307" s="16">
        <f>SUM(DI307:DQ307)</f>
        <v>100</v>
      </c>
      <c r="JR307" s="18"/>
      <c r="JS307" s="18"/>
      <c r="JT307" s="18"/>
      <c r="JU307" s="18"/>
      <c r="JV307" s="18"/>
      <c r="JW307" s="18"/>
      <c r="JX307" s="18"/>
      <c r="JY307" s="18"/>
      <c r="JZ307" s="18"/>
      <c r="KA307" s="18"/>
      <c r="KB307" s="18"/>
    </row>
    <row r="308" spans="2:288" x14ac:dyDescent="0.2">
      <c r="B308" s="16">
        <v>2017</v>
      </c>
      <c r="C308" s="20">
        <v>42929</v>
      </c>
      <c r="D308" s="20" t="str">
        <f>CONCATENATE(J308,"-",C308)</f>
        <v>1165-42929</v>
      </c>
      <c r="E308" s="20" t="str">
        <f>CONCATENATE(T308,"-",U308,"-",C308)</f>
        <v>PO2-H8-42929</v>
      </c>
      <c r="F308" s="20" t="s">
        <v>106</v>
      </c>
      <c r="G308" s="20" t="s">
        <v>107</v>
      </c>
      <c r="I308" s="16">
        <v>0</v>
      </c>
      <c r="J308" s="21">
        <v>1165</v>
      </c>
      <c r="K308" s="21">
        <v>1895</v>
      </c>
      <c r="L308" s="18">
        <v>0</v>
      </c>
      <c r="M308" s="21">
        <f>VLOOKUP($K308,'[4]blood tubes 2017'!$D$1:$L$647,8,FALSE)</f>
        <v>0</v>
      </c>
      <c r="N308" s="15">
        <v>0</v>
      </c>
      <c r="O308" s="15" t="s">
        <v>119</v>
      </c>
      <c r="P308" s="16" t="s">
        <v>119</v>
      </c>
      <c r="Q308" s="16">
        <v>0</v>
      </c>
      <c r="R308" s="16">
        <v>17</v>
      </c>
      <c r="T308" s="16" t="s">
        <v>127</v>
      </c>
      <c r="U308" s="16" t="s">
        <v>152</v>
      </c>
      <c r="V308" s="16" t="s">
        <v>114</v>
      </c>
      <c r="W308" s="16">
        <f>AI308/AG308</f>
        <v>0.8089887640449438</v>
      </c>
      <c r="X308" s="16" t="s">
        <v>115</v>
      </c>
      <c r="Y308" s="16" t="s">
        <v>110</v>
      </c>
      <c r="Z308" s="16">
        <v>3</v>
      </c>
      <c r="AE308" s="16" t="s">
        <v>123</v>
      </c>
      <c r="AF308" s="16" t="s">
        <v>123</v>
      </c>
      <c r="AG308" s="16">
        <f>AH308-AI308</f>
        <v>89</v>
      </c>
      <c r="AH308" s="16">
        <v>161</v>
      </c>
      <c r="AI308" s="16">
        <v>72</v>
      </c>
      <c r="AK308" s="16">
        <v>18</v>
      </c>
      <c r="AL308" s="16">
        <v>0</v>
      </c>
      <c r="AM308" s="16">
        <v>0</v>
      </c>
      <c r="AN308" s="16">
        <v>0</v>
      </c>
      <c r="AO308" s="16">
        <v>0</v>
      </c>
      <c r="AP308" s="16">
        <f>SUM(AL308:AN308)</f>
        <v>0</v>
      </c>
      <c r="AQ308" s="16">
        <v>1.6659999999999999</v>
      </c>
      <c r="AR308" s="16">
        <f>AP308-1.472</f>
        <v>-1.472</v>
      </c>
      <c r="AS308" s="16">
        <f>AQ308-1.472</f>
        <v>0.19399999999999995</v>
      </c>
      <c r="AT308" s="16" t="str">
        <f>VLOOKUP(K308,'[5]FECs - good data'!$C$1:$P$575,13,FALSE)</f>
        <v>JB</v>
      </c>
      <c r="AW308" s="18">
        <f>IF(AX308&gt;0,1,0)</f>
        <v>1</v>
      </c>
      <c r="AX308" s="18">
        <f>SUM(BA308,BM308,CT308)</f>
        <v>4</v>
      </c>
      <c r="AY308" s="18">
        <f>SUM(BB308,BN308,CV308)</f>
        <v>15500.000000000005</v>
      </c>
      <c r="AZ308" s="18">
        <f>IF(BA308&gt;0,1,0)</f>
        <v>1</v>
      </c>
      <c r="BA308" s="18">
        <f>SUM(BC308,BF308,BI308)</f>
        <v>3</v>
      </c>
      <c r="BB308" s="18">
        <f>SUM(BE308,BH308,BK308)</f>
        <v>15474.226804123717</v>
      </c>
      <c r="BC308" s="18">
        <f>IF(BD308&gt;0,1,0)</f>
        <v>1</v>
      </c>
      <c r="BD308" s="18">
        <f>VLOOKUP($K308,'[5]FECs - good data'!$C$1:$Z$574,14,FALSE)</f>
        <v>257</v>
      </c>
      <c r="BE308" s="16">
        <f>BD308/AS308</f>
        <v>1324.7422680412374</v>
      </c>
      <c r="BF308" s="16">
        <f>IF(BG308&gt;0,1,0)</f>
        <v>1</v>
      </c>
      <c r="BG308" s="23">
        <f>VLOOKUP($K308,'[5]FECs - good data'!$C$1:$Z$574,15,FALSE)</f>
        <v>2716</v>
      </c>
      <c r="BH308" s="16">
        <f>BG308/AS308</f>
        <v>14000.000000000004</v>
      </c>
      <c r="BI308" s="16">
        <f>IF(BJ308&gt;0,1,0)</f>
        <v>1</v>
      </c>
      <c r="BJ308" s="16">
        <f>VLOOKUP($K308,'[5]FECs - good data'!$C$1:$Z$574,16,FALSE)</f>
        <v>29</v>
      </c>
      <c r="BK308" s="16">
        <f>BJ308/AS308</f>
        <v>149.48453608247428</v>
      </c>
      <c r="BL308" s="16">
        <f>IF(BM308&gt;0,1,0)</f>
        <v>1</v>
      </c>
      <c r="BM308" s="16">
        <f>SUM(BR308,BU308,BX308,CA308,CD308,CG308,CJ308,CM308,CP308)</f>
        <v>1</v>
      </c>
      <c r="BN308" s="16">
        <f>SUM(BW308,BZ308,CC308,CF308,CI308,CL308,CO308,CR308,BT308)</f>
        <v>25.773195876288668</v>
      </c>
      <c r="BO308" s="16">
        <f>IF(BP308&gt;0,1,0)</f>
        <v>1</v>
      </c>
      <c r="BP308" s="16">
        <f>SUM(BU308,BX308,CA308,CD308,BR308)</f>
        <v>1</v>
      </c>
      <c r="BQ308" s="16">
        <f>SUM(BZ308,CC308,CF308,BT308,BW308)</f>
        <v>25.773195876288668</v>
      </c>
      <c r="BR308" s="16">
        <f>IF(BS308&gt;0,1,0)</f>
        <v>0</v>
      </c>
      <c r="BS308" s="16">
        <f>VLOOKUP($K308,'[5]FECs - good data'!$C$1:$Z$574,17,FALSE)</f>
        <v>0</v>
      </c>
      <c r="BT308" s="23">
        <f>BS308/AS308</f>
        <v>0</v>
      </c>
      <c r="BU308" s="16">
        <f>IF(BV308&gt;0,1,0)</f>
        <v>0</v>
      </c>
      <c r="BV308" s="16">
        <f>VLOOKUP($K308,'[5]FECs - good data'!$C$1:$Z$574,18,FALSE)</f>
        <v>0</v>
      </c>
      <c r="BW308" s="16">
        <f>BV308/AS308</f>
        <v>0</v>
      </c>
      <c r="BX308" s="16">
        <f>IF(BY308&gt;0,1,0)</f>
        <v>1</v>
      </c>
      <c r="BY308" s="16">
        <f>VLOOKUP($K308,'[5]FECs - good data'!$C$1:$Z$574,19,FALSE)</f>
        <v>5</v>
      </c>
      <c r="BZ308" s="16">
        <f>BY308/AS308</f>
        <v>25.773195876288668</v>
      </c>
      <c r="CA308" s="16">
        <f>IF(CB308&gt;0,1,0)</f>
        <v>0</v>
      </c>
      <c r="CB308" s="16">
        <f>VLOOKUP($K308,'[5]FECs - good data'!$C$1:$Z$574,20,FALSE)</f>
        <v>0</v>
      </c>
      <c r="CC308" s="16">
        <f>CB308/AS308</f>
        <v>0</v>
      </c>
      <c r="CD308" s="23">
        <f>IF(CE308&gt;0,1,0)</f>
        <v>0</v>
      </c>
      <c r="CE308" s="16">
        <f>VLOOKUP($K308,'[5]FECs - good data'!$C$1:$Z$574,21,FALSE)</f>
        <v>0</v>
      </c>
      <c r="CF308" s="16">
        <f>CE308/AS308</f>
        <v>0</v>
      </c>
      <c r="CG308" s="16">
        <f>IF(CH308&gt;0,1,0)</f>
        <v>0</v>
      </c>
      <c r="CH308" s="16">
        <f>VLOOKUP($K308,'[5]FECs - good data'!$C$1:$Z$574,22,FALSE)</f>
        <v>0</v>
      </c>
      <c r="CI308" s="16">
        <f>CH308/AS308</f>
        <v>0</v>
      </c>
      <c r="CJ308" s="16">
        <f>IF(CK308&gt;0,1,0)</f>
        <v>0</v>
      </c>
      <c r="CK308" s="16">
        <f>VLOOKUP($K308,'[5]FECs - good data'!$C$1:$Z$674,24,FALSE)</f>
        <v>0</v>
      </c>
      <c r="CL308" s="16">
        <f>CK308/AS308</f>
        <v>0</v>
      </c>
      <c r="CS308" s="16">
        <f>IF(CT308&gt;0,1,0)</f>
        <v>0</v>
      </c>
      <c r="CT308" s="16">
        <f>SUM(CW308+CZ308,DC308)</f>
        <v>0</v>
      </c>
      <c r="CV308" s="16">
        <f>SUM(CY308,DB308,DE308)</f>
        <v>0</v>
      </c>
      <c r="CW308" s="16">
        <f>IF(CX308&gt;0,1,0)</f>
        <v>0</v>
      </c>
      <c r="CX308" s="16">
        <f>VLOOKUP($K308,'[5]FECs - good data'!$C$1:$Z$574,22,FALSE)</f>
        <v>0</v>
      </c>
      <c r="CY308" s="16">
        <f>CX308/AS308</f>
        <v>0</v>
      </c>
      <c r="CZ308" s="16">
        <f>IF(DA308&gt;0,1,0)</f>
        <v>0</v>
      </c>
      <c r="DA308" s="16">
        <f>VLOOKUP($K308,'[5]FECs - good data'!$C$1:$Z$5982,23,FALSE)</f>
        <v>0</v>
      </c>
      <c r="DB308" s="16">
        <f>DA308/AS308</f>
        <v>0</v>
      </c>
      <c r="DC308" s="16">
        <f>IF(DD308&gt;0,1,0)</f>
        <v>0</v>
      </c>
      <c r="DD308" s="16">
        <f>VLOOKUP($K308,'[5]FECs - good data'!$C$1:$Z$574,23,FALSE)</f>
        <v>0</v>
      </c>
      <c r="DE308" s="16">
        <f>DD308/AS308</f>
        <v>0</v>
      </c>
      <c r="DF308" s="16" t="e">
        <f>VLOOKUP(K308,'[3]RNA Seq summary tables'!$V$3:$V$99,1,FALSE)</f>
        <v>#N/A</v>
      </c>
      <c r="JR308" s="27"/>
      <c r="JS308" s="27"/>
      <c r="JT308" s="27"/>
      <c r="JU308" s="27"/>
      <c r="JV308" s="27"/>
      <c r="JW308" s="27"/>
      <c r="JX308" s="27"/>
      <c r="JY308" s="27"/>
      <c r="JZ308" s="27"/>
      <c r="KA308" s="27"/>
      <c r="KB308" s="27"/>
    </row>
    <row r="309" spans="2:288" x14ac:dyDescent="0.2">
      <c r="B309" s="16">
        <v>2017</v>
      </c>
      <c r="C309" s="20">
        <v>42945</v>
      </c>
      <c r="D309" s="20" t="str">
        <f>CONCATENATE(J309,"-",C309)</f>
        <v>1165-42945</v>
      </c>
      <c r="E309" s="20" t="str">
        <f>CONCATENATE(T309,"-",U309,"-",C309)</f>
        <v>PO2-G6-42945</v>
      </c>
      <c r="F309" s="20" t="s">
        <v>106</v>
      </c>
      <c r="G309" s="20" t="s">
        <v>107</v>
      </c>
      <c r="I309" s="16">
        <v>0</v>
      </c>
      <c r="J309" s="21">
        <v>1165</v>
      </c>
      <c r="K309" s="21">
        <v>1998</v>
      </c>
      <c r="L309" s="18">
        <v>0</v>
      </c>
      <c r="M309" s="21">
        <f>VLOOKUP($K309,'[4]blood tubes 2017'!$D$1:$L$647,8,FALSE)</f>
        <v>0</v>
      </c>
      <c r="N309" s="15">
        <v>0</v>
      </c>
      <c r="O309" s="15" t="s">
        <v>119</v>
      </c>
      <c r="P309" s="16" t="s">
        <v>119</v>
      </c>
      <c r="Q309" s="16">
        <v>0</v>
      </c>
      <c r="R309" s="16">
        <v>16</v>
      </c>
      <c r="T309" s="16" t="s">
        <v>127</v>
      </c>
      <c r="U309" s="16" t="s">
        <v>218</v>
      </c>
      <c r="V309" s="16" t="s">
        <v>114</v>
      </c>
      <c r="W309" s="16">
        <f>AI309/AG309</f>
        <v>0.80434782608695654</v>
      </c>
      <c r="X309" s="16" t="s">
        <v>115</v>
      </c>
      <c r="Y309" s="16" t="s">
        <v>110</v>
      </c>
      <c r="Z309" s="16">
        <v>3</v>
      </c>
      <c r="AE309" s="16" t="s">
        <v>116</v>
      </c>
      <c r="AF309" s="16" t="s">
        <v>116</v>
      </c>
      <c r="AG309" s="16">
        <f>AH309-AI309</f>
        <v>92</v>
      </c>
      <c r="AH309" s="16">
        <v>166</v>
      </c>
      <c r="AI309" s="16">
        <v>74</v>
      </c>
      <c r="AK309" s="16">
        <v>23</v>
      </c>
      <c r="AL309" s="16">
        <v>0</v>
      </c>
      <c r="AM309" s="16">
        <v>0</v>
      </c>
      <c r="AN309" s="16">
        <v>0</v>
      </c>
      <c r="AO309" s="16">
        <v>0</v>
      </c>
      <c r="AP309" s="16">
        <f>SUM(AL309:AN309)</f>
        <v>0</v>
      </c>
      <c r="AQ309" s="16">
        <v>1.901</v>
      </c>
      <c r="AR309" s="16">
        <f>AP309-1.472</f>
        <v>-1.472</v>
      </c>
      <c r="AS309" s="16">
        <f>AQ309-1.472</f>
        <v>0.42900000000000005</v>
      </c>
      <c r="AT309" s="16" t="str">
        <f>VLOOKUP(K309,'[5]FECs - good data'!$C$1:$P$575,13,FALSE)</f>
        <v>SB</v>
      </c>
      <c r="AU309" s="18" t="s">
        <v>1293</v>
      </c>
      <c r="AV309" s="16">
        <v>0</v>
      </c>
      <c r="AW309" s="18">
        <f>IF(AX309&gt;0,1,0)</f>
        <v>0</v>
      </c>
      <c r="AX309" s="18">
        <f>SUM(BA309,BM309,CT309)</f>
        <v>0</v>
      </c>
      <c r="AY309" s="18">
        <f>SUM(BB309,BN309,CV309)</f>
        <v>0</v>
      </c>
      <c r="AZ309" s="18">
        <f>IF(BA309&gt;0,1,0)</f>
        <v>0</v>
      </c>
      <c r="BA309" s="18">
        <f>SUM(BC309,BF309,BI309)</f>
        <v>0</v>
      </c>
      <c r="BB309" s="18">
        <f>SUM(BE309,BH309,BK309)</f>
        <v>0</v>
      </c>
      <c r="BC309" s="18">
        <f>IF(BD309&gt;0,1,0)</f>
        <v>0</v>
      </c>
      <c r="BD309" s="18">
        <f>VLOOKUP($K309,'[5]FECs - good data'!$C$1:$Z$574,14,FALSE)</f>
        <v>0</v>
      </c>
      <c r="BE309" s="16">
        <f>BD309/AS309</f>
        <v>0</v>
      </c>
      <c r="BF309" s="16">
        <f>IF(BG309&gt;0,1,0)</f>
        <v>0</v>
      </c>
      <c r="BG309" s="23">
        <f>VLOOKUP($K309,'[5]FECs - good data'!$C$1:$Z$574,15,FALSE)</f>
        <v>0</v>
      </c>
      <c r="BH309" s="16">
        <f>BG309/AS309</f>
        <v>0</v>
      </c>
      <c r="BI309" s="16">
        <f>IF(BJ309&gt;0,1,0)</f>
        <v>0</v>
      </c>
      <c r="BJ309" s="16">
        <f>VLOOKUP($K309,'[5]FECs - good data'!$C$1:$Z$574,16,FALSE)</f>
        <v>0</v>
      </c>
      <c r="BK309" s="16">
        <f>BJ309/AS309</f>
        <v>0</v>
      </c>
      <c r="BL309" s="16">
        <f>IF(BM309&gt;0,1,0)</f>
        <v>0</v>
      </c>
      <c r="BM309" s="16">
        <f>SUM(BR309,BU309,BX309,CA309,CD309,CG309,CJ309,CM309,CP309)</f>
        <v>0</v>
      </c>
      <c r="BN309" s="16">
        <f>SUM(BW309,BZ309,CC309,CF309,CI309,CL309,CO309,CR309,BT309)</f>
        <v>0</v>
      </c>
      <c r="BO309" s="16">
        <f>IF(BP309&gt;0,1,0)</f>
        <v>0</v>
      </c>
      <c r="BP309" s="16">
        <f>SUM(BU309,BX309,CA309,CD309,BR309)</f>
        <v>0</v>
      </c>
      <c r="BQ309" s="16">
        <f>SUM(BZ309,CC309,CF309,BT309,BW309)</f>
        <v>0</v>
      </c>
      <c r="BR309" s="16">
        <f>IF(BS309&gt;0,1,0)</f>
        <v>0</v>
      </c>
      <c r="BS309" s="16">
        <f>VLOOKUP($K309,'[5]FECs - good data'!$C$1:$Z$574,17,FALSE)</f>
        <v>0</v>
      </c>
      <c r="BT309" s="23">
        <f>BS309/AS309</f>
        <v>0</v>
      </c>
      <c r="BU309" s="16">
        <f>IF(BV309&gt;0,1,0)</f>
        <v>0</v>
      </c>
      <c r="BV309" s="16">
        <f>VLOOKUP($K309,'[5]FECs - good data'!$C$1:$Z$574,18,FALSE)</f>
        <v>0</v>
      </c>
      <c r="BW309" s="16">
        <f>BV309/AS309</f>
        <v>0</v>
      </c>
      <c r="BX309" s="16">
        <f>IF(BY309&gt;0,1,0)</f>
        <v>0</v>
      </c>
      <c r="BY309" s="16">
        <f>VLOOKUP($K309,'[5]FECs - good data'!$C$1:$Z$574,19,FALSE)</f>
        <v>0</v>
      </c>
      <c r="BZ309" s="16">
        <f>BY309/AS309</f>
        <v>0</v>
      </c>
      <c r="CA309" s="16">
        <f>IF(CB309&gt;0,1,0)</f>
        <v>0</v>
      </c>
      <c r="CB309" s="16">
        <f>VLOOKUP($K309,'[5]FECs - good data'!$C$1:$Z$574,20,FALSE)</f>
        <v>0</v>
      </c>
      <c r="CC309" s="16">
        <f>CB309/AS309</f>
        <v>0</v>
      </c>
      <c r="CD309" s="23">
        <f>IF(CE309&gt;0,1,0)</f>
        <v>0</v>
      </c>
      <c r="CE309" s="16">
        <f>VLOOKUP($K309,'[5]FECs - good data'!$C$1:$Z$574,21,FALSE)</f>
        <v>0</v>
      </c>
      <c r="CF309" s="16">
        <f>CE309/AS309</f>
        <v>0</v>
      </c>
      <c r="CG309" s="16">
        <f>IF(CH309&gt;0,1,0)</f>
        <v>0</v>
      </c>
      <c r="CH309" s="16">
        <f>VLOOKUP($K309,'[5]FECs - good data'!$C$1:$Z$574,22,FALSE)</f>
        <v>0</v>
      </c>
      <c r="CI309" s="16">
        <f>CH309/AS309</f>
        <v>0</v>
      </c>
      <c r="CJ309" s="16">
        <f>IF(CK309&gt;0,1,0)</f>
        <v>0</v>
      </c>
      <c r="CK309" s="16">
        <f>VLOOKUP($K309,'[5]FECs - good data'!$C$1:$Z$674,24,FALSE)</f>
        <v>0</v>
      </c>
      <c r="CL309" s="16">
        <f>CK309/AS309</f>
        <v>0</v>
      </c>
      <c r="CS309" s="16">
        <f>IF(CT309&gt;0,1,0)</f>
        <v>0</v>
      </c>
      <c r="CT309" s="16">
        <f>SUM(CW309+CZ309,DC309)</f>
        <v>0</v>
      </c>
      <c r="CV309" s="16">
        <f>SUM(CY309,DB309,DE309)</f>
        <v>0</v>
      </c>
      <c r="CW309" s="16">
        <f>IF(CX309&gt;0,1,0)</f>
        <v>0</v>
      </c>
      <c r="CX309" s="16">
        <f>VLOOKUP($K309,'[5]FECs - good data'!$C$1:$Z$574,22,FALSE)</f>
        <v>0</v>
      </c>
      <c r="CY309" s="16">
        <f>CX309/AS309</f>
        <v>0</v>
      </c>
      <c r="CZ309" s="16">
        <f>IF(DA309&gt;0,1,0)</f>
        <v>0</v>
      </c>
      <c r="DA309" s="16">
        <f>VLOOKUP($K309,'[5]FECs - good data'!$C$1:$Z$5982,23,FALSE)</f>
        <v>0</v>
      </c>
      <c r="DB309" s="16">
        <f>DA309/AS309</f>
        <v>0</v>
      </c>
      <c r="DC309" s="16">
        <f>IF(DD309&gt;0,1,0)</f>
        <v>0</v>
      </c>
      <c r="DD309" s="16">
        <f>VLOOKUP($K309,'[5]FECs - good data'!$C$1:$Z$574,23,FALSE)</f>
        <v>0</v>
      </c>
      <c r="DE309" s="16">
        <f>DD309/AS309</f>
        <v>0</v>
      </c>
      <c r="DF309" s="16" t="e">
        <f>VLOOKUP(K309,'[3]RNA Seq summary tables'!$V$3:$V$99,1,FALSE)</f>
        <v>#N/A</v>
      </c>
      <c r="DG309" s="16">
        <v>1</v>
      </c>
      <c r="DH309" s="16" t="str">
        <f>VLOOKUP(D309,'[6]workflow 3.2018'!$A$1:$S$237,2,FALSE)</f>
        <v>2017MLBS_110</v>
      </c>
    </row>
    <row r="310" spans="2:288" x14ac:dyDescent="0.2">
      <c r="B310" s="16">
        <v>2017</v>
      </c>
      <c r="C310" s="20">
        <v>42963</v>
      </c>
      <c r="D310" s="20" t="str">
        <f>CONCATENATE(J310,"-",C310)</f>
        <v>1165-42963</v>
      </c>
      <c r="E310" s="20" t="str">
        <f>CONCATENATE(T310,"-",U310,"-",C310)</f>
        <v>PO2-G6-42963</v>
      </c>
      <c r="F310" s="20" t="s">
        <v>106</v>
      </c>
      <c r="G310" s="20" t="s">
        <v>107</v>
      </c>
      <c r="I310" s="16">
        <v>0</v>
      </c>
      <c r="J310" s="21">
        <v>1165</v>
      </c>
      <c r="K310" s="21">
        <v>2163</v>
      </c>
      <c r="L310" s="18">
        <v>0</v>
      </c>
      <c r="M310" s="21">
        <f>VLOOKUP($K310,'[4]blood tubes 2017'!$D$1:$L$647,8,FALSE)</f>
        <v>0</v>
      </c>
      <c r="N310" s="15">
        <v>0</v>
      </c>
      <c r="O310" s="15" t="s">
        <v>119</v>
      </c>
      <c r="P310" s="16" t="s">
        <v>119</v>
      </c>
      <c r="Q310" s="16">
        <v>0</v>
      </c>
      <c r="R310" s="16">
        <v>18</v>
      </c>
      <c r="T310" s="16" t="s">
        <v>127</v>
      </c>
      <c r="U310" s="16" t="s">
        <v>218</v>
      </c>
      <c r="V310" s="16" t="s">
        <v>114</v>
      </c>
      <c r="W310" s="16">
        <f>AI310/AG310</f>
        <v>0.81521739130434778</v>
      </c>
      <c r="X310" s="16" t="s">
        <v>115</v>
      </c>
      <c r="Y310" s="16" t="s">
        <v>110</v>
      </c>
      <c r="Z310" s="16">
        <v>3</v>
      </c>
      <c r="AE310" s="16" t="s">
        <v>116</v>
      </c>
      <c r="AF310" s="16" t="s">
        <v>116</v>
      </c>
      <c r="AG310" s="16">
        <f>AH310-AI310</f>
        <v>92</v>
      </c>
      <c r="AH310" s="16">
        <v>167</v>
      </c>
      <c r="AI310" s="16">
        <v>75</v>
      </c>
      <c r="AK310" s="16">
        <v>22</v>
      </c>
      <c r="AL310" s="16">
        <v>0</v>
      </c>
      <c r="AM310" s="16">
        <v>0</v>
      </c>
      <c r="AN310" s="16">
        <v>0</v>
      </c>
      <c r="AO310" s="16">
        <v>0</v>
      </c>
      <c r="AP310" s="16">
        <f>SUM(AL310:AN310)</f>
        <v>0</v>
      </c>
      <c r="AQ310" s="16">
        <v>1.75</v>
      </c>
      <c r="AR310" s="16">
        <f>AP310-1.472</f>
        <v>-1.472</v>
      </c>
      <c r="AS310" s="16">
        <f>AQ310-1.472</f>
        <v>0.27800000000000002</v>
      </c>
      <c r="AT310" s="16" t="str">
        <f>VLOOKUP(K310,'[5]FECs - good data'!$C$1:$P$575,13,FALSE)</f>
        <v>SB</v>
      </c>
      <c r="AW310" s="18">
        <f>IF(AX310&gt;0,1,0)</f>
        <v>1</v>
      </c>
      <c r="AX310" s="18">
        <f>SUM(BA310,BM310,CT310)</f>
        <v>5</v>
      </c>
      <c r="AY310" s="18">
        <f>SUM(BB310,BN310,CV310)</f>
        <v>7697.8417266187043</v>
      </c>
      <c r="AZ310" s="18">
        <f>IF(BA310&gt;0,1,0)</f>
        <v>1</v>
      </c>
      <c r="BA310" s="18">
        <f>SUM(BC310,BF310,BI310)</f>
        <v>3</v>
      </c>
      <c r="BB310" s="18">
        <f>SUM(BE310,BH310,BK310)</f>
        <v>7683.4532374100709</v>
      </c>
      <c r="BC310" s="18">
        <f>IF(BD310&gt;0,1,0)</f>
        <v>1</v>
      </c>
      <c r="BD310" s="18">
        <f>VLOOKUP($K310,'[5]FECs - good data'!$C$1:$Z$574,14,FALSE)</f>
        <v>80</v>
      </c>
      <c r="BE310" s="16">
        <f>BD310/AS310</f>
        <v>287.76978417266184</v>
      </c>
      <c r="BF310" s="16">
        <f>IF(BG310&gt;0,1,0)</f>
        <v>1</v>
      </c>
      <c r="BG310" s="23">
        <f>VLOOKUP($K310,'[5]FECs - good data'!$C$1:$Z$574,15,FALSE)</f>
        <v>2012</v>
      </c>
      <c r="BH310" s="16">
        <f>BG310/AS310</f>
        <v>7237.410071942445</v>
      </c>
      <c r="BI310" s="16">
        <f>IF(BJ310&gt;0,1,0)</f>
        <v>1</v>
      </c>
      <c r="BJ310" s="16">
        <f>VLOOKUP($K310,'[5]FECs - good data'!$C$1:$Z$574,16,FALSE)</f>
        <v>44</v>
      </c>
      <c r="BK310" s="16">
        <f>BJ310/AS310</f>
        <v>158.27338129496403</v>
      </c>
      <c r="BL310" s="16">
        <f>IF(BM310&gt;0,1,0)</f>
        <v>1</v>
      </c>
      <c r="BM310" s="16">
        <f>SUM(BR310,BU310,BX310,CA310,CD310,CG310,CJ310,CM310,CP310)</f>
        <v>2</v>
      </c>
      <c r="BN310" s="16">
        <f>SUM(BW310,BZ310,CC310,CF310,CI310,CL310,CO310,CR310,BT310)</f>
        <v>14.388489208633093</v>
      </c>
      <c r="BO310" s="16">
        <f>IF(BP310&gt;0,1,0)</f>
        <v>1</v>
      </c>
      <c r="BP310" s="16">
        <f>SUM(BU310,BX310,CA310,CD310,BR310)</f>
        <v>1</v>
      </c>
      <c r="BQ310" s="16">
        <f>SUM(BZ310,CC310,CF310,BT310,BW310)</f>
        <v>7.1942446043165464</v>
      </c>
      <c r="BR310" s="16">
        <f>IF(BS310&gt;0,1,0)</f>
        <v>0</v>
      </c>
      <c r="BS310" s="16">
        <f>VLOOKUP($K310,'[5]FECs - good data'!$C$1:$Z$574,17,FALSE)</f>
        <v>0</v>
      </c>
      <c r="BT310" s="23">
        <f>BS310/AS310</f>
        <v>0</v>
      </c>
      <c r="BU310" s="16">
        <f>IF(BV310&gt;0,1,0)</f>
        <v>0</v>
      </c>
      <c r="BV310" s="16">
        <f>VLOOKUP($K310,'[5]FECs - good data'!$C$1:$Z$574,18,FALSE)</f>
        <v>0</v>
      </c>
      <c r="BW310" s="16">
        <f>BV310/AS310</f>
        <v>0</v>
      </c>
      <c r="BX310" s="16">
        <f>IF(BY310&gt;0,1,0)</f>
        <v>0</v>
      </c>
      <c r="BY310" s="16">
        <f>VLOOKUP($K310,'[5]FECs - good data'!$C$1:$Z$574,19,FALSE)</f>
        <v>0</v>
      </c>
      <c r="BZ310" s="16">
        <f>BY310/AS310</f>
        <v>0</v>
      </c>
      <c r="CA310" s="16">
        <f>IF(CB310&gt;0,1,0)</f>
        <v>0</v>
      </c>
      <c r="CB310" s="16">
        <f>VLOOKUP($K310,'[5]FECs - good data'!$C$1:$Z$574,20,FALSE)</f>
        <v>0</v>
      </c>
      <c r="CC310" s="16">
        <f>CB310/AS310</f>
        <v>0</v>
      </c>
      <c r="CD310" s="23">
        <f>IF(CE310&gt;0,1,0)</f>
        <v>1</v>
      </c>
      <c r="CE310" s="16">
        <f>VLOOKUP($K310,'[5]FECs - good data'!$C$1:$Z$574,21,FALSE)</f>
        <v>2</v>
      </c>
      <c r="CF310" s="16">
        <f>CE310/AS310</f>
        <v>7.1942446043165464</v>
      </c>
      <c r="CG310" s="16">
        <f>IF(CH310&gt;0,1,0)</f>
        <v>0</v>
      </c>
      <c r="CH310" s="16">
        <f>VLOOKUP($K310,'[5]FECs - good data'!$C$1:$Z$574,22,FALSE)</f>
        <v>0</v>
      </c>
      <c r="CI310" s="16">
        <f>CH310/AS310</f>
        <v>0</v>
      </c>
      <c r="CJ310" s="16">
        <f>IF(CK310&gt;0,1,0)</f>
        <v>1</v>
      </c>
      <c r="CK310" s="16">
        <f>VLOOKUP($K310,'[5]FECs - good data'!$C$1:$Z$674,24,FALSE)</f>
        <v>2</v>
      </c>
      <c r="CL310" s="16">
        <f>CK310/AS310</f>
        <v>7.1942446043165464</v>
      </c>
      <c r="CS310" s="16">
        <f>IF(CT310&gt;0,1,0)</f>
        <v>0</v>
      </c>
      <c r="CT310" s="16">
        <f>SUM(CW310+CZ310,DC310)</f>
        <v>0</v>
      </c>
      <c r="CV310" s="16">
        <f>SUM(CY310,DB310,DE310)</f>
        <v>0</v>
      </c>
      <c r="CW310" s="16">
        <f>IF(CX310&gt;0,1,0)</f>
        <v>0</v>
      </c>
      <c r="CX310" s="16">
        <f>VLOOKUP($K310,'[5]FECs - good data'!$C$1:$Z$574,22,FALSE)</f>
        <v>0</v>
      </c>
      <c r="CY310" s="16">
        <f>CX310/AS310</f>
        <v>0</v>
      </c>
      <c r="CZ310" s="16">
        <f>IF(DA310&gt;0,1,0)</f>
        <v>0</v>
      </c>
      <c r="DA310" s="16">
        <f>VLOOKUP($K310,'[5]FECs - good data'!$C$1:$Z$5982,23,FALSE)</f>
        <v>0</v>
      </c>
      <c r="DB310" s="16">
        <f>DA310/AS310</f>
        <v>0</v>
      </c>
      <c r="DC310" s="16">
        <f>IF(DD310&gt;0,1,0)</f>
        <v>0</v>
      </c>
      <c r="DD310" s="16">
        <f>VLOOKUP($K310,'[5]FECs - good data'!$C$1:$Z$574,23,FALSE)</f>
        <v>0</v>
      </c>
      <c r="DE310" s="16">
        <f>DD310/AS310</f>
        <v>0</v>
      </c>
      <c r="DF310" s="16" t="e">
        <f>VLOOKUP(K310,'[3]RNA Seq summary tables'!$V$3:$V$99,1,FALSE)</f>
        <v>#N/A</v>
      </c>
      <c r="DG310" s="16">
        <v>1</v>
      </c>
      <c r="DH310" s="16" t="str">
        <f>VLOOKUP(D310,'[6]workflow 3.2018'!$A$1:$S$237,2,FALSE)</f>
        <v>2017MLBS_156</v>
      </c>
      <c r="DT310" s="25"/>
      <c r="DU310" s="25"/>
      <c r="DV310" s="25"/>
      <c r="DW310" s="25"/>
      <c r="DX310" s="25"/>
      <c r="DY310" s="25"/>
      <c r="DZ310" s="25"/>
      <c r="EA310" s="25"/>
      <c r="EB310" s="25"/>
      <c r="EC310" s="25"/>
      <c r="ED310" s="25"/>
      <c r="JO310" s="38"/>
      <c r="JP310" s="38"/>
      <c r="JQ310" s="38"/>
    </row>
    <row r="311" spans="2:288" x14ac:dyDescent="0.2">
      <c r="B311" s="16">
        <v>2017</v>
      </c>
      <c r="C311" s="20">
        <v>42913</v>
      </c>
      <c r="D311" s="20" t="str">
        <f>CONCATENATE(J311,"-",C311)</f>
        <v>1167-42913</v>
      </c>
      <c r="E311" s="20" t="str">
        <f>CONCATENATE(T311,"-",U311,"-",C311)</f>
        <v>PO1-F6-42913</v>
      </c>
      <c r="F311" s="20" t="s">
        <v>106</v>
      </c>
      <c r="G311" s="20" t="s">
        <v>107</v>
      </c>
      <c r="I311" s="16">
        <v>0</v>
      </c>
      <c r="J311" s="21">
        <v>1167</v>
      </c>
      <c r="K311" s="21">
        <v>1759</v>
      </c>
      <c r="L311" s="18">
        <v>0</v>
      </c>
      <c r="M311" s="21">
        <f>VLOOKUP($K311,'[4]blood tubes 2017'!$D$1:$L$647,8,FALSE)</f>
        <v>0</v>
      </c>
      <c r="N311" s="15">
        <v>0</v>
      </c>
      <c r="O311" s="15" t="s">
        <v>119</v>
      </c>
      <c r="P311" s="16" t="s">
        <v>119</v>
      </c>
      <c r="Q311" s="16">
        <v>0</v>
      </c>
      <c r="R311" s="16" t="s">
        <v>111</v>
      </c>
      <c r="T311" s="16" t="s">
        <v>112</v>
      </c>
      <c r="U311" s="16" t="s">
        <v>170</v>
      </c>
      <c r="V311" s="16" t="s">
        <v>114</v>
      </c>
      <c r="W311" s="16">
        <f>AI311/AG311</f>
        <v>0.73913043478260865</v>
      </c>
      <c r="X311" s="16" t="s">
        <v>115</v>
      </c>
      <c r="Y311" s="16" t="s">
        <v>145</v>
      </c>
      <c r="Z311" s="16">
        <v>1</v>
      </c>
      <c r="AE311" s="16" t="s">
        <v>123</v>
      </c>
      <c r="AF311" s="16" t="s">
        <v>123</v>
      </c>
      <c r="AG311" s="16">
        <f>AH311-AI311</f>
        <v>69</v>
      </c>
      <c r="AH311" s="16">
        <v>120</v>
      </c>
      <c r="AI311" s="16">
        <v>51</v>
      </c>
      <c r="AK311" s="16">
        <v>9.5</v>
      </c>
      <c r="AL311" s="16">
        <v>0</v>
      </c>
      <c r="AM311" s="16">
        <v>0</v>
      </c>
      <c r="AN311" s="16">
        <v>0</v>
      </c>
      <c r="AO311" s="16">
        <v>0</v>
      </c>
      <c r="AP311" s="16">
        <f>SUM(AL311:AN311)</f>
        <v>0</v>
      </c>
      <c r="AQ311" s="16">
        <v>1.659</v>
      </c>
      <c r="AR311" s="16">
        <f>AP311-1.472</f>
        <v>-1.472</v>
      </c>
      <c r="AS311" s="16">
        <f>AQ311-1.472</f>
        <v>0.18700000000000006</v>
      </c>
      <c r="AT311" s="16" t="s">
        <v>234</v>
      </c>
      <c r="AW311" s="16">
        <f>IF(AX311&gt;0,1,0)</f>
        <v>1</v>
      </c>
      <c r="AX311" s="16">
        <f>SUM(BA311,BM311,CT311)</f>
        <v>3</v>
      </c>
      <c r="AY311" s="18">
        <f>SUM(BB311,BN311,CV311)</f>
        <v>29588.235294117636</v>
      </c>
      <c r="AZ311" s="16">
        <v>1</v>
      </c>
      <c r="BA311" s="16">
        <v>3</v>
      </c>
      <c r="BB311" s="16">
        <f>SUM(BE311,BH311,BK311)</f>
        <v>29588.235294117636</v>
      </c>
      <c r="BC311" s="16">
        <v>1</v>
      </c>
      <c r="BD311" s="16">
        <v>102</v>
      </c>
      <c r="BE311" s="16">
        <f>BD311/AS311</f>
        <v>545.45454545454527</v>
      </c>
      <c r="BF311" s="16">
        <v>1</v>
      </c>
      <c r="BG311" s="23">
        <v>4812</v>
      </c>
      <c r="BH311" s="16">
        <f>BG311/AS311</f>
        <v>25732.620320855607</v>
      </c>
      <c r="BI311" s="16">
        <v>1</v>
      </c>
      <c r="BJ311" s="16">
        <v>619</v>
      </c>
      <c r="BK311" s="16">
        <f>BJ311/AS311</f>
        <v>3310.1604278074856</v>
      </c>
      <c r="BL311" s="16">
        <f>IF(BM311&gt;0,1,0)</f>
        <v>0</v>
      </c>
      <c r="BM311" s="16">
        <f>SUM(BR311,BU311,BX311,CA311,CD311,CG311,CJ311,CM311,CP311)</f>
        <v>0</v>
      </c>
      <c r="BN311" s="16">
        <f>SUM(BW311,BZ311,CC311,CF311,CI311,CL311,CO311,CR311,BT311)</f>
        <v>0</v>
      </c>
      <c r="BO311" s="16">
        <f>IF(BP311&gt;0,1,0)</f>
        <v>0</v>
      </c>
      <c r="BP311" s="16">
        <f>SUM(BU311,BX311,CA311,CD311,BR311)</f>
        <v>0</v>
      </c>
      <c r="BQ311" s="16">
        <f>SUM(BZ311,CC311,CF311,BT311,BW311)</f>
        <v>0</v>
      </c>
      <c r="BR311" s="16">
        <v>0</v>
      </c>
      <c r="BS311" s="16">
        <v>0</v>
      </c>
      <c r="BT311" s="23">
        <f>BS311/AS311</f>
        <v>0</v>
      </c>
      <c r="BU311" s="16">
        <v>0</v>
      </c>
      <c r="BV311" s="16">
        <v>0</v>
      </c>
      <c r="BW311" s="16">
        <f>BV311/AS311</f>
        <v>0</v>
      </c>
      <c r="BX311" s="16">
        <v>0</v>
      </c>
      <c r="BY311" s="16">
        <v>0</v>
      </c>
      <c r="BZ311" s="16">
        <f>BY311/AS311</f>
        <v>0</v>
      </c>
      <c r="CA311" s="16">
        <v>0</v>
      </c>
      <c r="CB311" s="16">
        <v>0</v>
      </c>
      <c r="CC311" s="16">
        <f>CB311/AS311</f>
        <v>0</v>
      </c>
      <c r="CD311" s="23">
        <v>0</v>
      </c>
      <c r="CE311" s="16">
        <v>0</v>
      </c>
      <c r="CF311" s="16">
        <f>CE311/AS311</f>
        <v>0</v>
      </c>
      <c r="CG311" s="16">
        <v>0</v>
      </c>
      <c r="CH311" s="16">
        <v>0</v>
      </c>
      <c r="CI311" s="16">
        <f>CH311/AS311</f>
        <v>0</v>
      </c>
      <c r="CM311" s="16">
        <v>0</v>
      </c>
      <c r="CN311" s="16">
        <v>0</v>
      </c>
      <c r="CO311" s="16">
        <f>CN311/AS311</f>
        <v>0</v>
      </c>
      <c r="CP311" s="16">
        <v>0</v>
      </c>
      <c r="CQ311" s="16">
        <v>0</v>
      </c>
      <c r="CR311" s="16">
        <f>CQ311/AS311</f>
        <v>0</v>
      </c>
      <c r="CS311" s="16">
        <v>0</v>
      </c>
      <c r="CT311" s="16">
        <v>0</v>
      </c>
      <c r="CV311" s="16">
        <f>SUM(CY311,DB311,DE311)</f>
        <v>0</v>
      </c>
      <c r="CW311" s="16">
        <v>0</v>
      </c>
      <c r="CX311" s="16">
        <v>0</v>
      </c>
      <c r="CY311" s="16">
        <f>CX311/AS311</f>
        <v>0</v>
      </c>
      <c r="CZ311" s="16">
        <v>0</v>
      </c>
      <c r="DA311" s="16">
        <v>0</v>
      </c>
      <c r="DB311" s="16">
        <f>DA311/AS311</f>
        <v>0</v>
      </c>
      <c r="DC311" s="16">
        <v>0</v>
      </c>
      <c r="DD311" s="16">
        <v>0</v>
      </c>
      <c r="DE311" s="16">
        <f>DD311/AS311</f>
        <v>0</v>
      </c>
      <c r="DF311" s="16" t="e">
        <f>VLOOKUP(K311,'[3]RNA Seq summary tables'!$V$3:$V$99,1,FALSE)</f>
        <v>#N/A</v>
      </c>
      <c r="DI311" s="16">
        <v>61</v>
      </c>
      <c r="DK311" s="16">
        <v>33</v>
      </c>
      <c r="DM311" s="16">
        <v>6</v>
      </c>
      <c r="DO311" s="16">
        <v>0</v>
      </c>
      <c r="DQ311" s="16">
        <v>0</v>
      </c>
      <c r="DR311" s="16">
        <f>SUM(DI311:DQ311)</f>
        <v>100</v>
      </c>
    </row>
    <row r="312" spans="2:288" x14ac:dyDescent="0.2">
      <c r="B312" s="16">
        <v>2017</v>
      </c>
      <c r="C312" s="20">
        <v>42927</v>
      </c>
      <c r="D312" s="20" t="str">
        <f>CONCATENATE(J312,"-",C312)</f>
        <v>1167-42927</v>
      </c>
      <c r="E312" s="20" t="str">
        <f>CONCATENATE(T312,"-",U312,"-",C312)</f>
        <v>PO1-E6-42927</v>
      </c>
      <c r="F312" s="20" t="s">
        <v>106</v>
      </c>
      <c r="G312" s="20" t="s">
        <v>107</v>
      </c>
      <c r="I312" s="16">
        <v>0</v>
      </c>
      <c r="J312" s="21">
        <v>1167</v>
      </c>
      <c r="K312" s="21">
        <v>1856</v>
      </c>
      <c r="L312" s="18">
        <v>0</v>
      </c>
      <c r="M312" s="21">
        <f>VLOOKUP($K312,'[4]blood tubes 2017'!$D$1:$L$647,8,FALSE)</f>
        <v>0</v>
      </c>
      <c r="N312" s="15">
        <v>0</v>
      </c>
      <c r="O312" s="15" t="s">
        <v>119</v>
      </c>
      <c r="P312" s="16" t="s">
        <v>119</v>
      </c>
      <c r="Q312" s="16">
        <v>0</v>
      </c>
      <c r="R312" s="16">
        <v>14</v>
      </c>
      <c r="T312" s="16" t="s">
        <v>112</v>
      </c>
      <c r="U312" s="16" t="s">
        <v>232</v>
      </c>
      <c r="V312" s="16" t="s">
        <v>114</v>
      </c>
      <c r="W312" s="16">
        <f>AI312/AG312</f>
        <v>0.82051282051282048</v>
      </c>
      <c r="X312" s="16" t="s">
        <v>115</v>
      </c>
      <c r="Y312" s="16" t="s">
        <v>122</v>
      </c>
      <c r="Z312" s="16">
        <v>2.2999999999999998</v>
      </c>
      <c r="AE312" s="16" t="s">
        <v>123</v>
      </c>
      <c r="AF312" s="16" t="s">
        <v>123</v>
      </c>
      <c r="AG312" s="16">
        <f>AH312-AI312</f>
        <v>78</v>
      </c>
      <c r="AH312" s="16">
        <v>142</v>
      </c>
      <c r="AI312" s="16">
        <v>64</v>
      </c>
      <c r="AK312" s="16">
        <v>12.5</v>
      </c>
      <c r="AL312" s="16">
        <v>1</v>
      </c>
      <c r="AM312" s="16">
        <v>0</v>
      </c>
      <c r="AN312" s="16">
        <v>0</v>
      </c>
      <c r="AO312" s="16">
        <v>1</v>
      </c>
      <c r="AP312" s="16">
        <f>SUM(AL312:AN312)</f>
        <v>1</v>
      </c>
      <c r="AQ312" s="16">
        <v>1.726</v>
      </c>
      <c r="AR312" s="16">
        <f>AP312-1.472</f>
        <v>-0.47199999999999998</v>
      </c>
      <c r="AS312" s="16">
        <f>AQ312-1.472</f>
        <v>0.254</v>
      </c>
      <c r="AT312" s="16" t="str">
        <f>VLOOKUP(K312,'[5]FECs - good data'!$C$1:$P$575,13,FALSE)</f>
        <v>CH</v>
      </c>
      <c r="AW312" s="18">
        <f>IF(AX312&gt;0,1,0)</f>
        <v>1</v>
      </c>
      <c r="AX312" s="18">
        <f>SUM(BA312,BM312,CT312)</f>
        <v>3</v>
      </c>
      <c r="AY312" s="18">
        <f>SUM(BB312,BN312,CV312)</f>
        <v>673.22834645669298</v>
      </c>
      <c r="AZ312" s="18">
        <f>IF(BA312&gt;0,1,0)</f>
        <v>1</v>
      </c>
      <c r="BA312" s="18">
        <f>SUM(BC312,BF312,BI312)</f>
        <v>2</v>
      </c>
      <c r="BB312" s="18">
        <f>SUM(BE312,BH312,BK312)</f>
        <v>669.29133858267721</v>
      </c>
      <c r="BC312" s="18">
        <f>IF(BD312&gt;0,1,0)</f>
        <v>1</v>
      </c>
      <c r="BD312" s="18">
        <f>VLOOKUP($K312,'[5]FECs - good data'!$C$1:$Z$574,14,FALSE)</f>
        <v>16</v>
      </c>
      <c r="BE312" s="16">
        <f>BD312/AS312</f>
        <v>62.99212598425197</v>
      </c>
      <c r="BF312" s="16">
        <f>IF(BG312&gt;0,1,0)</f>
        <v>1</v>
      </c>
      <c r="BG312" s="23">
        <f>VLOOKUP($K312,'[5]FECs - good data'!$C$1:$Z$574,15,FALSE)</f>
        <v>154</v>
      </c>
      <c r="BH312" s="16">
        <f>BG312/AS312</f>
        <v>606.29921259842524</v>
      </c>
      <c r="BI312" s="16">
        <f>IF(BJ312&gt;0,1,0)</f>
        <v>0</v>
      </c>
      <c r="BJ312" s="16">
        <f>VLOOKUP($K312,'[5]FECs - good data'!$C$1:$Z$574,16,FALSE)</f>
        <v>0</v>
      </c>
      <c r="BK312" s="16">
        <f>BJ312/AS312</f>
        <v>0</v>
      </c>
      <c r="BL312" s="16">
        <f>IF(BM312&gt;0,1,0)</f>
        <v>1</v>
      </c>
      <c r="BM312" s="16">
        <f>SUM(BR312,BU312,BX312,CA312,CD312,CG312,CJ312,CM312,CP312)</f>
        <v>1</v>
      </c>
      <c r="BN312" s="16">
        <f>SUM(BW312,BZ312,CC312,CF312,CI312,CL312,CO312,CR312,BT312)</f>
        <v>3.9370078740157481</v>
      </c>
      <c r="BO312" s="16">
        <f>IF(BP312&gt;0,1,0)</f>
        <v>1</v>
      </c>
      <c r="BP312" s="16">
        <f>SUM(BU312,BX312,CA312,CD312,BR312)</f>
        <v>1</v>
      </c>
      <c r="BQ312" s="16">
        <f>SUM(BZ312,CC312,CF312,BT312,BW312)</f>
        <v>3.9370078740157481</v>
      </c>
      <c r="BR312" s="16">
        <f>IF(BS312&gt;0,1,0)</f>
        <v>0</v>
      </c>
      <c r="BS312" s="16">
        <f>VLOOKUP($K312,'[5]FECs - good data'!$C$1:$Z$574,17,FALSE)</f>
        <v>0</v>
      </c>
      <c r="BT312" s="23">
        <f>BS312/AS312</f>
        <v>0</v>
      </c>
      <c r="BU312" s="16">
        <f>IF(BV312&gt;0,1,0)</f>
        <v>0</v>
      </c>
      <c r="BV312" s="16">
        <f>VLOOKUP($K312,'[5]FECs - good data'!$C$1:$Z$574,18,FALSE)</f>
        <v>0</v>
      </c>
      <c r="BW312" s="16">
        <f>BV312/AS312</f>
        <v>0</v>
      </c>
      <c r="BX312" s="16">
        <f>IF(BY312&gt;0,1,0)</f>
        <v>1</v>
      </c>
      <c r="BY312" s="16">
        <f>VLOOKUP($K312,'[5]FECs - good data'!$C$1:$Z$574,19,FALSE)</f>
        <v>1</v>
      </c>
      <c r="BZ312" s="16">
        <f>BY312/AS312</f>
        <v>3.9370078740157481</v>
      </c>
      <c r="CA312" s="16">
        <f>IF(CB312&gt;0,1,0)</f>
        <v>0</v>
      </c>
      <c r="CB312" s="16">
        <f>VLOOKUP($K312,'[5]FECs - good data'!$C$1:$Z$574,20,FALSE)</f>
        <v>0</v>
      </c>
      <c r="CC312" s="16">
        <f>CB312/AS312</f>
        <v>0</v>
      </c>
      <c r="CD312" s="23">
        <f>IF(CE312&gt;0,1,0)</f>
        <v>0</v>
      </c>
      <c r="CE312" s="16">
        <f>VLOOKUP($K312,'[5]FECs - good data'!$C$1:$Z$574,21,FALSE)</f>
        <v>0</v>
      </c>
      <c r="CF312" s="16">
        <f>CE312/AS312</f>
        <v>0</v>
      </c>
      <c r="CG312" s="16">
        <f>IF(CH312&gt;0,1,0)</f>
        <v>0</v>
      </c>
      <c r="CH312" s="16">
        <f>VLOOKUP($K312,'[5]FECs - good data'!$C$1:$Z$574,22,FALSE)</f>
        <v>0</v>
      </c>
      <c r="CI312" s="16">
        <f>CH312/AS312</f>
        <v>0</v>
      </c>
      <c r="CJ312" s="16">
        <f>IF(CK312&gt;0,1,0)</f>
        <v>0</v>
      </c>
      <c r="CK312" s="16">
        <f>VLOOKUP($K312,'[5]FECs - good data'!$C$1:$Z$674,24,FALSE)</f>
        <v>0</v>
      </c>
      <c r="CL312" s="16">
        <f>CK312/AS312</f>
        <v>0</v>
      </c>
      <c r="CS312" s="16">
        <f>IF(CT312&gt;0,1,0)</f>
        <v>0</v>
      </c>
      <c r="CT312" s="16">
        <f>SUM(CW312+CZ312,DC312)</f>
        <v>0</v>
      </c>
      <c r="CV312" s="16">
        <f>SUM(CY312,DB312,DE312)</f>
        <v>0</v>
      </c>
      <c r="CW312" s="16">
        <f>IF(CX312&gt;0,1,0)</f>
        <v>0</v>
      </c>
      <c r="CX312" s="16">
        <f>VLOOKUP($K312,'[5]FECs - good data'!$C$1:$Z$574,22,FALSE)</f>
        <v>0</v>
      </c>
      <c r="CY312" s="16">
        <f>CX312/AS312</f>
        <v>0</v>
      </c>
      <c r="CZ312" s="16">
        <f>IF(DA312&gt;0,1,0)</f>
        <v>0</v>
      </c>
      <c r="DA312" s="16">
        <f>VLOOKUP($K312,'[5]FECs - good data'!$C$1:$Z$5982,23,FALSE)</f>
        <v>0</v>
      </c>
      <c r="DB312" s="16">
        <f>DA312/AS312</f>
        <v>0</v>
      </c>
      <c r="DC312" s="16">
        <f>IF(DD312&gt;0,1,0)</f>
        <v>0</v>
      </c>
      <c r="DD312" s="16">
        <f>VLOOKUP($K312,'[5]FECs - good data'!$C$1:$Z$574,23,FALSE)</f>
        <v>0</v>
      </c>
      <c r="DE312" s="16">
        <f>DD312/AS312</f>
        <v>0</v>
      </c>
      <c r="DF312" s="16" t="e">
        <f>VLOOKUP(K312,'[3]RNA Seq summary tables'!$V$3:$V$99,1,FALSE)</f>
        <v>#N/A</v>
      </c>
      <c r="JR312" s="18"/>
      <c r="JS312" s="18"/>
      <c r="JT312" s="18"/>
      <c r="JU312" s="18"/>
      <c r="JV312" s="18"/>
      <c r="JW312" s="18"/>
      <c r="JX312" s="18"/>
      <c r="JY312" s="18"/>
      <c r="JZ312" s="18"/>
      <c r="KA312" s="18"/>
      <c r="KB312" s="18"/>
    </row>
    <row r="313" spans="2:288" x14ac:dyDescent="0.2">
      <c r="B313" s="16">
        <v>2017</v>
      </c>
      <c r="C313" s="20">
        <v>42913</v>
      </c>
      <c r="D313" s="20" t="str">
        <f>CONCATENATE(J313,"-",C313)</f>
        <v>1169-42913</v>
      </c>
      <c r="E313" s="20" t="str">
        <f>CONCATENATE(T313,"-",U313,"-",C313)</f>
        <v>PO2-B1-42913</v>
      </c>
      <c r="F313" s="20" t="s">
        <v>106</v>
      </c>
      <c r="G313" s="20" t="s">
        <v>107</v>
      </c>
      <c r="I313" s="16">
        <v>0</v>
      </c>
      <c r="J313" s="21">
        <v>1169</v>
      </c>
      <c r="K313" s="21">
        <v>1761</v>
      </c>
      <c r="L313" s="18">
        <v>0</v>
      </c>
      <c r="M313" s="21">
        <f>VLOOKUP($K313,'[4]blood tubes 2017'!$D$1:$L$647,8,FALSE)</f>
        <v>0</v>
      </c>
      <c r="N313" s="15">
        <v>0</v>
      </c>
      <c r="O313" s="15" t="s">
        <v>119</v>
      </c>
      <c r="P313" s="16" t="s">
        <v>119</v>
      </c>
      <c r="Q313" s="16">
        <v>0</v>
      </c>
      <c r="R313" s="16" t="s">
        <v>111</v>
      </c>
      <c r="T313" s="16" t="s">
        <v>127</v>
      </c>
      <c r="U313" s="16" t="s">
        <v>113</v>
      </c>
      <c r="V313" s="16" t="s">
        <v>114</v>
      </c>
      <c r="W313" s="16">
        <f>AI313/AG313</f>
        <v>0.83950617283950613</v>
      </c>
      <c r="X313" s="16" t="s">
        <v>121</v>
      </c>
      <c r="Y313" s="16" t="s">
        <v>110</v>
      </c>
      <c r="Z313" s="16">
        <v>3</v>
      </c>
      <c r="AA313" s="16" t="s">
        <v>119</v>
      </c>
      <c r="AB313" s="16" t="s">
        <v>123</v>
      </c>
      <c r="AC313" s="16" t="s">
        <v>123</v>
      </c>
      <c r="AD313" s="16" t="s">
        <v>123</v>
      </c>
      <c r="AG313" s="16">
        <f>AH313-AI313</f>
        <v>81</v>
      </c>
      <c r="AH313" s="16">
        <v>149</v>
      </c>
      <c r="AI313" s="16">
        <v>68</v>
      </c>
      <c r="AK313" s="16">
        <v>14.5</v>
      </c>
      <c r="AL313" s="16">
        <v>0</v>
      </c>
      <c r="AM313" s="16">
        <v>0</v>
      </c>
      <c r="AN313" s="16">
        <v>0</v>
      </c>
      <c r="AO313" s="16">
        <v>0</v>
      </c>
      <c r="AP313" s="16">
        <f>SUM(AL313:AN313)</f>
        <v>0</v>
      </c>
      <c r="AQ313" s="16">
        <v>1.7689999999999999</v>
      </c>
      <c r="AR313" s="16">
        <f>AP313-1.472</f>
        <v>-1.472</v>
      </c>
      <c r="AS313" s="16">
        <f>AQ313-1.472</f>
        <v>0.29699999999999993</v>
      </c>
      <c r="AT313" s="16" t="s">
        <v>233</v>
      </c>
      <c r="AV313" s="16">
        <v>1</v>
      </c>
      <c r="AW313" s="16">
        <f>IF(AX313&gt;0,1,0)</f>
        <v>0</v>
      </c>
      <c r="AX313" s="16">
        <f>SUM(BA313,BM313,CT313)</f>
        <v>0</v>
      </c>
      <c r="AY313" s="18">
        <f>SUM(BB313,BN313,CV313)</f>
        <v>0</v>
      </c>
      <c r="AZ313" s="16">
        <v>0</v>
      </c>
      <c r="BA313" s="16">
        <v>0</v>
      </c>
      <c r="BB313" s="16">
        <f>SUM(BE313,BH313,BK313)</f>
        <v>0</v>
      </c>
      <c r="BC313" s="16">
        <v>0</v>
      </c>
      <c r="BD313" s="16">
        <v>0</v>
      </c>
      <c r="BE313" s="16">
        <f>BD313/AS313</f>
        <v>0</v>
      </c>
      <c r="BF313" s="16">
        <v>0</v>
      </c>
      <c r="BG313" s="23">
        <v>0</v>
      </c>
      <c r="BH313" s="16">
        <f>BG313/AS313</f>
        <v>0</v>
      </c>
      <c r="BI313" s="16">
        <v>0</v>
      </c>
      <c r="BJ313" s="16">
        <v>0</v>
      </c>
      <c r="BK313" s="16">
        <f>BJ313/AS313</f>
        <v>0</v>
      </c>
      <c r="BL313" s="16">
        <f>IF(BM313&gt;0,1,0)</f>
        <v>0</v>
      </c>
      <c r="BM313" s="16">
        <f>SUM(BR313,BU313,BX313,CA313,CD313,CG313,CJ313,CM313,CP313)</f>
        <v>0</v>
      </c>
      <c r="BN313" s="16">
        <f>SUM(BW313,BZ313,CC313,CF313,CI313,CL313,CO313,CR313,BT313)</f>
        <v>0</v>
      </c>
      <c r="BO313" s="16">
        <f>IF(BP313&gt;0,1,0)</f>
        <v>0</v>
      </c>
      <c r="BP313" s="16">
        <f>SUM(BU313,BX313,CA313,CD313,BR313)</f>
        <v>0</v>
      </c>
      <c r="BQ313" s="16">
        <f>SUM(BZ313,CC313,CF313,BT313,BW313)</f>
        <v>0</v>
      </c>
      <c r="BR313" s="16">
        <v>0</v>
      </c>
      <c r="BS313" s="16">
        <v>0</v>
      </c>
      <c r="BT313" s="23">
        <f>BS313/AS313</f>
        <v>0</v>
      </c>
      <c r="BU313" s="16">
        <v>0</v>
      </c>
      <c r="BV313" s="16">
        <v>0</v>
      </c>
      <c r="BW313" s="16">
        <f>BV313/AS313</f>
        <v>0</v>
      </c>
      <c r="BX313" s="16">
        <v>0</v>
      </c>
      <c r="BY313" s="16">
        <v>0</v>
      </c>
      <c r="BZ313" s="16">
        <f>BY313/AS313</f>
        <v>0</v>
      </c>
      <c r="CA313" s="16">
        <v>0</v>
      </c>
      <c r="CB313" s="16">
        <v>0</v>
      </c>
      <c r="CC313" s="16">
        <f>CB313/AS313</f>
        <v>0</v>
      </c>
      <c r="CD313" s="23">
        <v>0</v>
      </c>
      <c r="CE313" s="16">
        <v>0</v>
      </c>
      <c r="CF313" s="16">
        <f>CE313/AS313</f>
        <v>0</v>
      </c>
      <c r="CG313" s="16">
        <v>0</v>
      </c>
      <c r="CH313" s="16">
        <v>0</v>
      </c>
      <c r="CI313" s="16">
        <f>CH313/AS313</f>
        <v>0</v>
      </c>
      <c r="CM313" s="16">
        <v>0</v>
      </c>
      <c r="CN313" s="16">
        <v>0</v>
      </c>
      <c r="CO313" s="16">
        <f>CN313/AS313</f>
        <v>0</v>
      </c>
      <c r="CP313" s="16">
        <v>0</v>
      </c>
      <c r="CQ313" s="16">
        <v>0</v>
      </c>
      <c r="CR313" s="16">
        <f>CQ313/AS313</f>
        <v>0</v>
      </c>
      <c r="CS313" s="16">
        <v>0</v>
      </c>
      <c r="CT313" s="16">
        <v>0</v>
      </c>
      <c r="CV313" s="16">
        <f>SUM(CY313,DB313,DE313)</f>
        <v>0</v>
      </c>
      <c r="CW313" s="16">
        <v>0</v>
      </c>
      <c r="CX313" s="16">
        <v>0</v>
      </c>
      <c r="CY313" s="16">
        <f>CX313/AS313</f>
        <v>0</v>
      </c>
      <c r="CZ313" s="16">
        <v>0</v>
      </c>
      <c r="DA313" s="16">
        <v>0</v>
      </c>
      <c r="DB313" s="16">
        <f>DA313/AS313</f>
        <v>0</v>
      </c>
      <c r="DC313" s="16">
        <v>0</v>
      </c>
      <c r="DD313" s="16">
        <v>0</v>
      </c>
      <c r="DE313" s="16">
        <f>DD313/AS313</f>
        <v>0</v>
      </c>
      <c r="DF313" s="16" t="e">
        <f>VLOOKUP(K313,'[3]RNA Seq summary tables'!$V$3:$V$99,1,FALSE)</f>
        <v>#N/A</v>
      </c>
      <c r="DI313" s="16">
        <v>52</v>
      </c>
      <c r="DK313" s="16">
        <v>24</v>
      </c>
      <c r="DM313" s="16">
        <v>24</v>
      </c>
      <c r="DO313" s="16">
        <v>0</v>
      </c>
      <c r="DQ313" s="16">
        <v>0</v>
      </c>
      <c r="DR313" s="16">
        <f>SUM(DI313:DQ313)</f>
        <v>100</v>
      </c>
      <c r="JR313" s="27"/>
      <c r="JS313" s="27"/>
      <c r="JT313" s="27"/>
      <c r="JU313" s="27"/>
      <c r="JV313" s="27"/>
      <c r="JW313" s="27"/>
      <c r="JX313" s="27"/>
      <c r="JY313" s="27"/>
      <c r="JZ313" s="27"/>
      <c r="KA313" s="27"/>
      <c r="KB313" s="27"/>
    </row>
    <row r="314" spans="2:288" s="18" customFormat="1" x14ac:dyDescent="0.2">
      <c r="B314" s="16">
        <v>2017</v>
      </c>
      <c r="C314" s="20">
        <v>42964</v>
      </c>
      <c r="D314" s="20" t="str">
        <f>CONCATENATE(J314,"-",C314)</f>
        <v>1170-42964</v>
      </c>
      <c r="E314" s="20" t="str">
        <f>CONCATENATE(T314,"-",U314,"-",C314)</f>
        <v>PO2-D1-42964</v>
      </c>
      <c r="F314" s="20" t="s">
        <v>106</v>
      </c>
      <c r="G314" s="20" t="s">
        <v>107</v>
      </c>
      <c r="H314" s="16"/>
      <c r="I314" s="16">
        <v>0</v>
      </c>
      <c r="J314" s="21">
        <v>1170</v>
      </c>
      <c r="K314" s="21">
        <v>2179</v>
      </c>
      <c r="L314" s="18">
        <v>0</v>
      </c>
      <c r="M314" s="21">
        <f>VLOOKUP($K314,'[4]blood tubes 2017'!$D$1:$L$647,8,FALSE)</f>
        <v>0</v>
      </c>
      <c r="N314" s="15">
        <v>0</v>
      </c>
      <c r="O314" s="15" t="s">
        <v>119</v>
      </c>
      <c r="P314" s="16" t="s">
        <v>119</v>
      </c>
      <c r="Q314" s="16">
        <v>1</v>
      </c>
      <c r="R314" s="16">
        <v>18</v>
      </c>
      <c r="S314" s="16"/>
      <c r="T314" s="16" t="s">
        <v>127</v>
      </c>
      <c r="U314" s="16" t="s">
        <v>157</v>
      </c>
      <c r="V314" s="16" t="s">
        <v>114</v>
      </c>
      <c r="W314" s="16">
        <f>AI314/AG314</f>
        <v>0.81111111111111112</v>
      </c>
      <c r="X314" s="16" t="s">
        <v>115</v>
      </c>
      <c r="Y314" s="16" t="s">
        <v>110</v>
      </c>
      <c r="Z314" s="16">
        <v>3</v>
      </c>
      <c r="AA314" s="16"/>
      <c r="AB314" s="16"/>
      <c r="AC314" s="16"/>
      <c r="AD314" s="16"/>
      <c r="AE314" s="16" t="s">
        <v>116</v>
      </c>
      <c r="AF314" s="16" t="s">
        <v>116</v>
      </c>
      <c r="AG314" s="16">
        <f>AH314-AI314</f>
        <v>90</v>
      </c>
      <c r="AH314" s="16">
        <v>163</v>
      </c>
      <c r="AI314" s="16">
        <v>73</v>
      </c>
      <c r="AJ314" s="16"/>
      <c r="AK314" s="16">
        <v>21</v>
      </c>
      <c r="AL314" s="16">
        <v>1</v>
      </c>
      <c r="AM314" s="16">
        <v>0</v>
      </c>
      <c r="AN314" s="16">
        <v>0</v>
      </c>
      <c r="AO314" s="16">
        <v>1</v>
      </c>
      <c r="AP314" s="16">
        <f>SUM(AL314:AN314)</f>
        <v>1</v>
      </c>
      <c r="AQ314" s="16">
        <v>1.7509999999999999</v>
      </c>
      <c r="AR314" s="16">
        <f>AP314-1.472</f>
        <v>-0.47199999999999998</v>
      </c>
      <c r="AS314" s="16">
        <f>AQ314-1.472</f>
        <v>0.27899999999999991</v>
      </c>
      <c r="AT314" s="16" t="str">
        <f>VLOOKUP(K314,'[5]FECs - good data'!$C$1:$P$575,13,FALSE)</f>
        <v>SB</v>
      </c>
      <c r="AU314" s="16"/>
      <c r="AV314" s="16"/>
      <c r="AW314" s="18">
        <f>IF(AX314&gt;0,1,0)</f>
        <v>1</v>
      </c>
      <c r="AX314" s="18">
        <f>SUM(BA314,BM314,CT314)</f>
        <v>2</v>
      </c>
      <c r="AY314" s="18">
        <f>SUM(BB314,BN314,CV314)</f>
        <v>1225.8064516129036</v>
      </c>
      <c r="AZ314" s="18">
        <f>IF(BA314&gt;0,1,0)</f>
        <v>1</v>
      </c>
      <c r="BA314" s="18">
        <f>SUM(BC314,BF314,BI314)</f>
        <v>2</v>
      </c>
      <c r="BB314" s="18">
        <f>SUM(BE314,BH314,BK314)</f>
        <v>1225.8064516129036</v>
      </c>
      <c r="BC314" s="18">
        <f>IF(BD314&gt;0,1,0)</f>
        <v>1</v>
      </c>
      <c r="BD314" s="18">
        <f>VLOOKUP($K314,'[5]FECs - good data'!$C$1:$Z$574,14,FALSE)</f>
        <v>31</v>
      </c>
      <c r="BE314" s="16">
        <f>BD314/AS314</f>
        <v>111.11111111111114</v>
      </c>
      <c r="BF314" s="16">
        <f>IF(BG314&gt;0,1,0)</f>
        <v>1</v>
      </c>
      <c r="BG314" s="23">
        <f>VLOOKUP($K314,'[5]FECs - good data'!$C$1:$Z$574,15,FALSE)</f>
        <v>311</v>
      </c>
      <c r="BH314" s="16">
        <f>BG314/AS314</f>
        <v>1114.6953405017925</v>
      </c>
      <c r="BI314" s="16">
        <f>IF(BJ314&gt;0,1,0)</f>
        <v>0</v>
      </c>
      <c r="BJ314" s="16">
        <f>VLOOKUP($K314,'[5]FECs - good data'!$C$1:$Z$574,16,FALSE)</f>
        <v>0</v>
      </c>
      <c r="BK314" s="16">
        <f>BJ314/AS314</f>
        <v>0</v>
      </c>
      <c r="BL314" s="16">
        <f>IF(BM314&gt;0,1,0)</f>
        <v>0</v>
      </c>
      <c r="BM314" s="16">
        <f>SUM(BR314,BU314,BX314,CA314,CD314,CG314,CJ314,CM314,CP314)</f>
        <v>0</v>
      </c>
      <c r="BN314" s="16">
        <f>SUM(BW314,BZ314,CC314,CF314,CI314,CL314,CO314,CR314,BT314)</f>
        <v>0</v>
      </c>
      <c r="BO314" s="16">
        <f>IF(BP314&gt;0,1,0)</f>
        <v>0</v>
      </c>
      <c r="BP314" s="16">
        <f>SUM(BU314,BX314,CA314,CD314,BR314)</f>
        <v>0</v>
      </c>
      <c r="BQ314" s="16">
        <f>SUM(BZ314,CC314,CF314,BT314,BW314)</f>
        <v>0</v>
      </c>
      <c r="BR314" s="16">
        <f>IF(BS314&gt;0,1,0)</f>
        <v>0</v>
      </c>
      <c r="BS314" s="16">
        <f>VLOOKUP($K314,'[5]FECs - good data'!$C$1:$Z$574,17,FALSE)</f>
        <v>0</v>
      </c>
      <c r="BT314" s="23">
        <f>BS314/AS314</f>
        <v>0</v>
      </c>
      <c r="BU314" s="16">
        <f>IF(BV314&gt;0,1,0)</f>
        <v>0</v>
      </c>
      <c r="BV314" s="16">
        <f>VLOOKUP($K314,'[5]FECs - good data'!$C$1:$Z$574,18,FALSE)</f>
        <v>0</v>
      </c>
      <c r="BW314" s="16">
        <f>BV314/AS314</f>
        <v>0</v>
      </c>
      <c r="BX314" s="16">
        <f>IF(BY314&gt;0,1,0)</f>
        <v>0</v>
      </c>
      <c r="BY314" s="16">
        <f>VLOOKUP($K314,'[5]FECs - good data'!$C$1:$Z$574,19,FALSE)</f>
        <v>0</v>
      </c>
      <c r="BZ314" s="16">
        <f>BY314/AS314</f>
        <v>0</v>
      </c>
      <c r="CA314" s="16">
        <f>IF(CB314&gt;0,1,0)</f>
        <v>0</v>
      </c>
      <c r="CB314" s="16">
        <f>VLOOKUP($K314,'[5]FECs - good data'!$C$1:$Z$574,20,FALSE)</f>
        <v>0</v>
      </c>
      <c r="CC314" s="16">
        <f>CB314/AS314</f>
        <v>0</v>
      </c>
      <c r="CD314" s="23">
        <f>IF(CE314&gt;0,1,0)</f>
        <v>0</v>
      </c>
      <c r="CE314" s="16">
        <f>VLOOKUP($K314,'[5]FECs - good data'!$C$1:$Z$574,21,FALSE)</f>
        <v>0</v>
      </c>
      <c r="CF314" s="16">
        <f>CE314/AS314</f>
        <v>0</v>
      </c>
      <c r="CG314" s="16">
        <f>IF(CH314&gt;0,1,0)</f>
        <v>0</v>
      </c>
      <c r="CH314" s="16">
        <f>VLOOKUP($K314,'[5]FECs - good data'!$C$1:$Z$574,22,FALSE)</f>
        <v>0</v>
      </c>
      <c r="CI314" s="16">
        <f>CH314/AS314</f>
        <v>0</v>
      </c>
      <c r="CJ314" s="16">
        <f>IF(CK314&gt;0,1,0)</f>
        <v>0</v>
      </c>
      <c r="CK314" s="16">
        <f>VLOOKUP($K314,'[5]FECs - good data'!$C$1:$Z$674,24,FALSE)</f>
        <v>0</v>
      </c>
      <c r="CL314" s="16">
        <f>CK314/AS314</f>
        <v>0</v>
      </c>
      <c r="CM314" s="16"/>
      <c r="CN314" s="16"/>
      <c r="CO314" s="16"/>
      <c r="CP314" s="16"/>
      <c r="CQ314" s="16"/>
      <c r="CR314" s="16"/>
      <c r="CS314" s="16">
        <f>IF(CT314&gt;0,1,0)</f>
        <v>0</v>
      </c>
      <c r="CT314" s="16">
        <f>SUM(CW314+CZ314,DC314)</f>
        <v>0</v>
      </c>
      <c r="CU314" s="16"/>
      <c r="CV314" s="16">
        <f>SUM(CY314,DB314,DE314)</f>
        <v>0</v>
      </c>
      <c r="CW314" s="16">
        <f>IF(CX314&gt;0,1,0)</f>
        <v>0</v>
      </c>
      <c r="CX314" s="16">
        <f>VLOOKUP($K314,'[5]FECs - good data'!$C$1:$Z$574,22,FALSE)</f>
        <v>0</v>
      </c>
      <c r="CY314" s="16">
        <f>CX314/AS314</f>
        <v>0</v>
      </c>
      <c r="CZ314" s="16">
        <f>IF(DA314&gt;0,1,0)</f>
        <v>0</v>
      </c>
      <c r="DA314" s="16">
        <f>VLOOKUP($K314,'[5]FECs - good data'!$C$1:$Z$5982,23,FALSE)</f>
        <v>0</v>
      </c>
      <c r="DB314" s="16">
        <f>DA314/AS314</f>
        <v>0</v>
      </c>
      <c r="DC314" s="16">
        <f>IF(DD314&gt;0,1,0)</f>
        <v>0</v>
      </c>
      <c r="DD314" s="16">
        <f>VLOOKUP($K314,'[5]FECs - good data'!$C$1:$Z$574,23,FALSE)</f>
        <v>0</v>
      </c>
      <c r="DE314" s="16">
        <f>DD314/AS314</f>
        <v>0</v>
      </c>
      <c r="DF314" s="16" t="e">
        <f>VLOOKUP(K314,'[3]RNA Seq summary tables'!$V$3:$V$99,1,FALSE)</f>
        <v>#N/A</v>
      </c>
      <c r="DG314" s="16">
        <v>1</v>
      </c>
      <c r="DH314" s="16" t="str">
        <f>VLOOKUP(D314,'[6]workflow 3.2018'!$A$1:$S$237,2,FALSE)</f>
        <v>2017MLBS_167</v>
      </c>
      <c r="DI314" s="16"/>
      <c r="DJ314" s="16"/>
      <c r="DK314" s="16"/>
      <c r="DL314" s="16"/>
      <c r="DM314" s="16"/>
      <c r="DN314" s="16"/>
      <c r="DO314" s="16"/>
      <c r="DP314" s="16"/>
      <c r="DQ314" s="16"/>
      <c r="DR314" s="16"/>
      <c r="DS314" s="16"/>
      <c r="JO314" s="16"/>
      <c r="JP314" s="16"/>
      <c r="JQ314" s="16"/>
      <c r="JR314" s="16"/>
      <c r="JS314" s="16"/>
      <c r="JT314" s="16"/>
      <c r="JU314" s="16"/>
      <c r="JV314" s="16"/>
      <c r="JW314" s="16"/>
      <c r="JX314" s="16"/>
      <c r="JY314" s="16"/>
      <c r="JZ314" s="16"/>
      <c r="KA314" s="16"/>
      <c r="KB314" s="16"/>
    </row>
    <row r="315" spans="2:288" x14ac:dyDescent="0.2">
      <c r="B315" s="16">
        <v>2017</v>
      </c>
      <c r="C315" s="20">
        <v>42914</v>
      </c>
      <c r="D315" s="20" t="str">
        <f>CONCATENATE(J315,"-",C315)</f>
        <v>1172-42914</v>
      </c>
      <c r="E315" s="20" t="str">
        <f>CONCATENATE(T315,"-",U315,"-",C315)</f>
        <v>HW2-A2-42914</v>
      </c>
      <c r="F315" s="20" t="s">
        <v>106</v>
      </c>
      <c r="G315" s="20" t="s">
        <v>107</v>
      </c>
      <c r="I315" s="16">
        <v>0</v>
      </c>
      <c r="J315" s="21">
        <v>1172</v>
      </c>
      <c r="K315" s="21">
        <v>1766</v>
      </c>
      <c r="L315" s="18">
        <v>0</v>
      </c>
      <c r="M315" s="21">
        <f>VLOOKUP($K315,'[4]blood tubes 2017'!$D$1:$L$647,8,FALSE)</f>
        <v>0</v>
      </c>
      <c r="N315" s="15">
        <v>0</v>
      </c>
      <c r="O315" s="15" t="s">
        <v>119</v>
      </c>
      <c r="P315" s="16" t="s">
        <v>119</v>
      </c>
      <c r="Q315" s="16">
        <v>0</v>
      </c>
      <c r="R315" s="16" t="s">
        <v>111</v>
      </c>
      <c r="T315" s="16" t="s">
        <v>129</v>
      </c>
      <c r="U315" s="16" t="s">
        <v>171</v>
      </c>
      <c r="V315" s="16" t="s">
        <v>114</v>
      </c>
      <c r="W315" s="16">
        <f>AI315/AG315</f>
        <v>0.82352941176470584</v>
      </c>
      <c r="X315" s="16" t="s">
        <v>121</v>
      </c>
      <c r="Y315" s="16" t="s">
        <v>110</v>
      </c>
      <c r="Z315" s="16">
        <v>3</v>
      </c>
      <c r="AA315" s="16" t="s">
        <v>119</v>
      </c>
      <c r="AB315" s="16" t="s">
        <v>123</v>
      </c>
      <c r="AC315" s="16" t="s">
        <v>123</v>
      </c>
      <c r="AD315" s="16" t="s">
        <v>123</v>
      </c>
      <c r="AG315" s="16">
        <f>AH315-AI315</f>
        <v>85</v>
      </c>
      <c r="AH315" s="16">
        <v>155</v>
      </c>
      <c r="AI315" s="16">
        <v>70</v>
      </c>
      <c r="AK315" s="16">
        <v>16</v>
      </c>
      <c r="AL315" s="16">
        <v>0</v>
      </c>
      <c r="AM315" s="16">
        <v>0</v>
      </c>
      <c r="AN315" s="16">
        <v>0</v>
      </c>
      <c r="AO315" s="16">
        <v>0</v>
      </c>
      <c r="AP315" s="16">
        <f>SUM(AL315:AN315)</f>
        <v>0</v>
      </c>
      <c r="AQ315" s="16">
        <v>1.7549999999999999</v>
      </c>
      <c r="AR315" s="16">
        <f>AP315-1.472</f>
        <v>-1.472</v>
      </c>
      <c r="AS315" s="16">
        <f>AQ315-1.472</f>
        <v>0.28299999999999992</v>
      </c>
      <c r="AT315" s="16" t="s">
        <v>234</v>
      </c>
      <c r="AW315" s="16">
        <f>IF(AX315&gt;0,1,0)</f>
        <v>1</v>
      </c>
      <c r="AX315" s="16">
        <f>SUM(BA315,BM315,CT315)</f>
        <v>2</v>
      </c>
      <c r="AY315" s="18">
        <f>SUM(BB315,BN315,CV315)</f>
        <v>399.29328621908144</v>
      </c>
      <c r="AZ315" s="16">
        <v>1</v>
      </c>
      <c r="BA315" s="16">
        <v>2</v>
      </c>
      <c r="BB315" s="16">
        <f>SUM(BE315,BH315,BK315)</f>
        <v>399.29328621908144</v>
      </c>
      <c r="BC315" s="16">
        <v>1</v>
      </c>
      <c r="BD315" s="16">
        <v>25</v>
      </c>
      <c r="BE315" s="16">
        <f>BD315/AS315</f>
        <v>88.33922261484102</v>
      </c>
      <c r="BF315" s="16">
        <v>1</v>
      </c>
      <c r="BG315" s="23">
        <v>88</v>
      </c>
      <c r="BH315" s="16">
        <f>BG315/AS315</f>
        <v>310.95406360424039</v>
      </c>
      <c r="BI315" s="16">
        <v>0</v>
      </c>
      <c r="BJ315" s="16">
        <v>0</v>
      </c>
      <c r="BK315" s="16">
        <f>BJ315/AS315</f>
        <v>0</v>
      </c>
      <c r="BL315" s="16">
        <f>IF(BM315&gt;0,1,0)</f>
        <v>0</v>
      </c>
      <c r="BM315" s="16">
        <f>SUM(BR315,BU315,BX315,CA315,CD315,CG315,CJ315,CM315,CP315)</f>
        <v>0</v>
      </c>
      <c r="BN315" s="16">
        <f>SUM(BW315,BZ315,CC315,CF315,CI315,CL315,CO315,CR315,BT315)</f>
        <v>0</v>
      </c>
      <c r="BO315" s="16">
        <f>IF(BP315&gt;0,1,0)</f>
        <v>0</v>
      </c>
      <c r="BP315" s="16">
        <f>SUM(BU315,BX315,CA315,CD315,BR315)</f>
        <v>0</v>
      </c>
      <c r="BQ315" s="16">
        <f>SUM(BZ315,CC315,CF315,BT315,BW315)</f>
        <v>0</v>
      </c>
      <c r="BR315" s="16">
        <v>0</v>
      </c>
      <c r="BS315" s="16">
        <v>0</v>
      </c>
      <c r="BT315" s="23">
        <f>BS315/AS315</f>
        <v>0</v>
      </c>
      <c r="BU315" s="16">
        <v>0</v>
      </c>
      <c r="BV315" s="16">
        <v>0</v>
      </c>
      <c r="BW315" s="16">
        <f>BV315/AS315</f>
        <v>0</v>
      </c>
      <c r="BX315" s="16">
        <v>0</v>
      </c>
      <c r="BY315" s="16">
        <v>0</v>
      </c>
      <c r="BZ315" s="16">
        <f>BY315/AS315</f>
        <v>0</v>
      </c>
      <c r="CA315" s="16">
        <v>0</v>
      </c>
      <c r="CB315" s="16">
        <v>0</v>
      </c>
      <c r="CC315" s="16">
        <f>CB315/AS315</f>
        <v>0</v>
      </c>
      <c r="CD315" s="23">
        <v>0</v>
      </c>
      <c r="CE315" s="16">
        <v>0</v>
      </c>
      <c r="CF315" s="16">
        <f>CE315/AS315</f>
        <v>0</v>
      </c>
      <c r="CG315" s="16">
        <v>0</v>
      </c>
      <c r="CH315" s="16">
        <v>0</v>
      </c>
      <c r="CI315" s="16">
        <f>CH315/AS315</f>
        <v>0</v>
      </c>
      <c r="CM315" s="16">
        <v>0</v>
      </c>
      <c r="CN315" s="16">
        <v>0</v>
      </c>
      <c r="CO315" s="16">
        <f>CN315/AS315</f>
        <v>0</v>
      </c>
      <c r="CP315" s="16">
        <v>0</v>
      </c>
      <c r="CQ315" s="16">
        <v>0</v>
      </c>
      <c r="CR315" s="16">
        <f>CQ315/AS315</f>
        <v>0</v>
      </c>
      <c r="CS315" s="16">
        <v>0</v>
      </c>
      <c r="CT315" s="16">
        <v>0</v>
      </c>
      <c r="CV315" s="16">
        <f>SUM(CY315,DB315,DE315)</f>
        <v>0</v>
      </c>
      <c r="CW315" s="16">
        <v>0</v>
      </c>
      <c r="CX315" s="16">
        <v>0</v>
      </c>
      <c r="CY315" s="16">
        <f>CX315/AS315</f>
        <v>0</v>
      </c>
      <c r="CZ315" s="16">
        <v>0</v>
      </c>
      <c r="DA315" s="16">
        <v>0</v>
      </c>
      <c r="DB315" s="16">
        <f>DA315/AS315</f>
        <v>0</v>
      </c>
      <c r="DC315" s="16">
        <v>0</v>
      </c>
      <c r="DD315" s="16">
        <v>0</v>
      </c>
      <c r="DE315" s="16">
        <f>DD315/AS315</f>
        <v>0</v>
      </c>
      <c r="DF315" s="16" t="e">
        <f>VLOOKUP(K315,'[3]RNA Seq summary tables'!$V$3:$V$99,1,FALSE)</f>
        <v>#N/A</v>
      </c>
      <c r="DI315" s="16">
        <v>43</v>
      </c>
      <c r="DK315" s="16">
        <v>37</v>
      </c>
      <c r="DM315" s="16">
        <v>20</v>
      </c>
      <c r="DO315" s="16">
        <v>0</v>
      </c>
      <c r="DQ315" s="16">
        <v>0</v>
      </c>
      <c r="DR315" s="16">
        <f>SUM(DI315:DQ315)</f>
        <v>100</v>
      </c>
      <c r="JR315" s="27"/>
      <c r="JS315" s="27"/>
      <c r="JT315" s="27"/>
      <c r="JU315" s="27"/>
      <c r="JV315" s="27"/>
      <c r="JW315" s="27"/>
      <c r="JX315" s="27"/>
      <c r="JY315" s="27"/>
      <c r="JZ315" s="27"/>
      <c r="KA315" s="27"/>
      <c r="KB315" s="27"/>
    </row>
    <row r="316" spans="2:288" s="18" customFormat="1" ht="16" x14ac:dyDescent="0.2">
      <c r="B316" s="16">
        <v>2017</v>
      </c>
      <c r="C316" s="20">
        <v>42931</v>
      </c>
      <c r="D316" s="20" t="str">
        <f>CONCATENATE(J316,"-",C316)</f>
        <v>1172-42931</v>
      </c>
      <c r="E316" s="37" t="str">
        <f>CONCATENATE(T316,"-",U316,"-",C316)</f>
        <v>HW2-B6-42931</v>
      </c>
      <c r="F316" s="20" t="s">
        <v>106</v>
      </c>
      <c r="G316" s="20" t="s">
        <v>107</v>
      </c>
      <c r="H316" s="16"/>
      <c r="I316" s="16">
        <v>0</v>
      </c>
      <c r="J316" s="21">
        <v>1172</v>
      </c>
      <c r="K316" s="21">
        <v>1918</v>
      </c>
      <c r="L316" s="18">
        <v>0</v>
      </c>
      <c r="M316" s="21">
        <f>VLOOKUP($K316,'[4]blood tubes 2017'!$D$1:$L$647,8,FALSE)</f>
        <v>0</v>
      </c>
      <c r="N316" s="15">
        <v>0</v>
      </c>
      <c r="O316" s="15" t="s">
        <v>119</v>
      </c>
      <c r="P316" s="16" t="s">
        <v>119</v>
      </c>
      <c r="Q316" s="16">
        <v>0</v>
      </c>
      <c r="R316" s="16">
        <v>17</v>
      </c>
      <c r="S316" s="16"/>
      <c r="T316" s="16" t="s">
        <v>129</v>
      </c>
      <c r="U316" s="16" t="s">
        <v>132</v>
      </c>
      <c r="V316" s="16" t="s">
        <v>114</v>
      </c>
      <c r="W316" s="16">
        <f>AI316/AG316</f>
        <v>0.84090909090909094</v>
      </c>
      <c r="X316" s="16" t="s">
        <v>121</v>
      </c>
      <c r="Y316" s="16" t="s">
        <v>110</v>
      </c>
      <c r="Z316" s="16">
        <v>3</v>
      </c>
      <c r="AA316" s="16" t="s">
        <v>119</v>
      </c>
      <c r="AB316" s="16" t="s">
        <v>123</v>
      </c>
      <c r="AC316" s="16" t="s">
        <v>123</v>
      </c>
      <c r="AD316" s="16" t="s">
        <v>123</v>
      </c>
      <c r="AE316" s="16"/>
      <c r="AF316" s="16"/>
      <c r="AG316" s="16">
        <f>AH316-AI316</f>
        <v>88</v>
      </c>
      <c r="AH316" s="16">
        <v>162</v>
      </c>
      <c r="AI316" s="16">
        <v>74</v>
      </c>
      <c r="AJ316" s="16"/>
      <c r="AK316" s="16">
        <v>18</v>
      </c>
      <c r="AL316" s="16">
        <v>0</v>
      </c>
      <c r="AM316" s="16">
        <v>0</v>
      </c>
      <c r="AN316" s="16">
        <v>0</v>
      </c>
      <c r="AO316" s="16">
        <v>0</v>
      </c>
      <c r="AP316" s="16">
        <f>SUM(AL316:AN316)</f>
        <v>0</v>
      </c>
      <c r="AQ316" s="18">
        <v>3.6070000000000002</v>
      </c>
      <c r="AR316" s="16">
        <f>AP316-1.472-1.243</f>
        <v>-2.7149999999999999</v>
      </c>
      <c r="AS316" s="16">
        <f>AQ316-1.472-1.243</f>
        <v>0.89200000000000013</v>
      </c>
      <c r="AT316" s="16" t="str">
        <f>VLOOKUP(E316,[2]Current!$A$1:$W$435,7,FALSE)</f>
        <v>LV</v>
      </c>
      <c r="AU316" s="16" t="s">
        <v>1288</v>
      </c>
      <c r="AV316" s="23"/>
      <c r="AW316" s="128">
        <f>IF(AX316&gt;0,1,0)</f>
        <v>1</v>
      </c>
      <c r="AX316" s="128">
        <f>SUM(BA316,BM316,CU316)</f>
        <v>4</v>
      </c>
      <c r="AY316" s="128">
        <f>SUM(BB316,BN316,CV316)</f>
        <v>1617.7130044843047</v>
      </c>
      <c r="AZ316" s="128">
        <f>IF(BA316&gt;0,1,0)</f>
        <v>1</v>
      </c>
      <c r="BA316" s="128">
        <f>SUM(BC316+BF316+BI316)</f>
        <v>1</v>
      </c>
      <c r="BB316" s="128">
        <f>SUM(BE316,BH316,BK316)</f>
        <v>1605.3811659192822</v>
      </c>
      <c r="BC316" s="130">
        <f>IF(BD316&gt;0,1,0)</f>
        <v>0</v>
      </c>
      <c r="BD316" s="128">
        <f>VLOOKUP($E316,[2]Current!$A:$AC,26,FALSE)</f>
        <v>0</v>
      </c>
      <c r="BE316" s="128">
        <f>BD316/$AS316</f>
        <v>0</v>
      </c>
      <c r="BF316" s="130">
        <f>IF(BG316&gt;0,1,0)</f>
        <v>1</v>
      </c>
      <c r="BG316" s="175">
        <f>VLOOKUP($E316,[2]Current!$A:$AC,27,FALSE)</f>
        <v>1432</v>
      </c>
      <c r="BH316" s="128">
        <f>BG316/$AS316</f>
        <v>1605.3811659192822</v>
      </c>
      <c r="BI316" s="130">
        <f>IF(BJ316&gt;0,1,0)</f>
        <v>0</v>
      </c>
      <c r="BJ316" s="128">
        <f>VLOOKUP($E316,[2]Current!$A:$AC,28,FALSE)</f>
        <v>0</v>
      </c>
      <c r="BK316" s="128">
        <f>BJ316/$AS316</f>
        <v>0</v>
      </c>
      <c r="BL316" s="128">
        <f>IF(BM316&gt;0,1,0)</f>
        <v>1</v>
      </c>
      <c r="BM316" s="128">
        <f>SUM(BR316,BU316,BX316,CA316,CD316)</f>
        <v>3</v>
      </c>
      <c r="BN316" s="131">
        <f>SUM(BT316,BW316,BZ316,CC316,CF316)</f>
        <v>12.331838565022419</v>
      </c>
      <c r="BO316" s="128">
        <f>IF(BP316&gt;0,1,0)</f>
        <v>1</v>
      </c>
      <c r="BP316" s="128">
        <f>BM316+CJ316</f>
        <v>4</v>
      </c>
      <c r="BQ316" s="128">
        <f>BN316+CL316</f>
        <v>20.179372197309412</v>
      </c>
      <c r="BR316" s="130">
        <f>IF(BS316&gt;0,1,0)</f>
        <v>1</v>
      </c>
      <c r="BS316" s="128">
        <f>VLOOKUP($E316,[2]Current!$A:$AC,12,FALSE)</f>
        <v>5</v>
      </c>
      <c r="BT316" s="175">
        <f>BS316/$AS316</f>
        <v>5.6053811659192814</v>
      </c>
      <c r="BU316" s="130">
        <f>IF(BV316&gt;0,1,0)</f>
        <v>0</v>
      </c>
      <c r="BV316" s="128">
        <f>VLOOKUP($E316,[2]Current!$A:$AC,13,FALSE)</f>
        <v>0</v>
      </c>
      <c r="BW316" s="128">
        <f>BV316/$AS316</f>
        <v>0</v>
      </c>
      <c r="BX316" s="130">
        <f>IF(BY316&gt;0,1,0)</f>
        <v>0</v>
      </c>
      <c r="BY316" s="128">
        <f>VLOOKUP($E316,[2]Current!$A:$AC,14,FALSE)</f>
        <v>0</v>
      </c>
      <c r="BZ316" s="128">
        <f>BY316/$AS316</f>
        <v>0</v>
      </c>
      <c r="CA316" s="130">
        <f>IF(CB316&gt;0,1,0)</f>
        <v>1</v>
      </c>
      <c r="CB316" s="128">
        <f>VLOOKUP($E316,[2]Current!$A:$AC,15,FALSE)</f>
        <v>2</v>
      </c>
      <c r="CC316" s="128">
        <f>CB316/$AS316</f>
        <v>2.2421524663677128</v>
      </c>
      <c r="CD316" s="176">
        <f>IF(CE316&gt;0,1,0)</f>
        <v>1</v>
      </c>
      <c r="CE316" s="128">
        <f>VLOOKUP($E316,[2]Current!$A:$AC,16,FALSE)</f>
        <v>4</v>
      </c>
      <c r="CF316" s="128">
        <f>CE316/$AS316</f>
        <v>4.4843049327354256</v>
      </c>
      <c r="CJ316" s="130">
        <f>IF(CK316&gt;0,1,0)</f>
        <v>1</v>
      </c>
      <c r="CK316" s="128">
        <f>VLOOKUP($E316,[2]Current!$A:$AC,18,FALSE)</f>
        <v>7</v>
      </c>
      <c r="CL316" s="128">
        <f>CK316/$AS316</f>
        <v>7.8475336322869946</v>
      </c>
      <c r="CM316" s="16"/>
      <c r="CN316" s="16"/>
      <c r="CO316" s="16"/>
      <c r="CP316" s="16"/>
      <c r="CQ316" s="16"/>
      <c r="CR316" s="16"/>
      <c r="CS316" s="130">
        <f>IF(CU316&gt;0,1,0)</f>
        <v>0</v>
      </c>
      <c r="CT316" s="16"/>
      <c r="CU316" s="128">
        <f>VLOOKUP($E316,[2]Current!$A:$AC,17,FALSE)</f>
        <v>0</v>
      </c>
      <c r="CV316" s="128">
        <f>CU316/$AS316</f>
        <v>0</v>
      </c>
      <c r="CZ316" s="16"/>
      <c r="DA316" s="16"/>
      <c r="DB316" s="16"/>
      <c r="DC316" s="16"/>
      <c r="DD316" s="16"/>
      <c r="DE316" s="16"/>
      <c r="DF316" s="16" t="e">
        <f>VLOOKUP(K316,'[3]RNA Seq summary tables'!$V$3:$V$99,1,FALSE)</f>
        <v>#N/A</v>
      </c>
      <c r="DG316" s="16"/>
      <c r="DH316" s="16"/>
      <c r="DI316" s="16"/>
      <c r="DJ316" s="16"/>
      <c r="DK316" s="16"/>
      <c r="DL316" s="16"/>
      <c r="DM316" s="16"/>
      <c r="DN316" s="16"/>
      <c r="DO316" s="16"/>
      <c r="DP316" s="16"/>
      <c r="DQ316" s="16"/>
      <c r="DR316" s="16"/>
      <c r="DS316" s="16"/>
      <c r="JO316" s="16"/>
      <c r="JP316" s="16"/>
      <c r="JQ316" s="16"/>
      <c r="JR316" s="16"/>
      <c r="JS316" s="16"/>
      <c r="JT316" s="16"/>
      <c r="JU316" s="16"/>
      <c r="JV316" s="16"/>
      <c r="JW316" s="16"/>
      <c r="JX316" s="16"/>
      <c r="JY316" s="16"/>
      <c r="JZ316" s="16"/>
      <c r="KA316" s="16"/>
      <c r="KB316" s="16"/>
    </row>
    <row r="317" spans="2:288" ht="16" x14ac:dyDescent="0.2">
      <c r="B317" s="16">
        <v>2017</v>
      </c>
      <c r="C317" s="20">
        <v>42948</v>
      </c>
      <c r="D317" s="20" t="str">
        <f>CONCATENATE(J317,"-",C317)</f>
        <v>1172-42948</v>
      </c>
      <c r="E317" s="37" t="str">
        <f>CONCATENATE(T317,"-",U317,"-",C317)</f>
        <v>HW2-A7-42948</v>
      </c>
      <c r="F317" s="20" t="s">
        <v>106</v>
      </c>
      <c r="G317" s="20" t="s">
        <v>107</v>
      </c>
      <c r="I317" s="16">
        <v>0</v>
      </c>
      <c r="J317" s="21">
        <v>1172</v>
      </c>
      <c r="K317" s="21">
        <v>2030</v>
      </c>
      <c r="L317" s="18">
        <v>0</v>
      </c>
      <c r="M317" s="21">
        <f>VLOOKUP($K317,'[4]blood tubes 2017'!$D$1:$L$647,8,FALSE)</f>
        <v>0</v>
      </c>
      <c r="N317" s="15">
        <v>0</v>
      </c>
      <c r="O317" s="15" t="s">
        <v>119</v>
      </c>
      <c r="P317" s="16" t="s">
        <v>119</v>
      </c>
      <c r="Q317" s="16">
        <v>0</v>
      </c>
      <c r="R317" s="16">
        <v>17</v>
      </c>
      <c r="T317" s="16" t="s">
        <v>129</v>
      </c>
      <c r="U317" s="16" t="s">
        <v>120</v>
      </c>
      <c r="V317" s="16" t="s">
        <v>114</v>
      </c>
      <c r="W317" s="16">
        <f>AI317/AG317</f>
        <v>0.85057471264367812</v>
      </c>
      <c r="X317" s="16" t="s">
        <v>121</v>
      </c>
      <c r="Y317" s="16" t="s">
        <v>110</v>
      </c>
      <c r="Z317" s="16">
        <v>3</v>
      </c>
      <c r="AA317" s="16" t="s">
        <v>161</v>
      </c>
      <c r="AB317" s="16" t="s">
        <v>123</v>
      </c>
      <c r="AC317" s="16" t="s">
        <v>123</v>
      </c>
      <c r="AD317" s="16" t="s">
        <v>116</v>
      </c>
      <c r="AG317" s="16">
        <f>AH317-AI317</f>
        <v>87</v>
      </c>
      <c r="AH317" s="16">
        <v>161</v>
      </c>
      <c r="AI317" s="16">
        <v>74</v>
      </c>
      <c r="AK317" s="16">
        <v>19.5</v>
      </c>
      <c r="AL317" s="16">
        <v>0</v>
      </c>
      <c r="AM317" s="16">
        <v>0</v>
      </c>
      <c r="AN317" s="16">
        <v>0</v>
      </c>
      <c r="AO317" s="16">
        <v>0</v>
      </c>
      <c r="AP317" s="16">
        <f>SUM(AL317:AN317)</f>
        <v>0</v>
      </c>
      <c r="AQ317" s="16">
        <v>1.8420000000000001</v>
      </c>
      <c r="AR317" s="16">
        <f>AP317-1.472</f>
        <v>-1.472</v>
      </c>
      <c r="AS317" s="16">
        <f>AQ317-1.472</f>
        <v>0.37000000000000011</v>
      </c>
      <c r="AT317" s="16" t="str">
        <f>VLOOKUP(E317,[2]Current!$A$1:$W$435,7,FALSE)</f>
        <v>TE</v>
      </c>
      <c r="AU317" s="16" t="s">
        <v>1288</v>
      </c>
      <c r="AV317" s="23">
        <v>1</v>
      </c>
      <c r="AW317" s="128">
        <f>IF(AX317&gt;0,1,0)</f>
        <v>0</v>
      </c>
      <c r="AX317" s="128">
        <f>SUM(BA317,BM317,CU317)</f>
        <v>0</v>
      </c>
      <c r="AY317" s="128">
        <f>SUM(BB317,BN317,CV317)</f>
        <v>0</v>
      </c>
      <c r="AZ317" s="128">
        <f>IF(BA317&gt;0,1,0)</f>
        <v>0</v>
      </c>
      <c r="BA317" s="128">
        <f>SUM(BC317+BF317+BI317)</f>
        <v>0</v>
      </c>
      <c r="BB317" s="128">
        <f>SUM(BE317,BH317,BK317)</f>
        <v>0</v>
      </c>
      <c r="BC317" s="130">
        <f>IF(BD317&gt;0,1,0)</f>
        <v>0</v>
      </c>
      <c r="BD317" s="128">
        <f>VLOOKUP($E317,[2]Current!$A:$AC,26,FALSE)</f>
        <v>0</v>
      </c>
      <c r="BE317" s="128">
        <f>BD317/$AS317</f>
        <v>0</v>
      </c>
      <c r="BF317" s="130">
        <f>IF(BG317&gt;0,1,0)</f>
        <v>0</v>
      </c>
      <c r="BG317" s="175">
        <f>VLOOKUP($E317,[2]Current!$A:$AC,27,FALSE)</f>
        <v>0</v>
      </c>
      <c r="BH317" s="128">
        <f>BG317/$AS317</f>
        <v>0</v>
      </c>
      <c r="BI317" s="130">
        <f>IF(BJ317&gt;0,1,0)</f>
        <v>0</v>
      </c>
      <c r="BJ317" s="128">
        <f>VLOOKUP($E317,[2]Current!$A:$AC,28,FALSE)</f>
        <v>0</v>
      </c>
      <c r="BK317" s="128">
        <f>BJ317/$AS317</f>
        <v>0</v>
      </c>
      <c r="BL317" s="128">
        <f>IF(BM317&gt;0,1,0)</f>
        <v>0</v>
      </c>
      <c r="BM317" s="128">
        <f>SUM(BR317,BU317,BX317,CA317,CD317)</f>
        <v>0</v>
      </c>
      <c r="BN317" s="131">
        <f>SUM(BT317,BW317,BZ317,CC317,CF317)</f>
        <v>0</v>
      </c>
      <c r="BO317" s="128">
        <f>IF(BP317&gt;0,1,0)</f>
        <v>0</v>
      </c>
      <c r="BP317" s="128">
        <f>BM317+CJ317</f>
        <v>0</v>
      </c>
      <c r="BQ317" s="128">
        <f>BN317+CL317</f>
        <v>0</v>
      </c>
      <c r="BR317" s="130">
        <f>IF(BS317&gt;0,1,0)</f>
        <v>0</v>
      </c>
      <c r="BS317" s="128">
        <f>VLOOKUP($E317,[2]Current!$A:$AC,12,FALSE)</f>
        <v>0</v>
      </c>
      <c r="BT317" s="175">
        <f>BS317/$AS317</f>
        <v>0</v>
      </c>
      <c r="BU317" s="130">
        <f>IF(BV317&gt;0,1,0)</f>
        <v>0</v>
      </c>
      <c r="BV317" s="128">
        <f>VLOOKUP($E317,[2]Current!$A:$AC,13,FALSE)</f>
        <v>0</v>
      </c>
      <c r="BW317" s="128">
        <f>BV317/$AS317</f>
        <v>0</v>
      </c>
      <c r="BX317" s="130">
        <f>IF(BY317&gt;0,1,0)</f>
        <v>0</v>
      </c>
      <c r="BY317" s="128">
        <f>VLOOKUP($E317,[2]Current!$A:$AC,14,FALSE)</f>
        <v>0</v>
      </c>
      <c r="BZ317" s="128">
        <f>BY317/$AS317</f>
        <v>0</v>
      </c>
      <c r="CA317" s="130">
        <f>IF(CB317&gt;0,1,0)</f>
        <v>0</v>
      </c>
      <c r="CB317" s="128">
        <f>VLOOKUP($E317,[2]Current!$A:$AC,15,FALSE)</f>
        <v>0</v>
      </c>
      <c r="CC317" s="128">
        <f>CB317/$AS317</f>
        <v>0</v>
      </c>
      <c r="CD317" s="176">
        <f>IF(CE317&gt;0,1,0)</f>
        <v>0</v>
      </c>
      <c r="CE317" s="128">
        <f>VLOOKUP($E317,[2]Current!$A:$AC,16,FALSE)</f>
        <v>0</v>
      </c>
      <c r="CF317" s="128">
        <f>CE317/$AS317</f>
        <v>0</v>
      </c>
      <c r="CG317" s="18"/>
      <c r="CH317" s="18"/>
      <c r="CI317" s="18"/>
      <c r="CJ317" s="130">
        <f>IF(CK317&gt;0,1,0)</f>
        <v>0</v>
      </c>
      <c r="CK317" s="128">
        <f>VLOOKUP($E317,[2]Current!$A:$AC,18,FALSE)</f>
        <v>0</v>
      </c>
      <c r="CL317" s="128">
        <f>CK317/$AS317</f>
        <v>0</v>
      </c>
      <c r="CS317" s="130">
        <f>IF(CU317&gt;0,1,0)</f>
        <v>0</v>
      </c>
      <c r="CU317" s="128">
        <f>VLOOKUP($E317,[2]Current!$A:$AC,17,FALSE)</f>
        <v>0</v>
      </c>
      <c r="CV317" s="128">
        <f>CU317/$AS317</f>
        <v>0</v>
      </c>
      <c r="CW317" s="18"/>
      <c r="CX317" s="18"/>
      <c r="CY317" s="18"/>
      <c r="DF317" s="16" t="e">
        <f>VLOOKUP(K317,'[3]RNA Seq summary tables'!$V$3:$V$99,1,FALSE)</f>
        <v>#N/A</v>
      </c>
      <c r="JP317" s="18"/>
      <c r="JQ317" s="18"/>
    </row>
    <row r="318" spans="2:288" x14ac:dyDescent="0.2">
      <c r="B318" s="16">
        <v>2017</v>
      </c>
      <c r="C318" s="20">
        <v>42966</v>
      </c>
      <c r="D318" s="20" t="str">
        <f>CONCATENATE(J318,"-",C318)</f>
        <v>1172-42966</v>
      </c>
      <c r="E318" s="142" t="str">
        <f>CONCATENATE(T318,"-",U318,"-",C318)</f>
        <v>HW2-A1-42966</v>
      </c>
      <c r="F318" s="20" t="s">
        <v>106</v>
      </c>
      <c r="G318" s="20" t="s">
        <v>107</v>
      </c>
      <c r="J318" s="21">
        <v>1172</v>
      </c>
      <c r="K318" s="21">
        <v>2185</v>
      </c>
      <c r="L318" s="18">
        <v>0</v>
      </c>
      <c r="M318" s="21">
        <f>VLOOKUP($K318,'[4]blood tubes 2017'!$D$1:$L$647,8,FALSE)</f>
        <v>0</v>
      </c>
      <c r="N318" s="15">
        <v>0</v>
      </c>
      <c r="O318" s="15" t="s">
        <v>119</v>
      </c>
      <c r="P318" s="16" t="s">
        <v>119</v>
      </c>
      <c r="Q318" s="16">
        <v>0</v>
      </c>
      <c r="R318" s="16">
        <v>18</v>
      </c>
      <c r="T318" s="16" t="s">
        <v>129</v>
      </c>
      <c r="U318" s="16" t="s">
        <v>210</v>
      </c>
      <c r="V318" s="16" t="s">
        <v>114</v>
      </c>
      <c r="W318" s="16">
        <f>AI318/AG318</f>
        <v>0.8651685393258427</v>
      </c>
      <c r="X318" s="16" t="s">
        <v>121</v>
      </c>
      <c r="Y318" s="16" t="s">
        <v>110</v>
      </c>
      <c r="Z318" s="16">
        <v>3</v>
      </c>
      <c r="AA318" s="16" t="s">
        <v>119</v>
      </c>
      <c r="AB318" s="16" t="s">
        <v>123</v>
      </c>
      <c r="AC318" s="16" t="s">
        <v>123</v>
      </c>
      <c r="AD318" s="16" t="s">
        <v>123</v>
      </c>
      <c r="AG318" s="16">
        <f>AH318-AI318</f>
        <v>89</v>
      </c>
      <c r="AH318" s="16">
        <v>166</v>
      </c>
      <c r="AI318" s="16">
        <v>77</v>
      </c>
      <c r="AK318" s="16">
        <v>22</v>
      </c>
      <c r="AL318" s="16">
        <v>0</v>
      </c>
      <c r="AM318" s="16">
        <v>0</v>
      </c>
      <c r="AN318" s="16">
        <v>0</v>
      </c>
      <c r="AO318" s="16">
        <v>0</v>
      </c>
      <c r="AP318" s="16">
        <f>SUM(AL318:AN318)</f>
        <v>0</v>
      </c>
      <c r="AQ318" s="16">
        <v>1.9239999999999999</v>
      </c>
      <c r="AR318" s="16">
        <f>AP318-1.472</f>
        <v>-1.472</v>
      </c>
      <c r="AS318" s="16">
        <f>AQ318-1.472</f>
        <v>0.45199999999999996</v>
      </c>
      <c r="AT318" s="16" t="e">
        <f>VLOOKUP(E318,[2]Current!$A$1:$W$435,7,FALSE)</f>
        <v>#N/A</v>
      </c>
      <c r="AU318" s="16">
        <v>0</v>
      </c>
      <c r="AW318" s="18"/>
      <c r="AX318" s="18"/>
      <c r="AY318" s="18"/>
      <c r="AZ318" s="18"/>
      <c r="BA318" s="18"/>
      <c r="BB318" s="18"/>
      <c r="BC318" s="18"/>
      <c r="BD318" s="18"/>
      <c r="BG318" s="23"/>
      <c r="BT318" s="23"/>
      <c r="CD318" s="23"/>
      <c r="DF318" s="16" t="e">
        <f>VLOOKUP(K318,'[3]RNA Seq summary tables'!$V$3:$V$99,1,FALSE)</f>
        <v>#N/A</v>
      </c>
      <c r="JR318" s="18"/>
      <c r="JS318" s="18"/>
      <c r="JT318" s="18"/>
      <c r="JU318" s="18"/>
      <c r="JV318" s="18"/>
      <c r="JW318" s="18"/>
      <c r="JX318" s="18"/>
      <c r="JY318" s="18"/>
      <c r="JZ318" s="18"/>
      <c r="KA318" s="18"/>
      <c r="KB318" s="18"/>
    </row>
    <row r="319" spans="2:288" x14ac:dyDescent="0.2">
      <c r="B319" s="16">
        <v>2017</v>
      </c>
      <c r="C319" s="20">
        <v>42914</v>
      </c>
      <c r="D319" s="20" t="str">
        <f>CONCATENATE(J319,"-",C319)</f>
        <v>1174-42914</v>
      </c>
      <c r="E319" s="20" t="str">
        <f>CONCATENATE(T319,"-",U319,"-",C319)</f>
        <v>HW2-D1-42914</v>
      </c>
      <c r="F319" s="20" t="s">
        <v>106</v>
      </c>
      <c r="G319" s="20" t="s">
        <v>107</v>
      </c>
      <c r="I319" s="16">
        <v>0</v>
      </c>
      <c r="J319" s="21">
        <v>1174</v>
      </c>
      <c r="K319" s="21">
        <v>1770</v>
      </c>
      <c r="L319" s="18">
        <v>0</v>
      </c>
      <c r="M319" s="21">
        <f>VLOOKUP($K319,'[4]blood tubes 2017'!$D$1:$L$647,8,FALSE)</f>
        <v>0</v>
      </c>
      <c r="N319" s="15">
        <v>0</v>
      </c>
      <c r="O319" s="15" t="s">
        <v>119</v>
      </c>
      <c r="P319" s="16" t="s">
        <v>119</v>
      </c>
      <c r="Q319" s="16">
        <v>0</v>
      </c>
      <c r="R319" s="16" t="s">
        <v>111</v>
      </c>
      <c r="T319" s="16" t="s">
        <v>129</v>
      </c>
      <c r="U319" s="16" t="s">
        <v>157</v>
      </c>
      <c r="V319" s="16" t="s">
        <v>114</v>
      </c>
      <c r="W319" s="16">
        <f>AI319/AG319</f>
        <v>0.83908045977011492</v>
      </c>
      <c r="X319" s="16" t="s">
        <v>121</v>
      </c>
      <c r="Y319" s="16" t="s">
        <v>110</v>
      </c>
      <c r="Z319" s="16">
        <v>3</v>
      </c>
      <c r="AA319" s="16" t="s">
        <v>119</v>
      </c>
      <c r="AB319" s="16" t="s">
        <v>240</v>
      </c>
      <c r="AC319" s="16" t="s">
        <v>116</v>
      </c>
      <c r="AD319" s="16" t="s">
        <v>116</v>
      </c>
      <c r="AG319" s="16">
        <f>AH319-AI319</f>
        <v>87</v>
      </c>
      <c r="AH319" s="16">
        <v>160</v>
      </c>
      <c r="AI319" s="16">
        <v>73</v>
      </c>
      <c r="AK319" s="16">
        <v>21.5</v>
      </c>
      <c r="AL319" s="16">
        <v>0</v>
      </c>
      <c r="AM319" s="16">
        <v>0</v>
      </c>
      <c r="AN319" s="16">
        <v>0</v>
      </c>
      <c r="AO319" s="16">
        <v>0</v>
      </c>
      <c r="AP319" s="16">
        <f>SUM(AL319:AN319)</f>
        <v>0</v>
      </c>
      <c r="AQ319" s="16">
        <v>1.992</v>
      </c>
      <c r="AR319" s="16">
        <f>AP319-1.472</f>
        <v>-1.472</v>
      </c>
      <c r="AS319" s="16">
        <f>AQ319-1.472</f>
        <v>0.52</v>
      </c>
      <c r="AT319" s="16" t="s">
        <v>164</v>
      </c>
      <c r="AW319" s="16">
        <f>IF(AX319&gt;0,1,0)</f>
        <v>1</v>
      </c>
      <c r="AX319" s="16">
        <f>SUM(BA319,BM319,CT319)</f>
        <v>2</v>
      </c>
      <c r="AY319" s="18">
        <f>SUM(BB319,BN319,CV319)</f>
        <v>303.84615384615387</v>
      </c>
      <c r="AZ319" s="16">
        <v>1</v>
      </c>
      <c r="BA319" s="16">
        <v>2</v>
      </c>
      <c r="BB319" s="16">
        <f>SUM(BE319,BH319,BK319)</f>
        <v>303.84615384615387</v>
      </c>
      <c r="BC319" s="16">
        <v>1</v>
      </c>
      <c r="BD319" s="16">
        <v>60</v>
      </c>
      <c r="BE319" s="16">
        <f>BD319/AS319</f>
        <v>115.38461538461539</v>
      </c>
      <c r="BF319" s="16">
        <v>1</v>
      </c>
      <c r="BG319" s="23">
        <v>94</v>
      </c>
      <c r="BH319" s="16">
        <f>BG319/AS319</f>
        <v>180.76923076923077</v>
      </c>
      <c r="BI319" s="16">
        <v>1</v>
      </c>
      <c r="BJ319" s="16">
        <v>4</v>
      </c>
      <c r="BK319" s="16">
        <f>BJ319/AS319</f>
        <v>7.6923076923076916</v>
      </c>
      <c r="BL319" s="16">
        <f>IF(BM319&gt;0,1,0)</f>
        <v>0</v>
      </c>
      <c r="BM319" s="16">
        <f>SUM(BR319,BU319,BX319,CA319,CD319,CG319,CJ319,CM319,CP319)</f>
        <v>0</v>
      </c>
      <c r="BN319" s="16">
        <f>SUM(BW319,BZ319,CC319,CF319,CI319,CL319,CO319,CR319,BT319)</f>
        <v>0</v>
      </c>
      <c r="BO319" s="16">
        <f>IF(BP319&gt;0,1,0)</f>
        <v>0</v>
      </c>
      <c r="BP319" s="16">
        <f>SUM(BU319,BX319,CA319,CD319,BR319)</f>
        <v>0</v>
      </c>
      <c r="BQ319" s="16">
        <f>SUM(BZ319,CC319,CF319,BT319,BW319)</f>
        <v>0</v>
      </c>
      <c r="BR319" s="16">
        <v>0</v>
      </c>
      <c r="BS319" s="16">
        <v>0</v>
      </c>
      <c r="BT319" s="23">
        <f>BS319/AS319</f>
        <v>0</v>
      </c>
      <c r="BU319" s="16">
        <v>0</v>
      </c>
      <c r="BV319" s="16">
        <v>0</v>
      </c>
      <c r="BW319" s="16">
        <f>BV319/AS319</f>
        <v>0</v>
      </c>
      <c r="BX319" s="16">
        <v>0</v>
      </c>
      <c r="BY319" s="16">
        <v>0</v>
      </c>
      <c r="BZ319" s="16">
        <f>BY319/AS319</f>
        <v>0</v>
      </c>
      <c r="CA319" s="16">
        <v>0</v>
      </c>
      <c r="CB319" s="16">
        <v>0</v>
      </c>
      <c r="CC319" s="16">
        <f>CB319/AS319</f>
        <v>0</v>
      </c>
      <c r="CD319" s="23">
        <v>0</v>
      </c>
      <c r="CE319" s="16">
        <v>0</v>
      </c>
      <c r="CF319" s="16">
        <f>CE319/AS319</f>
        <v>0</v>
      </c>
      <c r="CG319" s="16">
        <v>0</v>
      </c>
      <c r="CH319" s="16">
        <v>0</v>
      </c>
      <c r="CI319" s="16">
        <f>CH319/AS319</f>
        <v>0</v>
      </c>
      <c r="CM319" s="16">
        <v>0</v>
      </c>
      <c r="CN319" s="16">
        <v>0</v>
      </c>
      <c r="CO319" s="16">
        <f>CN319/AS319</f>
        <v>0</v>
      </c>
      <c r="CP319" s="16">
        <v>0</v>
      </c>
      <c r="CQ319" s="16">
        <v>0</v>
      </c>
      <c r="CR319" s="16">
        <f>CQ319/AS319</f>
        <v>0</v>
      </c>
      <c r="CS319" s="16">
        <v>0</v>
      </c>
      <c r="CT319" s="16">
        <v>0</v>
      </c>
      <c r="CV319" s="16">
        <f>SUM(CY319,DB319,DE319)</f>
        <v>0</v>
      </c>
      <c r="CW319" s="16">
        <v>0</v>
      </c>
      <c r="CX319" s="16">
        <v>0</v>
      </c>
      <c r="CY319" s="16">
        <f>CX319/AS319</f>
        <v>0</v>
      </c>
      <c r="CZ319" s="16">
        <v>0</v>
      </c>
      <c r="DA319" s="16">
        <v>0</v>
      </c>
      <c r="DB319" s="16">
        <f>DA319/AS319</f>
        <v>0</v>
      </c>
      <c r="DC319" s="16">
        <v>0</v>
      </c>
      <c r="DD319" s="16">
        <v>0</v>
      </c>
      <c r="DE319" s="16">
        <f>DD319/AS319</f>
        <v>0</v>
      </c>
      <c r="DF319" s="16" t="e">
        <f>VLOOKUP(K319,'[3]RNA Seq summary tables'!$V$3:$V$99,1,FALSE)</f>
        <v>#N/A</v>
      </c>
      <c r="DI319" s="16">
        <v>50</v>
      </c>
      <c r="DK319" s="16">
        <v>33</v>
      </c>
      <c r="DM319" s="16">
        <v>17</v>
      </c>
      <c r="DO319" s="16">
        <v>0</v>
      </c>
      <c r="DQ319" s="16">
        <v>0</v>
      </c>
      <c r="DR319" s="16">
        <f>SUM(DI319:DQ319)</f>
        <v>100</v>
      </c>
      <c r="JO319" s="18"/>
      <c r="JR319" s="27"/>
      <c r="JS319" s="27"/>
      <c r="JT319" s="27"/>
      <c r="JU319" s="27"/>
      <c r="JV319" s="27"/>
      <c r="JW319" s="27"/>
      <c r="JX319" s="27"/>
      <c r="JY319" s="27"/>
      <c r="JZ319" s="27"/>
      <c r="KA319" s="27"/>
      <c r="KB319" s="27"/>
    </row>
    <row r="320" spans="2:288" x14ac:dyDescent="0.2">
      <c r="B320" s="16">
        <v>2017</v>
      </c>
      <c r="C320" s="20">
        <v>42914</v>
      </c>
      <c r="D320" s="20" t="str">
        <f>CONCATENATE(J320,"-",C320)</f>
        <v>1176-42914</v>
      </c>
      <c r="E320" s="20" t="str">
        <f>CONCATENATE(T320,"-",U320,"-",C320)</f>
        <v>HW2-H5-42914</v>
      </c>
      <c r="F320" s="20" t="s">
        <v>106</v>
      </c>
      <c r="G320" s="20" t="s">
        <v>107</v>
      </c>
      <c r="I320" s="16">
        <v>0</v>
      </c>
      <c r="J320" s="21">
        <v>1176</v>
      </c>
      <c r="K320" s="21">
        <v>1774</v>
      </c>
      <c r="L320" s="18">
        <v>0</v>
      </c>
      <c r="M320" s="21">
        <f>VLOOKUP($K320,'[4]blood tubes 2017'!$D$1:$L$647,8,FALSE)</f>
        <v>0</v>
      </c>
      <c r="N320" s="15">
        <v>0</v>
      </c>
      <c r="O320" s="15" t="s">
        <v>119</v>
      </c>
      <c r="P320" s="16" t="s">
        <v>119</v>
      </c>
      <c r="Q320" s="16">
        <v>0</v>
      </c>
      <c r="R320" s="16" t="s">
        <v>111</v>
      </c>
      <c r="T320" s="16" t="s">
        <v>129</v>
      </c>
      <c r="U320" s="16" t="s">
        <v>180</v>
      </c>
      <c r="V320" s="16" t="s">
        <v>114</v>
      </c>
      <c r="W320" s="16">
        <f>AI320/AG320</f>
        <v>0.7816091954022989</v>
      </c>
      <c r="X320" s="16" t="s">
        <v>115</v>
      </c>
      <c r="Y320" s="16" t="s">
        <v>110</v>
      </c>
      <c r="Z320" s="16">
        <v>3</v>
      </c>
      <c r="AE320" s="16" t="s">
        <v>123</v>
      </c>
      <c r="AF320" s="16" t="s">
        <v>123</v>
      </c>
      <c r="AG320" s="16">
        <f>AH320-AI320</f>
        <v>87</v>
      </c>
      <c r="AH320" s="16">
        <v>155</v>
      </c>
      <c r="AI320" s="16">
        <v>68</v>
      </c>
      <c r="AK320" s="16">
        <v>17.5</v>
      </c>
      <c r="AL320" s="16">
        <v>0</v>
      </c>
      <c r="AM320" s="16">
        <v>0</v>
      </c>
      <c r="AN320" s="16">
        <v>0</v>
      </c>
      <c r="AO320" s="16">
        <v>0</v>
      </c>
      <c r="AP320" s="16">
        <f>SUM(AL320:AN320)</f>
        <v>0</v>
      </c>
      <c r="AQ320" s="16">
        <v>1.8180000000000001</v>
      </c>
      <c r="AR320" s="16">
        <f>AP320-1.472</f>
        <v>-1.472</v>
      </c>
      <c r="AS320" s="16">
        <f>AQ320-1.472</f>
        <v>0.34600000000000009</v>
      </c>
      <c r="AT320" s="16" t="s">
        <v>119</v>
      </c>
      <c r="AW320" s="16">
        <f>IF(AX320&gt;0,1,0)</f>
        <v>1</v>
      </c>
      <c r="AX320" s="16">
        <f>SUM(BA320,BM320,CT320)</f>
        <v>1</v>
      </c>
      <c r="AY320" s="18">
        <f>SUM(BB320,BN320,CV320)</f>
        <v>858.38150289017324</v>
      </c>
      <c r="AZ320" s="16">
        <v>1</v>
      </c>
      <c r="BA320" s="16">
        <v>1</v>
      </c>
      <c r="BB320" s="16">
        <f>SUM(BE320,BH320,BK320)</f>
        <v>858.38150289017324</v>
      </c>
      <c r="BC320" s="16">
        <v>0</v>
      </c>
      <c r="BD320" s="16">
        <v>0</v>
      </c>
      <c r="BE320" s="16">
        <f>BD320/AS320</f>
        <v>0</v>
      </c>
      <c r="BF320" s="16">
        <v>1</v>
      </c>
      <c r="BG320" s="23">
        <v>297</v>
      </c>
      <c r="BH320" s="16">
        <f>BG320/AS320</f>
        <v>858.38150289017324</v>
      </c>
      <c r="BI320" s="16">
        <v>0</v>
      </c>
      <c r="BJ320" s="16">
        <v>0</v>
      </c>
      <c r="BK320" s="16">
        <f>BJ320/AS320</f>
        <v>0</v>
      </c>
      <c r="BL320" s="16">
        <f>IF(BM320&gt;0,1,0)</f>
        <v>0</v>
      </c>
      <c r="BM320" s="16">
        <f>SUM(BR320,BU320,BX320,CA320,CD320,CG320,CJ320,CM320,CP320)</f>
        <v>0</v>
      </c>
      <c r="BN320" s="16">
        <f>SUM(BW320,BZ320,CC320,CF320,CI320,CL320,CO320,CR320,BT320)</f>
        <v>0</v>
      </c>
      <c r="BO320" s="16">
        <f>IF(BP320&gt;0,1,0)</f>
        <v>0</v>
      </c>
      <c r="BP320" s="16">
        <f>SUM(BU320,BX320,CA320,CD320,BR320)</f>
        <v>0</v>
      </c>
      <c r="BQ320" s="16">
        <f>SUM(BZ320,CC320,CF320,BT320,BW320)</f>
        <v>0</v>
      </c>
      <c r="BR320" s="16">
        <v>0</v>
      </c>
      <c r="BS320" s="16">
        <v>0</v>
      </c>
      <c r="BT320" s="23">
        <f>BS320/AS320</f>
        <v>0</v>
      </c>
      <c r="BU320" s="16">
        <v>0</v>
      </c>
      <c r="BV320" s="16">
        <v>0</v>
      </c>
      <c r="BW320" s="16">
        <f>BV320/AS320</f>
        <v>0</v>
      </c>
      <c r="BX320" s="16">
        <v>0</v>
      </c>
      <c r="BY320" s="16">
        <v>0</v>
      </c>
      <c r="BZ320" s="16">
        <f>BY320/AS320</f>
        <v>0</v>
      </c>
      <c r="CA320" s="16">
        <v>0</v>
      </c>
      <c r="CB320" s="16">
        <v>0</v>
      </c>
      <c r="CC320" s="16">
        <f>CB320/AS320</f>
        <v>0</v>
      </c>
      <c r="CD320" s="23">
        <v>0</v>
      </c>
      <c r="CE320" s="16">
        <v>0</v>
      </c>
      <c r="CF320" s="16">
        <f>CE320/AS320</f>
        <v>0</v>
      </c>
      <c r="CG320" s="16">
        <v>0</v>
      </c>
      <c r="CH320" s="16">
        <v>0</v>
      </c>
      <c r="CI320" s="16">
        <f>CH320/AS320</f>
        <v>0</v>
      </c>
      <c r="CM320" s="16">
        <v>0</v>
      </c>
      <c r="CN320" s="16">
        <v>0</v>
      </c>
      <c r="CO320" s="16">
        <f>CN320/AS320</f>
        <v>0</v>
      </c>
      <c r="CP320" s="16">
        <v>0</v>
      </c>
      <c r="CQ320" s="16">
        <v>0</v>
      </c>
      <c r="CR320" s="16">
        <f>CQ320/AS320</f>
        <v>0</v>
      </c>
      <c r="CS320" s="16">
        <v>0</v>
      </c>
      <c r="CT320" s="16">
        <v>0</v>
      </c>
      <c r="CV320" s="16">
        <f>SUM(CY320,DB320,DE320)</f>
        <v>0</v>
      </c>
      <c r="CW320" s="16">
        <v>0</v>
      </c>
      <c r="CX320" s="16">
        <v>0</v>
      </c>
      <c r="CY320" s="16">
        <f>CX320/AS320</f>
        <v>0</v>
      </c>
      <c r="CZ320" s="16">
        <v>0</v>
      </c>
      <c r="DA320" s="16">
        <v>0</v>
      </c>
      <c r="DB320" s="16">
        <f>DA320/AS320</f>
        <v>0</v>
      </c>
      <c r="DC320" s="16">
        <v>0</v>
      </c>
      <c r="DD320" s="16">
        <v>0</v>
      </c>
      <c r="DE320" s="16">
        <f>DD320/AS320</f>
        <v>0</v>
      </c>
      <c r="DF320" s="16" t="e">
        <f>VLOOKUP(K320,'[3]RNA Seq summary tables'!$V$3:$V$99,1,FALSE)</f>
        <v>#N/A</v>
      </c>
      <c r="DI320" s="16">
        <v>46</v>
      </c>
      <c r="DK320" s="16">
        <v>39</v>
      </c>
      <c r="DM320" s="16">
        <v>15</v>
      </c>
      <c r="DO320" s="16">
        <v>0</v>
      </c>
      <c r="DQ320" s="16">
        <v>0</v>
      </c>
      <c r="DR320" s="16">
        <f>SUM(DI320:DQ320)</f>
        <v>100</v>
      </c>
      <c r="JR320" s="27"/>
      <c r="JS320" s="27"/>
      <c r="JT320" s="27"/>
      <c r="JU320" s="27"/>
      <c r="JV320" s="27"/>
      <c r="JW320" s="27"/>
      <c r="JX320" s="27"/>
      <c r="JY320" s="27"/>
      <c r="JZ320" s="27"/>
      <c r="KA320" s="27"/>
      <c r="KB320" s="27"/>
    </row>
    <row r="321" spans="2:288" ht="16" x14ac:dyDescent="0.2">
      <c r="B321" s="16">
        <v>2017</v>
      </c>
      <c r="C321" s="20">
        <v>42930</v>
      </c>
      <c r="D321" s="20" t="str">
        <f>CONCATENATE(J321,"-",C321)</f>
        <v>1176-42930</v>
      </c>
      <c r="E321" s="37" t="str">
        <f>CONCATENATE(T321,"-",U321,"-",C321)</f>
        <v>HW2-G6-42930</v>
      </c>
      <c r="F321" s="20" t="s">
        <v>106</v>
      </c>
      <c r="G321" s="20" t="s">
        <v>107</v>
      </c>
      <c r="I321" s="16">
        <v>0</v>
      </c>
      <c r="J321" s="21">
        <v>1176</v>
      </c>
      <c r="K321" s="21">
        <v>1900</v>
      </c>
      <c r="L321" s="18">
        <v>0</v>
      </c>
      <c r="M321" s="21">
        <f>VLOOKUP($K321,'[4]blood tubes 2017'!$D$1:$L$647,8,FALSE)</f>
        <v>0</v>
      </c>
      <c r="N321" s="15">
        <v>0</v>
      </c>
      <c r="O321" s="15" t="s">
        <v>119</v>
      </c>
      <c r="P321" s="16" t="s">
        <v>119</v>
      </c>
      <c r="Q321" s="16">
        <v>0</v>
      </c>
      <c r="R321" s="16">
        <v>16</v>
      </c>
      <c r="T321" s="16" t="s">
        <v>129</v>
      </c>
      <c r="U321" s="16" t="s">
        <v>218</v>
      </c>
      <c r="V321" s="16" t="s">
        <v>114</v>
      </c>
      <c r="W321" s="16">
        <f>AI321/AG321</f>
        <v>0.73913043478260865</v>
      </c>
      <c r="X321" s="16" t="s">
        <v>115</v>
      </c>
      <c r="Y321" s="16" t="s">
        <v>110</v>
      </c>
      <c r="Z321" s="16">
        <v>3</v>
      </c>
      <c r="AE321" s="16" t="s">
        <v>123</v>
      </c>
      <c r="AF321" s="16" t="s">
        <v>123</v>
      </c>
      <c r="AG321" s="16">
        <f>AH321-AI321</f>
        <v>92</v>
      </c>
      <c r="AH321" s="16">
        <v>160</v>
      </c>
      <c r="AI321" s="16">
        <v>68</v>
      </c>
      <c r="AK321" s="16">
        <v>18.5</v>
      </c>
      <c r="AL321" s="16">
        <v>0</v>
      </c>
      <c r="AM321" s="16">
        <v>0</v>
      </c>
      <c r="AN321" s="16">
        <v>0</v>
      </c>
      <c r="AO321" s="16">
        <v>0</v>
      </c>
      <c r="AP321" s="16">
        <f>SUM(AL321:AN321)</f>
        <v>0</v>
      </c>
      <c r="AQ321" s="16">
        <v>2.028</v>
      </c>
      <c r="AR321" s="16">
        <f>AP321-1.472</f>
        <v>-1.472</v>
      </c>
      <c r="AS321" s="16">
        <f>AQ321-1.472</f>
        <v>0.55600000000000005</v>
      </c>
      <c r="AT321" s="16" t="str">
        <f>VLOOKUP(E321,[2]Current!$A$1:$W$435,7,FALSE)</f>
        <v>JY</v>
      </c>
      <c r="AU321" s="16" t="s">
        <v>1288</v>
      </c>
      <c r="AV321" s="23"/>
      <c r="AW321" s="128">
        <f>IF(AX321&gt;0,1,0)</f>
        <v>1</v>
      </c>
      <c r="AX321" s="128">
        <f>SUM(BA321,BM321,CU321)</f>
        <v>1</v>
      </c>
      <c r="AY321" s="128">
        <f>SUM(BB321,BN321,CV321)</f>
        <v>5293.1654676258986</v>
      </c>
      <c r="AZ321" s="128">
        <f>IF(BA321&gt;0,1,0)</f>
        <v>1</v>
      </c>
      <c r="BA321" s="128">
        <f>SUM(BC321+BF321+BI321)</f>
        <v>1</v>
      </c>
      <c r="BB321" s="128">
        <f>SUM(BE321,BH321,BK321)</f>
        <v>5293.1654676258986</v>
      </c>
      <c r="BC321" s="130">
        <f>IF(BD321&gt;0,1,0)</f>
        <v>0</v>
      </c>
      <c r="BD321" s="128">
        <f>VLOOKUP($E321,[2]Current!$A:$AC,26,FALSE)</f>
        <v>0</v>
      </c>
      <c r="BE321" s="128">
        <f>BD321/$AS321</f>
        <v>0</v>
      </c>
      <c r="BF321" s="130">
        <f>IF(BG321&gt;0,1,0)</f>
        <v>1</v>
      </c>
      <c r="BG321" s="175">
        <f>VLOOKUP($E321,[2]Current!$A:$AC,27,FALSE)</f>
        <v>2943</v>
      </c>
      <c r="BH321" s="128">
        <f>BG321/$AS321</f>
        <v>5293.1654676258986</v>
      </c>
      <c r="BI321" s="130">
        <f>IF(BJ321&gt;0,1,0)</f>
        <v>0</v>
      </c>
      <c r="BJ321" s="128">
        <f>VLOOKUP($E321,[2]Current!$A:$AC,28,FALSE)</f>
        <v>0</v>
      </c>
      <c r="BK321" s="128">
        <f>BJ321/$AS321</f>
        <v>0</v>
      </c>
      <c r="BL321" s="128">
        <f>IF(BM321&gt;0,1,0)</f>
        <v>0</v>
      </c>
      <c r="BM321" s="128">
        <f>SUM(BR321,BU321,BX321,CA321,CD321)</f>
        <v>0</v>
      </c>
      <c r="BN321" s="131">
        <f>SUM(BT321,BW321,BZ321,CC321,CF321)</f>
        <v>0</v>
      </c>
      <c r="BO321" s="128">
        <f>IF(BP321&gt;0,1,0)</f>
        <v>0</v>
      </c>
      <c r="BP321" s="128">
        <f>BM321+CJ321</f>
        <v>0</v>
      </c>
      <c r="BQ321" s="128">
        <f>BN321+CL321</f>
        <v>0</v>
      </c>
      <c r="BR321" s="130">
        <f>IF(BS321&gt;0,1,0)</f>
        <v>0</v>
      </c>
      <c r="BS321" s="128">
        <f>VLOOKUP($E321,[2]Current!$A:$AC,12,FALSE)</f>
        <v>0</v>
      </c>
      <c r="BT321" s="175">
        <f>BS321/$AS321</f>
        <v>0</v>
      </c>
      <c r="BU321" s="130">
        <f>IF(BV321&gt;0,1,0)</f>
        <v>0</v>
      </c>
      <c r="BV321" s="128">
        <f>VLOOKUP($E321,[2]Current!$A:$AC,13,FALSE)</f>
        <v>0</v>
      </c>
      <c r="BW321" s="128">
        <f>BV321/$AS321</f>
        <v>0</v>
      </c>
      <c r="BX321" s="130">
        <f>IF(BY321&gt;0,1,0)</f>
        <v>0</v>
      </c>
      <c r="BY321" s="128">
        <f>VLOOKUP($E321,[2]Current!$A:$AC,14,FALSE)</f>
        <v>0</v>
      </c>
      <c r="BZ321" s="128">
        <f>BY321/$AS321</f>
        <v>0</v>
      </c>
      <c r="CA321" s="130">
        <f>IF(CB321&gt;0,1,0)</f>
        <v>0</v>
      </c>
      <c r="CB321" s="128">
        <f>VLOOKUP($E321,[2]Current!$A:$AC,15,FALSE)</f>
        <v>0</v>
      </c>
      <c r="CC321" s="128">
        <f>CB321/$AS321</f>
        <v>0</v>
      </c>
      <c r="CD321" s="176">
        <f>IF(CE321&gt;0,1,0)</f>
        <v>0</v>
      </c>
      <c r="CE321" s="128">
        <f>VLOOKUP($E321,[2]Current!$A:$AC,16,FALSE)</f>
        <v>0</v>
      </c>
      <c r="CF321" s="128">
        <f>CE321/$AS321</f>
        <v>0</v>
      </c>
      <c r="CG321" s="18"/>
      <c r="CH321" s="18"/>
      <c r="CI321" s="18"/>
      <c r="CJ321" s="130">
        <f>IF(CK321&gt;0,1,0)</f>
        <v>0</v>
      </c>
      <c r="CK321" s="128">
        <f>VLOOKUP($E321,[2]Current!$A:$AC,18,FALSE)</f>
        <v>0</v>
      </c>
      <c r="CL321" s="128">
        <f>CK321/$AS321</f>
        <v>0</v>
      </c>
      <c r="CS321" s="130">
        <f>IF(CU321&gt;0,1,0)</f>
        <v>0</v>
      </c>
      <c r="CU321" s="128">
        <f>VLOOKUP($E321,[2]Current!$A:$AC,17,FALSE)</f>
        <v>0</v>
      </c>
      <c r="CV321" s="128">
        <f>CU321/$AS321</f>
        <v>0</v>
      </c>
      <c r="CW321" s="18"/>
      <c r="CX321" s="18"/>
      <c r="CY321" s="18"/>
      <c r="DF321" s="16" t="e">
        <f>VLOOKUP(K321,'[3]RNA Seq summary tables'!$V$3:$V$99,1,FALSE)</f>
        <v>#N/A</v>
      </c>
      <c r="JR321" s="26"/>
      <c r="JS321" s="26"/>
      <c r="JT321" s="26"/>
      <c r="JU321" s="26"/>
      <c r="JV321" s="26"/>
      <c r="JW321" s="26"/>
      <c r="JX321" s="26"/>
      <c r="JY321" s="26"/>
      <c r="JZ321" s="26"/>
      <c r="KA321" s="26"/>
      <c r="KB321" s="26"/>
    </row>
    <row r="322" spans="2:288" x14ac:dyDescent="0.2">
      <c r="B322" s="16">
        <v>2017</v>
      </c>
      <c r="C322" s="43">
        <v>42914</v>
      </c>
      <c r="D322" s="43" t="str">
        <f>CONCATENATE(J322,"-",C322)</f>
        <v>1178-42914</v>
      </c>
      <c r="E322" s="20" t="str">
        <f>CONCATENATE(T322,"-",U322,"-",C322)</f>
        <v>HW1-B4-42914</v>
      </c>
      <c r="F322" s="20" t="s">
        <v>106</v>
      </c>
      <c r="G322" s="43" t="s">
        <v>107</v>
      </c>
      <c r="H322" s="23"/>
      <c r="I322" s="16">
        <v>0</v>
      </c>
      <c r="J322" s="15">
        <v>1178</v>
      </c>
      <c r="K322" s="15">
        <v>1777</v>
      </c>
      <c r="L322" s="18">
        <v>0</v>
      </c>
      <c r="M322" s="21">
        <f>VLOOKUP($K322,'[4]blood tubes 2017'!$D$1:$L$647,8,FALSE)</f>
        <v>0</v>
      </c>
      <c r="N322" s="15">
        <v>0</v>
      </c>
      <c r="O322" s="15" t="s">
        <v>119</v>
      </c>
      <c r="P322" s="23" t="s">
        <v>119</v>
      </c>
      <c r="Q322" s="16">
        <v>0</v>
      </c>
      <c r="R322" s="23" t="s">
        <v>111</v>
      </c>
      <c r="S322" s="23"/>
      <c r="T322" s="23" t="s">
        <v>133</v>
      </c>
      <c r="U322" s="23" t="s">
        <v>144</v>
      </c>
      <c r="V322" s="23" t="s">
        <v>114</v>
      </c>
      <c r="W322" s="16">
        <f>AI322/AG322</f>
        <v>0.75609756097560976</v>
      </c>
      <c r="X322" s="23" t="s">
        <v>115</v>
      </c>
      <c r="Y322" s="23" t="s">
        <v>122</v>
      </c>
      <c r="Z322" s="23">
        <v>2.2999999999999998</v>
      </c>
      <c r="AA322" s="23"/>
      <c r="AB322" s="23"/>
      <c r="AC322" s="23"/>
      <c r="AD322" s="23"/>
      <c r="AE322" s="23" t="s">
        <v>123</v>
      </c>
      <c r="AF322" s="23" t="s">
        <v>123</v>
      </c>
      <c r="AG322" s="23">
        <f>AH322-AI322</f>
        <v>82</v>
      </c>
      <c r="AH322" s="23">
        <v>144</v>
      </c>
      <c r="AI322" s="23">
        <v>62</v>
      </c>
      <c r="AJ322" s="23"/>
      <c r="AK322" s="23">
        <v>14</v>
      </c>
      <c r="AL322" s="23">
        <v>1</v>
      </c>
      <c r="AM322" s="23">
        <v>0</v>
      </c>
      <c r="AN322" s="23">
        <v>0</v>
      </c>
      <c r="AO322" s="23">
        <v>1</v>
      </c>
      <c r="AP322" s="23">
        <f>SUM(AL322:AN322)</f>
        <v>1</v>
      </c>
      <c r="AQ322" s="23">
        <v>1.7110000000000001</v>
      </c>
      <c r="AR322" s="23">
        <f>AP322-1.472</f>
        <v>-0.47199999999999998</v>
      </c>
      <c r="AS322" s="23">
        <f>AQ322-1.472</f>
        <v>0.2390000000000001</v>
      </c>
      <c r="AT322" s="23" t="s">
        <v>119</v>
      </c>
      <c r="AU322" s="23"/>
      <c r="AV322" s="23"/>
      <c r="AW322" s="23">
        <f>IF(AX322&gt;0,1,0)</f>
        <v>1</v>
      </c>
      <c r="AX322" s="23">
        <f>SUM(BA322,BM322,CT322)</f>
        <v>2</v>
      </c>
      <c r="AY322" s="25">
        <f>SUM(BB322,BN322,CV322)</f>
        <v>7866.1087866108755</v>
      </c>
      <c r="AZ322" s="16">
        <v>1</v>
      </c>
      <c r="BA322" s="23">
        <v>2</v>
      </c>
      <c r="BB322" s="23">
        <f>SUM(BE322,BH322,BK322)</f>
        <v>7866.1087866108755</v>
      </c>
      <c r="BC322" s="16">
        <v>1</v>
      </c>
      <c r="BD322" s="23">
        <v>132</v>
      </c>
      <c r="BE322" s="23">
        <f>BD322/AS322</f>
        <v>552.30125523012532</v>
      </c>
      <c r="BF322" s="16">
        <v>1</v>
      </c>
      <c r="BG322" s="23">
        <v>1748</v>
      </c>
      <c r="BH322" s="23">
        <f>BG322/AS322</f>
        <v>7313.8075313807503</v>
      </c>
      <c r="BI322" s="16">
        <v>0</v>
      </c>
      <c r="BJ322" s="23">
        <v>0</v>
      </c>
      <c r="BK322" s="23">
        <f>BJ322/AS322</f>
        <v>0</v>
      </c>
      <c r="BL322" s="16">
        <f>IF(BM322&gt;0,1,0)</f>
        <v>0</v>
      </c>
      <c r="BM322" s="16">
        <f>SUM(BR322,BU322,BX322,CA322,CD322,CG322,CJ322,CM322,CP322)</f>
        <v>0</v>
      </c>
      <c r="BN322" s="16">
        <f>SUM(BW322,BZ322,CC322,CF322,CI322,CL322,CO322,CR322,BT322)</f>
        <v>0</v>
      </c>
      <c r="BO322" s="16">
        <f>IF(BP322&gt;0,1,0)</f>
        <v>0</v>
      </c>
      <c r="BP322" s="16">
        <f>SUM(BU322,BX322,CA322,CD322,BR322)</f>
        <v>0</v>
      </c>
      <c r="BQ322" s="16">
        <f>SUM(BZ322,CC322,CF322,BT322,BW322)</f>
        <v>0</v>
      </c>
      <c r="BR322" s="16">
        <v>0</v>
      </c>
      <c r="BS322" s="23">
        <v>0</v>
      </c>
      <c r="BT322" s="23">
        <f>BS322/AS322</f>
        <v>0</v>
      </c>
      <c r="BU322" s="16">
        <v>0</v>
      </c>
      <c r="BV322" s="23">
        <v>0</v>
      </c>
      <c r="BW322" s="16">
        <f>BV322/AS322</f>
        <v>0</v>
      </c>
      <c r="BX322" s="16">
        <v>0</v>
      </c>
      <c r="BY322" s="23">
        <v>0</v>
      </c>
      <c r="BZ322" s="16">
        <f>BY322/AS322</f>
        <v>0</v>
      </c>
      <c r="CA322" s="16">
        <v>0</v>
      </c>
      <c r="CB322" s="23">
        <v>0</v>
      </c>
      <c r="CC322" s="23">
        <f>CB322/AS322</f>
        <v>0</v>
      </c>
      <c r="CD322" s="23">
        <v>0</v>
      </c>
      <c r="CE322" s="23">
        <v>0</v>
      </c>
      <c r="CF322" s="23">
        <f>CE322/AS322</f>
        <v>0</v>
      </c>
      <c r="CG322" s="23">
        <v>0</v>
      </c>
      <c r="CH322" s="23">
        <v>0</v>
      </c>
      <c r="CI322" s="23">
        <f>CH322/AS322</f>
        <v>0</v>
      </c>
      <c r="CJ322" s="23"/>
      <c r="CK322" s="23"/>
      <c r="CL322" s="23"/>
      <c r="CM322" s="23">
        <v>0</v>
      </c>
      <c r="CN322" s="23">
        <v>0</v>
      </c>
      <c r="CO322" s="23">
        <f>CN322/AS322</f>
        <v>0</v>
      </c>
      <c r="CP322" s="23">
        <v>0</v>
      </c>
      <c r="CQ322" s="23">
        <v>0</v>
      </c>
      <c r="CR322" s="23">
        <f>CQ322/AS322</f>
        <v>0</v>
      </c>
      <c r="CS322" s="16">
        <v>0</v>
      </c>
      <c r="CT322" s="16">
        <v>0</v>
      </c>
      <c r="CV322" s="23">
        <f>SUM(CY322,DB322,DE322)</f>
        <v>0</v>
      </c>
      <c r="CW322" s="16">
        <v>0</v>
      </c>
      <c r="CX322" s="23">
        <v>0</v>
      </c>
      <c r="CY322" s="23">
        <f>CX322/AS322</f>
        <v>0</v>
      </c>
      <c r="CZ322" s="23">
        <v>0</v>
      </c>
      <c r="DA322" s="23">
        <v>0</v>
      </c>
      <c r="DB322" s="23">
        <f>DA322/AS322</f>
        <v>0</v>
      </c>
      <c r="DC322" s="23">
        <v>0</v>
      </c>
      <c r="DD322" s="23">
        <v>0</v>
      </c>
      <c r="DE322" s="23">
        <f>DD322/AS322</f>
        <v>0</v>
      </c>
      <c r="DF322" s="16" t="e">
        <f>VLOOKUP(K322,'[3]RNA Seq summary tables'!$V$3:$V$99,1,FALSE)</f>
        <v>#N/A</v>
      </c>
      <c r="DI322" s="23">
        <v>67</v>
      </c>
      <c r="DJ322" s="23"/>
      <c r="DK322" s="23">
        <v>22</v>
      </c>
      <c r="DL322" s="23"/>
      <c r="DM322" s="23">
        <v>11</v>
      </c>
      <c r="DN322" s="23"/>
      <c r="DO322" s="23">
        <v>0</v>
      </c>
      <c r="DP322" s="23"/>
      <c r="DQ322" s="23">
        <v>0</v>
      </c>
      <c r="DR322" s="23">
        <f>SUM(DI322:DQ322)</f>
        <v>100</v>
      </c>
      <c r="DS322" s="23"/>
      <c r="JO322" s="18"/>
      <c r="JR322" s="27"/>
      <c r="JS322" s="27"/>
      <c r="JT322" s="27"/>
      <c r="JU322" s="27"/>
      <c r="JV322" s="27"/>
      <c r="JW322" s="27"/>
      <c r="JX322" s="27"/>
      <c r="JY322" s="27"/>
      <c r="JZ322" s="27"/>
      <c r="KA322" s="27"/>
      <c r="KB322" s="27"/>
    </row>
    <row r="323" spans="2:288" x14ac:dyDescent="0.2">
      <c r="B323" s="16">
        <v>2017</v>
      </c>
      <c r="C323" s="20">
        <v>42914</v>
      </c>
      <c r="D323" s="20" t="str">
        <f>CONCATENATE(J323,"-",C323)</f>
        <v>1180-42914</v>
      </c>
      <c r="E323" s="20" t="str">
        <f>CONCATENATE(T323,"-",U323,"-",C323)</f>
        <v>HW1-D2-42914</v>
      </c>
      <c r="F323" s="20" t="s">
        <v>106</v>
      </c>
      <c r="G323" s="20" t="s">
        <v>107</v>
      </c>
      <c r="I323" s="16">
        <v>0</v>
      </c>
      <c r="J323" s="21">
        <v>1180</v>
      </c>
      <c r="K323" s="21">
        <v>1784</v>
      </c>
      <c r="L323" s="18">
        <v>0</v>
      </c>
      <c r="M323" s="21">
        <f>VLOOKUP($K323,'[4]blood tubes 2017'!$D$1:$L$647,8,FALSE)</f>
        <v>0</v>
      </c>
      <c r="N323" s="15">
        <v>0</v>
      </c>
      <c r="O323" s="15" t="s">
        <v>119</v>
      </c>
      <c r="P323" s="16" t="s">
        <v>119</v>
      </c>
      <c r="Q323" s="16">
        <v>0</v>
      </c>
      <c r="R323" s="16" t="s">
        <v>111</v>
      </c>
      <c r="T323" s="16" t="s">
        <v>133</v>
      </c>
      <c r="U323" s="16" t="s">
        <v>198</v>
      </c>
      <c r="V323" s="16" t="s">
        <v>114</v>
      </c>
      <c r="W323" s="16">
        <f>AI323/AG323</f>
        <v>0.91891891891891897</v>
      </c>
      <c r="X323" s="16" t="s">
        <v>115</v>
      </c>
      <c r="Y323" s="16" t="s">
        <v>145</v>
      </c>
      <c r="Z323" s="16">
        <v>1</v>
      </c>
      <c r="AE323" s="16" t="s">
        <v>123</v>
      </c>
      <c r="AF323" s="16" t="s">
        <v>123</v>
      </c>
      <c r="AG323" s="16">
        <f>AH323-AI323</f>
        <v>74</v>
      </c>
      <c r="AH323" s="16">
        <v>142</v>
      </c>
      <c r="AI323" s="16">
        <v>68</v>
      </c>
      <c r="AK323" s="16">
        <v>13</v>
      </c>
      <c r="AL323" s="16">
        <v>0</v>
      </c>
      <c r="AM323" s="16">
        <v>0</v>
      </c>
      <c r="AN323" s="16">
        <v>0</v>
      </c>
      <c r="AO323" s="16">
        <v>0</v>
      </c>
      <c r="AP323" s="16">
        <f>SUM(AL323:AN323)</f>
        <v>0</v>
      </c>
      <c r="AQ323" s="16">
        <v>1.6559999999999999</v>
      </c>
      <c r="AR323" s="16">
        <f>AP323-1.472</f>
        <v>-1.472</v>
      </c>
      <c r="AS323" s="16">
        <f>AQ323-1.472</f>
        <v>0.18399999999999994</v>
      </c>
      <c r="AT323" s="16" t="s">
        <v>164</v>
      </c>
      <c r="AW323" s="16">
        <f>IF(AX323&gt;0,1,0)</f>
        <v>1</v>
      </c>
      <c r="AX323" s="16">
        <f>SUM(BA323,BM323,CT323)</f>
        <v>1</v>
      </c>
      <c r="AY323" s="18">
        <f>SUM(BB323,BN323,CV323)</f>
        <v>14000.000000000004</v>
      </c>
      <c r="AZ323" s="16">
        <v>1</v>
      </c>
      <c r="BA323" s="16">
        <v>1</v>
      </c>
      <c r="BB323" s="16">
        <f>SUM(BE323,BH323,BK323)</f>
        <v>14000.000000000004</v>
      </c>
      <c r="BC323" s="16">
        <v>0</v>
      </c>
      <c r="BD323" s="16">
        <v>0</v>
      </c>
      <c r="BE323" s="16">
        <f>BD323/AS323</f>
        <v>0</v>
      </c>
      <c r="BF323" s="16">
        <v>1</v>
      </c>
      <c r="BG323" s="23">
        <v>2576</v>
      </c>
      <c r="BH323" s="16">
        <f>BG323/AS323</f>
        <v>14000.000000000004</v>
      </c>
      <c r="BI323" s="16">
        <v>0</v>
      </c>
      <c r="BJ323" s="16">
        <v>0</v>
      </c>
      <c r="BK323" s="16">
        <v>0</v>
      </c>
      <c r="BL323" s="16">
        <f>IF(BM323&gt;0,1,0)</f>
        <v>0</v>
      </c>
      <c r="BM323" s="16">
        <f>SUM(BR323,BU323,BX323,CA323,CD323,CG323,CJ323,CM323,CP323)</f>
        <v>0</v>
      </c>
      <c r="BN323" s="16">
        <f>SUM(BW323,BZ323,CC323,CF323,CI323,CL323,CO323,CR323,BT323)</f>
        <v>0</v>
      </c>
      <c r="BO323" s="16">
        <f>IF(BP323&gt;0,1,0)</f>
        <v>0</v>
      </c>
      <c r="BP323" s="16">
        <f>SUM(BU323,BX323,CA323,CD323,BR323)</f>
        <v>0</v>
      </c>
      <c r="BQ323" s="16">
        <f>SUM(BZ323,CC323,CF323,BT323,BW323)</f>
        <v>0</v>
      </c>
      <c r="BR323" s="16">
        <v>0</v>
      </c>
      <c r="BS323" s="16">
        <v>0</v>
      </c>
      <c r="BT323" s="23">
        <f>BS323/AS323</f>
        <v>0</v>
      </c>
      <c r="BU323" s="16">
        <v>0</v>
      </c>
      <c r="BV323" s="16">
        <v>0</v>
      </c>
      <c r="BW323" s="16">
        <f>BV323/AS323</f>
        <v>0</v>
      </c>
      <c r="BX323" s="16">
        <v>0</v>
      </c>
      <c r="BY323" s="16">
        <v>0</v>
      </c>
      <c r="BZ323" s="16">
        <f>BY323/AS323</f>
        <v>0</v>
      </c>
      <c r="CA323" s="16">
        <v>0</v>
      </c>
      <c r="CB323" s="16">
        <v>0</v>
      </c>
      <c r="CC323" s="16">
        <f>CB323/AS323</f>
        <v>0</v>
      </c>
      <c r="CD323" s="23">
        <v>0</v>
      </c>
      <c r="CE323" s="16">
        <v>0</v>
      </c>
      <c r="CF323" s="16">
        <f>CE323/AS323</f>
        <v>0</v>
      </c>
      <c r="CG323" s="16">
        <v>0</v>
      </c>
      <c r="CH323" s="16">
        <v>0</v>
      </c>
      <c r="CI323" s="16">
        <f>CH323/AS323</f>
        <v>0</v>
      </c>
      <c r="CM323" s="16">
        <v>0</v>
      </c>
      <c r="CN323" s="16">
        <v>0</v>
      </c>
      <c r="CO323" s="16">
        <f>CN323/AS323</f>
        <v>0</v>
      </c>
      <c r="CP323" s="16">
        <v>0</v>
      </c>
      <c r="CQ323" s="16">
        <v>0</v>
      </c>
      <c r="CR323" s="16">
        <f>CQ323/AS323</f>
        <v>0</v>
      </c>
      <c r="CS323" s="16">
        <v>0</v>
      </c>
      <c r="CT323" s="16">
        <v>0</v>
      </c>
      <c r="CV323" s="16">
        <v>0</v>
      </c>
      <c r="CW323" s="16">
        <v>0</v>
      </c>
      <c r="CX323" s="16">
        <v>0</v>
      </c>
      <c r="CY323" s="16">
        <v>0</v>
      </c>
      <c r="CZ323" s="16">
        <v>0</v>
      </c>
      <c r="DA323" s="16">
        <v>0</v>
      </c>
      <c r="DB323" s="16">
        <v>0</v>
      </c>
      <c r="DC323" s="16">
        <v>0</v>
      </c>
      <c r="DD323" s="16">
        <v>0</v>
      </c>
      <c r="DE323" s="16">
        <f>DD323/AS323</f>
        <v>0</v>
      </c>
      <c r="DF323" s="16" t="e">
        <f>VLOOKUP(K323,'[3]RNA Seq summary tables'!$V$3:$V$99,1,FALSE)</f>
        <v>#N/A</v>
      </c>
      <c r="DI323" s="16">
        <v>65</v>
      </c>
      <c r="DK323" s="16">
        <v>30</v>
      </c>
      <c r="DM323" s="16">
        <v>5</v>
      </c>
      <c r="DO323" s="16">
        <v>0</v>
      </c>
      <c r="DQ323" s="16">
        <v>0</v>
      </c>
      <c r="DR323" s="16">
        <f>SUM(DI323:DQ323)</f>
        <v>100</v>
      </c>
      <c r="JR323" s="18"/>
      <c r="JS323" s="18"/>
      <c r="JT323" s="18"/>
      <c r="JU323" s="18"/>
      <c r="JV323" s="18"/>
      <c r="JW323" s="18"/>
      <c r="JX323" s="18"/>
      <c r="JY323" s="18"/>
      <c r="JZ323" s="18"/>
      <c r="KA323" s="18"/>
      <c r="KB323" s="18"/>
    </row>
    <row r="324" spans="2:288" ht="16" x14ac:dyDescent="0.2">
      <c r="B324" s="16">
        <v>2017</v>
      </c>
      <c r="C324" s="20">
        <v>42948</v>
      </c>
      <c r="D324" s="20" t="str">
        <f>CONCATENATE(J324,"-",C324)</f>
        <v>1181-42948</v>
      </c>
      <c r="E324" s="37" t="str">
        <f>CONCATENATE(T324,"-",U324,"-",C324)</f>
        <v>HW1-F2-42948</v>
      </c>
      <c r="F324" s="20" t="s">
        <v>106</v>
      </c>
      <c r="G324" s="20" t="s">
        <v>107</v>
      </c>
      <c r="I324" s="16">
        <v>0</v>
      </c>
      <c r="J324" s="21">
        <v>1181</v>
      </c>
      <c r="K324" s="21">
        <v>2053</v>
      </c>
      <c r="L324" s="18">
        <v>0</v>
      </c>
      <c r="M324" s="21">
        <f>VLOOKUP($K324,'[4]blood tubes 2017'!$D$1:$L$647,8,FALSE)</f>
        <v>0</v>
      </c>
      <c r="N324" s="15">
        <v>0</v>
      </c>
      <c r="O324" s="15" t="s">
        <v>119</v>
      </c>
      <c r="P324" s="16" t="s">
        <v>119</v>
      </c>
      <c r="Q324" s="16">
        <v>0</v>
      </c>
      <c r="R324" s="16" t="s">
        <v>111</v>
      </c>
      <c r="T324" s="16" t="s">
        <v>133</v>
      </c>
      <c r="U324" s="16" t="s">
        <v>187</v>
      </c>
      <c r="V324" s="16" t="s">
        <v>114</v>
      </c>
      <c r="W324" s="16">
        <f>AI324/AG324</f>
        <v>0.77647058823529413</v>
      </c>
      <c r="X324" s="16" t="s">
        <v>121</v>
      </c>
      <c r="Y324" s="16" t="s">
        <v>110</v>
      </c>
      <c r="Z324" s="16">
        <v>3</v>
      </c>
      <c r="AA324" s="16" t="s">
        <v>161</v>
      </c>
      <c r="AB324" s="16" t="s">
        <v>123</v>
      </c>
      <c r="AC324" s="16" t="s">
        <v>123</v>
      </c>
      <c r="AD324" s="16" t="s">
        <v>116</v>
      </c>
      <c r="AG324" s="16">
        <f>AH324-AI324</f>
        <v>85</v>
      </c>
      <c r="AH324" s="16">
        <v>151</v>
      </c>
      <c r="AI324" s="16">
        <v>66</v>
      </c>
      <c r="AK324" s="16">
        <v>17</v>
      </c>
      <c r="AL324" s="16">
        <v>0</v>
      </c>
      <c r="AM324" s="16">
        <v>0</v>
      </c>
      <c r="AN324" s="16">
        <v>0</v>
      </c>
      <c r="AO324" s="16">
        <v>0</v>
      </c>
      <c r="AP324" s="16">
        <f>SUM(AL324:AN324)</f>
        <v>0</v>
      </c>
      <c r="AQ324" s="16">
        <v>2.0409999999999999</v>
      </c>
      <c r="AR324" s="16">
        <f>AP324-1.472</f>
        <v>-1.472</v>
      </c>
      <c r="AS324" s="16">
        <f>AQ324-1.472</f>
        <v>0.56899999999999995</v>
      </c>
      <c r="AT324" s="16" t="str">
        <f>VLOOKUP(E324,[2]Current!$A$1:$W$435,7,FALSE)</f>
        <v>TE</v>
      </c>
      <c r="AU324" s="16" t="s">
        <v>1288</v>
      </c>
      <c r="AV324" s="23"/>
      <c r="AW324" s="128">
        <f>IF(AX324&gt;0,1,0)</f>
        <v>1</v>
      </c>
      <c r="AX324" s="128">
        <f>SUM(BA324,BM324,CU324)</f>
        <v>4</v>
      </c>
      <c r="AY324" s="128">
        <f>SUM(BB324,BN324,CV324)</f>
        <v>2282.9525483304046</v>
      </c>
      <c r="AZ324" s="128">
        <f>IF(BA324&gt;0,1,0)</f>
        <v>1</v>
      </c>
      <c r="BA324" s="128">
        <f>SUM(BC324+BF324+BI324)</f>
        <v>2</v>
      </c>
      <c r="BB324" s="128">
        <f>SUM(BE324,BH324,BK324)</f>
        <v>2277.6801405975398</v>
      </c>
      <c r="BC324" s="130">
        <f>IF(BD324&gt;0,1,0)</f>
        <v>0</v>
      </c>
      <c r="BD324" s="128">
        <f>VLOOKUP($E324,[2]Current!$A:$AC,26,FALSE)</f>
        <v>0</v>
      </c>
      <c r="BE324" s="128">
        <f>BD324/$AS324</f>
        <v>0</v>
      </c>
      <c r="BF324" s="130">
        <f>IF(BG324&gt;0,1,0)</f>
        <v>1</v>
      </c>
      <c r="BG324" s="175">
        <f>VLOOKUP($E324,[2]Current!$A:$AC,27,FALSE)</f>
        <v>120</v>
      </c>
      <c r="BH324" s="128">
        <f>BG324/$AS324</f>
        <v>210.896309314587</v>
      </c>
      <c r="BI324" s="130">
        <f>IF(BJ324&gt;0,1,0)</f>
        <v>1</v>
      </c>
      <c r="BJ324" s="128">
        <f>VLOOKUP($E324,[2]Current!$A:$AC,28,FALSE)</f>
        <v>1176</v>
      </c>
      <c r="BK324" s="128">
        <f>BJ324/$AS324</f>
        <v>2066.7838312829526</v>
      </c>
      <c r="BL324" s="128">
        <f>IF(BM324&gt;0,1,0)</f>
        <v>1</v>
      </c>
      <c r="BM324" s="128">
        <f>SUM(BR324,BU324,BX324,CA324,CD324)</f>
        <v>2</v>
      </c>
      <c r="BN324" s="131">
        <f>SUM(BT324,BW324,BZ324,CC324,CF324)</f>
        <v>5.272407732864675</v>
      </c>
      <c r="BO324" s="128">
        <f>IF(BP324&gt;0,1,0)</f>
        <v>1</v>
      </c>
      <c r="BP324" s="128">
        <f>BM324+CJ324</f>
        <v>3</v>
      </c>
      <c r="BQ324" s="128">
        <f>BN324+CL324</f>
        <v>14.059753954305801</v>
      </c>
      <c r="BR324" s="130">
        <f>IF(BS324&gt;0,1,0)</f>
        <v>0</v>
      </c>
      <c r="BS324" s="128">
        <f>VLOOKUP($E324,[2]Current!$A:$AC,12,FALSE)</f>
        <v>0</v>
      </c>
      <c r="BT324" s="175">
        <f>BS324/$AS324</f>
        <v>0</v>
      </c>
      <c r="BU324" s="130">
        <f>IF(BV324&gt;0,1,0)</f>
        <v>0</v>
      </c>
      <c r="BV324" s="128">
        <f>VLOOKUP($E324,[2]Current!$A:$AC,13,FALSE)</f>
        <v>0</v>
      </c>
      <c r="BW324" s="128">
        <f>BV324/$AS324</f>
        <v>0</v>
      </c>
      <c r="BX324" s="130">
        <f>IF(BY324&gt;0,1,0)</f>
        <v>0</v>
      </c>
      <c r="BY324" s="128">
        <f>VLOOKUP($E324,[2]Current!$A:$AC,14,FALSE)</f>
        <v>0</v>
      </c>
      <c r="BZ324" s="128">
        <f>BY324/$AS324</f>
        <v>0</v>
      </c>
      <c r="CA324" s="130">
        <f>IF(CB324&gt;0,1,0)</f>
        <v>1</v>
      </c>
      <c r="CB324" s="128">
        <f>VLOOKUP($E324,[2]Current!$A:$AC,15,FALSE)</f>
        <v>1</v>
      </c>
      <c r="CC324" s="128">
        <f>CB324/$AS324</f>
        <v>1.7574692442882252</v>
      </c>
      <c r="CD324" s="176">
        <f>IF(CE324&gt;0,1,0)</f>
        <v>1</v>
      </c>
      <c r="CE324" s="128">
        <f>VLOOKUP($E324,[2]Current!$A:$AC,16,FALSE)</f>
        <v>2</v>
      </c>
      <c r="CF324" s="128">
        <f>CE324/$AS324</f>
        <v>3.5149384885764503</v>
      </c>
      <c r="CG324" s="18"/>
      <c r="CH324" s="18"/>
      <c r="CI324" s="18"/>
      <c r="CJ324" s="130">
        <f>IF(CK324&gt;0,1,0)</f>
        <v>1</v>
      </c>
      <c r="CK324" s="128">
        <f>VLOOKUP($E324,[2]Current!$A:$AC,18,FALSE)</f>
        <v>5</v>
      </c>
      <c r="CL324" s="128">
        <f>CK324/$AS324</f>
        <v>8.7873462214411262</v>
      </c>
      <c r="CS324" s="130">
        <f>IF(CU324&gt;0,1,0)</f>
        <v>0</v>
      </c>
      <c r="CU324" s="128">
        <f>VLOOKUP($E324,[2]Current!$A:$AC,17,FALSE)</f>
        <v>0</v>
      </c>
      <c r="CV324" s="128">
        <f>CU324/$AS324</f>
        <v>0</v>
      </c>
      <c r="CW324" s="18"/>
      <c r="CX324" s="18"/>
      <c r="CY324" s="18"/>
      <c r="DF324" s="16" t="e">
        <f>VLOOKUP(K324,'[3]RNA Seq summary tables'!$V$3:$V$99,1,FALSE)</f>
        <v>#N/A</v>
      </c>
    </row>
    <row r="325" spans="2:288" x14ac:dyDescent="0.2">
      <c r="B325" s="16">
        <v>2017</v>
      </c>
      <c r="C325" s="43">
        <v>42914</v>
      </c>
      <c r="D325" s="43" t="str">
        <f>CONCATENATE(J325,"-",C325)</f>
        <v>1182-42914</v>
      </c>
      <c r="E325" s="20" t="str">
        <f>CONCATENATE(T325,"-",U325,"-",C325)</f>
        <v>HW1-F8-42914</v>
      </c>
      <c r="F325" s="20" t="s">
        <v>106</v>
      </c>
      <c r="G325" s="43" t="s">
        <v>107</v>
      </c>
      <c r="H325" s="23"/>
      <c r="I325" s="16">
        <v>0</v>
      </c>
      <c r="J325" s="15">
        <v>1182</v>
      </c>
      <c r="K325" s="15">
        <v>1789</v>
      </c>
      <c r="L325" s="18">
        <v>0</v>
      </c>
      <c r="M325" s="21">
        <f>VLOOKUP($K325,'[4]blood tubes 2017'!$D$1:$L$647,8,FALSE)</f>
        <v>0</v>
      </c>
      <c r="N325" s="15">
        <v>0</v>
      </c>
      <c r="O325" s="15" t="s">
        <v>119</v>
      </c>
      <c r="P325" s="23" t="s">
        <v>119</v>
      </c>
      <c r="Q325" s="16">
        <v>0</v>
      </c>
      <c r="R325" s="23" t="s">
        <v>111</v>
      </c>
      <c r="S325" s="23"/>
      <c r="T325" s="23" t="s">
        <v>133</v>
      </c>
      <c r="U325" s="23" t="s">
        <v>138</v>
      </c>
      <c r="V325" s="23" t="s">
        <v>114</v>
      </c>
      <c r="W325" s="16">
        <f>AI325/AG325</f>
        <v>0.76744186046511631</v>
      </c>
      <c r="X325" s="23" t="s">
        <v>115</v>
      </c>
      <c r="Y325" s="23" t="s">
        <v>110</v>
      </c>
      <c r="Z325" s="23">
        <v>3</v>
      </c>
      <c r="AA325" s="23"/>
      <c r="AB325" s="23"/>
      <c r="AC325" s="23"/>
      <c r="AD325" s="23"/>
      <c r="AE325" s="23" t="s">
        <v>116</v>
      </c>
      <c r="AF325" s="23" t="s">
        <v>116</v>
      </c>
      <c r="AG325" s="23">
        <f>AH325-AI325</f>
        <v>86</v>
      </c>
      <c r="AH325" s="23">
        <v>152</v>
      </c>
      <c r="AI325" s="23">
        <v>66</v>
      </c>
      <c r="AJ325" s="23"/>
      <c r="AK325" s="23">
        <v>16.5</v>
      </c>
      <c r="AL325" s="23">
        <v>1</v>
      </c>
      <c r="AM325" s="23">
        <v>0</v>
      </c>
      <c r="AN325" s="23">
        <v>0</v>
      </c>
      <c r="AO325" s="23">
        <v>1</v>
      </c>
      <c r="AP325" s="23">
        <f>SUM(AL325:AN325)</f>
        <v>1</v>
      </c>
      <c r="AQ325" s="23">
        <v>1.74</v>
      </c>
      <c r="AR325" s="23">
        <f>AP325-1.472</f>
        <v>-0.47199999999999998</v>
      </c>
      <c r="AS325" s="23">
        <f>AQ325-1.472</f>
        <v>0.26800000000000002</v>
      </c>
      <c r="AT325" s="16" t="s">
        <v>233</v>
      </c>
      <c r="AW325" s="16">
        <f>IF(AX325&gt;0,1,0)</f>
        <v>1</v>
      </c>
      <c r="AX325" s="16">
        <f>SUM(BA325,BM325,CT325)</f>
        <v>1</v>
      </c>
      <c r="AY325" s="18">
        <f>SUM(BB325,BN325,CV325)</f>
        <v>139511.19402985074</v>
      </c>
      <c r="AZ325" s="16">
        <v>1</v>
      </c>
      <c r="BA325" s="16">
        <v>1</v>
      </c>
      <c r="BB325" s="16">
        <f>SUM(BE325,BH325,BK325)</f>
        <v>139511.19402985074</v>
      </c>
      <c r="BC325" s="16">
        <v>0</v>
      </c>
      <c r="BD325" s="16">
        <v>0</v>
      </c>
      <c r="BE325" s="16">
        <f>BD325/AS325</f>
        <v>0</v>
      </c>
      <c r="BF325" s="16">
        <v>1</v>
      </c>
      <c r="BG325" s="23">
        <v>37389</v>
      </c>
      <c r="BH325" s="16">
        <f>BG325/AS325</f>
        <v>139511.19402985074</v>
      </c>
      <c r="BI325" s="16">
        <v>0</v>
      </c>
      <c r="BJ325" s="16">
        <v>0</v>
      </c>
      <c r="BK325" s="16">
        <f>BJ325/AS325</f>
        <v>0</v>
      </c>
      <c r="BL325" s="16">
        <f>IF(BM325&gt;0,1,0)</f>
        <v>0</v>
      </c>
      <c r="BM325" s="16">
        <f>SUM(BR325,BU325,BX325,CA325,CD325,CG325,CJ325,CM325,CP325)</f>
        <v>0</v>
      </c>
      <c r="BN325" s="16">
        <f>SUM(BW325,BZ325,CC325,CF325,CI325,CL325,CO325,CR325,BT325)</f>
        <v>0</v>
      </c>
      <c r="BO325" s="16">
        <f>IF(BP325&gt;0,1,0)</f>
        <v>0</v>
      </c>
      <c r="BP325" s="16">
        <f>SUM(BU325,BX325,CA325,CD325,BR325)</f>
        <v>0</v>
      </c>
      <c r="BQ325" s="16">
        <f>SUM(BZ325,CC325,CF325,BT325,BW325)</f>
        <v>0</v>
      </c>
      <c r="BR325" s="16">
        <v>0</v>
      </c>
      <c r="BS325" s="16">
        <v>0</v>
      </c>
      <c r="BT325" s="23">
        <f>BS325/AS325</f>
        <v>0</v>
      </c>
      <c r="BU325" s="16">
        <v>0</v>
      </c>
      <c r="BV325" s="16">
        <v>0</v>
      </c>
      <c r="BW325" s="16">
        <f>BV325/AS325</f>
        <v>0</v>
      </c>
      <c r="BX325" s="16">
        <v>0</v>
      </c>
      <c r="BY325" s="16">
        <v>0</v>
      </c>
      <c r="BZ325" s="16">
        <f>BY325/AS325</f>
        <v>0</v>
      </c>
      <c r="CA325" s="16">
        <v>0</v>
      </c>
      <c r="CB325" s="16">
        <v>0</v>
      </c>
      <c r="CC325" s="16">
        <f>CB325/AS325</f>
        <v>0</v>
      </c>
      <c r="CD325" s="23">
        <v>0</v>
      </c>
      <c r="CE325" s="16">
        <v>0</v>
      </c>
      <c r="CF325" s="16">
        <f>CE325/AS325</f>
        <v>0</v>
      </c>
      <c r="CG325" s="16">
        <v>0</v>
      </c>
      <c r="CH325" s="16">
        <v>0</v>
      </c>
      <c r="CI325" s="16">
        <f>CH325/AS325</f>
        <v>0</v>
      </c>
      <c r="CM325" s="16">
        <v>0</v>
      </c>
      <c r="CN325" s="16">
        <v>0</v>
      </c>
      <c r="CO325" s="16">
        <f>CN325/AS325</f>
        <v>0</v>
      </c>
      <c r="CP325" s="16">
        <v>0</v>
      </c>
      <c r="CQ325" s="16">
        <v>0</v>
      </c>
      <c r="CR325" s="16">
        <f>CQ325/AS325</f>
        <v>0</v>
      </c>
      <c r="CS325" s="16">
        <v>0</v>
      </c>
      <c r="CT325" s="16">
        <v>0</v>
      </c>
      <c r="CV325" s="16">
        <f>SUM(CY325,DB325,DE325)</f>
        <v>0</v>
      </c>
      <c r="CW325" s="16">
        <v>0</v>
      </c>
      <c r="CX325" s="16">
        <v>0</v>
      </c>
      <c r="CY325" s="16">
        <f>CX325/AS325</f>
        <v>0</v>
      </c>
      <c r="CZ325" s="16">
        <v>0</v>
      </c>
      <c r="DA325" s="16">
        <v>0</v>
      </c>
      <c r="DB325" s="16">
        <f>DA325/AS325</f>
        <v>0</v>
      </c>
      <c r="DC325" s="23">
        <v>0</v>
      </c>
      <c r="DD325" s="23">
        <v>0</v>
      </c>
      <c r="DE325" s="23">
        <f>DD325/AS325</f>
        <v>0</v>
      </c>
      <c r="DF325" s="16" t="e">
        <f>VLOOKUP(K325,'[3]RNA Seq summary tables'!$V$3:$V$99,1,FALSE)</f>
        <v>#N/A</v>
      </c>
      <c r="DI325" s="23">
        <v>66</v>
      </c>
      <c r="DJ325" s="23"/>
      <c r="DK325" s="23">
        <v>26</v>
      </c>
      <c r="DL325" s="23"/>
      <c r="DM325" s="23">
        <v>8</v>
      </c>
      <c r="DN325" s="23"/>
      <c r="DO325" s="23">
        <v>0</v>
      </c>
      <c r="DP325" s="23"/>
      <c r="DQ325" s="23">
        <v>0</v>
      </c>
      <c r="DR325" s="23">
        <f>SUM(DI325:DQ325)</f>
        <v>100</v>
      </c>
      <c r="DS325" s="23"/>
      <c r="JO325" s="18"/>
      <c r="JR325" s="27"/>
      <c r="JS325" s="27"/>
      <c r="JT325" s="27"/>
      <c r="JU325" s="27"/>
      <c r="JV325" s="27"/>
      <c r="JW325" s="27"/>
      <c r="JX325" s="27"/>
      <c r="JY325" s="27"/>
      <c r="JZ325" s="27"/>
      <c r="KA325" s="27"/>
      <c r="KB325" s="27"/>
    </row>
    <row r="326" spans="2:288" ht="16" x14ac:dyDescent="0.2">
      <c r="B326" s="16">
        <v>2017</v>
      </c>
      <c r="C326" s="20">
        <v>42930</v>
      </c>
      <c r="D326" s="20" t="str">
        <f>CONCATENATE(J326,"-",C326)</f>
        <v>1182-42930</v>
      </c>
      <c r="E326" s="37" t="str">
        <f>CONCATENATE(T326,"-",U326,"-",C326)</f>
        <v>HW1-F8-42930</v>
      </c>
      <c r="F326" s="20" t="s">
        <v>106</v>
      </c>
      <c r="G326" s="20" t="s">
        <v>107</v>
      </c>
      <c r="I326" s="16">
        <v>0</v>
      </c>
      <c r="J326" s="21">
        <v>1182</v>
      </c>
      <c r="K326" s="21">
        <v>1910</v>
      </c>
      <c r="L326" s="18">
        <v>0</v>
      </c>
      <c r="M326" s="21">
        <f>VLOOKUP($K326,'[4]blood tubes 2017'!$D$1:$L$647,8,FALSE)</f>
        <v>0</v>
      </c>
      <c r="N326" s="15">
        <v>0</v>
      </c>
      <c r="O326" s="15" t="s">
        <v>119</v>
      </c>
      <c r="P326" s="16" t="s">
        <v>119</v>
      </c>
      <c r="Q326" s="16">
        <v>0</v>
      </c>
      <c r="R326" s="16">
        <v>16</v>
      </c>
      <c r="T326" s="16" t="s">
        <v>133</v>
      </c>
      <c r="U326" s="16" t="s">
        <v>138</v>
      </c>
      <c r="V326" s="16" t="s">
        <v>114</v>
      </c>
      <c r="W326" s="16">
        <f>AI326/AG326</f>
        <v>0.79069767441860461</v>
      </c>
      <c r="X326" s="16" t="s">
        <v>115</v>
      </c>
      <c r="Y326" s="16" t="s">
        <v>110</v>
      </c>
      <c r="Z326" s="16">
        <v>3</v>
      </c>
      <c r="AE326" s="16" t="s">
        <v>116</v>
      </c>
      <c r="AF326" s="16" t="s">
        <v>116</v>
      </c>
      <c r="AG326" s="16">
        <f>AH326-AI326</f>
        <v>86</v>
      </c>
      <c r="AH326" s="16">
        <v>154</v>
      </c>
      <c r="AI326" s="16">
        <v>68</v>
      </c>
      <c r="AK326" s="16">
        <v>17.5</v>
      </c>
      <c r="AL326" s="16">
        <v>0</v>
      </c>
      <c r="AM326" s="16">
        <v>0</v>
      </c>
      <c r="AN326" s="16">
        <v>0</v>
      </c>
      <c r="AO326" s="16">
        <v>0</v>
      </c>
      <c r="AP326" s="16">
        <f>SUM(AL326:AN326)</f>
        <v>0</v>
      </c>
      <c r="AQ326" s="16">
        <v>1.99</v>
      </c>
      <c r="AR326" s="16">
        <f>AP326-1.472</f>
        <v>-1.472</v>
      </c>
      <c r="AS326" s="16">
        <f>AQ326-1.472</f>
        <v>0.51800000000000002</v>
      </c>
      <c r="AT326" s="16" t="str">
        <f>VLOOKUP(E326,[2]Current!$A$1:$W$435,7,FALSE)</f>
        <v>JB</v>
      </c>
      <c r="AU326" s="16" t="s">
        <v>1288</v>
      </c>
      <c r="AV326" s="23"/>
      <c r="AW326" s="128">
        <f>IF(AX326&gt;0,1,0)</f>
        <v>1</v>
      </c>
      <c r="AX326" s="128">
        <f>SUM(BA326,BM326,CU326)</f>
        <v>4</v>
      </c>
      <c r="AY326" s="128">
        <f>SUM(BB326,BN326,CV326)</f>
        <v>2841.6988416988415</v>
      </c>
      <c r="AZ326" s="128">
        <f>IF(BA326&gt;0,1,0)</f>
        <v>1</v>
      </c>
      <c r="BA326" s="128">
        <f>SUM(BC326+BF326+BI326)</f>
        <v>3</v>
      </c>
      <c r="BB326" s="128">
        <f>SUM(BE326,BH326,BK326)</f>
        <v>2833.9768339768339</v>
      </c>
      <c r="BC326" s="130">
        <f>IF(BD326&gt;0,1,0)</f>
        <v>1</v>
      </c>
      <c r="BD326" s="128">
        <f>VLOOKUP($E326,[2]Current!$A:$AC,26,FALSE)</f>
        <v>87</v>
      </c>
      <c r="BE326" s="128">
        <f>BD326/$AS326</f>
        <v>167.95366795366795</v>
      </c>
      <c r="BF326" s="130">
        <f>IF(BG326&gt;0,1,0)</f>
        <v>1</v>
      </c>
      <c r="BG326" s="175">
        <f>VLOOKUP($E326,[2]Current!$A:$AC,27,FALSE)</f>
        <v>1325</v>
      </c>
      <c r="BH326" s="128">
        <f>BG326/$AS326</f>
        <v>2557.9150579150578</v>
      </c>
      <c r="BI326" s="130">
        <f>IF(BJ326&gt;0,1,0)</f>
        <v>1</v>
      </c>
      <c r="BJ326" s="128">
        <f>VLOOKUP($E326,[2]Current!$A:$AC,28,FALSE)</f>
        <v>56</v>
      </c>
      <c r="BK326" s="128">
        <f>BJ326/$AS326</f>
        <v>108.1081081081081</v>
      </c>
      <c r="BL326" s="128">
        <f>IF(BM326&gt;0,1,0)</f>
        <v>1</v>
      </c>
      <c r="BM326" s="128">
        <f>SUM(BR326,BU326,BX326,CA326,CD326)</f>
        <v>1</v>
      </c>
      <c r="BN326" s="131">
        <f>SUM(BT326,BW326,BZ326,CC326,CF326)</f>
        <v>7.7220077220077217</v>
      </c>
      <c r="BO326" s="128">
        <f>IF(BP326&gt;0,1,0)</f>
        <v>1</v>
      </c>
      <c r="BP326" s="128">
        <f>BM326+CJ326</f>
        <v>1</v>
      </c>
      <c r="BQ326" s="128">
        <f>BN326+CL326</f>
        <v>7.7220077220077217</v>
      </c>
      <c r="BR326" s="130">
        <f>IF(BS326&gt;0,1,0)</f>
        <v>1</v>
      </c>
      <c r="BS326" s="128">
        <f>VLOOKUP($E326,[2]Current!$A:$AC,12,FALSE)</f>
        <v>4</v>
      </c>
      <c r="BT326" s="175">
        <f>BS326/$AS326</f>
        <v>7.7220077220077217</v>
      </c>
      <c r="BU326" s="130">
        <f>IF(BV326&gt;0,1,0)</f>
        <v>0</v>
      </c>
      <c r="BV326" s="128">
        <f>VLOOKUP($E326,[2]Current!$A:$AC,13,FALSE)</f>
        <v>0</v>
      </c>
      <c r="BW326" s="128">
        <f>BV326/$AS326</f>
        <v>0</v>
      </c>
      <c r="BX326" s="130">
        <f>IF(BY326&gt;0,1,0)</f>
        <v>0</v>
      </c>
      <c r="BY326" s="128">
        <f>VLOOKUP($E326,[2]Current!$A:$AC,14,FALSE)</f>
        <v>0</v>
      </c>
      <c r="BZ326" s="128">
        <f>BY326/$AS326</f>
        <v>0</v>
      </c>
      <c r="CA326" s="130">
        <f>IF(CB326&gt;0,1,0)</f>
        <v>0</v>
      </c>
      <c r="CB326" s="128">
        <f>VLOOKUP($E326,[2]Current!$A:$AC,15,FALSE)</f>
        <v>0</v>
      </c>
      <c r="CC326" s="128">
        <f>CB326/$AS326</f>
        <v>0</v>
      </c>
      <c r="CD326" s="176">
        <f>IF(CE326&gt;0,1,0)</f>
        <v>0</v>
      </c>
      <c r="CE326" s="128">
        <f>VLOOKUP($E326,[2]Current!$A:$AC,16,FALSE)</f>
        <v>0</v>
      </c>
      <c r="CF326" s="128">
        <f>CE326/$AS326</f>
        <v>0</v>
      </c>
      <c r="CG326" s="18"/>
      <c r="CH326" s="18"/>
      <c r="CI326" s="18"/>
      <c r="CJ326" s="130">
        <f>IF(CK326&gt;0,1,0)</f>
        <v>0</v>
      </c>
      <c r="CK326" s="128">
        <f>VLOOKUP($E326,[2]Current!$A:$AC,18,FALSE)</f>
        <v>0</v>
      </c>
      <c r="CL326" s="128">
        <f>CK326/$AS326</f>
        <v>0</v>
      </c>
      <c r="CS326" s="130">
        <f>IF(CU326&gt;0,1,0)</f>
        <v>0</v>
      </c>
      <c r="CU326" s="128">
        <f>VLOOKUP($E326,[2]Current!$A:$AC,17,FALSE)</f>
        <v>0</v>
      </c>
      <c r="CV326" s="128">
        <f>CU326/$AS326</f>
        <v>0</v>
      </c>
      <c r="CW326" s="18"/>
      <c r="CX326" s="18"/>
      <c r="CY326" s="18"/>
      <c r="DF326" s="16" t="e">
        <f>VLOOKUP(K326,'[3]RNA Seq summary tables'!$V$3:$V$99,1,FALSE)</f>
        <v>#N/A</v>
      </c>
      <c r="JR326" s="26"/>
      <c r="JS326" s="26"/>
      <c r="JT326" s="26"/>
      <c r="JU326" s="26"/>
      <c r="JV326" s="26"/>
      <c r="JW326" s="26"/>
      <c r="JX326" s="26"/>
      <c r="JY326" s="26"/>
      <c r="JZ326" s="26"/>
      <c r="KA326" s="26"/>
      <c r="KB326" s="26"/>
    </row>
    <row r="327" spans="2:288" s="18" customFormat="1" x14ac:dyDescent="0.2">
      <c r="B327" s="16">
        <v>2017</v>
      </c>
      <c r="C327" s="43">
        <v>42948</v>
      </c>
      <c r="D327" s="43" t="str">
        <f>CONCATENATE(J327,"-",C327)</f>
        <v>1182-42948</v>
      </c>
      <c r="E327" s="142" t="str">
        <f>CONCATENATE(T327,"-",U327,"-",C327)</f>
        <v>HW1-G8-42948</v>
      </c>
      <c r="F327" s="20" t="s">
        <v>106</v>
      </c>
      <c r="G327" s="43" t="s">
        <v>107</v>
      </c>
      <c r="H327" s="23"/>
      <c r="I327" s="16"/>
      <c r="J327" s="15">
        <v>1182</v>
      </c>
      <c r="K327" s="15">
        <v>2057</v>
      </c>
      <c r="L327" s="18">
        <v>0</v>
      </c>
      <c r="M327" s="21">
        <f>VLOOKUP($K327,'[4]blood tubes 2017'!$D$1:$L$647,8,FALSE)</f>
        <v>0</v>
      </c>
      <c r="N327" s="15">
        <v>0</v>
      </c>
      <c r="O327" s="15" t="s">
        <v>119</v>
      </c>
      <c r="P327" s="23" t="s">
        <v>119</v>
      </c>
      <c r="Q327" s="16">
        <v>0</v>
      </c>
      <c r="R327" s="23">
        <v>18</v>
      </c>
      <c r="S327" s="23"/>
      <c r="T327" s="23" t="s">
        <v>133</v>
      </c>
      <c r="U327" s="23" t="s">
        <v>216</v>
      </c>
      <c r="V327" s="23" t="s">
        <v>114</v>
      </c>
      <c r="W327" s="16">
        <f>AI327/AG327</f>
        <v>0.80232558139534882</v>
      </c>
      <c r="X327" s="23" t="s">
        <v>115</v>
      </c>
      <c r="Y327" s="23" t="s">
        <v>110</v>
      </c>
      <c r="Z327" s="23">
        <v>3</v>
      </c>
      <c r="AA327" s="23"/>
      <c r="AB327" s="23"/>
      <c r="AC327" s="23"/>
      <c r="AD327" s="23"/>
      <c r="AE327" s="23" t="s">
        <v>116</v>
      </c>
      <c r="AF327" s="23" t="s">
        <v>116</v>
      </c>
      <c r="AG327" s="23">
        <f>AH327-AI327</f>
        <v>86</v>
      </c>
      <c r="AH327" s="23">
        <v>155</v>
      </c>
      <c r="AI327" s="23">
        <v>69</v>
      </c>
      <c r="AJ327" s="23"/>
      <c r="AK327" s="23">
        <v>18.5</v>
      </c>
      <c r="AL327" s="23">
        <v>0</v>
      </c>
      <c r="AM327" s="23">
        <v>0</v>
      </c>
      <c r="AN327" s="23">
        <v>0</v>
      </c>
      <c r="AO327" s="23">
        <v>0</v>
      </c>
      <c r="AP327" s="23">
        <f>SUM(AL327:AN327)</f>
        <v>0</v>
      </c>
      <c r="AQ327" s="23">
        <v>1.97</v>
      </c>
      <c r="AR327" s="23">
        <f>AP327-1.472</f>
        <v>-1.472</v>
      </c>
      <c r="AS327" s="23">
        <f>AQ327-1.472</f>
        <v>0.498</v>
      </c>
      <c r="AT327" s="16" t="e">
        <f>VLOOKUP(E327,[2]Current!$A$1:$W$435,7,FALSE)</f>
        <v>#N/A</v>
      </c>
      <c r="AU327" s="16">
        <v>0</v>
      </c>
      <c r="AV327" s="16"/>
      <c r="BE327" s="16"/>
      <c r="BF327" s="16"/>
      <c r="BG327" s="23"/>
      <c r="BH327" s="16"/>
      <c r="BI327" s="16"/>
      <c r="BJ327" s="16"/>
      <c r="BK327" s="16"/>
      <c r="BL327" s="16"/>
      <c r="BM327" s="16"/>
      <c r="BN327" s="16"/>
      <c r="BO327" s="16"/>
      <c r="BP327" s="16"/>
      <c r="BQ327" s="16"/>
      <c r="BR327" s="16"/>
      <c r="BS327" s="16"/>
      <c r="BT327" s="23"/>
      <c r="BU327" s="16"/>
      <c r="BV327" s="16"/>
      <c r="BW327" s="16"/>
      <c r="BX327" s="16"/>
      <c r="BY327" s="16"/>
      <c r="BZ327" s="16"/>
      <c r="CA327" s="16"/>
      <c r="CB327" s="16"/>
      <c r="CC327" s="16"/>
      <c r="CD327" s="23"/>
      <c r="CE327" s="16"/>
      <c r="CF327" s="16"/>
      <c r="CG327" s="16"/>
      <c r="CH327" s="16"/>
      <c r="CI327" s="16"/>
      <c r="CJ327" s="16"/>
      <c r="CK327" s="16"/>
      <c r="CL327" s="16"/>
      <c r="CM327" s="16"/>
      <c r="CN327" s="16"/>
      <c r="CO327" s="16"/>
      <c r="CP327" s="16"/>
      <c r="CQ327" s="16"/>
      <c r="CR327" s="16"/>
      <c r="CS327" s="16"/>
      <c r="CT327" s="16"/>
      <c r="CU327" s="16"/>
      <c r="CV327" s="16"/>
      <c r="CW327" s="16"/>
      <c r="CX327" s="16"/>
      <c r="CY327" s="16"/>
      <c r="CZ327" s="16"/>
      <c r="DA327" s="16"/>
      <c r="DB327" s="16"/>
      <c r="DC327" s="23"/>
      <c r="DD327" s="23"/>
      <c r="DE327" s="23"/>
      <c r="DF327" s="16" t="e">
        <f>VLOOKUP(K327,'[3]RNA Seq summary tables'!$V$3:$V$99,1,FALSE)</f>
        <v>#N/A</v>
      </c>
      <c r="DG327" s="16"/>
      <c r="DH327" s="16"/>
      <c r="DI327" s="23"/>
      <c r="DJ327" s="23"/>
      <c r="DK327" s="23"/>
      <c r="DL327" s="23"/>
      <c r="DM327" s="23"/>
      <c r="DN327" s="23"/>
      <c r="DO327" s="23"/>
      <c r="DP327" s="23"/>
      <c r="DQ327" s="23"/>
      <c r="DR327" s="23"/>
      <c r="DS327" s="23"/>
      <c r="JO327" s="16"/>
      <c r="JP327" s="16"/>
      <c r="JQ327" s="16"/>
    </row>
    <row r="328" spans="2:288" ht="16" x14ac:dyDescent="0.2">
      <c r="B328" s="16">
        <v>2017</v>
      </c>
      <c r="C328" s="20">
        <v>42966</v>
      </c>
      <c r="D328" s="20" t="str">
        <f>CONCATENATE(J328,"-",C328)</f>
        <v>1182-42966</v>
      </c>
      <c r="E328" s="37" t="str">
        <f>CONCATENATE(T328,"-",U328,"-",C328)</f>
        <v>HW1-D8-42966</v>
      </c>
      <c r="F328" s="20" t="s">
        <v>106</v>
      </c>
      <c r="G328" s="20" t="s">
        <v>107</v>
      </c>
      <c r="I328" s="16">
        <v>0</v>
      </c>
      <c r="J328" s="21">
        <v>1182</v>
      </c>
      <c r="K328" s="21">
        <v>2210</v>
      </c>
      <c r="L328" s="18">
        <v>0</v>
      </c>
      <c r="M328" s="21">
        <f>VLOOKUP($K328,'[4]blood tubes 2017'!$D$1:$L$647,8,FALSE)</f>
        <v>0</v>
      </c>
      <c r="N328" s="15">
        <v>0</v>
      </c>
      <c r="O328" s="15" t="s">
        <v>119</v>
      </c>
      <c r="P328" s="16" t="s">
        <v>119</v>
      </c>
      <c r="Q328" s="16">
        <v>0</v>
      </c>
      <c r="R328" s="16">
        <v>18</v>
      </c>
      <c r="T328" s="16" t="s">
        <v>133</v>
      </c>
      <c r="U328" s="16" t="s">
        <v>178</v>
      </c>
      <c r="V328" s="16" t="s">
        <v>114</v>
      </c>
      <c r="W328" s="16">
        <f>AI328/AG328</f>
        <v>0.7752808988764045</v>
      </c>
      <c r="X328" s="16" t="s">
        <v>115</v>
      </c>
      <c r="Y328" s="16" t="s">
        <v>110</v>
      </c>
      <c r="Z328" s="16">
        <v>3</v>
      </c>
      <c r="AE328" s="16" t="s">
        <v>116</v>
      </c>
      <c r="AF328" s="16" t="s">
        <v>116</v>
      </c>
      <c r="AG328" s="16">
        <f>AH328-AI328</f>
        <v>89</v>
      </c>
      <c r="AH328" s="16">
        <v>158</v>
      </c>
      <c r="AI328" s="16">
        <v>69</v>
      </c>
      <c r="AK328" s="16">
        <v>19.5</v>
      </c>
      <c r="AL328" s="16">
        <v>0</v>
      </c>
      <c r="AM328" s="16">
        <v>0</v>
      </c>
      <c r="AN328" s="16">
        <v>0</v>
      </c>
      <c r="AO328" s="16">
        <v>0</v>
      </c>
      <c r="AP328" s="16">
        <f>SUM(AL328:AN328)</f>
        <v>0</v>
      </c>
      <c r="AQ328" s="16">
        <v>1.5609999999999999</v>
      </c>
      <c r="AR328" s="16">
        <f>AP328-1.472</f>
        <v>-1.472</v>
      </c>
      <c r="AS328" s="16">
        <f>AQ328-1.472</f>
        <v>8.8999999999999968E-2</v>
      </c>
      <c r="AT328" s="16" t="str">
        <f>VLOOKUP(E328,[2]Current!$A$1:$W$435,7,FALSE)</f>
        <v>JY</v>
      </c>
      <c r="AU328" s="16" t="s">
        <v>1288</v>
      </c>
      <c r="AW328" s="128">
        <f>IF(AX328&gt;0,1,0)</f>
        <v>1</v>
      </c>
      <c r="AX328" s="128">
        <f>SUM(BA328,BM328,CU328)</f>
        <v>1</v>
      </c>
      <c r="AY328" s="128">
        <f>SUM(BB328,BN328,CV328)</f>
        <v>10696.629213483149</v>
      </c>
      <c r="AZ328" s="128">
        <f>IF(BA328&gt;0,1,0)</f>
        <v>1</v>
      </c>
      <c r="BA328" s="128">
        <f>SUM(BC328+BF328+BI328)</f>
        <v>1</v>
      </c>
      <c r="BB328" s="128">
        <f>SUM(BE328,BH328,BK328)</f>
        <v>10696.629213483149</v>
      </c>
      <c r="BC328" s="130">
        <f>IF(BD328&gt;0,1,0)</f>
        <v>0</v>
      </c>
      <c r="BD328" s="128">
        <f>VLOOKUP($E328,[2]Current!$A:$AC,26,FALSE)</f>
        <v>0</v>
      </c>
      <c r="BE328" s="128">
        <f>BD328/$AS328</f>
        <v>0</v>
      </c>
      <c r="BF328" s="130">
        <f>IF(BG328&gt;0,1,0)</f>
        <v>1</v>
      </c>
      <c r="BG328" s="175">
        <f>VLOOKUP($E328,[2]Current!$A:$AC,27,FALSE)</f>
        <v>952</v>
      </c>
      <c r="BH328" s="128">
        <f>BG328/$AS328</f>
        <v>10696.629213483149</v>
      </c>
      <c r="BI328" s="130">
        <f>IF(BJ328&gt;0,1,0)</f>
        <v>0</v>
      </c>
      <c r="BJ328" s="128">
        <f>VLOOKUP($E328,[2]Current!$A:$AC,28,FALSE)</f>
        <v>0</v>
      </c>
      <c r="BK328" s="128">
        <f>BJ328/$AS328</f>
        <v>0</v>
      </c>
      <c r="BL328" s="128">
        <f>IF(BM328&gt;0,1,0)</f>
        <v>0</v>
      </c>
      <c r="BM328" s="128">
        <f>SUM(BR328,BU328,BX328,CA328,CD328)</f>
        <v>0</v>
      </c>
      <c r="BN328" s="131">
        <f>SUM(BT328,BW328,BZ328,CC328,CF328)</f>
        <v>0</v>
      </c>
      <c r="BO328" s="128">
        <f>IF(BP328&gt;0,1,0)</f>
        <v>0</v>
      </c>
      <c r="BP328" s="128">
        <f>BM328+CJ328</f>
        <v>0</v>
      </c>
      <c r="BQ328" s="128">
        <f>BN328+CL328</f>
        <v>0</v>
      </c>
      <c r="BR328" s="130">
        <f>IF(BS328&gt;0,1,0)</f>
        <v>0</v>
      </c>
      <c r="BS328" s="128">
        <f>VLOOKUP($E328,[2]Current!$A:$AC,12,FALSE)</f>
        <v>0</v>
      </c>
      <c r="BT328" s="175">
        <f>BS328/$AS328</f>
        <v>0</v>
      </c>
      <c r="BU328" s="130">
        <f>IF(BV328&gt;0,1,0)</f>
        <v>0</v>
      </c>
      <c r="BV328" s="128">
        <f>VLOOKUP($E328,[2]Current!$A:$AC,13,FALSE)</f>
        <v>0</v>
      </c>
      <c r="BW328" s="128">
        <f>BV328/$AS328</f>
        <v>0</v>
      </c>
      <c r="BX328" s="130">
        <f>IF(BY328&gt;0,1,0)</f>
        <v>0</v>
      </c>
      <c r="BY328" s="128">
        <f>VLOOKUP($E328,[2]Current!$A:$AC,14,FALSE)</f>
        <v>0</v>
      </c>
      <c r="BZ328" s="128">
        <f>BY328/$AS328</f>
        <v>0</v>
      </c>
      <c r="CA328" s="130">
        <f>IF(CB328&gt;0,1,0)</f>
        <v>0</v>
      </c>
      <c r="CB328" s="128">
        <f>VLOOKUP($E328,[2]Current!$A:$AC,15,FALSE)</f>
        <v>0</v>
      </c>
      <c r="CC328" s="128">
        <f>CB328/$AS328</f>
        <v>0</v>
      </c>
      <c r="CD328" s="176">
        <f>IF(CE328&gt;0,1,0)</f>
        <v>0</v>
      </c>
      <c r="CE328" s="128">
        <f>VLOOKUP($E328,[2]Current!$A:$AC,16,FALSE)</f>
        <v>0</v>
      </c>
      <c r="CF328" s="128">
        <f>CE328/$AS328</f>
        <v>0</v>
      </c>
      <c r="CG328" s="18"/>
      <c r="CH328" s="18"/>
      <c r="CI328" s="18"/>
      <c r="CJ328" s="130">
        <f>IF(CK328&gt;0,1,0)</f>
        <v>0</v>
      </c>
      <c r="CK328" s="128">
        <f>VLOOKUP($E328,[2]Current!$A:$AC,18,FALSE)</f>
        <v>0</v>
      </c>
      <c r="CL328" s="128">
        <f>CK328/$AS328</f>
        <v>0</v>
      </c>
      <c r="CS328" s="130">
        <f>IF(CU328&gt;0,1,0)</f>
        <v>0</v>
      </c>
      <c r="CU328" s="128">
        <f>VLOOKUP($E328,[2]Current!$A:$AC,17,FALSE)</f>
        <v>0</v>
      </c>
      <c r="CV328" s="128">
        <f>CU328/$AS328</f>
        <v>0</v>
      </c>
      <c r="CW328" s="18"/>
      <c r="CX328" s="18"/>
      <c r="CY328" s="18"/>
      <c r="DF328" s="16" t="e">
        <f>VLOOKUP(K328,'[3]RNA Seq summary tables'!$V$3:$V$99,1,FALSE)</f>
        <v>#N/A</v>
      </c>
    </row>
    <row r="329" spans="2:288" s="18" customFormat="1" x14ac:dyDescent="0.2">
      <c r="B329" s="16">
        <v>2017</v>
      </c>
      <c r="C329" s="20">
        <v>42914</v>
      </c>
      <c r="D329" s="20" t="str">
        <f>CONCATENATE(J329,"-",C329)</f>
        <v>1184-42914</v>
      </c>
      <c r="E329" s="20" t="str">
        <f>CONCATENATE(T329,"-",U329,"-",C329)</f>
        <v>HW1-H2-42914</v>
      </c>
      <c r="F329" s="20" t="s">
        <v>106</v>
      </c>
      <c r="G329" s="20" t="s">
        <v>107</v>
      </c>
      <c r="H329" s="16"/>
      <c r="I329" s="16">
        <v>0</v>
      </c>
      <c r="J329" s="21">
        <v>1184</v>
      </c>
      <c r="K329" s="21">
        <v>1793</v>
      </c>
      <c r="L329" s="18">
        <v>0</v>
      </c>
      <c r="M329" s="21">
        <f>VLOOKUP($K329,'[4]blood tubes 2017'!$D$1:$L$647,8,FALSE)</f>
        <v>0</v>
      </c>
      <c r="N329" s="15">
        <v>0</v>
      </c>
      <c r="O329" s="15" t="s">
        <v>119</v>
      </c>
      <c r="P329" s="16" t="s">
        <v>119</v>
      </c>
      <c r="Q329" s="16">
        <v>0</v>
      </c>
      <c r="R329" s="16" t="s">
        <v>111</v>
      </c>
      <c r="S329" s="16"/>
      <c r="T329" s="16" t="s">
        <v>133</v>
      </c>
      <c r="U329" s="16" t="s">
        <v>190</v>
      </c>
      <c r="V329" s="16" t="s">
        <v>114</v>
      </c>
      <c r="W329" s="16">
        <f>AI329/AG329</f>
        <v>0.88095238095238093</v>
      </c>
      <c r="X329" s="16" t="s">
        <v>115</v>
      </c>
      <c r="Y329" s="16" t="s">
        <v>110</v>
      </c>
      <c r="Z329" s="16">
        <v>3</v>
      </c>
      <c r="AA329" s="16"/>
      <c r="AB329" s="16"/>
      <c r="AC329" s="16"/>
      <c r="AD329" s="16"/>
      <c r="AE329" s="16" t="s">
        <v>123</v>
      </c>
      <c r="AF329" s="16" t="s">
        <v>123</v>
      </c>
      <c r="AG329" s="16">
        <f>AH329-AI329</f>
        <v>84</v>
      </c>
      <c r="AH329" s="16">
        <v>158</v>
      </c>
      <c r="AI329" s="16">
        <v>74</v>
      </c>
      <c r="AJ329" s="16"/>
      <c r="AK329" s="16">
        <v>18</v>
      </c>
      <c r="AL329" s="16">
        <v>0</v>
      </c>
      <c r="AM329" s="16">
        <v>0</v>
      </c>
      <c r="AN329" s="16">
        <v>0</v>
      </c>
      <c r="AO329" s="16">
        <v>0</v>
      </c>
      <c r="AP329" s="16">
        <f>SUM(AL329:AN329)</f>
        <v>0</v>
      </c>
      <c r="AQ329" s="16">
        <v>1.8180000000000001</v>
      </c>
      <c r="AR329" s="16">
        <f>AP329-1.472</f>
        <v>-1.472</v>
      </c>
      <c r="AS329" s="16">
        <f>AQ329-1.472</f>
        <v>0.34600000000000009</v>
      </c>
      <c r="AT329" s="16" t="s">
        <v>234</v>
      </c>
      <c r="AU329" s="16"/>
      <c r="AV329" s="16">
        <v>1</v>
      </c>
      <c r="AW329" s="16">
        <f>IF(AX329&gt;0,1,0)</f>
        <v>0</v>
      </c>
      <c r="AX329" s="16">
        <f>SUM(BA329,BM329,CT329)</f>
        <v>0</v>
      </c>
      <c r="AY329" s="18">
        <f>SUM(BB329,BN329,CV329)</f>
        <v>0</v>
      </c>
      <c r="AZ329" s="16">
        <v>0</v>
      </c>
      <c r="BA329" s="16">
        <v>0</v>
      </c>
      <c r="BB329" s="16">
        <f>SUM(BE329,BH329,BK329)</f>
        <v>0</v>
      </c>
      <c r="BC329" s="16">
        <v>0</v>
      </c>
      <c r="BD329" s="16">
        <v>0</v>
      </c>
      <c r="BE329" s="16">
        <f>BD329/AS329</f>
        <v>0</v>
      </c>
      <c r="BF329" s="16">
        <v>0</v>
      </c>
      <c r="BG329" s="23">
        <v>0</v>
      </c>
      <c r="BH329" s="16">
        <f>BG329/AS329</f>
        <v>0</v>
      </c>
      <c r="BI329" s="16">
        <v>0</v>
      </c>
      <c r="BJ329" s="16">
        <v>0</v>
      </c>
      <c r="BK329" s="16">
        <f>BJ329/AS329</f>
        <v>0</v>
      </c>
      <c r="BL329" s="16">
        <f>IF(BM329&gt;0,1,0)</f>
        <v>0</v>
      </c>
      <c r="BM329" s="16">
        <f>SUM(BR329,BU329,BX329,CA329,CD329,CG329,CJ329,CM329,CP329)</f>
        <v>0</v>
      </c>
      <c r="BN329" s="16">
        <f>SUM(BW329,BZ329,CC329,CF329,CI329,CL329,CO329,CR329,BT329)</f>
        <v>0</v>
      </c>
      <c r="BO329" s="16">
        <f>IF(BP329&gt;0,1,0)</f>
        <v>0</v>
      </c>
      <c r="BP329" s="16">
        <f>SUM(BU329,BX329,CA329,CD329,BR329)</f>
        <v>0</v>
      </c>
      <c r="BQ329" s="16">
        <f>SUM(BZ329,CC329,CF329,BT329,BW329)</f>
        <v>0</v>
      </c>
      <c r="BR329" s="16">
        <v>0</v>
      </c>
      <c r="BS329" s="16">
        <v>0</v>
      </c>
      <c r="BT329" s="23">
        <f>BS329/AS329</f>
        <v>0</v>
      </c>
      <c r="BU329" s="16">
        <v>0</v>
      </c>
      <c r="BV329" s="16">
        <v>0</v>
      </c>
      <c r="BW329" s="16">
        <f>BV329/AS329</f>
        <v>0</v>
      </c>
      <c r="BX329" s="16">
        <v>0</v>
      </c>
      <c r="BY329" s="16">
        <v>0</v>
      </c>
      <c r="BZ329" s="16">
        <f>BY329/AS329</f>
        <v>0</v>
      </c>
      <c r="CA329" s="16">
        <v>0</v>
      </c>
      <c r="CB329" s="16">
        <v>0</v>
      </c>
      <c r="CC329" s="16">
        <f>CB329/AS329</f>
        <v>0</v>
      </c>
      <c r="CD329" s="23">
        <v>0</v>
      </c>
      <c r="CE329" s="16">
        <v>0</v>
      </c>
      <c r="CF329" s="16">
        <f>CE329/AS329</f>
        <v>0</v>
      </c>
      <c r="CG329" s="16">
        <v>0</v>
      </c>
      <c r="CH329" s="16">
        <v>0</v>
      </c>
      <c r="CI329" s="16">
        <f>CH329/AS329</f>
        <v>0</v>
      </c>
      <c r="CJ329" s="16"/>
      <c r="CK329" s="16"/>
      <c r="CL329" s="16"/>
      <c r="CM329" s="16">
        <v>0</v>
      </c>
      <c r="CN329" s="16">
        <v>0</v>
      </c>
      <c r="CO329" s="16">
        <f>CN329/AS329</f>
        <v>0</v>
      </c>
      <c r="CP329" s="16">
        <v>0</v>
      </c>
      <c r="CQ329" s="16">
        <v>0</v>
      </c>
      <c r="CR329" s="16">
        <f>CQ329/AS329</f>
        <v>0</v>
      </c>
      <c r="CS329" s="16">
        <v>0</v>
      </c>
      <c r="CT329" s="16">
        <v>0</v>
      </c>
      <c r="CU329" s="16"/>
      <c r="CV329" s="16">
        <f>SUM(CY329,DB329,DE329)</f>
        <v>0</v>
      </c>
      <c r="CW329" s="16">
        <v>0</v>
      </c>
      <c r="CX329" s="16">
        <v>0</v>
      </c>
      <c r="CY329" s="16">
        <f>CX329/AS329</f>
        <v>0</v>
      </c>
      <c r="CZ329" s="16">
        <v>0</v>
      </c>
      <c r="DA329" s="16">
        <v>0</v>
      </c>
      <c r="DB329" s="16">
        <f>DA329/AS329</f>
        <v>0</v>
      </c>
      <c r="DC329" s="16">
        <v>0</v>
      </c>
      <c r="DD329" s="16">
        <v>0</v>
      </c>
      <c r="DE329" s="16">
        <f>DD329/AS329</f>
        <v>0</v>
      </c>
      <c r="DF329" s="16" t="e">
        <f>VLOOKUP(K329,'[3]RNA Seq summary tables'!$V$3:$V$99,1,FALSE)</f>
        <v>#N/A</v>
      </c>
      <c r="DG329" s="16"/>
      <c r="DH329" s="16"/>
      <c r="DI329" s="16">
        <v>80</v>
      </c>
      <c r="DJ329" s="16"/>
      <c r="DK329" s="16">
        <v>15</v>
      </c>
      <c r="DL329" s="16"/>
      <c r="DM329" s="16">
        <v>5</v>
      </c>
      <c r="DN329" s="16"/>
      <c r="DO329" s="16">
        <v>0</v>
      </c>
      <c r="DP329" s="16"/>
      <c r="DQ329" s="16">
        <v>0</v>
      </c>
      <c r="DR329" s="16">
        <f>SUM(DI329:DQ329)</f>
        <v>100</v>
      </c>
      <c r="DS329" s="16"/>
      <c r="JO329" s="16"/>
      <c r="JR329" s="27"/>
      <c r="JS329" s="27"/>
      <c r="JT329" s="27"/>
      <c r="JU329" s="27"/>
      <c r="JV329" s="27"/>
      <c r="JW329" s="27"/>
      <c r="JX329" s="27"/>
      <c r="JY329" s="27"/>
      <c r="JZ329" s="27"/>
      <c r="KA329" s="27"/>
      <c r="KB329" s="27"/>
    </row>
    <row r="330" spans="2:288" s="18" customFormat="1" x14ac:dyDescent="0.2">
      <c r="B330" s="16">
        <v>2017</v>
      </c>
      <c r="C330" s="20">
        <v>42949</v>
      </c>
      <c r="D330" s="20" t="str">
        <f>CONCATENATE(J330,"-",C330)</f>
        <v>1184-42949</v>
      </c>
      <c r="E330" s="142" t="str">
        <f>CONCATENATE(T330,"-",U330,"-",C330)</f>
        <v>HW1-H2-42949</v>
      </c>
      <c r="F330" s="20" t="s">
        <v>106</v>
      </c>
      <c r="G330" s="20" t="s">
        <v>107</v>
      </c>
      <c r="H330" s="16"/>
      <c r="I330" s="16"/>
      <c r="J330" s="21">
        <v>1184</v>
      </c>
      <c r="K330" s="21">
        <v>2065</v>
      </c>
      <c r="L330" s="18">
        <v>0</v>
      </c>
      <c r="M330" s="21">
        <f>VLOOKUP($K330,'[4]blood tubes 2017'!$D$1:$L$647,8,FALSE)</f>
        <v>0</v>
      </c>
      <c r="N330" s="15">
        <v>0</v>
      </c>
      <c r="O330" s="15" t="s">
        <v>119</v>
      </c>
      <c r="P330" s="16" t="s">
        <v>119</v>
      </c>
      <c r="Q330" s="16">
        <v>0</v>
      </c>
      <c r="R330" s="16">
        <v>35</v>
      </c>
      <c r="S330" s="16"/>
      <c r="T330" s="16" t="s">
        <v>133</v>
      </c>
      <c r="U330" s="16" t="s">
        <v>190</v>
      </c>
      <c r="V330" s="16" t="s">
        <v>114</v>
      </c>
      <c r="W330" s="16">
        <f>AI330/AG330</f>
        <v>0.8539325842696629</v>
      </c>
      <c r="X330" s="16" t="s">
        <v>115</v>
      </c>
      <c r="Y330" s="16" t="s">
        <v>110</v>
      </c>
      <c r="Z330" s="16">
        <v>3</v>
      </c>
      <c r="AA330" s="16"/>
      <c r="AB330" s="16"/>
      <c r="AC330" s="16"/>
      <c r="AD330" s="16"/>
      <c r="AE330" s="16" t="s">
        <v>116</v>
      </c>
      <c r="AF330" s="16" t="s">
        <v>116</v>
      </c>
      <c r="AG330" s="16">
        <f>AH330-AI330</f>
        <v>89</v>
      </c>
      <c r="AH330" s="16">
        <v>165</v>
      </c>
      <c r="AI330" s="16">
        <v>76</v>
      </c>
      <c r="AJ330" s="16"/>
      <c r="AK330" s="16">
        <v>21.5</v>
      </c>
      <c r="AL330" s="16">
        <v>0</v>
      </c>
      <c r="AM330" s="16">
        <v>0</v>
      </c>
      <c r="AN330" s="16">
        <v>0</v>
      </c>
      <c r="AO330" s="16">
        <v>0</v>
      </c>
      <c r="AP330" s="16">
        <f>SUM(AL330:AN330)</f>
        <v>0</v>
      </c>
      <c r="AQ330" s="16">
        <v>2.1989999999999998</v>
      </c>
      <c r="AR330" s="16">
        <f>AP330-1.472</f>
        <v>-1.472</v>
      </c>
      <c r="AS330" s="16">
        <f>AQ330-1.472</f>
        <v>0.72699999999999987</v>
      </c>
      <c r="AT330" s="16" t="e">
        <f>VLOOKUP(E330,[2]Current!$A$1:$W$435,7,FALSE)</f>
        <v>#N/A</v>
      </c>
      <c r="AU330" s="16">
        <v>0</v>
      </c>
      <c r="AV330" s="16"/>
      <c r="BE330" s="16"/>
      <c r="BF330" s="16"/>
      <c r="BG330" s="23"/>
      <c r="BH330" s="16"/>
      <c r="BI330" s="16"/>
      <c r="BJ330" s="16"/>
      <c r="BK330" s="16"/>
      <c r="BL330" s="16"/>
      <c r="BM330" s="16"/>
      <c r="BN330" s="16"/>
      <c r="BO330" s="16"/>
      <c r="BP330" s="16"/>
      <c r="BQ330" s="16"/>
      <c r="BR330" s="16"/>
      <c r="BS330" s="16"/>
      <c r="BT330" s="23"/>
      <c r="BU330" s="16"/>
      <c r="BV330" s="16"/>
      <c r="BW330" s="16"/>
      <c r="BX330" s="16"/>
      <c r="BY330" s="16"/>
      <c r="BZ330" s="16"/>
      <c r="CA330" s="16"/>
      <c r="CB330" s="16"/>
      <c r="CC330" s="16"/>
      <c r="CD330" s="23"/>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t="e">
        <f>VLOOKUP(K330,'[3]RNA Seq summary tables'!$V$3:$V$99,1,FALSE)</f>
        <v>#N/A</v>
      </c>
      <c r="DG330" s="16"/>
      <c r="DH330" s="16"/>
      <c r="DI330" s="16"/>
      <c r="DJ330" s="16"/>
      <c r="DK330" s="16"/>
      <c r="DL330" s="16"/>
      <c r="DM330" s="16"/>
      <c r="DN330" s="16"/>
      <c r="DO330" s="16"/>
      <c r="DP330" s="16"/>
      <c r="DQ330" s="16"/>
      <c r="DR330" s="16"/>
      <c r="DS330" s="16"/>
      <c r="JO330" s="16"/>
    </row>
    <row r="331" spans="2:288" x14ac:dyDescent="0.2">
      <c r="B331" s="16">
        <v>2017</v>
      </c>
      <c r="C331" s="20">
        <v>42966</v>
      </c>
      <c r="D331" s="20" t="str">
        <f>CONCATENATE(J331,"-",C331)</f>
        <v>1184-42966</v>
      </c>
      <c r="E331" s="142" t="str">
        <f>CONCATENATE(T331,"-",U331,"-",C331)</f>
        <v>HW1-H2-42966</v>
      </c>
      <c r="F331" s="20" t="s">
        <v>106</v>
      </c>
      <c r="G331" s="20" t="s">
        <v>107</v>
      </c>
      <c r="J331" s="21">
        <v>1184</v>
      </c>
      <c r="K331" s="21">
        <v>2216</v>
      </c>
      <c r="L331" s="18">
        <v>0</v>
      </c>
      <c r="M331" s="21">
        <f>VLOOKUP($K331,'[4]blood tubes 2017'!$D$1:$L$647,8,FALSE)</f>
        <v>0</v>
      </c>
      <c r="N331" s="15">
        <v>0</v>
      </c>
      <c r="O331" s="15" t="s">
        <v>119</v>
      </c>
      <c r="P331" s="16" t="s">
        <v>119</v>
      </c>
      <c r="Q331" s="16">
        <v>0</v>
      </c>
      <c r="R331" s="16">
        <v>17</v>
      </c>
      <c r="T331" s="16" t="s">
        <v>133</v>
      </c>
      <c r="U331" s="16" t="s">
        <v>190</v>
      </c>
      <c r="V331" s="16" t="s">
        <v>114</v>
      </c>
      <c r="W331" s="16">
        <f>AI331/AG331</f>
        <v>0.80645161290322576</v>
      </c>
      <c r="X331" s="16" t="s">
        <v>115</v>
      </c>
      <c r="Y331" s="16" t="s">
        <v>110</v>
      </c>
      <c r="Z331" s="16">
        <v>3</v>
      </c>
      <c r="AE331" s="16" t="s">
        <v>116</v>
      </c>
      <c r="AF331" s="16" t="s">
        <v>116</v>
      </c>
      <c r="AG331" s="16">
        <f>AH331-AI331</f>
        <v>93</v>
      </c>
      <c r="AH331" s="16">
        <v>168</v>
      </c>
      <c r="AI331" s="16">
        <v>75</v>
      </c>
      <c r="AK331" s="16">
        <v>22.5</v>
      </c>
      <c r="AL331" s="16">
        <v>1</v>
      </c>
      <c r="AM331" s="16">
        <v>0</v>
      </c>
      <c r="AN331" s="16">
        <v>0</v>
      </c>
      <c r="AO331" s="16">
        <v>1</v>
      </c>
      <c r="AP331" s="16">
        <f>SUM(AL331:AN331)</f>
        <v>1</v>
      </c>
      <c r="AQ331" s="16">
        <v>1.6259999999999999</v>
      </c>
      <c r="AR331" s="16">
        <f>AP331-1.472</f>
        <v>-0.47199999999999998</v>
      </c>
      <c r="AS331" s="16">
        <f>AQ331-1.472</f>
        <v>0.15399999999999991</v>
      </c>
      <c r="AT331" s="16" t="e">
        <f>VLOOKUP(E331,[2]Current!$A$1:$W$435,7,FALSE)</f>
        <v>#N/A</v>
      </c>
      <c r="AU331" s="16">
        <v>0</v>
      </c>
      <c r="AW331" s="18"/>
      <c r="AX331" s="18"/>
      <c r="AY331" s="18"/>
      <c r="AZ331" s="18"/>
      <c r="BA331" s="18"/>
      <c r="BB331" s="18"/>
      <c r="BC331" s="18"/>
      <c r="BD331" s="18"/>
      <c r="BG331" s="23"/>
      <c r="BT331" s="23"/>
      <c r="CD331" s="23"/>
      <c r="DF331" s="16" t="e">
        <f>VLOOKUP(K331,'[3]RNA Seq summary tables'!$V$3:$V$99,1,FALSE)</f>
        <v>#N/A</v>
      </c>
    </row>
    <row r="332" spans="2:288" x14ac:dyDescent="0.2">
      <c r="B332" s="16">
        <v>2017</v>
      </c>
      <c r="C332" s="43">
        <v>42915</v>
      </c>
      <c r="D332" s="43" t="str">
        <f>CONCATENATE(J332,"-",C332)</f>
        <v>1186-42915</v>
      </c>
      <c r="E332" s="20" t="str">
        <f>CONCATENATE(T332,"-",U332,"-",C332)</f>
        <v>HW2-D3-42915</v>
      </c>
      <c r="F332" s="20" t="s">
        <v>106</v>
      </c>
      <c r="G332" s="43" t="s">
        <v>107</v>
      </c>
      <c r="H332" s="23"/>
      <c r="I332" s="16">
        <v>0</v>
      </c>
      <c r="J332" s="15">
        <v>1186</v>
      </c>
      <c r="K332" s="15">
        <v>1796</v>
      </c>
      <c r="L332" s="18">
        <v>0</v>
      </c>
      <c r="M332" s="21">
        <f>VLOOKUP($K332,'[4]blood tubes 2017'!$D$1:$L$647,8,FALSE)</f>
        <v>0</v>
      </c>
      <c r="N332" s="15">
        <v>0</v>
      </c>
      <c r="O332" s="15" t="s">
        <v>119</v>
      </c>
      <c r="P332" s="23" t="s">
        <v>119</v>
      </c>
      <c r="Q332" s="16">
        <v>0</v>
      </c>
      <c r="R332" s="23" t="s">
        <v>111</v>
      </c>
      <c r="S332" s="23"/>
      <c r="T332" s="23" t="s">
        <v>129</v>
      </c>
      <c r="U332" s="23" t="s">
        <v>149</v>
      </c>
      <c r="V332" s="23" t="s">
        <v>114</v>
      </c>
      <c r="W332" s="16">
        <f>AI332/AG332</f>
        <v>0.76623376623376627</v>
      </c>
      <c r="X332" s="23" t="s">
        <v>115</v>
      </c>
      <c r="Y332" s="23" t="s">
        <v>145</v>
      </c>
      <c r="Z332" s="23">
        <v>1</v>
      </c>
      <c r="AA332" s="23"/>
      <c r="AB332" s="23"/>
      <c r="AC332" s="23"/>
      <c r="AD332" s="23"/>
      <c r="AE332" s="23" t="s">
        <v>123</v>
      </c>
      <c r="AF332" s="23" t="s">
        <v>123</v>
      </c>
      <c r="AG332" s="23">
        <f>AH332-AI332</f>
        <v>77</v>
      </c>
      <c r="AH332" s="23">
        <v>136</v>
      </c>
      <c r="AI332" s="23">
        <v>59</v>
      </c>
      <c r="AJ332" s="23"/>
      <c r="AK332" s="23">
        <v>11.5</v>
      </c>
      <c r="AL332" s="23">
        <v>0</v>
      </c>
      <c r="AM332" s="23">
        <v>0</v>
      </c>
      <c r="AN332" s="23">
        <v>0</v>
      </c>
      <c r="AO332" s="23">
        <v>0</v>
      </c>
      <c r="AP332" s="23">
        <f>SUM(AL332:AN332)</f>
        <v>0</v>
      </c>
      <c r="AQ332" s="23">
        <v>1.8129999999999999</v>
      </c>
      <c r="AR332" s="23">
        <f>AP332-1.472</f>
        <v>-1.472</v>
      </c>
      <c r="AS332" s="23">
        <f>AQ332-1.472</f>
        <v>0.34099999999999997</v>
      </c>
      <c r="AT332" s="16" t="s">
        <v>119</v>
      </c>
      <c r="AW332" s="16">
        <f>IF(AX332&gt;0,1,0)</f>
        <v>1</v>
      </c>
      <c r="AX332" s="16">
        <f>SUM(BA332,BM332,CT332)</f>
        <v>4</v>
      </c>
      <c r="AY332" s="18">
        <f>SUM(BB332,BN332,CV332)</f>
        <v>11328.445747800588</v>
      </c>
      <c r="AZ332" s="16">
        <v>1</v>
      </c>
      <c r="BA332" s="16">
        <v>2</v>
      </c>
      <c r="BB332" s="16">
        <f>SUM(BE332,BH332,BK332)</f>
        <v>11304.985337243403</v>
      </c>
      <c r="BC332" s="16">
        <v>1</v>
      </c>
      <c r="BD332" s="16">
        <v>253</v>
      </c>
      <c r="BE332" s="16">
        <f>BD332/AS332</f>
        <v>741.9354838709678</v>
      </c>
      <c r="BF332" s="16">
        <v>1</v>
      </c>
      <c r="BG332" s="23">
        <v>3602</v>
      </c>
      <c r="BH332" s="16">
        <f>BG332/AS332</f>
        <v>10563.049853372435</v>
      </c>
      <c r="BI332" s="16">
        <v>0</v>
      </c>
      <c r="BJ332" s="16">
        <v>0</v>
      </c>
      <c r="BK332" s="16">
        <f>BJ332/AS332</f>
        <v>0</v>
      </c>
      <c r="BL332" s="16">
        <f>IF(BM332&gt;0,1,0)</f>
        <v>1</v>
      </c>
      <c r="BM332" s="16">
        <f>SUM(BR332,BU332,BX332,CA332,CD332,CG332,CJ332,CM332,CP332)</f>
        <v>2</v>
      </c>
      <c r="BN332" s="16">
        <f>SUM(BW332,BZ332,CC332,CF332,CI332,CL332,CO332,CR332,BT332)</f>
        <v>23.460410557184751</v>
      </c>
      <c r="BO332" s="16">
        <f>IF(BP332&gt;0,1,0)</f>
        <v>0</v>
      </c>
      <c r="BP332" s="16">
        <f>SUM(BU332,BX332,CA332,CD332,BR332)</f>
        <v>0</v>
      </c>
      <c r="BQ332" s="16">
        <f>SUM(BZ332,CC332,CF332,BT332,BW332)</f>
        <v>0</v>
      </c>
      <c r="BR332" s="16">
        <v>0</v>
      </c>
      <c r="BS332" s="16">
        <v>0</v>
      </c>
      <c r="BT332" s="23">
        <f>BS332/AS332</f>
        <v>0</v>
      </c>
      <c r="BU332" s="16">
        <v>0</v>
      </c>
      <c r="BV332" s="16">
        <v>0</v>
      </c>
      <c r="BW332" s="16">
        <f>BV332/AS332</f>
        <v>0</v>
      </c>
      <c r="BX332" s="16">
        <v>0</v>
      </c>
      <c r="BY332" s="16">
        <v>0</v>
      </c>
      <c r="BZ332" s="16">
        <f>BY332/AS332</f>
        <v>0</v>
      </c>
      <c r="CA332" s="16">
        <v>0</v>
      </c>
      <c r="CB332" s="16">
        <v>0</v>
      </c>
      <c r="CC332" s="16">
        <f>CB332/AS332</f>
        <v>0</v>
      </c>
      <c r="CD332" s="23">
        <v>0</v>
      </c>
      <c r="CE332" s="16">
        <v>0</v>
      </c>
      <c r="CF332" s="16">
        <f>CE332/AS332</f>
        <v>0</v>
      </c>
      <c r="CG332" s="16">
        <v>1</v>
      </c>
      <c r="CH332" s="16">
        <v>2</v>
      </c>
      <c r="CI332" s="16">
        <f>CH332/AS332</f>
        <v>5.8651026392961878</v>
      </c>
      <c r="CM332" s="16">
        <v>1</v>
      </c>
      <c r="CN332" s="16">
        <v>6</v>
      </c>
      <c r="CO332" s="16">
        <f>CN332/AS332</f>
        <v>17.595307917888565</v>
      </c>
      <c r="CP332" s="16">
        <v>0</v>
      </c>
      <c r="CQ332" s="16">
        <v>0</v>
      </c>
      <c r="CR332" s="16">
        <f>CQ332/AS332</f>
        <v>0</v>
      </c>
      <c r="CS332" s="16">
        <v>0</v>
      </c>
      <c r="CT332" s="16">
        <v>0</v>
      </c>
      <c r="CV332" s="16">
        <f>SUM(CY332,DB332,DE332)</f>
        <v>0</v>
      </c>
      <c r="CW332" s="16">
        <v>0</v>
      </c>
      <c r="CX332" s="16">
        <v>0</v>
      </c>
      <c r="CY332" s="16">
        <f>CX332/AS332</f>
        <v>0</v>
      </c>
      <c r="CZ332" s="16">
        <v>0</v>
      </c>
      <c r="DA332" s="16">
        <v>0</v>
      </c>
      <c r="DB332" s="16">
        <f>DA332/AS332</f>
        <v>0</v>
      </c>
      <c r="DC332" s="23">
        <v>0</v>
      </c>
      <c r="DD332" s="23">
        <v>0</v>
      </c>
      <c r="DE332" s="23">
        <f>DD332/AS332</f>
        <v>0</v>
      </c>
      <c r="DF332" s="16" t="e">
        <f>VLOOKUP(K332,'[3]RNA Seq summary tables'!$V$3:$V$99,1,FALSE)</f>
        <v>#N/A</v>
      </c>
      <c r="DI332" s="23">
        <v>53</v>
      </c>
      <c r="DJ332" s="23"/>
      <c r="DK332" s="23">
        <v>38</v>
      </c>
      <c r="DL332" s="23"/>
      <c r="DM332" s="23">
        <v>9</v>
      </c>
      <c r="DN332" s="23"/>
      <c r="DO332" s="23">
        <v>0</v>
      </c>
      <c r="DP332" s="23"/>
      <c r="DQ332" s="23">
        <v>0</v>
      </c>
      <c r="DR332" s="23">
        <f>SUM(DI332:DQ332)</f>
        <v>100</v>
      </c>
      <c r="DS332" s="23"/>
      <c r="JO332" s="30"/>
      <c r="JP332" s="18"/>
      <c r="JQ332" s="18"/>
      <c r="JR332" s="27"/>
      <c r="JS332" s="27"/>
      <c r="JT332" s="27"/>
      <c r="JU332" s="27"/>
      <c r="JV332" s="27"/>
      <c r="JW332" s="27"/>
      <c r="JX332" s="27"/>
      <c r="JY332" s="27"/>
      <c r="JZ332" s="27"/>
      <c r="KA332" s="27"/>
      <c r="KB332" s="27"/>
    </row>
    <row r="333" spans="2:288" ht="16" x14ac:dyDescent="0.2">
      <c r="B333" s="16">
        <v>2017</v>
      </c>
      <c r="C333" s="20">
        <v>42930</v>
      </c>
      <c r="D333" s="20" t="str">
        <f>CONCATENATE(J333,"-",C333)</f>
        <v>1186-42930</v>
      </c>
      <c r="E333" s="37" t="str">
        <f>CONCATENATE(T333,"-",U333,"-",C333)</f>
        <v>HW2-D3-42930</v>
      </c>
      <c r="F333" s="20" t="s">
        <v>106</v>
      </c>
      <c r="G333" s="20" t="s">
        <v>107</v>
      </c>
      <c r="H333" s="16" t="s">
        <v>1159</v>
      </c>
      <c r="J333" s="21">
        <v>1186</v>
      </c>
      <c r="K333" s="21">
        <v>1898</v>
      </c>
      <c r="L333" s="18">
        <v>0</v>
      </c>
      <c r="M333" s="21">
        <f>VLOOKUP($K333,'[4]blood tubes 2017'!$D$1:$L$647,8,FALSE)</f>
        <v>0</v>
      </c>
      <c r="N333" s="15">
        <v>0</v>
      </c>
      <c r="O333" s="15" t="s">
        <v>119</v>
      </c>
      <c r="P333" s="16" t="s">
        <v>119</v>
      </c>
      <c r="Q333" s="16">
        <v>0</v>
      </c>
      <c r="R333" s="16">
        <v>15</v>
      </c>
      <c r="T333" s="16" t="s">
        <v>129</v>
      </c>
      <c r="U333" s="16" t="s">
        <v>149</v>
      </c>
      <c r="V333" s="16" t="s">
        <v>114</v>
      </c>
      <c r="W333" s="16">
        <f>AI333/AG333</f>
        <v>0.80952380952380953</v>
      </c>
      <c r="X333" s="16" t="s">
        <v>115</v>
      </c>
      <c r="Y333" s="16" t="s">
        <v>122</v>
      </c>
      <c r="Z333" s="16">
        <v>2.6</v>
      </c>
      <c r="AE333" s="16" t="s">
        <v>123</v>
      </c>
      <c r="AF333" s="16" t="s">
        <v>123</v>
      </c>
      <c r="AG333" s="16">
        <f>AH333-AI333</f>
        <v>84</v>
      </c>
      <c r="AH333" s="16">
        <v>152</v>
      </c>
      <c r="AI333" s="16">
        <v>68</v>
      </c>
      <c r="AK333" s="16">
        <v>16</v>
      </c>
      <c r="AL333" s="16">
        <v>1</v>
      </c>
      <c r="AM333" s="16">
        <v>0</v>
      </c>
      <c r="AN333" s="16">
        <v>0</v>
      </c>
      <c r="AO333" s="16">
        <v>1</v>
      </c>
      <c r="AP333" s="16">
        <f>SUM(AL333:AN333)</f>
        <v>1</v>
      </c>
      <c r="AQ333" s="16">
        <v>1.9570000000000001</v>
      </c>
      <c r="AR333" s="16">
        <f>AP333-1.472</f>
        <v>-0.47199999999999998</v>
      </c>
      <c r="AS333" s="16">
        <f>AQ333-1.472</f>
        <v>0.4850000000000001</v>
      </c>
      <c r="AT333" s="16" t="str">
        <f>VLOOKUP(E333,[2]Current!$A$1:$W$435,7,FALSE)</f>
        <v>JB</v>
      </c>
      <c r="AU333" s="16" t="s">
        <v>1288</v>
      </c>
      <c r="AV333" s="23"/>
      <c r="AW333" s="128">
        <f>IF(AX333&gt;0,1,0)</f>
        <v>1</v>
      </c>
      <c r="AX333" s="128">
        <f>SUM(BA333,BM333,CU333)</f>
        <v>4</v>
      </c>
      <c r="AY333" s="128">
        <f>SUM(BB333,BN333,CV333)</f>
        <v>3049.4845360824734</v>
      </c>
      <c r="AZ333" s="128">
        <f>IF(BA333&gt;0,1,0)</f>
        <v>1</v>
      </c>
      <c r="BA333" s="128">
        <f>SUM(BC333+BF333+BI333)</f>
        <v>3</v>
      </c>
      <c r="BB333" s="128">
        <f>SUM(BE333,BH333,BK333)</f>
        <v>3047.4226804123705</v>
      </c>
      <c r="BC333" s="130">
        <f>IF(BD333&gt;0,1,0)</f>
        <v>1</v>
      </c>
      <c r="BD333" s="128">
        <f>VLOOKUP($E333,[2]Current!$A:$AC,26,FALSE)</f>
        <v>51</v>
      </c>
      <c r="BE333" s="128">
        <f>BD333/$AS333</f>
        <v>105.15463917525771</v>
      </c>
      <c r="BF333" s="130">
        <f>IF(BG333&gt;0,1,0)</f>
        <v>1</v>
      </c>
      <c r="BG333" s="175">
        <f>VLOOKUP($E333,[2]Current!$A:$AC,27,FALSE)</f>
        <v>1328</v>
      </c>
      <c r="BH333" s="128">
        <f>BG333/$AS333</f>
        <v>2738.1443298969066</v>
      </c>
      <c r="BI333" s="130">
        <f>IF(BJ333&gt;0,1,0)</f>
        <v>1</v>
      </c>
      <c r="BJ333" s="128">
        <f>VLOOKUP($E333,[2]Current!$A:$AC,28,FALSE)</f>
        <v>99</v>
      </c>
      <c r="BK333" s="128">
        <f>BJ333/$AS333</f>
        <v>204.12371134020614</v>
      </c>
      <c r="BL333" s="128">
        <f>IF(BM333&gt;0,1,0)</f>
        <v>1</v>
      </c>
      <c r="BM333" s="128">
        <f>SUM(BR333,BU333,BX333,CA333,CD333)</f>
        <v>1</v>
      </c>
      <c r="BN333" s="131">
        <f>SUM(BT333,BW333,BZ333,CC333,CF333)</f>
        <v>2.0618556701030926</v>
      </c>
      <c r="BO333" s="128">
        <f>IF(BP333&gt;0,1,0)</f>
        <v>1</v>
      </c>
      <c r="BP333" s="128">
        <f>BM333+CJ333</f>
        <v>2</v>
      </c>
      <c r="BQ333" s="128">
        <f>BN333+CL333</f>
        <v>10.309278350515463</v>
      </c>
      <c r="BR333" s="130">
        <f>IF(BS333&gt;0,1,0)</f>
        <v>1</v>
      </c>
      <c r="BS333" s="128">
        <f>VLOOKUP($E333,[2]Current!$A:$AC,12,FALSE)</f>
        <v>1</v>
      </c>
      <c r="BT333" s="175">
        <f>BS333/$AS333</f>
        <v>2.0618556701030926</v>
      </c>
      <c r="BU333" s="130">
        <f>IF(BV333&gt;0,1,0)</f>
        <v>0</v>
      </c>
      <c r="BV333" s="128">
        <f>VLOOKUP($E333,[2]Current!$A:$AC,13,FALSE)</f>
        <v>0</v>
      </c>
      <c r="BW333" s="128">
        <f>BV333/$AS333</f>
        <v>0</v>
      </c>
      <c r="BX333" s="130">
        <f>IF(BY333&gt;0,1,0)</f>
        <v>0</v>
      </c>
      <c r="BY333" s="128">
        <f>VLOOKUP($E333,[2]Current!$A:$AC,14,FALSE)</f>
        <v>0</v>
      </c>
      <c r="BZ333" s="128">
        <f>BY333/$AS333</f>
        <v>0</v>
      </c>
      <c r="CA333" s="130">
        <f>IF(CB333&gt;0,1,0)</f>
        <v>0</v>
      </c>
      <c r="CB333" s="128">
        <f>VLOOKUP($E333,[2]Current!$A:$AC,15,FALSE)</f>
        <v>0</v>
      </c>
      <c r="CC333" s="128">
        <f>CB333/$AS333</f>
        <v>0</v>
      </c>
      <c r="CD333" s="176">
        <f>IF(CE333&gt;0,1,0)</f>
        <v>0</v>
      </c>
      <c r="CE333" s="128">
        <f>VLOOKUP($E333,[2]Current!$A:$AC,16,FALSE)</f>
        <v>0</v>
      </c>
      <c r="CF333" s="128">
        <f>CE333/$AS333</f>
        <v>0</v>
      </c>
      <c r="CG333" s="18"/>
      <c r="CH333" s="18"/>
      <c r="CI333" s="18"/>
      <c r="CJ333" s="130">
        <f>IF(CK333&gt;0,1,0)</f>
        <v>1</v>
      </c>
      <c r="CK333" s="128">
        <f>VLOOKUP($E333,[2]Current!$A:$AC,18,FALSE)</f>
        <v>4</v>
      </c>
      <c r="CL333" s="128">
        <f>CK333/$AS333</f>
        <v>8.2474226804123703</v>
      </c>
      <c r="CS333" s="130">
        <f>IF(CU333&gt;0,1,0)</f>
        <v>0</v>
      </c>
      <c r="CU333" s="128">
        <f>VLOOKUP($E333,[2]Current!$A:$AC,17,FALSE)</f>
        <v>0</v>
      </c>
      <c r="CV333" s="128">
        <f>CU333/$AS333</f>
        <v>0</v>
      </c>
      <c r="CW333" s="18"/>
      <c r="CX333" s="18"/>
      <c r="CY333" s="18"/>
      <c r="DF333" s="16" t="e">
        <f>VLOOKUP(K333,'[3]RNA Seq summary tables'!$V$3:$V$99,1,FALSE)</f>
        <v>#N/A</v>
      </c>
      <c r="JR333" s="19"/>
      <c r="JS333" s="19"/>
      <c r="JT333" s="19"/>
      <c r="JU333" s="19"/>
      <c r="JV333" s="19"/>
      <c r="JW333" s="19"/>
      <c r="JX333" s="19"/>
      <c r="JY333" s="19"/>
      <c r="JZ333" s="19"/>
      <c r="KA333" s="19"/>
      <c r="KB333" s="19"/>
    </row>
    <row r="334" spans="2:288" x14ac:dyDescent="0.2">
      <c r="B334" s="16">
        <v>2017</v>
      </c>
      <c r="C334" s="20">
        <v>42915</v>
      </c>
      <c r="D334" s="20" t="str">
        <f>CONCATENATE(J334,"-",C334)</f>
        <v>1188-42915</v>
      </c>
      <c r="E334" s="20" t="str">
        <f>CONCATENATE(T334,"-",U334,"-",C334)</f>
        <v>HW2-G1-42915</v>
      </c>
      <c r="F334" s="20" t="s">
        <v>106</v>
      </c>
      <c r="G334" s="20" t="s">
        <v>107</v>
      </c>
      <c r="I334" s="16">
        <v>0</v>
      </c>
      <c r="J334" s="21">
        <v>1188</v>
      </c>
      <c r="K334" s="21">
        <v>1798</v>
      </c>
      <c r="L334" s="18">
        <v>0</v>
      </c>
      <c r="M334" s="21">
        <f>VLOOKUP($K334,'[4]blood tubes 2017'!$D$1:$L$647,8,FALSE)</f>
        <v>0</v>
      </c>
      <c r="N334" s="15">
        <v>0</v>
      </c>
      <c r="O334" s="15" t="s">
        <v>119</v>
      </c>
      <c r="P334" s="16" t="s">
        <v>119</v>
      </c>
      <c r="Q334" s="16">
        <v>0</v>
      </c>
      <c r="R334" s="16" t="s">
        <v>111</v>
      </c>
      <c r="T334" s="16" t="s">
        <v>129</v>
      </c>
      <c r="U334" s="16" t="s">
        <v>155</v>
      </c>
      <c r="V334" s="16" t="s">
        <v>114</v>
      </c>
      <c r="W334" s="16">
        <f>AI334/AG334</f>
        <v>0.83132530120481929</v>
      </c>
      <c r="X334" s="16" t="s">
        <v>115</v>
      </c>
      <c r="Y334" s="16" t="s">
        <v>110</v>
      </c>
      <c r="Z334" s="16">
        <v>3</v>
      </c>
      <c r="AE334" s="16" t="s">
        <v>123</v>
      </c>
      <c r="AF334" s="16" t="s">
        <v>123</v>
      </c>
      <c r="AG334" s="16">
        <f>AH334-AI334</f>
        <v>83</v>
      </c>
      <c r="AH334" s="16">
        <v>152</v>
      </c>
      <c r="AI334" s="16">
        <v>69</v>
      </c>
      <c r="AK334" s="16">
        <v>17.5</v>
      </c>
      <c r="AL334" s="16">
        <v>0</v>
      </c>
      <c r="AM334" s="16">
        <v>0</v>
      </c>
      <c r="AN334" s="16">
        <v>0</v>
      </c>
      <c r="AO334" s="16">
        <v>0</v>
      </c>
      <c r="AP334" s="16">
        <f>SUM(AL334:AN334)</f>
        <v>0</v>
      </c>
      <c r="AQ334" s="16">
        <v>1.6719999999999999</v>
      </c>
      <c r="AR334" s="16">
        <f>AP334-1.472</f>
        <v>-1.472</v>
      </c>
      <c r="AS334" s="16">
        <f>AQ334-1.472</f>
        <v>0.19999999999999996</v>
      </c>
      <c r="AT334" s="16" t="s">
        <v>119</v>
      </c>
      <c r="AW334" s="16">
        <f>IF(AX334&gt;0,1,0)</f>
        <v>1</v>
      </c>
      <c r="AX334" s="16">
        <f>SUM(BA334,BM334,CT334)</f>
        <v>3</v>
      </c>
      <c r="AY334" s="18">
        <f>SUM(BB334,BN334,CV334)</f>
        <v>5365.0000000000009</v>
      </c>
      <c r="AZ334" s="16">
        <v>1</v>
      </c>
      <c r="BA334" s="16">
        <v>1</v>
      </c>
      <c r="BB334" s="16">
        <f>SUM(BE334,BH334,BK334)</f>
        <v>4995.0000000000009</v>
      </c>
      <c r="BC334" s="16">
        <v>1</v>
      </c>
      <c r="BD334" s="16">
        <v>1</v>
      </c>
      <c r="BE334" s="16">
        <f>BD334/AS334</f>
        <v>5.0000000000000009</v>
      </c>
      <c r="BF334" s="16">
        <v>1</v>
      </c>
      <c r="BG334" s="23">
        <v>998</v>
      </c>
      <c r="BH334" s="16">
        <f>BG334/AS334</f>
        <v>4990.0000000000009</v>
      </c>
      <c r="BI334" s="16">
        <v>0</v>
      </c>
      <c r="BJ334" s="16">
        <v>0</v>
      </c>
      <c r="BK334" s="16">
        <f>BJ334/AS334</f>
        <v>0</v>
      </c>
      <c r="BL334" s="16">
        <f>IF(BM334&gt;0,1,0)</f>
        <v>1</v>
      </c>
      <c r="BM334" s="16">
        <f>SUM(BR334,BU334,BX334,CA334,CD334,CG334,CJ334,CM334,CP334)</f>
        <v>2</v>
      </c>
      <c r="BN334" s="16">
        <f>SUM(BW334,BZ334,CC334,CF334,CI334,CL334,CO334,CR334,BT334)</f>
        <v>370.00000000000006</v>
      </c>
      <c r="BO334" s="16">
        <f>IF(BP334&gt;0,1,0)</f>
        <v>1</v>
      </c>
      <c r="BP334" s="16">
        <f>SUM(BU334,BX334,CA334,CD334,BR334)</f>
        <v>1</v>
      </c>
      <c r="BQ334" s="16">
        <f>SUM(BZ334,CC334,CF334,BT334,BW334)</f>
        <v>360.00000000000006</v>
      </c>
      <c r="BR334" s="16">
        <v>1</v>
      </c>
      <c r="BS334" s="16">
        <v>72</v>
      </c>
      <c r="BT334" s="23">
        <f>BS334/AS334</f>
        <v>360.00000000000006</v>
      </c>
      <c r="BU334" s="16">
        <v>0</v>
      </c>
      <c r="BV334" s="16">
        <v>0</v>
      </c>
      <c r="BW334" s="16">
        <f>BV334/AS334</f>
        <v>0</v>
      </c>
      <c r="BX334" s="16">
        <v>0</v>
      </c>
      <c r="BY334" s="16">
        <v>0</v>
      </c>
      <c r="BZ334" s="16">
        <f>BY334/AS334</f>
        <v>0</v>
      </c>
      <c r="CA334" s="16">
        <v>0</v>
      </c>
      <c r="CB334" s="16">
        <v>0</v>
      </c>
      <c r="CC334" s="16">
        <f>CB334/AS334</f>
        <v>0</v>
      </c>
      <c r="CD334" s="23">
        <v>0</v>
      </c>
      <c r="CE334" s="16">
        <v>0</v>
      </c>
      <c r="CF334" s="16">
        <f>CE334/AS334</f>
        <v>0</v>
      </c>
      <c r="CG334" s="16">
        <v>1</v>
      </c>
      <c r="CH334" s="16">
        <v>2</v>
      </c>
      <c r="CI334" s="16">
        <f>CH334/AS334</f>
        <v>10.000000000000002</v>
      </c>
      <c r="CM334" s="16">
        <v>0</v>
      </c>
      <c r="CN334" s="16">
        <v>0</v>
      </c>
      <c r="CO334" s="16">
        <f>CN334/AS334</f>
        <v>0</v>
      </c>
      <c r="CP334" s="16">
        <v>0</v>
      </c>
      <c r="CQ334" s="16">
        <v>0</v>
      </c>
      <c r="CR334" s="16">
        <f>CQ334/AS334</f>
        <v>0</v>
      </c>
      <c r="CS334" s="16">
        <v>0</v>
      </c>
      <c r="CT334" s="16">
        <v>0</v>
      </c>
      <c r="CV334" s="16">
        <f>SUM(CY334,DB334,DE334)</f>
        <v>0</v>
      </c>
      <c r="CW334" s="16">
        <v>0</v>
      </c>
      <c r="CX334" s="16">
        <v>0</v>
      </c>
      <c r="CY334" s="16">
        <f>CX334/AS334</f>
        <v>0</v>
      </c>
      <c r="CZ334" s="16">
        <v>0</v>
      </c>
      <c r="DA334" s="16">
        <v>0</v>
      </c>
      <c r="DB334" s="16">
        <f>DA334/AS334</f>
        <v>0</v>
      </c>
      <c r="DC334" s="16">
        <v>0</v>
      </c>
      <c r="DD334" s="16">
        <v>0</v>
      </c>
      <c r="DE334" s="16">
        <f>DD334/AS334</f>
        <v>0</v>
      </c>
      <c r="DF334" s="16" t="e">
        <f>VLOOKUP(K334,'[3]RNA Seq summary tables'!$V$3:$V$99,1,FALSE)</f>
        <v>#N/A</v>
      </c>
      <c r="DI334" s="16">
        <v>51</v>
      </c>
      <c r="DK334" s="16">
        <v>37</v>
      </c>
      <c r="DM334" s="16">
        <v>12</v>
      </c>
      <c r="DO334" s="16">
        <v>0</v>
      </c>
      <c r="DQ334" s="16">
        <v>0</v>
      </c>
      <c r="DR334" s="16">
        <f>SUM(DI334:DQ334)</f>
        <v>100</v>
      </c>
      <c r="JR334" s="27"/>
      <c r="JS334" s="27"/>
      <c r="JT334" s="27"/>
      <c r="JU334" s="27"/>
      <c r="JV334" s="27"/>
      <c r="JW334" s="27"/>
      <c r="JX334" s="27"/>
      <c r="JY334" s="27"/>
      <c r="JZ334" s="27"/>
      <c r="KA334" s="27"/>
      <c r="KB334" s="27"/>
    </row>
    <row r="335" spans="2:288" x14ac:dyDescent="0.2">
      <c r="B335" s="16">
        <v>2017</v>
      </c>
      <c r="C335" s="43">
        <v>42948</v>
      </c>
      <c r="D335" s="43" t="str">
        <f>CONCATENATE(J335,"-",C335)</f>
        <v>1188-42948</v>
      </c>
      <c r="E335" s="142" t="str">
        <f>CONCATENATE(T335,"-",U335,"-",C335)</f>
        <v>HW2-G3-42948</v>
      </c>
      <c r="F335" s="20" t="s">
        <v>106</v>
      </c>
      <c r="G335" s="43" t="s">
        <v>107</v>
      </c>
      <c r="H335" s="23"/>
      <c r="J335" s="15">
        <v>1188</v>
      </c>
      <c r="K335" s="15">
        <v>2039</v>
      </c>
      <c r="L335" s="18">
        <v>0</v>
      </c>
      <c r="M335" s="21">
        <f>VLOOKUP($K335,'[4]blood tubes 2017'!$D$1:$L$647,8,FALSE)</f>
        <v>0</v>
      </c>
      <c r="N335" s="15">
        <v>0</v>
      </c>
      <c r="O335" s="15" t="s">
        <v>119</v>
      </c>
      <c r="P335" s="23" t="s">
        <v>119</v>
      </c>
      <c r="Q335" s="16">
        <v>0</v>
      </c>
      <c r="R335" s="23">
        <v>33</v>
      </c>
      <c r="S335" s="23"/>
      <c r="T335" s="23" t="s">
        <v>129</v>
      </c>
      <c r="U335" s="23" t="s">
        <v>179</v>
      </c>
      <c r="V335" s="23" t="s">
        <v>114</v>
      </c>
      <c r="W335" s="16">
        <f>AI335/AG335</f>
        <v>0.8571428571428571</v>
      </c>
      <c r="X335" s="23" t="s">
        <v>115</v>
      </c>
      <c r="Y335" s="23" t="s">
        <v>110</v>
      </c>
      <c r="Z335" s="23">
        <v>3</v>
      </c>
      <c r="AA335" s="23"/>
      <c r="AB335" s="23"/>
      <c r="AC335" s="23"/>
      <c r="AD335" s="23"/>
      <c r="AE335" s="23" t="s">
        <v>123</v>
      </c>
      <c r="AF335" s="23" t="s">
        <v>123</v>
      </c>
      <c r="AG335" s="23">
        <f>AH335-AI335</f>
        <v>84</v>
      </c>
      <c r="AH335" s="23">
        <v>156</v>
      </c>
      <c r="AI335" s="23">
        <v>72</v>
      </c>
      <c r="AJ335" s="23"/>
      <c r="AK335" s="23">
        <v>20.5</v>
      </c>
      <c r="AL335" s="23">
        <v>0</v>
      </c>
      <c r="AM335" s="23">
        <v>0</v>
      </c>
      <c r="AN335" s="23">
        <v>0</v>
      </c>
      <c r="AO335" s="23">
        <v>0</v>
      </c>
      <c r="AP335" s="23">
        <f>SUM(AL335:AN335)</f>
        <v>0</v>
      </c>
      <c r="AQ335" s="23">
        <v>1.819</v>
      </c>
      <c r="AR335" s="23">
        <f>AP335-1.472</f>
        <v>-1.472</v>
      </c>
      <c r="AS335" s="23">
        <f>AQ335-1.472</f>
        <v>0.34699999999999998</v>
      </c>
      <c r="AT335" s="16" t="e">
        <f>VLOOKUP(E335,[2]Current!$A$1:$W$435,7,FALSE)</f>
        <v>#N/A</v>
      </c>
      <c r="AU335" s="16">
        <v>0</v>
      </c>
      <c r="AV335" s="23"/>
      <c r="AW335" s="25"/>
      <c r="AX335" s="25"/>
      <c r="AY335" s="25"/>
      <c r="AZ335" s="18"/>
      <c r="BA335" s="25"/>
      <c r="BB335" s="25"/>
      <c r="BC335" s="18"/>
      <c r="BD335" s="25"/>
      <c r="BE335" s="23"/>
      <c r="BG335" s="23"/>
      <c r="BH335" s="23"/>
      <c r="BJ335" s="23"/>
      <c r="BK335" s="23"/>
      <c r="BS335" s="23"/>
      <c r="BT335" s="23"/>
      <c r="BV335" s="23"/>
      <c r="BY335" s="23"/>
      <c r="CB335" s="23"/>
      <c r="CC335" s="23"/>
      <c r="CD335" s="23"/>
      <c r="CE335" s="23"/>
      <c r="CF335" s="23"/>
      <c r="CG335" s="23"/>
      <c r="CH335" s="23"/>
      <c r="CI335" s="23"/>
      <c r="CJ335" s="23"/>
      <c r="CK335" s="23"/>
      <c r="CL335" s="23"/>
      <c r="CM335" s="23"/>
      <c r="CN335" s="23"/>
      <c r="CO335" s="23"/>
      <c r="CP335" s="23"/>
      <c r="CQ335" s="23"/>
      <c r="CR335" s="23"/>
      <c r="CV335" s="23"/>
      <c r="CX335" s="23"/>
      <c r="CY335" s="23"/>
      <c r="CZ335" s="23"/>
      <c r="DA335" s="23"/>
      <c r="DB335" s="23"/>
      <c r="DC335" s="23"/>
      <c r="DD335" s="23"/>
      <c r="DE335" s="23"/>
      <c r="DF335" s="16" t="e">
        <f>VLOOKUP(K335,'[3]RNA Seq summary tables'!$V$3:$V$99,1,FALSE)</f>
        <v>#N/A</v>
      </c>
      <c r="DI335" s="23"/>
      <c r="DJ335" s="23"/>
      <c r="DK335" s="23"/>
      <c r="DL335" s="23"/>
      <c r="DM335" s="23"/>
      <c r="DN335" s="23"/>
      <c r="DO335" s="23"/>
      <c r="DP335" s="23"/>
      <c r="DQ335" s="23"/>
      <c r="DR335" s="23"/>
      <c r="DS335" s="23"/>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25"/>
      <c r="FF335" s="25"/>
      <c r="FG335" s="25"/>
      <c r="FH335" s="25"/>
      <c r="FI335" s="25"/>
      <c r="FJ335" s="25"/>
      <c r="FK335" s="25"/>
      <c r="FL335" s="25"/>
      <c r="FM335" s="25"/>
      <c r="FN335" s="25"/>
      <c r="FO335" s="25"/>
      <c r="FP335" s="25"/>
      <c r="FQ335" s="25"/>
      <c r="FR335" s="25"/>
      <c r="FS335" s="25"/>
      <c r="FT335" s="25"/>
      <c r="FU335" s="25"/>
      <c r="FV335" s="25"/>
      <c r="FW335" s="25"/>
      <c r="FX335" s="25"/>
      <c r="FY335" s="25"/>
      <c r="FZ335" s="25"/>
      <c r="GA335" s="25"/>
      <c r="GB335" s="25"/>
      <c r="GC335" s="25"/>
      <c r="GD335" s="25"/>
      <c r="GE335" s="25"/>
      <c r="GF335" s="25"/>
      <c r="GG335" s="25"/>
      <c r="GH335" s="25"/>
      <c r="GI335" s="25"/>
      <c r="GJ335" s="25"/>
      <c r="GK335" s="25"/>
      <c r="GL335" s="25"/>
      <c r="GM335" s="25"/>
      <c r="GN335" s="25"/>
      <c r="GO335" s="25"/>
      <c r="GP335" s="25"/>
      <c r="GQ335" s="25"/>
      <c r="GR335" s="25"/>
      <c r="GS335" s="25"/>
      <c r="GT335" s="25"/>
      <c r="GU335" s="25"/>
      <c r="GV335" s="25"/>
      <c r="GW335" s="25"/>
      <c r="GX335" s="25"/>
      <c r="GY335" s="25"/>
      <c r="GZ335" s="25"/>
      <c r="HA335" s="25"/>
      <c r="HB335" s="25"/>
      <c r="HC335" s="25"/>
      <c r="HD335" s="25"/>
      <c r="HE335" s="25"/>
      <c r="HF335" s="25"/>
      <c r="HG335" s="25"/>
      <c r="HH335" s="25"/>
      <c r="HI335" s="25"/>
      <c r="HJ335" s="25"/>
      <c r="HK335" s="25"/>
      <c r="HL335" s="25"/>
      <c r="HM335" s="25"/>
      <c r="HN335" s="25"/>
      <c r="HO335" s="25"/>
      <c r="HP335" s="25"/>
      <c r="HQ335" s="25"/>
      <c r="HR335" s="25"/>
      <c r="HS335" s="25"/>
      <c r="HT335" s="25"/>
      <c r="HU335" s="25"/>
      <c r="HV335" s="25"/>
      <c r="HW335" s="25"/>
      <c r="HX335" s="25"/>
      <c r="HY335" s="25"/>
      <c r="HZ335" s="25"/>
      <c r="IA335" s="25"/>
      <c r="IB335" s="25"/>
      <c r="IC335" s="25"/>
      <c r="ID335" s="25"/>
      <c r="IE335" s="25"/>
      <c r="IF335" s="25"/>
      <c r="IG335" s="25"/>
      <c r="IH335" s="25"/>
      <c r="II335" s="25"/>
      <c r="IJ335" s="25"/>
      <c r="IK335" s="25"/>
      <c r="IL335" s="25"/>
      <c r="IM335" s="25"/>
      <c r="IN335" s="25"/>
      <c r="IO335" s="25"/>
      <c r="IP335" s="25"/>
      <c r="IQ335" s="25"/>
      <c r="IR335" s="25"/>
      <c r="IS335" s="25"/>
      <c r="IT335" s="25"/>
      <c r="IU335" s="25"/>
      <c r="IV335" s="25"/>
      <c r="IW335" s="25"/>
      <c r="IX335" s="25"/>
      <c r="IY335" s="25"/>
      <c r="IZ335" s="25"/>
      <c r="JA335" s="25"/>
      <c r="JB335" s="25"/>
      <c r="JC335" s="25"/>
      <c r="JD335" s="25"/>
      <c r="JE335" s="25"/>
      <c r="JF335" s="25"/>
      <c r="JG335" s="25"/>
      <c r="JH335" s="25"/>
      <c r="JI335" s="25"/>
      <c r="JJ335" s="25"/>
      <c r="JK335" s="25"/>
      <c r="JL335" s="25"/>
      <c r="JM335" s="25"/>
      <c r="JN335" s="25"/>
      <c r="JO335" s="23"/>
      <c r="JP335" s="23"/>
      <c r="JQ335" s="23"/>
      <c r="JR335" s="18"/>
      <c r="JS335" s="18"/>
      <c r="JT335" s="18"/>
      <c r="JU335" s="18"/>
      <c r="JV335" s="18"/>
      <c r="JW335" s="18"/>
      <c r="JX335" s="18"/>
      <c r="JY335" s="18"/>
      <c r="JZ335" s="18"/>
      <c r="KA335" s="18"/>
      <c r="KB335" s="18"/>
    </row>
    <row r="336" spans="2:288" x14ac:dyDescent="0.2">
      <c r="B336" s="16">
        <v>2017</v>
      </c>
      <c r="C336" s="20">
        <v>42966</v>
      </c>
      <c r="D336" s="20" t="str">
        <f>CONCATENATE(J336,"-",C336)</f>
        <v>1188-42966</v>
      </c>
      <c r="E336" s="142" t="str">
        <f>CONCATENATE(T336,"-",U336,"-",C336)</f>
        <v>HW2-G1-42966</v>
      </c>
      <c r="F336" s="20" t="s">
        <v>106</v>
      </c>
      <c r="G336" s="20" t="s">
        <v>107</v>
      </c>
      <c r="J336" s="21">
        <v>1188</v>
      </c>
      <c r="K336" s="21">
        <v>2199</v>
      </c>
      <c r="L336" s="18">
        <v>0</v>
      </c>
      <c r="M336" s="21">
        <f>VLOOKUP($K336,'[4]blood tubes 2017'!$D$1:$L$647,8,FALSE)</f>
        <v>0</v>
      </c>
      <c r="N336" s="15">
        <v>0</v>
      </c>
      <c r="O336" s="15" t="s">
        <v>119</v>
      </c>
      <c r="P336" s="16" t="s">
        <v>119</v>
      </c>
      <c r="Q336" s="16">
        <v>0</v>
      </c>
      <c r="R336" s="16">
        <v>18</v>
      </c>
      <c r="T336" s="16" t="s">
        <v>129</v>
      </c>
      <c r="U336" s="16" t="s">
        <v>155</v>
      </c>
      <c r="V336" s="16" t="s">
        <v>114</v>
      </c>
      <c r="W336" s="16">
        <f>AI336/AG336</f>
        <v>0.8928571428571429</v>
      </c>
      <c r="X336" s="16" t="s">
        <v>115</v>
      </c>
      <c r="Y336" s="16" t="s">
        <v>110</v>
      </c>
      <c r="Z336" s="16">
        <v>3</v>
      </c>
      <c r="AE336" s="16" t="s">
        <v>116</v>
      </c>
      <c r="AF336" s="16" t="s">
        <v>116</v>
      </c>
      <c r="AG336" s="16">
        <f>AH336-AI336</f>
        <v>84</v>
      </c>
      <c r="AH336" s="16">
        <v>159</v>
      </c>
      <c r="AI336" s="16">
        <v>75</v>
      </c>
      <c r="AK336" s="16">
        <v>24</v>
      </c>
      <c r="AL336" s="16">
        <v>0</v>
      </c>
      <c r="AM336" s="16">
        <v>0</v>
      </c>
      <c r="AN336" s="16">
        <v>0</v>
      </c>
      <c r="AO336" s="16">
        <v>0</v>
      </c>
      <c r="AP336" s="16">
        <f>SUM(AL336:AN336)</f>
        <v>0</v>
      </c>
      <c r="AQ336" s="16">
        <v>1.607</v>
      </c>
      <c r="AR336" s="16">
        <f>AP336-1.472</f>
        <v>-1.472</v>
      </c>
      <c r="AS336" s="16">
        <f>AQ336-1.472</f>
        <v>0.13500000000000001</v>
      </c>
      <c r="AT336" s="16" t="e">
        <f>VLOOKUP(E336,[2]Current!$A$1:$W$435,7,FALSE)</f>
        <v>#N/A</v>
      </c>
      <c r="AU336" s="16">
        <v>0</v>
      </c>
      <c r="AW336" s="18"/>
      <c r="AX336" s="18"/>
      <c r="AY336" s="18"/>
      <c r="AZ336" s="18"/>
      <c r="BA336" s="18"/>
      <c r="BB336" s="18"/>
      <c r="BC336" s="18"/>
      <c r="BD336" s="18"/>
      <c r="BG336" s="23"/>
      <c r="BT336" s="23"/>
      <c r="CD336" s="23"/>
      <c r="DF336" s="16" t="e">
        <f>VLOOKUP(K336,'[3]RNA Seq summary tables'!$V$3:$V$99,1,FALSE)</f>
        <v>#N/A</v>
      </c>
    </row>
    <row r="337" spans="1:288" x14ac:dyDescent="0.2">
      <c r="B337" s="16">
        <v>2017</v>
      </c>
      <c r="C337" s="20">
        <v>42915</v>
      </c>
      <c r="D337" s="20" t="str">
        <f>CONCATENATE(J337,"-",C337)</f>
        <v>1190-42915</v>
      </c>
      <c r="E337" s="20" t="str">
        <f>CONCATENATE(T337,"-",U337,"-",C337)</f>
        <v>HW1-A2-42915</v>
      </c>
      <c r="F337" s="20" t="s">
        <v>106</v>
      </c>
      <c r="G337" s="20" t="s">
        <v>107</v>
      </c>
      <c r="I337" s="16">
        <v>0</v>
      </c>
      <c r="J337" s="21">
        <v>1190</v>
      </c>
      <c r="K337" s="21">
        <v>1801</v>
      </c>
      <c r="L337" s="18">
        <v>0</v>
      </c>
      <c r="M337" s="21">
        <f>VLOOKUP($K337,'[4]blood tubes 2017'!$D$1:$L$647,8,FALSE)</f>
        <v>0</v>
      </c>
      <c r="N337" s="15">
        <v>0</v>
      </c>
      <c r="O337" s="15" t="s">
        <v>119</v>
      </c>
      <c r="P337" s="16" t="s">
        <v>119</v>
      </c>
      <c r="Q337" s="16">
        <v>0</v>
      </c>
      <c r="R337" s="16" t="s">
        <v>111</v>
      </c>
      <c r="T337" s="16" t="s">
        <v>133</v>
      </c>
      <c r="U337" s="16" t="s">
        <v>171</v>
      </c>
      <c r="V337" s="16" t="s">
        <v>114</v>
      </c>
      <c r="W337" s="16">
        <f>AI337/AG337</f>
        <v>0.810126582278481</v>
      </c>
      <c r="X337" s="16" t="s">
        <v>115</v>
      </c>
      <c r="Y337" s="16" t="s">
        <v>122</v>
      </c>
      <c r="Z337" s="16">
        <v>2.2999999999999998</v>
      </c>
      <c r="AE337" s="16" t="s">
        <v>123</v>
      </c>
      <c r="AF337" s="16" t="s">
        <v>123</v>
      </c>
      <c r="AG337" s="16">
        <f>AH337-AI337</f>
        <v>79</v>
      </c>
      <c r="AH337" s="16">
        <v>143</v>
      </c>
      <c r="AI337" s="16">
        <v>64</v>
      </c>
      <c r="AK337" s="16">
        <v>15</v>
      </c>
      <c r="AL337" s="16">
        <v>0</v>
      </c>
      <c r="AM337" s="16">
        <v>0</v>
      </c>
      <c r="AN337" s="16">
        <v>0</v>
      </c>
      <c r="AO337" s="16">
        <v>0</v>
      </c>
      <c r="AP337" s="16">
        <f>SUM(AL337:AN337)</f>
        <v>0</v>
      </c>
      <c r="AQ337" s="16">
        <v>1.702</v>
      </c>
      <c r="AR337" s="16">
        <f>AP337-1.472</f>
        <v>-1.472</v>
      </c>
      <c r="AS337" s="16">
        <f>AQ337-1.472</f>
        <v>0.22999999999999998</v>
      </c>
      <c r="AT337" s="16" t="s">
        <v>119</v>
      </c>
      <c r="AW337" s="16">
        <f>IF(AX337&gt;0,1,0)</f>
        <v>1</v>
      </c>
      <c r="AX337" s="16">
        <f>SUM(BA337,BM337,CT337)</f>
        <v>4</v>
      </c>
      <c r="AY337" s="18">
        <f>SUM(BB337,BN337,CV337)</f>
        <v>4047.826086956522</v>
      </c>
      <c r="AZ337" s="16">
        <v>1</v>
      </c>
      <c r="BA337" s="16">
        <v>3</v>
      </c>
      <c r="BB337" s="16">
        <f>SUM(BE337,BH337,BK337)</f>
        <v>4043.4782608695655</v>
      </c>
      <c r="BC337" s="16">
        <v>1</v>
      </c>
      <c r="BD337" s="16">
        <v>631</v>
      </c>
      <c r="BE337" s="16">
        <f>BD337/AS337</f>
        <v>2743.4782608695655</v>
      </c>
      <c r="BF337" s="16">
        <v>1</v>
      </c>
      <c r="BG337" s="23">
        <v>299</v>
      </c>
      <c r="BH337" s="16">
        <f>BG337/AS337</f>
        <v>1300</v>
      </c>
      <c r="BI337" s="16">
        <v>0</v>
      </c>
      <c r="BJ337" s="16">
        <v>0</v>
      </c>
      <c r="BK337" s="16">
        <f>BJ337/AS337</f>
        <v>0</v>
      </c>
      <c r="BL337" s="16">
        <f>IF(BM337&gt;0,1,0)</f>
        <v>1</v>
      </c>
      <c r="BM337" s="16">
        <f>SUM(BR337,BU337,BX337,CA337,CD337,CG337,CJ337,CM337,CP337)</f>
        <v>1</v>
      </c>
      <c r="BN337" s="16">
        <f>SUM(BW337,BZ337,CC337,CF337,CI337,CL337,CO337,CR337,BT337)</f>
        <v>4.3478260869565224</v>
      </c>
      <c r="BO337" s="16">
        <f>IF(BP337&gt;0,1,0)</f>
        <v>0</v>
      </c>
      <c r="BP337" s="16">
        <f>SUM(BU337,BX337,CA337,CD337,BR337)</f>
        <v>0</v>
      </c>
      <c r="BQ337" s="16">
        <f>SUM(BZ337,CC337,CF337,BT337,BW337)</f>
        <v>0</v>
      </c>
      <c r="BR337" s="16">
        <v>0</v>
      </c>
      <c r="BS337" s="16">
        <v>0</v>
      </c>
      <c r="BT337" s="23">
        <f>BS337/AS337</f>
        <v>0</v>
      </c>
      <c r="BU337" s="16">
        <v>0</v>
      </c>
      <c r="BV337" s="16">
        <v>0</v>
      </c>
      <c r="BW337" s="16">
        <f>BV337/AS337</f>
        <v>0</v>
      </c>
      <c r="BX337" s="16">
        <v>0</v>
      </c>
      <c r="BY337" s="16">
        <v>0</v>
      </c>
      <c r="BZ337" s="16">
        <f>BY337/AS337</f>
        <v>0</v>
      </c>
      <c r="CA337" s="16">
        <v>0</v>
      </c>
      <c r="CB337" s="16">
        <v>0</v>
      </c>
      <c r="CC337" s="16">
        <f>CB337/AS337</f>
        <v>0</v>
      </c>
      <c r="CD337" s="23">
        <v>0</v>
      </c>
      <c r="CE337" s="16">
        <v>0</v>
      </c>
      <c r="CF337" s="16">
        <f>CE337/AS337</f>
        <v>0</v>
      </c>
      <c r="CG337" s="16">
        <v>1</v>
      </c>
      <c r="CH337" s="16">
        <v>1</v>
      </c>
      <c r="CI337" s="16">
        <f>CH337/AS337</f>
        <v>4.3478260869565224</v>
      </c>
      <c r="CM337" s="16">
        <v>0</v>
      </c>
      <c r="CN337" s="16">
        <v>0</v>
      </c>
      <c r="CO337" s="16">
        <f>CN337/AS337</f>
        <v>0</v>
      </c>
      <c r="CP337" s="16">
        <v>0</v>
      </c>
      <c r="CQ337" s="16">
        <v>0</v>
      </c>
      <c r="CR337" s="16">
        <f>CQ337/AS337</f>
        <v>0</v>
      </c>
      <c r="CS337" s="16">
        <v>0</v>
      </c>
      <c r="CT337" s="16">
        <v>0</v>
      </c>
      <c r="CV337" s="16">
        <f>SUM(CY337,DB337,DE337)</f>
        <v>0</v>
      </c>
      <c r="CW337" s="16">
        <v>0</v>
      </c>
      <c r="CX337" s="16">
        <v>0</v>
      </c>
      <c r="CY337" s="16">
        <f>CX337/AS337</f>
        <v>0</v>
      </c>
      <c r="CZ337" s="16">
        <v>0</v>
      </c>
      <c r="DA337" s="16">
        <v>0</v>
      </c>
      <c r="DB337" s="16">
        <f>DA337/AS337</f>
        <v>0</v>
      </c>
      <c r="DC337" s="16">
        <v>0</v>
      </c>
      <c r="DD337" s="16">
        <v>0</v>
      </c>
      <c r="DE337" s="16">
        <f>DD337/AS337</f>
        <v>0</v>
      </c>
      <c r="DF337" s="16" t="e">
        <f>VLOOKUP(K337,'[3]RNA Seq summary tables'!$V$3:$V$99,1,FALSE)</f>
        <v>#N/A</v>
      </c>
      <c r="DI337" s="16">
        <v>78</v>
      </c>
      <c r="DK337" s="16">
        <v>18</v>
      </c>
      <c r="DM337" s="16">
        <v>4</v>
      </c>
      <c r="DO337" s="16">
        <v>0</v>
      </c>
      <c r="DQ337" s="16">
        <v>0</v>
      </c>
      <c r="DR337" s="16">
        <f>SUM(DI337:DQ337)</f>
        <v>100</v>
      </c>
      <c r="JP337" s="30"/>
      <c r="JQ337" s="30"/>
      <c r="JR337" s="27"/>
      <c r="JS337" s="27"/>
      <c r="JT337" s="27"/>
      <c r="JU337" s="27"/>
      <c r="JV337" s="27"/>
      <c r="JW337" s="27"/>
      <c r="JX337" s="27"/>
      <c r="JY337" s="27"/>
      <c r="JZ337" s="27"/>
      <c r="KA337" s="27"/>
      <c r="KB337" s="27"/>
    </row>
    <row r="338" spans="1:288" x14ac:dyDescent="0.2">
      <c r="B338" s="16">
        <v>2017</v>
      </c>
      <c r="C338" s="20">
        <v>42916</v>
      </c>
      <c r="D338" s="20" t="str">
        <f>CONCATENATE(J338,"-",C338)</f>
        <v>1192-42916</v>
      </c>
      <c r="E338" s="20" t="str">
        <f>CONCATENATE(T338,"-",U338,"-",C338)</f>
        <v>HW2-H7-42916</v>
      </c>
      <c r="F338" s="20" t="s">
        <v>106</v>
      </c>
      <c r="G338" s="20" t="s">
        <v>107</v>
      </c>
      <c r="I338" s="16">
        <v>0</v>
      </c>
      <c r="J338" s="21">
        <v>1192</v>
      </c>
      <c r="K338" s="21">
        <v>1803</v>
      </c>
      <c r="L338" s="18">
        <v>0</v>
      </c>
      <c r="M338" s="21">
        <f>VLOOKUP($K338,'[4]blood tubes 2017'!$D$1:$L$647,8,FALSE)</f>
        <v>0</v>
      </c>
      <c r="N338" s="15">
        <v>0</v>
      </c>
      <c r="O338" s="15" t="s">
        <v>119</v>
      </c>
      <c r="P338" s="16" t="s">
        <v>119</v>
      </c>
      <c r="Q338" s="16">
        <v>0</v>
      </c>
      <c r="R338" s="16" t="s">
        <v>111</v>
      </c>
      <c r="T338" s="16" t="s">
        <v>129</v>
      </c>
      <c r="U338" s="16" t="s">
        <v>202</v>
      </c>
      <c r="V338" s="16" t="s">
        <v>114</v>
      </c>
      <c r="W338" s="16">
        <f>AI338/AG338</f>
        <v>0.73493975903614461</v>
      </c>
      <c r="X338" s="16" t="s">
        <v>121</v>
      </c>
      <c r="Y338" s="16" t="s">
        <v>110</v>
      </c>
      <c r="Z338" s="16">
        <v>3</v>
      </c>
      <c r="AA338" s="16" t="s">
        <v>161</v>
      </c>
      <c r="AB338" s="16" t="s">
        <v>123</v>
      </c>
      <c r="AC338" s="16" t="s">
        <v>123</v>
      </c>
      <c r="AD338" s="16" t="s">
        <v>116</v>
      </c>
      <c r="AG338" s="16">
        <f>AH338-AI338</f>
        <v>83</v>
      </c>
      <c r="AH338" s="16">
        <v>144</v>
      </c>
      <c r="AI338" s="18">
        <v>61</v>
      </c>
      <c r="AJ338" s="18"/>
      <c r="AK338" s="16">
        <v>14.5</v>
      </c>
      <c r="AL338" s="16">
        <v>0</v>
      </c>
      <c r="AM338" s="16">
        <v>0</v>
      </c>
      <c r="AN338" s="16">
        <v>0</v>
      </c>
      <c r="AO338" s="16">
        <v>0</v>
      </c>
      <c r="AP338" s="16">
        <f>SUM(AL338:AN338)</f>
        <v>0</v>
      </c>
      <c r="AQ338" s="16">
        <v>1.724</v>
      </c>
      <c r="AR338" s="16">
        <f>AP338-1.472</f>
        <v>-1.472</v>
      </c>
      <c r="AS338" s="16">
        <f>AQ338-1.472</f>
        <v>0.252</v>
      </c>
      <c r="AT338" s="16" t="s">
        <v>119</v>
      </c>
      <c r="AW338" s="16">
        <f>IF(AX338&gt;0,1,0)</f>
        <v>1</v>
      </c>
      <c r="AX338" s="16">
        <f>SUM(BA338,BM338,CT338)</f>
        <v>2</v>
      </c>
      <c r="AY338" s="18">
        <f>SUM(BB338,BN338,CV338)</f>
        <v>11535.714285714286</v>
      </c>
      <c r="AZ338" s="16">
        <v>1</v>
      </c>
      <c r="BA338" s="16">
        <v>2</v>
      </c>
      <c r="BB338" s="16">
        <f>SUM(BE338,BH338,BK338)</f>
        <v>11535.714285714286</v>
      </c>
      <c r="BC338" s="16">
        <v>0</v>
      </c>
      <c r="BD338" s="16">
        <v>0</v>
      </c>
      <c r="BE338" s="16">
        <f>BD338/AS338</f>
        <v>0</v>
      </c>
      <c r="BF338" s="16">
        <v>1</v>
      </c>
      <c r="BG338" s="23">
        <v>2906</v>
      </c>
      <c r="BH338" s="16">
        <f>BG338/AS338</f>
        <v>11531.746031746032</v>
      </c>
      <c r="BI338" s="16">
        <v>1</v>
      </c>
      <c r="BJ338" s="16">
        <v>1</v>
      </c>
      <c r="BK338" s="16">
        <f>BJ338/AS338</f>
        <v>3.9682539682539684</v>
      </c>
      <c r="BL338" s="16">
        <f>IF(BM338&gt;0,1,0)</f>
        <v>0</v>
      </c>
      <c r="BM338" s="16">
        <f>SUM(BR338,BU338,BX338,CA338,CD338,CG338,CJ338,CM338,CP338)</f>
        <v>0</v>
      </c>
      <c r="BN338" s="16">
        <f>SUM(BW338,BZ338,CC338,CF338,CI338,CL338,CO338,CR338,BT338)</f>
        <v>0</v>
      </c>
      <c r="BO338" s="16">
        <f>IF(BP338&gt;0,1,0)</f>
        <v>0</v>
      </c>
      <c r="BP338" s="16">
        <f>SUM(BU338,BX338,CA338,CD338,BR338)</f>
        <v>0</v>
      </c>
      <c r="BQ338" s="16">
        <f>SUM(BZ338,CC338,CF338,BT338,BW338)</f>
        <v>0</v>
      </c>
      <c r="BR338" s="16">
        <v>0</v>
      </c>
      <c r="BS338" s="16">
        <v>0</v>
      </c>
      <c r="BT338" s="23">
        <f>BS338/AS338</f>
        <v>0</v>
      </c>
      <c r="BU338" s="16">
        <v>0</v>
      </c>
      <c r="BV338" s="16">
        <v>0</v>
      </c>
      <c r="BW338" s="16">
        <f>BV338/AS338</f>
        <v>0</v>
      </c>
      <c r="BX338" s="16">
        <v>0</v>
      </c>
      <c r="BY338" s="16">
        <v>0</v>
      </c>
      <c r="BZ338" s="16">
        <f>BY338/AS338</f>
        <v>0</v>
      </c>
      <c r="CA338" s="16">
        <v>0</v>
      </c>
      <c r="CB338" s="16">
        <v>0</v>
      </c>
      <c r="CC338" s="16">
        <f>CB338/AS338</f>
        <v>0</v>
      </c>
      <c r="CD338" s="23">
        <v>0</v>
      </c>
      <c r="CE338" s="16">
        <v>0</v>
      </c>
      <c r="CF338" s="16">
        <f>CE338/AS338</f>
        <v>0</v>
      </c>
      <c r="CG338" s="16">
        <v>0</v>
      </c>
      <c r="CH338" s="16">
        <v>0</v>
      </c>
      <c r="CI338" s="16">
        <f>CH338/AS338</f>
        <v>0</v>
      </c>
      <c r="CM338" s="16">
        <v>0</v>
      </c>
      <c r="CN338" s="16">
        <v>0</v>
      </c>
      <c r="CO338" s="16">
        <f>CN338/AS338</f>
        <v>0</v>
      </c>
      <c r="CP338" s="16">
        <v>0</v>
      </c>
      <c r="CQ338" s="16">
        <v>0</v>
      </c>
      <c r="CR338" s="16">
        <f>CQ338/AS338</f>
        <v>0</v>
      </c>
      <c r="CS338" s="16">
        <v>0</v>
      </c>
      <c r="CT338" s="16">
        <v>0</v>
      </c>
      <c r="CV338" s="16">
        <f>SUM(CY338,DB338,DE338)</f>
        <v>0</v>
      </c>
      <c r="CW338" s="16">
        <v>0</v>
      </c>
      <c r="CX338" s="16">
        <v>0</v>
      </c>
      <c r="CY338" s="16">
        <f>CX338/AS338</f>
        <v>0</v>
      </c>
      <c r="CZ338" s="16">
        <v>0</v>
      </c>
      <c r="DA338" s="16">
        <v>0</v>
      </c>
      <c r="DB338" s="16">
        <f>DA338/AS338</f>
        <v>0</v>
      </c>
      <c r="DC338" s="16">
        <v>0</v>
      </c>
      <c r="DD338" s="16">
        <v>0</v>
      </c>
      <c r="DE338" s="16">
        <f>DD338/AS338</f>
        <v>0</v>
      </c>
      <c r="DF338" s="16" t="e">
        <f>VLOOKUP(K338,'[3]RNA Seq summary tables'!$V$3:$V$99,1,FALSE)</f>
        <v>#N/A</v>
      </c>
      <c r="DI338" s="16">
        <v>76</v>
      </c>
      <c r="DK338" s="16">
        <v>11</v>
      </c>
      <c r="DM338" s="16">
        <v>13</v>
      </c>
      <c r="DO338" s="16">
        <v>0</v>
      </c>
      <c r="DQ338" s="16">
        <v>0</v>
      </c>
      <c r="DR338" s="16">
        <f>SUM(DI338:DQ338)</f>
        <v>100</v>
      </c>
      <c r="JP338" s="30"/>
      <c r="JQ338" s="30"/>
      <c r="JR338" s="27"/>
      <c r="JS338" s="27"/>
      <c r="JT338" s="27"/>
      <c r="JU338" s="27"/>
      <c r="JV338" s="27"/>
      <c r="JW338" s="27"/>
      <c r="JX338" s="27"/>
      <c r="JY338" s="27"/>
      <c r="JZ338" s="27"/>
      <c r="KA338" s="27"/>
      <c r="KB338" s="27"/>
    </row>
    <row r="339" spans="1:288" ht="16" x14ac:dyDescent="0.2">
      <c r="B339" s="16">
        <v>2017</v>
      </c>
      <c r="C339" s="20">
        <v>42931</v>
      </c>
      <c r="D339" s="20" t="str">
        <f>CONCATENATE(J339,"-",C339)</f>
        <v>1192-42931</v>
      </c>
      <c r="E339" s="37" t="str">
        <f>CONCATENATE(T339,"-",U339,"-",C339)</f>
        <v>HW2-H8-42931</v>
      </c>
      <c r="F339" s="20" t="s">
        <v>106</v>
      </c>
      <c r="G339" s="20" t="s">
        <v>107</v>
      </c>
      <c r="I339" s="16">
        <v>0</v>
      </c>
      <c r="J339" s="21">
        <v>1192</v>
      </c>
      <c r="K339" s="21">
        <v>1921</v>
      </c>
      <c r="L339" s="18">
        <v>0</v>
      </c>
      <c r="M339" s="21">
        <f>VLOOKUP($K339,'[4]blood tubes 2017'!$D$1:$L$647,8,FALSE)</f>
        <v>0</v>
      </c>
      <c r="N339" s="15">
        <v>0</v>
      </c>
      <c r="O339" s="15" t="s">
        <v>119</v>
      </c>
      <c r="P339" s="16" t="s">
        <v>119</v>
      </c>
      <c r="Q339" s="16">
        <v>0</v>
      </c>
      <c r="R339" s="16">
        <v>15</v>
      </c>
      <c r="T339" s="16" t="s">
        <v>129</v>
      </c>
      <c r="U339" s="16" t="s">
        <v>152</v>
      </c>
      <c r="V339" s="16" t="s">
        <v>114</v>
      </c>
      <c r="W339" s="16">
        <f>AI339/AG339</f>
        <v>0.72941176470588232</v>
      </c>
      <c r="X339" s="16" t="s">
        <v>121</v>
      </c>
      <c r="Y339" s="16" t="s">
        <v>110</v>
      </c>
      <c r="Z339" s="16">
        <v>3</v>
      </c>
      <c r="AA339" s="16" t="s">
        <v>119</v>
      </c>
      <c r="AB339" s="16" t="s">
        <v>123</v>
      </c>
      <c r="AC339" s="16" t="s">
        <v>123</v>
      </c>
      <c r="AD339" s="16" t="s">
        <v>123</v>
      </c>
      <c r="AG339" s="16">
        <f>AH339-AI339</f>
        <v>85</v>
      </c>
      <c r="AH339" s="16">
        <v>147</v>
      </c>
      <c r="AI339" s="18">
        <v>62</v>
      </c>
      <c r="AJ339" s="18"/>
      <c r="AK339" s="16">
        <v>17.5</v>
      </c>
      <c r="AL339" s="16">
        <v>0</v>
      </c>
      <c r="AM339" s="16">
        <v>0</v>
      </c>
      <c r="AN339" s="16">
        <v>0</v>
      </c>
      <c r="AO339" s="16">
        <v>0</v>
      </c>
      <c r="AP339" s="16">
        <f>SUM(AL339:AN339)</f>
        <v>0</v>
      </c>
      <c r="AQ339" s="18">
        <v>3.6030000000000002</v>
      </c>
      <c r="AR339" s="16">
        <f>AP339-1.472-1.243</f>
        <v>-2.7149999999999999</v>
      </c>
      <c r="AS339" s="16">
        <f>AQ339-1.472-1.243</f>
        <v>0.88800000000000012</v>
      </c>
      <c r="AT339" s="16" t="str">
        <f>VLOOKUP(E339,[2]Current!$A$1:$W$435,7,FALSE)</f>
        <v>JB</v>
      </c>
      <c r="AU339" s="16" t="s">
        <v>1288</v>
      </c>
      <c r="AV339" s="23">
        <v>1</v>
      </c>
      <c r="AW339" s="128">
        <f>IF(AX339&gt;0,1,0)</f>
        <v>0</v>
      </c>
      <c r="AX339" s="128">
        <f>SUM(BA339,BM339,CU339)</f>
        <v>0</v>
      </c>
      <c r="AY339" s="128">
        <f>SUM(BB339,BN339,CV339)</f>
        <v>0</v>
      </c>
      <c r="AZ339" s="128">
        <f>IF(BA339&gt;0,1,0)</f>
        <v>0</v>
      </c>
      <c r="BA339" s="128">
        <f>SUM(BC339+BF339+BI339)</f>
        <v>0</v>
      </c>
      <c r="BB339" s="128">
        <f>SUM(BE339,BH339,BK339)</f>
        <v>0</v>
      </c>
      <c r="BC339" s="130">
        <f>IF(BD339&gt;0,1,0)</f>
        <v>0</v>
      </c>
      <c r="BD339" s="128">
        <f>VLOOKUP($E339,[2]Current!$A:$AC,26,FALSE)</f>
        <v>0</v>
      </c>
      <c r="BE339" s="128">
        <f>BD339/$AS339</f>
        <v>0</v>
      </c>
      <c r="BF339" s="130">
        <f>IF(BG339&gt;0,1,0)</f>
        <v>0</v>
      </c>
      <c r="BG339" s="175">
        <f>VLOOKUP($E339,[2]Current!$A:$AC,27,FALSE)</f>
        <v>0</v>
      </c>
      <c r="BH339" s="128">
        <f>BG339/$AS339</f>
        <v>0</v>
      </c>
      <c r="BI339" s="130">
        <f>IF(BJ339&gt;0,1,0)</f>
        <v>0</v>
      </c>
      <c r="BJ339" s="128">
        <f>VLOOKUP($E339,[2]Current!$A:$AC,28,FALSE)</f>
        <v>0</v>
      </c>
      <c r="BK339" s="128">
        <f>BJ339/$AS339</f>
        <v>0</v>
      </c>
      <c r="BL339" s="128">
        <f>IF(BM339&gt;0,1,0)</f>
        <v>0</v>
      </c>
      <c r="BM339" s="128">
        <f>SUM(BR339,BU339,BX339,CA339,CD339)</f>
        <v>0</v>
      </c>
      <c r="BN339" s="131">
        <f>SUM(BT339,BW339,BZ339,CC339,CF339)</f>
        <v>0</v>
      </c>
      <c r="BO339" s="128">
        <f>IF(BP339&gt;0,1,0)</f>
        <v>0</v>
      </c>
      <c r="BP339" s="128">
        <f>BM339+CJ339</f>
        <v>0</v>
      </c>
      <c r="BQ339" s="128">
        <f>BN339+CL339</f>
        <v>0</v>
      </c>
      <c r="BR339" s="130">
        <f>IF(BS339&gt;0,1,0)</f>
        <v>0</v>
      </c>
      <c r="BS339" s="128">
        <f>VLOOKUP($E339,[2]Current!$A:$AC,12,FALSE)</f>
        <v>0</v>
      </c>
      <c r="BT339" s="175">
        <f>BS339/$AS339</f>
        <v>0</v>
      </c>
      <c r="BU339" s="130">
        <f>IF(BV339&gt;0,1,0)</f>
        <v>0</v>
      </c>
      <c r="BV339" s="128">
        <f>VLOOKUP($E339,[2]Current!$A:$AC,13,FALSE)</f>
        <v>0</v>
      </c>
      <c r="BW339" s="128">
        <f>BV339/$AS339</f>
        <v>0</v>
      </c>
      <c r="BX339" s="130">
        <f>IF(BY339&gt;0,1,0)</f>
        <v>0</v>
      </c>
      <c r="BY339" s="128">
        <f>VLOOKUP($E339,[2]Current!$A:$AC,14,FALSE)</f>
        <v>0</v>
      </c>
      <c r="BZ339" s="128">
        <f>BY339/$AS339</f>
        <v>0</v>
      </c>
      <c r="CA339" s="130">
        <f>IF(CB339&gt;0,1,0)</f>
        <v>0</v>
      </c>
      <c r="CB339" s="128">
        <f>VLOOKUP($E339,[2]Current!$A:$AC,15,FALSE)</f>
        <v>0</v>
      </c>
      <c r="CC339" s="128">
        <f>CB339/$AS339</f>
        <v>0</v>
      </c>
      <c r="CD339" s="176">
        <f>IF(CE339&gt;0,1,0)</f>
        <v>0</v>
      </c>
      <c r="CE339" s="128">
        <f>VLOOKUP($E339,[2]Current!$A:$AC,16,FALSE)</f>
        <v>0</v>
      </c>
      <c r="CF339" s="128">
        <f>CE339/$AS339</f>
        <v>0</v>
      </c>
      <c r="CG339" s="18"/>
      <c r="CH339" s="18"/>
      <c r="CI339" s="18"/>
      <c r="CJ339" s="130">
        <f>IF(CK339&gt;0,1,0)</f>
        <v>0</v>
      </c>
      <c r="CK339" s="128">
        <f>VLOOKUP($E339,[2]Current!$A:$AC,18,FALSE)</f>
        <v>0</v>
      </c>
      <c r="CL339" s="128">
        <f>CK339/$AS339</f>
        <v>0</v>
      </c>
      <c r="CS339" s="130">
        <f>IF(CU339&gt;0,1,0)</f>
        <v>0</v>
      </c>
      <c r="CT339" s="18"/>
      <c r="CU339" s="128">
        <f>VLOOKUP($E339,[2]Current!$A:$AC,17,FALSE)</f>
        <v>0</v>
      </c>
      <c r="CV339" s="128">
        <f>CU339/$AS339</f>
        <v>0</v>
      </c>
      <c r="CW339" s="18"/>
      <c r="CX339" s="18"/>
      <c r="CY339" s="18"/>
      <c r="DF339" s="16" t="e">
        <f>VLOOKUP(K339,'[3]RNA Seq summary tables'!$V$3:$V$99,1,FALSE)</f>
        <v>#N/A</v>
      </c>
    </row>
    <row r="340" spans="1:288" s="18" customFormat="1" x14ac:dyDescent="0.2">
      <c r="B340" s="18">
        <v>2017</v>
      </c>
      <c r="C340" s="37">
        <v>42919</v>
      </c>
      <c r="D340" s="37" t="str">
        <f>CONCATENATE(J340,"-",C340)</f>
        <v>1194-42919</v>
      </c>
      <c r="E340" s="20" t="str">
        <f>CONCATENATE(T340,"-",U340,"-",C340)</f>
        <v>BC2-A2-42919</v>
      </c>
      <c r="F340" s="20" t="s">
        <v>106</v>
      </c>
      <c r="G340" s="37" t="s">
        <v>107</v>
      </c>
      <c r="I340" s="16">
        <v>0</v>
      </c>
      <c r="J340" s="36">
        <v>1194</v>
      </c>
      <c r="K340" s="36">
        <v>1805</v>
      </c>
      <c r="L340" s="18">
        <v>0</v>
      </c>
      <c r="M340" s="21">
        <f>VLOOKUP($K340,'[4]blood tubes 2017'!$D$1:$L$647,8,FALSE)</f>
        <v>0</v>
      </c>
      <c r="N340" s="15">
        <v>0</v>
      </c>
      <c r="O340" s="15" t="s">
        <v>119</v>
      </c>
      <c r="P340" s="18" t="s">
        <v>119</v>
      </c>
      <c r="Q340" s="16">
        <v>0</v>
      </c>
      <c r="R340" s="18" t="s">
        <v>111</v>
      </c>
      <c r="T340" s="18" t="s">
        <v>154</v>
      </c>
      <c r="U340" s="18" t="s">
        <v>171</v>
      </c>
      <c r="V340" s="18" t="s">
        <v>142</v>
      </c>
      <c r="W340" s="16">
        <f>AI340/AG340</f>
        <v>1</v>
      </c>
      <c r="X340" s="18" t="s">
        <v>115</v>
      </c>
      <c r="Y340" s="18" t="s">
        <v>110</v>
      </c>
      <c r="Z340" s="18">
        <v>3</v>
      </c>
      <c r="AE340" s="18" t="s">
        <v>123</v>
      </c>
      <c r="AF340" s="18" t="s">
        <v>123</v>
      </c>
      <c r="AG340" s="18">
        <f>AH340-AI340</f>
        <v>86</v>
      </c>
      <c r="AH340" s="18">
        <v>172</v>
      </c>
      <c r="AI340" s="18">
        <v>86</v>
      </c>
      <c r="AK340" s="18">
        <v>17</v>
      </c>
      <c r="AL340" s="18">
        <v>0</v>
      </c>
      <c r="AM340" s="18">
        <v>0</v>
      </c>
      <c r="AN340" s="18">
        <v>0</v>
      </c>
      <c r="AO340" s="18">
        <v>0</v>
      </c>
      <c r="AP340" s="18">
        <f>SUM(AL340:AN340)</f>
        <v>0</v>
      </c>
      <c r="AQ340" s="18">
        <v>1.528</v>
      </c>
      <c r="AR340" s="18">
        <f>AP340-1.472</f>
        <v>-1.472</v>
      </c>
      <c r="AS340" s="18">
        <f>AQ340-1.472</f>
        <v>5.600000000000005E-2</v>
      </c>
      <c r="AT340" s="18" t="s">
        <v>235</v>
      </c>
      <c r="AW340" s="40"/>
      <c r="AX340" s="40"/>
      <c r="AY340" s="40"/>
      <c r="AZ340" s="40"/>
      <c r="BA340" s="40"/>
      <c r="BB340" s="40"/>
      <c r="BC340" s="40"/>
      <c r="BD340" s="40"/>
      <c r="BE340" s="40"/>
      <c r="BF340" s="40"/>
      <c r="BG340" s="75"/>
      <c r="BH340" s="40"/>
      <c r="BI340" s="40"/>
      <c r="BJ340" s="40"/>
      <c r="BK340" s="40"/>
      <c r="BL340" s="40"/>
      <c r="BM340" s="40"/>
      <c r="BN340" s="40"/>
      <c r="BO340" s="40"/>
      <c r="BP340" s="40"/>
      <c r="BQ340" s="40"/>
      <c r="BR340" s="40"/>
      <c r="BS340" s="40"/>
      <c r="BT340" s="75"/>
      <c r="BU340" s="40"/>
      <c r="BV340" s="40"/>
      <c r="BW340" s="40"/>
      <c r="BX340" s="40"/>
      <c r="BY340" s="40"/>
      <c r="BZ340" s="40"/>
      <c r="CA340" s="40"/>
      <c r="CB340" s="40"/>
      <c r="CC340" s="40"/>
      <c r="CD340" s="75"/>
      <c r="CE340" s="40"/>
      <c r="CF340" s="40"/>
      <c r="CG340" s="40"/>
      <c r="CH340" s="40"/>
      <c r="CI340" s="40"/>
      <c r="CJ340" s="40"/>
      <c r="CK340" s="40"/>
      <c r="CL340" s="40"/>
      <c r="CM340" s="40"/>
      <c r="CN340" s="40"/>
      <c r="CO340" s="40"/>
      <c r="CP340" s="40"/>
      <c r="CQ340" s="40"/>
      <c r="CR340" s="40"/>
      <c r="CS340" s="40"/>
      <c r="CT340" s="40"/>
      <c r="CU340" s="40"/>
      <c r="CV340" s="40"/>
      <c r="CW340" s="40"/>
      <c r="CX340" s="40"/>
      <c r="CY340" s="40"/>
      <c r="CZ340" s="40"/>
      <c r="DA340" s="40"/>
      <c r="DB340" s="40"/>
      <c r="DC340" s="40"/>
      <c r="DD340" s="40"/>
      <c r="DE340" s="40"/>
      <c r="DF340" s="16" t="e">
        <f>VLOOKUP(K340,'[3]RNA Seq summary tables'!$V$3:$V$99,1,FALSE)</f>
        <v>#N/A</v>
      </c>
      <c r="DG340" s="16"/>
      <c r="DH340" s="16"/>
      <c r="DI340" s="40"/>
      <c r="DK340" s="18">
        <v>29</v>
      </c>
      <c r="DM340" s="18">
        <v>17</v>
      </c>
      <c r="DO340" s="18">
        <v>0</v>
      </c>
      <c r="DQ340" s="18">
        <v>0</v>
      </c>
      <c r="DR340" s="18">
        <f>SUM(DI340:DQ340)</f>
        <v>46</v>
      </c>
      <c r="JO340" s="16"/>
      <c r="JP340" s="30"/>
      <c r="JQ340" s="30"/>
      <c r="JR340" s="27"/>
      <c r="JS340" s="27"/>
      <c r="JT340" s="27"/>
      <c r="JU340" s="27"/>
      <c r="JV340" s="27"/>
      <c r="JW340" s="27"/>
      <c r="JX340" s="27"/>
      <c r="JY340" s="27"/>
      <c r="JZ340" s="27"/>
      <c r="KA340" s="27"/>
      <c r="KB340" s="27"/>
    </row>
    <row r="341" spans="1:288" x14ac:dyDescent="0.2">
      <c r="B341" s="16">
        <v>2017</v>
      </c>
      <c r="C341" s="20">
        <v>42919</v>
      </c>
      <c r="D341" s="20" t="str">
        <f>CONCATENATE(J341,"-",C341)</f>
        <v>1196-42919</v>
      </c>
      <c r="E341" s="20" t="str">
        <f>CONCATENATE(T341,"-",U341,"-",C341)</f>
        <v>BC2-C2-42919</v>
      </c>
      <c r="F341" s="20" t="s">
        <v>106</v>
      </c>
      <c r="G341" s="20" t="s">
        <v>107</v>
      </c>
      <c r="I341" s="16">
        <v>0</v>
      </c>
      <c r="J341" s="21">
        <v>1196</v>
      </c>
      <c r="K341" s="21">
        <v>1807</v>
      </c>
      <c r="L341" s="18">
        <v>0</v>
      </c>
      <c r="M341" s="21">
        <f>VLOOKUP($K341,'[4]blood tubes 2017'!$D$1:$L$647,8,FALSE)</f>
        <v>0</v>
      </c>
      <c r="N341" s="15">
        <v>0</v>
      </c>
      <c r="O341" s="15" t="s">
        <v>119</v>
      </c>
      <c r="P341" s="16" t="s">
        <v>119</v>
      </c>
      <c r="Q341" s="16">
        <v>0</v>
      </c>
      <c r="R341" s="16" t="s">
        <v>111</v>
      </c>
      <c r="T341" s="16" t="s">
        <v>154</v>
      </c>
      <c r="U341" s="16" t="s">
        <v>162</v>
      </c>
      <c r="V341" s="16" t="s">
        <v>114</v>
      </c>
      <c r="W341" s="16">
        <f>AI341/AG341</f>
        <v>0.79347826086956519</v>
      </c>
      <c r="X341" s="16" t="s">
        <v>115</v>
      </c>
      <c r="Y341" s="16" t="s">
        <v>110</v>
      </c>
      <c r="Z341" s="16">
        <v>3</v>
      </c>
      <c r="AE341" s="16" t="s">
        <v>123</v>
      </c>
      <c r="AF341" s="16" t="s">
        <v>123</v>
      </c>
      <c r="AG341" s="16">
        <f>AH341-AI341</f>
        <v>92</v>
      </c>
      <c r="AH341" s="16">
        <v>165</v>
      </c>
      <c r="AI341" s="16">
        <v>73</v>
      </c>
      <c r="AK341" s="16">
        <v>25</v>
      </c>
      <c r="AL341" s="16">
        <v>0</v>
      </c>
      <c r="AM341" s="16">
        <v>0</v>
      </c>
      <c r="AN341" s="16">
        <v>0</v>
      </c>
      <c r="AO341" s="16">
        <v>0</v>
      </c>
      <c r="AP341" s="16">
        <f>SUM(AL341:AN341)</f>
        <v>0</v>
      </c>
      <c r="AQ341" s="16">
        <v>1.71</v>
      </c>
      <c r="AR341" s="16">
        <f>AP341-1.472</f>
        <v>-1.472</v>
      </c>
      <c r="AS341" s="16">
        <f>AQ341-1.472</f>
        <v>0.23799999999999999</v>
      </c>
      <c r="AT341" s="16" t="s">
        <v>119</v>
      </c>
      <c r="AW341" s="16">
        <f>IF(AX341&gt;0,1,0)</f>
        <v>1</v>
      </c>
      <c r="AX341" s="16">
        <f>SUM(BA341,BM341,CT341)</f>
        <v>1</v>
      </c>
      <c r="AY341" s="18">
        <f>SUM(BB341,BN341,CV341)</f>
        <v>4197.4789915966385</v>
      </c>
      <c r="AZ341" s="16">
        <v>1</v>
      </c>
      <c r="BA341" s="16">
        <v>1</v>
      </c>
      <c r="BB341" s="16">
        <f>SUM(BE341,BH341,BK341)</f>
        <v>4197.4789915966385</v>
      </c>
      <c r="BC341" s="16">
        <v>0</v>
      </c>
      <c r="BD341" s="16">
        <v>0</v>
      </c>
      <c r="BE341" s="16">
        <f>BD341/AS341</f>
        <v>0</v>
      </c>
      <c r="BF341" s="16">
        <v>1</v>
      </c>
      <c r="BG341" s="23">
        <v>999</v>
      </c>
      <c r="BH341" s="16">
        <f>BG341/AS341</f>
        <v>4197.4789915966385</v>
      </c>
      <c r="BI341" s="16">
        <v>0</v>
      </c>
      <c r="BJ341" s="16">
        <v>0</v>
      </c>
      <c r="BK341" s="16">
        <f>BJ341/AS341</f>
        <v>0</v>
      </c>
      <c r="BL341" s="16">
        <f>IF(BM341&gt;0,1,0)</f>
        <v>0</v>
      </c>
      <c r="BM341" s="16">
        <f>SUM(BR341,BU341,BX341,CA341,CD341,CG341,CJ341,CM341,CP341)</f>
        <v>0</v>
      </c>
      <c r="BN341" s="16">
        <f>SUM(BW341,BZ341,CC341,CF341,CI341,CL341,CO341,CR341,BT341)</f>
        <v>0</v>
      </c>
      <c r="BO341" s="16">
        <f>IF(BP341&gt;0,1,0)</f>
        <v>0</v>
      </c>
      <c r="BP341" s="16">
        <f>SUM(BU341,BX341,CA341,CD341,BR341)</f>
        <v>0</v>
      </c>
      <c r="BQ341" s="16">
        <f>SUM(BZ341,CC341,CF341,BT341,BW341)</f>
        <v>0</v>
      </c>
      <c r="BR341" s="16">
        <v>0</v>
      </c>
      <c r="BS341" s="16">
        <v>0</v>
      </c>
      <c r="BT341" s="23">
        <f>BS341/AS341</f>
        <v>0</v>
      </c>
      <c r="BU341" s="16">
        <v>0</v>
      </c>
      <c r="BV341" s="16">
        <v>0</v>
      </c>
      <c r="BW341" s="16">
        <f>BV341/AS341</f>
        <v>0</v>
      </c>
      <c r="BX341" s="16">
        <v>0</v>
      </c>
      <c r="BY341" s="16">
        <v>0</v>
      </c>
      <c r="BZ341" s="16">
        <f>BY341/AS341</f>
        <v>0</v>
      </c>
      <c r="CA341" s="16">
        <v>0</v>
      </c>
      <c r="CB341" s="16">
        <v>0</v>
      </c>
      <c r="CC341" s="16">
        <f>CB341/AS341</f>
        <v>0</v>
      </c>
      <c r="CD341" s="23">
        <v>0</v>
      </c>
      <c r="CE341" s="16">
        <v>0</v>
      </c>
      <c r="CF341" s="16">
        <f>CE341/AS341</f>
        <v>0</v>
      </c>
      <c r="CG341" s="16">
        <v>0</v>
      </c>
      <c r="CH341" s="16">
        <v>0</v>
      </c>
      <c r="CI341" s="16">
        <f>CH341/AS341</f>
        <v>0</v>
      </c>
      <c r="CM341" s="16">
        <v>0</v>
      </c>
      <c r="CN341" s="16">
        <v>0</v>
      </c>
      <c r="CO341" s="16">
        <f>CN341/AS341</f>
        <v>0</v>
      </c>
      <c r="CP341" s="16">
        <v>0</v>
      </c>
      <c r="CQ341" s="16">
        <v>0</v>
      </c>
      <c r="CR341" s="16">
        <f>CQ341/AS341</f>
        <v>0</v>
      </c>
      <c r="CS341" s="16">
        <v>0</v>
      </c>
      <c r="CT341" s="16">
        <v>0</v>
      </c>
      <c r="CV341" s="16">
        <f>SUM(CY341,DB341,DE341)</f>
        <v>0</v>
      </c>
      <c r="CW341" s="16">
        <v>0</v>
      </c>
      <c r="CX341" s="16">
        <v>0</v>
      </c>
      <c r="CY341" s="16">
        <f>CX341/AS341</f>
        <v>0</v>
      </c>
      <c r="CZ341" s="16">
        <v>0</v>
      </c>
      <c r="DA341" s="16">
        <v>0</v>
      </c>
      <c r="DB341" s="16">
        <f>DA341/AS341</f>
        <v>0</v>
      </c>
      <c r="DC341" s="16">
        <v>0</v>
      </c>
      <c r="DD341" s="16">
        <v>0</v>
      </c>
      <c r="DE341" s="16">
        <f>DD341/AS341</f>
        <v>0</v>
      </c>
      <c r="DF341" s="16" t="e">
        <f>VLOOKUP(K341,'[3]RNA Seq summary tables'!$V$3:$V$99,1,FALSE)</f>
        <v>#N/A</v>
      </c>
      <c r="DI341" s="16">
        <v>68</v>
      </c>
      <c r="DK341" s="16">
        <v>24</v>
      </c>
      <c r="DM341" s="16">
        <v>8</v>
      </c>
      <c r="DO341" s="16">
        <v>0</v>
      </c>
      <c r="DQ341" s="16">
        <v>0</v>
      </c>
      <c r="DR341" s="16">
        <f>SUM(DI341:DQ341)</f>
        <v>100</v>
      </c>
      <c r="JP341" s="18"/>
      <c r="JQ341" s="18"/>
      <c r="JR341" s="27"/>
      <c r="JS341" s="27"/>
      <c r="JT341" s="27"/>
      <c r="JU341" s="27"/>
      <c r="JV341" s="27"/>
      <c r="JW341" s="27"/>
      <c r="JX341" s="27"/>
      <c r="JY341" s="27"/>
      <c r="JZ341" s="27"/>
      <c r="KA341" s="27"/>
      <c r="KB341" s="27"/>
    </row>
    <row r="342" spans="1:288" s="18" customFormat="1" x14ac:dyDescent="0.2">
      <c r="B342" s="16">
        <v>2017</v>
      </c>
      <c r="C342" s="66">
        <v>42919</v>
      </c>
      <c r="D342" s="66" t="str">
        <f>CONCATENATE(J342,"-",C342)</f>
        <v>1198-42919</v>
      </c>
      <c r="E342" s="20" t="str">
        <f>CONCATENATE(T342,"-",U342,"-",C342)</f>
        <v>BC2-D6-42919</v>
      </c>
      <c r="F342" s="20" t="s">
        <v>106</v>
      </c>
      <c r="G342" s="20" t="s">
        <v>107</v>
      </c>
      <c r="H342" s="16"/>
      <c r="I342" s="16">
        <v>0</v>
      </c>
      <c r="J342" s="21">
        <v>1198</v>
      </c>
      <c r="K342" s="21">
        <v>1809</v>
      </c>
      <c r="L342" s="18">
        <v>0</v>
      </c>
      <c r="M342" s="21">
        <f>VLOOKUP($K342,'[4]blood tubes 2017'!$D$1:$L$647,8,FALSE)</f>
        <v>0</v>
      </c>
      <c r="N342" s="15">
        <v>0</v>
      </c>
      <c r="O342" s="15" t="s">
        <v>119</v>
      </c>
      <c r="P342" s="16" t="s">
        <v>119</v>
      </c>
      <c r="Q342" s="16">
        <v>0</v>
      </c>
      <c r="R342" s="16" t="s">
        <v>111</v>
      </c>
      <c r="S342" s="16"/>
      <c r="T342" s="16" t="s">
        <v>154</v>
      </c>
      <c r="U342" s="16" t="s">
        <v>186</v>
      </c>
      <c r="V342" s="16" t="s">
        <v>114</v>
      </c>
      <c r="W342" s="16">
        <f>AI342/AG342</f>
        <v>0.82978723404255317</v>
      </c>
      <c r="X342" s="16" t="s">
        <v>121</v>
      </c>
      <c r="Y342" s="16" t="s">
        <v>110</v>
      </c>
      <c r="Z342" s="16">
        <v>3</v>
      </c>
      <c r="AA342" s="16" t="s">
        <v>119</v>
      </c>
      <c r="AB342" s="16" t="s">
        <v>123</v>
      </c>
      <c r="AC342" s="16" t="s">
        <v>123</v>
      </c>
      <c r="AD342" s="16" t="s">
        <v>123</v>
      </c>
      <c r="AE342" s="16"/>
      <c r="AF342" s="16"/>
      <c r="AG342" s="16">
        <f>AH342-AI342</f>
        <v>94</v>
      </c>
      <c r="AH342" s="16">
        <v>172</v>
      </c>
      <c r="AI342" s="16">
        <v>78</v>
      </c>
      <c r="AJ342" s="16"/>
      <c r="AK342" s="16">
        <v>26</v>
      </c>
      <c r="AL342" s="16">
        <v>0</v>
      </c>
      <c r="AM342" s="16">
        <v>0</v>
      </c>
      <c r="AN342" s="16">
        <v>0</v>
      </c>
      <c r="AO342" s="16">
        <v>0</v>
      </c>
      <c r="AP342" s="16">
        <f>SUM(AL342:AN342)</f>
        <v>0</v>
      </c>
      <c r="AQ342" s="16">
        <v>1.887</v>
      </c>
      <c r="AR342" s="16">
        <f>AP342-1.472</f>
        <v>-1.472</v>
      </c>
      <c r="AS342" s="16">
        <f>AQ342-1.472</f>
        <v>0.41500000000000004</v>
      </c>
      <c r="AT342" s="16" t="s">
        <v>234</v>
      </c>
      <c r="AU342" s="16"/>
      <c r="AV342" s="16">
        <v>1</v>
      </c>
      <c r="AW342" s="16">
        <f>IF(AX342&gt;0,1,0)</f>
        <v>0</v>
      </c>
      <c r="AX342" s="16">
        <f>SUM(BA342,BM342,CT342)</f>
        <v>0</v>
      </c>
      <c r="AY342" s="18">
        <f>SUM(BB342,BN342,CV342)</f>
        <v>0</v>
      </c>
      <c r="AZ342" s="16">
        <v>0</v>
      </c>
      <c r="BA342" s="16">
        <v>0</v>
      </c>
      <c r="BB342" s="16">
        <f>SUM(BE342,BH342,BK342)</f>
        <v>0</v>
      </c>
      <c r="BC342" s="16">
        <v>0</v>
      </c>
      <c r="BD342" s="16">
        <v>0</v>
      </c>
      <c r="BE342" s="16">
        <f>BD342/AS342</f>
        <v>0</v>
      </c>
      <c r="BF342" s="16">
        <v>0</v>
      </c>
      <c r="BG342" s="23">
        <v>0</v>
      </c>
      <c r="BH342" s="16">
        <f>BG342/AS342</f>
        <v>0</v>
      </c>
      <c r="BI342" s="16">
        <v>0</v>
      </c>
      <c r="BJ342" s="16">
        <v>0</v>
      </c>
      <c r="BK342" s="16">
        <f>BJ342/AS342</f>
        <v>0</v>
      </c>
      <c r="BL342" s="16">
        <f>IF(BM342&gt;0,1,0)</f>
        <v>0</v>
      </c>
      <c r="BM342" s="16">
        <f>SUM(BR342,BU342,BX342,CA342,CD342,CG342,CJ342,CM342,CP342)</f>
        <v>0</v>
      </c>
      <c r="BN342" s="16">
        <f>SUM(BW342,BZ342,CC342,CF342,CI342,CL342,CO342,CR342,BT342)</f>
        <v>0</v>
      </c>
      <c r="BO342" s="16">
        <f>IF(BP342&gt;0,1,0)</f>
        <v>0</v>
      </c>
      <c r="BP342" s="16">
        <f>SUM(BU342,BX342,CA342,CD342,BR342)</f>
        <v>0</v>
      </c>
      <c r="BQ342" s="16">
        <f>SUM(BZ342,CC342,CF342,BT342,BW342)</f>
        <v>0</v>
      </c>
      <c r="BR342" s="16">
        <v>0</v>
      </c>
      <c r="BS342" s="16">
        <v>0</v>
      </c>
      <c r="BT342" s="23">
        <f>BS342/AS342</f>
        <v>0</v>
      </c>
      <c r="BU342" s="16">
        <v>0</v>
      </c>
      <c r="BV342" s="16">
        <v>0</v>
      </c>
      <c r="BW342" s="16">
        <f>BV342/AS342</f>
        <v>0</v>
      </c>
      <c r="BX342" s="16">
        <v>0</v>
      </c>
      <c r="BY342" s="16">
        <v>0</v>
      </c>
      <c r="BZ342" s="16">
        <f>BY342/AS342</f>
        <v>0</v>
      </c>
      <c r="CA342" s="16">
        <v>0</v>
      </c>
      <c r="CB342" s="16">
        <v>0</v>
      </c>
      <c r="CC342" s="16">
        <f>CB342/AS342</f>
        <v>0</v>
      </c>
      <c r="CD342" s="23">
        <v>0</v>
      </c>
      <c r="CE342" s="16">
        <v>0</v>
      </c>
      <c r="CF342" s="16">
        <f>CE342/AS342</f>
        <v>0</v>
      </c>
      <c r="CG342" s="16">
        <v>0</v>
      </c>
      <c r="CH342" s="16">
        <v>0</v>
      </c>
      <c r="CI342" s="16">
        <f>CH342/AS342</f>
        <v>0</v>
      </c>
      <c r="CJ342" s="16"/>
      <c r="CK342" s="16"/>
      <c r="CL342" s="16"/>
      <c r="CM342" s="16">
        <v>0</v>
      </c>
      <c r="CN342" s="16">
        <v>0</v>
      </c>
      <c r="CO342" s="16">
        <f>CN342/AS342</f>
        <v>0</v>
      </c>
      <c r="CP342" s="16">
        <v>0</v>
      </c>
      <c r="CQ342" s="16">
        <v>0</v>
      </c>
      <c r="CR342" s="16">
        <f>CQ342/AS342</f>
        <v>0</v>
      </c>
      <c r="CS342" s="16">
        <v>0</v>
      </c>
      <c r="CT342" s="16">
        <v>0</v>
      </c>
      <c r="CU342" s="16"/>
      <c r="CV342" s="16">
        <f>SUM(CY342,DB342,DE342)</f>
        <v>0</v>
      </c>
      <c r="CW342" s="16">
        <v>0</v>
      </c>
      <c r="CX342" s="16">
        <v>0</v>
      </c>
      <c r="CY342" s="16">
        <f>CX342/AS342</f>
        <v>0</v>
      </c>
      <c r="CZ342" s="16">
        <v>0</v>
      </c>
      <c r="DA342" s="16">
        <v>0</v>
      </c>
      <c r="DB342" s="16">
        <f>DA342/AS342</f>
        <v>0</v>
      </c>
      <c r="DC342" s="16">
        <v>0</v>
      </c>
      <c r="DD342" s="16">
        <v>0</v>
      </c>
      <c r="DE342" s="16">
        <f>DD342/AS342</f>
        <v>0</v>
      </c>
      <c r="DF342" s="16" t="e">
        <f>VLOOKUP(K342,'[3]RNA Seq summary tables'!$V$3:$V$99,1,FALSE)</f>
        <v>#N/A</v>
      </c>
      <c r="DG342" s="16"/>
      <c r="DH342" s="16"/>
      <c r="DI342" s="16">
        <v>54</v>
      </c>
      <c r="DJ342" s="16"/>
      <c r="DK342" s="16">
        <v>39</v>
      </c>
      <c r="DL342" s="16"/>
      <c r="DM342" s="16">
        <v>5</v>
      </c>
      <c r="DN342" s="16"/>
      <c r="DO342" s="16">
        <v>2</v>
      </c>
      <c r="DP342" s="16"/>
      <c r="DQ342" s="16">
        <v>0</v>
      </c>
      <c r="DR342" s="16">
        <f>SUM(DI342:DQ342)</f>
        <v>100</v>
      </c>
      <c r="DS342" s="16"/>
      <c r="JO342" s="16"/>
      <c r="JP342" s="16"/>
      <c r="JQ342" s="16"/>
      <c r="JR342" s="27"/>
      <c r="JS342" s="27"/>
      <c r="JT342" s="27"/>
      <c r="JU342" s="27"/>
      <c r="JV342" s="27"/>
      <c r="JW342" s="27"/>
      <c r="JX342" s="27"/>
      <c r="JY342" s="27"/>
      <c r="JZ342" s="27"/>
      <c r="KA342" s="27"/>
      <c r="KB342" s="27"/>
    </row>
    <row r="343" spans="1:288" s="18" customFormat="1" ht="16" x14ac:dyDescent="0.2">
      <c r="B343" s="16">
        <v>2017</v>
      </c>
      <c r="C343" s="20">
        <v>42936</v>
      </c>
      <c r="D343" s="20" t="str">
        <f>CONCATENATE(J343,"-",C343)</f>
        <v>1198-42936</v>
      </c>
      <c r="E343" s="37" t="str">
        <f>CONCATENATE(T343,"-",U343,"-",C343)</f>
        <v>BC2-C7-42936</v>
      </c>
      <c r="F343" s="20" t="s">
        <v>106</v>
      </c>
      <c r="G343" s="20" t="s">
        <v>107</v>
      </c>
      <c r="H343" s="16"/>
      <c r="I343" s="16">
        <v>0</v>
      </c>
      <c r="J343" s="21">
        <v>1198</v>
      </c>
      <c r="K343" s="21">
        <v>1930</v>
      </c>
      <c r="L343" s="18">
        <v>0</v>
      </c>
      <c r="M343" s="21">
        <f>VLOOKUP($K343,'[4]blood tubes 2017'!$D$1:$L$647,8,FALSE)</f>
        <v>0</v>
      </c>
      <c r="N343" s="15">
        <v>0</v>
      </c>
      <c r="O343" s="15" t="s">
        <v>119</v>
      </c>
      <c r="P343" s="16" t="s">
        <v>119</v>
      </c>
      <c r="Q343" s="16">
        <v>0</v>
      </c>
      <c r="R343" s="16">
        <v>17</v>
      </c>
      <c r="S343" s="16"/>
      <c r="T343" s="16" t="s">
        <v>154</v>
      </c>
      <c r="U343" s="16" t="s">
        <v>207</v>
      </c>
      <c r="V343" s="16" t="s">
        <v>114</v>
      </c>
      <c r="W343" s="16">
        <f>AI343/AG343</f>
        <v>0.82291666666666663</v>
      </c>
      <c r="X343" s="16" t="s">
        <v>121</v>
      </c>
      <c r="Y343" s="16" t="s">
        <v>110</v>
      </c>
      <c r="Z343" s="16">
        <v>3</v>
      </c>
      <c r="AA343" s="16" t="s">
        <v>119</v>
      </c>
      <c r="AB343" s="16" t="s">
        <v>239</v>
      </c>
      <c r="AC343" s="16" t="s">
        <v>123</v>
      </c>
      <c r="AD343" s="16" t="s">
        <v>123</v>
      </c>
      <c r="AE343" s="16"/>
      <c r="AF343" s="16"/>
      <c r="AG343" s="16">
        <f>AH343-AI343</f>
        <v>96</v>
      </c>
      <c r="AH343" s="16">
        <v>175</v>
      </c>
      <c r="AI343" s="16">
        <v>79</v>
      </c>
      <c r="AJ343" s="16"/>
      <c r="AK343" s="16">
        <v>24.5</v>
      </c>
      <c r="AL343" s="16">
        <v>0</v>
      </c>
      <c r="AM343" s="16">
        <v>0</v>
      </c>
      <c r="AN343" s="16">
        <v>0</v>
      </c>
      <c r="AO343" s="16">
        <v>0</v>
      </c>
      <c r="AP343" s="16">
        <f>SUM(AL343:AN343)</f>
        <v>0</v>
      </c>
      <c r="AQ343" s="16">
        <v>2.351</v>
      </c>
      <c r="AR343" s="16">
        <f>AP343-1.472</f>
        <v>-1.472</v>
      </c>
      <c r="AS343" s="16">
        <f>AQ343-1.472</f>
        <v>0.879</v>
      </c>
      <c r="AT343" s="16" t="str">
        <f>VLOOKUP(E343,[2]Current!$A$1:$W$435,7,FALSE)</f>
        <v>NB</v>
      </c>
      <c r="AU343" s="16" t="s">
        <v>1288</v>
      </c>
      <c r="AV343" s="23"/>
      <c r="AW343" s="128">
        <f>IF(AX343&gt;0,1,0)</f>
        <v>1</v>
      </c>
      <c r="AX343" s="128">
        <f>SUM(BA343,BM343,CU343)</f>
        <v>4</v>
      </c>
      <c r="AY343" s="128">
        <f>SUM(BB343,BN343,CV343)</f>
        <v>152.44596131968143</v>
      </c>
      <c r="AZ343" s="128">
        <f>IF(BA343&gt;0,1,0)</f>
        <v>1</v>
      </c>
      <c r="BA343" s="128">
        <f>SUM(BC343+BF343+BI343)</f>
        <v>1</v>
      </c>
      <c r="BB343" s="128">
        <f>SUM(BE343,BH343,BK343)</f>
        <v>17.064846416382252</v>
      </c>
      <c r="BC343" s="130">
        <f>IF(BD343&gt;0,1,0)</f>
        <v>0</v>
      </c>
      <c r="BD343" s="128">
        <f>VLOOKUP($E343,[2]Current!$A:$AC,26,FALSE)</f>
        <v>0</v>
      </c>
      <c r="BE343" s="128">
        <f>BD343/$AS343</f>
        <v>0</v>
      </c>
      <c r="BF343" s="130">
        <f>IF(BG343&gt;0,1,0)</f>
        <v>1</v>
      </c>
      <c r="BG343" s="175">
        <f>VLOOKUP($E343,[2]Current!$A:$AC,27,FALSE)</f>
        <v>15</v>
      </c>
      <c r="BH343" s="128">
        <f>BG343/$AS343</f>
        <v>17.064846416382252</v>
      </c>
      <c r="BI343" s="130">
        <f>IF(BJ343&gt;0,1,0)</f>
        <v>0</v>
      </c>
      <c r="BJ343" s="128">
        <f>VLOOKUP($E343,[2]Current!$A:$AC,28,FALSE)</f>
        <v>0</v>
      </c>
      <c r="BK343" s="128">
        <f>BJ343/$AS343</f>
        <v>0</v>
      </c>
      <c r="BL343" s="128">
        <f>IF(BM343&gt;0,1,0)</f>
        <v>1</v>
      </c>
      <c r="BM343" s="128">
        <f>SUM(BR343,BU343,BX343,CA343,CD343)</f>
        <v>3</v>
      </c>
      <c r="BN343" s="131">
        <f>SUM(BT343,BW343,BZ343,CC343,CF343)</f>
        <v>135.38111490329919</v>
      </c>
      <c r="BO343" s="128">
        <f>IF(BP343&gt;0,1,0)</f>
        <v>1</v>
      </c>
      <c r="BP343" s="128">
        <f>BM343+CJ343</f>
        <v>3</v>
      </c>
      <c r="BQ343" s="128">
        <f>BN343+CL343</f>
        <v>135.38111490329919</v>
      </c>
      <c r="BR343" s="130">
        <f>IF(BS343&gt;0,1,0)</f>
        <v>1</v>
      </c>
      <c r="BS343" s="128">
        <f>VLOOKUP($E343,[2]Current!$A:$AC,12,FALSE)</f>
        <v>30</v>
      </c>
      <c r="BT343" s="175">
        <f>BS343/$AS343</f>
        <v>34.129692832764505</v>
      </c>
      <c r="BU343" s="130">
        <f>IF(BV343&gt;0,1,0)</f>
        <v>0</v>
      </c>
      <c r="BV343" s="128">
        <f>VLOOKUP($E343,[2]Current!$A:$AC,13,FALSE)</f>
        <v>0</v>
      </c>
      <c r="BW343" s="128">
        <f>BV343/$AS343</f>
        <v>0</v>
      </c>
      <c r="BX343" s="130">
        <f>IF(BY343&gt;0,1,0)</f>
        <v>1</v>
      </c>
      <c r="BY343" s="128">
        <f>VLOOKUP($E343,[2]Current!$A:$AC,14,FALSE)</f>
        <v>88</v>
      </c>
      <c r="BZ343" s="128">
        <f>BY343/$AS343</f>
        <v>100.11376564277587</v>
      </c>
      <c r="CA343" s="130">
        <f>IF(CB343&gt;0,1,0)</f>
        <v>1</v>
      </c>
      <c r="CB343" s="128">
        <f>VLOOKUP($E343,[2]Current!$A:$AC,15,FALSE)</f>
        <v>1</v>
      </c>
      <c r="CC343" s="128">
        <f>CB343/$AS343</f>
        <v>1.1376564277588168</v>
      </c>
      <c r="CD343" s="176">
        <f>IF(CE343&gt;0,1,0)</f>
        <v>0</v>
      </c>
      <c r="CE343" s="128">
        <f>VLOOKUP($E343,[2]Current!$A:$AC,16,FALSE)</f>
        <v>0</v>
      </c>
      <c r="CF343" s="128">
        <f>CE343/$AS343</f>
        <v>0</v>
      </c>
      <c r="CJ343" s="130">
        <f>IF(CK343&gt;0,1,0)</f>
        <v>0</v>
      </c>
      <c r="CK343" s="128">
        <f>VLOOKUP($E343,[2]Current!$A:$AC,18,FALSE)</f>
        <v>0</v>
      </c>
      <c r="CL343" s="128">
        <f>CK343/$AS343</f>
        <v>0</v>
      </c>
      <c r="CM343" s="16"/>
      <c r="CN343" s="16"/>
      <c r="CO343" s="16"/>
      <c r="CP343" s="16"/>
      <c r="CQ343" s="16"/>
      <c r="CR343" s="16"/>
      <c r="CS343" s="130">
        <f>IF(CU343&gt;0,1,0)</f>
        <v>0</v>
      </c>
      <c r="CU343" s="128">
        <f>VLOOKUP($E343,[2]Current!$A:$AC,17,FALSE)</f>
        <v>0</v>
      </c>
      <c r="CV343" s="128">
        <f>CU343/$AS343</f>
        <v>0</v>
      </c>
      <c r="CZ343" s="16"/>
      <c r="DA343" s="16"/>
      <c r="DB343" s="16"/>
      <c r="DC343" s="16"/>
      <c r="DD343" s="16"/>
      <c r="DE343" s="16"/>
      <c r="DF343" s="16" t="e">
        <f>VLOOKUP(K343,'[3]RNA Seq summary tables'!$V$3:$V$99,1,FALSE)</f>
        <v>#N/A</v>
      </c>
      <c r="DG343" s="16"/>
      <c r="DH343" s="16"/>
      <c r="DI343" s="16"/>
      <c r="DJ343" s="16"/>
      <c r="DK343" s="16"/>
      <c r="DL343" s="16"/>
      <c r="DM343" s="16"/>
      <c r="DN343" s="16"/>
      <c r="DO343" s="16"/>
      <c r="DP343" s="16"/>
      <c r="DQ343" s="16"/>
      <c r="DR343" s="16"/>
      <c r="DS343" s="16"/>
      <c r="JO343" s="16"/>
      <c r="JP343" s="16"/>
      <c r="JQ343" s="16"/>
      <c r="JR343" s="16"/>
      <c r="JS343" s="16"/>
      <c r="JT343" s="16"/>
      <c r="JU343" s="16"/>
      <c r="JV343" s="16"/>
      <c r="JW343" s="16"/>
      <c r="JX343" s="16"/>
      <c r="JY343" s="16"/>
      <c r="JZ343" s="16"/>
      <c r="KA343" s="16"/>
      <c r="KB343" s="16"/>
    </row>
    <row r="344" spans="1:288" x14ac:dyDescent="0.2">
      <c r="B344" s="16">
        <v>2017</v>
      </c>
      <c r="C344" s="20">
        <v>42919</v>
      </c>
      <c r="D344" s="20" t="str">
        <f>CONCATENATE(J344,"-",C344)</f>
        <v>1200-42919</v>
      </c>
      <c r="E344" s="20" t="str">
        <f>CONCATENATE(T344,"-",U344,"-",C344)</f>
        <v>BC2-G3-42919</v>
      </c>
      <c r="F344" s="20" t="s">
        <v>106</v>
      </c>
      <c r="G344" s="20" t="s">
        <v>107</v>
      </c>
      <c r="I344" s="16">
        <v>0</v>
      </c>
      <c r="J344" s="21">
        <v>1200</v>
      </c>
      <c r="K344" s="21">
        <v>1812</v>
      </c>
      <c r="L344" s="18">
        <v>0</v>
      </c>
      <c r="M344" s="21">
        <f>VLOOKUP($K344,'[4]blood tubes 2017'!$D$1:$L$647,8,FALSE)</f>
        <v>0</v>
      </c>
      <c r="N344" s="15">
        <v>0</v>
      </c>
      <c r="O344" s="15" t="s">
        <v>119</v>
      </c>
      <c r="P344" s="16" t="s">
        <v>119</v>
      </c>
      <c r="Q344" s="16">
        <v>0</v>
      </c>
      <c r="R344" s="16" t="s">
        <v>111</v>
      </c>
      <c r="T344" s="16" t="s">
        <v>154</v>
      </c>
      <c r="U344" s="16" t="s">
        <v>179</v>
      </c>
      <c r="V344" s="16" t="s">
        <v>114</v>
      </c>
      <c r="W344" s="16">
        <f>AI344/AG344</f>
        <v>0.875</v>
      </c>
      <c r="X344" s="16" t="s">
        <v>115</v>
      </c>
      <c r="Y344" s="16" t="s">
        <v>110</v>
      </c>
      <c r="Z344" s="16">
        <v>3</v>
      </c>
      <c r="AE344" s="16" t="s">
        <v>123</v>
      </c>
      <c r="AF344" s="16" t="s">
        <v>123</v>
      </c>
      <c r="AG344" s="16">
        <f>AH344-AI344</f>
        <v>88</v>
      </c>
      <c r="AH344" s="16">
        <v>165</v>
      </c>
      <c r="AI344" s="16">
        <v>77</v>
      </c>
      <c r="AK344" s="16">
        <v>21.5</v>
      </c>
      <c r="AL344" s="16">
        <v>1</v>
      </c>
      <c r="AM344" s="16">
        <v>0</v>
      </c>
      <c r="AN344" s="16">
        <v>0</v>
      </c>
      <c r="AO344" s="16">
        <v>1</v>
      </c>
      <c r="AP344" s="16">
        <f>SUM(AL344:AN344)</f>
        <v>1</v>
      </c>
      <c r="AQ344" s="16">
        <v>1.643</v>
      </c>
      <c r="AR344" s="16">
        <f>AP344-1.472</f>
        <v>-0.47199999999999998</v>
      </c>
      <c r="AS344" s="16">
        <f>AQ344-1.472</f>
        <v>0.17100000000000004</v>
      </c>
      <c r="AT344" s="18" t="s">
        <v>234</v>
      </c>
      <c r="AU344" s="18"/>
      <c r="AW344" s="16">
        <f>IF(AX344&gt;0,1,0)</f>
        <v>1</v>
      </c>
      <c r="AX344" s="16">
        <f>SUM(BA344,BM344,CT344)</f>
        <v>2</v>
      </c>
      <c r="AY344" s="18">
        <f>SUM(BB344,BN344,CV344)</f>
        <v>26263.157894736836</v>
      </c>
      <c r="AZ344" s="16">
        <v>1</v>
      </c>
      <c r="BA344" s="16">
        <v>2</v>
      </c>
      <c r="BB344" s="16">
        <f>SUM(BE344,BH344,BK344)</f>
        <v>26263.157894736836</v>
      </c>
      <c r="BC344" s="16">
        <v>1</v>
      </c>
      <c r="BD344" s="16">
        <v>676</v>
      </c>
      <c r="BE344" s="16">
        <f>BD344/AS344</f>
        <v>3953.216374269005</v>
      </c>
      <c r="BF344" s="16">
        <v>1</v>
      </c>
      <c r="BG344" s="23">
        <v>3815</v>
      </c>
      <c r="BH344" s="16">
        <f>BG344/AS344</f>
        <v>22309.94152046783</v>
      </c>
      <c r="BI344" s="16">
        <v>0</v>
      </c>
      <c r="BJ344" s="16">
        <v>0</v>
      </c>
      <c r="BK344" s="16">
        <f>BJ344/AS344</f>
        <v>0</v>
      </c>
      <c r="BL344" s="16">
        <f>IF(BM344&gt;0,1,0)</f>
        <v>0</v>
      </c>
      <c r="BM344" s="16">
        <f>SUM(BR344,BU344,BX344,CA344,CD344,CG344,CJ344,CM344,CP344)</f>
        <v>0</v>
      </c>
      <c r="BN344" s="16">
        <f>SUM(BW344,BZ344,CC344,CF344,CI344,CL344,CO344,CR344,BT344)</f>
        <v>0</v>
      </c>
      <c r="BO344" s="16">
        <f>IF(BP344&gt;0,1,0)</f>
        <v>0</v>
      </c>
      <c r="BP344" s="16">
        <f>SUM(BU344,BX344,CA344,CD344,BR344)</f>
        <v>0</v>
      </c>
      <c r="BQ344" s="16">
        <f>SUM(BZ344,CC344,CF344,BT344,BW344)</f>
        <v>0</v>
      </c>
      <c r="BR344" s="16">
        <v>0</v>
      </c>
      <c r="BS344" s="16">
        <v>0</v>
      </c>
      <c r="BT344" s="23">
        <f>BS344/AS344</f>
        <v>0</v>
      </c>
      <c r="BU344" s="16">
        <v>0</v>
      </c>
      <c r="BV344" s="16">
        <v>0</v>
      </c>
      <c r="BW344" s="16">
        <f>BV344/AS344</f>
        <v>0</v>
      </c>
      <c r="BX344" s="16">
        <v>0</v>
      </c>
      <c r="BY344" s="16">
        <v>0</v>
      </c>
      <c r="BZ344" s="16">
        <f>BY344/AS344</f>
        <v>0</v>
      </c>
      <c r="CA344" s="16">
        <v>0</v>
      </c>
      <c r="CB344" s="16">
        <v>0</v>
      </c>
      <c r="CC344" s="16">
        <f>CB344/AS344</f>
        <v>0</v>
      </c>
      <c r="CD344" s="23">
        <v>0</v>
      </c>
      <c r="CE344" s="16">
        <v>0</v>
      </c>
      <c r="CF344" s="16">
        <f>CE344/AS344</f>
        <v>0</v>
      </c>
      <c r="CG344" s="16">
        <v>0</v>
      </c>
      <c r="CH344" s="16">
        <v>0</v>
      </c>
      <c r="CI344" s="16">
        <f>CH344/AS344</f>
        <v>0</v>
      </c>
      <c r="CM344" s="16">
        <v>0</v>
      </c>
      <c r="CN344" s="16">
        <v>0</v>
      </c>
      <c r="CO344" s="16">
        <f>CN344/AS344</f>
        <v>0</v>
      </c>
      <c r="CP344" s="16">
        <v>0</v>
      </c>
      <c r="CQ344" s="16">
        <v>0</v>
      </c>
      <c r="CR344" s="16">
        <f>CQ344/AS344</f>
        <v>0</v>
      </c>
      <c r="CS344" s="16">
        <v>0</v>
      </c>
      <c r="CT344" s="16">
        <v>0</v>
      </c>
      <c r="CV344" s="16">
        <f>SUM(CY344,DB344,DE344)</f>
        <v>0</v>
      </c>
      <c r="CW344" s="16">
        <v>0</v>
      </c>
      <c r="CX344" s="16">
        <v>0</v>
      </c>
      <c r="CY344" s="16">
        <f>CX344/AS344</f>
        <v>0</v>
      </c>
      <c r="CZ344" s="16">
        <v>0</v>
      </c>
      <c r="DA344" s="16">
        <v>0</v>
      </c>
      <c r="DB344" s="16">
        <f>DA344/AS344</f>
        <v>0</v>
      </c>
      <c r="DC344" s="16">
        <v>0</v>
      </c>
      <c r="DD344" s="16">
        <v>0</v>
      </c>
      <c r="DE344" s="16">
        <f>DD344/AS344</f>
        <v>0</v>
      </c>
      <c r="DF344" s="16" t="e">
        <f>VLOOKUP(K344,'[3]RNA Seq summary tables'!$V$3:$V$99,1,FALSE)</f>
        <v>#N/A</v>
      </c>
      <c r="DI344" s="16">
        <v>75</v>
      </c>
      <c r="DK344" s="16">
        <v>16</v>
      </c>
      <c r="DM344" s="16">
        <v>9</v>
      </c>
      <c r="DO344" s="16">
        <v>0</v>
      </c>
      <c r="DQ344" s="16">
        <v>0</v>
      </c>
      <c r="DR344" s="16">
        <f>SUM(DI344:DQ344)</f>
        <v>100</v>
      </c>
      <c r="JO344" s="18"/>
      <c r="JR344" s="27"/>
      <c r="JS344" s="27"/>
      <c r="JT344" s="27"/>
      <c r="JU344" s="27"/>
      <c r="JV344" s="27"/>
      <c r="JW344" s="27"/>
      <c r="JX344" s="27"/>
      <c r="JY344" s="27"/>
      <c r="JZ344" s="27"/>
      <c r="KA344" s="27"/>
      <c r="KB344" s="27"/>
    </row>
    <row r="345" spans="1:288" ht="16" x14ac:dyDescent="0.2">
      <c r="B345" s="16">
        <v>2017</v>
      </c>
      <c r="C345" s="20">
        <v>42937</v>
      </c>
      <c r="D345" s="20" t="str">
        <f>CONCATENATE(J345,"-",C345)</f>
        <v>1200-42937</v>
      </c>
      <c r="E345" s="37" t="str">
        <f>CONCATENATE(T345,"-",U345,"-",C345)</f>
        <v>BC2-G1-42937</v>
      </c>
      <c r="F345" s="20" t="s">
        <v>106</v>
      </c>
      <c r="G345" s="20" t="s">
        <v>107</v>
      </c>
      <c r="I345" s="16">
        <v>0</v>
      </c>
      <c r="J345" s="21">
        <v>1200</v>
      </c>
      <c r="K345" s="21">
        <v>1942</v>
      </c>
      <c r="L345" s="18">
        <v>0</v>
      </c>
      <c r="M345" s="21">
        <f>VLOOKUP($K345,'[4]blood tubes 2017'!$D$1:$L$647,8,FALSE)</f>
        <v>0</v>
      </c>
      <c r="N345" s="15">
        <v>0</v>
      </c>
      <c r="O345" s="15" t="s">
        <v>119</v>
      </c>
      <c r="P345" s="16" t="s">
        <v>119</v>
      </c>
      <c r="Q345" s="16">
        <v>0</v>
      </c>
      <c r="R345" s="16">
        <v>18</v>
      </c>
      <c r="T345" s="16" t="s">
        <v>154</v>
      </c>
      <c r="U345" s="16" t="s">
        <v>155</v>
      </c>
      <c r="V345" s="16" t="s">
        <v>114</v>
      </c>
      <c r="W345" s="16">
        <f>AI345/AG345</f>
        <v>0.83870967741935487</v>
      </c>
      <c r="X345" s="16" t="s">
        <v>115</v>
      </c>
      <c r="Y345" s="16" t="s">
        <v>110</v>
      </c>
      <c r="Z345" s="16">
        <v>3</v>
      </c>
      <c r="AE345" s="16" t="s">
        <v>116</v>
      </c>
      <c r="AF345" s="16" t="s">
        <v>116</v>
      </c>
      <c r="AG345" s="16">
        <f>AH345-AI345</f>
        <v>93</v>
      </c>
      <c r="AH345" s="16">
        <v>171</v>
      </c>
      <c r="AI345" s="16">
        <v>78</v>
      </c>
      <c r="AK345" s="16">
        <v>23</v>
      </c>
      <c r="AL345" s="16">
        <v>1</v>
      </c>
      <c r="AM345" s="16">
        <v>0</v>
      </c>
      <c r="AN345" s="16">
        <v>0</v>
      </c>
      <c r="AO345" s="16">
        <v>1</v>
      </c>
      <c r="AP345" s="16">
        <f>SUM(AL345:AN345)</f>
        <v>1</v>
      </c>
      <c r="AQ345" s="16">
        <v>1.7050000000000001</v>
      </c>
      <c r="AR345" s="16">
        <f>AP345-1.472</f>
        <v>-0.47199999999999998</v>
      </c>
      <c r="AS345" s="16">
        <f>AQ345-1.472</f>
        <v>0.2330000000000001</v>
      </c>
      <c r="AT345" s="16" t="str">
        <f>VLOOKUP(E345,[2]Current!$A$1:$W$435,7,FALSE)</f>
        <v>LV</v>
      </c>
      <c r="AU345" s="16" t="s">
        <v>1288</v>
      </c>
      <c r="AW345" s="128">
        <f>IF(AX345&gt;0,1,0)</f>
        <v>1</v>
      </c>
      <c r="AX345" s="128">
        <f>SUM(BA345,BM345,CU345)</f>
        <v>15</v>
      </c>
      <c r="AY345" s="128">
        <f>SUM(BB345,BN345,CV345)</f>
        <v>64.377682403433454</v>
      </c>
      <c r="AZ345" s="128">
        <f>IF(BA345&gt;0,1,0)</f>
        <v>0</v>
      </c>
      <c r="BA345" s="128">
        <f>SUM(BC345+BF345+BI345)</f>
        <v>0</v>
      </c>
      <c r="BB345" s="128">
        <f>SUM(BE345,BH345,BK345)</f>
        <v>0</v>
      </c>
      <c r="BC345" s="130">
        <f>IF(BD345&gt;0,1,0)</f>
        <v>0</v>
      </c>
      <c r="BD345" s="128">
        <f>VLOOKUP($E345,[2]Current!$A:$AC,26,FALSE)</f>
        <v>0</v>
      </c>
      <c r="BE345" s="128">
        <f>BD345/$AS345</f>
        <v>0</v>
      </c>
      <c r="BF345" s="130">
        <f>IF(BG345&gt;0,1,0)</f>
        <v>0</v>
      </c>
      <c r="BG345" s="175">
        <f>VLOOKUP($E345,[2]Current!$A:$AC,27,FALSE)</f>
        <v>0</v>
      </c>
      <c r="BH345" s="128">
        <f>BG345/$AS345</f>
        <v>0</v>
      </c>
      <c r="BI345" s="130">
        <f>IF(BJ345&gt;0,1,0)</f>
        <v>0</v>
      </c>
      <c r="BJ345" s="128">
        <f>VLOOKUP($E345,[2]Current!$A:$AC,28,FALSE)</f>
        <v>0</v>
      </c>
      <c r="BK345" s="128">
        <f>BJ345/$AS345</f>
        <v>0</v>
      </c>
      <c r="BL345" s="128">
        <f>IF(BM345&gt;0,1,0)</f>
        <v>1</v>
      </c>
      <c r="BM345" s="128">
        <f>SUM(BR345,BU345,BX345,CA345,CD345)</f>
        <v>1</v>
      </c>
      <c r="BN345" s="131">
        <f>SUM(BT345,BW345,BZ345,CC345,CF345)</f>
        <v>4.2918454935622297</v>
      </c>
      <c r="BO345" s="128">
        <f>IF(BP345&gt;0,1,0)</f>
        <v>1</v>
      </c>
      <c r="BP345" s="128">
        <f>BM345+CJ345</f>
        <v>1</v>
      </c>
      <c r="BQ345" s="128">
        <f>BN345+CL345</f>
        <v>4.2918454935622297</v>
      </c>
      <c r="BR345" s="130">
        <f>IF(BS345&gt;0,1,0)</f>
        <v>0</v>
      </c>
      <c r="BS345" s="128">
        <f>VLOOKUP($E345,[2]Current!$A:$AC,12,FALSE)</f>
        <v>0</v>
      </c>
      <c r="BT345" s="175">
        <f>BS345/$AS345</f>
        <v>0</v>
      </c>
      <c r="BU345" s="130">
        <f>IF(BV345&gt;0,1,0)</f>
        <v>0</v>
      </c>
      <c r="BV345" s="128">
        <f>VLOOKUP($E345,[2]Current!$A:$AC,13,FALSE)</f>
        <v>0</v>
      </c>
      <c r="BW345" s="128">
        <f>BV345/$AS345</f>
        <v>0</v>
      </c>
      <c r="BX345" s="130">
        <f>IF(BY345&gt;0,1,0)</f>
        <v>0</v>
      </c>
      <c r="BY345" s="128">
        <f>VLOOKUP($E345,[2]Current!$A:$AC,14,FALSE)</f>
        <v>0</v>
      </c>
      <c r="BZ345" s="128">
        <f>BY345/$AS345</f>
        <v>0</v>
      </c>
      <c r="CA345" s="130">
        <f>IF(CB345&gt;0,1,0)</f>
        <v>1</v>
      </c>
      <c r="CB345" s="128">
        <f>VLOOKUP($E345,[2]Current!$A:$AC,15,FALSE)</f>
        <v>1</v>
      </c>
      <c r="CC345" s="128">
        <f>CB345/$AS345</f>
        <v>4.2918454935622297</v>
      </c>
      <c r="CD345" s="176">
        <f>IF(CE345&gt;0,1,0)</f>
        <v>0</v>
      </c>
      <c r="CE345" s="128">
        <f>VLOOKUP($E345,[2]Current!$A:$AC,16,FALSE)</f>
        <v>0</v>
      </c>
      <c r="CF345" s="128">
        <f>CE345/$AS345</f>
        <v>0</v>
      </c>
      <c r="CG345" s="18"/>
      <c r="CH345" s="18"/>
      <c r="CI345" s="18"/>
      <c r="CJ345" s="130">
        <f>IF(CK345&gt;0,1,0)</f>
        <v>0</v>
      </c>
      <c r="CK345" s="128">
        <f>VLOOKUP($E345,[2]Current!$A:$AC,18,FALSE)</f>
        <v>0</v>
      </c>
      <c r="CL345" s="128">
        <f>CK345/$AS345</f>
        <v>0</v>
      </c>
      <c r="CS345" s="130">
        <f>IF(CU345&gt;0,1,0)</f>
        <v>1</v>
      </c>
      <c r="CU345" s="128">
        <f>VLOOKUP($E345,[2]Current!$A:$AC,17,FALSE)</f>
        <v>14</v>
      </c>
      <c r="CV345" s="128">
        <f>CU345/$AS345</f>
        <v>60.085836909871219</v>
      </c>
      <c r="CW345" s="18"/>
      <c r="CX345" s="18"/>
      <c r="CY345" s="18"/>
      <c r="DF345" s="16" t="e">
        <f>VLOOKUP(K345,'[3]RNA Seq summary tables'!$V$3:$V$99,1,FALSE)</f>
        <v>#N/A</v>
      </c>
    </row>
    <row r="346" spans="1:288" x14ac:dyDescent="0.2">
      <c r="B346" s="16">
        <v>2017</v>
      </c>
      <c r="C346" s="66">
        <v>42919</v>
      </c>
      <c r="D346" s="66" t="str">
        <f>CONCATENATE(J346,"-",C346)</f>
        <v>1202-42919</v>
      </c>
      <c r="E346" s="20" t="str">
        <f>CONCATENATE(T346,"-",U346,"-",C346)</f>
        <v>BC1-A7-42919</v>
      </c>
      <c r="F346" s="20" t="s">
        <v>106</v>
      </c>
      <c r="G346" s="20" t="s">
        <v>107</v>
      </c>
      <c r="I346" s="16">
        <v>0</v>
      </c>
      <c r="J346" s="21">
        <v>1202</v>
      </c>
      <c r="K346" s="21">
        <v>1815</v>
      </c>
      <c r="L346" s="18">
        <v>0</v>
      </c>
      <c r="M346" s="21">
        <f>VLOOKUP($K346,'[4]blood tubes 2017'!$D$1:$L$647,8,FALSE)</f>
        <v>0</v>
      </c>
      <c r="N346" s="15">
        <v>0</v>
      </c>
      <c r="O346" s="15" t="s">
        <v>119</v>
      </c>
      <c r="P346" s="16" t="s">
        <v>119</v>
      </c>
      <c r="Q346" s="16">
        <v>0</v>
      </c>
      <c r="R346" s="16" t="s">
        <v>111</v>
      </c>
      <c r="S346" s="16">
        <v>1</v>
      </c>
      <c r="T346" s="16" t="s">
        <v>159</v>
      </c>
      <c r="U346" s="16" t="s">
        <v>120</v>
      </c>
      <c r="V346" s="16" t="s">
        <v>142</v>
      </c>
      <c r="W346" s="16">
        <f>AI346/AG346</f>
        <v>1.072289156626506</v>
      </c>
      <c r="X346" s="16" t="s">
        <v>115</v>
      </c>
      <c r="Y346" s="16" t="s">
        <v>110</v>
      </c>
      <c r="Z346" s="16">
        <v>3</v>
      </c>
      <c r="AE346" s="16" t="s">
        <v>123</v>
      </c>
      <c r="AF346" s="16" t="s">
        <v>123</v>
      </c>
      <c r="AG346" s="16">
        <f>AH346-AI346</f>
        <v>83</v>
      </c>
      <c r="AH346" s="16">
        <v>172</v>
      </c>
      <c r="AI346" s="16">
        <v>89</v>
      </c>
      <c r="AK346" s="16">
        <v>16.5</v>
      </c>
      <c r="AL346" s="16">
        <v>1</v>
      </c>
      <c r="AM346" s="16">
        <v>0</v>
      </c>
      <c r="AN346" s="16">
        <v>0</v>
      </c>
      <c r="AO346" s="16">
        <v>1</v>
      </c>
      <c r="AP346" s="16">
        <f>SUM(AL346:AN346)</f>
        <v>1</v>
      </c>
      <c r="AQ346" s="16">
        <v>1.792</v>
      </c>
      <c r="AR346" s="16">
        <f>AP346-1.472</f>
        <v>-0.47199999999999998</v>
      </c>
      <c r="AS346" s="16">
        <f>AQ346-1.472</f>
        <v>0.32000000000000006</v>
      </c>
      <c r="AT346" s="18" t="s">
        <v>119</v>
      </c>
      <c r="AU346" s="18"/>
      <c r="AV346" s="18"/>
      <c r="AW346" s="18">
        <f>IF(AX346&gt;0,1,0)</f>
        <v>1</v>
      </c>
      <c r="AX346" s="18">
        <f>SUM(BA346,BM346,CT346)</f>
        <v>2</v>
      </c>
      <c r="AY346" s="18">
        <f>SUM(BB346,BN346,CV346)</f>
        <v>359.37499999999994</v>
      </c>
      <c r="AZ346" s="18">
        <f>IF(BA346&gt;0,1,0)</f>
        <v>1</v>
      </c>
      <c r="BA346" s="18">
        <f>SUM(BC346,BF346,BI346)</f>
        <v>2</v>
      </c>
      <c r="BB346" s="18">
        <f>SUM(BE346,BH346,BK346)</f>
        <v>359.37499999999994</v>
      </c>
      <c r="BC346" s="18">
        <f>IF(BD346&gt;0,1,0)</f>
        <v>1</v>
      </c>
      <c r="BD346" s="18">
        <v>4</v>
      </c>
      <c r="BE346" s="16">
        <f>BD346/AS346</f>
        <v>12.499999999999998</v>
      </c>
      <c r="BF346" s="16">
        <f>IF(BG346&gt;0,1,0)</f>
        <v>1</v>
      </c>
      <c r="BG346" s="23">
        <v>111</v>
      </c>
      <c r="BH346" s="16">
        <f>BG346/AS346</f>
        <v>346.87499999999994</v>
      </c>
      <c r="BI346" s="16">
        <f>IF(BJ346&gt;0,1,0)</f>
        <v>0</v>
      </c>
      <c r="BJ346" s="16">
        <v>0</v>
      </c>
      <c r="BK346" s="16">
        <f>BJ346/AS346</f>
        <v>0</v>
      </c>
      <c r="BL346" s="16">
        <f>IF(BM346&gt;0,1,0)</f>
        <v>0</v>
      </c>
      <c r="BM346" s="16">
        <f>SUM(BR346,BU346,BX346,CA346,CD346,CG346,CJ346,CM346,CP346)</f>
        <v>0</v>
      </c>
      <c r="BN346" s="16">
        <f>SUM(BW346,BZ346,CC346,CF346,CI346,CL346,CO346,CR346,BT346)</f>
        <v>0</v>
      </c>
      <c r="BO346" s="16">
        <f>IF(BP346&gt;0,1,0)</f>
        <v>0</v>
      </c>
      <c r="BP346" s="16">
        <f>SUM(BU346,BX346,CA346,CD346,BR346)</f>
        <v>0</v>
      </c>
      <c r="BQ346" s="16">
        <f>SUM(BZ346,CC346,CF346,BT346,BW346)</f>
        <v>0</v>
      </c>
      <c r="BR346" s="16">
        <f>IF(BS346&gt;0,1,0)</f>
        <v>0</v>
      </c>
      <c r="BS346" s="16">
        <v>0</v>
      </c>
      <c r="BT346" s="23">
        <f>BS346/AS346</f>
        <v>0</v>
      </c>
      <c r="BU346" s="16">
        <f>IF(BV346&gt;0,1,0)</f>
        <v>0</v>
      </c>
      <c r="BV346" s="16">
        <v>0</v>
      </c>
      <c r="BW346" s="16">
        <f>BV346/AS346</f>
        <v>0</v>
      </c>
      <c r="BX346" s="16">
        <f>IF(BY346&gt;0,1,0)</f>
        <v>0</v>
      </c>
      <c r="BY346" s="16">
        <v>0</v>
      </c>
      <c r="BZ346" s="16">
        <f>BY346/AS346</f>
        <v>0</v>
      </c>
      <c r="CA346" s="16">
        <f>IF(CB346&gt;0,1,0)</f>
        <v>0</v>
      </c>
      <c r="CB346" s="16">
        <v>0</v>
      </c>
      <c r="CC346" s="16">
        <f>CB346/AS346</f>
        <v>0</v>
      </c>
      <c r="CD346" s="23">
        <f>IF(CE346&gt;0,1,0)</f>
        <v>0</v>
      </c>
      <c r="CE346" s="16">
        <v>0</v>
      </c>
      <c r="CF346" s="16">
        <f>CE346/AS346</f>
        <v>0</v>
      </c>
      <c r="CG346" s="16">
        <f>IF(CH346&gt;0,1,0)</f>
        <v>0</v>
      </c>
      <c r="CH346" s="16">
        <v>0</v>
      </c>
      <c r="CI346" s="16">
        <f>CH346/AS346</f>
        <v>0</v>
      </c>
      <c r="CJ346" s="18">
        <v>0</v>
      </c>
      <c r="CK346" s="18">
        <v>0</v>
      </c>
      <c r="CL346" s="18">
        <v>0</v>
      </c>
      <c r="CS346" s="16">
        <f>IF(CT346&gt;0,1,0)</f>
        <v>0</v>
      </c>
      <c r="CT346" s="16">
        <f>SUM(CW346+CZ346,DC346)</f>
        <v>0</v>
      </c>
      <c r="CV346" s="16">
        <f>SUM(CY346,DB346,DE346)</f>
        <v>0</v>
      </c>
      <c r="CW346" s="16">
        <f>IF(CX346&gt;0,1,0)</f>
        <v>0</v>
      </c>
      <c r="CX346" s="16">
        <v>0</v>
      </c>
      <c r="CY346" s="16">
        <f>CX346/AS346</f>
        <v>0</v>
      </c>
      <c r="CZ346" s="16">
        <f>IF(DA346&gt;0,1,0)</f>
        <v>0</v>
      </c>
      <c r="DA346" s="16">
        <v>0</v>
      </c>
      <c r="DB346" s="16">
        <f>DA346/AS346</f>
        <v>0</v>
      </c>
      <c r="DC346" s="16">
        <v>0</v>
      </c>
      <c r="DD346" s="16">
        <v>0</v>
      </c>
      <c r="DE346" s="16">
        <f>DD346/AS346</f>
        <v>0</v>
      </c>
      <c r="DF346" s="16" t="e">
        <f>VLOOKUP(K346,'[3]RNA Seq summary tables'!$V$3:$V$99,1,FALSE)</f>
        <v>#N/A</v>
      </c>
      <c r="DI346" s="16">
        <v>35</v>
      </c>
      <c r="DK346" s="16">
        <v>61</v>
      </c>
      <c r="DM346" s="16">
        <v>4</v>
      </c>
      <c r="DO346" s="16">
        <v>0</v>
      </c>
      <c r="DQ346" s="16">
        <v>0</v>
      </c>
      <c r="DR346" s="16">
        <f>SUM(DI346:DQ346)</f>
        <v>100</v>
      </c>
      <c r="JO346" s="30"/>
      <c r="JR346" s="27"/>
      <c r="JS346" s="27"/>
      <c r="JT346" s="27"/>
      <c r="JU346" s="27"/>
      <c r="JV346" s="27"/>
      <c r="JW346" s="27"/>
      <c r="JX346" s="27"/>
      <c r="JY346" s="27"/>
      <c r="JZ346" s="27"/>
      <c r="KA346" s="27"/>
      <c r="KB346" s="27"/>
    </row>
    <row r="347" spans="1:288" ht="16" x14ac:dyDescent="0.2">
      <c r="B347" s="16">
        <v>2018</v>
      </c>
      <c r="C347" s="124">
        <v>43275</v>
      </c>
      <c r="D347" t="s">
        <v>855</v>
      </c>
      <c r="E347" s="37" t="str">
        <f>CONCATENATE(T347,"-",U347,"-",C347)</f>
        <v>BC1-C6-43275</v>
      </c>
      <c r="F347" s="16" t="s">
        <v>227</v>
      </c>
      <c r="G347" s="126" t="s">
        <v>107</v>
      </c>
      <c r="H347" s="126"/>
      <c r="J347" s="126">
        <v>1202</v>
      </c>
      <c r="K347" s="126">
        <v>2490</v>
      </c>
      <c r="O347" s="126" t="s">
        <v>119</v>
      </c>
      <c r="P347" s="16" t="s">
        <v>119</v>
      </c>
      <c r="Q347" s="16">
        <v>0</v>
      </c>
      <c r="R347" s="16">
        <f>C347-C346</f>
        <v>356</v>
      </c>
      <c r="S347" s="16">
        <v>1</v>
      </c>
      <c r="T347" s="126" t="s">
        <v>159</v>
      </c>
      <c r="U347" s="126" t="s">
        <v>213</v>
      </c>
      <c r="V347" s="133" t="s">
        <v>142</v>
      </c>
      <c r="X347" s="126" t="s">
        <v>115</v>
      </c>
      <c r="Y347" s="126" t="s">
        <v>110</v>
      </c>
      <c r="Z347" s="126">
        <v>3</v>
      </c>
      <c r="AA347" s="126"/>
      <c r="AB347" s="126"/>
      <c r="AC347" s="126"/>
      <c r="AD347" s="126"/>
      <c r="AE347" s="126" t="s">
        <v>116</v>
      </c>
      <c r="AG347" s="16">
        <f>AH347-AI347</f>
        <v>86</v>
      </c>
      <c r="AH347" s="126">
        <v>176</v>
      </c>
      <c r="AI347" s="126">
        <v>90</v>
      </c>
      <c r="AK347" s="126">
        <v>18</v>
      </c>
      <c r="AL347" s="126">
        <v>1</v>
      </c>
      <c r="AM347" s="126">
        <v>0</v>
      </c>
      <c r="AN347" s="126">
        <v>0</v>
      </c>
      <c r="AO347" s="16">
        <f>IF(SUM(AL347:AN347)&gt;0,1,0)</f>
        <v>1</v>
      </c>
      <c r="AP347" s="18">
        <f>SUM(AL347:AN347)</f>
        <v>1</v>
      </c>
      <c r="AR347" s="16">
        <v>0.2330000000000001</v>
      </c>
      <c r="AS347" s="16">
        <f>VLOOKUP(E347,'[1]Feces weights'!$D$1:$H$459,5,FALSE)</f>
        <v>0.2330000000000001</v>
      </c>
      <c r="AT347" s="16" t="str">
        <f>VLOOKUP(E347,[2]Current!$A$1:$W$435,7,FALSE)</f>
        <v>TE</v>
      </c>
      <c r="AU347" s="16" t="s">
        <v>1288</v>
      </c>
      <c r="AV347" s="23">
        <v>1</v>
      </c>
      <c r="AW347" s="128">
        <f>IF(AX347&gt;0,1,0)</f>
        <v>0</v>
      </c>
      <c r="AX347" s="128">
        <f>SUM(BA347,BM347,CU347)</f>
        <v>0</v>
      </c>
      <c r="AY347" s="128">
        <f>SUM(BB347,BN347,CV347)</f>
        <v>0</v>
      </c>
      <c r="AZ347" s="128">
        <f>IF(BA347&gt;0,1,0)</f>
        <v>0</v>
      </c>
      <c r="BA347" s="128">
        <f>SUM(BC347+BF347+BI347)</f>
        <v>0</v>
      </c>
      <c r="BB347" s="128">
        <f>SUM(BE347,BH347,BK347)</f>
        <v>0</v>
      </c>
      <c r="BC347" s="130">
        <f>IF(BD347&gt;0,1,0)</f>
        <v>0</v>
      </c>
      <c r="BD347" s="128">
        <f>VLOOKUP($E347,[2]Current!$A:$AC,26,FALSE)</f>
        <v>0</v>
      </c>
      <c r="BE347" s="128">
        <f>BD347/$AS347</f>
        <v>0</v>
      </c>
      <c r="BF347" s="130">
        <f>IF(BG347&gt;0,1,0)</f>
        <v>0</v>
      </c>
      <c r="BG347" s="175">
        <f>VLOOKUP($E347,[2]Current!$A:$AC,27,FALSE)</f>
        <v>0</v>
      </c>
      <c r="BH347" s="128">
        <f>BG347/$AS347</f>
        <v>0</v>
      </c>
      <c r="BI347" s="130">
        <f>IF(BJ347&gt;0,1,0)</f>
        <v>0</v>
      </c>
      <c r="BJ347" s="128">
        <f>VLOOKUP($E347,[2]Current!$A:$AC,28,FALSE)</f>
        <v>0</v>
      </c>
      <c r="BK347" s="128">
        <f>BJ347/$AS347</f>
        <v>0</v>
      </c>
      <c r="BL347" s="128">
        <f>IF(BM347&gt;0,1,0)</f>
        <v>0</v>
      </c>
      <c r="BM347" s="128">
        <f>SUM(BR347,BU347,BX347,CA347,CD347)</f>
        <v>0</v>
      </c>
      <c r="BN347" s="131">
        <f>SUM(BT347,BW347,BZ347,CC347,CF347)</f>
        <v>0</v>
      </c>
      <c r="BO347" s="128">
        <f>IF(BP347&gt;0,1,0)</f>
        <v>0</v>
      </c>
      <c r="BP347" s="128">
        <f>BM347+CJ347</f>
        <v>0</v>
      </c>
      <c r="BQ347" s="128">
        <f>BN347+CL347</f>
        <v>0</v>
      </c>
      <c r="BR347" s="130">
        <f>IF(BS347&gt;0,1,0)</f>
        <v>0</v>
      </c>
      <c r="BS347" s="128">
        <f>VLOOKUP($E347,[2]Current!$A:$AC,12,FALSE)</f>
        <v>0</v>
      </c>
      <c r="BT347" s="175">
        <f>BS347/$AS347</f>
        <v>0</v>
      </c>
      <c r="BU347" s="130">
        <f>IF(BV347&gt;0,1,0)</f>
        <v>0</v>
      </c>
      <c r="BV347" s="128">
        <f>VLOOKUP($E347,[2]Current!$A:$AC,13,FALSE)</f>
        <v>0</v>
      </c>
      <c r="BW347" s="128">
        <f>BV347/$AS347</f>
        <v>0</v>
      </c>
      <c r="BX347" s="130">
        <f>IF(BY347&gt;0,1,0)</f>
        <v>0</v>
      </c>
      <c r="BY347" s="128">
        <f>VLOOKUP($E347,[2]Current!$A:$AC,14,FALSE)</f>
        <v>0</v>
      </c>
      <c r="BZ347" s="128">
        <f>BY347/$AS347</f>
        <v>0</v>
      </c>
      <c r="CA347" s="130">
        <f>IF(CB347&gt;0,1,0)</f>
        <v>0</v>
      </c>
      <c r="CB347" s="128">
        <f>VLOOKUP($E347,[2]Current!$A:$AC,15,FALSE)</f>
        <v>0</v>
      </c>
      <c r="CC347" s="128">
        <f>CB347/$AS347</f>
        <v>0</v>
      </c>
      <c r="CD347" s="176">
        <f>IF(CE347&gt;0,1,0)</f>
        <v>0</v>
      </c>
      <c r="CE347" s="128">
        <f>VLOOKUP($E347,[2]Current!$A:$AC,16,FALSE)</f>
        <v>0</v>
      </c>
      <c r="CF347" s="128">
        <f>CE347/$AS347</f>
        <v>0</v>
      </c>
      <c r="CG347" s="18"/>
      <c r="CH347" s="18"/>
      <c r="CI347" s="18"/>
      <c r="CJ347" s="130">
        <f>IF(CK347&gt;0,1,0)</f>
        <v>0</v>
      </c>
      <c r="CK347" s="128">
        <f>VLOOKUP($E347,[2]Current!$A:$AC,18,FALSE)</f>
        <v>0</v>
      </c>
      <c r="CL347" s="128">
        <f>CK347/$AS347</f>
        <v>0</v>
      </c>
      <c r="CS347" s="130">
        <f>IF(CU347&gt;0,1,0)</f>
        <v>0</v>
      </c>
      <c r="CU347" s="128">
        <f>VLOOKUP($E347,[2]Current!$A:$AC,17,FALSE)</f>
        <v>0</v>
      </c>
      <c r="CV347" s="128">
        <f>CU347/$AS347</f>
        <v>0</v>
      </c>
      <c r="CW347" s="18"/>
      <c r="CX347" s="18"/>
      <c r="CY347" s="18"/>
      <c r="DF347" s="16" t="e">
        <f>VLOOKUP(K347,'[3]RNA Seq summary tables'!$V$3:$V$99,1,FALSE)</f>
        <v>#N/A</v>
      </c>
      <c r="DG347" s="126" t="s">
        <v>116</v>
      </c>
    </row>
    <row r="348" spans="1:288" ht="16" x14ac:dyDescent="0.2">
      <c r="B348" s="16">
        <v>2018</v>
      </c>
      <c r="C348" s="124">
        <v>43292</v>
      </c>
      <c r="D348" t="s">
        <v>938</v>
      </c>
      <c r="E348" s="37" t="str">
        <f>CONCATENATE(T348,"-",U348,"-",C348)</f>
        <v>BC1-A7-43292</v>
      </c>
      <c r="F348" s="16" t="s">
        <v>227</v>
      </c>
      <c r="G348" s="126" t="s">
        <v>107</v>
      </c>
      <c r="H348" s="126"/>
      <c r="J348" s="126">
        <v>1202</v>
      </c>
      <c r="K348" s="126">
        <v>2574</v>
      </c>
      <c r="O348" s="126" t="s">
        <v>119</v>
      </c>
      <c r="P348" s="16" t="s">
        <v>119</v>
      </c>
      <c r="Q348" s="16">
        <v>0</v>
      </c>
      <c r="R348" s="16">
        <f>C348-C347</f>
        <v>17</v>
      </c>
      <c r="S348" s="16">
        <v>1</v>
      </c>
      <c r="T348" s="126" t="s">
        <v>159</v>
      </c>
      <c r="U348" s="126" t="s">
        <v>120</v>
      </c>
      <c r="V348" s="133" t="s">
        <v>142</v>
      </c>
      <c r="X348" s="126" t="s">
        <v>115</v>
      </c>
      <c r="Y348" s="126" t="s">
        <v>110</v>
      </c>
      <c r="Z348" s="126">
        <v>3</v>
      </c>
      <c r="AA348" s="126"/>
      <c r="AB348" s="126"/>
      <c r="AC348" s="126"/>
      <c r="AD348" s="126"/>
      <c r="AE348" s="126" t="s">
        <v>116</v>
      </c>
      <c r="AG348" s="16">
        <f>AH348-AI348</f>
        <v>86</v>
      </c>
      <c r="AH348" s="126">
        <v>179</v>
      </c>
      <c r="AI348" s="126">
        <v>93</v>
      </c>
      <c r="AK348" s="126">
        <v>18</v>
      </c>
      <c r="AL348" s="126">
        <v>0</v>
      </c>
      <c r="AM348" s="126">
        <v>0</v>
      </c>
      <c r="AN348" s="126">
        <v>0</v>
      </c>
      <c r="AO348" s="16">
        <f>IF(SUM(AL348:AN348)&gt;0,1,0)</f>
        <v>0</v>
      </c>
      <c r="AP348" s="18">
        <f>SUM(AL348:AN348)</f>
        <v>0</v>
      </c>
      <c r="AQ348" s="16" t="s">
        <v>1278</v>
      </c>
      <c r="AT348" s="16" t="str">
        <f>VLOOKUP(E348,[2]Current!$A$1:$W$435,7,FALSE)</f>
        <v>TE</v>
      </c>
      <c r="AU348" s="16" t="s">
        <v>1288</v>
      </c>
      <c r="AV348" s="23">
        <v>1</v>
      </c>
      <c r="AW348" s="128">
        <f>IF(AX348&gt;0,1,0)</f>
        <v>0</v>
      </c>
      <c r="AX348" s="128">
        <f>SUM(BA348,BM348,CU348)</f>
        <v>0</v>
      </c>
      <c r="AY348" s="128"/>
      <c r="AZ348" s="128">
        <f>IF(BA348&gt;0,1,0)</f>
        <v>0</v>
      </c>
      <c r="BA348" s="128">
        <f>SUM(BC348+BF348+BI348)</f>
        <v>0</v>
      </c>
      <c r="BB348" s="128"/>
      <c r="BC348" s="130">
        <f>IF(BD348&gt;0,1,0)</f>
        <v>0</v>
      </c>
      <c r="BD348" s="128">
        <f>VLOOKUP($E348,[2]Current!$A:$AC,26,FALSE)</f>
        <v>0</v>
      </c>
      <c r="BE348" s="128"/>
      <c r="BF348" s="130">
        <f>IF(BG348&gt;0,1,0)</f>
        <v>0</v>
      </c>
      <c r="BG348" s="175">
        <f>VLOOKUP($E348,[2]Current!$A:$AC,27,FALSE)</f>
        <v>0</v>
      </c>
      <c r="BH348" s="128"/>
      <c r="BI348" s="130">
        <f>IF(BJ348&gt;0,1,0)</f>
        <v>0</v>
      </c>
      <c r="BJ348" s="128">
        <f>VLOOKUP($E348,[2]Current!$A:$AC,28,FALSE)</f>
        <v>0</v>
      </c>
      <c r="BK348" s="128"/>
      <c r="BL348" s="128">
        <f>IF(BM348&gt;0,1,0)</f>
        <v>0</v>
      </c>
      <c r="BM348" s="128">
        <f>SUM(BR348,BU348,BX348,CA348,CD348)</f>
        <v>0</v>
      </c>
      <c r="BN348" s="131"/>
      <c r="BO348" s="128">
        <f>IF(BP348&gt;0,1,0)</f>
        <v>0</v>
      </c>
      <c r="BP348" s="128">
        <f>BM348+CJ348</f>
        <v>0</v>
      </c>
      <c r="BQ348" s="128"/>
      <c r="BR348" s="130">
        <f>IF(BS348&gt;0,1,0)</f>
        <v>0</v>
      </c>
      <c r="BS348" s="128">
        <f>VLOOKUP($E348,[2]Current!$A:$AC,12,FALSE)</f>
        <v>0</v>
      </c>
      <c r="BT348" s="175"/>
      <c r="BU348" s="130">
        <f>IF(BV348&gt;0,1,0)</f>
        <v>0</v>
      </c>
      <c r="BV348" s="128">
        <f>VLOOKUP($E348,[2]Current!$A:$AC,13,FALSE)</f>
        <v>0</v>
      </c>
      <c r="BW348" s="128"/>
      <c r="BX348" s="130">
        <f>IF(BY348&gt;0,1,0)</f>
        <v>0</v>
      </c>
      <c r="BY348" s="128">
        <f>VLOOKUP($E348,[2]Current!$A:$AC,14,FALSE)</f>
        <v>0</v>
      </c>
      <c r="BZ348" s="128"/>
      <c r="CA348" s="130">
        <f>IF(CB348&gt;0,1,0)</f>
        <v>0</v>
      </c>
      <c r="CB348" s="128">
        <f>VLOOKUP($E348,[2]Current!$A:$AC,15,FALSE)</f>
        <v>0</v>
      </c>
      <c r="CC348" s="128"/>
      <c r="CD348" s="176">
        <f>IF(CE348&gt;0,1,0)</f>
        <v>0</v>
      </c>
      <c r="CE348" s="128">
        <f>VLOOKUP($E348,[2]Current!$A:$AC,16,FALSE)</f>
        <v>0</v>
      </c>
      <c r="CF348" s="128"/>
      <c r="CG348" s="18"/>
      <c r="CH348" s="18"/>
      <c r="CI348" s="18"/>
      <c r="CJ348" s="130">
        <f>IF(CK348&gt;0,1,0)</f>
        <v>0</v>
      </c>
      <c r="CK348" s="128">
        <f>VLOOKUP($E348,[2]Current!$A:$AC,18,FALSE)</f>
        <v>0</v>
      </c>
      <c r="CL348" s="128"/>
      <c r="CS348" s="130">
        <f>IF(CU348&gt;0,1,0)</f>
        <v>0</v>
      </c>
      <c r="CU348" s="128">
        <f>VLOOKUP($E348,[2]Current!$A:$AC,17,FALSE)</f>
        <v>0</v>
      </c>
      <c r="CV348" s="128"/>
      <c r="CW348" s="18"/>
      <c r="CX348" s="18"/>
      <c r="CY348" s="18"/>
      <c r="DF348" s="16" t="e">
        <f>VLOOKUP(K348,'[3]RNA Seq summary tables'!$V$3:$V$99,1,FALSE)</f>
        <v>#N/A</v>
      </c>
      <c r="DG348" s="126" t="s">
        <v>116</v>
      </c>
    </row>
    <row r="349" spans="1:288" s="18" customFormat="1" ht="16" x14ac:dyDescent="0.2">
      <c r="B349" s="16">
        <v>2018</v>
      </c>
      <c r="C349" s="124">
        <v>43303</v>
      </c>
      <c r="D349" t="s">
        <v>1041</v>
      </c>
      <c r="E349" s="142" t="str">
        <f>CONCATENATE(T349,"-",U349,"-",C349)</f>
        <v>BC1-B7-43303</v>
      </c>
      <c r="F349" s="16" t="s">
        <v>227</v>
      </c>
      <c r="G349" s="126" t="s">
        <v>107</v>
      </c>
      <c r="H349" s="126" t="s">
        <v>1086</v>
      </c>
      <c r="I349" s="16"/>
      <c r="J349" s="126">
        <v>1202</v>
      </c>
      <c r="K349" s="126">
        <v>2672</v>
      </c>
      <c r="L349" s="16"/>
      <c r="M349" s="21"/>
      <c r="N349" s="21"/>
      <c r="O349" s="126" t="s">
        <v>119</v>
      </c>
      <c r="P349" s="16" t="s">
        <v>119</v>
      </c>
      <c r="Q349" s="16">
        <v>0</v>
      </c>
      <c r="R349" s="16">
        <f>C349-C348</f>
        <v>11</v>
      </c>
      <c r="S349" s="16">
        <v>1</v>
      </c>
      <c r="T349" s="126" t="s">
        <v>159</v>
      </c>
      <c r="U349" s="126" t="s">
        <v>168</v>
      </c>
      <c r="V349" s="126" t="s">
        <v>142</v>
      </c>
      <c r="W349" s="16"/>
      <c r="X349" s="126" t="s">
        <v>115</v>
      </c>
      <c r="Y349" s="126" t="s">
        <v>110</v>
      </c>
      <c r="Z349" s="126">
        <v>3</v>
      </c>
      <c r="AA349" s="126"/>
      <c r="AB349" s="126"/>
      <c r="AC349" s="126"/>
      <c r="AD349" s="126" t="s">
        <v>116</v>
      </c>
      <c r="AE349" s="126" t="s">
        <v>116</v>
      </c>
      <c r="AF349" s="16"/>
      <c r="AG349" s="40">
        <f>AH349-AI349</f>
        <v>79</v>
      </c>
      <c r="AH349" s="126">
        <v>169</v>
      </c>
      <c r="AI349" s="126">
        <v>90</v>
      </c>
      <c r="AJ349" s="16"/>
      <c r="AK349" s="126">
        <v>14</v>
      </c>
      <c r="AL349" s="126">
        <v>0</v>
      </c>
      <c r="AM349" s="126">
        <v>0</v>
      </c>
      <c r="AN349" s="126">
        <v>0</v>
      </c>
      <c r="AO349" s="16">
        <f>IF(SUM(AL349:AN349)&gt;0,1,0)</f>
        <v>0</v>
      </c>
      <c r="AP349" s="18">
        <f>SUM(AL349:AN349)</f>
        <v>0</v>
      </c>
      <c r="AQ349" s="16"/>
      <c r="AR349" s="16">
        <v>0.81699999999999995</v>
      </c>
      <c r="AS349" s="16">
        <f>VLOOKUP(E349,'[1]Feces weights'!$D$1:$H$459,5,FALSE)</f>
        <v>0.81699999999999995</v>
      </c>
      <c r="AT349" s="16" t="e">
        <f>VLOOKUP(E349,[2]Current!$A$1:$W$435,7,FALSE)</f>
        <v>#N/A</v>
      </c>
      <c r="AU349" s="16">
        <v>0</v>
      </c>
      <c r="AV349" s="16"/>
      <c r="AW349" s="16"/>
      <c r="AX349" s="16"/>
      <c r="AY349" s="16"/>
      <c r="AZ349" s="16"/>
      <c r="BA349" s="16"/>
      <c r="BB349" s="16"/>
      <c r="BC349" s="16"/>
      <c r="BD349" s="16"/>
      <c r="BE349" s="16"/>
      <c r="BF349" s="16"/>
      <c r="BG349" s="23"/>
      <c r="BH349" s="16"/>
      <c r="BI349" s="16"/>
      <c r="BJ349" s="16"/>
      <c r="BK349" s="16"/>
      <c r="BL349" s="16"/>
      <c r="BM349" s="16"/>
      <c r="BN349" s="126"/>
      <c r="BO349" s="16"/>
      <c r="BP349" s="16"/>
      <c r="BQ349" s="16"/>
      <c r="BR349" s="16"/>
      <c r="BS349" s="16"/>
      <c r="BT349" s="25"/>
      <c r="BW349" s="25"/>
      <c r="BZ349" s="25"/>
      <c r="CC349" s="25"/>
      <c r="CD349" s="25"/>
      <c r="CF349" s="25"/>
      <c r="CL349" s="25"/>
      <c r="CM349" s="16"/>
      <c r="CN349" s="16"/>
      <c r="CO349" s="16"/>
      <c r="CP349" s="16"/>
      <c r="CQ349" s="16"/>
      <c r="CR349" s="16"/>
      <c r="CS349" s="16"/>
      <c r="CT349" s="16"/>
      <c r="CU349" s="16"/>
      <c r="CV349" s="16"/>
      <c r="CW349" s="16"/>
      <c r="CX349" s="16"/>
      <c r="CY349" s="16"/>
      <c r="CZ349" s="16"/>
      <c r="DA349" s="16"/>
      <c r="DB349" s="16"/>
      <c r="DC349" s="16"/>
      <c r="DD349" s="16"/>
      <c r="DE349" s="16"/>
      <c r="DF349" s="16" t="e">
        <f>VLOOKUP(K349,'[3]RNA Seq summary tables'!$V$3:$V$99,1,FALSE)</f>
        <v>#N/A</v>
      </c>
      <c r="DG349" s="126" t="s">
        <v>116</v>
      </c>
      <c r="DH349" s="16"/>
      <c r="DI349" s="16"/>
      <c r="DJ349" s="16"/>
      <c r="DK349" s="16"/>
      <c r="DL349" s="16"/>
      <c r="DM349" s="16"/>
      <c r="DN349" s="16"/>
      <c r="DO349" s="16"/>
      <c r="DP349" s="16"/>
      <c r="DQ349" s="16"/>
      <c r="DR349" s="16"/>
      <c r="DS349" s="16"/>
      <c r="JO349" s="16"/>
      <c r="JP349" s="16"/>
      <c r="JQ349" s="16"/>
      <c r="JR349" s="16"/>
      <c r="JS349" s="16"/>
      <c r="JT349" s="16"/>
      <c r="JU349" s="16"/>
      <c r="JV349" s="16"/>
      <c r="JW349" s="16"/>
      <c r="JX349" s="16"/>
      <c r="JY349" s="16"/>
      <c r="JZ349" s="16"/>
      <c r="KA349" s="16"/>
      <c r="KB349" s="16"/>
    </row>
    <row r="350" spans="1:288" x14ac:dyDescent="0.2">
      <c r="A350" s="25"/>
      <c r="B350" s="23">
        <v>2017</v>
      </c>
      <c r="C350" s="73">
        <v>42919</v>
      </c>
      <c r="D350" s="73" t="str">
        <f>CONCATENATE(J350,"-",C350)</f>
        <v>1204-42919</v>
      </c>
      <c r="E350" s="43" t="str">
        <f>CONCATENATE(T350,"-",U350,"-",C350)</f>
        <v>BC1-D8-42919</v>
      </c>
      <c r="F350" s="43" t="s">
        <v>106</v>
      </c>
      <c r="G350" s="43" t="s">
        <v>107</v>
      </c>
      <c r="H350" s="23"/>
      <c r="I350" s="23">
        <v>0</v>
      </c>
      <c r="J350" s="15">
        <v>1204</v>
      </c>
      <c r="K350" s="15">
        <v>1820</v>
      </c>
      <c r="L350" s="25">
        <v>0</v>
      </c>
      <c r="M350" s="15">
        <f>VLOOKUP($K350,'[4]blood tubes 2017'!$D$1:$L$647,8,FALSE)</f>
        <v>0</v>
      </c>
      <c r="N350" s="15">
        <v>0</v>
      </c>
      <c r="O350" s="15" t="s">
        <v>119</v>
      </c>
      <c r="P350" s="16" t="s">
        <v>119</v>
      </c>
      <c r="Q350" s="16">
        <v>0</v>
      </c>
      <c r="R350" s="16" t="s">
        <v>111</v>
      </c>
      <c r="S350" s="23"/>
      <c r="T350" s="23" t="s">
        <v>159</v>
      </c>
      <c r="U350" s="23" t="s">
        <v>178</v>
      </c>
      <c r="V350" s="23" t="s">
        <v>114</v>
      </c>
      <c r="W350" s="23">
        <f>AI350/AG350</f>
        <v>0.80219780219780223</v>
      </c>
      <c r="X350" s="23" t="s">
        <v>115</v>
      </c>
      <c r="Y350" s="23" t="s">
        <v>110</v>
      </c>
      <c r="Z350" s="23">
        <v>3</v>
      </c>
      <c r="AA350" s="23"/>
      <c r="AB350" s="23"/>
      <c r="AC350" s="23"/>
      <c r="AD350" s="23"/>
      <c r="AE350" s="23" t="s">
        <v>123</v>
      </c>
      <c r="AF350" s="23" t="s">
        <v>123</v>
      </c>
      <c r="AG350" s="23">
        <f>AH350-AI350</f>
        <v>91</v>
      </c>
      <c r="AH350" s="23">
        <v>164</v>
      </c>
      <c r="AI350" s="23">
        <v>73</v>
      </c>
      <c r="AJ350" s="23"/>
      <c r="AK350" s="23">
        <v>20.5</v>
      </c>
      <c r="AL350" s="23">
        <v>0</v>
      </c>
      <c r="AM350" s="23">
        <v>0</v>
      </c>
      <c r="AN350" s="23">
        <v>0</v>
      </c>
      <c r="AO350" s="23">
        <v>0</v>
      </c>
      <c r="AP350" s="23">
        <f>SUM(AL350:AN350)</f>
        <v>0</v>
      </c>
      <c r="AQ350" s="23">
        <v>1.6619999999999999</v>
      </c>
      <c r="AR350" s="23">
        <f>AP350-1.472</f>
        <v>-1.472</v>
      </c>
      <c r="AS350" s="23">
        <f>AQ350-1.472</f>
        <v>0.18999999999999995</v>
      </c>
      <c r="AT350" s="25" t="s">
        <v>250</v>
      </c>
      <c r="AU350" s="25"/>
      <c r="AV350" s="25"/>
      <c r="AW350" s="40"/>
      <c r="AX350" s="40"/>
      <c r="AY350" s="40"/>
      <c r="AZ350" s="40"/>
      <c r="BA350" s="40"/>
      <c r="BB350" s="40"/>
      <c r="BC350" s="40"/>
      <c r="BD350" s="40"/>
      <c r="BE350" s="40"/>
      <c r="BF350" s="40"/>
      <c r="BG350" s="75"/>
      <c r="BH350" s="40"/>
      <c r="BI350" s="40"/>
      <c r="BJ350" s="40"/>
      <c r="BK350" s="40"/>
      <c r="BL350" s="40"/>
      <c r="BM350" s="40"/>
      <c r="BN350" s="40"/>
      <c r="BO350" s="40"/>
      <c r="BP350" s="40"/>
      <c r="BQ350" s="40"/>
      <c r="BR350" s="40"/>
      <c r="BS350" s="40"/>
      <c r="BT350" s="75"/>
      <c r="BU350" s="40"/>
      <c r="BV350" s="40"/>
      <c r="BW350" s="40"/>
      <c r="BX350" s="40"/>
      <c r="BY350" s="40"/>
      <c r="BZ350" s="40"/>
      <c r="CA350" s="40"/>
      <c r="CB350" s="40"/>
      <c r="CC350" s="40"/>
      <c r="CD350" s="75"/>
      <c r="CE350" s="40"/>
      <c r="CF350" s="40"/>
      <c r="CG350" s="40"/>
      <c r="CH350" s="40"/>
      <c r="CI350" s="40"/>
      <c r="CJ350" s="40"/>
      <c r="CK350" s="40"/>
      <c r="CL350" s="40"/>
      <c r="CM350" s="40"/>
      <c r="CN350" s="40"/>
      <c r="CO350" s="40"/>
      <c r="CP350" s="40"/>
      <c r="CQ350" s="40"/>
      <c r="CR350" s="40"/>
      <c r="CS350" s="40"/>
      <c r="CT350" s="40"/>
      <c r="CU350" s="40"/>
      <c r="CV350" s="40"/>
      <c r="CW350" s="75"/>
      <c r="CX350" s="75"/>
      <c r="CY350" s="75"/>
      <c r="CZ350" s="75"/>
      <c r="DA350" s="75"/>
      <c r="DB350" s="75"/>
      <c r="DC350" s="75"/>
      <c r="DD350" s="75"/>
      <c r="DE350" s="75"/>
      <c r="DF350" s="23" t="e">
        <f>VLOOKUP(K350,'[3]RNA Seq summary tables'!$V$3:$V$99,1,FALSE)</f>
        <v>#N/A</v>
      </c>
      <c r="DG350" s="23"/>
      <c r="DH350" s="23"/>
      <c r="DI350" s="75"/>
      <c r="DJ350" s="23"/>
      <c r="DK350" s="23">
        <v>47</v>
      </c>
      <c r="DL350" s="23"/>
      <c r="DM350" s="23">
        <v>6</v>
      </c>
      <c r="DN350" s="23"/>
      <c r="DO350" s="23">
        <v>0</v>
      </c>
      <c r="DP350" s="23"/>
      <c r="DQ350" s="23">
        <v>1</v>
      </c>
      <c r="DR350" s="23">
        <f>SUM(DI350:DQ350)</f>
        <v>54</v>
      </c>
      <c r="DS350" s="23"/>
      <c r="DT350" s="25"/>
      <c r="DU350" s="25"/>
      <c r="DV350" s="25"/>
      <c r="DW350" s="25"/>
      <c r="DX350" s="25"/>
      <c r="DY350" s="25"/>
      <c r="DZ350" s="25"/>
      <c r="EA350" s="25"/>
      <c r="EB350" s="25"/>
      <c r="EC350" s="25"/>
      <c r="ED350" s="25"/>
      <c r="EE350" s="25"/>
      <c r="EF350" s="25"/>
      <c r="EG350" s="25"/>
      <c r="EH350" s="25"/>
      <c r="EI350" s="25"/>
      <c r="EJ350" s="25"/>
      <c r="EK350" s="25"/>
      <c r="EL350" s="25"/>
      <c r="EM350" s="25"/>
      <c r="EN350" s="25"/>
      <c r="EO350" s="25"/>
      <c r="EP350" s="25"/>
      <c r="EQ350" s="25"/>
      <c r="ER350" s="25"/>
      <c r="ES350" s="25"/>
      <c r="ET350" s="25"/>
      <c r="EU350" s="25"/>
      <c r="EV350" s="25"/>
      <c r="EW350" s="25"/>
      <c r="EX350" s="25"/>
      <c r="EY350" s="25"/>
      <c r="EZ350" s="25"/>
      <c r="FA350" s="25"/>
      <c r="FB350" s="25"/>
      <c r="FC350" s="25"/>
      <c r="FD350" s="25"/>
      <c r="FE350" s="25"/>
      <c r="FF350" s="25"/>
      <c r="FG350" s="25"/>
      <c r="FH350" s="25"/>
      <c r="FI350" s="25"/>
      <c r="FJ350" s="25"/>
      <c r="FK350" s="25"/>
      <c r="FL350" s="25"/>
      <c r="FM350" s="25"/>
      <c r="FN350" s="25"/>
      <c r="FO350" s="25"/>
      <c r="FP350" s="25"/>
      <c r="FQ350" s="25"/>
      <c r="FR350" s="25"/>
      <c r="FS350" s="25"/>
      <c r="FT350" s="25"/>
      <c r="FU350" s="25"/>
      <c r="FV350" s="25"/>
      <c r="FW350" s="25"/>
      <c r="FX350" s="25"/>
      <c r="FY350" s="25"/>
      <c r="FZ350" s="25"/>
      <c r="GA350" s="25"/>
      <c r="GB350" s="25"/>
      <c r="GC350" s="25"/>
      <c r="GD350" s="25"/>
      <c r="GE350" s="25"/>
      <c r="GF350" s="25"/>
      <c r="GG350" s="25"/>
      <c r="GH350" s="25"/>
      <c r="GI350" s="25"/>
      <c r="GJ350" s="25"/>
      <c r="GK350" s="25"/>
      <c r="GL350" s="25"/>
      <c r="GM350" s="25"/>
      <c r="GN350" s="25"/>
      <c r="GO350" s="25"/>
      <c r="GP350" s="25"/>
      <c r="GQ350" s="25"/>
      <c r="GR350" s="25"/>
      <c r="GS350" s="25"/>
      <c r="GT350" s="25"/>
      <c r="GU350" s="25"/>
      <c r="GV350" s="25"/>
      <c r="GW350" s="25"/>
      <c r="GX350" s="25"/>
      <c r="GY350" s="25"/>
      <c r="GZ350" s="25"/>
      <c r="HA350" s="25"/>
      <c r="HB350" s="25"/>
      <c r="HC350" s="25"/>
      <c r="HD350" s="25"/>
      <c r="HE350" s="25"/>
      <c r="HF350" s="25"/>
      <c r="HG350" s="25"/>
      <c r="HH350" s="25"/>
      <c r="HI350" s="25"/>
      <c r="HJ350" s="25"/>
      <c r="HK350" s="25"/>
      <c r="HL350" s="25"/>
      <c r="HM350" s="25"/>
      <c r="HN350" s="25"/>
      <c r="HO350" s="25"/>
      <c r="HP350" s="25"/>
      <c r="HQ350" s="25"/>
      <c r="HR350" s="25"/>
      <c r="HS350" s="25"/>
      <c r="HT350" s="25"/>
      <c r="HU350" s="25"/>
      <c r="HV350" s="25"/>
      <c r="HW350" s="25"/>
      <c r="HX350" s="25"/>
      <c r="HY350" s="25"/>
      <c r="HZ350" s="25"/>
      <c r="IA350" s="25"/>
      <c r="IB350" s="25"/>
      <c r="IC350" s="25"/>
      <c r="ID350" s="25"/>
      <c r="IE350" s="25"/>
      <c r="IF350" s="25"/>
      <c r="IG350" s="25"/>
      <c r="IH350" s="25"/>
      <c r="II350" s="25"/>
      <c r="IJ350" s="25"/>
      <c r="IK350" s="25"/>
      <c r="IL350" s="25"/>
      <c r="IM350" s="25"/>
      <c r="IN350" s="25"/>
      <c r="IO350" s="25"/>
      <c r="IP350" s="25"/>
      <c r="IQ350" s="25"/>
      <c r="IR350" s="25"/>
      <c r="IS350" s="25"/>
      <c r="IT350" s="25"/>
      <c r="IU350" s="25"/>
      <c r="IV350" s="25"/>
      <c r="IW350" s="25"/>
      <c r="IX350" s="25"/>
      <c r="IY350" s="25"/>
      <c r="IZ350" s="25"/>
      <c r="JA350" s="25"/>
      <c r="JB350" s="25"/>
      <c r="JC350" s="25"/>
      <c r="JD350" s="25"/>
      <c r="JE350" s="25"/>
      <c r="JF350" s="25"/>
      <c r="JG350" s="25"/>
      <c r="JH350" s="25"/>
      <c r="JI350" s="25"/>
      <c r="JJ350" s="25"/>
      <c r="JK350" s="25"/>
      <c r="JL350" s="25"/>
      <c r="JM350" s="25"/>
      <c r="JN350" s="25"/>
      <c r="JO350" s="23"/>
      <c r="JP350" s="23"/>
      <c r="JQ350" s="23"/>
      <c r="JR350" s="144"/>
      <c r="JS350" s="144"/>
      <c r="JT350" s="144"/>
      <c r="JU350" s="144"/>
      <c r="JV350" s="144"/>
      <c r="JW350" s="144"/>
      <c r="JX350" s="144"/>
      <c r="JY350" s="144"/>
      <c r="JZ350" s="144"/>
      <c r="KA350" s="144"/>
      <c r="KB350" s="144"/>
    </row>
    <row r="351" spans="1:288" s="18" customFormat="1" ht="16" x14ac:dyDescent="0.2">
      <c r="B351" s="16">
        <v>2017</v>
      </c>
      <c r="C351" s="20">
        <v>42936</v>
      </c>
      <c r="D351" s="20" t="str">
        <f>CONCATENATE(J351,"-",C351)</f>
        <v>1204-42936</v>
      </c>
      <c r="E351" s="37" t="str">
        <f>CONCATENATE(T351,"-",U351,"-",C351)</f>
        <v>BC1-F8-42936</v>
      </c>
      <c r="F351" s="20" t="s">
        <v>106</v>
      </c>
      <c r="G351" s="20" t="s">
        <v>107</v>
      </c>
      <c r="H351" s="16"/>
      <c r="I351" s="16">
        <v>0</v>
      </c>
      <c r="J351" s="21">
        <v>1204</v>
      </c>
      <c r="K351" s="21">
        <v>1936</v>
      </c>
      <c r="L351" s="18">
        <v>0</v>
      </c>
      <c r="M351" s="21">
        <f>VLOOKUP($K351,'[4]blood tubes 2017'!$D$1:$L$647,8,FALSE)</f>
        <v>0</v>
      </c>
      <c r="N351" s="15">
        <v>0</v>
      </c>
      <c r="O351" s="15" t="s">
        <v>119</v>
      </c>
      <c r="P351" s="16" t="s">
        <v>119</v>
      </c>
      <c r="Q351" s="16">
        <v>0</v>
      </c>
      <c r="R351" s="16">
        <v>17</v>
      </c>
      <c r="S351" s="16"/>
      <c r="T351" s="16" t="s">
        <v>159</v>
      </c>
      <c r="U351" s="16" t="s">
        <v>138</v>
      </c>
      <c r="V351" s="16" t="s">
        <v>114</v>
      </c>
      <c r="W351" s="16">
        <f>AI351/AG351</f>
        <v>0.79347826086956519</v>
      </c>
      <c r="X351" s="16" t="s">
        <v>115</v>
      </c>
      <c r="Y351" s="16" t="s">
        <v>110</v>
      </c>
      <c r="Z351" s="16">
        <v>3</v>
      </c>
      <c r="AA351" s="16"/>
      <c r="AB351" s="16"/>
      <c r="AC351" s="16"/>
      <c r="AD351" s="16"/>
      <c r="AE351" s="16" t="s">
        <v>116</v>
      </c>
      <c r="AF351" s="16" t="s">
        <v>116</v>
      </c>
      <c r="AG351" s="16">
        <f>AH351-AI351</f>
        <v>92</v>
      </c>
      <c r="AH351" s="16">
        <v>165</v>
      </c>
      <c r="AI351" s="16">
        <v>73</v>
      </c>
      <c r="AJ351" s="16"/>
      <c r="AK351" s="16">
        <v>22.5</v>
      </c>
      <c r="AL351" s="16">
        <v>0</v>
      </c>
      <c r="AM351" s="16">
        <v>0</v>
      </c>
      <c r="AN351" s="16">
        <v>0</v>
      </c>
      <c r="AO351" s="16">
        <v>0</v>
      </c>
      <c r="AP351" s="16">
        <f>SUM(AL351:AN351)</f>
        <v>0</v>
      </c>
      <c r="AQ351" s="16">
        <v>1.7050000000000001</v>
      </c>
      <c r="AR351" s="16">
        <f>AP351-1.472</f>
        <v>-1.472</v>
      </c>
      <c r="AS351" s="16">
        <f>AQ351-1.472</f>
        <v>0.2330000000000001</v>
      </c>
      <c r="AT351" s="16" t="str">
        <f>VLOOKUP(E351,[2]Current!$A$1:$W$435,7,FALSE)</f>
        <v>NB</v>
      </c>
      <c r="AU351" s="16" t="s">
        <v>1288</v>
      </c>
      <c r="AV351" s="23">
        <v>1</v>
      </c>
      <c r="AW351" s="128">
        <f>IF(AX351&gt;0,1,0)</f>
        <v>0</v>
      </c>
      <c r="AX351" s="128">
        <f>SUM(BA351,BM351,CU351)</f>
        <v>0</v>
      </c>
      <c r="AY351" s="128">
        <f>SUM(BB351,BN351,CV351)</f>
        <v>0</v>
      </c>
      <c r="AZ351" s="128">
        <f>IF(BA351&gt;0,1,0)</f>
        <v>0</v>
      </c>
      <c r="BA351" s="128">
        <f>SUM(BC351+BF351+BI351)</f>
        <v>0</v>
      </c>
      <c r="BB351" s="128">
        <f>SUM(BE351,BH351,BK351)</f>
        <v>0</v>
      </c>
      <c r="BC351" s="130">
        <f>IF(BD351&gt;0,1,0)</f>
        <v>0</v>
      </c>
      <c r="BD351" s="128">
        <f>VLOOKUP($E351,[2]Current!$A:$AC,26,FALSE)</f>
        <v>0</v>
      </c>
      <c r="BE351" s="128">
        <f>BD351/$AS351</f>
        <v>0</v>
      </c>
      <c r="BF351" s="130">
        <f>IF(BG351&gt;0,1,0)</f>
        <v>0</v>
      </c>
      <c r="BG351" s="175">
        <f>VLOOKUP($E351,[2]Current!$A:$AC,27,FALSE)</f>
        <v>0</v>
      </c>
      <c r="BH351" s="128">
        <f>BG351/$AS351</f>
        <v>0</v>
      </c>
      <c r="BI351" s="130">
        <f>IF(BJ351&gt;0,1,0)</f>
        <v>0</v>
      </c>
      <c r="BJ351" s="128">
        <f>VLOOKUP($E351,[2]Current!$A:$AC,28,FALSE)</f>
        <v>0</v>
      </c>
      <c r="BK351" s="128">
        <f>BJ351/$AS351</f>
        <v>0</v>
      </c>
      <c r="BL351" s="128">
        <f>IF(BM351&gt;0,1,0)</f>
        <v>0</v>
      </c>
      <c r="BM351" s="128">
        <f>SUM(BR351,BU351,BX351,CA351,CD351)</f>
        <v>0</v>
      </c>
      <c r="BN351" s="131">
        <f>SUM(BT351,BW351,BZ351,CC351,CF351)</f>
        <v>0</v>
      </c>
      <c r="BO351" s="128">
        <f>IF(BP351&gt;0,1,0)</f>
        <v>0</v>
      </c>
      <c r="BP351" s="128">
        <f>BM351+CJ351</f>
        <v>0</v>
      </c>
      <c r="BQ351" s="128">
        <f>BN351+CL351</f>
        <v>0</v>
      </c>
      <c r="BR351" s="130">
        <f>IF(BS351&gt;0,1,0)</f>
        <v>0</v>
      </c>
      <c r="BS351" s="128">
        <f>VLOOKUP($E351,[2]Current!$A:$AC,12,FALSE)</f>
        <v>0</v>
      </c>
      <c r="BT351" s="175">
        <f>BS351/$AS351</f>
        <v>0</v>
      </c>
      <c r="BU351" s="130">
        <f>IF(BV351&gt;0,1,0)</f>
        <v>0</v>
      </c>
      <c r="BV351" s="128">
        <f>VLOOKUP($E351,[2]Current!$A:$AC,13,FALSE)</f>
        <v>0</v>
      </c>
      <c r="BW351" s="128">
        <f>BV351/$AS351</f>
        <v>0</v>
      </c>
      <c r="BX351" s="130">
        <f>IF(BY351&gt;0,1,0)</f>
        <v>0</v>
      </c>
      <c r="BY351" s="128">
        <f>VLOOKUP($E351,[2]Current!$A:$AC,14,FALSE)</f>
        <v>0</v>
      </c>
      <c r="BZ351" s="128">
        <f>BY351/$AS351</f>
        <v>0</v>
      </c>
      <c r="CA351" s="130">
        <f>IF(CB351&gt;0,1,0)</f>
        <v>0</v>
      </c>
      <c r="CB351" s="128">
        <f>VLOOKUP($E351,[2]Current!$A:$AC,15,FALSE)</f>
        <v>0</v>
      </c>
      <c r="CC351" s="128">
        <f>CB351/$AS351</f>
        <v>0</v>
      </c>
      <c r="CD351" s="176">
        <f>IF(CE351&gt;0,1,0)</f>
        <v>0</v>
      </c>
      <c r="CE351" s="128">
        <f>VLOOKUP($E351,[2]Current!$A:$AC,16,FALSE)</f>
        <v>0</v>
      </c>
      <c r="CF351" s="128">
        <f>CE351/$AS351</f>
        <v>0</v>
      </c>
      <c r="CJ351" s="130">
        <f>IF(CK351&gt;0,1,0)</f>
        <v>0</v>
      </c>
      <c r="CK351" s="128">
        <f>VLOOKUP($E351,[2]Current!$A:$AC,18,FALSE)</f>
        <v>0</v>
      </c>
      <c r="CL351" s="128">
        <f>CK351/$AS351</f>
        <v>0</v>
      </c>
      <c r="CM351" s="16"/>
      <c r="CN351" s="16"/>
      <c r="CO351" s="16"/>
      <c r="CP351" s="16"/>
      <c r="CQ351" s="16"/>
      <c r="CR351" s="16"/>
      <c r="CS351" s="130">
        <f>IF(CU351&gt;0,1,0)</f>
        <v>0</v>
      </c>
      <c r="CT351" s="16"/>
      <c r="CU351" s="128">
        <f>VLOOKUP($E351,[2]Current!$A:$AC,17,FALSE)</f>
        <v>0</v>
      </c>
      <c r="CV351" s="128">
        <f>CU351/$AS351</f>
        <v>0</v>
      </c>
      <c r="CZ351" s="16"/>
      <c r="DA351" s="16"/>
      <c r="DB351" s="16"/>
      <c r="DC351" s="16"/>
      <c r="DD351" s="16"/>
      <c r="DE351" s="16"/>
      <c r="DF351" s="16" t="e">
        <f>VLOOKUP(K351,'[3]RNA Seq summary tables'!$V$3:$V$99,1,FALSE)</f>
        <v>#N/A</v>
      </c>
      <c r="DG351" s="16"/>
      <c r="DH351" s="16"/>
      <c r="DI351" s="16"/>
      <c r="DJ351" s="16"/>
      <c r="DK351" s="16"/>
      <c r="DL351" s="16"/>
      <c r="DM351" s="16"/>
      <c r="DN351" s="16"/>
      <c r="DO351" s="16"/>
      <c r="DP351" s="16"/>
      <c r="DQ351" s="16"/>
      <c r="DR351" s="16"/>
      <c r="DS351" s="16"/>
      <c r="JO351" s="16"/>
      <c r="JP351" s="16"/>
      <c r="JQ351" s="16"/>
      <c r="JR351" s="16"/>
      <c r="JS351" s="16"/>
      <c r="JT351" s="16"/>
      <c r="JU351" s="16"/>
      <c r="JV351" s="16"/>
      <c r="JW351" s="16"/>
      <c r="JX351" s="16"/>
      <c r="JY351" s="16"/>
      <c r="JZ351" s="16"/>
      <c r="KA351" s="16"/>
      <c r="KB351" s="16"/>
    </row>
    <row r="352" spans="1:288" x14ac:dyDescent="0.2">
      <c r="B352" s="16">
        <v>2017</v>
      </c>
      <c r="C352" s="20">
        <v>42956</v>
      </c>
      <c r="D352" s="20" t="str">
        <f>CONCATENATE(J352,"-",C352)</f>
        <v>1204-42956</v>
      </c>
      <c r="E352" s="142" t="str">
        <f>CONCATENATE(T352,"-",U352,"-",C352)</f>
        <v>BC1-D6-42956</v>
      </c>
      <c r="F352" s="20" t="s">
        <v>106</v>
      </c>
      <c r="G352" s="20" t="s">
        <v>107</v>
      </c>
      <c r="J352" s="21">
        <v>1204</v>
      </c>
      <c r="K352" s="21">
        <v>2103</v>
      </c>
      <c r="L352" s="18">
        <v>0</v>
      </c>
      <c r="M352" s="21">
        <f>VLOOKUP($K352,'[4]blood tubes 2017'!$D$1:$L$647,8,FALSE)</f>
        <v>0</v>
      </c>
      <c r="N352" s="15">
        <v>0</v>
      </c>
      <c r="O352" s="15" t="s">
        <v>119</v>
      </c>
      <c r="P352" s="16" t="s">
        <v>119</v>
      </c>
      <c r="Q352" s="16">
        <v>0</v>
      </c>
      <c r="R352" s="16">
        <v>20</v>
      </c>
      <c r="T352" s="16" t="s">
        <v>159</v>
      </c>
      <c r="U352" s="16" t="s">
        <v>186</v>
      </c>
      <c r="V352" s="16" t="s">
        <v>114</v>
      </c>
      <c r="W352" s="16">
        <f>AI352/AG352</f>
        <v>0.80219780219780223</v>
      </c>
      <c r="X352" s="16" t="s">
        <v>115</v>
      </c>
      <c r="Y352" s="16" t="s">
        <v>110</v>
      </c>
      <c r="Z352" s="16">
        <v>3</v>
      </c>
      <c r="AE352" s="16" t="s">
        <v>116</v>
      </c>
      <c r="AF352" s="16" t="s">
        <v>116</v>
      </c>
      <c r="AG352" s="16">
        <f>AH352-AI352</f>
        <v>91</v>
      </c>
      <c r="AH352" s="16">
        <v>164</v>
      </c>
      <c r="AI352" s="16">
        <v>73</v>
      </c>
      <c r="AK352" s="16">
        <v>22.5</v>
      </c>
      <c r="AL352" s="16">
        <v>0</v>
      </c>
      <c r="AM352" s="16">
        <v>0</v>
      </c>
      <c r="AN352" s="16">
        <v>0</v>
      </c>
      <c r="AO352" s="16">
        <v>0</v>
      </c>
      <c r="AP352" s="16">
        <f>SUM(AL352:AN352)</f>
        <v>0</v>
      </c>
      <c r="AQ352" s="16">
        <v>1.581</v>
      </c>
      <c r="AR352" s="16">
        <f>AP352-1.472</f>
        <v>-1.472</v>
      </c>
      <c r="AS352" s="16">
        <f>AQ352-1.472</f>
        <v>0.10899999999999999</v>
      </c>
      <c r="AT352" s="16" t="e">
        <f>VLOOKUP(E352,[2]Current!$A$1:$W$435,7,FALSE)</f>
        <v>#N/A</v>
      </c>
      <c r="AU352" s="16">
        <v>0</v>
      </c>
      <c r="AW352" s="18"/>
      <c r="AX352" s="18"/>
      <c r="AY352" s="18"/>
      <c r="AZ352" s="18"/>
      <c r="BA352" s="18"/>
      <c r="BB352" s="18"/>
      <c r="BC352" s="18"/>
      <c r="BD352" s="18"/>
      <c r="BG352" s="23"/>
      <c r="BT352" s="23"/>
      <c r="CD352" s="23"/>
      <c r="DF352" s="16" t="e">
        <f>VLOOKUP(K352,'[3]RNA Seq summary tables'!$V$3:$V$99,1,FALSE)</f>
        <v>#N/A</v>
      </c>
    </row>
    <row r="353" spans="1:288" x14ac:dyDescent="0.2">
      <c r="B353" s="16">
        <v>2017</v>
      </c>
      <c r="C353" s="66">
        <v>42919</v>
      </c>
      <c r="D353" s="66" t="str">
        <f>CONCATENATE(J353,"-",C353)</f>
        <v>1206-42919</v>
      </c>
      <c r="E353" s="20" t="str">
        <f>CONCATENATE(T353,"-",U353,"-",C353)</f>
        <v>BC1-H6-42919</v>
      </c>
      <c r="F353" s="20" t="s">
        <v>106</v>
      </c>
      <c r="G353" s="20" t="s">
        <v>107</v>
      </c>
      <c r="I353" s="16">
        <v>0</v>
      </c>
      <c r="J353" s="21">
        <v>1206</v>
      </c>
      <c r="K353" s="21">
        <v>1822</v>
      </c>
      <c r="L353" s="18">
        <v>0</v>
      </c>
      <c r="M353" s="21">
        <f>VLOOKUP($K353,'[4]blood tubes 2017'!$D$1:$L$647,8,FALSE)</f>
        <v>0</v>
      </c>
      <c r="N353" s="15">
        <v>0</v>
      </c>
      <c r="O353" s="15" t="s">
        <v>119</v>
      </c>
      <c r="P353" s="16" t="s">
        <v>119</v>
      </c>
      <c r="Q353" s="16">
        <v>0</v>
      </c>
      <c r="R353" s="16" t="s">
        <v>111</v>
      </c>
      <c r="T353" s="16" t="s">
        <v>159</v>
      </c>
      <c r="U353" s="16" t="s">
        <v>141</v>
      </c>
      <c r="V353" s="16" t="s">
        <v>114</v>
      </c>
      <c r="W353" s="16">
        <f>AI353/AG353</f>
        <v>0.72727272727272729</v>
      </c>
      <c r="X353" s="16" t="s">
        <v>121</v>
      </c>
      <c r="Y353" s="16" t="s">
        <v>122</v>
      </c>
      <c r="Z353" s="16">
        <v>2.6</v>
      </c>
      <c r="AA353" s="16" t="s">
        <v>119</v>
      </c>
      <c r="AB353" s="16" t="s">
        <v>239</v>
      </c>
      <c r="AC353" s="16" t="s">
        <v>123</v>
      </c>
      <c r="AD353" s="16" t="s">
        <v>123</v>
      </c>
      <c r="AG353" s="16">
        <f>AH353-AI353</f>
        <v>88</v>
      </c>
      <c r="AH353" s="16">
        <v>152</v>
      </c>
      <c r="AI353" s="16">
        <v>64</v>
      </c>
      <c r="AK353" s="16">
        <v>20.5</v>
      </c>
      <c r="AL353" s="16">
        <v>0</v>
      </c>
      <c r="AM353" s="16">
        <v>0</v>
      </c>
      <c r="AN353" s="16">
        <v>0</v>
      </c>
      <c r="AO353" s="16">
        <v>0</v>
      </c>
      <c r="AP353" s="16">
        <f>SUM(AL353:AN353)</f>
        <v>0</v>
      </c>
      <c r="AQ353" s="16">
        <v>1.6759999999999999</v>
      </c>
      <c r="AR353" s="16">
        <f>AP353-1.472</f>
        <v>-1.472</v>
      </c>
      <c r="AS353" s="16">
        <f>AQ353-1.472</f>
        <v>0.20399999999999996</v>
      </c>
      <c r="AT353" s="16" t="s">
        <v>119</v>
      </c>
      <c r="AW353" s="16">
        <f>IF(AX353&gt;0,1,0)</f>
        <v>1</v>
      </c>
      <c r="AX353" s="16">
        <f>SUM(BA353,BM353,CT353)</f>
        <v>2</v>
      </c>
      <c r="AY353" s="18">
        <f>SUM(BB353,BN353,CV353)</f>
        <v>3083.3333333333339</v>
      </c>
      <c r="AZ353" s="16">
        <v>1</v>
      </c>
      <c r="BA353" s="16">
        <v>2</v>
      </c>
      <c r="BB353" s="16">
        <f>SUM(BE353,BH353,BK353)</f>
        <v>3083.3333333333339</v>
      </c>
      <c r="BC353" s="16">
        <v>1</v>
      </c>
      <c r="BD353" s="16">
        <v>627</v>
      </c>
      <c r="BE353" s="16">
        <f>BD353/AS353</f>
        <v>3073.5294117647063</v>
      </c>
      <c r="BF353" s="16">
        <v>1</v>
      </c>
      <c r="BG353" s="23">
        <v>2</v>
      </c>
      <c r="BH353" s="16">
        <f>BG353/AS353</f>
        <v>9.8039215686274535</v>
      </c>
      <c r="BI353" s="16">
        <v>0</v>
      </c>
      <c r="BJ353" s="16">
        <v>0</v>
      </c>
      <c r="BK353" s="16">
        <f>BJ353/AS353</f>
        <v>0</v>
      </c>
      <c r="BL353" s="16">
        <f>IF(BM353&gt;0,1,0)</f>
        <v>0</v>
      </c>
      <c r="BM353" s="16">
        <f>SUM(BR353,BU353,BX353,CA353,CD353,CG353,CJ353,CM353,CP353)</f>
        <v>0</v>
      </c>
      <c r="BN353" s="16">
        <f>SUM(BW353,BZ353,CC353,CF353,CI353,CL353,CO353,CR353,BT353)</f>
        <v>0</v>
      </c>
      <c r="BO353" s="16">
        <f>IF(BP353&gt;0,1,0)</f>
        <v>0</v>
      </c>
      <c r="BP353" s="16">
        <f>SUM(BU353,BX353,CA353,CD353,BR353)</f>
        <v>0</v>
      </c>
      <c r="BQ353" s="16">
        <f>SUM(BZ353,CC353,CF353,BT353,BW353)</f>
        <v>0</v>
      </c>
      <c r="BR353" s="16">
        <v>0</v>
      </c>
      <c r="BS353" s="16">
        <v>0</v>
      </c>
      <c r="BT353" s="23">
        <f>BS353/AS353</f>
        <v>0</v>
      </c>
      <c r="BU353" s="16">
        <v>0</v>
      </c>
      <c r="BV353" s="16">
        <v>0</v>
      </c>
      <c r="BW353" s="16">
        <f>BV353/AS353</f>
        <v>0</v>
      </c>
      <c r="BX353" s="16">
        <v>0</v>
      </c>
      <c r="BY353" s="16">
        <v>0</v>
      </c>
      <c r="BZ353" s="16">
        <f>BY353/AS353</f>
        <v>0</v>
      </c>
      <c r="CA353" s="16">
        <v>0</v>
      </c>
      <c r="CB353" s="16">
        <v>0</v>
      </c>
      <c r="CC353" s="16">
        <f>CB353/AS353</f>
        <v>0</v>
      </c>
      <c r="CD353" s="23">
        <v>0</v>
      </c>
      <c r="CE353" s="16">
        <v>0</v>
      </c>
      <c r="CF353" s="16">
        <f>CE353/AS353</f>
        <v>0</v>
      </c>
      <c r="CG353" s="16">
        <v>0</v>
      </c>
      <c r="CH353" s="16">
        <v>0</v>
      </c>
      <c r="CI353" s="16">
        <f>CH353/AS353</f>
        <v>0</v>
      </c>
      <c r="CM353" s="16">
        <v>0</v>
      </c>
      <c r="CN353" s="16">
        <v>0</v>
      </c>
      <c r="CO353" s="16">
        <f>CN353/AS353</f>
        <v>0</v>
      </c>
      <c r="CP353" s="16">
        <v>0</v>
      </c>
      <c r="CQ353" s="16">
        <v>0</v>
      </c>
      <c r="CR353" s="16">
        <f>CQ353/AS353</f>
        <v>0</v>
      </c>
      <c r="CS353" s="16">
        <v>0</v>
      </c>
      <c r="CT353" s="16">
        <v>0</v>
      </c>
      <c r="CV353" s="16">
        <f>SUM(CY353,DB353,DE353)</f>
        <v>0</v>
      </c>
      <c r="CW353" s="16">
        <v>0</v>
      </c>
      <c r="CX353" s="16">
        <v>0</v>
      </c>
      <c r="CY353" s="16">
        <f>CX353/AS353</f>
        <v>0</v>
      </c>
      <c r="CZ353" s="16">
        <v>0</v>
      </c>
      <c r="DA353" s="16">
        <v>0</v>
      </c>
      <c r="DB353" s="16">
        <f>DA353/AS353</f>
        <v>0</v>
      </c>
      <c r="DC353" s="16">
        <v>0</v>
      </c>
      <c r="DD353" s="16">
        <v>0</v>
      </c>
      <c r="DE353" s="16">
        <f>DD353/AS353</f>
        <v>0</v>
      </c>
      <c r="DF353" s="16" t="e">
        <f>VLOOKUP(K353,'[3]RNA Seq summary tables'!$V$3:$V$99,1,FALSE)</f>
        <v>#N/A</v>
      </c>
      <c r="DI353" s="16">
        <v>69</v>
      </c>
      <c r="DK353" s="16">
        <v>27</v>
      </c>
      <c r="DM353" s="16">
        <v>4</v>
      </c>
      <c r="DO353" s="16">
        <v>0</v>
      </c>
      <c r="DQ353" s="16">
        <v>0</v>
      </c>
      <c r="DR353" s="16">
        <f>SUM(DI353:DQ353)</f>
        <v>100</v>
      </c>
      <c r="JR353" s="27"/>
      <c r="JS353" s="27"/>
      <c r="JT353" s="27"/>
      <c r="JU353" s="27"/>
      <c r="JV353" s="27"/>
      <c r="JW353" s="27"/>
      <c r="JX353" s="27"/>
      <c r="JY353" s="27"/>
      <c r="JZ353" s="27"/>
      <c r="KA353" s="27"/>
      <c r="KB353" s="27"/>
    </row>
    <row r="354" spans="1:288" x14ac:dyDescent="0.2">
      <c r="B354" s="18">
        <v>2017</v>
      </c>
      <c r="C354" s="37">
        <v>42920</v>
      </c>
      <c r="D354" s="37" t="str">
        <f>CONCATENATE(J354,"-",C354)</f>
        <v>1208-42920</v>
      </c>
      <c r="E354" s="20" t="str">
        <f>CONCATENATE(T354,"-",U354,"-",C354)</f>
        <v>BC1-A7-42920</v>
      </c>
      <c r="F354" s="20" t="s">
        <v>106</v>
      </c>
      <c r="G354" s="37" t="s">
        <v>107</v>
      </c>
      <c r="H354" s="18"/>
      <c r="I354" s="16">
        <v>0</v>
      </c>
      <c r="J354" s="36">
        <v>1208</v>
      </c>
      <c r="K354" s="36">
        <v>1826</v>
      </c>
      <c r="L354" s="18">
        <v>0</v>
      </c>
      <c r="M354" s="21">
        <f>VLOOKUP($K354,'[4]blood tubes 2017'!$D$1:$L$647,8,FALSE)</f>
        <v>0</v>
      </c>
      <c r="N354" s="15">
        <v>0</v>
      </c>
      <c r="O354" s="15" t="s">
        <v>119</v>
      </c>
      <c r="P354" s="18" t="s">
        <v>119</v>
      </c>
      <c r="Q354" s="16">
        <v>0</v>
      </c>
      <c r="R354" s="18" t="s">
        <v>111</v>
      </c>
      <c r="S354" s="18"/>
      <c r="T354" s="18" t="s">
        <v>159</v>
      </c>
      <c r="U354" s="18" t="s">
        <v>120</v>
      </c>
      <c r="V354" s="18" t="s">
        <v>142</v>
      </c>
      <c r="W354" s="16">
        <f>AI354/AG354</f>
        <v>0.98888888888888893</v>
      </c>
      <c r="X354" s="18" t="s">
        <v>121</v>
      </c>
      <c r="Y354" s="18" t="s">
        <v>110</v>
      </c>
      <c r="Z354" s="18">
        <v>3</v>
      </c>
      <c r="AA354" s="18" t="s">
        <v>161</v>
      </c>
      <c r="AB354" s="18" t="s">
        <v>239</v>
      </c>
      <c r="AC354" s="18" t="s">
        <v>123</v>
      </c>
      <c r="AD354" s="18" t="s">
        <v>116</v>
      </c>
      <c r="AE354" s="18"/>
      <c r="AF354" s="18"/>
      <c r="AG354" s="18">
        <f>AH354-AI354</f>
        <v>90</v>
      </c>
      <c r="AH354" s="18">
        <v>179</v>
      </c>
      <c r="AI354" s="18">
        <v>89</v>
      </c>
      <c r="AJ354" s="18"/>
      <c r="AK354" s="18">
        <v>21</v>
      </c>
      <c r="AL354" s="18">
        <v>1</v>
      </c>
      <c r="AM354" s="18">
        <v>0</v>
      </c>
      <c r="AN354" s="18">
        <v>0</v>
      </c>
      <c r="AO354" s="18">
        <v>1</v>
      </c>
      <c r="AP354" s="18">
        <f>SUM(AL354:AN354)</f>
        <v>1</v>
      </c>
      <c r="AQ354" s="18">
        <v>1.7250000000000001</v>
      </c>
      <c r="AR354" s="18">
        <f>AP354-1.472</f>
        <v>-0.47199999999999998</v>
      </c>
      <c r="AS354" s="18">
        <f>AQ354-1.472</f>
        <v>0.25300000000000011</v>
      </c>
      <c r="AT354" s="18" t="s">
        <v>234</v>
      </c>
      <c r="AU354" s="18"/>
      <c r="AV354" s="18"/>
      <c r="AW354" s="18">
        <f>IF(AX354&gt;0,1,0)</f>
        <v>1</v>
      </c>
      <c r="AX354" s="18">
        <f>SUM(BA354,BM354,CT354)</f>
        <v>1</v>
      </c>
      <c r="AY354" s="18">
        <f>SUM(BB354,BN354,CV354)</f>
        <v>7.9051383399209447</v>
      </c>
      <c r="AZ354" s="18">
        <f>IF(BA354&gt;0,1,0)</f>
        <v>1</v>
      </c>
      <c r="BA354" s="18">
        <f>SUM(BC354,BF354,BI354)</f>
        <v>1</v>
      </c>
      <c r="BB354" s="18">
        <f>SUM(BE354,BH354,BK354)</f>
        <v>7.9051383399209447</v>
      </c>
      <c r="BC354" s="18">
        <f>IF(BD354&gt;0,1,0)</f>
        <v>0</v>
      </c>
      <c r="BD354" s="18">
        <v>0</v>
      </c>
      <c r="BE354" s="18">
        <f>BD354/AS354</f>
        <v>0</v>
      </c>
      <c r="BF354" s="18">
        <f>IF(BG354&gt;0,1,0)</f>
        <v>1</v>
      </c>
      <c r="BG354" s="25">
        <v>2</v>
      </c>
      <c r="BH354" s="18">
        <f>BG354/AS354</f>
        <v>7.9051383399209447</v>
      </c>
      <c r="BI354" s="18">
        <f>IF(BJ354&gt;0,1,0)</f>
        <v>0</v>
      </c>
      <c r="BJ354" s="18">
        <v>0</v>
      </c>
      <c r="BK354" s="18">
        <f>BJ354/AS354</f>
        <v>0</v>
      </c>
      <c r="BL354" s="18">
        <f>IF(BM354&gt;0,1,0)</f>
        <v>0</v>
      </c>
      <c r="BM354" s="18">
        <f>SUM(BR354,BU354,BX354,CA354,CD354,CG354,CJ354,CM354,CP354)</f>
        <v>0</v>
      </c>
      <c r="BN354" s="18">
        <f>SUM(BW354,BZ354,CC354,CF354,CI354,CL354,CO354,CR354,BT354)</f>
        <v>0</v>
      </c>
      <c r="BO354" s="18">
        <f>IF(BP354&gt;0,1,0)</f>
        <v>0</v>
      </c>
      <c r="BP354" s="18">
        <f>SUM(BU354,BX354,CA354,CD354,BR354)</f>
        <v>0</v>
      </c>
      <c r="BQ354" s="18">
        <f>SUM(BZ354,CC354,CF354,BT354,BW354)</f>
        <v>0</v>
      </c>
      <c r="BR354" s="18">
        <f>IF(BS354&gt;0,1,0)</f>
        <v>0</v>
      </c>
      <c r="BS354" s="18">
        <v>0</v>
      </c>
      <c r="BT354" s="25">
        <f>BS354/AS354</f>
        <v>0</v>
      </c>
      <c r="BU354" s="18">
        <f>IF(BV354&gt;0,1,0)</f>
        <v>0</v>
      </c>
      <c r="BV354" s="18">
        <v>0</v>
      </c>
      <c r="BW354" s="18">
        <f>BV354/AS354</f>
        <v>0</v>
      </c>
      <c r="BX354" s="18">
        <f>IF(BY354&gt;0,1,0)</f>
        <v>0</v>
      </c>
      <c r="BY354" s="18">
        <v>0</v>
      </c>
      <c r="BZ354" s="18">
        <f>BY354/AS354</f>
        <v>0</v>
      </c>
      <c r="CA354" s="18">
        <f>IF(CB354&gt;0,1,0)</f>
        <v>0</v>
      </c>
      <c r="CB354" s="18">
        <v>0</v>
      </c>
      <c r="CC354" s="18">
        <f>CB354/AS354</f>
        <v>0</v>
      </c>
      <c r="CD354" s="25">
        <f>IF(CE354&gt;0,1,0)</f>
        <v>0</v>
      </c>
      <c r="CE354" s="18">
        <v>0</v>
      </c>
      <c r="CF354" s="18">
        <f>CE354/AS354</f>
        <v>0</v>
      </c>
      <c r="CG354" s="18">
        <f>IF(CH354&gt;0,1,0)</f>
        <v>0</v>
      </c>
      <c r="CH354" s="18">
        <v>0</v>
      </c>
      <c r="CI354" s="18">
        <f>CH354/AS354</f>
        <v>0</v>
      </c>
      <c r="CJ354" s="18">
        <v>0</v>
      </c>
      <c r="CK354" s="18">
        <v>0</v>
      </c>
      <c r="CL354" s="18">
        <v>0</v>
      </c>
      <c r="CM354" s="18"/>
      <c r="CN354" s="18"/>
      <c r="CO354" s="18"/>
      <c r="CP354" s="18"/>
      <c r="CQ354" s="18"/>
      <c r="CR354" s="18"/>
      <c r="CS354" s="18">
        <f>IF(CT354&gt;0,1,0)</f>
        <v>0</v>
      </c>
      <c r="CT354" s="18">
        <f>SUM(CW354+CZ354,DC354)</f>
        <v>0</v>
      </c>
      <c r="CU354" s="18"/>
      <c r="CV354" s="18">
        <f>SUM(CY354,DB354,DE354)</f>
        <v>0</v>
      </c>
      <c r="CW354" s="18">
        <f>IF(CX354&gt;0,1,0)</f>
        <v>0</v>
      </c>
      <c r="CX354" s="18">
        <v>0</v>
      </c>
      <c r="CY354" s="18">
        <f>CX354/AS354</f>
        <v>0</v>
      </c>
      <c r="CZ354" s="18">
        <f>IF(DA354&gt;0,1,0)</f>
        <v>0</v>
      </c>
      <c r="DA354" s="18">
        <v>0</v>
      </c>
      <c r="DB354" s="18">
        <f>DA354/AS354</f>
        <v>0</v>
      </c>
      <c r="DC354" s="18">
        <v>0</v>
      </c>
      <c r="DD354" s="18">
        <v>0</v>
      </c>
      <c r="DE354" s="18">
        <f>DD354/AS354</f>
        <v>0</v>
      </c>
      <c r="DF354" s="16" t="e">
        <f>VLOOKUP(K354,'[3]RNA Seq summary tables'!$V$3:$V$99,1,FALSE)</f>
        <v>#N/A</v>
      </c>
      <c r="DI354" s="18">
        <v>67</v>
      </c>
      <c r="DJ354" s="18"/>
      <c r="DK354" s="18">
        <v>21</v>
      </c>
      <c r="DL354" s="18"/>
      <c r="DM354" s="18">
        <v>7</v>
      </c>
      <c r="DN354" s="18"/>
      <c r="DO354" s="18">
        <v>0</v>
      </c>
      <c r="DP354" s="18"/>
      <c r="DQ354" s="18">
        <v>5</v>
      </c>
      <c r="DR354" s="18">
        <f>SUM(DI354:DQ354)</f>
        <v>100</v>
      </c>
      <c r="DS354" s="18"/>
      <c r="JO354" s="30"/>
      <c r="JR354" s="27"/>
      <c r="JS354" s="27"/>
      <c r="JT354" s="27"/>
      <c r="JU354" s="27"/>
      <c r="JV354" s="27"/>
      <c r="JW354" s="27"/>
      <c r="JX354" s="27"/>
      <c r="JY354" s="27"/>
      <c r="JZ354" s="27"/>
      <c r="KA354" s="27"/>
      <c r="KB354" s="27"/>
    </row>
    <row r="355" spans="1:288" ht="16" x14ac:dyDescent="0.2">
      <c r="B355" s="16">
        <v>2017</v>
      </c>
      <c r="C355" s="20">
        <v>42938</v>
      </c>
      <c r="D355" s="20" t="str">
        <f>CONCATENATE(J355,"-",C355)</f>
        <v>1208-42938</v>
      </c>
      <c r="E355" s="37" t="str">
        <f>CONCATENATE(T355,"-",U355,"-",C355)</f>
        <v>BC1-A6-42938</v>
      </c>
      <c r="F355" s="20" t="s">
        <v>106</v>
      </c>
      <c r="G355" s="20" t="s">
        <v>107</v>
      </c>
      <c r="I355" s="16">
        <v>0</v>
      </c>
      <c r="J355" s="21">
        <v>1208</v>
      </c>
      <c r="K355" s="21">
        <v>1954</v>
      </c>
      <c r="L355" s="18">
        <v>0</v>
      </c>
      <c r="M355" s="21">
        <f>VLOOKUP($K355,'[4]blood tubes 2017'!$D$1:$L$647,8,FALSE)</f>
        <v>0</v>
      </c>
      <c r="N355" s="15">
        <v>0</v>
      </c>
      <c r="O355" s="15" t="s">
        <v>119</v>
      </c>
      <c r="P355" s="16" t="s">
        <v>119</v>
      </c>
      <c r="Q355" s="16">
        <v>0</v>
      </c>
      <c r="R355" s="16">
        <v>18</v>
      </c>
      <c r="T355" s="16" t="s">
        <v>159</v>
      </c>
      <c r="U355" s="16" t="s">
        <v>147</v>
      </c>
      <c r="V355" s="16" t="s">
        <v>142</v>
      </c>
      <c r="W355" s="16">
        <f>AI355/AG355</f>
        <v>1.0229885057471264</v>
      </c>
      <c r="X355" s="16" t="s">
        <v>121</v>
      </c>
      <c r="Y355" s="16" t="s">
        <v>110</v>
      </c>
      <c r="Z355" s="16">
        <v>3</v>
      </c>
      <c r="AA355" s="16" t="s">
        <v>119</v>
      </c>
      <c r="AB355" s="16" t="s">
        <v>123</v>
      </c>
      <c r="AC355" s="16" t="s">
        <v>123</v>
      </c>
      <c r="AD355" s="16" t="s">
        <v>123</v>
      </c>
      <c r="AG355" s="16">
        <f>AH355-AI355</f>
        <v>87</v>
      </c>
      <c r="AH355" s="16">
        <v>176</v>
      </c>
      <c r="AI355" s="16">
        <v>89</v>
      </c>
      <c r="AK355" s="16">
        <v>19</v>
      </c>
      <c r="AL355" s="16">
        <v>0</v>
      </c>
      <c r="AM355" s="16">
        <v>0</v>
      </c>
      <c r="AN355" s="16">
        <v>0</v>
      </c>
      <c r="AO355" s="16">
        <v>0</v>
      </c>
      <c r="AP355" s="16">
        <f>SUM(AL355:AN355)</f>
        <v>0</v>
      </c>
      <c r="AQ355" s="16">
        <v>2.14</v>
      </c>
      <c r="AR355" s="16">
        <f>AP355-1.472</f>
        <v>-1.472</v>
      </c>
      <c r="AS355" s="16">
        <f>AQ355-1.472</f>
        <v>0.66800000000000015</v>
      </c>
      <c r="AT355" s="16" t="str">
        <f>VLOOKUP(E355,[2]Current!$A$1:$W$435,7,FALSE)</f>
        <v>TE</v>
      </c>
      <c r="AU355" s="16" t="s">
        <v>1288</v>
      </c>
      <c r="AV355" s="23"/>
      <c r="AW355" s="128">
        <f>IF(AX355&gt;0,1,0)</f>
        <v>1</v>
      </c>
      <c r="AX355" s="128">
        <f>SUM(BA355,BM355,CU355)</f>
        <v>1</v>
      </c>
      <c r="AY355" s="128">
        <f>SUM(BB355,BN355,CV355)</f>
        <v>5.9880239520958067</v>
      </c>
      <c r="AZ355" s="128">
        <f>IF(BA355&gt;0,1,0)</f>
        <v>1</v>
      </c>
      <c r="BA355" s="128">
        <f>SUM(BC355+BF355+BI355)</f>
        <v>1</v>
      </c>
      <c r="BB355" s="128">
        <f>SUM(BE355,BH355,BK355)</f>
        <v>5.9880239520958067</v>
      </c>
      <c r="BC355" s="130">
        <f>IF(BD355&gt;0,1,0)</f>
        <v>0</v>
      </c>
      <c r="BD355" s="128">
        <f>VLOOKUP($E355,[2]Current!$A:$AC,26,FALSE)</f>
        <v>0</v>
      </c>
      <c r="BE355" s="128">
        <f>BD355/$AS355</f>
        <v>0</v>
      </c>
      <c r="BF355" s="130">
        <f>IF(BG355&gt;0,1,0)</f>
        <v>1</v>
      </c>
      <c r="BG355" s="175">
        <f>VLOOKUP($E355,[2]Current!$A:$AC,27,FALSE)</f>
        <v>4</v>
      </c>
      <c r="BH355" s="128">
        <f>BG355/$AS355</f>
        <v>5.9880239520958067</v>
      </c>
      <c r="BI355" s="130">
        <f>IF(BJ355&gt;0,1,0)</f>
        <v>0</v>
      </c>
      <c r="BJ355" s="128">
        <f>VLOOKUP($E355,[2]Current!$A:$AC,28,FALSE)</f>
        <v>0</v>
      </c>
      <c r="BK355" s="128">
        <f>BJ355/$AS355</f>
        <v>0</v>
      </c>
      <c r="BL355" s="128">
        <f>IF(BM355&gt;0,1,0)</f>
        <v>0</v>
      </c>
      <c r="BM355" s="128">
        <f>SUM(BR355,BU355,BX355,CA355,CD355)</f>
        <v>0</v>
      </c>
      <c r="BN355" s="131">
        <f>SUM(BT355,BW355,BZ355,CC355,CF355)</f>
        <v>0</v>
      </c>
      <c r="BO355" s="128">
        <f>IF(BP355&gt;0,1,0)</f>
        <v>0</v>
      </c>
      <c r="BP355" s="128">
        <f>BM355+CJ355</f>
        <v>0</v>
      </c>
      <c r="BQ355" s="128">
        <f>BN355+CL355</f>
        <v>0</v>
      </c>
      <c r="BR355" s="130">
        <f>IF(BS355&gt;0,1,0)</f>
        <v>0</v>
      </c>
      <c r="BS355" s="128">
        <f>VLOOKUP($E355,[2]Current!$A:$AC,12,FALSE)</f>
        <v>0</v>
      </c>
      <c r="BT355" s="175">
        <f>BS355/$AS355</f>
        <v>0</v>
      </c>
      <c r="BU355" s="130">
        <f>IF(BV355&gt;0,1,0)</f>
        <v>0</v>
      </c>
      <c r="BV355" s="128">
        <f>VLOOKUP($E355,[2]Current!$A:$AC,13,FALSE)</f>
        <v>0</v>
      </c>
      <c r="BW355" s="128">
        <f>BV355/$AS355</f>
        <v>0</v>
      </c>
      <c r="BX355" s="130">
        <f>IF(BY355&gt;0,1,0)</f>
        <v>0</v>
      </c>
      <c r="BY355" s="128">
        <f>VLOOKUP($E355,[2]Current!$A:$AC,14,FALSE)</f>
        <v>0</v>
      </c>
      <c r="BZ355" s="128">
        <f>BY355/$AS355</f>
        <v>0</v>
      </c>
      <c r="CA355" s="130">
        <f>IF(CB355&gt;0,1,0)</f>
        <v>0</v>
      </c>
      <c r="CB355" s="128">
        <f>VLOOKUP($E355,[2]Current!$A:$AC,15,FALSE)</f>
        <v>0</v>
      </c>
      <c r="CC355" s="128">
        <f>CB355/$AS355</f>
        <v>0</v>
      </c>
      <c r="CD355" s="176">
        <f>IF(CE355&gt;0,1,0)</f>
        <v>0</v>
      </c>
      <c r="CE355" s="128">
        <f>VLOOKUP($E355,[2]Current!$A:$AC,16,FALSE)</f>
        <v>0</v>
      </c>
      <c r="CF355" s="128">
        <f>CE355/$AS355</f>
        <v>0</v>
      </c>
      <c r="CG355" s="18"/>
      <c r="CH355" s="18"/>
      <c r="CI355" s="18"/>
      <c r="CJ355" s="130">
        <f>IF(CK355&gt;0,1,0)</f>
        <v>0</v>
      </c>
      <c r="CK355" s="128">
        <f>VLOOKUP($E355,[2]Current!$A:$AC,18,FALSE)</f>
        <v>0</v>
      </c>
      <c r="CL355" s="128">
        <f>CK355/$AS355</f>
        <v>0</v>
      </c>
      <c r="CS355" s="130">
        <f>IF(CU355&gt;0,1,0)</f>
        <v>0</v>
      </c>
      <c r="CU355" s="128">
        <f>VLOOKUP($E355,[2]Current!$A:$AC,17,FALSE)</f>
        <v>0</v>
      </c>
      <c r="CV355" s="128">
        <f>CU355/$AS355</f>
        <v>0</v>
      </c>
      <c r="CW355" s="18"/>
      <c r="CX355" s="18"/>
      <c r="CY355" s="18"/>
      <c r="DF355" s="16" t="e">
        <f>VLOOKUP(K355,'[3]RNA Seq summary tables'!$V$3:$V$99,1,FALSE)</f>
        <v>#N/A</v>
      </c>
      <c r="JO355" s="18"/>
    </row>
    <row r="356" spans="1:288" s="18" customFormat="1" ht="16" x14ac:dyDescent="0.2">
      <c r="B356" s="16">
        <v>2017</v>
      </c>
      <c r="C356" s="20">
        <v>42954</v>
      </c>
      <c r="D356" s="20" t="str">
        <f>CONCATENATE(J356,"-",C356)</f>
        <v>1208-42954</v>
      </c>
      <c r="E356" s="37" t="str">
        <f>CONCATENATE(T356,"-",U356,"-",C356)</f>
        <v>BC1-C8-42954</v>
      </c>
      <c r="F356" s="20" t="s">
        <v>106</v>
      </c>
      <c r="G356" s="20" t="s">
        <v>107</v>
      </c>
      <c r="H356" s="16"/>
      <c r="I356" s="16">
        <v>0</v>
      </c>
      <c r="J356" s="21">
        <v>1208</v>
      </c>
      <c r="K356" s="21">
        <v>2085</v>
      </c>
      <c r="L356" s="18">
        <v>0</v>
      </c>
      <c r="M356" s="21">
        <f>VLOOKUP($K356,'[4]blood tubes 2017'!$D$1:$L$647,8,FALSE)</f>
        <v>0</v>
      </c>
      <c r="N356" s="15">
        <v>0</v>
      </c>
      <c r="O356" s="15" t="s">
        <v>119</v>
      </c>
      <c r="P356" s="16" t="s">
        <v>119</v>
      </c>
      <c r="Q356" s="16">
        <v>0</v>
      </c>
      <c r="R356" s="16">
        <v>16</v>
      </c>
      <c r="S356" s="16"/>
      <c r="T356" s="16" t="s">
        <v>159</v>
      </c>
      <c r="U356" s="16" t="s">
        <v>188</v>
      </c>
      <c r="V356" s="16" t="s">
        <v>142</v>
      </c>
      <c r="W356" s="16">
        <f>AI356/AG356</f>
        <v>1.0348837209302326</v>
      </c>
      <c r="X356" s="16" t="s">
        <v>121</v>
      </c>
      <c r="Y356" s="16" t="s">
        <v>110</v>
      </c>
      <c r="Z356" s="16">
        <v>3</v>
      </c>
      <c r="AA356" s="16" t="s">
        <v>119</v>
      </c>
      <c r="AB356" s="16" t="s">
        <v>240</v>
      </c>
      <c r="AC356" s="16" t="s">
        <v>116</v>
      </c>
      <c r="AD356" s="16" t="s">
        <v>116</v>
      </c>
      <c r="AE356" s="16"/>
      <c r="AF356" s="16"/>
      <c r="AG356" s="16">
        <f>AH356-AI356</f>
        <v>86</v>
      </c>
      <c r="AH356" s="16">
        <v>175</v>
      </c>
      <c r="AI356" s="16">
        <v>89</v>
      </c>
      <c r="AJ356" s="16"/>
      <c r="AK356" s="16">
        <v>22.5</v>
      </c>
      <c r="AL356" s="16">
        <v>0</v>
      </c>
      <c r="AM356" s="16">
        <v>0</v>
      </c>
      <c r="AN356" s="16">
        <v>0</v>
      </c>
      <c r="AO356" s="16">
        <v>0</v>
      </c>
      <c r="AP356" s="16">
        <f>SUM(AL356:AN356)</f>
        <v>0</v>
      </c>
      <c r="AQ356" s="16">
        <v>1.7669999999999999</v>
      </c>
      <c r="AR356" s="16">
        <f>AP356-1.472</f>
        <v>-1.472</v>
      </c>
      <c r="AS356" s="16">
        <f>AQ356-1.472</f>
        <v>0.29499999999999993</v>
      </c>
      <c r="AT356" s="16" t="str">
        <f>VLOOKUP(E356,[2]Current!$A$1:$W$435,7,FALSE)</f>
        <v>TE</v>
      </c>
      <c r="AU356" s="16" t="s">
        <v>1288</v>
      </c>
      <c r="AV356" s="23">
        <v>1</v>
      </c>
      <c r="AW356" s="128">
        <f>IF(AX356&gt;0,1,0)</f>
        <v>0</v>
      </c>
      <c r="AX356" s="128">
        <f>SUM(BA356,BM356,CU356)</f>
        <v>0</v>
      </c>
      <c r="AY356" s="128">
        <f>SUM(BB356,BN356,CV356)</f>
        <v>0</v>
      </c>
      <c r="AZ356" s="128">
        <f>IF(BA356&gt;0,1,0)</f>
        <v>0</v>
      </c>
      <c r="BA356" s="128">
        <f>SUM(BC356+BF356+BI356)</f>
        <v>0</v>
      </c>
      <c r="BB356" s="128">
        <f>SUM(BE356,BH356,BK356)</f>
        <v>0</v>
      </c>
      <c r="BC356" s="130">
        <f>IF(BD356&gt;0,1,0)</f>
        <v>0</v>
      </c>
      <c r="BD356" s="128">
        <f>VLOOKUP($E356,[2]Current!$A:$AC,26,FALSE)</f>
        <v>0</v>
      </c>
      <c r="BE356" s="128">
        <f>BD356/$AS356</f>
        <v>0</v>
      </c>
      <c r="BF356" s="130">
        <f>IF(BG356&gt;0,1,0)</f>
        <v>0</v>
      </c>
      <c r="BG356" s="175">
        <f>VLOOKUP($E356,[2]Current!$A:$AC,27,FALSE)</f>
        <v>0</v>
      </c>
      <c r="BH356" s="128">
        <f>BG356/$AS356</f>
        <v>0</v>
      </c>
      <c r="BI356" s="130">
        <f>IF(BJ356&gt;0,1,0)</f>
        <v>0</v>
      </c>
      <c r="BJ356" s="128">
        <f>VLOOKUP($E356,[2]Current!$A:$AC,28,FALSE)</f>
        <v>0</v>
      </c>
      <c r="BK356" s="128">
        <f>BJ356/$AS356</f>
        <v>0</v>
      </c>
      <c r="BL356" s="128">
        <f>IF(BM356&gt;0,1,0)</f>
        <v>0</v>
      </c>
      <c r="BM356" s="128">
        <f>SUM(BR356,BU356,BX356,CA356,CD356)</f>
        <v>0</v>
      </c>
      <c r="BN356" s="131">
        <f>SUM(BT356,BW356,BZ356,CC356,CF356)</f>
        <v>0</v>
      </c>
      <c r="BO356" s="128">
        <f>IF(BP356&gt;0,1,0)</f>
        <v>0</v>
      </c>
      <c r="BP356" s="128">
        <f>BM356+CJ356</f>
        <v>0</v>
      </c>
      <c r="BQ356" s="128">
        <f>BN356+CL356</f>
        <v>0</v>
      </c>
      <c r="BR356" s="130">
        <f>IF(BS356&gt;0,1,0)</f>
        <v>0</v>
      </c>
      <c r="BS356" s="128">
        <f>VLOOKUP($E356,[2]Current!$A:$AC,12,FALSE)</f>
        <v>0</v>
      </c>
      <c r="BT356" s="175">
        <f>BS356/$AS356</f>
        <v>0</v>
      </c>
      <c r="BU356" s="130">
        <f>IF(BV356&gt;0,1,0)</f>
        <v>0</v>
      </c>
      <c r="BV356" s="128">
        <f>VLOOKUP($E356,[2]Current!$A:$AC,13,FALSE)</f>
        <v>0</v>
      </c>
      <c r="BW356" s="128">
        <f>BV356/$AS356</f>
        <v>0</v>
      </c>
      <c r="BX356" s="130">
        <f>IF(BY356&gt;0,1,0)</f>
        <v>0</v>
      </c>
      <c r="BY356" s="128">
        <f>VLOOKUP($E356,[2]Current!$A:$AC,14,FALSE)</f>
        <v>0</v>
      </c>
      <c r="BZ356" s="128">
        <f>BY356/$AS356</f>
        <v>0</v>
      </c>
      <c r="CA356" s="130">
        <f>IF(CB356&gt;0,1,0)</f>
        <v>0</v>
      </c>
      <c r="CB356" s="128">
        <f>VLOOKUP($E356,[2]Current!$A:$AC,15,FALSE)</f>
        <v>0</v>
      </c>
      <c r="CC356" s="128">
        <f>CB356/$AS356</f>
        <v>0</v>
      </c>
      <c r="CD356" s="176">
        <f>IF(CE356&gt;0,1,0)</f>
        <v>0</v>
      </c>
      <c r="CE356" s="128">
        <f>VLOOKUP($E356,[2]Current!$A:$AC,16,FALSE)</f>
        <v>0</v>
      </c>
      <c r="CF356" s="128">
        <f>CE356/$AS356</f>
        <v>0</v>
      </c>
      <c r="CJ356" s="130">
        <f>IF(CK356&gt;0,1,0)</f>
        <v>0</v>
      </c>
      <c r="CK356" s="128">
        <f>VLOOKUP($E356,[2]Current!$A:$AC,18,FALSE)</f>
        <v>0</v>
      </c>
      <c r="CL356" s="128">
        <f>CK356/$AS356</f>
        <v>0</v>
      </c>
      <c r="CM356" s="16"/>
      <c r="CN356" s="16"/>
      <c r="CO356" s="16"/>
      <c r="CP356" s="16"/>
      <c r="CQ356" s="16"/>
      <c r="CR356" s="16"/>
      <c r="CS356" s="130">
        <f>IF(CU356&gt;0,1,0)</f>
        <v>0</v>
      </c>
      <c r="CU356" s="128">
        <f>VLOOKUP($E356,[2]Current!$A:$AC,17,FALSE)</f>
        <v>0</v>
      </c>
      <c r="CV356" s="128">
        <f>CU356/$AS356</f>
        <v>0</v>
      </c>
      <c r="CZ356" s="16"/>
      <c r="DA356" s="16"/>
      <c r="DB356" s="16"/>
      <c r="DC356" s="16"/>
      <c r="DD356" s="16"/>
      <c r="DE356" s="16"/>
      <c r="DF356" s="16" t="e">
        <f>VLOOKUP(K356,'[3]RNA Seq summary tables'!$V$3:$V$99,1,FALSE)</f>
        <v>#N/A</v>
      </c>
      <c r="DG356" s="16"/>
      <c r="DH356" s="16"/>
      <c r="DI356" s="16"/>
      <c r="DJ356" s="16"/>
      <c r="DK356" s="16"/>
      <c r="DL356" s="16"/>
      <c r="DM356" s="16"/>
      <c r="DN356" s="16"/>
      <c r="DO356" s="16"/>
      <c r="DP356" s="16"/>
      <c r="DQ356" s="16"/>
      <c r="DR356" s="16"/>
      <c r="DS356" s="16"/>
      <c r="JO356" s="16"/>
      <c r="JP356" s="16"/>
      <c r="JQ356" s="16"/>
      <c r="JR356" s="16"/>
      <c r="JS356" s="16"/>
      <c r="JT356" s="16"/>
      <c r="JU356" s="16"/>
      <c r="JV356" s="16"/>
      <c r="JW356" s="16"/>
      <c r="JX356" s="16"/>
      <c r="JY356" s="16"/>
      <c r="JZ356" s="16"/>
      <c r="KA356" s="16"/>
      <c r="KB356" s="16"/>
    </row>
    <row r="357" spans="1:288" x14ac:dyDescent="0.2">
      <c r="B357" s="16">
        <v>2017</v>
      </c>
      <c r="C357" s="20">
        <v>42922</v>
      </c>
      <c r="D357" s="20" t="str">
        <f>CONCATENATE(J357,"-",C357)</f>
        <v>1210-42922</v>
      </c>
      <c r="E357" s="20" t="str">
        <f>CONCATENATE(T357,"-",U357,"-",C357)</f>
        <v>SP1-B5-42922</v>
      </c>
      <c r="F357" s="20" t="s">
        <v>106</v>
      </c>
      <c r="G357" s="20" t="s">
        <v>107</v>
      </c>
      <c r="I357" s="16">
        <v>0</v>
      </c>
      <c r="J357" s="21">
        <v>1210</v>
      </c>
      <c r="K357" s="21">
        <v>1830</v>
      </c>
      <c r="L357" s="18">
        <v>0</v>
      </c>
      <c r="M357" s="21">
        <f>VLOOKUP($K357,'[4]blood tubes 2017'!$D$1:$L$647,8,FALSE)</f>
        <v>0</v>
      </c>
      <c r="N357" s="15">
        <v>0</v>
      </c>
      <c r="O357" s="15" t="s">
        <v>119</v>
      </c>
      <c r="P357" s="16" t="s">
        <v>119</v>
      </c>
      <c r="Q357" s="16">
        <v>0</v>
      </c>
      <c r="R357" s="16" t="s">
        <v>111</v>
      </c>
      <c r="T357" s="16" t="s">
        <v>140</v>
      </c>
      <c r="U357" s="16" t="s">
        <v>160</v>
      </c>
      <c r="V357" s="16" t="s">
        <v>114</v>
      </c>
      <c r="W357" s="16">
        <f>AI357/AG357</f>
        <v>0.8</v>
      </c>
      <c r="X357" s="16" t="s">
        <v>115</v>
      </c>
      <c r="Y357" s="16" t="s">
        <v>122</v>
      </c>
      <c r="Z357" s="16">
        <v>2.2999999999999998</v>
      </c>
      <c r="AE357" s="16" t="s">
        <v>123</v>
      </c>
      <c r="AF357" s="16" t="s">
        <v>123</v>
      </c>
      <c r="AG357" s="16">
        <f>AH357-AI357</f>
        <v>80</v>
      </c>
      <c r="AH357" s="16">
        <v>144</v>
      </c>
      <c r="AI357" s="16">
        <v>64</v>
      </c>
      <c r="AK357" s="16">
        <v>15</v>
      </c>
      <c r="AL357" s="16">
        <v>0</v>
      </c>
      <c r="AM357" s="16">
        <v>0</v>
      </c>
      <c r="AN357" s="16">
        <v>0</v>
      </c>
      <c r="AO357" s="16">
        <v>0</v>
      </c>
      <c r="AP357" s="16">
        <f>SUM(AL357:AN357)</f>
        <v>0</v>
      </c>
      <c r="AQ357" s="16">
        <v>1.9430000000000001</v>
      </c>
      <c r="AR357" s="16">
        <f>AP357-1.472</f>
        <v>-1.472</v>
      </c>
      <c r="AS357" s="16">
        <f>AQ357-1.472</f>
        <v>0.47100000000000009</v>
      </c>
      <c r="AT357" s="16" t="s">
        <v>234</v>
      </c>
      <c r="AW357" s="16">
        <f>IF(AX357&gt;0,1,0)</f>
        <v>1</v>
      </c>
      <c r="AX357" s="16">
        <f>SUM(BA357,BM357,CT357)</f>
        <v>3</v>
      </c>
      <c r="AY357" s="18">
        <f>SUM(BB357,BN357,CV357)</f>
        <v>1938.428874734607</v>
      </c>
      <c r="AZ357" s="16">
        <v>1</v>
      </c>
      <c r="BA357" s="16">
        <v>3</v>
      </c>
      <c r="BB357" s="16">
        <f>SUM(BE357,BH357,BK357)</f>
        <v>1938.428874734607</v>
      </c>
      <c r="BC357" s="16">
        <v>1</v>
      </c>
      <c r="BD357" s="16">
        <v>212</v>
      </c>
      <c r="BE357" s="16">
        <f>BD357/AS357</f>
        <v>450.10615711252643</v>
      </c>
      <c r="BF357" s="16">
        <v>1</v>
      </c>
      <c r="BG357" s="23">
        <v>689</v>
      </c>
      <c r="BH357" s="16">
        <f>BG357/AS357</f>
        <v>1462.8450106157111</v>
      </c>
      <c r="BI357" s="16">
        <v>1</v>
      </c>
      <c r="BJ357" s="16">
        <v>12</v>
      </c>
      <c r="BK357" s="16">
        <f>BJ357/AS357</f>
        <v>25.477707006369421</v>
      </c>
      <c r="BL357" s="16">
        <f>IF(BM357&gt;0,1,0)</f>
        <v>0</v>
      </c>
      <c r="BM357" s="16">
        <f>SUM(BR357,BU357,BX357,CA357,CD357,CG357,CJ357,CM357,CP357)</f>
        <v>0</v>
      </c>
      <c r="BN357" s="16">
        <f>SUM(BW357,BZ357,CC357,CF357,CI357,CL357,CO357,CR357,BT357)</f>
        <v>0</v>
      </c>
      <c r="BO357" s="16">
        <f>IF(BP357&gt;0,1,0)</f>
        <v>0</v>
      </c>
      <c r="BP357" s="16">
        <f>SUM(BU357,BX357,CA357,CD357,BR357)</f>
        <v>0</v>
      </c>
      <c r="BQ357" s="16">
        <f>SUM(BZ357,CC357,CF357,BT357,BW357)</f>
        <v>0</v>
      </c>
      <c r="BR357" s="16">
        <v>0</v>
      </c>
      <c r="BS357" s="16">
        <v>0</v>
      </c>
      <c r="BT357" s="23">
        <f>BS357/AS357</f>
        <v>0</v>
      </c>
      <c r="BU357" s="16">
        <v>0</v>
      </c>
      <c r="BV357" s="16">
        <v>0</v>
      </c>
      <c r="BW357" s="16">
        <f>BV357/AS357</f>
        <v>0</v>
      </c>
      <c r="BX357" s="16">
        <v>0</v>
      </c>
      <c r="BY357" s="16">
        <v>0</v>
      </c>
      <c r="BZ357" s="16">
        <f>BY357/AS357</f>
        <v>0</v>
      </c>
      <c r="CA357" s="16">
        <v>0</v>
      </c>
      <c r="CB357" s="16">
        <v>0</v>
      </c>
      <c r="CC357" s="16">
        <f>CB357/AS357</f>
        <v>0</v>
      </c>
      <c r="CD357" s="23">
        <v>0</v>
      </c>
      <c r="CE357" s="16">
        <v>0</v>
      </c>
      <c r="CF357" s="16">
        <f>CE357/AS357</f>
        <v>0</v>
      </c>
      <c r="CG357" s="16">
        <v>0</v>
      </c>
      <c r="CH357" s="16">
        <v>0</v>
      </c>
      <c r="CI357" s="16">
        <f>CH357/AS357</f>
        <v>0</v>
      </c>
      <c r="CM357" s="16">
        <v>0</v>
      </c>
      <c r="CN357" s="16">
        <v>0</v>
      </c>
      <c r="CO357" s="16">
        <f>CN357/AS357</f>
        <v>0</v>
      </c>
      <c r="CP357" s="16">
        <v>0</v>
      </c>
      <c r="CQ357" s="16">
        <v>0</v>
      </c>
      <c r="CR357" s="16">
        <f>CQ357/AS357</f>
        <v>0</v>
      </c>
      <c r="CS357" s="16">
        <v>0</v>
      </c>
      <c r="CT357" s="16">
        <v>0</v>
      </c>
      <c r="CV357" s="16">
        <f>SUM(CY357,DB357,DE357)</f>
        <v>0</v>
      </c>
      <c r="CW357" s="16">
        <v>0</v>
      </c>
      <c r="CX357" s="16">
        <v>0</v>
      </c>
      <c r="CY357" s="16">
        <f>CX357/AS357</f>
        <v>0</v>
      </c>
      <c r="CZ357" s="16">
        <v>0</v>
      </c>
      <c r="DA357" s="16">
        <v>0</v>
      </c>
      <c r="DB357" s="16">
        <f>DA357/AS357</f>
        <v>0</v>
      </c>
      <c r="DC357" s="16">
        <v>0</v>
      </c>
      <c r="DD357" s="16">
        <v>0</v>
      </c>
      <c r="DE357" s="16">
        <f>DD357/AS357</f>
        <v>0</v>
      </c>
      <c r="DF357" s="16" t="e">
        <f>VLOOKUP(K357,'[3]RNA Seq summary tables'!$V$3:$V$99,1,FALSE)</f>
        <v>#N/A</v>
      </c>
      <c r="DI357" s="16">
        <v>60</v>
      </c>
      <c r="DK357" s="16">
        <v>36</v>
      </c>
      <c r="DM357" s="16">
        <v>4</v>
      </c>
      <c r="DO357" s="16">
        <v>0</v>
      </c>
      <c r="DQ357" s="16">
        <v>0</v>
      </c>
      <c r="DR357" s="16">
        <f>SUM(DI357:DQ357)</f>
        <v>100</v>
      </c>
      <c r="JR357" s="27"/>
      <c r="JS357" s="27"/>
      <c r="JT357" s="27"/>
      <c r="JU357" s="27"/>
      <c r="JV357" s="27"/>
      <c r="JW357" s="27"/>
      <c r="JX357" s="27"/>
      <c r="JY357" s="27"/>
      <c r="JZ357" s="27"/>
      <c r="KA357" s="27"/>
      <c r="KB357" s="27"/>
    </row>
    <row r="358" spans="1:288" s="18" customFormat="1" x14ac:dyDescent="0.2">
      <c r="B358" s="16">
        <v>2017</v>
      </c>
      <c r="C358" s="20">
        <v>42922</v>
      </c>
      <c r="D358" s="20" t="str">
        <f>CONCATENATE(J358,"-",C358)</f>
        <v>1212-42922</v>
      </c>
      <c r="E358" s="20" t="str">
        <f>CONCATENATE(T358,"-",U358,"-",C358)</f>
        <v>SP2-H7-42922</v>
      </c>
      <c r="F358" s="20" t="s">
        <v>106</v>
      </c>
      <c r="G358" s="20" t="s">
        <v>107</v>
      </c>
      <c r="H358" s="16"/>
      <c r="I358" s="16">
        <v>0</v>
      </c>
      <c r="J358" s="21">
        <v>1212</v>
      </c>
      <c r="K358" s="21">
        <v>1835</v>
      </c>
      <c r="L358" s="18">
        <v>0</v>
      </c>
      <c r="M358" s="21">
        <f>VLOOKUP($K358,'[4]blood tubes 2017'!$D$1:$L$647,8,FALSE)</f>
        <v>0</v>
      </c>
      <c r="N358" s="15">
        <v>0</v>
      </c>
      <c r="O358" s="15" t="s">
        <v>119</v>
      </c>
      <c r="P358" s="16" t="s">
        <v>119</v>
      </c>
      <c r="Q358" s="16">
        <v>0</v>
      </c>
      <c r="R358" s="16" t="s">
        <v>111</v>
      </c>
      <c r="S358" s="16"/>
      <c r="T358" s="16" t="s">
        <v>137</v>
      </c>
      <c r="U358" s="16" t="s">
        <v>202</v>
      </c>
      <c r="V358" s="16" t="s">
        <v>114</v>
      </c>
      <c r="W358" s="16">
        <f>AI358/AG358</f>
        <v>0.85882352941176465</v>
      </c>
      <c r="X358" s="16" t="s">
        <v>121</v>
      </c>
      <c r="Y358" s="16" t="s">
        <v>110</v>
      </c>
      <c r="Z358" s="16">
        <v>3</v>
      </c>
      <c r="AA358" s="16" t="s">
        <v>119</v>
      </c>
      <c r="AB358" s="16" t="s">
        <v>239</v>
      </c>
      <c r="AC358" s="16" t="s">
        <v>123</v>
      </c>
      <c r="AD358" s="16" t="s">
        <v>123</v>
      </c>
      <c r="AE358" s="16"/>
      <c r="AF358" s="16"/>
      <c r="AG358" s="16">
        <f>AH358-AI358</f>
        <v>85</v>
      </c>
      <c r="AH358" s="16">
        <v>158</v>
      </c>
      <c r="AI358" s="16">
        <v>73</v>
      </c>
      <c r="AJ358" s="16"/>
      <c r="AK358" s="16">
        <v>38</v>
      </c>
      <c r="AL358" s="16">
        <v>0</v>
      </c>
      <c r="AM358" s="16">
        <v>0</v>
      </c>
      <c r="AN358" s="16">
        <v>0</v>
      </c>
      <c r="AO358" s="16">
        <v>0</v>
      </c>
      <c r="AP358" s="16">
        <f>SUM(AL358:AN358)</f>
        <v>0</v>
      </c>
      <c r="AQ358" s="16">
        <v>2.1520000000000001</v>
      </c>
      <c r="AR358" s="16">
        <f>AP358-1.472</f>
        <v>-1.472</v>
      </c>
      <c r="AS358" s="16">
        <f>AQ358-1.472</f>
        <v>0.68000000000000016</v>
      </c>
      <c r="AT358" s="18" t="s">
        <v>234</v>
      </c>
      <c r="AW358" s="18">
        <f>IF(AX358&gt;0,1,0)</f>
        <v>1</v>
      </c>
      <c r="AX358" s="18">
        <f>SUM(BA358,BM358,CT358)</f>
        <v>2</v>
      </c>
      <c r="AY358" s="18">
        <f>SUM(BB358,BN358,CV358)</f>
        <v>8.823529411764703</v>
      </c>
      <c r="AZ358" s="18">
        <v>1</v>
      </c>
      <c r="BA358" s="18">
        <v>1</v>
      </c>
      <c r="BB358" s="18">
        <f>SUM(BE358,BH358,BK358)</f>
        <v>1.4705882352941173</v>
      </c>
      <c r="BC358" s="18">
        <v>0</v>
      </c>
      <c r="BD358" s="18">
        <v>0</v>
      </c>
      <c r="BE358" s="18">
        <f>BD358/AS358</f>
        <v>0</v>
      </c>
      <c r="BF358" s="18">
        <v>0</v>
      </c>
      <c r="BG358" s="25">
        <v>0</v>
      </c>
      <c r="BH358" s="18">
        <f>BG358/AS358</f>
        <v>0</v>
      </c>
      <c r="BI358" s="18">
        <v>1</v>
      </c>
      <c r="BJ358" s="18">
        <v>1</v>
      </c>
      <c r="BK358" s="18">
        <f>BJ358/AS358</f>
        <v>1.4705882352941173</v>
      </c>
      <c r="BL358" s="18">
        <f>IF(BM358&gt;0,1,0)</f>
        <v>1</v>
      </c>
      <c r="BM358" s="18">
        <f>SUM(BR358,BU358,BX358,CA358,CD358,CG358,CJ358,CM358,CP358)</f>
        <v>1</v>
      </c>
      <c r="BN358" s="18">
        <f>SUM(BW358,BZ358,CC358,CF358,CI358,CL358,CO358,CR358,BT358)</f>
        <v>7.3529411764705861</v>
      </c>
      <c r="BO358" s="16">
        <f>IF(BP358&gt;0,1,0)</f>
        <v>1</v>
      </c>
      <c r="BP358" s="16">
        <f>SUM(BU358,BX358,CA358,CD358,BR358)</f>
        <v>1</v>
      </c>
      <c r="BQ358" s="16">
        <f>SUM(BZ358,CC358,CF358,BT358,BW358)</f>
        <v>7.3529411764705861</v>
      </c>
      <c r="BR358" s="18">
        <v>0</v>
      </c>
      <c r="BS358" s="18">
        <v>0</v>
      </c>
      <c r="BT358" s="25">
        <f>BS358/AS358</f>
        <v>0</v>
      </c>
      <c r="BU358" s="18">
        <v>0</v>
      </c>
      <c r="BV358" s="18">
        <v>0</v>
      </c>
      <c r="BW358" s="18">
        <f>BV358/AS358</f>
        <v>0</v>
      </c>
      <c r="BX358" s="18">
        <v>0</v>
      </c>
      <c r="BY358" s="18">
        <v>0</v>
      </c>
      <c r="BZ358" s="18">
        <f>BY358/AS358</f>
        <v>0</v>
      </c>
      <c r="CA358" s="18">
        <v>1</v>
      </c>
      <c r="CB358" s="18">
        <v>5</v>
      </c>
      <c r="CC358" s="18">
        <f>CB358/AS358</f>
        <v>7.3529411764705861</v>
      </c>
      <c r="CD358" s="25">
        <v>0</v>
      </c>
      <c r="CE358" s="18">
        <v>0</v>
      </c>
      <c r="CF358" s="18">
        <f>CE358/AS358</f>
        <v>0</v>
      </c>
      <c r="CG358" s="18">
        <v>0</v>
      </c>
      <c r="CH358" s="18">
        <v>0</v>
      </c>
      <c r="CI358" s="18">
        <f>CH358/AS358</f>
        <v>0</v>
      </c>
      <c r="CM358" s="18">
        <v>0</v>
      </c>
      <c r="CN358" s="18">
        <v>0</v>
      </c>
      <c r="CO358" s="18">
        <f>CN358/AS358</f>
        <v>0</v>
      </c>
      <c r="CP358" s="18">
        <v>0</v>
      </c>
      <c r="CQ358" s="18">
        <v>0</v>
      </c>
      <c r="CR358" s="18">
        <f>CQ358/AS358</f>
        <v>0</v>
      </c>
      <c r="CS358" s="18">
        <v>0</v>
      </c>
      <c r="CT358" s="18">
        <v>0</v>
      </c>
      <c r="CV358" s="18">
        <f>SUM(CY358,DB358,DE358)</f>
        <v>0</v>
      </c>
      <c r="CW358" s="18">
        <v>0</v>
      </c>
      <c r="CX358" s="18">
        <v>0</v>
      </c>
      <c r="CY358" s="18">
        <f>CX358/AS358</f>
        <v>0</v>
      </c>
      <c r="CZ358" s="18">
        <v>0</v>
      </c>
      <c r="DA358" s="18">
        <v>0</v>
      </c>
      <c r="DB358" s="18">
        <f>DA358/AS358</f>
        <v>0</v>
      </c>
      <c r="DC358" s="18">
        <v>0</v>
      </c>
      <c r="DD358" s="18">
        <v>0</v>
      </c>
      <c r="DE358" s="18">
        <f>DD358/AS358</f>
        <v>0</v>
      </c>
      <c r="DF358" s="16" t="e">
        <f>VLOOKUP(K358,'[3]RNA Seq summary tables'!$V$3:$V$99,1,FALSE)</f>
        <v>#N/A</v>
      </c>
      <c r="DG358" s="16"/>
      <c r="DH358" s="16"/>
      <c r="DI358" s="18">
        <v>64</v>
      </c>
      <c r="DK358" s="18">
        <v>30</v>
      </c>
      <c r="DM358" s="18">
        <v>6</v>
      </c>
      <c r="DO358" s="18">
        <v>0</v>
      </c>
      <c r="DQ358" s="18">
        <v>0</v>
      </c>
      <c r="DR358" s="18">
        <f>SUM(DI358:DQ358)</f>
        <v>100</v>
      </c>
      <c r="JO358" s="16"/>
      <c r="JP358" s="16"/>
      <c r="JQ358" s="16"/>
      <c r="JR358" s="27"/>
      <c r="JS358" s="27"/>
      <c r="JT358" s="27"/>
      <c r="JU358" s="27"/>
      <c r="JV358" s="27"/>
      <c r="JW358" s="27"/>
      <c r="JX358" s="27"/>
      <c r="JY358" s="27"/>
      <c r="JZ358" s="27"/>
      <c r="KA358" s="27"/>
      <c r="KB358" s="27"/>
    </row>
    <row r="359" spans="1:288" x14ac:dyDescent="0.2">
      <c r="B359" s="16">
        <v>2017</v>
      </c>
      <c r="C359" s="20">
        <v>42939</v>
      </c>
      <c r="D359" s="20" t="str">
        <f>CONCATENATE(J359,"-",C359)</f>
        <v>1212-42939</v>
      </c>
      <c r="E359" s="20" t="str">
        <f>CONCATENATE(T359,"-",U359,"-",C359)</f>
        <v>SP2-F7-42939</v>
      </c>
      <c r="F359" s="20" t="s">
        <v>106</v>
      </c>
      <c r="G359" s="20" t="s">
        <v>107</v>
      </c>
      <c r="I359" s="16">
        <v>0</v>
      </c>
      <c r="J359" s="21">
        <v>1212</v>
      </c>
      <c r="K359" s="21">
        <v>1972</v>
      </c>
      <c r="L359" s="18">
        <v>0</v>
      </c>
      <c r="M359" s="21">
        <f>VLOOKUP($K359,'[4]blood tubes 2017'!$D$1:$L$647,8,FALSE)</f>
        <v>0</v>
      </c>
      <c r="N359" s="15">
        <v>0</v>
      </c>
      <c r="O359" s="15" t="s">
        <v>119</v>
      </c>
      <c r="P359" s="16" t="s">
        <v>119</v>
      </c>
      <c r="Q359" s="16">
        <v>0</v>
      </c>
      <c r="R359" s="16">
        <v>17</v>
      </c>
      <c r="T359" s="16" t="s">
        <v>137</v>
      </c>
      <c r="U359" s="16" t="s">
        <v>189</v>
      </c>
      <c r="V359" s="16" t="s">
        <v>114</v>
      </c>
      <c r="W359" s="16">
        <f>AI359/AG359</f>
        <v>0.86206896551724133</v>
      </c>
      <c r="X359" s="16" t="s">
        <v>121</v>
      </c>
      <c r="Y359" s="16" t="s">
        <v>110</v>
      </c>
      <c r="Z359" s="16">
        <v>3</v>
      </c>
      <c r="AA359" s="16" t="s">
        <v>161</v>
      </c>
      <c r="AB359" s="16" t="s">
        <v>123</v>
      </c>
      <c r="AC359" s="16" t="s">
        <v>123</v>
      </c>
      <c r="AD359" s="16" t="s">
        <v>116</v>
      </c>
      <c r="AG359" s="16">
        <f>AH359-AI359</f>
        <v>87</v>
      </c>
      <c r="AH359" s="16">
        <v>162</v>
      </c>
      <c r="AI359" s="16">
        <v>75</v>
      </c>
      <c r="AK359" s="16">
        <v>20</v>
      </c>
      <c r="AL359" s="16">
        <v>0</v>
      </c>
      <c r="AM359" s="16">
        <v>0</v>
      </c>
      <c r="AN359" s="16">
        <v>0</v>
      </c>
      <c r="AO359" s="16">
        <v>0</v>
      </c>
      <c r="AP359" s="16">
        <f>SUM(AL359:AN359)</f>
        <v>0</v>
      </c>
      <c r="AQ359" s="16">
        <v>1.857</v>
      </c>
      <c r="AR359" s="16">
        <f>AP359-1.472</f>
        <v>-1.472</v>
      </c>
      <c r="AS359" s="16">
        <f>AQ359-1.472</f>
        <v>0.38500000000000001</v>
      </c>
      <c r="AT359" s="16" t="str">
        <f>VLOOKUP(K359,'[5]FECs - good data'!$C$1:$P$575,13,FALSE)</f>
        <v>LV</v>
      </c>
      <c r="AW359" s="18">
        <f>IF(AX359&gt;0,1,0)</f>
        <v>1</v>
      </c>
      <c r="AX359" s="18">
        <f>SUM(BA359,BM359,CT359)</f>
        <v>1</v>
      </c>
      <c r="AY359" s="18">
        <f>SUM(BB359,BN359,CV359)</f>
        <v>28.571428571428569</v>
      </c>
      <c r="AZ359" s="18">
        <f>IF(BA359&gt;0,1,0)</f>
        <v>0</v>
      </c>
      <c r="BA359" s="18">
        <f>SUM(BC359,BF359,BI359)</f>
        <v>0</v>
      </c>
      <c r="BB359" s="18">
        <f>SUM(BE359,BH359,BK359)</f>
        <v>0</v>
      </c>
      <c r="BC359" s="18">
        <f>IF(BD359&gt;0,1,0)</f>
        <v>0</v>
      </c>
      <c r="BD359" s="18">
        <f>VLOOKUP($K359,'[5]FECs - good data'!$C$1:$Z$574,14,FALSE)</f>
        <v>0</v>
      </c>
      <c r="BE359" s="16">
        <f>BD359/AS359</f>
        <v>0</v>
      </c>
      <c r="BF359" s="16">
        <f>IF(BG359&gt;0,1,0)</f>
        <v>0</v>
      </c>
      <c r="BG359" s="23">
        <f>VLOOKUP($K359,'[5]FECs - good data'!$C$1:$Z$574,15,FALSE)</f>
        <v>0</v>
      </c>
      <c r="BH359" s="16">
        <f>BG359/AS359</f>
        <v>0</v>
      </c>
      <c r="BI359" s="16">
        <f>IF(BJ359&gt;0,1,0)</f>
        <v>0</v>
      </c>
      <c r="BJ359" s="16">
        <f>VLOOKUP($K359,'[5]FECs - good data'!$C$1:$Z$574,16,FALSE)</f>
        <v>0</v>
      </c>
      <c r="BK359" s="16">
        <f>BJ359/AS359</f>
        <v>0</v>
      </c>
      <c r="BL359" s="16">
        <f>IF(BM359&gt;0,1,0)</f>
        <v>1</v>
      </c>
      <c r="BM359" s="16">
        <f>SUM(BR359,BU359,BX359,CA359,CD359,CG359,CJ359,CM359,CP359)</f>
        <v>1</v>
      </c>
      <c r="BN359" s="16">
        <f>SUM(BW359,BZ359,CC359,CF359,CI359,CL359,CO359,CR359,BT359)</f>
        <v>28.571428571428569</v>
      </c>
      <c r="BO359" s="16">
        <f>IF(BP359&gt;0,1,0)</f>
        <v>0</v>
      </c>
      <c r="BP359" s="16">
        <f>SUM(BU359,BX359,CA359,CD359,BR359)</f>
        <v>0</v>
      </c>
      <c r="BQ359" s="16">
        <f>SUM(BZ359,CC359,CF359,BT359,BW359)</f>
        <v>0</v>
      </c>
      <c r="BR359" s="16">
        <f>IF(BS359&gt;0,1,0)</f>
        <v>0</v>
      </c>
      <c r="BS359" s="16">
        <f>VLOOKUP($K359,'[5]FECs - good data'!$C$1:$Z$574,17,FALSE)</f>
        <v>0</v>
      </c>
      <c r="BT359" s="23">
        <f>BS359/AS359</f>
        <v>0</v>
      </c>
      <c r="BU359" s="16">
        <f>IF(BV359&gt;0,1,0)</f>
        <v>0</v>
      </c>
      <c r="BV359" s="16">
        <f>VLOOKUP($K359,'[5]FECs - good data'!$C$1:$Z$574,18,FALSE)</f>
        <v>0</v>
      </c>
      <c r="BW359" s="16">
        <f>BV359/AS359</f>
        <v>0</v>
      </c>
      <c r="BX359" s="16">
        <f>IF(BY359&gt;0,1,0)</f>
        <v>0</v>
      </c>
      <c r="BY359" s="16">
        <f>VLOOKUP($K359,'[5]FECs - good data'!$C$1:$Z$574,19,FALSE)</f>
        <v>0</v>
      </c>
      <c r="BZ359" s="16">
        <f>BY359/AS359</f>
        <v>0</v>
      </c>
      <c r="CA359" s="16">
        <f>IF(CB359&gt;0,1,0)</f>
        <v>0</v>
      </c>
      <c r="CB359" s="16">
        <f>VLOOKUP($K359,'[5]FECs - good data'!$C$1:$Z$574,20,FALSE)</f>
        <v>0</v>
      </c>
      <c r="CC359" s="16">
        <f>CB359/AS359</f>
        <v>0</v>
      </c>
      <c r="CD359" s="23">
        <f>IF(CE359&gt;0,1,0)</f>
        <v>0</v>
      </c>
      <c r="CE359" s="16">
        <f>VLOOKUP($K359,'[5]FECs - good data'!$C$1:$Z$574,21,FALSE)</f>
        <v>0</v>
      </c>
      <c r="CF359" s="16">
        <f>CE359/AS359</f>
        <v>0</v>
      </c>
      <c r="CG359" s="16">
        <f>IF(CH359&gt;0,1,0)</f>
        <v>0</v>
      </c>
      <c r="CH359" s="16">
        <f>VLOOKUP($K359,'[5]FECs - good data'!$C$1:$Z$574,22,FALSE)</f>
        <v>0</v>
      </c>
      <c r="CI359" s="16">
        <f>CH359/AS359</f>
        <v>0</v>
      </c>
      <c r="CJ359" s="16">
        <f>IF(CK359&gt;0,1,0)</f>
        <v>1</v>
      </c>
      <c r="CK359" s="16">
        <f>VLOOKUP($K359,'[5]FECs - good data'!$C$1:$Z$674,24,FALSE)</f>
        <v>11</v>
      </c>
      <c r="CL359" s="16">
        <f>CK359/AS359</f>
        <v>28.571428571428569</v>
      </c>
      <c r="CS359" s="16">
        <f>IF(CT359&gt;0,1,0)</f>
        <v>0</v>
      </c>
      <c r="CT359" s="16">
        <f>SUM(CW359+CZ359,DC359)</f>
        <v>0</v>
      </c>
      <c r="CV359" s="16">
        <f>SUM(CY359,DB359,DE359)</f>
        <v>0</v>
      </c>
      <c r="CW359" s="16">
        <f>IF(CX359&gt;0,1,0)</f>
        <v>0</v>
      </c>
      <c r="CX359" s="16">
        <f>VLOOKUP($K359,'[5]FECs - good data'!$C$1:$Z$574,22,FALSE)</f>
        <v>0</v>
      </c>
      <c r="CY359" s="16">
        <f>CX359/AS359</f>
        <v>0</v>
      </c>
      <c r="CZ359" s="16">
        <f>IF(DA359&gt;0,1,0)</f>
        <v>0</v>
      </c>
      <c r="DA359" s="16">
        <f>VLOOKUP($K359,'[5]FECs - good data'!$C$1:$Z$5982,23,FALSE)</f>
        <v>0</v>
      </c>
      <c r="DB359" s="16">
        <f>DA359/AS359</f>
        <v>0</v>
      </c>
      <c r="DC359" s="16">
        <f>IF(DD359&gt;0,1,0)</f>
        <v>0</v>
      </c>
      <c r="DD359" s="16">
        <f>VLOOKUP($K359,'[5]FECs - good data'!$C$1:$Z$574,23,FALSE)</f>
        <v>0</v>
      </c>
      <c r="DE359" s="16">
        <f>DD359/AS359</f>
        <v>0</v>
      </c>
      <c r="DF359" s="16" t="e">
        <f>VLOOKUP(K359,'[3]RNA Seq summary tables'!$V$3:$V$99,1,FALSE)</f>
        <v>#N/A</v>
      </c>
      <c r="DG359" s="16">
        <v>1</v>
      </c>
      <c r="DH359" s="16" t="str">
        <f>VLOOKUP(D359,'[6]workflow 3.2018'!$A$1:$S$237,2,FALSE)</f>
        <v>2017MLBS_73</v>
      </c>
      <c r="DT359" s="25"/>
      <c r="DU359" s="25"/>
      <c r="DV359" s="25"/>
      <c r="DW359" s="25"/>
      <c r="DX359" s="25"/>
      <c r="DY359" s="25"/>
      <c r="DZ359" s="25"/>
      <c r="EA359" s="25"/>
      <c r="EB359" s="25"/>
      <c r="EC359" s="25"/>
      <c r="ED359" s="25"/>
    </row>
    <row r="360" spans="1:288" ht="16" x14ac:dyDescent="0.2">
      <c r="A360" s="51">
        <v>1</v>
      </c>
      <c r="B360" s="16">
        <v>2017</v>
      </c>
      <c r="C360" s="20">
        <v>42957</v>
      </c>
      <c r="D360" s="20" t="str">
        <f>CONCATENATE(J360,"-",C360)</f>
        <v>1212-42957</v>
      </c>
      <c r="E360" s="37" t="str">
        <f>CONCATENATE(T360,"-",U360,"-",C360)</f>
        <v>SP2-H6-42957</v>
      </c>
      <c r="F360" s="20" t="s">
        <v>106</v>
      </c>
      <c r="G360" s="37" t="s">
        <v>107</v>
      </c>
      <c r="H360" s="18" t="s">
        <v>260</v>
      </c>
      <c r="I360" s="16">
        <v>0</v>
      </c>
      <c r="J360" s="21">
        <v>1212</v>
      </c>
      <c r="K360" s="76" t="s">
        <v>261</v>
      </c>
      <c r="L360" s="18">
        <v>0</v>
      </c>
      <c r="M360" s="21">
        <v>0</v>
      </c>
      <c r="N360" s="15">
        <v>0</v>
      </c>
      <c r="O360" s="15" t="s">
        <v>119</v>
      </c>
      <c r="P360" s="16" t="s">
        <v>119</v>
      </c>
      <c r="Q360" s="16">
        <v>0</v>
      </c>
      <c r="R360" s="16">
        <v>18</v>
      </c>
      <c r="T360" s="16" t="s">
        <v>137</v>
      </c>
      <c r="U360" s="16" t="s">
        <v>141</v>
      </c>
      <c r="V360" s="16" t="s">
        <v>114</v>
      </c>
      <c r="W360" s="16">
        <f>AI360/AG360</f>
        <v>0.91954022988505746</v>
      </c>
      <c r="X360" s="16" t="s">
        <v>121</v>
      </c>
      <c r="Y360" s="16" t="s">
        <v>110</v>
      </c>
      <c r="Z360" s="16">
        <v>3</v>
      </c>
      <c r="AA360" s="16" t="s">
        <v>119</v>
      </c>
      <c r="AB360" s="16" t="s">
        <v>239</v>
      </c>
      <c r="AC360" s="16" t="s">
        <v>123</v>
      </c>
      <c r="AD360" s="16" t="s">
        <v>123</v>
      </c>
      <c r="AG360" s="16">
        <f>AH360-AI360</f>
        <v>87</v>
      </c>
      <c r="AH360" s="16">
        <v>167</v>
      </c>
      <c r="AI360" s="16">
        <v>80</v>
      </c>
      <c r="AK360" s="16">
        <v>21.5</v>
      </c>
      <c r="AL360" s="16">
        <v>0</v>
      </c>
      <c r="AM360" s="16">
        <v>0</v>
      </c>
      <c r="AN360" s="16">
        <v>0</v>
      </c>
      <c r="AO360" s="16">
        <v>0</v>
      </c>
      <c r="AP360" s="16">
        <f>SUM(AL360:AN360)</f>
        <v>0</v>
      </c>
      <c r="AQ360" s="16">
        <v>2.0550000000000002</v>
      </c>
      <c r="AR360" s="16">
        <f>AP360-1.472</f>
        <v>-1.472</v>
      </c>
      <c r="AS360" s="16">
        <f>AQ360-1.472</f>
        <v>0.58300000000000018</v>
      </c>
      <c r="AT360" s="16" t="str">
        <f>VLOOKUP(E360,[2]Current!$A$1:$W$435,7,FALSE)</f>
        <v>NB</v>
      </c>
      <c r="AU360" s="16" t="s">
        <v>1288</v>
      </c>
      <c r="AV360" s="23"/>
      <c r="AW360" s="128">
        <f>IF(AX360&gt;0,1,0)</f>
        <v>1</v>
      </c>
      <c r="AX360" s="128">
        <f>SUM(BA360,BM360,CU360)</f>
        <v>4</v>
      </c>
      <c r="AY360" s="128">
        <f>SUM(BB360,BN360,CV360)</f>
        <v>644.93996569468254</v>
      </c>
      <c r="AZ360" s="128">
        <f>IF(BA360&gt;0,1,0)</f>
        <v>1</v>
      </c>
      <c r="BA360" s="128">
        <f>SUM(BC360+BF360+BI360)</f>
        <v>2</v>
      </c>
      <c r="BB360" s="128">
        <f>SUM(BE360,BH360,BK360)</f>
        <v>641.50943396226398</v>
      </c>
      <c r="BC360" s="130">
        <f>IF(BD360&gt;0,1,0)</f>
        <v>0</v>
      </c>
      <c r="BD360" s="128">
        <f>VLOOKUP($E360,[2]Current!$A:$AC,26,FALSE)</f>
        <v>0</v>
      </c>
      <c r="BE360" s="128">
        <f>BD360/$AS360</f>
        <v>0</v>
      </c>
      <c r="BF360" s="130">
        <f>IF(BG360&gt;0,1,0)</f>
        <v>1</v>
      </c>
      <c r="BG360" s="175">
        <f>VLOOKUP($E360,[2]Current!$A:$AC,27,FALSE)</f>
        <v>68</v>
      </c>
      <c r="BH360" s="128">
        <f>BG360/$AS360</f>
        <v>116.63807890222981</v>
      </c>
      <c r="BI360" s="130">
        <f>IF(BJ360&gt;0,1,0)</f>
        <v>1</v>
      </c>
      <c r="BJ360" s="128">
        <f>VLOOKUP($E360,[2]Current!$A:$AC,28,FALSE)</f>
        <v>306</v>
      </c>
      <c r="BK360" s="128">
        <f>BJ360/$AS360</f>
        <v>524.87135506003415</v>
      </c>
      <c r="BL360" s="128">
        <f>IF(BM360&gt;0,1,0)</f>
        <v>1</v>
      </c>
      <c r="BM360" s="128">
        <f>SUM(BR360,BU360,BX360,CA360,CD360)</f>
        <v>2</v>
      </c>
      <c r="BN360" s="131">
        <f>SUM(BT360,BW360,BZ360,CC360,CF360)</f>
        <v>3.4305317324185238</v>
      </c>
      <c r="BO360" s="128">
        <f>IF(BP360&gt;0,1,0)</f>
        <v>1</v>
      </c>
      <c r="BP360" s="128">
        <f>BM360+CJ360</f>
        <v>2</v>
      </c>
      <c r="BQ360" s="128">
        <f>BN360+CL360</f>
        <v>3.4305317324185238</v>
      </c>
      <c r="BR360" s="130">
        <f>IF(BS360&gt;0,1,0)</f>
        <v>0</v>
      </c>
      <c r="BS360" s="128">
        <f>VLOOKUP($E360,[2]Current!$A:$AC,12,FALSE)</f>
        <v>0</v>
      </c>
      <c r="BT360" s="175">
        <f>BS360/$AS360</f>
        <v>0</v>
      </c>
      <c r="BU360" s="130">
        <f>IF(BV360&gt;0,1,0)</f>
        <v>0</v>
      </c>
      <c r="BV360" s="128">
        <f>VLOOKUP($E360,[2]Current!$A:$AC,13,FALSE)</f>
        <v>0</v>
      </c>
      <c r="BW360" s="128">
        <f>BV360/$AS360</f>
        <v>0</v>
      </c>
      <c r="BX360" s="130">
        <f>IF(BY360&gt;0,1,0)</f>
        <v>1</v>
      </c>
      <c r="BY360" s="128">
        <f>VLOOKUP($E360,[2]Current!$A:$AC,14,FALSE)</f>
        <v>1</v>
      </c>
      <c r="BZ360" s="128">
        <f>BY360/$AS360</f>
        <v>1.7152658662092619</v>
      </c>
      <c r="CA360" s="130">
        <f>IF(CB360&gt;0,1,0)</f>
        <v>1</v>
      </c>
      <c r="CB360" s="128">
        <f>VLOOKUP($E360,[2]Current!$A:$AC,15,FALSE)</f>
        <v>1</v>
      </c>
      <c r="CC360" s="128">
        <f>CB360/$AS360</f>
        <v>1.7152658662092619</v>
      </c>
      <c r="CD360" s="176">
        <f>IF(CE360&gt;0,1,0)</f>
        <v>0</v>
      </c>
      <c r="CE360" s="128">
        <f>VLOOKUP($E360,[2]Current!$A:$AC,16,FALSE)</f>
        <v>0</v>
      </c>
      <c r="CF360" s="128">
        <f>CE360/$AS360</f>
        <v>0</v>
      </c>
      <c r="CG360" s="18"/>
      <c r="CH360" s="18"/>
      <c r="CI360" s="18"/>
      <c r="CJ360" s="130">
        <f>IF(CK360&gt;0,1,0)</f>
        <v>0</v>
      </c>
      <c r="CK360" s="128">
        <f>VLOOKUP($E360,[2]Current!$A:$AC,18,FALSE)</f>
        <v>0</v>
      </c>
      <c r="CL360" s="128">
        <f>CK360/$AS360</f>
        <v>0</v>
      </c>
      <c r="CS360" s="130">
        <f>IF(CU360&gt;0,1,0)</f>
        <v>0</v>
      </c>
      <c r="CU360" s="128">
        <f>VLOOKUP($E360,[2]Current!$A:$AC,17,FALSE)</f>
        <v>0</v>
      </c>
      <c r="CV360" s="128">
        <f>CU360/$AS360</f>
        <v>0</v>
      </c>
      <c r="CW360" s="18"/>
      <c r="CX360" s="18"/>
      <c r="CY360" s="18"/>
      <c r="DF360" s="16" t="e">
        <f>VLOOKUP(K360,'[3]RNA Seq summary tables'!$V$3:$V$99,1,FALSE)</f>
        <v>#N/A</v>
      </c>
      <c r="DG360" s="16">
        <v>1</v>
      </c>
      <c r="DH360" s="16" t="str">
        <f>VLOOKUP(D360,'[6]workflow 3.2018'!$A$1:$S$237,2,FALSE)</f>
        <v>2017MLBS_128</v>
      </c>
    </row>
    <row r="361" spans="1:288" s="18" customFormat="1" ht="16" x14ac:dyDescent="0.2">
      <c r="B361" s="16">
        <v>2018</v>
      </c>
      <c r="C361" s="124">
        <v>43233</v>
      </c>
      <c r="D361" t="s">
        <v>711</v>
      </c>
      <c r="E361" s="37" t="str">
        <f>CONCATENATE(T361,"-",U361,"-",C361)</f>
        <v>SP2-G8-43233</v>
      </c>
      <c r="F361" s="16" t="s">
        <v>227</v>
      </c>
      <c r="G361" s="126" t="s">
        <v>107</v>
      </c>
      <c r="H361" s="126"/>
      <c r="I361" s="16"/>
      <c r="J361" s="126">
        <v>1212</v>
      </c>
      <c r="K361" s="126">
        <v>2345</v>
      </c>
      <c r="L361" s="16"/>
      <c r="M361" s="21"/>
      <c r="N361" s="21"/>
      <c r="O361" s="126" t="s">
        <v>119</v>
      </c>
      <c r="P361" s="16" t="s">
        <v>119</v>
      </c>
      <c r="Q361" s="16">
        <v>1</v>
      </c>
      <c r="R361" s="16">
        <f>C361-C360</f>
        <v>276</v>
      </c>
      <c r="S361" s="16">
        <v>1</v>
      </c>
      <c r="T361" s="126" t="s">
        <v>137</v>
      </c>
      <c r="U361" s="126" t="s">
        <v>216</v>
      </c>
      <c r="V361" s="135" t="s">
        <v>142</v>
      </c>
      <c r="W361" s="16"/>
      <c r="X361" s="126" t="s">
        <v>121</v>
      </c>
      <c r="Y361" s="126" t="s">
        <v>110</v>
      </c>
      <c r="Z361" s="126">
        <v>3</v>
      </c>
      <c r="AA361" s="126" t="s">
        <v>119</v>
      </c>
      <c r="AB361" s="126" t="s">
        <v>116</v>
      </c>
      <c r="AC361" s="126" t="s">
        <v>116</v>
      </c>
      <c r="AD361" s="126"/>
      <c r="AE361" s="126"/>
      <c r="AF361" s="16"/>
      <c r="AG361" s="16">
        <f>AH361-AI361</f>
        <v>85</v>
      </c>
      <c r="AH361" s="126">
        <v>167</v>
      </c>
      <c r="AI361" s="126">
        <v>82</v>
      </c>
      <c r="AJ361" s="16"/>
      <c r="AK361" s="126">
        <v>13.5</v>
      </c>
      <c r="AL361" s="126">
        <v>1</v>
      </c>
      <c r="AM361" s="126">
        <v>0</v>
      </c>
      <c r="AN361" s="126">
        <v>0</v>
      </c>
      <c r="AO361" s="16">
        <f>IF(SUM(AL361:AN361)&gt;0,1,0)</f>
        <v>1</v>
      </c>
      <c r="AP361" s="18">
        <f>SUM(AL361:AN361)</f>
        <v>1</v>
      </c>
      <c r="AQ361" s="16"/>
      <c r="AR361" s="16">
        <v>0.2370000000000001</v>
      </c>
      <c r="AS361" s="16">
        <f>VLOOKUP(E361,'[1]Feces weights'!$D$1:$H$459,5,FALSE)</f>
        <v>0.2370000000000001</v>
      </c>
      <c r="AT361" s="16" t="str">
        <f>VLOOKUP(E361,[9]Current!$A:$T,7,FALSE)</f>
        <v>DP</v>
      </c>
      <c r="AU361" s="18" t="s">
        <v>1290</v>
      </c>
      <c r="AV361" s="16"/>
      <c r="AW361" s="177">
        <f>IF(AY361&gt;0,1,0)</f>
        <v>1</v>
      </c>
      <c r="AX361" s="177">
        <f>SUM(BA361,BM361,CU361)</f>
        <v>1</v>
      </c>
      <c r="AY361" s="177">
        <f>SUM(BB361,BN361,CV361)</f>
        <v>8.4388185654008403</v>
      </c>
      <c r="AZ361" s="177">
        <f>IF(BB361&gt;0,1,0)</f>
        <v>0</v>
      </c>
      <c r="BA361" s="177">
        <f>SUM(BC361+BF361+BI361)</f>
        <v>0</v>
      </c>
      <c r="BB361" s="177">
        <f>SUM(BE361,BH361,BK361)</f>
        <v>0</v>
      </c>
      <c r="BC361" s="178">
        <f>IF(BD361&gt;0,1,0)</f>
        <v>0</v>
      </c>
      <c r="BD361" s="177">
        <f>VLOOKUP($E361,[9]Current!$1:$1048576,8,FALSE)</f>
        <v>0</v>
      </c>
      <c r="BE361" s="177">
        <f>BD361/$AS361</f>
        <v>0</v>
      </c>
      <c r="BF361" s="178">
        <f>IF(BG361&gt;0,1,0)</f>
        <v>0</v>
      </c>
      <c r="BG361" s="185">
        <f>VLOOKUP($E361,[9]Current!$1:$1048576,9,FALSE)</f>
        <v>0</v>
      </c>
      <c r="BH361" s="177">
        <f>BG361/$AS361</f>
        <v>0</v>
      </c>
      <c r="BI361" s="178">
        <f>IF(BJ361&gt;0,1,0)</f>
        <v>0</v>
      </c>
      <c r="BJ361" s="177">
        <f>VLOOKUP($E361,[9]Current!$1:$1048576,10,FALSE)</f>
        <v>0</v>
      </c>
      <c r="BK361" s="177">
        <f>BJ361/$AS361</f>
        <v>0</v>
      </c>
      <c r="BL361" s="177">
        <f>IF(BM361&gt;0,1,0)</f>
        <v>1</v>
      </c>
      <c r="BM361" s="177">
        <f>SUM(BR361,BU361,BX361,CA361,CD361)</f>
        <v>1</v>
      </c>
      <c r="BN361" s="181">
        <f>SUM(BT361,BW361,BZ361,CC361,CF361)</f>
        <v>8.4388185654008403</v>
      </c>
      <c r="BO361" s="177">
        <f>IF(BP361&gt;0,1,0)</f>
        <v>1</v>
      </c>
      <c r="BP361" s="177">
        <f>BM361+CJ361</f>
        <v>1</v>
      </c>
      <c r="BQ361" s="177">
        <f>BN361+CL361</f>
        <v>8.4388185654008403</v>
      </c>
      <c r="BR361" s="178">
        <f>IF(BS361&gt;0,1,0)</f>
        <v>0</v>
      </c>
      <c r="BS361" s="177">
        <f>VLOOKUP($E361,[9]Current!$1:$1048576,12,FALSE)</f>
        <v>0</v>
      </c>
      <c r="BT361" s="185">
        <f>BS361/$AS361</f>
        <v>0</v>
      </c>
      <c r="BU361" s="178">
        <f>IF(BV361&gt;0,1,0)</f>
        <v>0</v>
      </c>
      <c r="BV361" s="177">
        <f>VLOOKUP($E361,[9]Current!$1:$1048576,13,FALSE)</f>
        <v>0</v>
      </c>
      <c r="BW361" s="177">
        <f>BV361/$AS361</f>
        <v>0</v>
      </c>
      <c r="BX361" s="178">
        <f>IF(BY361&gt;0,1,0)</f>
        <v>1</v>
      </c>
      <c r="BY361" s="177">
        <f>VLOOKUP($E361,[9]Current!$1:$1048576,14,FALSE)</f>
        <v>2</v>
      </c>
      <c r="BZ361" s="177">
        <f>BY361/$AS361</f>
        <v>8.4388185654008403</v>
      </c>
      <c r="CA361" s="178">
        <f>IF(CB361&gt;0,1,0)</f>
        <v>0</v>
      </c>
      <c r="CB361" s="177">
        <f>VLOOKUP($E361,[9]Current!$1:$1048576,15,FALSE)</f>
        <v>0</v>
      </c>
      <c r="CC361" s="177">
        <f>CB361/$AS361</f>
        <v>0</v>
      </c>
      <c r="CD361" s="186">
        <f>IF(CE361&gt;0,1,0)</f>
        <v>0</v>
      </c>
      <c r="CE361" s="177">
        <f>VLOOKUP($E361,[9]Current!$1:$1048576,16,FALSE)</f>
        <v>0</v>
      </c>
      <c r="CF361" s="177">
        <f>CE361/$AS361</f>
        <v>0</v>
      </c>
      <c r="CJ361" s="178">
        <f>IF(CK361&gt;0,1,0)</f>
        <v>0</v>
      </c>
      <c r="CK361" s="177">
        <f>VLOOKUP($E361,[9]Current!$1:$1048576,18,FALSE)</f>
        <v>0</v>
      </c>
      <c r="CL361" s="177">
        <f>CK361/$AS361</f>
        <v>0</v>
      </c>
      <c r="CM361" s="16"/>
      <c r="CN361" s="16"/>
      <c r="CO361" s="16"/>
      <c r="CP361" s="16"/>
      <c r="CQ361" s="16"/>
      <c r="CR361" s="16"/>
      <c r="CS361" s="178">
        <f>IF(CU361&gt;0,1,0)</f>
        <v>0</v>
      </c>
      <c r="CT361" s="177"/>
      <c r="CU361" s="177">
        <f>VLOOKUP($E361,[9]Current!$1:$1048576,17,FALSE)</f>
        <v>0</v>
      </c>
      <c r="CV361" s="177">
        <f>CU361/$AS361</f>
        <v>0</v>
      </c>
      <c r="CW361" s="16"/>
      <c r="CX361" s="16"/>
      <c r="CY361" s="16"/>
      <c r="CZ361" s="16"/>
      <c r="DA361" s="16"/>
      <c r="DB361" s="16"/>
      <c r="DC361" s="16"/>
      <c r="DD361" s="16"/>
      <c r="DE361" s="16"/>
      <c r="DF361" s="16" t="e">
        <f>VLOOKUP(K361,'[3]RNA Seq summary tables'!$V$3:$V$99,1,FALSE)</f>
        <v>#N/A</v>
      </c>
      <c r="DG361" s="126" t="s">
        <v>116</v>
      </c>
      <c r="DH361" s="16"/>
      <c r="DI361" s="16"/>
      <c r="DJ361" s="16"/>
      <c r="DK361" s="16"/>
      <c r="DL361" s="16"/>
      <c r="DM361" s="16"/>
      <c r="DN361" s="16"/>
      <c r="DO361" s="16"/>
      <c r="DP361" s="16"/>
      <c r="DQ361" s="16"/>
      <c r="DR361" s="16"/>
      <c r="DS361" s="16"/>
      <c r="JO361" s="16"/>
      <c r="JP361" s="16"/>
      <c r="JQ361" s="16"/>
      <c r="JR361" s="16"/>
      <c r="JS361" s="16"/>
      <c r="JT361" s="16"/>
      <c r="JU361" s="16"/>
      <c r="JV361" s="16"/>
      <c r="JW361" s="16"/>
      <c r="JX361" s="16"/>
      <c r="JY361" s="16"/>
      <c r="JZ361" s="16"/>
      <c r="KA361" s="16"/>
      <c r="KB361" s="16"/>
    </row>
    <row r="362" spans="1:288" ht="16" x14ac:dyDescent="0.2">
      <c r="B362" s="16">
        <v>2017</v>
      </c>
      <c r="C362" s="20">
        <v>42923</v>
      </c>
      <c r="D362" s="20" t="str">
        <f>CONCATENATE(J362,"-",C362)</f>
        <v>1214-42923</v>
      </c>
      <c r="E362" s="37" t="str">
        <f>CONCATENATE(T362,"-",U362,"-",C362)</f>
        <v>SP1-C4-42923</v>
      </c>
      <c r="F362" s="20" t="s">
        <v>106</v>
      </c>
      <c r="G362" s="20" t="s">
        <v>107</v>
      </c>
      <c r="I362" s="16">
        <v>0</v>
      </c>
      <c r="J362" s="21">
        <v>1214</v>
      </c>
      <c r="K362" s="21">
        <v>1838</v>
      </c>
      <c r="L362" s="18">
        <v>0</v>
      </c>
      <c r="M362" s="21">
        <f>VLOOKUP($K362,'[4]blood tubes 2017'!$D$1:$L$647,8,FALSE)</f>
        <v>0</v>
      </c>
      <c r="N362" s="15">
        <v>0</v>
      </c>
      <c r="O362" s="15" t="s">
        <v>119</v>
      </c>
      <c r="P362" s="16" t="s">
        <v>119</v>
      </c>
      <c r="Q362" s="16">
        <v>0</v>
      </c>
      <c r="R362" s="16" t="s">
        <v>111</v>
      </c>
      <c r="T362" s="16" t="s">
        <v>140</v>
      </c>
      <c r="U362" s="16" t="s">
        <v>229</v>
      </c>
      <c r="V362" s="16" t="s">
        <v>114</v>
      </c>
      <c r="W362" s="16">
        <f>AI362/AG362</f>
        <v>0.85897435897435892</v>
      </c>
      <c r="X362" s="16" t="s">
        <v>121</v>
      </c>
      <c r="Y362" s="16" t="s">
        <v>122</v>
      </c>
      <c r="Z362" s="16">
        <v>2.2999999999999998</v>
      </c>
      <c r="AA362" s="16" t="s">
        <v>119</v>
      </c>
      <c r="AB362" s="16" t="s">
        <v>123</v>
      </c>
      <c r="AC362" s="16" t="s">
        <v>123</v>
      </c>
      <c r="AD362" s="16" t="s">
        <v>123</v>
      </c>
      <c r="AG362" s="16">
        <f>AH362-AI362</f>
        <v>78</v>
      </c>
      <c r="AH362" s="16">
        <v>145</v>
      </c>
      <c r="AI362" s="16">
        <v>67</v>
      </c>
      <c r="AK362" s="16">
        <v>15</v>
      </c>
      <c r="AL362" s="16">
        <v>0</v>
      </c>
      <c r="AM362" s="16">
        <v>0</v>
      </c>
      <c r="AN362" s="16">
        <v>0</v>
      </c>
      <c r="AO362" s="16">
        <v>0</v>
      </c>
      <c r="AP362" s="16">
        <f>SUM(AL362:AN362)</f>
        <v>0</v>
      </c>
      <c r="AQ362" s="16">
        <v>1.917</v>
      </c>
      <c r="AR362" s="16">
        <f>AP362-1.472</f>
        <v>-1.472</v>
      </c>
      <c r="AS362" s="16">
        <f>AQ362-1.472</f>
        <v>0.44500000000000006</v>
      </c>
      <c r="AT362" s="16" t="str">
        <f>VLOOKUP(E362,[2]Current!$A$1:$W$435,7,FALSE)</f>
        <v>NB</v>
      </c>
      <c r="AU362" s="16" t="s">
        <v>1288</v>
      </c>
      <c r="AW362" s="128">
        <f>IF(AX362&gt;0,1,0)</f>
        <v>1</v>
      </c>
      <c r="AX362" s="128">
        <f>SUM(BA362,BM362,CU362)</f>
        <v>3</v>
      </c>
      <c r="AY362" s="128">
        <f>SUM(BB362,BN362,CV362)</f>
        <v>5197.7528089887628</v>
      </c>
      <c r="AZ362" s="128">
        <f>IF(BA362&gt;0,1,0)</f>
        <v>1</v>
      </c>
      <c r="BA362" s="128">
        <f>SUM(BC362+BF362+BI362)</f>
        <v>1</v>
      </c>
      <c r="BB362" s="128">
        <f>SUM(BE362,BH362,BK362)</f>
        <v>5193.2584269662912</v>
      </c>
      <c r="BC362" s="130">
        <f>IF(BD362&gt;0,1,0)</f>
        <v>0</v>
      </c>
      <c r="BD362" s="128">
        <f>VLOOKUP($E362,[2]Current!$A:$AC,26,FALSE)</f>
        <v>0</v>
      </c>
      <c r="BE362" s="128">
        <f>BD362/$AS362</f>
        <v>0</v>
      </c>
      <c r="BF362" s="130">
        <f>IF(BG362&gt;0,1,0)</f>
        <v>1</v>
      </c>
      <c r="BG362" s="175">
        <f>VLOOKUP($E362,[2]Current!$A:$AC,27,FALSE)</f>
        <v>2311</v>
      </c>
      <c r="BH362" s="128">
        <f>BG362/$AS362</f>
        <v>5193.2584269662912</v>
      </c>
      <c r="BI362" s="130">
        <f>IF(BJ362&gt;0,1,0)</f>
        <v>0</v>
      </c>
      <c r="BJ362" s="128">
        <f>VLOOKUP($E362,[2]Current!$A:$AC,28,FALSE)</f>
        <v>0</v>
      </c>
      <c r="BK362" s="128">
        <f>BJ362/$AS362</f>
        <v>0</v>
      </c>
      <c r="BL362" s="128">
        <f>IF(BM362&gt;0,1,0)</f>
        <v>0</v>
      </c>
      <c r="BM362" s="128">
        <f>SUM(BR362,BU362,BX362,CA362,CD362)</f>
        <v>0</v>
      </c>
      <c r="BN362" s="131">
        <f>SUM(BT362,BW362,BZ362,CC362,CF362)</f>
        <v>0</v>
      </c>
      <c r="BO362" s="128">
        <f>IF(BP362&gt;0,1,0)</f>
        <v>0</v>
      </c>
      <c r="BP362" s="128">
        <f>BM362+CJ362</f>
        <v>0</v>
      </c>
      <c r="BQ362" s="128">
        <f>BN362+CL362</f>
        <v>0</v>
      </c>
      <c r="BR362" s="130">
        <f>IF(BS362&gt;0,1,0)</f>
        <v>0</v>
      </c>
      <c r="BS362" s="128">
        <f>VLOOKUP($E362,[2]Current!$A:$AC,12,FALSE)</f>
        <v>0</v>
      </c>
      <c r="BT362" s="175">
        <f>BS362/$AS362</f>
        <v>0</v>
      </c>
      <c r="BU362" s="130">
        <f>IF(BV362&gt;0,1,0)</f>
        <v>0</v>
      </c>
      <c r="BV362" s="128">
        <f>VLOOKUP($E362,[2]Current!$A:$AC,13,FALSE)</f>
        <v>0</v>
      </c>
      <c r="BW362" s="128">
        <f>BV362/$AS362</f>
        <v>0</v>
      </c>
      <c r="BX362" s="130">
        <f>IF(BY362&gt;0,1,0)</f>
        <v>0</v>
      </c>
      <c r="BY362" s="128">
        <f>VLOOKUP($E362,[2]Current!$A:$AC,14,FALSE)</f>
        <v>0</v>
      </c>
      <c r="BZ362" s="128">
        <f>BY362/$AS362</f>
        <v>0</v>
      </c>
      <c r="CA362" s="130">
        <f>IF(CB362&gt;0,1,0)</f>
        <v>0</v>
      </c>
      <c r="CB362" s="128">
        <f>VLOOKUP($E362,[2]Current!$A:$AC,15,FALSE)</f>
        <v>0</v>
      </c>
      <c r="CC362" s="128">
        <f>CB362/$AS362</f>
        <v>0</v>
      </c>
      <c r="CD362" s="176">
        <f>IF(CE362&gt;0,1,0)</f>
        <v>0</v>
      </c>
      <c r="CE362" s="128">
        <f>VLOOKUP($E362,[2]Current!$A:$AC,16,FALSE)</f>
        <v>0</v>
      </c>
      <c r="CF362" s="128">
        <f>CE362/$AS362</f>
        <v>0</v>
      </c>
      <c r="CG362" s="18"/>
      <c r="CH362" s="18"/>
      <c r="CI362" s="18"/>
      <c r="CJ362" s="130">
        <f>IF(CK362&gt;0,1,0)</f>
        <v>0</v>
      </c>
      <c r="CK362" s="128">
        <f>VLOOKUP($E362,[2]Current!$A:$AC,18,FALSE)</f>
        <v>0</v>
      </c>
      <c r="CL362" s="128">
        <f>CK362/$AS362</f>
        <v>0</v>
      </c>
      <c r="CS362" s="130">
        <f>IF(CU362&gt;0,1,0)</f>
        <v>1</v>
      </c>
      <c r="CU362" s="128">
        <f>VLOOKUP($E362,[2]Current!$A:$AC,17,FALSE)</f>
        <v>2</v>
      </c>
      <c r="CV362" s="128">
        <f>CU362/$AS362</f>
        <v>4.4943820224719095</v>
      </c>
      <c r="CW362" s="18"/>
      <c r="CX362" s="18"/>
      <c r="CY362" s="18"/>
      <c r="DF362" s="16" t="e">
        <f>VLOOKUP(K362,'[3]RNA Seq summary tables'!$V$3:$V$99,1,FALSE)</f>
        <v>#N/A</v>
      </c>
      <c r="DI362" s="16">
        <v>60</v>
      </c>
      <c r="DK362" s="16">
        <v>34</v>
      </c>
      <c r="DM362" s="16">
        <v>6</v>
      </c>
      <c r="DO362" s="16">
        <v>0</v>
      </c>
      <c r="DQ362" s="16">
        <v>0</v>
      </c>
      <c r="DR362" s="16">
        <f>SUM(DI362:DQ362)</f>
        <v>100</v>
      </c>
      <c r="JR362" s="30"/>
      <c r="JS362" s="30"/>
      <c r="JT362" s="30"/>
      <c r="JU362" s="30"/>
      <c r="JV362" s="30"/>
      <c r="JW362" s="30"/>
      <c r="JX362" s="30"/>
      <c r="JY362" s="30"/>
      <c r="JZ362" s="30"/>
      <c r="KA362" s="30"/>
      <c r="KB362" s="30"/>
    </row>
    <row r="363" spans="1:288" s="18" customFormat="1" x14ac:dyDescent="0.2">
      <c r="A363" s="18">
        <v>1</v>
      </c>
      <c r="B363" s="16">
        <v>2017</v>
      </c>
      <c r="C363" s="43">
        <v>42923</v>
      </c>
      <c r="D363" s="43" t="str">
        <f>CONCATENATE(J363,"-",C363)</f>
        <v>1216-42923</v>
      </c>
      <c r="E363" s="20" t="str">
        <f>CONCATENATE(T363,"-",U363,"-",C363)</f>
        <v>SP1-E6-42923</v>
      </c>
      <c r="F363" s="20" t="s">
        <v>106</v>
      </c>
      <c r="G363" s="43" t="s">
        <v>107</v>
      </c>
      <c r="H363" s="23"/>
      <c r="I363" s="16">
        <v>0</v>
      </c>
      <c r="J363" s="15">
        <v>1216</v>
      </c>
      <c r="K363" s="15">
        <v>1841</v>
      </c>
      <c r="L363" s="18">
        <v>0</v>
      </c>
      <c r="M363" s="21">
        <f>VLOOKUP($K363,'[4]blood tubes 2017'!$D$1:$L$647,8,FALSE)</f>
        <v>0</v>
      </c>
      <c r="N363" s="15">
        <v>0</v>
      </c>
      <c r="O363" s="15" t="s">
        <v>119</v>
      </c>
      <c r="P363" s="23" t="s">
        <v>119</v>
      </c>
      <c r="Q363" s="16">
        <v>0</v>
      </c>
      <c r="R363" s="23" t="s">
        <v>111</v>
      </c>
      <c r="S363" s="23"/>
      <c r="T363" s="23" t="s">
        <v>140</v>
      </c>
      <c r="U363" s="23" t="s">
        <v>232</v>
      </c>
      <c r="V363" s="23" t="s">
        <v>114</v>
      </c>
      <c r="W363" s="16">
        <f>AI363/AG363</f>
        <v>0.82352941176470584</v>
      </c>
      <c r="X363" s="23" t="s">
        <v>115</v>
      </c>
      <c r="Y363" s="23" t="s">
        <v>110</v>
      </c>
      <c r="Z363" s="23">
        <v>3</v>
      </c>
      <c r="AA363" s="23"/>
      <c r="AB363" s="23"/>
      <c r="AC363" s="23"/>
      <c r="AD363" s="23"/>
      <c r="AE363" s="23" t="s">
        <v>123</v>
      </c>
      <c r="AF363" s="23" t="s">
        <v>123</v>
      </c>
      <c r="AG363" s="23">
        <f>AH363-AI363</f>
        <v>85</v>
      </c>
      <c r="AH363" s="23">
        <v>155</v>
      </c>
      <c r="AI363" s="23">
        <v>70</v>
      </c>
      <c r="AJ363" s="23"/>
      <c r="AK363" s="23">
        <v>17</v>
      </c>
      <c r="AL363" s="23">
        <v>0</v>
      </c>
      <c r="AM363" s="23">
        <v>0</v>
      </c>
      <c r="AN363" s="23">
        <v>0</v>
      </c>
      <c r="AO363" s="23">
        <v>0</v>
      </c>
      <c r="AP363" s="23">
        <f>SUM(AL363:AN363)</f>
        <v>0</v>
      </c>
      <c r="AQ363" s="23">
        <v>2.1669999999999998</v>
      </c>
      <c r="AR363" s="23">
        <f>AP363-1.472</f>
        <v>-1.472</v>
      </c>
      <c r="AS363" s="23">
        <f>AQ363-1.472</f>
        <v>0.69499999999999984</v>
      </c>
      <c r="AT363" s="16" t="str">
        <f>VLOOKUP(K363,'[5]FECs - good data'!$C$1:$P$575,13,FALSE)</f>
        <v>JY</v>
      </c>
      <c r="AU363" s="18" t="s">
        <v>1293</v>
      </c>
      <c r="AV363" s="16">
        <v>0</v>
      </c>
      <c r="AW363" s="18">
        <f>IF(AX363&gt;0,1,0)</f>
        <v>0</v>
      </c>
      <c r="AX363" s="18">
        <f>SUM(BA363,BM363,CT363)</f>
        <v>0</v>
      </c>
      <c r="AY363" s="18">
        <f>SUM(BB363,BN363,CV363)</f>
        <v>0</v>
      </c>
      <c r="AZ363" s="18">
        <f>IF(BA363&gt;0,1,0)</f>
        <v>0</v>
      </c>
      <c r="BA363" s="18">
        <f>SUM(BC363,BF363,BI363)</f>
        <v>0</v>
      </c>
      <c r="BB363" s="18">
        <f>SUM(BE363,BH363,BK363)</f>
        <v>0</v>
      </c>
      <c r="BC363" s="18">
        <f>IF(BD363&gt;0,1,0)</f>
        <v>0</v>
      </c>
      <c r="BD363" s="18">
        <f>VLOOKUP($K363,'[5]FECs - good data'!$C$1:$Z$574,14,FALSE)</f>
        <v>0</v>
      </c>
      <c r="BE363" s="16">
        <f>BD363/AS363</f>
        <v>0</v>
      </c>
      <c r="BF363" s="16">
        <f>IF(BG363&gt;0,1,0)</f>
        <v>0</v>
      </c>
      <c r="BG363" s="23">
        <f>VLOOKUP($K363,'[5]FECs - good data'!$C$1:$Z$574,15,FALSE)</f>
        <v>0</v>
      </c>
      <c r="BH363" s="16">
        <f>BG363/AS363</f>
        <v>0</v>
      </c>
      <c r="BI363" s="16">
        <f>IF(BJ363&gt;0,1,0)</f>
        <v>0</v>
      </c>
      <c r="BJ363" s="16">
        <f>VLOOKUP($K363,'[5]FECs - good data'!$C$1:$Z$574,16,FALSE)</f>
        <v>0</v>
      </c>
      <c r="BK363" s="16">
        <f>BJ363/AS363</f>
        <v>0</v>
      </c>
      <c r="BL363" s="16">
        <f>IF(BM363&gt;0,1,0)</f>
        <v>0</v>
      </c>
      <c r="BM363" s="16">
        <f>SUM(BR363,BU363,BX363,CA363,CD363,CG363,CJ363,CM363,CP363)</f>
        <v>0</v>
      </c>
      <c r="BN363" s="16">
        <f>SUM(BW363,BZ363,CC363,CF363,CI363,CL363,CO363,CR363,BT363)</f>
        <v>0</v>
      </c>
      <c r="BO363" s="16">
        <f>IF(BP363&gt;0,1,0)</f>
        <v>0</v>
      </c>
      <c r="BP363" s="16">
        <f>SUM(BU363,BX363,CA363,CD363,BR363)</f>
        <v>0</v>
      </c>
      <c r="BQ363" s="16">
        <f>SUM(BZ363,CC363,CF363,BT363,BW363)</f>
        <v>0</v>
      </c>
      <c r="BR363" s="16">
        <f>IF(BS363&gt;0,1,0)</f>
        <v>0</v>
      </c>
      <c r="BS363" s="16">
        <f>VLOOKUP($K363,'[5]FECs - good data'!$C$1:$Z$574,17,FALSE)</f>
        <v>0</v>
      </c>
      <c r="BT363" s="23">
        <f>BS363/AS363</f>
        <v>0</v>
      </c>
      <c r="BU363" s="16">
        <f>IF(BV363&gt;0,1,0)</f>
        <v>0</v>
      </c>
      <c r="BV363" s="16">
        <f>VLOOKUP($K363,'[5]FECs - good data'!$C$1:$Z$574,18,FALSE)</f>
        <v>0</v>
      </c>
      <c r="BW363" s="16">
        <f>BV363/AS363</f>
        <v>0</v>
      </c>
      <c r="BX363" s="16">
        <f>IF(BY363&gt;0,1,0)</f>
        <v>0</v>
      </c>
      <c r="BY363" s="16">
        <f>VLOOKUP($K363,'[5]FECs - good data'!$C$1:$Z$574,19,FALSE)</f>
        <v>0</v>
      </c>
      <c r="BZ363" s="16">
        <f>BY363/AS363</f>
        <v>0</v>
      </c>
      <c r="CA363" s="16">
        <f>IF(CB363&gt;0,1,0)</f>
        <v>0</v>
      </c>
      <c r="CB363" s="16">
        <f>VLOOKUP($K363,'[5]FECs - good data'!$C$1:$Z$574,20,FALSE)</f>
        <v>0</v>
      </c>
      <c r="CC363" s="16">
        <f>CB363/AS363</f>
        <v>0</v>
      </c>
      <c r="CD363" s="23">
        <f>IF(CE363&gt;0,1,0)</f>
        <v>0</v>
      </c>
      <c r="CE363" s="16">
        <f>VLOOKUP($K363,'[5]FECs - good data'!$C$1:$Z$574,21,FALSE)</f>
        <v>0</v>
      </c>
      <c r="CF363" s="16">
        <f>CE363/AS363</f>
        <v>0</v>
      </c>
      <c r="CG363" s="16">
        <f>IF(CH363&gt;0,1,0)</f>
        <v>0</v>
      </c>
      <c r="CH363" s="16">
        <f>VLOOKUP($K363,'[5]FECs - good data'!$C$1:$Z$574,22,FALSE)</f>
        <v>0</v>
      </c>
      <c r="CI363" s="16">
        <f>CH363/AS363</f>
        <v>0</v>
      </c>
      <c r="CJ363" s="16">
        <f>IF(CK363&gt;0,1,0)</f>
        <v>0</v>
      </c>
      <c r="CK363" s="16">
        <f>VLOOKUP($K363,'[5]FECs - good data'!$C$1:$Z$674,24,FALSE)</f>
        <v>0</v>
      </c>
      <c r="CL363" s="16">
        <f>CK363/AS363</f>
        <v>0</v>
      </c>
      <c r="CM363" s="16"/>
      <c r="CN363" s="16"/>
      <c r="CO363" s="16"/>
      <c r="CP363" s="16"/>
      <c r="CQ363" s="16"/>
      <c r="CR363" s="16"/>
      <c r="CS363" s="16">
        <f>IF(CT363&gt;0,1,0)</f>
        <v>0</v>
      </c>
      <c r="CT363" s="16">
        <f>SUM(CW363+CZ363,DC363)</f>
        <v>0</v>
      </c>
      <c r="CU363" s="16"/>
      <c r="CV363" s="16">
        <f>SUM(CY363,DB363,DE363)</f>
        <v>0</v>
      </c>
      <c r="CW363" s="16">
        <f>IF(CX363&gt;0,1,0)</f>
        <v>0</v>
      </c>
      <c r="CX363" s="16">
        <f>VLOOKUP($K363,'[5]FECs - good data'!$C$1:$Z$574,22,FALSE)</f>
        <v>0</v>
      </c>
      <c r="CY363" s="16">
        <f>CX363/AS363</f>
        <v>0</v>
      </c>
      <c r="CZ363" s="16">
        <f>IF(DA363&gt;0,1,0)</f>
        <v>0</v>
      </c>
      <c r="DA363" s="16">
        <f>VLOOKUP($K363,'[5]FECs - good data'!$C$1:$Z$5982,23,FALSE)</f>
        <v>0</v>
      </c>
      <c r="DB363" s="16">
        <f>DA363/AS363</f>
        <v>0</v>
      </c>
      <c r="DC363" s="16">
        <f>IF(DD363&gt;0,1,0)</f>
        <v>0</v>
      </c>
      <c r="DD363" s="16">
        <f>VLOOKUP($K363,'[5]FECs - good data'!$C$1:$Z$574,23,FALSE)</f>
        <v>0</v>
      </c>
      <c r="DE363" s="16">
        <f>DD363/AS363</f>
        <v>0</v>
      </c>
      <c r="DF363" s="16" t="e">
        <f>VLOOKUP(K363,'[3]RNA Seq summary tables'!$V$3:$V$99,1,FALSE)</f>
        <v>#N/A</v>
      </c>
      <c r="DG363" s="16"/>
      <c r="DH363" s="16"/>
      <c r="DI363" s="23">
        <v>35</v>
      </c>
      <c r="DJ363" s="23"/>
      <c r="DK363" s="23">
        <v>59</v>
      </c>
      <c r="DL363" s="23"/>
      <c r="DM363" s="23">
        <v>5</v>
      </c>
      <c r="DN363" s="23"/>
      <c r="DO363" s="23">
        <v>0</v>
      </c>
      <c r="DP363" s="23"/>
      <c r="DQ363" s="23">
        <v>1</v>
      </c>
      <c r="DR363" s="23">
        <f>SUM(DI363:DQ363)</f>
        <v>100</v>
      </c>
      <c r="DS363" s="23"/>
      <c r="JO363" s="16"/>
      <c r="JP363" s="16"/>
      <c r="JQ363" s="16"/>
      <c r="JR363" s="27"/>
      <c r="JS363" s="27"/>
      <c r="JT363" s="27"/>
      <c r="JU363" s="27"/>
      <c r="JV363" s="27"/>
      <c r="JW363" s="27"/>
      <c r="JX363" s="27"/>
      <c r="JY363" s="27"/>
      <c r="JZ363" s="27"/>
      <c r="KA363" s="27"/>
      <c r="KB363" s="27"/>
    </row>
    <row r="364" spans="1:288" ht="16" x14ac:dyDescent="0.2">
      <c r="B364" s="16">
        <v>2017</v>
      </c>
      <c r="C364" s="43">
        <v>42939</v>
      </c>
      <c r="D364" s="43" t="str">
        <f>CONCATENATE(J364,"-",C364)</f>
        <v>1216-42939</v>
      </c>
      <c r="E364" s="37" t="str">
        <f>CONCATENATE(T364,"-",U364,"-",C364)</f>
        <v>SP1-F3-42939</v>
      </c>
      <c r="F364" s="20" t="s">
        <v>106</v>
      </c>
      <c r="G364" s="43" t="s">
        <v>107</v>
      </c>
      <c r="H364" s="23"/>
      <c r="I364" s="16">
        <v>0</v>
      </c>
      <c r="J364" s="15">
        <v>1216</v>
      </c>
      <c r="K364" s="15">
        <v>1959</v>
      </c>
      <c r="L364" s="18">
        <v>0</v>
      </c>
      <c r="M364" s="21">
        <f>VLOOKUP($K364,'[4]blood tubes 2017'!$D$1:$L$647,8,FALSE)</f>
        <v>0</v>
      </c>
      <c r="N364" s="15">
        <v>0</v>
      </c>
      <c r="O364" s="15" t="s">
        <v>119</v>
      </c>
      <c r="P364" s="23" t="s">
        <v>119</v>
      </c>
      <c r="Q364" s="16">
        <v>0</v>
      </c>
      <c r="R364" s="23">
        <v>16</v>
      </c>
      <c r="S364" s="23"/>
      <c r="T364" s="23" t="s">
        <v>140</v>
      </c>
      <c r="U364" s="23" t="s">
        <v>182</v>
      </c>
      <c r="V364" s="23" t="s">
        <v>114</v>
      </c>
      <c r="W364" s="16">
        <f>AI364/AG364</f>
        <v>0.84705882352941175</v>
      </c>
      <c r="X364" s="23" t="s">
        <v>115</v>
      </c>
      <c r="Y364" s="23" t="s">
        <v>110</v>
      </c>
      <c r="Z364" s="23">
        <v>3</v>
      </c>
      <c r="AA364" s="23"/>
      <c r="AB364" s="23"/>
      <c r="AC364" s="23"/>
      <c r="AD364" s="23"/>
      <c r="AE364" s="23" t="s">
        <v>123</v>
      </c>
      <c r="AF364" s="23" t="s">
        <v>123</v>
      </c>
      <c r="AG364" s="23">
        <f>AH364-AI364</f>
        <v>85</v>
      </c>
      <c r="AH364" s="23">
        <v>157</v>
      </c>
      <c r="AI364" s="23">
        <v>72</v>
      </c>
      <c r="AJ364" s="23"/>
      <c r="AK364" s="23">
        <v>18.5</v>
      </c>
      <c r="AL364" s="23">
        <v>0</v>
      </c>
      <c r="AM364" s="23">
        <v>0</v>
      </c>
      <c r="AN364" s="23">
        <v>0</v>
      </c>
      <c r="AO364" s="23">
        <v>0</v>
      </c>
      <c r="AP364" s="23">
        <f>SUM(AL364:AN364)</f>
        <v>0</v>
      </c>
      <c r="AQ364" s="23">
        <v>1.9319999999999999</v>
      </c>
      <c r="AR364" s="23">
        <f>AP364-1.472</f>
        <v>-1.472</v>
      </c>
      <c r="AS364" s="23">
        <f>AQ364-1.472</f>
        <v>0.45999999999999996</v>
      </c>
      <c r="AT364" s="16" t="str">
        <f>VLOOKUP(E364,[2]Current!$A$1:$W$435,7,FALSE)</f>
        <v>LV</v>
      </c>
      <c r="AU364" s="16" t="s">
        <v>1288</v>
      </c>
      <c r="AV364" s="23">
        <v>1</v>
      </c>
      <c r="AW364" s="128">
        <f>IF(AX364&gt;0,1,0)</f>
        <v>0</v>
      </c>
      <c r="AX364" s="128">
        <f>SUM(BA364,BM364,CU364)</f>
        <v>0</v>
      </c>
      <c r="AY364" s="128">
        <f>SUM(BB364,BN364,CV364)</f>
        <v>0</v>
      </c>
      <c r="AZ364" s="128">
        <f>IF(BA364&gt;0,1,0)</f>
        <v>0</v>
      </c>
      <c r="BA364" s="128">
        <f>SUM(BC364+BF364+BI364)</f>
        <v>0</v>
      </c>
      <c r="BB364" s="128">
        <f>SUM(BE364,BH364,BK364)</f>
        <v>0</v>
      </c>
      <c r="BC364" s="130">
        <f>IF(BD364&gt;0,1,0)</f>
        <v>0</v>
      </c>
      <c r="BD364" s="128">
        <f>VLOOKUP($E364,[2]Current!$A:$AC,26,FALSE)</f>
        <v>0</v>
      </c>
      <c r="BE364" s="128">
        <f>BD364/$AS364</f>
        <v>0</v>
      </c>
      <c r="BF364" s="130">
        <f>IF(BG364&gt;0,1,0)</f>
        <v>0</v>
      </c>
      <c r="BG364" s="175">
        <f>VLOOKUP($E364,[2]Current!$A:$AC,27,FALSE)</f>
        <v>0</v>
      </c>
      <c r="BH364" s="128">
        <f>BG364/$AS364</f>
        <v>0</v>
      </c>
      <c r="BI364" s="130">
        <f>IF(BJ364&gt;0,1,0)</f>
        <v>0</v>
      </c>
      <c r="BJ364" s="128">
        <f>VLOOKUP($E364,[2]Current!$A:$AC,28,FALSE)</f>
        <v>0</v>
      </c>
      <c r="BK364" s="128">
        <f>BJ364/$AS364</f>
        <v>0</v>
      </c>
      <c r="BL364" s="128">
        <f>IF(BM364&gt;0,1,0)</f>
        <v>0</v>
      </c>
      <c r="BM364" s="128">
        <f>SUM(BR364,BU364,BX364,CA364,CD364)</f>
        <v>0</v>
      </c>
      <c r="BN364" s="131">
        <f>SUM(BT364,BW364,BZ364,CC364,CF364)</f>
        <v>0</v>
      </c>
      <c r="BO364" s="128">
        <f>IF(BP364&gt;0,1,0)</f>
        <v>0</v>
      </c>
      <c r="BP364" s="128">
        <f>BM364+CJ364</f>
        <v>0</v>
      </c>
      <c r="BQ364" s="128">
        <f>BN364+CL364</f>
        <v>0</v>
      </c>
      <c r="BR364" s="130">
        <f>IF(BS364&gt;0,1,0)</f>
        <v>0</v>
      </c>
      <c r="BS364" s="128">
        <f>VLOOKUP($E364,[2]Current!$A:$AC,12,FALSE)</f>
        <v>0</v>
      </c>
      <c r="BT364" s="175">
        <f>BS364/$AS364</f>
        <v>0</v>
      </c>
      <c r="BU364" s="130">
        <f>IF(BV364&gt;0,1,0)</f>
        <v>0</v>
      </c>
      <c r="BV364" s="128">
        <f>VLOOKUP($E364,[2]Current!$A:$AC,13,FALSE)</f>
        <v>0</v>
      </c>
      <c r="BW364" s="128">
        <f>BV364/$AS364</f>
        <v>0</v>
      </c>
      <c r="BX364" s="130">
        <f>IF(BY364&gt;0,1,0)</f>
        <v>0</v>
      </c>
      <c r="BY364" s="128">
        <f>VLOOKUP($E364,[2]Current!$A:$AC,14,FALSE)</f>
        <v>0</v>
      </c>
      <c r="BZ364" s="128">
        <f>BY364/$AS364</f>
        <v>0</v>
      </c>
      <c r="CA364" s="130">
        <f>IF(CB364&gt;0,1,0)</f>
        <v>0</v>
      </c>
      <c r="CB364" s="128">
        <f>VLOOKUP($E364,[2]Current!$A:$AC,15,FALSE)</f>
        <v>0</v>
      </c>
      <c r="CC364" s="128">
        <f>CB364/$AS364</f>
        <v>0</v>
      </c>
      <c r="CD364" s="176">
        <f>IF(CE364&gt;0,1,0)</f>
        <v>0</v>
      </c>
      <c r="CE364" s="128">
        <f>VLOOKUP($E364,[2]Current!$A:$AC,16,FALSE)</f>
        <v>0</v>
      </c>
      <c r="CF364" s="128">
        <f>CE364/$AS364</f>
        <v>0</v>
      </c>
      <c r="CG364" s="18"/>
      <c r="CH364" s="18"/>
      <c r="CI364" s="18"/>
      <c r="CJ364" s="130">
        <f>IF(CK364&gt;0,1,0)</f>
        <v>0</v>
      </c>
      <c r="CK364" s="128">
        <f>VLOOKUP($E364,[2]Current!$A:$AC,18,FALSE)</f>
        <v>0</v>
      </c>
      <c r="CL364" s="128">
        <f>CK364/$AS364</f>
        <v>0</v>
      </c>
      <c r="CS364" s="130">
        <f>IF(CU364&gt;0,1,0)</f>
        <v>0</v>
      </c>
      <c r="CT364" s="18"/>
      <c r="CU364" s="128">
        <f>VLOOKUP($E364,[2]Current!$A:$AC,17,FALSE)</f>
        <v>0</v>
      </c>
      <c r="CV364" s="128">
        <f>CU364/$AS364</f>
        <v>0</v>
      </c>
      <c r="CW364" s="18"/>
      <c r="CX364" s="18"/>
      <c r="CY364" s="18"/>
      <c r="DF364" s="16" t="e">
        <f>VLOOKUP(K364,'[3]RNA Seq summary tables'!$V$3:$V$99,1,FALSE)</f>
        <v>#N/A</v>
      </c>
      <c r="DG364" s="16">
        <v>1</v>
      </c>
      <c r="DH364" s="16" t="str">
        <f>VLOOKUP(D364,'[6]workflow 3.2018'!$A$1:$S$237,2,FALSE)</f>
        <v>2017MLBS_61</v>
      </c>
      <c r="DI364" s="23"/>
      <c r="DJ364" s="23"/>
      <c r="DK364" s="23"/>
      <c r="DL364" s="23"/>
      <c r="DM364" s="23"/>
      <c r="DN364" s="23"/>
      <c r="DO364" s="23"/>
      <c r="DP364" s="23"/>
      <c r="DQ364" s="23"/>
      <c r="DR364" s="23"/>
      <c r="DS364" s="23"/>
      <c r="DT364" s="25"/>
      <c r="DU364" s="25"/>
      <c r="DV364" s="25"/>
      <c r="DW364" s="25"/>
      <c r="DX364" s="25"/>
      <c r="DY364" s="25"/>
      <c r="DZ364" s="25"/>
      <c r="EA364" s="25"/>
      <c r="EB364" s="25"/>
      <c r="EC364" s="25"/>
      <c r="ED364" s="25"/>
      <c r="EE364" s="25"/>
      <c r="EF364" s="25"/>
      <c r="EG364" s="25"/>
      <c r="EH364" s="25"/>
      <c r="EI364" s="25"/>
      <c r="EJ364" s="25"/>
      <c r="EK364" s="25"/>
      <c r="EL364" s="25"/>
      <c r="EM364" s="25"/>
      <c r="EN364" s="25"/>
      <c r="EO364" s="25"/>
      <c r="EP364" s="25"/>
      <c r="EQ364" s="25"/>
      <c r="ER364" s="25"/>
      <c r="ES364" s="25"/>
      <c r="ET364" s="25"/>
      <c r="EU364" s="25"/>
      <c r="EV364" s="25"/>
      <c r="EW364" s="25"/>
      <c r="EX364" s="25"/>
      <c r="EY364" s="25"/>
      <c r="EZ364" s="25"/>
      <c r="FA364" s="25"/>
      <c r="FB364" s="25"/>
      <c r="FC364" s="25"/>
      <c r="FD364" s="25"/>
      <c r="FE364" s="25"/>
      <c r="FF364" s="25"/>
      <c r="FG364" s="25"/>
      <c r="FH364" s="25"/>
      <c r="FI364" s="25"/>
      <c r="FJ364" s="25"/>
      <c r="FK364" s="25"/>
      <c r="FL364" s="25"/>
      <c r="FM364" s="25"/>
      <c r="FN364" s="25"/>
      <c r="FO364" s="25"/>
      <c r="FP364" s="25"/>
      <c r="FQ364" s="25"/>
      <c r="FR364" s="25"/>
      <c r="FS364" s="25"/>
      <c r="FT364" s="25"/>
      <c r="FU364" s="25"/>
      <c r="FV364" s="25"/>
      <c r="FW364" s="25"/>
      <c r="FX364" s="25"/>
      <c r="FY364" s="25"/>
      <c r="FZ364" s="25"/>
      <c r="GA364" s="25"/>
      <c r="GB364" s="25"/>
      <c r="GC364" s="25"/>
      <c r="GD364" s="25"/>
      <c r="GE364" s="25"/>
      <c r="GF364" s="25"/>
      <c r="GG364" s="25"/>
      <c r="GH364" s="25"/>
      <c r="GI364" s="25"/>
      <c r="GJ364" s="25"/>
      <c r="GK364" s="25"/>
      <c r="GL364" s="25"/>
      <c r="GM364" s="25"/>
      <c r="GN364" s="25"/>
      <c r="GO364" s="25"/>
      <c r="GP364" s="25"/>
      <c r="GQ364" s="25"/>
      <c r="GR364" s="25"/>
      <c r="GS364" s="25"/>
      <c r="GT364" s="25"/>
      <c r="GU364" s="25"/>
      <c r="GV364" s="25"/>
      <c r="GW364" s="25"/>
      <c r="GX364" s="25"/>
      <c r="GY364" s="25"/>
      <c r="GZ364" s="25"/>
      <c r="HA364" s="25"/>
      <c r="HB364" s="25"/>
      <c r="HC364" s="25"/>
      <c r="HD364" s="25"/>
      <c r="HE364" s="25"/>
      <c r="HF364" s="25"/>
      <c r="HG364" s="25"/>
      <c r="HH364" s="25"/>
      <c r="HI364" s="25"/>
      <c r="HJ364" s="25"/>
      <c r="HK364" s="25"/>
      <c r="HL364" s="25"/>
      <c r="HM364" s="25"/>
      <c r="HN364" s="25"/>
      <c r="HO364" s="25"/>
      <c r="HP364" s="25"/>
      <c r="HQ364" s="25"/>
      <c r="HR364" s="25"/>
      <c r="HS364" s="25"/>
      <c r="HT364" s="25"/>
      <c r="HU364" s="25"/>
      <c r="HV364" s="25"/>
      <c r="HW364" s="25"/>
      <c r="HX364" s="25"/>
      <c r="HY364" s="25"/>
      <c r="HZ364" s="25"/>
      <c r="IA364" s="25"/>
      <c r="IB364" s="25"/>
      <c r="IC364" s="25"/>
      <c r="ID364" s="25"/>
      <c r="IE364" s="25"/>
      <c r="IF364" s="25"/>
      <c r="IG364" s="25"/>
      <c r="IH364" s="25"/>
      <c r="II364" s="25"/>
      <c r="IJ364" s="25"/>
      <c r="IK364" s="25"/>
      <c r="IL364" s="25"/>
      <c r="IM364" s="25"/>
      <c r="IN364" s="25"/>
      <c r="IO364" s="25"/>
      <c r="IP364" s="25"/>
      <c r="IQ364" s="25"/>
      <c r="IR364" s="25"/>
      <c r="IS364" s="25"/>
      <c r="IT364" s="25"/>
      <c r="IU364" s="25"/>
      <c r="IV364" s="25"/>
      <c r="IW364" s="25"/>
      <c r="IX364" s="25"/>
      <c r="IY364" s="25"/>
      <c r="IZ364" s="25"/>
      <c r="JA364" s="25"/>
      <c r="JB364" s="25"/>
      <c r="JC364" s="25"/>
      <c r="JD364" s="25"/>
      <c r="JE364" s="25"/>
      <c r="JF364" s="25"/>
      <c r="JG364" s="25"/>
      <c r="JH364" s="25"/>
      <c r="JI364" s="25"/>
      <c r="JJ364" s="25"/>
      <c r="JK364" s="25"/>
      <c r="JL364" s="25"/>
      <c r="JM364" s="25"/>
      <c r="JN364" s="25"/>
      <c r="JO364" s="23"/>
      <c r="JP364" s="23"/>
      <c r="JQ364" s="23"/>
      <c r="JR364" s="39"/>
      <c r="JS364" s="39"/>
      <c r="JT364" s="39"/>
      <c r="JU364" s="39"/>
      <c r="JV364" s="39"/>
      <c r="JW364" s="39"/>
      <c r="JX364" s="39"/>
      <c r="JY364" s="39"/>
      <c r="JZ364" s="39"/>
      <c r="KA364" s="39"/>
      <c r="KB364" s="39"/>
    </row>
    <row r="365" spans="1:288" x14ac:dyDescent="0.2">
      <c r="B365" s="16">
        <v>2017</v>
      </c>
      <c r="C365" s="20">
        <v>42957</v>
      </c>
      <c r="D365" s="20" t="str">
        <f>CONCATENATE(J365,"-",C365)</f>
        <v>1216-42957</v>
      </c>
      <c r="E365" s="20" t="str">
        <f>CONCATENATE(T365,"-",U365,"-",C365)</f>
        <v>SP1-F4-42957</v>
      </c>
      <c r="F365" s="20" t="s">
        <v>106</v>
      </c>
      <c r="G365" s="20" t="s">
        <v>107</v>
      </c>
      <c r="I365" s="16">
        <v>0</v>
      </c>
      <c r="J365" s="21">
        <v>1216</v>
      </c>
      <c r="K365" s="21">
        <v>2110</v>
      </c>
      <c r="L365" s="18">
        <v>0</v>
      </c>
      <c r="M365" s="21">
        <f>VLOOKUP($K365,'[4]blood tubes 2017'!$D$1:$L$647,8,FALSE)</f>
        <v>0</v>
      </c>
      <c r="N365" s="15">
        <v>0</v>
      </c>
      <c r="O365" s="15" t="s">
        <v>119</v>
      </c>
      <c r="P365" s="16" t="s">
        <v>119</v>
      </c>
      <c r="Q365" s="16">
        <v>0</v>
      </c>
      <c r="R365" s="16">
        <v>18</v>
      </c>
      <c r="T365" s="16" t="s">
        <v>140</v>
      </c>
      <c r="U365" s="16" t="s">
        <v>184</v>
      </c>
      <c r="V365" s="16" t="s">
        <v>114</v>
      </c>
      <c r="W365" s="16">
        <f>AI365/AG365</f>
        <v>0.85227272727272729</v>
      </c>
      <c r="X365" s="16" t="s">
        <v>115</v>
      </c>
      <c r="Y365" s="16" t="s">
        <v>110</v>
      </c>
      <c r="Z365" s="16">
        <v>3</v>
      </c>
      <c r="AE365" s="16" t="s">
        <v>116</v>
      </c>
      <c r="AF365" s="16" t="s">
        <v>116</v>
      </c>
      <c r="AG365" s="16">
        <f>AH365-AI365</f>
        <v>88</v>
      </c>
      <c r="AH365" s="16">
        <v>163</v>
      </c>
      <c r="AI365" s="16">
        <v>75</v>
      </c>
      <c r="AK365" s="16">
        <v>23.5</v>
      </c>
      <c r="AL365" s="16">
        <v>0</v>
      </c>
      <c r="AM365" s="16">
        <v>0</v>
      </c>
      <c r="AN365" s="16">
        <v>0</v>
      </c>
      <c r="AO365" s="16">
        <v>0</v>
      </c>
      <c r="AP365" s="16">
        <f>SUM(AL365:AN365)</f>
        <v>0</v>
      </c>
      <c r="AQ365" s="16">
        <v>1.6160000000000001</v>
      </c>
      <c r="AR365" s="16">
        <f>AP365-1.472</f>
        <v>-1.472</v>
      </c>
      <c r="AS365" s="16">
        <f>AQ365-1.472</f>
        <v>0.14400000000000013</v>
      </c>
      <c r="AT365" s="16" t="str">
        <f>VLOOKUP(K365,'[5]FECs - good data'!$C$1:$P$575,13,FALSE)</f>
        <v>SB</v>
      </c>
      <c r="AW365" s="18">
        <f>IF(AX365&gt;0,1,0)</f>
        <v>1</v>
      </c>
      <c r="AX365" s="18">
        <f>SUM(BA365,BM365,CT365)</f>
        <v>2</v>
      </c>
      <c r="AY365" s="18">
        <f>SUM(BB365,BN365,CV365)</f>
        <v>19430.55555555554</v>
      </c>
      <c r="AZ365" s="18">
        <f>IF(BA365&gt;0,1,0)</f>
        <v>1</v>
      </c>
      <c r="BA365" s="18">
        <f>SUM(BC365,BF365,BI365)</f>
        <v>2</v>
      </c>
      <c r="BB365" s="18">
        <f>SUM(BE365,BH365,BK365)</f>
        <v>19430.55555555554</v>
      </c>
      <c r="BC365" s="18">
        <f>IF(BD365&gt;0,1,0)</f>
        <v>1</v>
      </c>
      <c r="BD365" s="18">
        <f>VLOOKUP($K365,'[5]FECs - good data'!$C$1:$Z$574,14,FALSE)</f>
        <v>203</v>
      </c>
      <c r="BE365" s="16">
        <f>BD365/AS365</f>
        <v>1409.722222222221</v>
      </c>
      <c r="BF365" s="16">
        <f>IF(BG365&gt;0,1,0)</f>
        <v>1</v>
      </c>
      <c r="BG365" s="23">
        <f>VLOOKUP($K365,'[5]FECs - good data'!$C$1:$Z$574,15,FALSE)</f>
        <v>2595</v>
      </c>
      <c r="BH365" s="16">
        <f>BG365/AS365</f>
        <v>18020.833333333318</v>
      </c>
      <c r="BI365" s="16">
        <f>IF(BJ365&gt;0,1,0)</f>
        <v>0</v>
      </c>
      <c r="BJ365" s="16">
        <f>VLOOKUP($K365,'[5]FECs - good data'!$C$1:$Z$574,16,FALSE)</f>
        <v>0</v>
      </c>
      <c r="BK365" s="16">
        <f>BJ365/AS365</f>
        <v>0</v>
      </c>
      <c r="BL365" s="16">
        <f>IF(BM365&gt;0,1,0)</f>
        <v>0</v>
      </c>
      <c r="BM365" s="16">
        <f>SUM(BR365,BU365,BX365,CA365,CD365,CG365,CJ365,CM365,CP365)</f>
        <v>0</v>
      </c>
      <c r="BN365" s="16">
        <f>SUM(BW365,BZ365,CC365,CF365,CI365,CL365,CO365,CR365,BT365)</f>
        <v>0</v>
      </c>
      <c r="BO365" s="16">
        <f>IF(BP365&gt;0,1,0)</f>
        <v>0</v>
      </c>
      <c r="BP365" s="16">
        <f>SUM(BU365,BX365,CA365,CD365,BR365)</f>
        <v>0</v>
      </c>
      <c r="BQ365" s="16">
        <f>SUM(BZ365,CC365,CF365,BT365,BW365)</f>
        <v>0</v>
      </c>
      <c r="BR365" s="16">
        <f>IF(BS365&gt;0,1,0)</f>
        <v>0</v>
      </c>
      <c r="BS365" s="16">
        <f>VLOOKUP($K365,'[5]FECs - good data'!$C$1:$Z$574,17,FALSE)</f>
        <v>0</v>
      </c>
      <c r="BT365" s="23">
        <f>BS365/AS365</f>
        <v>0</v>
      </c>
      <c r="BU365" s="16">
        <f>IF(BV365&gt;0,1,0)</f>
        <v>0</v>
      </c>
      <c r="BV365" s="16">
        <f>VLOOKUP($K365,'[5]FECs - good data'!$C$1:$Z$574,18,FALSE)</f>
        <v>0</v>
      </c>
      <c r="BW365" s="16">
        <f>BV365/AS365</f>
        <v>0</v>
      </c>
      <c r="BX365" s="16">
        <f>IF(BY365&gt;0,1,0)</f>
        <v>0</v>
      </c>
      <c r="BY365" s="16">
        <f>VLOOKUP($K365,'[5]FECs - good data'!$C$1:$Z$574,19,FALSE)</f>
        <v>0</v>
      </c>
      <c r="BZ365" s="16">
        <f>BY365/AS365</f>
        <v>0</v>
      </c>
      <c r="CA365" s="16">
        <f>IF(CB365&gt;0,1,0)</f>
        <v>0</v>
      </c>
      <c r="CB365" s="16">
        <f>VLOOKUP($K365,'[5]FECs - good data'!$C$1:$Z$574,20,FALSE)</f>
        <v>0</v>
      </c>
      <c r="CC365" s="16">
        <f>CB365/AS365</f>
        <v>0</v>
      </c>
      <c r="CD365" s="23">
        <f>IF(CE365&gt;0,1,0)</f>
        <v>0</v>
      </c>
      <c r="CE365" s="16">
        <f>VLOOKUP($K365,'[5]FECs - good data'!$C$1:$Z$574,21,FALSE)</f>
        <v>0</v>
      </c>
      <c r="CF365" s="16">
        <f>CE365/AS365</f>
        <v>0</v>
      </c>
      <c r="CG365" s="16">
        <f>IF(CH365&gt;0,1,0)</f>
        <v>0</v>
      </c>
      <c r="CH365" s="16">
        <f>VLOOKUP($K365,'[5]FECs - good data'!$C$1:$Z$574,22,FALSE)</f>
        <v>0</v>
      </c>
      <c r="CI365" s="16">
        <f>CH365/AS365</f>
        <v>0</v>
      </c>
      <c r="CJ365" s="16">
        <f>IF(CK365&gt;0,1,0)</f>
        <v>0</v>
      </c>
      <c r="CK365" s="16">
        <f>VLOOKUP($K365,'[5]FECs - good data'!$C$1:$Z$674,24,FALSE)</f>
        <v>0</v>
      </c>
      <c r="CL365" s="16">
        <f>CK365/AS365</f>
        <v>0</v>
      </c>
      <c r="CS365" s="16">
        <f>IF(CT365&gt;0,1,0)</f>
        <v>0</v>
      </c>
      <c r="CT365" s="16">
        <f>SUM(CW365+CZ365,DC365)</f>
        <v>0</v>
      </c>
      <c r="CV365" s="16">
        <f>SUM(CY365,DB365,DE365)</f>
        <v>0</v>
      </c>
      <c r="CW365" s="16">
        <f>IF(CX365&gt;0,1,0)</f>
        <v>0</v>
      </c>
      <c r="CX365" s="16">
        <f>VLOOKUP($K365,'[5]FECs - good data'!$C$1:$Z$574,22,FALSE)</f>
        <v>0</v>
      </c>
      <c r="CY365" s="16">
        <f>CX365/AS365</f>
        <v>0</v>
      </c>
      <c r="CZ365" s="16">
        <f>IF(DA365&gt;0,1,0)</f>
        <v>0</v>
      </c>
      <c r="DA365" s="16">
        <f>VLOOKUP($K365,'[5]FECs - good data'!$C$1:$Z$5982,23,FALSE)</f>
        <v>0</v>
      </c>
      <c r="DB365" s="16">
        <f>DA365/AS365</f>
        <v>0</v>
      </c>
      <c r="DC365" s="16">
        <f>IF(DD365&gt;0,1,0)</f>
        <v>0</v>
      </c>
      <c r="DD365" s="16">
        <f>VLOOKUP($K365,'[5]FECs - good data'!$C$1:$Z$574,23,FALSE)</f>
        <v>0</v>
      </c>
      <c r="DE365" s="16">
        <f>DD365/AS365</f>
        <v>0</v>
      </c>
      <c r="DF365" s="16" t="e">
        <f>VLOOKUP(K365,'[3]RNA Seq summary tables'!$V$3:$V$99,1,FALSE)</f>
        <v>#N/A</v>
      </c>
      <c r="DG365" s="16">
        <v>1</v>
      </c>
      <c r="DH365" s="16" t="str">
        <f>VLOOKUP(D365,'[6]workflow 3.2018'!$A$1:$S$237,2,FALSE)</f>
        <v>2017MLBS_127</v>
      </c>
    </row>
    <row r="366" spans="1:288" x14ac:dyDescent="0.2">
      <c r="B366" s="16">
        <v>2017</v>
      </c>
      <c r="C366" s="43">
        <v>42972</v>
      </c>
      <c r="D366" s="20" t="str">
        <f>CONCATENATE(J366,"-",C366)</f>
        <v>1216-42972</v>
      </c>
      <c r="E366" s="20" t="str">
        <f>CONCATENATE(T366,"-",U366,"-",C366)</f>
        <v>SP1-A5-42972</v>
      </c>
      <c r="F366" s="20" t="s">
        <v>106</v>
      </c>
      <c r="G366" s="43" t="s">
        <v>107</v>
      </c>
      <c r="H366" s="23"/>
      <c r="I366" s="16">
        <v>0</v>
      </c>
      <c r="J366" s="15">
        <v>1216</v>
      </c>
      <c r="K366" s="15">
        <v>2229</v>
      </c>
      <c r="L366" s="18">
        <v>0</v>
      </c>
      <c r="M366" s="21">
        <f>VLOOKUP($K366,'[4]blood tubes 2017'!$D$1:$L$947,8,FALSE)</f>
        <v>0</v>
      </c>
      <c r="N366" s="15">
        <v>0</v>
      </c>
      <c r="O366" s="15" t="s">
        <v>119</v>
      </c>
      <c r="P366" s="23" t="s">
        <v>119</v>
      </c>
      <c r="Q366" s="16">
        <v>0</v>
      </c>
      <c r="R366" s="23">
        <v>15</v>
      </c>
      <c r="S366" s="23"/>
      <c r="T366" s="23" t="s">
        <v>140</v>
      </c>
      <c r="U366" s="23" t="s">
        <v>167</v>
      </c>
      <c r="V366" s="23" t="s">
        <v>114</v>
      </c>
      <c r="W366" s="16">
        <f>AI366/AG366</f>
        <v>0.84444444444444444</v>
      </c>
      <c r="X366" s="23" t="s">
        <v>115</v>
      </c>
      <c r="Y366" s="23" t="s">
        <v>110</v>
      </c>
      <c r="Z366" s="23">
        <v>3</v>
      </c>
      <c r="AA366" s="23"/>
      <c r="AB366" s="23"/>
      <c r="AC366" s="23"/>
      <c r="AD366" s="23"/>
      <c r="AE366" s="23" t="s">
        <v>116</v>
      </c>
      <c r="AF366" s="23" t="s">
        <v>116</v>
      </c>
      <c r="AG366" s="23">
        <f>AH366-AI366</f>
        <v>90</v>
      </c>
      <c r="AH366" s="23">
        <v>166</v>
      </c>
      <c r="AI366" s="23">
        <v>76</v>
      </c>
      <c r="AJ366" s="23"/>
      <c r="AK366" s="23">
        <v>20</v>
      </c>
      <c r="AL366" s="23">
        <v>1</v>
      </c>
      <c r="AM366" s="23">
        <v>0</v>
      </c>
      <c r="AN366" s="23">
        <v>0</v>
      </c>
      <c r="AO366" s="23">
        <v>1</v>
      </c>
      <c r="AP366" s="23">
        <f>SUM(AL366:AN366)</f>
        <v>1</v>
      </c>
      <c r="AQ366" s="23">
        <v>1.724</v>
      </c>
      <c r="AR366" s="23">
        <f>AP366-1.472</f>
        <v>-0.47199999999999998</v>
      </c>
      <c r="AS366" s="23">
        <f>AQ366-1.472</f>
        <v>0.252</v>
      </c>
      <c r="AT366" s="23" t="str">
        <f>VLOOKUP(K366,'[5]FECs - good data'!$C$1:$P$575,13,FALSE)</f>
        <v>JB</v>
      </c>
      <c r="AU366" s="23"/>
      <c r="AV366" s="23"/>
      <c r="AW366" s="25">
        <f>IF(AX366&gt;0,1,0)</f>
        <v>1</v>
      </c>
      <c r="AX366" s="25">
        <f>SUM(BA366,BM366,CT366)</f>
        <v>4</v>
      </c>
      <c r="AY366" s="25">
        <f>SUM(BB366,BN366,CV366)</f>
        <v>9234.1269841269823</v>
      </c>
      <c r="AZ366" s="18">
        <f>IF(BA366&gt;0,1,0)</f>
        <v>1</v>
      </c>
      <c r="BA366" s="25">
        <f>SUM(BC366,BF366,BI366)</f>
        <v>3</v>
      </c>
      <c r="BB366" s="25">
        <f>SUM(BE366,BH366,BK366)</f>
        <v>9230.1587301587278</v>
      </c>
      <c r="BC366" s="18">
        <f>IF(BD366&gt;0,1,0)</f>
        <v>1</v>
      </c>
      <c r="BD366" s="25">
        <f>VLOOKUP($K366,'[5]FECs - good data'!$C$1:$Z$574,14,FALSE)</f>
        <v>30</v>
      </c>
      <c r="BE366" s="23">
        <f>BD366/AS366</f>
        <v>119.04761904761905</v>
      </c>
      <c r="BF366" s="16">
        <f>IF(BG366&gt;0,1,0)</f>
        <v>1</v>
      </c>
      <c r="BG366" s="23">
        <f>VLOOKUP($K366,'[5]FECs - good data'!$C$1:$Z$574,15,FALSE)</f>
        <v>2290</v>
      </c>
      <c r="BH366" s="23">
        <f>BG366/AS366</f>
        <v>9087.3015873015866</v>
      </c>
      <c r="BI366" s="16">
        <f>IF(BJ366&gt;0,1,0)</f>
        <v>1</v>
      </c>
      <c r="BJ366" s="23">
        <f>VLOOKUP($K366,'[5]FECs - good data'!$C$1:$Z$574,16,FALSE)</f>
        <v>6</v>
      </c>
      <c r="BK366" s="23">
        <f>BJ366/AS366</f>
        <v>23.80952380952381</v>
      </c>
      <c r="BL366" s="16">
        <f>IF(BM366&gt;0,1,0)</f>
        <v>1</v>
      </c>
      <c r="BM366" s="16">
        <f>SUM(BR366,BU366,BX366,CA366,CD366,CG366,CJ366,CM366,CP366)</f>
        <v>1</v>
      </c>
      <c r="BN366" s="16">
        <f>SUM(BW366,BZ366,CC366,CF366,CI366,CL366,CO366,CR366,BT366)</f>
        <v>3.9682539682539684</v>
      </c>
      <c r="BO366" s="16">
        <f>IF(BP366&gt;0,1,0)</f>
        <v>0</v>
      </c>
      <c r="BP366" s="16">
        <f>SUM(BU366,BX366,CA366,CD366,BR366)</f>
        <v>0</v>
      </c>
      <c r="BQ366" s="16">
        <f>SUM(BZ366,CC366,CF366,BT366,BW366)</f>
        <v>0</v>
      </c>
      <c r="BR366" s="16">
        <f>IF(BS366&gt;0,1,0)</f>
        <v>0</v>
      </c>
      <c r="BS366" s="23">
        <f>VLOOKUP($K366,'[5]FECs - good data'!$C$1:$Z$574,17,FALSE)</f>
        <v>0</v>
      </c>
      <c r="BT366" s="23">
        <f>BS366/AS366</f>
        <v>0</v>
      </c>
      <c r="BU366" s="16">
        <f>IF(BV366&gt;0,1,0)</f>
        <v>0</v>
      </c>
      <c r="BV366" s="23">
        <f>VLOOKUP($K366,'[5]FECs - good data'!$C$1:$Z$574,18,FALSE)</f>
        <v>0</v>
      </c>
      <c r="BW366" s="16">
        <f>BV366/AS366</f>
        <v>0</v>
      </c>
      <c r="BX366" s="16">
        <f>IF(BY366&gt;0,1,0)</f>
        <v>0</v>
      </c>
      <c r="BY366" s="23">
        <f>VLOOKUP($K366,'[5]FECs - good data'!$C$1:$Z$574,19,FALSE)</f>
        <v>0</v>
      </c>
      <c r="BZ366" s="16">
        <f>BY366/AS366</f>
        <v>0</v>
      </c>
      <c r="CA366" s="16">
        <f>IF(CB366&gt;0,1,0)</f>
        <v>0</v>
      </c>
      <c r="CB366" s="23">
        <f>VLOOKUP($K366,'[5]FECs - good data'!$C$1:$Z$574,20,FALSE)</f>
        <v>0</v>
      </c>
      <c r="CC366" s="23">
        <f>CB366/AS366</f>
        <v>0</v>
      </c>
      <c r="CD366" s="23">
        <f>IF(CE366&gt;0,1,0)</f>
        <v>0</v>
      </c>
      <c r="CE366" s="23">
        <f>VLOOKUP($K366,'[5]FECs - good data'!$C$1:$Z$574,21,FALSE)</f>
        <v>0</v>
      </c>
      <c r="CF366" s="23">
        <f>CE366/AS366</f>
        <v>0</v>
      </c>
      <c r="CG366" s="23">
        <f>IF(CH366&gt;0,1,0)</f>
        <v>0</v>
      </c>
      <c r="CH366" s="23">
        <f>VLOOKUP($K366,'[5]FECs - good data'!$C$1:$Z$574,22,FALSE)</f>
        <v>0</v>
      </c>
      <c r="CI366" s="23">
        <f>CH366/AS366</f>
        <v>0</v>
      </c>
      <c r="CJ366" s="23">
        <f>IF(CK366&gt;0,1,0)</f>
        <v>1</v>
      </c>
      <c r="CK366" s="23">
        <f>VLOOKUP($K366,'[5]FECs - good data'!$C$1:$Z$674,24,FALSE)</f>
        <v>1</v>
      </c>
      <c r="CL366" s="23">
        <f>CK366/AS366</f>
        <v>3.9682539682539684</v>
      </c>
      <c r="CM366" s="23"/>
      <c r="CN366" s="23"/>
      <c r="CO366" s="23"/>
      <c r="CP366" s="23"/>
      <c r="CQ366" s="23"/>
      <c r="CR366" s="23"/>
      <c r="CS366" s="16">
        <f>IF(CT366&gt;0,1,0)</f>
        <v>0</v>
      </c>
      <c r="CT366" s="16">
        <f>SUM(CW366+CZ366,DC366)</f>
        <v>0</v>
      </c>
      <c r="CV366" s="23">
        <f>SUM(CY366,DB366,DE366)</f>
        <v>0</v>
      </c>
      <c r="CW366" s="16">
        <f>IF(CX366&gt;0,1,0)</f>
        <v>0</v>
      </c>
      <c r="CX366" s="23">
        <f>VLOOKUP($K366,'[5]FECs - good data'!$C$1:$Z$574,22,FALSE)</f>
        <v>0</v>
      </c>
      <c r="CY366" s="23">
        <f>CX366/AS366</f>
        <v>0</v>
      </c>
      <c r="CZ366" s="23">
        <f>IF(DA366&gt;0,1,0)</f>
        <v>0</v>
      </c>
      <c r="DA366" s="23">
        <f>VLOOKUP($K366,'[5]FECs - good data'!$C$1:$Z$5982,23,FALSE)</f>
        <v>0</v>
      </c>
      <c r="DB366" s="23">
        <f>DA366/AS366</f>
        <v>0</v>
      </c>
      <c r="DC366" s="23">
        <f>IF(DD366&gt;0,1,0)</f>
        <v>0</v>
      </c>
      <c r="DD366" s="23">
        <f>VLOOKUP($K366,'[5]FECs - good data'!$C$1:$Z$574,23,FALSE)</f>
        <v>0</v>
      </c>
      <c r="DE366" s="23">
        <f>DD366/AS366</f>
        <v>0</v>
      </c>
      <c r="DF366" s="16" t="e">
        <f>VLOOKUP(K366,'[3]RNA Seq summary tables'!$V$3:$V$99,1,FALSE)</f>
        <v>#N/A</v>
      </c>
      <c r="DG366" s="16">
        <v>1</v>
      </c>
      <c r="DH366" s="16" t="str">
        <f>VLOOKUP(D366,'[6]workflow 3.2018'!$A$1:$S$237,2,FALSE)</f>
        <v>2017MLBS_172</v>
      </c>
      <c r="DI366" s="23"/>
      <c r="DJ366" s="23"/>
      <c r="DK366" s="23"/>
      <c r="DL366" s="23"/>
      <c r="DM366" s="23"/>
      <c r="DN366" s="23"/>
      <c r="DO366" s="23"/>
      <c r="DP366" s="23"/>
      <c r="DQ366" s="23"/>
      <c r="DR366" s="23"/>
      <c r="DS366" s="23"/>
      <c r="DT366" s="25"/>
      <c r="DU366" s="25"/>
      <c r="DV366" s="25"/>
      <c r="DW366" s="25"/>
      <c r="DX366" s="25"/>
      <c r="DY366" s="25"/>
      <c r="DZ366" s="25"/>
      <c r="EA366" s="25"/>
      <c r="EB366" s="25"/>
      <c r="EC366" s="25"/>
      <c r="ED366" s="25"/>
      <c r="EE366" s="25"/>
      <c r="EF366" s="25"/>
      <c r="EG366" s="25"/>
      <c r="EH366" s="25"/>
      <c r="EI366" s="25"/>
      <c r="EJ366" s="25"/>
      <c r="EK366" s="25"/>
      <c r="EL366" s="25"/>
      <c r="EM366" s="25"/>
      <c r="EN366" s="25"/>
      <c r="EO366" s="25"/>
      <c r="EP366" s="25"/>
      <c r="EQ366" s="25"/>
      <c r="ER366" s="25"/>
      <c r="ES366" s="25"/>
      <c r="ET366" s="25"/>
      <c r="EU366" s="25"/>
      <c r="EV366" s="25"/>
      <c r="EW366" s="25"/>
      <c r="EX366" s="25"/>
      <c r="EY366" s="25"/>
      <c r="EZ366" s="25"/>
      <c r="FA366" s="25"/>
      <c r="FB366" s="25"/>
      <c r="FC366" s="25"/>
      <c r="FD366" s="25"/>
      <c r="FE366" s="25"/>
      <c r="FF366" s="25"/>
      <c r="FG366" s="25"/>
      <c r="FH366" s="25"/>
      <c r="FI366" s="25"/>
      <c r="FJ366" s="25"/>
      <c r="FK366" s="25"/>
      <c r="FL366" s="25"/>
      <c r="FM366" s="25"/>
      <c r="FN366" s="25"/>
      <c r="FO366" s="25"/>
      <c r="FP366" s="25"/>
      <c r="FQ366" s="25"/>
      <c r="FR366" s="25"/>
      <c r="FS366" s="25"/>
      <c r="FT366" s="25"/>
      <c r="FU366" s="25"/>
      <c r="FV366" s="25"/>
      <c r="FW366" s="25"/>
      <c r="FX366" s="25"/>
      <c r="FY366" s="25"/>
      <c r="FZ366" s="25"/>
      <c r="GA366" s="25"/>
      <c r="GB366" s="25"/>
      <c r="GC366" s="25"/>
      <c r="GD366" s="25"/>
      <c r="GE366" s="25"/>
      <c r="GF366" s="25"/>
      <c r="GG366" s="25"/>
      <c r="GH366" s="25"/>
      <c r="GI366" s="25"/>
      <c r="GJ366" s="25"/>
      <c r="GK366" s="25"/>
      <c r="GL366" s="25"/>
      <c r="GM366" s="25"/>
      <c r="GN366" s="25"/>
      <c r="GO366" s="25"/>
      <c r="GP366" s="25"/>
      <c r="GQ366" s="25"/>
      <c r="GR366" s="25"/>
      <c r="GS366" s="25"/>
      <c r="GT366" s="25"/>
      <c r="GU366" s="25"/>
      <c r="GV366" s="25"/>
      <c r="GW366" s="25"/>
      <c r="GX366" s="25"/>
      <c r="GY366" s="25"/>
      <c r="GZ366" s="25"/>
      <c r="HA366" s="25"/>
      <c r="HB366" s="25"/>
      <c r="HC366" s="25"/>
      <c r="HD366" s="25"/>
      <c r="HE366" s="25"/>
      <c r="HF366" s="25"/>
      <c r="HG366" s="25"/>
      <c r="HH366" s="25"/>
      <c r="HI366" s="25"/>
      <c r="HJ366" s="25"/>
      <c r="HK366" s="25"/>
      <c r="HL366" s="25"/>
      <c r="HM366" s="25"/>
      <c r="HN366" s="25"/>
      <c r="HO366" s="25"/>
      <c r="HP366" s="25"/>
      <c r="HQ366" s="25"/>
      <c r="HR366" s="25"/>
      <c r="HS366" s="25"/>
      <c r="HT366" s="25"/>
      <c r="HU366" s="25"/>
      <c r="HV366" s="25"/>
      <c r="HW366" s="25"/>
      <c r="HX366" s="25"/>
      <c r="HY366" s="25"/>
      <c r="HZ366" s="25"/>
      <c r="IA366" s="25"/>
      <c r="IB366" s="25"/>
      <c r="IC366" s="25"/>
      <c r="ID366" s="25"/>
      <c r="IE366" s="25"/>
      <c r="IF366" s="25"/>
      <c r="IG366" s="25"/>
      <c r="IH366" s="25"/>
      <c r="II366" s="25"/>
      <c r="IJ366" s="25"/>
      <c r="IK366" s="25"/>
      <c r="IL366" s="25"/>
      <c r="IM366" s="25"/>
      <c r="IN366" s="25"/>
      <c r="IO366" s="25"/>
      <c r="IP366" s="25"/>
      <c r="IQ366" s="25"/>
      <c r="IR366" s="25"/>
      <c r="IS366" s="25"/>
      <c r="IT366" s="25"/>
      <c r="IU366" s="25"/>
      <c r="IV366" s="25"/>
      <c r="IW366" s="25"/>
      <c r="IX366" s="25"/>
      <c r="IY366" s="25"/>
      <c r="IZ366" s="25"/>
      <c r="JA366" s="25"/>
      <c r="JB366" s="25"/>
      <c r="JC366" s="25"/>
      <c r="JD366" s="25"/>
      <c r="JE366" s="25"/>
      <c r="JF366" s="25"/>
      <c r="JG366" s="25"/>
      <c r="JH366" s="25"/>
      <c r="JI366" s="25"/>
      <c r="JJ366" s="25"/>
      <c r="JK366" s="25"/>
      <c r="JL366" s="25"/>
      <c r="JM366" s="25"/>
      <c r="JN366" s="25"/>
    </row>
    <row r="367" spans="1:288" x14ac:dyDescent="0.2">
      <c r="B367" s="16">
        <v>2017</v>
      </c>
      <c r="C367" s="43">
        <v>42923</v>
      </c>
      <c r="D367" s="43" t="str">
        <f>CONCATENATE(J367,"-",C367)</f>
        <v>1218-42923</v>
      </c>
      <c r="E367" s="20" t="str">
        <f>CONCATENATE(T367,"-",U367,"-",C367)</f>
        <v>SP2-A3-42923</v>
      </c>
      <c r="F367" s="20" t="s">
        <v>106</v>
      </c>
      <c r="G367" s="43" t="s">
        <v>107</v>
      </c>
      <c r="H367" s="23"/>
      <c r="I367" s="16">
        <v>0</v>
      </c>
      <c r="J367" s="15">
        <v>1218</v>
      </c>
      <c r="K367" s="42">
        <v>1844</v>
      </c>
      <c r="L367" s="18">
        <v>0</v>
      </c>
      <c r="M367" s="21">
        <f>VLOOKUP($K367,'[4]blood tubes 2017'!$D$1:$L$647,8,FALSE)</f>
        <v>0</v>
      </c>
      <c r="N367" s="15">
        <v>0</v>
      </c>
      <c r="O367" s="15" t="s">
        <v>119</v>
      </c>
      <c r="P367" s="23" t="s">
        <v>119</v>
      </c>
      <c r="Q367" s="16">
        <v>0</v>
      </c>
      <c r="R367" s="23" t="s">
        <v>111</v>
      </c>
      <c r="S367" s="23"/>
      <c r="T367" s="23" t="s">
        <v>137</v>
      </c>
      <c r="U367" s="23" t="s">
        <v>201</v>
      </c>
      <c r="V367" s="23" t="s">
        <v>114</v>
      </c>
      <c r="W367" s="16">
        <f>AI367/AG367</f>
        <v>0.84337349397590367</v>
      </c>
      <c r="X367" s="23" t="s">
        <v>121</v>
      </c>
      <c r="Y367" s="23" t="s">
        <v>110</v>
      </c>
      <c r="Z367" s="23">
        <v>3</v>
      </c>
      <c r="AA367" s="23" t="s">
        <v>161</v>
      </c>
      <c r="AB367" s="23" t="s">
        <v>123</v>
      </c>
      <c r="AC367" s="23" t="s">
        <v>123</v>
      </c>
      <c r="AD367" s="23" t="s">
        <v>116</v>
      </c>
      <c r="AE367" s="23"/>
      <c r="AF367" s="23"/>
      <c r="AG367" s="23">
        <f>AH367-AI367</f>
        <v>83</v>
      </c>
      <c r="AH367" s="23">
        <v>153</v>
      </c>
      <c r="AI367" s="23">
        <v>70</v>
      </c>
      <c r="AJ367" s="23"/>
      <c r="AK367" s="23">
        <v>17</v>
      </c>
      <c r="AL367" s="23">
        <v>0</v>
      </c>
      <c r="AM367" s="23">
        <v>0</v>
      </c>
      <c r="AN367" s="23">
        <v>0</v>
      </c>
      <c r="AO367" s="23">
        <v>0</v>
      </c>
      <c r="AP367" s="23">
        <f>SUM(AL367:AN367)</f>
        <v>0</v>
      </c>
      <c r="AQ367" s="23">
        <v>3.0329999999999999</v>
      </c>
      <c r="AR367" s="23">
        <f>AP367-1.472</f>
        <v>-1.472</v>
      </c>
      <c r="AS367" s="23">
        <f>AQ367-1.472</f>
        <v>1.5609999999999999</v>
      </c>
      <c r="AT367" s="23" t="s">
        <v>234</v>
      </c>
      <c r="AU367" s="23"/>
      <c r="AV367" s="23"/>
      <c r="AW367" s="25">
        <f>IF(AX367&gt;0,1,0)</f>
        <v>1</v>
      </c>
      <c r="AX367" s="25">
        <f>SUM(BA367,BM367,CT367)</f>
        <v>4</v>
      </c>
      <c r="AY367" s="25">
        <f>SUM(BB367,BN367,CV367)</f>
        <v>78.795643818065344</v>
      </c>
      <c r="AZ367" s="18">
        <v>1</v>
      </c>
      <c r="BA367" s="25">
        <v>3</v>
      </c>
      <c r="BB367" s="25">
        <f>SUM(BE367,BH367,BK367)</f>
        <v>76.233183856502237</v>
      </c>
      <c r="BC367" s="18">
        <v>1</v>
      </c>
      <c r="BD367" s="25">
        <v>28</v>
      </c>
      <c r="BE367" s="25">
        <f>BD367/AS367</f>
        <v>17.937219730941706</v>
      </c>
      <c r="BF367" s="18">
        <v>1</v>
      </c>
      <c r="BG367" s="25">
        <v>81</v>
      </c>
      <c r="BH367" s="23">
        <f>BG367/AS367</f>
        <v>51.889814221652792</v>
      </c>
      <c r="BI367" s="16">
        <v>1</v>
      </c>
      <c r="BJ367" s="23">
        <v>10</v>
      </c>
      <c r="BK367" s="23">
        <f>BJ367/AS367</f>
        <v>6.4061499039077514</v>
      </c>
      <c r="BL367" s="16">
        <f>IF(BM367&gt;0,1,0)</f>
        <v>0</v>
      </c>
      <c r="BM367" s="16">
        <f>SUM(BR367,BU367,BX367,CA367,CD367,CG367,CJ367,CM367,CP367)</f>
        <v>0</v>
      </c>
      <c r="BN367" s="16">
        <f>SUM(BW367,BZ367,CC367,CF367,CI367,CL367,CO367,CR367,BT367)</f>
        <v>0</v>
      </c>
      <c r="BO367" s="16">
        <f>IF(BP367&gt;0,1,0)</f>
        <v>0</v>
      </c>
      <c r="BP367" s="16">
        <f>SUM(BU367,BX367,CA367,CD367,BR367)</f>
        <v>0</v>
      </c>
      <c r="BQ367" s="16">
        <f>SUM(BZ367,CC367,CF367,BT367,BW367)</f>
        <v>0</v>
      </c>
      <c r="BR367" s="16">
        <v>0</v>
      </c>
      <c r="BS367" s="23">
        <v>0</v>
      </c>
      <c r="BT367" s="23">
        <f>BS367/AS367</f>
        <v>0</v>
      </c>
      <c r="BU367" s="16">
        <v>0</v>
      </c>
      <c r="BV367" s="23">
        <v>0</v>
      </c>
      <c r="BW367" s="16">
        <f>BV367/AS367</f>
        <v>0</v>
      </c>
      <c r="BX367" s="16">
        <v>0</v>
      </c>
      <c r="BY367" s="23">
        <v>0</v>
      </c>
      <c r="BZ367" s="16">
        <f>BY367/AS367</f>
        <v>0</v>
      </c>
      <c r="CA367" s="16">
        <v>0</v>
      </c>
      <c r="CB367" s="23">
        <v>0</v>
      </c>
      <c r="CC367" s="23">
        <f>CB367/AS367</f>
        <v>0</v>
      </c>
      <c r="CD367" s="23">
        <v>0</v>
      </c>
      <c r="CE367" s="23">
        <v>0</v>
      </c>
      <c r="CF367" s="23">
        <f>CE367/AS367</f>
        <v>0</v>
      </c>
      <c r="CG367" s="23">
        <v>0</v>
      </c>
      <c r="CH367" s="23">
        <v>0</v>
      </c>
      <c r="CI367" s="23">
        <f>CH367/AS367</f>
        <v>0</v>
      </c>
      <c r="CJ367" s="23"/>
      <c r="CK367" s="23"/>
      <c r="CL367" s="23"/>
      <c r="CM367" s="23">
        <v>0</v>
      </c>
      <c r="CN367" s="23">
        <v>0</v>
      </c>
      <c r="CO367" s="23">
        <f>CN367/AS367</f>
        <v>0</v>
      </c>
      <c r="CP367" s="23">
        <v>0</v>
      </c>
      <c r="CQ367" s="23">
        <v>0</v>
      </c>
      <c r="CR367" s="23">
        <f>CQ367/AS367</f>
        <v>0</v>
      </c>
      <c r="CS367" s="16">
        <v>1</v>
      </c>
      <c r="CT367" s="16">
        <v>1</v>
      </c>
      <c r="CV367" s="23">
        <f>SUM(CY367,DB367,DE367)</f>
        <v>2.5624599615631007</v>
      </c>
      <c r="CW367" s="16">
        <v>1</v>
      </c>
      <c r="CX367" s="23">
        <v>4</v>
      </c>
      <c r="CY367" s="23">
        <f>CX367/AS367</f>
        <v>2.5624599615631007</v>
      </c>
      <c r="CZ367" s="23">
        <v>0</v>
      </c>
      <c r="DA367" s="23">
        <v>0</v>
      </c>
      <c r="DB367" s="23">
        <f>DA367/AS367</f>
        <v>0</v>
      </c>
      <c r="DC367" s="23">
        <v>0</v>
      </c>
      <c r="DD367" s="23">
        <v>0</v>
      </c>
      <c r="DE367" s="23">
        <f>DD367/AS367</f>
        <v>0</v>
      </c>
      <c r="DF367" s="16" t="e">
        <f>VLOOKUP(K367,'[3]RNA Seq summary tables'!$V$3:$V$99,1,FALSE)</f>
        <v>#N/A</v>
      </c>
      <c r="DI367" s="23">
        <v>12</v>
      </c>
      <c r="DJ367" s="23"/>
      <c r="DK367" s="23">
        <v>14</v>
      </c>
      <c r="DL367" s="23"/>
      <c r="DM367" s="23">
        <v>5</v>
      </c>
      <c r="DN367" s="23"/>
      <c r="DO367" s="23">
        <v>0</v>
      </c>
      <c r="DP367" s="23"/>
      <c r="DQ367" s="23">
        <v>0</v>
      </c>
      <c r="DR367" s="23">
        <f>SUM(DI367:DQ367)</f>
        <v>31</v>
      </c>
      <c r="DS367" s="23"/>
      <c r="DT367" s="25"/>
      <c r="DU367" s="25"/>
      <c r="DV367" s="25"/>
      <c r="DW367" s="25"/>
      <c r="DX367" s="25"/>
      <c r="DY367" s="25"/>
      <c r="DZ367" s="25"/>
      <c r="EA367" s="25"/>
      <c r="EB367" s="25"/>
      <c r="EC367" s="25"/>
      <c r="ED367" s="25"/>
      <c r="EE367" s="25"/>
      <c r="EF367" s="25"/>
      <c r="EG367" s="25"/>
      <c r="EH367" s="25"/>
      <c r="EI367" s="25"/>
      <c r="EJ367" s="25"/>
      <c r="EK367" s="25"/>
      <c r="EL367" s="25"/>
      <c r="EM367" s="25"/>
      <c r="EN367" s="25"/>
      <c r="EO367" s="25"/>
      <c r="EP367" s="25"/>
      <c r="EQ367" s="25"/>
      <c r="ER367" s="25"/>
      <c r="ES367" s="25"/>
      <c r="ET367" s="25"/>
      <c r="EU367" s="25"/>
      <c r="EV367" s="25"/>
      <c r="EW367" s="25"/>
      <c r="EX367" s="25"/>
      <c r="EY367" s="25"/>
      <c r="EZ367" s="25"/>
      <c r="FA367" s="25"/>
      <c r="FB367" s="25"/>
      <c r="FC367" s="25"/>
      <c r="FD367" s="25"/>
      <c r="FE367" s="25"/>
      <c r="FF367" s="25"/>
      <c r="FG367" s="25"/>
      <c r="FH367" s="25"/>
      <c r="FI367" s="25"/>
      <c r="FJ367" s="25"/>
      <c r="FK367" s="25"/>
      <c r="FL367" s="25"/>
      <c r="FM367" s="25"/>
      <c r="FN367" s="25"/>
      <c r="FO367" s="25"/>
      <c r="FP367" s="25"/>
      <c r="FQ367" s="25"/>
      <c r="FR367" s="25"/>
      <c r="FS367" s="25"/>
      <c r="FT367" s="25"/>
      <c r="FU367" s="25"/>
      <c r="FV367" s="25"/>
      <c r="FW367" s="25"/>
      <c r="FX367" s="25"/>
      <c r="FY367" s="25"/>
      <c r="FZ367" s="25"/>
      <c r="GA367" s="25"/>
      <c r="GB367" s="25"/>
      <c r="GC367" s="25"/>
      <c r="GD367" s="25"/>
      <c r="GE367" s="25"/>
      <c r="GF367" s="25"/>
      <c r="GG367" s="25"/>
      <c r="GH367" s="25"/>
      <c r="GI367" s="25"/>
      <c r="GJ367" s="25"/>
      <c r="GK367" s="25"/>
      <c r="GL367" s="25"/>
      <c r="GM367" s="25"/>
      <c r="GN367" s="25"/>
      <c r="GO367" s="25"/>
      <c r="GP367" s="25"/>
      <c r="GQ367" s="25"/>
      <c r="GR367" s="25"/>
      <c r="GS367" s="25"/>
      <c r="GT367" s="25"/>
      <c r="GU367" s="25"/>
      <c r="GV367" s="25"/>
      <c r="GW367" s="25"/>
      <c r="GX367" s="25"/>
      <c r="GY367" s="25"/>
      <c r="GZ367" s="25"/>
      <c r="HA367" s="25"/>
      <c r="HB367" s="25"/>
      <c r="HC367" s="25"/>
      <c r="HD367" s="25"/>
      <c r="HE367" s="25"/>
      <c r="HF367" s="25"/>
      <c r="HG367" s="25"/>
      <c r="HH367" s="25"/>
      <c r="HI367" s="25"/>
      <c r="HJ367" s="25"/>
      <c r="HK367" s="25"/>
      <c r="HL367" s="25"/>
      <c r="HM367" s="25"/>
      <c r="HN367" s="25"/>
      <c r="HO367" s="25"/>
      <c r="HP367" s="25"/>
      <c r="HQ367" s="25"/>
      <c r="HR367" s="25"/>
      <c r="HS367" s="25"/>
      <c r="HT367" s="25"/>
      <c r="HU367" s="25"/>
      <c r="HV367" s="25"/>
      <c r="HW367" s="25"/>
      <c r="HX367" s="25"/>
      <c r="HY367" s="25"/>
      <c r="HZ367" s="25"/>
      <c r="IA367" s="25"/>
      <c r="IB367" s="25"/>
      <c r="IC367" s="25"/>
      <c r="ID367" s="25"/>
      <c r="IE367" s="25"/>
      <c r="IF367" s="25"/>
      <c r="IG367" s="25"/>
      <c r="IH367" s="25"/>
      <c r="II367" s="25"/>
      <c r="IJ367" s="25"/>
      <c r="IK367" s="25"/>
      <c r="IL367" s="25"/>
      <c r="IM367" s="25"/>
      <c r="IN367" s="25"/>
      <c r="IO367" s="25"/>
      <c r="IP367" s="25"/>
      <c r="IQ367" s="25"/>
      <c r="IR367" s="25"/>
      <c r="IS367" s="25"/>
      <c r="IT367" s="25"/>
      <c r="IU367" s="25"/>
      <c r="IV367" s="25"/>
      <c r="IW367" s="25"/>
      <c r="IX367" s="25"/>
      <c r="IY367" s="25"/>
      <c r="IZ367" s="25"/>
      <c r="JA367" s="25"/>
      <c r="JB367" s="25"/>
      <c r="JC367" s="25"/>
      <c r="JD367" s="25"/>
      <c r="JE367" s="25"/>
      <c r="JF367" s="25"/>
      <c r="JG367" s="25"/>
      <c r="JH367" s="25"/>
      <c r="JI367" s="25"/>
      <c r="JJ367" s="25"/>
      <c r="JK367" s="25"/>
      <c r="JL367" s="25"/>
      <c r="JM367" s="25"/>
      <c r="JN367" s="25"/>
      <c r="JR367" s="27"/>
      <c r="JS367" s="27"/>
      <c r="JT367" s="27"/>
      <c r="JU367" s="27"/>
      <c r="JV367" s="27"/>
      <c r="JW367" s="27"/>
      <c r="JX367" s="27"/>
      <c r="JY367" s="27"/>
      <c r="JZ367" s="27"/>
      <c r="KA367" s="27"/>
      <c r="KB367" s="27"/>
    </row>
    <row r="368" spans="1:288" ht="16" x14ac:dyDescent="0.2">
      <c r="B368" s="16">
        <v>2017</v>
      </c>
      <c r="C368" s="20">
        <v>42940</v>
      </c>
      <c r="D368" s="20" t="str">
        <f>CONCATENATE(J368,"-",C368)</f>
        <v>1218-42940</v>
      </c>
      <c r="E368" s="37" t="str">
        <f>CONCATENATE(T368,"-",U368,"-",C368)</f>
        <v>SP2-D2-42940</v>
      </c>
      <c r="F368" s="20" t="s">
        <v>106</v>
      </c>
      <c r="G368" s="20" t="s">
        <v>107</v>
      </c>
      <c r="J368" s="21">
        <v>1218</v>
      </c>
      <c r="K368" s="21">
        <v>1982</v>
      </c>
      <c r="L368" s="18">
        <v>0</v>
      </c>
      <c r="M368" s="21">
        <f>VLOOKUP($K368,'[4]blood tubes 2017'!$D$1:$L$647,8,FALSE)</f>
        <v>0</v>
      </c>
      <c r="N368" s="15">
        <v>0</v>
      </c>
      <c r="O368" s="15" t="s">
        <v>119</v>
      </c>
      <c r="P368" s="16" t="s">
        <v>119</v>
      </c>
      <c r="Q368" s="16">
        <v>0</v>
      </c>
      <c r="R368" s="16">
        <v>17</v>
      </c>
      <c r="T368" s="16" t="s">
        <v>137</v>
      </c>
      <c r="U368" s="16" t="s">
        <v>198</v>
      </c>
      <c r="V368" s="16" t="s">
        <v>114</v>
      </c>
      <c r="W368" s="16">
        <f>AI368/AG368</f>
        <v>0.82758620689655171</v>
      </c>
      <c r="X368" s="16" t="s">
        <v>121</v>
      </c>
      <c r="Y368" s="16" t="s">
        <v>110</v>
      </c>
      <c r="Z368" s="16">
        <v>3</v>
      </c>
      <c r="AA368" s="16" t="s">
        <v>119</v>
      </c>
      <c r="AB368" s="16" t="s">
        <v>240</v>
      </c>
      <c r="AC368" s="16" t="s">
        <v>116</v>
      </c>
      <c r="AD368" s="16" t="s">
        <v>116</v>
      </c>
      <c r="AG368" s="16">
        <f>AH368-AI368</f>
        <v>87</v>
      </c>
      <c r="AH368" s="16">
        <v>159</v>
      </c>
      <c r="AI368" s="16">
        <v>72</v>
      </c>
      <c r="AK368" s="16">
        <v>28</v>
      </c>
      <c r="AL368" s="16">
        <v>1</v>
      </c>
      <c r="AM368" s="16">
        <v>0</v>
      </c>
      <c r="AN368" s="16">
        <v>0</v>
      </c>
      <c r="AO368" s="16">
        <v>1</v>
      </c>
      <c r="AP368" s="16">
        <f>SUM(AL368:AN368)</f>
        <v>1</v>
      </c>
      <c r="AQ368" s="16">
        <v>2.266</v>
      </c>
      <c r="AR368" s="16">
        <f>AP368-1.472</f>
        <v>-0.47199999999999998</v>
      </c>
      <c r="AS368" s="16">
        <f>AQ368-1.472</f>
        <v>0.79400000000000004</v>
      </c>
      <c r="AT368" s="16" t="str">
        <f>VLOOKUP(E368,[2]Current!$A$1:$W$435,7,FALSE)</f>
        <v>TE</v>
      </c>
      <c r="AU368" s="16" t="s">
        <v>1289</v>
      </c>
      <c r="AW368" s="128">
        <f>IF(AX368&gt;0,1,0)</f>
        <v>1</v>
      </c>
      <c r="AX368" s="128">
        <f>SUM(BA368,BM368,CU368)</f>
        <v>168</v>
      </c>
      <c r="AY368" s="128">
        <f>SUM(BB368,BN368,CV368)</f>
        <v>5754.408060453401</v>
      </c>
      <c r="AZ368" s="128">
        <f>IF(BA368&gt;0,1,0)</f>
        <v>1</v>
      </c>
      <c r="BA368" s="128">
        <f>SUM(BC368+BF368+BI368)</f>
        <v>3</v>
      </c>
      <c r="BB368" s="128">
        <f>SUM(BE368,BH368,BK368)</f>
        <v>5546.5994962216628</v>
      </c>
      <c r="BC368" s="130">
        <f>IF(BD368&gt;0,1,0)</f>
        <v>1</v>
      </c>
      <c r="BD368" s="128">
        <f>VLOOKUP($E368,[2]Current!$A:$AC,26,FALSE)</f>
        <v>44</v>
      </c>
      <c r="BE368" s="128">
        <f>BD368/$AS368</f>
        <v>55.415617128463474</v>
      </c>
      <c r="BF368" s="130">
        <f>IF(BG368&gt;0,1,0)</f>
        <v>1</v>
      </c>
      <c r="BG368" s="175">
        <f>VLOOKUP($E368,[2]Current!$A:$AC,27,FALSE)</f>
        <v>384</v>
      </c>
      <c r="BH368" s="128">
        <f>BG368/$AS368</f>
        <v>483.62720403022666</v>
      </c>
      <c r="BI368" s="130">
        <f>IF(BJ368&gt;0,1,0)</f>
        <v>1</v>
      </c>
      <c r="BJ368" s="128">
        <f>VLOOKUP($E368,[2]Current!$A:$AC,28,FALSE)</f>
        <v>3976</v>
      </c>
      <c r="BK368" s="128">
        <f>BJ368/$AS368</f>
        <v>5007.5566750629723</v>
      </c>
      <c r="BL368" s="128">
        <f>IF(BM368&gt;0,1,0)</f>
        <v>0</v>
      </c>
      <c r="BM368" s="128">
        <f>SUM(BR368,BU368,BX368,CA368,CD368)</f>
        <v>0</v>
      </c>
      <c r="BN368" s="131">
        <f>SUM(BT368,BW368,BZ368,CC368,CF368)</f>
        <v>0</v>
      </c>
      <c r="BO368" s="128">
        <f>IF(BP368&gt;0,1,0)</f>
        <v>0</v>
      </c>
      <c r="BP368" s="128">
        <f>BM368+CJ368</f>
        <v>0</v>
      </c>
      <c r="BQ368" s="128">
        <f>BN368+CL368</f>
        <v>0</v>
      </c>
      <c r="BR368" s="130">
        <f>IF(BS368&gt;0,1,0)</f>
        <v>0</v>
      </c>
      <c r="BS368" s="128">
        <f>VLOOKUP($E368,[2]Current!$A:$AC,12,FALSE)</f>
        <v>0</v>
      </c>
      <c r="BT368" s="175">
        <f>BS368/$AS368</f>
        <v>0</v>
      </c>
      <c r="BU368" s="130">
        <f>IF(BV368&gt;0,1,0)</f>
        <v>0</v>
      </c>
      <c r="BV368" s="128">
        <f>VLOOKUP($E368,[2]Current!$A:$AC,13,FALSE)</f>
        <v>0</v>
      </c>
      <c r="BW368" s="128">
        <f>BV368/$AS368</f>
        <v>0</v>
      </c>
      <c r="BX368" s="130">
        <f>IF(BY368&gt;0,1,0)</f>
        <v>0</v>
      </c>
      <c r="BY368" s="128">
        <f>VLOOKUP($E368,[2]Current!$A:$AC,14,FALSE)</f>
        <v>0</v>
      </c>
      <c r="BZ368" s="128">
        <f>BY368/$AS368</f>
        <v>0</v>
      </c>
      <c r="CA368" s="130">
        <f>IF(CB368&gt;0,1,0)</f>
        <v>0</v>
      </c>
      <c r="CB368" s="128">
        <f>VLOOKUP($E368,[2]Current!$A:$AC,15,FALSE)</f>
        <v>0</v>
      </c>
      <c r="CC368" s="128">
        <f>CB368/$AS368</f>
        <v>0</v>
      </c>
      <c r="CD368" s="176">
        <f>IF(CE368&gt;0,1,0)</f>
        <v>0</v>
      </c>
      <c r="CE368" s="128">
        <f>VLOOKUP($E368,[2]Current!$A:$AC,16,FALSE)</f>
        <v>0</v>
      </c>
      <c r="CF368" s="128">
        <f>CE368/$AS368</f>
        <v>0</v>
      </c>
      <c r="CG368" s="18"/>
      <c r="CH368" s="18"/>
      <c r="CI368" s="18"/>
      <c r="CJ368" s="130">
        <f>IF(CK368&gt;0,1,0)</f>
        <v>0</v>
      </c>
      <c r="CK368" s="128">
        <f>VLOOKUP($E368,[2]Current!$A:$AC,18,FALSE)</f>
        <v>0</v>
      </c>
      <c r="CL368" s="128">
        <f>CK368/$AS368</f>
        <v>0</v>
      </c>
      <c r="CS368" s="130">
        <f>IF(CU368&gt;0,1,0)</f>
        <v>1</v>
      </c>
      <c r="CU368" s="128">
        <f>VLOOKUP($E368,[2]Current!$A:$AC,17,FALSE)</f>
        <v>165</v>
      </c>
      <c r="CV368" s="128">
        <f>CU368/$AS368</f>
        <v>207.80856423173802</v>
      </c>
      <c r="CW368" s="18"/>
      <c r="CX368" s="18"/>
      <c r="CY368" s="18"/>
      <c r="DF368" s="16" t="e">
        <f>VLOOKUP(K368,'[3]RNA Seq summary tables'!$V$3:$V$99,1,FALSE)</f>
        <v>#N/A</v>
      </c>
    </row>
    <row r="369" spans="2:288" s="18" customFormat="1" x14ac:dyDescent="0.2">
      <c r="B369" s="16">
        <v>2017</v>
      </c>
      <c r="C369" s="43">
        <v>42959</v>
      </c>
      <c r="D369" s="43" t="str">
        <f>CONCATENATE(J369,"-",C369)</f>
        <v>1218-42959</v>
      </c>
      <c r="E369" s="20" t="str">
        <f>CONCATENATE(T369,"-",U369,"-",C369)</f>
        <v>SP2-B2-42959</v>
      </c>
      <c r="F369" s="20" t="s">
        <v>106</v>
      </c>
      <c r="G369" s="43" t="s">
        <v>107</v>
      </c>
      <c r="H369" s="23"/>
      <c r="I369" s="16">
        <v>0</v>
      </c>
      <c r="J369" s="15">
        <v>1218</v>
      </c>
      <c r="K369" s="15">
        <v>2144</v>
      </c>
      <c r="L369" s="18">
        <v>0</v>
      </c>
      <c r="M369" s="21">
        <f>VLOOKUP($K369,'[4]blood tubes 2017'!$D$1:$L$647,8,FALSE)</f>
        <v>0</v>
      </c>
      <c r="N369" s="15">
        <v>0</v>
      </c>
      <c r="O369" s="15" t="s">
        <v>119</v>
      </c>
      <c r="P369" s="23" t="s">
        <v>119</v>
      </c>
      <c r="Q369" s="16">
        <v>0</v>
      </c>
      <c r="R369" s="23">
        <v>19</v>
      </c>
      <c r="S369" s="23"/>
      <c r="T369" s="23" t="s">
        <v>137</v>
      </c>
      <c r="U369" s="23" t="s">
        <v>130</v>
      </c>
      <c r="V369" s="23" t="s">
        <v>114</v>
      </c>
      <c r="W369" s="16">
        <f>AI369/AG369</f>
        <v>0.8666666666666667</v>
      </c>
      <c r="X369" s="23" t="s">
        <v>121</v>
      </c>
      <c r="Y369" s="23" t="s">
        <v>110</v>
      </c>
      <c r="Z369" s="23">
        <v>3</v>
      </c>
      <c r="AA369" s="23" t="s">
        <v>161</v>
      </c>
      <c r="AB369" s="23" t="s">
        <v>240</v>
      </c>
      <c r="AC369" s="23" t="s">
        <v>123</v>
      </c>
      <c r="AD369" s="23" t="s">
        <v>116</v>
      </c>
      <c r="AE369" s="23"/>
      <c r="AF369" s="23"/>
      <c r="AG369" s="23">
        <f>AH369-AI369</f>
        <v>90</v>
      </c>
      <c r="AH369" s="23">
        <v>168</v>
      </c>
      <c r="AI369" s="23">
        <v>78</v>
      </c>
      <c r="AJ369" s="23"/>
      <c r="AK369" s="23">
        <v>26</v>
      </c>
      <c r="AL369" s="23">
        <v>0</v>
      </c>
      <c r="AM369" s="23">
        <v>1</v>
      </c>
      <c r="AN369" s="23">
        <v>0</v>
      </c>
      <c r="AO369" s="23">
        <v>1</v>
      </c>
      <c r="AP369" s="23">
        <f>SUM(AL369:AN369)</f>
        <v>1</v>
      </c>
      <c r="AQ369" s="23">
        <v>1.718</v>
      </c>
      <c r="AR369" s="23">
        <f>AP369-1.472</f>
        <v>-0.47199999999999998</v>
      </c>
      <c r="AS369" s="23">
        <f>AQ369-1.472</f>
        <v>0.246</v>
      </c>
      <c r="AT369" s="23" t="str">
        <f>VLOOKUP(K369,'[5]FECs - good data'!$C$1:$P$575,13,FALSE)</f>
        <v>NB</v>
      </c>
      <c r="AU369" s="23"/>
      <c r="AV369" s="23"/>
      <c r="AW369" s="25">
        <f>IF(AX369&gt;0,1,0)</f>
        <v>1</v>
      </c>
      <c r="AX369" s="25">
        <f>SUM(BA369,BM369,CT369)</f>
        <v>1</v>
      </c>
      <c r="AY369" s="25">
        <f>SUM(BB369,BN369,CV369)</f>
        <v>158.53658536585365</v>
      </c>
      <c r="AZ369" s="25">
        <f>IF(BA369&gt;0,1,0)</f>
        <v>1</v>
      </c>
      <c r="BA369" s="25">
        <f>SUM(BC369,BF369,BI369)</f>
        <v>1</v>
      </c>
      <c r="BB369" s="25">
        <f>SUM(BE369,BH369,BK369)</f>
        <v>158.53658536585365</v>
      </c>
      <c r="BC369" s="25">
        <f>IF(BD369&gt;0,1,0)</f>
        <v>0</v>
      </c>
      <c r="BD369" s="25">
        <f>VLOOKUP($K369,'[5]FECs - good data'!$C$1:$Z$574,14,FALSE)</f>
        <v>0</v>
      </c>
      <c r="BE369" s="23">
        <f>BD369/AS369</f>
        <v>0</v>
      </c>
      <c r="BF369" s="23">
        <f>IF(BG369&gt;0,1,0)</f>
        <v>1</v>
      </c>
      <c r="BG369" s="23">
        <f>VLOOKUP($K369,'[5]FECs - good data'!$C$1:$Z$574,15,FALSE)</f>
        <v>39</v>
      </c>
      <c r="BH369" s="23">
        <f>BG369/AS369</f>
        <v>158.53658536585365</v>
      </c>
      <c r="BI369" s="23">
        <f>IF(BJ369&gt;0,1,0)</f>
        <v>0</v>
      </c>
      <c r="BJ369" s="23">
        <f>VLOOKUP($K369,'[5]FECs - good data'!$C$1:$Z$574,16,FALSE)</f>
        <v>0</v>
      </c>
      <c r="BK369" s="23">
        <f>BJ369/AS369</f>
        <v>0</v>
      </c>
      <c r="BL369" s="23">
        <f>IF(BM369&gt;0,1,0)</f>
        <v>0</v>
      </c>
      <c r="BM369" s="23">
        <f>SUM(BR369,BU369,BX369,CA369,CD369,CG369,CJ369,CM369,CP369)</f>
        <v>0</v>
      </c>
      <c r="BN369" s="23">
        <f>SUM(BW369,BZ369,CC369,CF369,CI369,CL369,CO369,CR369,BT369)</f>
        <v>0</v>
      </c>
      <c r="BO369" s="23">
        <f>IF(BP369&gt;0,1,0)</f>
        <v>0</v>
      </c>
      <c r="BP369" s="23">
        <f>SUM(BU369,BX369,CA369,CD369,BR369)</f>
        <v>0</v>
      </c>
      <c r="BQ369" s="23">
        <f>SUM(BZ369,CC369,CF369,BT369,BW369)</f>
        <v>0</v>
      </c>
      <c r="BR369" s="23">
        <f>IF(BS369&gt;0,1,0)</f>
        <v>0</v>
      </c>
      <c r="BS369" s="23">
        <f>VLOOKUP($K369,'[5]FECs - good data'!$C$1:$Z$574,17,FALSE)</f>
        <v>0</v>
      </c>
      <c r="BT369" s="23">
        <f>BS369/AS369</f>
        <v>0</v>
      </c>
      <c r="BU369" s="23">
        <f>IF(BV369&gt;0,1,0)</f>
        <v>0</v>
      </c>
      <c r="BV369" s="23">
        <f>VLOOKUP($K369,'[5]FECs - good data'!$C$1:$Z$574,18,FALSE)</f>
        <v>0</v>
      </c>
      <c r="BW369" s="23">
        <f>BV369/AS369</f>
        <v>0</v>
      </c>
      <c r="BX369" s="23">
        <f>IF(BY369&gt;0,1,0)</f>
        <v>0</v>
      </c>
      <c r="BY369" s="23">
        <f>VLOOKUP($K369,'[5]FECs - good data'!$C$1:$Z$574,19,FALSE)</f>
        <v>0</v>
      </c>
      <c r="BZ369" s="23">
        <f>BY369/AS369</f>
        <v>0</v>
      </c>
      <c r="CA369" s="23">
        <f>IF(CB369&gt;0,1,0)</f>
        <v>0</v>
      </c>
      <c r="CB369" s="23">
        <f>VLOOKUP($K369,'[5]FECs - good data'!$C$1:$Z$574,20,FALSE)</f>
        <v>0</v>
      </c>
      <c r="CC369" s="23">
        <f>CB369/AS369</f>
        <v>0</v>
      </c>
      <c r="CD369" s="23">
        <f>IF(CE369&gt;0,1,0)</f>
        <v>0</v>
      </c>
      <c r="CE369" s="23">
        <f>VLOOKUP($K369,'[5]FECs - good data'!$C$1:$Z$574,21,FALSE)</f>
        <v>0</v>
      </c>
      <c r="CF369" s="23">
        <f>CE369/AS369</f>
        <v>0</v>
      </c>
      <c r="CG369" s="23">
        <f>IF(CH369&gt;0,1,0)</f>
        <v>0</v>
      </c>
      <c r="CH369" s="23">
        <f>VLOOKUP($K369,'[5]FECs - good data'!$C$1:$Z$574,22,FALSE)</f>
        <v>0</v>
      </c>
      <c r="CI369" s="23">
        <f>CH369/AS369</f>
        <v>0</v>
      </c>
      <c r="CJ369" s="23">
        <f>IF(CK369&gt;0,1,0)</f>
        <v>0</v>
      </c>
      <c r="CK369" s="23">
        <f>VLOOKUP($K369,'[5]FECs - good data'!$C$1:$Z$674,24,FALSE)</f>
        <v>0</v>
      </c>
      <c r="CL369" s="23">
        <f>CK369/AS369</f>
        <v>0</v>
      </c>
      <c r="CM369" s="23"/>
      <c r="CN369" s="23"/>
      <c r="CO369" s="23"/>
      <c r="CP369" s="23"/>
      <c r="CQ369" s="23"/>
      <c r="CR369" s="23"/>
      <c r="CS369" s="23">
        <f>IF(CT369&gt;0,1,0)</f>
        <v>0</v>
      </c>
      <c r="CT369" s="23">
        <f>SUM(CW369+CZ369,DC369)</f>
        <v>0</v>
      </c>
      <c r="CU369" s="23"/>
      <c r="CV369" s="23">
        <f>SUM(CY369,DB369,DE369)</f>
        <v>0</v>
      </c>
      <c r="CW369" s="23">
        <f>IF(CX369&gt;0,1,0)</f>
        <v>0</v>
      </c>
      <c r="CX369" s="23">
        <f>VLOOKUP($K369,'[5]FECs - good data'!$C$1:$Z$574,22,FALSE)</f>
        <v>0</v>
      </c>
      <c r="CY369" s="23">
        <f>CX369/AS369</f>
        <v>0</v>
      </c>
      <c r="CZ369" s="23">
        <f>IF(DA369&gt;0,1,0)</f>
        <v>0</v>
      </c>
      <c r="DA369" s="23">
        <f>VLOOKUP($K369,'[5]FECs - good data'!$C$1:$Z$5982,23,FALSE)</f>
        <v>0</v>
      </c>
      <c r="DB369" s="23">
        <f>DA369/AS369</f>
        <v>0</v>
      </c>
      <c r="DC369" s="23">
        <f>IF(DD369&gt;0,1,0)</f>
        <v>0</v>
      </c>
      <c r="DD369" s="23">
        <f>VLOOKUP($K369,'[5]FECs - good data'!$C$1:$Z$574,23,FALSE)</f>
        <v>0</v>
      </c>
      <c r="DE369" s="23">
        <f>DD369/AS369</f>
        <v>0</v>
      </c>
      <c r="DF369" s="16" t="e">
        <f>VLOOKUP(K369,'[3]RNA Seq summary tables'!$V$3:$V$99,1,FALSE)</f>
        <v>#N/A</v>
      </c>
      <c r="DG369" s="16">
        <v>1</v>
      </c>
      <c r="DH369" s="16" t="str">
        <f>VLOOKUP(D369,'[6]workflow 3.2018'!$A$1:$S$237,2,FALSE)</f>
        <v>2017MLBS_142</v>
      </c>
      <c r="DI369" s="23"/>
      <c r="DJ369" s="23"/>
      <c r="DK369" s="23"/>
      <c r="DL369" s="23"/>
      <c r="DM369" s="23"/>
      <c r="DN369" s="23"/>
      <c r="DO369" s="23"/>
      <c r="DP369" s="23"/>
      <c r="DQ369" s="23"/>
      <c r="DR369" s="23"/>
      <c r="DS369" s="23"/>
      <c r="JO369" s="38"/>
      <c r="JP369" s="38"/>
      <c r="JQ369" s="38"/>
      <c r="JR369" s="16"/>
      <c r="JS369" s="16"/>
      <c r="JT369" s="16"/>
      <c r="JU369" s="16"/>
      <c r="JV369" s="16"/>
      <c r="JW369" s="16"/>
      <c r="JX369" s="16"/>
      <c r="JY369" s="16"/>
      <c r="JZ369" s="16"/>
      <c r="KA369" s="16"/>
      <c r="KB369" s="16"/>
    </row>
    <row r="370" spans="2:288" x14ac:dyDescent="0.2">
      <c r="B370" s="16">
        <v>2017</v>
      </c>
      <c r="C370" s="20">
        <v>42972</v>
      </c>
      <c r="D370" s="20" t="str">
        <f>CONCATENATE(J370,"-",C370)</f>
        <v>1218-42972</v>
      </c>
      <c r="E370" s="20" t="str">
        <f>CONCATENATE(T370,"-",U370,"-",C370)</f>
        <v>SP2-D2-42972</v>
      </c>
      <c r="F370" s="20" t="s">
        <v>106</v>
      </c>
      <c r="G370" s="20" t="s">
        <v>107</v>
      </c>
      <c r="I370" s="16">
        <v>0</v>
      </c>
      <c r="J370" s="21">
        <v>1218</v>
      </c>
      <c r="K370" s="21">
        <v>2249</v>
      </c>
      <c r="L370" s="18">
        <v>0</v>
      </c>
      <c r="M370" s="21">
        <f>VLOOKUP($K370,'[4]blood tubes 2017'!$D$1:$L$947,8,FALSE)</f>
        <v>0</v>
      </c>
      <c r="N370" s="15">
        <v>0</v>
      </c>
      <c r="O370" s="15" t="s">
        <v>119</v>
      </c>
      <c r="P370" s="16" t="s">
        <v>119</v>
      </c>
      <c r="Q370" s="16">
        <v>0</v>
      </c>
      <c r="R370" s="16">
        <v>13</v>
      </c>
      <c r="T370" s="16" t="s">
        <v>137</v>
      </c>
      <c r="U370" s="16" t="s">
        <v>198</v>
      </c>
      <c r="V370" s="16" t="s">
        <v>114</v>
      </c>
      <c r="W370" s="16">
        <f>AI370/AG370</f>
        <v>0.79347826086956519</v>
      </c>
      <c r="X370" s="16" t="s">
        <v>121</v>
      </c>
      <c r="Y370" s="16" t="s">
        <v>110</v>
      </c>
      <c r="Z370" s="16">
        <v>3</v>
      </c>
      <c r="AA370" s="16" t="s">
        <v>161</v>
      </c>
      <c r="AB370" s="16" t="s">
        <v>240</v>
      </c>
      <c r="AC370" s="16" t="s">
        <v>123</v>
      </c>
      <c r="AD370" s="16" t="s">
        <v>116</v>
      </c>
      <c r="AG370" s="16">
        <f>AH370-AI370</f>
        <v>92</v>
      </c>
      <c r="AH370" s="16">
        <v>165</v>
      </c>
      <c r="AI370" s="16">
        <v>73</v>
      </c>
      <c r="AK370" s="16">
        <v>20.5</v>
      </c>
      <c r="AL370" s="16">
        <v>0</v>
      </c>
      <c r="AM370" s="16">
        <v>1</v>
      </c>
      <c r="AN370" s="16">
        <v>0</v>
      </c>
      <c r="AO370" s="16">
        <v>1</v>
      </c>
      <c r="AP370" s="16">
        <f>SUM(AL370:AN370)</f>
        <v>1</v>
      </c>
      <c r="AQ370" s="16">
        <v>1.9790000000000001</v>
      </c>
      <c r="AR370" s="16">
        <f>AP370-1.472</f>
        <v>-0.47199999999999998</v>
      </c>
      <c r="AS370" s="16">
        <f>AQ370-1.472</f>
        <v>0.50700000000000012</v>
      </c>
      <c r="AT370" s="16" t="str">
        <f>VLOOKUP(K370,'[5]FECs - good data'!$C$1:$P$575,13,FALSE)</f>
        <v>JY</v>
      </c>
      <c r="AU370" s="18" t="s">
        <v>1293</v>
      </c>
      <c r="AV370" s="16">
        <v>0</v>
      </c>
      <c r="AW370" s="18">
        <f>IF(AX370&gt;0,1,0)</f>
        <v>0</v>
      </c>
      <c r="AX370" s="18">
        <f>SUM(BA370,BM370,CT370)</f>
        <v>0</v>
      </c>
      <c r="AY370" s="18">
        <f>SUM(BB370,BN370,CV370)</f>
        <v>0</v>
      </c>
      <c r="AZ370" s="18">
        <f>IF(BA370&gt;0,1,0)</f>
        <v>0</v>
      </c>
      <c r="BA370" s="18">
        <f>SUM(BC370,BF370,BI370)</f>
        <v>0</v>
      </c>
      <c r="BB370" s="18">
        <f>SUM(BE370,BH370,BK370)</f>
        <v>0</v>
      </c>
      <c r="BC370" s="18">
        <f>IF(BD370&gt;0,1,0)</f>
        <v>0</v>
      </c>
      <c r="BD370" s="18">
        <f>VLOOKUP($K370,'[5]FECs - good data'!$C$1:$Z$574,14,FALSE)</f>
        <v>0</v>
      </c>
      <c r="BE370" s="16">
        <f>BD370/AS370</f>
        <v>0</v>
      </c>
      <c r="BF370" s="16">
        <f>IF(BG370&gt;0,1,0)</f>
        <v>0</v>
      </c>
      <c r="BG370" s="23">
        <f>VLOOKUP($K370,'[5]FECs - good data'!$C$1:$Z$574,15,FALSE)</f>
        <v>0</v>
      </c>
      <c r="BH370" s="16">
        <f>BG370/AS370</f>
        <v>0</v>
      </c>
      <c r="BI370" s="16">
        <f>IF(BJ370&gt;0,1,0)</f>
        <v>0</v>
      </c>
      <c r="BJ370" s="16">
        <f>VLOOKUP($K370,'[5]FECs - good data'!$C$1:$Z$574,16,FALSE)</f>
        <v>0</v>
      </c>
      <c r="BK370" s="16">
        <f>BJ370/AS370</f>
        <v>0</v>
      </c>
      <c r="BL370" s="16">
        <f>IF(BM370&gt;0,1,0)</f>
        <v>0</v>
      </c>
      <c r="BM370" s="16">
        <f>SUM(BR370,BU370,BX370,CA370,CD370,CG370,CJ370,CM370,CP370)</f>
        <v>0</v>
      </c>
      <c r="BN370" s="16">
        <f>SUM(BW370,BZ370,CC370,CF370,CI370,CL370,CO370,CR370,BT370)</f>
        <v>0</v>
      </c>
      <c r="BO370" s="16">
        <f>IF(BP370&gt;0,1,0)</f>
        <v>0</v>
      </c>
      <c r="BP370" s="16">
        <f>SUM(BU370,BX370,CA370,CD370,BR370)</f>
        <v>0</v>
      </c>
      <c r="BQ370" s="16">
        <f>SUM(BZ370,CC370,CF370,BT370,BW370)</f>
        <v>0</v>
      </c>
      <c r="BR370" s="16">
        <f>IF(BS370&gt;0,1,0)</f>
        <v>0</v>
      </c>
      <c r="BS370" s="16">
        <f>VLOOKUP($K370,'[5]FECs - good data'!$C$1:$Z$574,17,FALSE)</f>
        <v>0</v>
      </c>
      <c r="BT370" s="23">
        <f>BS370/AS370</f>
        <v>0</v>
      </c>
      <c r="BU370" s="16">
        <f>IF(BV370&gt;0,1,0)</f>
        <v>0</v>
      </c>
      <c r="BV370" s="16">
        <f>VLOOKUP($K370,'[5]FECs - good data'!$C$1:$Z$574,18,FALSE)</f>
        <v>0</v>
      </c>
      <c r="BW370" s="16">
        <f>BV370/AS370</f>
        <v>0</v>
      </c>
      <c r="BX370" s="16">
        <f>IF(BY370&gt;0,1,0)</f>
        <v>0</v>
      </c>
      <c r="BY370" s="16">
        <f>VLOOKUP($K370,'[5]FECs - good data'!$C$1:$Z$574,19,FALSE)</f>
        <v>0</v>
      </c>
      <c r="BZ370" s="16">
        <f>BY370/AS370</f>
        <v>0</v>
      </c>
      <c r="CA370" s="16">
        <f>IF(CB370&gt;0,1,0)</f>
        <v>0</v>
      </c>
      <c r="CB370" s="16">
        <f>VLOOKUP($K370,'[5]FECs - good data'!$C$1:$Z$574,20,FALSE)</f>
        <v>0</v>
      </c>
      <c r="CC370" s="16">
        <f>CB370/AS370</f>
        <v>0</v>
      </c>
      <c r="CD370" s="23">
        <f>IF(CE370&gt;0,1,0)</f>
        <v>0</v>
      </c>
      <c r="CE370" s="16">
        <f>VLOOKUP($K370,'[5]FECs - good data'!$C$1:$Z$574,21,FALSE)</f>
        <v>0</v>
      </c>
      <c r="CF370" s="16">
        <f>CE370/AS370</f>
        <v>0</v>
      </c>
      <c r="CG370" s="16">
        <f>IF(CH370&gt;0,1,0)</f>
        <v>0</v>
      </c>
      <c r="CH370" s="16">
        <f>VLOOKUP($K370,'[5]FECs - good data'!$C$1:$Z$574,22,FALSE)</f>
        <v>0</v>
      </c>
      <c r="CI370" s="16">
        <f>CH370/AS370</f>
        <v>0</v>
      </c>
      <c r="CJ370" s="16">
        <f>IF(CK370&gt;0,1,0)</f>
        <v>0</v>
      </c>
      <c r="CK370" s="16">
        <f>VLOOKUP($K370,'[5]FECs - good data'!$C$1:$Z$674,24,FALSE)</f>
        <v>0</v>
      </c>
      <c r="CL370" s="16">
        <f>CK370/AS370</f>
        <v>0</v>
      </c>
      <c r="CS370" s="16">
        <f>IF(CT370&gt;0,1,0)</f>
        <v>0</v>
      </c>
      <c r="CT370" s="16">
        <f>SUM(CW370+CZ370,DC370)</f>
        <v>0</v>
      </c>
      <c r="CV370" s="16">
        <f>SUM(CY370,DB370,DE370)</f>
        <v>0</v>
      </c>
      <c r="CW370" s="16">
        <f>IF(CX370&gt;0,1,0)</f>
        <v>0</v>
      </c>
      <c r="CX370" s="16">
        <f>VLOOKUP($K370,'[5]FECs - good data'!$C$1:$Z$574,22,FALSE)</f>
        <v>0</v>
      </c>
      <c r="CY370" s="16">
        <f>CX370/AS370</f>
        <v>0</v>
      </c>
      <c r="CZ370" s="16">
        <f>IF(DA370&gt;0,1,0)</f>
        <v>0</v>
      </c>
      <c r="DA370" s="16">
        <f>VLOOKUP($K370,'[5]FECs - good data'!$C$1:$Z$5982,23,FALSE)</f>
        <v>0</v>
      </c>
      <c r="DB370" s="16">
        <f>DA370/AS370</f>
        <v>0</v>
      </c>
      <c r="DC370" s="16">
        <f>IF(DD370&gt;0,1,0)</f>
        <v>0</v>
      </c>
      <c r="DD370" s="16">
        <f>VLOOKUP($K370,'[5]FECs - good data'!$C$1:$Z$574,23,FALSE)</f>
        <v>0</v>
      </c>
      <c r="DE370" s="16">
        <f>DD370/AS370</f>
        <v>0</v>
      </c>
      <c r="DF370" s="16" t="e">
        <f>VLOOKUP(K370,'[3]RNA Seq summary tables'!$V$3:$V$99,1,FALSE)</f>
        <v>#N/A</v>
      </c>
      <c r="DG370" s="16">
        <v>1</v>
      </c>
      <c r="DH370" s="16" t="str">
        <f>VLOOKUP(D370,'[6]workflow 3.2018'!$A$1:$S$237,2,FALSE)</f>
        <v>2017MLBS_185</v>
      </c>
    </row>
    <row r="371" spans="2:288" s="18" customFormat="1" x14ac:dyDescent="0.2">
      <c r="B371" s="16">
        <v>2017</v>
      </c>
      <c r="C371" s="20">
        <v>42923</v>
      </c>
      <c r="D371" s="20" t="str">
        <f>CONCATENATE(J371,"-",C371)</f>
        <v>1220-42923</v>
      </c>
      <c r="E371" s="20" t="str">
        <f>CONCATENATE(T371,"-",U371,"-",C371)</f>
        <v>SP2-F2-42923</v>
      </c>
      <c r="F371" s="20" t="s">
        <v>106</v>
      </c>
      <c r="G371" s="20" t="s">
        <v>107</v>
      </c>
      <c r="H371" s="16"/>
      <c r="I371" s="16">
        <v>0</v>
      </c>
      <c r="J371" s="21">
        <v>1220</v>
      </c>
      <c r="K371" s="21">
        <v>1849</v>
      </c>
      <c r="L371" s="18">
        <v>0</v>
      </c>
      <c r="M371" s="21">
        <f>VLOOKUP($K371,'[4]blood tubes 2017'!$D$1:$L$647,8,FALSE)</f>
        <v>0</v>
      </c>
      <c r="N371" s="15">
        <v>0</v>
      </c>
      <c r="O371" s="15" t="s">
        <v>119</v>
      </c>
      <c r="P371" s="16" t="s">
        <v>119</v>
      </c>
      <c r="Q371" s="16">
        <v>0</v>
      </c>
      <c r="R371" s="16" t="s">
        <v>111</v>
      </c>
      <c r="S371" s="16"/>
      <c r="T371" s="16" t="s">
        <v>137</v>
      </c>
      <c r="U371" s="16" t="s">
        <v>187</v>
      </c>
      <c r="V371" s="16" t="s">
        <v>114</v>
      </c>
      <c r="W371" s="16">
        <f>AI371/AG371</f>
        <v>0.875</v>
      </c>
      <c r="X371" s="16" t="s">
        <v>115</v>
      </c>
      <c r="Y371" s="16" t="s">
        <v>110</v>
      </c>
      <c r="Z371" s="16">
        <v>3</v>
      </c>
      <c r="AA371" s="16"/>
      <c r="AB371" s="16"/>
      <c r="AC371" s="16"/>
      <c r="AD371" s="16"/>
      <c r="AE371" s="16" t="s">
        <v>116</v>
      </c>
      <c r="AF371" s="16" t="s">
        <v>116</v>
      </c>
      <c r="AG371" s="16">
        <f>AH371-AI371</f>
        <v>88</v>
      </c>
      <c r="AH371" s="16">
        <v>165</v>
      </c>
      <c r="AI371" s="16">
        <v>77</v>
      </c>
      <c r="AJ371" s="16"/>
      <c r="AK371" s="16">
        <v>20.5</v>
      </c>
      <c r="AL371" s="16">
        <v>1</v>
      </c>
      <c r="AM371" s="16">
        <v>0</v>
      </c>
      <c r="AN371" s="16">
        <v>0</v>
      </c>
      <c r="AO371" s="16">
        <v>1</v>
      </c>
      <c r="AP371" s="16">
        <f>SUM(AL371:AN371)</f>
        <v>1</v>
      </c>
      <c r="AQ371" s="16">
        <v>2.399</v>
      </c>
      <c r="AR371" s="16">
        <f>AP371-1.472</f>
        <v>-0.47199999999999998</v>
      </c>
      <c r="AS371" s="16">
        <f>AQ371-1.472</f>
        <v>0.92700000000000005</v>
      </c>
      <c r="AT371" s="16" t="s">
        <v>119</v>
      </c>
      <c r="AU371" s="16"/>
      <c r="AV371" s="16"/>
      <c r="AW371" s="18">
        <f>IF(AX371&gt;0,1,0)</f>
        <v>1</v>
      </c>
      <c r="AX371" s="18">
        <f>SUM(BA371,BM371,CT371)</f>
        <v>2</v>
      </c>
      <c r="AY371" s="18">
        <f>SUM(BB371,BN371,CV371)</f>
        <v>25.889967637540451</v>
      </c>
      <c r="AZ371" s="18">
        <v>1</v>
      </c>
      <c r="BA371" s="18">
        <v>2</v>
      </c>
      <c r="BB371" s="18">
        <f>SUM(BE371,BH371,BK371)</f>
        <v>25.889967637540451</v>
      </c>
      <c r="BC371" s="18">
        <v>1</v>
      </c>
      <c r="BD371" s="18">
        <v>10</v>
      </c>
      <c r="BE371" s="18">
        <f>BD371/AS371</f>
        <v>10.787486515641856</v>
      </c>
      <c r="BF371" s="18">
        <v>1</v>
      </c>
      <c r="BG371" s="25">
        <v>14</v>
      </c>
      <c r="BH371" s="16">
        <f>BG371/AS371</f>
        <v>15.102481121898597</v>
      </c>
      <c r="BI371" s="16">
        <v>0</v>
      </c>
      <c r="BJ371" s="16">
        <v>0</v>
      </c>
      <c r="BK371" s="16">
        <f>BJ371/AS371</f>
        <v>0</v>
      </c>
      <c r="BL371" s="16">
        <f>IF(BM371&gt;0,1,0)</f>
        <v>0</v>
      </c>
      <c r="BM371" s="16">
        <f>SUM(BR371,BU371,BX371,CA371,CD371,CG371,CJ371,CM371,CP371)</f>
        <v>0</v>
      </c>
      <c r="BN371" s="16">
        <f>SUM(BW371,BZ371,CC371,CF371,CI371,CL371,CO371,CR371,BT371)</f>
        <v>0</v>
      </c>
      <c r="BO371" s="16">
        <f>IF(BP371&gt;0,1,0)</f>
        <v>0</v>
      </c>
      <c r="BP371" s="16">
        <f>SUM(BU371,BX371,CA371,CD371,BR371)</f>
        <v>0</v>
      </c>
      <c r="BQ371" s="16">
        <f>SUM(BZ371,CC371,CF371,BT371,BW371)</f>
        <v>0</v>
      </c>
      <c r="BR371" s="16">
        <v>0</v>
      </c>
      <c r="BS371" s="16">
        <v>0</v>
      </c>
      <c r="BT371" s="23">
        <f>BS371/AS371</f>
        <v>0</v>
      </c>
      <c r="BU371" s="16">
        <v>0</v>
      </c>
      <c r="BV371" s="16">
        <v>0</v>
      </c>
      <c r="BW371" s="16">
        <f>BV371/AS371</f>
        <v>0</v>
      </c>
      <c r="BX371" s="16">
        <v>0</v>
      </c>
      <c r="BY371" s="16">
        <v>0</v>
      </c>
      <c r="BZ371" s="16">
        <f>BY371/AS371</f>
        <v>0</v>
      </c>
      <c r="CA371" s="16">
        <v>0</v>
      </c>
      <c r="CB371" s="16">
        <v>0</v>
      </c>
      <c r="CC371" s="16">
        <f>CB371/AS371</f>
        <v>0</v>
      </c>
      <c r="CD371" s="23">
        <v>0</v>
      </c>
      <c r="CE371" s="16">
        <v>0</v>
      </c>
      <c r="CF371" s="16">
        <f>CE371/AS371</f>
        <v>0</v>
      </c>
      <c r="CG371" s="16">
        <v>0</v>
      </c>
      <c r="CH371" s="16">
        <v>0</v>
      </c>
      <c r="CI371" s="16">
        <f>CH371/AS371</f>
        <v>0</v>
      </c>
      <c r="CJ371" s="16"/>
      <c r="CK371" s="16"/>
      <c r="CL371" s="16"/>
      <c r="CM371" s="16">
        <v>0</v>
      </c>
      <c r="CN371" s="16">
        <v>0</v>
      </c>
      <c r="CO371" s="16">
        <f>CN371/AS371</f>
        <v>0</v>
      </c>
      <c r="CP371" s="16">
        <v>0</v>
      </c>
      <c r="CQ371" s="16">
        <v>0</v>
      </c>
      <c r="CR371" s="16">
        <f>CQ371/AS371</f>
        <v>0</v>
      </c>
      <c r="CS371" s="16">
        <v>0</v>
      </c>
      <c r="CT371" s="16">
        <v>0</v>
      </c>
      <c r="CU371" s="16"/>
      <c r="CV371" s="16">
        <f>SUM(CY371,DB371,DE371)</f>
        <v>0</v>
      </c>
      <c r="CW371" s="16">
        <v>0</v>
      </c>
      <c r="CX371" s="16">
        <v>0</v>
      </c>
      <c r="CY371" s="16">
        <f>CX371/AS371</f>
        <v>0</v>
      </c>
      <c r="CZ371" s="16">
        <v>0</v>
      </c>
      <c r="DA371" s="16">
        <v>0</v>
      </c>
      <c r="DB371" s="16">
        <f>DA371/AS371</f>
        <v>0</v>
      </c>
      <c r="DC371" s="16">
        <v>0</v>
      </c>
      <c r="DD371" s="16">
        <v>0</v>
      </c>
      <c r="DE371" s="16">
        <f>DD371/AS371</f>
        <v>0</v>
      </c>
      <c r="DF371" s="16" t="e">
        <f>VLOOKUP(K371,'[3]RNA Seq summary tables'!$V$3:$V$99,1,FALSE)</f>
        <v>#N/A</v>
      </c>
      <c r="DG371" s="16"/>
      <c r="DH371" s="16"/>
      <c r="DI371" s="16">
        <v>82</v>
      </c>
      <c r="DJ371" s="16"/>
      <c r="DK371" s="16">
        <v>14</v>
      </c>
      <c r="DL371" s="16"/>
      <c r="DM371" s="16">
        <v>4</v>
      </c>
      <c r="DN371" s="16"/>
      <c r="DO371" s="16">
        <v>0</v>
      </c>
      <c r="DP371" s="16"/>
      <c r="DQ371" s="16">
        <v>0</v>
      </c>
      <c r="DR371" s="16">
        <f>SUM(DI371:DQ371)</f>
        <v>100</v>
      </c>
      <c r="DS371" s="16"/>
      <c r="JO371" s="16"/>
      <c r="JP371" s="16"/>
      <c r="JQ371" s="16"/>
      <c r="JR371" s="27"/>
      <c r="JS371" s="27"/>
      <c r="JT371" s="27"/>
      <c r="JU371" s="27"/>
      <c r="JV371" s="27"/>
      <c r="JW371" s="27"/>
      <c r="JX371" s="27"/>
      <c r="JY371" s="27"/>
      <c r="JZ371" s="27"/>
      <c r="KA371" s="27"/>
      <c r="KB371" s="27"/>
    </row>
    <row r="372" spans="2:288" x14ac:dyDescent="0.2">
      <c r="B372" s="16">
        <v>2017</v>
      </c>
      <c r="C372" s="20">
        <v>42939</v>
      </c>
      <c r="D372" s="20" t="str">
        <f>CONCATENATE(J372,"-",C372)</f>
        <v>1220-42939</v>
      </c>
      <c r="E372" s="20" t="str">
        <f>CONCATENATE(T372,"-",U372,"-",C372)</f>
        <v>SP2-F2-42939</v>
      </c>
      <c r="F372" s="20" t="s">
        <v>106</v>
      </c>
      <c r="G372" s="20" t="s">
        <v>107</v>
      </c>
      <c r="I372" s="16">
        <v>0</v>
      </c>
      <c r="J372" s="21">
        <v>1220</v>
      </c>
      <c r="K372" s="21">
        <v>1971</v>
      </c>
      <c r="L372" s="18">
        <v>0</v>
      </c>
      <c r="M372" s="21">
        <f>VLOOKUP($K372,'[4]blood tubes 2017'!$D$1:$L$647,8,FALSE)</f>
        <v>0</v>
      </c>
      <c r="N372" s="15">
        <v>0</v>
      </c>
      <c r="O372" s="15" t="s">
        <v>119</v>
      </c>
      <c r="P372" s="16" t="s">
        <v>119</v>
      </c>
      <c r="Q372" s="16">
        <v>0</v>
      </c>
      <c r="R372" s="16">
        <v>16</v>
      </c>
      <c r="T372" s="16" t="s">
        <v>137</v>
      </c>
      <c r="U372" s="16" t="s">
        <v>187</v>
      </c>
      <c r="V372" s="16" t="s">
        <v>114</v>
      </c>
      <c r="W372" s="16">
        <f>AI372/AG372</f>
        <v>0.898876404494382</v>
      </c>
      <c r="X372" s="16" t="s">
        <v>115</v>
      </c>
      <c r="Y372" s="16" t="s">
        <v>110</v>
      </c>
      <c r="Z372" s="16">
        <v>3</v>
      </c>
      <c r="AE372" s="16" t="s">
        <v>116</v>
      </c>
      <c r="AF372" s="16" t="s">
        <v>116</v>
      </c>
      <c r="AG372" s="16">
        <f>AH372-AI372</f>
        <v>89</v>
      </c>
      <c r="AH372" s="16">
        <v>169</v>
      </c>
      <c r="AI372" s="16">
        <v>80</v>
      </c>
      <c r="AK372" s="16">
        <v>19.5</v>
      </c>
      <c r="AL372" s="16">
        <v>1</v>
      </c>
      <c r="AM372" s="16">
        <v>0</v>
      </c>
      <c r="AN372" s="16">
        <v>0</v>
      </c>
      <c r="AO372" s="16">
        <v>1</v>
      </c>
      <c r="AP372" s="16">
        <f>SUM(AL372:AN372)</f>
        <v>1</v>
      </c>
      <c r="AQ372" s="16">
        <v>1.661</v>
      </c>
      <c r="AR372" s="16">
        <f>AP372-1.472</f>
        <v>-0.47199999999999998</v>
      </c>
      <c r="AS372" s="16">
        <f>AQ372-1.472</f>
        <v>0.18900000000000006</v>
      </c>
      <c r="AT372" s="16" t="str">
        <f>VLOOKUP(K372,'[5]FECs - good data'!$C$1:$P$575,13,FALSE)</f>
        <v>SB</v>
      </c>
      <c r="AW372" s="18">
        <f>IF(AX372&gt;0,1,0)</f>
        <v>1</v>
      </c>
      <c r="AX372" s="18">
        <f>SUM(BA372,BM372,CT372)</f>
        <v>4</v>
      </c>
      <c r="AY372" s="18">
        <f>SUM(BB372,BN372,CV372)</f>
        <v>4439.1534391534378</v>
      </c>
      <c r="AZ372" s="18">
        <f>IF(BA372&gt;0,1,0)</f>
        <v>1</v>
      </c>
      <c r="BA372" s="18">
        <f>SUM(BC372,BF372,BI372)</f>
        <v>3</v>
      </c>
      <c r="BB372" s="18">
        <f>SUM(BE372,BH372,BK372)</f>
        <v>4021.1640211640201</v>
      </c>
      <c r="BC372" s="18">
        <f>IF(BD372&gt;0,1,0)</f>
        <v>1</v>
      </c>
      <c r="BD372" s="18">
        <f>VLOOKUP($K372,'[5]FECs - good data'!$C$1:$Z$574,14,FALSE)</f>
        <v>441</v>
      </c>
      <c r="BE372" s="16">
        <f>BD372/AS372</f>
        <v>2333.3333333333326</v>
      </c>
      <c r="BF372" s="16">
        <f>IF(BG372&gt;0,1,0)</f>
        <v>1</v>
      </c>
      <c r="BG372" s="23">
        <f>VLOOKUP($K372,'[5]FECs - good data'!$C$1:$Z$574,15,FALSE)</f>
        <v>309</v>
      </c>
      <c r="BH372" s="16">
        <f>BG372/AS372</f>
        <v>1634.9206349206345</v>
      </c>
      <c r="BI372" s="16">
        <f>IF(BJ372&gt;0,1,0)</f>
        <v>1</v>
      </c>
      <c r="BJ372" s="16">
        <f>VLOOKUP($K372,'[5]FECs - good data'!$C$1:$Z$574,16,FALSE)</f>
        <v>10</v>
      </c>
      <c r="BK372" s="16">
        <f>BJ372/AS372</f>
        <v>52.910052910052897</v>
      </c>
      <c r="BL372" s="16">
        <f>IF(BM372&gt;0,1,0)</f>
        <v>1</v>
      </c>
      <c r="BM372" s="16">
        <f>SUM(BR372,BU372,BX372,CA372,CD372,CG372,CJ372,CM372,CP372)</f>
        <v>1</v>
      </c>
      <c r="BN372" s="16">
        <f>SUM(BW372,BZ372,CC372,CF372,CI372,CL372,CO372,CR372,BT372)</f>
        <v>417.98941798941786</v>
      </c>
      <c r="BO372" s="16">
        <f>IF(BP372&gt;0,1,0)</f>
        <v>1</v>
      </c>
      <c r="BP372" s="16">
        <f>SUM(BU372,BX372,CA372,CD372,BR372)</f>
        <v>1</v>
      </c>
      <c r="BQ372" s="16">
        <f>SUM(BZ372,CC372,CF372,BT372,BW372)</f>
        <v>417.98941798941786</v>
      </c>
      <c r="BR372" s="16">
        <f>IF(BS372&gt;0,1,0)</f>
        <v>0</v>
      </c>
      <c r="BS372" s="16">
        <f>VLOOKUP($K372,'[5]FECs - good data'!$C$1:$Z$574,17,FALSE)</f>
        <v>0</v>
      </c>
      <c r="BT372" s="23">
        <f>BS372/AS372</f>
        <v>0</v>
      </c>
      <c r="BU372" s="16">
        <f>IF(BV372&gt;0,1,0)</f>
        <v>0</v>
      </c>
      <c r="BV372" s="16">
        <f>VLOOKUP($K372,'[5]FECs - good data'!$C$1:$Z$574,18,FALSE)</f>
        <v>0</v>
      </c>
      <c r="BW372" s="16">
        <f>BV372/AS372</f>
        <v>0</v>
      </c>
      <c r="BX372" s="16">
        <f>IF(BY372&gt;0,1,0)</f>
        <v>1</v>
      </c>
      <c r="BY372" s="16">
        <f>VLOOKUP($K372,'[5]FECs - good data'!$C$1:$Z$574,19,FALSE)</f>
        <v>79</v>
      </c>
      <c r="BZ372" s="16">
        <f>BY372/AS372</f>
        <v>417.98941798941786</v>
      </c>
      <c r="CA372" s="16">
        <f>IF(CB372&gt;0,1,0)</f>
        <v>0</v>
      </c>
      <c r="CB372" s="16">
        <f>VLOOKUP($K372,'[5]FECs - good data'!$C$1:$Z$574,20,FALSE)</f>
        <v>0</v>
      </c>
      <c r="CC372" s="16">
        <f>CB372/AS372</f>
        <v>0</v>
      </c>
      <c r="CD372" s="23">
        <f>IF(CE372&gt;0,1,0)</f>
        <v>0</v>
      </c>
      <c r="CE372" s="16">
        <f>VLOOKUP($K372,'[5]FECs - good data'!$C$1:$Z$574,21,FALSE)</f>
        <v>0</v>
      </c>
      <c r="CF372" s="16">
        <f>CE372/AS372</f>
        <v>0</v>
      </c>
      <c r="CG372" s="16">
        <f>IF(CH372&gt;0,1,0)</f>
        <v>0</v>
      </c>
      <c r="CH372" s="16">
        <f>VLOOKUP($K372,'[5]FECs - good data'!$C$1:$Z$574,22,FALSE)</f>
        <v>0</v>
      </c>
      <c r="CI372" s="16">
        <f>CH372/AS372</f>
        <v>0</v>
      </c>
      <c r="CJ372" s="16">
        <f>IF(CK372&gt;0,1,0)</f>
        <v>0</v>
      </c>
      <c r="CK372" s="16">
        <f>VLOOKUP($K372,'[5]FECs - good data'!$C$1:$Z$674,24,FALSE)</f>
        <v>0</v>
      </c>
      <c r="CL372" s="16">
        <f>CK372/AS372</f>
        <v>0</v>
      </c>
      <c r="CS372" s="16">
        <f>IF(CT372&gt;0,1,0)</f>
        <v>0</v>
      </c>
      <c r="CT372" s="16">
        <f>SUM(CW372+CZ372,DC372)</f>
        <v>0</v>
      </c>
      <c r="CV372" s="16">
        <f>SUM(CY372,DB372,DE372)</f>
        <v>0</v>
      </c>
      <c r="CW372" s="16">
        <f>IF(CX372&gt;0,1,0)</f>
        <v>0</v>
      </c>
      <c r="CX372" s="16">
        <f>VLOOKUP($K372,'[5]FECs - good data'!$C$1:$Z$574,22,FALSE)</f>
        <v>0</v>
      </c>
      <c r="CY372" s="16">
        <f>CX372/AS372</f>
        <v>0</v>
      </c>
      <c r="CZ372" s="16">
        <f>IF(DA372&gt;0,1,0)</f>
        <v>0</v>
      </c>
      <c r="DA372" s="16">
        <f>VLOOKUP($K372,'[5]FECs - good data'!$C$1:$Z$5982,23,FALSE)</f>
        <v>0</v>
      </c>
      <c r="DB372" s="16">
        <f>DA372/AS372</f>
        <v>0</v>
      </c>
      <c r="DC372" s="16">
        <f>IF(DD372&gt;0,1,0)</f>
        <v>0</v>
      </c>
      <c r="DD372" s="16">
        <f>VLOOKUP($K372,'[5]FECs - good data'!$C$1:$Z$574,23,FALSE)</f>
        <v>0</v>
      </c>
      <c r="DE372" s="16">
        <f>DD372/AS372</f>
        <v>0</v>
      </c>
      <c r="DF372" s="16" t="e">
        <f>VLOOKUP(K372,'[3]RNA Seq summary tables'!$V$3:$V$99,1,FALSE)</f>
        <v>#N/A</v>
      </c>
      <c r="DG372" s="16">
        <v>1</v>
      </c>
      <c r="DH372" s="16" t="str">
        <f>VLOOKUP(D372,'[6]workflow 3.2018'!$A$1:$S$237,2,FALSE)</f>
        <v>2017MLBS_71</v>
      </c>
      <c r="DT372" s="25"/>
      <c r="DU372" s="25"/>
      <c r="DV372" s="25"/>
      <c r="DW372" s="25"/>
      <c r="DX372" s="25"/>
      <c r="DY372" s="25"/>
      <c r="DZ372" s="25"/>
      <c r="EA372" s="25"/>
      <c r="EB372" s="25"/>
      <c r="EC372" s="25"/>
      <c r="ED372" s="25"/>
      <c r="EE372" s="25"/>
    </row>
    <row r="373" spans="2:288" x14ac:dyDescent="0.2">
      <c r="B373" s="16">
        <v>2017</v>
      </c>
      <c r="C373" s="20">
        <v>42957</v>
      </c>
      <c r="D373" s="20" t="str">
        <f>CONCATENATE(J373,"-",C373)</f>
        <v>1220-42957</v>
      </c>
      <c r="E373" s="20" t="str">
        <f>CONCATENATE(T373,"-",U373,"-",C373)</f>
        <v>SP2-G3-42957</v>
      </c>
      <c r="F373" s="20" t="s">
        <v>106</v>
      </c>
      <c r="G373" s="20" t="s">
        <v>107</v>
      </c>
      <c r="I373" s="16">
        <v>0</v>
      </c>
      <c r="J373" s="21">
        <v>1220</v>
      </c>
      <c r="K373" s="21">
        <v>2121</v>
      </c>
      <c r="L373" s="18">
        <v>0</v>
      </c>
      <c r="M373" s="21">
        <f>VLOOKUP($K373,'[4]blood tubes 2017'!$D$1:$L$647,8,FALSE)</f>
        <v>0</v>
      </c>
      <c r="N373" s="15">
        <v>0</v>
      </c>
      <c r="O373" s="15" t="s">
        <v>119</v>
      </c>
      <c r="P373" s="16" t="s">
        <v>119</v>
      </c>
      <c r="Q373" s="16">
        <v>0</v>
      </c>
      <c r="R373" s="16">
        <v>18</v>
      </c>
      <c r="T373" s="16" t="s">
        <v>137</v>
      </c>
      <c r="U373" s="16" t="s">
        <v>179</v>
      </c>
      <c r="V373" s="16" t="s">
        <v>114</v>
      </c>
      <c r="W373" s="16">
        <f>AI373/AG373</f>
        <v>0.95454545454545459</v>
      </c>
      <c r="X373" s="16" t="s">
        <v>115</v>
      </c>
      <c r="Y373" s="16" t="s">
        <v>110</v>
      </c>
      <c r="Z373" s="16">
        <v>3</v>
      </c>
      <c r="AE373" s="16" t="s">
        <v>116</v>
      </c>
      <c r="AF373" s="16" t="s">
        <v>116</v>
      </c>
      <c r="AG373" s="16">
        <f>AH373-AI373</f>
        <v>88</v>
      </c>
      <c r="AH373" s="16">
        <v>172</v>
      </c>
      <c r="AI373" s="16">
        <v>84</v>
      </c>
      <c r="AK373" s="16">
        <v>23.5</v>
      </c>
      <c r="AL373" s="16">
        <v>0</v>
      </c>
      <c r="AM373" s="16">
        <v>0</v>
      </c>
      <c r="AN373" s="16">
        <v>0</v>
      </c>
      <c r="AO373" s="16">
        <v>0</v>
      </c>
      <c r="AP373" s="16">
        <f>SUM(AL373:AN373)</f>
        <v>0</v>
      </c>
      <c r="AQ373" s="16">
        <v>1.546</v>
      </c>
      <c r="AR373" s="16">
        <f>AP373-1.472</f>
        <v>-1.472</v>
      </c>
      <c r="AS373" s="16">
        <f>AQ373-1.472</f>
        <v>7.4000000000000066E-2</v>
      </c>
      <c r="AT373" s="16" t="str">
        <f>VLOOKUP(K373,'[5]FECs - good data'!$C$1:$P$575,13,FALSE)</f>
        <v>SB</v>
      </c>
      <c r="AW373" s="18">
        <f>IF(AX373&gt;0,1,0)</f>
        <v>1</v>
      </c>
      <c r="AX373" s="18">
        <f>SUM(BA373,BM373,CT373)</f>
        <v>2</v>
      </c>
      <c r="AY373" s="18">
        <f>SUM(BB373,BN373,CV373)</f>
        <v>121.62162162162151</v>
      </c>
      <c r="AZ373" s="18">
        <f>IF(BA373&gt;0,1,0)</f>
        <v>0</v>
      </c>
      <c r="BA373" s="18">
        <f>SUM(BC373,BF373,BI373)</f>
        <v>0</v>
      </c>
      <c r="BB373" s="18">
        <f>SUM(BE373,BH373,BK373)</f>
        <v>0</v>
      </c>
      <c r="BC373" s="18">
        <f>IF(BD373&gt;0,1,0)</f>
        <v>0</v>
      </c>
      <c r="BD373" s="18">
        <f>VLOOKUP($K373,'[5]FECs - good data'!$C$1:$Z$574,14,FALSE)</f>
        <v>0</v>
      </c>
      <c r="BE373" s="16">
        <f>BD373/AS373</f>
        <v>0</v>
      </c>
      <c r="BF373" s="16">
        <f>IF(BG373&gt;0,1,0)</f>
        <v>0</v>
      </c>
      <c r="BG373" s="23">
        <f>VLOOKUP($K373,'[5]FECs - good data'!$C$1:$Z$574,15,FALSE)</f>
        <v>0</v>
      </c>
      <c r="BH373" s="16">
        <f>BG373/AS373</f>
        <v>0</v>
      </c>
      <c r="BI373" s="16">
        <f>IF(BJ373&gt;0,1,0)</f>
        <v>0</v>
      </c>
      <c r="BJ373" s="16">
        <f>VLOOKUP($K373,'[5]FECs - good data'!$C$1:$Z$574,16,FALSE)</f>
        <v>0</v>
      </c>
      <c r="BK373" s="16">
        <f>BJ373/AS373</f>
        <v>0</v>
      </c>
      <c r="BL373" s="16">
        <f>IF(BM373&gt;0,1,0)</f>
        <v>1</v>
      </c>
      <c r="BM373" s="16">
        <f>SUM(BR373,BU373,BX373,CA373,CD373,CG373,CJ373,CM373,CP373)</f>
        <v>2</v>
      </c>
      <c r="BN373" s="16">
        <f>SUM(BW373,BZ373,CC373,CF373,CI373,CL373,CO373,CR373,BT373)</f>
        <v>121.62162162162151</v>
      </c>
      <c r="BO373" s="16">
        <f>IF(BP373&gt;0,1,0)</f>
        <v>1</v>
      </c>
      <c r="BP373" s="16">
        <f>SUM(BU373,BX373,CA373,CD373,BR373)</f>
        <v>1</v>
      </c>
      <c r="BQ373" s="16">
        <f>SUM(BZ373,CC373,CF373,BT373,BW373)</f>
        <v>108.10810810810801</v>
      </c>
      <c r="BR373" s="16">
        <f>IF(BS373&gt;0,1,0)</f>
        <v>0</v>
      </c>
      <c r="BS373" s="16">
        <f>VLOOKUP($K373,'[5]FECs - good data'!$C$1:$Z$574,17,FALSE)</f>
        <v>0</v>
      </c>
      <c r="BT373" s="23">
        <f>BS373/AS373</f>
        <v>0</v>
      </c>
      <c r="BU373" s="16">
        <f>IF(BV373&gt;0,1,0)</f>
        <v>0</v>
      </c>
      <c r="BV373" s="16">
        <f>VLOOKUP($K373,'[5]FECs - good data'!$C$1:$Z$574,18,FALSE)</f>
        <v>0</v>
      </c>
      <c r="BW373" s="16">
        <f>BV373/AS373</f>
        <v>0</v>
      </c>
      <c r="BX373" s="16">
        <f>IF(BY373&gt;0,1,0)</f>
        <v>1</v>
      </c>
      <c r="BY373" s="16">
        <f>VLOOKUP($K373,'[5]FECs - good data'!$C$1:$Z$574,19,FALSE)</f>
        <v>8</v>
      </c>
      <c r="BZ373" s="16">
        <f>BY373/AS373</f>
        <v>108.10810810810801</v>
      </c>
      <c r="CA373" s="16">
        <f>IF(CB373&gt;0,1,0)</f>
        <v>0</v>
      </c>
      <c r="CB373" s="16">
        <f>VLOOKUP($K373,'[5]FECs - good data'!$C$1:$Z$574,20,FALSE)</f>
        <v>0</v>
      </c>
      <c r="CC373" s="16">
        <f>CB373/AS373</f>
        <v>0</v>
      </c>
      <c r="CD373" s="23">
        <f>IF(CE373&gt;0,1,0)</f>
        <v>0</v>
      </c>
      <c r="CE373" s="16">
        <f>VLOOKUP($K373,'[5]FECs - good data'!$C$1:$Z$574,21,FALSE)</f>
        <v>0</v>
      </c>
      <c r="CF373" s="16">
        <f>CE373/AS373</f>
        <v>0</v>
      </c>
      <c r="CG373" s="16">
        <f>IF(CH373&gt;0,1,0)</f>
        <v>0</v>
      </c>
      <c r="CH373" s="16">
        <f>VLOOKUP($K373,'[5]FECs - good data'!$C$1:$Z$574,22,FALSE)</f>
        <v>0</v>
      </c>
      <c r="CI373" s="16">
        <f>CH373/AS373</f>
        <v>0</v>
      </c>
      <c r="CJ373" s="16">
        <f>IF(CK373&gt;0,1,0)</f>
        <v>1</v>
      </c>
      <c r="CK373" s="16">
        <f>VLOOKUP($K373,'[5]FECs - good data'!$C$1:$Z$674,24,FALSE)</f>
        <v>1</v>
      </c>
      <c r="CL373" s="16">
        <f>CK373/AS373</f>
        <v>13.513513513513502</v>
      </c>
      <c r="CS373" s="16">
        <f>IF(CT373&gt;0,1,0)</f>
        <v>0</v>
      </c>
      <c r="CT373" s="16">
        <f>SUM(CW373+CZ373,DC373)</f>
        <v>0</v>
      </c>
      <c r="CV373" s="16">
        <f>SUM(CY373,DB373,DE373)</f>
        <v>0</v>
      </c>
      <c r="CW373" s="16">
        <f>IF(CX373&gt;0,1,0)</f>
        <v>0</v>
      </c>
      <c r="CX373" s="16">
        <f>VLOOKUP($K373,'[5]FECs - good data'!$C$1:$Z$574,22,FALSE)</f>
        <v>0</v>
      </c>
      <c r="CY373" s="16">
        <f>CX373/AS373</f>
        <v>0</v>
      </c>
      <c r="CZ373" s="16">
        <f>IF(DA373&gt;0,1,0)</f>
        <v>0</v>
      </c>
      <c r="DA373" s="16">
        <f>VLOOKUP($K373,'[5]FECs - good data'!$C$1:$Z$5982,23,FALSE)</f>
        <v>0</v>
      </c>
      <c r="DB373" s="16">
        <f>DA373/AS373</f>
        <v>0</v>
      </c>
      <c r="DC373" s="16">
        <f>IF(DD373&gt;0,1,0)</f>
        <v>0</v>
      </c>
      <c r="DD373" s="16">
        <f>VLOOKUP($K373,'[5]FECs - good data'!$C$1:$Z$574,23,FALSE)</f>
        <v>0</v>
      </c>
      <c r="DE373" s="16">
        <f>DD373/AS373</f>
        <v>0</v>
      </c>
      <c r="DF373" s="16" t="e">
        <f>VLOOKUP(K373,'[3]RNA Seq summary tables'!$V$3:$V$99,1,FALSE)</f>
        <v>#N/A</v>
      </c>
      <c r="DG373" s="16">
        <v>1</v>
      </c>
      <c r="DH373" s="16" t="str">
        <f>VLOOKUP(D373,'[6]workflow 3.2018'!$A$1:$S$237,2,FALSE)</f>
        <v>2017MLBS_131</v>
      </c>
    </row>
    <row r="374" spans="2:288" x14ac:dyDescent="0.2">
      <c r="B374" s="16">
        <v>2017</v>
      </c>
      <c r="C374" s="20">
        <v>42927</v>
      </c>
      <c r="D374" s="20" t="str">
        <f>CONCATENATE(J374,"-",C374)</f>
        <v>1222-42927</v>
      </c>
      <c r="E374" s="20" t="str">
        <f>CONCATENATE(T374,"-",U374,"-",C374)</f>
        <v>PO1-E5-42927</v>
      </c>
      <c r="F374" s="20" t="s">
        <v>106</v>
      </c>
      <c r="G374" s="20" t="s">
        <v>107</v>
      </c>
      <c r="I374" s="16">
        <v>0</v>
      </c>
      <c r="J374" s="21">
        <v>1222</v>
      </c>
      <c r="K374" s="21">
        <v>1855</v>
      </c>
      <c r="L374" s="18">
        <v>0</v>
      </c>
      <c r="M374" s="21">
        <f>VLOOKUP($K374,'[4]blood tubes 2017'!$D$1:$L$647,8,FALSE)</f>
        <v>0</v>
      </c>
      <c r="N374" s="15">
        <v>0</v>
      </c>
      <c r="O374" s="15" t="s">
        <v>119</v>
      </c>
      <c r="P374" s="16" t="s">
        <v>119</v>
      </c>
      <c r="Q374" s="16">
        <v>0</v>
      </c>
      <c r="R374" s="16" t="s">
        <v>111</v>
      </c>
      <c r="T374" s="16" t="s">
        <v>112</v>
      </c>
      <c r="U374" s="16" t="s">
        <v>158</v>
      </c>
      <c r="V374" s="16" t="s">
        <v>114</v>
      </c>
      <c r="W374" s="16">
        <f>AI374/AG374</f>
        <v>0.83544303797468356</v>
      </c>
      <c r="X374" s="16" t="s">
        <v>115</v>
      </c>
      <c r="Y374" s="16" t="s">
        <v>122</v>
      </c>
      <c r="Z374" s="16">
        <v>2.2999999999999998</v>
      </c>
      <c r="AE374" s="16" t="s">
        <v>123</v>
      </c>
      <c r="AF374" s="16" t="s">
        <v>123</v>
      </c>
      <c r="AG374" s="16">
        <f>AH374-AI374</f>
        <v>79</v>
      </c>
      <c r="AH374" s="16">
        <v>145</v>
      </c>
      <c r="AI374" s="16">
        <v>66</v>
      </c>
      <c r="AK374" s="16">
        <v>19</v>
      </c>
      <c r="AL374" s="16">
        <v>0</v>
      </c>
      <c r="AM374" s="16">
        <v>0</v>
      </c>
      <c r="AN374" s="16">
        <v>0</v>
      </c>
      <c r="AO374" s="16">
        <v>0</v>
      </c>
      <c r="AP374" s="16">
        <f>SUM(AL374:AN374)</f>
        <v>0</v>
      </c>
      <c r="AQ374" s="16">
        <v>1.6020000000000001</v>
      </c>
      <c r="AR374" s="16">
        <f>AP374-1.472</f>
        <v>-1.472</v>
      </c>
      <c r="AS374" s="16">
        <f>AQ374-1.472</f>
        <v>0.13000000000000012</v>
      </c>
      <c r="AT374" s="41" t="s">
        <v>252</v>
      </c>
      <c r="AU374" s="41"/>
      <c r="AV374" s="41"/>
      <c r="AW374" s="18"/>
      <c r="AX374" s="18"/>
      <c r="AY374" s="18"/>
      <c r="AZ374" s="18"/>
      <c r="BA374" s="18"/>
      <c r="BB374" s="18"/>
      <c r="BC374" s="18"/>
      <c r="BD374" s="18"/>
      <c r="BG374" s="23"/>
      <c r="BT374" s="23"/>
      <c r="CD374" s="23"/>
      <c r="DF374" s="16" t="e">
        <f>VLOOKUP(K374,'[3]RNA Seq summary tables'!$V$3:$V$99,1,FALSE)</f>
        <v>#N/A</v>
      </c>
      <c r="JR374" s="27"/>
      <c r="JS374" s="27"/>
      <c r="JT374" s="27"/>
      <c r="JU374" s="27"/>
      <c r="JV374" s="27"/>
      <c r="JW374" s="27"/>
      <c r="JX374" s="27"/>
      <c r="JY374" s="27"/>
      <c r="JZ374" s="27"/>
      <c r="KA374" s="27"/>
      <c r="KB374" s="27"/>
    </row>
    <row r="375" spans="2:288" ht="16" x14ac:dyDescent="0.2">
      <c r="B375" s="16">
        <v>2017</v>
      </c>
      <c r="C375" s="20">
        <v>42945</v>
      </c>
      <c r="D375" s="20" t="str">
        <f>CONCATENATE(J375,"-",C375)</f>
        <v>1223-42945</v>
      </c>
      <c r="E375" s="37" t="str">
        <f>CONCATENATE(T375,"-",U375,"-",C375)</f>
        <v>PO1-G8-42945</v>
      </c>
      <c r="F375" s="20" t="s">
        <v>106</v>
      </c>
      <c r="G375" s="20" t="s">
        <v>107</v>
      </c>
      <c r="J375" s="21">
        <v>1223</v>
      </c>
      <c r="K375" s="21">
        <v>1995</v>
      </c>
      <c r="L375" s="18">
        <v>0</v>
      </c>
      <c r="M375" s="21">
        <f>VLOOKUP($K375,'[4]blood tubes 2017'!$D$1:$L$647,8,FALSE)</f>
        <v>0</v>
      </c>
      <c r="N375" s="15">
        <v>0</v>
      </c>
      <c r="O375" s="15" t="s">
        <v>119</v>
      </c>
      <c r="P375" s="16" t="s">
        <v>119</v>
      </c>
      <c r="Q375" s="16">
        <v>0</v>
      </c>
      <c r="R375" s="16" t="s">
        <v>111</v>
      </c>
      <c r="T375" s="16" t="s">
        <v>112</v>
      </c>
      <c r="U375" s="16" t="s">
        <v>216</v>
      </c>
      <c r="V375" s="16" t="s">
        <v>114</v>
      </c>
      <c r="W375" s="16">
        <f>AI375/AG375</f>
        <v>0.9</v>
      </c>
      <c r="X375" s="16" t="s">
        <v>115</v>
      </c>
      <c r="Y375" s="16" t="s">
        <v>110</v>
      </c>
      <c r="Z375" s="16">
        <v>3</v>
      </c>
      <c r="AE375" s="16" t="s">
        <v>123</v>
      </c>
      <c r="AF375" s="16" t="s">
        <v>123</v>
      </c>
      <c r="AG375" s="16">
        <f>AH375-AI375</f>
        <v>90</v>
      </c>
      <c r="AH375" s="16">
        <v>171</v>
      </c>
      <c r="AI375" s="16">
        <v>81</v>
      </c>
      <c r="AK375" s="16">
        <v>21.5</v>
      </c>
      <c r="AL375" s="16">
        <v>0</v>
      </c>
      <c r="AM375" s="16">
        <v>0</v>
      </c>
      <c r="AN375" s="16">
        <v>0</v>
      </c>
      <c r="AO375" s="16">
        <v>0</v>
      </c>
      <c r="AP375" s="16">
        <f>SUM(AL375:AN375)</f>
        <v>0</v>
      </c>
      <c r="AQ375" s="16">
        <v>2.044</v>
      </c>
      <c r="AR375" s="16">
        <f>AP375-1.472</f>
        <v>-1.472</v>
      </c>
      <c r="AS375" s="16">
        <f>AQ375-1.472</f>
        <v>0.57200000000000006</v>
      </c>
      <c r="AT375" s="16" t="str">
        <f>VLOOKUP(E375,[2]Current!$A$1:$W$435,7,FALSE)</f>
        <v>TE</v>
      </c>
      <c r="AU375" s="16" t="s">
        <v>1288</v>
      </c>
      <c r="AV375" s="23">
        <v>1</v>
      </c>
      <c r="AW375" s="128">
        <f>IF(AX375&gt;0,1,0)</f>
        <v>0</v>
      </c>
      <c r="AX375" s="128">
        <f>SUM(BA375,BM375,CU375)</f>
        <v>0</v>
      </c>
      <c r="AY375" s="128">
        <f>SUM(BB375,BN375,CV375)</f>
        <v>0</v>
      </c>
      <c r="AZ375" s="128">
        <f>IF(BA375&gt;0,1,0)</f>
        <v>0</v>
      </c>
      <c r="BA375" s="128">
        <f>SUM(BC375+BF375+BI375)</f>
        <v>0</v>
      </c>
      <c r="BB375" s="128">
        <f>SUM(BE375,BH375,BK375)</f>
        <v>0</v>
      </c>
      <c r="BC375" s="130">
        <f>IF(BD375&gt;0,1,0)</f>
        <v>0</v>
      </c>
      <c r="BD375" s="128">
        <f>VLOOKUP($E375,[2]Current!$A:$AC,26,FALSE)</f>
        <v>0</v>
      </c>
      <c r="BE375" s="128">
        <f>BD375/$AS375</f>
        <v>0</v>
      </c>
      <c r="BF375" s="130">
        <f>IF(BG375&gt;0,1,0)</f>
        <v>0</v>
      </c>
      <c r="BG375" s="175">
        <f>VLOOKUP($E375,[2]Current!$A:$AC,27,FALSE)</f>
        <v>0</v>
      </c>
      <c r="BH375" s="128">
        <f>BG375/$AS375</f>
        <v>0</v>
      </c>
      <c r="BI375" s="130">
        <f>IF(BJ375&gt;0,1,0)</f>
        <v>0</v>
      </c>
      <c r="BJ375" s="128">
        <f>VLOOKUP($E375,[2]Current!$A:$AC,28,FALSE)</f>
        <v>0</v>
      </c>
      <c r="BK375" s="128">
        <f>BJ375/$AS375</f>
        <v>0</v>
      </c>
      <c r="BL375" s="128">
        <f>IF(BM375&gt;0,1,0)</f>
        <v>0</v>
      </c>
      <c r="BM375" s="128">
        <f>SUM(BR375,BU375,BX375,CA375,CD375)</f>
        <v>0</v>
      </c>
      <c r="BN375" s="131">
        <f>SUM(BT375,BW375,BZ375,CC375,CF375)</f>
        <v>0</v>
      </c>
      <c r="BO375" s="128">
        <f>IF(BP375&gt;0,1,0)</f>
        <v>1</v>
      </c>
      <c r="BP375" s="128">
        <f>BM375+CJ375</f>
        <v>1</v>
      </c>
      <c r="BQ375" s="128">
        <f>BN375+CL375</f>
        <v>1.7482517482517481</v>
      </c>
      <c r="BR375" s="130">
        <f>IF(BS375&gt;0,1,0)</f>
        <v>0</v>
      </c>
      <c r="BS375" s="128">
        <f>VLOOKUP($E375,[2]Current!$A:$AC,12,FALSE)</f>
        <v>0</v>
      </c>
      <c r="BT375" s="175">
        <f>BS375/$AS375</f>
        <v>0</v>
      </c>
      <c r="BU375" s="130">
        <f>IF(BV375&gt;0,1,0)</f>
        <v>0</v>
      </c>
      <c r="BV375" s="128">
        <f>VLOOKUP($E375,[2]Current!$A:$AC,13,FALSE)</f>
        <v>0</v>
      </c>
      <c r="BW375" s="128">
        <f>BV375/$AS375</f>
        <v>0</v>
      </c>
      <c r="BX375" s="130">
        <f>IF(BY375&gt;0,1,0)</f>
        <v>0</v>
      </c>
      <c r="BY375" s="128">
        <f>VLOOKUP($E375,[2]Current!$A:$AC,14,FALSE)</f>
        <v>0</v>
      </c>
      <c r="BZ375" s="128">
        <f>BY375/$AS375</f>
        <v>0</v>
      </c>
      <c r="CA375" s="130">
        <f>IF(CB375&gt;0,1,0)</f>
        <v>0</v>
      </c>
      <c r="CB375" s="128">
        <f>VLOOKUP($E375,[2]Current!$A:$AC,15,FALSE)</f>
        <v>0</v>
      </c>
      <c r="CC375" s="128">
        <f>CB375/$AS375</f>
        <v>0</v>
      </c>
      <c r="CD375" s="176">
        <f>IF(CE375&gt;0,1,0)</f>
        <v>0</v>
      </c>
      <c r="CE375" s="128">
        <f>VLOOKUP($E375,[2]Current!$A:$AC,16,FALSE)</f>
        <v>0</v>
      </c>
      <c r="CF375" s="128">
        <f>CE375/$AS375</f>
        <v>0</v>
      </c>
      <c r="CG375" s="18"/>
      <c r="CH375" s="18"/>
      <c r="CI375" s="18"/>
      <c r="CJ375" s="130">
        <f>IF(CK375&gt;0,1,0)</f>
        <v>1</v>
      </c>
      <c r="CK375" s="128">
        <f>VLOOKUP($E375,[2]Current!$A:$AC,18,FALSE)</f>
        <v>1</v>
      </c>
      <c r="CL375" s="128">
        <f>CK375/$AS375</f>
        <v>1.7482517482517481</v>
      </c>
      <c r="CS375" s="130">
        <f>IF(CU375&gt;0,1,0)</f>
        <v>0</v>
      </c>
      <c r="CU375" s="128">
        <f>VLOOKUP($E375,[2]Current!$A:$AC,17,FALSE)</f>
        <v>0</v>
      </c>
      <c r="CV375" s="128">
        <f>CU375/$AS375</f>
        <v>0</v>
      </c>
      <c r="CW375" s="18"/>
      <c r="CX375" s="18"/>
      <c r="CY375" s="18"/>
      <c r="DF375" s="16" t="e">
        <f>VLOOKUP(K375,'[3]RNA Seq summary tables'!$V$3:$V$99,1,FALSE)</f>
        <v>#N/A</v>
      </c>
      <c r="DG375" s="16">
        <v>1</v>
      </c>
      <c r="DH375" s="16" t="str">
        <f>VLOOKUP(D375,'[6]workflow 3.2018'!$A$1:$S$237,2,FALSE)</f>
        <v>2017MLBS_107</v>
      </c>
      <c r="JP375" s="30"/>
      <c r="JQ375" s="30"/>
    </row>
    <row r="376" spans="2:288" s="18" customFormat="1" x14ac:dyDescent="0.2">
      <c r="B376" s="16">
        <v>2017</v>
      </c>
      <c r="C376" s="20">
        <v>42927</v>
      </c>
      <c r="D376" s="20" t="str">
        <f>CONCATENATE(J376,"-",C376)</f>
        <v>1224-42927</v>
      </c>
      <c r="E376" s="20" t="str">
        <f>CONCATENATE(T376,"-",U376,"-",C376)</f>
        <v>PO2-A1-42927</v>
      </c>
      <c r="F376" s="20" t="s">
        <v>106</v>
      </c>
      <c r="G376" s="20" t="s">
        <v>107</v>
      </c>
      <c r="H376" s="16"/>
      <c r="I376" s="16">
        <v>0</v>
      </c>
      <c r="J376" s="21">
        <v>1224</v>
      </c>
      <c r="K376" s="21">
        <v>1864</v>
      </c>
      <c r="L376" s="18">
        <v>0</v>
      </c>
      <c r="M376" s="21">
        <f>VLOOKUP($K376,'[4]blood tubes 2017'!$D$1:$L$647,8,FALSE)</f>
        <v>0</v>
      </c>
      <c r="N376" s="15">
        <v>0</v>
      </c>
      <c r="O376" s="15" t="s">
        <v>119</v>
      </c>
      <c r="P376" s="16" t="s">
        <v>119</v>
      </c>
      <c r="Q376" s="16">
        <v>0</v>
      </c>
      <c r="R376" s="16" t="s">
        <v>111</v>
      </c>
      <c r="S376" s="16"/>
      <c r="T376" s="16" t="s">
        <v>127</v>
      </c>
      <c r="U376" s="16" t="s">
        <v>210</v>
      </c>
      <c r="V376" s="16" t="s">
        <v>114</v>
      </c>
      <c r="W376" s="16">
        <f>AI376/AG376</f>
        <v>0.83750000000000002</v>
      </c>
      <c r="X376" s="16" t="s">
        <v>115</v>
      </c>
      <c r="Y376" s="16" t="s">
        <v>110</v>
      </c>
      <c r="Z376" s="16">
        <v>3</v>
      </c>
      <c r="AA376" s="16"/>
      <c r="AB376" s="16"/>
      <c r="AC376" s="16"/>
      <c r="AD376" s="16"/>
      <c r="AE376" s="16" t="s">
        <v>123</v>
      </c>
      <c r="AF376" s="16" t="s">
        <v>123</v>
      </c>
      <c r="AG376" s="16">
        <f>AH376-AI376</f>
        <v>80</v>
      </c>
      <c r="AH376" s="16">
        <v>147</v>
      </c>
      <c r="AI376" s="16">
        <v>67</v>
      </c>
      <c r="AJ376" s="16"/>
      <c r="AK376" s="16">
        <v>16.5</v>
      </c>
      <c r="AL376" s="16">
        <v>0</v>
      </c>
      <c r="AM376" s="16">
        <v>0</v>
      </c>
      <c r="AN376" s="16">
        <v>0</v>
      </c>
      <c r="AO376" s="16">
        <v>0</v>
      </c>
      <c r="AP376" s="16">
        <f>SUM(AL376:AN376)</f>
        <v>0</v>
      </c>
      <c r="AQ376" s="16">
        <v>1.6890000000000001</v>
      </c>
      <c r="AR376" s="16">
        <f>AP376-1.472</f>
        <v>-1.472</v>
      </c>
      <c r="AS376" s="16">
        <f>AQ376-1.472</f>
        <v>0.21700000000000008</v>
      </c>
      <c r="AT376" s="16" t="str">
        <f>VLOOKUP(K376,'[5]FECs - good data'!$C$1:$P$575,13,FALSE)</f>
        <v>NB</v>
      </c>
      <c r="AU376" s="16"/>
      <c r="AV376" s="16"/>
      <c r="AW376" s="18">
        <f>IF(AX376&gt;0,1,0)</f>
        <v>1</v>
      </c>
      <c r="AX376" s="18">
        <f>SUM(BA376,BM376,CT376)</f>
        <v>2</v>
      </c>
      <c r="AY376" s="18">
        <f>SUM(BB376,BN376,CV376)</f>
        <v>239.63133640552985</v>
      </c>
      <c r="AZ376" s="18">
        <f>IF(BA376&gt;0,1,0)</f>
        <v>1</v>
      </c>
      <c r="BA376" s="18">
        <f>SUM(BC376,BF376,BI376)</f>
        <v>1</v>
      </c>
      <c r="BB376" s="18">
        <f>SUM(BE376,BH376,BK376)</f>
        <v>133.64055299539166</v>
      </c>
      <c r="BC376" s="18">
        <f>IF(BD376&gt;0,1,0)</f>
        <v>0</v>
      </c>
      <c r="BD376" s="18">
        <f>VLOOKUP($K376,'[5]FECs - good data'!$C$1:$Z$574,14,FALSE)</f>
        <v>0</v>
      </c>
      <c r="BE376" s="16">
        <f>BD376/AS376</f>
        <v>0</v>
      </c>
      <c r="BF376" s="16">
        <f>IF(BG376&gt;0,1,0)</f>
        <v>1</v>
      </c>
      <c r="BG376" s="23">
        <f>VLOOKUP($K376,'[5]FECs - good data'!$C$1:$Z$574,15,FALSE)</f>
        <v>29</v>
      </c>
      <c r="BH376" s="16">
        <f>BG376/AS376</f>
        <v>133.64055299539166</v>
      </c>
      <c r="BI376" s="16">
        <f>IF(BJ376&gt;0,1,0)</f>
        <v>0</v>
      </c>
      <c r="BJ376" s="16">
        <f>VLOOKUP($K376,'[5]FECs - good data'!$C$1:$Z$574,16,FALSE)</f>
        <v>0</v>
      </c>
      <c r="BK376" s="16">
        <f>BJ376/AS376</f>
        <v>0</v>
      </c>
      <c r="BL376" s="16">
        <f>IF(BM376&gt;0,1,0)</f>
        <v>1</v>
      </c>
      <c r="BM376" s="16">
        <f>SUM(BR376,BU376,BX376,CA376,CD376,CG376,CJ376,CM376,CP376)</f>
        <v>1</v>
      </c>
      <c r="BN376" s="16">
        <f>SUM(BW376,BZ376,CC376,CF376,CI376,CL376,CO376,CR376,BT376)</f>
        <v>105.99078341013821</v>
      </c>
      <c r="BO376" s="16">
        <f>IF(BP376&gt;0,1,0)</f>
        <v>1</v>
      </c>
      <c r="BP376" s="16">
        <f>SUM(BU376,BX376,CA376,CD376,BR376)</f>
        <v>1</v>
      </c>
      <c r="BQ376" s="16">
        <f>SUM(BZ376,CC376,CF376,BT376,BW376)</f>
        <v>105.99078341013821</v>
      </c>
      <c r="BR376" s="16">
        <f>IF(BS376&gt;0,1,0)</f>
        <v>1</v>
      </c>
      <c r="BS376" s="16">
        <f>VLOOKUP($K376,'[5]FECs - good data'!$C$1:$Z$574,17,FALSE)</f>
        <v>23</v>
      </c>
      <c r="BT376" s="23">
        <f>BS376/AS376</f>
        <v>105.99078341013821</v>
      </c>
      <c r="BU376" s="16">
        <f>IF(BV376&gt;0,1,0)</f>
        <v>0</v>
      </c>
      <c r="BV376" s="16">
        <f>VLOOKUP($K376,'[5]FECs - good data'!$C$1:$Z$574,18,FALSE)</f>
        <v>0</v>
      </c>
      <c r="BW376" s="16">
        <f>BV376/AS376</f>
        <v>0</v>
      </c>
      <c r="BX376" s="16">
        <f>IF(BY376&gt;0,1,0)</f>
        <v>0</v>
      </c>
      <c r="BY376" s="16">
        <f>VLOOKUP($K376,'[5]FECs - good data'!$C$1:$Z$574,19,FALSE)</f>
        <v>0</v>
      </c>
      <c r="BZ376" s="16">
        <f>BY376/AS376</f>
        <v>0</v>
      </c>
      <c r="CA376" s="16">
        <f>IF(CB376&gt;0,1,0)</f>
        <v>0</v>
      </c>
      <c r="CB376" s="16">
        <f>VLOOKUP($K376,'[5]FECs - good data'!$C$1:$Z$574,20,FALSE)</f>
        <v>0</v>
      </c>
      <c r="CC376" s="16">
        <f>CB376/AS376</f>
        <v>0</v>
      </c>
      <c r="CD376" s="23">
        <f>IF(CE376&gt;0,1,0)</f>
        <v>0</v>
      </c>
      <c r="CE376" s="16">
        <f>VLOOKUP($K376,'[5]FECs - good data'!$C$1:$Z$574,21,FALSE)</f>
        <v>0</v>
      </c>
      <c r="CF376" s="16">
        <f>CE376/AS376</f>
        <v>0</v>
      </c>
      <c r="CG376" s="16">
        <f>IF(CH376&gt;0,1,0)</f>
        <v>0</v>
      </c>
      <c r="CH376" s="16">
        <f>VLOOKUP($K376,'[5]FECs - good data'!$C$1:$Z$574,22,FALSE)</f>
        <v>0</v>
      </c>
      <c r="CI376" s="16">
        <f>CH376/AS376</f>
        <v>0</v>
      </c>
      <c r="CJ376" s="16">
        <f>IF(CK376&gt;0,1,0)</f>
        <v>0</v>
      </c>
      <c r="CK376" s="16">
        <f>VLOOKUP($K376,'[5]FECs - good data'!$C$1:$Z$674,24,FALSE)</f>
        <v>0</v>
      </c>
      <c r="CL376" s="16">
        <f>CK376/AS376</f>
        <v>0</v>
      </c>
      <c r="CM376" s="16"/>
      <c r="CN376" s="16"/>
      <c r="CO376" s="16"/>
      <c r="CP376" s="16"/>
      <c r="CQ376" s="16"/>
      <c r="CR376" s="16"/>
      <c r="CS376" s="16">
        <f>IF(CT376&gt;0,1,0)</f>
        <v>0</v>
      </c>
      <c r="CT376" s="16">
        <f>SUM(CW376+CZ376,DC376)</f>
        <v>0</v>
      </c>
      <c r="CU376" s="16"/>
      <c r="CV376" s="16">
        <f>SUM(CY376,DB376,DE376)</f>
        <v>0</v>
      </c>
      <c r="CW376" s="16">
        <f>IF(CX376&gt;0,1,0)</f>
        <v>0</v>
      </c>
      <c r="CX376" s="16">
        <f>VLOOKUP($K376,'[5]FECs - good data'!$C$1:$Z$574,22,FALSE)</f>
        <v>0</v>
      </c>
      <c r="CY376" s="16">
        <f>CX376/AS376</f>
        <v>0</v>
      </c>
      <c r="CZ376" s="16">
        <f>IF(DA376&gt;0,1,0)</f>
        <v>0</v>
      </c>
      <c r="DA376" s="16">
        <f>VLOOKUP($K376,'[5]FECs - good data'!$C$1:$Z$5982,23,FALSE)</f>
        <v>0</v>
      </c>
      <c r="DB376" s="16">
        <f>DA376/AS376</f>
        <v>0</v>
      </c>
      <c r="DC376" s="16">
        <f>IF(DD376&gt;0,1,0)</f>
        <v>0</v>
      </c>
      <c r="DD376" s="16">
        <f>VLOOKUP($K376,'[5]FECs - good data'!$C$1:$Z$574,23,FALSE)</f>
        <v>0</v>
      </c>
      <c r="DE376" s="16">
        <f>DD376/AS376</f>
        <v>0</v>
      </c>
      <c r="DF376" s="16" t="e">
        <f>VLOOKUP(K376,'[3]RNA Seq summary tables'!$V$3:$V$99,1,FALSE)</f>
        <v>#N/A</v>
      </c>
      <c r="DG376" s="16"/>
      <c r="DH376" s="16"/>
      <c r="DI376" s="16"/>
      <c r="DJ376" s="16"/>
      <c r="DK376" s="16"/>
      <c r="DL376" s="16"/>
      <c r="DM376" s="16"/>
      <c r="DN376" s="16"/>
      <c r="DO376" s="16"/>
      <c r="DP376" s="16"/>
      <c r="DQ376" s="16"/>
      <c r="DR376" s="16"/>
      <c r="DS376" s="16"/>
      <c r="JO376" s="16"/>
      <c r="JP376" s="16"/>
      <c r="JQ376" s="16"/>
      <c r="JR376" s="27"/>
      <c r="JS376" s="27"/>
      <c r="JT376" s="27"/>
      <c r="JU376" s="27"/>
      <c r="JV376" s="27"/>
      <c r="JW376" s="27"/>
      <c r="JX376" s="27"/>
      <c r="JY376" s="27"/>
      <c r="JZ376" s="27"/>
      <c r="KA376" s="27"/>
      <c r="KB376" s="27"/>
    </row>
    <row r="377" spans="2:288" x14ac:dyDescent="0.2">
      <c r="B377" s="16">
        <v>2017</v>
      </c>
      <c r="C377" s="43">
        <v>42927</v>
      </c>
      <c r="D377" s="20" t="str">
        <f>CONCATENATE(J377,"-",C377)</f>
        <v>1226-42927</v>
      </c>
      <c r="E377" s="20" t="str">
        <f>CONCATENATE(T377,"-",U377,"-",C377)</f>
        <v>PO2-D1-42927</v>
      </c>
      <c r="F377" s="20" t="s">
        <v>106</v>
      </c>
      <c r="G377" s="43" t="s">
        <v>107</v>
      </c>
      <c r="H377" s="23"/>
      <c r="I377" s="16">
        <v>0</v>
      </c>
      <c r="J377" s="15">
        <v>1226</v>
      </c>
      <c r="K377" s="15">
        <v>1869</v>
      </c>
      <c r="L377" s="18">
        <v>0</v>
      </c>
      <c r="M377" s="21">
        <f>VLOOKUP($K377,'[4]blood tubes 2017'!$D$1:$L$647,8,FALSE)</f>
        <v>0</v>
      </c>
      <c r="N377" s="15">
        <v>0</v>
      </c>
      <c r="O377" s="15" t="s">
        <v>119</v>
      </c>
      <c r="P377" s="23" t="s">
        <v>119</v>
      </c>
      <c r="Q377" s="16">
        <v>0</v>
      </c>
      <c r="R377" s="23" t="s">
        <v>111</v>
      </c>
      <c r="S377" s="23"/>
      <c r="T377" s="23" t="s">
        <v>127</v>
      </c>
      <c r="U377" s="23" t="s">
        <v>157</v>
      </c>
      <c r="V377" s="23" t="s">
        <v>114</v>
      </c>
      <c r="W377" s="16">
        <f>AI377/AG377</f>
        <v>0.82105263157894737</v>
      </c>
      <c r="X377" s="23" t="s">
        <v>115</v>
      </c>
      <c r="Y377" s="23" t="s">
        <v>110</v>
      </c>
      <c r="Z377" s="23">
        <v>3</v>
      </c>
      <c r="AA377" s="23"/>
      <c r="AB377" s="23"/>
      <c r="AC377" s="23"/>
      <c r="AD377" s="23"/>
      <c r="AE377" s="23" t="s">
        <v>116</v>
      </c>
      <c r="AF377" s="23" t="s">
        <v>116</v>
      </c>
      <c r="AG377" s="23">
        <f>AH377-AI377</f>
        <v>95</v>
      </c>
      <c r="AH377" s="23">
        <v>173</v>
      </c>
      <c r="AI377" s="23">
        <v>78</v>
      </c>
      <c r="AJ377" s="23"/>
      <c r="AK377" s="23">
        <v>24.5</v>
      </c>
      <c r="AL377" s="23">
        <v>0</v>
      </c>
      <c r="AM377" s="23">
        <v>0</v>
      </c>
      <c r="AN377" s="23">
        <v>0</v>
      </c>
      <c r="AO377" s="23">
        <v>0</v>
      </c>
      <c r="AP377" s="23">
        <f>SUM(AL377:AN377)</f>
        <v>0</v>
      </c>
      <c r="AQ377" s="23">
        <v>1.5429999999999999</v>
      </c>
      <c r="AR377" s="23">
        <f>AP377-1.472</f>
        <v>-1.472</v>
      </c>
      <c r="AS377" s="23">
        <f>AQ377-1.472</f>
        <v>7.0999999999999952E-2</v>
      </c>
      <c r="AT377" s="23" t="str">
        <f>VLOOKUP(K377,'[5]FECs - good data'!$C$1:$P$575,13,FALSE)</f>
        <v>LV</v>
      </c>
      <c r="AU377" s="23"/>
      <c r="AV377" s="23"/>
      <c r="AW377" s="25">
        <f>IF(AX377&gt;0,1,0)</f>
        <v>1</v>
      </c>
      <c r="AX377" s="25">
        <f>SUM(BA377,BM377,CT377)</f>
        <v>4</v>
      </c>
      <c r="AY377" s="25">
        <f>SUM(BB377,BN377,CV377)</f>
        <v>521.12676056338057</v>
      </c>
      <c r="AZ377" s="18">
        <f>IF(BA377&gt;0,1,0)</f>
        <v>1</v>
      </c>
      <c r="BA377" s="25">
        <f>SUM(BC377,BF377,BI377)</f>
        <v>2</v>
      </c>
      <c r="BB377" s="25">
        <f>SUM(BE377,BH377,BK377)</f>
        <v>492.95774647887356</v>
      </c>
      <c r="BC377" s="18">
        <f>IF(BD377&gt;0,1,0)</f>
        <v>1</v>
      </c>
      <c r="BD377" s="25">
        <f>VLOOKUP($K377,'[5]FECs - good data'!$C$1:$Z$574,14,FALSE)</f>
        <v>11</v>
      </c>
      <c r="BE377" s="23">
        <f>BD377/AS377</f>
        <v>154.92957746478885</v>
      </c>
      <c r="BF377" s="16">
        <f>IF(BG377&gt;0,1,0)</f>
        <v>1</v>
      </c>
      <c r="BG377" s="23">
        <f>VLOOKUP($K377,'[5]FECs - good data'!$C$1:$Z$574,15,FALSE)</f>
        <v>24</v>
      </c>
      <c r="BH377" s="23">
        <f>BG377/AS377</f>
        <v>338.02816901408471</v>
      </c>
      <c r="BI377" s="16">
        <f>IF(BJ377&gt;0,1,0)</f>
        <v>0</v>
      </c>
      <c r="BJ377" s="23">
        <f>VLOOKUP($K377,'[5]FECs - good data'!$C$1:$Z$574,16,FALSE)</f>
        <v>0</v>
      </c>
      <c r="BK377" s="23">
        <f>BJ377/AS377</f>
        <v>0</v>
      </c>
      <c r="BL377" s="16">
        <f>IF(BM377&gt;0,1,0)</f>
        <v>1</v>
      </c>
      <c r="BM377" s="16">
        <f>SUM(BR377,BU377,BX377,CA377,CD377,CG377,CJ377,CM377,CP377)</f>
        <v>2</v>
      </c>
      <c r="BN377" s="16">
        <f>SUM(BW377,BZ377,CC377,CF377,CI377,CL377,CO377,CR377,BT377)</f>
        <v>28.169014084507062</v>
      </c>
      <c r="BO377" s="16">
        <f>IF(BP377&gt;0,1,0)</f>
        <v>1</v>
      </c>
      <c r="BP377" s="16">
        <f>SUM(BU377,BX377,CA377,CD377,BR377)</f>
        <v>2</v>
      </c>
      <c r="BQ377" s="16">
        <f>SUM(BZ377,CC377,CF377,BT377,BW377)</f>
        <v>28.169014084507062</v>
      </c>
      <c r="BR377" s="16">
        <f>IF(BS377&gt;0,1,0)</f>
        <v>0</v>
      </c>
      <c r="BS377" s="23">
        <f>VLOOKUP($K377,'[5]FECs - good data'!$C$1:$Z$574,17,FALSE)</f>
        <v>0</v>
      </c>
      <c r="BT377" s="23">
        <f>BS377/AS377</f>
        <v>0</v>
      </c>
      <c r="BU377" s="16">
        <f>IF(BV377&gt;0,1,0)</f>
        <v>0</v>
      </c>
      <c r="BV377" s="23">
        <f>VLOOKUP($K377,'[5]FECs - good data'!$C$1:$Z$574,18,FALSE)</f>
        <v>0</v>
      </c>
      <c r="BW377" s="16">
        <f>BV377/AS377</f>
        <v>0</v>
      </c>
      <c r="BX377" s="16">
        <f>IF(BY377&gt;0,1,0)</f>
        <v>1</v>
      </c>
      <c r="BY377" s="23">
        <f>VLOOKUP($K377,'[5]FECs - good data'!$C$1:$Z$574,19,FALSE)</f>
        <v>1</v>
      </c>
      <c r="BZ377" s="16">
        <f>BY377/AS377</f>
        <v>14.084507042253531</v>
      </c>
      <c r="CA377" s="16">
        <f>IF(CB377&gt;0,1,0)</f>
        <v>1</v>
      </c>
      <c r="CB377" s="23">
        <f>VLOOKUP($K377,'[5]FECs - good data'!$C$1:$Z$574,20,FALSE)</f>
        <v>1</v>
      </c>
      <c r="CC377" s="23">
        <f>CB377/AS377</f>
        <v>14.084507042253531</v>
      </c>
      <c r="CD377" s="23">
        <f>IF(CE377&gt;0,1,0)</f>
        <v>0</v>
      </c>
      <c r="CE377" s="23">
        <f>VLOOKUP($K377,'[5]FECs - good data'!$C$1:$Z$574,21,FALSE)</f>
        <v>0</v>
      </c>
      <c r="CF377" s="23">
        <f>CE377/AS377</f>
        <v>0</v>
      </c>
      <c r="CG377" s="23">
        <f>IF(CH377&gt;0,1,0)</f>
        <v>0</v>
      </c>
      <c r="CH377" s="23">
        <f>VLOOKUP($K377,'[5]FECs - good data'!$C$1:$Z$574,22,FALSE)</f>
        <v>0</v>
      </c>
      <c r="CI377" s="23">
        <f>CH377/AS377</f>
        <v>0</v>
      </c>
      <c r="CJ377" s="23">
        <f>IF(CK377&gt;0,1,0)</f>
        <v>0</v>
      </c>
      <c r="CK377" s="23">
        <f>VLOOKUP($K377,'[5]FECs - good data'!$C$1:$Z$674,24,FALSE)</f>
        <v>0</v>
      </c>
      <c r="CL377" s="23">
        <f>CK377/AS377</f>
        <v>0</v>
      </c>
      <c r="CM377" s="23"/>
      <c r="CN377" s="23"/>
      <c r="CO377" s="23"/>
      <c r="CP377" s="23"/>
      <c r="CQ377" s="23"/>
      <c r="CR377" s="23"/>
      <c r="CS377" s="16">
        <f>IF(CT377&gt;0,1,0)</f>
        <v>0</v>
      </c>
      <c r="CT377" s="16">
        <f>SUM(CW377+CZ377,DC377)</f>
        <v>0</v>
      </c>
      <c r="CV377" s="23">
        <f>SUM(CY377,DB377,DE377)</f>
        <v>0</v>
      </c>
      <c r="CW377" s="16">
        <f>IF(CX377&gt;0,1,0)</f>
        <v>0</v>
      </c>
      <c r="CX377" s="23">
        <f>VLOOKUP($K377,'[5]FECs - good data'!$C$1:$Z$574,22,FALSE)</f>
        <v>0</v>
      </c>
      <c r="CY377" s="23">
        <f>CX377/AS377</f>
        <v>0</v>
      </c>
      <c r="CZ377" s="23">
        <f>IF(DA377&gt;0,1,0)</f>
        <v>0</v>
      </c>
      <c r="DA377" s="23">
        <f>VLOOKUP($K377,'[5]FECs - good data'!$C$1:$Z$5982,23,FALSE)</f>
        <v>0</v>
      </c>
      <c r="DB377" s="23">
        <f>DA377/AS377</f>
        <v>0</v>
      </c>
      <c r="DC377" s="23">
        <f>IF(DD377&gt;0,1,0)</f>
        <v>0</v>
      </c>
      <c r="DD377" s="23">
        <f>VLOOKUP($K377,'[5]FECs - good data'!$C$1:$Z$574,23,FALSE)</f>
        <v>0</v>
      </c>
      <c r="DE377" s="23">
        <f>DD377/AS377</f>
        <v>0</v>
      </c>
      <c r="DF377" s="16" t="e">
        <f>VLOOKUP(K377,'[3]RNA Seq summary tables'!$V$3:$V$99,1,FALSE)</f>
        <v>#N/A</v>
      </c>
      <c r="DI377" s="23"/>
      <c r="DJ377" s="23"/>
      <c r="DK377" s="23"/>
      <c r="DL377" s="23"/>
      <c r="DM377" s="23"/>
      <c r="DN377" s="23"/>
      <c r="DO377" s="23"/>
      <c r="DP377" s="23"/>
      <c r="DQ377" s="23"/>
      <c r="DR377" s="23"/>
      <c r="DS377" s="23"/>
      <c r="DT377" s="25"/>
      <c r="DU377" s="25"/>
      <c r="DV377" s="25"/>
      <c r="DW377" s="25"/>
      <c r="DX377" s="25"/>
      <c r="DY377" s="25"/>
      <c r="DZ377" s="25"/>
      <c r="EA377" s="25"/>
      <c r="EB377" s="25"/>
      <c r="EC377" s="25"/>
      <c r="ED377" s="25"/>
      <c r="EE377" s="25"/>
      <c r="EF377" s="25"/>
      <c r="EG377" s="25"/>
      <c r="EH377" s="25"/>
      <c r="EI377" s="25"/>
      <c r="EJ377" s="25"/>
      <c r="EK377" s="25"/>
      <c r="EL377" s="25"/>
      <c r="EM377" s="25"/>
      <c r="EN377" s="25"/>
      <c r="EO377" s="25"/>
      <c r="EP377" s="25"/>
      <c r="EQ377" s="25"/>
      <c r="ER377" s="25"/>
      <c r="ES377" s="25"/>
      <c r="ET377" s="25"/>
      <c r="EU377" s="25"/>
      <c r="EV377" s="25"/>
      <c r="EW377" s="25"/>
      <c r="EX377" s="25"/>
      <c r="EY377" s="25"/>
      <c r="EZ377" s="25"/>
      <c r="FA377" s="25"/>
      <c r="FB377" s="25"/>
      <c r="FC377" s="25"/>
      <c r="FD377" s="25"/>
      <c r="FE377" s="25"/>
      <c r="FF377" s="25"/>
      <c r="FG377" s="25"/>
      <c r="FH377" s="25"/>
      <c r="FI377" s="25"/>
      <c r="FJ377" s="25"/>
      <c r="FK377" s="25"/>
      <c r="FL377" s="25"/>
      <c r="FM377" s="25"/>
      <c r="FN377" s="25"/>
      <c r="FO377" s="25"/>
      <c r="FP377" s="25"/>
      <c r="FQ377" s="25"/>
      <c r="FR377" s="25"/>
      <c r="FS377" s="25"/>
      <c r="FT377" s="25"/>
      <c r="FU377" s="25"/>
      <c r="FV377" s="25"/>
      <c r="FW377" s="25"/>
      <c r="FX377" s="25"/>
      <c r="FY377" s="25"/>
      <c r="FZ377" s="25"/>
      <c r="GA377" s="25"/>
      <c r="GB377" s="25"/>
      <c r="GC377" s="25"/>
      <c r="GD377" s="25"/>
      <c r="GE377" s="25"/>
      <c r="GF377" s="25"/>
      <c r="GG377" s="25"/>
      <c r="GH377" s="25"/>
      <c r="GI377" s="25"/>
      <c r="GJ377" s="25"/>
      <c r="GK377" s="25"/>
      <c r="GL377" s="25"/>
      <c r="GM377" s="25"/>
      <c r="GN377" s="25"/>
      <c r="GO377" s="25"/>
      <c r="GP377" s="25"/>
      <c r="GQ377" s="25"/>
      <c r="GR377" s="25"/>
      <c r="GS377" s="25"/>
      <c r="GT377" s="25"/>
      <c r="GU377" s="25"/>
      <c r="GV377" s="25"/>
      <c r="GW377" s="25"/>
      <c r="GX377" s="25"/>
      <c r="GY377" s="25"/>
      <c r="GZ377" s="25"/>
      <c r="HA377" s="25"/>
      <c r="HB377" s="25"/>
      <c r="HC377" s="25"/>
      <c r="HD377" s="25"/>
      <c r="HE377" s="25"/>
      <c r="HF377" s="25"/>
      <c r="HG377" s="25"/>
      <c r="HH377" s="25"/>
      <c r="HI377" s="25"/>
      <c r="HJ377" s="25"/>
      <c r="HK377" s="25"/>
      <c r="HL377" s="25"/>
      <c r="HM377" s="25"/>
      <c r="HN377" s="25"/>
      <c r="HO377" s="25"/>
      <c r="HP377" s="25"/>
      <c r="HQ377" s="25"/>
      <c r="HR377" s="25"/>
      <c r="HS377" s="25"/>
      <c r="HT377" s="25"/>
      <c r="HU377" s="25"/>
      <c r="HV377" s="25"/>
      <c r="HW377" s="25"/>
      <c r="HX377" s="25"/>
      <c r="HY377" s="25"/>
      <c r="HZ377" s="25"/>
      <c r="IA377" s="25"/>
      <c r="IB377" s="25"/>
      <c r="IC377" s="25"/>
      <c r="ID377" s="25"/>
      <c r="IE377" s="25"/>
      <c r="IF377" s="25"/>
      <c r="IG377" s="25"/>
      <c r="IH377" s="25"/>
      <c r="II377" s="25"/>
      <c r="IJ377" s="25"/>
      <c r="IK377" s="25"/>
      <c r="IL377" s="25"/>
      <c r="IM377" s="25"/>
      <c r="IN377" s="25"/>
      <c r="IO377" s="25"/>
      <c r="IP377" s="25"/>
      <c r="IQ377" s="25"/>
      <c r="IR377" s="25"/>
      <c r="IS377" s="25"/>
      <c r="IT377" s="25"/>
      <c r="IU377" s="25"/>
      <c r="IV377" s="25"/>
      <c r="IW377" s="25"/>
      <c r="IX377" s="25"/>
      <c r="IY377" s="25"/>
      <c r="IZ377" s="25"/>
      <c r="JA377" s="25"/>
      <c r="JB377" s="25"/>
      <c r="JC377" s="25"/>
      <c r="JD377" s="25"/>
      <c r="JE377" s="25"/>
      <c r="JF377" s="25"/>
      <c r="JG377" s="25"/>
      <c r="JH377" s="25"/>
      <c r="JI377" s="25"/>
      <c r="JJ377" s="25"/>
      <c r="JK377" s="25"/>
      <c r="JL377" s="25"/>
      <c r="JM377" s="25"/>
      <c r="JN377" s="25"/>
      <c r="JO377" s="23"/>
      <c r="JP377" s="23"/>
      <c r="JQ377" s="23"/>
      <c r="JR377" s="27"/>
      <c r="JS377" s="27"/>
      <c r="JT377" s="27"/>
      <c r="JU377" s="27"/>
      <c r="JV377" s="27"/>
      <c r="JW377" s="27"/>
      <c r="JX377" s="27"/>
      <c r="JY377" s="27"/>
      <c r="JZ377" s="27"/>
      <c r="KA377" s="27"/>
      <c r="KB377" s="27"/>
    </row>
    <row r="378" spans="2:288" x14ac:dyDescent="0.2">
      <c r="B378" s="16">
        <v>2017</v>
      </c>
      <c r="C378" s="20">
        <v>42927</v>
      </c>
      <c r="D378" s="20" t="str">
        <f>CONCATENATE(J378,"-",C378)</f>
        <v>1228-42927</v>
      </c>
      <c r="E378" s="20" t="str">
        <f>CONCATENATE(T378,"-",U378,"-",C378)</f>
        <v>PO2-D7-42927</v>
      </c>
      <c r="F378" s="20" t="s">
        <v>106</v>
      </c>
      <c r="G378" s="20" t="s">
        <v>107</v>
      </c>
      <c r="I378" s="16">
        <v>0</v>
      </c>
      <c r="J378" s="21">
        <v>1228</v>
      </c>
      <c r="K378" s="21">
        <v>1872</v>
      </c>
      <c r="L378" s="18">
        <v>0</v>
      </c>
      <c r="M378" s="21">
        <f>VLOOKUP($K378,'[4]blood tubes 2017'!$D$1:$L$647,8,FALSE)</f>
        <v>0</v>
      </c>
      <c r="N378" s="15">
        <v>0</v>
      </c>
      <c r="O378" s="15" t="s">
        <v>119</v>
      </c>
      <c r="P378" s="16" t="s">
        <v>119</v>
      </c>
      <c r="Q378" s="16">
        <v>0</v>
      </c>
      <c r="R378" s="16" t="s">
        <v>111</v>
      </c>
      <c r="T378" s="16" t="s">
        <v>127</v>
      </c>
      <c r="U378" s="16" t="s">
        <v>177</v>
      </c>
      <c r="V378" s="16" t="s">
        <v>114</v>
      </c>
      <c r="W378" s="16">
        <f>AI378/AG378</f>
        <v>0.88607594936708856</v>
      </c>
      <c r="X378" s="16" t="s">
        <v>121</v>
      </c>
      <c r="Y378" s="16" t="s">
        <v>110</v>
      </c>
      <c r="Z378" s="16">
        <v>3</v>
      </c>
      <c r="AA378" s="16" t="s">
        <v>119</v>
      </c>
      <c r="AB378" s="16" t="s">
        <v>123</v>
      </c>
      <c r="AC378" s="16" t="s">
        <v>123</v>
      </c>
      <c r="AD378" s="16" t="s">
        <v>123</v>
      </c>
      <c r="AG378" s="16">
        <f>AH378-AI378</f>
        <v>79</v>
      </c>
      <c r="AH378" s="16">
        <v>149</v>
      </c>
      <c r="AI378" s="16">
        <v>70</v>
      </c>
      <c r="AK378" s="16">
        <v>13</v>
      </c>
      <c r="AL378" s="16">
        <v>0</v>
      </c>
      <c r="AM378" s="16">
        <v>0</v>
      </c>
      <c r="AN378" s="16">
        <v>0</v>
      </c>
      <c r="AO378" s="16">
        <v>0</v>
      </c>
      <c r="AP378" s="16">
        <f>SUM(AL378:AN378)</f>
        <v>0</v>
      </c>
      <c r="AQ378" s="16">
        <v>1.9319999999999999</v>
      </c>
      <c r="AR378" s="16">
        <f>AP378-1.472</f>
        <v>-1.472</v>
      </c>
      <c r="AS378" s="16">
        <f>AQ378-1.472</f>
        <v>0.45999999999999996</v>
      </c>
      <c r="AT378" s="16" t="str">
        <f>VLOOKUP(K378,'[5]FECs - good data'!$C$1:$P$575,13,FALSE)</f>
        <v>NB</v>
      </c>
      <c r="AW378" s="18">
        <f>IF(AX378&gt;0,1,0)</f>
        <v>1</v>
      </c>
      <c r="AX378" s="18">
        <f>SUM(BA378,BM378,CT378)</f>
        <v>1</v>
      </c>
      <c r="AY378" s="18">
        <f>SUM(BB378,BN378,CV378)</f>
        <v>2560.8695652173915</v>
      </c>
      <c r="AZ378" s="18">
        <f>IF(BA378&gt;0,1,0)</f>
        <v>1</v>
      </c>
      <c r="BA378" s="18">
        <f>SUM(BC378,BF378,BI378)</f>
        <v>1</v>
      </c>
      <c r="BB378" s="18">
        <f>SUM(BE378,BH378,BK378)</f>
        <v>2560.8695652173915</v>
      </c>
      <c r="BC378" s="18">
        <f>IF(BD378&gt;0,1,0)</f>
        <v>0</v>
      </c>
      <c r="BD378" s="18">
        <f>VLOOKUP($K378,'[5]FECs - good data'!$C$1:$Z$574,14,FALSE)</f>
        <v>0</v>
      </c>
      <c r="BE378" s="16">
        <f>BD378/AS378</f>
        <v>0</v>
      </c>
      <c r="BF378" s="16">
        <f>IF(BG378&gt;0,1,0)</f>
        <v>1</v>
      </c>
      <c r="BG378" s="23">
        <f>VLOOKUP($K378,'[5]FECs - good data'!$C$1:$Z$574,15,FALSE)</f>
        <v>1178</v>
      </c>
      <c r="BH378" s="16">
        <f>BG378/AS378</f>
        <v>2560.8695652173915</v>
      </c>
      <c r="BI378" s="16">
        <f>IF(BJ378&gt;0,1,0)</f>
        <v>0</v>
      </c>
      <c r="BJ378" s="16">
        <f>VLOOKUP($K378,'[5]FECs - good data'!$C$1:$Z$574,16,FALSE)</f>
        <v>0</v>
      </c>
      <c r="BK378" s="16">
        <f>BJ378/AS378</f>
        <v>0</v>
      </c>
      <c r="BL378" s="16">
        <f>IF(BM378&gt;0,1,0)</f>
        <v>0</v>
      </c>
      <c r="BM378" s="16">
        <f>SUM(BR378,BU378,BX378,CA378,CD378,CG378,CJ378,CM378,CP378)</f>
        <v>0</v>
      </c>
      <c r="BN378" s="16">
        <f>SUM(BW378,BZ378,CC378,CF378,CI378,CL378,CO378,CR378,BT378)</f>
        <v>0</v>
      </c>
      <c r="BO378" s="16">
        <f>IF(BP378&gt;0,1,0)</f>
        <v>0</v>
      </c>
      <c r="BP378" s="16">
        <f>SUM(BU378,BX378,CA378,CD378,BR378)</f>
        <v>0</v>
      </c>
      <c r="BQ378" s="16">
        <f>SUM(BZ378,CC378,CF378,BT378,BW378)</f>
        <v>0</v>
      </c>
      <c r="BR378" s="16">
        <f>IF(BS378&gt;0,1,0)</f>
        <v>0</v>
      </c>
      <c r="BS378" s="16">
        <f>VLOOKUP($K378,'[5]FECs - good data'!$C$1:$Z$574,17,FALSE)</f>
        <v>0</v>
      </c>
      <c r="BT378" s="23">
        <f>BS378/AS378</f>
        <v>0</v>
      </c>
      <c r="BU378" s="16">
        <f>IF(BV378&gt;0,1,0)</f>
        <v>0</v>
      </c>
      <c r="BV378" s="16">
        <f>VLOOKUP($K378,'[5]FECs - good data'!$C$1:$Z$574,18,FALSE)</f>
        <v>0</v>
      </c>
      <c r="BW378" s="16">
        <f>BV378/AS378</f>
        <v>0</v>
      </c>
      <c r="BX378" s="16">
        <f>IF(BY378&gt;0,1,0)</f>
        <v>0</v>
      </c>
      <c r="BY378" s="16">
        <f>VLOOKUP($K378,'[5]FECs - good data'!$C$1:$Z$574,19,FALSE)</f>
        <v>0</v>
      </c>
      <c r="BZ378" s="16">
        <f>BY378/AS378</f>
        <v>0</v>
      </c>
      <c r="CA378" s="16">
        <f>IF(CB378&gt;0,1,0)</f>
        <v>0</v>
      </c>
      <c r="CB378" s="16">
        <f>VLOOKUP($K378,'[5]FECs - good data'!$C$1:$Z$574,20,FALSE)</f>
        <v>0</v>
      </c>
      <c r="CC378" s="16">
        <f>CB378/AS378</f>
        <v>0</v>
      </c>
      <c r="CD378" s="23">
        <f>IF(CE378&gt;0,1,0)</f>
        <v>0</v>
      </c>
      <c r="CE378" s="16">
        <f>VLOOKUP($K378,'[5]FECs - good data'!$C$1:$Z$574,21,FALSE)</f>
        <v>0</v>
      </c>
      <c r="CF378" s="16">
        <f>CE378/AS378</f>
        <v>0</v>
      </c>
      <c r="CG378" s="16">
        <f>IF(CH378&gt;0,1,0)</f>
        <v>0</v>
      </c>
      <c r="CH378" s="16">
        <f>VLOOKUP($K378,'[5]FECs - good data'!$C$1:$Z$574,22,FALSE)</f>
        <v>0</v>
      </c>
      <c r="CI378" s="16">
        <f>CH378/AS378</f>
        <v>0</v>
      </c>
      <c r="CJ378" s="16">
        <f>IF(CK378&gt;0,1,0)</f>
        <v>0</v>
      </c>
      <c r="CK378" s="16">
        <f>VLOOKUP($K378,'[5]FECs - good data'!$C$1:$Z$674,24,FALSE)</f>
        <v>0</v>
      </c>
      <c r="CL378" s="16">
        <f>CK378/AS378</f>
        <v>0</v>
      </c>
      <c r="CS378" s="16">
        <f>IF(CT378&gt;0,1,0)</f>
        <v>0</v>
      </c>
      <c r="CT378" s="16">
        <f>SUM(CW378+CZ378,DC378)</f>
        <v>0</v>
      </c>
      <c r="CV378" s="16">
        <f>SUM(CY378,DB378,DE378)</f>
        <v>0</v>
      </c>
      <c r="CW378" s="16">
        <f>IF(CX378&gt;0,1,0)</f>
        <v>0</v>
      </c>
      <c r="CX378" s="16">
        <f>VLOOKUP($K378,'[5]FECs - good data'!$C$1:$Z$574,22,FALSE)</f>
        <v>0</v>
      </c>
      <c r="CY378" s="16">
        <f>CX378/AS378</f>
        <v>0</v>
      </c>
      <c r="CZ378" s="16">
        <f>IF(DA378&gt;0,1,0)</f>
        <v>0</v>
      </c>
      <c r="DA378" s="16">
        <f>VLOOKUP($K378,'[5]FECs - good data'!$C$1:$Z$5982,23,FALSE)</f>
        <v>0</v>
      </c>
      <c r="DB378" s="16">
        <f>DA378/AS378</f>
        <v>0</v>
      </c>
      <c r="DC378" s="16">
        <f>IF(DD378&gt;0,1,0)</f>
        <v>0</v>
      </c>
      <c r="DD378" s="16">
        <f>VLOOKUP($K378,'[5]FECs - good data'!$C$1:$Z$574,23,FALSE)</f>
        <v>0</v>
      </c>
      <c r="DE378" s="16">
        <f>DD378/AS378</f>
        <v>0</v>
      </c>
      <c r="DF378" s="16" t="e">
        <f>VLOOKUP(K378,'[3]RNA Seq summary tables'!$V$3:$V$99,1,FALSE)</f>
        <v>#N/A</v>
      </c>
      <c r="JR378" s="27"/>
      <c r="JS378" s="27"/>
      <c r="JT378" s="27"/>
      <c r="JU378" s="27"/>
      <c r="JV378" s="27"/>
      <c r="JW378" s="27"/>
      <c r="JX378" s="27"/>
      <c r="JY378" s="27"/>
      <c r="JZ378" s="27"/>
      <c r="KA378" s="27"/>
      <c r="KB378" s="27"/>
    </row>
    <row r="379" spans="2:288" ht="16" x14ac:dyDescent="0.2">
      <c r="B379" s="16">
        <v>2017</v>
      </c>
      <c r="C379" s="20">
        <v>42945</v>
      </c>
      <c r="D379" s="20" t="str">
        <f>CONCATENATE(J379,"-",C379)</f>
        <v>1228-42945</v>
      </c>
      <c r="E379" s="37" t="str">
        <f>CONCATENATE(T379,"-",U379,"-",C379)</f>
        <v>PO2-B8-42945</v>
      </c>
      <c r="F379" s="20" t="s">
        <v>106</v>
      </c>
      <c r="G379" s="20" t="s">
        <v>107</v>
      </c>
      <c r="I379" s="16">
        <v>0</v>
      </c>
      <c r="J379" s="21">
        <v>1228</v>
      </c>
      <c r="K379" s="21">
        <v>1997</v>
      </c>
      <c r="L379" s="18">
        <v>0</v>
      </c>
      <c r="M379" s="21">
        <f>VLOOKUP($K379,'[4]blood tubes 2017'!$D$1:$L$647,8,FALSE)</f>
        <v>0</v>
      </c>
      <c r="N379" s="15">
        <v>0</v>
      </c>
      <c r="O379" s="15" t="s">
        <v>119</v>
      </c>
      <c r="P379" s="16" t="s">
        <v>119</v>
      </c>
      <c r="Q379" s="16">
        <v>0</v>
      </c>
      <c r="R379" s="16">
        <v>18</v>
      </c>
      <c r="T379" s="16" t="s">
        <v>127</v>
      </c>
      <c r="U379" s="16" t="s">
        <v>209</v>
      </c>
      <c r="V379" s="16" t="s">
        <v>114</v>
      </c>
      <c r="W379" s="16">
        <f>AI379/AG379</f>
        <v>0.96341463414634143</v>
      </c>
      <c r="X379" s="16" t="s">
        <v>121</v>
      </c>
      <c r="Y379" s="16" t="s">
        <v>110</v>
      </c>
      <c r="Z379" s="16">
        <v>3</v>
      </c>
      <c r="AA379" s="16" t="s">
        <v>161</v>
      </c>
      <c r="AB379" s="16" t="s">
        <v>123</v>
      </c>
      <c r="AC379" s="16" t="s">
        <v>123</v>
      </c>
      <c r="AD379" s="16" t="s">
        <v>116</v>
      </c>
      <c r="AG379" s="16">
        <f>AH379-AI379</f>
        <v>82</v>
      </c>
      <c r="AH379" s="16">
        <v>161</v>
      </c>
      <c r="AI379" s="16">
        <v>79</v>
      </c>
      <c r="AK379" s="16">
        <v>17.5</v>
      </c>
      <c r="AL379" s="16">
        <v>0</v>
      </c>
      <c r="AM379" s="16">
        <v>0</v>
      </c>
      <c r="AN379" s="16">
        <v>0</v>
      </c>
      <c r="AO379" s="16">
        <v>0</v>
      </c>
      <c r="AP379" s="16">
        <f>SUM(AL379:AN379)</f>
        <v>0</v>
      </c>
      <c r="AQ379" s="16">
        <v>2.5489999999999999</v>
      </c>
      <c r="AR379" s="16">
        <f>AP379-1.472</f>
        <v>-1.472</v>
      </c>
      <c r="AS379" s="16">
        <f>AQ379-1.472</f>
        <v>1.077</v>
      </c>
      <c r="AT379" s="16" t="str">
        <f>VLOOKUP(E379,[2]Current!$A$1:$W$435,7,FALSE)</f>
        <v>TE</v>
      </c>
      <c r="AU379" s="16" t="s">
        <v>1288</v>
      </c>
      <c r="AV379" s="23">
        <v>1</v>
      </c>
      <c r="AW379" s="128">
        <f>IF(AX379&gt;0,1,0)</f>
        <v>0</v>
      </c>
      <c r="AX379" s="128">
        <f>SUM(BA379,BM379,CU379)</f>
        <v>0</v>
      </c>
      <c r="AY379" s="128">
        <f>SUM(BB379,BN379,CV379)</f>
        <v>0</v>
      </c>
      <c r="AZ379" s="128">
        <f>IF(BA379&gt;0,1,0)</f>
        <v>0</v>
      </c>
      <c r="BA379" s="128">
        <f>SUM(BC379+BF379+BI379)</f>
        <v>0</v>
      </c>
      <c r="BB379" s="128">
        <f>SUM(BE379,BH379,BK379)</f>
        <v>0</v>
      </c>
      <c r="BC379" s="130">
        <f>IF(BD379&gt;0,1,0)</f>
        <v>0</v>
      </c>
      <c r="BD379" s="128">
        <f>VLOOKUP($E379,[2]Current!$A:$AC,26,FALSE)</f>
        <v>0</v>
      </c>
      <c r="BE379" s="128">
        <f>BD379/$AS379</f>
        <v>0</v>
      </c>
      <c r="BF379" s="130">
        <f>IF(BG379&gt;0,1,0)</f>
        <v>0</v>
      </c>
      <c r="BG379" s="175">
        <f>VLOOKUP($E379,[2]Current!$A:$AC,27,FALSE)</f>
        <v>0</v>
      </c>
      <c r="BH379" s="128">
        <f>BG379/$AS379</f>
        <v>0</v>
      </c>
      <c r="BI379" s="130">
        <f>IF(BJ379&gt;0,1,0)</f>
        <v>0</v>
      </c>
      <c r="BJ379" s="128">
        <f>VLOOKUP($E379,[2]Current!$A:$AC,28,FALSE)</f>
        <v>0</v>
      </c>
      <c r="BK379" s="128">
        <f>BJ379/$AS379</f>
        <v>0</v>
      </c>
      <c r="BL379" s="128">
        <f>IF(BM379&gt;0,1,0)</f>
        <v>0</v>
      </c>
      <c r="BM379" s="128">
        <f>SUM(BR379,BU379,BX379,CA379,CD379)</f>
        <v>0</v>
      </c>
      <c r="BN379" s="131">
        <f>SUM(BT379,BW379,BZ379,CC379,CF379)</f>
        <v>0</v>
      </c>
      <c r="BO379" s="128">
        <f>IF(BP379&gt;0,1,0)</f>
        <v>0</v>
      </c>
      <c r="BP379" s="128">
        <f>BM379+CJ379</f>
        <v>0</v>
      </c>
      <c r="BQ379" s="128">
        <f>BN379+CL379</f>
        <v>0</v>
      </c>
      <c r="BR379" s="130">
        <f>IF(BS379&gt;0,1,0)</f>
        <v>0</v>
      </c>
      <c r="BS379" s="128">
        <f>VLOOKUP($E379,[2]Current!$A:$AC,12,FALSE)</f>
        <v>0</v>
      </c>
      <c r="BT379" s="175">
        <f>BS379/$AS379</f>
        <v>0</v>
      </c>
      <c r="BU379" s="130">
        <f>IF(BV379&gt;0,1,0)</f>
        <v>0</v>
      </c>
      <c r="BV379" s="128">
        <f>VLOOKUP($E379,[2]Current!$A:$AC,13,FALSE)</f>
        <v>0</v>
      </c>
      <c r="BW379" s="128">
        <f>BV379/$AS379</f>
        <v>0</v>
      </c>
      <c r="BX379" s="130">
        <f>IF(BY379&gt;0,1,0)</f>
        <v>0</v>
      </c>
      <c r="BY379" s="128">
        <f>VLOOKUP($E379,[2]Current!$A:$AC,14,FALSE)</f>
        <v>0</v>
      </c>
      <c r="BZ379" s="128">
        <f>BY379/$AS379</f>
        <v>0</v>
      </c>
      <c r="CA379" s="130">
        <f>IF(CB379&gt;0,1,0)</f>
        <v>0</v>
      </c>
      <c r="CB379" s="128">
        <f>VLOOKUP($E379,[2]Current!$A:$AC,15,FALSE)</f>
        <v>0</v>
      </c>
      <c r="CC379" s="128">
        <f>CB379/$AS379</f>
        <v>0</v>
      </c>
      <c r="CD379" s="176">
        <f>IF(CE379&gt;0,1,0)</f>
        <v>0</v>
      </c>
      <c r="CE379" s="128">
        <f>VLOOKUP($E379,[2]Current!$A:$AC,16,FALSE)</f>
        <v>0</v>
      </c>
      <c r="CF379" s="128">
        <f>CE379/$AS379</f>
        <v>0</v>
      </c>
      <c r="CG379" s="18"/>
      <c r="CH379" s="18"/>
      <c r="CI379" s="18"/>
      <c r="CJ379" s="130">
        <f>IF(CK379&gt;0,1,0)</f>
        <v>0</v>
      </c>
      <c r="CK379" s="128">
        <f>VLOOKUP($E379,[2]Current!$A:$AC,18,FALSE)</f>
        <v>0</v>
      </c>
      <c r="CL379" s="128">
        <f>CK379/$AS379</f>
        <v>0</v>
      </c>
      <c r="CS379" s="130">
        <f>IF(CU379&gt;0,1,0)</f>
        <v>0</v>
      </c>
      <c r="CU379" s="128">
        <f>VLOOKUP($E379,[2]Current!$A:$AC,17,FALSE)</f>
        <v>0</v>
      </c>
      <c r="CV379" s="128">
        <f>CU379/$AS379</f>
        <v>0</v>
      </c>
      <c r="CW379" s="18"/>
      <c r="CX379" s="18"/>
      <c r="CY379" s="18"/>
      <c r="DF379" s="16" t="e">
        <f>VLOOKUP(K379,'[3]RNA Seq summary tables'!$V$3:$V$99,1,FALSE)</f>
        <v>#N/A</v>
      </c>
      <c r="DG379" s="16">
        <v>1</v>
      </c>
      <c r="DH379" s="16" t="str">
        <f>VLOOKUP(D379,'[6]workflow 3.2018'!$A$1:$S$237,2,FALSE)</f>
        <v>2017MLBS_109</v>
      </c>
      <c r="JR379" s="39"/>
      <c r="JS379" s="39"/>
      <c r="JT379" s="39"/>
      <c r="JU379" s="39"/>
      <c r="JV379" s="39"/>
      <c r="JW379" s="39"/>
      <c r="JX379" s="39"/>
      <c r="JY379" s="39"/>
      <c r="JZ379" s="39"/>
      <c r="KA379" s="39"/>
      <c r="KB379" s="39"/>
    </row>
    <row r="380" spans="2:288" ht="16" x14ac:dyDescent="0.2">
      <c r="B380" s="16">
        <v>2017</v>
      </c>
      <c r="C380" s="20">
        <v>42964</v>
      </c>
      <c r="D380" s="20" t="str">
        <f>CONCATENATE(J380,"-",C380)</f>
        <v>1228-42964</v>
      </c>
      <c r="E380" s="37" t="str">
        <f>CONCATENATE(T380,"-",U380,"-",C380)</f>
        <v>PO2-C8-42964</v>
      </c>
      <c r="F380" s="20" t="s">
        <v>106</v>
      </c>
      <c r="G380" s="20" t="s">
        <v>107</v>
      </c>
      <c r="I380" s="16">
        <v>0</v>
      </c>
      <c r="J380" s="21">
        <v>1228</v>
      </c>
      <c r="K380" s="21">
        <v>2178</v>
      </c>
      <c r="L380" s="18">
        <v>0</v>
      </c>
      <c r="M380" s="21">
        <f>VLOOKUP($K380,'[4]blood tubes 2017'!$D$1:$L$647,8,FALSE)</f>
        <v>0</v>
      </c>
      <c r="N380" s="15">
        <v>0</v>
      </c>
      <c r="O380" s="15" t="s">
        <v>119</v>
      </c>
      <c r="P380" s="16" t="s">
        <v>119</v>
      </c>
      <c r="Q380" s="16">
        <v>0</v>
      </c>
      <c r="R380" s="16">
        <v>19</v>
      </c>
      <c r="T380" s="16" t="s">
        <v>127</v>
      </c>
      <c r="U380" s="16" t="s">
        <v>188</v>
      </c>
      <c r="V380" s="16" t="s">
        <v>114</v>
      </c>
      <c r="W380" s="16">
        <f>AI380/AG380</f>
        <v>0.86813186813186816</v>
      </c>
      <c r="X380" s="16" t="s">
        <v>121</v>
      </c>
      <c r="Y380" s="16" t="s">
        <v>110</v>
      </c>
      <c r="Z380" s="16">
        <v>3</v>
      </c>
      <c r="AA380" s="16" t="s">
        <v>161</v>
      </c>
      <c r="AB380" s="16" t="s">
        <v>123</v>
      </c>
      <c r="AC380" s="16" t="s">
        <v>123</v>
      </c>
      <c r="AD380" s="16" t="s">
        <v>116</v>
      </c>
      <c r="AG380" s="16">
        <f>AH380-AI380</f>
        <v>91</v>
      </c>
      <c r="AH380" s="16">
        <v>170</v>
      </c>
      <c r="AI380" s="16">
        <v>79</v>
      </c>
      <c r="AK380" s="16">
        <v>18.5</v>
      </c>
      <c r="AL380" s="16">
        <v>0</v>
      </c>
      <c r="AM380" s="16">
        <v>0</v>
      </c>
      <c r="AN380" s="16">
        <v>0</v>
      </c>
      <c r="AO380" s="16">
        <v>0</v>
      </c>
      <c r="AP380" s="16">
        <f>SUM(AL380:AN380)</f>
        <v>0</v>
      </c>
      <c r="AQ380" s="16">
        <v>1.8759999999999999</v>
      </c>
      <c r="AR380" s="16">
        <f>AP380-1.472</f>
        <v>-1.472</v>
      </c>
      <c r="AS380" s="16">
        <f>AQ380-1.472</f>
        <v>0.40399999999999991</v>
      </c>
      <c r="AT380" s="16" t="str">
        <f>VLOOKUP(E380,[2]Current!$A$1:$W$435,7,FALSE)</f>
        <v>LV</v>
      </c>
      <c r="AU380" s="16" t="s">
        <v>1288</v>
      </c>
      <c r="AW380" s="128">
        <f>IF(AX380&gt;0,1,0)</f>
        <v>1</v>
      </c>
      <c r="AX380" s="128">
        <f>SUM(BA380,BM380,CU380)</f>
        <v>2</v>
      </c>
      <c r="AY380" s="128">
        <f>SUM(BB380,BN380,CV380)</f>
        <v>267.32673267326737</v>
      </c>
      <c r="AZ380" s="128">
        <f>IF(BA380&gt;0,1,0)</f>
        <v>0</v>
      </c>
      <c r="BA380" s="128">
        <f>SUM(BC380+BF380+BI380)</f>
        <v>0</v>
      </c>
      <c r="BB380" s="128">
        <f>SUM(BE380,BH380,BK380)</f>
        <v>0</v>
      </c>
      <c r="BC380" s="130">
        <f>IF(BD380&gt;0,1,0)</f>
        <v>0</v>
      </c>
      <c r="BD380" s="128">
        <f>VLOOKUP($E380,[2]Current!$A:$AC,26,FALSE)</f>
        <v>0</v>
      </c>
      <c r="BE380" s="128">
        <f>BD380/$AS380</f>
        <v>0</v>
      </c>
      <c r="BF380" s="130">
        <f>IF(BG380&gt;0,1,0)</f>
        <v>0</v>
      </c>
      <c r="BG380" s="175">
        <f>VLOOKUP($E380,[2]Current!$A:$AC,27,FALSE)</f>
        <v>0</v>
      </c>
      <c r="BH380" s="128">
        <f>BG380/$AS380</f>
        <v>0</v>
      </c>
      <c r="BI380" s="130">
        <f>IF(BJ380&gt;0,1,0)</f>
        <v>0</v>
      </c>
      <c r="BJ380" s="128">
        <f>VLOOKUP($E380,[2]Current!$A:$AC,28,FALSE)</f>
        <v>0</v>
      </c>
      <c r="BK380" s="128">
        <f>BJ380/$AS380</f>
        <v>0</v>
      </c>
      <c r="BL380" s="128">
        <f>IF(BM380&gt;0,1,0)</f>
        <v>1</v>
      </c>
      <c r="BM380" s="128">
        <f>SUM(BR380,BU380,BX380,CA380,CD380)</f>
        <v>2</v>
      </c>
      <c r="BN380" s="131">
        <f>SUM(BT380,BW380,BZ380,CC380,CF380)</f>
        <v>267.32673267326737</v>
      </c>
      <c r="BO380" s="128">
        <f>IF(BP380&gt;0,1,0)</f>
        <v>1</v>
      </c>
      <c r="BP380" s="128">
        <f>BM380+CJ380</f>
        <v>3</v>
      </c>
      <c r="BQ380" s="128">
        <f>BN380+CL380</f>
        <v>269.80198019801986</v>
      </c>
      <c r="BR380" s="130">
        <f>IF(BS380&gt;0,1,0)</f>
        <v>0</v>
      </c>
      <c r="BS380" s="128">
        <f>VLOOKUP($E380,[2]Current!$A:$AC,12,FALSE)</f>
        <v>0</v>
      </c>
      <c r="BT380" s="175">
        <f>BS380/$AS380</f>
        <v>0</v>
      </c>
      <c r="BU380" s="130">
        <f>IF(BV380&gt;0,1,0)</f>
        <v>0</v>
      </c>
      <c r="BV380" s="128">
        <f>VLOOKUP($E380,[2]Current!$A:$AC,13,FALSE)</f>
        <v>0</v>
      </c>
      <c r="BW380" s="128">
        <f>BV380/$AS380</f>
        <v>0</v>
      </c>
      <c r="BX380" s="130">
        <f>IF(BY380&gt;0,1,0)</f>
        <v>1</v>
      </c>
      <c r="BY380" s="128">
        <f>VLOOKUP($E380,[2]Current!$A:$AC,14,FALSE)</f>
        <v>105</v>
      </c>
      <c r="BZ380" s="128">
        <f>BY380/$AS380</f>
        <v>259.90099009900996</v>
      </c>
      <c r="CA380" s="130">
        <f>IF(CB380&gt;0,1,0)</f>
        <v>0</v>
      </c>
      <c r="CB380" s="128">
        <f>VLOOKUP($E380,[2]Current!$A:$AC,15,FALSE)</f>
        <v>0</v>
      </c>
      <c r="CC380" s="128">
        <f>CB380/$AS380</f>
        <v>0</v>
      </c>
      <c r="CD380" s="176">
        <f>IF(CE380&gt;0,1,0)</f>
        <v>1</v>
      </c>
      <c r="CE380" s="128">
        <f>VLOOKUP($E380,[2]Current!$A:$AC,16,FALSE)</f>
        <v>3</v>
      </c>
      <c r="CF380" s="128">
        <f>CE380/$AS380</f>
        <v>7.425742574257427</v>
      </c>
      <c r="CG380" s="18"/>
      <c r="CH380" s="18"/>
      <c r="CI380" s="18"/>
      <c r="CJ380" s="130">
        <f>IF(CK380&gt;0,1,0)</f>
        <v>1</v>
      </c>
      <c r="CK380" s="128">
        <f>VLOOKUP($E380,[2]Current!$A:$AC,18,FALSE)</f>
        <v>1</v>
      </c>
      <c r="CL380" s="128">
        <f>CK380/$AS380</f>
        <v>2.4752475247524757</v>
      </c>
      <c r="CS380" s="130">
        <f>IF(CU380&gt;0,1,0)</f>
        <v>0</v>
      </c>
      <c r="CU380" s="128">
        <f>VLOOKUP($E380,[2]Current!$A:$AC,17,FALSE)</f>
        <v>0</v>
      </c>
      <c r="CV380" s="128">
        <f>CU380/$AS380</f>
        <v>0</v>
      </c>
      <c r="CW380" s="18"/>
      <c r="CX380" s="18"/>
      <c r="CY380" s="18"/>
      <c r="DF380" s="16" t="e">
        <f>VLOOKUP(K380,'[3]RNA Seq summary tables'!$V$3:$V$99,1,FALSE)</f>
        <v>#N/A</v>
      </c>
      <c r="DG380" s="16">
        <v>1</v>
      </c>
      <c r="DH380" s="16" t="str">
        <f>VLOOKUP(D380,'[6]workflow 3.2018'!$A$1:$S$237,2,FALSE)</f>
        <v>2017MLBS_161</v>
      </c>
    </row>
    <row r="381" spans="2:288" ht="16" x14ac:dyDescent="0.2">
      <c r="B381" s="16">
        <v>2017</v>
      </c>
      <c r="C381" s="20">
        <v>42975</v>
      </c>
      <c r="D381" s="20" t="str">
        <f>CONCATENATE(J381,"-",C381)</f>
        <v>1228-42975</v>
      </c>
      <c r="E381" s="37" t="str">
        <f>CONCATENATE(T381,"-",U381,"-",C381)</f>
        <v>PO2-B8-42975</v>
      </c>
      <c r="F381" s="37" t="s">
        <v>224</v>
      </c>
      <c r="G381" s="20" t="s">
        <v>107</v>
      </c>
      <c r="H381" s="40" t="s">
        <v>264</v>
      </c>
      <c r="I381" s="16">
        <v>0</v>
      </c>
      <c r="J381" s="36">
        <v>1228</v>
      </c>
      <c r="K381" s="36">
        <v>2284</v>
      </c>
      <c r="L381" s="18">
        <v>0</v>
      </c>
      <c r="M381" s="36">
        <f>VLOOKUP($K381,'[4]blood tubes 2017'!$D$1:$L$947,8,FALSE)</f>
        <v>0</v>
      </c>
      <c r="N381" s="42">
        <v>0</v>
      </c>
      <c r="O381" s="15" t="s">
        <v>119</v>
      </c>
      <c r="P381" s="18" t="s">
        <v>119</v>
      </c>
      <c r="Q381" s="18">
        <v>0</v>
      </c>
      <c r="R381" s="18">
        <v>11</v>
      </c>
      <c r="S381" s="18"/>
      <c r="T381" s="18" t="s">
        <v>127</v>
      </c>
      <c r="U381" s="18" t="s">
        <v>209</v>
      </c>
      <c r="V381" s="18" t="s">
        <v>114</v>
      </c>
      <c r="W381" s="16">
        <f>AI381/AG381</f>
        <v>0.96551724137931039</v>
      </c>
      <c r="X381" s="16" t="s">
        <v>121</v>
      </c>
      <c r="Y381" s="16" t="s">
        <v>110</v>
      </c>
      <c r="Z381" s="16">
        <v>3</v>
      </c>
      <c r="AA381" s="16" t="s">
        <v>161</v>
      </c>
      <c r="AB381" s="16" t="s">
        <v>123</v>
      </c>
      <c r="AC381" s="16" t="s">
        <v>123</v>
      </c>
      <c r="AD381" s="16" t="s">
        <v>116</v>
      </c>
      <c r="AG381" s="16">
        <f>AH381-AI381</f>
        <v>87</v>
      </c>
      <c r="AH381" s="16">
        <v>171</v>
      </c>
      <c r="AI381" s="16">
        <v>84</v>
      </c>
      <c r="AK381" s="16">
        <v>22</v>
      </c>
      <c r="AL381" s="16">
        <v>0</v>
      </c>
      <c r="AM381" s="16">
        <v>0</v>
      </c>
      <c r="AN381" s="16">
        <v>0</v>
      </c>
      <c r="AO381" s="16">
        <v>0</v>
      </c>
      <c r="AP381" s="16">
        <f>SUM(AL381:AN381)</f>
        <v>0</v>
      </c>
      <c r="AQ381" s="16">
        <v>2.0249999999999999</v>
      </c>
      <c r="AR381" s="16">
        <f>AP381-1.472</f>
        <v>-1.472</v>
      </c>
      <c r="AS381" s="16">
        <f>AQ381-1.472</f>
        <v>0.55299999999999994</v>
      </c>
      <c r="AT381" s="16" t="str">
        <f>VLOOKUP(E381,[2]Current!$A$1:$W$435,7,FALSE)</f>
        <v>LV</v>
      </c>
      <c r="AU381" s="16" t="s">
        <v>1288</v>
      </c>
      <c r="AV381" s="23">
        <v>1</v>
      </c>
      <c r="AW381" s="128">
        <f>IF(AX381&gt;0,1,0)</f>
        <v>0</v>
      </c>
      <c r="AX381" s="128">
        <f>SUM(BA381,BM381,CU381)</f>
        <v>0</v>
      </c>
      <c r="AY381" s="128">
        <f>SUM(BB381,BN381,CV381)</f>
        <v>0</v>
      </c>
      <c r="AZ381" s="128">
        <f>IF(BA381&gt;0,1,0)</f>
        <v>0</v>
      </c>
      <c r="BA381" s="128">
        <f>SUM(BC381+BF381+BI381)</f>
        <v>0</v>
      </c>
      <c r="BB381" s="128">
        <f>SUM(BE381,BH381,BK381)</f>
        <v>0</v>
      </c>
      <c r="BC381" s="130">
        <f>IF(BD381&gt;0,1,0)</f>
        <v>0</v>
      </c>
      <c r="BD381" s="128">
        <f>VLOOKUP($E381,[2]Current!$A:$AC,26,FALSE)</f>
        <v>0</v>
      </c>
      <c r="BE381" s="128">
        <f>BD381/$AS381</f>
        <v>0</v>
      </c>
      <c r="BF381" s="130">
        <f>IF(BG381&gt;0,1,0)</f>
        <v>0</v>
      </c>
      <c r="BG381" s="175">
        <f>VLOOKUP($E381,[2]Current!$A:$AC,27,FALSE)</f>
        <v>0</v>
      </c>
      <c r="BH381" s="128">
        <f>BG381/$AS381</f>
        <v>0</v>
      </c>
      <c r="BI381" s="130">
        <f>IF(BJ381&gt;0,1,0)</f>
        <v>0</v>
      </c>
      <c r="BJ381" s="128">
        <f>VLOOKUP($E381,[2]Current!$A:$AC,28,FALSE)</f>
        <v>0</v>
      </c>
      <c r="BK381" s="128">
        <f>BJ381/$AS381</f>
        <v>0</v>
      </c>
      <c r="BL381" s="128">
        <f>IF(BM381&gt;0,1,0)</f>
        <v>0</v>
      </c>
      <c r="BM381" s="128">
        <f>SUM(BR381,BU381,BX381,CA381,CD381)</f>
        <v>0</v>
      </c>
      <c r="BN381" s="131">
        <f>SUM(BT381,BW381,BZ381,CC381,CF381)</f>
        <v>0</v>
      </c>
      <c r="BO381" s="128">
        <f>IF(BP381&gt;0,1,0)</f>
        <v>0</v>
      </c>
      <c r="BP381" s="128">
        <f>BM381+CJ381</f>
        <v>0</v>
      </c>
      <c r="BQ381" s="128">
        <f>BN381+CL381</f>
        <v>0</v>
      </c>
      <c r="BR381" s="130">
        <f>IF(BS381&gt;0,1,0)</f>
        <v>0</v>
      </c>
      <c r="BS381" s="128">
        <f>VLOOKUP($E381,[2]Current!$A:$AC,12,FALSE)</f>
        <v>0</v>
      </c>
      <c r="BT381" s="175">
        <f>BS381/$AS381</f>
        <v>0</v>
      </c>
      <c r="BU381" s="130">
        <f>IF(BV381&gt;0,1,0)</f>
        <v>0</v>
      </c>
      <c r="BV381" s="128">
        <f>VLOOKUP($E381,[2]Current!$A:$AC,13,FALSE)</f>
        <v>0</v>
      </c>
      <c r="BW381" s="128">
        <f>BV381/$AS381</f>
        <v>0</v>
      </c>
      <c r="BX381" s="130">
        <f>IF(BY381&gt;0,1,0)</f>
        <v>0</v>
      </c>
      <c r="BY381" s="128">
        <f>VLOOKUP($E381,[2]Current!$A:$AC,14,FALSE)</f>
        <v>0</v>
      </c>
      <c r="BZ381" s="128">
        <f>BY381/$AS381</f>
        <v>0</v>
      </c>
      <c r="CA381" s="130">
        <f>IF(CB381&gt;0,1,0)</f>
        <v>0</v>
      </c>
      <c r="CB381" s="128">
        <f>VLOOKUP($E381,[2]Current!$A:$AC,15,FALSE)</f>
        <v>0</v>
      </c>
      <c r="CC381" s="128">
        <f>CB381/$AS381</f>
        <v>0</v>
      </c>
      <c r="CD381" s="176">
        <f>IF(CE381&gt;0,1,0)</f>
        <v>0</v>
      </c>
      <c r="CE381" s="128">
        <f>VLOOKUP($E381,[2]Current!$A:$AC,16,FALSE)</f>
        <v>0</v>
      </c>
      <c r="CF381" s="128">
        <f>CE381/$AS381</f>
        <v>0</v>
      </c>
      <c r="CG381" s="18"/>
      <c r="CH381" s="18"/>
      <c r="CI381" s="18"/>
      <c r="CJ381" s="130">
        <f>IF(CK381&gt;0,1,0)</f>
        <v>0</v>
      </c>
      <c r="CK381" s="128">
        <f>VLOOKUP($E381,[2]Current!$A:$AC,18,FALSE)</f>
        <v>0</v>
      </c>
      <c r="CL381" s="128">
        <f>CK381/$AS381</f>
        <v>0</v>
      </c>
      <c r="CS381" s="130">
        <f>IF(CU381&gt;0,1,0)</f>
        <v>0</v>
      </c>
      <c r="CT381" s="18"/>
      <c r="CU381" s="128">
        <f>VLOOKUP($E381,[2]Current!$A:$AC,17,FALSE)</f>
        <v>0</v>
      </c>
      <c r="CV381" s="128">
        <f>CU381/$AS381</f>
        <v>0</v>
      </c>
      <c r="CW381" s="18"/>
      <c r="CX381" s="18"/>
      <c r="CY381" s="18"/>
      <c r="DF381" s="16" t="e">
        <f>VLOOKUP(K381,'[3]RNA Seq summary tables'!$V$3:$V$99,1,FALSE)</f>
        <v>#N/A</v>
      </c>
      <c r="DG381" s="16">
        <v>1</v>
      </c>
      <c r="DH381" s="16" t="str">
        <f>VLOOKUP(D381,'[6]workflow 3.2018'!$A$1:$S$237,2,FALSE)</f>
        <v>2017MLBS_205</v>
      </c>
    </row>
    <row r="382" spans="2:288" x14ac:dyDescent="0.2">
      <c r="B382" s="18">
        <v>2017</v>
      </c>
      <c r="C382" s="37">
        <v>42928</v>
      </c>
      <c r="D382" s="37" t="str">
        <f>CONCATENATE(J382,"-",C382)</f>
        <v>1230-42928</v>
      </c>
      <c r="E382" s="20" t="str">
        <f>CONCATENATE(T382,"-",U382,"-",C382)</f>
        <v>PO1-B1-42928</v>
      </c>
      <c r="F382" s="20" t="s">
        <v>106</v>
      </c>
      <c r="G382" s="37" t="s">
        <v>107</v>
      </c>
      <c r="H382" s="18"/>
      <c r="I382" s="16">
        <v>0</v>
      </c>
      <c r="J382" s="36">
        <v>1230</v>
      </c>
      <c r="K382" s="36">
        <v>1876</v>
      </c>
      <c r="L382" s="18">
        <v>0</v>
      </c>
      <c r="M382" s="21">
        <f>VLOOKUP($K382,'[4]blood tubes 2017'!$D$1:$L$647,8,FALSE)</f>
        <v>0</v>
      </c>
      <c r="N382" s="15">
        <v>0</v>
      </c>
      <c r="O382" s="15" t="s">
        <v>119</v>
      </c>
      <c r="P382" s="18" t="s">
        <v>119</v>
      </c>
      <c r="Q382" s="16">
        <v>0</v>
      </c>
      <c r="R382" s="18" t="s">
        <v>111</v>
      </c>
      <c r="S382" s="18"/>
      <c r="T382" s="18" t="s">
        <v>112</v>
      </c>
      <c r="U382" s="18" t="s">
        <v>113</v>
      </c>
      <c r="V382" s="18" t="s">
        <v>114</v>
      </c>
      <c r="W382" s="16">
        <f>AI382/AG382</f>
        <v>0.88888888888888884</v>
      </c>
      <c r="X382" s="18" t="s">
        <v>121</v>
      </c>
      <c r="Y382" s="18" t="s">
        <v>110</v>
      </c>
      <c r="Z382" s="18">
        <v>3</v>
      </c>
      <c r="AA382" s="18" t="s">
        <v>119</v>
      </c>
      <c r="AB382" s="18" t="s">
        <v>239</v>
      </c>
      <c r="AC382" s="18" t="s">
        <v>123</v>
      </c>
      <c r="AD382" s="18" t="s">
        <v>123</v>
      </c>
      <c r="AE382" s="18"/>
      <c r="AF382" s="18"/>
      <c r="AG382" s="18">
        <f>AH382-AI382</f>
        <v>90</v>
      </c>
      <c r="AH382" s="18">
        <v>170</v>
      </c>
      <c r="AI382" s="18">
        <v>80</v>
      </c>
      <c r="AJ382" s="18"/>
      <c r="AK382" s="18">
        <v>19.5</v>
      </c>
      <c r="AL382" s="18">
        <v>0</v>
      </c>
      <c r="AM382" s="18">
        <v>0</v>
      </c>
      <c r="AN382" s="18">
        <v>0</v>
      </c>
      <c r="AO382" s="18">
        <v>0</v>
      </c>
      <c r="AP382" s="18">
        <f>SUM(AL382:AN382)</f>
        <v>0</v>
      </c>
      <c r="AQ382" s="18">
        <v>1.726</v>
      </c>
      <c r="AR382" s="18">
        <f>AP382-1.472</f>
        <v>-1.472</v>
      </c>
      <c r="AS382" s="18">
        <f>AQ382-1.472</f>
        <v>0.254</v>
      </c>
      <c r="AT382" s="18" t="str">
        <f>VLOOKUP(K382,'[5]FECs - good data'!$C$1:$P$575,13,FALSE)</f>
        <v>JY</v>
      </c>
      <c r="AU382" s="18"/>
      <c r="AV382" s="18"/>
      <c r="AW382" s="18">
        <f>IF(AX382&gt;0,1,0)</f>
        <v>0</v>
      </c>
      <c r="AX382" s="18">
        <f>SUM(BA382,BM382,CT382)</f>
        <v>0</v>
      </c>
      <c r="AY382" s="18">
        <f>SUM(BB382,BN382,CV382)</f>
        <v>0</v>
      </c>
      <c r="AZ382" s="18">
        <f>IF(BA382&gt;0,1,0)</f>
        <v>0</v>
      </c>
      <c r="BA382" s="18">
        <f>SUM(BC382,BF382,BI382)</f>
        <v>0</v>
      </c>
      <c r="BB382" s="18">
        <f>SUM(BE382,BH382,BK382)</f>
        <v>0</v>
      </c>
      <c r="BC382" s="18">
        <f>IF(BD382&gt;0,1,0)</f>
        <v>0</v>
      </c>
      <c r="BD382" s="18">
        <f>VLOOKUP($K382,'[5]FECs - good data'!$C$1:$Z$574,14,FALSE)</f>
        <v>0</v>
      </c>
      <c r="BE382" s="18">
        <f>BD382/AS382</f>
        <v>0</v>
      </c>
      <c r="BF382" s="18">
        <f>IF(BG382&gt;0,1,0)</f>
        <v>0</v>
      </c>
      <c r="BG382" s="25">
        <f>VLOOKUP($K382,'[5]FECs - good data'!$C$1:$Z$574,15,FALSE)</f>
        <v>0</v>
      </c>
      <c r="BH382" s="18">
        <f>BG382/AS382</f>
        <v>0</v>
      </c>
      <c r="BI382" s="18">
        <f>IF(BJ382&gt;0,1,0)</f>
        <v>0</v>
      </c>
      <c r="BJ382" s="18">
        <f>VLOOKUP($K382,'[5]FECs - good data'!$C$1:$Z$574,16,FALSE)</f>
        <v>0</v>
      </c>
      <c r="BK382" s="18">
        <f>BJ382/AS382</f>
        <v>0</v>
      </c>
      <c r="BL382" s="18">
        <f>IF(BM382&gt;0,1,0)</f>
        <v>0</v>
      </c>
      <c r="BM382" s="18">
        <f>SUM(BR382,BU382,BX382,CA382,CD382,CG382,CJ382,CM382,CP382)</f>
        <v>0</v>
      </c>
      <c r="BN382" s="18">
        <f>SUM(BW382,BZ382,CC382,CF382,CI382,CL382,CO382,CR382,BT382)</f>
        <v>0</v>
      </c>
      <c r="BO382" s="18">
        <f>IF(BP382&gt;0,1,0)</f>
        <v>0</v>
      </c>
      <c r="BP382" s="18">
        <f>SUM(BU382,BX382,CA382,CD382,BR382)</f>
        <v>0</v>
      </c>
      <c r="BQ382" s="18">
        <f>SUM(BZ382,CC382,CF382,BT382,BW382)</f>
        <v>0</v>
      </c>
      <c r="BR382" s="18">
        <f>IF(BS382&gt;0,1,0)</f>
        <v>0</v>
      </c>
      <c r="BS382" s="18">
        <f>VLOOKUP($K382,'[5]FECs - good data'!$C$1:$Z$574,17,FALSE)</f>
        <v>0</v>
      </c>
      <c r="BT382" s="25">
        <f>BS382/AS382</f>
        <v>0</v>
      </c>
      <c r="BU382" s="18">
        <f>IF(BV382&gt;0,1,0)</f>
        <v>0</v>
      </c>
      <c r="BV382" s="18">
        <f>VLOOKUP($K382,'[5]FECs - good data'!$C$1:$Z$574,18,FALSE)</f>
        <v>0</v>
      </c>
      <c r="BW382" s="18">
        <f>BV382/AS382</f>
        <v>0</v>
      </c>
      <c r="BX382" s="18">
        <f>IF(BY382&gt;0,1,0)</f>
        <v>0</v>
      </c>
      <c r="BY382" s="18">
        <f>VLOOKUP($K382,'[5]FECs - good data'!$C$1:$Z$574,19,FALSE)</f>
        <v>0</v>
      </c>
      <c r="BZ382" s="18">
        <f>BY382/AS382</f>
        <v>0</v>
      </c>
      <c r="CA382" s="18">
        <f>IF(CB382&gt;0,1,0)</f>
        <v>0</v>
      </c>
      <c r="CB382" s="18">
        <f>VLOOKUP($K382,'[5]FECs - good data'!$C$1:$Z$574,20,FALSE)</f>
        <v>0</v>
      </c>
      <c r="CC382" s="18">
        <f>CB382/AS382</f>
        <v>0</v>
      </c>
      <c r="CD382" s="25">
        <f>IF(CE382&gt;0,1,0)</f>
        <v>0</v>
      </c>
      <c r="CE382" s="18">
        <f>VLOOKUP($K382,'[5]FECs - good data'!$C$1:$Z$574,21,FALSE)</f>
        <v>0</v>
      </c>
      <c r="CF382" s="18">
        <f>CE382/AS382</f>
        <v>0</v>
      </c>
      <c r="CG382" s="18">
        <f>IF(CH382&gt;0,1,0)</f>
        <v>0</v>
      </c>
      <c r="CH382" s="18">
        <f>VLOOKUP($K382,'[5]FECs - good data'!$C$1:$Z$574,22,FALSE)</f>
        <v>0</v>
      </c>
      <c r="CI382" s="18">
        <f>CH382/AS382</f>
        <v>0</v>
      </c>
      <c r="CJ382" s="18">
        <f>IF(CK382&gt;0,1,0)</f>
        <v>0</v>
      </c>
      <c r="CK382" s="18">
        <f>VLOOKUP($K382,'[5]FECs - good data'!$C$1:$Z$674,24,FALSE)</f>
        <v>0</v>
      </c>
      <c r="CL382" s="18">
        <f>CK382/AS382</f>
        <v>0</v>
      </c>
      <c r="CM382" s="18"/>
      <c r="CN382" s="18"/>
      <c r="CO382" s="18"/>
      <c r="CP382" s="18"/>
      <c r="CQ382" s="18"/>
      <c r="CR382" s="18"/>
      <c r="CS382" s="18">
        <f>IF(CT382&gt;0,1,0)</f>
        <v>0</v>
      </c>
      <c r="CT382" s="18">
        <f>SUM(CW382+CZ382,DC382)</f>
        <v>0</v>
      </c>
      <c r="CU382" s="18"/>
      <c r="CV382" s="18">
        <f>SUM(CY382,DB382,DE382)</f>
        <v>0</v>
      </c>
      <c r="CW382" s="18">
        <f>IF(CX382&gt;0,1,0)</f>
        <v>0</v>
      </c>
      <c r="CX382" s="18">
        <f>VLOOKUP($K382,'[5]FECs - good data'!$C$1:$Z$574,22,FALSE)</f>
        <v>0</v>
      </c>
      <c r="CY382" s="18">
        <f>CX382/AS382</f>
        <v>0</v>
      </c>
      <c r="CZ382" s="18">
        <f>IF(DA382&gt;0,1,0)</f>
        <v>0</v>
      </c>
      <c r="DA382" s="18">
        <f>VLOOKUP($K382,'[5]FECs - good data'!$C$1:$Z$5982,23,FALSE)</f>
        <v>0</v>
      </c>
      <c r="DB382" s="18">
        <f>DA382/AS382</f>
        <v>0</v>
      </c>
      <c r="DC382" s="18">
        <f>IF(DD382&gt;0,1,0)</f>
        <v>0</v>
      </c>
      <c r="DD382" s="18">
        <f>VLOOKUP($K382,'[5]FECs - good data'!$C$1:$Z$574,23,FALSE)</f>
        <v>0</v>
      </c>
      <c r="DE382" s="18">
        <f>DD382/AS382</f>
        <v>0</v>
      </c>
      <c r="DF382" s="16" t="e">
        <f>VLOOKUP(K382,'[3]RNA Seq summary tables'!$V$3:$V$99,1,FALSE)</f>
        <v>#N/A</v>
      </c>
      <c r="DI382" s="18"/>
      <c r="DJ382" s="18"/>
      <c r="DK382" s="18"/>
      <c r="DL382" s="18"/>
      <c r="DM382" s="18"/>
      <c r="DN382" s="18"/>
      <c r="DO382" s="18"/>
      <c r="DP382" s="18"/>
      <c r="DQ382" s="18"/>
      <c r="DR382" s="18"/>
      <c r="DS382" s="18"/>
      <c r="JR382" s="27"/>
      <c r="JS382" s="27"/>
      <c r="JT382" s="27"/>
      <c r="JU382" s="27"/>
      <c r="JV382" s="27"/>
      <c r="JW382" s="27"/>
      <c r="JX382" s="27"/>
      <c r="JY382" s="27"/>
      <c r="JZ382" s="27"/>
      <c r="KA382" s="27"/>
      <c r="KB382" s="27"/>
    </row>
    <row r="383" spans="2:288" ht="16" x14ac:dyDescent="0.2">
      <c r="B383" s="16">
        <v>2017</v>
      </c>
      <c r="C383" s="20">
        <v>42964</v>
      </c>
      <c r="D383" s="20" t="str">
        <f>CONCATENATE(J383,"-",C383)</f>
        <v>1230-42964</v>
      </c>
      <c r="E383" s="37" t="str">
        <f>CONCATENATE(T383,"-",U383,"-",C383)</f>
        <v>PO1-C2-42964</v>
      </c>
      <c r="F383" s="20" t="s">
        <v>106</v>
      </c>
      <c r="G383" s="20" t="s">
        <v>107</v>
      </c>
      <c r="I383" s="16">
        <v>0</v>
      </c>
      <c r="J383" s="21">
        <v>1230</v>
      </c>
      <c r="K383" s="21">
        <v>2167</v>
      </c>
      <c r="L383" s="18">
        <v>0</v>
      </c>
      <c r="M383" s="21">
        <f>VLOOKUP($K383,'[4]blood tubes 2017'!$D$1:$L$647,8,FALSE)</f>
        <v>0</v>
      </c>
      <c r="N383" s="15">
        <v>0</v>
      </c>
      <c r="O383" s="15" t="s">
        <v>119</v>
      </c>
      <c r="P383" s="16" t="s">
        <v>119</v>
      </c>
      <c r="Q383" s="16">
        <v>0</v>
      </c>
      <c r="R383" s="16">
        <v>36</v>
      </c>
      <c r="T383" s="16" t="s">
        <v>112</v>
      </c>
      <c r="U383" s="16" t="s">
        <v>162</v>
      </c>
      <c r="V383" s="16" t="s">
        <v>114</v>
      </c>
      <c r="W383" s="16">
        <f>AI383/AG383</f>
        <v>0.79797979797979801</v>
      </c>
      <c r="X383" s="16" t="s">
        <v>121</v>
      </c>
      <c r="Y383" s="16" t="s">
        <v>110</v>
      </c>
      <c r="Z383" s="16">
        <v>3</v>
      </c>
      <c r="AA383" s="16" t="s">
        <v>119</v>
      </c>
      <c r="AB383" s="16" t="s">
        <v>240</v>
      </c>
      <c r="AC383" s="16" t="s">
        <v>123</v>
      </c>
      <c r="AD383" s="16" t="s">
        <v>123</v>
      </c>
      <c r="AG383" s="16">
        <f>AH383-AI383</f>
        <v>99</v>
      </c>
      <c r="AH383" s="16">
        <v>178</v>
      </c>
      <c r="AI383" s="16">
        <v>79</v>
      </c>
      <c r="AK383" s="16">
        <v>24.5</v>
      </c>
      <c r="AL383" s="16">
        <v>0</v>
      </c>
      <c r="AM383" s="16">
        <v>0</v>
      </c>
      <c r="AN383" s="16">
        <v>0</v>
      </c>
      <c r="AO383" s="16">
        <v>0</v>
      </c>
      <c r="AP383" s="16">
        <f>SUM(AL383:AN383)</f>
        <v>0</v>
      </c>
      <c r="AQ383" s="16">
        <v>2.1869999999999998</v>
      </c>
      <c r="AR383" s="16">
        <f>AP383-1.472</f>
        <v>-1.472</v>
      </c>
      <c r="AS383" s="16">
        <f>AQ383-1.472</f>
        <v>0.71499999999999986</v>
      </c>
      <c r="AT383" s="16" t="str">
        <f>VLOOKUP(E383,[2]Current!$A$1:$W$435,7,FALSE)</f>
        <v>LV</v>
      </c>
      <c r="AU383" s="16" t="s">
        <v>1288</v>
      </c>
      <c r="AV383" s="23"/>
      <c r="AW383" s="128">
        <f>IF(AX383&gt;0,1,0)</f>
        <v>1</v>
      </c>
      <c r="AX383" s="128">
        <f>SUM(BA383,BM383,CU383)</f>
        <v>50</v>
      </c>
      <c r="AY383" s="128">
        <f>SUM(BB383,BN383,CV383)</f>
        <v>92.307692307692321</v>
      </c>
      <c r="AZ383" s="128">
        <f>IF(BA383&gt;0,1,0)</f>
        <v>0</v>
      </c>
      <c r="BA383" s="128">
        <f>SUM(BC383+BF383+BI383)</f>
        <v>0</v>
      </c>
      <c r="BB383" s="128">
        <f>SUM(BE383,BH383,BK383)</f>
        <v>0</v>
      </c>
      <c r="BC383" s="130">
        <f>IF(BD383&gt;0,1,0)</f>
        <v>0</v>
      </c>
      <c r="BD383" s="128">
        <f>VLOOKUP($E383,[2]Current!$A:$AC,26,FALSE)</f>
        <v>0</v>
      </c>
      <c r="BE383" s="128">
        <f>BD383/$AS383</f>
        <v>0</v>
      </c>
      <c r="BF383" s="130">
        <f>IF(BG383&gt;0,1,0)</f>
        <v>0</v>
      </c>
      <c r="BG383" s="175">
        <f>VLOOKUP($E383,[2]Current!$A:$AC,27,FALSE)</f>
        <v>0</v>
      </c>
      <c r="BH383" s="128">
        <f>BG383/$AS383</f>
        <v>0</v>
      </c>
      <c r="BI383" s="130">
        <f>IF(BJ383&gt;0,1,0)</f>
        <v>0</v>
      </c>
      <c r="BJ383" s="128">
        <f>VLOOKUP($E383,[2]Current!$A:$AC,28,FALSE)</f>
        <v>0</v>
      </c>
      <c r="BK383" s="128">
        <f>BJ383/$AS383</f>
        <v>0</v>
      </c>
      <c r="BL383" s="128">
        <f>IF(BM383&gt;0,1,0)</f>
        <v>1</v>
      </c>
      <c r="BM383" s="128">
        <f>SUM(BR383,BU383,BX383,CA383,CD383)</f>
        <v>3</v>
      </c>
      <c r="BN383" s="131">
        <f>SUM(BT383,BW383,BZ383,CC383,CF383)</f>
        <v>26.57342657342658</v>
      </c>
      <c r="BO383" s="128">
        <f>IF(BP383&gt;0,1,0)</f>
        <v>1</v>
      </c>
      <c r="BP383" s="128">
        <f>BM383+CJ383</f>
        <v>4</v>
      </c>
      <c r="BQ383" s="128">
        <f>BN383+CL383</f>
        <v>40.559440559440567</v>
      </c>
      <c r="BR383" s="130">
        <f>IF(BS383&gt;0,1,0)</f>
        <v>1</v>
      </c>
      <c r="BS383" s="128">
        <f>VLOOKUP($E383,[2]Current!$A:$AC,12,FALSE)</f>
        <v>2</v>
      </c>
      <c r="BT383" s="175">
        <f>BS383/$AS383</f>
        <v>2.797202797202798</v>
      </c>
      <c r="BU383" s="130">
        <f>IF(BV383&gt;0,1,0)</f>
        <v>0</v>
      </c>
      <c r="BV383" s="128">
        <f>VLOOKUP($E383,[2]Current!$A:$AC,13,FALSE)</f>
        <v>0</v>
      </c>
      <c r="BW383" s="128">
        <f>BV383/$AS383</f>
        <v>0</v>
      </c>
      <c r="BX383" s="130">
        <f>IF(BY383&gt;0,1,0)</f>
        <v>1</v>
      </c>
      <c r="BY383" s="128">
        <f>VLOOKUP($E383,[2]Current!$A:$AC,14,FALSE)</f>
        <v>16</v>
      </c>
      <c r="BZ383" s="128">
        <f>BY383/$AS383</f>
        <v>22.377622377622384</v>
      </c>
      <c r="CA383" s="130">
        <f>IF(CB383&gt;0,1,0)</f>
        <v>0</v>
      </c>
      <c r="CB383" s="128">
        <f>VLOOKUP($E383,[2]Current!$A:$AC,15,FALSE)</f>
        <v>0</v>
      </c>
      <c r="CC383" s="128">
        <f>CB383/$AS383</f>
        <v>0</v>
      </c>
      <c r="CD383" s="176">
        <f>IF(CE383&gt;0,1,0)</f>
        <v>1</v>
      </c>
      <c r="CE383" s="128">
        <f>VLOOKUP($E383,[2]Current!$A:$AC,16,FALSE)</f>
        <v>1</v>
      </c>
      <c r="CF383" s="128">
        <f>CE383/$AS383</f>
        <v>1.398601398601399</v>
      </c>
      <c r="CG383" s="18"/>
      <c r="CH383" s="18"/>
      <c r="CI383" s="18"/>
      <c r="CJ383" s="130">
        <f>IF(CK383&gt;0,1,0)</f>
        <v>1</v>
      </c>
      <c r="CK383" s="128">
        <f>VLOOKUP($E383,[2]Current!$A:$AC,18,FALSE)</f>
        <v>10</v>
      </c>
      <c r="CL383" s="128">
        <f>CK383/$AS383</f>
        <v>13.986013986013988</v>
      </c>
      <c r="CS383" s="130">
        <f>IF(CU383&gt;0,1,0)</f>
        <v>1</v>
      </c>
      <c r="CU383" s="128">
        <f>VLOOKUP($E383,[2]Current!$A:$AC,17,FALSE)</f>
        <v>47</v>
      </c>
      <c r="CV383" s="128">
        <f>CU383/$AS383</f>
        <v>65.734265734265747</v>
      </c>
      <c r="CW383" s="18"/>
      <c r="CX383" s="18"/>
      <c r="CY383" s="18"/>
      <c r="DF383" s="16" t="e">
        <f>VLOOKUP(K383,'[3]RNA Seq summary tables'!$V$3:$V$99,1,FALSE)</f>
        <v>#N/A</v>
      </c>
      <c r="DG383" s="16">
        <v>1</v>
      </c>
      <c r="DH383" s="16" t="str">
        <f>VLOOKUP(D383,'[6]workflow 3.2018'!$A$1:$S$237,2,FALSE)</f>
        <v>2017MLBS_159</v>
      </c>
      <c r="JP383" s="38"/>
      <c r="JQ383" s="38"/>
    </row>
    <row r="384" spans="2:288" s="18" customFormat="1" ht="16" x14ac:dyDescent="0.2">
      <c r="B384" s="16">
        <v>2017</v>
      </c>
      <c r="C384" s="20">
        <v>42975</v>
      </c>
      <c r="D384" s="20" t="str">
        <f>CONCATENATE(J384,"-",C384)</f>
        <v>1230-42975</v>
      </c>
      <c r="E384" s="37" t="str">
        <f>CONCATENATE(T384,"-",U384,"-",C384)</f>
        <v>PO1-B1-42975</v>
      </c>
      <c r="F384" s="37" t="s">
        <v>224</v>
      </c>
      <c r="G384" s="20" t="s">
        <v>107</v>
      </c>
      <c r="H384" s="16"/>
      <c r="I384" s="16">
        <v>0</v>
      </c>
      <c r="J384" s="21">
        <v>1230</v>
      </c>
      <c r="K384" s="21">
        <v>2268</v>
      </c>
      <c r="L384" s="18">
        <v>0</v>
      </c>
      <c r="M384" s="21">
        <f>VLOOKUP($K384,'[4]blood tubes 2017'!$D$1:$L$947,8,FALSE)</f>
        <v>0</v>
      </c>
      <c r="N384" s="15">
        <v>0</v>
      </c>
      <c r="O384" s="15" t="s">
        <v>119</v>
      </c>
      <c r="P384" s="16" t="s">
        <v>119</v>
      </c>
      <c r="Q384" s="16">
        <v>0</v>
      </c>
      <c r="R384" s="16">
        <v>11</v>
      </c>
      <c r="S384" s="16"/>
      <c r="T384" s="16" t="s">
        <v>112</v>
      </c>
      <c r="U384" s="16" t="s">
        <v>113</v>
      </c>
      <c r="V384" s="16" t="s">
        <v>114</v>
      </c>
      <c r="W384" s="16">
        <f>AI384/AG384</f>
        <v>0.88297872340425532</v>
      </c>
      <c r="X384" s="16" t="s">
        <v>121</v>
      </c>
      <c r="Y384" s="16" t="s">
        <v>110</v>
      </c>
      <c r="Z384" s="16">
        <v>3</v>
      </c>
      <c r="AA384" s="16" t="s">
        <v>119</v>
      </c>
      <c r="AB384" s="16" t="s">
        <v>240</v>
      </c>
      <c r="AC384" s="16" t="s">
        <v>123</v>
      </c>
      <c r="AD384" s="16" t="s">
        <v>123</v>
      </c>
      <c r="AE384" s="16"/>
      <c r="AF384" s="16"/>
      <c r="AG384" s="16">
        <f>AH384-AI384</f>
        <v>94</v>
      </c>
      <c r="AH384" s="16">
        <v>177</v>
      </c>
      <c r="AI384" s="16">
        <v>83</v>
      </c>
      <c r="AJ384" s="16"/>
      <c r="AK384" s="16">
        <v>27.5</v>
      </c>
      <c r="AL384" s="16">
        <v>1</v>
      </c>
      <c r="AM384" s="16">
        <v>0</v>
      </c>
      <c r="AN384" s="16">
        <v>0</v>
      </c>
      <c r="AO384" s="16">
        <v>1</v>
      </c>
      <c r="AP384" s="16">
        <f>SUM(AL384:AN384)</f>
        <v>1</v>
      </c>
      <c r="AQ384" s="16">
        <v>1.891</v>
      </c>
      <c r="AR384" s="16">
        <f>AP384-1.472</f>
        <v>-0.47199999999999998</v>
      </c>
      <c r="AS384" s="16">
        <f>AQ384-1.472</f>
        <v>0.41900000000000004</v>
      </c>
      <c r="AT384" s="16" t="str">
        <f>VLOOKUP(E384,[2]Current!$A$1:$W$435,7,FALSE)</f>
        <v>NB</v>
      </c>
      <c r="AU384" s="16" t="s">
        <v>1288</v>
      </c>
      <c r="AV384" s="16"/>
      <c r="AW384" s="128">
        <f>IF(AX384&gt;0,1,0)</f>
        <v>1</v>
      </c>
      <c r="AX384" s="128">
        <f>SUM(BA384,BM384,CU384)</f>
        <v>2</v>
      </c>
      <c r="AY384" s="128">
        <f>SUM(BB384,BN384,CV384)</f>
        <v>9.5465393794749396</v>
      </c>
      <c r="AZ384" s="128">
        <f>IF(BA384&gt;0,1,0)</f>
        <v>1</v>
      </c>
      <c r="BA384" s="128">
        <f>SUM(BC384+BF384+BI384)</f>
        <v>1</v>
      </c>
      <c r="BB384" s="128">
        <f>SUM(BE384,BH384,BK384)</f>
        <v>4.7732696897374698</v>
      </c>
      <c r="BC384" s="130">
        <f>IF(BD384&gt;0,1,0)</f>
        <v>1</v>
      </c>
      <c r="BD384" s="128">
        <f>VLOOKUP($E384,[2]Current!$A:$AC,26,FALSE)</f>
        <v>2</v>
      </c>
      <c r="BE384" s="128">
        <f>BD384/$AS384</f>
        <v>4.7732696897374698</v>
      </c>
      <c r="BF384" s="130">
        <f>IF(BG384&gt;0,1,0)</f>
        <v>0</v>
      </c>
      <c r="BG384" s="175">
        <f>VLOOKUP($E384,[2]Current!$A:$AC,27,FALSE)</f>
        <v>0</v>
      </c>
      <c r="BH384" s="128">
        <f>BG384/$AS384</f>
        <v>0</v>
      </c>
      <c r="BI384" s="130">
        <f>IF(BJ384&gt;0,1,0)</f>
        <v>0</v>
      </c>
      <c r="BJ384" s="128">
        <f>VLOOKUP($E384,[2]Current!$A:$AC,28,FALSE)</f>
        <v>0</v>
      </c>
      <c r="BK384" s="128">
        <f>BJ384/$AS384</f>
        <v>0</v>
      </c>
      <c r="BL384" s="128">
        <f>IF(BM384&gt;0,1,0)</f>
        <v>1</v>
      </c>
      <c r="BM384" s="128">
        <f>SUM(BR384,BU384,BX384,CA384,CD384)</f>
        <v>1</v>
      </c>
      <c r="BN384" s="131">
        <f>SUM(BT384,BW384,BZ384,CC384,CF384)</f>
        <v>4.7732696897374698</v>
      </c>
      <c r="BO384" s="128">
        <f>IF(BP384&gt;0,1,0)</f>
        <v>1</v>
      </c>
      <c r="BP384" s="128">
        <f>BM384+CJ384</f>
        <v>1</v>
      </c>
      <c r="BQ384" s="128">
        <f>BN384+CL384</f>
        <v>4.7732696897374698</v>
      </c>
      <c r="BR384" s="130">
        <f>IF(BS384&gt;0,1,0)</f>
        <v>1</v>
      </c>
      <c r="BS384" s="128">
        <f>VLOOKUP($E384,[2]Current!$A:$AC,12,FALSE)</f>
        <v>2</v>
      </c>
      <c r="BT384" s="175">
        <f>BS384/$AS384</f>
        <v>4.7732696897374698</v>
      </c>
      <c r="BU384" s="130">
        <f>IF(BV384&gt;0,1,0)</f>
        <v>0</v>
      </c>
      <c r="BV384" s="128">
        <f>VLOOKUP($E384,[2]Current!$A:$AC,13,FALSE)</f>
        <v>0</v>
      </c>
      <c r="BW384" s="128">
        <f>BV384/$AS384</f>
        <v>0</v>
      </c>
      <c r="BX384" s="130">
        <f>IF(BY384&gt;0,1,0)</f>
        <v>0</v>
      </c>
      <c r="BY384" s="128">
        <f>VLOOKUP($E384,[2]Current!$A:$AC,14,FALSE)</f>
        <v>0</v>
      </c>
      <c r="BZ384" s="128">
        <f>BY384/$AS384</f>
        <v>0</v>
      </c>
      <c r="CA384" s="130">
        <f>IF(CB384&gt;0,1,0)</f>
        <v>0</v>
      </c>
      <c r="CB384" s="128">
        <f>VLOOKUP($E384,[2]Current!$A:$AC,15,FALSE)</f>
        <v>0</v>
      </c>
      <c r="CC384" s="128">
        <f>CB384/$AS384</f>
        <v>0</v>
      </c>
      <c r="CD384" s="176">
        <f>IF(CE384&gt;0,1,0)</f>
        <v>0</v>
      </c>
      <c r="CE384" s="128">
        <f>VLOOKUP($E384,[2]Current!$A:$AC,16,FALSE)</f>
        <v>0</v>
      </c>
      <c r="CF384" s="128">
        <f>CE384/$AS384</f>
        <v>0</v>
      </c>
      <c r="CJ384" s="130">
        <f>IF(CK384&gt;0,1,0)</f>
        <v>0</v>
      </c>
      <c r="CK384" s="128">
        <f>VLOOKUP($E384,[2]Current!$A:$AC,18,FALSE)</f>
        <v>0</v>
      </c>
      <c r="CL384" s="128">
        <f>CK384/$AS384</f>
        <v>0</v>
      </c>
      <c r="CM384" s="16"/>
      <c r="CN384" s="16"/>
      <c r="CO384" s="16"/>
      <c r="CP384" s="16"/>
      <c r="CQ384" s="16"/>
      <c r="CR384" s="16"/>
      <c r="CS384" s="130">
        <f>IF(CU384&gt;0,1,0)</f>
        <v>0</v>
      </c>
      <c r="CT384" s="29"/>
      <c r="CU384" s="128">
        <f>VLOOKUP($E384,[2]Current!$A:$AC,17,FALSE)</f>
        <v>0</v>
      </c>
      <c r="CV384" s="128">
        <f>CU384/$AS384</f>
        <v>0</v>
      </c>
      <c r="CZ384" s="16"/>
      <c r="DA384" s="16"/>
      <c r="DB384" s="16"/>
      <c r="DC384" s="16"/>
      <c r="DD384" s="16"/>
      <c r="DE384" s="16"/>
      <c r="DF384" s="16" t="e">
        <f>VLOOKUP(K384,'[3]RNA Seq summary tables'!$V$3:$V$99,1,FALSE)</f>
        <v>#N/A</v>
      </c>
      <c r="DG384" s="16">
        <v>1</v>
      </c>
      <c r="DH384" s="16" t="str">
        <f>VLOOKUP(D384,'[6]workflow 3.2018'!$A$1:$S$237,2,FALSE)</f>
        <v>2017MLBS_195</v>
      </c>
      <c r="DI384" s="16"/>
      <c r="DJ384" s="16"/>
      <c r="DK384" s="16"/>
      <c r="DL384" s="16"/>
      <c r="DM384" s="16"/>
      <c r="DN384" s="16"/>
      <c r="DO384" s="16"/>
      <c r="DP384" s="16"/>
      <c r="DQ384" s="16"/>
      <c r="DR384" s="16"/>
      <c r="DS384" s="16"/>
      <c r="JO384" s="16"/>
      <c r="JP384" s="16"/>
      <c r="JQ384" s="16"/>
      <c r="JR384" s="16"/>
      <c r="JS384" s="16"/>
      <c r="JT384" s="16"/>
      <c r="JU384" s="16"/>
      <c r="JV384" s="16"/>
      <c r="JW384" s="16"/>
      <c r="JX384" s="16"/>
      <c r="JY384" s="16"/>
      <c r="JZ384" s="16"/>
      <c r="KA384" s="16"/>
      <c r="KB384" s="16"/>
    </row>
    <row r="385" spans="1:288" s="18" customFormat="1" x14ac:dyDescent="0.2">
      <c r="B385" s="16">
        <v>2017</v>
      </c>
      <c r="C385" s="20">
        <v>42928</v>
      </c>
      <c r="D385" s="20" t="str">
        <f>CONCATENATE(J385,"-",C385)</f>
        <v>1232-42928</v>
      </c>
      <c r="E385" s="20" t="str">
        <f>CONCATENATE(T385,"-",U385,"-",C385)</f>
        <v>PO1-H8-42928</v>
      </c>
      <c r="F385" s="20" t="s">
        <v>106</v>
      </c>
      <c r="G385" s="20" t="s">
        <v>107</v>
      </c>
      <c r="H385" s="16"/>
      <c r="I385" s="16">
        <v>0</v>
      </c>
      <c r="J385" s="21">
        <v>1232</v>
      </c>
      <c r="K385" s="21">
        <v>1878</v>
      </c>
      <c r="L385" s="18">
        <v>0</v>
      </c>
      <c r="M385" s="21">
        <f>VLOOKUP($K385,'[4]blood tubes 2017'!$D$1:$L$647,8,FALSE)</f>
        <v>0</v>
      </c>
      <c r="N385" s="15">
        <v>0</v>
      </c>
      <c r="O385" s="15" t="s">
        <v>119</v>
      </c>
      <c r="P385" s="16" t="s">
        <v>119</v>
      </c>
      <c r="Q385" s="16">
        <v>0</v>
      </c>
      <c r="R385" s="16" t="s">
        <v>111</v>
      </c>
      <c r="S385" s="16"/>
      <c r="T385" s="16" t="s">
        <v>112</v>
      </c>
      <c r="U385" s="16" t="s">
        <v>152</v>
      </c>
      <c r="V385" s="16" t="s">
        <v>114</v>
      </c>
      <c r="W385" s="16">
        <f>AI385/AG385</f>
        <v>0.79746835443037978</v>
      </c>
      <c r="X385" s="16" t="s">
        <v>121</v>
      </c>
      <c r="Y385" s="16" t="s">
        <v>110</v>
      </c>
      <c r="Z385" s="16">
        <v>3</v>
      </c>
      <c r="AA385" s="16" t="s">
        <v>119</v>
      </c>
      <c r="AB385" s="16" t="s">
        <v>123</v>
      </c>
      <c r="AC385" s="16" t="s">
        <v>123</v>
      </c>
      <c r="AD385" s="16" t="s">
        <v>123</v>
      </c>
      <c r="AE385" s="16"/>
      <c r="AF385" s="16"/>
      <c r="AG385" s="16">
        <f>AH385-AI385</f>
        <v>79</v>
      </c>
      <c r="AH385" s="16">
        <v>142</v>
      </c>
      <c r="AI385" s="16">
        <v>63</v>
      </c>
      <c r="AJ385" s="16"/>
      <c r="AK385" s="16">
        <v>12</v>
      </c>
      <c r="AL385" s="16">
        <v>0</v>
      </c>
      <c r="AM385" s="16">
        <v>0</v>
      </c>
      <c r="AN385" s="16">
        <v>0</v>
      </c>
      <c r="AO385" s="16">
        <v>0</v>
      </c>
      <c r="AP385" s="16">
        <f>SUM(AL385:AN385)</f>
        <v>0</v>
      </c>
      <c r="AQ385" s="16">
        <v>1.8280000000000001</v>
      </c>
      <c r="AR385" s="16">
        <f>AP385-1.472</f>
        <v>-1.472</v>
      </c>
      <c r="AS385" s="16">
        <f>AQ385-1.472</f>
        <v>0.35600000000000009</v>
      </c>
      <c r="AT385" s="16" t="str">
        <f>VLOOKUP(K385,'[5]FECs - good data'!$C$1:$P$575,13,FALSE)</f>
        <v>NB</v>
      </c>
      <c r="AU385" s="16"/>
      <c r="AV385" s="16"/>
      <c r="AW385" s="18">
        <f>IF(AX385&gt;0,1,0)</f>
        <v>1</v>
      </c>
      <c r="AX385" s="18">
        <f>SUM(BA385,BM385,CT385)</f>
        <v>1</v>
      </c>
      <c r="AY385" s="18">
        <f>SUM(BB385,BN385,CV385)</f>
        <v>441.01123595505607</v>
      </c>
      <c r="AZ385" s="18">
        <f>IF(BA385&gt;0,1,0)</f>
        <v>1</v>
      </c>
      <c r="BA385" s="18">
        <f>SUM(BC385,BF385,BI385)</f>
        <v>1</v>
      </c>
      <c r="BB385" s="18">
        <f>SUM(BE385,BH385,BK385)</f>
        <v>441.01123595505607</v>
      </c>
      <c r="BC385" s="18">
        <f>IF(BD385&gt;0,1,0)</f>
        <v>0</v>
      </c>
      <c r="BD385" s="18">
        <f>VLOOKUP($K385,'[5]FECs - good data'!$C$1:$Z$574,14,FALSE)</f>
        <v>0</v>
      </c>
      <c r="BE385" s="16">
        <f>BD385/AS385</f>
        <v>0</v>
      </c>
      <c r="BF385" s="16">
        <f>IF(BG385&gt;0,1,0)</f>
        <v>1</v>
      </c>
      <c r="BG385" s="23">
        <f>VLOOKUP($K385,'[5]FECs - good data'!$C$1:$Z$574,15,FALSE)</f>
        <v>157</v>
      </c>
      <c r="BH385" s="16">
        <f>BG385/AS385</f>
        <v>441.01123595505607</v>
      </c>
      <c r="BI385" s="16">
        <f>IF(BJ385&gt;0,1,0)</f>
        <v>0</v>
      </c>
      <c r="BJ385" s="16">
        <f>VLOOKUP($K385,'[5]FECs - good data'!$C$1:$Z$574,16,FALSE)</f>
        <v>0</v>
      </c>
      <c r="BK385" s="16">
        <f>BJ385/AS385</f>
        <v>0</v>
      </c>
      <c r="BL385" s="16">
        <f>IF(BM385&gt;0,1,0)</f>
        <v>0</v>
      </c>
      <c r="BM385" s="16">
        <f>SUM(BR385,BU385,BX385,CA385,CD385,CG385,CJ385,CM385,CP385)</f>
        <v>0</v>
      </c>
      <c r="BN385" s="16">
        <f>SUM(BW385,BZ385,CC385,CF385,CI385,CL385,CO385,CR385,BT385)</f>
        <v>0</v>
      </c>
      <c r="BO385" s="16">
        <f>IF(BP385&gt;0,1,0)</f>
        <v>0</v>
      </c>
      <c r="BP385" s="16">
        <f>SUM(BU385,BX385,CA385,CD385,BR385)</f>
        <v>0</v>
      </c>
      <c r="BQ385" s="16">
        <f>SUM(BZ385,CC385,CF385,BT385,BW385)</f>
        <v>0</v>
      </c>
      <c r="BR385" s="16">
        <f>IF(BS385&gt;0,1,0)</f>
        <v>0</v>
      </c>
      <c r="BS385" s="16">
        <f>VLOOKUP($K385,'[5]FECs - good data'!$C$1:$Z$574,17,FALSE)</f>
        <v>0</v>
      </c>
      <c r="BT385" s="23">
        <f>BS385/AS385</f>
        <v>0</v>
      </c>
      <c r="BU385" s="16">
        <f>IF(BV385&gt;0,1,0)</f>
        <v>0</v>
      </c>
      <c r="BV385" s="16">
        <f>VLOOKUP($K385,'[5]FECs - good data'!$C$1:$Z$574,18,FALSE)</f>
        <v>0</v>
      </c>
      <c r="BW385" s="16">
        <f>BV385/AS385</f>
        <v>0</v>
      </c>
      <c r="BX385" s="16">
        <f>IF(BY385&gt;0,1,0)</f>
        <v>0</v>
      </c>
      <c r="BY385" s="16">
        <f>VLOOKUP($K385,'[5]FECs - good data'!$C$1:$Z$574,19,FALSE)</f>
        <v>0</v>
      </c>
      <c r="BZ385" s="16">
        <f>BY385/AS385</f>
        <v>0</v>
      </c>
      <c r="CA385" s="16">
        <f>IF(CB385&gt;0,1,0)</f>
        <v>0</v>
      </c>
      <c r="CB385" s="16">
        <f>VLOOKUP($K385,'[5]FECs - good data'!$C$1:$Z$574,20,FALSE)</f>
        <v>0</v>
      </c>
      <c r="CC385" s="16">
        <f>CB385/AS385</f>
        <v>0</v>
      </c>
      <c r="CD385" s="23">
        <f>IF(CE385&gt;0,1,0)</f>
        <v>0</v>
      </c>
      <c r="CE385" s="16">
        <f>VLOOKUP($K385,'[5]FECs - good data'!$C$1:$Z$574,21,FALSE)</f>
        <v>0</v>
      </c>
      <c r="CF385" s="16">
        <f>CE385/AS385</f>
        <v>0</v>
      </c>
      <c r="CG385" s="16">
        <f>IF(CH385&gt;0,1,0)</f>
        <v>0</v>
      </c>
      <c r="CH385" s="16">
        <f>VLOOKUP($K385,'[5]FECs - good data'!$C$1:$Z$574,22,FALSE)</f>
        <v>0</v>
      </c>
      <c r="CI385" s="16">
        <f>CH385/AS385</f>
        <v>0</v>
      </c>
      <c r="CJ385" s="16">
        <f>IF(CK385&gt;0,1,0)</f>
        <v>0</v>
      </c>
      <c r="CK385" s="16">
        <f>VLOOKUP($K385,'[5]FECs - good data'!$C$1:$Z$674,24,FALSE)</f>
        <v>0</v>
      </c>
      <c r="CL385" s="16">
        <f>CK385/AS385</f>
        <v>0</v>
      </c>
      <c r="CM385" s="16"/>
      <c r="CN385" s="16"/>
      <c r="CO385" s="16"/>
      <c r="CP385" s="16"/>
      <c r="CQ385" s="16"/>
      <c r="CR385" s="16"/>
      <c r="CS385" s="16">
        <f>IF(CT385&gt;0,1,0)</f>
        <v>0</v>
      </c>
      <c r="CT385" s="16">
        <f>SUM(CW385+CZ385,DC385)</f>
        <v>0</v>
      </c>
      <c r="CU385" s="16"/>
      <c r="CV385" s="16">
        <f>SUM(CY385,DB385,DE385)</f>
        <v>0</v>
      </c>
      <c r="CW385" s="16">
        <f>IF(CX385&gt;0,1,0)</f>
        <v>0</v>
      </c>
      <c r="CX385" s="16">
        <f>VLOOKUP($K385,'[5]FECs - good data'!$C$1:$Z$574,22,FALSE)</f>
        <v>0</v>
      </c>
      <c r="CY385" s="16">
        <f>CX385/AS385</f>
        <v>0</v>
      </c>
      <c r="CZ385" s="16">
        <f>IF(DA385&gt;0,1,0)</f>
        <v>0</v>
      </c>
      <c r="DA385" s="16">
        <f>VLOOKUP($K385,'[5]FECs - good data'!$C$1:$Z$5982,23,FALSE)</f>
        <v>0</v>
      </c>
      <c r="DB385" s="16">
        <f>DA385/AS385</f>
        <v>0</v>
      </c>
      <c r="DC385" s="16">
        <f>IF(DD385&gt;0,1,0)</f>
        <v>0</v>
      </c>
      <c r="DD385" s="16">
        <f>VLOOKUP($K385,'[5]FECs - good data'!$C$1:$Z$574,23,FALSE)</f>
        <v>0</v>
      </c>
      <c r="DE385" s="16">
        <f>DD385/AS385</f>
        <v>0</v>
      </c>
      <c r="DF385" s="16" t="e">
        <f>VLOOKUP(K385,'[3]RNA Seq summary tables'!$V$3:$V$99,1,FALSE)</f>
        <v>#N/A</v>
      </c>
      <c r="DG385" s="16"/>
      <c r="DH385" s="16"/>
      <c r="DI385" s="16"/>
      <c r="DJ385" s="16"/>
      <c r="DK385" s="16"/>
      <c r="DL385" s="16"/>
      <c r="DM385" s="16"/>
      <c r="DN385" s="16"/>
      <c r="DO385" s="16"/>
      <c r="DP385" s="16"/>
      <c r="DQ385" s="16"/>
      <c r="DR385" s="16"/>
      <c r="DS385" s="16"/>
      <c r="JO385" s="16"/>
      <c r="JP385" s="16"/>
      <c r="JQ385" s="16"/>
      <c r="JR385" s="27"/>
      <c r="JS385" s="27"/>
      <c r="JT385" s="27"/>
      <c r="JU385" s="27"/>
      <c r="JV385" s="27"/>
      <c r="JW385" s="27"/>
      <c r="JX385" s="27"/>
      <c r="JY385" s="27"/>
      <c r="JZ385" s="27"/>
      <c r="KA385" s="27"/>
      <c r="KB385" s="27"/>
    </row>
    <row r="386" spans="1:288" s="18" customFormat="1" x14ac:dyDescent="0.2">
      <c r="B386" s="16">
        <v>2017</v>
      </c>
      <c r="C386" s="20">
        <v>42928</v>
      </c>
      <c r="D386" s="20" t="str">
        <f>CONCATENATE(J386,"-",C386)</f>
        <v>1234-42928</v>
      </c>
      <c r="E386" s="20" t="str">
        <f>CONCATENATE(T386,"-",U386,"-",C386)</f>
        <v>PO2-E4-42928</v>
      </c>
      <c r="F386" s="20" t="s">
        <v>106</v>
      </c>
      <c r="G386" s="20" t="s">
        <v>107</v>
      </c>
      <c r="H386" s="16"/>
      <c r="I386" s="16">
        <v>0</v>
      </c>
      <c r="J386" s="21">
        <v>1234</v>
      </c>
      <c r="K386" s="21">
        <v>1882</v>
      </c>
      <c r="L386" s="18">
        <v>0</v>
      </c>
      <c r="M386" s="21">
        <f>VLOOKUP($K386,'[4]blood tubes 2017'!$D$1:$L$647,8,FALSE)</f>
        <v>0</v>
      </c>
      <c r="N386" s="15">
        <v>0</v>
      </c>
      <c r="O386" s="15" t="s">
        <v>119</v>
      </c>
      <c r="P386" s="16" t="s">
        <v>119</v>
      </c>
      <c r="Q386" s="16">
        <v>0</v>
      </c>
      <c r="R386" s="16" t="s">
        <v>111</v>
      </c>
      <c r="S386" s="16"/>
      <c r="T386" s="16" t="s">
        <v>127</v>
      </c>
      <c r="U386" s="16" t="s">
        <v>206</v>
      </c>
      <c r="V386" s="16" t="s">
        <v>114</v>
      </c>
      <c r="W386" s="16">
        <f>AI386/AG386</f>
        <v>0.85897435897435892</v>
      </c>
      <c r="X386" s="16" t="s">
        <v>115</v>
      </c>
      <c r="Y386" s="16" t="s">
        <v>110</v>
      </c>
      <c r="Z386" s="16">
        <v>3</v>
      </c>
      <c r="AA386" s="16"/>
      <c r="AB386" s="16"/>
      <c r="AC386" s="16"/>
      <c r="AD386" s="16"/>
      <c r="AE386" s="16" t="s">
        <v>116</v>
      </c>
      <c r="AF386" s="16" t="s">
        <v>116</v>
      </c>
      <c r="AG386" s="16">
        <f>AH386-AI386</f>
        <v>78</v>
      </c>
      <c r="AH386" s="16">
        <v>145</v>
      </c>
      <c r="AI386" s="16">
        <v>67</v>
      </c>
      <c r="AJ386" s="16"/>
      <c r="AK386" s="16">
        <v>15.5</v>
      </c>
      <c r="AL386" s="16">
        <v>0</v>
      </c>
      <c r="AM386" s="16">
        <v>0</v>
      </c>
      <c r="AN386" s="16">
        <v>0</v>
      </c>
      <c r="AO386" s="16">
        <v>0</v>
      </c>
      <c r="AP386" s="16">
        <f>SUM(AL386:AN386)</f>
        <v>0</v>
      </c>
      <c r="AQ386" s="16">
        <v>1.657</v>
      </c>
      <c r="AR386" s="16">
        <f>AP386-1.472</f>
        <v>-1.472</v>
      </c>
      <c r="AS386" s="16">
        <f>AQ386-1.472</f>
        <v>0.18500000000000005</v>
      </c>
      <c r="AT386" s="16" t="str">
        <f>VLOOKUP(K386,'[5]FECs - good data'!$C$1:$P$575,13,FALSE)</f>
        <v>JB</v>
      </c>
      <c r="AU386" s="16"/>
      <c r="AV386" s="16"/>
      <c r="AW386" s="18">
        <f>IF(AX386&gt;0,1,0)</f>
        <v>1</v>
      </c>
      <c r="AX386" s="18">
        <f>SUM(BA386,BM386,CT386)</f>
        <v>3</v>
      </c>
      <c r="AY386" s="18">
        <f>SUM(BB386,BN386,CV386)</f>
        <v>1129.7297297297296</v>
      </c>
      <c r="AZ386" s="18">
        <f>IF(BA386&gt;0,1,0)</f>
        <v>1</v>
      </c>
      <c r="BA386" s="18">
        <f>SUM(BC386,BF386,BI386)</f>
        <v>3</v>
      </c>
      <c r="BB386" s="18">
        <f>SUM(BE386,BH386,BK386)</f>
        <v>1129.7297297297296</v>
      </c>
      <c r="BC386" s="18">
        <f>IF(BD386&gt;0,1,0)</f>
        <v>1</v>
      </c>
      <c r="BD386" s="18">
        <f>VLOOKUP($K386,'[5]FECs - good data'!$C$1:$Z$574,14,FALSE)</f>
        <v>31</v>
      </c>
      <c r="BE386" s="16">
        <f>BD386/AS386</f>
        <v>167.56756756756752</v>
      </c>
      <c r="BF386" s="16">
        <f>IF(BG386&gt;0,1,0)</f>
        <v>1</v>
      </c>
      <c r="BG386" s="23">
        <f>VLOOKUP($K386,'[5]FECs - good data'!$C$1:$Z$574,15,FALSE)</f>
        <v>176</v>
      </c>
      <c r="BH386" s="16">
        <f>BG386/AS386</f>
        <v>951.35135135135113</v>
      </c>
      <c r="BI386" s="16">
        <f>IF(BJ386&gt;0,1,0)</f>
        <v>1</v>
      </c>
      <c r="BJ386" s="16">
        <f>VLOOKUP($K386,'[5]FECs - good data'!$C$1:$Z$574,16,FALSE)</f>
        <v>2</v>
      </c>
      <c r="BK386" s="16">
        <f>BJ386/AS386</f>
        <v>10.810810810810807</v>
      </c>
      <c r="BL386" s="16">
        <f>IF(BM386&gt;0,1,0)</f>
        <v>0</v>
      </c>
      <c r="BM386" s="16">
        <f>SUM(BR386,BU386,BX386,CA386,CD386,CG386,CJ386,CM386,CP386)</f>
        <v>0</v>
      </c>
      <c r="BN386" s="16">
        <f>SUM(BW386,BZ386,CC386,CF386,CI386,CL386,CO386,CR386,BT386)</f>
        <v>0</v>
      </c>
      <c r="BO386" s="16">
        <f>IF(BP386&gt;0,1,0)</f>
        <v>0</v>
      </c>
      <c r="BP386" s="16">
        <f>SUM(BU386,BX386,CA386,CD386,BR386)</f>
        <v>0</v>
      </c>
      <c r="BQ386" s="16">
        <f>SUM(BZ386,CC386,CF386,BT386,BW386)</f>
        <v>0</v>
      </c>
      <c r="BR386" s="16">
        <f>IF(BS386&gt;0,1,0)</f>
        <v>0</v>
      </c>
      <c r="BS386" s="16">
        <f>VLOOKUP($K386,'[5]FECs - good data'!$C$1:$Z$574,17,FALSE)</f>
        <v>0</v>
      </c>
      <c r="BT386" s="23">
        <f>BS386/AS386</f>
        <v>0</v>
      </c>
      <c r="BU386" s="16">
        <f>IF(BV386&gt;0,1,0)</f>
        <v>0</v>
      </c>
      <c r="BV386" s="16">
        <f>VLOOKUP($K386,'[5]FECs - good data'!$C$1:$Z$574,18,FALSE)</f>
        <v>0</v>
      </c>
      <c r="BW386" s="16">
        <f>BV386/AS386</f>
        <v>0</v>
      </c>
      <c r="BX386" s="16">
        <f>IF(BY386&gt;0,1,0)</f>
        <v>0</v>
      </c>
      <c r="BY386" s="16">
        <f>VLOOKUP($K386,'[5]FECs - good data'!$C$1:$Z$574,19,FALSE)</f>
        <v>0</v>
      </c>
      <c r="BZ386" s="16">
        <f>BY386/AS386</f>
        <v>0</v>
      </c>
      <c r="CA386" s="16">
        <f>IF(CB386&gt;0,1,0)</f>
        <v>0</v>
      </c>
      <c r="CB386" s="16">
        <f>VLOOKUP($K386,'[5]FECs - good data'!$C$1:$Z$574,20,FALSE)</f>
        <v>0</v>
      </c>
      <c r="CC386" s="16">
        <f>CB386/AS386</f>
        <v>0</v>
      </c>
      <c r="CD386" s="23">
        <f>IF(CE386&gt;0,1,0)</f>
        <v>0</v>
      </c>
      <c r="CE386" s="16">
        <f>VLOOKUP($K386,'[5]FECs - good data'!$C$1:$Z$574,21,FALSE)</f>
        <v>0</v>
      </c>
      <c r="CF386" s="16">
        <f>CE386/AS386</f>
        <v>0</v>
      </c>
      <c r="CG386" s="16">
        <f>IF(CH386&gt;0,1,0)</f>
        <v>0</v>
      </c>
      <c r="CH386" s="16">
        <f>VLOOKUP($K386,'[5]FECs - good data'!$C$1:$Z$574,22,FALSE)</f>
        <v>0</v>
      </c>
      <c r="CI386" s="16">
        <f>CH386/AS386</f>
        <v>0</v>
      </c>
      <c r="CJ386" s="16">
        <f>IF(CK386&gt;0,1,0)</f>
        <v>0</v>
      </c>
      <c r="CK386" s="16">
        <f>VLOOKUP($K386,'[5]FECs - good data'!$C$1:$Z$674,24,FALSE)</f>
        <v>0</v>
      </c>
      <c r="CL386" s="16">
        <f>CK386/AS386</f>
        <v>0</v>
      </c>
      <c r="CM386" s="16"/>
      <c r="CN386" s="16"/>
      <c r="CO386" s="16"/>
      <c r="CP386" s="16"/>
      <c r="CQ386" s="16"/>
      <c r="CR386" s="16"/>
      <c r="CS386" s="16">
        <f>IF(CT386&gt;0,1,0)</f>
        <v>0</v>
      </c>
      <c r="CT386" s="16">
        <f>SUM(CW386+CZ386,DC386)</f>
        <v>0</v>
      </c>
      <c r="CU386" s="16"/>
      <c r="CV386" s="16">
        <f>SUM(CY386,DB386,DE386)</f>
        <v>0</v>
      </c>
      <c r="CW386" s="16">
        <f>IF(CX386&gt;0,1,0)</f>
        <v>0</v>
      </c>
      <c r="CX386" s="16">
        <f>VLOOKUP($K386,'[5]FECs - good data'!$C$1:$Z$574,22,FALSE)</f>
        <v>0</v>
      </c>
      <c r="CY386" s="16">
        <f>CX386/AS386</f>
        <v>0</v>
      </c>
      <c r="CZ386" s="16">
        <f>IF(DA386&gt;0,1,0)</f>
        <v>0</v>
      </c>
      <c r="DA386" s="16">
        <f>VLOOKUP($K386,'[5]FECs - good data'!$C$1:$Z$5982,23,FALSE)</f>
        <v>0</v>
      </c>
      <c r="DB386" s="16">
        <f>DA386/AS386</f>
        <v>0</v>
      </c>
      <c r="DC386" s="16">
        <f>IF(DD386&gt;0,1,0)</f>
        <v>0</v>
      </c>
      <c r="DD386" s="16">
        <f>VLOOKUP($K386,'[5]FECs - good data'!$C$1:$Z$574,23,FALSE)</f>
        <v>0</v>
      </c>
      <c r="DE386" s="16">
        <f>DD386/AS386</f>
        <v>0</v>
      </c>
      <c r="DF386" s="16" t="e">
        <f>VLOOKUP(K386,'[3]RNA Seq summary tables'!$V$3:$V$99,1,FALSE)</f>
        <v>#N/A</v>
      </c>
      <c r="DG386" s="16"/>
      <c r="DH386" s="16"/>
      <c r="DI386" s="16"/>
      <c r="DJ386" s="16"/>
      <c r="DK386" s="16"/>
      <c r="DL386" s="16"/>
      <c r="DM386" s="16"/>
      <c r="DN386" s="16"/>
      <c r="DO386" s="16"/>
      <c r="DP386" s="16"/>
      <c r="DQ386" s="16"/>
      <c r="DR386" s="16"/>
      <c r="DS386" s="16"/>
      <c r="JO386" s="16"/>
      <c r="JP386" s="16"/>
      <c r="JQ386" s="16"/>
      <c r="JR386" s="27"/>
      <c r="JS386" s="27"/>
      <c r="JT386" s="27"/>
      <c r="JU386" s="27"/>
      <c r="JV386" s="27"/>
      <c r="JW386" s="27"/>
      <c r="JX386" s="27"/>
      <c r="JY386" s="27"/>
      <c r="JZ386" s="27"/>
      <c r="KA386" s="27"/>
      <c r="KB386" s="27"/>
    </row>
    <row r="387" spans="1:288" x14ac:dyDescent="0.2">
      <c r="B387" s="16">
        <v>2017</v>
      </c>
      <c r="C387" s="20">
        <v>42947</v>
      </c>
      <c r="D387" s="20" t="str">
        <f>CONCATENATE(J387,"-",C387)</f>
        <v>1234-42947</v>
      </c>
      <c r="E387" s="20" t="str">
        <f>CONCATENATE(T387,"-",U387,"-",C387)</f>
        <v>PO2-F1-42947</v>
      </c>
      <c r="F387" s="20" t="s">
        <v>106</v>
      </c>
      <c r="G387" s="20" t="s">
        <v>107</v>
      </c>
      <c r="I387" s="16">
        <v>0</v>
      </c>
      <c r="J387" s="21">
        <v>1234</v>
      </c>
      <c r="K387" s="21">
        <v>2024</v>
      </c>
      <c r="L387" s="18">
        <v>0</v>
      </c>
      <c r="M387" s="21">
        <f>VLOOKUP($K387,'[4]blood tubes 2017'!$D$1:$L$647,8,FALSE)</f>
        <v>0</v>
      </c>
      <c r="N387" s="15">
        <v>0</v>
      </c>
      <c r="O387" s="15" t="s">
        <v>119</v>
      </c>
      <c r="P387" s="16" t="s">
        <v>119</v>
      </c>
      <c r="Q387" s="16">
        <v>0</v>
      </c>
      <c r="R387" s="16">
        <v>19</v>
      </c>
      <c r="T387" s="16" t="s">
        <v>127</v>
      </c>
      <c r="U387" s="16" t="s">
        <v>217</v>
      </c>
      <c r="V387" s="16" t="s">
        <v>114</v>
      </c>
      <c r="W387" s="16">
        <f>AI387/AG387</f>
        <v>0.7865168539325843</v>
      </c>
      <c r="X387" s="16" t="s">
        <v>115</v>
      </c>
      <c r="Y387" s="16" t="s">
        <v>110</v>
      </c>
      <c r="Z387" s="16">
        <v>3</v>
      </c>
      <c r="AE387" s="16" t="s">
        <v>116</v>
      </c>
      <c r="AF387" s="16" t="s">
        <v>116</v>
      </c>
      <c r="AG387" s="16">
        <f>AH387-AI387</f>
        <v>89</v>
      </c>
      <c r="AH387" s="16">
        <v>159</v>
      </c>
      <c r="AI387" s="16">
        <v>70</v>
      </c>
      <c r="AK387" s="16">
        <v>19</v>
      </c>
      <c r="AL387" s="16">
        <v>0</v>
      </c>
      <c r="AM387" s="16">
        <v>0</v>
      </c>
      <c r="AN387" s="16">
        <v>0</v>
      </c>
      <c r="AO387" s="16">
        <v>0</v>
      </c>
      <c r="AP387" s="16">
        <f>SUM(AL387:AN387)</f>
        <v>0</v>
      </c>
      <c r="AQ387" s="16">
        <v>1.512</v>
      </c>
      <c r="AR387" s="16">
        <f>AP387-1.472</f>
        <v>-1.472</v>
      </c>
      <c r="AS387" s="16">
        <f>AQ387-1.472</f>
        <v>4.0000000000000036E-2</v>
      </c>
      <c r="AT387" s="16" t="str">
        <f>VLOOKUP(K387,'[5]FECs - good data'!$C$1:$P$575,13,FALSE)</f>
        <v>SB</v>
      </c>
      <c r="AW387" s="18">
        <f>IF(AX387&gt;0,1,0)</f>
        <v>1</v>
      </c>
      <c r="AX387" s="18">
        <f>SUM(BA387,BM387,CT387)</f>
        <v>4</v>
      </c>
      <c r="AY387" s="18">
        <f>SUM(BB387,BN387,CV387)</f>
        <v>199.99999999999983</v>
      </c>
      <c r="AZ387" s="18">
        <f>IF(BA387&gt;0,1,0)</f>
        <v>1</v>
      </c>
      <c r="BA387" s="18">
        <f>SUM(BC387,BF387,BI387)</f>
        <v>1</v>
      </c>
      <c r="BB387" s="18">
        <f>SUM(BE387,BH387,BK387)</f>
        <v>74.999999999999929</v>
      </c>
      <c r="BC387" s="18">
        <f>IF(BD387&gt;0,1,0)</f>
        <v>1</v>
      </c>
      <c r="BD387" s="18">
        <f>VLOOKUP($K387,'[5]FECs - good data'!$C$1:$Z$574,14,FALSE)</f>
        <v>3</v>
      </c>
      <c r="BE387" s="16">
        <f>BD387/AS387</f>
        <v>74.999999999999929</v>
      </c>
      <c r="BF387" s="16">
        <f>IF(BG387&gt;0,1,0)</f>
        <v>0</v>
      </c>
      <c r="BG387" s="23">
        <f>VLOOKUP($K387,'[5]FECs - good data'!$C$1:$Z$574,15,FALSE)</f>
        <v>0</v>
      </c>
      <c r="BH387" s="16">
        <f>BG387/AS387</f>
        <v>0</v>
      </c>
      <c r="BI387" s="16">
        <f>IF(BJ387&gt;0,1,0)</f>
        <v>0</v>
      </c>
      <c r="BJ387" s="16">
        <f>VLOOKUP($K387,'[5]FECs - good data'!$C$1:$Z$574,16,FALSE)</f>
        <v>0</v>
      </c>
      <c r="BK387" s="16">
        <f>BJ387/AS387</f>
        <v>0</v>
      </c>
      <c r="BL387" s="16">
        <f>IF(BM387&gt;0,1,0)</f>
        <v>1</v>
      </c>
      <c r="BM387" s="16">
        <f>SUM(BR387,BU387,BX387,CA387,CD387,CG387,CJ387,CM387,CP387)</f>
        <v>3</v>
      </c>
      <c r="BN387" s="16">
        <f>SUM(BW387,BZ387,CC387,CF387,CI387,CL387,CO387,CR387,BT387)</f>
        <v>124.9999999999999</v>
      </c>
      <c r="BO387" s="16">
        <f>IF(BP387&gt;0,1,0)</f>
        <v>1</v>
      </c>
      <c r="BP387" s="16">
        <f>SUM(BU387,BX387,CA387,CD387,BR387)</f>
        <v>2</v>
      </c>
      <c r="BQ387" s="16">
        <f>SUM(BZ387,CC387,CF387,BT387,BW387)</f>
        <v>99.999999999999915</v>
      </c>
      <c r="BR387" s="16">
        <f>IF(BS387&gt;0,1,0)</f>
        <v>1</v>
      </c>
      <c r="BS387" s="16">
        <f>VLOOKUP($K387,'[5]FECs - good data'!$C$1:$Z$574,17,FALSE)</f>
        <v>2</v>
      </c>
      <c r="BT387" s="23">
        <f>BS387/AS387</f>
        <v>49.999999999999957</v>
      </c>
      <c r="BU387" s="16">
        <f>IF(BV387&gt;0,1,0)</f>
        <v>1</v>
      </c>
      <c r="BV387" s="16">
        <f>VLOOKUP($K387,'[5]FECs - good data'!$C$1:$Z$574,18,FALSE)</f>
        <v>2</v>
      </c>
      <c r="BW387" s="16">
        <f>BV387/AS387</f>
        <v>49.999999999999957</v>
      </c>
      <c r="BX387" s="16">
        <f>IF(BY387&gt;0,1,0)</f>
        <v>0</v>
      </c>
      <c r="BY387" s="16">
        <f>VLOOKUP($K387,'[5]FECs - good data'!$C$1:$Z$574,19,FALSE)</f>
        <v>0</v>
      </c>
      <c r="BZ387" s="16">
        <f>BY387/AS387</f>
        <v>0</v>
      </c>
      <c r="CA387" s="16">
        <f>IF(CB387&gt;0,1,0)</f>
        <v>0</v>
      </c>
      <c r="CB387" s="16">
        <f>VLOOKUP($K387,'[5]FECs - good data'!$C$1:$Z$574,20,FALSE)</f>
        <v>0</v>
      </c>
      <c r="CC387" s="16">
        <f>CB387/AS387</f>
        <v>0</v>
      </c>
      <c r="CD387" s="23">
        <f>IF(CE387&gt;0,1,0)</f>
        <v>0</v>
      </c>
      <c r="CE387" s="16">
        <f>VLOOKUP($K387,'[5]FECs - good data'!$C$1:$Z$574,21,FALSE)</f>
        <v>0</v>
      </c>
      <c r="CF387" s="16">
        <f>CE387/AS387</f>
        <v>0</v>
      </c>
      <c r="CG387" s="16">
        <f>IF(CH387&gt;0,1,0)</f>
        <v>0</v>
      </c>
      <c r="CH387" s="16">
        <f>VLOOKUP($K387,'[5]FECs - good data'!$C$1:$Z$574,22,FALSE)</f>
        <v>0</v>
      </c>
      <c r="CI387" s="16">
        <f>CH387/AS387</f>
        <v>0</v>
      </c>
      <c r="CJ387" s="16">
        <f>IF(CK387&gt;0,1,0)</f>
        <v>1</v>
      </c>
      <c r="CK387" s="16">
        <f>VLOOKUP($K387,'[5]FECs - good data'!$C$1:$Z$674,24,FALSE)</f>
        <v>1</v>
      </c>
      <c r="CL387" s="16">
        <f>CK387/AS387</f>
        <v>24.999999999999979</v>
      </c>
      <c r="CS387" s="16">
        <f>IF(CT387&gt;0,1,0)</f>
        <v>0</v>
      </c>
      <c r="CT387" s="16">
        <f>SUM(CW387+CZ387,DC387)</f>
        <v>0</v>
      </c>
      <c r="CV387" s="16">
        <f>SUM(CY387,DB387,DE387)</f>
        <v>0</v>
      </c>
      <c r="CW387" s="16">
        <f>IF(CX387&gt;0,1,0)</f>
        <v>0</v>
      </c>
      <c r="CX387" s="16">
        <f>VLOOKUP($K387,'[5]FECs - good data'!$C$1:$Z$574,22,FALSE)</f>
        <v>0</v>
      </c>
      <c r="CY387" s="16">
        <f>CX387/AS387</f>
        <v>0</v>
      </c>
      <c r="CZ387" s="16">
        <f>IF(DA387&gt;0,1,0)</f>
        <v>0</v>
      </c>
      <c r="DA387" s="16">
        <f>VLOOKUP($K387,'[5]FECs - good data'!$C$1:$Z$5982,23,FALSE)</f>
        <v>0</v>
      </c>
      <c r="DB387" s="16">
        <f>DA387/AS387</f>
        <v>0</v>
      </c>
      <c r="DC387" s="16">
        <f>IF(DD387&gt;0,1,0)</f>
        <v>0</v>
      </c>
      <c r="DD387" s="16">
        <f>VLOOKUP($K387,'[5]FECs - good data'!$C$1:$Z$574,23,FALSE)</f>
        <v>0</v>
      </c>
      <c r="DE387" s="16">
        <f>DD387/AS387</f>
        <v>0</v>
      </c>
      <c r="DF387" s="16" t="e">
        <f>VLOOKUP(K387,'[3]RNA Seq summary tables'!$V$3:$V$99,1,FALSE)</f>
        <v>#N/A</v>
      </c>
      <c r="DG387" s="16">
        <v>1</v>
      </c>
      <c r="DH387" s="16" t="str">
        <f>VLOOKUP(D387,'[6]workflow 3.2018'!$A$1:$S$237,2,FALSE)</f>
        <v>2017MLBS_88</v>
      </c>
    </row>
    <row r="388" spans="1:288" x14ac:dyDescent="0.2">
      <c r="B388" s="16">
        <v>2017</v>
      </c>
      <c r="C388" s="20">
        <v>42963</v>
      </c>
      <c r="D388" s="20" t="str">
        <f>CONCATENATE(J388,"-",C388)</f>
        <v>1234-42963</v>
      </c>
      <c r="E388" s="20" t="str">
        <f>CONCATENATE(T388,"-",U388,"-",C388)</f>
        <v>PO2-F1-42963</v>
      </c>
      <c r="F388" s="20" t="s">
        <v>106</v>
      </c>
      <c r="G388" s="20" t="s">
        <v>107</v>
      </c>
      <c r="I388" s="16">
        <v>0</v>
      </c>
      <c r="J388" s="21">
        <v>1234</v>
      </c>
      <c r="K388" s="21">
        <v>2161</v>
      </c>
      <c r="L388" s="18">
        <v>0</v>
      </c>
      <c r="M388" s="21">
        <f>VLOOKUP($K388,'[4]blood tubes 2017'!$D$1:$L$647,8,FALSE)</f>
        <v>0</v>
      </c>
      <c r="N388" s="15">
        <v>0</v>
      </c>
      <c r="O388" s="15" t="s">
        <v>119</v>
      </c>
      <c r="P388" s="16" t="s">
        <v>119</v>
      </c>
      <c r="Q388" s="16">
        <v>0</v>
      </c>
      <c r="R388" s="16">
        <v>16</v>
      </c>
      <c r="T388" s="16" t="s">
        <v>127</v>
      </c>
      <c r="U388" s="16" t="s">
        <v>217</v>
      </c>
      <c r="V388" s="16" t="s">
        <v>114</v>
      </c>
      <c r="W388" s="16">
        <f>AI388/AG388</f>
        <v>0.81818181818181823</v>
      </c>
      <c r="X388" s="16" t="s">
        <v>115</v>
      </c>
      <c r="Y388" s="16" t="s">
        <v>110</v>
      </c>
      <c r="Z388" s="16">
        <v>3</v>
      </c>
      <c r="AE388" s="16" t="s">
        <v>116</v>
      </c>
      <c r="AF388" s="16" t="s">
        <v>116</v>
      </c>
      <c r="AG388" s="16">
        <f>AH388-AI388</f>
        <v>88</v>
      </c>
      <c r="AH388" s="16">
        <v>160</v>
      </c>
      <c r="AI388" s="16">
        <v>72</v>
      </c>
      <c r="AK388" s="16">
        <v>20.5</v>
      </c>
      <c r="AL388" s="16">
        <v>0</v>
      </c>
      <c r="AM388" s="16">
        <v>0</v>
      </c>
      <c r="AN388" s="16">
        <v>0</v>
      </c>
      <c r="AO388" s="16">
        <v>0</v>
      </c>
      <c r="AP388" s="16">
        <f>SUM(AL388:AN388)</f>
        <v>0</v>
      </c>
      <c r="AQ388" s="16">
        <v>1.7170000000000001</v>
      </c>
      <c r="AR388" s="16">
        <f>AP388-1.472</f>
        <v>-1.472</v>
      </c>
      <c r="AS388" s="16">
        <f>AQ388-1.472</f>
        <v>0.24500000000000011</v>
      </c>
      <c r="AT388" s="16" t="str">
        <f>VLOOKUP(K388,'[5]FECs - good data'!$C$1:$P$575,13,FALSE)</f>
        <v>SB</v>
      </c>
      <c r="AW388" s="18">
        <f>IF(AX388&gt;0,1,0)</f>
        <v>1</v>
      </c>
      <c r="AX388" s="18">
        <f>SUM(BA388,BM388,CT388)</f>
        <v>4</v>
      </c>
      <c r="AY388" s="18">
        <f>SUM(BB388,BN388,CV388)</f>
        <v>787.75510204081604</v>
      </c>
      <c r="AZ388" s="18">
        <f>IF(BA388&gt;0,1,0)</f>
        <v>1</v>
      </c>
      <c r="BA388" s="18">
        <f>SUM(BC388,BF388,BI388)</f>
        <v>3</v>
      </c>
      <c r="BB388" s="18">
        <f>SUM(BE388,BH388,BK388)</f>
        <v>771.4285714285711</v>
      </c>
      <c r="BC388" s="18">
        <f>IF(BD388&gt;0,1,0)</f>
        <v>1</v>
      </c>
      <c r="BD388" s="18">
        <f>VLOOKUP($K388,'[5]FECs - good data'!$C$1:$Z$574,14,FALSE)</f>
        <v>6</v>
      </c>
      <c r="BE388" s="16">
        <f>BD388/AS388</f>
        <v>24.489795918367335</v>
      </c>
      <c r="BF388" s="16">
        <f>IF(BG388&gt;0,1,0)</f>
        <v>1</v>
      </c>
      <c r="BG388" s="23">
        <f>VLOOKUP($K388,'[5]FECs - good data'!$C$1:$Z$574,15,FALSE)</f>
        <v>181</v>
      </c>
      <c r="BH388" s="16">
        <f>BG388/AS388</f>
        <v>738.77551020408134</v>
      </c>
      <c r="BI388" s="16">
        <f>IF(BJ388&gt;0,1,0)</f>
        <v>1</v>
      </c>
      <c r="BJ388" s="16">
        <f>VLOOKUP($K388,'[5]FECs - good data'!$C$1:$Z$574,16,FALSE)</f>
        <v>2</v>
      </c>
      <c r="BK388" s="16">
        <f>BJ388/AS388</f>
        <v>8.1632653061224456</v>
      </c>
      <c r="BL388" s="16">
        <f>IF(BM388&gt;0,1,0)</f>
        <v>1</v>
      </c>
      <c r="BM388" s="16">
        <f>SUM(BR388,BU388,BX388,CA388,CD388,CG388,CJ388,CM388,CP388)</f>
        <v>1</v>
      </c>
      <c r="BN388" s="16">
        <f>SUM(BW388,BZ388,CC388,CF388,CI388,CL388,CO388,CR388,BT388)</f>
        <v>16.326530612244891</v>
      </c>
      <c r="BO388" s="16">
        <f>IF(BP388&gt;0,1,0)</f>
        <v>1</v>
      </c>
      <c r="BP388" s="16">
        <f>SUM(BU388,BX388,CA388,CD388,BR388)</f>
        <v>1</v>
      </c>
      <c r="BQ388" s="16">
        <f>SUM(BZ388,CC388,CF388,BT388,BW388)</f>
        <v>16.326530612244891</v>
      </c>
      <c r="BR388" s="16">
        <f>IF(BS388&gt;0,1,0)</f>
        <v>1</v>
      </c>
      <c r="BS388" s="16">
        <f>VLOOKUP($K388,'[5]FECs - good data'!$C$1:$Z$574,17,FALSE)</f>
        <v>4</v>
      </c>
      <c r="BT388" s="23">
        <f>BS388/AS388</f>
        <v>16.326530612244891</v>
      </c>
      <c r="BU388" s="16">
        <f>IF(BV388&gt;0,1,0)</f>
        <v>0</v>
      </c>
      <c r="BV388" s="16">
        <f>VLOOKUP($K388,'[5]FECs - good data'!$C$1:$Z$574,18,FALSE)</f>
        <v>0</v>
      </c>
      <c r="BW388" s="16">
        <f>BV388/AS388</f>
        <v>0</v>
      </c>
      <c r="BX388" s="16">
        <f>IF(BY388&gt;0,1,0)</f>
        <v>0</v>
      </c>
      <c r="BY388" s="16">
        <f>VLOOKUP($K388,'[5]FECs - good data'!$C$1:$Z$574,19,FALSE)</f>
        <v>0</v>
      </c>
      <c r="BZ388" s="16">
        <f>BY388/AS388</f>
        <v>0</v>
      </c>
      <c r="CA388" s="16">
        <f>IF(CB388&gt;0,1,0)</f>
        <v>0</v>
      </c>
      <c r="CB388" s="16">
        <f>VLOOKUP($K388,'[5]FECs - good data'!$C$1:$Z$574,20,FALSE)</f>
        <v>0</v>
      </c>
      <c r="CC388" s="16">
        <f>CB388/AS388</f>
        <v>0</v>
      </c>
      <c r="CD388" s="23">
        <f>IF(CE388&gt;0,1,0)</f>
        <v>0</v>
      </c>
      <c r="CE388" s="16">
        <f>VLOOKUP($K388,'[5]FECs - good data'!$C$1:$Z$574,21,FALSE)</f>
        <v>0</v>
      </c>
      <c r="CF388" s="16">
        <f>CE388/AS388</f>
        <v>0</v>
      </c>
      <c r="CG388" s="16">
        <f>IF(CH388&gt;0,1,0)</f>
        <v>0</v>
      </c>
      <c r="CH388" s="16">
        <f>VLOOKUP($K388,'[5]FECs - good data'!$C$1:$Z$574,22,FALSE)</f>
        <v>0</v>
      </c>
      <c r="CI388" s="16">
        <f>CH388/AS388</f>
        <v>0</v>
      </c>
      <c r="CJ388" s="16">
        <f>IF(CK388&gt;0,1,0)</f>
        <v>0</v>
      </c>
      <c r="CK388" s="16">
        <f>VLOOKUP($K388,'[5]FECs - good data'!$C$1:$Z$674,24,FALSE)</f>
        <v>0</v>
      </c>
      <c r="CL388" s="16">
        <f>CK388/AS388</f>
        <v>0</v>
      </c>
      <c r="CS388" s="16">
        <f>IF(CT388&gt;0,1,0)</f>
        <v>0</v>
      </c>
      <c r="CT388" s="16">
        <f>SUM(CW388+CZ388,DC388)</f>
        <v>0</v>
      </c>
      <c r="CV388" s="16">
        <f>SUM(CY388,DB388,DE388)</f>
        <v>0</v>
      </c>
      <c r="CW388" s="16">
        <f>IF(CX388&gt;0,1,0)</f>
        <v>0</v>
      </c>
      <c r="CX388" s="16">
        <f>VLOOKUP($K388,'[5]FECs - good data'!$C$1:$Z$574,22,FALSE)</f>
        <v>0</v>
      </c>
      <c r="CY388" s="16">
        <f>CX388/AS388</f>
        <v>0</v>
      </c>
      <c r="CZ388" s="16">
        <f>IF(DA388&gt;0,1,0)</f>
        <v>0</v>
      </c>
      <c r="DA388" s="16">
        <f>VLOOKUP($K388,'[5]FECs - good data'!$C$1:$Z$5982,23,FALSE)</f>
        <v>0</v>
      </c>
      <c r="DB388" s="16">
        <f>DA388/AS388</f>
        <v>0</v>
      </c>
      <c r="DC388" s="16">
        <f>IF(DD388&gt;0,1,0)</f>
        <v>0</v>
      </c>
      <c r="DD388" s="16">
        <f>VLOOKUP($K388,'[5]FECs - good data'!$C$1:$Z$574,23,FALSE)</f>
        <v>0</v>
      </c>
      <c r="DE388" s="16">
        <f>DD388/AS388</f>
        <v>0</v>
      </c>
      <c r="DF388" s="16" t="e">
        <f>VLOOKUP(K388,'[3]RNA Seq summary tables'!$V$3:$V$99,1,FALSE)</f>
        <v>#N/A</v>
      </c>
      <c r="DG388" s="16">
        <v>1</v>
      </c>
      <c r="DH388" s="16" t="str">
        <f>VLOOKUP(D388,'[6]workflow 3.2018'!$A$1:$S$237,2,FALSE)</f>
        <v>2017MLBS_154</v>
      </c>
      <c r="JO388" s="38"/>
      <c r="JP388" s="38"/>
      <c r="JQ388" s="38"/>
    </row>
    <row r="389" spans="1:288" x14ac:dyDescent="0.2">
      <c r="B389" s="16">
        <v>2017</v>
      </c>
      <c r="C389" s="20">
        <v>42975</v>
      </c>
      <c r="D389" s="20" t="str">
        <f>CONCATENATE(J389,"-",C389)</f>
        <v>1234-42975</v>
      </c>
      <c r="E389" s="20" t="str">
        <f>CONCATENATE(T389,"-",U389,"-",C389)</f>
        <v>PO2-E1-42975</v>
      </c>
      <c r="F389" s="37" t="s">
        <v>224</v>
      </c>
      <c r="G389" s="20" t="s">
        <v>107</v>
      </c>
      <c r="H389" s="40" t="s">
        <v>264</v>
      </c>
      <c r="I389" s="16">
        <v>0</v>
      </c>
      <c r="J389" s="36">
        <v>1234</v>
      </c>
      <c r="K389" s="36">
        <v>2288</v>
      </c>
      <c r="L389" s="18">
        <v>0</v>
      </c>
      <c r="M389" s="36">
        <f>VLOOKUP($K389,'[4]blood tubes 2017'!$D$1:$L$947,8,FALSE)</f>
        <v>0</v>
      </c>
      <c r="N389" s="42">
        <v>0</v>
      </c>
      <c r="O389" s="15" t="s">
        <v>119</v>
      </c>
      <c r="P389" s="18" t="s">
        <v>119</v>
      </c>
      <c r="Q389" s="18">
        <v>0</v>
      </c>
      <c r="R389" s="18">
        <v>12</v>
      </c>
      <c r="S389" s="18"/>
      <c r="T389" s="18" t="s">
        <v>127</v>
      </c>
      <c r="U389" s="18" t="s">
        <v>222</v>
      </c>
      <c r="V389" s="18" t="s">
        <v>114</v>
      </c>
      <c r="W389" s="16">
        <f>AI389/AG389</f>
        <v>0.87951807228915657</v>
      </c>
      <c r="X389" s="16" t="s">
        <v>115</v>
      </c>
      <c r="Y389" s="16" t="s">
        <v>110</v>
      </c>
      <c r="Z389" s="16">
        <v>3</v>
      </c>
      <c r="AE389" s="16" t="s">
        <v>123</v>
      </c>
      <c r="AF389" s="16" t="s">
        <v>123</v>
      </c>
      <c r="AG389" s="16">
        <f>AH389-AI389</f>
        <v>83</v>
      </c>
      <c r="AH389" s="16">
        <v>156</v>
      </c>
      <c r="AI389" s="16">
        <v>73</v>
      </c>
      <c r="AK389" s="16">
        <v>19.5</v>
      </c>
      <c r="AL389" s="16">
        <v>0</v>
      </c>
      <c r="AM389" s="16">
        <v>0</v>
      </c>
      <c r="AN389" s="16">
        <v>0</v>
      </c>
      <c r="AO389" s="16">
        <v>0</v>
      </c>
      <c r="AP389" s="16">
        <f>SUM(AL389:AN389)</f>
        <v>0</v>
      </c>
      <c r="AQ389" s="16">
        <v>1.6080000000000001</v>
      </c>
      <c r="AR389" s="16">
        <f>AP389-1.472</f>
        <v>-1.472</v>
      </c>
      <c r="AS389" s="16">
        <f>AQ389-1.472</f>
        <v>0.13600000000000012</v>
      </c>
      <c r="AT389" s="16" t="str">
        <f>VLOOKUP(K389,'[5]FECs - good data'!$C$1:$P$575,13,FALSE)</f>
        <v>SB</v>
      </c>
      <c r="AW389" s="18">
        <f>IF(AX389&gt;0,1,0)</f>
        <v>1</v>
      </c>
      <c r="AX389" s="18">
        <f>SUM(BA389,BM389,CT389)</f>
        <v>4</v>
      </c>
      <c r="AY389" s="18">
        <f>SUM(BB389,BN389,CV389)</f>
        <v>1882.3529411764689</v>
      </c>
      <c r="AZ389" s="18">
        <f>IF(BA389&gt;0,1,0)</f>
        <v>1</v>
      </c>
      <c r="BA389" s="18">
        <f>SUM(BC389,BF389,BI389)</f>
        <v>2</v>
      </c>
      <c r="BB389" s="18">
        <f>SUM(BE389,BH389,BK389)</f>
        <v>1852.9411764705865</v>
      </c>
      <c r="BC389" s="18">
        <f>IF(BD389&gt;0,1,0)</f>
        <v>1</v>
      </c>
      <c r="BD389" s="18">
        <f>VLOOKUP($K389,'[5]FECs - good data'!$C$1:$Z$574,14,FALSE)</f>
        <v>61</v>
      </c>
      <c r="BE389" s="16">
        <f>BD389/AS389</f>
        <v>448.52941176470546</v>
      </c>
      <c r="BF389" s="16">
        <f>IF(BG389&gt;0,1,0)</f>
        <v>1</v>
      </c>
      <c r="BG389" s="23">
        <f>VLOOKUP($K389,'[5]FECs - good data'!$C$1:$Z$574,15,FALSE)</f>
        <v>191</v>
      </c>
      <c r="BH389" s="16">
        <f>BG389/AS389</f>
        <v>1404.4117647058811</v>
      </c>
      <c r="BI389" s="16">
        <f>IF(BJ389&gt;0,1,0)</f>
        <v>0</v>
      </c>
      <c r="BJ389" s="16">
        <f>VLOOKUP($K389,'[5]FECs - good data'!$C$1:$Z$574,16,FALSE)</f>
        <v>0</v>
      </c>
      <c r="BK389" s="16">
        <f>BJ389/AS389</f>
        <v>0</v>
      </c>
      <c r="BL389" s="16">
        <f>IF(BM389&gt;0,1,0)</f>
        <v>1</v>
      </c>
      <c r="BM389" s="16">
        <f>SUM(BR389,BU389,BX389,CA389,CD389,CG389,CJ389,CM389,CP389)</f>
        <v>2</v>
      </c>
      <c r="BN389" s="16">
        <f>SUM(BW389,BZ389,CC389,CF389,CI389,CL389,CO389,CR389,BT389)</f>
        <v>29.411764705882327</v>
      </c>
      <c r="BO389" s="16">
        <f>IF(BP389&gt;0,1,0)</f>
        <v>1</v>
      </c>
      <c r="BP389" s="16">
        <f>SUM(BU389,BX389,CA389,CD389,BR389)</f>
        <v>1</v>
      </c>
      <c r="BQ389" s="16">
        <f>SUM(BZ389,CC389,CF389,BT389,BW389)</f>
        <v>14.705882352941163</v>
      </c>
      <c r="BR389" s="16">
        <f>IF(BS389&gt;0,1,0)</f>
        <v>0</v>
      </c>
      <c r="BS389" s="16">
        <f>VLOOKUP($K389,'[5]FECs - good data'!$C$1:$Z$574,17,FALSE)</f>
        <v>0</v>
      </c>
      <c r="BT389" s="23">
        <f>BS389/AS389</f>
        <v>0</v>
      </c>
      <c r="BU389" s="16">
        <f>IF(BV389&gt;0,1,0)</f>
        <v>0</v>
      </c>
      <c r="BV389" s="16">
        <f>VLOOKUP($K389,'[5]FECs - good data'!$C$1:$Z$574,18,FALSE)</f>
        <v>0</v>
      </c>
      <c r="BW389" s="16">
        <f>BV389/AS389</f>
        <v>0</v>
      </c>
      <c r="BX389" s="16">
        <f>IF(BY389&gt;0,1,0)</f>
        <v>1</v>
      </c>
      <c r="BY389" s="16">
        <f>VLOOKUP($K389,'[5]FECs - good data'!$C$1:$Z$574,19,FALSE)</f>
        <v>2</v>
      </c>
      <c r="BZ389" s="16">
        <f>BY389/AS389</f>
        <v>14.705882352941163</v>
      </c>
      <c r="CA389" s="16">
        <f>IF(CB389&gt;0,1,0)</f>
        <v>0</v>
      </c>
      <c r="CB389" s="16">
        <f>VLOOKUP($K389,'[5]FECs - good data'!$C$1:$Z$574,20,FALSE)</f>
        <v>0</v>
      </c>
      <c r="CC389" s="16">
        <f>CB389/AS389</f>
        <v>0</v>
      </c>
      <c r="CD389" s="23">
        <f>IF(CE389&gt;0,1,0)</f>
        <v>0</v>
      </c>
      <c r="CE389" s="16">
        <f>VLOOKUP($K389,'[5]FECs - good data'!$C$1:$Z$574,21,FALSE)</f>
        <v>0</v>
      </c>
      <c r="CF389" s="16">
        <f>CE389/AS389</f>
        <v>0</v>
      </c>
      <c r="CG389" s="16">
        <f>IF(CH389&gt;0,1,0)</f>
        <v>0</v>
      </c>
      <c r="CH389" s="16">
        <f>VLOOKUP($K389,'[5]FECs - good data'!$C$1:$Z$574,22,FALSE)</f>
        <v>0</v>
      </c>
      <c r="CI389" s="16">
        <f>CH389/AS389</f>
        <v>0</v>
      </c>
      <c r="CJ389" s="16">
        <f>IF(CK389&gt;0,1,0)</f>
        <v>1</v>
      </c>
      <c r="CK389" s="16">
        <f>VLOOKUP($K389,'[5]FECs - good data'!$C$1:$Z$674,24,FALSE)</f>
        <v>2</v>
      </c>
      <c r="CL389" s="16">
        <f>CK389/AS389</f>
        <v>14.705882352941163</v>
      </c>
      <c r="CS389" s="16">
        <f>IF(CT389&gt;0,1,0)</f>
        <v>0</v>
      </c>
      <c r="CT389" s="16">
        <f>SUM(CW389+CZ389,DC389)</f>
        <v>0</v>
      </c>
      <c r="CV389" s="16">
        <f>SUM(CY389,DB389,DE389)</f>
        <v>0</v>
      </c>
      <c r="CW389" s="16">
        <f>IF(CX389&gt;0,1,0)</f>
        <v>0</v>
      </c>
      <c r="CX389" s="16">
        <f>VLOOKUP($K389,'[5]FECs - good data'!$C$1:$Z$574,22,FALSE)</f>
        <v>0</v>
      </c>
      <c r="CY389" s="16">
        <f>CX389/AS389</f>
        <v>0</v>
      </c>
      <c r="CZ389" s="16">
        <f>IF(DA389&gt;0,1,0)</f>
        <v>0</v>
      </c>
      <c r="DA389" s="16">
        <f>VLOOKUP($K389,'[5]FECs - good data'!$C$1:$Z$5982,23,FALSE)</f>
        <v>0</v>
      </c>
      <c r="DB389" s="16">
        <f>DA389/AS389</f>
        <v>0</v>
      </c>
      <c r="DC389" s="16">
        <f>IF(DD389&gt;0,1,0)</f>
        <v>0</v>
      </c>
      <c r="DD389" s="16">
        <f>VLOOKUP($K389,'[5]FECs - good data'!$C$1:$Z$574,23,FALSE)</f>
        <v>0</v>
      </c>
      <c r="DE389" s="16">
        <f>DD389/AS389</f>
        <v>0</v>
      </c>
      <c r="DF389" s="16" t="e">
        <f>VLOOKUP(K389,'[3]RNA Seq summary tables'!$V$3:$V$99,1,FALSE)</f>
        <v>#N/A</v>
      </c>
      <c r="DG389" s="16">
        <v>1</v>
      </c>
      <c r="DH389" s="16" t="str">
        <f>VLOOKUP(D389,'[6]workflow 3.2018'!$A$1:$S$237,2,FALSE)</f>
        <v>2017MLBS_208</v>
      </c>
    </row>
    <row r="390" spans="1:288" x14ac:dyDescent="0.2">
      <c r="B390" s="16">
        <v>2017</v>
      </c>
      <c r="C390" s="20">
        <v>42929</v>
      </c>
      <c r="D390" s="20" t="str">
        <f>CONCATENATE(J390,"-",C390)</f>
        <v>1236-42929</v>
      </c>
      <c r="E390" s="20" t="str">
        <f>CONCATENATE(T390,"-",U390,"-",C390)</f>
        <v>PO1-H5-42929</v>
      </c>
      <c r="F390" s="20" t="s">
        <v>106</v>
      </c>
      <c r="G390" s="20" t="s">
        <v>107</v>
      </c>
      <c r="I390" s="16">
        <v>0</v>
      </c>
      <c r="J390" s="21">
        <v>1236</v>
      </c>
      <c r="K390" s="21">
        <v>1886</v>
      </c>
      <c r="L390" s="18">
        <v>0</v>
      </c>
      <c r="M390" s="21">
        <f>VLOOKUP($K390,'[4]blood tubes 2017'!$D$1:$L$647,8,FALSE)</f>
        <v>0</v>
      </c>
      <c r="N390" s="15">
        <v>0</v>
      </c>
      <c r="O390" s="15" t="s">
        <v>119</v>
      </c>
      <c r="P390" s="16" t="s">
        <v>119</v>
      </c>
      <c r="Q390" s="16">
        <v>0</v>
      </c>
      <c r="R390" s="16" t="s">
        <v>111</v>
      </c>
      <c r="T390" s="16" t="s">
        <v>112</v>
      </c>
      <c r="U390" s="16" t="s">
        <v>180</v>
      </c>
      <c r="V390" s="16" t="s">
        <v>114</v>
      </c>
      <c r="W390" s="16">
        <f>AI390/AG390</f>
        <v>0.83333333333333337</v>
      </c>
      <c r="X390" s="16" t="s">
        <v>115</v>
      </c>
      <c r="Y390" s="16" t="s">
        <v>145</v>
      </c>
      <c r="Z390" s="16">
        <v>1</v>
      </c>
      <c r="AE390" s="16" t="s">
        <v>123</v>
      </c>
      <c r="AF390" s="16" t="s">
        <v>123</v>
      </c>
      <c r="AG390" s="16">
        <f>AH390-AI390</f>
        <v>78</v>
      </c>
      <c r="AH390" s="16">
        <v>143</v>
      </c>
      <c r="AI390" s="16">
        <v>65</v>
      </c>
      <c r="AK390" s="16">
        <v>10.5</v>
      </c>
      <c r="AL390" s="16">
        <v>0</v>
      </c>
      <c r="AM390" s="16">
        <v>0</v>
      </c>
      <c r="AN390" s="16">
        <v>0</v>
      </c>
      <c r="AO390" s="16">
        <v>0</v>
      </c>
      <c r="AP390" s="16">
        <f>SUM(AL390:AN390)</f>
        <v>0</v>
      </c>
      <c r="AQ390" s="16">
        <v>1.6319999999999999</v>
      </c>
      <c r="AR390" s="16">
        <f>AP390-1.472</f>
        <v>-1.472</v>
      </c>
      <c r="AS390" s="16">
        <f>AQ390-1.472</f>
        <v>0.15999999999999992</v>
      </c>
      <c r="AT390" s="16" t="str">
        <f>VLOOKUP(K390,'[5]FECs - good data'!$C$1:$P$575,13,FALSE)</f>
        <v>JY</v>
      </c>
      <c r="AW390" s="18">
        <f>IF(AX390&gt;0,1,0)</f>
        <v>1</v>
      </c>
      <c r="AX390" s="18">
        <f>SUM(BA390,BM390,CT390)</f>
        <v>3</v>
      </c>
      <c r="AY390" s="18">
        <f>SUM(BB390,BN390,CV390)</f>
        <v>1025.0000000000005</v>
      </c>
      <c r="AZ390" s="18">
        <f>IF(BA390&gt;0,1,0)</f>
        <v>1</v>
      </c>
      <c r="BA390" s="18">
        <f>SUM(BC390,BF390,BI390)</f>
        <v>3</v>
      </c>
      <c r="BB390" s="18">
        <f>SUM(BE390,BH390,BK390)</f>
        <v>1025.0000000000005</v>
      </c>
      <c r="BC390" s="18">
        <f>IF(BD390&gt;0,1,0)</f>
        <v>1</v>
      </c>
      <c r="BD390" s="18">
        <f>VLOOKUP($K390,'[5]FECs - good data'!$C$1:$Z$574,14,FALSE)</f>
        <v>1</v>
      </c>
      <c r="BE390" s="16">
        <f>BD390/AS390</f>
        <v>6.2500000000000036</v>
      </c>
      <c r="BF390" s="16">
        <f>IF(BG390&gt;0,1,0)</f>
        <v>1</v>
      </c>
      <c r="BG390" s="23">
        <f>VLOOKUP($K390,'[5]FECs - good data'!$C$1:$Z$574,15,FALSE)</f>
        <v>161</v>
      </c>
      <c r="BH390" s="16">
        <f>BG390/AS390</f>
        <v>1006.2500000000005</v>
      </c>
      <c r="BI390" s="16">
        <f>IF(BJ390&gt;0,1,0)</f>
        <v>1</v>
      </c>
      <c r="BJ390" s="16">
        <f>VLOOKUP($K390,'[5]FECs - good data'!$C$1:$Z$574,16,FALSE)</f>
        <v>2</v>
      </c>
      <c r="BK390" s="16">
        <f>BJ390/AS390</f>
        <v>12.500000000000007</v>
      </c>
      <c r="BL390" s="16">
        <f>IF(BM390&gt;0,1,0)</f>
        <v>0</v>
      </c>
      <c r="BM390" s="16">
        <f>SUM(BR390,BU390,BX390,CA390,CD390,CG390,CJ390,CM390,CP390)</f>
        <v>0</v>
      </c>
      <c r="BN390" s="16">
        <f>SUM(BW390,BZ390,CC390,CF390,CI390,CL390,CO390,CR390,BT390)</f>
        <v>0</v>
      </c>
      <c r="BO390" s="16">
        <f>IF(BP390&gt;0,1,0)</f>
        <v>0</v>
      </c>
      <c r="BP390" s="16">
        <f>SUM(BU390,BX390,CA390,CD390,BR390)</f>
        <v>0</v>
      </c>
      <c r="BQ390" s="16">
        <f>SUM(BZ390,CC390,CF390,BT390,BW390)</f>
        <v>0</v>
      </c>
      <c r="BR390" s="16">
        <f>IF(BS390&gt;0,1,0)</f>
        <v>0</v>
      </c>
      <c r="BS390" s="16">
        <f>VLOOKUP($K390,'[5]FECs - good data'!$C$1:$Z$574,17,FALSE)</f>
        <v>0</v>
      </c>
      <c r="BT390" s="23">
        <f>BS390/AS390</f>
        <v>0</v>
      </c>
      <c r="BU390" s="16">
        <f>IF(BV390&gt;0,1,0)</f>
        <v>0</v>
      </c>
      <c r="BV390" s="16">
        <f>VLOOKUP($K390,'[5]FECs - good data'!$C$1:$Z$574,18,FALSE)</f>
        <v>0</v>
      </c>
      <c r="BW390" s="16">
        <f>BV390/AS390</f>
        <v>0</v>
      </c>
      <c r="BX390" s="16">
        <f>IF(BY390&gt;0,1,0)</f>
        <v>0</v>
      </c>
      <c r="BY390" s="16">
        <f>VLOOKUP($K390,'[5]FECs - good data'!$C$1:$Z$574,19,FALSE)</f>
        <v>0</v>
      </c>
      <c r="BZ390" s="16">
        <f>BY390/AS390</f>
        <v>0</v>
      </c>
      <c r="CA390" s="16">
        <f>IF(CB390&gt;0,1,0)</f>
        <v>0</v>
      </c>
      <c r="CB390" s="16">
        <f>VLOOKUP($K390,'[5]FECs - good data'!$C$1:$Z$574,20,FALSE)</f>
        <v>0</v>
      </c>
      <c r="CC390" s="16">
        <f>CB390/AS390</f>
        <v>0</v>
      </c>
      <c r="CD390" s="23">
        <f>IF(CE390&gt;0,1,0)</f>
        <v>0</v>
      </c>
      <c r="CE390" s="16">
        <f>VLOOKUP($K390,'[5]FECs - good data'!$C$1:$Z$574,21,FALSE)</f>
        <v>0</v>
      </c>
      <c r="CF390" s="16">
        <f>CE390/AS390</f>
        <v>0</v>
      </c>
      <c r="CG390" s="16">
        <f>IF(CH390&gt;0,1,0)</f>
        <v>0</v>
      </c>
      <c r="CH390" s="16">
        <f>VLOOKUP($K390,'[5]FECs - good data'!$C$1:$Z$574,22,FALSE)</f>
        <v>0</v>
      </c>
      <c r="CI390" s="16">
        <f>CH390/AS390</f>
        <v>0</v>
      </c>
      <c r="CJ390" s="16">
        <f>IF(CK390&gt;0,1,0)</f>
        <v>0</v>
      </c>
      <c r="CK390" s="16">
        <f>VLOOKUP($K390,'[5]FECs - good data'!$C$1:$Z$674,24,FALSE)</f>
        <v>0</v>
      </c>
      <c r="CL390" s="16">
        <f>CK390/AS390</f>
        <v>0</v>
      </c>
      <c r="CS390" s="16">
        <f>IF(CT390&gt;0,1,0)</f>
        <v>0</v>
      </c>
      <c r="CT390" s="16">
        <f>SUM(CW390+CZ390,DC390)</f>
        <v>0</v>
      </c>
      <c r="CV390" s="16">
        <f>SUM(CY390,DB390,DE390)</f>
        <v>0</v>
      </c>
      <c r="CW390" s="16">
        <f>IF(CX390&gt;0,1,0)</f>
        <v>0</v>
      </c>
      <c r="CX390" s="16">
        <f>VLOOKUP($K390,'[5]FECs - good data'!$C$1:$Z$574,22,FALSE)</f>
        <v>0</v>
      </c>
      <c r="CY390" s="16">
        <f>CX390/AS390</f>
        <v>0</v>
      </c>
      <c r="CZ390" s="16">
        <f>IF(DA390&gt;0,1,0)</f>
        <v>0</v>
      </c>
      <c r="DA390" s="16">
        <f>VLOOKUP($K390,'[5]FECs - good data'!$C$1:$Z$5982,23,FALSE)</f>
        <v>0</v>
      </c>
      <c r="DB390" s="16">
        <f>DA390/AS390</f>
        <v>0</v>
      </c>
      <c r="DC390" s="16">
        <f>IF(DD390&gt;0,1,0)</f>
        <v>0</v>
      </c>
      <c r="DD390" s="16">
        <f>VLOOKUP($K390,'[5]FECs - good data'!$C$1:$Z$574,23,FALSE)</f>
        <v>0</v>
      </c>
      <c r="DE390" s="16">
        <f>DD390/AS390</f>
        <v>0</v>
      </c>
      <c r="DF390" s="16" t="e">
        <f>VLOOKUP(K390,'[3]RNA Seq summary tables'!$V$3:$V$99,1,FALSE)</f>
        <v>#N/A</v>
      </c>
      <c r="JR390" s="18"/>
      <c r="JS390" s="18"/>
      <c r="JT390" s="18"/>
      <c r="JU390" s="18"/>
      <c r="JV390" s="18"/>
      <c r="JW390" s="18"/>
      <c r="JX390" s="18"/>
      <c r="JY390" s="18"/>
      <c r="JZ390" s="18"/>
      <c r="KA390" s="18"/>
      <c r="KB390" s="18"/>
    </row>
    <row r="391" spans="1:288" s="41" customFormat="1" x14ac:dyDescent="0.2">
      <c r="A391" s="18"/>
      <c r="B391" s="16">
        <v>2017</v>
      </c>
      <c r="C391" s="20">
        <v>42929</v>
      </c>
      <c r="D391" s="20" t="str">
        <f>CONCATENATE(J391,"-",C391)</f>
        <v>1238-42929</v>
      </c>
      <c r="E391" s="20" t="str">
        <f>CONCATENATE(T391,"-",U391,"-",C391)</f>
        <v>PO2-A6-42929</v>
      </c>
      <c r="F391" s="20" t="s">
        <v>106</v>
      </c>
      <c r="G391" s="20" t="s">
        <v>107</v>
      </c>
      <c r="H391" s="16"/>
      <c r="I391" s="16">
        <v>0</v>
      </c>
      <c r="J391" s="21">
        <v>1238</v>
      </c>
      <c r="K391" s="21">
        <v>1888</v>
      </c>
      <c r="L391" s="18">
        <v>0</v>
      </c>
      <c r="M391" s="21">
        <f>VLOOKUP($K391,'[4]blood tubes 2017'!$D$1:$L$647,8,FALSE)</f>
        <v>0</v>
      </c>
      <c r="N391" s="15">
        <v>0</v>
      </c>
      <c r="O391" s="15" t="s">
        <v>119</v>
      </c>
      <c r="P391" s="16" t="s">
        <v>119</v>
      </c>
      <c r="Q391" s="16">
        <v>0</v>
      </c>
      <c r="R391" s="16" t="s">
        <v>111</v>
      </c>
      <c r="S391" s="16"/>
      <c r="T391" s="16" t="s">
        <v>127</v>
      </c>
      <c r="U391" s="16" t="s">
        <v>147</v>
      </c>
      <c r="V391" s="16" t="s">
        <v>114</v>
      </c>
      <c r="W391" s="16">
        <f>AI391/AG391</f>
        <v>0.82352941176470584</v>
      </c>
      <c r="X391" s="16" t="s">
        <v>115</v>
      </c>
      <c r="Y391" s="16" t="s">
        <v>110</v>
      </c>
      <c r="Z391" s="16">
        <v>3</v>
      </c>
      <c r="AA391" s="16"/>
      <c r="AB391" s="16"/>
      <c r="AC391" s="16"/>
      <c r="AD391" s="16"/>
      <c r="AE391" s="16" t="s">
        <v>116</v>
      </c>
      <c r="AF391" s="16" t="s">
        <v>116</v>
      </c>
      <c r="AG391" s="16">
        <f>AH391-AI391</f>
        <v>85</v>
      </c>
      <c r="AH391" s="16">
        <v>155</v>
      </c>
      <c r="AI391" s="16">
        <v>70</v>
      </c>
      <c r="AJ391" s="16"/>
      <c r="AK391" s="16">
        <v>19</v>
      </c>
      <c r="AL391" s="16">
        <v>1</v>
      </c>
      <c r="AM391" s="16">
        <v>0</v>
      </c>
      <c r="AN391" s="16">
        <v>0</v>
      </c>
      <c r="AO391" s="16">
        <v>1</v>
      </c>
      <c r="AP391" s="16">
        <f>SUM(AL391:AN391)</f>
        <v>1</v>
      </c>
      <c r="AQ391" s="16">
        <v>1.6539999999999999</v>
      </c>
      <c r="AR391" s="16">
        <f>AP391-1.472</f>
        <v>-0.47199999999999998</v>
      </c>
      <c r="AS391" s="16">
        <f>AQ391-1.472</f>
        <v>0.18199999999999994</v>
      </c>
      <c r="AT391" s="16" t="str">
        <f>VLOOKUP(K391,'[5]FECs - good data'!$C$1:$P$575,13,FALSE)</f>
        <v>JB</v>
      </c>
      <c r="AU391" s="16"/>
      <c r="AV391" s="16"/>
      <c r="AW391" s="18">
        <f>IF(AX391&gt;0,1,0)</f>
        <v>1</v>
      </c>
      <c r="AX391" s="18">
        <f>SUM(BA391,BM391,CT391)</f>
        <v>1</v>
      </c>
      <c r="AY391" s="18">
        <f>SUM(BB391,BN391,CV391)</f>
        <v>5.4945054945054963</v>
      </c>
      <c r="AZ391" s="18">
        <f>IF(BA391&gt;0,1,0)</f>
        <v>1</v>
      </c>
      <c r="BA391" s="18">
        <f>SUM(BC391,BF391,BI391)</f>
        <v>1</v>
      </c>
      <c r="BB391" s="18">
        <f>SUM(BE391,BH391,BK391)</f>
        <v>5.4945054945054963</v>
      </c>
      <c r="BC391" s="18">
        <f>IF(BD391&gt;0,1,0)</f>
        <v>0</v>
      </c>
      <c r="BD391" s="18">
        <f>VLOOKUP($K391,'[5]FECs - good data'!$C$1:$Z$574,14,FALSE)</f>
        <v>0</v>
      </c>
      <c r="BE391" s="16">
        <f>BD391/AS391</f>
        <v>0</v>
      </c>
      <c r="BF391" s="16">
        <f>IF(BG391&gt;0,1,0)</f>
        <v>1</v>
      </c>
      <c r="BG391" s="23">
        <f>VLOOKUP($K391,'[5]FECs - good data'!$C$1:$Z$574,15,FALSE)</f>
        <v>1</v>
      </c>
      <c r="BH391" s="16">
        <f>BG391/AS391</f>
        <v>5.4945054945054963</v>
      </c>
      <c r="BI391" s="16">
        <f>IF(BJ391&gt;0,1,0)</f>
        <v>0</v>
      </c>
      <c r="BJ391" s="16">
        <f>VLOOKUP($K391,'[5]FECs - good data'!$C$1:$Z$574,16,FALSE)</f>
        <v>0</v>
      </c>
      <c r="BK391" s="16">
        <f>BJ391/AS391</f>
        <v>0</v>
      </c>
      <c r="BL391" s="16">
        <f>IF(BM391&gt;0,1,0)</f>
        <v>0</v>
      </c>
      <c r="BM391" s="16">
        <f>SUM(BR391,BU391,BX391,CA391,CD391,CG391,CJ391,CM391,CP391)</f>
        <v>0</v>
      </c>
      <c r="BN391" s="16">
        <f>SUM(BW391,BZ391,CC391,CF391,CI391,CL391,CO391,CR391,BT391)</f>
        <v>0</v>
      </c>
      <c r="BO391" s="16">
        <f>IF(BP391&gt;0,1,0)</f>
        <v>0</v>
      </c>
      <c r="BP391" s="16">
        <f>SUM(BU391,BX391,CA391,CD391,BR391)</f>
        <v>0</v>
      </c>
      <c r="BQ391" s="16">
        <f>SUM(BZ391,CC391,CF391,BT391,BW391)</f>
        <v>0</v>
      </c>
      <c r="BR391" s="16">
        <f>IF(BS391&gt;0,1,0)</f>
        <v>0</v>
      </c>
      <c r="BS391" s="16">
        <f>VLOOKUP($K391,'[5]FECs - good data'!$C$1:$Z$574,17,FALSE)</f>
        <v>0</v>
      </c>
      <c r="BT391" s="23">
        <f>BS391/AS391</f>
        <v>0</v>
      </c>
      <c r="BU391" s="16">
        <f>IF(BV391&gt;0,1,0)</f>
        <v>0</v>
      </c>
      <c r="BV391" s="16">
        <f>VLOOKUP($K391,'[5]FECs - good data'!$C$1:$Z$574,18,FALSE)</f>
        <v>0</v>
      </c>
      <c r="BW391" s="16">
        <f>BV391/AS391</f>
        <v>0</v>
      </c>
      <c r="BX391" s="16">
        <f>IF(BY391&gt;0,1,0)</f>
        <v>0</v>
      </c>
      <c r="BY391" s="16">
        <f>VLOOKUP($K391,'[5]FECs - good data'!$C$1:$Z$574,19,FALSE)</f>
        <v>0</v>
      </c>
      <c r="BZ391" s="16">
        <f>BY391/AS391</f>
        <v>0</v>
      </c>
      <c r="CA391" s="16">
        <f>IF(CB391&gt;0,1,0)</f>
        <v>0</v>
      </c>
      <c r="CB391" s="16">
        <f>VLOOKUP($K391,'[5]FECs - good data'!$C$1:$Z$574,20,FALSE)</f>
        <v>0</v>
      </c>
      <c r="CC391" s="16">
        <f>CB391/AS391</f>
        <v>0</v>
      </c>
      <c r="CD391" s="23">
        <f>IF(CE391&gt;0,1,0)</f>
        <v>0</v>
      </c>
      <c r="CE391" s="16">
        <f>VLOOKUP($K391,'[5]FECs - good data'!$C$1:$Z$574,21,FALSE)</f>
        <v>0</v>
      </c>
      <c r="CF391" s="16">
        <f>CE391/AS391</f>
        <v>0</v>
      </c>
      <c r="CG391" s="16">
        <f>IF(CH391&gt;0,1,0)</f>
        <v>0</v>
      </c>
      <c r="CH391" s="16">
        <f>VLOOKUP($K391,'[5]FECs - good data'!$C$1:$Z$574,22,FALSE)</f>
        <v>0</v>
      </c>
      <c r="CI391" s="16">
        <f>CH391/AS391</f>
        <v>0</v>
      </c>
      <c r="CJ391" s="16">
        <f>IF(CK391&gt;0,1,0)</f>
        <v>0</v>
      </c>
      <c r="CK391" s="16">
        <f>VLOOKUP($K391,'[5]FECs - good data'!$C$1:$Z$674,24,FALSE)</f>
        <v>0</v>
      </c>
      <c r="CL391" s="16">
        <f>CK391/AS391</f>
        <v>0</v>
      </c>
      <c r="CM391" s="16"/>
      <c r="CN391" s="16"/>
      <c r="CO391" s="16"/>
      <c r="CP391" s="16"/>
      <c r="CQ391" s="16"/>
      <c r="CR391" s="16"/>
      <c r="CS391" s="16">
        <f>IF(CT391&gt;0,1,0)</f>
        <v>0</v>
      </c>
      <c r="CT391" s="16">
        <f>SUM(CW391+CZ391,DC391)</f>
        <v>0</v>
      </c>
      <c r="CU391" s="16"/>
      <c r="CV391" s="16">
        <f>SUM(CY391,DB391,DE391)</f>
        <v>0</v>
      </c>
      <c r="CW391" s="16">
        <f>IF(CX391&gt;0,1,0)</f>
        <v>0</v>
      </c>
      <c r="CX391" s="16">
        <f>VLOOKUP($K391,'[5]FECs - good data'!$C$1:$Z$574,22,FALSE)</f>
        <v>0</v>
      </c>
      <c r="CY391" s="16">
        <f>CX391/AS391</f>
        <v>0</v>
      </c>
      <c r="CZ391" s="16">
        <f>IF(DA391&gt;0,1,0)</f>
        <v>0</v>
      </c>
      <c r="DA391" s="16">
        <f>VLOOKUP($K391,'[5]FECs - good data'!$C$1:$Z$5982,23,FALSE)</f>
        <v>0</v>
      </c>
      <c r="DB391" s="16">
        <f>DA391/AS391</f>
        <v>0</v>
      </c>
      <c r="DC391" s="16">
        <f>IF(DD391&gt;0,1,0)</f>
        <v>0</v>
      </c>
      <c r="DD391" s="16">
        <f>VLOOKUP($K391,'[5]FECs - good data'!$C$1:$Z$574,23,FALSE)</f>
        <v>0</v>
      </c>
      <c r="DE391" s="16">
        <f>DD391/AS391</f>
        <v>0</v>
      </c>
      <c r="DF391" s="16" t="e">
        <f>VLOOKUP(K391,'[3]RNA Seq summary tables'!$V$3:$V$99,1,FALSE)</f>
        <v>#N/A</v>
      </c>
      <c r="DG391" s="16"/>
      <c r="DH391" s="16"/>
      <c r="DI391" s="16"/>
      <c r="DJ391" s="16"/>
      <c r="DK391" s="16"/>
      <c r="DL391" s="16"/>
      <c r="DM391" s="16"/>
      <c r="DN391" s="16"/>
      <c r="DO391" s="16"/>
      <c r="DP391" s="16"/>
      <c r="DQ391" s="16"/>
      <c r="DR391" s="16"/>
      <c r="DS391" s="16"/>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18"/>
      <c r="EQ391" s="18"/>
      <c r="ER391" s="18"/>
      <c r="ES391" s="18"/>
      <c r="ET391" s="18"/>
      <c r="EU391" s="18"/>
      <c r="EV391" s="18"/>
      <c r="EW391" s="18"/>
      <c r="EX391" s="18"/>
      <c r="EY391" s="18"/>
      <c r="EZ391" s="18"/>
      <c r="FA391" s="18"/>
      <c r="FB391" s="18"/>
      <c r="FC391" s="18"/>
      <c r="FD391" s="18"/>
      <c r="FE391" s="18"/>
      <c r="FF391" s="18"/>
      <c r="FG391" s="18"/>
      <c r="FH391" s="18"/>
      <c r="FI391" s="18"/>
      <c r="FJ391" s="18"/>
      <c r="FK391" s="18"/>
      <c r="FL391" s="18"/>
      <c r="FM391" s="18"/>
      <c r="FN391" s="18"/>
      <c r="FO391" s="18"/>
      <c r="FP391" s="18"/>
      <c r="FQ391" s="18"/>
      <c r="FR391" s="18"/>
      <c r="FS391" s="18"/>
      <c r="FT391" s="18"/>
      <c r="FU391" s="18"/>
      <c r="FV391" s="18"/>
      <c r="FW391" s="18"/>
      <c r="FX391" s="18"/>
      <c r="FY391" s="18"/>
      <c r="FZ391" s="18"/>
      <c r="GA391" s="18"/>
      <c r="GB391" s="18"/>
      <c r="GC391" s="18"/>
      <c r="GD391" s="18"/>
      <c r="GE391" s="18"/>
      <c r="GF391" s="18"/>
      <c r="GG391" s="18"/>
      <c r="GH391" s="18"/>
      <c r="GI391" s="18"/>
      <c r="GJ391" s="18"/>
      <c r="GK391" s="18"/>
      <c r="GL391" s="18"/>
      <c r="GM391" s="18"/>
      <c r="GN391" s="18"/>
      <c r="GO391" s="18"/>
      <c r="GP391" s="18"/>
      <c r="GQ391" s="18"/>
      <c r="GR391" s="18"/>
      <c r="GS391" s="18"/>
      <c r="GT391" s="18"/>
      <c r="GU391" s="18"/>
      <c r="GV391" s="18"/>
      <c r="GW391" s="18"/>
      <c r="GX391" s="18"/>
      <c r="GY391" s="18"/>
      <c r="GZ391" s="18"/>
      <c r="HA391" s="18"/>
      <c r="HB391" s="18"/>
      <c r="HC391" s="18"/>
      <c r="HD391" s="18"/>
      <c r="HE391" s="18"/>
      <c r="HF391" s="18"/>
      <c r="HG391" s="18"/>
      <c r="HH391" s="18"/>
      <c r="HI391" s="18"/>
      <c r="HJ391" s="18"/>
      <c r="HK391" s="18"/>
      <c r="HL391" s="18"/>
      <c r="HM391" s="18"/>
      <c r="HN391" s="18"/>
      <c r="HO391" s="18"/>
      <c r="HP391" s="18"/>
      <c r="HQ391" s="18"/>
      <c r="HR391" s="18"/>
      <c r="HS391" s="18"/>
      <c r="HT391" s="18"/>
      <c r="HU391" s="18"/>
      <c r="HV391" s="18"/>
      <c r="HW391" s="18"/>
      <c r="HX391" s="18"/>
      <c r="HY391" s="18"/>
      <c r="HZ391" s="18"/>
      <c r="IA391" s="18"/>
      <c r="IB391" s="18"/>
      <c r="IC391" s="18"/>
      <c r="ID391" s="18"/>
      <c r="IE391" s="18"/>
      <c r="IF391" s="18"/>
      <c r="IG391" s="18"/>
      <c r="IH391" s="18"/>
      <c r="II391" s="18"/>
      <c r="IJ391" s="18"/>
      <c r="IK391" s="18"/>
      <c r="IL391" s="18"/>
      <c r="IM391" s="18"/>
      <c r="IN391" s="18"/>
      <c r="IO391" s="18"/>
      <c r="IP391" s="18"/>
      <c r="IQ391" s="18"/>
      <c r="IR391" s="18"/>
      <c r="IS391" s="18"/>
      <c r="IT391" s="18"/>
      <c r="IU391" s="18"/>
      <c r="IV391" s="18"/>
      <c r="IW391" s="18"/>
      <c r="IX391" s="18"/>
      <c r="IY391" s="18"/>
      <c r="IZ391" s="18"/>
      <c r="JA391" s="18"/>
      <c r="JB391" s="18"/>
      <c r="JC391" s="18"/>
      <c r="JD391" s="18"/>
      <c r="JE391" s="18"/>
      <c r="JF391" s="18"/>
      <c r="JG391" s="18"/>
      <c r="JH391" s="18"/>
      <c r="JI391" s="18"/>
      <c r="JJ391" s="18"/>
      <c r="JK391" s="18"/>
      <c r="JL391" s="18"/>
      <c r="JM391" s="18"/>
      <c r="JN391" s="18"/>
      <c r="JO391" s="16"/>
      <c r="JP391" s="16"/>
      <c r="JQ391" s="16"/>
      <c r="JR391" s="18"/>
      <c r="JS391" s="18"/>
      <c r="JT391" s="18"/>
      <c r="JU391" s="18"/>
      <c r="JV391" s="18"/>
      <c r="JW391" s="18"/>
      <c r="JX391" s="18"/>
      <c r="JY391" s="18"/>
      <c r="JZ391" s="18"/>
      <c r="KA391" s="18"/>
      <c r="KB391" s="18"/>
    </row>
    <row r="392" spans="1:288" s="18" customFormat="1" ht="16" x14ac:dyDescent="0.2">
      <c r="B392" s="16">
        <v>2017</v>
      </c>
      <c r="C392" s="20">
        <v>42963</v>
      </c>
      <c r="D392" s="20" t="str">
        <f>CONCATENATE(J392,"-",C392)</f>
        <v>1238-42963</v>
      </c>
      <c r="E392" s="37" t="str">
        <f>CONCATENATE(T392,"-",U392,"-",C392)</f>
        <v>PO2-A4-42963</v>
      </c>
      <c r="F392" s="20" t="s">
        <v>106</v>
      </c>
      <c r="G392" s="20" t="s">
        <v>107</v>
      </c>
      <c r="H392" s="16"/>
      <c r="I392" s="16">
        <v>0</v>
      </c>
      <c r="J392" s="21">
        <v>1238</v>
      </c>
      <c r="K392" s="21">
        <v>2156</v>
      </c>
      <c r="L392" s="18">
        <v>0</v>
      </c>
      <c r="M392" s="21">
        <f>VLOOKUP($K392,'[4]blood tubes 2017'!$D$1:$L$647,8,FALSE)</f>
        <v>0</v>
      </c>
      <c r="N392" s="15">
        <v>0</v>
      </c>
      <c r="O392" s="15" t="s">
        <v>119</v>
      </c>
      <c r="P392" s="16" t="s">
        <v>119</v>
      </c>
      <c r="Q392" s="16">
        <v>0</v>
      </c>
      <c r="R392" s="16">
        <v>34</v>
      </c>
      <c r="S392" s="16"/>
      <c r="T392" s="16" t="s">
        <v>127</v>
      </c>
      <c r="U392" s="16" t="s">
        <v>134</v>
      </c>
      <c r="V392" s="16" t="s">
        <v>114</v>
      </c>
      <c r="W392" s="16">
        <f>AI392/AG392</f>
        <v>0.87951807228915657</v>
      </c>
      <c r="X392" s="16" t="s">
        <v>115</v>
      </c>
      <c r="Y392" s="16" t="s">
        <v>110</v>
      </c>
      <c r="Z392" s="16">
        <v>3</v>
      </c>
      <c r="AA392" s="16"/>
      <c r="AB392" s="16"/>
      <c r="AC392" s="16"/>
      <c r="AD392" s="16"/>
      <c r="AE392" s="16" t="s">
        <v>116</v>
      </c>
      <c r="AF392" s="16" t="s">
        <v>116</v>
      </c>
      <c r="AG392" s="16">
        <f>AH392-AI392</f>
        <v>83</v>
      </c>
      <c r="AH392" s="16">
        <v>156</v>
      </c>
      <c r="AI392" s="16">
        <v>73</v>
      </c>
      <c r="AJ392" s="16"/>
      <c r="AK392" s="16">
        <v>21</v>
      </c>
      <c r="AL392" s="16">
        <v>1</v>
      </c>
      <c r="AM392" s="16">
        <v>0</v>
      </c>
      <c r="AN392" s="16">
        <v>0</v>
      </c>
      <c r="AO392" s="16">
        <v>1</v>
      </c>
      <c r="AP392" s="16">
        <f>SUM(AL392:AN392)</f>
        <v>1</v>
      </c>
      <c r="AQ392" s="16">
        <v>1.833</v>
      </c>
      <c r="AR392" s="16">
        <f>AP392-1.472</f>
        <v>-0.47199999999999998</v>
      </c>
      <c r="AS392" s="16">
        <f>AQ392-1.472</f>
        <v>0.36099999999999999</v>
      </c>
      <c r="AT392" s="16" t="str">
        <f>VLOOKUP(E392,[2]Current!$A$1:$W$435,7,FALSE)</f>
        <v>NB</v>
      </c>
      <c r="AU392" s="16" t="s">
        <v>1288</v>
      </c>
      <c r="AV392" s="16"/>
      <c r="AW392" s="128">
        <f>IF(AX392&gt;0,1,0)</f>
        <v>1</v>
      </c>
      <c r="AX392" s="128">
        <f>SUM(BA392,BM392,CU392)</f>
        <v>1</v>
      </c>
      <c r="AY392" s="128">
        <f>SUM(BB392,BN392,CV392)</f>
        <v>5.54016620498615</v>
      </c>
      <c r="AZ392" s="128">
        <f>IF(BA392&gt;0,1,0)</f>
        <v>1</v>
      </c>
      <c r="BA392" s="128">
        <f>SUM(BC392+BF392+BI392)</f>
        <v>1</v>
      </c>
      <c r="BB392" s="128">
        <f>SUM(BE392,BH392,BK392)</f>
        <v>5.54016620498615</v>
      </c>
      <c r="BC392" s="130">
        <f>IF(BD392&gt;0,1,0)</f>
        <v>0</v>
      </c>
      <c r="BD392" s="128">
        <f>VLOOKUP($E392,[2]Current!$A:$AC,26,FALSE)</f>
        <v>0</v>
      </c>
      <c r="BE392" s="128">
        <f>BD392/$AS392</f>
        <v>0</v>
      </c>
      <c r="BF392" s="130">
        <f>IF(BG392&gt;0,1,0)</f>
        <v>1</v>
      </c>
      <c r="BG392" s="175">
        <f>VLOOKUP($E392,[2]Current!$A:$AC,27,FALSE)</f>
        <v>2</v>
      </c>
      <c r="BH392" s="128">
        <f>BG392/$AS392</f>
        <v>5.54016620498615</v>
      </c>
      <c r="BI392" s="130">
        <f>IF(BJ392&gt;0,1,0)</f>
        <v>0</v>
      </c>
      <c r="BJ392" s="128">
        <f>VLOOKUP($E392,[2]Current!$A:$AC,28,FALSE)</f>
        <v>0</v>
      </c>
      <c r="BK392" s="128">
        <f>BJ392/$AS392</f>
        <v>0</v>
      </c>
      <c r="BL392" s="128">
        <f>IF(BM392&gt;0,1,0)</f>
        <v>0</v>
      </c>
      <c r="BM392" s="128">
        <f>SUM(BR392,BU392,BX392,CA392,CD392)</f>
        <v>0</v>
      </c>
      <c r="BN392" s="131">
        <f>SUM(BT392,BW392,BZ392,CC392,CF392)</f>
        <v>0</v>
      </c>
      <c r="BO392" s="128">
        <f>IF(BP392&gt;0,1,0)</f>
        <v>0</v>
      </c>
      <c r="BP392" s="128">
        <f>BM392+CJ392</f>
        <v>0</v>
      </c>
      <c r="BQ392" s="128">
        <f>BN392+CL392</f>
        <v>0</v>
      </c>
      <c r="BR392" s="130">
        <f>IF(BS392&gt;0,1,0)</f>
        <v>0</v>
      </c>
      <c r="BS392" s="128">
        <f>VLOOKUP($E392,[2]Current!$A:$AC,12,FALSE)</f>
        <v>0</v>
      </c>
      <c r="BT392" s="175">
        <f>BS392/$AS392</f>
        <v>0</v>
      </c>
      <c r="BU392" s="130">
        <f>IF(BV392&gt;0,1,0)</f>
        <v>0</v>
      </c>
      <c r="BV392" s="128">
        <f>VLOOKUP($E392,[2]Current!$A:$AC,13,FALSE)</f>
        <v>0</v>
      </c>
      <c r="BW392" s="128">
        <f>BV392/$AS392</f>
        <v>0</v>
      </c>
      <c r="BX392" s="130">
        <f>IF(BY392&gt;0,1,0)</f>
        <v>0</v>
      </c>
      <c r="BY392" s="128">
        <f>VLOOKUP($E392,[2]Current!$A:$AC,14,FALSE)</f>
        <v>0</v>
      </c>
      <c r="BZ392" s="128">
        <f>BY392/$AS392</f>
        <v>0</v>
      </c>
      <c r="CA392" s="130">
        <f>IF(CB392&gt;0,1,0)</f>
        <v>0</v>
      </c>
      <c r="CB392" s="128">
        <f>VLOOKUP($E392,[2]Current!$A:$AC,15,FALSE)</f>
        <v>0</v>
      </c>
      <c r="CC392" s="128">
        <f>CB392/$AS392</f>
        <v>0</v>
      </c>
      <c r="CD392" s="176">
        <f>IF(CE392&gt;0,1,0)</f>
        <v>0</v>
      </c>
      <c r="CE392" s="128">
        <f>VLOOKUP($E392,[2]Current!$A:$AC,16,FALSE)</f>
        <v>0</v>
      </c>
      <c r="CF392" s="128">
        <f>CE392/$AS392</f>
        <v>0</v>
      </c>
      <c r="CJ392" s="130">
        <f>IF(CK392&gt;0,1,0)</f>
        <v>0</v>
      </c>
      <c r="CK392" s="128">
        <f>VLOOKUP($E392,[2]Current!$A:$AC,18,FALSE)</f>
        <v>0</v>
      </c>
      <c r="CL392" s="128">
        <f>CK392/$AS392</f>
        <v>0</v>
      </c>
      <c r="CM392" s="16"/>
      <c r="CN392" s="16"/>
      <c r="CO392" s="16"/>
      <c r="CP392" s="16"/>
      <c r="CQ392" s="16"/>
      <c r="CR392" s="16"/>
      <c r="CS392" s="130">
        <f>IF(CU392&gt;0,1,0)</f>
        <v>0</v>
      </c>
      <c r="CT392" s="16"/>
      <c r="CU392" s="128">
        <f>VLOOKUP($E392,[2]Current!$A:$AC,17,FALSE)</f>
        <v>0</v>
      </c>
      <c r="CV392" s="128">
        <f>CU392/$AS392</f>
        <v>0</v>
      </c>
      <c r="CZ392" s="16"/>
      <c r="DA392" s="16"/>
      <c r="DB392" s="16"/>
      <c r="DC392" s="16"/>
      <c r="DD392" s="16"/>
      <c r="DE392" s="16"/>
      <c r="DF392" s="16" t="e">
        <f>VLOOKUP(K392,'[3]RNA Seq summary tables'!$V$3:$V$99,1,FALSE)</f>
        <v>#N/A</v>
      </c>
      <c r="DG392" s="16">
        <v>1</v>
      </c>
      <c r="DH392" s="16" t="str">
        <f>VLOOKUP(D392,'[6]workflow 3.2018'!$A$1:$S$237,2,FALSE)</f>
        <v>2017MLBS_151</v>
      </c>
      <c r="DI392" s="16"/>
      <c r="DJ392" s="16"/>
      <c r="DK392" s="16"/>
      <c r="DL392" s="16"/>
      <c r="DM392" s="16"/>
      <c r="DN392" s="16"/>
      <c r="DO392" s="16"/>
      <c r="DP392" s="16"/>
      <c r="DQ392" s="16"/>
      <c r="DR392" s="16"/>
      <c r="DS392" s="16"/>
      <c r="JO392" s="38"/>
      <c r="JP392" s="38"/>
      <c r="JQ392" s="38"/>
      <c r="JR392" s="16"/>
      <c r="JS392" s="16"/>
      <c r="JT392" s="16"/>
      <c r="JU392" s="16"/>
      <c r="JV392" s="16"/>
      <c r="JW392" s="16"/>
      <c r="JX392" s="16"/>
      <c r="JY392" s="16"/>
      <c r="JZ392" s="16"/>
      <c r="KA392" s="16"/>
      <c r="KB392" s="16"/>
    </row>
    <row r="393" spans="1:288" ht="16" x14ac:dyDescent="0.2">
      <c r="B393" s="16">
        <v>2017</v>
      </c>
      <c r="C393" s="20">
        <v>42976</v>
      </c>
      <c r="D393" s="20" t="str">
        <f>CONCATENATE(J393,"-",C393)</f>
        <v>1238-42976</v>
      </c>
      <c r="E393" s="37" t="str">
        <f>CONCATENATE(T393,"-",U393,"-",C393)</f>
        <v>PO2-A3-42976</v>
      </c>
      <c r="F393" s="37" t="s">
        <v>224</v>
      </c>
      <c r="G393" s="20" t="s">
        <v>107</v>
      </c>
      <c r="I393" s="16">
        <v>0</v>
      </c>
      <c r="J393" s="21">
        <v>1238</v>
      </c>
      <c r="K393" s="21">
        <v>2304</v>
      </c>
      <c r="L393" s="18">
        <v>0</v>
      </c>
      <c r="M393" s="21">
        <f>VLOOKUP($K393,'[4]blood tubes 2017'!$D$1:$L$947,8,FALSE)</f>
        <v>0</v>
      </c>
      <c r="N393" s="15">
        <v>0</v>
      </c>
      <c r="O393" s="15" t="s">
        <v>119</v>
      </c>
      <c r="P393" s="16" t="s">
        <v>119</v>
      </c>
      <c r="Q393" s="16">
        <v>0</v>
      </c>
      <c r="R393" s="16">
        <v>13</v>
      </c>
      <c r="T393" s="16" t="s">
        <v>127</v>
      </c>
      <c r="U393" s="16" t="s">
        <v>201</v>
      </c>
      <c r="V393" s="16" t="s">
        <v>114</v>
      </c>
      <c r="W393" s="16">
        <f>AI393/AG393</f>
        <v>0.90243902439024393</v>
      </c>
      <c r="X393" s="16" t="s">
        <v>115</v>
      </c>
      <c r="Y393" s="16" t="s">
        <v>110</v>
      </c>
      <c r="Z393" s="16">
        <v>3</v>
      </c>
      <c r="AE393" s="16" t="s">
        <v>116</v>
      </c>
      <c r="AF393" s="16" t="s">
        <v>116</v>
      </c>
      <c r="AG393" s="16">
        <f>AH393-AI393</f>
        <v>82</v>
      </c>
      <c r="AH393" s="16">
        <v>156</v>
      </c>
      <c r="AI393" s="16">
        <v>74</v>
      </c>
      <c r="AK393" s="16">
        <v>23</v>
      </c>
      <c r="AL393" s="16">
        <v>0</v>
      </c>
      <c r="AM393" s="16">
        <v>0</v>
      </c>
      <c r="AN393" s="16">
        <v>0</v>
      </c>
      <c r="AO393" s="16">
        <v>0</v>
      </c>
      <c r="AP393" s="16">
        <f>SUM(AL393:AN393)</f>
        <v>0</v>
      </c>
      <c r="AQ393" s="16">
        <v>2.0990000000000002</v>
      </c>
      <c r="AR393" s="16">
        <f>AP393-1.472</f>
        <v>-1.472</v>
      </c>
      <c r="AS393" s="16">
        <f>AQ393-1.472</f>
        <v>0.62700000000000022</v>
      </c>
      <c r="AT393" s="16" t="str">
        <f>VLOOKUP(E393,[2]Current!$A$1:$W$435,7,FALSE)</f>
        <v>LV</v>
      </c>
      <c r="AU393" s="16" t="s">
        <v>1288</v>
      </c>
      <c r="AV393" s="23"/>
      <c r="AW393" s="128">
        <f>IF(AX393&gt;0,1,0)</f>
        <v>1</v>
      </c>
      <c r="AX393" s="128">
        <f>SUM(BA393,BM393,CU393)</f>
        <v>5</v>
      </c>
      <c r="AY393" s="128">
        <f>SUM(BB393,BN393,CV393)</f>
        <v>1009.5693779904302</v>
      </c>
      <c r="AZ393" s="128">
        <f>IF(BA393&gt;0,1,0)</f>
        <v>1</v>
      </c>
      <c r="BA393" s="128">
        <f>SUM(BC393+BF393+BI393)</f>
        <v>3</v>
      </c>
      <c r="BB393" s="128">
        <f>SUM(BE393,BH393,BK393)</f>
        <v>998.40510366826118</v>
      </c>
      <c r="BC393" s="130">
        <f>IF(BD393&gt;0,1,0)</f>
        <v>1</v>
      </c>
      <c r="BD393" s="128">
        <f>VLOOKUP($E393,[2]Current!$A:$AC,26,FALSE)</f>
        <v>34</v>
      </c>
      <c r="BE393" s="128">
        <f>BD393/$AS393</f>
        <v>54.226475279106836</v>
      </c>
      <c r="BF393" s="130">
        <f>IF(BG393&gt;0,1,0)</f>
        <v>1</v>
      </c>
      <c r="BG393" s="175">
        <f>VLOOKUP($E393,[2]Current!$A:$AC,27,FALSE)</f>
        <v>496</v>
      </c>
      <c r="BH393" s="128">
        <f>BG393/$AS393</f>
        <v>791.0685805422645</v>
      </c>
      <c r="BI393" s="130">
        <f>IF(BJ393&gt;0,1,0)</f>
        <v>1</v>
      </c>
      <c r="BJ393" s="128">
        <f>VLOOKUP($E393,[2]Current!$A:$AC,28,FALSE)</f>
        <v>96</v>
      </c>
      <c r="BK393" s="128">
        <f>BJ393/$AS393</f>
        <v>153.1100478468899</v>
      </c>
      <c r="BL393" s="128">
        <f>IF(BM393&gt;0,1,0)</f>
        <v>1</v>
      </c>
      <c r="BM393" s="128">
        <f>SUM(BR393,BU393,BX393,CA393,CD393)</f>
        <v>2</v>
      </c>
      <c r="BN393" s="131">
        <f>SUM(BT393,BW393,BZ393,CC393,CF393)</f>
        <v>11.164274322169055</v>
      </c>
      <c r="BO393" s="128">
        <f>IF(BP393&gt;0,1,0)</f>
        <v>1</v>
      </c>
      <c r="BP393" s="128">
        <f>BM393+CJ393</f>
        <v>2</v>
      </c>
      <c r="BQ393" s="128">
        <f>BN393+CL393</f>
        <v>11.164274322169055</v>
      </c>
      <c r="BR393" s="130">
        <f>IF(BS393&gt;0,1,0)</f>
        <v>1</v>
      </c>
      <c r="BS393" s="128">
        <f>VLOOKUP($E393,[2]Current!$A:$AC,12,FALSE)</f>
        <v>5</v>
      </c>
      <c r="BT393" s="175">
        <f>BS393/$AS393</f>
        <v>7.9744816586921825</v>
      </c>
      <c r="BU393" s="130">
        <f>IF(BV393&gt;0,1,0)</f>
        <v>0</v>
      </c>
      <c r="BV393" s="128">
        <f>VLOOKUP($E393,[2]Current!$A:$AC,13,FALSE)</f>
        <v>0</v>
      </c>
      <c r="BW393" s="128">
        <f>BV393/$AS393</f>
        <v>0</v>
      </c>
      <c r="BX393" s="130">
        <f>IF(BY393&gt;0,1,0)</f>
        <v>0</v>
      </c>
      <c r="BY393" s="128">
        <f>VLOOKUP($E393,[2]Current!$A:$AC,14,FALSE)</f>
        <v>0</v>
      </c>
      <c r="BZ393" s="128">
        <f>BY393/$AS393</f>
        <v>0</v>
      </c>
      <c r="CA393" s="130">
        <f>IF(CB393&gt;0,1,0)</f>
        <v>0</v>
      </c>
      <c r="CB393" s="128">
        <f>VLOOKUP($E393,[2]Current!$A:$AC,15,FALSE)</f>
        <v>0</v>
      </c>
      <c r="CC393" s="128">
        <f>CB393/$AS393</f>
        <v>0</v>
      </c>
      <c r="CD393" s="176">
        <f>IF(CE393&gt;0,1,0)</f>
        <v>1</v>
      </c>
      <c r="CE393" s="128">
        <f>VLOOKUP($E393,[2]Current!$A:$AC,16,FALSE)</f>
        <v>2</v>
      </c>
      <c r="CF393" s="128">
        <f>CE393/$AS393</f>
        <v>3.1897926634768727</v>
      </c>
      <c r="CG393" s="18"/>
      <c r="CH393" s="18"/>
      <c r="CI393" s="18"/>
      <c r="CJ393" s="130">
        <f>IF(CK393&gt;0,1,0)</f>
        <v>0</v>
      </c>
      <c r="CK393" s="128">
        <f>VLOOKUP($E393,[2]Current!$A:$AC,18,FALSE)</f>
        <v>0</v>
      </c>
      <c r="CL393" s="128">
        <f>CK393/$AS393</f>
        <v>0</v>
      </c>
      <c r="CS393" s="130">
        <f>IF(CU393&gt;0,1,0)</f>
        <v>0</v>
      </c>
      <c r="CU393" s="128">
        <f>VLOOKUP($E393,[2]Current!$A:$AC,17,FALSE)</f>
        <v>0</v>
      </c>
      <c r="CV393" s="128">
        <f>CU393/$AS393</f>
        <v>0</v>
      </c>
      <c r="CW393" s="18"/>
      <c r="CX393" s="18"/>
      <c r="CY393" s="18"/>
      <c r="DF393" s="16" t="e">
        <f>VLOOKUP(K393,'[3]RNA Seq summary tables'!$V$3:$V$99,1,FALSE)</f>
        <v>#N/A</v>
      </c>
      <c r="DG393" s="16">
        <v>1</v>
      </c>
      <c r="DH393" s="16" t="str">
        <f>VLOOKUP(D393,'[6]workflow 3.2018'!$A$1:$S$237,2,FALSE)</f>
        <v>2017MLBS_217</v>
      </c>
    </row>
    <row r="394" spans="1:288" s="29" customFormat="1" ht="16" x14ac:dyDescent="0.2">
      <c r="A394" s="18"/>
      <c r="B394" s="16">
        <v>2017</v>
      </c>
      <c r="C394" s="43">
        <v>42929</v>
      </c>
      <c r="D394" s="20" t="str">
        <f>CONCATENATE(J394,"-",C394)</f>
        <v>1240-42929</v>
      </c>
      <c r="E394" s="37" t="str">
        <f>CONCATENATE(T394,"-",U394,"-",C394)</f>
        <v>PO2-F7-42929</v>
      </c>
      <c r="F394" s="20" t="s">
        <v>106</v>
      </c>
      <c r="G394" s="43" t="s">
        <v>107</v>
      </c>
      <c r="H394" s="23"/>
      <c r="I394" s="16">
        <v>0</v>
      </c>
      <c r="J394" s="15">
        <v>1240</v>
      </c>
      <c r="K394" s="15">
        <v>1890</v>
      </c>
      <c r="L394" s="18">
        <v>0</v>
      </c>
      <c r="M394" s="21">
        <f>VLOOKUP($K394,'[4]blood tubes 2017'!$D$1:$L$647,8,FALSE)</f>
        <v>0</v>
      </c>
      <c r="N394" s="15">
        <v>0</v>
      </c>
      <c r="O394" s="15" t="s">
        <v>119</v>
      </c>
      <c r="P394" s="23" t="s">
        <v>119</v>
      </c>
      <c r="Q394" s="16">
        <v>0</v>
      </c>
      <c r="R394" s="23" t="s">
        <v>111</v>
      </c>
      <c r="S394" s="23"/>
      <c r="T394" s="23" t="s">
        <v>127</v>
      </c>
      <c r="U394" s="23" t="s">
        <v>189</v>
      </c>
      <c r="V394" s="23" t="s">
        <v>114</v>
      </c>
      <c r="W394" s="16">
        <f>AI394/AG394</f>
        <v>0.8441558441558441</v>
      </c>
      <c r="X394" s="23" t="s">
        <v>121</v>
      </c>
      <c r="Y394" s="23" t="s">
        <v>110</v>
      </c>
      <c r="Z394" s="23">
        <v>3</v>
      </c>
      <c r="AA394" s="23" t="s">
        <v>119</v>
      </c>
      <c r="AB394" s="23" t="s">
        <v>123</v>
      </c>
      <c r="AC394" s="23" t="s">
        <v>123</v>
      </c>
      <c r="AD394" s="23" t="s">
        <v>123</v>
      </c>
      <c r="AE394" s="23"/>
      <c r="AF394" s="23"/>
      <c r="AG394" s="23">
        <f>AH394-AI394</f>
        <v>77</v>
      </c>
      <c r="AH394" s="23">
        <v>142</v>
      </c>
      <c r="AI394" s="23">
        <v>65</v>
      </c>
      <c r="AJ394" s="23"/>
      <c r="AK394" s="23">
        <v>15</v>
      </c>
      <c r="AL394" s="23">
        <v>0</v>
      </c>
      <c r="AM394" s="23">
        <v>0</v>
      </c>
      <c r="AN394" s="23">
        <v>0</v>
      </c>
      <c r="AO394" s="23">
        <v>0</v>
      </c>
      <c r="AP394" s="23">
        <f>SUM(AL394:AN394)</f>
        <v>0</v>
      </c>
      <c r="AQ394" s="23">
        <v>1.62</v>
      </c>
      <c r="AR394" s="23">
        <f>AP394-1.472</f>
        <v>-1.472</v>
      </c>
      <c r="AS394" s="23">
        <f>AQ394-1.472</f>
        <v>0.14800000000000013</v>
      </c>
      <c r="AT394" s="16" t="str">
        <f>VLOOKUP(E394,[2]Current!$A$1:$W$435,7,FALSE)</f>
        <v>NB</v>
      </c>
      <c r="AU394" s="16" t="s">
        <v>1288</v>
      </c>
      <c r="AV394" s="23"/>
      <c r="AW394" s="128">
        <f>IF(AX394&gt;0,1,0)</f>
        <v>1</v>
      </c>
      <c r="AX394" s="128">
        <f>SUM(BA394,BM394,CU394)</f>
        <v>1</v>
      </c>
      <c r="AY394" s="128">
        <f>SUM(BB394,BN394,CV394)</f>
        <v>614.86486486486433</v>
      </c>
      <c r="AZ394" s="128">
        <f>IF(BA394&gt;0,1,0)</f>
        <v>1</v>
      </c>
      <c r="BA394" s="128">
        <f>SUM(BC394+BF394+BI394)</f>
        <v>1</v>
      </c>
      <c r="BB394" s="128">
        <f>SUM(BE394,BH394,BK394)</f>
        <v>614.86486486486433</v>
      </c>
      <c r="BC394" s="130">
        <f>IF(BD394&gt;0,1,0)</f>
        <v>0</v>
      </c>
      <c r="BD394" s="128">
        <f>VLOOKUP($E394,[2]Current!$A:$AC,26,FALSE)</f>
        <v>0</v>
      </c>
      <c r="BE394" s="128">
        <f>BD394/$AS394</f>
        <v>0</v>
      </c>
      <c r="BF394" s="130">
        <f>IF(BG394&gt;0,1,0)</f>
        <v>1</v>
      </c>
      <c r="BG394" s="175">
        <f>VLOOKUP($E394,[2]Current!$A:$AC,27,FALSE)</f>
        <v>91</v>
      </c>
      <c r="BH394" s="128">
        <f>BG394/$AS394</f>
        <v>614.86486486486433</v>
      </c>
      <c r="BI394" s="130">
        <f>IF(BJ394&gt;0,1,0)</f>
        <v>0</v>
      </c>
      <c r="BJ394" s="128">
        <f>VLOOKUP($E394,[2]Current!$A:$AC,28,FALSE)</f>
        <v>0</v>
      </c>
      <c r="BK394" s="128">
        <f>BJ394/$AS394</f>
        <v>0</v>
      </c>
      <c r="BL394" s="128">
        <f>IF(BM394&gt;0,1,0)</f>
        <v>0</v>
      </c>
      <c r="BM394" s="128">
        <f>SUM(BR394,BU394,BX394,CA394,CD394)</f>
        <v>0</v>
      </c>
      <c r="BN394" s="131">
        <f>SUM(BT394,BW394,BZ394,CC394,CF394)</f>
        <v>0</v>
      </c>
      <c r="BO394" s="128">
        <f>IF(BP394&gt;0,1,0)</f>
        <v>0</v>
      </c>
      <c r="BP394" s="128">
        <f>BM394+CJ394</f>
        <v>0</v>
      </c>
      <c r="BQ394" s="128">
        <f>BN394+CL394</f>
        <v>0</v>
      </c>
      <c r="BR394" s="130">
        <f>IF(BS394&gt;0,1,0)</f>
        <v>0</v>
      </c>
      <c r="BS394" s="128">
        <f>VLOOKUP($E394,[2]Current!$A:$AC,12,FALSE)</f>
        <v>0</v>
      </c>
      <c r="BT394" s="175">
        <f>BS394/$AS394</f>
        <v>0</v>
      </c>
      <c r="BU394" s="130">
        <f>IF(BV394&gt;0,1,0)</f>
        <v>0</v>
      </c>
      <c r="BV394" s="128">
        <f>VLOOKUP($E394,[2]Current!$A:$AC,13,FALSE)</f>
        <v>0</v>
      </c>
      <c r="BW394" s="128">
        <f>BV394/$AS394</f>
        <v>0</v>
      </c>
      <c r="BX394" s="130">
        <f>IF(BY394&gt;0,1,0)</f>
        <v>0</v>
      </c>
      <c r="BY394" s="128">
        <f>VLOOKUP($E394,[2]Current!$A:$AC,14,FALSE)</f>
        <v>0</v>
      </c>
      <c r="BZ394" s="128">
        <f>BY394/$AS394</f>
        <v>0</v>
      </c>
      <c r="CA394" s="130">
        <f>IF(CB394&gt;0,1,0)</f>
        <v>0</v>
      </c>
      <c r="CB394" s="128">
        <f>VLOOKUP($E394,[2]Current!$A:$AC,15,FALSE)</f>
        <v>0</v>
      </c>
      <c r="CC394" s="128">
        <f>CB394/$AS394</f>
        <v>0</v>
      </c>
      <c r="CD394" s="176">
        <f>IF(CE394&gt;0,1,0)</f>
        <v>0</v>
      </c>
      <c r="CE394" s="128">
        <f>VLOOKUP($E394,[2]Current!$A:$AC,16,FALSE)</f>
        <v>0</v>
      </c>
      <c r="CF394" s="128">
        <f>CE394/$AS394</f>
        <v>0</v>
      </c>
      <c r="CG394" s="18"/>
      <c r="CH394" s="18"/>
      <c r="CI394" s="18"/>
      <c r="CJ394" s="130">
        <f>IF(CK394&gt;0,1,0)</f>
        <v>0</v>
      </c>
      <c r="CK394" s="128">
        <f>VLOOKUP($E394,[2]Current!$A:$AC,18,FALSE)</f>
        <v>0</v>
      </c>
      <c r="CL394" s="128">
        <f>CK394/$AS394</f>
        <v>0</v>
      </c>
      <c r="CM394" s="16"/>
      <c r="CN394" s="16"/>
      <c r="CO394" s="16"/>
      <c r="CP394" s="16"/>
      <c r="CQ394" s="16"/>
      <c r="CR394" s="16"/>
      <c r="CS394" s="130">
        <f>IF(CU394&gt;0,1,0)</f>
        <v>0</v>
      </c>
      <c r="CT394" s="16"/>
      <c r="CU394" s="128">
        <f>VLOOKUP($E394,[2]Current!$A:$AC,17,FALSE)</f>
        <v>0</v>
      </c>
      <c r="CV394" s="128">
        <f>CU394/$AS394</f>
        <v>0</v>
      </c>
      <c r="CW394" s="18"/>
      <c r="CX394" s="18"/>
      <c r="CY394" s="18"/>
      <c r="CZ394" s="16"/>
      <c r="DA394" s="16"/>
      <c r="DB394" s="16"/>
      <c r="DC394" s="16"/>
      <c r="DD394" s="16"/>
      <c r="DE394" s="16"/>
      <c r="DF394" s="16" t="e">
        <f>VLOOKUP(K394,'[3]RNA Seq summary tables'!$V$3:$V$99,1,FALSE)</f>
        <v>#N/A</v>
      </c>
      <c r="DG394" s="16"/>
      <c r="DH394" s="16"/>
      <c r="DI394" s="23"/>
      <c r="DJ394" s="23"/>
      <c r="DK394" s="23"/>
      <c r="DL394" s="23"/>
      <c r="DM394" s="23"/>
      <c r="DN394" s="23"/>
      <c r="DO394" s="23"/>
      <c r="DP394" s="23"/>
      <c r="DQ394" s="23"/>
      <c r="DR394" s="23"/>
      <c r="DS394" s="23"/>
      <c r="DT394" s="25"/>
      <c r="DU394" s="25"/>
      <c r="DV394" s="25"/>
      <c r="DW394" s="25"/>
      <c r="DX394" s="25"/>
      <c r="DY394" s="25"/>
      <c r="DZ394" s="25"/>
      <c r="EA394" s="25"/>
      <c r="EB394" s="25"/>
      <c r="EC394" s="25"/>
      <c r="ED394" s="25"/>
      <c r="EE394" s="25"/>
      <c r="EF394" s="25"/>
      <c r="EG394" s="25"/>
      <c r="EH394" s="25"/>
      <c r="EI394" s="25"/>
      <c r="EJ394" s="25"/>
      <c r="EK394" s="25"/>
      <c r="EL394" s="25"/>
      <c r="EM394" s="25"/>
      <c r="EN394" s="25"/>
      <c r="EO394" s="25"/>
      <c r="EP394" s="25"/>
      <c r="EQ394" s="25"/>
      <c r="ER394" s="25"/>
      <c r="ES394" s="25"/>
      <c r="ET394" s="25"/>
      <c r="EU394" s="25"/>
      <c r="EV394" s="25"/>
      <c r="EW394" s="25"/>
      <c r="EX394" s="25"/>
      <c r="EY394" s="25"/>
      <c r="EZ394" s="25"/>
      <c r="FA394" s="25"/>
      <c r="FB394" s="25"/>
      <c r="FC394" s="25"/>
      <c r="FD394" s="25"/>
      <c r="FE394" s="25"/>
      <c r="FF394" s="25"/>
      <c r="FG394" s="25"/>
      <c r="FH394" s="25"/>
      <c r="FI394" s="25"/>
      <c r="FJ394" s="25"/>
      <c r="FK394" s="25"/>
      <c r="FL394" s="25"/>
      <c r="FM394" s="25"/>
      <c r="FN394" s="25"/>
      <c r="FO394" s="25"/>
      <c r="FP394" s="25"/>
      <c r="FQ394" s="25"/>
      <c r="FR394" s="25"/>
      <c r="FS394" s="25"/>
      <c r="FT394" s="25"/>
      <c r="FU394" s="25"/>
      <c r="FV394" s="25"/>
      <c r="FW394" s="25"/>
      <c r="FX394" s="25"/>
      <c r="FY394" s="25"/>
      <c r="FZ394" s="25"/>
      <c r="GA394" s="25"/>
      <c r="GB394" s="25"/>
      <c r="GC394" s="25"/>
      <c r="GD394" s="25"/>
      <c r="GE394" s="25"/>
      <c r="GF394" s="25"/>
      <c r="GG394" s="25"/>
      <c r="GH394" s="25"/>
      <c r="GI394" s="25"/>
      <c r="GJ394" s="25"/>
      <c r="GK394" s="25"/>
      <c r="GL394" s="25"/>
      <c r="GM394" s="25"/>
      <c r="GN394" s="25"/>
      <c r="GO394" s="25"/>
      <c r="GP394" s="25"/>
      <c r="GQ394" s="25"/>
      <c r="GR394" s="25"/>
      <c r="GS394" s="25"/>
      <c r="GT394" s="25"/>
      <c r="GU394" s="25"/>
      <c r="GV394" s="25"/>
      <c r="GW394" s="25"/>
      <c r="GX394" s="25"/>
      <c r="GY394" s="25"/>
      <c r="GZ394" s="25"/>
      <c r="HA394" s="25"/>
      <c r="HB394" s="25"/>
      <c r="HC394" s="25"/>
      <c r="HD394" s="25"/>
      <c r="HE394" s="25"/>
      <c r="HF394" s="25"/>
      <c r="HG394" s="25"/>
      <c r="HH394" s="25"/>
      <c r="HI394" s="25"/>
      <c r="HJ394" s="25"/>
      <c r="HK394" s="25"/>
      <c r="HL394" s="25"/>
      <c r="HM394" s="25"/>
      <c r="HN394" s="25"/>
      <c r="HO394" s="25"/>
      <c r="HP394" s="25"/>
      <c r="HQ394" s="25"/>
      <c r="HR394" s="25"/>
      <c r="HS394" s="25"/>
      <c r="HT394" s="25"/>
      <c r="HU394" s="25"/>
      <c r="HV394" s="25"/>
      <c r="HW394" s="25"/>
      <c r="HX394" s="25"/>
      <c r="HY394" s="25"/>
      <c r="HZ394" s="25"/>
      <c r="IA394" s="25"/>
      <c r="IB394" s="25"/>
      <c r="IC394" s="25"/>
      <c r="ID394" s="25"/>
      <c r="IE394" s="25"/>
      <c r="IF394" s="25"/>
      <c r="IG394" s="25"/>
      <c r="IH394" s="25"/>
      <c r="II394" s="25"/>
      <c r="IJ394" s="25"/>
      <c r="IK394" s="25"/>
      <c r="IL394" s="25"/>
      <c r="IM394" s="25"/>
      <c r="IN394" s="25"/>
      <c r="IO394" s="25"/>
      <c r="IP394" s="25"/>
      <c r="IQ394" s="25"/>
      <c r="IR394" s="25"/>
      <c r="IS394" s="25"/>
      <c r="IT394" s="25"/>
      <c r="IU394" s="25"/>
      <c r="IV394" s="25"/>
      <c r="IW394" s="25"/>
      <c r="IX394" s="25"/>
      <c r="IY394" s="25"/>
      <c r="IZ394" s="25"/>
      <c r="JA394" s="25"/>
      <c r="JB394" s="25"/>
      <c r="JC394" s="25"/>
      <c r="JD394" s="25"/>
      <c r="JE394" s="25"/>
      <c r="JF394" s="25"/>
      <c r="JG394" s="25"/>
      <c r="JH394" s="25"/>
      <c r="JI394" s="25"/>
      <c r="JJ394" s="25"/>
      <c r="JK394" s="25"/>
      <c r="JL394" s="25"/>
      <c r="JM394" s="25"/>
      <c r="JN394" s="25"/>
      <c r="JO394" s="23"/>
      <c r="JP394" s="23"/>
      <c r="JQ394" s="23"/>
      <c r="JR394" s="18"/>
      <c r="JS394" s="18"/>
      <c r="JT394" s="18"/>
      <c r="JU394" s="18"/>
      <c r="JV394" s="18"/>
      <c r="JW394" s="18"/>
      <c r="JX394" s="18"/>
      <c r="JY394" s="18"/>
      <c r="JZ394" s="18"/>
      <c r="KA394" s="18"/>
      <c r="KB394" s="18"/>
    </row>
    <row r="395" spans="1:288" s="18" customFormat="1" ht="16" x14ac:dyDescent="0.2">
      <c r="B395" s="16">
        <v>2017</v>
      </c>
      <c r="C395" s="20">
        <v>42929</v>
      </c>
      <c r="D395" s="20" t="str">
        <f>CONCATENATE(J395,"-",C395)</f>
        <v>1242-42929</v>
      </c>
      <c r="E395" s="37" t="str">
        <f>CONCATENATE(T395,"-",U395,"-",C395)</f>
        <v>PO2-H3-42929</v>
      </c>
      <c r="F395" s="20" t="s">
        <v>106</v>
      </c>
      <c r="G395" s="20" t="s">
        <v>107</v>
      </c>
      <c r="H395" s="16"/>
      <c r="I395" s="16">
        <v>0</v>
      </c>
      <c r="J395" s="21">
        <v>1242</v>
      </c>
      <c r="K395" s="21">
        <v>1894</v>
      </c>
      <c r="L395" s="18">
        <v>0</v>
      </c>
      <c r="M395" s="21">
        <f>VLOOKUP($K395,'[4]blood tubes 2017'!$D$1:$L$647,8,FALSE)</f>
        <v>0</v>
      </c>
      <c r="N395" s="15">
        <v>0</v>
      </c>
      <c r="O395" s="15" t="s">
        <v>119</v>
      </c>
      <c r="P395" s="16" t="s">
        <v>119</v>
      </c>
      <c r="Q395" s="16">
        <v>0</v>
      </c>
      <c r="R395" s="16" t="s">
        <v>111</v>
      </c>
      <c r="S395" s="16"/>
      <c r="T395" s="16" t="s">
        <v>127</v>
      </c>
      <c r="U395" s="16" t="s">
        <v>174</v>
      </c>
      <c r="V395" s="16" t="s">
        <v>114</v>
      </c>
      <c r="W395" s="16">
        <f>AI395/AG395</f>
        <v>0.7931034482758621</v>
      </c>
      <c r="X395" s="16" t="s">
        <v>115</v>
      </c>
      <c r="Y395" s="16" t="s">
        <v>110</v>
      </c>
      <c r="Z395" s="16">
        <v>3</v>
      </c>
      <c r="AA395" s="16"/>
      <c r="AB395" s="16"/>
      <c r="AC395" s="16"/>
      <c r="AD395" s="16"/>
      <c r="AE395" s="16" t="s">
        <v>123</v>
      </c>
      <c r="AF395" s="16" t="s">
        <v>123</v>
      </c>
      <c r="AG395" s="16">
        <f>AH395-AI395</f>
        <v>87</v>
      </c>
      <c r="AH395" s="16">
        <v>156</v>
      </c>
      <c r="AI395" s="16">
        <v>69</v>
      </c>
      <c r="AJ395" s="16"/>
      <c r="AK395" s="16">
        <v>19</v>
      </c>
      <c r="AL395" s="16">
        <v>1</v>
      </c>
      <c r="AM395" s="16">
        <v>0</v>
      </c>
      <c r="AN395" s="16">
        <v>0</v>
      </c>
      <c r="AO395" s="16">
        <v>1</v>
      </c>
      <c r="AP395" s="16">
        <f>SUM(AL395:AN395)</f>
        <v>1</v>
      </c>
      <c r="AQ395" s="16">
        <v>1.6519999999999999</v>
      </c>
      <c r="AR395" s="16">
        <f>AP395-1.472</f>
        <v>-0.47199999999999998</v>
      </c>
      <c r="AS395" s="16">
        <f>AQ395-1.472</f>
        <v>0.17999999999999994</v>
      </c>
      <c r="AT395" s="16" t="str">
        <f>VLOOKUP(E395,[2]Current!$A$1:$W$435,7,FALSE)</f>
        <v>LV</v>
      </c>
      <c r="AU395" s="16" t="s">
        <v>1288</v>
      </c>
      <c r="AV395" s="23">
        <v>1</v>
      </c>
      <c r="AW395" s="128">
        <f>IF(AX395&gt;0,1,0)</f>
        <v>0</v>
      </c>
      <c r="AX395" s="128">
        <f>SUM(BA395,BM395,CU395)</f>
        <v>0</v>
      </c>
      <c r="AY395" s="128">
        <f>SUM(BB395,BN395,CV395)</f>
        <v>0</v>
      </c>
      <c r="AZ395" s="128">
        <f>IF(BA395&gt;0,1,0)</f>
        <v>0</v>
      </c>
      <c r="BA395" s="128">
        <f>SUM(BC395+BF395+BI395)</f>
        <v>0</v>
      </c>
      <c r="BB395" s="128">
        <f>SUM(BE395,BH395,BK395)</f>
        <v>0</v>
      </c>
      <c r="BC395" s="130">
        <f>IF(BD395&gt;0,1,0)</f>
        <v>0</v>
      </c>
      <c r="BD395" s="128">
        <f>VLOOKUP($E395,[2]Current!$A:$AC,26,FALSE)</f>
        <v>0</v>
      </c>
      <c r="BE395" s="128">
        <f>BD395/$AS395</f>
        <v>0</v>
      </c>
      <c r="BF395" s="130">
        <f>IF(BG395&gt;0,1,0)</f>
        <v>0</v>
      </c>
      <c r="BG395" s="175">
        <f>VLOOKUP($E395,[2]Current!$A:$AC,27,FALSE)</f>
        <v>0</v>
      </c>
      <c r="BH395" s="128">
        <f>BG395/$AS395</f>
        <v>0</v>
      </c>
      <c r="BI395" s="130">
        <f>IF(BJ395&gt;0,1,0)</f>
        <v>0</v>
      </c>
      <c r="BJ395" s="128">
        <f>VLOOKUP($E395,[2]Current!$A:$AC,28,FALSE)</f>
        <v>0</v>
      </c>
      <c r="BK395" s="128">
        <f>BJ395/$AS395</f>
        <v>0</v>
      </c>
      <c r="BL395" s="128">
        <f>IF(BM395&gt;0,1,0)</f>
        <v>0</v>
      </c>
      <c r="BM395" s="128">
        <f>SUM(BR395,BU395,BX395,CA395,CD395)</f>
        <v>0</v>
      </c>
      <c r="BN395" s="131">
        <f>SUM(BT395,BW395,BZ395,CC395,CF395)</f>
        <v>0</v>
      </c>
      <c r="BO395" s="128">
        <f>IF(BP395&gt;0,1,0)</f>
        <v>0</v>
      </c>
      <c r="BP395" s="128">
        <f>BM395+CJ395</f>
        <v>0</v>
      </c>
      <c r="BQ395" s="128">
        <f>BN395+CL395</f>
        <v>0</v>
      </c>
      <c r="BR395" s="130">
        <f>IF(BS395&gt;0,1,0)</f>
        <v>0</v>
      </c>
      <c r="BS395" s="128">
        <f>VLOOKUP($E395,[2]Current!$A:$AC,12,FALSE)</f>
        <v>0</v>
      </c>
      <c r="BT395" s="175">
        <f>BS395/$AS395</f>
        <v>0</v>
      </c>
      <c r="BU395" s="130">
        <f>IF(BV395&gt;0,1,0)</f>
        <v>0</v>
      </c>
      <c r="BV395" s="128">
        <f>VLOOKUP($E395,[2]Current!$A:$AC,13,FALSE)</f>
        <v>0</v>
      </c>
      <c r="BW395" s="128">
        <f>BV395/$AS395</f>
        <v>0</v>
      </c>
      <c r="BX395" s="130">
        <f>IF(BY395&gt;0,1,0)</f>
        <v>0</v>
      </c>
      <c r="BY395" s="128">
        <f>VLOOKUP($E395,[2]Current!$A:$AC,14,FALSE)</f>
        <v>0</v>
      </c>
      <c r="BZ395" s="128">
        <f>BY395/$AS395</f>
        <v>0</v>
      </c>
      <c r="CA395" s="130">
        <f>IF(CB395&gt;0,1,0)</f>
        <v>0</v>
      </c>
      <c r="CB395" s="128">
        <f>VLOOKUP($E395,[2]Current!$A:$AC,15,FALSE)</f>
        <v>0</v>
      </c>
      <c r="CC395" s="128">
        <f>CB395/$AS395</f>
        <v>0</v>
      </c>
      <c r="CD395" s="176">
        <f>IF(CE395&gt;0,1,0)</f>
        <v>0</v>
      </c>
      <c r="CE395" s="128">
        <f>VLOOKUP($E395,[2]Current!$A:$AC,16,FALSE)</f>
        <v>0</v>
      </c>
      <c r="CF395" s="128">
        <f>CE395/$AS395</f>
        <v>0</v>
      </c>
      <c r="CJ395" s="130">
        <f>IF(CK395&gt;0,1,0)</f>
        <v>0</v>
      </c>
      <c r="CK395" s="128">
        <f>VLOOKUP($E395,[2]Current!$A:$AC,18,FALSE)</f>
        <v>0</v>
      </c>
      <c r="CL395" s="128">
        <f>CK395/$AS395</f>
        <v>0</v>
      </c>
      <c r="CM395" s="16"/>
      <c r="CN395" s="16"/>
      <c r="CO395" s="16"/>
      <c r="CP395" s="16"/>
      <c r="CQ395" s="16"/>
      <c r="CR395" s="16"/>
      <c r="CS395" s="130">
        <f>IF(CU395&gt;0,1,0)</f>
        <v>0</v>
      </c>
      <c r="CT395" s="16"/>
      <c r="CU395" s="128">
        <f>VLOOKUP($E395,[2]Current!$A:$AC,17,FALSE)</f>
        <v>0</v>
      </c>
      <c r="CV395" s="128">
        <f>CU395/$AS395</f>
        <v>0</v>
      </c>
      <c r="CZ395" s="16"/>
      <c r="DA395" s="16"/>
      <c r="DB395" s="16"/>
      <c r="DC395" s="16"/>
      <c r="DD395" s="16"/>
      <c r="DE395" s="16"/>
      <c r="DF395" s="16" t="e">
        <f>VLOOKUP(K395,'[3]RNA Seq summary tables'!$V$3:$V$99,1,FALSE)</f>
        <v>#N/A</v>
      </c>
      <c r="DG395" s="16"/>
      <c r="DH395" s="16"/>
      <c r="DI395" s="16"/>
      <c r="DJ395" s="16"/>
      <c r="DK395" s="16"/>
      <c r="DL395" s="16"/>
      <c r="DM395" s="16"/>
      <c r="DN395" s="16"/>
      <c r="DO395" s="16"/>
      <c r="DP395" s="16"/>
      <c r="DQ395" s="16"/>
      <c r="DR395" s="16"/>
      <c r="DS395" s="16"/>
      <c r="JO395" s="16"/>
      <c r="JP395" s="16"/>
      <c r="JQ395" s="16"/>
      <c r="JR395" s="26"/>
      <c r="JS395" s="26"/>
      <c r="JT395" s="26"/>
      <c r="JU395" s="26"/>
      <c r="JV395" s="26"/>
      <c r="JW395" s="26"/>
      <c r="JX395" s="26"/>
      <c r="JY395" s="26"/>
      <c r="JZ395" s="26"/>
      <c r="KA395" s="26"/>
      <c r="KB395" s="26"/>
    </row>
    <row r="396" spans="1:288" s="18" customFormat="1" ht="16" x14ac:dyDescent="0.2">
      <c r="B396" s="16">
        <v>2017</v>
      </c>
      <c r="C396" s="20">
        <v>42930</v>
      </c>
      <c r="D396" s="20" t="str">
        <f>CONCATENATE(J396,"-",C396)</f>
        <v>1244-42930</v>
      </c>
      <c r="E396" s="37" t="str">
        <f>CONCATENATE(T396,"-",U396,"-",C396)</f>
        <v>HW2-H1-42930</v>
      </c>
      <c r="F396" s="20" t="s">
        <v>106</v>
      </c>
      <c r="G396" s="20" t="s">
        <v>107</v>
      </c>
      <c r="H396" s="16"/>
      <c r="I396" s="16">
        <v>0</v>
      </c>
      <c r="J396" s="21">
        <v>1244</v>
      </c>
      <c r="K396" s="21">
        <v>1901</v>
      </c>
      <c r="L396" s="18">
        <v>0</v>
      </c>
      <c r="M396" s="21">
        <f>VLOOKUP($K396,'[4]blood tubes 2017'!$D$1:$L$647,8,FALSE)</f>
        <v>0</v>
      </c>
      <c r="N396" s="15">
        <v>0</v>
      </c>
      <c r="O396" s="15" t="s">
        <v>119</v>
      </c>
      <c r="P396" s="16" t="s">
        <v>119</v>
      </c>
      <c r="Q396" s="16">
        <v>0</v>
      </c>
      <c r="R396" s="16" t="s">
        <v>111</v>
      </c>
      <c r="S396" s="16"/>
      <c r="T396" s="16" t="s">
        <v>129</v>
      </c>
      <c r="U396" s="16" t="s">
        <v>191</v>
      </c>
      <c r="V396" s="16" t="s">
        <v>114</v>
      </c>
      <c r="W396" s="16">
        <f>AI396/AG396</f>
        <v>0.73255813953488369</v>
      </c>
      <c r="X396" s="16" t="s">
        <v>121</v>
      </c>
      <c r="Y396" s="16" t="s">
        <v>122</v>
      </c>
      <c r="Z396" s="16">
        <v>2.2999999999999998</v>
      </c>
      <c r="AA396" s="16" t="s">
        <v>119</v>
      </c>
      <c r="AB396" s="16" t="s">
        <v>123</v>
      </c>
      <c r="AC396" s="16" t="s">
        <v>123</v>
      </c>
      <c r="AD396" s="16" t="s">
        <v>123</v>
      </c>
      <c r="AE396" s="16"/>
      <c r="AF396" s="16"/>
      <c r="AG396" s="16">
        <f>AH396-AI396</f>
        <v>86</v>
      </c>
      <c r="AH396" s="16">
        <v>149</v>
      </c>
      <c r="AI396" s="16">
        <v>63</v>
      </c>
      <c r="AJ396" s="16"/>
      <c r="AK396" s="16">
        <v>16.5</v>
      </c>
      <c r="AL396" s="16">
        <v>0</v>
      </c>
      <c r="AM396" s="16">
        <v>0</v>
      </c>
      <c r="AN396" s="16">
        <v>0</v>
      </c>
      <c r="AO396" s="16">
        <v>0</v>
      </c>
      <c r="AP396" s="16">
        <f>SUM(AL396:AN396)</f>
        <v>0</v>
      </c>
      <c r="AQ396" s="16">
        <v>2.101</v>
      </c>
      <c r="AR396" s="16">
        <f>AP396-1.472</f>
        <v>-1.472</v>
      </c>
      <c r="AS396" s="16">
        <f>AQ396-1.472</f>
        <v>0.629</v>
      </c>
      <c r="AT396" s="16" t="str">
        <f>VLOOKUP(E396,[2]Current!$A$1:$W$435,7,FALSE)</f>
        <v>JB</v>
      </c>
      <c r="AU396" s="16" t="s">
        <v>1288</v>
      </c>
      <c r="AV396" s="23"/>
      <c r="AW396" s="128">
        <f>IF(AX396&gt;0,1,0)</f>
        <v>1</v>
      </c>
      <c r="AX396" s="128">
        <f>SUM(BA396,BM396,CU396)</f>
        <v>2</v>
      </c>
      <c r="AY396" s="128">
        <f>SUM(BB396,BN396,CV396)</f>
        <v>108.1081081081081</v>
      </c>
      <c r="AZ396" s="128">
        <f>IF(BA396&gt;0,1,0)</f>
        <v>1</v>
      </c>
      <c r="BA396" s="128">
        <f>SUM(BC396+BF396+BI396)</f>
        <v>2</v>
      </c>
      <c r="BB396" s="128">
        <f>SUM(BE396,BH396,BK396)</f>
        <v>108.1081081081081</v>
      </c>
      <c r="BC396" s="130">
        <f>IF(BD396&gt;0,1,0)</f>
        <v>0</v>
      </c>
      <c r="BD396" s="128">
        <f>VLOOKUP($E396,[2]Current!$A:$AC,26,FALSE)</f>
        <v>0</v>
      </c>
      <c r="BE396" s="128">
        <f>BD396/$AS396</f>
        <v>0</v>
      </c>
      <c r="BF396" s="130">
        <f>IF(BG396&gt;0,1,0)</f>
        <v>1</v>
      </c>
      <c r="BG396" s="175">
        <f>VLOOKUP($E396,[2]Current!$A:$AC,27,FALSE)</f>
        <v>28</v>
      </c>
      <c r="BH396" s="128">
        <f>BG396/$AS396</f>
        <v>44.515103338632748</v>
      </c>
      <c r="BI396" s="130">
        <f>IF(BJ396&gt;0,1,0)</f>
        <v>1</v>
      </c>
      <c r="BJ396" s="128">
        <f>VLOOKUP($E396,[2]Current!$A:$AC,28,FALSE)</f>
        <v>40</v>
      </c>
      <c r="BK396" s="128">
        <f>BJ396/$AS396</f>
        <v>63.593004769475357</v>
      </c>
      <c r="BL396" s="128">
        <f>IF(BM396&gt;0,1,0)</f>
        <v>0</v>
      </c>
      <c r="BM396" s="128">
        <f>SUM(BR396,BU396,BX396,CA396,CD396)</f>
        <v>0</v>
      </c>
      <c r="BN396" s="131">
        <f>SUM(BT396,BW396,BZ396,CC396,CF396)</f>
        <v>0</v>
      </c>
      <c r="BO396" s="128">
        <f>IF(BP396&gt;0,1,0)</f>
        <v>1</v>
      </c>
      <c r="BP396" s="128">
        <f>BM396+CJ396</f>
        <v>1</v>
      </c>
      <c r="BQ396" s="128">
        <f>BN396+CL396</f>
        <v>1.589825119236884</v>
      </c>
      <c r="BR396" s="130">
        <f>IF(BS396&gt;0,1,0)</f>
        <v>0</v>
      </c>
      <c r="BS396" s="128">
        <f>VLOOKUP($E396,[2]Current!$A:$AC,12,FALSE)</f>
        <v>0</v>
      </c>
      <c r="BT396" s="175">
        <f>BS396/$AS396</f>
        <v>0</v>
      </c>
      <c r="BU396" s="130">
        <f>IF(BV396&gt;0,1,0)</f>
        <v>0</v>
      </c>
      <c r="BV396" s="128">
        <f>VLOOKUP($E396,[2]Current!$A:$AC,13,FALSE)</f>
        <v>0</v>
      </c>
      <c r="BW396" s="128">
        <f>BV396/$AS396</f>
        <v>0</v>
      </c>
      <c r="BX396" s="130">
        <f>IF(BY396&gt;0,1,0)</f>
        <v>0</v>
      </c>
      <c r="BY396" s="128">
        <f>VLOOKUP($E396,[2]Current!$A:$AC,14,FALSE)</f>
        <v>0</v>
      </c>
      <c r="BZ396" s="128">
        <f>BY396/$AS396</f>
        <v>0</v>
      </c>
      <c r="CA396" s="130">
        <f>IF(CB396&gt;0,1,0)</f>
        <v>0</v>
      </c>
      <c r="CB396" s="128">
        <f>VLOOKUP($E396,[2]Current!$A:$AC,15,FALSE)</f>
        <v>0</v>
      </c>
      <c r="CC396" s="128">
        <f>CB396/$AS396</f>
        <v>0</v>
      </c>
      <c r="CD396" s="176">
        <f>IF(CE396&gt;0,1,0)</f>
        <v>0</v>
      </c>
      <c r="CE396" s="128">
        <f>VLOOKUP($E396,[2]Current!$A:$AC,16,FALSE)</f>
        <v>0</v>
      </c>
      <c r="CF396" s="128">
        <f>CE396/$AS396</f>
        <v>0</v>
      </c>
      <c r="CJ396" s="130">
        <f>IF(CK396&gt;0,1,0)</f>
        <v>1</v>
      </c>
      <c r="CK396" s="128">
        <f>VLOOKUP($E396,[2]Current!$A:$AC,18,FALSE)</f>
        <v>1</v>
      </c>
      <c r="CL396" s="128">
        <f>CK396/$AS396</f>
        <v>1.589825119236884</v>
      </c>
      <c r="CM396" s="16"/>
      <c r="CN396" s="16"/>
      <c r="CO396" s="16"/>
      <c r="CP396" s="16"/>
      <c r="CQ396" s="16"/>
      <c r="CR396" s="16"/>
      <c r="CS396" s="130">
        <f>IF(CU396&gt;0,1,0)</f>
        <v>0</v>
      </c>
      <c r="CT396" s="16"/>
      <c r="CU396" s="128">
        <f>VLOOKUP($E396,[2]Current!$A:$AC,17,FALSE)</f>
        <v>0</v>
      </c>
      <c r="CV396" s="128">
        <f>CU396/$AS396</f>
        <v>0</v>
      </c>
      <c r="CZ396" s="16"/>
      <c r="DA396" s="16"/>
      <c r="DB396" s="16"/>
      <c r="DC396" s="16"/>
      <c r="DD396" s="16"/>
      <c r="DE396" s="16"/>
      <c r="DF396" s="16" t="e">
        <f>VLOOKUP(K396,'[3]RNA Seq summary tables'!$V$3:$V$99,1,FALSE)</f>
        <v>#N/A</v>
      </c>
      <c r="DG396" s="16"/>
      <c r="DH396" s="16"/>
      <c r="DI396" s="16"/>
      <c r="DJ396" s="16"/>
      <c r="DK396" s="16"/>
      <c r="DL396" s="16"/>
      <c r="DM396" s="16"/>
      <c r="DN396" s="16"/>
      <c r="DO396" s="16"/>
      <c r="DP396" s="16"/>
      <c r="DQ396" s="16"/>
      <c r="DR396" s="16"/>
      <c r="DS396" s="16"/>
      <c r="JO396" s="16"/>
      <c r="JP396" s="16"/>
      <c r="JQ396" s="16"/>
      <c r="JR396" s="26"/>
      <c r="JS396" s="26"/>
      <c r="JT396" s="26"/>
      <c r="JU396" s="26"/>
      <c r="JV396" s="26"/>
      <c r="JW396" s="26"/>
      <c r="JX396" s="26"/>
      <c r="JY396" s="26"/>
      <c r="JZ396" s="26"/>
      <c r="KA396" s="26"/>
      <c r="KB396" s="26"/>
    </row>
    <row r="397" spans="1:288" s="18" customFormat="1" x14ac:dyDescent="0.2">
      <c r="B397" s="16">
        <v>2017</v>
      </c>
      <c r="C397" s="20">
        <v>42948</v>
      </c>
      <c r="D397" s="20" t="str">
        <f>CONCATENATE(J397,"-",C397)</f>
        <v>1244-42948</v>
      </c>
      <c r="E397" s="142" t="str">
        <f>CONCATENATE(T397,"-",U397,"-",C397)</f>
        <v>HW2-G2-42948</v>
      </c>
      <c r="F397" s="20" t="s">
        <v>106</v>
      </c>
      <c r="G397" s="20" t="s">
        <v>107</v>
      </c>
      <c r="H397" s="16"/>
      <c r="I397" s="16"/>
      <c r="J397" s="21">
        <v>1244</v>
      </c>
      <c r="K397" s="21">
        <v>2038</v>
      </c>
      <c r="L397" s="18">
        <v>0</v>
      </c>
      <c r="M397" s="21">
        <f>VLOOKUP($K397,'[4]blood tubes 2017'!$D$1:$L$647,8,FALSE)</f>
        <v>0</v>
      </c>
      <c r="N397" s="15">
        <v>0</v>
      </c>
      <c r="O397" s="15" t="s">
        <v>119</v>
      </c>
      <c r="P397" s="16" t="s">
        <v>119</v>
      </c>
      <c r="Q397" s="16">
        <v>0</v>
      </c>
      <c r="R397" s="16">
        <v>18</v>
      </c>
      <c r="S397" s="16"/>
      <c r="T397" s="16" t="s">
        <v>129</v>
      </c>
      <c r="U397" s="16" t="s">
        <v>128</v>
      </c>
      <c r="V397" s="16" t="s">
        <v>114</v>
      </c>
      <c r="W397" s="16">
        <f>AI397/AG397</f>
        <v>0.83333333333333337</v>
      </c>
      <c r="X397" s="16" t="s">
        <v>121</v>
      </c>
      <c r="Y397" s="16" t="s">
        <v>110</v>
      </c>
      <c r="Z397" s="16">
        <v>3</v>
      </c>
      <c r="AA397" s="16" t="s">
        <v>119</v>
      </c>
      <c r="AB397" s="16" t="s">
        <v>123</v>
      </c>
      <c r="AC397" s="16" t="s">
        <v>123</v>
      </c>
      <c r="AD397" s="16" t="s">
        <v>123</v>
      </c>
      <c r="AE397" s="16"/>
      <c r="AF397" s="16"/>
      <c r="AG397" s="16">
        <f>AH397-AI397</f>
        <v>78</v>
      </c>
      <c r="AH397" s="16">
        <v>143</v>
      </c>
      <c r="AI397" s="16">
        <v>65</v>
      </c>
      <c r="AJ397" s="16"/>
      <c r="AK397" s="16">
        <v>21.5</v>
      </c>
      <c r="AL397" s="16">
        <v>0</v>
      </c>
      <c r="AM397" s="16">
        <v>0</v>
      </c>
      <c r="AN397" s="16">
        <v>1</v>
      </c>
      <c r="AO397" s="16">
        <v>1</v>
      </c>
      <c r="AP397" s="16">
        <f>SUM(AL397:AN397)</f>
        <v>1</v>
      </c>
      <c r="AQ397" s="16">
        <v>2.008</v>
      </c>
      <c r="AR397" s="16">
        <f>AP397-1.472</f>
        <v>-0.47199999999999998</v>
      </c>
      <c r="AS397" s="16">
        <f>AQ397-1.472</f>
        <v>0.53600000000000003</v>
      </c>
      <c r="AT397" s="16" t="e">
        <f>VLOOKUP(E397,[2]Current!$A$1:$W$435,7,FALSE)</f>
        <v>#N/A</v>
      </c>
      <c r="AU397" s="16">
        <v>0</v>
      </c>
      <c r="AV397" s="16"/>
      <c r="BE397" s="16"/>
      <c r="BF397" s="16"/>
      <c r="BG397" s="23"/>
      <c r="BH397" s="16"/>
      <c r="BI397" s="16"/>
      <c r="BJ397" s="16"/>
      <c r="BK397" s="16"/>
      <c r="BL397" s="16"/>
      <c r="BM397" s="16"/>
      <c r="BN397" s="16"/>
      <c r="BO397" s="16"/>
      <c r="BP397" s="16"/>
      <c r="BQ397" s="16"/>
      <c r="BR397" s="16"/>
      <c r="BS397" s="16"/>
      <c r="BT397" s="23"/>
      <c r="BU397" s="16"/>
      <c r="BV397" s="16"/>
      <c r="BW397" s="16"/>
      <c r="BX397" s="16"/>
      <c r="BY397" s="16"/>
      <c r="BZ397" s="16"/>
      <c r="CA397" s="16"/>
      <c r="CB397" s="16"/>
      <c r="CC397" s="16"/>
      <c r="CD397" s="23"/>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c r="DA397" s="16"/>
      <c r="DB397" s="16"/>
      <c r="DC397" s="16"/>
      <c r="DD397" s="16"/>
      <c r="DE397" s="16"/>
      <c r="DF397" s="16" t="e">
        <f>VLOOKUP(K397,'[3]RNA Seq summary tables'!$V$3:$V$99,1,FALSE)</f>
        <v>#N/A</v>
      </c>
      <c r="DG397" s="16"/>
      <c r="DH397" s="16"/>
      <c r="DI397" s="16"/>
      <c r="DJ397" s="16"/>
      <c r="DK397" s="16"/>
      <c r="DL397" s="16"/>
      <c r="DM397" s="16"/>
      <c r="DN397" s="16"/>
      <c r="DO397" s="16"/>
      <c r="DP397" s="16"/>
      <c r="DQ397" s="16"/>
      <c r="DR397" s="16"/>
      <c r="DS397" s="16"/>
      <c r="JO397" s="16"/>
      <c r="JP397" s="16"/>
      <c r="JQ397" s="16"/>
      <c r="JR397" s="16"/>
      <c r="JS397" s="16"/>
      <c r="JT397" s="16"/>
      <c r="JU397" s="16"/>
      <c r="JV397" s="16"/>
      <c r="JW397" s="16"/>
      <c r="JX397" s="16"/>
      <c r="JY397" s="16"/>
      <c r="JZ397" s="16"/>
      <c r="KA397" s="16"/>
      <c r="KB397" s="16"/>
    </row>
    <row r="398" spans="1:288" ht="16" x14ac:dyDescent="0.2">
      <c r="B398" s="16">
        <v>2017</v>
      </c>
      <c r="C398" s="20">
        <v>42966</v>
      </c>
      <c r="D398" s="20" t="str">
        <f>CONCATENATE(J398,"-",C398)</f>
        <v>1244-42966</v>
      </c>
      <c r="E398" s="37" t="str">
        <f>CONCATENATE(T398,"-",U398,"-",C398)</f>
        <v>HW2-E1-42966</v>
      </c>
      <c r="F398" s="20" t="s">
        <v>106</v>
      </c>
      <c r="G398" s="20" t="s">
        <v>107</v>
      </c>
      <c r="I398" s="16">
        <v>0</v>
      </c>
      <c r="J398" s="21">
        <v>1244</v>
      </c>
      <c r="K398" s="21">
        <v>2195</v>
      </c>
      <c r="L398" s="18">
        <v>0</v>
      </c>
      <c r="M398" s="21">
        <f>VLOOKUP($K398,'[4]blood tubes 2017'!$D$1:$L$647,8,FALSE)</f>
        <v>0</v>
      </c>
      <c r="N398" s="15">
        <v>0</v>
      </c>
      <c r="O398" s="15" t="s">
        <v>119</v>
      </c>
      <c r="P398" s="16" t="s">
        <v>119</v>
      </c>
      <c r="Q398" s="16">
        <v>0</v>
      </c>
      <c r="R398" s="16">
        <v>18</v>
      </c>
      <c r="T398" s="16" t="s">
        <v>129</v>
      </c>
      <c r="U398" s="16" t="s">
        <v>222</v>
      </c>
      <c r="V398" s="16" t="s">
        <v>114</v>
      </c>
      <c r="W398" s="16">
        <f>AI398/AG398</f>
        <v>0.73404255319148937</v>
      </c>
      <c r="X398" s="16" t="s">
        <v>121</v>
      </c>
      <c r="Y398" s="16" t="s">
        <v>110</v>
      </c>
      <c r="Z398" s="16">
        <v>3</v>
      </c>
      <c r="AA398" s="16" t="s">
        <v>161</v>
      </c>
      <c r="AB398" s="16" t="s">
        <v>123</v>
      </c>
      <c r="AC398" s="16" t="s">
        <v>123</v>
      </c>
      <c r="AD398" s="16" t="s">
        <v>116</v>
      </c>
      <c r="AG398" s="16">
        <f>AH398-AI398</f>
        <v>94</v>
      </c>
      <c r="AH398" s="16">
        <v>163</v>
      </c>
      <c r="AI398" s="16">
        <v>69</v>
      </c>
      <c r="AK398" s="16">
        <v>22.5</v>
      </c>
      <c r="AL398" s="16">
        <v>0</v>
      </c>
      <c r="AM398" s="16">
        <v>0</v>
      </c>
      <c r="AN398" s="16">
        <v>0</v>
      </c>
      <c r="AO398" s="16">
        <v>0</v>
      </c>
      <c r="AP398" s="16">
        <f>SUM(AL398:AN398)</f>
        <v>0</v>
      </c>
      <c r="AQ398" s="16">
        <v>1.9119999999999999</v>
      </c>
      <c r="AR398" s="16">
        <f>AP398-1.472</f>
        <v>-1.472</v>
      </c>
      <c r="AS398" s="16">
        <f>AQ398-1.472</f>
        <v>0.43999999999999995</v>
      </c>
      <c r="AT398" s="16" t="str">
        <f>VLOOKUP(E398,[2]Current!$A$1:$W$435,7,FALSE)</f>
        <v>TE</v>
      </c>
      <c r="AU398" s="16" t="s">
        <v>1288</v>
      </c>
      <c r="AW398" s="128">
        <f>IF(AX398&gt;0,1,0)</f>
        <v>1</v>
      </c>
      <c r="AX398" s="128">
        <f>SUM(BA398,BM398,CU398)</f>
        <v>4</v>
      </c>
      <c r="AY398" s="128">
        <f>SUM(BB398,BN398,CV398)</f>
        <v>413.63636363636368</v>
      </c>
      <c r="AZ398" s="128">
        <f>IF(BA398&gt;0,1,0)</f>
        <v>1</v>
      </c>
      <c r="BA398" s="128">
        <f>SUM(BC398+BF398+BI398)</f>
        <v>2</v>
      </c>
      <c r="BB398" s="128">
        <f>SUM(BE398,BH398,BK398)</f>
        <v>40.909090909090914</v>
      </c>
      <c r="BC398" s="130">
        <f>IF(BD398&gt;0,1,0)</f>
        <v>0</v>
      </c>
      <c r="BD398" s="128">
        <f>VLOOKUP($E398,[2]Current!$A:$AC,26,FALSE)</f>
        <v>0</v>
      </c>
      <c r="BE398" s="128">
        <f>BD398/$AS398</f>
        <v>0</v>
      </c>
      <c r="BF398" s="130">
        <f>IF(BG398&gt;0,1,0)</f>
        <v>1</v>
      </c>
      <c r="BG398" s="175">
        <f>VLOOKUP($E398,[2]Current!$A:$AC,27,FALSE)</f>
        <v>4</v>
      </c>
      <c r="BH398" s="128">
        <f>BG398/$AS398</f>
        <v>9.0909090909090917</v>
      </c>
      <c r="BI398" s="130">
        <f>IF(BJ398&gt;0,1,0)</f>
        <v>1</v>
      </c>
      <c r="BJ398" s="128">
        <f>VLOOKUP($E398,[2]Current!$A:$AC,28,FALSE)</f>
        <v>14</v>
      </c>
      <c r="BK398" s="128">
        <f>BJ398/$AS398</f>
        <v>31.818181818181824</v>
      </c>
      <c r="BL398" s="128">
        <f>IF(BM398&gt;0,1,0)</f>
        <v>1</v>
      </c>
      <c r="BM398" s="128">
        <f>SUM(BR398,BU398,BX398,CA398,CD398)</f>
        <v>2</v>
      </c>
      <c r="BN398" s="131">
        <f>SUM(BT398,BW398,BZ398,CC398,CF398)</f>
        <v>372.72727272727275</v>
      </c>
      <c r="BO398" s="128">
        <f>IF(BP398&gt;0,1,0)</f>
        <v>1</v>
      </c>
      <c r="BP398" s="128">
        <f>BM398+CJ398</f>
        <v>3</v>
      </c>
      <c r="BQ398" s="128">
        <f>BN398+CL398</f>
        <v>404.54545454545456</v>
      </c>
      <c r="BR398" s="130">
        <f>IF(BS398&gt;0,1,0)</f>
        <v>0</v>
      </c>
      <c r="BS398" s="128">
        <f>VLOOKUP($E398,[2]Current!$A:$AC,12,FALSE)</f>
        <v>0</v>
      </c>
      <c r="BT398" s="175">
        <f>BS398/$AS398</f>
        <v>0</v>
      </c>
      <c r="BU398" s="130">
        <f>IF(BV398&gt;0,1,0)</f>
        <v>0</v>
      </c>
      <c r="BV398" s="128">
        <f>VLOOKUP($E398,[2]Current!$A:$AC,13,FALSE)</f>
        <v>0</v>
      </c>
      <c r="BW398" s="128">
        <f>BV398/$AS398</f>
        <v>0</v>
      </c>
      <c r="BX398" s="130">
        <f>IF(BY398&gt;0,1,0)</f>
        <v>1</v>
      </c>
      <c r="BY398" s="128">
        <f>VLOOKUP($E398,[2]Current!$A:$AC,14,FALSE)</f>
        <v>161</v>
      </c>
      <c r="BZ398" s="128">
        <f>BY398/$AS398</f>
        <v>365.90909090909093</v>
      </c>
      <c r="CA398" s="130">
        <f>IF(CB398&gt;0,1,0)</f>
        <v>0</v>
      </c>
      <c r="CB398" s="128">
        <f>VLOOKUP($E398,[2]Current!$A:$AC,15,FALSE)</f>
        <v>0</v>
      </c>
      <c r="CC398" s="128">
        <f>CB398/$AS398</f>
        <v>0</v>
      </c>
      <c r="CD398" s="176">
        <f>IF(CE398&gt;0,1,0)</f>
        <v>1</v>
      </c>
      <c r="CE398" s="128">
        <f>VLOOKUP($E398,[2]Current!$A:$AC,16,FALSE)</f>
        <v>3</v>
      </c>
      <c r="CF398" s="128">
        <f>CE398/$AS398</f>
        <v>6.8181818181818192</v>
      </c>
      <c r="CG398" s="18"/>
      <c r="CH398" s="18"/>
      <c r="CI398" s="18"/>
      <c r="CJ398" s="130">
        <f>IF(CK398&gt;0,1,0)</f>
        <v>1</v>
      </c>
      <c r="CK398" s="128">
        <f>VLOOKUP($E398,[2]Current!$A:$AC,18,FALSE)</f>
        <v>14</v>
      </c>
      <c r="CL398" s="128">
        <f>CK398/$AS398</f>
        <v>31.818181818181824</v>
      </c>
      <c r="CS398" s="130">
        <f>IF(CU398&gt;0,1,0)</f>
        <v>0</v>
      </c>
      <c r="CU398" s="128">
        <f>VLOOKUP($E398,[2]Current!$A:$AC,17,FALSE)</f>
        <v>0</v>
      </c>
      <c r="CV398" s="128">
        <f>CU398/$AS398</f>
        <v>0</v>
      </c>
      <c r="CW398" s="18"/>
      <c r="CX398" s="18"/>
      <c r="CY398" s="18"/>
      <c r="DF398" s="16" t="e">
        <f>VLOOKUP(K398,'[3]RNA Seq summary tables'!$V$3:$V$99,1,FALSE)</f>
        <v>#N/A</v>
      </c>
    </row>
    <row r="399" spans="1:288" s="18" customFormat="1" ht="16" x14ac:dyDescent="0.2">
      <c r="B399" s="16">
        <v>2017</v>
      </c>
      <c r="C399" s="20">
        <v>42930</v>
      </c>
      <c r="D399" s="20" t="str">
        <f>CONCATENATE(J399,"-",C399)</f>
        <v>1246-42930</v>
      </c>
      <c r="E399" s="37" t="str">
        <f>CONCATENATE(T399,"-",U399,"-",C399)</f>
        <v>HW1-G7-42930</v>
      </c>
      <c r="F399" s="20" t="s">
        <v>106</v>
      </c>
      <c r="G399" s="20" t="s">
        <v>107</v>
      </c>
      <c r="H399" s="16"/>
      <c r="I399" s="16">
        <v>0</v>
      </c>
      <c r="J399" s="21">
        <v>1246</v>
      </c>
      <c r="K399" s="21">
        <v>1912</v>
      </c>
      <c r="L399" s="18">
        <v>0</v>
      </c>
      <c r="M399" s="21">
        <f>VLOOKUP($K399,'[4]blood tubes 2017'!$D$1:$L$647,8,FALSE)</f>
        <v>0</v>
      </c>
      <c r="N399" s="15">
        <v>0</v>
      </c>
      <c r="O399" s="15" t="s">
        <v>119</v>
      </c>
      <c r="P399" s="16" t="s">
        <v>119</v>
      </c>
      <c r="Q399" s="16">
        <v>0</v>
      </c>
      <c r="R399" s="16" t="s">
        <v>111</v>
      </c>
      <c r="S399" s="16"/>
      <c r="T399" s="16" t="s">
        <v>133</v>
      </c>
      <c r="U399" s="16" t="s">
        <v>156</v>
      </c>
      <c r="V399" s="16" t="s">
        <v>114</v>
      </c>
      <c r="W399" s="16">
        <f>AI399/AG399</f>
        <v>0.8904109589041096</v>
      </c>
      <c r="X399" s="16" t="s">
        <v>121</v>
      </c>
      <c r="Y399" s="16" t="s">
        <v>122</v>
      </c>
      <c r="Z399" s="16">
        <v>2.2999999999999998</v>
      </c>
      <c r="AA399" s="16" t="s">
        <v>119</v>
      </c>
      <c r="AB399" s="16" t="s">
        <v>123</v>
      </c>
      <c r="AC399" s="16" t="s">
        <v>123</v>
      </c>
      <c r="AD399" s="16" t="s">
        <v>123</v>
      </c>
      <c r="AE399" s="16"/>
      <c r="AF399" s="16"/>
      <c r="AG399" s="16">
        <f>AH399-AI399</f>
        <v>73</v>
      </c>
      <c r="AH399" s="16">
        <v>138</v>
      </c>
      <c r="AI399" s="16">
        <v>65</v>
      </c>
      <c r="AJ399" s="16"/>
      <c r="AK399" s="16">
        <v>12.5</v>
      </c>
      <c r="AL399" s="16">
        <v>0</v>
      </c>
      <c r="AM399" s="16">
        <v>0</v>
      </c>
      <c r="AN399" s="16">
        <v>0</v>
      </c>
      <c r="AO399" s="16">
        <v>0</v>
      </c>
      <c r="AP399" s="16">
        <f>SUM(AL399:AN399)</f>
        <v>0</v>
      </c>
      <c r="AQ399" s="16">
        <v>1.847</v>
      </c>
      <c r="AR399" s="16">
        <f>AP399-1.472</f>
        <v>-1.472</v>
      </c>
      <c r="AS399" s="16">
        <f>AQ399-1.472</f>
        <v>0.375</v>
      </c>
      <c r="AT399" s="16" t="str">
        <f>VLOOKUP(E399,[2]Current!$A$1:$W$435,7,FALSE)</f>
        <v>JY</v>
      </c>
      <c r="AU399" s="16" t="s">
        <v>1288</v>
      </c>
      <c r="AV399" s="16"/>
      <c r="AW399" s="128">
        <f>IF(AX399&gt;0,1,0)</f>
        <v>1</v>
      </c>
      <c r="AX399" s="128">
        <f>SUM(BA399,BM399,CU399)</f>
        <v>1</v>
      </c>
      <c r="AY399" s="128">
        <f>SUM(BB399,BN399,CV399)</f>
        <v>3360</v>
      </c>
      <c r="AZ399" s="128">
        <f>IF(BA399&gt;0,1,0)</f>
        <v>1</v>
      </c>
      <c r="BA399" s="128">
        <f>SUM(BC399+BF399+BI399)</f>
        <v>1</v>
      </c>
      <c r="BB399" s="128">
        <f>SUM(BE399,BH399,BK399)</f>
        <v>3360</v>
      </c>
      <c r="BC399" s="130">
        <f>IF(BD399&gt;0,1,0)</f>
        <v>0</v>
      </c>
      <c r="BD399" s="128">
        <f>VLOOKUP($E399,[2]Current!$A:$AC,26,FALSE)</f>
        <v>0</v>
      </c>
      <c r="BE399" s="128">
        <f>BD399/$AS399</f>
        <v>0</v>
      </c>
      <c r="BF399" s="130">
        <f>IF(BG399&gt;0,1,0)</f>
        <v>1</v>
      </c>
      <c r="BG399" s="175">
        <f>VLOOKUP($E399,[2]Current!$A:$AC,27,FALSE)</f>
        <v>1260</v>
      </c>
      <c r="BH399" s="128">
        <f>BG399/$AS399</f>
        <v>3360</v>
      </c>
      <c r="BI399" s="130">
        <f>IF(BJ399&gt;0,1,0)</f>
        <v>0</v>
      </c>
      <c r="BJ399" s="128">
        <f>VLOOKUP($E399,[2]Current!$A:$AC,28,FALSE)</f>
        <v>0</v>
      </c>
      <c r="BK399" s="128">
        <f>BJ399/$AS399</f>
        <v>0</v>
      </c>
      <c r="BL399" s="128">
        <f>IF(BM399&gt;0,1,0)</f>
        <v>0</v>
      </c>
      <c r="BM399" s="128">
        <f>SUM(BR399,BU399,BX399,CA399,CD399)</f>
        <v>0</v>
      </c>
      <c r="BN399" s="131">
        <f>SUM(BT399,BW399,BZ399,CC399,CF399)</f>
        <v>0</v>
      </c>
      <c r="BO399" s="128">
        <f>IF(BP399&gt;0,1,0)</f>
        <v>0</v>
      </c>
      <c r="BP399" s="128">
        <f>BM399+CJ399</f>
        <v>0</v>
      </c>
      <c r="BQ399" s="128">
        <f>BN399+CL399</f>
        <v>0</v>
      </c>
      <c r="BR399" s="130">
        <f>IF(BS399&gt;0,1,0)</f>
        <v>0</v>
      </c>
      <c r="BS399" s="128">
        <f>VLOOKUP($E399,[2]Current!$A:$AC,12,FALSE)</f>
        <v>0</v>
      </c>
      <c r="BT399" s="175">
        <f>BS399/$AS399</f>
        <v>0</v>
      </c>
      <c r="BU399" s="130">
        <f>IF(BV399&gt;0,1,0)</f>
        <v>0</v>
      </c>
      <c r="BV399" s="128">
        <f>VLOOKUP($E399,[2]Current!$A:$AC,13,FALSE)</f>
        <v>0</v>
      </c>
      <c r="BW399" s="128">
        <f>BV399/$AS399</f>
        <v>0</v>
      </c>
      <c r="BX399" s="130">
        <f>IF(BY399&gt;0,1,0)</f>
        <v>0</v>
      </c>
      <c r="BY399" s="128">
        <f>VLOOKUP($E399,[2]Current!$A:$AC,14,FALSE)</f>
        <v>0</v>
      </c>
      <c r="BZ399" s="128">
        <f>BY399/$AS399</f>
        <v>0</v>
      </c>
      <c r="CA399" s="130">
        <f>IF(CB399&gt;0,1,0)</f>
        <v>0</v>
      </c>
      <c r="CB399" s="128">
        <f>VLOOKUP($E399,[2]Current!$A:$AC,15,FALSE)</f>
        <v>0</v>
      </c>
      <c r="CC399" s="128">
        <f>CB399/$AS399</f>
        <v>0</v>
      </c>
      <c r="CD399" s="176">
        <f>IF(CE399&gt;0,1,0)</f>
        <v>0</v>
      </c>
      <c r="CE399" s="128">
        <f>VLOOKUP($E399,[2]Current!$A:$AC,16,FALSE)</f>
        <v>0</v>
      </c>
      <c r="CF399" s="128">
        <f>CE399/$AS399</f>
        <v>0</v>
      </c>
      <c r="CJ399" s="130">
        <f>IF(CK399&gt;0,1,0)</f>
        <v>0</v>
      </c>
      <c r="CK399" s="128">
        <f>VLOOKUP($E399,[2]Current!$A:$AC,18,FALSE)</f>
        <v>0</v>
      </c>
      <c r="CL399" s="128">
        <f>CK399/$AS399</f>
        <v>0</v>
      </c>
      <c r="CM399" s="16"/>
      <c r="CN399" s="16"/>
      <c r="CO399" s="16"/>
      <c r="CP399" s="16"/>
      <c r="CQ399" s="16"/>
      <c r="CR399" s="16"/>
      <c r="CS399" s="130">
        <f>IF(CU399&gt;0,1,0)</f>
        <v>0</v>
      </c>
      <c r="CT399" s="16"/>
      <c r="CU399" s="128">
        <f>VLOOKUP($E399,[2]Current!$A:$AC,17,FALSE)</f>
        <v>0</v>
      </c>
      <c r="CV399" s="128">
        <f>CU399/$AS399</f>
        <v>0</v>
      </c>
      <c r="CZ399" s="16"/>
      <c r="DA399" s="16"/>
      <c r="DB399" s="16"/>
      <c r="DC399" s="16"/>
      <c r="DD399" s="16"/>
      <c r="DE399" s="16"/>
      <c r="DF399" s="16" t="e">
        <f>VLOOKUP(K399,'[3]RNA Seq summary tables'!$V$3:$V$99,1,FALSE)</f>
        <v>#N/A</v>
      </c>
      <c r="DG399" s="16"/>
      <c r="DH399" s="16"/>
      <c r="DI399" s="16"/>
      <c r="DJ399" s="16"/>
      <c r="DK399" s="16"/>
      <c r="DL399" s="16"/>
      <c r="DM399" s="16"/>
      <c r="DN399" s="16"/>
      <c r="DO399" s="16"/>
      <c r="DP399" s="16"/>
      <c r="DQ399" s="16"/>
      <c r="DR399" s="16"/>
      <c r="DS399" s="16"/>
      <c r="JO399" s="16"/>
      <c r="JP399" s="16"/>
      <c r="JQ399" s="16"/>
      <c r="JR399" s="26"/>
      <c r="JS399" s="26"/>
      <c r="JT399" s="26"/>
      <c r="JU399" s="26"/>
      <c r="JV399" s="26"/>
      <c r="JW399" s="26"/>
      <c r="JX399" s="26"/>
      <c r="JY399" s="26"/>
      <c r="JZ399" s="26"/>
      <c r="KA399" s="26"/>
      <c r="KB399" s="26"/>
    </row>
    <row r="400" spans="1:288" x14ac:dyDescent="0.2">
      <c r="B400" s="16">
        <v>2017</v>
      </c>
      <c r="C400" s="20">
        <v>42948</v>
      </c>
      <c r="D400" s="20" t="str">
        <f>CONCATENATE(J400,"-",C400)</f>
        <v>1246-42948</v>
      </c>
      <c r="E400" s="142" t="str">
        <f>CONCATENATE(T400,"-",U400,"-",C400)</f>
        <v>HW1-G7-42948</v>
      </c>
      <c r="F400" s="20" t="s">
        <v>106</v>
      </c>
      <c r="G400" s="20" t="s">
        <v>107</v>
      </c>
      <c r="J400" s="21">
        <v>1246</v>
      </c>
      <c r="K400" s="21">
        <v>2056</v>
      </c>
      <c r="L400" s="18">
        <v>0</v>
      </c>
      <c r="M400" s="21">
        <f>VLOOKUP($K400,'[4]blood tubes 2017'!$D$1:$L$647,8,FALSE)</f>
        <v>0</v>
      </c>
      <c r="N400" s="15">
        <v>0</v>
      </c>
      <c r="O400" s="15" t="s">
        <v>119</v>
      </c>
      <c r="P400" s="16" t="s">
        <v>119</v>
      </c>
      <c r="Q400" s="16">
        <v>0</v>
      </c>
      <c r="R400" s="16">
        <v>18</v>
      </c>
      <c r="T400" s="16" t="s">
        <v>133</v>
      </c>
      <c r="U400" s="16" t="s">
        <v>156</v>
      </c>
      <c r="V400" s="16" t="s">
        <v>114</v>
      </c>
      <c r="W400" s="16">
        <f>AI400/AG400</f>
        <v>0.81927710843373491</v>
      </c>
      <c r="X400" s="16" t="s">
        <v>121</v>
      </c>
      <c r="Y400" s="16" t="s">
        <v>122</v>
      </c>
      <c r="Z400" s="16">
        <v>2.9</v>
      </c>
      <c r="AA400" s="16" t="s">
        <v>119</v>
      </c>
      <c r="AB400" s="16" t="s">
        <v>123</v>
      </c>
      <c r="AC400" s="16" t="s">
        <v>123</v>
      </c>
      <c r="AD400" s="16" t="s">
        <v>123</v>
      </c>
      <c r="AG400" s="16">
        <f>AH400-AI400</f>
        <v>83</v>
      </c>
      <c r="AH400" s="16">
        <v>151</v>
      </c>
      <c r="AI400" s="16">
        <v>68</v>
      </c>
      <c r="AK400" s="16">
        <v>15.5</v>
      </c>
      <c r="AL400" s="16">
        <v>0</v>
      </c>
      <c r="AM400" s="16">
        <v>0</v>
      </c>
      <c r="AN400" s="16">
        <v>0</v>
      </c>
      <c r="AO400" s="16">
        <v>0</v>
      </c>
      <c r="AP400" s="16">
        <f>SUM(AL400:AN400)</f>
        <v>0</v>
      </c>
      <c r="AQ400" s="16">
        <v>1.8</v>
      </c>
      <c r="AR400" s="16">
        <f>AP400-1.472</f>
        <v>-1.472</v>
      </c>
      <c r="AS400" s="16">
        <f>AQ400-1.472</f>
        <v>0.32800000000000007</v>
      </c>
      <c r="AT400" s="16" t="e">
        <f>VLOOKUP(E400,[2]Current!$A$1:$W$435,7,FALSE)</f>
        <v>#N/A</v>
      </c>
      <c r="AU400" s="16">
        <v>0</v>
      </c>
      <c r="AW400" s="18"/>
      <c r="AX400" s="18"/>
      <c r="AY400" s="18"/>
      <c r="AZ400" s="18"/>
      <c r="BA400" s="18"/>
      <c r="BB400" s="18"/>
      <c r="BC400" s="18"/>
      <c r="BD400" s="18"/>
      <c r="BG400" s="23"/>
      <c r="BT400" s="23"/>
      <c r="CD400" s="23"/>
      <c r="DF400" s="16" t="e">
        <f>VLOOKUP(K400,'[3]RNA Seq summary tables'!$V$3:$V$99,1,FALSE)</f>
        <v>#N/A</v>
      </c>
    </row>
    <row r="401" spans="2:288" s="18" customFormat="1" ht="16" x14ac:dyDescent="0.2">
      <c r="B401" s="16">
        <v>2017</v>
      </c>
      <c r="C401" s="43">
        <v>42931</v>
      </c>
      <c r="D401" s="43" t="str">
        <f>CONCATENATE(J401,"-",C401)</f>
        <v>1249-42931</v>
      </c>
      <c r="E401" s="37" t="str">
        <f>CONCATENATE(T401,"-",U401,"-",C401)</f>
        <v>HW2-B4-42931</v>
      </c>
      <c r="F401" s="20" t="s">
        <v>106</v>
      </c>
      <c r="G401" s="43" t="s">
        <v>107</v>
      </c>
      <c r="H401" s="23"/>
      <c r="I401" s="16">
        <v>0</v>
      </c>
      <c r="J401" s="15">
        <v>1249</v>
      </c>
      <c r="K401" s="15">
        <v>1917</v>
      </c>
      <c r="L401" s="18">
        <v>0</v>
      </c>
      <c r="M401" s="21">
        <f>VLOOKUP($K401,'[4]blood tubes 2017'!$D$1:$L$647,8,FALSE)</f>
        <v>0</v>
      </c>
      <c r="N401" s="15">
        <v>0</v>
      </c>
      <c r="O401" s="15" t="s">
        <v>119</v>
      </c>
      <c r="P401" s="23" t="s">
        <v>119</v>
      </c>
      <c r="Q401" s="16">
        <v>0</v>
      </c>
      <c r="R401" s="23" t="s">
        <v>111</v>
      </c>
      <c r="S401" s="23"/>
      <c r="T401" s="23" t="s">
        <v>129</v>
      </c>
      <c r="U401" s="23" t="s">
        <v>144</v>
      </c>
      <c r="V401" s="23" t="s">
        <v>114</v>
      </c>
      <c r="W401" s="16">
        <f>AI401/AG401</f>
        <v>0.90588235294117647</v>
      </c>
      <c r="X401" s="23" t="s">
        <v>115</v>
      </c>
      <c r="Y401" s="23" t="s">
        <v>110</v>
      </c>
      <c r="Z401" s="23">
        <v>3</v>
      </c>
      <c r="AA401" s="23"/>
      <c r="AB401" s="23"/>
      <c r="AC401" s="23"/>
      <c r="AD401" s="23"/>
      <c r="AE401" s="23" t="s">
        <v>116</v>
      </c>
      <c r="AF401" s="23" t="s">
        <v>116</v>
      </c>
      <c r="AG401" s="23">
        <f>AH401-AI401</f>
        <v>85</v>
      </c>
      <c r="AH401" s="23">
        <v>162</v>
      </c>
      <c r="AI401" s="23">
        <v>77</v>
      </c>
      <c r="AJ401" s="23"/>
      <c r="AK401" s="23">
        <v>17</v>
      </c>
      <c r="AL401" s="23">
        <v>1</v>
      </c>
      <c r="AM401" s="23">
        <v>0</v>
      </c>
      <c r="AN401" s="23">
        <v>0</v>
      </c>
      <c r="AO401" s="23">
        <v>1</v>
      </c>
      <c r="AP401" s="23">
        <f>SUM(AL401:AN401)</f>
        <v>1</v>
      </c>
      <c r="AQ401" s="25">
        <v>3.6320000000000001</v>
      </c>
      <c r="AR401" s="23">
        <f>AP401-1.472-1.243</f>
        <v>-1.7150000000000001</v>
      </c>
      <c r="AS401" s="23">
        <f>AQ401-1.472-1.243</f>
        <v>0.91700000000000004</v>
      </c>
      <c r="AT401" s="16" t="str">
        <f>VLOOKUP(E401,[2]Current!$A$1:$W$435,7,FALSE)</f>
        <v>LV</v>
      </c>
      <c r="AU401" s="16" t="s">
        <v>1288</v>
      </c>
      <c r="AV401" s="23"/>
      <c r="AW401" s="128">
        <f>IF(AX401&gt;0,1,0)</f>
        <v>1</v>
      </c>
      <c r="AX401" s="128">
        <f>SUM(BA401,BM401,CU401)</f>
        <v>3</v>
      </c>
      <c r="AY401" s="128">
        <f>SUM(BB401,BN401,CV401)</f>
        <v>904.03489640130852</v>
      </c>
      <c r="AZ401" s="128">
        <f>IF(BA401&gt;0,1,0)</f>
        <v>1</v>
      </c>
      <c r="BA401" s="128">
        <f>SUM(BC401+BF401+BI401)</f>
        <v>3</v>
      </c>
      <c r="BB401" s="128">
        <f>SUM(BE401,BH401,BK401)</f>
        <v>904.03489640130852</v>
      </c>
      <c r="BC401" s="130">
        <f>IF(BD401&gt;0,1,0)</f>
        <v>1</v>
      </c>
      <c r="BD401" s="128">
        <f>VLOOKUP($E401,[2]Current!$A:$AC,26,FALSE)</f>
        <v>316</v>
      </c>
      <c r="BE401" s="128">
        <f>BD401/$AS401</f>
        <v>344.60196292257359</v>
      </c>
      <c r="BF401" s="130">
        <f>IF(BG401&gt;0,1,0)</f>
        <v>1</v>
      </c>
      <c r="BG401" s="175">
        <f>VLOOKUP($E401,[2]Current!$A:$AC,27,FALSE)</f>
        <v>510</v>
      </c>
      <c r="BH401" s="128">
        <f>BG401/$AS401</f>
        <v>556.16139585605231</v>
      </c>
      <c r="BI401" s="130">
        <f>IF(BJ401&gt;0,1,0)</f>
        <v>1</v>
      </c>
      <c r="BJ401" s="128">
        <f>VLOOKUP($E401,[2]Current!$A:$AC,28,FALSE)</f>
        <v>3</v>
      </c>
      <c r="BK401" s="128">
        <f>BJ401/$AS401</f>
        <v>3.2715376226826609</v>
      </c>
      <c r="BL401" s="128">
        <f>IF(BM401&gt;0,1,0)</f>
        <v>0</v>
      </c>
      <c r="BM401" s="128">
        <f>SUM(BR401,BU401,BX401,CA401,CD401)</f>
        <v>0</v>
      </c>
      <c r="BN401" s="131">
        <f>SUM(BT401,BW401,BZ401,CC401,CF401)</f>
        <v>0</v>
      </c>
      <c r="BO401" s="128">
        <f>IF(BP401&gt;0,1,0)</f>
        <v>0</v>
      </c>
      <c r="BP401" s="128">
        <f>BM401+CJ401</f>
        <v>0</v>
      </c>
      <c r="BQ401" s="128">
        <f>BN401+CL401</f>
        <v>0</v>
      </c>
      <c r="BR401" s="130">
        <f>IF(BS401&gt;0,1,0)</f>
        <v>0</v>
      </c>
      <c r="BS401" s="128">
        <f>VLOOKUP($E401,[2]Current!$A:$AC,12,FALSE)</f>
        <v>0</v>
      </c>
      <c r="BT401" s="175">
        <f>BS401/$AS401</f>
        <v>0</v>
      </c>
      <c r="BU401" s="130">
        <f>IF(BV401&gt;0,1,0)</f>
        <v>0</v>
      </c>
      <c r="BV401" s="128">
        <f>VLOOKUP($E401,[2]Current!$A:$AC,13,FALSE)</f>
        <v>0</v>
      </c>
      <c r="BW401" s="128">
        <f>BV401/$AS401</f>
        <v>0</v>
      </c>
      <c r="BX401" s="130">
        <f>IF(BY401&gt;0,1,0)</f>
        <v>0</v>
      </c>
      <c r="BY401" s="128">
        <f>VLOOKUP($E401,[2]Current!$A:$AC,14,FALSE)</f>
        <v>0</v>
      </c>
      <c r="BZ401" s="128">
        <f>BY401/$AS401</f>
        <v>0</v>
      </c>
      <c r="CA401" s="130">
        <f>IF(CB401&gt;0,1,0)</f>
        <v>0</v>
      </c>
      <c r="CB401" s="128">
        <f>VLOOKUP($E401,[2]Current!$A:$AC,15,FALSE)</f>
        <v>0</v>
      </c>
      <c r="CC401" s="128">
        <f>CB401/$AS401</f>
        <v>0</v>
      </c>
      <c r="CD401" s="176">
        <f>IF(CE401&gt;0,1,0)</f>
        <v>0</v>
      </c>
      <c r="CE401" s="128">
        <f>VLOOKUP($E401,[2]Current!$A:$AC,16,FALSE)</f>
        <v>0</v>
      </c>
      <c r="CF401" s="128">
        <f>CE401/$AS401</f>
        <v>0</v>
      </c>
      <c r="CJ401" s="130">
        <f>IF(CK401&gt;0,1,0)</f>
        <v>0</v>
      </c>
      <c r="CK401" s="128">
        <f>VLOOKUP($E401,[2]Current!$A:$AC,18,FALSE)</f>
        <v>0</v>
      </c>
      <c r="CL401" s="128">
        <f>CK401/$AS401</f>
        <v>0</v>
      </c>
      <c r="CM401" s="16"/>
      <c r="CN401" s="16"/>
      <c r="CO401" s="16"/>
      <c r="CP401" s="16"/>
      <c r="CQ401" s="16"/>
      <c r="CR401" s="16"/>
      <c r="CS401" s="130">
        <f>IF(CU401&gt;0,1,0)</f>
        <v>0</v>
      </c>
      <c r="CU401" s="128">
        <f>VLOOKUP($E401,[2]Current!$A:$AC,17,FALSE)</f>
        <v>0</v>
      </c>
      <c r="CV401" s="128">
        <f>CU401/$AS401</f>
        <v>0</v>
      </c>
      <c r="CZ401" s="16"/>
      <c r="DA401" s="16"/>
      <c r="DB401" s="16"/>
      <c r="DC401" s="16"/>
      <c r="DD401" s="16"/>
      <c r="DE401" s="16"/>
      <c r="DF401" s="16" t="e">
        <f>VLOOKUP(K401,'[3]RNA Seq summary tables'!$V$3:$V$99,1,FALSE)</f>
        <v>#N/A</v>
      </c>
      <c r="DG401" s="16"/>
      <c r="DH401" s="16"/>
      <c r="DI401" s="23"/>
      <c r="DJ401" s="23"/>
      <c r="DK401" s="23"/>
      <c r="DL401" s="23"/>
      <c r="DM401" s="23"/>
      <c r="DN401" s="23"/>
      <c r="DO401" s="23"/>
      <c r="DP401" s="23"/>
      <c r="DQ401" s="23"/>
      <c r="DR401" s="23"/>
      <c r="DS401" s="23"/>
      <c r="DT401" s="25"/>
      <c r="DU401" s="25"/>
      <c r="DV401" s="25"/>
      <c r="DW401" s="25"/>
      <c r="DX401" s="25"/>
      <c r="DY401" s="25"/>
      <c r="DZ401" s="25"/>
      <c r="EA401" s="25"/>
      <c r="EB401" s="25"/>
      <c r="EC401" s="25"/>
      <c r="ED401" s="25"/>
      <c r="EE401" s="25"/>
      <c r="JO401" s="16"/>
      <c r="JP401" s="16"/>
      <c r="JQ401" s="16"/>
      <c r="JR401" s="16"/>
      <c r="JS401" s="16"/>
      <c r="JT401" s="16"/>
      <c r="JU401" s="16"/>
      <c r="JV401" s="16"/>
      <c r="JW401" s="16"/>
      <c r="JX401" s="16"/>
      <c r="JY401" s="16"/>
      <c r="JZ401" s="16"/>
      <c r="KA401" s="16"/>
      <c r="KB401" s="16"/>
    </row>
    <row r="402" spans="2:288" s="18" customFormat="1" ht="16" x14ac:dyDescent="0.2">
      <c r="B402" s="18">
        <v>2017</v>
      </c>
      <c r="C402" s="37">
        <v>42954</v>
      </c>
      <c r="D402" s="37" t="str">
        <f>CONCATENATE(J402,"-",C402)</f>
        <v>1250-42954</v>
      </c>
      <c r="E402" s="37" t="str">
        <f>CONCATENATE(T402,"-",U402,"-",C402)</f>
        <v>BC2-C7-42954</v>
      </c>
      <c r="F402" s="20" t="s">
        <v>106</v>
      </c>
      <c r="G402" s="37" t="s">
        <v>107</v>
      </c>
      <c r="I402" s="16">
        <v>0</v>
      </c>
      <c r="J402" s="36">
        <v>1250</v>
      </c>
      <c r="K402" s="36">
        <v>2075</v>
      </c>
      <c r="L402" s="18">
        <v>0</v>
      </c>
      <c r="M402" s="21">
        <f>VLOOKUP($K402,'[4]blood tubes 2017'!$D$1:$L$647,8,FALSE)</f>
        <v>0</v>
      </c>
      <c r="N402" s="15">
        <v>0</v>
      </c>
      <c r="O402" s="15" t="s">
        <v>119</v>
      </c>
      <c r="P402" s="18" t="s">
        <v>119</v>
      </c>
      <c r="Q402" s="16">
        <v>0</v>
      </c>
      <c r="R402" s="18" t="s">
        <v>111</v>
      </c>
      <c r="T402" s="18" t="s">
        <v>154</v>
      </c>
      <c r="U402" s="18" t="s">
        <v>207</v>
      </c>
      <c r="V402" s="18" t="s">
        <v>142</v>
      </c>
      <c r="W402" s="16">
        <f>AI402/AG402</f>
        <v>1.0117647058823529</v>
      </c>
      <c r="X402" s="18" t="s">
        <v>121</v>
      </c>
      <c r="Y402" s="18" t="s">
        <v>110</v>
      </c>
      <c r="Z402" s="18">
        <v>3</v>
      </c>
      <c r="AA402" s="18" t="s">
        <v>161</v>
      </c>
      <c r="AB402" s="18" t="s">
        <v>123</v>
      </c>
      <c r="AC402" s="18" t="s">
        <v>123</v>
      </c>
      <c r="AD402" s="18" t="s">
        <v>116</v>
      </c>
      <c r="AG402" s="18">
        <f>AH402-AI402</f>
        <v>85</v>
      </c>
      <c r="AH402" s="18">
        <v>171</v>
      </c>
      <c r="AI402" s="18">
        <v>86</v>
      </c>
      <c r="AK402" s="18">
        <v>16</v>
      </c>
      <c r="AL402" s="18">
        <v>0</v>
      </c>
      <c r="AM402" s="18">
        <v>0</v>
      </c>
      <c r="AN402" s="18">
        <v>0</v>
      </c>
      <c r="AO402" s="18">
        <v>0</v>
      </c>
      <c r="AP402" s="18">
        <f>SUM(AL402:AN402)</f>
        <v>0</v>
      </c>
      <c r="AQ402" s="18">
        <v>1.7030000000000001</v>
      </c>
      <c r="AR402" s="18">
        <f>AP402-1.472</f>
        <v>-1.472</v>
      </c>
      <c r="AS402" s="18">
        <f>AQ402-1.472</f>
        <v>0.23100000000000009</v>
      </c>
      <c r="AT402" s="16" t="str">
        <f>VLOOKUP(E402,[2]Current!$A$1:$W$435,7,FALSE)</f>
        <v>TE</v>
      </c>
      <c r="AU402" s="16" t="s">
        <v>1288</v>
      </c>
      <c r="AV402" s="23">
        <v>1</v>
      </c>
      <c r="AW402" s="128">
        <f>IF(AX402&gt;0,1,0)</f>
        <v>0</v>
      </c>
      <c r="AX402" s="128">
        <f>SUM(BA402,BM402,CU402)</f>
        <v>0</v>
      </c>
      <c r="AY402" s="128">
        <f>SUM(BB402,BN402,CV402)</f>
        <v>0</v>
      </c>
      <c r="AZ402" s="128">
        <f>IF(BA402&gt;0,1,0)</f>
        <v>0</v>
      </c>
      <c r="BA402" s="128">
        <f>SUM(BC402+BF402+BI402)</f>
        <v>0</v>
      </c>
      <c r="BB402" s="128">
        <f>SUM(BE402,BH402,BK402)</f>
        <v>0</v>
      </c>
      <c r="BC402" s="130">
        <f>IF(BD402&gt;0,1,0)</f>
        <v>0</v>
      </c>
      <c r="BD402" s="128">
        <f>VLOOKUP($E402,[2]Current!$A:$AC,26,FALSE)</f>
        <v>0</v>
      </c>
      <c r="BE402" s="128">
        <f>BD402/$AS402</f>
        <v>0</v>
      </c>
      <c r="BF402" s="130">
        <f>IF(BG402&gt;0,1,0)</f>
        <v>0</v>
      </c>
      <c r="BG402" s="175">
        <f>VLOOKUP($E402,[2]Current!$A:$AC,27,FALSE)</f>
        <v>0</v>
      </c>
      <c r="BH402" s="128">
        <f>BG402/$AS402</f>
        <v>0</v>
      </c>
      <c r="BI402" s="130">
        <f>IF(BJ402&gt;0,1,0)</f>
        <v>0</v>
      </c>
      <c r="BJ402" s="128">
        <f>VLOOKUP($E402,[2]Current!$A:$AC,28,FALSE)</f>
        <v>0</v>
      </c>
      <c r="BK402" s="128">
        <f>BJ402/$AS402</f>
        <v>0</v>
      </c>
      <c r="BL402" s="128">
        <f>IF(BM402&gt;0,1,0)</f>
        <v>0</v>
      </c>
      <c r="BM402" s="128">
        <f>SUM(BR402,BU402,BX402,CA402,CD402)</f>
        <v>0</v>
      </c>
      <c r="BN402" s="131">
        <f>SUM(BT402,BW402,BZ402,CC402,CF402)</f>
        <v>0</v>
      </c>
      <c r="BO402" s="128">
        <f>IF(BP402&gt;0,1,0)</f>
        <v>0</v>
      </c>
      <c r="BP402" s="128">
        <f>BM402+CJ402</f>
        <v>0</v>
      </c>
      <c r="BQ402" s="128">
        <f>BN402+CL402</f>
        <v>0</v>
      </c>
      <c r="BR402" s="130">
        <f>IF(BS402&gt;0,1,0)</f>
        <v>0</v>
      </c>
      <c r="BS402" s="128">
        <f>VLOOKUP($E402,[2]Current!$A:$AC,12,FALSE)</f>
        <v>0</v>
      </c>
      <c r="BT402" s="175">
        <f>BS402/$AS402</f>
        <v>0</v>
      </c>
      <c r="BU402" s="130">
        <f>IF(BV402&gt;0,1,0)</f>
        <v>0</v>
      </c>
      <c r="BV402" s="128">
        <f>VLOOKUP($E402,[2]Current!$A:$AC,13,FALSE)</f>
        <v>0</v>
      </c>
      <c r="BW402" s="128">
        <f>BV402/$AS402</f>
        <v>0</v>
      </c>
      <c r="BX402" s="130">
        <f>IF(BY402&gt;0,1,0)</f>
        <v>0</v>
      </c>
      <c r="BY402" s="128">
        <f>VLOOKUP($E402,[2]Current!$A:$AC,14,FALSE)</f>
        <v>0</v>
      </c>
      <c r="BZ402" s="128">
        <f>BY402/$AS402</f>
        <v>0</v>
      </c>
      <c r="CA402" s="130">
        <f>IF(CB402&gt;0,1,0)</f>
        <v>0</v>
      </c>
      <c r="CB402" s="128">
        <f>VLOOKUP($E402,[2]Current!$A:$AC,15,FALSE)</f>
        <v>0</v>
      </c>
      <c r="CC402" s="128">
        <f>CB402/$AS402</f>
        <v>0</v>
      </c>
      <c r="CD402" s="176">
        <f>IF(CE402&gt;0,1,0)</f>
        <v>0</v>
      </c>
      <c r="CE402" s="128">
        <f>VLOOKUP($E402,[2]Current!$A:$AC,16,FALSE)</f>
        <v>0</v>
      </c>
      <c r="CF402" s="128">
        <f>CE402/$AS402</f>
        <v>0</v>
      </c>
      <c r="CJ402" s="130">
        <f>IF(CK402&gt;0,1,0)</f>
        <v>0</v>
      </c>
      <c r="CK402" s="128">
        <f>VLOOKUP($E402,[2]Current!$A:$AC,18,FALSE)</f>
        <v>0</v>
      </c>
      <c r="CL402" s="128">
        <f>CK402/$AS402</f>
        <v>0</v>
      </c>
      <c r="CM402" s="16"/>
      <c r="CN402" s="16"/>
      <c r="CO402" s="16"/>
      <c r="CP402" s="16"/>
      <c r="CQ402" s="16"/>
      <c r="CR402" s="16"/>
      <c r="CS402" s="130">
        <f>IF(CU402&gt;0,1,0)</f>
        <v>0</v>
      </c>
      <c r="CT402" s="16"/>
      <c r="CU402" s="128">
        <f>VLOOKUP($E402,[2]Current!$A:$AC,17,FALSE)</f>
        <v>0</v>
      </c>
      <c r="CV402" s="128">
        <f>CU402/$AS402</f>
        <v>0</v>
      </c>
      <c r="CZ402" s="16"/>
      <c r="DA402" s="16"/>
      <c r="DB402" s="16"/>
      <c r="DC402" s="16"/>
      <c r="DD402" s="16"/>
      <c r="DE402" s="16"/>
      <c r="DF402" s="16" t="e">
        <f>VLOOKUP(K402,'[3]RNA Seq summary tables'!$V$3:$V$99,1,FALSE)</f>
        <v>#N/A</v>
      </c>
      <c r="DG402" s="16"/>
      <c r="DH402" s="16"/>
      <c r="JO402" s="16"/>
      <c r="JP402" s="16"/>
      <c r="JQ402" s="16"/>
      <c r="JR402" s="26"/>
      <c r="JS402" s="26"/>
      <c r="JT402" s="26"/>
      <c r="JU402" s="26"/>
      <c r="JV402" s="26"/>
      <c r="JW402" s="26"/>
      <c r="JX402" s="26"/>
      <c r="JY402" s="26"/>
      <c r="JZ402" s="26"/>
      <c r="KA402" s="26"/>
      <c r="KB402" s="26"/>
    </row>
    <row r="403" spans="2:288" s="18" customFormat="1" ht="16" x14ac:dyDescent="0.2">
      <c r="B403" s="16">
        <v>2017</v>
      </c>
      <c r="C403" s="20">
        <v>42931</v>
      </c>
      <c r="D403" s="20" t="str">
        <f>CONCATENATE(J403,"-",C403)</f>
        <v>1251-42931</v>
      </c>
      <c r="E403" s="37" t="str">
        <f>CONCATENATE(T403,"-",U403,"-",C403)</f>
        <v>HW2-H7-42931</v>
      </c>
      <c r="F403" s="20" t="s">
        <v>106</v>
      </c>
      <c r="G403" s="20" t="s">
        <v>107</v>
      </c>
      <c r="H403" s="16"/>
      <c r="I403" s="16">
        <v>0</v>
      </c>
      <c r="J403" s="21">
        <v>1251</v>
      </c>
      <c r="K403" s="21">
        <v>1920</v>
      </c>
      <c r="L403" s="18">
        <v>0</v>
      </c>
      <c r="M403" s="21">
        <f>VLOOKUP($K403,'[4]blood tubes 2017'!$D$1:$L$647,8,FALSE)</f>
        <v>0</v>
      </c>
      <c r="N403" s="15">
        <v>0</v>
      </c>
      <c r="O403" s="15" t="s">
        <v>119</v>
      </c>
      <c r="P403" s="16" t="s">
        <v>119</v>
      </c>
      <c r="Q403" s="16">
        <v>0</v>
      </c>
      <c r="R403" s="16" t="s">
        <v>111</v>
      </c>
      <c r="S403" s="16"/>
      <c r="T403" s="16" t="s">
        <v>129</v>
      </c>
      <c r="U403" s="16" t="s">
        <v>202</v>
      </c>
      <c r="V403" s="16" t="s">
        <v>114</v>
      </c>
      <c r="W403" s="16">
        <f>AI403/AG403</f>
        <v>0.85365853658536583</v>
      </c>
      <c r="X403" s="16" t="s">
        <v>121</v>
      </c>
      <c r="Y403" s="16" t="s">
        <v>122</v>
      </c>
      <c r="Z403" s="16">
        <v>2.6</v>
      </c>
      <c r="AA403" s="16" t="s">
        <v>119</v>
      </c>
      <c r="AB403" s="16" t="s">
        <v>123</v>
      </c>
      <c r="AC403" s="16" t="s">
        <v>123</v>
      </c>
      <c r="AD403" s="16" t="s">
        <v>123</v>
      </c>
      <c r="AE403" s="16"/>
      <c r="AF403" s="16"/>
      <c r="AG403" s="16">
        <f>AH403-AI403</f>
        <v>82</v>
      </c>
      <c r="AH403" s="16">
        <v>152</v>
      </c>
      <c r="AI403" s="16">
        <v>70</v>
      </c>
      <c r="AJ403" s="16"/>
      <c r="AK403" s="16">
        <v>29</v>
      </c>
      <c r="AL403" s="16">
        <v>0</v>
      </c>
      <c r="AM403" s="16">
        <v>0</v>
      </c>
      <c r="AN403" s="16">
        <v>0</v>
      </c>
      <c r="AO403" s="16">
        <v>0</v>
      </c>
      <c r="AP403" s="16">
        <f>SUM(AL403:AN403)</f>
        <v>0</v>
      </c>
      <c r="AQ403" s="18">
        <v>3.7370000000000001</v>
      </c>
      <c r="AR403" s="16">
        <f>AP403-1.472-1.243</f>
        <v>-2.7149999999999999</v>
      </c>
      <c r="AS403" s="16">
        <f>AQ403-1.472-1.243</f>
        <v>1.022</v>
      </c>
      <c r="AT403" s="16" t="str">
        <f>VLOOKUP(E403,[2]Current!$A$1:$W$435,7,FALSE)</f>
        <v>JB</v>
      </c>
      <c r="AU403" s="16" t="s">
        <v>1288</v>
      </c>
      <c r="AV403" s="23"/>
      <c r="AW403" s="128">
        <f>IF(AX403&gt;0,1,0)</f>
        <v>1</v>
      </c>
      <c r="AX403" s="128">
        <f>SUM(BA403,BM403,CU403)</f>
        <v>5</v>
      </c>
      <c r="AY403" s="128">
        <f>SUM(BB403,BN403,CV403)</f>
        <v>9023.4833659491196</v>
      </c>
      <c r="AZ403" s="128">
        <f>IF(BA403&gt;0,1,0)</f>
        <v>1</v>
      </c>
      <c r="BA403" s="128">
        <f>SUM(BC403+BF403+BI403)</f>
        <v>3</v>
      </c>
      <c r="BB403" s="128">
        <f>SUM(BE403,BH403,BK403)</f>
        <v>8972.6027397260277</v>
      </c>
      <c r="BC403" s="130">
        <f>IF(BD403&gt;0,1,0)</f>
        <v>1</v>
      </c>
      <c r="BD403" s="128">
        <f>VLOOKUP($E403,[2]Current!$A:$AC,26,FALSE)</f>
        <v>37</v>
      </c>
      <c r="BE403" s="128">
        <f>BD403/$AS403</f>
        <v>36.203522504892369</v>
      </c>
      <c r="BF403" s="130">
        <f>IF(BG403&gt;0,1,0)</f>
        <v>1</v>
      </c>
      <c r="BG403" s="175">
        <f>VLOOKUP($E403,[2]Current!$A:$AC,27,FALSE)</f>
        <v>9031</v>
      </c>
      <c r="BH403" s="128">
        <f>BG403/$AS403</f>
        <v>8836.5949119373781</v>
      </c>
      <c r="BI403" s="130">
        <f>IF(BJ403&gt;0,1,0)</f>
        <v>1</v>
      </c>
      <c r="BJ403" s="128">
        <f>VLOOKUP($E403,[2]Current!$A:$AC,28,FALSE)</f>
        <v>102</v>
      </c>
      <c r="BK403" s="128">
        <f>BJ403/$AS403</f>
        <v>99.80430528375733</v>
      </c>
      <c r="BL403" s="128">
        <f>IF(BM403&gt;0,1,0)</f>
        <v>1</v>
      </c>
      <c r="BM403" s="128">
        <f>SUM(BR403,BU403,BX403,CA403,CD403)</f>
        <v>2</v>
      </c>
      <c r="BN403" s="131">
        <f>SUM(BT403,BW403,BZ403,CC403,CF403)</f>
        <v>50.880626223091973</v>
      </c>
      <c r="BO403" s="128">
        <f>IF(BP403&gt;0,1,0)</f>
        <v>1</v>
      </c>
      <c r="BP403" s="128">
        <f>BM403+CJ403</f>
        <v>2</v>
      </c>
      <c r="BQ403" s="128">
        <f>BN403+CL403</f>
        <v>50.880626223091973</v>
      </c>
      <c r="BR403" s="130">
        <f>IF(BS403&gt;0,1,0)</f>
        <v>1</v>
      </c>
      <c r="BS403" s="128">
        <f>VLOOKUP($E403,[2]Current!$A:$AC,12,FALSE)</f>
        <v>32</v>
      </c>
      <c r="BT403" s="175">
        <f>BS403/$AS403</f>
        <v>31.31115459882583</v>
      </c>
      <c r="BU403" s="130">
        <f>IF(BV403&gt;0,1,0)</f>
        <v>1</v>
      </c>
      <c r="BV403" s="128">
        <f>VLOOKUP($E403,[2]Current!$A:$AC,13,FALSE)</f>
        <v>20</v>
      </c>
      <c r="BW403" s="128">
        <f>BV403/$AS403</f>
        <v>19.569471624266143</v>
      </c>
      <c r="BX403" s="130">
        <f>IF(BY403&gt;0,1,0)</f>
        <v>0</v>
      </c>
      <c r="BY403" s="128">
        <f>VLOOKUP($E403,[2]Current!$A:$AC,14,FALSE)</f>
        <v>0</v>
      </c>
      <c r="BZ403" s="128">
        <f>BY403/$AS403</f>
        <v>0</v>
      </c>
      <c r="CA403" s="130">
        <f>IF(CB403&gt;0,1,0)</f>
        <v>0</v>
      </c>
      <c r="CB403" s="128">
        <f>VLOOKUP($E403,[2]Current!$A:$AC,15,FALSE)</f>
        <v>0</v>
      </c>
      <c r="CC403" s="128">
        <f>CB403/$AS403</f>
        <v>0</v>
      </c>
      <c r="CD403" s="176">
        <f>IF(CE403&gt;0,1,0)</f>
        <v>0</v>
      </c>
      <c r="CE403" s="128">
        <f>VLOOKUP($E403,[2]Current!$A:$AC,16,FALSE)</f>
        <v>0</v>
      </c>
      <c r="CF403" s="128">
        <f>CE403/$AS403</f>
        <v>0</v>
      </c>
      <c r="CJ403" s="130">
        <f>IF(CK403&gt;0,1,0)</f>
        <v>0</v>
      </c>
      <c r="CK403" s="128">
        <f>VLOOKUP($E403,[2]Current!$A:$AC,18,FALSE)</f>
        <v>0</v>
      </c>
      <c r="CL403" s="128">
        <f>CK403/$AS403</f>
        <v>0</v>
      </c>
      <c r="CM403" s="16"/>
      <c r="CN403" s="16"/>
      <c r="CO403" s="16"/>
      <c r="CP403" s="16"/>
      <c r="CQ403" s="16"/>
      <c r="CR403" s="16"/>
      <c r="CS403" s="130">
        <f>IF(CU403&gt;0,1,0)</f>
        <v>0</v>
      </c>
      <c r="CT403" s="16"/>
      <c r="CU403" s="128">
        <f>VLOOKUP($E403,[2]Current!$A:$AC,17,FALSE)</f>
        <v>0</v>
      </c>
      <c r="CV403" s="128">
        <f>CU403/$AS403</f>
        <v>0</v>
      </c>
      <c r="CZ403" s="16"/>
      <c r="DA403" s="16"/>
      <c r="DB403" s="16"/>
      <c r="DC403" s="16"/>
      <c r="DD403" s="16"/>
      <c r="DE403" s="16"/>
      <c r="DF403" s="16" t="e">
        <f>VLOOKUP(K403,'[3]RNA Seq summary tables'!$V$3:$V$99,1,FALSE)</f>
        <v>#N/A</v>
      </c>
      <c r="DG403" s="16"/>
      <c r="DH403" s="16"/>
      <c r="DI403" s="16"/>
      <c r="DJ403" s="16"/>
      <c r="DK403" s="16"/>
      <c r="DL403" s="16"/>
      <c r="DM403" s="16"/>
      <c r="DN403" s="16"/>
      <c r="DO403" s="16"/>
      <c r="DP403" s="16"/>
      <c r="DQ403" s="16"/>
      <c r="DR403" s="16"/>
      <c r="DS403" s="16"/>
      <c r="JO403" s="16"/>
      <c r="JP403" s="16"/>
      <c r="JQ403" s="16"/>
      <c r="JR403" s="16"/>
      <c r="JS403" s="16"/>
      <c r="JT403" s="16"/>
      <c r="JU403" s="16"/>
      <c r="JV403" s="16"/>
      <c r="JW403" s="16"/>
      <c r="JX403" s="16"/>
      <c r="JY403" s="16"/>
      <c r="JZ403" s="16"/>
      <c r="KA403" s="16"/>
      <c r="KB403" s="16"/>
    </row>
    <row r="404" spans="2:288" ht="16" x14ac:dyDescent="0.2">
      <c r="B404" s="16">
        <v>2017</v>
      </c>
      <c r="C404" s="20">
        <v>42932</v>
      </c>
      <c r="D404" s="20" t="str">
        <f>CONCATENATE(J404,"-",C404)</f>
        <v>1253-42932</v>
      </c>
      <c r="E404" s="37" t="str">
        <f>CONCATENATE(T404,"-",U404,"-",C404)</f>
        <v>HW1-B2-42932</v>
      </c>
      <c r="F404" s="20" t="s">
        <v>106</v>
      </c>
      <c r="G404" s="20" t="s">
        <v>107</v>
      </c>
      <c r="I404" s="16">
        <v>0</v>
      </c>
      <c r="J404" s="21">
        <v>1253</v>
      </c>
      <c r="K404" s="21">
        <v>1926</v>
      </c>
      <c r="L404" s="18">
        <v>0</v>
      </c>
      <c r="M404" s="21">
        <f>VLOOKUP($K404,'[4]blood tubes 2017'!$D$1:$L$647,8,FALSE)</f>
        <v>0</v>
      </c>
      <c r="N404" s="15">
        <v>0</v>
      </c>
      <c r="O404" s="15" t="s">
        <v>119</v>
      </c>
      <c r="P404" s="16" t="s">
        <v>119</v>
      </c>
      <c r="Q404" s="16">
        <v>0</v>
      </c>
      <c r="R404" s="16" t="s">
        <v>111</v>
      </c>
      <c r="T404" s="16" t="s">
        <v>133</v>
      </c>
      <c r="U404" s="16" t="s">
        <v>130</v>
      </c>
      <c r="V404" s="16" t="s">
        <v>114</v>
      </c>
      <c r="W404" s="16">
        <f>AI404/AG404</f>
        <v>0.7857142857142857</v>
      </c>
      <c r="X404" s="16" t="s">
        <v>115</v>
      </c>
      <c r="Y404" s="16" t="s">
        <v>145</v>
      </c>
      <c r="Z404" s="16">
        <v>1</v>
      </c>
      <c r="AE404" s="16" t="s">
        <v>123</v>
      </c>
      <c r="AF404" s="16" t="s">
        <v>123</v>
      </c>
      <c r="AG404" s="16">
        <f>AH404-AI404</f>
        <v>70</v>
      </c>
      <c r="AH404" s="16">
        <v>125</v>
      </c>
      <c r="AI404" s="16">
        <v>55</v>
      </c>
      <c r="AK404" s="16">
        <v>9.5</v>
      </c>
      <c r="AL404" s="16">
        <v>0</v>
      </c>
      <c r="AM404" s="16">
        <v>0</v>
      </c>
      <c r="AN404" s="16">
        <v>0</v>
      </c>
      <c r="AO404" s="16">
        <v>0</v>
      </c>
      <c r="AP404" s="16">
        <f>SUM(AL404:AN404)</f>
        <v>0</v>
      </c>
      <c r="AQ404" s="16">
        <v>1.59</v>
      </c>
      <c r="AR404" s="16">
        <f>AP404-1.472</f>
        <v>-1.472</v>
      </c>
      <c r="AS404" s="16">
        <f>AQ404-1.472</f>
        <v>0.1180000000000001</v>
      </c>
      <c r="AT404" s="16" t="str">
        <f>VLOOKUP(E404,[2]Current!$A$1:$W$435,7,FALSE)</f>
        <v>JY</v>
      </c>
      <c r="AU404" s="16" t="s">
        <v>1288</v>
      </c>
      <c r="AW404" s="128">
        <f>IF(AX404&gt;0,1,0)</f>
        <v>1</v>
      </c>
      <c r="AX404" s="128">
        <f>SUM(BA404,BM404,CU404)</f>
        <v>1</v>
      </c>
      <c r="AY404" s="128">
        <f>SUM(BB404,BN404,CV404)</f>
        <v>1220.3389830508463</v>
      </c>
      <c r="AZ404" s="128">
        <f>IF(BA404&gt;0,1,0)</f>
        <v>1</v>
      </c>
      <c r="BA404" s="128">
        <f>SUM(BC404+BF404+BI404)</f>
        <v>1</v>
      </c>
      <c r="BB404" s="128">
        <f>SUM(BE404,BH404,BK404)</f>
        <v>1220.3389830508463</v>
      </c>
      <c r="BC404" s="130">
        <f>IF(BD404&gt;0,1,0)</f>
        <v>0</v>
      </c>
      <c r="BD404" s="128">
        <f>VLOOKUP($E404,[2]Current!$A:$AC,26,FALSE)</f>
        <v>0</v>
      </c>
      <c r="BE404" s="128">
        <f>BD404/$AS404</f>
        <v>0</v>
      </c>
      <c r="BF404" s="130">
        <f>IF(BG404&gt;0,1,0)</f>
        <v>1</v>
      </c>
      <c r="BG404" s="175">
        <f>VLOOKUP($E404,[2]Current!$A:$AC,27,FALSE)</f>
        <v>144</v>
      </c>
      <c r="BH404" s="128">
        <f>BG404/$AS404</f>
        <v>1220.3389830508463</v>
      </c>
      <c r="BI404" s="130">
        <f>IF(BJ404&gt;0,1,0)</f>
        <v>0</v>
      </c>
      <c r="BJ404" s="128">
        <f>VLOOKUP($E404,[2]Current!$A:$AC,28,FALSE)</f>
        <v>0</v>
      </c>
      <c r="BK404" s="128">
        <f>BJ404/$AS404</f>
        <v>0</v>
      </c>
      <c r="BL404" s="128">
        <f>IF(BM404&gt;0,1,0)</f>
        <v>0</v>
      </c>
      <c r="BM404" s="128">
        <f>SUM(BR404,BU404,BX404,CA404,CD404)</f>
        <v>0</v>
      </c>
      <c r="BN404" s="131">
        <f>SUM(BT404,BW404,BZ404,CC404,CF404)</f>
        <v>0</v>
      </c>
      <c r="BO404" s="128">
        <f>IF(BP404&gt;0,1,0)</f>
        <v>0</v>
      </c>
      <c r="BP404" s="128">
        <f>BM404+CJ404</f>
        <v>0</v>
      </c>
      <c r="BQ404" s="128">
        <f>BN404+CL404</f>
        <v>0</v>
      </c>
      <c r="BR404" s="130">
        <f>IF(BS404&gt;0,1,0)</f>
        <v>0</v>
      </c>
      <c r="BS404" s="128">
        <f>VLOOKUP($E404,[2]Current!$A:$AC,12,FALSE)</f>
        <v>0</v>
      </c>
      <c r="BT404" s="175">
        <f>BS404/$AS404</f>
        <v>0</v>
      </c>
      <c r="BU404" s="130">
        <f>IF(BV404&gt;0,1,0)</f>
        <v>0</v>
      </c>
      <c r="BV404" s="128">
        <f>VLOOKUP($E404,[2]Current!$A:$AC,13,FALSE)</f>
        <v>0</v>
      </c>
      <c r="BW404" s="128">
        <f>BV404/$AS404</f>
        <v>0</v>
      </c>
      <c r="BX404" s="130">
        <f>IF(BY404&gt;0,1,0)</f>
        <v>0</v>
      </c>
      <c r="BY404" s="128">
        <f>VLOOKUP($E404,[2]Current!$A:$AC,14,FALSE)</f>
        <v>0</v>
      </c>
      <c r="BZ404" s="128">
        <f>BY404/$AS404</f>
        <v>0</v>
      </c>
      <c r="CA404" s="130">
        <f>IF(CB404&gt;0,1,0)</f>
        <v>0</v>
      </c>
      <c r="CB404" s="128">
        <f>VLOOKUP($E404,[2]Current!$A:$AC,15,FALSE)</f>
        <v>0</v>
      </c>
      <c r="CC404" s="128">
        <f>CB404/$AS404</f>
        <v>0</v>
      </c>
      <c r="CD404" s="176">
        <f>IF(CE404&gt;0,1,0)</f>
        <v>0</v>
      </c>
      <c r="CE404" s="128">
        <f>VLOOKUP($E404,[2]Current!$A:$AC,16,FALSE)</f>
        <v>0</v>
      </c>
      <c r="CF404" s="128">
        <f>CE404/$AS404</f>
        <v>0</v>
      </c>
      <c r="CG404" s="18"/>
      <c r="CH404" s="18"/>
      <c r="CI404" s="18"/>
      <c r="CJ404" s="130">
        <f>IF(CK404&gt;0,1,0)</f>
        <v>0</v>
      </c>
      <c r="CK404" s="128">
        <f>VLOOKUP($E404,[2]Current!$A:$AC,18,FALSE)</f>
        <v>0</v>
      </c>
      <c r="CL404" s="128">
        <f>CK404/$AS404</f>
        <v>0</v>
      </c>
      <c r="CS404" s="130">
        <f>IF(CU404&gt;0,1,0)</f>
        <v>0</v>
      </c>
      <c r="CU404" s="128">
        <f>VLOOKUP($E404,[2]Current!$A:$AC,17,FALSE)</f>
        <v>0</v>
      </c>
      <c r="CV404" s="128">
        <f>CU404/$AS404</f>
        <v>0</v>
      </c>
      <c r="CW404" s="18"/>
      <c r="CX404" s="18"/>
      <c r="CY404" s="18"/>
      <c r="DF404" s="16" t="e">
        <f>VLOOKUP(K404,'[3]RNA Seq summary tables'!$V$3:$V$99,1,FALSE)</f>
        <v>#N/A</v>
      </c>
    </row>
    <row r="405" spans="2:288" x14ac:dyDescent="0.2">
      <c r="B405" s="16">
        <v>2017</v>
      </c>
      <c r="C405" s="20">
        <v>42948</v>
      </c>
      <c r="D405" s="20" t="str">
        <f>CONCATENATE(J405,"-",C405)</f>
        <v>1253-42948</v>
      </c>
      <c r="E405" s="142" t="str">
        <f>CONCATENATE(T405,"-",U405,"-",C405)</f>
        <v>HW1-A3-42948</v>
      </c>
      <c r="F405" s="20" t="s">
        <v>106</v>
      </c>
      <c r="G405" s="20" t="s">
        <v>107</v>
      </c>
      <c r="H405" s="16" t="s">
        <v>258</v>
      </c>
      <c r="J405" s="21">
        <v>1253</v>
      </c>
      <c r="K405" s="21">
        <v>2044</v>
      </c>
      <c r="L405" s="18">
        <v>0</v>
      </c>
      <c r="M405" s="21">
        <f>VLOOKUP($K405,'[4]blood tubes 2017'!$D$1:$L$647,8,FALSE)</f>
        <v>0</v>
      </c>
      <c r="N405" s="15">
        <v>0</v>
      </c>
      <c r="O405" s="15" t="s">
        <v>119</v>
      </c>
      <c r="P405" s="16" t="s">
        <v>119</v>
      </c>
      <c r="Q405" s="16">
        <v>0</v>
      </c>
      <c r="R405" s="16">
        <v>16</v>
      </c>
      <c r="T405" s="16" t="s">
        <v>133</v>
      </c>
      <c r="U405" s="16" t="s">
        <v>201</v>
      </c>
      <c r="V405" s="16" t="s">
        <v>114</v>
      </c>
      <c r="W405" s="16">
        <f>AI405/AG405</f>
        <v>0.85333333333333339</v>
      </c>
      <c r="X405" s="16" t="s">
        <v>115</v>
      </c>
      <c r="Y405" s="16" t="s">
        <v>122</v>
      </c>
      <c r="Z405" s="16">
        <v>2.2999999999999998</v>
      </c>
      <c r="AE405" s="16" t="s">
        <v>123</v>
      </c>
      <c r="AF405" s="16" t="s">
        <v>123</v>
      </c>
      <c r="AG405" s="16">
        <f>AH405-AI405</f>
        <v>75</v>
      </c>
      <c r="AH405" s="16">
        <v>139</v>
      </c>
      <c r="AI405" s="16">
        <v>64</v>
      </c>
      <c r="AK405" s="16">
        <v>13.5</v>
      </c>
      <c r="AL405" s="16">
        <v>0</v>
      </c>
      <c r="AM405" s="16">
        <v>0</v>
      </c>
      <c r="AN405" s="16">
        <v>0</v>
      </c>
      <c r="AO405" s="16">
        <v>0</v>
      </c>
      <c r="AP405" s="16">
        <f>SUM(AL405:AN405)</f>
        <v>0</v>
      </c>
      <c r="AQ405" s="16">
        <v>1.84</v>
      </c>
      <c r="AR405" s="16">
        <f>AP405-1.472</f>
        <v>-1.472</v>
      </c>
      <c r="AS405" s="16">
        <f>AQ405-1.472</f>
        <v>0.3680000000000001</v>
      </c>
      <c r="AT405" s="16" t="e">
        <f>VLOOKUP(E405,[2]Current!$A$1:$W$435,7,FALSE)</f>
        <v>#N/A</v>
      </c>
      <c r="AU405" s="16">
        <v>0</v>
      </c>
      <c r="AW405" s="18"/>
      <c r="AX405" s="18"/>
      <c r="AY405" s="18"/>
      <c r="AZ405" s="18"/>
      <c r="BA405" s="18"/>
      <c r="BB405" s="18"/>
      <c r="BC405" s="18"/>
      <c r="BD405" s="18"/>
      <c r="BG405" s="23"/>
      <c r="BT405" s="23"/>
      <c r="CD405" s="23"/>
      <c r="DF405" s="16" t="e">
        <f>VLOOKUP(K405,'[3]RNA Seq summary tables'!$V$3:$V$99,1,FALSE)</f>
        <v>#N/A</v>
      </c>
    </row>
    <row r="406" spans="2:288" ht="16" x14ac:dyDescent="0.2">
      <c r="B406" s="16">
        <v>2017</v>
      </c>
      <c r="C406" s="20">
        <v>42936</v>
      </c>
      <c r="D406" s="20" t="str">
        <f>CONCATENATE(J406,"-",C406)</f>
        <v>1255-42936</v>
      </c>
      <c r="E406" s="37" t="str">
        <f>CONCATENATE(T406,"-",U406,"-",C406)</f>
        <v>BC1-B5-42936</v>
      </c>
      <c r="F406" s="20" t="s">
        <v>106</v>
      </c>
      <c r="G406" s="20" t="s">
        <v>107</v>
      </c>
      <c r="I406" s="16">
        <v>0</v>
      </c>
      <c r="J406" s="21">
        <v>1255</v>
      </c>
      <c r="K406" s="21">
        <v>1932</v>
      </c>
      <c r="L406" s="18">
        <v>0</v>
      </c>
      <c r="M406" s="21">
        <f>VLOOKUP($K406,'[4]blood tubes 2017'!$D$1:$L$647,8,FALSE)</f>
        <v>0</v>
      </c>
      <c r="N406" s="15">
        <v>0</v>
      </c>
      <c r="O406" s="15" t="s">
        <v>119</v>
      </c>
      <c r="P406" s="16" t="s">
        <v>119</v>
      </c>
      <c r="Q406" s="16">
        <v>0</v>
      </c>
      <c r="R406" s="16" t="s">
        <v>111</v>
      </c>
      <c r="T406" s="16" t="s">
        <v>159</v>
      </c>
      <c r="U406" s="16" t="s">
        <v>160</v>
      </c>
      <c r="V406" s="16" t="s">
        <v>114</v>
      </c>
      <c r="W406" s="16">
        <f>AI406/AG406</f>
        <v>0.82954545454545459</v>
      </c>
      <c r="X406" s="16" t="s">
        <v>121</v>
      </c>
      <c r="Y406" s="16" t="s">
        <v>110</v>
      </c>
      <c r="Z406" s="16">
        <v>3</v>
      </c>
      <c r="AA406" s="16" t="s">
        <v>161</v>
      </c>
      <c r="AB406" s="16" t="s">
        <v>123</v>
      </c>
      <c r="AC406" s="16" t="s">
        <v>123</v>
      </c>
      <c r="AD406" s="16" t="s">
        <v>116</v>
      </c>
      <c r="AG406" s="16">
        <f>AH406-AI406</f>
        <v>88</v>
      </c>
      <c r="AH406" s="16">
        <v>161</v>
      </c>
      <c r="AI406" s="16">
        <v>73</v>
      </c>
      <c r="AK406" s="16">
        <v>19</v>
      </c>
      <c r="AL406" s="16">
        <v>0</v>
      </c>
      <c r="AM406" s="16">
        <v>0</v>
      </c>
      <c r="AN406" s="16">
        <v>0</v>
      </c>
      <c r="AO406" s="16">
        <v>0</v>
      </c>
      <c r="AP406" s="16">
        <f>SUM(AL406:AN406)</f>
        <v>0</v>
      </c>
      <c r="AQ406" s="16">
        <v>1.702</v>
      </c>
      <c r="AR406" s="16">
        <f>AP406-1.472</f>
        <v>-1.472</v>
      </c>
      <c r="AS406" s="16">
        <f>AQ406-1.472</f>
        <v>0.22999999999999998</v>
      </c>
      <c r="AT406" s="16" t="str">
        <f>VLOOKUP(E406,[2]Current!$A$1:$W$435,7,FALSE)</f>
        <v>JY</v>
      </c>
      <c r="AU406" s="16" t="s">
        <v>1288</v>
      </c>
      <c r="AW406" s="128">
        <f>IF(AX406&gt;0,1,0)</f>
        <v>1</v>
      </c>
      <c r="AX406" s="128">
        <f>SUM(BA406,BM406,CU406)</f>
        <v>1</v>
      </c>
      <c r="AY406" s="128">
        <f>SUM(BB406,BN406,CV406)</f>
        <v>4.3478260869565224</v>
      </c>
      <c r="AZ406" s="128">
        <f>IF(BA406&gt;0,1,0)</f>
        <v>1</v>
      </c>
      <c r="BA406" s="128">
        <f>SUM(BC406+BF406+BI406)</f>
        <v>1</v>
      </c>
      <c r="BB406" s="128">
        <f>SUM(BE406,BH406,BK406)</f>
        <v>4.3478260869565224</v>
      </c>
      <c r="BC406" s="130">
        <f>IF(BD406&gt;0,1,0)</f>
        <v>0</v>
      </c>
      <c r="BD406" s="128">
        <f>VLOOKUP($E406,[2]Current!$A:$AC,26,FALSE)</f>
        <v>0</v>
      </c>
      <c r="BE406" s="128">
        <f>BD406/$AS406</f>
        <v>0</v>
      </c>
      <c r="BF406" s="130">
        <f>IF(BG406&gt;0,1,0)</f>
        <v>1</v>
      </c>
      <c r="BG406" s="175">
        <f>VLOOKUP($E406,[2]Current!$A:$AC,27,FALSE)</f>
        <v>1</v>
      </c>
      <c r="BH406" s="128">
        <f>BG406/$AS406</f>
        <v>4.3478260869565224</v>
      </c>
      <c r="BI406" s="130">
        <f>IF(BJ406&gt;0,1,0)</f>
        <v>0</v>
      </c>
      <c r="BJ406" s="128">
        <f>VLOOKUP($E406,[2]Current!$A:$AC,28,FALSE)</f>
        <v>0</v>
      </c>
      <c r="BK406" s="128">
        <f>BJ406/$AS406</f>
        <v>0</v>
      </c>
      <c r="BL406" s="128">
        <f>IF(BM406&gt;0,1,0)</f>
        <v>0</v>
      </c>
      <c r="BM406" s="128">
        <f>SUM(BR406,BU406,BX406,CA406,CD406)</f>
        <v>0</v>
      </c>
      <c r="BN406" s="131">
        <f>SUM(BT406,BW406,BZ406,CC406,CF406)</f>
        <v>0</v>
      </c>
      <c r="BO406" s="128">
        <f>IF(BP406&gt;0,1,0)</f>
        <v>0</v>
      </c>
      <c r="BP406" s="128">
        <f>BM406+CJ406</f>
        <v>0</v>
      </c>
      <c r="BQ406" s="128">
        <f>BN406+CL406</f>
        <v>0</v>
      </c>
      <c r="BR406" s="130">
        <f>IF(BS406&gt;0,1,0)</f>
        <v>0</v>
      </c>
      <c r="BS406" s="128">
        <f>VLOOKUP($E406,[2]Current!$A:$AC,12,FALSE)</f>
        <v>0</v>
      </c>
      <c r="BT406" s="175">
        <f>BS406/$AS406</f>
        <v>0</v>
      </c>
      <c r="BU406" s="130">
        <f>IF(BV406&gt;0,1,0)</f>
        <v>0</v>
      </c>
      <c r="BV406" s="128">
        <f>VLOOKUP($E406,[2]Current!$A:$AC,13,FALSE)</f>
        <v>0</v>
      </c>
      <c r="BW406" s="128">
        <f>BV406/$AS406</f>
        <v>0</v>
      </c>
      <c r="BX406" s="130">
        <f>IF(BY406&gt;0,1,0)</f>
        <v>0</v>
      </c>
      <c r="BY406" s="128">
        <f>VLOOKUP($E406,[2]Current!$A:$AC,14,FALSE)</f>
        <v>0</v>
      </c>
      <c r="BZ406" s="128">
        <f>BY406/$AS406</f>
        <v>0</v>
      </c>
      <c r="CA406" s="130">
        <f>IF(CB406&gt;0,1,0)</f>
        <v>0</v>
      </c>
      <c r="CB406" s="128">
        <f>VLOOKUP($E406,[2]Current!$A:$AC,15,FALSE)</f>
        <v>0</v>
      </c>
      <c r="CC406" s="128">
        <f>CB406/$AS406</f>
        <v>0</v>
      </c>
      <c r="CD406" s="176">
        <f>IF(CE406&gt;0,1,0)</f>
        <v>0</v>
      </c>
      <c r="CE406" s="128">
        <f>VLOOKUP($E406,[2]Current!$A:$AC,16,FALSE)</f>
        <v>0</v>
      </c>
      <c r="CF406" s="128">
        <f>CE406/$AS406</f>
        <v>0</v>
      </c>
      <c r="CG406" s="18"/>
      <c r="CH406" s="18"/>
      <c r="CI406" s="18"/>
      <c r="CJ406" s="130">
        <f>IF(CK406&gt;0,1,0)</f>
        <v>0</v>
      </c>
      <c r="CK406" s="128">
        <f>VLOOKUP($E406,[2]Current!$A:$AC,18,FALSE)</f>
        <v>0</v>
      </c>
      <c r="CL406" s="128">
        <f>CK406/$AS406</f>
        <v>0</v>
      </c>
      <c r="CS406" s="130">
        <f>IF(CU406&gt;0,1,0)</f>
        <v>0</v>
      </c>
      <c r="CU406" s="128">
        <f>VLOOKUP($E406,[2]Current!$A:$AC,17,FALSE)</f>
        <v>0</v>
      </c>
      <c r="CV406" s="128">
        <f>CU406/$AS406</f>
        <v>0</v>
      </c>
      <c r="CW406" s="18"/>
      <c r="CX406" s="18"/>
      <c r="CY406" s="18"/>
      <c r="DF406" s="16" t="e">
        <f>VLOOKUP(K406,'[3]RNA Seq summary tables'!$V$3:$V$99,1,FALSE)</f>
        <v>#N/A</v>
      </c>
    </row>
    <row r="407" spans="2:288" ht="16" x14ac:dyDescent="0.2">
      <c r="B407" s="16">
        <v>2017</v>
      </c>
      <c r="C407" s="20">
        <v>42955</v>
      </c>
      <c r="D407" s="20" t="str">
        <f>CONCATENATE(J407,"-",C407)</f>
        <v>1255-42955</v>
      </c>
      <c r="E407" s="37" t="str">
        <f>CONCATENATE(T407,"-",U407,"-",C407)</f>
        <v>BC1-B3-42955</v>
      </c>
      <c r="F407" s="20" t="s">
        <v>106</v>
      </c>
      <c r="G407" s="20" t="s">
        <v>107</v>
      </c>
      <c r="I407" s="16">
        <v>0</v>
      </c>
      <c r="J407" s="21">
        <v>1255</v>
      </c>
      <c r="K407" s="21">
        <v>2096</v>
      </c>
      <c r="L407" s="18">
        <v>0</v>
      </c>
      <c r="M407" s="21">
        <f>VLOOKUP($K407,'[4]blood tubes 2017'!$D$1:$L$647,8,FALSE)</f>
        <v>0</v>
      </c>
      <c r="N407" s="15">
        <v>0</v>
      </c>
      <c r="O407" s="15" t="s">
        <v>119</v>
      </c>
      <c r="P407" s="16" t="s">
        <v>119</v>
      </c>
      <c r="Q407" s="16">
        <v>0</v>
      </c>
      <c r="R407" s="16">
        <v>19</v>
      </c>
      <c r="T407" s="16" t="s">
        <v>159</v>
      </c>
      <c r="U407" s="16" t="s">
        <v>131</v>
      </c>
      <c r="V407" s="16" t="s">
        <v>114</v>
      </c>
      <c r="W407" s="16">
        <f>AI407/AG407</f>
        <v>0.82608695652173914</v>
      </c>
      <c r="X407" s="16" t="s">
        <v>121</v>
      </c>
      <c r="Y407" s="16" t="s">
        <v>110</v>
      </c>
      <c r="Z407" s="16">
        <v>3</v>
      </c>
      <c r="AA407" s="16" t="s">
        <v>161</v>
      </c>
      <c r="AB407" s="16" t="s">
        <v>239</v>
      </c>
      <c r="AC407" s="16" t="s">
        <v>123</v>
      </c>
      <c r="AD407" s="16" t="s">
        <v>116</v>
      </c>
      <c r="AG407" s="16">
        <f>AH407-AI407</f>
        <v>92</v>
      </c>
      <c r="AH407" s="16">
        <v>168</v>
      </c>
      <c r="AI407" s="16">
        <v>76</v>
      </c>
      <c r="AK407" s="16">
        <v>22.5</v>
      </c>
      <c r="AL407" s="16">
        <v>0</v>
      </c>
      <c r="AM407" s="16">
        <v>0</v>
      </c>
      <c r="AN407" s="16">
        <v>0</v>
      </c>
      <c r="AO407" s="16">
        <v>0</v>
      </c>
      <c r="AP407" s="16">
        <f>SUM(AL407:AN407)</f>
        <v>0</v>
      </c>
      <c r="AQ407" s="16">
        <v>1.986</v>
      </c>
      <c r="AR407" s="16">
        <f>AP407-1.472</f>
        <v>-1.472</v>
      </c>
      <c r="AS407" s="16">
        <f>AQ407-1.472</f>
        <v>0.51400000000000001</v>
      </c>
      <c r="AT407" s="16" t="str">
        <f>VLOOKUP(E407,[2]Current!$A$1:$W$435,7,FALSE)</f>
        <v>TE</v>
      </c>
      <c r="AU407" s="16" t="s">
        <v>1288</v>
      </c>
      <c r="AV407" s="23">
        <v>1</v>
      </c>
      <c r="AW407" s="128">
        <f>IF(AX407&gt;0,1,0)</f>
        <v>0</v>
      </c>
      <c r="AX407" s="128">
        <f>SUM(BA407,BM407,CU407)</f>
        <v>0</v>
      </c>
      <c r="AY407" s="128">
        <f>SUM(BB407,BN407,CV407)</f>
        <v>0</v>
      </c>
      <c r="AZ407" s="128">
        <f>IF(BA407&gt;0,1,0)</f>
        <v>0</v>
      </c>
      <c r="BA407" s="128">
        <f>SUM(BC407+BF407+BI407)</f>
        <v>0</v>
      </c>
      <c r="BB407" s="128">
        <f>SUM(BE407,BH407,BK407)</f>
        <v>0</v>
      </c>
      <c r="BC407" s="130">
        <f>IF(BD407&gt;0,1,0)</f>
        <v>0</v>
      </c>
      <c r="BD407" s="128">
        <f>VLOOKUP($E407,[2]Current!$A:$AC,26,FALSE)</f>
        <v>0</v>
      </c>
      <c r="BE407" s="128">
        <f>BD407/$AS407</f>
        <v>0</v>
      </c>
      <c r="BF407" s="130">
        <f>IF(BG407&gt;0,1,0)</f>
        <v>0</v>
      </c>
      <c r="BG407" s="175">
        <f>VLOOKUP($E407,[2]Current!$A:$AC,27,FALSE)</f>
        <v>0</v>
      </c>
      <c r="BH407" s="128">
        <f>BG407/$AS407</f>
        <v>0</v>
      </c>
      <c r="BI407" s="130">
        <f>IF(BJ407&gt;0,1,0)</f>
        <v>0</v>
      </c>
      <c r="BJ407" s="128">
        <f>VLOOKUP($E407,[2]Current!$A:$AC,28,FALSE)</f>
        <v>0</v>
      </c>
      <c r="BK407" s="128">
        <f>BJ407/$AS407</f>
        <v>0</v>
      </c>
      <c r="BL407" s="128">
        <f>IF(BM407&gt;0,1,0)</f>
        <v>0</v>
      </c>
      <c r="BM407" s="128">
        <f>SUM(BR407,BU407,BX407,CA407,CD407)</f>
        <v>0</v>
      </c>
      <c r="BN407" s="131">
        <f>SUM(BT407,BW407,BZ407,CC407,CF407)</f>
        <v>0</v>
      </c>
      <c r="BO407" s="128">
        <f>IF(BP407&gt;0,1,0)</f>
        <v>0</v>
      </c>
      <c r="BP407" s="128">
        <f>BM407+CJ407</f>
        <v>0</v>
      </c>
      <c r="BQ407" s="128">
        <f>BN407+CL407</f>
        <v>0</v>
      </c>
      <c r="BR407" s="130">
        <f>IF(BS407&gt;0,1,0)</f>
        <v>0</v>
      </c>
      <c r="BS407" s="128">
        <f>VLOOKUP($E407,[2]Current!$A:$AC,12,FALSE)</f>
        <v>0</v>
      </c>
      <c r="BT407" s="175">
        <f>BS407/$AS407</f>
        <v>0</v>
      </c>
      <c r="BU407" s="130">
        <f>IF(BV407&gt;0,1,0)</f>
        <v>0</v>
      </c>
      <c r="BV407" s="128">
        <f>VLOOKUP($E407,[2]Current!$A:$AC,13,FALSE)</f>
        <v>0</v>
      </c>
      <c r="BW407" s="128">
        <f>BV407/$AS407</f>
        <v>0</v>
      </c>
      <c r="BX407" s="130">
        <f>IF(BY407&gt;0,1,0)</f>
        <v>0</v>
      </c>
      <c r="BY407" s="128">
        <f>VLOOKUP($E407,[2]Current!$A:$AC,14,FALSE)</f>
        <v>0</v>
      </c>
      <c r="BZ407" s="128">
        <f>BY407/$AS407</f>
        <v>0</v>
      </c>
      <c r="CA407" s="130">
        <f>IF(CB407&gt;0,1,0)</f>
        <v>0</v>
      </c>
      <c r="CB407" s="128">
        <f>VLOOKUP($E407,[2]Current!$A:$AC,15,FALSE)</f>
        <v>0</v>
      </c>
      <c r="CC407" s="128">
        <f>CB407/$AS407</f>
        <v>0</v>
      </c>
      <c r="CD407" s="176">
        <f>IF(CE407&gt;0,1,0)</f>
        <v>0</v>
      </c>
      <c r="CE407" s="128">
        <f>VLOOKUP($E407,[2]Current!$A:$AC,16,FALSE)</f>
        <v>0</v>
      </c>
      <c r="CF407" s="128">
        <f>CE407/$AS407</f>
        <v>0</v>
      </c>
      <c r="CG407" s="18"/>
      <c r="CH407" s="18"/>
      <c r="CI407" s="18"/>
      <c r="CJ407" s="130">
        <f>IF(CK407&gt;0,1,0)</f>
        <v>0</v>
      </c>
      <c r="CK407" s="128">
        <f>VLOOKUP($E407,[2]Current!$A:$AC,18,FALSE)</f>
        <v>0</v>
      </c>
      <c r="CL407" s="128">
        <f>CK407/$AS407</f>
        <v>0</v>
      </c>
      <c r="CS407" s="130">
        <f>IF(CU407&gt;0,1,0)</f>
        <v>0</v>
      </c>
      <c r="CU407" s="128">
        <f>VLOOKUP($E407,[2]Current!$A:$AC,17,FALSE)</f>
        <v>0</v>
      </c>
      <c r="CV407" s="128">
        <f>CU407/$AS407</f>
        <v>0</v>
      </c>
      <c r="CW407" s="18"/>
      <c r="CX407" s="18"/>
      <c r="CY407" s="18"/>
      <c r="DF407" s="16" t="e">
        <f>VLOOKUP(K407,'[3]RNA Seq summary tables'!$V$3:$V$99,1,FALSE)</f>
        <v>#N/A</v>
      </c>
    </row>
    <row r="408" spans="2:288" ht="16" x14ac:dyDescent="0.2">
      <c r="B408" s="16">
        <v>2017</v>
      </c>
      <c r="C408" s="20">
        <v>42936</v>
      </c>
      <c r="D408" s="20" t="str">
        <f>CONCATENATE(J408,"-",C408)</f>
        <v>1257-42936</v>
      </c>
      <c r="E408" s="37" t="str">
        <f>CONCATENATE(T408,"-",U408,"-",C408)</f>
        <v>BC1-G1-42936</v>
      </c>
      <c r="F408" s="20" t="s">
        <v>106</v>
      </c>
      <c r="G408" s="20" t="s">
        <v>107</v>
      </c>
      <c r="I408" s="16">
        <v>0</v>
      </c>
      <c r="J408" s="21">
        <v>1257</v>
      </c>
      <c r="K408" s="21">
        <v>1937</v>
      </c>
      <c r="L408" s="18">
        <v>0</v>
      </c>
      <c r="M408" s="21">
        <f>VLOOKUP($K408,'[4]blood tubes 2017'!$D$1:$L$647,8,FALSE)</f>
        <v>0</v>
      </c>
      <c r="N408" s="15">
        <v>0</v>
      </c>
      <c r="O408" s="15" t="s">
        <v>119</v>
      </c>
      <c r="P408" s="16" t="s">
        <v>119</v>
      </c>
      <c r="Q408" s="16">
        <v>0</v>
      </c>
      <c r="R408" s="16" t="s">
        <v>111</v>
      </c>
      <c r="T408" s="16" t="s">
        <v>159</v>
      </c>
      <c r="U408" s="16" t="s">
        <v>155</v>
      </c>
      <c r="V408" s="16" t="s">
        <v>114</v>
      </c>
      <c r="W408" s="16">
        <f>AI408/AG408</f>
        <v>0.81318681318681318</v>
      </c>
      <c r="X408" s="16" t="s">
        <v>115</v>
      </c>
      <c r="Y408" s="16" t="s">
        <v>110</v>
      </c>
      <c r="Z408" s="16">
        <v>3</v>
      </c>
      <c r="AE408" s="16" t="s">
        <v>116</v>
      </c>
      <c r="AF408" s="16" t="s">
        <v>116</v>
      </c>
      <c r="AG408" s="16">
        <f>AH408-AI408</f>
        <v>91</v>
      </c>
      <c r="AH408" s="16">
        <v>165</v>
      </c>
      <c r="AI408" s="16">
        <v>74</v>
      </c>
      <c r="AK408" s="16">
        <v>22.5</v>
      </c>
      <c r="AL408" s="16">
        <v>1</v>
      </c>
      <c r="AM408" s="16">
        <v>0</v>
      </c>
      <c r="AN408" s="16">
        <v>0</v>
      </c>
      <c r="AO408" s="16">
        <v>1</v>
      </c>
      <c r="AP408" s="16">
        <f>SUM(AL408:AN408)</f>
        <v>1</v>
      </c>
      <c r="AQ408" s="16">
        <v>1.5740000000000001</v>
      </c>
      <c r="AR408" s="16">
        <f>AP408-1.472</f>
        <v>-0.47199999999999998</v>
      </c>
      <c r="AS408" s="16">
        <f>AQ408-1.472</f>
        <v>0.10200000000000009</v>
      </c>
      <c r="AT408" s="16" t="str">
        <f>VLOOKUP(E408,[2]Current!$A$1:$W$435,7,FALSE)</f>
        <v>LV</v>
      </c>
      <c r="AU408" s="16" t="s">
        <v>1288</v>
      </c>
      <c r="AW408" s="128">
        <f>IF(AX408&gt;0,1,0)</f>
        <v>1</v>
      </c>
      <c r="AX408" s="128">
        <f>SUM(BA408,BM408,CU408)</f>
        <v>1</v>
      </c>
      <c r="AY408" s="128">
        <f>SUM(BB408,BN408,CV408)</f>
        <v>147.05882352941163</v>
      </c>
      <c r="AZ408" s="128">
        <f>IF(BA408&gt;0,1,0)</f>
        <v>1</v>
      </c>
      <c r="BA408" s="128">
        <f>SUM(BC408+BF408+BI408)</f>
        <v>1</v>
      </c>
      <c r="BB408" s="128">
        <f>SUM(BE408,BH408,BK408)</f>
        <v>147.05882352941163</v>
      </c>
      <c r="BC408" s="130">
        <f>IF(BD408&gt;0,1,0)</f>
        <v>0</v>
      </c>
      <c r="BD408" s="128">
        <f>VLOOKUP($E408,[2]Current!$A:$AC,26,FALSE)</f>
        <v>0</v>
      </c>
      <c r="BE408" s="128">
        <f>BD408/$AS408</f>
        <v>0</v>
      </c>
      <c r="BF408" s="130">
        <f>IF(BG408&gt;0,1,0)</f>
        <v>1</v>
      </c>
      <c r="BG408" s="175">
        <f>VLOOKUP($E408,[2]Current!$A:$AC,27,FALSE)</f>
        <v>15</v>
      </c>
      <c r="BH408" s="128">
        <f>BG408/$AS408</f>
        <v>147.05882352941163</v>
      </c>
      <c r="BI408" s="130">
        <f>IF(BJ408&gt;0,1,0)</f>
        <v>0</v>
      </c>
      <c r="BJ408" s="128">
        <f>VLOOKUP($E408,[2]Current!$A:$AC,28,FALSE)</f>
        <v>0</v>
      </c>
      <c r="BK408" s="128">
        <f>BJ408/$AS408</f>
        <v>0</v>
      </c>
      <c r="BL408" s="128">
        <f>IF(BM408&gt;0,1,0)</f>
        <v>0</v>
      </c>
      <c r="BM408" s="128">
        <f>SUM(BR408,BU408,BX408,CA408,CD408)</f>
        <v>0</v>
      </c>
      <c r="BN408" s="131">
        <f>SUM(BT408,BW408,BZ408,CC408,CF408)</f>
        <v>0</v>
      </c>
      <c r="BO408" s="128">
        <f>IF(BP408&gt;0,1,0)</f>
        <v>0</v>
      </c>
      <c r="BP408" s="128">
        <f>BM408+CJ408</f>
        <v>0</v>
      </c>
      <c r="BQ408" s="128">
        <f>BN408+CL408</f>
        <v>0</v>
      </c>
      <c r="BR408" s="130">
        <f>IF(BS408&gt;0,1,0)</f>
        <v>0</v>
      </c>
      <c r="BS408" s="128">
        <f>VLOOKUP($E408,[2]Current!$A:$AC,12,FALSE)</f>
        <v>0</v>
      </c>
      <c r="BT408" s="175">
        <f>BS408/$AS408</f>
        <v>0</v>
      </c>
      <c r="BU408" s="130">
        <f>IF(BV408&gt;0,1,0)</f>
        <v>0</v>
      </c>
      <c r="BV408" s="128">
        <f>VLOOKUP($E408,[2]Current!$A:$AC,13,FALSE)</f>
        <v>0</v>
      </c>
      <c r="BW408" s="128">
        <f>BV408/$AS408</f>
        <v>0</v>
      </c>
      <c r="BX408" s="130">
        <f>IF(BY408&gt;0,1,0)</f>
        <v>0</v>
      </c>
      <c r="BY408" s="128">
        <f>VLOOKUP($E408,[2]Current!$A:$AC,14,FALSE)</f>
        <v>0</v>
      </c>
      <c r="BZ408" s="128">
        <f>BY408/$AS408</f>
        <v>0</v>
      </c>
      <c r="CA408" s="130">
        <f>IF(CB408&gt;0,1,0)</f>
        <v>0</v>
      </c>
      <c r="CB408" s="128">
        <f>VLOOKUP($E408,[2]Current!$A:$AC,15,FALSE)</f>
        <v>0</v>
      </c>
      <c r="CC408" s="128">
        <f>CB408/$AS408</f>
        <v>0</v>
      </c>
      <c r="CD408" s="176">
        <f>IF(CE408&gt;0,1,0)</f>
        <v>0</v>
      </c>
      <c r="CE408" s="128">
        <f>VLOOKUP($E408,[2]Current!$A:$AC,16,FALSE)</f>
        <v>0</v>
      </c>
      <c r="CF408" s="128">
        <f>CE408/$AS408</f>
        <v>0</v>
      </c>
      <c r="CG408" s="18"/>
      <c r="CH408" s="18"/>
      <c r="CI408" s="18"/>
      <c r="CJ408" s="130">
        <f>IF(CK408&gt;0,1,0)</f>
        <v>0</v>
      </c>
      <c r="CK408" s="128">
        <f>VLOOKUP($E408,[2]Current!$A:$AC,18,FALSE)</f>
        <v>0</v>
      </c>
      <c r="CL408" s="128">
        <f>CK408/$AS408</f>
        <v>0</v>
      </c>
      <c r="CS408" s="130">
        <f>IF(CU408&gt;0,1,0)</f>
        <v>0</v>
      </c>
      <c r="CU408" s="128">
        <f>VLOOKUP($E408,[2]Current!$A:$AC,17,FALSE)</f>
        <v>0</v>
      </c>
      <c r="CV408" s="128">
        <f>CU408/$AS408</f>
        <v>0</v>
      </c>
      <c r="CW408" s="18"/>
      <c r="CX408" s="18"/>
      <c r="CY408" s="18"/>
      <c r="DF408" s="16" t="e">
        <f>VLOOKUP(K408,'[3]RNA Seq summary tables'!$V$3:$V$99,1,FALSE)</f>
        <v>#N/A</v>
      </c>
    </row>
    <row r="409" spans="2:288" x14ac:dyDescent="0.2">
      <c r="B409" s="16">
        <v>2017</v>
      </c>
      <c r="C409" s="20">
        <v>42937</v>
      </c>
      <c r="D409" s="20" t="str">
        <f>CONCATENATE(J409,"-",C409)</f>
        <v>1259-42937</v>
      </c>
      <c r="E409" s="142" t="str">
        <f>CONCATENATE(T409,"-",U409,"-",C409)</f>
        <v>BC2-H3-42937</v>
      </c>
      <c r="F409" s="20" t="s">
        <v>106</v>
      </c>
      <c r="G409" s="20" t="s">
        <v>107</v>
      </c>
      <c r="J409" s="21">
        <v>1259</v>
      </c>
      <c r="K409" s="21">
        <v>1943</v>
      </c>
      <c r="L409" s="18">
        <v>0</v>
      </c>
      <c r="M409" s="21">
        <f>VLOOKUP($K409,'[4]blood tubes 2017'!$D$1:$L$647,8,FALSE)</f>
        <v>0</v>
      </c>
      <c r="N409" s="15">
        <v>0</v>
      </c>
      <c r="O409" s="15" t="s">
        <v>119</v>
      </c>
      <c r="P409" s="16" t="s">
        <v>119</v>
      </c>
      <c r="Q409" s="16">
        <v>0</v>
      </c>
      <c r="R409" s="16" t="s">
        <v>111</v>
      </c>
      <c r="T409" s="16" t="s">
        <v>154</v>
      </c>
      <c r="U409" s="16" t="s">
        <v>174</v>
      </c>
      <c r="V409" s="16" t="s">
        <v>142</v>
      </c>
      <c r="W409" s="16">
        <f>AI409/AG409</f>
        <v>1</v>
      </c>
      <c r="X409" s="16" t="s">
        <v>115</v>
      </c>
      <c r="Y409" s="16" t="s">
        <v>110</v>
      </c>
      <c r="Z409" s="16">
        <v>3</v>
      </c>
      <c r="AE409" s="16" t="s">
        <v>116</v>
      </c>
      <c r="AF409" s="16" t="s">
        <v>116</v>
      </c>
      <c r="AG409" s="16">
        <f>AH409-AI409</f>
        <v>81</v>
      </c>
      <c r="AH409" s="16">
        <v>162</v>
      </c>
      <c r="AI409" s="16">
        <v>81</v>
      </c>
      <c r="AK409" s="16">
        <v>15</v>
      </c>
      <c r="AL409" s="16">
        <v>0</v>
      </c>
      <c r="AM409" s="16">
        <v>0</v>
      </c>
      <c r="AN409" s="16">
        <v>0</v>
      </c>
      <c r="AO409" s="16">
        <v>0</v>
      </c>
      <c r="AP409" s="16">
        <f>SUM(AL409:AN409)</f>
        <v>0</v>
      </c>
      <c r="AQ409" s="16">
        <v>1.6739999999999999</v>
      </c>
      <c r="AR409" s="16">
        <f>AP409-1.472</f>
        <v>-1.472</v>
      </c>
      <c r="AS409" s="16">
        <f>AQ409-1.472</f>
        <v>0.20199999999999996</v>
      </c>
      <c r="AT409" s="16" t="e">
        <f>VLOOKUP(E409,[2]Current!$A$1:$W$435,7,FALSE)</f>
        <v>#N/A</v>
      </c>
      <c r="AU409" s="16">
        <v>0</v>
      </c>
      <c r="AW409" s="18"/>
      <c r="AX409" s="18"/>
      <c r="AY409" s="18"/>
      <c r="AZ409" s="18"/>
      <c r="BA409" s="18"/>
      <c r="BB409" s="18"/>
      <c r="BC409" s="18"/>
      <c r="BD409" s="18"/>
      <c r="BG409" s="23"/>
      <c r="BT409" s="23"/>
      <c r="CD409" s="23"/>
      <c r="DF409" s="16" t="e">
        <f>VLOOKUP(K409,'[3]RNA Seq summary tables'!$V$3:$V$99,1,FALSE)</f>
        <v>#N/A</v>
      </c>
      <c r="JP409" s="18"/>
      <c r="JQ409" s="18"/>
    </row>
    <row r="410" spans="2:288" x14ac:dyDescent="0.2">
      <c r="B410" s="16">
        <v>2017</v>
      </c>
      <c r="C410" s="43">
        <v>42954</v>
      </c>
      <c r="D410" s="20" t="str">
        <f>CONCATENATE(J410,"-",C410)</f>
        <v>1259-42954</v>
      </c>
      <c r="E410" s="142" t="str">
        <f>CONCATENATE(T410,"-",U410,"-",C410)</f>
        <v>BC2-F3-42954</v>
      </c>
      <c r="F410" s="20" t="s">
        <v>106</v>
      </c>
      <c r="G410" s="43" t="s">
        <v>107</v>
      </c>
      <c r="H410" s="23"/>
      <c r="J410" s="15">
        <v>1259</v>
      </c>
      <c r="K410" s="15">
        <v>2078</v>
      </c>
      <c r="L410" s="18">
        <v>0</v>
      </c>
      <c r="M410" s="21">
        <f>VLOOKUP($K410,'[4]blood tubes 2017'!$D$1:$L$647,8,FALSE)</f>
        <v>0</v>
      </c>
      <c r="N410" s="15">
        <v>0</v>
      </c>
      <c r="O410" s="15" t="s">
        <v>119</v>
      </c>
      <c r="P410" s="23" t="s">
        <v>119</v>
      </c>
      <c r="Q410" s="16">
        <v>0</v>
      </c>
      <c r="R410" s="23">
        <v>17</v>
      </c>
      <c r="S410" s="23"/>
      <c r="T410" s="23" t="s">
        <v>154</v>
      </c>
      <c r="U410" s="23" t="s">
        <v>182</v>
      </c>
      <c r="V410" s="23" t="s">
        <v>142</v>
      </c>
      <c r="W410" s="16">
        <f>AI410/AG410</f>
        <v>1.0121951219512195</v>
      </c>
      <c r="X410" s="23" t="s">
        <v>115</v>
      </c>
      <c r="Y410" s="23" t="s">
        <v>110</v>
      </c>
      <c r="Z410" s="23">
        <v>3</v>
      </c>
      <c r="AA410" s="23"/>
      <c r="AB410" s="23"/>
      <c r="AC410" s="23"/>
      <c r="AD410" s="23"/>
      <c r="AE410" s="23" t="s">
        <v>116</v>
      </c>
      <c r="AF410" s="23" t="s">
        <v>116</v>
      </c>
      <c r="AG410" s="23">
        <f>AH410-AI410</f>
        <v>82</v>
      </c>
      <c r="AH410" s="23">
        <v>165</v>
      </c>
      <c r="AI410" s="23">
        <v>83</v>
      </c>
      <c r="AJ410" s="23"/>
      <c r="AK410" s="23">
        <v>14.5</v>
      </c>
      <c r="AL410" s="23">
        <v>0</v>
      </c>
      <c r="AM410" s="23">
        <v>0</v>
      </c>
      <c r="AN410" s="23">
        <v>0</v>
      </c>
      <c r="AO410" s="23">
        <v>0</v>
      </c>
      <c r="AP410" s="23">
        <f>SUM(AL410:AN410)</f>
        <v>0</v>
      </c>
      <c r="AQ410" s="23">
        <v>1.776</v>
      </c>
      <c r="AR410" s="23">
        <f>AP410-1.472</f>
        <v>-1.472</v>
      </c>
      <c r="AS410" s="23">
        <f>AQ410-1.472</f>
        <v>0.30400000000000005</v>
      </c>
      <c r="AT410" s="16" t="e">
        <f>VLOOKUP(E410,[2]Current!$A$1:$W$435,7,FALSE)</f>
        <v>#N/A</v>
      </c>
      <c r="AU410" s="16">
        <v>0</v>
      </c>
      <c r="AV410" s="23"/>
      <c r="AW410" s="25"/>
      <c r="AX410" s="25"/>
      <c r="AY410" s="25"/>
      <c r="AZ410" s="18"/>
      <c r="BA410" s="25"/>
      <c r="BB410" s="25"/>
      <c r="BC410" s="18"/>
      <c r="BD410" s="25"/>
      <c r="BE410" s="23"/>
      <c r="BG410" s="23"/>
      <c r="BH410" s="23"/>
      <c r="BJ410" s="23"/>
      <c r="BK410" s="23"/>
      <c r="BS410" s="23"/>
      <c r="BT410" s="23"/>
      <c r="BV410" s="23"/>
      <c r="BY410" s="23"/>
      <c r="CB410" s="23"/>
      <c r="CC410" s="23"/>
      <c r="CD410" s="23"/>
      <c r="CE410" s="23"/>
      <c r="CF410" s="23"/>
      <c r="CG410" s="23"/>
      <c r="CH410" s="23"/>
      <c r="CI410" s="23"/>
      <c r="CJ410" s="23"/>
      <c r="CK410" s="23"/>
      <c r="CL410" s="23"/>
      <c r="CM410" s="23"/>
      <c r="CN410" s="23"/>
      <c r="CO410" s="23"/>
      <c r="CP410" s="23"/>
      <c r="CQ410" s="23"/>
      <c r="CR410" s="23"/>
      <c r="CV410" s="23"/>
      <c r="CX410" s="23"/>
      <c r="CY410" s="23"/>
      <c r="CZ410" s="23"/>
      <c r="DA410" s="23"/>
      <c r="DB410" s="23"/>
      <c r="DC410" s="23"/>
      <c r="DD410" s="23"/>
      <c r="DE410" s="23"/>
      <c r="DF410" s="16" t="e">
        <f>VLOOKUP(K410,'[3]RNA Seq summary tables'!$V$3:$V$99,1,FALSE)</f>
        <v>#N/A</v>
      </c>
      <c r="DI410" s="23"/>
      <c r="DJ410" s="23"/>
      <c r="DK410" s="23"/>
      <c r="DL410" s="23"/>
      <c r="DM410" s="23"/>
      <c r="DN410" s="23"/>
      <c r="DO410" s="23"/>
      <c r="DP410" s="23"/>
      <c r="DQ410" s="23"/>
      <c r="DR410" s="23"/>
      <c r="DS410" s="23"/>
      <c r="DT410" s="25"/>
      <c r="DU410" s="25"/>
      <c r="DV410" s="25"/>
      <c r="DW410" s="25"/>
      <c r="DX410" s="25"/>
      <c r="DY410" s="25"/>
      <c r="DZ410" s="25"/>
      <c r="EA410" s="25"/>
      <c r="EB410" s="25"/>
      <c r="EC410" s="25"/>
      <c r="ED410" s="25"/>
      <c r="EE410" s="25"/>
      <c r="EF410" s="25"/>
      <c r="EG410" s="25"/>
      <c r="EH410" s="25"/>
      <c r="EI410" s="25"/>
      <c r="EJ410" s="25"/>
      <c r="EK410" s="25"/>
      <c r="EL410" s="25"/>
      <c r="EM410" s="25"/>
      <c r="EN410" s="25"/>
      <c r="EO410" s="25"/>
      <c r="EP410" s="25"/>
      <c r="EQ410" s="25"/>
      <c r="ER410" s="25"/>
      <c r="ES410" s="25"/>
      <c r="ET410" s="25"/>
      <c r="EU410" s="25"/>
      <c r="EV410" s="25"/>
      <c r="EW410" s="25"/>
      <c r="EX410" s="25"/>
      <c r="EY410" s="25"/>
      <c r="EZ410" s="25"/>
      <c r="FA410" s="25"/>
      <c r="FB410" s="25"/>
      <c r="FC410" s="25"/>
      <c r="FD410" s="25"/>
      <c r="FE410" s="25"/>
      <c r="FF410" s="25"/>
      <c r="FG410" s="25"/>
      <c r="FH410" s="25"/>
      <c r="FI410" s="25"/>
      <c r="FJ410" s="25"/>
      <c r="FK410" s="25"/>
      <c r="FL410" s="25"/>
      <c r="FM410" s="25"/>
      <c r="FN410" s="25"/>
      <c r="FO410" s="25"/>
      <c r="FP410" s="25"/>
      <c r="FQ410" s="25"/>
      <c r="FR410" s="25"/>
      <c r="FS410" s="25"/>
      <c r="FT410" s="25"/>
      <c r="FU410" s="25"/>
      <c r="FV410" s="25"/>
      <c r="FW410" s="25"/>
      <c r="FX410" s="25"/>
      <c r="FY410" s="25"/>
      <c r="FZ410" s="25"/>
      <c r="GA410" s="25"/>
      <c r="GB410" s="25"/>
      <c r="GC410" s="25"/>
      <c r="GD410" s="25"/>
      <c r="GE410" s="25"/>
      <c r="GF410" s="25"/>
      <c r="GG410" s="25"/>
      <c r="GH410" s="25"/>
      <c r="GI410" s="25"/>
      <c r="GJ410" s="25"/>
      <c r="GK410" s="25"/>
      <c r="GL410" s="25"/>
      <c r="GM410" s="25"/>
      <c r="GN410" s="25"/>
      <c r="GO410" s="25"/>
      <c r="GP410" s="25"/>
      <c r="GQ410" s="25"/>
      <c r="GR410" s="25"/>
      <c r="GS410" s="25"/>
      <c r="GT410" s="25"/>
      <c r="GU410" s="25"/>
      <c r="GV410" s="25"/>
      <c r="GW410" s="25"/>
      <c r="GX410" s="25"/>
      <c r="GY410" s="25"/>
      <c r="GZ410" s="25"/>
      <c r="HA410" s="25"/>
      <c r="HB410" s="25"/>
      <c r="HC410" s="25"/>
      <c r="HD410" s="25"/>
      <c r="HE410" s="25"/>
      <c r="HF410" s="25"/>
      <c r="HG410" s="25"/>
      <c r="HH410" s="25"/>
      <c r="HI410" s="25"/>
      <c r="HJ410" s="25"/>
      <c r="HK410" s="25"/>
      <c r="HL410" s="25"/>
      <c r="HM410" s="25"/>
      <c r="HN410" s="25"/>
      <c r="HO410" s="25"/>
      <c r="HP410" s="25"/>
      <c r="HQ410" s="25"/>
      <c r="HR410" s="25"/>
      <c r="HS410" s="25"/>
      <c r="HT410" s="25"/>
      <c r="HU410" s="25"/>
      <c r="HV410" s="25"/>
      <c r="HW410" s="25"/>
      <c r="HX410" s="25"/>
      <c r="HY410" s="25"/>
      <c r="HZ410" s="25"/>
      <c r="IA410" s="25"/>
      <c r="IB410" s="25"/>
      <c r="IC410" s="25"/>
      <c r="ID410" s="25"/>
      <c r="IE410" s="25"/>
      <c r="IF410" s="25"/>
      <c r="IG410" s="25"/>
      <c r="IH410" s="25"/>
      <c r="II410" s="25"/>
      <c r="IJ410" s="25"/>
      <c r="IK410" s="25"/>
      <c r="IL410" s="25"/>
      <c r="IM410" s="25"/>
      <c r="IN410" s="25"/>
      <c r="IO410" s="25"/>
      <c r="IP410" s="25"/>
      <c r="IQ410" s="25"/>
      <c r="IR410" s="25"/>
      <c r="IS410" s="25"/>
      <c r="IT410" s="25"/>
      <c r="IU410" s="25"/>
      <c r="IV410" s="25"/>
      <c r="IW410" s="25"/>
      <c r="IX410" s="25"/>
      <c r="IY410" s="25"/>
      <c r="IZ410" s="25"/>
      <c r="JA410" s="25"/>
      <c r="JB410" s="25"/>
      <c r="JC410" s="25"/>
      <c r="JD410" s="25"/>
      <c r="JE410" s="25"/>
      <c r="JF410" s="25"/>
      <c r="JG410" s="25"/>
      <c r="JH410" s="25"/>
      <c r="JI410" s="25"/>
      <c r="JJ410" s="25"/>
      <c r="JK410" s="25"/>
      <c r="JL410" s="25"/>
      <c r="JM410" s="25"/>
      <c r="JN410" s="25"/>
      <c r="JO410" s="23"/>
      <c r="JR410" s="18"/>
      <c r="JS410" s="18"/>
      <c r="JT410" s="18"/>
      <c r="JU410" s="18"/>
      <c r="JV410" s="18"/>
      <c r="JW410" s="18"/>
      <c r="JX410" s="18"/>
      <c r="JY410" s="18"/>
      <c r="JZ410" s="18"/>
      <c r="KA410" s="18"/>
      <c r="KB410" s="18"/>
    </row>
    <row r="411" spans="2:288" ht="16" x14ac:dyDescent="0.2">
      <c r="B411" s="16">
        <v>2017</v>
      </c>
      <c r="C411" s="20">
        <v>42937</v>
      </c>
      <c r="D411" s="20" t="str">
        <f>CONCATENATE(J411,"-",C411)</f>
        <v>1261-42937</v>
      </c>
      <c r="E411" s="37" t="str">
        <f>CONCATENATE(T411,"-",U411,"-",C411)</f>
        <v>BC2-H8-42937</v>
      </c>
      <c r="F411" s="20" t="s">
        <v>106</v>
      </c>
      <c r="G411" s="20" t="s">
        <v>107</v>
      </c>
      <c r="I411" s="16">
        <v>0</v>
      </c>
      <c r="J411" s="21">
        <v>1261</v>
      </c>
      <c r="K411" s="21">
        <v>1945</v>
      </c>
      <c r="L411" s="18">
        <v>0</v>
      </c>
      <c r="M411" s="21">
        <f>VLOOKUP($K411,'[4]blood tubes 2017'!$D$1:$L$647,8,FALSE)</f>
        <v>0</v>
      </c>
      <c r="N411" s="15">
        <v>0</v>
      </c>
      <c r="O411" s="15" t="s">
        <v>119</v>
      </c>
      <c r="P411" s="16" t="s">
        <v>119</v>
      </c>
      <c r="Q411" s="16">
        <v>0</v>
      </c>
      <c r="R411" s="16" t="s">
        <v>111</v>
      </c>
      <c r="T411" s="16" t="s">
        <v>154</v>
      </c>
      <c r="U411" s="16" t="s">
        <v>152</v>
      </c>
      <c r="V411" s="16" t="s">
        <v>114</v>
      </c>
      <c r="W411" s="16">
        <f>AI411/AG411</f>
        <v>0.86046511627906974</v>
      </c>
      <c r="X411" s="16" t="s">
        <v>121</v>
      </c>
      <c r="Y411" s="16" t="s">
        <v>110</v>
      </c>
      <c r="Z411" s="16">
        <v>3</v>
      </c>
      <c r="AA411" s="16" t="s">
        <v>119</v>
      </c>
      <c r="AB411" s="16" t="s">
        <v>240</v>
      </c>
      <c r="AC411" s="16" t="s">
        <v>123</v>
      </c>
      <c r="AD411" s="16" t="s">
        <v>123</v>
      </c>
      <c r="AG411" s="16">
        <f>AH411-AI411</f>
        <v>86</v>
      </c>
      <c r="AH411" s="16">
        <v>160</v>
      </c>
      <c r="AI411" s="16">
        <v>74</v>
      </c>
      <c r="AK411" s="16">
        <v>24</v>
      </c>
      <c r="AL411" s="16">
        <v>0</v>
      </c>
      <c r="AM411" s="16">
        <v>0</v>
      </c>
      <c r="AN411" s="16">
        <v>0</v>
      </c>
      <c r="AO411" s="16">
        <v>0</v>
      </c>
      <c r="AP411" s="16">
        <f>SUM(AL411:AN411)</f>
        <v>0</v>
      </c>
      <c r="AQ411" s="16">
        <v>2.0110000000000001</v>
      </c>
      <c r="AR411" s="16">
        <f>AP411-1.472</f>
        <v>-1.472</v>
      </c>
      <c r="AS411" s="16">
        <f>AQ411-1.472</f>
        <v>0.53900000000000015</v>
      </c>
      <c r="AT411" s="16" t="str">
        <f>VLOOKUP(E411,[2]Current!$A$1:$W$435,7,FALSE)</f>
        <v>NB</v>
      </c>
      <c r="AU411" s="16" t="s">
        <v>1288</v>
      </c>
      <c r="AV411" s="23">
        <v>1</v>
      </c>
      <c r="AW411" s="128">
        <f>IF(AX411&gt;0,1,0)</f>
        <v>0</v>
      </c>
      <c r="AX411" s="128">
        <f>SUM(BA411,BM411,CU411)</f>
        <v>0</v>
      </c>
      <c r="AY411" s="128">
        <f>SUM(BB411,BN411,CV411)</f>
        <v>0</v>
      </c>
      <c r="AZ411" s="128">
        <f>IF(BA411&gt;0,1,0)</f>
        <v>0</v>
      </c>
      <c r="BA411" s="128">
        <f>SUM(BC411+BF411+BI411)</f>
        <v>0</v>
      </c>
      <c r="BB411" s="128">
        <f>SUM(BE411,BH411,BK411)</f>
        <v>0</v>
      </c>
      <c r="BC411" s="130">
        <f>IF(BD411&gt;0,1,0)</f>
        <v>0</v>
      </c>
      <c r="BD411" s="128">
        <f>VLOOKUP($E411,[2]Current!$A:$AC,26,FALSE)</f>
        <v>0</v>
      </c>
      <c r="BE411" s="128">
        <f>BD411/$AS411</f>
        <v>0</v>
      </c>
      <c r="BF411" s="130">
        <f>IF(BG411&gt;0,1,0)</f>
        <v>0</v>
      </c>
      <c r="BG411" s="175">
        <f>VLOOKUP($E411,[2]Current!$A:$AC,27,FALSE)</f>
        <v>0</v>
      </c>
      <c r="BH411" s="128">
        <f>BG411/$AS411</f>
        <v>0</v>
      </c>
      <c r="BI411" s="130">
        <f>IF(BJ411&gt;0,1,0)</f>
        <v>0</v>
      </c>
      <c r="BJ411" s="128">
        <f>VLOOKUP($E411,[2]Current!$A:$AC,28,FALSE)</f>
        <v>0</v>
      </c>
      <c r="BK411" s="128">
        <f>BJ411/$AS411</f>
        <v>0</v>
      </c>
      <c r="BL411" s="128">
        <f>IF(BM411&gt;0,1,0)</f>
        <v>0</v>
      </c>
      <c r="BM411" s="128">
        <f>SUM(BR411,BU411,BX411,CA411,CD411)</f>
        <v>0</v>
      </c>
      <c r="BN411" s="131">
        <f>SUM(BT411,BW411,BZ411,CC411,CF411)</f>
        <v>0</v>
      </c>
      <c r="BO411" s="128">
        <f>IF(BP411&gt;0,1,0)</f>
        <v>0</v>
      </c>
      <c r="BP411" s="128">
        <f>BM411+CJ411</f>
        <v>0</v>
      </c>
      <c r="BQ411" s="128">
        <f>BN411+CL411</f>
        <v>0</v>
      </c>
      <c r="BR411" s="130">
        <f>IF(BS411&gt;0,1,0)</f>
        <v>0</v>
      </c>
      <c r="BS411" s="128">
        <f>VLOOKUP($E411,[2]Current!$A:$AC,12,FALSE)</f>
        <v>0</v>
      </c>
      <c r="BT411" s="175">
        <f>BS411/$AS411</f>
        <v>0</v>
      </c>
      <c r="BU411" s="130">
        <f>IF(BV411&gt;0,1,0)</f>
        <v>0</v>
      </c>
      <c r="BV411" s="128">
        <f>VLOOKUP($E411,[2]Current!$A:$AC,13,FALSE)</f>
        <v>0</v>
      </c>
      <c r="BW411" s="128">
        <f>BV411/$AS411</f>
        <v>0</v>
      </c>
      <c r="BX411" s="130">
        <f>IF(BY411&gt;0,1,0)</f>
        <v>0</v>
      </c>
      <c r="BY411" s="128">
        <f>VLOOKUP($E411,[2]Current!$A:$AC,14,FALSE)</f>
        <v>0</v>
      </c>
      <c r="BZ411" s="128">
        <f>BY411/$AS411</f>
        <v>0</v>
      </c>
      <c r="CA411" s="130">
        <f>IF(CB411&gt;0,1,0)</f>
        <v>0</v>
      </c>
      <c r="CB411" s="128">
        <f>VLOOKUP($E411,[2]Current!$A:$AC,15,FALSE)</f>
        <v>0</v>
      </c>
      <c r="CC411" s="128">
        <f>CB411/$AS411</f>
        <v>0</v>
      </c>
      <c r="CD411" s="176">
        <f>IF(CE411&gt;0,1,0)</f>
        <v>0</v>
      </c>
      <c r="CE411" s="128">
        <f>VLOOKUP($E411,[2]Current!$A:$AC,16,FALSE)</f>
        <v>0</v>
      </c>
      <c r="CF411" s="128">
        <f>CE411/$AS411</f>
        <v>0</v>
      </c>
      <c r="CG411" s="18"/>
      <c r="CH411" s="18"/>
      <c r="CI411" s="18"/>
      <c r="CJ411" s="130">
        <f>IF(CK411&gt;0,1,0)</f>
        <v>0</v>
      </c>
      <c r="CK411" s="128">
        <f>VLOOKUP($E411,[2]Current!$A:$AC,18,FALSE)</f>
        <v>0</v>
      </c>
      <c r="CL411" s="128">
        <f>CK411/$AS411</f>
        <v>0</v>
      </c>
      <c r="CS411" s="130">
        <f>IF(CU411&gt;0,1,0)</f>
        <v>0</v>
      </c>
      <c r="CU411" s="128">
        <f>VLOOKUP($E411,[2]Current!$A:$AC,17,FALSE)</f>
        <v>0</v>
      </c>
      <c r="CV411" s="128">
        <f>CU411/$AS411</f>
        <v>0</v>
      </c>
      <c r="CW411" s="18"/>
      <c r="CX411" s="18"/>
      <c r="CY411" s="18"/>
      <c r="DF411" s="16" t="e">
        <f>VLOOKUP(K411,'[3]RNA Seq summary tables'!$V$3:$V$99,1,FALSE)</f>
        <v>#N/A</v>
      </c>
    </row>
    <row r="412" spans="2:288" ht="16" x14ac:dyDescent="0.2">
      <c r="B412" s="16">
        <v>2017</v>
      </c>
      <c r="C412" s="20">
        <v>42954</v>
      </c>
      <c r="D412" s="20" t="str">
        <f>CONCATENATE(J412,"-",C412)</f>
        <v>1261-42954</v>
      </c>
      <c r="E412" s="37" t="str">
        <f>CONCATENATE(T412,"-",U412,"-",C412)</f>
        <v>BC2-H8-42954</v>
      </c>
      <c r="F412" s="20" t="s">
        <v>106</v>
      </c>
      <c r="G412" s="20" t="s">
        <v>107</v>
      </c>
      <c r="I412" s="16">
        <v>0</v>
      </c>
      <c r="J412" s="21">
        <v>1261</v>
      </c>
      <c r="K412" s="21">
        <v>2083</v>
      </c>
      <c r="L412" s="18">
        <v>0</v>
      </c>
      <c r="M412" s="21">
        <f>VLOOKUP($K412,'[4]blood tubes 2017'!$D$1:$L$647,8,FALSE)</f>
        <v>0</v>
      </c>
      <c r="N412" s="15">
        <v>0</v>
      </c>
      <c r="O412" s="15" t="s">
        <v>119</v>
      </c>
      <c r="P412" s="16" t="s">
        <v>119</v>
      </c>
      <c r="Q412" s="16">
        <v>0</v>
      </c>
      <c r="R412" s="16">
        <v>17</v>
      </c>
      <c r="T412" s="16" t="s">
        <v>154</v>
      </c>
      <c r="U412" s="16" t="s">
        <v>152</v>
      </c>
      <c r="V412" s="16" t="s">
        <v>114</v>
      </c>
      <c r="W412" s="16">
        <f>AI412/AG412</f>
        <v>0.81318681318681318</v>
      </c>
      <c r="X412" s="16" t="s">
        <v>121</v>
      </c>
      <c r="Y412" s="16" t="s">
        <v>110</v>
      </c>
      <c r="Z412" s="16">
        <v>3</v>
      </c>
      <c r="AA412" s="16" t="s">
        <v>161</v>
      </c>
      <c r="AB412" s="16" t="s">
        <v>240</v>
      </c>
      <c r="AC412" s="16" t="s">
        <v>123</v>
      </c>
      <c r="AD412" s="16" t="s">
        <v>116</v>
      </c>
      <c r="AG412" s="16">
        <f>AH412-AI412</f>
        <v>91</v>
      </c>
      <c r="AH412" s="16">
        <v>165</v>
      </c>
      <c r="AI412" s="16">
        <v>74</v>
      </c>
      <c r="AK412" s="16">
        <v>24.5</v>
      </c>
      <c r="AL412" s="16">
        <v>0</v>
      </c>
      <c r="AM412" s="16">
        <v>0</v>
      </c>
      <c r="AN412" s="16">
        <v>0</v>
      </c>
      <c r="AO412" s="16">
        <v>0</v>
      </c>
      <c r="AP412" s="16">
        <f>SUM(AL412:AN412)</f>
        <v>0</v>
      </c>
      <c r="AQ412" s="16">
        <v>1.8260000000000001</v>
      </c>
      <c r="AR412" s="16">
        <f>AP412-1.472</f>
        <v>-1.472</v>
      </c>
      <c r="AS412" s="16">
        <f>AQ412-1.472</f>
        <v>0.35400000000000009</v>
      </c>
      <c r="AT412" s="16" t="str">
        <f>VLOOKUP(E412,[2]Current!$A$1:$W$435,7,FALSE)</f>
        <v>TE</v>
      </c>
      <c r="AU412" s="16" t="s">
        <v>1288</v>
      </c>
      <c r="AW412" s="128">
        <f>IF(AX412&gt;0,1,0)</f>
        <v>1</v>
      </c>
      <c r="AX412" s="128">
        <f>SUM(BA412,BM412,CU412)</f>
        <v>4</v>
      </c>
      <c r="AY412" s="128">
        <f>SUM(BB412,BN412,CV412)</f>
        <v>596.04519774011283</v>
      </c>
      <c r="AZ412" s="128">
        <f>IF(BA412&gt;0,1,0)</f>
        <v>1</v>
      </c>
      <c r="BA412" s="128">
        <f>SUM(BC412+BF412+BI412)</f>
        <v>3</v>
      </c>
      <c r="BB412" s="128">
        <f>SUM(BE412,BH412,BK412)</f>
        <v>593.22033898305062</v>
      </c>
      <c r="BC412" s="130">
        <f>IF(BD412&gt;0,1,0)</f>
        <v>1</v>
      </c>
      <c r="BD412" s="128">
        <f>VLOOKUP($E412,[2]Current!$A:$AC,26,FALSE)</f>
        <v>8</v>
      </c>
      <c r="BE412" s="128">
        <f>BD412/$AS412</f>
        <v>22.598870056497169</v>
      </c>
      <c r="BF412" s="130">
        <f>IF(BG412&gt;0,1,0)</f>
        <v>1</v>
      </c>
      <c r="BG412" s="175">
        <f>VLOOKUP($E412,[2]Current!$A:$AC,27,FALSE)</f>
        <v>44</v>
      </c>
      <c r="BH412" s="128">
        <f>BG412/$AS412</f>
        <v>124.29378531073444</v>
      </c>
      <c r="BI412" s="130">
        <f>IF(BJ412&gt;0,1,0)</f>
        <v>1</v>
      </c>
      <c r="BJ412" s="128">
        <f>VLOOKUP($E412,[2]Current!$A:$AC,28,FALSE)</f>
        <v>158</v>
      </c>
      <c r="BK412" s="128">
        <f>BJ412/$AS412</f>
        <v>446.32768361581907</v>
      </c>
      <c r="BL412" s="128">
        <f>IF(BM412&gt;0,1,0)</f>
        <v>1</v>
      </c>
      <c r="BM412" s="128">
        <f>SUM(BR412,BU412,BX412,CA412,CD412)</f>
        <v>1</v>
      </c>
      <c r="BN412" s="131">
        <f>SUM(BT412,BW412,BZ412,CC412,CF412)</f>
        <v>2.8248587570621462</v>
      </c>
      <c r="BO412" s="128">
        <f>IF(BP412&gt;0,1,0)</f>
        <v>1</v>
      </c>
      <c r="BP412" s="128">
        <f>BM412+CJ412</f>
        <v>1</v>
      </c>
      <c r="BQ412" s="128">
        <f>BN412+CL412</f>
        <v>2.8248587570621462</v>
      </c>
      <c r="BR412" s="130">
        <f>IF(BS412&gt;0,1,0)</f>
        <v>0</v>
      </c>
      <c r="BS412" s="128">
        <f>VLOOKUP($E412,[2]Current!$A:$AC,12,FALSE)</f>
        <v>0</v>
      </c>
      <c r="BT412" s="175">
        <f>BS412/$AS412</f>
        <v>0</v>
      </c>
      <c r="BU412" s="130">
        <f>IF(BV412&gt;0,1,0)</f>
        <v>0</v>
      </c>
      <c r="BV412" s="128">
        <f>VLOOKUP($E412,[2]Current!$A:$AC,13,FALSE)</f>
        <v>0</v>
      </c>
      <c r="BW412" s="128">
        <f>BV412/$AS412</f>
        <v>0</v>
      </c>
      <c r="BX412" s="130">
        <f>IF(BY412&gt;0,1,0)</f>
        <v>0</v>
      </c>
      <c r="BY412" s="128">
        <f>VLOOKUP($E412,[2]Current!$A:$AC,14,FALSE)</f>
        <v>0</v>
      </c>
      <c r="BZ412" s="128">
        <f>BY412/$AS412</f>
        <v>0</v>
      </c>
      <c r="CA412" s="130">
        <f>IF(CB412&gt;0,1,0)</f>
        <v>1</v>
      </c>
      <c r="CB412" s="128">
        <f>VLOOKUP($E412,[2]Current!$A:$AC,15,FALSE)</f>
        <v>1</v>
      </c>
      <c r="CC412" s="128">
        <f>CB412/$AS412</f>
        <v>2.8248587570621462</v>
      </c>
      <c r="CD412" s="176">
        <f>IF(CE412&gt;0,1,0)</f>
        <v>0</v>
      </c>
      <c r="CE412" s="128">
        <f>VLOOKUP($E412,[2]Current!$A:$AC,16,FALSE)</f>
        <v>0</v>
      </c>
      <c r="CF412" s="128">
        <f>CE412/$AS412</f>
        <v>0</v>
      </c>
      <c r="CG412" s="18"/>
      <c r="CH412" s="18"/>
      <c r="CI412" s="18"/>
      <c r="CJ412" s="130">
        <f>IF(CK412&gt;0,1,0)</f>
        <v>0</v>
      </c>
      <c r="CK412" s="128">
        <f>VLOOKUP($E412,[2]Current!$A:$AC,18,FALSE)</f>
        <v>0</v>
      </c>
      <c r="CL412" s="128">
        <f>CK412/$AS412</f>
        <v>0</v>
      </c>
      <c r="CS412" s="130">
        <f>IF(CU412&gt;0,1,0)</f>
        <v>0</v>
      </c>
      <c r="CU412" s="128">
        <f>VLOOKUP($E412,[2]Current!$A:$AC,17,FALSE)</f>
        <v>0</v>
      </c>
      <c r="CV412" s="128">
        <f>CU412/$AS412</f>
        <v>0</v>
      </c>
      <c r="CW412" s="18"/>
      <c r="CX412" s="18"/>
      <c r="CY412" s="18"/>
      <c r="DF412" s="16" t="e">
        <f>VLOOKUP(K412,'[3]RNA Seq summary tables'!$V$3:$V$99,1,FALSE)</f>
        <v>#N/A</v>
      </c>
      <c r="JR412" s="118"/>
      <c r="JS412" s="118"/>
      <c r="JT412" s="118"/>
      <c r="JU412" s="118"/>
      <c r="JV412" s="118"/>
      <c r="JW412" s="118"/>
      <c r="JX412" s="118"/>
      <c r="JY412" s="118"/>
      <c r="JZ412" s="118"/>
      <c r="KA412" s="118"/>
      <c r="KB412" s="118"/>
    </row>
    <row r="413" spans="2:288" ht="16" x14ac:dyDescent="0.2">
      <c r="B413" s="16">
        <v>2017</v>
      </c>
      <c r="C413" s="43">
        <v>42938</v>
      </c>
      <c r="D413" s="20" t="str">
        <f>CONCATENATE(J413,"-",C413)</f>
        <v>1263-42938</v>
      </c>
      <c r="E413" s="37" t="str">
        <f>CONCATENATE(T413,"-",U413,"-",C413)</f>
        <v>BC2-A1-42938</v>
      </c>
      <c r="F413" s="20" t="s">
        <v>106</v>
      </c>
      <c r="G413" s="43" t="s">
        <v>107</v>
      </c>
      <c r="H413" s="23"/>
      <c r="I413" s="16">
        <v>0</v>
      </c>
      <c r="J413" s="15">
        <v>1263</v>
      </c>
      <c r="K413" s="15">
        <v>1951</v>
      </c>
      <c r="L413" s="18">
        <v>0</v>
      </c>
      <c r="M413" s="21">
        <f>VLOOKUP($K413,'[4]blood tubes 2017'!$D$1:$L$647,8,FALSE)</f>
        <v>0</v>
      </c>
      <c r="N413" s="15">
        <v>0</v>
      </c>
      <c r="O413" s="15" t="s">
        <v>119</v>
      </c>
      <c r="P413" s="23" t="s">
        <v>119</v>
      </c>
      <c r="Q413" s="16">
        <v>0</v>
      </c>
      <c r="R413" s="23" t="s">
        <v>111</v>
      </c>
      <c r="S413" s="23"/>
      <c r="T413" s="23" t="s">
        <v>154</v>
      </c>
      <c r="U413" s="23" t="s">
        <v>210</v>
      </c>
      <c r="V413" s="23" t="s">
        <v>114</v>
      </c>
      <c r="X413" s="23" t="s">
        <v>115</v>
      </c>
      <c r="Y413" s="23" t="s">
        <v>110</v>
      </c>
      <c r="Z413" s="23">
        <v>3</v>
      </c>
      <c r="AA413" s="23"/>
      <c r="AB413" s="23"/>
      <c r="AC413" s="23"/>
      <c r="AD413" s="23"/>
      <c r="AE413" s="23" t="s">
        <v>123</v>
      </c>
      <c r="AF413" s="23" t="s">
        <v>123</v>
      </c>
      <c r="AG413" s="23">
        <f>AH413-AI413</f>
        <v>80</v>
      </c>
      <c r="AH413" s="23">
        <v>80</v>
      </c>
      <c r="AI413" s="25"/>
      <c r="AJ413" s="25" t="s">
        <v>320</v>
      </c>
      <c r="AK413" s="23">
        <v>17</v>
      </c>
      <c r="AL413" s="23">
        <v>0</v>
      </c>
      <c r="AM413" s="23">
        <v>1</v>
      </c>
      <c r="AN413" s="23">
        <v>0</v>
      </c>
      <c r="AO413" s="23">
        <v>1</v>
      </c>
      <c r="AP413" s="23">
        <f>SUM(AL413:AN413)</f>
        <v>1</v>
      </c>
      <c r="AQ413" s="23">
        <v>1.6950000000000001</v>
      </c>
      <c r="AR413" s="23">
        <f>AP413-1.472</f>
        <v>-0.47199999999999998</v>
      </c>
      <c r="AS413" s="23">
        <f>AQ413-1.472</f>
        <v>0.22300000000000009</v>
      </c>
      <c r="AT413" s="16" t="str">
        <f>VLOOKUP(E413,[2]Current!$A$1:$W$435,7,FALSE)</f>
        <v>NB</v>
      </c>
      <c r="AU413" s="16" t="s">
        <v>1288</v>
      </c>
      <c r="AV413" s="23">
        <v>1</v>
      </c>
      <c r="AW413" s="128">
        <f>IF(AX413&gt;0,1,0)</f>
        <v>0</v>
      </c>
      <c r="AX413" s="128">
        <f>SUM(BA413,BM413,CU413)</f>
        <v>0</v>
      </c>
      <c r="AY413" s="128">
        <f>SUM(BB413,BN413,CV413)</f>
        <v>0</v>
      </c>
      <c r="AZ413" s="128">
        <f>IF(BA413&gt;0,1,0)</f>
        <v>0</v>
      </c>
      <c r="BA413" s="128">
        <f>SUM(BC413+BF413+BI413)</f>
        <v>0</v>
      </c>
      <c r="BB413" s="128">
        <f>SUM(BE413,BH413,BK413)</f>
        <v>0</v>
      </c>
      <c r="BC413" s="130">
        <f>IF(BD413&gt;0,1,0)</f>
        <v>0</v>
      </c>
      <c r="BD413" s="128">
        <f>VLOOKUP($E413,[2]Current!$A:$AC,26,FALSE)</f>
        <v>0</v>
      </c>
      <c r="BE413" s="128">
        <f>BD413/$AS413</f>
        <v>0</v>
      </c>
      <c r="BF413" s="130">
        <f>IF(BG413&gt;0,1,0)</f>
        <v>0</v>
      </c>
      <c r="BG413" s="175">
        <f>VLOOKUP($E413,[2]Current!$A:$AC,27,FALSE)</f>
        <v>0</v>
      </c>
      <c r="BH413" s="128">
        <f>BG413/$AS413</f>
        <v>0</v>
      </c>
      <c r="BI413" s="130">
        <f>IF(BJ413&gt;0,1,0)</f>
        <v>0</v>
      </c>
      <c r="BJ413" s="128">
        <f>VLOOKUP($E413,[2]Current!$A:$AC,28,FALSE)</f>
        <v>0</v>
      </c>
      <c r="BK413" s="128">
        <f>BJ413/$AS413</f>
        <v>0</v>
      </c>
      <c r="BL413" s="128">
        <f>IF(BM413&gt;0,1,0)</f>
        <v>0</v>
      </c>
      <c r="BM413" s="128">
        <f>SUM(BR413,BU413,BX413,CA413,CD413)</f>
        <v>0</v>
      </c>
      <c r="BN413" s="131">
        <f>SUM(BT413,BW413,BZ413,CC413,CF413)</f>
        <v>0</v>
      </c>
      <c r="BO413" s="128">
        <f>IF(BP413&gt;0,1,0)</f>
        <v>0</v>
      </c>
      <c r="BP413" s="128">
        <f>BM413+CJ413</f>
        <v>0</v>
      </c>
      <c r="BQ413" s="128">
        <f>BN413+CL413</f>
        <v>0</v>
      </c>
      <c r="BR413" s="130">
        <f>IF(BS413&gt;0,1,0)</f>
        <v>0</v>
      </c>
      <c r="BS413" s="128">
        <f>VLOOKUP($E413,[2]Current!$A:$AC,12,FALSE)</f>
        <v>0</v>
      </c>
      <c r="BT413" s="175">
        <f>BS413/$AS413</f>
        <v>0</v>
      </c>
      <c r="BU413" s="130">
        <f>IF(BV413&gt;0,1,0)</f>
        <v>0</v>
      </c>
      <c r="BV413" s="128">
        <f>VLOOKUP($E413,[2]Current!$A:$AC,13,FALSE)</f>
        <v>0</v>
      </c>
      <c r="BW413" s="128">
        <f>BV413/$AS413</f>
        <v>0</v>
      </c>
      <c r="BX413" s="130">
        <f>IF(BY413&gt;0,1,0)</f>
        <v>0</v>
      </c>
      <c r="BY413" s="128">
        <f>VLOOKUP($E413,[2]Current!$A:$AC,14,FALSE)</f>
        <v>0</v>
      </c>
      <c r="BZ413" s="128">
        <f>BY413/$AS413</f>
        <v>0</v>
      </c>
      <c r="CA413" s="130">
        <f>IF(CB413&gt;0,1,0)</f>
        <v>0</v>
      </c>
      <c r="CB413" s="128">
        <f>VLOOKUP($E413,[2]Current!$A:$AC,15,FALSE)</f>
        <v>0</v>
      </c>
      <c r="CC413" s="128">
        <f>CB413/$AS413</f>
        <v>0</v>
      </c>
      <c r="CD413" s="176">
        <f>IF(CE413&gt;0,1,0)</f>
        <v>0</v>
      </c>
      <c r="CE413" s="128">
        <f>VLOOKUP($E413,[2]Current!$A:$AC,16,FALSE)</f>
        <v>0</v>
      </c>
      <c r="CF413" s="128">
        <f>CE413/$AS413</f>
        <v>0</v>
      </c>
      <c r="CG413" s="18"/>
      <c r="CH413" s="18"/>
      <c r="CI413" s="18"/>
      <c r="CJ413" s="130">
        <f>IF(CK413&gt;0,1,0)</f>
        <v>0</v>
      </c>
      <c r="CK413" s="128">
        <f>VLOOKUP($E413,[2]Current!$A:$AC,18,FALSE)</f>
        <v>0</v>
      </c>
      <c r="CL413" s="128">
        <f>CK413/$AS413</f>
        <v>0</v>
      </c>
      <c r="CS413" s="130">
        <f>IF(CU413&gt;0,1,0)</f>
        <v>0</v>
      </c>
      <c r="CU413" s="128">
        <f>VLOOKUP($E413,[2]Current!$A:$AC,17,FALSE)</f>
        <v>0</v>
      </c>
      <c r="CV413" s="128">
        <f>CU413/$AS413</f>
        <v>0</v>
      </c>
      <c r="CW413" s="18"/>
      <c r="CX413" s="18"/>
      <c r="CY413" s="18"/>
      <c r="DF413" s="16" t="e">
        <f>VLOOKUP(K413,'[3]RNA Seq summary tables'!$V$3:$V$99,1,FALSE)</f>
        <v>#N/A</v>
      </c>
      <c r="DI413" s="23"/>
      <c r="DJ413" s="23"/>
      <c r="DK413" s="23"/>
      <c r="DL413" s="23"/>
      <c r="DM413" s="23"/>
      <c r="DN413" s="23"/>
      <c r="DO413" s="23"/>
      <c r="DP413" s="23"/>
      <c r="DQ413" s="23"/>
      <c r="DR413" s="23"/>
      <c r="DS413" s="23"/>
      <c r="DT413" s="25"/>
      <c r="DU413" s="25"/>
      <c r="DV413" s="25"/>
      <c r="DW413" s="25"/>
      <c r="DX413" s="25"/>
      <c r="DY413" s="25"/>
      <c r="DZ413" s="25"/>
      <c r="EA413" s="25"/>
      <c r="EB413" s="25"/>
      <c r="EC413" s="25"/>
      <c r="ED413" s="25"/>
      <c r="EE413" s="25"/>
      <c r="EF413" s="25"/>
      <c r="EG413" s="25"/>
      <c r="EH413" s="25"/>
      <c r="EI413" s="25"/>
      <c r="EJ413" s="25"/>
      <c r="EK413" s="25"/>
      <c r="EL413" s="25"/>
      <c r="EM413" s="25"/>
      <c r="EN413" s="25"/>
      <c r="EO413" s="25"/>
      <c r="EP413" s="25"/>
      <c r="EQ413" s="25"/>
      <c r="ER413" s="25"/>
      <c r="ES413" s="25"/>
      <c r="ET413" s="25"/>
      <c r="EU413" s="25"/>
      <c r="EV413" s="25"/>
      <c r="EW413" s="25"/>
      <c r="EX413" s="25"/>
      <c r="EY413" s="25"/>
      <c r="EZ413" s="25"/>
      <c r="FA413" s="25"/>
      <c r="FB413" s="25"/>
      <c r="FC413" s="25"/>
      <c r="FD413" s="25"/>
      <c r="FE413" s="25"/>
      <c r="FF413" s="25"/>
      <c r="FG413" s="25"/>
      <c r="FH413" s="25"/>
      <c r="FI413" s="25"/>
      <c r="FJ413" s="25"/>
      <c r="FK413" s="25"/>
      <c r="FL413" s="25"/>
      <c r="FM413" s="25"/>
      <c r="FN413" s="25"/>
      <c r="FO413" s="25"/>
      <c r="FP413" s="25"/>
      <c r="FQ413" s="25"/>
      <c r="FR413" s="25"/>
      <c r="FS413" s="25"/>
      <c r="FT413" s="25"/>
      <c r="FU413" s="25"/>
      <c r="FV413" s="25"/>
      <c r="FW413" s="25"/>
      <c r="FX413" s="25"/>
      <c r="FY413" s="25"/>
      <c r="FZ413" s="25"/>
      <c r="GA413" s="25"/>
      <c r="GB413" s="25"/>
      <c r="GC413" s="25"/>
      <c r="GD413" s="25"/>
      <c r="GE413" s="25"/>
      <c r="GF413" s="25"/>
      <c r="GG413" s="25"/>
      <c r="GH413" s="25"/>
      <c r="GI413" s="25"/>
      <c r="GJ413" s="25"/>
      <c r="GK413" s="25"/>
      <c r="GL413" s="25"/>
      <c r="GM413" s="25"/>
      <c r="GN413" s="25"/>
      <c r="GO413" s="25"/>
      <c r="GP413" s="25"/>
      <c r="GQ413" s="25"/>
      <c r="GR413" s="25"/>
      <c r="GS413" s="25"/>
      <c r="GT413" s="25"/>
      <c r="GU413" s="25"/>
      <c r="GV413" s="25"/>
      <c r="GW413" s="25"/>
      <c r="GX413" s="25"/>
      <c r="GY413" s="25"/>
      <c r="GZ413" s="25"/>
      <c r="HA413" s="25"/>
      <c r="HB413" s="25"/>
      <c r="HC413" s="25"/>
      <c r="HD413" s="25"/>
      <c r="HE413" s="25"/>
      <c r="HF413" s="25"/>
      <c r="HG413" s="25"/>
      <c r="HH413" s="25"/>
      <c r="HI413" s="25"/>
      <c r="HJ413" s="25"/>
      <c r="HK413" s="25"/>
      <c r="HL413" s="25"/>
      <c r="HM413" s="25"/>
      <c r="HN413" s="25"/>
      <c r="HO413" s="25"/>
      <c r="HP413" s="25"/>
      <c r="HQ413" s="25"/>
      <c r="HR413" s="25"/>
      <c r="HS413" s="25"/>
      <c r="HT413" s="25"/>
      <c r="HU413" s="25"/>
      <c r="HV413" s="25"/>
      <c r="HW413" s="25"/>
      <c r="HX413" s="25"/>
      <c r="HY413" s="25"/>
      <c r="HZ413" s="25"/>
      <c r="IA413" s="25"/>
      <c r="IB413" s="25"/>
      <c r="IC413" s="25"/>
      <c r="ID413" s="25"/>
      <c r="IE413" s="25"/>
      <c r="IF413" s="25"/>
      <c r="IG413" s="25"/>
      <c r="IH413" s="25"/>
      <c r="II413" s="25"/>
      <c r="IJ413" s="25"/>
      <c r="IK413" s="25"/>
      <c r="IL413" s="25"/>
      <c r="IM413" s="25"/>
      <c r="IN413" s="25"/>
      <c r="IO413" s="25"/>
      <c r="IP413" s="25"/>
      <c r="IQ413" s="25"/>
      <c r="IR413" s="25"/>
      <c r="IS413" s="25"/>
      <c r="IT413" s="25"/>
      <c r="IU413" s="25"/>
      <c r="IV413" s="25"/>
      <c r="IW413" s="25"/>
      <c r="IX413" s="25"/>
      <c r="IY413" s="25"/>
      <c r="IZ413" s="25"/>
      <c r="JA413" s="25"/>
      <c r="JB413" s="25"/>
      <c r="JC413" s="25"/>
      <c r="JD413" s="25"/>
      <c r="JE413" s="25"/>
      <c r="JF413" s="25"/>
      <c r="JG413" s="25"/>
      <c r="JH413" s="25"/>
      <c r="JI413" s="25"/>
      <c r="JJ413" s="25"/>
      <c r="JK413" s="25"/>
      <c r="JL413" s="25"/>
      <c r="JM413" s="25"/>
      <c r="JN413" s="25"/>
      <c r="JO413" s="23"/>
      <c r="JP413" s="23"/>
      <c r="JQ413" s="23"/>
    </row>
    <row r="414" spans="2:288" s="18" customFormat="1" x14ac:dyDescent="0.2">
      <c r="B414" s="16">
        <v>2017</v>
      </c>
      <c r="C414" s="20">
        <v>42954</v>
      </c>
      <c r="D414" s="20" t="str">
        <f>CONCATENATE(J414,"-",C414)</f>
        <v>1263-42954</v>
      </c>
      <c r="E414" s="142" t="str">
        <f>CONCATENATE(T414,"-",U414,"-",C414)</f>
        <v>BC2-A1-42954</v>
      </c>
      <c r="F414" s="20" t="s">
        <v>106</v>
      </c>
      <c r="G414" s="20" t="s">
        <v>107</v>
      </c>
      <c r="H414" s="16"/>
      <c r="I414" s="16"/>
      <c r="J414" s="21">
        <v>1263</v>
      </c>
      <c r="K414" s="21">
        <v>2074</v>
      </c>
      <c r="L414" s="18">
        <v>0</v>
      </c>
      <c r="M414" s="21">
        <f>VLOOKUP($K414,'[4]blood tubes 2017'!$D$1:$L$647,8,FALSE)</f>
        <v>0</v>
      </c>
      <c r="N414" s="15">
        <v>0</v>
      </c>
      <c r="O414" s="15" t="s">
        <v>119</v>
      </c>
      <c r="P414" s="16" t="s">
        <v>119</v>
      </c>
      <c r="Q414" s="16">
        <v>0</v>
      </c>
      <c r="R414" s="16">
        <v>16</v>
      </c>
      <c r="S414" s="16"/>
      <c r="T414" s="16" t="s">
        <v>154</v>
      </c>
      <c r="U414" s="16" t="s">
        <v>210</v>
      </c>
      <c r="V414" s="16" t="s">
        <v>114</v>
      </c>
      <c r="W414" s="16"/>
      <c r="X414" s="16" t="s">
        <v>115</v>
      </c>
      <c r="Y414" s="16" t="s">
        <v>110</v>
      </c>
      <c r="Z414" s="16">
        <v>3</v>
      </c>
      <c r="AA414" s="16"/>
      <c r="AB414" s="16"/>
      <c r="AC414" s="16"/>
      <c r="AD414" s="16"/>
      <c r="AE414" s="16" t="s">
        <v>123</v>
      </c>
      <c r="AF414" s="16" t="s">
        <v>123</v>
      </c>
      <c r="AG414" s="16">
        <f>AH414-AI414</f>
        <v>92</v>
      </c>
      <c r="AH414" s="16">
        <v>92</v>
      </c>
      <c r="AJ414" s="18" t="s">
        <v>320</v>
      </c>
      <c r="AK414" s="16">
        <v>30</v>
      </c>
      <c r="AL414" s="16">
        <v>0</v>
      </c>
      <c r="AM414" s="16">
        <v>0</v>
      </c>
      <c r="AN414" s="16">
        <v>0</v>
      </c>
      <c r="AO414" s="16">
        <v>0</v>
      </c>
      <c r="AP414" s="16">
        <f>SUM(AL414:AN414)</f>
        <v>0</v>
      </c>
      <c r="AQ414" s="16">
        <v>1.9450000000000001</v>
      </c>
      <c r="AR414" s="16">
        <f>AP414-1.472</f>
        <v>-1.472</v>
      </c>
      <c r="AS414" s="16">
        <f>AQ414-1.472</f>
        <v>0.47300000000000009</v>
      </c>
      <c r="AT414" s="16" t="e">
        <f>VLOOKUP(E414,[2]Current!$A$1:$W$435,7,FALSE)</f>
        <v>#N/A</v>
      </c>
      <c r="AU414" s="16">
        <v>0</v>
      </c>
      <c r="AV414" s="16"/>
      <c r="BE414" s="16"/>
      <c r="BF414" s="16"/>
      <c r="BG414" s="23"/>
      <c r="BH414" s="16"/>
      <c r="BI414" s="16"/>
      <c r="BJ414" s="16"/>
      <c r="BK414" s="16"/>
      <c r="BL414" s="16"/>
      <c r="BM414" s="16"/>
      <c r="BN414" s="16"/>
      <c r="BO414" s="16"/>
      <c r="BP414" s="16"/>
      <c r="BQ414" s="16"/>
      <c r="BR414" s="16"/>
      <c r="BS414" s="16"/>
      <c r="BT414" s="23"/>
      <c r="BU414" s="16"/>
      <c r="BV414" s="16"/>
      <c r="BW414" s="16"/>
      <c r="BX414" s="16"/>
      <c r="BY414" s="16"/>
      <c r="BZ414" s="16"/>
      <c r="CA414" s="16"/>
      <c r="CB414" s="16"/>
      <c r="CC414" s="16"/>
      <c r="CD414" s="23"/>
      <c r="CE414" s="16"/>
      <c r="CF414" s="16"/>
      <c r="CG414" s="16"/>
      <c r="CH414" s="16"/>
      <c r="CI414" s="16"/>
      <c r="CJ414" s="16"/>
      <c r="CK414" s="16"/>
      <c r="CL414" s="16"/>
      <c r="CM414" s="16"/>
      <c r="CN414" s="16"/>
      <c r="CO414" s="16"/>
      <c r="CP414" s="16"/>
      <c r="CQ414" s="16"/>
      <c r="CR414" s="16"/>
      <c r="CS414" s="16"/>
      <c r="CT414" s="16"/>
      <c r="CU414" s="16"/>
      <c r="CV414" s="16"/>
      <c r="CW414" s="16"/>
      <c r="CX414" s="16"/>
      <c r="CY414" s="16"/>
      <c r="CZ414" s="16"/>
      <c r="DA414" s="16"/>
      <c r="DB414" s="16"/>
      <c r="DC414" s="16"/>
      <c r="DD414" s="16"/>
      <c r="DE414" s="16"/>
      <c r="DF414" s="16" t="e">
        <f>VLOOKUP(K414,'[3]RNA Seq summary tables'!$V$3:$V$99,1,FALSE)</f>
        <v>#N/A</v>
      </c>
      <c r="DG414" s="16"/>
      <c r="DH414" s="16"/>
      <c r="DI414" s="16"/>
      <c r="DJ414" s="16"/>
      <c r="DK414" s="16"/>
      <c r="DL414" s="16"/>
      <c r="DM414" s="16"/>
      <c r="DN414" s="16"/>
      <c r="DO414" s="16"/>
      <c r="DP414" s="16"/>
      <c r="DQ414" s="16"/>
      <c r="DR414" s="16"/>
      <c r="DS414" s="16"/>
      <c r="JO414" s="16"/>
      <c r="JP414" s="16"/>
      <c r="JQ414" s="16"/>
      <c r="JR414" s="16"/>
      <c r="JS414" s="16"/>
      <c r="JT414" s="16"/>
      <c r="JU414" s="16"/>
      <c r="JV414" s="16"/>
      <c r="JW414" s="16"/>
      <c r="JX414" s="16"/>
      <c r="JY414" s="16"/>
      <c r="JZ414" s="16"/>
      <c r="KA414" s="16"/>
      <c r="KB414" s="16"/>
    </row>
    <row r="415" spans="2:288" x14ac:dyDescent="0.2">
      <c r="B415" s="16">
        <v>2017</v>
      </c>
      <c r="C415" s="43">
        <v>42939</v>
      </c>
      <c r="D415" s="20" t="str">
        <f>CONCATENATE(J415,"-",C415)</f>
        <v>1265-42939</v>
      </c>
      <c r="E415" s="142" t="str">
        <f>CONCATENATE(T415,"-",U415,"-",C415)</f>
        <v>SP1-A3-42939</v>
      </c>
      <c r="F415" s="20" t="s">
        <v>106</v>
      </c>
      <c r="G415" s="43" t="s">
        <v>107</v>
      </c>
      <c r="H415" s="23"/>
      <c r="J415" s="15">
        <v>1265</v>
      </c>
      <c r="K415" s="15">
        <v>1955</v>
      </c>
      <c r="L415" s="18">
        <v>0</v>
      </c>
      <c r="M415" s="21">
        <f>VLOOKUP($K415,'[4]blood tubes 2017'!$D$1:$L$647,8,FALSE)</f>
        <v>0</v>
      </c>
      <c r="N415" s="15">
        <v>0</v>
      </c>
      <c r="O415" s="15" t="s">
        <v>119</v>
      </c>
      <c r="P415" s="23" t="s">
        <v>119</v>
      </c>
      <c r="Q415" s="16">
        <v>0</v>
      </c>
      <c r="R415" s="23" t="s">
        <v>111</v>
      </c>
      <c r="S415" s="23"/>
      <c r="T415" s="23" t="s">
        <v>140</v>
      </c>
      <c r="U415" s="23" t="s">
        <v>201</v>
      </c>
      <c r="V415" s="23" t="s">
        <v>114</v>
      </c>
      <c r="W415" s="16">
        <f>AI415/AG415</f>
        <v>0.8</v>
      </c>
      <c r="X415" s="23" t="s">
        <v>121</v>
      </c>
      <c r="Y415" s="23" t="s">
        <v>122</v>
      </c>
      <c r="Z415" s="23">
        <v>2.2999999999999998</v>
      </c>
      <c r="AA415" s="23" t="s">
        <v>161</v>
      </c>
      <c r="AB415" s="23" t="s">
        <v>123</v>
      </c>
      <c r="AC415" s="23" t="s">
        <v>123</v>
      </c>
      <c r="AD415" s="23" t="s">
        <v>116</v>
      </c>
      <c r="AE415" s="23"/>
      <c r="AF415" s="23"/>
      <c r="AG415" s="23">
        <f>AH415-AI415</f>
        <v>80</v>
      </c>
      <c r="AH415" s="23">
        <v>144</v>
      </c>
      <c r="AI415" s="23">
        <v>64</v>
      </c>
      <c r="AJ415" s="23"/>
      <c r="AK415" s="23">
        <v>13.5</v>
      </c>
      <c r="AL415" s="23">
        <v>0</v>
      </c>
      <c r="AM415" s="23">
        <v>0</v>
      </c>
      <c r="AN415" s="23">
        <v>0</v>
      </c>
      <c r="AO415" s="23">
        <v>0</v>
      </c>
      <c r="AP415" s="23">
        <f>SUM(AL415:AN415)</f>
        <v>0</v>
      </c>
      <c r="AQ415" s="23">
        <v>1.6759999999999999</v>
      </c>
      <c r="AR415" s="23">
        <f>AP415-1.472</f>
        <v>-1.472</v>
      </c>
      <c r="AS415" s="23">
        <f>AQ415-1.472</f>
        <v>0.20399999999999996</v>
      </c>
      <c r="AT415" s="16" t="e">
        <f>VLOOKUP(E415,[2]Current!$A$1:$W$435,7,FALSE)</f>
        <v>#N/A</v>
      </c>
      <c r="AU415" s="16">
        <v>0</v>
      </c>
      <c r="AV415" s="23"/>
      <c r="AW415" s="25"/>
      <c r="AX415" s="25"/>
      <c r="AY415" s="25"/>
      <c r="AZ415" s="18"/>
      <c r="BA415" s="25"/>
      <c r="BB415" s="25"/>
      <c r="BC415" s="18"/>
      <c r="BD415" s="25"/>
      <c r="BE415" s="23"/>
      <c r="BG415" s="23"/>
      <c r="BH415" s="23"/>
      <c r="BJ415" s="23"/>
      <c r="BK415" s="23"/>
      <c r="BS415" s="23"/>
      <c r="BT415" s="23"/>
      <c r="BV415" s="23"/>
      <c r="BY415" s="23"/>
      <c r="CB415" s="23"/>
      <c r="CC415" s="23"/>
      <c r="CD415" s="23"/>
      <c r="CE415" s="23"/>
      <c r="CF415" s="23"/>
      <c r="CG415" s="23"/>
      <c r="CH415" s="23"/>
      <c r="CI415" s="23"/>
      <c r="CJ415" s="23"/>
      <c r="CK415" s="23"/>
      <c r="CL415" s="23"/>
      <c r="CM415" s="23"/>
      <c r="CN415" s="23"/>
      <c r="CO415" s="23"/>
      <c r="CP415" s="23"/>
      <c r="CQ415" s="23"/>
      <c r="CR415" s="23"/>
      <c r="CV415" s="23"/>
      <c r="CX415" s="23"/>
      <c r="CY415" s="23"/>
      <c r="CZ415" s="23"/>
      <c r="DA415" s="23"/>
      <c r="DB415" s="23"/>
      <c r="DC415" s="23"/>
      <c r="DD415" s="23"/>
      <c r="DE415" s="23"/>
      <c r="DF415" s="16" t="e">
        <f>VLOOKUP(K415,'[3]RNA Seq summary tables'!$V$3:$V$99,1,FALSE)</f>
        <v>#N/A</v>
      </c>
      <c r="DI415" s="23"/>
      <c r="DJ415" s="23"/>
      <c r="DK415" s="23"/>
      <c r="DL415" s="23"/>
      <c r="DM415" s="23"/>
      <c r="DN415" s="23"/>
      <c r="DO415" s="23"/>
      <c r="DP415" s="23"/>
      <c r="DQ415" s="23"/>
      <c r="DR415" s="23"/>
      <c r="DS415" s="23"/>
      <c r="DT415" s="25"/>
      <c r="DU415" s="25"/>
      <c r="DV415" s="25"/>
      <c r="DW415" s="25"/>
      <c r="DX415" s="25"/>
      <c r="DY415" s="25"/>
      <c r="DZ415" s="25"/>
      <c r="EA415" s="25"/>
      <c r="EB415" s="25"/>
      <c r="EC415" s="25"/>
      <c r="ED415" s="25"/>
      <c r="EE415" s="25"/>
      <c r="EF415" s="25"/>
      <c r="EG415" s="25"/>
      <c r="EH415" s="25"/>
      <c r="EI415" s="25"/>
      <c r="EJ415" s="25"/>
      <c r="EK415" s="25"/>
      <c r="EL415" s="25"/>
      <c r="EM415" s="25"/>
      <c r="EN415" s="25"/>
      <c r="EO415" s="25"/>
      <c r="EP415" s="25"/>
      <c r="EQ415" s="25"/>
      <c r="ER415" s="25"/>
      <c r="ES415" s="25"/>
      <c r="ET415" s="25"/>
      <c r="EU415" s="25"/>
      <c r="EV415" s="25"/>
      <c r="EW415" s="25"/>
      <c r="EX415" s="25"/>
      <c r="EY415" s="25"/>
      <c r="EZ415" s="25"/>
      <c r="FA415" s="25"/>
      <c r="FB415" s="25"/>
      <c r="FC415" s="25"/>
      <c r="FD415" s="25"/>
      <c r="FE415" s="25"/>
      <c r="FF415" s="25"/>
      <c r="FG415" s="25"/>
      <c r="FH415" s="25"/>
      <c r="FI415" s="25"/>
      <c r="FJ415" s="25"/>
      <c r="FK415" s="25"/>
      <c r="FL415" s="25"/>
      <c r="FM415" s="25"/>
      <c r="FN415" s="25"/>
      <c r="FO415" s="25"/>
      <c r="FP415" s="25"/>
      <c r="FQ415" s="25"/>
      <c r="FR415" s="25"/>
      <c r="FS415" s="25"/>
      <c r="FT415" s="25"/>
      <c r="FU415" s="25"/>
      <c r="FV415" s="25"/>
      <c r="FW415" s="25"/>
      <c r="FX415" s="25"/>
      <c r="FY415" s="25"/>
      <c r="FZ415" s="25"/>
      <c r="GA415" s="25"/>
      <c r="GB415" s="25"/>
      <c r="GC415" s="25"/>
      <c r="GD415" s="25"/>
      <c r="GE415" s="25"/>
      <c r="GF415" s="25"/>
      <c r="GG415" s="25"/>
      <c r="GH415" s="25"/>
      <c r="GI415" s="25"/>
      <c r="GJ415" s="25"/>
      <c r="GK415" s="25"/>
      <c r="GL415" s="25"/>
      <c r="GM415" s="25"/>
      <c r="GN415" s="25"/>
      <c r="GO415" s="25"/>
      <c r="GP415" s="25"/>
      <c r="GQ415" s="25"/>
      <c r="GR415" s="25"/>
      <c r="GS415" s="25"/>
      <c r="GT415" s="25"/>
      <c r="GU415" s="25"/>
      <c r="GV415" s="25"/>
      <c r="GW415" s="25"/>
      <c r="GX415" s="25"/>
      <c r="GY415" s="25"/>
      <c r="GZ415" s="25"/>
      <c r="HA415" s="25"/>
      <c r="HB415" s="25"/>
      <c r="HC415" s="25"/>
      <c r="HD415" s="25"/>
      <c r="HE415" s="25"/>
      <c r="HF415" s="25"/>
      <c r="HG415" s="25"/>
      <c r="HH415" s="25"/>
      <c r="HI415" s="25"/>
      <c r="HJ415" s="25"/>
      <c r="HK415" s="25"/>
      <c r="HL415" s="25"/>
      <c r="HM415" s="25"/>
      <c r="HN415" s="25"/>
      <c r="HO415" s="25"/>
      <c r="HP415" s="25"/>
      <c r="HQ415" s="25"/>
      <c r="HR415" s="25"/>
      <c r="HS415" s="25"/>
      <c r="HT415" s="25"/>
      <c r="HU415" s="25"/>
      <c r="HV415" s="25"/>
      <c r="HW415" s="25"/>
      <c r="HX415" s="25"/>
      <c r="HY415" s="25"/>
      <c r="HZ415" s="25"/>
      <c r="IA415" s="25"/>
      <c r="IB415" s="25"/>
      <c r="IC415" s="25"/>
      <c r="ID415" s="25"/>
      <c r="IE415" s="25"/>
      <c r="IF415" s="25"/>
      <c r="IG415" s="25"/>
      <c r="IH415" s="25"/>
      <c r="II415" s="25"/>
      <c r="IJ415" s="25"/>
      <c r="IK415" s="25"/>
      <c r="IL415" s="25"/>
      <c r="IM415" s="25"/>
      <c r="IN415" s="25"/>
      <c r="IO415" s="25"/>
      <c r="IP415" s="25"/>
      <c r="IQ415" s="25"/>
      <c r="IR415" s="25"/>
      <c r="IS415" s="25"/>
      <c r="IT415" s="25"/>
      <c r="IU415" s="25"/>
      <c r="IV415" s="25"/>
      <c r="IW415" s="25"/>
      <c r="IX415" s="25"/>
      <c r="IY415" s="25"/>
      <c r="IZ415" s="25"/>
      <c r="JA415" s="25"/>
      <c r="JB415" s="25"/>
      <c r="JC415" s="25"/>
      <c r="JD415" s="25"/>
      <c r="JE415" s="25"/>
      <c r="JF415" s="25"/>
      <c r="JG415" s="25"/>
      <c r="JH415" s="25"/>
      <c r="JI415" s="25"/>
      <c r="JJ415" s="25"/>
      <c r="JK415" s="25"/>
      <c r="JL415" s="25"/>
      <c r="JM415" s="25"/>
      <c r="JN415" s="25"/>
      <c r="JO415" s="23"/>
      <c r="JP415" s="23"/>
      <c r="JQ415" s="23"/>
    </row>
    <row r="416" spans="2:288" x14ac:dyDescent="0.2">
      <c r="B416" s="16">
        <v>2017</v>
      </c>
      <c r="C416" s="20">
        <v>42939</v>
      </c>
      <c r="D416" s="20" t="str">
        <f>CONCATENATE(J416,"-",C416)</f>
        <v>1267-42939</v>
      </c>
      <c r="E416" s="20" t="str">
        <f>CONCATENATE(T416,"-",U416,"-",C416)</f>
        <v>SP1-G1-42939</v>
      </c>
      <c r="F416" s="20" t="s">
        <v>106</v>
      </c>
      <c r="G416" s="20" t="s">
        <v>107</v>
      </c>
      <c r="I416" s="16">
        <v>0</v>
      </c>
      <c r="J416" s="21">
        <v>1267</v>
      </c>
      <c r="K416" s="21">
        <v>1960</v>
      </c>
      <c r="L416" s="18">
        <v>0</v>
      </c>
      <c r="M416" s="21">
        <f>VLOOKUP($K416,'[4]blood tubes 2017'!$D$1:$L$647,8,FALSE)</f>
        <v>0</v>
      </c>
      <c r="N416" s="15">
        <v>0</v>
      </c>
      <c r="O416" s="15" t="s">
        <v>119</v>
      </c>
      <c r="P416" s="16" t="s">
        <v>119</v>
      </c>
      <c r="Q416" s="16">
        <v>0</v>
      </c>
      <c r="R416" s="16" t="s">
        <v>111</v>
      </c>
      <c r="T416" s="16" t="s">
        <v>140</v>
      </c>
      <c r="U416" s="16" t="s">
        <v>155</v>
      </c>
      <c r="V416" s="16" t="s">
        <v>114</v>
      </c>
      <c r="W416" s="16">
        <f>AI416/AG416</f>
        <v>0.797752808988764</v>
      </c>
      <c r="X416" s="16" t="s">
        <v>121</v>
      </c>
      <c r="Y416" s="16" t="s">
        <v>110</v>
      </c>
      <c r="Z416" s="16">
        <v>3</v>
      </c>
      <c r="AA416" s="16" t="s">
        <v>161</v>
      </c>
      <c r="AB416" s="16" t="s">
        <v>123</v>
      </c>
      <c r="AC416" s="16" t="s">
        <v>123</v>
      </c>
      <c r="AD416" s="16" t="s">
        <v>116</v>
      </c>
      <c r="AG416" s="16">
        <f>AH416-AI416</f>
        <v>89</v>
      </c>
      <c r="AH416" s="16">
        <v>160</v>
      </c>
      <c r="AI416" s="16">
        <v>71</v>
      </c>
      <c r="AK416" s="16">
        <v>23.5</v>
      </c>
      <c r="AL416" s="16">
        <v>0</v>
      </c>
      <c r="AM416" s="16">
        <v>0</v>
      </c>
      <c r="AN416" s="16">
        <v>0</v>
      </c>
      <c r="AO416" s="16">
        <v>0</v>
      </c>
      <c r="AP416" s="16">
        <f>SUM(AL416:AN416)</f>
        <v>0</v>
      </c>
      <c r="AQ416" s="16">
        <v>2.125</v>
      </c>
      <c r="AR416" s="16">
        <f>AP416-1.472</f>
        <v>-1.472</v>
      </c>
      <c r="AS416" s="16">
        <f>AQ416-1.472</f>
        <v>0.65300000000000002</v>
      </c>
      <c r="AT416" s="16" t="str">
        <f>VLOOKUP(K416,'[5]FECs - good data'!$C$1:$P$575,13,FALSE)</f>
        <v>JB</v>
      </c>
      <c r="AW416" s="18">
        <f>IF(AX416&gt;0,1,0)</f>
        <v>1</v>
      </c>
      <c r="AX416" s="18">
        <f>SUM(BA416,BM416,CT416)</f>
        <v>5</v>
      </c>
      <c r="AY416" s="18">
        <f>SUM(BB416,BN416,CV416)</f>
        <v>735.06891271056656</v>
      </c>
      <c r="AZ416" s="18">
        <f>IF(BA416&gt;0,1,0)</f>
        <v>0</v>
      </c>
      <c r="BA416" s="18">
        <f>SUM(BC416,BF416,BI416)</f>
        <v>0</v>
      </c>
      <c r="BB416" s="18">
        <f>SUM(BE416,BH416,BK416)</f>
        <v>0</v>
      </c>
      <c r="BC416" s="18">
        <f>IF(BD416&gt;0,1,0)</f>
        <v>0</v>
      </c>
      <c r="BD416" s="18">
        <f>VLOOKUP($K416,'[5]FECs - good data'!$C$1:$Z$574,14,FALSE)</f>
        <v>0</v>
      </c>
      <c r="BE416" s="16">
        <f>BD416/AS416</f>
        <v>0</v>
      </c>
      <c r="BF416" s="16">
        <f>IF(BG416&gt;0,1,0)</f>
        <v>0</v>
      </c>
      <c r="BG416" s="23">
        <f>VLOOKUP($K416,'[5]FECs - good data'!$C$1:$Z$574,15,FALSE)</f>
        <v>0</v>
      </c>
      <c r="BH416" s="16">
        <f>BG416/AS416</f>
        <v>0</v>
      </c>
      <c r="BI416" s="16">
        <f>IF(BJ416&gt;0,1,0)</f>
        <v>0</v>
      </c>
      <c r="BJ416" s="16">
        <f>VLOOKUP($K416,'[5]FECs - good data'!$C$1:$Z$574,16,FALSE)</f>
        <v>0</v>
      </c>
      <c r="BK416" s="16">
        <f>BJ416/AS416</f>
        <v>0</v>
      </c>
      <c r="BL416" s="16">
        <f>IF(BM416&gt;0,1,0)</f>
        <v>1</v>
      </c>
      <c r="BM416" s="16">
        <f>SUM(BR416,BU416,BX416,CA416,CD416,CG416,CJ416,CM416,CP416)</f>
        <v>4</v>
      </c>
      <c r="BN416" s="16">
        <f>SUM(BW416,BZ416,CC416,CF416,CI416,CL416,CO416,CR416,BT416)</f>
        <v>382.84839203675341</v>
      </c>
      <c r="BO416" s="16">
        <f>IF(BP416&gt;0,1,0)</f>
        <v>1</v>
      </c>
      <c r="BP416" s="16">
        <f>SUM(BU416,BX416,CA416,CD416,BR416)</f>
        <v>2</v>
      </c>
      <c r="BQ416" s="16">
        <f>SUM(BZ416,CC416,CF416,BT416,BW416)</f>
        <v>18.376722817764165</v>
      </c>
      <c r="BR416" s="16">
        <f>IF(BS416&gt;0,1,0)</f>
        <v>1</v>
      </c>
      <c r="BS416" s="16">
        <f>VLOOKUP($K416,'[5]FECs - good data'!$C$1:$Z$574,17,FALSE)</f>
        <v>1</v>
      </c>
      <c r="BT416" s="23">
        <f>BS416/AS416</f>
        <v>1.5313935681470137</v>
      </c>
      <c r="BU416" s="16">
        <f>IF(BV416&gt;0,1,0)</f>
        <v>0</v>
      </c>
      <c r="BV416" s="16">
        <f>VLOOKUP($K416,'[5]FECs - good data'!$C$1:$Z$574,18,FALSE)</f>
        <v>0</v>
      </c>
      <c r="BW416" s="16">
        <f>BV416/AS416</f>
        <v>0</v>
      </c>
      <c r="BX416" s="16">
        <f>IF(BY416&gt;0,1,0)</f>
        <v>1</v>
      </c>
      <c r="BY416" s="16">
        <f>VLOOKUP($K416,'[5]FECs - good data'!$C$1:$Z$574,19,FALSE)</f>
        <v>11</v>
      </c>
      <c r="BZ416" s="16">
        <f>BY416/AS416</f>
        <v>16.845329249617151</v>
      </c>
      <c r="CA416" s="16">
        <f>IF(CB416&gt;0,1,0)</f>
        <v>0</v>
      </c>
      <c r="CB416" s="16">
        <f>VLOOKUP($K416,'[5]FECs - good data'!$C$1:$Z$574,20,FALSE)</f>
        <v>0</v>
      </c>
      <c r="CC416" s="16">
        <f>CB416/AS416</f>
        <v>0</v>
      </c>
      <c r="CD416" s="23">
        <f>IF(CE416&gt;0,1,0)</f>
        <v>0</v>
      </c>
      <c r="CE416" s="16">
        <f>VLOOKUP($K416,'[5]FECs - good data'!$C$1:$Z$574,21,FALSE)</f>
        <v>0</v>
      </c>
      <c r="CF416" s="16">
        <f>CE416/AS416</f>
        <v>0</v>
      </c>
      <c r="CG416" s="16">
        <f>IF(CH416&gt;0,1,0)</f>
        <v>1</v>
      </c>
      <c r="CH416" s="16">
        <f>VLOOKUP($K416,'[5]FECs - good data'!$C$1:$Z$574,22,FALSE)</f>
        <v>230</v>
      </c>
      <c r="CI416" s="16">
        <f>CH416/AS416</f>
        <v>352.22052067381316</v>
      </c>
      <c r="CJ416" s="16">
        <f>IF(CK416&gt;0,1,0)</f>
        <v>1</v>
      </c>
      <c r="CK416" s="16">
        <f>VLOOKUP($K416,'[5]FECs - good data'!$C$1:$Z$674,24,FALSE)</f>
        <v>8</v>
      </c>
      <c r="CL416" s="16">
        <f>CK416/AS416</f>
        <v>12.251148545176109</v>
      </c>
      <c r="CS416" s="16">
        <f>IF(CT416&gt;0,1,0)</f>
        <v>1</v>
      </c>
      <c r="CT416" s="16">
        <f>SUM(CW416+CZ416,DC416)</f>
        <v>1</v>
      </c>
      <c r="CV416" s="16">
        <f>SUM(CY416,DB416,DE416)</f>
        <v>352.22052067381316</v>
      </c>
      <c r="CW416" s="16">
        <f>IF(CX416&gt;0,1,0)</f>
        <v>1</v>
      </c>
      <c r="CX416" s="16">
        <f>VLOOKUP($K416,'[5]FECs - good data'!$C$1:$Z$574,22,FALSE)</f>
        <v>230</v>
      </c>
      <c r="CY416" s="16">
        <f>CX416/AS416</f>
        <v>352.22052067381316</v>
      </c>
      <c r="CZ416" s="16">
        <f>IF(DA416&gt;0,1,0)</f>
        <v>0</v>
      </c>
      <c r="DA416" s="16">
        <f>VLOOKUP($K416,'[5]FECs - good data'!$C$1:$Z$5982,23,FALSE)</f>
        <v>0</v>
      </c>
      <c r="DB416" s="16">
        <f>DA416/AS416</f>
        <v>0</v>
      </c>
      <c r="DC416" s="16">
        <f>IF(DD416&gt;0,1,0)</f>
        <v>0</v>
      </c>
      <c r="DD416" s="16">
        <f>VLOOKUP($K416,'[5]FECs - good data'!$C$1:$Z$574,23,FALSE)</f>
        <v>0</v>
      </c>
      <c r="DE416" s="16">
        <f>DD416/AS416</f>
        <v>0</v>
      </c>
      <c r="DF416" s="16" t="e">
        <f>VLOOKUP(K416,'[3]RNA Seq summary tables'!$V$3:$V$99,1,FALSE)</f>
        <v>#N/A</v>
      </c>
      <c r="DG416" s="16">
        <v>1</v>
      </c>
      <c r="DH416" s="16" t="str">
        <f>VLOOKUP(D416,'[6]workflow 3.2018'!$A$1:$S$237,2,FALSE)</f>
        <v>2017MLBS_62</v>
      </c>
    </row>
    <row r="417" spans="1:288" x14ac:dyDescent="0.2">
      <c r="B417" s="16">
        <v>2017</v>
      </c>
      <c r="C417" s="20">
        <v>42939</v>
      </c>
      <c r="D417" s="20" t="str">
        <f>CONCATENATE(J417,"-",C417)</f>
        <v>1269-42939</v>
      </c>
      <c r="E417" s="20" t="str">
        <f>CONCATENATE(T417,"-",U417,"-",C417)</f>
        <v>SP1-H3-42939</v>
      </c>
      <c r="F417" s="20" t="s">
        <v>106</v>
      </c>
      <c r="G417" s="20" t="s">
        <v>107</v>
      </c>
      <c r="I417" s="16">
        <v>0</v>
      </c>
      <c r="J417" s="21">
        <v>1269</v>
      </c>
      <c r="K417" s="21">
        <v>1963</v>
      </c>
      <c r="L417" s="18">
        <v>0</v>
      </c>
      <c r="M417" s="21">
        <f>VLOOKUP($K417,'[4]blood tubes 2017'!$D$1:$L$647,8,FALSE)</f>
        <v>0</v>
      </c>
      <c r="N417" s="15">
        <v>0</v>
      </c>
      <c r="O417" s="15" t="s">
        <v>119</v>
      </c>
      <c r="P417" s="16" t="s">
        <v>119</v>
      </c>
      <c r="Q417" s="16">
        <v>0</v>
      </c>
      <c r="R417" s="16" t="s">
        <v>111</v>
      </c>
      <c r="T417" s="16" t="s">
        <v>140</v>
      </c>
      <c r="U417" s="16" t="s">
        <v>174</v>
      </c>
      <c r="V417" s="16" t="s">
        <v>114</v>
      </c>
      <c r="W417" s="16">
        <f>AI417/AG417</f>
        <v>0.85542168674698793</v>
      </c>
      <c r="X417" s="16" t="s">
        <v>115</v>
      </c>
      <c r="Y417" s="16" t="s">
        <v>110</v>
      </c>
      <c r="Z417" s="16">
        <v>3</v>
      </c>
      <c r="AE417" s="16" t="s">
        <v>116</v>
      </c>
      <c r="AF417" s="16" t="s">
        <v>116</v>
      </c>
      <c r="AG417" s="16">
        <f>AH417-AI417</f>
        <v>83</v>
      </c>
      <c r="AH417" s="16">
        <v>154</v>
      </c>
      <c r="AI417" s="16">
        <v>71</v>
      </c>
      <c r="AK417" s="16">
        <v>18</v>
      </c>
      <c r="AL417" s="16">
        <v>0</v>
      </c>
      <c r="AM417" s="16">
        <v>0</v>
      </c>
      <c r="AN417" s="16">
        <v>0</v>
      </c>
      <c r="AO417" s="16">
        <v>0</v>
      </c>
      <c r="AP417" s="16">
        <f>SUM(AL417:AN417)</f>
        <v>0</v>
      </c>
      <c r="AQ417" s="16">
        <v>1.696</v>
      </c>
      <c r="AR417" s="16">
        <f>AP417-1.472</f>
        <v>-1.472</v>
      </c>
      <c r="AS417" s="16">
        <f>AQ417-1.472</f>
        <v>0.22399999999999998</v>
      </c>
      <c r="AT417" s="16" t="str">
        <f>VLOOKUP(K417,'[5]FECs - good data'!$C$1:$P$575,13,FALSE)</f>
        <v>SB</v>
      </c>
      <c r="AW417" s="18">
        <f>IF(AX417&gt;0,1,0)</f>
        <v>1</v>
      </c>
      <c r="AX417" s="18">
        <f>SUM(BA417,BM417,CT417)</f>
        <v>4</v>
      </c>
      <c r="AY417" s="18">
        <f>SUM(BB417,BN417,CV417)</f>
        <v>16892.857142857141</v>
      </c>
      <c r="AZ417" s="18">
        <f>IF(BA417&gt;0,1,0)</f>
        <v>1</v>
      </c>
      <c r="BA417" s="18">
        <f>SUM(BC417,BF417,BI417)</f>
        <v>2</v>
      </c>
      <c r="BB417" s="18">
        <f>SUM(BE417,BH417,BK417)</f>
        <v>16875</v>
      </c>
      <c r="BC417" s="18">
        <f>IF(BD417&gt;0,1,0)</f>
        <v>1</v>
      </c>
      <c r="BD417" s="18">
        <f>VLOOKUP($K417,'[5]FECs - good data'!$C$1:$Z$574,14,FALSE)</f>
        <v>1447</v>
      </c>
      <c r="BE417" s="16">
        <f>BD417/AS417</f>
        <v>6459.8214285714294</v>
      </c>
      <c r="BF417" s="16">
        <f>IF(BG417&gt;0,1,0)</f>
        <v>1</v>
      </c>
      <c r="BG417" s="23">
        <f>VLOOKUP($K417,'[5]FECs - good data'!$C$1:$Z$574,15,FALSE)</f>
        <v>2333</v>
      </c>
      <c r="BH417" s="16">
        <f>BG417/AS417</f>
        <v>10415.178571428572</v>
      </c>
      <c r="BI417" s="16">
        <f>IF(BJ417&gt;0,1,0)</f>
        <v>0</v>
      </c>
      <c r="BJ417" s="16">
        <f>VLOOKUP($K417,'[5]FECs - good data'!$C$1:$Z$574,16,FALSE)</f>
        <v>0</v>
      </c>
      <c r="BK417" s="16">
        <f>BJ417/AS417</f>
        <v>0</v>
      </c>
      <c r="BL417" s="16">
        <f>IF(BM417&gt;0,1,0)</f>
        <v>1</v>
      </c>
      <c r="BM417" s="16">
        <f>SUM(BR417,BU417,BX417,CA417,CD417,CG417,CJ417,CM417,CP417)</f>
        <v>2</v>
      </c>
      <c r="BN417" s="16">
        <f>SUM(BW417,BZ417,CC417,CF417,CI417,CL417,CO417,CR417,BT417)</f>
        <v>17.857142857142858</v>
      </c>
      <c r="BO417" s="16">
        <f>IF(BP417&gt;0,1,0)</f>
        <v>1</v>
      </c>
      <c r="BP417" s="16">
        <f>SUM(BU417,BX417,CA417,CD417,BR417)</f>
        <v>2</v>
      </c>
      <c r="BQ417" s="16">
        <f>SUM(BZ417,CC417,CF417,BT417,BW417)</f>
        <v>17.857142857142858</v>
      </c>
      <c r="BR417" s="16">
        <f>IF(BS417&gt;0,1,0)</f>
        <v>1</v>
      </c>
      <c r="BS417" s="16">
        <f>VLOOKUP($K417,'[5]FECs - good data'!$C$1:$Z$574,17,FALSE)</f>
        <v>3</v>
      </c>
      <c r="BT417" s="23">
        <f>BS417/AS417</f>
        <v>13.392857142857144</v>
      </c>
      <c r="BU417" s="16">
        <f>IF(BV417&gt;0,1,0)</f>
        <v>0</v>
      </c>
      <c r="BV417" s="16">
        <f>VLOOKUP($K417,'[5]FECs - good data'!$C$1:$Z$574,18,FALSE)</f>
        <v>0</v>
      </c>
      <c r="BW417" s="16">
        <f>BV417/AS417</f>
        <v>0</v>
      </c>
      <c r="BX417" s="16">
        <f>IF(BY417&gt;0,1,0)</f>
        <v>0</v>
      </c>
      <c r="BY417" s="16">
        <f>VLOOKUP($K417,'[5]FECs - good data'!$C$1:$Z$574,19,FALSE)</f>
        <v>0</v>
      </c>
      <c r="BZ417" s="16">
        <f>BY417/AS417</f>
        <v>0</v>
      </c>
      <c r="CA417" s="16">
        <f>IF(CB417&gt;0,1,0)</f>
        <v>1</v>
      </c>
      <c r="CB417" s="16">
        <f>VLOOKUP($K417,'[5]FECs - good data'!$C$1:$Z$574,20,FALSE)</f>
        <v>1</v>
      </c>
      <c r="CC417" s="16">
        <f>CB417/AS417</f>
        <v>4.4642857142857144</v>
      </c>
      <c r="CD417" s="23">
        <f>IF(CE417&gt;0,1,0)</f>
        <v>0</v>
      </c>
      <c r="CE417" s="16">
        <f>VLOOKUP($K417,'[5]FECs - good data'!$C$1:$Z$574,21,FALSE)</f>
        <v>0</v>
      </c>
      <c r="CF417" s="16">
        <f>CE417/AS417</f>
        <v>0</v>
      </c>
      <c r="CG417" s="16">
        <f>IF(CH417&gt;0,1,0)</f>
        <v>0</v>
      </c>
      <c r="CH417" s="16">
        <f>VLOOKUP($K417,'[5]FECs - good data'!$C$1:$Z$574,22,FALSE)</f>
        <v>0</v>
      </c>
      <c r="CI417" s="16">
        <f>CH417/AS417</f>
        <v>0</v>
      </c>
      <c r="CJ417" s="16">
        <f>IF(CK417&gt;0,1,0)</f>
        <v>0</v>
      </c>
      <c r="CK417" s="16">
        <f>VLOOKUP($K417,'[5]FECs - good data'!$C$1:$Z$674,24,FALSE)</f>
        <v>0</v>
      </c>
      <c r="CL417" s="16">
        <f>CK417/AS417</f>
        <v>0</v>
      </c>
      <c r="CS417" s="16">
        <f>IF(CT417&gt;0,1,0)</f>
        <v>0</v>
      </c>
      <c r="CT417" s="16">
        <f>SUM(CW417+CZ417,DC417)</f>
        <v>0</v>
      </c>
      <c r="CV417" s="16">
        <f>SUM(CY417,DB417,DE417)</f>
        <v>0</v>
      </c>
      <c r="CW417" s="16">
        <f>IF(CX417&gt;0,1,0)</f>
        <v>0</v>
      </c>
      <c r="CX417" s="16">
        <f>VLOOKUP($K417,'[5]FECs - good data'!$C$1:$Z$574,22,FALSE)</f>
        <v>0</v>
      </c>
      <c r="CY417" s="16">
        <f>CX417/AS417</f>
        <v>0</v>
      </c>
      <c r="CZ417" s="16">
        <f>IF(DA417&gt;0,1,0)</f>
        <v>0</v>
      </c>
      <c r="DA417" s="16">
        <f>VLOOKUP($K417,'[5]FECs - good data'!$C$1:$Z$5982,23,FALSE)</f>
        <v>0</v>
      </c>
      <c r="DB417" s="16">
        <f>DA417/AS417</f>
        <v>0</v>
      </c>
      <c r="DC417" s="16">
        <f>IF(DD417&gt;0,1,0)</f>
        <v>0</v>
      </c>
      <c r="DD417" s="16">
        <f>VLOOKUP($K417,'[5]FECs - good data'!$C$1:$Z$574,23,FALSE)</f>
        <v>0</v>
      </c>
      <c r="DE417" s="16">
        <f>DD417/AS417</f>
        <v>0</v>
      </c>
      <c r="DF417" s="16" t="e">
        <f>VLOOKUP(K417,'[3]RNA Seq summary tables'!$V$3:$V$99,1,FALSE)</f>
        <v>#N/A</v>
      </c>
      <c r="DG417" s="16">
        <v>1</v>
      </c>
      <c r="DH417" s="16" t="str">
        <f>VLOOKUP(D417,'[6]workflow 3.2018'!$A$1:$S$237,2,FALSE)</f>
        <v>2017MLBS_64</v>
      </c>
    </row>
    <row r="418" spans="1:288" ht="16" x14ac:dyDescent="0.2">
      <c r="A418" s="51">
        <v>1</v>
      </c>
      <c r="B418" s="16">
        <v>2017</v>
      </c>
      <c r="C418" s="43">
        <v>42972</v>
      </c>
      <c r="D418" s="20" t="str">
        <f>CONCATENATE(J418,"-",C418)</f>
        <v>1269-42972</v>
      </c>
      <c r="E418" s="37" t="str">
        <f>CONCATENATE(T418,"-",U418,"-",C418)</f>
        <v>SP1-H5-42972</v>
      </c>
      <c r="F418" s="20" t="s">
        <v>106</v>
      </c>
      <c r="G418" s="65" t="s">
        <v>107</v>
      </c>
      <c r="H418" s="25" t="s">
        <v>192</v>
      </c>
      <c r="I418" s="23">
        <v>0</v>
      </c>
      <c r="J418" s="15">
        <v>1269</v>
      </c>
      <c r="K418" s="83" t="s">
        <v>263</v>
      </c>
      <c r="L418" s="25">
        <v>0</v>
      </c>
      <c r="M418" s="21">
        <v>0</v>
      </c>
      <c r="N418" s="15">
        <v>0</v>
      </c>
      <c r="O418" s="15" t="s">
        <v>119</v>
      </c>
      <c r="P418" s="23" t="s">
        <v>119</v>
      </c>
      <c r="Q418" s="23">
        <v>0</v>
      </c>
      <c r="R418" s="23">
        <v>33</v>
      </c>
      <c r="S418" s="23"/>
      <c r="T418" s="23" t="s">
        <v>140</v>
      </c>
      <c r="U418" s="23" t="s">
        <v>180</v>
      </c>
      <c r="V418" s="23" t="s">
        <v>114</v>
      </c>
      <c r="W418" s="23">
        <f>AI418/AG418</f>
        <v>0.87951807228915657</v>
      </c>
      <c r="X418" s="23" t="s">
        <v>115</v>
      </c>
      <c r="Y418" s="23" t="s">
        <v>110</v>
      </c>
      <c r="Z418" s="23">
        <v>3</v>
      </c>
      <c r="AA418" s="23"/>
      <c r="AB418" s="23"/>
      <c r="AC418" s="23"/>
      <c r="AD418" s="23"/>
      <c r="AE418" s="23" t="s">
        <v>116</v>
      </c>
      <c r="AF418" s="23" t="s">
        <v>116</v>
      </c>
      <c r="AG418" s="23">
        <f>AH418-AI418</f>
        <v>83</v>
      </c>
      <c r="AH418" s="23">
        <v>156</v>
      </c>
      <c r="AI418" s="23">
        <v>73</v>
      </c>
      <c r="AJ418" s="23"/>
      <c r="AK418" s="23">
        <v>20.5</v>
      </c>
      <c r="AL418" s="23">
        <v>0</v>
      </c>
      <c r="AM418" s="23">
        <v>0</v>
      </c>
      <c r="AN418" s="23">
        <v>0</v>
      </c>
      <c r="AO418" s="23">
        <v>0</v>
      </c>
      <c r="AP418" s="23">
        <f>SUM(AL418:AN418)</f>
        <v>0</v>
      </c>
      <c r="AQ418" s="23">
        <v>1.625</v>
      </c>
      <c r="AR418" s="23">
        <f>AP418-1.472</f>
        <v>-1.472</v>
      </c>
      <c r="AS418" s="23">
        <f>AQ418-1.472</f>
        <v>0.15300000000000002</v>
      </c>
      <c r="AT418" s="16" t="str">
        <f>VLOOKUP(E418,[2]Current!$A$1:$W$435,7,FALSE)</f>
        <v>JY</v>
      </c>
      <c r="AU418" s="16" t="s">
        <v>1288</v>
      </c>
      <c r="AV418" s="23"/>
      <c r="AW418" s="128">
        <f>IF(AX418&gt;0,1,0)</f>
        <v>1</v>
      </c>
      <c r="AX418" s="128">
        <f>SUM(BA418,BM418,CU418)</f>
        <v>3</v>
      </c>
      <c r="AY418" s="128">
        <f>SUM(BB418,BN418,CV418)</f>
        <v>418.30065359477118</v>
      </c>
      <c r="AZ418" s="128">
        <f>IF(BA418&gt;0,1,0)</f>
        <v>1</v>
      </c>
      <c r="BA418" s="128">
        <f>SUM(BC418+BF418+BI418)</f>
        <v>3</v>
      </c>
      <c r="BB418" s="128">
        <f>SUM(BE418,BH418,BK418)</f>
        <v>418.30065359477118</v>
      </c>
      <c r="BC418" s="130">
        <f>IF(BD418&gt;0,1,0)</f>
        <v>1</v>
      </c>
      <c r="BD418" s="128">
        <f>VLOOKUP($E418,[2]Current!$A:$AC,26,FALSE)</f>
        <v>3</v>
      </c>
      <c r="BE418" s="128">
        <f>BD418/$AS418</f>
        <v>19.6078431372549</v>
      </c>
      <c r="BF418" s="130">
        <f>IF(BG418&gt;0,1,0)</f>
        <v>1</v>
      </c>
      <c r="BG418" s="175">
        <f>VLOOKUP($E418,[2]Current!$A:$AC,27,FALSE)</f>
        <v>60</v>
      </c>
      <c r="BH418" s="128">
        <f>BG418/$AS418</f>
        <v>392.15686274509795</v>
      </c>
      <c r="BI418" s="130">
        <f>IF(BJ418&gt;0,1,0)</f>
        <v>1</v>
      </c>
      <c r="BJ418" s="128">
        <f>VLOOKUP($E418,[2]Current!$A:$AC,28,FALSE)</f>
        <v>1</v>
      </c>
      <c r="BK418" s="128">
        <f>BJ418/$AS418</f>
        <v>6.5359477124182996</v>
      </c>
      <c r="BL418" s="128">
        <f>IF(BM418&gt;0,1,0)</f>
        <v>0</v>
      </c>
      <c r="BM418" s="128">
        <f>SUM(BR418,BU418,BX418,CA418,CD418)</f>
        <v>0</v>
      </c>
      <c r="BN418" s="131">
        <f>SUM(BT418,BW418,BZ418,CC418,CF418)</f>
        <v>0</v>
      </c>
      <c r="BO418" s="128">
        <f>IF(BP418&gt;0,1,0)</f>
        <v>0</v>
      </c>
      <c r="BP418" s="128">
        <f>BM418+CJ418</f>
        <v>0</v>
      </c>
      <c r="BQ418" s="128">
        <f>BN418+CL418</f>
        <v>0</v>
      </c>
      <c r="BR418" s="130">
        <f>IF(BS418&gt;0,1,0)</f>
        <v>0</v>
      </c>
      <c r="BS418" s="128">
        <f>VLOOKUP($E418,[2]Current!$A:$AC,12,FALSE)</f>
        <v>0</v>
      </c>
      <c r="BT418" s="175">
        <f>BS418/$AS418</f>
        <v>0</v>
      </c>
      <c r="BU418" s="130">
        <f>IF(BV418&gt;0,1,0)</f>
        <v>0</v>
      </c>
      <c r="BV418" s="128">
        <f>VLOOKUP($E418,[2]Current!$A:$AC,13,FALSE)</f>
        <v>0</v>
      </c>
      <c r="BW418" s="128">
        <f>BV418/$AS418</f>
        <v>0</v>
      </c>
      <c r="BX418" s="130">
        <f>IF(BY418&gt;0,1,0)</f>
        <v>0</v>
      </c>
      <c r="BY418" s="128">
        <f>VLOOKUP($E418,[2]Current!$A:$AC,14,FALSE)</f>
        <v>0</v>
      </c>
      <c r="BZ418" s="128">
        <f>BY418/$AS418</f>
        <v>0</v>
      </c>
      <c r="CA418" s="130">
        <f>IF(CB418&gt;0,1,0)</f>
        <v>0</v>
      </c>
      <c r="CB418" s="128">
        <f>VLOOKUP($E418,[2]Current!$A:$AC,15,FALSE)</f>
        <v>0</v>
      </c>
      <c r="CC418" s="128">
        <f>CB418/$AS418</f>
        <v>0</v>
      </c>
      <c r="CD418" s="176">
        <f>IF(CE418&gt;0,1,0)</f>
        <v>0</v>
      </c>
      <c r="CE418" s="128">
        <f>VLOOKUP($E418,[2]Current!$A:$AC,16,FALSE)</f>
        <v>0</v>
      </c>
      <c r="CF418" s="128">
        <f>CE418/$AS418</f>
        <v>0</v>
      </c>
      <c r="CG418" s="18"/>
      <c r="CH418" s="18"/>
      <c r="CI418" s="18"/>
      <c r="CJ418" s="130">
        <f>IF(CK418&gt;0,1,0)</f>
        <v>0</v>
      </c>
      <c r="CK418" s="128">
        <f>VLOOKUP($E418,[2]Current!$A:$AC,18,FALSE)</f>
        <v>0</v>
      </c>
      <c r="CL418" s="128">
        <f>CK418/$AS418</f>
        <v>0</v>
      </c>
      <c r="CS418" s="130">
        <f>IF(CU418&gt;0,1,0)</f>
        <v>0</v>
      </c>
      <c r="CU418" s="128">
        <f>VLOOKUP($E418,[2]Current!$A:$AC,17,FALSE)</f>
        <v>0</v>
      </c>
      <c r="CV418" s="128">
        <f>CU418/$AS418</f>
        <v>0</v>
      </c>
      <c r="CW418" s="18"/>
      <c r="CX418" s="18"/>
      <c r="CY418" s="18"/>
      <c r="DF418" s="16" t="e">
        <f>VLOOKUP(K418,'[3]RNA Seq summary tables'!$V$3:$V$99,1,FALSE)</f>
        <v>#N/A</v>
      </c>
      <c r="DG418" s="23">
        <v>1</v>
      </c>
      <c r="DH418" s="23" t="str">
        <f>VLOOKUP(D418,'[6]workflow 3.2018'!$A$1:$S$237,2,FALSE)</f>
        <v>2017MLBS_178</v>
      </c>
      <c r="DI418" s="23"/>
      <c r="DJ418" s="23"/>
      <c r="DK418" s="23"/>
      <c r="DL418" s="23"/>
      <c r="DM418" s="23"/>
      <c r="DN418" s="23"/>
      <c r="DO418" s="23"/>
      <c r="DP418" s="23"/>
      <c r="DQ418" s="23"/>
      <c r="DR418" s="23"/>
      <c r="DS418" s="23"/>
      <c r="DT418" s="25"/>
      <c r="DU418" s="25"/>
      <c r="DV418" s="25"/>
      <c r="DW418" s="25"/>
      <c r="DX418" s="25"/>
      <c r="DY418" s="25"/>
      <c r="DZ418" s="25"/>
      <c r="EA418" s="25"/>
      <c r="EB418" s="25"/>
      <c r="EC418" s="25"/>
      <c r="ED418" s="25"/>
      <c r="EE418" s="25"/>
      <c r="EF418" s="25"/>
      <c r="EG418" s="25"/>
      <c r="EH418" s="25"/>
      <c r="EI418" s="25"/>
      <c r="EJ418" s="25"/>
      <c r="EK418" s="25"/>
      <c r="EL418" s="25"/>
      <c r="EM418" s="25"/>
      <c r="EN418" s="25"/>
      <c r="EO418" s="25"/>
      <c r="EP418" s="25"/>
      <c r="EQ418" s="25"/>
      <c r="ER418" s="25"/>
      <c r="ES418" s="25"/>
      <c r="ET418" s="25"/>
      <c r="EU418" s="25"/>
      <c r="EV418" s="25"/>
      <c r="EW418" s="25"/>
      <c r="EX418" s="25"/>
      <c r="EY418" s="25"/>
      <c r="EZ418" s="25"/>
      <c r="FA418" s="25"/>
      <c r="FB418" s="25"/>
      <c r="FC418" s="25"/>
      <c r="FD418" s="25"/>
      <c r="FE418" s="25"/>
      <c r="FF418" s="25"/>
      <c r="FG418" s="25"/>
      <c r="FH418" s="25"/>
      <c r="FI418" s="25"/>
      <c r="FJ418" s="25"/>
      <c r="FK418" s="25"/>
      <c r="FL418" s="25"/>
      <c r="FM418" s="25"/>
      <c r="FN418" s="25"/>
      <c r="FO418" s="25"/>
      <c r="FP418" s="25"/>
      <c r="FQ418" s="25"/>
      <c r="FR418" s="25"/>
      <c r="FS418" s="25"/>
      <c r="FT418" s="25"/>
      <c r="FU418" s="25"/>
      <c r="FV418" s="25"/>
      <c r="FW418" s="25"/>
      <c r="FX418" s="25"/>
      <c r="FY418" s="25"/>
      <c r="FZ418" s="25"/>
      <c r="GA418" s="25"/>
      <c r="GB418" s="25"/>
      <c r="GC418" s="25"/>
      <c r="GD418" s="25"/>
      <c r="GE418" s="25"/>
      <c r="GF418" s="25"/>
      <c r="GG418" s="25"/>
      <c r="GH418" s="25"/>
      <c r="GI418" s="25"/>
      <c r="GJ418" s="25"/>
      <c r="GK418" s="25"/>
      <c r="GL418" s="25"/>
      <c r="GM418" s="25"/>
      <c r="GN418" s="25"/>
      <c r="GO418" s="25"/>
      <c r="GP418" s="25"/>
      <c r="GQ418" s="25"/>
      <c r="GR418" s="25"/>
      <c r="GS418" s="25"/>
      <c r="GT418" s="25"/>
      <c r="GU418" s="25"/>
      <c r="GV418" s="25"/>
      <c r="GW418" s="25"/>
      <c r="GX418" s="25"/>
      <c r="GY418" s="25"/>
      <c r="GZ418" s="25"/>
      <c r="HA418" s="25"/>
      <c r="HB418" s="25"/>
      <c r="HC418" s="25"/>
      <c r="HD418" s="25"/>
      <c r="HE418" s="25"/>
      <c r="HF418" s="25"/>
      <c r="HG418" s="25"/>
      <c r="HH418" s="25"/>
      <c r="HI418" s="25"/>
      <c r="HJ418" s="25"/>
      <c r="HK418" s="25"/>
      <c r="HL418" s="25"/>
      <c r="HM418" s="25"/>
      <c r="HN418" s="25"/>
      <c r="HO418" s="25"/>
      <c r="HP418" s="25"/>
      <c r="HQ418" s="25"/>
      <c r="HR418" s="25"/>
      <c r="HS418" s="25"/>
      <c r="HT418" s="25"/>
      <c r="HU418" s="25"/>
      <c r="HV418" s="25"/>
      <c r="HW418" s="25"/>
      <c r="HX418" s="25"/>
      <c r="HY418" s="25"/>
      <c r="HZ418" s="25"/>
      <c r="IA418" s="25"/>
      <c r="IB418" s="25"/>
      <c r="IC418" s="25"/>
      <c r="ID418" s="25"/>
      <c r="IE418" s="25"/>
      <c r="IF418" s="25"/>
      <c r="IG418" s="25"/>
      <c r="IH418" s="25"/>
      <c r="II418" s="25"/>
      <c r="IJ418" s="25"/>
      <c r="IK418" s="25"/>
      <c r="IL418" s="25"/>
      <c r="IM418" s="25"/>
      <c r="IN418" s="25"/>
      <c r="IO418" s="25"/>
      <c r="IP418" s="25"/>
      <c r="IQ418" s="25"/>
      <c r="IR418" s="25"/>
      <c r="IS418" s="25"/>
      <c r="IT418" s="25"/>
      <c r="IU418" s="25"/>
      <c r="IV418" s="25"/>
      <c r="IW418" s="25"/>
      <c r="IX418" s="25"/>
      <c r="IY418" s="25"/>
      <c r="IZ418" s="25"/>
      <c r="JA418" s="25"/>
      <c r="JB418" s="25"/>
      <c r="JC418" s="25"/>
      <c r="JD418" s="25"/>
      <c r="JE418" s="25"/>
      <c r="JF418" s="25"/>
      <c r="JG418" s="25"/>
      <c r="JH418" s="25"/>
      <c r="JI418" s="25"/>
      <c r="JJ418" s="25"/>
      <c r="JK418" s="25"/>
      <c r="JL418" s="25"/>
      <c r="JM418" s="25"/>
      <c r="JN418" s="25"/>
      <c r="JO418" s="23"/>
      <c r="JP418" s="23"/>
      <c r="JQ418" s="23"/>
    </row>
    <row r="419" spans="1:288" ht="16" x14ac:dyDescent="0.2">
      <c r="B419" s="16">
        <v>2017</v>
      </c>
      <c r="C419" s="20">
        <v>42939</v>
      </c>
      <c r="D419" s="20" t="str">
        <f>CONCATENATE(J419,"-",C419)</f>
        <v>1271-42939</v>
      </c>
      <c r="E419" s="37" t="str">
        <f>CONCATENATE(T419,"-",U419,"-",C419)</f>
        <v>SP1-H8-42939</v>
      </c>
      <c r="F419" s="20" t="s">
        <v>106</v>
      </c>
      <c r="G419" s="20" t="s">
        <v>107</v>
      </c>
      <c r="I419" s="16">
        <v>0</v>
      </c>
      <c r="J419" s="21">
        <v>1271</v>
      </c>
      <c r="K419" s="21">
        <v>1965</v>
      </c>
      <c r="L419" s="18">
        <v>0</v>
      </c>
      <c r="M419" s="21">
        <f>VLOOKUP($K419,'[4]blood tubes 2017'!$D$1:$L$647,8,FALSE)</f>
        <v>0</v>
      </c>
      <c r="N419" s="15">
        <v>0</v>
      </c>
      <c r="O419" s="15" t="s">
        <v>119</v>
      </c>
      <c r="P419" s="16" t="s">
        <v>119</v>
      </c>
      <c r="Q419" s="16">
        <v>0</v>
      </c>
      <c r="R419" s="16" t="s">
        <v>111</v>
      </c>
      <c r="T419" s="16" t="s">
        <v>140</v>
      </c>
      <c r="U419" s="16" t="s">
        <v>152</v>
      </c>
      <c r="V419" s="16" t="s">
        <v>114</v>
      </c>
      <c r="W419" s="16">
        <f>AI419/AG419</f>
        <v>0.91566265060240959</v>
      </c>
      <c r="X419" s="16" t="s">
        <v>115</v>
      </c>
      <c r="Y419" s="16" t="s">
        <v>110</v>
      </c>
      <c r="Z419" s="16">
        <v>3</v>
      </c>
      <c r="AE419" s="16" t="s">
        <v>123</v>
      </c>
      <c r="AF419" s="16" t="s">
        <v>123</v>
      </c>
      <c r="AG419" s="16">
        <f>AH419-AI419</f>
        <v>83</v>
      </c>
      <c r="AH419" s="16">
        <v>159</v>
      </c>
      <c r="AI419" s="16">
        <v>76</v>
      </c>
      <c r="AK419" s="16">
        <v>19.5</v>
      </c>
      <c r="AL419" s="16">
        <v>0</v>
      </c>
      <c r="AM419" s="16">
        <v>0</v>
      </c>
      <c r="AN419" s="16">
        <v>0</v>
      </c>
      <c r="AO419" s="16">
        <v>0</v>
      </c>
      <c r="AP419" s="16">
        <f>SUM(AL419:AN419)</f>
        <v>0</v>
      </c>
      <c r="AQ419" s="16">
        <v>2.0910000000000002</v>
      </c>
      <c r="AR419" s="16">
        <f>AP419-1.472</f>
        <v>-1.472</v>
      </c>
      <c r="AS419" s="16">
        <f>AQ419-1.472</f>
        <v>0.61900000000000022</v>
      </c>
      <c r="AT419" s="16" t="str">
        <f>VLOOKUP(E419,[2]Current!$A$1:$W$435,7,FALSE)</f>
        <v>NB</v>
      </c>
      <c r="AU419" s="16" t="s">
        <v>1288</v>
      </c>
      <c r="AV419" s="23"/>
      <c r="AW419" s="128">
        <f>IF(AX419&gt;0,1,0)</f>
        <v>1</v>
      </c>
      <c r="AX419" s="128">
        <f>SUM(BA419,BM419,CU419)</f>
        <v>1</v>
      </c>
      <c r="AY419" s="128">
        <f>SUM(BB419,BN419,CV419)</f>
        <v>42.003231017770581</v>
      </c>
      <c r="AZ419" s="128">
        <f>IF(BA419&gt;0,1,0)</f>
        <v>1</v>
      </c>
      <c r="BA419" s="128">
        <f>SUM(BC419+BF419+BI419)</f>
        <v>1</v>
      </c>
      <c r="BB419" s="128">
        <f>SUM(BE419,BH419,BK419)</f>
        <v>42.003231017770581</v>
      </c>
      <c r="BC419" s="130">
        <f>IF(BD419&gt;0,1,0)</f>
        <v>0</v>
      </c>
      <c r="BD419" s="128">
        <f>VLOOKUP($E419,[2]Current!$A:$AC,26,FALSE)</f>
        <v>0</v>
      </c>
      <c r="BE419" s="128">
        <f>BD419/$AS419</f>
        <v>0</v>
      </c>
      <c r="BF419" s="130">
        <f>IF(BG419&gt;0,1,0)</f>
        <v>1</v>
      </c>
      <c r="BG419" s="175">
        <f>VLOOKUP($E419,[2]Current!$A:$AC,27,FALSE)</f>
        <v>26</v>
      </c>
      <c r="BH419" s="128">
        <f>BG419/$AS419</f>
        <v>42.003231017770581</v>
      </c>
      <c r="BI419" s="130">
        <f>IF(BJ419&gt;0,1,0)</f>
        <v>0</v>
      </c>
      <c r="BJ419" s="128">
        <f>VLOOKUP($E419,[2]Current!$A:$AC,28,FALSE)</f>
        <v>0</v>
      </c>
      <c r="BK419" s="128">
        <f>BJ419/$AS419</f>
        <v>0</v>
      </c>
      <c r="BL419" s="128">
        <f>IF(BM419&gt;0,1,0)</f>
        <v>0</v>
      </c>
      <c r="BM419" s="128">
        <f>SUM(BR419,BU419,BX419,CA419,CD419)</f>
        <v>0</v>
      </c>
      <c r="BN419" s="131">
        <f>SUM(BT419,BW419,BZ419,CC419,CF419)</f>
        <v>0</v>
      </c>
      <c r="BO419" s="128">
        <f>IF(BP419&gt;0,1,0)</f>
        <v>0</v>
      </c>
      <c r="BP419" s="128">
        <f>BM419+CJ419</f>
        <v>0</v>
      </c>
      <c r="BQ419" s="128">
        <f>BN419+CL419</f>
        <v>0</v>
      </c>
      <c r="BR419" s="130">
        <f>IF(BS419&gt;0,1,0)</f>
        <v>0</v>
      </c>
      <c r="BS419" s="128">
        <f>VLOOKUP($E419,[2]Current!$A:$AC,12,FALSE)</f>
        <v>0</v>
      </c>
      <c r="BT419" s="175">
        <f>BS419/$AS419</f>
        <v>0</v>
      </c>
      <c r="BU419" s="130">
        <f>IF(BV419&gt;0,1,0)</f>
        <v>0</v>
      </c>
      <c r="BV419" s="128">
        <f>VLOOKUP($E419,[2]Current!$A:$AC,13,FALSE)</f>
        <v>0</v>
      </c>
      <c r="BW419" s="128">
        <f>BV419/$AS419</f>
        <v>0</v>
      </c>
      <c r="BX419" s="130">
        <f>IF(BY419&gt;0,1,0)</f>
        <v>0</v>
      </c>
      <c r="BY419" s="128">
        <f>VLOOKUP($E419,[2]Current!$A:$AC,14,FALSE)</f>
        <v>0</v>
      </c>
      <c r="BZ419" s="128">
        <f>BY419/$AS419</f>
        <v>0</v>
      </c>
      <c r="CA419" s="130">
        <f>IF(CB419&gt;0,1,0)</f>
        <v>0</v>
      </c>
      <c r="CB419" s="128">
        <f>VLOOKUP($E419,[2]Current!$A:$AC,15,FALSE)</f>
        <v>0</v>
      </c>
      <c r="CC419" s="128">
        <f>CB419/$AS419</f>
        <v>0</v>
      </c>
      <c r="CD419" s="176">
        <f>IF(CE419&gt;0,1,0)</f>
        <v>0</v>
      </c>
      <c r="CE419" s="128">
        <f>VLOOKUP($E419,[2]Current!$A:$AC,16,FALSE)</f>
        <v>0</v>
      </c>
      <c r="CF419" s="128">
        <f>CE419/$AS419</f>
        <v>0</v>
      </c>
      <c r="CG419" s="18"/>
      <c r="CH419" s="18"/>
      <c r="CI419" s="18"/>
      <c r="CJ419" s="130">
        <f>IF(CK419&gt;0,1,0)</f>
        <v>0</v>
      </c>
      <c r="CK419" s="128">
        <f>VLOOKUP($E419,[2]Current!$A:$AC,18,FALSE)</f>
        <v>0</v>
      </c>
      <c r="CL419" s="128">
        <f>CK419/$AS419</f>
        <v>0</v>
      </c>
      <c r="CS419" s="130">
        <f>IF(CU419&gt;0,1,0)</f>
        <v>0</v>
      </c>
      <c r="CT419" s="18"/>
      <c r="CU419" s="128">
        <f>VLOOKUP($E419,[2]Current!$A:$AC,17,FALSE)</f>
        <v>0</v>
      </c>
      <c r="CV419" s="128">
        <f>CU419/$AS419</f>
        <v>0</v>
      </c>
      <c r="CW419" s="18"/>
      <c r="CX419" s="18"/>
      <c r="CY419" s="18"/>
      <c r="DF419" s="16" t="e">
        <f>VLOOKUP(K419,'[3]RNA Seq summary tables'!$V$3:$V$99,1,FALSE)</f>
        <v>#N/A</v>
      </c>
      <c r="DG419" s="16">
        <v>1</v>
      </c>
      <c r="DH419" s="16" t="str">
        <f>VLOOKUP(D419,'[6]workflow 3.2018'!$A$1:$S$237,2,FALSE)</f>
        <v>2017MLBS_65</v>
      </c>
      <c r="JR419" s="39"/>
      <c r="JS419" s="39"/>
      <c r="JT419" s="39"/>
      <c r="JU419" s="39"/>
      <c r="JV419" s="39"/>
      <c r="JW419" s="39"/>
      <c r="JX419" s="39"/>
      <c r="JY419" s="39"/>
      <c r="JZ419" s="39"/>
      <c r="KA419" s="39"/>
      <c r="KB419" s="39"/>
    </row>
    <row r="420" spans="1:288" s="18" customFormat="1" x14ac:dyDescent="0.2">
      <c r="B420" s="16">
        <v>2017</v>
      </c>
      <c r="C420" s="20">
        <v>42972</v>
      </c>
      <c r="D420" s="20" t="str">
        <f>CONCATENATE(J420,"-",C420)</f>
        <v>1271-42972</v>
      </c>
      <c r="E420" s="20" t="str">
        <f>CONCATENATE(T420,"-",U420,"-",C420)</f>
        <v>SP1-H7-42972</v>
      </c>
      <c r="F420" s="20" t="s">
        <v>106</v>
      </c>
      <c r="G420" s="20" t="s">
        <v>107</v>
      </c>
      <c r="H420" s="16"/>
      <c r="I420" s="16">
        <v>0</v>
      </c>
      <c r="J420" s="21">
        <v>1271</v>
      </c>
      <c r="K420" s="21">
        <v>2240</v>
      </c>
      <c r="L420" s="18">
        <v>0</v>
      </c>
      <c r="M420" s="21">
        <f>VLOOKUP($K420,'[4]blood tubes 2017'!$D$1:$L$947,8,FALSE)</f>
        <v>0</v>
      </c>
      <c r="N420" s="15">
        <v>0</v>
      </c>
      <c r="O420" s="15" t="s">
        <v>119</v>
      </c>
      <c r="P420" s="16" t="s">
        <v>119</v>
      </c>
      <c r="Q420" s="16">
        <v>0</v>
      </c>
      <c r="R420" s="16">
        <v>33</v>
      </c>
      <c r="S420" s="16"/>
      <c r="T420" s="16" t="s">
        <v>140</v>
      </c>
      <c r="U420" s="16" t="s">
        <v>202</v>
      </c>
      <c r="V420" s="16" t="s">
        <v>114</v>
      </c>
      <c r="W420" s="16">
        <f>AI420/AG420</f>
        <v>0.79569892473118276</v>
      </c>
      <c r="X420" s="16" t="s">
        <v>115</v>
      </c>
      <c r="Y420" s="16" t="s">
        <v>110</v>
      </c>
      <c r="Z420" s="16">
        <v>3</v>
      </c>
      <c r="AA420" s="16"/>
      <c r="AB420" s="16"/>
      <c r="AC420" s="16"/>
      <c r="AD420" s="16"/>
      <c r="AE420" s="16" t="s">
        <v>116</v>
      </c>
      <c r="AF420" s="16" t="s">
        <v>116</v>
      </c>
      <c r="AG420" s="16">
        <f>AH420-AI420</f>
        <v>93</v>
      </c>
      <c r="AH420" s="16">
        <v>167</v>
      </c>
      <c r="AI420" s="16">
        <v>74</v>
      </c>
      <c r="AJ420" s="16"/>
      <c r="AK420" s="16">
        <v>24</v>
      </c>
      <c r="AL420" s="16">
        <v>1</v>
      </c>
      <c r="AM420" s="16">
        <v>0</v>
      </c>
      <c r="AN420" s="16">
        <v>0</v>
      </c>
      <c r="AO420" s="16">
        <v>1</v>
      </c>
      <c r="AP420" s="16">
        <f>SUM(AL420:AN420)</f>
        <v>1</v>
      </c>
      <c r="AQ420" s="16">
        <v>1.788</v>
      </c>
      <c r="AR420" s="16">
        <f>AP420-1.472</f>
        <v>-0.47199999999999998</v>
      </c>
      <c r="AS420" s="16">
        <f>AQ420-1.472</f>
        <v>0.31600000000000006</v>
      </c>
      <c r="AT420" s="16" t="str">
        <f>VLOOKUP(K420,'[5]FECs - good data'!$C$1:$P$575,13,FALSE)</f>
        <v>SB</v>
      </c>
      <c r="AU420" s="16"/>
      <c r="AV420" s="16"/>
      <c r="AW420" s="18">
        <f>IF(AX420&gt;0,1,0)</f>
        <v>1</v>
      </c>
      <c r="AX420" s="18">
        <f>SUM(BA420,BM420,CT420)</f>
        <v>1</v>
      </c>
      <c r="AY420" s="18">
        <f>SUM(BB420,BN420,CV420)</f>
        <v>715.1898734177214</v>
      </c>
      <c r="AZ420" s="18">
        <f>IF(BA420&gt;0,1,0)</f>
        <v>1</v>
      </c>
      <c r="BA420" s="18">
        <f>SUM(BC420,BF420,BI420)</f>
        <v>1</v>
      </c>
      <c r="BB420" s="18">
        <f>SUM(BE420,BH420,BK420)</f>
        <v>715.1898734177214</v>
      </c>
      <c r="BC420" s="18">
        <f>IF(BD420&gt;0,1,0)</f>
        <v>0</v>
      </c>
      <c r="BD420" s="18">
        <f>VLOOKUP($K420,'[5]FECs - good data'!$C$1:$Z$574,14,FALSE)</f>
        <v>0</v>
      </c>
      <c r="BE420" s="16">
        <f>BD420/AS420</f>
        <v>0</v>
      </c>
      <c r="BF420" s="16">
        <f>IF(BG420&gt;0,1,0)</f>
        <v>1</v>
      </c>
      <c r="BG420" s="23">
        <f>VLOOKUP($K420,'[5]FECs - good data'!$C$1:$Z$574,15,FALSE)</f>
        <v>226</v>
      </c>
      <c r="BH420" s="16">
        <f>BG420/AS420</f>
        <v>715.1898734177214</v>
      </c>
      <c r="BI420" s="16">
        <f>IF(BJ420&gt;0,1,0)</f>
        <v>0</v>
      </c>
      <c r="BJ420" s="16">
        <f>VLOOKUP($K420,'[5]FECs - good data'!$C$1:$Z$574,16,FALSE)</f>
        <v>0</v>
      </c>
      <c r="BK420" s="16">
        <f>BJ420/AS420</f>
        <v>0</v>
      </c>
      <c r="BL420" s="16">
        <f>IF(BM420&gt;0,1,0)</f>
        <v>0</v>
      </c>
      <c r="BM420" s="16">
        <f>SUM(BR420,BU420,BX420,CA420,CD420,CG420,CJ420,CM420,CP420)</f>
        <v>0</v>
      </c>
      <c r="BN420" s="16">
        <f>SUM(BW420,BZ420,CC420,CF420,CI420,CL420,CO420,CR420,BT420)</f>
        <v>0</v>
      </c>
      <c r="BO420" s="16">
        <f>IF(BP420&gt;0,1,0)</f>
        <v>0</v>
      </c>
      <c r="BP420" s="16">
        <f>SUM(BU420,BX420,CA420,CD420,BR420)</f>
        <v>0</v>
      </c>
      <c r="BQ420" s="16">
        <f>SUM(BZ420,CC420,CF420,BT420,BW420)</f>
        <v>0</v>
      </c>
      <c r="BR420" s="16">
        <f>IF(BS420&gt;0,1,0)</f>
        <v>0</v>
      </c>
      <c r="BS420" s="16">
        <f>VLOOKUP($K420,'[5]FECs - good data'!$C$1:$Z$574,17,FALSE)</f>
        <v>0</v>
      </c>
      <c r="BT420" s="23">
        <f>BS420/AS420</f>
        <v>0</v>
      </c>
      <c r="BU420" s="16">
        <f>IF(BV420&gt;0,1,0)</f>
        <v>0</v>
      </c>
      <c r="BV420" s="16">
        <f>VLOOKUP($K420,'[5]FECs - good data'!$C$1:$Z$574,18,FALSE)</f>
        <v>0</v>
      </c>
      <c r="BW420" s="16">
        <f>BV420/AS420</f>
        <v>0</v>
      </c>
      <c r="BX420" s="16">
        <f>IF(BY420&gt;0,1,0)</f>
        <v>0</v>
      </c>
      <c r="BY420" s="16">
        <f>VLOOKUP($K420,'[5]FECs - good data'!$C$1:$Z$574,19,FALSE)</f>
        <v>0</v>
      </c>
      <c r="BZ420" s="16">
        <f>BY420/AS420</f>
        <v>0</v>
      </c>
      <c r="CA420" s="16">
        <f>IF(CB420&gt;0,1,0)</f>
        <v>0</v>
      </c>
      <c r="CB420" s="16">
        <f>VLOOKUP($K420,'[5]FECs - good data'!$C$1:$Z$574,20,FALSE)</f>
        <v>0</v>
      </c>
      <c r="CC420" s="16">
        <f>CB420/AS420</f>
        <v>0</v>
      </c>
      <c r="CD420" s="23">
        <f>IF(CE420&gt;0,1,0)</f>
        <v>0</v>
      </c>
      <c r="CE420" s="16">
        <f>VLOOKUP($K420,'[5]FECs - good data'!$C$1:$Z$574,21,FALSE)</f>
        <v>0</v>
      </c>
      <c r="CF420" s="16">
        <f>CE420/AS420</f>
        <v>0</v>
      </c>
      <c r="CG420" s="16">
        <f>IF(CH420&gt;0,1,0)</f>
        <v>0</v>
      </c>
      <c r="CH420" s="16">
        <f>VLOOKUP($K420,'[5]FECs - good data'!$C$1:$Z$574,22,FALSE)</f>
        <v>0</v>
      </c>
      <c r="CI420" s="16">
        <f>CH420/AS420</f>
        <v>0</v>
      </c>
      <c r="CJ420" s="16">
        <f>IF(CK420&gt;0,1,0)</f>
        <v>0</v>
      </c>
      <c r="CK420" s="16">
        <f>VLOOKUP($K420,'[5]FECs - good data'!$C$1:$Z$674,24,FALSE)</f>
        <v>0</v>
      </c>
      <c r="CL420" s="16">
        <f>CK420/AS420</f>
        <v>0</v>
      </c>
      <c r="CM420" s="16"/>
      <c r="CN420" s="16"/>
      <c r="CO420" s="16"/>
      <c r="CP420" s="16"/>
      <c r="CQ420" s="16"/>
      <c r="CR420" s="16"/>
      <c r="CS420" s="16">
        <f>IF(CT420&gt;0,1,0)</f>
        <v>0</v>
      </c>
      <c r="CT420" s="16">
        <f>SUM(CW420+CZ420,DC420)</f>
        <v>0</v>
      </c>
      <c r="CU420" s="16"/>
      <c r="CV420" s="16">
        <f>SUM(CY420,DB420,DE420)</f>
        <v>0</v>
      </c>
      <c r="CW420" s="16">
        <f>IF(CX420&gt;0,1,0)</f>
        <v>0</v>
      </c>
      <c r="CX420" s="16">
        <f>VLOOKUP($K420,'[5]FECs - good data'!$C$1:$Z$574,22,FALSE)</f>
        <v>0</v>
      </c>
      <c r="CY420" s="16">
        <f>CX420/AS420</f>
        <v>0</v>
      </c>
      <c r="CZ420" s="16">
        <f>IF(DA420&gt;0,1,0)</f>
        <v>0</v>
      </c>
      <c r="DA420" s="16">
        <f>VLOOKUP($K420,'[5]FECs - good data'!$C$1:$Z$5982,23,FALSE)</f>
        <v>0</v>
      </c>
      <c r="DB420" s="16">
        <f>DA420/AS420</f>
        <v>0</v>
      </c>
      <c r="DC420" s="16">
        <f>IF(DD420&gt;0,1,0)</f>
        <v>0</v>
      </c>
      <c r="DD420" s="16">
        <f>VLOOKUP($K420,'[5]FECs - good data'!$C$1:$Z$574,23,FALSE)</f>
        <v>0</v>
      </c>
      <c r="DE420" s="16">
        <f>DD420/AS420</f>
        <v>0</v>
      </c>
      <c r="DF420" s="16" t="e">
        <f>VLOOKUP(K420,'[3]RNA Seq summary tables'!$V$3:$V$99,1,FALSE)</f>
        <v>#N/A</v>
      </c>
      <c r="DG420" s="16">
        <v>1</v>
      </c>
      <c r="DH420" s="16" t="str">
        <f>VLOOKUP(D420,'[6]workflow 3.2018'!$A$1:$S$237,2,FALSE)</f>
        <v>2017MLBS_179</v>
      </c>
      <c r="DI420" s="16"/>
      <c r="DJ420" s="16"/>
      <c r="DK420" s="16"/>
      <c r="DL420" s="16"/>
      <c r="DM420" s="16"/>
      <c r="DN420" s="16"/>
      <c r="DO420" s="16"/>
      <c r="DP420" s="16"/>
      <c r="DQ420" s="16"/>
      <c r="DR420" s="16"/>
      <c r="DS420" s="16"/>
      <c r="JO420" s="16"/>
      <c r="JP420" s="16"/>
      <c r="JQ420" s="16"/>
      <c r="JR420" s="16"/>
      <c r="JS420" s="16"/>
      <c r="JT420" s="16"/>
      <c r="JU420" s="16"/>
      <c r="JV420" s="16"/>
      <c r="JW420" s="16"/>
      <c r="JX420" s="16"/>
      <c r="JY420" s="16"/>
      <c r="JZ420" s="16"/>
      <c r="KA420" s="16"/>
      <c r="KB420" s="16"/>
    </row>
    <row r="421" spans="1:288" ht="16" x14ac:dyDescent="0.2">
      <c r="B421" s="16">
        <v>2017</v>
      </c>
      <c r="C421" s="20">
        <v>42939</v>
      </c>
      <c r="D421" s="20" t="str">
        <f>CONCATENATE(J421,"-",C421)</f>
        <v>1273-42939</v>
      </c>
      <c r="E421" s="37" t="str">
        <f>CONCATENATE(T421,"-",U421,"-",C421)</f>
        <v>SP2-A4-42939</v>
      </c>
      <c r="F421" s="20" t="s">
        <v>106</v>
      </c>
      <c r="G421" s="20" t="s">
        <v>107</v>
      </c>
      <c r="I421" s="16">
        <v>0</v>
      </c>
      <c r="J421" s="21">
        <v>1273</v>
      </c>
      <c r="K421" s="21">
        <v>1967</v>
      </c>
      <c r="L421" s="18">
        <v>0</v>
      </c>
      <c r="M421" s="21">
        <f>VLOOKUP($K421,'[4]blood tubes 2017'!$D$1:$L$647,8,FALSE)</f>
        <v>0</v>
      </c>
      <c r="N421" s="15">
        <v>0</v>
      </c>
      <c r="O421" s="15" t="s">
        <v>119</v>
      </c>
      <c r="P421" s="16" t="s">
        <v>119</v>
      </c>
      <c r="Q421" s="16">
        <v>0</v>
      </c>
      <c r="R421" s="16" t="s">
        <v>111</v>
      </c>
      <c r="T421" s="16" t="s">
        <v>137</v>
      </c>
      <c r="U421" s="16" t="s">
        <v>134</v>
      </c>
      <c r="V421" s="16" t="s">
        <v>114</v>
      </c>
      <c r="W421" s="16">
        <f>AI421/AG421</f>
        <v>0.77380952380952384</v>
      </c>
      <c r="X421" s="16" t="s">
        <v>121</v>
      </c>
      <c r="Y421" s="18" t="s">
        <v>122</v>
      </c>
      <c r="Z421" s="18">
        <v>2.2999999999999998</v>
      </c>
      <c r="AA421" s="16" t="s">
        <v>119</v>
      </c>
      <c r="AB421" s="16" t="s">
        <v>123</v>
      </c>
      <c r="AC421" s="16" t="s">
        <v>123</v>
      </c>
      <c r="AD421" s="16" t="s">
        <v>123</v>
      </c>
      <c r="AG421" s="16">
        <f>AH421-AI421</f>
        <v>84</v>
      </c>
      <c r="AH421" s="16">
        <v>149</v>
      </c>
      <c r="AI421" s="16">
        <v>65</v>
      </c>
      <c r="AK421" s="16">
        <v>14</v>
      </c>
      <c r="AL421" s="16">
        <v>0</v>
      </c>
      <c r="AM421" s="16">
        <v>0</v>
      </c>
      <c r="AN421" s="16">
        <v>0</v>
      </c>
      <c r="AO421" s="16">
        <v>0</v>
      </c>
      <c r="AP421" s="16">
        <f>SUM(AL421:AN421)</f>
        <v>0</v>
      </c>
      <c r="AQ421" s="16">
        <v>1.704</v>
      </c>
      <c r="AR421" s="16">
        <f>AP421-1.472</f>
        <v>-1.472</v>
      </c>
      <c r="AS421" s="16">
        <f>AQ421-1.472</f>
        <v>0.23199999999999998</v>
      </c>
      <c r="AT421" s="16" t="str">
        <f>VLOOKUP(E421,[2]Current!$A$1:$W$435,7,FALSE)</f>
        <v>LV</v>
      </c>
      <c r="AU421" s="16" t="s">
        <v>1288</v>
      </c>
      <c r="AW421" s="128">
        <f>IF(AX421&gt;0,1,0)</f>
        <v>1</v>
      </c>
      <c r="AX421" s="128">
        <f>SUM(BA421,BM421,CU421)</f>
        <v>3</v>
      </c>
      <c r="AY421" s="128">
        <f>SUM(BB421,BN421,CV421)</f>
        <v>2215.5172413793102</v>
      </c>
      <c r="AZ421" s="128">
        <f>IF(BA421&gt;0,1,0)</f>
        <v>1</v>
      </c>
      <c r="BA421" s="128">
        <f>SUM(BC421+BF421+BI421)</f>
        <v>3</v>
      </c>
      <c r="BB421" s="128">
        <f>SUM(BE421,BH421,BK421)</f>
        <v>2215.5172413793102</v>
      </c>
      <c r="BC421" s="130">
        <f>IF(BD421&gt;0,1,0)</f>
        <v>1</v>
      </c>
      <c r="BD421" s="128">
        <f>VLOOKUP($E421,[2]Current!$A:$AC,26,FALSE)</f>
        <v>90</v>
      </c>
      <c r="BE421" s="128">
        <f>BD421/$AS421</f>
        <v>387.93103448275866</v>
      </c>
      <c r="BF421" s="130">
        <f>IF(BG421&gt;0,1,0)</f>
        <v>1</v>
      </c>
      <c r="BG421" s="175">
        <f>VLOOKUP($E421,[2]Current!$A:$AC,27,FALSE)</f>
        <v>414</v>
      </c>
      <c r="BH421" s="128">
        <f>BG421/$AS421</f>
        <v>1784.4827586206898</v>
      </c>
      <c r="BI421" s="130">
        <f>IF(BJ421&gt;0,1,0)</f>
        <v>1</v>
      </c>
      <c r="BJ421" s="128">
        <f>VLOOKUP($E421,[2]Current!$A:$AC,28,FALSE)</f>
        <v>10</v>
      </c>
      <c r="BK421" s="128">
        <f>BJ421/$AS421</f>
        <v>43.103448275862071</v>
      </c>
      <c r="BL421" s="128">
        <f>IF(BM421&gt;0,1,0)</f>
        <v>0</v>
      </c>
      <c r="BM421" s="128">
        <f>SUM(BR421,BU421,BX421,CA421,CD421)</f>
        <v>0</v>
      </c>
      <c r="BN421" s="131">
        <f>SUM(BT421,BW421,BZ421,CC421,CF421)</f>
        <v>0</v>
      </c>
      <c r="BO421" s="128">
        <f>IF(BP421&gt;0,1,0)</f>
        <v>0</v>
      </c>
      <c r="BP421" s="128">
        <f>BM421+CJ421</f>
        <v>0</v>
      </c>
      <c r="BQ421" s="128">
        <f>BN421+CL421</f>
        <v>0</v>
      </c>
      <c r="BR421" s="130">
        <f>IF(BS421&gt;0,1,0)</f>
        <v>0</v>
      </c>
      <c r="BS421" s="128">
        <f>VLOOKUP($E421,[2]Current!$A:$AC,12,FALSE)</f>
        <v>0</v>
      </c>
      <c r="BT421" s="175">
        <f>BS421/$AS421</f>
        <v>0</v>
      </c>
      <c r="BU421" s="130">
        <f>IF(BV421&gt;0,1,0)</f>
        <v>0</v>
      </c>
      <c r="BV421" s="128">
        <f>VLOOKUP($E421,[2]Current!$A:$AC,13,FALSE)</f>
        <v>0</v>
      </c>
      <c r="BW421" s="128">
        <f>BV421/$AS421</f>
        <v>0</v>
      </c>
      <c r="BX421" s="130">
        <f>IF(BY421&gt;0,1,0)</f>
        <v>0</v>
      </c>
      <c r="BY421" s="128">
        <f>VLOOKUP($E421,[2]Current!$A:$AC,14,FALSE)</f>
        <v>0</v>
      </c>
      <c r="BZ421" s="128">
        <f>BY421/$AS421</f>
        <v>0</v>
      </c>
      <c r="CA421" s="130">
        <f>IF(CB421&gt;0,1,0)</f>
        <v>0</v>
      </c>
      <c r="CB421" s="128">
        <f>VLOOKUP($E421,[2]Current!$A:$AC,15,FALSE)</f>
        <v>0</v>
      </c>
      <c r="CC421" s="128">
        <f>CB421/$AS421</f>
        <v>0</v>
      </c>
      <c r="CD421" s="176">
        <f>IF(CE421&gt;0,1,0)</f>
        <v>0</v>
      </c>
      <c r="CE421" s="128">
        <f>VLOOKUP($E421,[2]Current!$A:$AC,16,FALSE)</f>
        <v>0</v>
      </c>
      <c r="CF421" s="128">
        <f>CE421/$AS421</f>
        <v>0</v>
      </c>
      <c r="CG421" s="18"/>
      <c r="CH421" s="18"/>
      <c r="CI421" s="18"/>
      <c r="CJ421" s="130">
        <f>IF(CK421&gt;0,1,0)</f>
        <v>0</v>
      </c>
      <c r="CK421" s="128">
        <f>VLOOKUP($E421,[2]Current!$A:$AC,18,FALSE)</f>
        <v>0</v>
      </c>
      <c r="CL421" s="128">
        <f>CK421/$AS421</f>
        <v>0</v>
      </c>
      <c r="CS421" s="130">
        <f>IF(CU421&gt;0,1,0)</f>
        <v>0</v>
      </c>
      <c r="CU421" s="128">
        <f>VLOOKUP($E421,[2]Current!$A:$AC,17,FALSE)</f>
        <v>0</v>
      </c>
      <c r="CV421" s="128">
        <f>CU421/$AS421</f>
        <v>0</v>
      </c>
      <c r="CW421" s="18"/>
      <c r="CX421" s="18"/>
      <c r="CY421" s="18"/>
      <c r="DF421" s="16" t="e">
        <f>VLOOKUP(K421,'[3]RNA Seq summary tables'!$V$3:$V$99,1,FALSE)</f>
        <v>#N/A</v>
      </c>
      <c r="DG421" s="16">
        <v>1</v>
      </c>
      <c r="DH421" s="16" t="str">
        <f>VLOOKUP(D421,'[6]workflow 3.2018'!$A$1:$S$237,2,FALSE)</f>
        <v>2017MLBS_67</v>
      </c>
    </row>
    <row r="422" spans="1:288" s="18" customFormat="1" x14ac:dyDescent="0.2">
      <c r="B422" s="16">
        <v>2017</v>
      </c>
      <c r="C422" s="20">
        <v>42957</v>
      </c>
      <c r="D422" s="20" t="str">
        <f>CONCATENATE(J422,"-",C422)</f>
        <v>1273-42957</v>
      </c>
      <c r="E422" s="142" t="str">
        <f>CONCATENATE(T422,"-",U422,"-",C422)</f>
        <v>SP2-C4-42957</v>
      </c>
      <c r="F422" s="20" t="s">
        <v>106</v>
      </c>
      <c r="G422" s="20" t="s">
        <v>107</v>
      </c>
      <c r="H422" s="16"/>
      <c r="I422" s="16"/>
      <c r="J422" s="21">
        <v>1273</v>
      </c>
      <c r="K422" s="21">
        <v>2116</v>
      </c>
      <c r="L422" s="18">
        <v>0</v>
      </c>
      <c r="M422" s="21">
        <f>VLOOKUP($K422,'[4]blood tubes 2017'!$D$1:$L$647,8,FALSE)</f>
        <v>0</v>
      </c>
      <c r="N422" s="15">
        <v>0</v>
      </c>
      <c r="O422" s="15" t="s">
        <v>119</v>
      </c>
      <c r="P422" s="16" t="s">
        <v>119</v>
      </c>
      <c r="Q422" s="16">
        <v>0</v>
      </c>
      <c r="R422" s="16">
        <v>18</v>
      </c>
      <c r="S422" s="16"/>
      <c r="T422" s="16" t="s">
        <v>137</v>
      </c>
      <c r="U422" s="16" t="s">
        <v>229</v>
      </c>
      <c r="V422" s="16" t="s">
        <v>114</v>
      </c>
      <c r="W422" s="16">
        <f>AI422/AG422</f>
        <v>0.77173913043478259</v>
      </c>
      <c r="X422" s="16" t="s">
        <v>121</v>
      </c>
      <c r="Y422" s="16" t="s">
        <v>122</v>
      </c>
      <c r="Z422" s="16">
        <v>2.6</v>
      </c>
      <c r="AA422" s="16" t="s">
        <v>119</v>
      </c>
      <c r="AB422" s="16" t="s">
        <v>123</v>
      </c>
      <c r="AC422" s="16" t="s">
        <v>123</v>
      </c>
      <c r="AD422" s="16" t="s">
        <v>123</v>
      </c>
      <c r="AE422" s="16"/>
      <c r="AF422" s="16"/>
      <c r="AG422" s="16">
        <f>AH422-AI422</f>
        <v>92</v>
      </c>
      <c r="AH422" s="16">
        <v>163</v>
      </c>
      <c r="AI422" s="16">
        <v>71</v>
      </c>
      <c r="AJ422" s="16"/>
      <c r="AK422" s="16">
        <v>18.5</v>
      </c>
      <c r="AL422" s="16">
        <v>0</v>
      </c>
      <c r="AM422" s="16">
        <v>0</v>
      </c>
      <c r="AN422" s="16">
        <v>0</v>
      </c>
      <c r="AO422" s="16">
        <v>0</v>
      </c>
      <c r="AP422" s="16">
        <f>SUM(AL422:AN422)</f>
        <v>0</v>
      </c>
      <c r="AQ422" s="16">
        <v>1.8540000000000001</v>
      </c>
      <c r="AR422" s="16">
        <f>AP422-1.472</f>
        <v>-1.472</v>
      </c>
      <c r="AS422" s="16">
        <f>AQ422-1.472</f>
        <v>0.38200000000000012</v>
      </c>
      <c r="AT422" s="16" t="e">
        <f>VLOOKUP(E422,[2]Current!$A$1:$W$435,7,FALSE)</f>
        <v>#N/A</v>
      </c>
      <c r="AU422" s="16">
        <v>0</v>
      </c>
      <c r="AV422" s="16"/>
      <c r="BE422" s="16"/>
      <c r="BF422" s="16"/>
      <c r="BG422" s="23"/>
      <c r="BH422" s="16"/>
      <c r="BI422" s="16"/>
      <c r="BJ422" s="16"/>
      <c r="BK422" s="16"/>
      <c r="BL422" s="16"/>
      <c r="BM422" s="16"/>
      <c r="BN422" s="16"/>
      <c r="BO422" s="16"/>
      <c r="BP422" s="16"/>
      <c r="BQ422" s="16"/>
      <c r="BR422" s="16"/>
      <c r="BS422" s="16"/>
      <c r="BT422" s="23"/>
      <c r="BU422" s="16"/>
      <c r="BV422" s="16"/>
      <c r="BW422" s="16"/>
      <c r="BX422" s="16"/>
      <c r="BY422" s="16"/>
      <c r="BZ422" s="16"/>
      <c r="CA422" s="16"/>
      <c r="CB422" s="16"/>
      <c r="CC422" s="16"/>
      <c r="CD422" s="23"/>
      <c r="CE422" s="16"/>
      <c r="CF422" s="16"/>
      <c r="CG422" s="16"/>
      <c r="CH422" s="16"/>
      <c r="CI422" s="16"/>
      <c r="CJ422" s="16"/>
      <c r="CK422" s="16"/>
      <c r="CL422" s="16"/>
      <c r="CM422" s="16"/>
      <c r="CN422" s="16"/>
      <c r="CO422" s="16"/>
      <c r="CP422" s="16"/>
      <c r="CQ422" s="16"/>
      <c r="CR422" s="16"/>
      <c r="CS422" s="16"/>
      <c r="CT422" s="16"/>
      <c r="CU422" s="16"/>
      <c r="CV422" s="16"/>
      <c r="CW422" s="16"/>
      <c r="CX422" s="16"/>
      <c r="CY422" s="16"/>
      <c r="CZ422" s="16"/>
      <c r="DA422" s="16"/>
      <c r="DB422" s="16"/>
      <c r="DC422" s="16"/>
      <c r="DD422" s="16"/>
      <c r="DE422" s="16"/>
      <c r="DF422" s="16" t="e">
        <f>VLOOKUP(K422,'[3]RNA Seq summary tables'!$V$3:$V$99,1,FALSE)</f>
        <v>#N/A</v>
      </c>
      <c r="DG422" s="16"/>
      <c r="DH422" s="16"/>
      <c r="DI422" s="16"/>
      <c r="DJ422" s="16"/>
      <c r="DK422" s="16"/>
      <c r="DL422" s="16"/>
      <c r="DM422" s="16"/>
      <c r="DN422" s="16"/>
      <c r="DO422" s="16"/>
      <c r="DP422" s="16"/>
      <c r="DQ422" s="16"/>
      <c r="DR422" s="16"/>
      <c r="DS422" s="16"/>
      <c r="JO422" s="16"/>
      <c r="JP422" s="16"/>
      <c r="JQ422" s="16"/>
      <c r="JR422" s="16"/>
      <c r="JS422" s="16"/>
      <c r="JT422" s="16"/>
      <c r="JU422" s="16"/>
      <c r="JV422" s="16"/>
      <c r="JW422" s="16"/>
      <c r="JX422" s="16"/>
      <c r="JY422" s="16"/>
      <c r="JZ422" s="16"/>
      <c r="KA422" s="16"/>
      <c r="KB422" s="16"/>
    </row>
    <row r="423" spans="1:288" s="18" customFormat="1" x14ac:dyDescent="0.2">
      <c r="B423" s="16">
        <v>2017</v>
      </c>
      <c r="C423" s="43">
        <v>42939</v>
      </c>
      <c r="D423" s="43" t="str">
        <f>CONCATENATE(J423,"-",C423)</f>
        <v>1275-42939</v>
      </c>
      <c r="E423" s="20" t="str">
        <f>CONCATENATE(T423,"-",U423,"-",C423)</f>
        <v>SP2-H3-42939</v>
      </c>
      <c r="F423" s="20" t="s">
        <v>106</v>
      </c>
      <c r="G423" s="43" t="s">
        <v>107</v>
      </c>
      <c r="H423" s="23"/>
      <c r="I423" s="16">
        <v>0</v>
      </c>
      <c r="J423" s="15">
        <v>1275</v>
      </c>
      <c r="K423" s="15">
        <v>1974</v>
      </c>
      <c r="L423" s="18">
        <v>0</v>
      </c>
      <c r="M423" s="21">
        <f>VLOOKUP($K423,'[4]blood tubes 2017'!$D$1:$L$647,8,FALSE)</f>
        <v>0</v>
      </c>
      <c r="N423" s="15">
        <v>0</v>
      </c>
      <c r="O423" s="15" t="s">
        <v>119</v>
      </c>
      <c r="P423" s="23" t="s">
        <v>119</v>
      </c>
      <c r="Q423" s="16">
        <v>0</v>
      </c>
      <c r="R423" s="23" t="s">
        <v>111</v>
      </c>
      <c r="S423" s="23"/>
      <c r="T423" s="23" t="s">
        <v>137</v>
      </c>
      <c r="U423" s="23" t="s">
        <v>174</v>
      </c>
      <c r="V423" s="23" t="s">
        <v>114</v>
      </c>
      <c r="W423" s="16">
        <f>AI423/AG423</f>
        <v>0.84523809523809523</v>
      </c>
      <c r="X423" s="23" t="s">
        <v>115</v>
      </c>
      <c r="Y423" s="23" t="s">
        <v>110</v>
      </c>
      <c r="Z423" s="23">
        <v>3</v>
      </c>
      <c r="AA423" s="23"/>
      <c r="AB423" s="23"/>
      <c r="AC423" s="23"/>
      <c r="AD423" s="23"/>
      <c r="AE423" s="23" t="s">
        <v>116</v>
      </c>
      <c r="AF423" s="23" t="s">
        <v>116</v>
      </c>
      <c r="AG423" s="23">
        <f>AH423-AI423</f>
        <v>84</v>
      </c>
      <c r="AH423" s="23">
        <v>155</v>
      </c>
      <c r="AI423" s="23">
        <v>71</v>
      </c>
      <c r="AJ423" s="23"/>
      <c r="AK423" s="23">
        <v>16.5</v>
      </c>
      <c r="AL423" s="23">
        <v>0</v>
      </c>
      <c r="AM423" s="23">
        <v>0</v>
      </c>
      <c r="AN423" s="23">
        <v>0</v>
      </c>
      <c r="AO423" s="23">
        <v>0</v>
      </c>
      <c r="AP423" s="23">
        <f>SUM(AL423:AN423)</f>
        <v>0</v>
      </c>
      <c r="AQ423" s="23">
        <v>1.7090000000000001</v>
      </c>
      <c r="AR423" s="23">
        <f>AP423-1.472</f>
        <v>-1.472</v>
      </c>
      <c r="AS423" s="23">
        <f>AQ423-1.472</f>
        <v>0.2370000000000001</v>
      </c>
      <c r="AT423" s="23" t="str">
        <f>VLOOKUP(K423,'[5]FECs - good data'!$C$1:$P$575,13,FALSE)</f>
        <v>JB</v>
      </c>
      <c r="AU423" s="23"/>
      <c r="AV423" s="23"/>
      <c r="AW423" s="25">
        <f>IF(AX423&gt;0,1,0)</f>
        <v>1</v>
      </c>
      <c r="AX423" s="25">
        <f>SUM(BA423,BM423,CT423)</f>
        <v>2</v>
      </c>
      <c r="AY423" s="25">
        <f>SUM(BB423,BN423,CV423)</f>
        <v>54.85232067510546</v>
      </c>
      <c r="AZ423" s="18">
        <f>IF(BA423&gt;0,1,0)</f>
        <v>0</v>
      </c>
      <c r="BA423" s="25">
        <f>SUM(BC423,BF423,BI423)</f>
        <v>0</v>
      </c>
      <c r="BB423" s="25">
        <f>SUM(BE423,BH423,BK423)</f>
        <v>0</v>
      </c>
      <c r="BC423" s="18">
        <f>IF(BD423&gt;0,1,0)</f>
        <v>0</v>
      </c>
      <c r="BD423" s="25">
        <f>VLOOKUP($K423,'[5]FECs - good data'!$C$1:$Z$574,14,FALSE)</f>
        <v>0</v>
      </c>
      <c r="BE423" s="23">
        <f>BD423/AS423</f>
        <v>0</v>
      </c>
      <c r="BF423" s="16">
        <f>IF(BG423&gt;0,1,0)</f>
        <v>0</v>
      </c>
      <c r="BG423" s="23">
        <f>VLOOKUP($K423,'[5]FECs - good data'!$C$1:$Z$574,15,FALSE)</f>
        <v>0</v>
      </c>
      <c r="BH423" s="23">
        <f>BG423/AS423</f>
        <v>0</v>
      </c>
      <c r="BI423" s="16">
        <f>IF(BJ423&gt;0,1,0)</f>
        <v>0</v>
      </c>
      <c r="BJ423" s="23">
        <f>VLOOKUP($K423,'[5]FECs - good data'!$C$1:$Z$574,16,FALSE)</f>
        <v>0</v>
      </c>
      <c r="BK423" s="23">
        <f>BJ423/AS423</f>
        <v>0</v>
      </c>
      <c r="BL423" s="16">
        <f>IF(BM423&gt;0,1,0)</f>
        <v>1</v>
      </c>
      <c r="BM423" s="16">
        <f>SUM(BR423,BU423,BX423,CA423,CD423,CG423,CJ423,CM423,CP423)</f>
        <v>2</v>
      </c>
      <c r="BN423" s="16">
        <f>SUM(BW423,BZ423,CC423,CF423,CI423,CL423,CO423,CR423,BT423)</f>
        <v>54.85232067510546</v>
      </c>
      <c r="BO423" s="16">
        <f>IF(BP423&gt;0,1,0)</f>
        <v>1</v>
      </c>
      <c r="BP423" s="16">
        <f>SUM(BU423,BX423,CA423,CD423,BR423)</f>
        <v>2</v>
      </c>
      <c r="BQ423" s="16">
        <f>SUM(BZ423,CC423,CF423,BT423,BW423)</f>
        <v>54.85232067510546</v>
      </c>
      <c r="BR423" s="16">
        <f>IF(BS423&gt;0,1,0)</f>
        <v>0</v>
      </c>
      <c r="BS423" s="23">
        <f>VLOOKUP($K423,'[5]FECs - good data'!$C$1:$Z$574,17,FALSE)</f>
        <v>0</v>
      </c>
      <c r="BT423" s="23">
        <f>BS423/AS423</f>
        <v>0</v>
      </c>
      <c r="BU423" s="16">
        <f>IF(BV423&gt;0,1,0)</f>
        <v>0</v>
      </c>
      <c r="BV423" s="23">
        <f>VLOOKUP($K423,'[5]FECs - good data'!$C$1:$Z$574,18,FALSE)</f>
        <v>0</v>
      </c>
      <c r="BW423" s="16">
        <f>BV423/AS423</f>
        <v>0</v>
      </c>
      <c r="BX423" s="16">
        <f>IF(BY423&gt;0,1,0)</f>
        <v>1</v>
      </c>
      <c r="BY423" s="23">
        <f>VLOOKUP($K423,'[5]FECs - good data'!$C$1:$Z$574,19,FALSE)</f>
        <v>12</v>
      </c>
      <c r="BZ423" s="16">
        <f>BY423/AS423</f>
        <v>50.632911392405042</v>
      </c>
      <c r="CA423" s="16">
        <f>IF(CB423&gt;0,1,0)</f>
        <v>1</v>
      </c>
      <c r="CB423" s="23">
        <f>VLOOKUP($K423,'[5]FECs - good data'!$C$1:$Z$574,20,FALSE)</f>
        <v>1</v>
      </c>
      <c r="CC423" s="23">
        <f>CB423/AS423</f>
        <v>4.2194092827004201</v>
      </c>
      <c r="CD423" s="23">
        <f>IF(CE423&gt;0,1,0)</f>
        <v>0</v>
      </c>
      <c r="CE423" s="23">
        <f>VLOOKUP($K423,'[5]FECs - good data'!$C$1:$Z$574,21,FALSE)</f>
        <v>0</v>
      </c>
      <c r="CF423" s="23">
        <f>CE423/AS423</f>
        <v>0</v>
      </c>
      <c r="CG423" s="23">
        <f>IF(CH423&gt;0,1,0)</f>
        <v>0</v>
      </c>
      <c r="CH423" s="23">
        <f>VLOOKUP($K423,'[5]FECs - good data'!$C$1:$Z$574,22,FALSE)</f>
        <v>0</v>
      </c>
      <c r="CI423" s="23">
        <f>CH423/AS423</f>
        <v>0</v>
      </c>
      <c r="CJ423" s="23">
        <f>IF(CK423&gt;0,1,0)</f>
        <v>0</v>
      </c>
      <c r="CK423" s="23">
        <f>VLOOKUP($K423,'[5]FECs - good data'!$C$1:$Z$674,24,FALSE)</f>
        <v>0</v>
      </c>
      <c r="CL423" s="23">
        <f>CK423/AS423</f>
        <v>0</v>
      </c>
      <c r="CM423" s="23"/>
      <c r="CN423" s="23"/>
      <c r="CO423" s="23"/>
      <c r="CP423" s="23"/>
      <c r="CQ423" s="23"/>
      <c r="CR423" s="23"/>
      <c r="CS423" s="16">
        <f>IF(CT423&gt;0,1,0)</f>
        <v>0</v>
      </c>
      <c r="CT423" s="16">
        <f>SUM(CW423+CZ423,DC423)</f>
        <v>0</v>
      </c>
      <c r="CU423" s="16"/>
      <c r="CV423" s="23">
        <f>SUM(CY423,DB423,DE423)</f>
        <v>0</v>
      </c>
      <c r="CW423" s="16">
        <f>IF(CX423&gt;0,1,0)</f>
        <v>0</v>
      </c>
      <c r="CX423" s="23">
        <f>VLOOKUP($K423,'[5]FECs - good data'!$C$1:$Z$574,22,FALSE)</f>
        <v>0</v>
      </c>
      <c r="CY423" s="23">
        <f>CX423/AS423</f>
        <v>0</v>
      </c>
      <c r="CZ423" s="23">
        <f>IF(DA423&gt;0,1,0)</f>
        <v>0</v>
      </c>
      <c r="DA423" s="23">
        <f>VLOOKUP($K423,'[5]FECs - good data'!$C$1:$Z$5982,23,FALSE)</f>
        <v>0</v>
      </c>
      <c r="DB423" s="23">
        <f>DA423/AS423</f>
        <v>0</v>
      </c>
      <c r="DC423" s="23">
        <f>IF(DD423&gt;0,1,0)</f>
        <v>0</v>
      </c>
      <c r="DD423" s="23">
        <f>VLOOKUP($K423,'[5]FECs - good data'!$C$1:$Z$574,23,FALSE)</f>
        <v>0</v>
      </c>
      <c r="DE423" s="23">
        <f>DD423/AS423</f>
        <v>0</v>
      </c>
      <c r="DF423" s="16" t="e">
        <f>VLOOKUP(K423,'[3]RNA Seq summary tables'!$V$3:$V$99,1,FALSE)</f>
        <v>#N/A</v>
      </c>
      <c r="DG423" s="16">
        <v>1</v>
      </c>
      <c r="DH423" s="16" t="str">
        <f>VLOOKUP(D423,'[6]workflow 3.2018'!$A$1:$S$237,2,FALSE)</f>
        <v>2017MLBS_75</v>
      </c>
      <c r="DI423" s="23"/>
      <c r="DJ423" s="23"/>
      <c r="DK423" s="23"/>
      <c r="DL423" s="23"/>
      <c r="DM423" s="23"/>
      <c r="DN423" s="23"/>
      <c r="DO423" s="23"/>
      <c r="DP423" s="23"/>
      <c r="DQ423" s="23"/>
      <c r="DR423" s="23"/>
      <c r="DS423" s="23"/>
      <c r="JO423" s="16"/>
      <c r="JP423" s="16"/>
      <c r="JQ423" s="16"/>
    </row>
    <row r="424" spans="1:288" x14ac:dyDescent="0.2">
      <c r="B424" s="16">
        <v>2017</v>
      </c>
      <c r="C424" s="20">
        <v>42940</v>
      </c>
      <c r="D424" s="20" t="str">
        <f>CONCATENATE(J424,"-",C424)</f>
        <v>1277-42940</v>
      </c>
      <c r="E424" s="20" t="str">
        <f>CONCATENATE(T424,"-",U424,"-",C424)</f>
        <v>SP2-A4-42940</v>
      </c>
      <c r="F424" s="20" t="s">
        <v>106</v>
      </c>
      <c r="G424" s="20" t="s">
        <v>107</v>
      </c>
      <c r="I424" s="16">
        <v>0</v>
      </c>
      <c r="J424" s="21">
        <v>1277</v>
      </c>
      <c r="K424" s="21">
        <v>1979</v>
      </c>
      <c r="L424" s="18">
        <v>0</v>
      </c>
      <c r="M424" s="21">
        <f>VLOOKUP($K424,'[4]blood tubes 2017'!$D$1:$L$647,8,FALSE)</f>
        <v>0</v>
      </c>
      <c r="N424" s="15">
        <v>0</v>
      </c>
      <c r="O424" s="15" t="s">
        <v>119</v>
      </c>
      <c r="P424" s="16" t="s">
        <v>119</v>
      </c>
      <c r="Q424" s="16">
        <v>0</v>
      </c>
      <c r="R424" s="16" t="s">
        <v>111</v>
      </c>
      <c r="T424" s="16" t="s">
        <v>137</v>
      </c>
      <c r="U424" s="16" t="s">
        <v>134</v>
      </c>
      <c r="V424" s="16" t="s">
        <v>114</v>
      </c>
      <c r="W424" s="16">
        <f>AI424/AG424</f>
        <v>0.85227272727272729</v>
      </c>
      <c r="X424" s="16" t="s">
        <v>115</v>
      </c>
      <c r="Y424" s="16" t="s">
        <v>110</v>
      </c>
      <c r="Z424" s="16">
        <v>3</v>
      </c>
      <c r="AE424" s="16" t="s">
        <v>116</v>
      </c>
      <c r="AF424" s="16" t="s">
        <v>116</v>
      </c>
      <c r="AG424" s="16">
        <f>AH424-AI424</f>
        <v>88</v>
      </c>
      <c r="AH424" s="16">
        <v>163</v>
      </c>
      <c r="AI424" s="16">
        <v>75</v>
      </c>
      <c r="AK424" s="16">
        <v>18</v>
      </c>
      <c r="AL424" s="16">
        <v>0</v>
      </c>
      <c r="AM424" s="16">
        <v>0</v>
      </c>
      <c r="AN424" s="16">
        <v>0</v>
      </c>
      <c r="AO424" s="16">
        <v>0</v>
      </c>
      <c r="AP424" s="16">
        <f>SUM(AL424:AN424)</f>
        <v>0</v>
      </c>
      <c r="AQ424" s="16">
        <v>2.1419999999999999</v>
      </c>
      <c r="AR424" s="16">
        <f>AP424-1.472</f>
        <v>-1.472</v>
      </c>
      <c r="AS424" s="16">
        <f>AQ424-1.472</f>
        <v>0.66999999999999993</v>
      </c>
      <c r="AT424" s="16" t="s">
        <v>257</v>
      </c>
      <c r="AW424" s="18">
        <f>IF(AX424&gt;0,1,0)</f>
        <v>1</v>
      </c>
      <c r="AX424" s="18">
        <f>SUM(BA424,BM424,CT424)</f>
        <v>5</v>
      </c>
      <c r="AY424" s="18">
        <f>SUM(BB424,BN424,CV424)</f>
        <v>150.74626865671644</v>
      </c>
      <c r="AZ424" s="18">
        <f>IF(BA424&gt;0,1,0)</f>
        <v>0</v>
      </c>
      <c r="BA424" s="18">
        <f>SUM(BC424,BF424,BI424)</f>
        <v>0</v>
      </c>
      <c r="BB424" s="18">
        <f>SUM(BE424,BH424,BK424)</f>
        <v>0</v>
      </c>
      <c r="BC424" s="18">
        <f>IF(BD424&gt;0,1,0)</f>
        <v>0</v>
      </c>
      <c r="BD424" s="18">
        <f>VLOOKUP($K424,'[5]FECs - good data'!$C$1:$Z$574,14,FALSE)</f>
        <v>0</v>
      </c>
      <c r="BE424" s="16">
        <f>BD424/AS424</f>
        <v>0</v>
      </c>
      <c r="BF424" s="16">
        <f>IF(BG424&gt;0,1,0)</f>
        <v>0</v>
      </c>
      <c r="BG424" s="23">
        <f>VLOOKUP($K424,'[5]FECs - good data'!$C$1:$Z$574,15,FALSE)</f>
        <v>0</v>
      </c>
      <c r="BH424" s="16">
        <f>BG424/AS424</f>
        <v>0</v>
      </c>
      <c r="BI424" s="16">
        <f>IF(BJ424&gt;0,1,0)</f>
        <v>0</v>
      </c>
      <c r="BJ424" s="16">
        <f>VLOOKUP($K424,'[5]FECs - good data'!$C$1:$Z$574,16,FALSE)</f>
        <v>0</v>
      </c>
      <c r="BK424" s="16">
        <f>BJ424/AS424</f>
        <v>0</v>
      </c>
      <c r="BL424" s="16">
        <f>IF(BM424&gt;0,1,0)</f>
        <v>1</v>
      </c>
      <c r="BM424" s="16">
        <f>SUM(BR424,BU424,BX424,CA424,CD424,CG424,CJ424,CM424,CP424)</f>
        <v>2</v>
      </c>
      <c r="BN424" s="16">
        <f>SUM(BW424,BZ424,CC424,CF424,CI424,CL424,CO424,CR424,BT424)</f>
        <v>70.149253731343293</v>
      </c>
      <c r="BO424" s="16">
        <f>IF(BP424&gt;0,1,0)</f>
        <v>1</v>
      </c>
      <c r="BP424" s="16">
        <f>SUM(BU424,BX424,CA424,CD424,BR424)</f>
        <v>1</v>
      </c>
      <c r="BQ424" s="16">
        <f>SUM(BZ424,CC424,CF424,BT424,BW424)</f>
        <v>1.4925373134328359</v>
      </c>
      <c r="BR424" s="16">
        <f>IF(BS424&gt;0,1,0)</f>
        <v>0</v>
      </c>
      <c r="BS424" s="16">
        <f>VLOOKUP($K424,'[5]FECs - good data'!$C$1:$Z$574,17,FALSE)</f>
        <v>0</v>
      </c>
      <c r="BT424" s="23">
        <f>BS424/AS424</f>
        <v>0</v>
      </c>
      <c r="BU424" s="16">
        <f>IF(BV424&gt;0,1,0)</f>
        <v>0</v>
      </c>
      <c r="BV424" s="16">
        <f>VLOOKUP($K424,'[5]FECs - good data'!$C$1:$Z$574,18,FALSE)</f>
        <v>0</v>
      </c>
      <c r="BW424" s="16">
        <f>BV424/AS424</f>
        <v>0</v>
      </c>
      <c r="BX424" s="16">
        <f>IF(BY424&gt;0,1,0)</f>
        <v>0</v>
      </c>
      <c r="BY424" s="16">
        <f>VLOOKUP($K424,'[5]FECs - good data'!$C$1:$Z$574,19,FALSE)</f>
        <v>0</v>
      </c>
      <c r="BZ424" s="16">
        <f>BY424/AS424</f>
        <v>0</v>
      </c>
      <c r="CA424" s="16">
        <f>IF(CB424&gt;0,1,0)</f>
        <v>1</v>
      </c>
      <c r="CB424" s="16">
        <f>VLOOKUP($K424,'[5]FECs - good data'!$C$1:$Z$574,20,FALSE)</f>
        <v>1</v>
      </c>
      <c r="CC424" s="16">
        <f>CB424/AS424</f>
        <v>1.4925373134328359</v>
      </c>
      <c r="CD424" s="23">
        <f>IF(CE424&gt;0,1,0)</f>
        <v>0</v>
      </c>
      <c r="CE424" s="16">
        <f>VLOOKUP($K424,'[5]FECs - good data'!$C$1:$Z$574,21,FALSE)</f>
        <v>0</v>
      </c>
      <c r="CF424" s="16">
        <f>CE424/AS424</f>
        <v>0</v>
      </c>
      <c r="CG424" s="16">
        <f>IF(CH424&gt;0,1,0)</f>
        <v>1</v>
      </c>
      <c r="CH424" s="16">
        <f>VLOOKUP($K424,'[5]FECs - good data'!$C$1:$Z$574,22,FALSE)</f>
        <v>46</v>
      </c>
      <c r="CI424" s="16">
        <f>CH424/AS424</f>
        <v>68.656716417910459</v>
      </c>
      <c r="CJ424" s="16">
        <f>IF(CK424&gt;0,1,0)</f>
        <v>0</v>
      </c>
      <c r="CK424" s="16">
        <f>VLOOKUP($K424,'[5]FECs - good data'!$C$1:$Z$674,24,FALSE)</f>
        <v>0</v>
      </c>
      <c r="CL424" s="16">
        <f>CK424/AS424</f>
        <v>0</v>
      </c>
      <c r="CS424" s="16">
        <f>IF(CT424&gt;0,1,0)</f>
        <v>1</v>
      </c>
      <c r="CT424" s="16">
        <f>SUM(CW424+CZ424,DC424)</f>
        <v>3</v>
      </c>
      <c r="CV424" s="16">
        <f>SUM(CY424,DB424,DE424)</f>
        <v>80.597014925373159</v>
      </c>
      <c r="CW424" s="16">
        <f>IF(CX424&gt;0,1,0)</f>
        <v>1</v>
      </c>
      <c r="CX424" s="16">
        <f>VLOOKUP($K424,'[5]FECs - good data'!$C$1:$Z$574,22,FALSE)</f>
        <v>46</v>
      </c>
      <c r="CY424" s="16">
        <f>CX424/AS424</f>
        <v>68.656716417910459</v>
      </c>
      <c r="CZ424" s="16">
        <f>IF(DA424&gt;0,1,0)</f>
        <v>1</v>
      </c>
      <c r="DA424" s="16">
        <f>VLOOKUP($K424,'[5]FECs - good data'!$C$1:$Z$5982,23,FALSE)</f>
        <v>4</v>
      </c>
      <c r="DB424" s="16">
        <f>DA424/AS424</f>
        <v>5.9701492537313436</v>
      </c>
      <c r="DC424" s="16">
        <f>IF(DD424&gt;0,1,0)</f>
        <v>1</v>
      </c>
      <c r="DD424" s="16">
        <f>VLOOKUP($K424,'[5]FECs - good data'!$C$1:$Z$574,23,FALSE)</f>
        <v>4</v>
      </c>
      <c r="DE424" s="16">
        <f>DD424/AS424</f>
        <v>5.9701492537313436</v>
      </c>
      <c r="DF424" s="16" t="e">
        <f>VLOOKUP(K424,'[3]RNA Seq summary tables'!$V$3:$V$99,1,FALSE)</f>
        <v>#N/A</v>
      </c>
      <c r="DG424" s="16">
        <v>1</v>
      </c>
      <c r="DH424" s="16" t="str">
        <f>VLOOKUP(D424,'[6]workflow 3.2018'!$A$1:$S$237,2,FALSE)</f>
        <v>2017MLBS_79</v>
      </c>
    </row>
    <row r="425" spans="1:288" x14ac:dyDescent="0.2">
      <c r="A425" s="51">
        <v>1</v>
      </c>
      <c r="B425" s="16">
        <v>2017</v>
      </c>
      <c r="C425" s="20">
        <v>42940</v>
      </c>
      <c r="D425" s="20" t="str">
        <f>CONCATENATE(J425,"-",C425)</f>
        <v>1279-42940</v>
      </c>
      <c r="E425" s="20" t="str">
        <f>CONCATENATE(T425,"-",U425,"-",C425)</f>
        <v>SP2-F4-42940</v>
      </c>
      <c r="F425" s="20" t="s">
        <v>106</v>
      </c>
      <c r="G425" s="20" t="s">
        <v>107</v>
      </c>
      <c r="I425" s="16">
        <v>0</v>
      </c>
      <c r="J425" s="21">
        <v>1279</v>
      </c>
      <c r="K425" s="21" t="s">
        <v>153</v>
      </c>
      <c r="L425" s="18">
        <v>0</v>
      </c>
      <c r="O425" s="15" t="s">
        <v>119</v>
      </c>
      <c r="P425" s="16" t="s">
        <v>119</v>
      </c>
      <c r="Q425" s="16">
        <v>0</v>
      </c>
      <c r="R425" s="16" t="s">
        <v>111</v>
      </c>
      <c r="T425" s="16" t="s">
        <v>137</v>
      </c>
      <c r="U425" s="16" t="s">
        <v>184</v>
      </c>
      <c r="V425" s="16" t="s">
        <v>114</v>
      </c>
      <c r="W425" s="16">
        <f>AI425/AG425</f>
        <v>0.73972602739726023</v>
      </c>
      <c r="X425" s="16" t="s">
        <v>121</v>
      </c>
      <c r="Y425" s="16" t="s">
        <v>122</v>
      </c>
      <c r="Z425" s="16">
        <v>2.6</v>
      </c>
      <c r="AA425" s="16" t="s">
        <v>119</v>
      </c>
      <c r="AB425" s="16" t="s">
        <v>123</v>
      </c>
      <c r="AC425" s="16" t="s">
        <v>123</v>
      </c>
      <c r="AD425" s="16" t="s">
        <v>123</v>
      </c>
      <c r="AG425" s="16">
        <f>AH425-AI425</f>
        <v>73</v>
      </c>
      <c r="AH425" s="16">
        <v>127</v>
      </c>
      <c r="AI425" s="16">
        <v>54</v>
      </c>
      <c r="AK425" s="16">
        <v>11.5</v>
      </c>
      <c r="AL425" s="16">
        <v>0</v>
      </c>
      <c r="AM425" s="16">
        <v>0</v>
      </c>
      <c r="AN425" s="16">
        <v>0</v>
      </c>
      <c r="AO425" s="16">
        <v>0</v>
      </c>
      <c r="AP425" s="16">
        <f>SUM(AL425:AN425)</f>
        <v>0</v>
      </c>
      <c r="AQ425" s="16">
        <v>1.8260000000000001</v>
      </c>
      <c r="AR425" s="16">
        <f>AP425-1.472</f>
        <v>-1.472</v>
      </c>
      <c r="AS425" s="16">
        <f>AQ425-1.472</f>
        <v>0.35400000000000009</v>
      </c>
      <c r="AT425" s="16" t="str">
        <f>VLOOKUP(K425,'[5]FECs - good data'!$C$1:$P$575,13,FALSE)</f>
        <v>missing</v>
      </c>
      <c r="AW425" s="18"/>
      <c r="AX425" s="18"/>
      <c r="AY425" s="18"/>
      <c r="AZ425" s="18"/>
      <c r="BA425" s="18"/>
      <c r="BB425" s="18"/>
      <c r="BC425" s="18"/>
      <c r="BD425" s="18"/>
      <c r="BG425" s="23"/>
      <c r="BT425" s="23"/>
      <c r="CD425" s="23"/>
      <c r="DF425" s="16" t="e">
        <f>VLOOKUP(K425,'[3]RNA Seq summary tables'!$V$3:$V$99,1,FALSE)</f>
        <v>#N/A</v>
      </c>
    </row>
    <row r="426" spans="1:288" ht="16" x14ac:dyDescent="0.2">
      <c r="B426" s="16">
        <v>2017</v>
      </c>
      <c r="C426" s="20">
        <v>42957</v>
      </c>
      <c r="D426" s="20" t="str">
        <f>CONCATENATE(J426,"-",C426)</f>
        <v>1279-42957</v>
      </c>
      <c r="E426" s="37" t="str">
        <f>CONCATENATE(T426,"-",U426,"-",C426)</f>
        <v>SP2-G5-42957</v>
      </c>
      <c r="F426" s="20" t="s">
        <v>106</v>
      </c>
      <c r="G426" s="20" t="s">
        <v>107</v>
      </c>
      <c r="I426" s="16">
        <v>0</v>
      </c>
      <c r="J426" s="21">
        <v>1279</v>
      </c>
      <c r="K426" s="21">
        <v>2122</v>
      </c>
      <c r="L426" s="18">
        <v>0</v>
      </c>
      <c r="M426" s="21">
        <f>VLOOKUP($K426,'[4]blood tubes 2017'!$D$1:$L$647,8,FALSE)</f>
        <v>0</v>
      </c>
      <c r="N426" s="15">
        <v>0</v>
      </c>
      <c r="O426" s="15" t="s">
        <v>119</v>
      </c>
      <c r="P426" s="16" t="s">
        <v>119</v>
      </c>
      <c r="Q426" s="16">
        <v>0</v>
      </c>
      <c r="R426" s="16">
        <v>17</v>
      </c>
      <c r="T426" s="16" t="s">
        <v>137</v>
      </c>
      <c r="U426" s="16" t="s">
        <v>200</v>
      </c>
      <c r="V426" s="16" t="s">
        <v>114</v>
      </c>
      <c r="W426" s="16">
        <f>AI426/AG426</f>
        <v>0.75308641975308643</v>
      </c>
      <c r="X426" s="16" t="s">
        <v>121</v>
      </c>
      <c r="Y426" s="16" t="s">
        <v>110</v>
      </c>
      <c r="Z426" s="16">
        <v>3</v>
      </c>
      <c r="AA426" s="16" t="s">
        <v>119</v>
      </c>
      <c r="AB426" s="16" t="s">
        <v>123</v>
      </c>
      <c r="AC426" s="16" t="s">
        <v>123</v>
      </c>
      <c r="AD426" s="16" t="s">
        <v>123</v>
      </c>
      <c r="AG426" s="16">
        <f>AH426-AI426</f>
        <v>81</v>
      </c>
      <c r="AH426" s="16">
        <v>142</v>
      </c>
      <c r="AI426" s="16">
        <v>61</v>
      </c>
      <c r="AK426" s="16">
        <v>14</v>
      </c>
      <c r="AL426" s="16">
        <v>0</v>
      </c>
      <c r="AM426" s="16">
        <v>0</v>
      </c>
      <c r="AN426" s="16">
        <v>0</v>
      </c>
      <c r="AO426" s="16">
        <v>0</v>
      </c>
      <c r="AP426" s="16">
        <f>SUM(AL426:AN426)</f>
        <v>0</v>
      </c>
      <c r="AQ426" s="16">
        <v>1.9930000000000001</v>
      </c>
      <c r="AR426" s="16">
        <f>AP426-1.472</f>
        <v>-1.472</v>
      </c>
      <c r="AS426" s="16">
        <f>AQ426-1.472</f>
        <v>0.52100000000000013</v>
      </c>
      <c r="AT426" s="16" t="str">
        <f>VLOOKUP(E426,[2]Current!$A$1:$W$435,7,FALSE)</f>
        <v>NB</v>
      </c>
      <c r="AU426" s="16" t="s">
        <v>1288</v>
      </c>
      <c r="AV426" s="23"/>
      <c r="AW426" s="128">
        <f>IF(AX426&gt;0,1,0)</f>
        <v>1</v>
      </c>
      <c r="AX426" s="128">
        <f>SUM(BA426,BM426,CU426)</f>
        <v>1</v>
      </c>
      <c r="AY426" s="128">
        <f>SUM(BB426,BN426,CV426)</f>
        <v>2994.2418426103641</v>
      </c>
      <c r="AZ426" s="128">
        <f>IF(BA426&gt;0,1,0)</f>
        <v>1</v>
      </c>
      <c r="BA426" s="128">
        <f>SUM(BC426+BF426+BI426)</f>
        <v>1</v>
      </c>
      <c r="BB426" s="128">
        <f>SUM(BE426,BH426,BK426)</f>
        <v>2994.2418426103641</v>
      </c>
      <c r="BC426" s="130">
        <f>IF(BD426&gt;0,1,0)</f>
        <v>0</v>
      </c>
      <c r="BD426" s="128">
        <f>VLOOKUP($E426,[2]Current!$A:$AC,26,FALSE)</f>
        <v>0</v>
      </c>
      <c r="BE426" s="128">
        <f>BD426/$AS426</f>
        <v>0</v>
      </c>
      <c r="BF426" s="130">
        <f>IF(BG426&gt;0,1,0)</f>
        <v>1</v>
      </c>
      <c r="BG426" s="175">
        <f>VLOOKUP($E426,[2]Current!$A:$AC,27,FALSE)</f>
        <v>1560</v>
      </c>
      <c r="BH426" s="128">
        <f>BG426/$AS426</f>
        <v>2994.2418426103641</v>
      </c>
      <c r="BI426" s="130">
        <f>IF(BJ426&gt;0,1,0)</f>
        <v>0</v>
      </c>
      <c r="BJ426" s="128">
        <f>VLOOKUP($E426,[2]Current!$A:$AC,28,FALSE)</f>
        <v>0</v>
      </c>
      <c r="BK426" s="128">
        <f>BJ426/$AS426</f>
        <v>0</v>
      </c>
      <c r="BL426" s="128">
        <f>IF(BM426&gt;0,1,0)</f>
        <v>0</v>
      </c>
      <c r="BM426" s="128">
        <f>SUM(BR426,BU426,BX426,CA426,CD426)</f>
        <v>0</v>
      </c>
      <c r="BN426" s="131">
        <f>SUM(BT426,BW426,BZ426,CC426,CF426)</f>
        <v>0</v>
      </c>
      <c r="BO426" s="128">
        <f>IF(BP426&gt;0,1,0)</f>
        <v>0</v>
      </c>
      <c r="BP426" s="128">
        <f>BM426+CJ426</f>
        <v>0</v>
      </c>
      <c r="BQ426" s="128">
        <f>BN426+CL426</f>
        <v>0</v>
      </c>
      <c r="BR426" s="130">
        <f>IF(BS426&gt;0,1,0)</f>
        <v>0</v>
      </c>
      <c r="BS426" s="128">
        <f>VLOOKUP($E426,[2]Current!$A:$AC,12,FALSE)</f>
        <v>0</v>
      </c>
      <c r="BT426" s="175">
        <f>BS426/$AS426</f>
        <v>0</v>
      </c>
      <c r="BU426" s="130">
        <f>IF(BV426&gt;0,1,0)</f>
        <v>0</v>
      </c>
      <c r="BV426" s="128">
        <f>VLOOKUP($E426,[2]Current!$A:$AC,13,FALSE)</f>
        <v>0</v>
      </c>
      <c r="BW426" s="128">
        <f>BV426/$AS426</f>
        <v>0</v>
      </c>
      <c r="BX426" s="130">
        <f>IF(BY426&gt;0,1,0)</f>
        <v>0</v>
      </c>
      <c r="BY426" s="128">
        <f>VLOOKUP($E426,[2]Current!$A:$AC,14,FALSE)</f>
        <v>0</v>
      </c>
      <c r="BZ426" s="128">
        <f>BY426/$AS426</f>
        <v>0</v>
      </c>
      <c r="CA426" s="130">
        <f>IF(CB426&gt;0,1,0)</f>
        <v>0</v>
      </c>
      <c r="CB426" s="128">
        <f>VLOOKUP($E426,[2]Current!$A:$AC,15,FALSE)</f>
        <v>0</v>
      </c>
      <c r="CC426" s="128">
        <f>CB426/$AS426</f>
        <v>0</v>
      </c>
      <c r="CD426" s="176">
        <f>IF(CE426&gt;0,1,0)</f>
        <v>0</v>
      </c>
      <c r="CE426" s="128">
        <f>VLOOKUP($E426,[2]Current!$A:$AC,16,FALSE)</f>
        <v>0</v>
      </c>
      <c r="CF426" s="128">
        <f>CE426/$AS426</f>
        <v>0</v>
      </c>
      <c r="CG426" s="18"/>
      <c r="CH426" s="18"/>
      <c r="CI426" s="18"/>
      <c r="CJ426" s="130">
        <f>IF(CK426&gt;0,1,0)</f>
        <v>0</v>
      </c>
      <c r="CK426" s="128">
        <f>VLOOKUP($E426,[2]Current!$A:$AC,18,FALSE)</f>
        <v>0</v>
      </c>
      <c r="CL426" s="128">
        <f>CK426/$AS426</f>
        <v>0</v>
      </c>
      <c r="CS426" s="130">
        <f>IF(CU426&gt;0,1,0)</f>
        <v>0</v>
      </c>
      <c r="CU426" s="128">
        <f>VLOOKUP($E426,[2]Current!$A:$AC,17,FALSE)</f>
        <v>0</v>
      </c>
      <c r="CV426" s="128">
        <f>CU426/$AS426</f>
        <v>0</v>
      </c>
      <c r="CW426" s="18"/>
      <c r="CX426" s="18"/>
      <c r="CY426" s="18"/>
      <c r="DF426" s="16" t="e">
        <f>VLOOKUP(K426,'[3]RNA Seq summary tables'!$V$3:$V$99,1,FALSE)</f>
        <v>#N/A</v>
      </c>
      <c r="DG426" s="16">
        <v>1</v>
      </c>
      <c r="DH426" s="16" t="str">
        <f>VLOOKUP(D426,'[6]workflow 3.2018'!$A$1:$S$237,2,FALSE)</f>
        <v>2017MLBS_119</v>
      </c>
      <c r="JO426" s="38"/>
    </row>
    <row r="427" spans="1:288" x14ac:dyDescent="0.2">
      <c r="A427" s="30"/>
      <c r="B427" s="30">
        <v>2017</v>
      </c>
      <c r="C427" s="85">
        <v>42941</v>
      </c>
      <c r="D427" s="85" t="str">
        <f>CONCATENATE(J427,"-",C427)</f>
        <v>1281-42941</v>
      </c>
      <c r="E427" s="20" t="str">
        <f>CONCATENATE(T427,"-",U427,"-",C427)</f>
        <v>SP1-B2-42941</v>
      </c>
      <c r="F427" s="31" t="s">
        <v>106</v>
      </c>
      <c r="G427" s="85" t="s">
        <v>107</v>
      </c>
      <c r="H427" s="34" t="s">
        <v>175</v>
      </c>
      <c r="I427" s="34">
        <v>1</v>
      </c>
      <c r="J427" s="35">
        <v>1281</v>
      </c>
      <c r="K427" s="35">
        <v>1986</v>
      </c>
      <c r="L427" s="25">
        <v>0</v>
      </c>
      <c r="M427" s="32">
        <f>VLOOKUP($K427,'[4]blood tubes 2017'!$D$1:$L$647,8,FALSE)</f>
        <v>0</v>
      </c>
      <c r="N427" s="35">
        <v>0</v>
      </c>
      <c r="O427" s="35" t="s">
        <v>119</v>
      </c>
      <c r="P427" s="34" t="s">
        <v>119</v>
      </c>
      <c r="Q427" s="34">
        <v>0</v>
      </c>
      <c r="R427" s="34" t="s">
        <v>111</v>
      </c>
      <c r="S427" s="34"/>
      <c r="T427" s="34" t="s">
        <v>140</v>
      </c>
      <c r="U427" s="34" t="s">
        <v>130</v>
      </c>
      <c r="V427" s="34" t="s">
        <v>114</v>
      </c>
      <c r="W427" s="34">
        <f>AI427/AG427</f>
        <v>0.96551724137931039</v>
      </c>
      <c r="X427" s="34" t="s">
        <v>115</v>
      </c>
      <c r="Y427" s="34" t="s">
        <v>110</v>
      </c>
      <c r="Z427" s="34">
        <v>3</v>
      </c>
      <c r="AA427" s="34"/>
      <c r="AB427" s="34"/>
      <c r="AC427" s="34"/>
      <c r="AD427" s="34"/>
      <c r="AE427" s="34" t="s">
        <v>116</v>
      </c>
      <c r="AF427" s="34" t="s">
        <v>116</v>
      </c>
      <c r="AG427" s="34">
        <f>AH427-AI427</f>
        <v>87</v>
      </c>
      <c r="AH427" s="34">
        <v>171</v>
      </c>
      <c r="AI427" s="34">
        <v>84</v>
      </c>
      <c r="AJ427" s="34"/>
      <c r="AK427" s="34">
        <v>25.5</v>
      </c>
      <c r="AL427" s="34">
        <v>0</v>
      </c>
      <c r="AM427" s="34">
        <v>0</v>
      </c>
      <c r="AN427" s="34">
        <v>0</v>
      </c>
      <c r="AO427" s="34">
        <v>0</v>
      </c>
      <c r="AP427" s="34">
        <f>SUM(AL427:AN427)</f>
        <v>0</v>
      </c>
      <c r="AQ427" s="34">
        <v>1.804</v>
      </c>
      <c r="AR427" s="34">
        <f>AP427-1.472</f>
        <v>-1.472</v>
      </c>
      <c r="AS427" s="34">
        <f>AQ427-1.472</f>
        <v>0.33200000000000007</v>
      </c>
      <c r="AT427" s="30" t="str">
        <f>VLOOKUP(K427,'[5]FECs - good data'!$C$1:$P$575,13,FALSE)</f>
        <v>SB</v>
      </c>
      <c r="AU427" s="30"/>
      <c r="AV427" s="30"/>
      <c r="AW427" s="30">
        <f>IF(AX427&gt;0,1,0)</f>
        <v>1</v>
      </c>
      <c r="AX427" s="30">
        <f>SUM(BA427,BM427,CT427)</f>
        <v>3</v>
      </c>
      <c r="AY427" s="30">
        <f>SUM(BB427,BN427,CV427)</f>
        <v>554.21686746987939</v>
      </c>
      <c r="AZ427" s="30">
        <f>IF(BA427&gt;0,1,0)</f>
        <v>1</v>
      </c>
      <c r="BA427" s="30">
        <f>SUM(BC427,BF427,BI427)</f>
        <v>2</v>
      </c>
      <c r="BB427" s="30">
        <f>SUM(BE427,BH427,BK427)</f>
        <v>551.2048192771083</v>
      </c>
      <c r="BC427" s="30">
        <f>IF(BD427&gt;0,1,0)</f>
        <v>1</v>
      </c>
      <c r="BD427" s="30">
        <f>VLOOKUP($K427,'[5]FECs - good data'!$C$1:$Z$574,14,FALSE)</f>
        <v>1</v>
      </c>
      <c r="BE427" s="30">
        <f>BD427/AS427</f>
        <v>3.0120481927710836</v>
      </c>
      <c r="BF427" s="30">
        <f>IF(BG427&gt;0,1,0)</f>
        <v>1</v>
      </c>
      <c r="BG427" s="34">
        <f>VLOOKUP($K427,'[5]FECs - good data'!$C$1:$Z$574,15,FALSE)</f>
        <v>182</v>
      </c>
      <c r="BH427" s="30">
        <f>BG427/AS427</f>
        <v>548.19277108433721</v>
      </c>
      <c r="BI427" s="30">
        <f>IF(BJ427&gt;0,1,0)</f>
        <v>0</v>
      </c>
      <c r="BJ427" s="30">
        <f>VLOOKUP($K427,'[5]FECs - good data'!$C$1:$Z$574,16,FALSE)</f>
        <v>0</v>
      </c>
      <c r="BK427" s="30">
        <f>BJ427/AS427</f>
        <v>0</v>
      </c>
      <c r="BL427" s="30">
        <f>IF(BM427&gt;0,1,0)</f>
        <v>1</v>
      </c>
      <c r="BM427" s="30">
        <f>SUM(BR427,BU427,BX427,CA427,CD427,CG427,CJ427,CM427,CP427)</f>
        <v>1</v>
      </c>
      <c r="BN427" s="30">
        <f>SUM(BW427,BZ427,CC427,CF427,CI427,CL427,CO427,CR427,BT427)</f>
        <v>3.0120481927710836</v>
      </c>
      <c r="BO427" s="16">
        <f>IF(BP427&gt;0,1,0)</f>
        <v>1</v>
      </c>
      <c r="BP427" s="16">
        <f>SUM(BU427,BX427,CA427,CD427,BR427)</f>
        <v>1</v>
      </c>
      <c r="BQ427" s="16">
        <f>SUM(BZ427,CC427,CF427,BT427,BW427)</f>
        <v>3.0120481927710836</v>
      </c>
      <c r="BR427" s="30">
        <f>IF(BS427&gt;0,1,0)</f>
        <v>0</v>
      </c>
      <c r="BS427" s="30">
        <f>VLOOKUP($K427,'[5]FECs - good data'!$C$1:$Z$574,17,FALSE)</f>
        <v>0</v>
      </c>
      <c r="BT427" s="34">
        <f>BS427/AS427</f>
        <v>0</v>
      </c>
      <c r="BU427" s="30">
        <f>IF(BV427&gt;0,1,0)</f>
        <v>0</v>
      </c>
      <c r="BV427" s="30">
        <f>VLOOKUP($K427,'[5]FECs - good data'!$C$1:$Z$574,18,FALSE)</f>
        <v>0</v>
      </c>
      <c r="BW427" s="30">
        <f>BV427/AS427</f>
        <v>0</v>
      </c>
      <c r="BX427" s="30">
        <f>IF(BY427&gt;0,1,0)</f>
        <v>0</v>
      </c>
      <c r="BY427" s="30">
        <f>VLOOKUP($K427,'[5]FECs - good data'!$C$1:$Z$574,19,FALSE)</f>
        <v>0</v>
      </c>
      <c r="BZ427" s="30">
        <f>BY427/AS427</f>
        <v>0</v>
      </c>
      <c r="CA427" s="30">
        <f>IF(CB427&gt;0,1,0)</f>
        <v>0</v>
      </c>
      <c r="CB427" s="30">
        <f>VLOOKUP($K427,'[5]FECs - good data'!$C$1:$Z$574,20,FALSE)</f>
        <v>0</v>
      </c>
      <c r="CC427" s="30">
        <f>CB427/AS427</f>
        <v>0</v>
      </c>
      <c r="CD427" s="34">
        <f>IF(CE427&gt;0,1,0)</f>
        <v>1</v>
      </c>
      <c r="CE427" s="30">
        <f>VLOOKUP($K427,'[5]FECs - good data'!$C$1:$Z$574,21,FALSE)</f>
        <v>1</v>
      </c>
      <c r="CF427" s="30">
        <f>CE427/AS427</f>
        <v>3.0120481927710836</v>
      </c>
      <c r="CG427" s="30">
        <f>IF(CH427&gt;0,1,0)</f>
        <v>0</v>
      </c>
      <c r="CH427" s="30">
        <f>VLOOKUP($K427,'[5]FECs - good data'!$C$1:$Z$574,22,FALSE)</f>
        <v>0</v>
      </c>
      <c r="CI427" s="30">
        <f>CH427/AS427</f>
        <v>0</v>
      </c>
      <c r="CJ427" s="30">
        <f>IF(CK427&gt;0,1,0)</f>
        <v>0</v>
      </c>
      <c r="CK427" s="30">
        <f>VLOOKUP($K427,'[5]FECs - good data'!$C$1:$Z$674,24,FALSE)</f>
        <v>0</v>
      </c>
      <c r="CL427" s="30">
        <f>CK427/AS427</f>
        <v>0</v>
      </c>
      <c r="CM427" s="30"/>
      <c r="CN427" s="30"/>
      <c r="CO427" s="30"/>
      <c r="CP427" s="30"/>
      <c r="CQ427" s="30"/>
      <c r="CR427" s="30"/>
      <c r="CS427" s="30">
        <f>IF(CT427&gt;0,1,0)</f>
        <v>0</v>
      </c>
      <c r="CT427" s="30">
        <f>SUM(CW427+CZ427,DC427)</f>
        <v>0</v>
      </c>
      <c r="CU427" s="30"/>
      <c r="CV427" s="30">
        <f>SUM(CY427,DB427,DE427)</f>
        <v>0</v>
      </c>
      <c r="CW427" s="30">
        <f>IF(CX427&gt;0,1,0)</f>
        <v>0</v>
      </c>
      <c r="CX427" s="30">
        <f>VLOOKUP($K427,'[5]FECs - good data'!$C$1:$Z$574,22,FALSE)</f>
        <v>0</v>
      </c>
      <c r="CY427" s="30">
        <f>CX427/AS427</f>
        <v>0</v>
      </c>
      <c r="CZ427" s="30">
        <f>IF(DA427&gt;0,1,0)</f>
        <v>0</v>
      </c>
      <c r="DA427" s="30">
        <f>VLOOKUP($K427,'[5]FECs - good data'!$C$1:$Z$5982,23,FALSE)</f>
        <v>0</v>
      </c>
      <c r="DB427" s="30">
        <f>DA427/AS427</f>
        <v>0</v>
      </c>
      <c r="DC427" s="34">
        <f>IF(DD427&gt;0,1,0)</f>
        <v>0</v>
      </c>
      <c r="DD427" s="34">
        <f>VLOOKUP($K427,'[5]FECs - good data'!$C$1:$Z$574,23,FALSE)</f>
        <v>0</v>
      </c>
      <c r="DE427" s="34">
        <f>DD427/AS427</f>
        <v>0</v>
      </c>
      <c r="DF427" s="16" t="e">
        <f>VLOOKUP(K427,'[3]RNA Seq summary tables'!$V$3:$V$99,1,FALSE)</f>
        <v>#N/A</v>
      </c>
      <c r="DG427" s="23">
        <v>1</v>
      </c>
      <c r="DH427" s="23" t="str">
        <f>VLOOKUP(D427,'[6]workflow 3.2018'!$A$1:$S$237,2,FALSE)</f>
        <v>2017MLBS_101</v>
      </c>
      <c r="DI427" s="34"/>
      <c r="DJ427" s="34"/>
      <c r="DK427" s="34"/>
      <c r="DL427" s="34"/>
      <c r="DM427" s="34"/>
      <c r="DN427" s="34"/>
      <c r="DO427" s="34"/>
      <c r="DP427" s="34"/>
      <c r="DQ427" s="34"/>
      <c r="DR427" s="34"/>
      <c r="DS427" s="34"/>
      <c r="DT427" s="25"/>
      <c r="DU427" s="25"/>
      <c r="DV427" s="25"/>
      <c r="DW427" s="25"/>
      <c r="DX427" s="25"/>
      <c r="DY427" s="25"/>
      <c r="DZ427" s="25"/>
      <c r="EA427" s="25"/>
      <c r="EB427" s="25"/>
      <c r="EC427" s="25"/>
      <c r="ED427" s="25"/>
      <c r="EE427" s="25"/>
      <c r="EF427" s="25"/>
      <c r="EG427" s="25"/>
      <c r="EH427" s="25"/>
      <c r="EI427" s="25"/>
      <c r="EJ427" s="25"/>
      <c r="EK427" s="25"/>
      <c r="EL427" s="25"/>
      <c r="EM427" s="25"/>
      <c r="EN427" s="25"/>
      <c r="EO427" s="25"/>
      <c r="EP427" s="25"/>
      <c r="EQ427" s="25"/>
      <c r="ER427" s="25"/>
      <c r="ES427" s="25"/>
      <c r="ET427" s="25"/>
      <c r="EU427" s="25"/>
      <c r="EV427" s="25"/>
      <c r="EW427" s="25"/>
      <c r="EX427" s="25"/>
      <c r="EY427" s="25"/>
      <c r="EZ427" s="25"/>
      <c r="FA427" s="25"/>
      <c r="FB427" s="25"/>
      <c r="FC427" s="25"/>
      <c r="FD427" s="25"/>
      <c r="FE427" s="25"/>
      <c r="FF427" s="25"/>
      <c r="FG427" s="25"/>
      <c r="FH427" s="25"/>
      <c r="FI427" s="25"/>
      <c r="FJ427" s="25"/>
      <c r="FK427" s="25"/>
      <c r="FL427" s="25"/>
      <c r="FM427" s="25"/>
      <c r="FN427" s="25"/>
      <c r="FO427" s="25"/>
      <c r="FP427" s="25"/>
      <c r="FQ427" s="25"/>
      <c r="FR427" s="25"/>
      <c r="FS427" s="25"/>
      <c r="FT427" s="25"/>
      <c r="FU427" s="25"/>
      <c r="FV427" s="25"/>
      <c r="FW427" s="25"/>
      <c r="FX427" s="25"/>
      <c r="FY427" s="25"/>
      <c r="FZ427" s="25"/>
      <c r="GA427" s="25"/>
      <c r="GB427" s="25"/>
      <c r="GC427" s="25"/>
      <c r="GD427" s="25"/>
      <c r="GE427" s="25"/>
      <c r="GF427" s="25"/>
      <c r="GG427" s="25"/>
      <c r="GH427" s="25"/>
      <c r="GI427" s="25"/>
      <c r="GJ427" s="25"/>
      <c r="GK427" s="25"/>
      <c r="GL427" s="25"/>
      <c r="GM427" s="25"/>
      <c r="GN427" s="25"/>
      <c r="GO427" s="25"/>
      <c r="GP427" s="25"/>
      <c r="GQ427" s="25"/>
      <c r="GR427" s="25"/>
      <c r="GS427" s="25"/>
      <c r="GT427" s="25"/>
      <c r="GU427" s="25"/>
      <c r="GV427" s="25"/>
      <c r="GW427" s="25"/>
      <c r="GX427" s="25"/>
      <c r="GY427" s="25"/>
      <c r="GZ427" s="25"/>
      <c r="HA427" s="25"/>
      <c r="HB427" s="25"/>
      <c r="HC427" s="25"/>
      <c r="HD427" s="25"/>
      <c r="HE427" s="25"/>
      <c r="HF427" s="25"/>
      <c r="HG427" s="25"/>
      <c r="HH427" s="25"/>
      <c r="HI427" s="25"/>
      <c r="HJ427" s="25"/>
      <c r="HK427" s="25"/>
      <c r="HL427" s="25"/>
      <c r="HM427" s="25"/>
      <c r="HN427" s="25"/>
      <c r="HO427" s="25"/>
      <c r="HP427" s="25"/>
      <c r="HQ427" s="25"/>
      <c r="HR427" s="25"/>
      <c r="HS427" s="25"/>
      <c r="HT427" s="25"/>
      <c r="HU427" s="25"/>
      <c r="HV427" s="25"/>
      <c r="HW427" s="25"/>
      <c r="HX427" s="25"/>
      <c r="HY427" s="25"/>
      <c r="HZ427" s="25"/>
      <c r="IA427" s="25"/>
      <c r="IB427" s="25"/>
      <c r="IC427" s="25"/>
      <c r="ID427" s="25"/>
      <c r="IE427" s="25"/>
      <c r="IF427" s="25"/>
      <c r="IG427" s="25"/>
      <c r="IH427" s="25"/>
      <c r="II427" s="25"/>
      <c r="IJ427" s="25"/>
      <c r="IK427" s="25"/>
      <c r="IL427" s="25"/>
      <c r="IM427" s="25"/>
      <c r="IN427" s="25"/>
      <c r="IO427" s="25"/>
      <c r="IP427" s="25"/>
      <c r="IQ427" s="25"/>
      <c r="IR427" s="25"/>
      <c r="IS427" s="25"/>
      <c r="IT427" s="25"/>
      <c r="IU427" s="25"/>
      <c r="IV427" s="25"/>
      <c r="IW427" s="25"/>
      <c r="IX427" s="25"/>
      <c r="IY427" s="25"/>
      <c r="IZ427" s="25"/>
      <c r="JA427" s="25"/>
      <c r="JB427" s="25"/>
      <c r="JC427" s="25"/>
      <c r="JD427" s="25"/>
      <c r="JE427" s="25"/>
      <c r="JF427" s="25"/>
      <c r="JG427" s="25"/>
      <c r="JH427" s="25"/>
      <c r="JI427" s="25"/>
      <c r="JJ427" s="25"/>
      <c r="JK427" s="25"/>
      <c r="JL427" s="25"/>
      <c r="JM427" s="25"/>
      <c r="JN427" s="25"/>
      <c r="JO427" s="23"/>
      <c r="JP427" s="23"/>
      <c r="JQ427" s="23"/>
    </row>
    <row r="428" spans="1:288" x14ac:dyDescent="0.2">
      <c r="A428" s="30"/>
      <c r="B428" s="30">
        <v>2017</v>
      </c>
      <c r="C428" s="31">
        <v>42974</v>
      </c>
      <c r="D428" s="31" t="str">
        <f>CONCATENATE(J428,"-",C428)</f>
        <v>1281-42974</v>
      </c>
      <c r="E428" s="142" t="str">
        <f>CONCATENATE(T428,"-",U428,"-",C428)</f>
        <v>SP1-F4-42974</v>
      </c>
      <c r="F428" s="31" t="s">
        <v>224</v>
      </c>
      <c r="G428" s="31" t="s">
        <v>107</v>
      </c>
      <c r="H428" s="30" t="s">
        <v>266</v>
      </c>
      <c r="I428" s="30"/>
      <c r="J428" s="32">
        <v>1281</v>
      </c>
      <c r="K428" s="32">
        <v>2266</v>
      </c>
      <c r="L428" s="18">
        <v>0</v>
      </c>
      <c r="M428" s="32">
        <f>VLOOKUP($K428,'[4]blood tubes 2017'!$D$1:$L$947,8,FALSE)</f>
        <v>0</v>
      </c>
      <c r="N428" s="35">
        <v>0</v>
      </c>
      <c r="O428" s="35" t="s">
        <v>119</v>
      </c>
      <c r="P428" s="30" t="s">
        <v>119</v>
      </c>
      <c r="Q428" s="30">
        <v>0</v>
      </c>
      <c r="R428" s="30">
        <v>33</v>
      </c>
      <c r="S428" s="30"/>
      <c r="T428" s="30" t="s">
        <v>140</v>
      </c>
      <c r="U428" s="30" t="s">
        <v>184</v>
      </c>
      <c r="V428" s="30" t="s">
        <v>114</v>
      </c>
      <c r="W428" s="30">
        <f>AI428/AG428</f>
        <v>0.81333333333333335</v>
      </c>
      <c r="X428" s="30" t="s">
        <v>121</v>
      </c>
      <c r="Y428" s="30" t="s">
        <v>145</v>
      </c>
      <c r="Z428" s="30">
        <v>1</v>
      </c>
      <c r="AA428" s="30" t="s">
        <v>119</v>
      </c>
      <c r="AB428" s="30" t="s">
        <v>123</v>
      </c>
      <c r="AC428" s="30" t="s">
        <v>123</v>
      </c>
      <c r="AD428" s="30" t="s">
        <v>123</v>
      </c>
      <c r="AE428" s="30"/>
      <c r="AF428" s="30"/>
      <c r="AG428" s="30">
        <f>AH428-AI428</f>
        <v>75</v>
      </c>
      <c r="AH428" s="30">
        <v>136</v>
      </c>
      <c r="AI428" s="30">
        <v>61</v>
      </c>
      <c r="AJ428" s="30"/>
      <c r="AK428" s="30">
        <v>6.5</v>
      </c>
      <c r="AL428" s="30">
        <v>0</v>
      </c>
      <c r="AM428" s="30">
        <v>0</v>
      </c>
      <c r="AN428" s="30">
        <v>0</v>
      </c>
      <c r="AO428" s="30">
        <v>0</v>
      </c>
      <c r="AP428" s="30">
        <f>SUM(AL428:AN428)</f>
        <v>0</v>
      </c>
      <c r="AQ428" s="30">
        <v>1.4970000000000001</v>
      </c>
      <c r="AR428" s="30">
        <f>AP428-1.472</f>
        <v>-1.472</v>
      </c>
      <c r="AS428" s="30">
        <f>AQ428-1.472</f>
        <v>2.5000000000000133E-2</v>
      </c>
      <c r="AT428" s="16" t="e">
        <f>VLOOKUP(E428,[2]Current!$A$1:$W$435,7,FALSE)</f>
        <v>#N/A</v>
      </c>
      <c r="AU428" s="16">
        <v>0</v>
      </c>
      <c r="AV428" s="30"/>
      <c r="AW428" s="30"/>
      <c r="AX428" s="30"/>
      <c r="AY428" s="30"/>
      <c r="AZ428" s="30"/>
      <c r="BA428" s="30"/>
      <c r="BB428" s="30"/>
      <c r="BC428" s="30"/>
      <c r="BD428" s="30"/>
      <c r="BE428" s="30"/>
      <c r="BF428" s="30"/>
      <c r="BG428" s="34"/>
      <c r="BH428" s="30"/>
      <c r="BI428" s="30"/>
      <c r="BJ428" s="30"/>
      <c r="BK428" s="30"/>
      <c r="BL428" s="30"/>
      <c r="BM428" s="30"/>
      <c r="BN428" s="30"/>
      <c r="BO428" s="30"/>
      <c r="BP428" s="30"/>
      <c r="BQ428" s="30"/>
      <c r="BR428" s="30"/>
      <c r="BS428" s="30"/>
      <c r="BT428" s="34"/>
      <c r="BU428" s="30"/>
      <c r="BV428" s="30"/>
      <c r="BW428" s="30"/>
      <c r="BX428" s="30"/>
      <c r="BY428" s="30"/>
      <c r="BZ428" s="30"/>
      <c r="CA428" s="30"/>
      <c r="CB428" s="30"/>
      <c r="CC428" s="30"/>
      <c r="CD428" s="34"/>
      <c r="CE428" s="30"/>
      <c r="CF428" s="30"/>
      <c r="CG428" s="30"/>
      <c r="CH428" s="30"/>
      <c r="CI428" s="30"/>
      <c r="CJ428" s="30"/>
      <c r="CK428" s="30"/>
      <c r="CL428" s="30"/>
      <c r="CM428" s="30"/>
      <c r="CN428" s="30"/>
      <c r="CO428" s="30"/>
      <c r="CP428" s="30"/>
      <c r="CQ428" s="30"/>
      <c r="CR428" s="30"/>
      <c r="CS428" s="30"/>
      <c r="CT428" s="30"/>
      <c r="CU428" s="30"/>
      <c r="CV428" s="30"/>
      <c r="CW428" s="30"/>
      <c r="CX428" s="30"/>
      <c r="CY428" s="30"/>
      <c r="CZ428" s="30"/>
      <c r="DA428" s="30"/>
      <c r="DB428" s="30"/>
      <c r="DC428" s="30"/>
      <c r="DD428" s="30"/>
      <c r="DE428" s="30"/>
      <c r="DF428" s="16" t="e">
        <f>VLOOKUP(K428,'[3]RNA Seq summary tables'!$V$3:$V$99,1,FALSE)</f>
        <v>#N/A</v>
      </c>
      <c r="DI428" s="30"/>
      <c r="DJ428" s="30"/>
      <c r="DK428" s="30"/>
      <c r="DL428" s="30"/>
      <c r="DM428" s="30"/>
      <c r="DN428" s="30"/>
      <c r="DO428" s="30"/>
      <c r="DP428" s="30"/>
      <c r="DQ428" s="30"/>
      <c r="DR428" s="30"/>
      <c r="DS428" s="30"/>
    </row>
    <row r="429" spans="1:288" x14ac:dyDescent="0.2">
      <c r="B429" s="16">
        <v>2017</v>
      </c>
      <c r="C429" s="43">
        <v>42941</v>
      </c>
      <c r="D429" s="43" t="str">
        <f>CONCATENATE(J429,"-",C429)</f>
        <v>1283-42941</v>
      </c>
      <c r="E429" s="142" t="str">
        <f>CONCATENATE(T429,"-",U429,"-",C429)</f>
        <v>SP2-C8-42941</v>
      </c>
      <c r="F429" s="20" t="s">
        <v>106</v>
      </c>
      <c r="G429" s="43" t="s">
        <v>107</v>
      </c>
      <c r="H429" s="23"/>
      <c r="J429" s="15">
        <v>1283</v>
      </c>
      <c r="K429" s="15">
        <v>1991</v>
      </c>
      <c r="L429" s="18">
        <v>0</v>
      </c>
      <c r="M429" s="21">
        <f>VLOOKUP($K429,'[4]blood tubes 2017'!$D$1:$L$647,8,FALSE)</f>
        <v>0</v>
      </c>
      <c r="N429" s="15">
        <v>0</v>
      </c>
      <c r="O429" s="15" t="s">
        <v>119</v>
      </c>
      <c r="P429" s="23" t="s">
        <v>119</v>
      </c>
      <c r="Q429" s="16">
        <v>0</v>
      </c>
      <c r="R429" s="23" t="s">
        <v>111</v>
      </c>
      <c r="S429" s="23"/>
      <c r="T429" s="23" t="s">
        <v>137</v>
      </c>
      <c r="U429" s="23" t="s">
        <v>188</v>
      </c>
      <c r="V429" s="23" t="s">
        <v>114</v>
      </c>
      <c r="W429" s="16">
        <f>AI429/AG429</f>
        <v>0.82926829268292679</v>
      </c>
      <c r="X429" s="23" t="s">
        <v>115</v>
      </c>
      <c r="Y429" s="23" t="s">
        <v>122</v>
      </c>
      <c r="Z429" s="23">
        <v>2.6</v>
      </c>
      <c r="AA429" s="23"/>
      <c r="AB429" s="23"/>
      <c r="AC429" s="23"/>
      <c r="AD429" s="23"/>
      <c r="AE429" s="23" t="s">
        <v>123</v>
      </c>
      <c r="AF429" s="23" t="s">
        <v>123</v>
      </c>
      <c r="AG429" s="23">
        <f>AH429-AI429</f>
        <v>82</v>
      </c>
      <c r="AH429" s="23">
        <v>150</v>
      </c>
      <c r="AI429" s="23">
        <v>68</v>
      </c>
      <c r="AJ429" s="23"/>
      <c r="AK429" s="23">
        <v>15</v>
      </c>
      <c r="AL429" s="23">
        <v>1</v>
      </c>
      <c r="AM429" s="23">
        <v>0</v>
      </c>
      <c r="AN429" s="23">
        <v>0</v>
      </c>
      <c r="AO429" s="23">
        <v>1</v>
      </c>
      <c r="AP429" s="23">
        <f>SUM(AL429:AN429)</f>
        <v>1</v>
      </c>
      <c r="AQ429" s="23">
        <v>1.853</v>
      </c>
      <c r="AR429" s="23">
        <f>AP429-1.472</f>
        <v>-0.47199999999999998</v>
      </c>
      <c r="AS429" s="23">
        <f>AQ429-1.472</f>
        <v>0.38100000000000001</v>
      </c>
      <c r="AT429" s="16" t="e">
        <f>VLOOKUP(E429,[2]Current!$A$1:$W$435,7,FALSE)</f>
        <v>#N/A</v>
      </c>
      <c r="AU429" s="16">
        <v>0</v>
      </c>
      <c r="AV429" s="23"/>
      <c r="AW429" s="25"/>
      <c r="AX429" s="25"/>
      <c r="AY429" s="25"/>
      <c r="AZ429" s="25"/>
      <c r="BA429" s="25"/>
      <c r="BB429" s="25"/>
      <c r="BC429" s="25"/>
      <c r="BD429" s="25"/>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16" t="e">
        <f>VLOOKUP(K429,'[3]RNA Seq summary tables'!$V$3:$V$99,1,FALSE)</f>
        <v>#N/A</v>
      </c>
      <c r="DI429" s="23"/>
      <c r="DJ429" s="23"/>
      <c r="DK429" s="23"/>
      <c r="DL429" s="23"/>
      <c r="DM429" s="23"/>
      <c r="DN429" s="23"/>
      <c r="DO429" s="23"/>
      <c r="DP429" s="23"/>
      <c r="DQ429" s="23"/>
      <c r="DR429" s="23"/>
      <c r="DS429" s="23"/>
    </row>
    <row r="430" spans="1:288" x14ac:dyDescent="0.2">
      <c r="A430" s="19"/>
      <c r="B430" s="19">
        <v>2017</v>
      </c>
      <c r="C430" s="68">
        <v>42945</v>
      </c>
      <c r="D430" s="68" t="str">
        <f>CONCATENATE(J430,"-",C430)</f>
        <v>1285-42945</v>
      </c>
      <c r="E430" s="20" t="str">
        <f>CONCATENATE(T430,"-",U430,"-",C430)</f>
        <v>PO2-B6-42945</v>
      </c>
      <c r="F430" s="20" t="s">
        <v>106</v>
      </c>
      <c r="G430" s="68" t="s">
        <v>107</v>
      </c>
      <c r="H430" s="19"/>
      <c r="I430" s="16">
        <v>0</v>
      </c>
      <c r="J430" s="69">
        <v>1285</v>
      </c>
      <c r="K430" s="69">
        <v>1996</v>
      </c>
      <c r="L430" s="18">
        <v>0</v>
      </c>
      <c r="M430" s="69">
        <f>VLOOKUP($K430,'[4]blood tubes 2017'!$D$1:$L$647,8,FALSE)</f>
        <v>1</v>
      </c>
      <c r="N430" s="69">
        <f>VLOOKUP($K430,'[4]blood tubes 2017'!$D$1:$L$647,9,FALSE)</f>
        <v>25</v>
      </c>
      <c r="O430" s="15" t="s">
        <v>119</v>
      </c>
      <c r="P430" s="19" t="s">
        <v>119</v>
      </c>
      <c r="Q430" s="19">
        <v>0</v>
      </c>
      <c r="R430" s="19" t="s">
        <v>111</v>
      </c>
      <c r="S430" s="19"/>
      <c r="T430" s="19" t="s">
        <v>127</v>
      </c>
      <c r="U430" s="19" t="s">
        <v>132</v>
      </c>
      <c r="V430" s="19" t="s">
        <v>114</v>
      </c>
      <c r="W430" s="16">
        <f>AI430/AG430</f>
        <v>0.83333333333333337</v>
      </c>
      <c r="X430" s="19" t="s">
        <v>115</v>
      </c>
      <c r="Y430" s="19" t="s">
        <v>110</v>
      </c>
      <c r="Z430" s="19">
        <v>3</v>
      </c>
      <c r="AA430" s="19"/>
      <c r="AB430" s="19"/>
      <c r="AC430" s="19"/>
      <c r="AD430" s="19"/>
      <c r="AE430" s="19" t="s">
        <v>116</v>
      </c>
      <c r="AF430" s="19" t="s">
        <v>116</v>
      </c>
      <c r="AG430" s="19">
        <f>AH430-AI430</f>
        <v>90</v>
      </c>
      <c r="AH430" s="19">
        <v>165</v>
      </c>
      <c r="AI430" s="19">
        <v>75</v>
      </c>
      <c r="AJ430" s="19"/>
      <c r="AK430" s="19">
        <v>21</v>
      </c>
      <c r="AL430" s="19">
        <v>0</v>
      </c>
      <c r="AM430" s="19">
        <v>0</v>
      </c>
      <c r="AN430" s="19">
        <v>0</v>
      </c>
      <c r="AO430" s="19">
        <v>0</v>
      </c>
      <c r="AP430" s="19">
        <f>SUM(AL430:AN430)</f>
        <v>0</v>
      </c>
      <c r="AQ430" s="19">
        <v>1.8839999999999999</v>
      </c>
      <c r="AR430" s="19">
        <f>AP430-1.472</f>
        <v>-1.472</v>
      </c>
      <c r="AS430" s="19">
        <f>AQ430-1.472</f>
        <v>0.41199999999999992</v>
      </c>
      <c r="AT430" s="19" t="str">
        <f>VLOOKUP(K430,'[5]FECs - good data'!$C$1:$P$575,13,FALSE)</f>
        <v>SB</v>
      </c>
      <c r="AU430" s="19"/>
      <c r="AV430" s="19"/>
      <c r="AW430" s="19">
        <f>IF(AX430&gt;0,1,0)</f>
        <v>1</v>
      </c>
      <c r="AX430" s="19">
        <f>SUM(BA430,BM430,CT430)</f>
        <v>4</v>
      </c>
      <c r="AY430" s="19">
        <f>SUM(BB430,BN430,CV430)</f>
        <v>3453.883495145632</v>
      </c>
      <c r="AZ430" s="19">
        <f>IF(BA430&gt;0,1,0)</f>
        <v>1</v>
      </c>
      <c r="BA430" s="19">
        <f>SUM(BC430,BF430,BI430)</f>
        <v>2</v>
      </c>
      <c r="BB430" s="19">
        <f>SUM(BE430,BH430,BK430)</f>
        <v>3439.3203883495153</v>
      </c>
      <c r="BC430" s="19">
        <f>IF(BD430&gt;0,1,0)</f>
        <v>1</v>
      </c>
      <c r="BD430" s="19">
        <f>VLOOKUP($K430,'[5]FECs - good data'!$C$1:$Z$574,14,FALSE)</f>
        <v>20</v>
      </c>
      <c r="BE430" s="19">
        <f>BD430/AS430</f>
        <v>48.54368932038836</v>
      </c>
      <c r="BF430" s="19">
        <f>IF(BG430&gt;0,1,0)</f>
        <v>1</v>
      </c>
      <c r="BG430" s="70">
        <f>VLOOKUP($K430,'[5]FECs - good data'!$C$1:$Z$574,15,FALSE)</f>
        <v>1397</v>
      </c>
      <c r="BH430" s="19">
        <f>BG430/AS430</f>
        <v>3390.776699029127</v>
      </c>
      <c r="BI430" s="19">
        <f>IF(BJ430&gt;0,1,0)</f>
        <v>0</v>
      </c>
      <c r="BJ430" s="19">
        <f>VLOOKUP($K430,'[5]FECs - good data'!$C$1:$Z$574,16,FALSE)</f>
        <v>0</v>
      </c>
      <c r="BK430" s="19">
        <f>BJ430/AS430</f>
        <v>0</v>
      </c>
      <c r="BL430" s="19">
        <f>IF(BM430&gt;0,1,0)</f>
        <v>1</v>
      </c>
      <c r="BM430" s="19">
        <f>SUM(BR430,BU430,BX430,CA430,CD430,CG430,CJ430,CM430,CP430)</f>
        <v>2</v>
      </c>
      <c r="BN430" s="19">
        <f>SUM(BW430,BZ430,CC430,CF430,CI430,CL430,CO430,CR430,BT430)</f>
        <v>14.563106796116507</v>
      </c>
      <c r="BO430" s="16">
        <f>IF(BP430&gt;0,1,0)</f>
        <v>1</v>
      </c>
      <c r="BP430" s="16">
        <f>SUM(BU430,BX430,CA430,CD430,BR430)</f>
        <v>2</v>
      </c>
      <c r="BQ430" s="16">
        <f>SUM(BZ430,CC430,CF430,BT430,BW430)</f>
        <v>14.563106796116507</v>
      </c>
      <c r="BR430" s="19">
        <f>IF(BS430&gt;0,1,0)</f>
        <v>0</v>
      </c>
      <c r="BS430" s="19">
        <f>VLOOKUP($K430,'[5]FECs - good data'!$C$1:$Z$574,17,FALSE)</f>
        <v>0</v>
      </c>
      <c r="BT430" s="70">
        <f>BS430/AS430</f>
        <v>0</v>
      </c>
      <c r="BU430" s="19">
        <f>IF(BV430&gt;0,1,0)</f>
        <v>1</v>
      </c>
      <c r="BV430" s="19">
        <f>VLOOKUP($K430,'[5]FECs - good data'!$C$1:$Z$574,18,FALSE)</f>
        <v>5</v>
      </c>
      <c r="BW430" s="19">
        <f>BV430/AS430</f>
        <v>12.13592233009709</v>
      </c>
      <c r="BX430" s="19">
        <f>IF(BY430&gt;0,1,0)</f>
        <v>0</v>
      </c>
      <c r="BY430" s="19">
        <f>VLOOKUP($K430,'[5]FECs - good data'!$C$1:$Z$574,19,FALSE)</f>
        <v>0</v>
      </c>
      <c r="BZ430" s="19">
        <f>BY430/AS430</f>
        <v>0</v>
      </c>
      <c r="CA430" s="19">
        <f>IF(CB430&gt;0,1,0)</f>
        <v>1</v>
      </c>
      <c r="CB430" s="19">
        <f>VLOOKUP($K430,'[5]FECs - good data'!$C$1:$Z$574,20,FALSE)</f>
        <v>1</v>
      </c>
      <c r="CC430" s="19">
        <f>CB430/AS430</f>
        <v>2.4271844660194177</v>
      </c>
      <c r="CD430" s="70">
        <f>IF(CE430&gt;0,1,0)</f>
        <v>0</v>
      </c>
      <c r="CE430" s="19">
        <f>VLOOKUP($K430,'[5]FECs - good data'!$C$1:$Z$574,21,FALSE)</f>
        <v>0</v>
      </c>
      <c r="CF430" s="19">
        <f>CE430/AS430</f>
        <v>0</v>
      </c>
      <c r="CG430" s="19">
        <f>IF(CH430&gt;0,1,0)</f>
        <v>0</v>
      </c>
      <c r="CH430" s="19">
        <f>VLOOKUP($K430,'[5]FECs - good data'!$C$1:$Z$574,22,FALSE)</f>
        <v>0</v>
      </c>
      <c r="CI430" s="19">
        <f>CH430/AS430</f>
        <v>0</v>
      </c>
      <c r="CJ430" s="19">
        <f>IF(CK430&gt;0,1,0)</f>
        <v>0</v>
      </c>
      <c r="CK430" s="19">
        <f>VLOOKUP($K430,'[5]FECs - good data'!$C$1:$Z$674,24,FALSE)</f>
        <v>0</v>
      </c>
      <c r="CL430" s="19">
        <f>CK430/AS430</f>
        <v>0</v>
      </c>
      <c r="CM430" s="19"/>
      <c r="CN430" s="19"/>
      <c r="CO430" s="19"/>
      <c r="CP430" s="19"/>
      <c r="CQ430" s="19"/>
      <c r="CR430" s="19"/>
      <c r="CS430" s="19">
        <f>IF(CT430&gt;0,1,0)</f>
        <v>0</v>
      </c>
      <c r="CT430" s="19">
        <f>SUM(CW430+CZ430,DC430)</f>
        <v>0</v>
      </c>
      <c r="CU430" s="19"/>
      <c r="CV430" s="19">
        <f>SUM(CY430,DB430,DE430)</f>
        <v>0</v>
      </c>
      <c r="CW430" s="19">
        <f>IF(CX430&gt;0,1,0)</f>
        <v>0</v>
      </c>
      <c r="CX430" s="19">
        <f>VLOOKUP($K430,'[5]FECs - good data'!$C$1:$Z$574,22,FALSE)</f>
        <v>0</v>
      </c>
      <c r="CY430" s="19">
        <f>CX430/AS430</f>
        <v>0</v>
      </c>
      <c r="CZ430" s="19">
        <f>IF(DA430&gt;0,1,0)</f>
        <v>0</v>
      </c>
      <c r="DA430" s="19">
        <f>VLOOKUP($K430,'[5]FECs - good data'!$C$1:$Z$5982,23,FALSE)</f>
        <v>0</v>
      </c>
      <c r="DB430" s="19">
        <f>DA430/AS430</f>
        <v>0</v>
      </c>
      <c r="DC430" s="19">
        <f>IF(DD430&gt;0,1,0)</f>
        <v>0</v>
      </c>
      <c r="DD430" s="19">
        <f>VLOOKUP($K430,'[5]FECs - good data'!$C$1:$Z$574,23,FALSE)</f>
        <v>0</v>
      </c>
      <c r="DE430" s="19">
        <f>DD430/AS430</f>
        <v>0</v>
      </c>
      <c r="DF430" s="16" t="e">
        <f>VLOOKUP(K430,'[3]RNA Seq summary tables'!$V$3:$V$99,1,FALSE)</f>
        <v>#N/A</v>
      </c>
      <c r="DG430" s="16">
        <v>1</v>
      </c>
      <c r="DH430" s="16" t="str">
        <f>VLOOKUP(D430,'[6]workflow 3.2018'!$A$1:$S$237,2,FALSE)</f>
        <v>2017MLBS_108</v>
      </c>
      <c r="DI430" s="19"/>
      <c r="DJ430" s="19"/>
      <c r="DK430" s="19"/>
      <c r="DL430" s="19"/>
      <c r="DM430" s="19"/>
      <c r="DN430" s="19"/>
      <c r="DO430" s="19"/>
      <c r="DP430" s="19"/>
      <c r="DQ430" s="19"/>
      <c r="DR430" s="19"/>
      <c r="DS430" s="19"/>
      <c r="JO430" s="30"/>
      <c r="JP430" s="30"/>
      <c r="JQ430" s="30"/>
    </row>
    <row r="431" spans="1:288" s="18" customFormat="1" x14ac:dyDescent="0.2">
      <c r="B431" s="16">
        <v>2017</v>
      </c>
      <c r="C431" s="20">
        <v>42946</v>
      </c>
      <c r="D431" s="20" t="str">
        <f>CONCATENATE(J431,"-",C431)</f>
        <v>1287-42946</v>
      </c>
      <c r="E431" s="20" t="str">
        <f>CONCATENATE(T431,"-",U431,"-",C431)</f>
        <v>PO1-D8-42946</v>
      </c>
      <c r="F431" s="20" t="s">
        <v>106</v>
      </c>
      <c r="G431" s="20" t="s">
        <v>107</v>
      </c>
      <c r="H431" s="16"/>
      <c r="I431" s="16">
        <v>0</v>
      </c>
      <c r="J431" s="21">
        <v>1287</v>
      </c>
      <c r="K431" s="21">
        <v>2002</v>
      </c>
      <c r="L431" s="16">
        <v>1</v>
      </c>
      <c r="M431" s="21">
        <f>VLOOKUP($K431,'[4]blood tubes 2017'!$D$1:$L$647,8,FALSE)</f>
        <v>0</v>
      </c>
      <c r="N431" s="15">
        <v>0</v>
      </c>
      <c r="O431" s="15" t="s">
        <v>119</v>
      </c>
      <c r="P431" s="16" t="s">
        <v>119</v>
      </c>
      <c r="Q431" s="16">
        <v>0</v>
      </c>
      <c r="R431" s="16" t="s">
        <v>111</v>
      </c>
      <c r="S431" s="16"/>
      <c r="T431" s="16" t="s">
        <v>112</v>
      </c>
      <c r="U431" s="16" t="s">
        <v>178</v>
      </c>
      <c r="V431" s="16" t="s">
        <v>142</v>
      </c>
      <c r="W431" s="16">
        <f>AI431/AG431</f>
        <v>0.9285714285714286</v>
      </c>
      <c r="X431" s="16" t="s">
        <v>115</v>
      </c>
      <c r="Y431" s="16" t="s">
        <v>110</v>
      </c>
      <c r="Z431" s="16">
        <v>3</v>
      </c>
      <c r="AA431" s="16"/>
      <c r="AB431" s="16"/>
      <c r="AC431" s="16"/>
      <c r="AD431" s="16"/>
      <c r="AE431" s="16" t="s">
        <v>116</v>
      </c>
      <c r="AF431" s="16" t="s">
        <v>116</v>
      </c>
      <c r="AG431" s="16">
        <f>AH431-AI431</f>
        <v>84</v>
      </c>
      <c r="AH431" s="16">
        <v>162</v>
      </c>
      <c r="AI431" s="16">
        <v>78</v>
      </c>
      <c r="AJ431" s="16"/>
      <c r="AK431" s="16">
        <v>16</v>
      </c>
      <c r="AL431" s="16">
        <v>0</v>
      </c>
      <c r="AM431" s="16">
        <v>0</v>
      </c>
      <c r="AN431" s="16">
        <v>0</v>
      </c>
      <c r="AO431" s="16">
        <v>0</v>
      </c>
      <c r="AP431" s="16">
        <f>SUM(AL431:AN431)</f>
        <v>0</v>
      </c>
      <c r="AQ431" s="16">
        <v>2.105</v>
      </c>
      <c r="AR431" s="16">
        <f>AP431-1.472</f>
        <v>-1.472</v>
      </c>
      <c r="AS431" s="16">
        <f>AQ431-1.472</f>
        <v>0.63300000000000001</v>
      </c>
      <c r="AT431" s="16" t="str">
        <f>VLOOKUP(K431,'[5]FECs - good data'!$C$1:$P$575,13,FALSE)</f>
        <v>JY</v>
      </c>
      <c r="AU431" s="16"/>
      <c r="AV431" s="16"/>
      <c r="AW431" s="18">
        <f>IF(AX431&gt;0,1,0)</f>
        <v>1</v>
      </c>
      <c r="AX431" s="18">
        <f>SUM(BA431,BM431,CT431)</f>
        <v>3</v>
      </c>
      <c r="AY431" s="18">
        <f>SUM(BB431,BN431,CV431)</f>
        <v>540.28436018957348</v>
      </c>
      <c r="AZ431" s="18">
        <f>IF(BA431&gt;0,1,0)</f>
        <v>0</v>
      </c>
      <c r="BA431" s="18">
        <f>SUM(BC431,BF431,BI431)</f>
        <v>0</v>
      </c>
      <c r="BB431" s="18">
        <f>SUM(BE431,BH431,BK431)</f>
        <v>0</v>
      </c>
      <c r="BC431" s="18">
        <f>IF(BD431&gt;0,1,0)</f>
        <v>0</v>
      </c>
      <c r="BD431" s="18">
        <f>VLOOKUP($K431,'[5]FECs - good data'!$C$1:$Z$574,14,FALSE)</f>
        <v>0</v>
      </c>
      <c r="BE431" s="16">
        <f>BD431/AS431</f>
        <v>0</v>
      </c>
      <c r="BF431" s="16">
        <f>IF(BG431&gt;0,1,0)</f>
        <v>0</v>
      </c>
      <c r="BG431" s="23">
        <f>VLOOKUP($K431,'[5]FECs - good data'!$C$1:$Z$574,15,FALSE)</f>
        <v>0</v>
      </c>
      <c r="BH431" s="16">
        <f>BG431/AS431</f>
        <v>0</v>
      </c>
      <c r="BI431" s="16">
        <f>IF(BJ431&gt;0,1,0)</f>
        <v>0</v>
      </c>
      <c r="BJ431" s="16">
        <f>VLOOKUP($K431,'[5]FECs - good data'!$C$1:$Z$574,16,FALSE)</f>
        <v>0</v>
      </c>
      <c r="BK431" s="16">
        <f>BJ431/AS431</f>
        <v>0</v>
      </c>
      <c r="BL431" s="16">
        <f>IF(BM431&gt;0,1,0)</f>
        <v>1</v>
      </c>
      <c r="BM431" s="16">
        <f>SUM(BR431,BU431,BX431,CA431,CD431,CG431,CJ431,CM431,CP431)</f>
        <v>1</v>
      </c>
      <c r="BN431" s="16">
        <f>SUM(BW431,BZ431,CC431,CF431,CI431,CL431,CO431,CR431,BT431)</f>
        <v>175.35545023696682</v>
      </c>
      <c r="BO431" s="16">
        <f>IF(BP431&gt;0,1,0)</f>
        <v>0</v>
      </c>
      <c r="BP431" s="16">
        <f>SUM(BU431,BX431,CA431,CD431,BR431)</f>
        <v>0</v>
      </c>
      <c r="BQ431" s="16">
        <f>SUM(BZ431,CC431,CF431,BT431,BW431)</f>
        <v>0</v>
      </c>
      <c r="BR431" s="16">
        <f>IF(BS431&gt;0,1,0)</f>
        <v>0</v>
      </c>
      <c r="BS431" s="16">
        <f>VLOOKUP($K431,'[5]FECs - good data'!$C$1:$Z$574,17,FALSE)</f>
        <v>0</v>
      </c>
      <c r="BT431" s="23">
        <f>BS431/AS431</f>
        <v>0</v>
      </c>
      <c r="BU431" s="16">
        <f>IF(BV431&gt;0,1,0)</f>
        <v>0</v>
      </c>
      <c r="BV431" s="16">
        <f>VLOOKUP($K431,'[5]FECs - good data'!$C$1:$Z$574,18,FALSE)</f>
        <v>0</v>
      </c>
      <c r="BW431" s="16">
        <f>BV431/AS431</f>
        <v>0</v>
      </c>
      <c r="BX431" s="16">
        <f>IF(BY431&gt;0,1,0)</f>
        <v>0</v>
      </c>
      <c r="BY431" s="16">
        <f>VLOOKUP($K431,'[5]FECs - good data'!$C$1:$Z$574,19,FALSE)</f>
        <v>0</v>
      </c>
      <c r="BZ431" s="16">
        <f>BY431/AS431</f>
        <v>0</v>
      </c>
      <c r="CA431" s="16">
        <f>IF(CB431&gt;0,1,0)</f>
        <v>0</v>
      </c>
      <c r="CB431" s="16">
        <f>VLOOKUP($K431,'[5]FECs - good data'!$C$1:$Z$574,20,FALSE)</f>
        <v>0</v>
      </c>
      <c r="CC431" s="16">
        <f>CB431/AS431</f>
        <v>0</v>
      </c>
      <c r="CD431" s="23">
        <f>IF(CE431&gt;0,1,0)</f>
        <v>0</v>
      </c>
      <c r="CE431" s="16">
        <f>VLOOKUP($K431,'[5]FECs - good data'!$C$1:$Z$574,21,FALSE)</f>
        <v>0</v>
      </c>
      <c r="CF431" s="16">
        <f>CE431/AS431</f>
        <v>0</v>
      </c>
      <c r="CG431" s="16">
        <f>IF(CH431&gt;0,1,0)</f>
        <v>1</v>
      </c>
      <c r="CH431" s="16">
        <f>VLOOKUP($K431,'[5]FECs - good data'!$C$1:$Z$574,22,FALSE)</f>
        <v>111</v>
      </c>
      <c r="CI431" s="16">
        <f>CH431/AS431</f>
        <v>175.35545023696682</v>
      </c>
      <c r="CJ431" s="16">
        <f>IF(CK431&gt;0,1,0)</f>
        <v>0</v>
      </c>
      <c r="CK431" s="16">
        <f>VLOOKUP($K431,'[5]FECs - good data'!$C$1:$Z$674,24,FALSE)</f>
        <v>0</v>
      </c>
      <c r="CL431" s="16">
        <f>CK431/AS431</f>
        <v>0</v>
      </c>
      <c r="CM431" s="16"/>
      <c r="CN431" s="16"/>
      <c r="CO431" s="16"/>
      <c r="CP431" s="16"/>
      <c r="CQ431" s="16"/>
      <c r="CR431" s="16"/>
      <c r="CS431" s="16">
        <f>IF(CT431&gt;0,1,0)</f>
        <v>1</v>
      </c>
      <c r="CT431" s="16">
        <f>SUM(CW431+CZ431,DC431)</f>
        <v>2</v>
      </c>
      <c r="CU431" s="16"/>
      <c r="CV431" s="16">
        <f>SUM(CY431,DB431,DE431)</f>
        <v>364.92890995260666</v>
      </c>
      <c r="CW431" s="16">
        <f>IF(CX431&gt;0,1,0)</f>
        <v>1</v>
      </c>
      <c r="CX431" s="16">
        <f>VLOOKUP($K431,'[5]FECs - good data'!$C$1:$Z$574,22,FALSE)</f>
        <v>111</v>
      </c>
      <c r="CY431" s="16">
        <f>CX431/AS431</f>
        <v>175.35545023696682</v>
      </c>
      <c r="CZ431" s="16">
        <f>IF(DA431&gt;0,1,0)</f>
        <v>1</v>
      </c>
      <c r="DA431" s="16">
        <f>VLOOKUP($K431,'[5]FECs - good data'!$C$1:$Z$5982,23,FALSE)</f>
        <v>120</v>
      </c>
      <c r="DB431" s="16">
        <f>DA431/AS431</f>
        <v>189.57345971563981</v>
      </c>
      <c r="DC431" s="16"/>
      <c r="DD431" s="16"/>
      <c r="DE431" s="16"/>
      <c r="DF431" s="16">
        <f>VLOOKUP(K431,'[3]RNA Seq summary tables'!$V$3:$V$99,1,FALSE)</f>
        <v>2002</v>
      </c>
      <c r="DG431" s="16">
        <v>1</v>
      </c>
      <c r="DH431" s="16" t="str">
        <f>VLOOKUP(D431,'[6]workflow 3.2018'!$A$1:$S$237,2,FALSE)</f>
        <v>2017MLBS_116</v>
      </c>
      <c r="DI431" s="16"/>
      <c r="DJ431" s="16"/>
      <c r="DK431" s="16"/>
      <c r="DL431" s="16"/>
      <c r="DM431" s="16"/>
      <c r="DN431" s="16"/>
      <c r="DO431" s="16"/>
      <c r="DP431" s="16"/>
      <c r="DQ431" s="16"/>
      <c r="DR431" s="16"/>
      <c r="DS431" s="16"/>
      <c r="JO431" s="16"/>
      <c r="JP431" s="16"/>
      <c r="JQ431" s="16"/>
      <c r="JR431" s="16"/>
      <c r="JS431" s="16"/>
      <c r="JT431" s="16"/>
      <c r="JU431" s="16"/>
      <c r="JV431" s="16"/>
      <c r="JW431" s="16"/>
      <c r="JX431" s="16"/>
      <c r="JY431" s="16"/>
      <c r="JZ431" s="16"/>
      <c r="KA431" s="16"/>
      <c r="KB431" s="16"/>
    </row>
    <row r="432" spans="1:288" s="18" customFormat="1" x14ac:dyDescent="0.2">
      <c r="B432" s="16">
        <v>2017</v>
      </c>
      <c r="C432" s="20">
        <v>42946</v>
      </c>
      <c r="D432" s="20" t="str">
        <f>CONCATENATE(J432,"-",C432)</f>
        <v>1289-42946</v>
      </c>
      <c r="E432" s="20" t="str">
        <f>CONCATENATE(T432,"-",U432,"-",C432)</f>
        <v>PO1-H8-42946</v>
      </c>
      <c r="F432" s="20" t="s">
        <v>106</v>
      </c>
      <c r="G432" s="20" t="s">
        <v>107</v>
      </c>
      <c r="H432" s="16"/>
      <c r="I432" s="16">
        <v>0</v>
      </c>
      <c r="J432" s="21">
        <v>1289</v>
      </c>
      <c r="K432" s="21">
        <v>2006</v>
      </c>
      <c r="L432" s="18">
        <v>0</v>
      </c>
      <c r="M432" s="21">
        <f>VLOOKUP($K432,'[4]blood tubes 2017'!$D$1:$L$647,8,FALSE)</f>
        <v>0</v>
      </c>
      <c r="N432" s="15">
        <v>0</v>
      </c>
      <c r="O432" s="15" t="s">
        <v>119</v>
      </c>
      <c r="P432" s="16" t="s">
        <v>119</v>
      </c>
      <c r="Q432" s="16">
        <v>0</v>
      </c>
      <c r="R432" s="16" t="s">
        <v>111</v>
      </c>
      <c r="S432" s="16"/>
      <c r="T432" s="16" t="s">
        <v>112</v>
      </c>
      <c r="U432" s="16" t="s">
        <v>152</v>
      </c>
      <c r="V432" s="16" t="s">
        <v>114</v>
      </c>
      <c r="W432" s="16">
        <f>AI432/AG432</f>
        <v>0.79347826086956519</v>
      </c>
      <c r="X432" s="16" t="s">
        <v>115</v>
      </c>
      <c r="Y432" s="16" t="s">
        <v>110</v>
      </c>
      <c r="Z432" s="16">
        <v>3</v>
      </c>
      <c r="AA432" s="16"/>
      <c r="AB432" s="16"/>
      <c r="AC432" s="16"/>
      <c r="AD432" s="16"/>
      <c r="AE432" s="16" t="s">
        <v>116</v>
      </c>
      <c r="AF432" s="16" t="s">
        <v>116</v>
      </c>
      <c r="AG432" s="16">
        <f>AH432-AI432</f>
        <v>92</v>
      </c>
      <c r="AH432" s="16">
        <v>165</v>
      </c>
      <c r="AI432" s="16">
        <v>73</v>
      </c>
      <c r="AJ432" s="16"/>
      <c r="AK432" s="16">
        <v>24.5</v>
      </c>
      <c r="AL432" s="16">
        <v>0</v>
      </c>
      <c r="AM432" s="16">
        <v>0</v>
      </c>
      <c r="AN432" s="16">
        <v>0</v>
      </c>
      <c r="AO432" s="16">
        <v>0</v>
      </c>
      <c r="AP432" s="16">
        <f>SUM(AL432:AN432)</f>
        <v>0</v>
      </c>
      <c r="AQ432" s="16">
        <v>1.8919999999999999</v>
      </c>
      <c r="AR432" s="16">
        <f>AP432-1.472</f>
        <v>-1.472</v>
      </c>
      <c r="AS432" s="16">
        <f>AQ432-1.472</f>
        <v>0.41999999999999993</v>
      </c>
      <c r="AT432" s="16" t="str">
        <f>VLOOKUP(K432,'[5]FECs - good data'!$C$1:$P$575,13,FALSE)</f>
        <v>SB</v>
      </c>
      <c r="AU432" s="16"/>
      <c r="AV432" s="16"/>
      <c r="AW432" s="18">
        <f>IF(AX432&gt;0,1,0)</f>
        <v>1</v>
      </c>
      <c r="AX432" s="18">
        <f>SUM(BA432,BM432,CT432)</f>
        <v>5</v>
      </c>
      <c r="AY432" s="18">
        <f>SUM(BB432,BN432,CV432)</f>
        <v>9347.6190476190495</v>
      </c>
      <c r="AZ432" s="18">
        <f>IF(BA432&gt;0,1,0)</f>
        <v>1</v>
      </c>
      <c r="BA432" s="18">
        <f>SUM(BC432,BF432,BI432)</f>
        <v>3</v>
      </c>
      <c r="BB432" s="18">
        <f>SUM(BE432,BH432,BK432)</f>
        <v>9314.2857142857156</v>
      </c>
      <c r="BC432" s="18">
        <f>IF(BD432&gt;0,1,0)</f>
        <v>1</v>
      </c>
      <c r="BD432" s="18">
        <f>VLOOKUP($K432,'[5]FECs - good data'!$C$1:$Z$574,14,FALSE)</f>
        <v>140</v>
      </c>
      <c r="BE432" s="16">
        <f>BD432/AS432</f>
        <v>333.33333333333337</v>
      </c>
      <c r="BF432" s="16">
        <f>IF(BG432&gt;0,1,0)</f>
        <v>1</v>
      </c>
      <c r="BG432" s="23">
        <f>VLOOKUP($K432,'[5]FECs - good data'!$C$1:$Z$574,15,FALSE)</f>
        <v>3702</v>
      </c>
      <c r="BH432" s="16">
        <f>BG432/AS432</f>
        <v>8814.2857142857156</v>
      </c>
      <c r="BI432" s="16">
        <f>IF(BJ432&gt;0,1,0)</f>
        <v>1</v>
      </c>
      <c r="BJ432" s="16">
        <f>VLOOKUP($K432,'[5]FECs - good data'!$C$1:$Z$574,16,FALSE)</f>
        <v>70</v>
      </c>
      <c r="BK432" s="16">
        <f>BJ432/AS432</f>
        <v>166.66666666666669</v>
      </c>
      <c r="BL432" s="16">
        <f>IF(BM432&gt;0,1,0)</f>
        <v>1</v>
      </c>
      <c r="BM432" s="16">
        <f>SUM(BR432,BU432,BX432,CA432,CD432,CG432,CJ432,CM432,CP432)</f>
        <v>2</v>
      </c>
      <c r="BN432" s="16">
        <f>SUM(BW432,BZ432,CC432,CF432,CI432,CL432,CO432,CR432,BT432)</f>
        <v>33.333333333333336</v>
      </c>
      <c r="BO432" s="16">
        <f>IF(BP432&gt;0,1,0)</f>
        <v>1</v>
      </c>
      <c r="BP432" s="16">
        <f>SUM(BU432,BX432,CA432,CD432,BR432)</f>
        <v>1</v>
      </c>
      <c r="BQ432" s="16">
        <f>SUM(BZ432,CC432,CF432,BT432,BW432)</f>
        <v>16.666666666666668</v>
      </c>
      <c r="BR432" s="16">
        <f>IF(BS432&gt;0,1,0)</f>
        <v>0</v>
      </c>
      <c r="BS432" s="16">
        <f>VLOOKUP($K432,'[5]FECs - good data'!$C$1:$Z$574,17,FALSE)</f>
        <v>0</v>
      </c>
      <c r="BT432" s="23">
        <f>BS432/AS432</f>
        <v>0</v>
      </c>
      <c r="BU432" s="16">
        <f>IF(BV432&gt;0,1,0)</f>
        <v>0</v>
      </c>
      <c r="BV432" s="16">
        <f>VLOOKUP($K432,'[5]FECs - good data'!$C$1:$Z$574,18,FALSE)</f>
        <v>0</v>
      </c>
      <c r="BW432" s="16">
        <f>BV432/AS432</f>
        <v>0</v>
      </c>
      <c r="BX432" s="16">
        <f>IF(BY432&gt;0,1,0)</f>
        <v>1</v>
      </c>
      <c r="BY432" s="16">
        <f>VLOOKUP($K432,'[5]FECs - good data'!$C$1:$Z$574,19,FALSE)</f>
        <v>7</v>
      </c>
      <c r="BZ432" s="16">
        <f>BY432/AS432</f>
        <v>16.666666666666668</v>
      </c>
      <c r="CA432" s="16">
        <f>IF(CB432&gt;0,1,0)</f>
        <v>0</v>
      </c>
      <c r="CB432" s="16">
        <f>VLOOKUP($K432,'[5]FECs - good data'!$C$1:$Z$574,20,FALSE)</f>
        <v>0</v>
      </c>
      <c r="CC432" s="16">
        <f>CB432/AS432</f>
        <v>0</v>
      </c>
      <c r="CD432" s="23">
        <f>IF(CE432&gt;0,1,0)</f>
        <v>0</v>
      </c>
      <c r="CE432" s="16">
        <f>VLOOKUP($K432,'[5]FECs - good data'!$C$1:$Z$574,21,FALSE)</f>
        <v>0</v>
      </c>
      <c r="CF432" s="16">
        <f>CE432/AS432</f>
        <v>0</v>
      </c>
      <c r="CG432" s="16">
        <f>IF(CH432&gt;0,1,0)</f>
        <v>0</v>
      </c>
      <c r="CH432" s="16">
        <f>VLOOKUP($K432,'[5]FECs - good data'!$C$1:$Z$574,22,FALSE)</f>
        <v>0</v>
      </c>
      <c r="CI432" s="16">
        <f>CH432/AS432</f>
        <v>0</v>
      </c>
      <c r="CJ432" s="16">
        <f>IF(CK432&gt;0,1,0)</f>
        <v>1</v>
      </c>
      <c r="CK432" s="16">
        <f>VLOOKUP($K432,'[5]FECs - good data'!$C$1:$Z$674,24,FALSE)</f>
        <v>7</v>
      </c>
      <c r="CL432" s="16">
        <f>CK432/AS432</f>
        <v>16.666666666666668</v>
      </c>
      <c r="CM432" s="16"/>
      <c r="CN432" s="16"/>
      <c r="CO432" s="16"/>
      <c r="CP432" s="16"/>
      <c r="CQ432" s="16"/>
      <c r="CR432" s="16"/>
      <c r="CS432" s="16">
        <f>IF(CT432&gt;0,1,0)</f>
        <v>0</v>
      </c>
      <c r="CT432" s="16">
        <f>SUM(CW432+CZ432,DC432)</f>
        <v>0</v>
      </c>
      <c r="CU432" s="16"/>
      <c r="CV432" s="16">
        <f>SUM(CY432,DB432,DE432)</f>
        <v>0</v>
      </c>
      <c r="CW432" s="16">
        <f>IF(CX432&gt;0,1,0)</f>
        <v>0</v>
      </c>
      <c r="CX432" s="16">
        <f>VLOOKUP($K432,'[5]FECs - good data'!$C$1:$Z$574,22,FALSE)</f>
        <v>0</v>
      </c>
      <c r="CY432" s="16">
        <f>CX432/AS432</f>
        <v>0</v>
      </c>
      <c r="CZ432" s="16">
        <f>IF(DA432&gt;0,1,0)</f>
        <v>0</v>
      </c>
      <c r="DA432" s="16">
        <f>VLOOKUP($K432,'[5]FECs - good data'!$C$1:$Z$5982,23,FALSE)</f>
        <v>0</v>
      </c>
      <c r="DB432" s="16">
        <f>DA432/AS432</f>
        <v>0</v>
      </c>
      <c r="DC432" s="16">
        <f>IF(DD432&gt;0,1,0)</f>
        <v>0</v>
      </c>
      <c r="DD432" s="16">
        <f>VLOOKUP($K432,'[5]FECs - good data'!$C$1:$Z$574,23,FALSE)</f>
        <v>0</v>
      </c>
      <c r="DE432" s="16">
        <f>DD432/AS432</f>
        <v>0</v>
      </c>
      <c r="DF432" s="16" t="e">
        <f>VLOOKUP(K432,'[3]RNA Seq summary tables'!$V$3:$V$99,1,FALSE)</f>
        <v>#N/A</v>
      </c>
      <c r="DG432" s="16">
        <v>1</v>
      </c>
      <c r="DH432" s="16" t="str">
        <f>VLOOKUP(D432,'[6]workflow 3.2018'!$A$1:$S$237,2,FALSE)</f>
        <v>2017MLBS_112</v>
      </c>
      <c r="DI432" s="16"/>
      <c r="DJ432" s="16"/>
      <c r="DK432" s="16"/>
      <c r="DL432" s="16"/>
      <c r="DM432" s="16"/>
      <c r="DN432" s="16"/>
      <c r="DO432" s="16"/>
      <c r="DP432" s="16"/>
      <c r="DQ432" s="16"/>
      <c r="DR432" s="16"/>
      <c r="DS432" s="16"/>
      <c r="JO432" s="16"/>
      <c r="JP432" s="16"/>
      <c r="JQ432" s="16"/>
      <c r="JR432" s="16"/>
      <c r="JS432" s="16"/>
      <c r="JT432" s="16"/>
      <c r="JU432" s="16"/>
      <c r="JV432" s="16"/>
      <c r="JW432" s="16"/>
      <c r="JX432" s="16"/>
      <c r="JY432" s="16"/>
      <c r="JZ432" s="16"/>
      <c r="KA432" s="16"/>
      <c r="KB432" s="16"/>
    </row>
    <row r="433" spans="1:288" ht="16" x14ac:dyDescent="0.2">
      <c r="B433" s="16">
        <v>2017</v>
      </c>
      <c r="C433" s="20">
        <v>42947</v>
      </c>
      <c r="D433" s="20" t="str">
        <f>CONCATENATE(J433,"-",C433)</f>
        <v>1291-42947</v>
      </c>
      <c r="E433" s="37" t="str">
        <f>CONCATENATE(T433,"-",U433,"-",C433)</f>
        <v>PO1-C6-42947</v>
      </c>
      <c r="F433" s="20" t="s">
        <v>106</v>
      </c>
      <c r="G433" s="20" t="s">
        <v>107</v>
      </c>
      <c r="I433" s="16">
        <v>0</v>
      </c>
      <c r="J433" s="21">
        <v>1291</v>
      </c>
      <c r="K433" s="21">
        <v>2010</v>
      </c>
      <c r="L433" s="18">
        <v>0</v>
      </c>
      <c r="M433" s="21">
        <f>VLOOKUP($K433,'[4]blood tubes 2017'!$D$1:$L$647,8,FALSE)</f>
        <v>0</v>
      </c>
      <c r="N433" s="15">
        <v>0</v>
      </c>
      <c r="O433" s="15" t="s">
        <v>119</v>
      </c>
      <c r="P433" s="16" t="s">
        <v>119</v>
      </c>
      <c r="Q433" s="16">
        <v>0</v>
      </c>
      <c r="R433" s="16" t="s">
        <v>111</v>
      </c>
      <c r="T433" s="16" t="s">
        <v>112</v>
      </c>
      <c r="U433" s="16" t="s">
        <v>213</v>
      </c>
      <c r="V433" s="16" t="s">
        <v>114</v>
      </c>
      <c r="W433" s="16">
        <f>AI433/AG433</f>
        <v>0.78409090909090906</v>
      </c>
      <c r="X433" s="16" t="s">
        <v>121</v>
      </c>
      <c r="Y433" s="16" t="s">
        <v>110</v>
      </c>
      <c r="Z433" s="16">
        <v>3</v>
      </c>
      <c r="AA433" s="16" t="s">
        <v>119</v>
      </c>
      <c r="AB433" s="16" t="s">
        <v>123</v>
      </c>
      <c r="AC433" s="16" t="s">
        <v>123</v>
      </c>
      <c r="AD433" s="16" t="s">
        <v>123</v>
      </c>
      <c r="AG433" s="16">
        <f>AH433-AI433</f>
        <v>88</v>
      </c>
      <c r="AH433" s="16">
        <v>157</v>
      </c>
      <c r="AI433" s="16">
        <v>69</v>
      </c>
      <c r="AK433" s="16">
        <v>16.5</v>
      </c>
      <c r="AL433" s="16">
        <v>0</v>
      </c>
      <c r="AM433" s="16">
        <v>0</v>
      </c>
      <c r="AN433" s="16">
        <v>0</v>
      </c>
      <c r="AO433" s="16">
        <v>0</v>
      </c>
      <c r="AP433" s="16">
        <f>SUM(AL433:AN433)</f>
        <v>0</v>
      </c>
      <c r="AQ433" s="16">
        <v>1.8029999999999999</v>
      </c>
      <c r="AR433" s="16">
        <f>AP433-1.472</f>
        <v>-1.472</v>
      </c>
      <c r="AS433" s="16">
        <f>AQ433-1.472</f>
        <v>0.33099999999999996</v>
      </c>
      <c r="AT433" s="16" t="str">
        <f>VLOOKUP(E433,[2]Current!$A$1:$W$435,7,FALSE)</f>
        <v>LV</v>
      </c>
      <c r="AU433" s="16" t="s">
        <v>1288</v>
      </c>
      <c r="AW433" s="128">
        <f>IF(AX433&gt;0,1,0)</f>
        <v>1</v>
      </c>
      <c r="AX433" s="128">
        <f>SUM(BA433,BM433,CU433)</f>
        <v>4</v>
      </c>
      <c r="AY433" s="128">
        <f>SUM(BB433,BN433,CV433)</f>
        <v>528.70090634441101</v>
      </c>
      <c r="AZ433" s="128">
        <f>IF(BA433&gt;0,1,0)</f>
        <v>1</v>
      </c>
      <c r="BA433" s="128">
        <f>SUM(BC433+BF433+BI433)</f>
        <v>3</v>
      </c>
      <c r="BB433" s="128">
        <f>SUM(BE433,BH433,BK433)</f>
        <v>404.83383685800612</v>
      </c>
      <c r="BC433" s="130">
        <f>IF(BD433&gt;0,1,0)</f>
        <v>1</v>
      </c>
      <c r="BD433" s="128">
        <f>VLOOKUP($E433,[2]Current!$A:$AC,26,FALSE)</f>
        <v>68</v>
      </c>
      <c r="BE433" s="128">
        <f>BD433/$AS433</f>
        <v>205.43806646525681</v>
      </c>
      <c r="BF433" s="130">
        <f>IF(BG433&gt;0,1,0)</f>
        <v>1</v>
      </c>
      <c r="BG433" s="175">
        <f>VLOOKUP($E433,[2]Current!$A:$AC,27,FALSE)</f>
        <v>24</v>
      </c>
      <c r="BH433" s="128">
        <f>BG433/$AS433</f>
        <v>72.507552870090649</v>
      </c>
      <c r="BI433" s="130">
        <f>IF(BJ433&gt;0,1,0)</f>
        <v>1</v>
      </c>
      <c r="BJ433" s="128">
        <f>VLOOKUP($E433,[2]Current!$A:$AC,28,FALSE)</f>
        <v>42</v>
      </c>
      <c r="BK433" s="128">
        <f>BJ433/$AS433</f>
        <v>126.88821752265862</v>
      </c>
      <c r="BL433" s="128">
        <f>IF(BM433&gt;0,1,0)</f>
        <v>1</v>
      </c>
      <c r="BM433" s="128">
        <f>SUM(BR433,BU433,BX433,CA433,CD433)</f>
        <v>1</v>
      </c>
      <c r="BN433" s="131">
        <f>SUM(BT433,BW433,BZ433,CC433,CF433)</f>
        <v>123.86706948640484</v>
      </c>
      <c r="BO433" s="128">
        <f>IF(BP433&gt;0,1,0)</f>
        <v>1</v>
      </c>
      <c r="BP433" s="128">
        <f>BM433+CJ433</f>
        <v>1</v>
      </c>
      <c r="BQ433" s="128">
        <f>BN433+CL433</f>
        <v>123.86706948640484</v>
      </c>
      <c r="BR433" s="130">
        <f>IF(BS433&gt;0,1,0)</f>
        <v>1</v>
      </c>
      <c r="BS433" s="128">
        <f>VLOOKUP($E433,[2]Current!$A:$AC,12,FALSE)</f>
        <v>41</v>
      </c>
      <c r="BT433" s="175">
        <f>BS433/$AS433</f>
        <v>123.86706948640484</v>
      </c>
      <c r="BU433" s="130">
        <f>IF(BV433&gt;0,1,0)</f>
        <v>0</v>
      </c>
      <c r="BV433" s="128">
        <f>VLOOKUP($E433,[2]Current!$A:$AC,13,FALSE)</f>
        <v>0</v>
      </c>
      <c r="BW433" s="128">
        <f>BV433/$AS433</f>
        <v>0</v>
      </c>
      <c r="BX433" s="130">
        <f>IF(BY433&gt;0,1,0)</f>
        <v>0</v>
      </c>
      <c r="BY433" s="128">
        <f>VLOOKUP($E433,[2]Current!$A:$AC,14,FALSE)</f>
        <v>0</v>
      </c>
      <c r="BZ433" s="128">
        <f>BY433/$AS433</f>
        <v>0</v>
      </c>
      <c r="CA433" s="130">
        <f>IF(CB433&gt;0,1,0)</f>
        <v>0</v>
      </c>
      <c r="CB433" s="128">
        <f>VLOOKUP($E433,[2]Current!$A:$AC,15,FALSE)</f>
        <v>0</v>
      </c>
      <c r="CC433" s="128">
        <f>CB433/$AS433</f>
        <v>0</v>
      </c>
      <c r="CD433" s="176">
        <f>IF(CE433&gt;0,1,0)</f>
        <v>0</v>
      </c>
      <c r="CE433" s="128">
        <f>VLOOKUP($E433,[2]Current!$A:$AC,16,FALSE)</f>
        <v>0</v>
      </c>
      <c r="CF433" s="128">
        <f>CE433/$AS433</f>
        <v>0</v>
      </c>
      <c r="CG433" s="18"/>
      <c r="CH433" s="18"/>
      <c r="CI433" s="18"/>
      <c r="CJ433" s="130">
        <f>IF(CK433&gt;0,1,0)</f>
        <v>0</v>
      </c>
      <c r="CK433" s="128">
        <f>VLOOKUP($E433,[2]Current!$A:$AC,18,FALSE)</f>
        <v>0</v>
      </c>
      <c r="CL433" s="128">
        <f>CK433/$AS433</f>
        <v>0</v>
      </c>
      <c r="CS433" s="130">
        <f>IF(CU433&gt;0,1,0)</f>
        <v>0</v>
      </c>
      <c r="CU433" s="128">
        <f>VLOOKUP($E433,[2]Current!$A:$AC,17,FALSE)</f>
        <v>0</v>
      </c>
      <c r="CV433" s="128">
        <f>CU433/$AS433</f>
        <v>0</v>
      </c>
      <c r="CW433" s="18"/>
      <c r="CX433" s="18"/>
      <c r="CY433" s="18"/>
      <c r="DF433" s="16" t="e">
        <f>VLOOKUP(K433,'[3]RNA Seq summary tables'!$V$3:$V$99,1,FALSE)</f>
        <v>#N/A</v>
      </c>
      <c r="DG433" s="16">
        <v>1</v>
      </c>
      <c r="DH433" s="16" t="str">
        <f>VLOOKUP(D433,'[6]workflow 3.2018'!$A$1:$S$237,2,FALSE)</f>
        <v>2017MLBS_90</v>
      </c>
      <c r="JR433" s="39"/>
      <c r="JS433" s="39"/>
      <c r="JT433" s="39"/>
      <c r="JU433" s="39"/>
      <c r="JV433" s="39"/>
      <c r="JW433" s="39"/>
      <c r="JX433" s="39"/>
      <c r="JY433" s="39"/>
      <c r="JZ433" s="39"/>
      <c r="KA433" s="39"/>
      <c r="KB433" s="39"/>
    </row>
    <row r="434" spans="1:288" s="18" customFormat="1" x14ac:dyDescent="0.2">
      <c r="A434" s="19"/>
      <c r="B434" s="19">
        <v>2017</v>
      </c>
      <c r="C434" s="68">
        <v>42947</v>
      </c>
      <c r="D434" s="68" t="str">
        <f>CONCATENATE(J434,"-",C434)</f>
        <v>1293-42947</v>
      </c>
      <c r="E434" s="142" t="str">
        <f>CONCATENATE(T434,"-",U434,"-",C434)</f>
        <v>PO1-D2-42947</v>
      </c>
      <c r="F434" s="20" t="s">
        <v>106</v>
      </c>
      <c r="G434" s="68" t="s">
        <v>107</v>
      </c>
      <c r="H434" s="19"/>
      <c r="I434" s="16"/>
      <c r="J434" s="69">
        <v>1293</v>
      </c>
      <c r="K434" s="69">
        <v>2012</v>
      </c>
      <c r="L434" s="18">
        <v>0</v>
      </c>
      <c r="M434" s="69">
        <f>VLOOKUP($K434,'[4]blood tubes 2017'!$D$1:$L$647,8,FALSE)</f>
        <v>1</v>
      </c>
      <c r="N434" s="69">
        <f>VLOOKUP($K434,'[4]blood tubes 2017'!$D$1:$L$647,9,FALSE)</f>
        <v>13</v>
      </c>
      <c r="O434" s="15" t="s">
        <v>119</v>
      </c>
      <c r="P434" s="19" t="s">
        <v>119</v>
      </c>
      <c r="Q434" s="19">
        <v>0</v>
      </c>
      <c r="R434" s="19" t="s">
        <v>111</v>
      </c>
      <c r="S434" s="19"/>
      <c r="T434" s="19" t="s">
        <v>112</v>
      </c>
      <c r="U434" s="19" t="s">
        <v>198</v>
      </c>
      <c r="V434" s="19" t="s">
        <v>142</v>
      </c>
      <c r="W434" s="16">
        <f>AI434/AG434</f>
        <v>1</v>
      </c>
      <c r="X434" s="19" t="s">
        <v>115</v>
      </c>
      <c r="Y434" s="19" t="s">
        <v>122</v>
      </c>
      <c r="Z434" s="19">
        <v>2.6</v>
      </c>
      <c r="AA434" s="19"/>
      <c r="AB434" s="19"/>
      <c r="AC434" s="19"/>
      <c r="AD434" s="19"/>
      <c r="AE434" s="19" t="s">
        <v>116</v>
      </c>
      <c r="AF434" s="19" t="s">
        <v>116</v>
      </c>
      <c r="AG434" s="19">
        <f>AH434-AI434</f>
        <v>82</v>
      </c>
      <c r="AH434" s="19">
        <v>164</v>
      </c>
      <c r="AI434" s="19">
        <v>82</v>
      </c>
      <c r="AJ434" s="19"/>
      <c r="AK434" s="19">
        <v>15</v>
      </c>
      <c r="AL434" s="19">
        <v>0</v>
      </c>
      <c r="AM434" s="19">
        <v>0</v>
      </c>
      <c r="AN434" s="19">
        <v>0</v>
      </c>
      <c r="AO434" s="19">
        <v>0</v>
      </c>
      <c r="AP434" s="19">
        <f>SUM(AL434:AN434)</f>
        <v>0</v>
      </c>
      <c r="AQ434" s="19">
        <v>1.619</v>
      </c>
      <c r="AR434" s="19">
        <f>AP434-1.472</f>
        <v>-1.472</v>
      </c>
      <c r="AS434" s="19">
        <f>AQ434-1.472</f>
        <v>0.14700000000000002</v>
      </c>
      <c r="AT434" s="16" t="e">
        <f>VLOOKUP(E434,[2]Current!$A$1:$W$435,7,FALSE)</f>
        <v>#N/A</v>
      </c>
      <c r="AU434" s="16">
        <v>0</v>
      </c>
      <c r="AV434" s="19"/>
      <c r="AW434" s="19"/>
      <c r="AX434" s="19"/>
      <c r="AY434" s="19"/>
      <c r="AZ434" s="19"/>
      <c r="BA434" s="19"/>
      <c r="BB434" s="19"/>
      <c r="BC434" s="19"/>
      <c r="BD434" s="19"/>
      <c r="BE434" s="19"/>
      <c r="BF434" s="19"/>
      <c r="BG434" s="70"/>
      <c r="BH434" s="19"/>
      <c r="BI434" s="19"/>
      <c r="BJ434" s="19"/>
      <c r="BK434" s="19"/>
      <c r="BL434" s="19"/>
      <c r="BM434" s="19"/>
      <c r="BN434" s="19"/>
      <c r="BO434" s="19"/>
      <c r="BP434" s="19"/>
      <c r="BQ434" s="19"/>
      <c r="BR434" s="19"/>
      <c r="BS434" s="19"/>
      <c r="BT434" s="70"/>
      <c r="BU434" s="19"/>
      <c r="BV434" s="19"/>
      <c r="BW434" s="19"/>
      <c r="BX434" s="19"/>
      <c r="BY434" s="19"/>
      <c r="BZ434" s="19"/>
      <c r="CA434" s="19"/>
      <c r="CB434" s="19"/>
      <c r="CC434" s="19"/>
      <c r="CD434" s="70"/>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6" t="e">
        <f>VLOOKUP(K434,'[3]RNA Seq summary tables'!$V$3:$V$99,1,FALSE)</f>
        <v>#N/A</v>
      </c>
      <c r="DG434" s="16"/>
      <c r="DH434" s="16"/>
      <c r="DI434" s="19"/>
      <c r="DJ434" s="19"/>
      <c r="DK434" s="19"/>
      <c r="DL434" s="19"/>
      <c r="DM434" s="19"/>
      <c r="DN434" s="19"/>
      <c r="DO434" s="19"/>
      <c r="DP434" s="19"/>
      <c r="DQ434" s="19"/>
      <c r="DR434" s="19"/>
      <c r="DS434" s="19"/>
      <c r="JO434" s="16"/>
      <c r="JP434" s="16"/>
      <c r="JQ434" s="16"/>
    </row>
    <row r="435" spans="1:288" ht="16" x14ac:dyDescent="0.2">
      <c r="B435" s="16">
        <v>2017</v>
      </c>
      <c r="C435" s="20">
        <v>42947</v>
      </c>
      <c r="D435" s="20" t="str">
        <f>CONCATENATE(J435,"-",C435)</f>
        <v>1295-42947</v>
      </c>
      <c r="E435" s="37" t="str">
        <f>CONCATENATE(T435,"-",U435,"-",C435)</f>
        <v>PO1-F1-42947</v>
      </c>
      <c r="F435" s="20" t="s">
        <v>106</v>
      </c>
      <c r="G435" s="20" t="s">
        <v>107</v>
      </c>
      <c r="J435" s="21">
        <v>1295</v>
      </c>
      <c r="K435" s="21">
        <v>2015</v>
      </c>
      <c r="L435" s="18">
        <v>0</v>
      </c>
      <c r="M435" s="21">
        <f>VLOOKUP($K435,'[4]blood tubes 2017'!$D$1:$L$647,8,FALSE)</f>
        <v>0</v>
      </c>
      <c r="N435" s="15">
        <v>0</v>
      </c>
      <c r="O435" s="15" t="s">
        <v>119</v>
      </c>
      <c r="P435" s="16" t="s">
        <v>119</v>
      </c>
      <c r="Q435" s="16">
        <v>0</v>
      </c>
      <c r="R435" s="16" t="s">
        <v>111</v>
      </c>
      <c r="T435" s="16" t="s">
        <v>112</v>
      </c>
      <c r="U435" s="16" t="s">
        <v>217</v>
      </c>
      <c r="V435" s="16" t="s">
        <v>114</v>
      </c>
      <c r="W435" s="16">
        <f>AI435/AG435</f>
        <v>0.80487804878048785</v>
      </c>
      <c r="X435" s="16" t="s">
        <v>121</v>
      </c>
      <c r="Y435" s="16" t="s">
        <v>122</v>
      </c>
      <c r="Z435" s="16">
        <v>2.2999999999999998</v>
      </c>
      <c r="AA435" s="16" t="s">
        <v>119</v>
      </c>
      <c r="AB435" s="16" t="s">
        <v>123</v>
      </c>
      <c r="AC435" s="16" t="s">
        <v>123</v>
      </c>
      <c r="AD435" s="16" t="s">
        <v>123</v>
      </c>
      <c r="AG435" s="16">
        <f>AH435-AI435</f>
        <v>82</v>
      </c>
      <c r="AH435" s="16">
        <v>148</v>
      </c>
      <c r="AI435" s="16">
        <v>66</v>
      </c>
      <c r="AK435" s="16">
        <v>13.5</v>
      </c>
      <c r="AL435" s="16">
        <v>0</v>
      </c>
      <c r="AM435" s="16">
        <v>0</v>
      </c>
      <c r="AN435" s="16">
        <v>0</v>
      </c>
      <c r="AO435" s="16">
        <v>0</v>
      </c>
      <c r="AP435" s="16">
        <f>SUM(AL435:AN435)</f>
        <v>0</v>
      </c>
      <c r="AQ435" s="16">
        <v>1.675</v>
      </c>
      <c r="AR435" s="16">
        <f>AP435-1.472</f>
        <v>-1.472</v>
      </c>
      <c r="AS435" s="16">
        <f>AQ435-1.472</f>
        <v>0.20300000000000007</v>
      </c>
      <c r="AT435" s="16" t="str">
        <f>VLOOKUP(E435,[2]Current!$A$1:$W$435,7,FALSE)</f>
        <v>JY</v>
      </c>
      <c r="AU435" s="16" t="s">
        <v>1288</v>
      </c>
      <c r="AV435" s="23"/>
      <c r="AW435" s="128">
        <f>IF(AX435&gt;0,1,0)</f>
        <v>1</v>
      </c>
      <c r="AX435" s="128">
        <f>SUM(BA435,BM435,CU435)</f>
        <v>3</v>
      </c>
      <c r="AY435" s="128">
        <f>SUM(BB435,BN435,CV435)</f>
        <v>266.00985221674864</v>
      </c>
      <c r="AZ435" s="128">
        <f>IF(BA435&gt;0,1,0)</f>
        <v>1</v>
      </c>
      <c r="BA435" s="128">
        <f>SUM(BC435+BF435+BI435)</f>
        <v>2</v>
      </c>
      <c r="BB435" s="128">
        <f>SUM(BE435,BH435,BK435)</f>
        <v>256.15763546798019</v>
      </c>
      <c r="BC435" s="130">
        <f>IF(BD435&gt;0,1,0)</f>
        <v>1</v>
      </c>
      <c r="BD435" s="128">
        <f>VLOOKUP($E435,[2]Current!$A:$AC,26,FALSE)</f>
        <v>8</v>
      </c>
      <c r="BE435" s="128">
        <f>BD435/$AS435</f>
        <v>39.408866995073879</v>
      </c>
      <c r="BF435" s="130">
        <f>IF(BG435&gt;0,1,0)</f>
        <v>1</v>
      </c>
      <c r="BG435" s="175">
        <f>VLOOKUP($E435,[2]Current!$A:$AC,27,FALSE)</f>
        <v>44</v>
      </c>
      <c r="BH435" s="128">
        <f>BG435/$AS435</f>
        <v>216.74876847290633</v>
      </c>
      <c r="BI435" s="130">
        <f>IF(BJ435&gt;0,1,0)</f>
        <v>0</v>
      </c>
      <c r="BJ435" s="128">
        <f>VLOOKUP($E435,[2]Current!$A:$AC,28,FALSE)</f>
        <v>0</v>
      </c>
      <c r="BK435" s="128">
        <f>BJ435/$AS435</f>
        <v>0</v>
      </c>
      <c r="BL435" s="128">
        <f>IF(BM435&gt;0,1,0)</f>
        <v>1</v>
      </c>
      <c r="BM435" s="128">
        <f>SUM(BR435,BU435,BX435,CA435,CD435)</f>
        <v>1</v>
      </c>
      <c r="BN435" s="131">
        <f>SUM(BT435,BW435,BZ435,CC435,CF435)</f>
        <v>9.8522167487684698</v>
      </c>
      <c r="BO435" s="128">
        <f>IF(BP435&gt;0,1,0)</f>
        <v>1</v>
      </c>
      <c r="BP435" s="128">
        <f>BM435+CJ435</f>
        <v>1</v>
      </c>
      <c r="BQ435" s="128">
        <f>BN435+CL435</f>
        <v>9.8522167487684698</v>
      </c>
      <c r="BR435" s="130">
        <f>IF(BS435&gt;0,1,0)</f>
        <v>1</v>
      </c>
      <c r="BS435" s="128">
        <f>VLOOKUP($E435,[2]Current!$A:$AC,12,FALSE)</f>
        <v>2</v>
      </c>
      <c r="BT435" s="175">
        <f>BS435/$AS435</f>
        <v>9.8522167487684698</v>
      </c>
      <c r="BU435" s="130">
        <f>IF(BV435&gt;0,1,0)</f>
        <v>0</v>
      </c>
      <c r="BV435" s="128">
        <f>VLOOKUP($E435,[2]Current!$A:$AC,13,FALSE)</f>
        <v>0</v>
      </c>
      <c r="BW435" s="128">
        <f>BV435/$AS435</f>
        <v>0</v>
      </c>
      <c r="BX435" s="130">
        <f>IF(BY435&gt;0,1,0)</f>
        <v>0</v>
      </c>
      <c r="BY435" s="128">
        <f>VLOOKUP($E435,[2]Current!$A:$AC,14,FALSE)</f>
        <v>0</v>
      </c>
      <c r="BZ435" s="128">
        <f>BY435/$AS435</f>
        <v>0</v>
      </c>
      <c r="CA435" s="130">
        <f>IF(CB435&gt;0,1,0)</f>
        <v>0</v>
      </c>
      <c r="CB435" s="128">
        <f>VLOOKUP($E435,[2]Current!$A:$AC,15,FALSE)</f>
        <v>0</v>
      </c>
      <c r="CC435" s="128">
        <f>CB435/$AS435</f>
        <v>0</v>
      </c>
      <c r="CD435" s="176">
        <f>IF(CE435&gt;0,1,0)</f>
        <v>0</v>
      </c>
      <c r="CE435" s="128">
        <f>VLOOKUP($E435,[2]Current!$A:$AC,16,FALSE)</f>
        <v>0</v>
      </c>
      <c r="CF435" s="128">
        <f>CE435/$AS435</f>
        <v>0</v>
      </c>
      <c r="CG435" s="18"/>
      <c r="CH435" s="18"/>
      <c r="CI435" s="18"/>
      <c r="CJ435" s="130">
        <f>IF(CK435&gt;0,1,0)</f>
        <v>0</v>
      </c>
      <c r="CK435" s="128">
        <f>VLOOKUP($E435,[2]Current!$A:$AC,18,FALSE)</f>
        <v>0</v>
      </c>
      <c r="CL435" s="128">
        <f>CK435/$AS435</f>
        <v>0</v>
      </c>
      <c r="CS435" s="130">
        <f>IF(CU435&gt;0,1,0)</f>
        <v>0</v>
      </c>
      <c r="CU435" s="128">
        <f>VLOOKUP($E435,[2]Current!$A:$AC,17,FALSE)</f>
        <v>0</v>
      </c>
      <c r="CV435" s="128">
        <f>CU435/$AS435</f>
        <v>0</v>
      </c>
      <c r="CW435" s="18"/>
      <c r="CX435" s="18"/>
      <c r="CY435" s="18"/>
      <c r="DF435" s="16" t="e">
        <f>VLOOKUP(K435,'[3]RNA Seq summary tables'!$V$3:$V$99,1,FALSE)</f>
        <v>#N/A</v>
      </c>
    </row>
    <row r="436" spans="1:288" x14ac:dyDescent="0.2">
      <c r="B436" s="16">
        <v>2017</v>
      </c>
      <c r="C436" s="20">
        <v>42948</v>
      </c>
      <c r="D436" s="20" t="str">
        <f>CONCATENATE(J436,"-",C436)</f>
        <v>1297-42948</v>
      </c>
      <c r="E436" s="142" t="str">
        <f>CONCATENATE(T436,"-",U436,"-",C436)</f>
        <v>HW2-A6-42948</v>
      </c>
      <c r="F436" s="20" t="s">
        <v>106</v>
      </c>
      <c r="G436" s="20" t="s">
        <v>107</v>
      </c>
      <c r="J436" s="21">
        <v>1297</v>
      </c>
      <c r="K436" s="21">
        <v>2029</v>
      </c>
      <c r="L436" s="18">
        <v>0</v>
      </c>
      <c r="M436" s="21">
        <f>VLOOKUP($K436,'[4]blood tubes 2017'!$D$1:$L$647,8,FALSE)</f>
        <v>0</v>
      </c>
      <c r="N436" s="15">
        <v>0</v>
      </c>
      <c r="O436" s="15" t="s">
        <v>119</v>
      </c>
      <c r="P436" s="16" t="s">
        <v>119</v>
      </c>
      <c r="Q436" s="16">
        <v>0</v>
      </c>
      <c r="R436" s="16" t="s">
        <v>111</v>
      </c>
      <c r="T436" s="16" t="s">
        <v>129</v>
      </c>
      <c r="U436" s="16" t="s">
        <v>147</v>
      </c>
      <c r="V436" s="16" t="s">
        <v>114</v>
      </c>
      <c r="W436" s="16">
        <f>AI436/AG436</f>
        <v>0.85882352941176465</v>
      </c>
      <c r="X436" s="16" t="s">
        <v>115</v>
      </c>
      <c r="Y436" s="16" t="s">
        <v>110</v>
      </c>
      <c r="Z436" s="16">
        <v>3</v>
      </c>
      <c r="AE436" s="16" t="s">
        <v>123</v>
      </c>
      <c r="AF436" s="16" t="s">
        <v>123</v>
      </c>
      <c r="AG436" s="16">
        <f>AH436-AI436</f>
        <v>85</v>
      </c>
      <c r="AH436" s="16">
        <v>158</v>
      </c>
      <c r="AI436" s="16">
        <v>73</v>
      </c>
      <c r="AK436" s="16">
        <v>16.5</v>
      </c>
      <c r="AL436" s="16">
        <v>0</v>
      </c>
      <c r="AM436" s="16">
        <v>0</v>
      </c>
      <c r="AN436" s="16">
        <v>0</v>
      </c>
      <c r="AO436" s="16">
        <v>0</v>
      </c>
      <c r="AP436" s="16">
        <f>SUM(AL436:AN436)</f>
        <v>0</v>
      </c>
      <c r="AQ436" s="16">
        <v>1.9119999999999999</v>
      </c>
      <c r="AR436" s="16">
        <f>AP436-1.472</f>
        <v>-1.472</v>
      </c>
      <c r="AS436" s="16">
        <f>AQ436-1.472</f>
        <v>0.43999999999999995</v>
      </c>
      <c r="AT436" s="16" t="e">
        <f>VLOOKUP(E436,[2]Current!$A$1:$W$435,7,FALSE)</f>
        <v>#N/A</v>
      </c>
      <c r="AU436" s="16">
        <v>0</v>
      </c>
      <c r="AW436" s="18"/>
      <c r="AX436" s="18"/>
      <c r="AY436" s="18"/>
      <c r="AZ436" s="18"/>
      <c r="BA436" s="18"/>
      <c r="BB436" s="18"/>
      <c r="BC436" s="18"/>
      <c r="BD436" s="18"/>
      <c r="BG436" s="23"/>
      <c r="BT436" s="23"/>
      <c r="CD436" s="23"/>
      <c r="DF436" s="16" t="e">
        <f>VLOOKUP(K436,'[3]RNA Seq summary tables'!$V$3:$V$99,1,FALSE)</f>
        <v>#N/A</v>
      </c>
    </row>
    <row r="437" spans="1:288" x14ac:dyDescent="0.2">
      <c r="B437" s="16">
        <v>2017</v>
      </c>
      <c r="C437" s="20">
        <v>42966</v>
      </c>
      <c r="D437" s="20" t="str">
        <f>CONCATENATE(J437,"-",C437)</f>
        <v>1297-42966</v>
      </c>
      <c r="E437" s="142" t="str">
        <f>CONCATENATE(T437,"-",U437,"-",C437)</f>
        <v>HW2-B7-42966</v>
      </c>
      <c r="F437" s="20" t="s">
        <v>106</v>
      </c>
      <c r="G437" s="20" t="s">
        <v>107</v>
      </c>
      <c r="J437" s="21">
        <v>1297</v>
      </c>
      <c r="K437" s="21">
        <v>2189</v>
      </c>
      <c r="L437" s="18">
        <v>0</v>
      </c>
      <c r="M437" s="21">
        <f>VLOOKUP($K437,'[4]blood tubes 2017'!$D$1:$L$647,8,FALSE)</f>
        <v>0</v>
      </c>
      <c r="N437" s="15">
        <v>0</v>
      </c>
      <c r="O437" s="15" t="s">
        <v>119</v>
      </c>
      <c r="P437" s="16" t="s">
        <v>119</v>
      </c>
      <c r="Q437" s="16">
        <v>0</v>
      </c>
      <c r="R437" s="16">
        <v>18</v>
      </c>
      <c r="T437" s="16" t="s">
        <v>129</v>
      </c>
      <c r="U437" s="16" t="s">
        <v>168</v>
      </c>
      <c r="V437" s="16" t="s">
        <v>114</v>
      </c>
      <c r="W437" s="16">
        <f>AI437/AG437</f>
        <v>0.8928571428571429</v>
      </c>
      <c r="X437" s="16" t="s">
        <v>115</v>
      </c>
      <c r="Y437" s="16" t="s">
        <v>110</v>
      </c>
      <c r="Z437" s="16">
        <v>3</v>
      </c>
      <c r="AE437" s="16" t="s">
        <v>123</v>
      </c>
      <c r="AF437" s="16" t="s">
        <v>123</v>
      </c>
      <c r="AG437" s="16">
        <f>AH437-AI437</f>
        <v>84</v>
      </c>
      <c r="AH437" s="16">
        <v>159</v>
      </c>
      <c r="AI437" s="16">
        <v>75</v>
      </c>
      <c r="AK437" s="16">
        <v>18</v>
      </c>
      <c r="AL437" s="16">
        <v>0</v>
      </c>
      <c r="AM437" s="16">
        <v>0</v>
      </c>
      <c r="AN437" s="16">
        <v>0</v>
      </c>
      <c r="AO437" s="16">
        <v>0</v>
      </c>
      <c r="AP437" s="16">
        <f>SUM(AL437:AN437)</f>
        <v>0</v>
      </c>
      <c r="AQ437" s="16">
        <v>1.69</v>
      </c>
      <c r="AR437" s="16">
        <f>AP437-1.472</f>
        <v>-1.472</v>
      </c>
      <c r="AS437" s="16">
        <f>AQ437-1.472</f>
        <v>0.21799999999999997</v>
      </c>
      <c r="AT437" s="16" t="e">
        <f>VLOOKUP(E437,[2]Current!$A$1:$W$435,7,FALSE)</f>
        <v>#N/A</v>
      </c>
      <c r="AU437" s="16">
        <v>0</v>
      </c>
      <c r="AW437" s="18"/>
      <c r="AX437" s="18"/>
      <c r="AY437" s="18"/>
      <c r="AZ437" s="18"/>
      <c r="BA437" s="18"/>
      <c r="BB437" s="18"/>
      <c r="BC437" s="18"/>
      <c r="BD437" s="18"/>
      <c r="BG437" s="23"/>
      <c r="BT437" s="23"/>
      <c r="CD437" s="23"/>
      <c r="DF437" s="16" t="e">
        <f>VLOOKUP(K437,'[3]RNA Seq summary tables'!$V$3:$V$99,1,FALSE)</f>
        <v>#N/A</v>
      </c>
      <c r="JR437" s="30"/>
      <c r="JS437" s="30"/>
      <c r="JT437" s="30"/>
      <c r="JU437" s="30"/>
      <c r="JV437" s="30"/>
      <c r="JW437" s="30"/>
      <c r="JX437" s="30"/>
      <c r="JY437" s="30"/>
      <c r="JZ437" s="30"/>
      <c r="KA437" s="30"/>
      <c r="KB437" s="30"/>
    </row>
    <row r="438" spans="1:288" s="18" customFormat="1" x14ac:dyDescent="0.2">
      <c r="B438" s="16">
        <v>2017</v>
      </c>
      <c r="C438" s="20">
        <v>42948</v>
      </c>
      <c r="D438" s="20" t="str">
        <f>CONCATENATE(J438,"-",C438)</f>
        <v>1299-42948</v>
      </c>
      <c r="E438" s="142" t="str">
        <f>CONCATENATE(T438,"-",U438,"-",C438)</f>
        <v>HW2-F7-42948</v>
      </c>
      <c r="F438" s="20" t="s">
        <v>106</v>
      </c>
      <c r="G438" s="20" t="s">
        <v>107</v>
      </c>
      <c r="H438" s="16"/>
      <c r="I438" s="16"/>
      <c r="J438" s="21">
        <v>1299</v>
      </c>
      <c r="K438" s="21">
        <v>2037</v>
      </c>
      <c r="L438" s="18">
        <v>0</v>
      </c>
      <c r="M438" s="21">
        <f>VLOOKUP($K438,'[4]blood tubes 2017'!$D$1:$L$647,8,FALSE)</f>
        <v>0</v>
      </c>
      <c r="N438" s="15">
        <v>0</v>
      </c>
      <c r="O438" s="15" t="s">
        <v>119</v>
      </c>
      <c r="P438" s="16" t="s">
        <v>119</v>
      </c>
      <c r="Q438" s="16">
        <v>0</v>
      </c>
      <c r="R438" s="16" t="s">
        <v>111</v>
      </c>
      <c r="S438" s="16"/>
      <c r="T438" s="16" t="s">
        <v>129</v>
      </c>
      <c r="U438" s="16" t="s">
        <v>189</v>
      </c>
      <c r="V438" s="16" t="s">
        <v>114</v>
      </c>
      <c r="W438" s="16">
        <f>AI438/AG438</f>
        <v>0.79518072289156627</v>
      </c>
      <c r="X438" s="16" t="s">
        <v>115</v>
      </c>
      <c r="Y438" s="16" t="s">
        <v>110</v>
      </c>
      <c r="Z438" s="16">
        <v>3</v>
      </c>
      <c r="AA438" s="16"/>
      <c r="AB438" s="16"/>
      <c r="AC438" s="16"/>
      <c r="AD438" s="16"/>
      <c r="AE438" s="16" t="s">
        <v>123</v>
      </c>
      <c r="AF438" s="16" t="s">
        <v>123</v>
      </c>
      <c r="AG438" s="16">
        <f>AH438-AI438</f>
        <v>83</v>
      </c>
      <c r="AH438" s="16">
        <v>149</v>
      </c>
      <c r="AI438" s="16">
        <v>66</v>
      </c>
      <c r="AJ438" s="16"/>
      <c r="AK438" s="16">
        <v>17</v>
      </c>
      <c r="AL438" s="16">
        <v>0</v>
      </c>
      <c r="AM438" s="16">
        <v>0</v>
      </c>
      <c r="AN438" s="16">
        <v>0</v>
      </c>
      <c r="AO438" s="16">
        <v>0</v>
      </c>
      <c r="AP438" s="16">
        <f>SUM(AL438:AN438)</f>
        <v>0</v>
      </c>
      <c r="AQ438" s="16">
        <v>1.802</v>
      </c>
      <c r="AR438" s="16">
        <f>AP438-1.472</f>
        <v>-1.472</v>
      </c>
      <c r="AS438" s="16">
        <f>AQ438-1.472</f>
        <v>0.33000000000000007</v>
      </c>
      <c r="AT438" s="16" t="e">
        <f>VLOOKUP(E438,[2]Current!$A$1:$W$435,7,FALSE)</f>
        <v>#N/A</v>
      </c>
      <c r="AU438" s="16">
        <v>0</v>
      </c>
      <c r="AV438" s="16"/>
      <c r="BE438" s="16"/>
      <c r="BF438" s="16"/>
      <c r="BG438" s="23"/>
      <c r="BH438" s="16"/>
      <c r="BI438" s="16"/>
      <c r="BJ438" s="16"/>
      <c r="BK438" s="16"/>
      <c r="BL438" s="16"/>
      <c r="BM438" s="16"/>
      <c r="BN438" s="16"/>
      <c r="BO438" s="16"/>
      <c r="BP438" s="16"/>
      <c r="BQ438" s="16"/>
      <c r="BR438" s="16"/>
      <c r="BS438" s="16"/>
      <c r="BT438" s="23"/>
      <c r="BU438" s="16"/>
      <c r="BV438" s="16"/>
      <c r="BW438" s="16"/>
      <c r="BX438" s="16"/>
      <c r="BY438" s="16"/>
      <c r="BZ438" s="16"/>
      <c r="CA438" s="16"/>
      <c r="CB438" s="16"/>
      <c r="CC438" s="16"/>
      <c r="CD438" s="23"/>
      <c r="CE438" s="16"/>
      <c r="CF438" s="16"/>
      <c r="CG438" s="16"/>
      <c r="CH438" s="16"/>
      <c r="CI438" s="16"/>
      <c r="CJ438" s="16"/>
      <c r="CK438" s="16"/>
      <c r="CL438" s="16"/>
      <c r="CM438" s="16"/>
      <c r="CN438" s="16"/>
      <c r="CO438" s="16"/>
      <c r="CP438" s="16"/>
      <c r="CQ438" s="16"/>
      <c r="CR438" s="16"/>
      <c r="CS438" s="16"/>
      <c r="CT438" s="16"/>
      <c r="CU438" s="16"/>
      <c r="CV438" s="16"/>
      <c r="CW438" s="16"/>
      <c r="CX438" s="16"/>
      <c r="CY438" s="16"/>
      <c r="CZ438" s="16"/>
      <c r="DA438" s="16"/>
      <c r="DB438" s="16"/>
      <c r="DC438" s="16"/>
      <c r="DD438" s="16"/>
      <c r="DE438" s="16"/>
      <c r="DF438" s="16" t="e">
        <f>VLOOKUP(K438,'[3]RNA Seq summary tables'!$V$3:$V$99,1,FALSE)</f>
        <v>#N/A</v>
      </c>
      <c r="DG438" s="16"/>
      <c r="DH438" s="16"/>
      <c r="DI438" s="16"/>
      <c r="DJ438" s="16"/>
      <c r="DK438" s="16"/>
      <c r="DL438" s="16"/>
      <c r="DM438" s="16"/>
      <c r="DN438" s="16"/>
      <c r="DO438" s="16"/>
      <c r="DP438" s="16"/>
      <c r="DQ438" s="16"/>
      <c r="DR438" s="16"/>
      <c r="DS438" s="16"/>
      <c r="JO438" s="16"/>
      <c r="JP438" s="16"/>
      <c r="JQ438" s="16"/>
      <c r="JR438" s="16"/>
      <c r="JS438" s="16"/>
      <c r="JT438" s="16"/>
      <c r="JU438" s="16"/>
      <c r="JV438" s="16"/>
      <c r="JW438" s="16"/>
      <c r="JX438" s="16"/>
      <c r="JY438" s="16"/>
      <c r="JZ438" s="16"/>
      <c r="KA438" s="16"/>
      <c r="KB438" s="16"/>
    </row>
    <row r="439" spans="1:288" ht="16" x14ac:dyDescent="0.2">
      <c r="B439" s="16">
        <v>2017</v>
      </c>
      <c r="C439" s="43">
        <v>42966</v>
      </c>
      <c r="D439" s="43" t="str">
        <f>CONCATENATE(J439,"-",C439)</f>
        <v>1299-42966</v>
      </c>
      <c r="E439" s="37" t="str">
        <f>CONCATENATE(T439,"-",U439,"-",C439)</f>
        <v>HW2-E7-42966</v>
      </c>
      <c r="F439" s="20" t="s">
        <v>106</v>
      </c>
      <c r="G439" s="43" t="s">
        <v>107</v>
      </c>
      <c r="H439" s="23"/>
      <c r="I439" s="16">
        <v>0</v>
      </c>
      <c r="J439" s="15">
        <v>1299</v>
      </c>
      <c r="K439" s="15">
        <v>2197</v>
      </c>
      <c r="L439" s="18">
        <v>0</v>
      </c>
      <c r="M439" s="21">
        <f>VLOOKUP($K439,'[4]blood tubes 2017'!$D$1:$L$647,8,FALSE)</f>
        <v>0</v>
      </c>
      <c r="N439" s="15">
        <v>0</v>
      </c>
      <c r="O439" s="15" t="s">
        <v>119</v>
      </c>
      <c r="P439" s="23" t="s">
        <v>119</v>
      </c>
      <c r="Q439" s="16">
        <v>0</v>
      </c>
      <c r="R439" s="23">
        <v>18</v>
      </c>
      <c r="S439" s="23"/>
      <c r="T439" s="23" t="s">
        <v>129</v>
      </c>
      <c r="U439" s="23" t="s">
        <v>135</v>
      </c>
      <c r="V439" s="23" t="s">
        <v>114</v>
      </c>
      <c r="W439" s="16">
        <f>AI439/AG439</f>
        <v>0.76744186046511631</v>
      </c>
      <c r="X439" s="23" t="s">
        <v>115</v>
      </c>
      <c r="Y439" s="23" t="s">
        <v>110</v>
      </c>
      <c r="Z439" s="23">
        <v>3</v>
      </c>
      <c r="AA439" s="23"/>
      <c r="AB439" s="23"/>
      <c r="AC439" s="23"/>
      <c r="AD439" s="23"/>
      <c r="AE439" s="23" t="s">
        <v>116</v>
      </c>
      <c r="AF439" s="23" t="s">
        <v>116</v>
      </c>
      <c r="AG439" s="23">
        <f>AH439-AI439</f>
        <v>86</v>
      </c>
      <c r="AH439" s="23">
        <v>152</v>
      </c>
      <c r="AI439" s="23">
        <v>66</v>
      </c>
      <c r="AJ439" s="23"/>
      <c r="AK439" s="23">
        <v>18</v>
      </c>
      <c r="AL439" s="23">
        <v>0</v>
      </c>
      <c r="AM439" s="23">
        <v>0</v>
      </c>
      <c r="AN439" s="23">
        <v>0</v>
      </c>
      <c r="AO439" s="23">
        <v>0</v>
      </c>
      <c r="AP439" s="23">
        <f>SUM(AL439:AN439)</f>
        <v>0</v>
      </c>
      <c r="AQ439" s="23">
        <v>1.7849999999999999</v>
      </c>
      <c r="AR439" s="23">
        <f>AP439-1.472</f>
        <v>-1.472</v>
      </c>
      <c r="AS439" s="23">
        <f>AQ439-1.472</f>
        <v>0.31299999999999994</v>
      </c>
      <c r="AT439" s="16" t="str">
        <f>VLOOKUP(E439,[2]Current!$A$1:$W$435,7,FALSE)</f>
        <v>TE</v>
      </c>
      <c r="AU439" s="16" t="s">
        <v>1288</v>
      </c>
      <c r="AV439" s="23"/>
      <c r="AW439" s="128">
        <f>IF(AX439&gt;0,1,0)</f>
        <v>1</v>
      </c>
      <c r="AX439" s="128">
        <f>SUM(BA439,BM439,CU439)</f>
        <v>5</v>
      </c>
      <c r="AY439" s="128">
        <f>SUM(BB439,BN439,CV439)</f>
        <v>1603.8338658146968</v>
      </c>
      <c r="AZ439" s="128">
        <f>IF(BA439&gt;0,1,0)</f>
        <v>1</v>
      </c>
      <c r="BA439" s="128">
        <f>SUM(BC439+BF439+BI439)</f>
        <v>3</v>
      </c>
      <c r="BB439" s="128">
        <f>SUM(BE439,BH439,BK439)</f>
        <v>926.51757188498414</v>
      </c>
      <c r="BC439" s="130">
        <f>IF(BD439&gt;0,1,0)</f>
        <v>1</v>
      </c>
      <c r="BD439" s="128">
        <f>VLOOKUP($E439,[2]Current!$A:$AC,26,FALSE)</f>
        <v>24</v>
      </c>
      <c r="BE439" s="128">
        <f>BD439/$AS439</f>
        <v>76.677316293929721</v>
      </c>
      <c r="BF439" s="130">
        <f>IF(BG439&gt;0,1,0)</f>
        <v>1</v>
      </c>
      <c r="BG439" s="175">
        <f>VLOOKUP($E439,[2]Current!$A:$AC,27,FALSE)</f>
        <v>60</v>
      </c>
      <c r="BH439" s="128">
        <f>BG439/$AS439</f>
        <v>191.6932907348243</v>
      </c>
      <c r="BI439" s="130">
        <f>IF(BJ439&gt;0,1,0)</f>
        <v>1</v>
      </c>
      <c r="BJ439" s="128">
        <f>VLOOKUP($E439,[2]Current!$A:$AC,28,FALSE)</f>
        <v>206</v>
      </c>
      <c r="BK439" s="128">
        <f>BJ439/$AS439</f>
        <v>658.14696485623017</v>
      </c>
      <c r="BL439" s="128">
        <f>IF(BM439&gt;0,1,0)</f>
        <v>1</v>
      </c>
      <c r="BM439" s="128">
        <f>SUM(BR439,BU439,BX439,CA439,CD439)</f>
        <v>2</v>
      </c>
      <c r="BN439" s="131">
        <f>SUM(BT439,BW439,BZ439,CC439,CF439)</f>
        <v>677.31629392971263</v>
      </c>
      <c r="BO439" s="128">
        <f>IF(BP439&gt;0,1,0)</f>
        <v>1</v>
      </c>
      <c r="BP439" s="128">
        <f>BM439+CJ439</f>
        <v>3</v>
      </c>
      <c r="BQ439" s="128">
        <f>BN439+CL439</f>
        <v>690.0958466453676</v>
      </c>
      <c r="BR439" s="130">
        <f>IF(BS439&gt;0,1,0)</f>
        <v>0</v>
      </c>
      <c r="BS439" s="128">
        <f>VLOOKUP($E439,[2]Current!$A:$AC,12,FALSE)</f>
        <v>0</v>
      </c>
      <c r="BT439" s="175">
        <f>BS439/$AS439</f>
        <v>0</v>
      </c>
      <c r="BU439" s="130">
        <f>IF(BV439&gt;0,1,0)</f>
        <v>0</v>
      </c>
      <c r="BV439" s="128">
        <f>VLOOKUP($E439,[2]Current!$A:$AC,13,FALSE)</f>
        <v>0</v>
      </c>
      <c r="BW439" s="128">
        <f>BV439/$AS439</f>
        <v>0</v>
      </c>
      <c r="BX439" s="130">
        <f>IF(BY439&gt;0,1,0)</f>
        <v>1</v>
      </c>
      <c r="BY439" s="128">
        <f>VLOOKUP($E439,[2]Current!$A:$AC,14,FALSE)</f>
        <v>211</v>
      </c>
      <c r="BZ439" s="128">
        <f>BY439/$AS439</f>
        <v>674.12140575079889</v>
      </c>
      <c r="CA439" s="130">
        <f>IF(CB439&gt;0,1,0)</f>
        <v>1</v>
      </c>
      <c r="CB439" s="128">
        <f>VLOOKUP($E439,[2]Current!$A:$AC,15,FALSE)</f>
        <v>1</v>
      </c>
      <c r="CC439" s="128">
        <f>CB439/$AS439</f>
        <v>3.1948881789137387</v>
      </c>
      <c r="CD439" s="176">
        <f>IF(CE439&gt;0,1,0)</f>
        <v>0</v>
      </c>
      <c r="CE439" s="128">
        <f>VLOOKUP($E439,[2]Current!$A:$AC,16,FALSE)</f>
        <v>0</v>
      </c>
      <c r="CF439" s="128">
        <f>CE439/$AS439</f>
        <v>0</v>
      </c>
      <c r="CG439" s="18"/>
      <c r="CH439" s="18"/>
      <c r="CI439" s="18"/>
      <c r="CJ439" s="130">
        <f>IF(CK439&gt;0,1,0)</f>
        <v>1</v>
      </c>
      <c r="CK439" s="128">
        <f>VLOOKUP($E439,[2]Current!$A:$AC,18,FALSE)</f>
        <v>4</v>
      </c>
      <c r="CL439" s="128">
        <f>CK439/$AS439</f>
        <v>12.779552715654955</v>
      </c>
      <c r="CS439" s="130">
        <f>IF(CU439&gt;0,1,0)</f>
        <v>0</v>
      </c>
      <c r="CU439" s="128">
        <f>VLOOKUP($E439,[2]Current!$A:$AC,17,FALSE)</f>
        <v>0</v>
      </c>
      <c r="CV439" s="128">
        <f>CU439/$AS439</f>
        <v>0</v>
      </c>
      <c r="CW439" s="18"/>
      <c r="CX439" s="18"/>
      <c r="CY439" s="18"/>
      <c r="DF439" s="16" t="e">
        <f>VLOOKUP(K439,'[3]RNA Seq summary tables'!$V$3:$V$99,1,FALSE)</f>
        <v>#N/A</v>
      </c>
      <c r="DI439" s="23"/>
      <c r="DJ439" s="23"/>
      <c r="DK439" s="23"/>
      <c r="DL439" s="23"/>
      <c r="DM439" s="23"/>
      <c r="DN439" s="23"/>
      <c r="DO439" s="23"/>
      <c r="DP439" s="23"/>
      <c r="DQ439" s="23"/>
      <c r="DR439" s="23"/>
      <c r="DS439" s="23"/>
      <c r="JR439" s="30"/>
      <c r="JS439" s="30"/>
      <c r="JT439" s="30"/>
      <c r="JU439" s="30"/>
      <c r="JV439" s="30"/>
      <c r="JW439" s="30"/>
      <c r="JX439" s="30"/>
      <c r="JY439" s="30"/>
      <c r="JZ439" s="30"/>
      <c r="KA439" s="30"/>
      <c r="KB439" s="30"/>
    </row>
    <row r="440" spans="1:288" x14ac:dyDescent="0.2">
      <c r="B440" s="16">
        <v>2017</v>
      </c>
      <c r="C440" s="20">
        <v>42948</v>
      </c>
      <c r="D440" s="20" t="str">
        <f>CONCATENATE(J440,"-",C440)</f>
        <v>1301-42948</v>
      </c>
      <c r="E440" s="142" t="str">
        <f>CONCATENATE(T440,"-",U440,"-",C440)</f>
        <v>HW2-H7-42948</v>
      </c>
      <c r="F440" s="20" t="s">
        <v>106</v>
      </c>
      <c r="G440" s="20" t="s">
        <v>107</v>
      </c>
      <c r="J440" s="21">
        <v>1301</v>
      </c>
      <c r="K440" s="21">
        <v>2043</v>
      </c>
      <c r="L440" s="18">
        <v>0</v>
      </c>
      <c r="M440" s="21">
        <f>VLOOKUP($K440,'[4]blood tubes 2017'!$D$1:$L$647,8,FALSE)</f>
        <v>0</v>
      </c>
      <c r="N440" s="15">
        <v>0</v>
      </c>
      <c r="O440" s="15" t="s">
        <v>119</v>
      </c>
      <c r="P440" s="16" t="s">
        <v>119</v>
      </c>
      <c r="Q440" s="16">
        <v>0</v>
      </c>
      <c r="R440" s="16" t="s">
        <v>111</v>
      </c>
      <c r="T440" s="16" t="s">
        <v>129</v>
      </c>
      <c r="U440" s="16" t="s">
        <v>202</v>
      </c>
      <c r="V440" s="16" t="s">
        <v>114</v>
      </c>
      <c r="W440" s="16">
        <f>AI440/AG440</f>
        <v>0.84042553191489366</v>
      </c>
      <c r="X440" s="16" t="s">
        <v>115</v>
      </c>
      <c r="Y440" s="16" t="s">
        <v>110</v>
      </c>
      <c r="Z440" s="16">
        <v>3</v>
      </c>
      <c r="AE440" s="16" t="s">
        <v>123</v>
      </c>
      <c r="AF440" s="16" t="s">
        <v>123</v>
      </c>
      <c r="AG440" s="16">
        <f>AH440-AI440</f>
        <v>94</v>
      </c>
      <c r="AH440" s="16">
        <v>173</v>
      </c>
      <c r="AI440" s="16">
        <v>79</v>
      </c>
      <c r="AK440" s="16">
        <v>22.5</v>
      </c>
      <c r="AL440" s="16">
        <v>0</v>
      </c>
      <c r="AM440" s="16">
        <v>0</v>
      </c>
      <c r="AN440" s="16">
        <v>0</v>
      </c>
      <c r="AO440" s="16">
        <v>0</v>
      </c>
      <c r="AP440" s="16">
        <f>SUM(AL440:AN440)</f>
        <v>0</v>
      </c>
      <c r="AQ440" s="16">
        <v>1.893</v>
      </c>
      <c r="AR440" s="16">
        <f>AP440-1.472</f>
        <v>-1.472</v>
      </c>
      <c r="AS440" s="16">
        <f>AQ440-1.472</f>
        <v>0.42100000000000004</v>
      </c>
      <c r="AT440" s="16" t="e">
        <f>VLOOKUP(E440,[2]Current!$A$1:$W$435,7,FALSE)</f>
        <v>#N/A</v>
      </c>
      <c r="AU440" s="16">
        <v>0</v>
      </c>
      <c r="AW440" s="18"/>
      <c r="AX440" s="18"/>
      <c r="AY440" s="18"/>
      <c r="AZ440" s="18"/>
      <c r="BA440" s="18"/>
      <c r="BB440" s="18"/>
      <c r="BC440" s="18"/>
      <c r="BD440" s="18"/>
      <c r="BG440" s="23"/>
      <c r="BT440" s="23"/>
      <c r="CD440" s="23"/>
      <c r="DF440" s="16" t="e">
        <f>VLOOKUP(K440,'[3]RNA Seq summary tables'!$V$3:$V$99,1,FALSE)</f>
        <v>#N/A</v>
      </c>
    </row>
    <row r="441" spans="1:288" x14ac:dyDescent="0.2">
      <c r="B441" s="16">
        <v>2017</v>
      </c>
      <c r="C441" s="20">
        <v>42966</v>
      </c>
      <c r="D441" s="20" t="str">
        <f>CONCATENATE(J441,"-",C441)</f>
        <v>1301-42966</v>
      </c>
      <c r="E441" s="142" t="str">
        <f>CONCATENATE(T441,"-",U441,"-",C441)</f>
        <v>HW2-H7-42966</v>
      </c>
      <c r="F441" s="20" t="s">
        <v>106</v>
      </c>
      <c r="G441" s="20" t="s">
        <v>107</v>
      </c>
      <c r="J441" s="21">
        <v>1301</v>
      </c>
      <c r="K441" s="21">
        <v>2202</v>
      </c>
      <c r="L441" s="18">
        <v>0</v>
      </c>
      <c r="M441" s="21">
        <f>VLOOKUP($K441,'[4]blood tubes 2017'!$D$1:$L$647,8,FALSE)</f>
        <v>0</v>
      </c>
      <c r="N441" s="15">
        <v>0</v>
      </c>
      <c r="O441" s="15" t="s">
        <v>119</v>
      </c>
      <c r="P441" s="16" t="s">
        <v>119</v>
      </c>
      <c r="Q441" s="16">
        <v>0</v>
      </c>
      <c r="R441" s="16">
        <v>18</v>
      </c>
      <c r="T441" s="16" t="s">
        <v>129</v>
      </c>
      <c r="U441" s="16" t="s">
        <v>202</v>
      </c>
      <c r="V441" s="16" t="s">
        <v>114</v>
      </c>
      <c r="W441" s="16">
        <f>AI441/AG441</f>
        <v>0.84536082474226804</v>
      </c>
      <c r="X441" s="16" t="s">
        <v>115</v>
      </c>
      <c r="Y441" s="16" t="s">
        <v>110</v>
      </c>
      <c r="Z441" s="16">
        <v>3</v>
      </c>
      <c r="AE441" s="16" t="s">
        <v>123</v>
      </c>
      <c r="AF441" s="16" t="s">
        <v>123</v>
      </c>
      <c r="AG441" s="16">
        <f>AH441-AI441</f>
        <v>97</v>
      </c>
      <c r="AH441" s="16">
        <v>179</v>
      </c>
      <c r="AI441" s="16">
        <v>82</v>
      </c>
      <c r="AK441" s="16">
        <v>24.5</v>
      </c>
      <c r="AL441" s="16">
        <v>0</v>
      </c>
      <c r="AM441" s="16">
        <v>0</v>
      </c>
      <c r="AN441" s="16">
        <v>1</v>
      </c>
      <c r="AO441" s="16">
        <v>1</v>
      </c>
      <c r="AP441" s="16">
        <f>SUM(AL441:AN441)</f>
        <v>1</v>
      </c>
      <c r="AQ441" s="16">
        <v>1.831</v>
      </c>
      <c r="AR441" s="16">
        <f>AP441-1.472</f>
        <v>-0.47199999999999998</v>
      </c>
      <c r="AS441" s="16">
        <f>AQ441-1.472</f>
        <v>0.35899999999999999</v>
      </c>
      <c r="AT441" s="16" t="e">
        <f>VLOOKUP(E441,[2]Current!$A$1:$W$435,7,FALSE)</f>
        <v>#N/A</v>
      </c>
      <c r="AU441" s="16">
        <v>0</v>
      </c>
      <c r="AW441" s="18"/>
      <c r="AX441" s="18"/>
      <c r="AY441" s="18"/>
      <c r="AZ441" s="18"/>
      <c r="BA441" s="18"/>
      <c r="BB441" s="18"/>
      <c r="BC441" s="18"/>
      <c r="BD441" s="18"/>
      <c r="BG441" s="23"/>
      <c r="BT441" s="23"/>
      <c r="CD441" s="23"/>
      <c r="DF441" s="16" t="e">
        <f>VLOOKUP(K441,'[3]RNA Seq summary tables'!$V$3:$V$99,1,FALSE)</f>
        <v>#N/A</v>
      </c>
    </row>
    <row r="442" spans="1:288" s="18" customFormat="1" x14ac:dyDescent="0.2">
      <c r="B442" s="16">
        <v>2017</v>
      </c>
      <c r="C442" s="20">
        <v>42948</v>
      </c>
      <c r="D442" s="20" t="str">
        <f>CONCATENATE(J442,"-",C442)</f>
        <v>1303-42948</v>
      </c>
      <c r="E442" s="142" t="str">
        <f>CONCATENATE(T442,"-",U442,"-",C442)</f>
        <v>HW1-B4-42948</v>
      </c>
      <c r="F442" s="20" t="s">
        <v>106</v>
      </c>
      <c r="G442" s="20" t="s">
        <v>107</v>
      </c>
      <c r="H442" s="16"/>
      <c r="I442" s="16"/>
      <c r="J442" s="21">
        <v>1303</v>
      </c>
      <c r="K442" s="21">
        <v>2047</v>
      </c>
      <c r="L442" s="18">
        <v>0</v>
      </c>
      <c r="M442" s="21">
        <f>VLOOKUP($K442,'[4]blood tubes 2017'!$D$1:$L$647,8,FALSE)</f>
        <v>0</v>
      </c>
      <c r="N442" s="15">
        <v>0</v>
      </c>
      <c r="O442" s="15" t="s">
        <v>119</v>
      </c>
      <c r="P442" s="16" t="s">
        <v>119</v>
      </c>
      <c r="Q442" s="16">
        <v>0</v>
      </c>
      <c r="R442" s="16" t="s">
        <v>111</v>
      </c>
      <c r="S442" s="16"/>
      <c r="T442" s="16" t="s">
        <v>133</v>
      </c>
      <c r="U442" s="16" t="s">
        <v>144</v>
      </c>
      <c r="V442" s="16" t="s">
        <v>114</v>
      </c>
      <c r="W442" s="16">
        <f>AI442/AG442</f>
        <v>0.84615384615384615</v>
      </c>
      <c r="X442" s="16" t="s">
        <v>121</v>
      </c>
      <c r="Y442" s="16" t="s">
        <v>122</v>
      </c>
      <c r="Z442" s="16">
        <v>2.6</v>
      </c>
      <c r="AA442" s="16" t="s">
        <v>119</v>
      </c>
      <c r="AB442" s="16" t="s">
        <v>123</v>
      </c>
      <c r="AC442" s="16" t="s">
        <v>123</v>
      </c>
      <c r="AD442" s="16" t="s">
        <v>123</v>
      </c>
      <c r="AE442" s="16"/>
      <c r="AF442" s="16"/>
      <c r="AG442" s="16">
        <f>AH442-AI442</f>
        <v>78</v>
      </c>
      <c r="AH442" s="16">
        <v>144</v>
      </c>
      <c r="AI442" s="16">
        <v>66</v>
      </c>
      <c r="AJ442" s="16"/>
      <c r="AK442" s="16">
        <v>14</v>
      </c>
      <c r="AL442" s="16">
        <v>0</v>
      </c>
      <c r="AM442" s="16">
        <v>0</v>
      </c>
      <c r="AN442" s="16">
        <v>0</v>
      </c>
      <c r="AO442" s="16">
        <v>0</v>
      </c>
      <c r="AP442" s="16">
        <f>SUM(AL442:AN442)</f>
        <v>0</v>
      </c>
      <c r="AQ442" s="16">
        <v>2.0270000000000001</v>
      </c>
      <c r="AR442" s="16">
        <f>AP442-1.472</f>
        <v>-1.472</v>
      </c>
      <c r="AS442" s="16">
        <f>AQ442-1.472</f>
        <v>0.55500000000000016</v>
      </c>
      <c r="AT442" s="16" t="e">
        <f>VLOOKUP(E442,[2]Current!$A$1:$W$435,7,FALSE)</f>
        <v>#N/A</v>
      </c>
      <c r="AU442" s="16">
        <v>0</v>
      </c>
      <c r="AV442" s="16"/>
      <c r="BE442" s="16"/>
      <c r="BF442" s="16"/>
      <c r="BG442" s="23"/>
      <c r="BH442" s="16"/>
      <c r="BI442" s="16"/>
      <c r="BJ442" s="16"/>
      <c r="BK442" s="16"/>
      <c r="BL442" s="16"/>
      <c r="BM442" s="16"/>
      <c r="BN442" s="16"/>
      <c r="BO442" s="16"/>
      <c r="BP442" s="16"/>
      <c r="BQ442" s="16"/>
      <c r="BR442" s="16"/>
      <c r="BS442" s="16"/>
      <c r="BT442" s="23"/>
      <c r="BU442" s="16"/>
      <c r="BV442" s="16"/>
      <c r="BW442" s="16"/>
      <c r="BX442" s="16"/>
      <c r="BY442" s="16"/>
      <c r="BZ442" s="16"/>
      <c r="CA442" s="16"/>
      <c r="CB442" s="16"/>
      <c r="CC442" s="16"/>
      <c r="CD442" s="23"/>
      <c r="CE442" s="16"/>
      <c r="CF442" s="16"/>
      <c r="CG442" s="16"/>
      <c r="CH442" s="16"/>
      <c r="CI442" s="16"/>
      <c r="CJ442" s="16"/>
      <c r="CK442" s="16"/>
      <c r="CL442" s="16"/>
      <c r="CM442" s="16"/>
      <c r="CN442" s="16"/>
      <c r="CO442" s="16"/>
      <c r="CP442" s="16"/>
      <c r="CQ442" s="16"/>
      <c r="CR442" s="16"/>
      <c r="CS442" s="16"/>
      <c r="CT442" s="16"/>
      <c r="CU442" s="16"/>
      <c r="CV442" s="16"/>
      <c r="CW442" s="16"/>
      <c r="CX442" s="16"/>
      <c r="CY442" s="16"/>
      <c r="CZ442" s="16"/>
      <c r="DA442" s="16"/>
      <c r="DB442" s="16"/>
      <c r="DC442" s="16"/>
      <c r="DD442" s="16"/>
      <c r="DE442" s="16"/>
      <c r="DF442" s="16" t="e">
        <f>VLOOKUP(K442,'[3]RNA Seq summary tables'!$V$3:$V$99,1,FALSE)</f>
        <v>#N/A</v>
      </c>
      <c r="DG442" s="16"/>
      <c r="DH442" s="16"/>
      <c r="DI442" s="16"/>
      <c r="DJ442" s="16"/>
      <c r="DK442" s="16"/>
      <c r="DL442" s="16"/>
      <c r="DM442" s="16"/>
      <c r="DN442" s="16"/>
      <c r="DO442" s="16"/>
      <c r="DP442" s="16"/>
      <c r="DQ442" s="16"/>
      <c r="DR442" s="16"/>
      <c r="DS442" s="16"/>
      <c r="JO442" s="16"/>
      <c r="JP442" s="16"/>
      <c r="JQ442" s="16"/>
      <c r="JR442" s="16"/>
      <c r="JS442" s="16"/>
      <c r="JT442" s="16"/>
      <c r="JU442" s="16"/>
      <c r="JV442" s="16"/>
      <c r="JW442" s="16"/>
      <c r="JX442" s="16"/>
      <c r="JY442" s="16"/>
      <c r="JZ442" s="16"/>
      <c r="KA442" s="16"/>
      <c r="KB442" s="16"/>
    </row>
    <row r="443" spans="1:288" x14ac:dyDescent="0.2">
      <c r="B443" s="16">
        <v>2017</v>
      </c>
      <c r="C443" s="20">
        <v>42966</v>
      </c>
      <c r="D443" s="20" t="str">
        <f>CONCATENATE(J443,"-",C443)</f>
        <v>1303-42966</v>
      </c>
      <c r="E443" s="142" t="str">
        <f>CONCATENATE(T443,"-",U443,"-",C443)</f>
        <v>HW1-B3-42966</v>
      </c>
      <c r="F443" s="20" t="s">
        <v>106</v>
      </c>
      <c r="G443" s="20" t="s">
        <v>107</v>
      </c>
      <c r="J443" s="21">
        <v>1303</v>
      </c>
      <c r="K443" s="21">
        <v>2207</v>
      </c>
      <c r="L443" s="18">
        <v>0</v>
      </c>
      <c r="M443" s="21">
        <f>VLOOKUP($K443,'[4]blood tubes 2017'!$D$1:$L$647,8,FALSE)</f>
        <v>0</v>
      </c>
      <c r="N443" s="15">
        <v>0</v>
      </c>
      <c r="O443" s="15" t="s">
        <v>119</v>
      </c>
      <c r="P443" s="16" t="s">
        <v>119</v>
      </c>
      <c r="Q443" s="16">
        <v>0</v>
      </c>
      <c r="R443" s="16">
        <v>18</v>
      </c>
      <c r="T443" s="16" t="s">
        <v>133</v>
      </c>
      <c r="U443" s="16" t="s">
        <v>131</v>
      </c>
      <c r="V443" s="16" t="s">
        <v>114</v>
      </c>
      <c r="W443" s="16">
        <f>AI443/AG443</f>
        <v>0.82926829268292679</v>
      </c>
      <c r="X443" s="16" t="s">
        <v>121</v>
      </c>
      <c r="Y443" s="16" t="s">
        <v>122</v>
      </c>
      <c r="Z443" s="16">
        <v>2.9</v>
      </c>
      <c r="AA443" s="16" t="s">
        <v>161</v>
      </c>
      <c r="AB443" s="16" t="s">
        <v>123</v>
      </c>
      <c r="AC443" s="16" t="s">
        <v>123</v>
      </c>
      <c r="AD443" s="16" t="s">
        <v>116</v>
      </c>
      <c r="AG443" s="16">
        <f>AH443-AI443</f>
        <v>82</v>
      </c>
      <c r="AH443" s="16">
        <v>150</v>
      </c>
      <c r="AI443" s="16">
        <v>68</v>
      </c>
      <c r="AK443" s="16">
        <v>15</v>
      </c>
      <c r="AL443" s="16">
        <v>1</v>
      </c>
      <c r="AM443" s="16">
        <v>0</v>
      </c>
      <c r="AN443" s="16">
        <v>0</v>
      </c>
      <c r="AO443" s="16">
        <v>1</v>
      </c>
      <c r="AP443" s="16">
        <f>SUM(AL443:AN443)</f>
        <v>1</v>
      </c>
      <c r="AQ443" s="16">
        <v>1.736</v>
      </c>
      <c r="AR443" s="16">
        <f>AP443-1.472</f>
        <v>-0.47199999999999998</v>
      </c>
      <c r="AS443" s="16">
        <f>AQ443-1.472</f>
        <v>0.26400000000000001</v>
      </c>
      <c r="AT443" s="16" t="e">
        <f>VLOOKUP(E443,[2]Current!$A$1:$W$435,7,FALSE)</f>
        <v>#N/A</v>
      </c>
      <c r="AU443" s="16">
        <v>0</v>
      </c>
      <c r="AW443" s="18"/>
      <c r="AX443" s="18"/>
      <c r="AY443" s="18"/>
      <c r="AZ443" s="18"/>
      <c r="BA443" s="18"/>
      <c r="BB443" s="18"/>
      <c r="BC443" s="18"/>
      <c r="BD443" s="18"/>
      <c r="BG443" s="23"/>
      <c r="BT443" s="23"/>
      <c r="CD443" s="23"/>
      <c r="DF443" s="16" t="e">
        <f>VLOOKUP(K443,'[3]RNA Seq summary tables'!$V$3:$V$99,1,FALSE)</f>
        <v>#N/A</v>
      </c>
    </row>
    <row r="444" spans="1:288" ht="16" x14ac:dyDescent="0.2">
      <c r="B444" s="16">
        <v>2017</v>
      </c>
      <c r="C444" s="43">
        <v>42948</v>
      </c>
      <c r="D444" s="20" t="str">
        <f>CONCATENATE(J444,"-",C444)</f>
        <v>1305-42948</v>
      </c>
      <c r="E444" s="37" t="str">
        <f>CONCATENATE(T444,"-",U444,"-",C444)</f>
        <v>HW1-E1-42948</v>
      </c>
      <c r="F444" s="20" t="s">
        <v>106</v>
      </c>
      <c r="G444" s="43" t="s">
        <v>107</v>
      </c>
      <c r="H444" s="23"/>
      <c r="I444" s="16">
        <v>0</v>
      </c>
      <c r="J444" s="15">
        <v>1305</v>
      </c>
      <c r="K444" s="15">
        <v>2050</v>
      </c>
      <c r="L444" s="18">
        <v>0</v>
      </c>
      <c r="M444" s="21">
        <f>VLOOKUP($K444,'[4]blood tubes 2017'!$D$1:$L$647,8,FALSE)</f>
        <v>0</v>
      </c>
      <c r="N444" s="15">
        <v>0</v>
      </c>
      <c r="O444" s="15" t="s">
        <v>119</v>
      </c>
      <c r="P444" s="23" t="s">
        <v>119</v>
      </c>
      <c r="Q444" s="16">
        <v>0</v>
      </c>
      <c r="R444" s="23" t="s">
        <v>111</v>
      </c>
      <c r="S444" s="23"/>
      <c r="T444" s="23" t="s">
        <v>133</v>
      </c>
      <c r="U444" s="23" t="s">
        <v>222</v>
      </c>
      <c r="V444" s="23" t="s">
        <v>142</v>
      </c>
      <c r="W444" s="16">
        <f>AI444/AG444</f>
        <v>0.97727272727272729</v>
      </c>
      <c r="X444" s="23" t="s">
        <v>121</v>
      </c>
      <c r="Y444" s="23" t="s">
        <v>110</v>
      </c>
      <c r="Z444" s="23">
        <v>3</v>
      </c>
      <c r="AA444" s="23" t="s">
        <v>119</v>
      </c>
      <c r="AB444" s="23" t="s">
        <v>239</v>
      </c>
      <c r="AC444" s="23" t="s">
        <v>123</v>
      </c>
      <c r="AD444" s="23" t="s">
        <v>123</v>
      </c>
      <c r="AE444" s="23"/>
      <c r="AF444" s="23"/>
      <c r="AG444" s="23">
        <f>AH444-AI444</f>
        <v>88</v>
      </c>
      <c r="AH444" s="23">
        <v>174</v>
      </c>
      <c r="AI444" s="23">
        <v>86</v>
      </c>
      <c r="AJ444" s="23"/>
      <c r="AK444" s="23">
        <v>19</v>
      </c>
      <c r="AL444" s="23">
        <v>0</v>
      </c>
      <c r="AM444" s="23">
        <v>0</v>
      </c>
      <c r="AN444" s="23">
        <v>0</v>
      </c>
      <c r="AO444" s="23">
        <v>0</v>
      </c>
      <c r="AP444" s="23">
        <f>SUM(AL444:AN444)</f>
        <v>0</v>
      </c>
      <c r="AQ444" s="23">
        <v>1.8620000000000001</v>
      </c>
      <c r="AR444" s="23">
        <f>AP444-1.472</f>
        <v>-1.472</v>
      </c>
      <c r="AS444" s="23">
        <f>AQ444-1.472</f>
        <v>0.39000000000000012</v>
      </c>
      <c r="AT444" s="16" t="str">
        <f>VLOOKUP(E444,[2]Current!$A$1:$W$435,7,FALSE)</f>
        <v>TE</v>
      </c>
      <c r="AU444" s="16" t="s">
        <v>1288</v>
      </c>
      <c r="AV444" s="23"/>
      <c r="AW444" s="128">
        <f>IF(AX444&gt;0,1,0)</f>
        <v>1</v>
      </c>
      <c r="AX444" s="128">
        <f>SUM(BA444,BM444,CU444)</f>
        <v>1</v>
      </c>
      <c r="AY444" s="128">
        <f>SUM(BB444,BN444,CV444)</f>
        <v>2.5641025641025634</v>
      </c>
      <c r="AZ444" s="128">
        <f>IF(BA444&gt;0,1,0)</f>
        <v>0</v>
      </c>
      <c r="BA444" s="128">
        <f>SUM(BC444+BF444+BI444)</f>
        <v>0</v>
      </c>
      <c r="BB444" s="128">
        <f>SUM(BE444,BH444,BK444)</f>
        <v>0</v>
      </c>
      <c r="BC444" s="130">
        <f>IF(BD444&gt;0,1,0)</f>
        <v>0</v>
      </c>
      <c r="BD444" s="128">
        <f>VLOOKUP($E444,[2]Current!$A:$AC,26,FALSE)</f>
        <v>0</v>
      </c>
      <c r="BE444" s="128">
        <f>BD444/$AS444</f>
        <v>0</v>
      </c>
      <c r="BF444" s="130">
        <f>IF(BG444&gt;0,1,0)</f>
        <v>0</v>
      </c>
      <c r="BG444" s="137">
        <f>VLOOKUP($E444,[2]Current!$A:$AC,27,FALSE)</f>
        <v>0</v>
      </c>
      <c r="BH444" s="128">
        <f>BG444/$AS444</f>
        <v>0</v>
      </c>
      <c r="BI444" s="130">
        <f>IF(BJ444&gt;0,1,0)</f>
        <v>0</v>
      </c>
      <c r="BJ444" s="128">
        <f>VLOOKUP($E444,[2]Current!$A:$AC,28,FALSE)</f>
        <v>0</v>
      </c>
      <c r="BK444" s="128">
        <f>BJ444/$AS444</f>
        <v>0</v>
      </c>
      <c r="BL444" s="128">
        <f>IF(BM444&gt;0,1,0)</f>
        <v>1</v>
      </c>
      <c r="BM444" s="128">
        <f>SUM(BR444,BU444,BX444,CA444,CD444)</f>
        <v>1</v>
      </c>
      <c r="BN444" s="131">
        <f>SUM(BT444,BW444,BZ444,CC444,CF444)</f>
        <v>2.5641025641025634</v>
      </c>
      <c r="BO444" s="128">
        <f>IF(BP444&gt;0,1,0)</f>
        <v>1</v>
      </c>
      <c r="BP444" s="128">
        <f>BM444+CJ444</f>
        <v>2</v>
      </c>
      <c r="BQ444" s="128">
        <f>BN444+CL444</f>
        <v>5.1282051282051269</v>
      </c>
      <c r="BR444" s="130">
        <f>IF(BS444&gt;0,1,0)</f>
        <v>0</v>
      </c>
      <c r="BS444" s="128">
        <f>VLOOKUP($E444,[2]Current!$A:$AC,12,FALSE)</f>
        <v>0</v>
      </c>
      <c r="BT444" s="137">
        <f>BS444/$AS444</f>
        <v>0</v>
      </c>
      <c r="BU444" s="130">
        <f>IF(BV444&gt;0,1,0)</f>
        <v>0</v>
      </c>
      <c r="BV444" s="128">
        <f>VLOOKUP($E444,[2]Current!$A:$AC,13,FALSE)</f>
        <v>0</v>
      </c>
      <c r="BW444" s="128">
        <f>BV444/$AS444</f>
        <v>0</v>
      </c>
      <c r="BX444" s="130">
        <f>IF(BY444&gt;0,1,0)</f>
        <v>0</v>
      </c>
      <c r="BY444" s="128">
        <f>VLOOKUP($E444,[2]Current!$A:$AC,14,FALSE)</f>
        <v>0</v>
      </c>
      <c r="BZ444" s="128">
        <f>BY444/$AS444</f>
        <v>0</v>
      </c>
      <c r="CA444" s="130">
        <f>IF(CB444&gt;0,1,0)</f>
        <v>1</v>
      </c>
      <c r="CB444" s="128">
        <f>VLOOKUP($E444,[2]Current!$A:$AC,15,FALSE)</f>
        <v>1</v>
      </c>
      <c r="CC444" s="128">
        <f>CB444/$AS444</f>
        <v>2.5641025641025634</v>
      </c>
      <c r="CD444" s="174">
        <f>IF(CE444&gt;0,1,0)</f>
        <v>0</v>
      </c>
      <c r="CE444" s="128">
        <f>VLOOKUP($E444,[2]Current!$A:$AC,16,FALSE)</f>
        <v>0</v>
      </c>
      <c r="CF444" s="128">
        <f>CE444/$AS444</f>
        <v>0</v>
      </c>
      <c r="CG444" s="18"/>
      <c r="CH444" s="18"/>
      <c r="CI444" s="18"/>
      <c r="CJ444" s="130">
        <f>IF(CK444&gt;0,1,0)</f>
        <v>1</v>
      </c>
      <c r="CK444" s="128">
        <f>VLOOKUP($E444,[2]Current!$A:$AC,18,FALSE)</f>
        <v>1</v>
      </c>
      <c r="CL444" s="128">
        <f>CK444/$AS444</f>
        <v>2.5641025641025634</v>
      </c>
      <c r="CS444" s="130">
        <f>IF(CU444&gt;0,1,0)</f>
        <v>0</v>
      </c>
      <c r="CU444" s="128">
        <f>VLOOKUP($E444,[2]Current!$A:$AC,17,FALSE)</f>
        <v>0</v>
      </c>
      <c r="CV444" s="128">
        <f>CU444/$AS444</f>
        <v>0</v>
      </c>
      <c r="CW444" s="18"/>
      <c r="CX444" s="18"/>
      <c r="CY444" s="18"/>
      <c r="DF444" s="16" t="e">
        <f>VLOOKUP(K444,'[3]RNA Seq summary tables'!$V$3:$V$99,1,FALSE)</f>
        <v>#N/A</v>
      </c>
      <c r="DI444" s="23"/>
      <c r="DJ444" s="23"/>
      <c r="DK444" s="23"/>
      <c r="DL444" s="23"/>
      <c r="DM444" s="23"/>
      <c r="DN444" s="23"/>
      <c r="DO444" s="23"/>
      <c r="DP444" s="23"/>
      <c r="DQ444" s="23"/>
      <c r="DR444" s="23"/>
      <c r="DS444" s="23"/>
      <c r="DT444" s="25"/>
      <c r="DU444" s="25"/>
      <c r="DV444" s="25"/>
      <c r="DW444" s="25"/>
      <c r="DX444" s="25"/>
      <c r="DY444" s="25"/>
      <c r="DZ444" s="25"/>
      <c r="EA444" s="25"/>
      <c r="EB444" s="25"/>
      <c r="EC444" s="25"/>
      <c r="ED444" s="25"/>
      <c r="EE444" s="25"/>
      <c r="EF444" s="25"/>
      <c r="EG444" s="25"/>
      <c r="EH444" s="25"/>
      <c r="EI444" s="25"/>
      <c r="EJ444" s="25"/>
      <c r="EK444" s="25"/>
      <c r="EL444" s="25"/>
      <c r="EM444" s="25"/>
      <c r="EN444" s="25"/>
      <c r="EO444" s="25"/>
      <c r="EP444" s="25"/>
      <c r="EQ444" s="25"/>
      <c r="ER444" s="25"/>
      <c r="ES444" s="25"/>
      <c r="ET444" s="25"/>
      <c r="EU444" s="25"/>
      <c r="EV444" s="25"/>
      <c r="EW444" s="25"/>
      <c r="EX444" s="25"/>
      <c r="EY444" s="25"/>
      <c r="EZ444" s="25"/>
      <c r="FA444" s="25"/>
      <c r="FB444" s="25"/>
      <c r="FC444" s="25"/>
      <c r="FD444" s="25"/>
      <c r="FE444" s="25"/>
      <c r="FF444" s="25"/>
      <c r="FG444" s="25"/>
      <c r="FH444" s="25"/>
      <c r="FI444" s="25"/>
      <c r="FJ444" s="25"/>
      <c r="FK444" s="25"/>
      <c r="FL444" s="25"/>
      <c r="FM444" s="25"/>
      <c r="FN444" s="25"/>
      <c r="FO444" s="25"/>
      <c r="FP444" s="25"/>
      <c r="FQ444" s="25"/>
      <c r="FR444" s="25"/>
      <c r="FS444" s="25"/>
      <c r="FT444" s="25"/>
      <c r="FU444" s="25"/>
      <c r="FV444" s="25"/>
      <c r="FW444" s="25"/>
      <c r="FX444" s="25"/>
      <c r="FY444" s="25"/>
      <c r="FZ444" s="25"/>
      <c r="GA444" s="25"/>
      <c r="GB444" s="25"/>
      <c r="GC444" s="25"/>
      <c r="GD444" s="25"/>
      <c r="GE444" s="25"/>
      <c r="GF444" s="25"/>
      <c r="GG444" s="25"/>
      <c r="GH444" s="25"/>
      <c r="GI444" s="25"/>
      <c r="GJ444" s="25"/>
      <c r="GK444" s="25"/>
      <c r="GL444" s="25"/>
      <c r="GM444" s="25"/>
      <c r="GN444" s="25"/>
      <c r="GO444" s="25"/>
      <c r="GP444" s="25"/>
      <c r="GQ444" s="25"/>
      <c r="GR444" s="25"/>
      <c r="GS444" s="25"/>
      <c r="GT444" s="25"/>
      <c r="GU444" s="25"/>
      <c r="GV444" s="25"/>
      <c r="GW444" s="25"/>
      <c r="GX444" s="25"/>
      <c r="GY444" s="25"/>
      <c r="GZ444" s="25"/>
      <c r="HA444" s="25"/>
      <c r="HB444" s="25"/>
      <c r="HC444" s="25"/>
      <c r="HD444" s="25"/>
      <c r="HE444" s="25"/>
      <c r="HF444" s="25"/>
      <c r="HG444" s="25"/>
      <c r="HH444" s="25"/>
      <c r="HI444" s="25"/>
      <c r="HJ444" s="25"/>
      <c r="HK444" s="25"/>
      <c r="HL444" s="25"/>
      <c r="HM444" s="25"/>
      <c r="HN444" s="25"/>
      <c r="HO444" s="25"/>
      <c r="HP444" s="25"/>
      <c r="HQ444" s="25"/>
      <c r="HR444" s="25"/>
      <c r="HS444" s="25"/>
      <c r="HT444" s="25"/>
      <c r="HU444" s="25"/>
      <c r="HV444" s="25"/>
      <c r="HW444" s="25"/>
      <c r="HX444" s="25"/>
      <c r="HY444" s="25"/>
      <c r="HZ444" s="25"/>
      <c r="IA444" s="25"/>
      <c r="IB444" s="25"/>
      <c r="IC444" s="25"/>
      <c r="ID444" s="25"/>
      <c r="IE444" s="25"/>
      <c r="IF444" s="25"/>
      <c r="IG444" s="25"/>
      <c r="IH444" s="25"/>
      <c r="II444" s="25"/>
      <c r="IJ444" s="25"/>
      <c r="IK444" s="25"/>
      <c r="IL444" s="25"/>
      <c r="IM444" s="25"/>
      <c r="IN444" s="25"/>
      <c r="IO444" s="25"/>
      <c r="IP444" s="25"/>
      <c r="IQ444" s="25"/>
      <c r="IR444" s="25"/>
      <c r="IS444" s="25"/>
      <c r="IT444" s="25"/>
      <c r="IU444" s="25"/>
      <c r="IV444" s="25"/>
      <c r="IW444" s="25"/>
      <c r="IX444" s="25"/>
      <c r="IY444" s="25"/>
      <c r="IZ444" s="25"/>
      <c r="JA444" s="25"/>
      <c r="JB444" s="25"/>
      <c r="JC444" s="25"/>
      <c r="JD444" s="25"/>
      <c r="JE444" s="25"/>
      <c r="JF444" s="25"/>
      <c r="JG444" s="25"/>
      <c r="JH444" s="25"/>
      <c r="JI444" s="25"/>
      <c r="JJ444" s="25"/>
      <c r="JK444" s="25"/>
      <c r="JL444" s="25"/>
      <c r="JM444" s="25"/>
      <c r="JN444" s="25"/>
    </row>
    <row r="445" spans="1:288" x14ac:dyDescent="0.2">
      <c r="B445" s="16">
        <v>2017</v>
      </c>
      <c r="C445" s="20">
        <v>42948</v>
      </c>
      <c r="D445" s="20" t="str">
        <f>CONCATENATE(J445,"-",C445)</f>
        <v>1307-42948</v>
      </c>
      <c r="E445" s="142" t="str">
        <f>CONCATENATE(T445,"-",U445,"-",C445)</f>
        <v>HW1-F1-42948</v>
      </c>
      <c r="F445" s="20" t="s">
        <v>106</v>
      </c>
      <c r="G445" s="20" t="s">
        <v>107</v>
      </c>
      <c r="J445" s="21">
        <v>1307</v>
      </c>
      <c r="K445" s="21">
        <v>2052</v>
      </c>
      <c r="L445" s="18">
        <v>0</v>
      </c>
      <c r="M445" s="21">
        <f>VLOOKUP($K445,'[4]blood tubes 2017'!$D$1:$L$647,8,FALSE)</f>
        <v>0</v>
      </c>
      <c r="N445" s="15">
        <v>0</v>
      </c>
      <c r="O445" s="15" t="s">
        <v>119</v>
      </c>
      <c r="P445" s="16" t="s">
        <v>119</v>
      </c>
      <c r="Q445" s="16">
        <v>0</v>
      </c>
      <c r="R445" s="16" t="s">
        <v>111</v>
      </c>
      <c r="T445" s="16" t="s">
        <v>133</v>
      </c>
      <c r="U445" s="16" t="s">
        <v>217</v>
      </c>
      <c r="V445" s="16" t="s">
        <v>114</v>
      </c>
      <c r="W445" s="16">
        <f>AI445/AG445</f>
        <v>0.74736842105263157</v>
      </c>
      <c r="X445" s="16" t="s">
        <v>115</v>
      </c>
      <c r="Y445" s="16" t="s">
        <v>110</v>
      </c>
      <c r="Z445" s="16">
        <v>3</v>
      </c>
      <c r="AE445" s="16" t="s">
        <v>123</v>
      </c>
      <c r="AF445" s="16" t="s">
        <v>123</v>
      </c>
      <c r="AG445" s="16">
        <f>AH445-AI445</f>
        <v>95</v>
      </c>
      <c r="AH445" s="16">
        <v>166</v>
      </c>
      <c r="AI445" s="16">
        <v>71</v>
      </c>
      <c r="AK445" s="16">
        <v>19</v>
      </c>
      <c r="AL445" s="16">
        <v>0</v>
      </c>
      <c r="AM445" s="16">
        <v>0</v>
      </c>
      <c r="AN445" s="16">
        <v>0</v>
      </c>
      <c r="AO445" s="16">
        <v>0</v>
      </c>
      <c r="AP445" s="16">
        <f>SUM(AL445:AN445)</f>
        <v>0</v>
      </c>
      <c r="AQ445" s="16">
        <v>1.649</v>
      </c>
      <c r="AR445" s="16">
        <f>AP445-1.472</f>
        <v>-1.472</v>
      </c>
      <c r="AS445" s="16">
        <f>AQ445-1.472</f>
        <v>0.17700000000000005</v>
      </c>
      <c r="AT445" s="16" t="e">
        <f>VLOOKUP(E445,[2]Current!$A$1:$W$435,7,FALSE)</f>
        <v>#N/A</v>
      </c>
      <c r="AU445" s="16">
        <v>0</v>
      </c>
      <c r="AW445" s="18"/>
      <c r="AX445" s="18"/>
      <c r="AY445" s="18"/>
      <c r="AZ445" s="18"/>
      <c r="BA445" s="18"/>
      <c r="BB445" s="18"/>
      <c r="BC445" s="18"/>
      <c r="BD445" s="18"/>
      <c r="BG445" s="77"/>
      <c r="BT445" s="77"/>
      <c r="CD445" s="77"/>
      <c r="DF445" s="16" t="e">
        <f>VLOOKUP(K445,'[3]RNA Seq summary tables'!$V$3:$V$99,1,FALSE)</f>
        <v>#N/A</v>
      </c>
      <c r="JR445" s="18"/>
      <c r="JS445" s="18"/>
      <c r="JT445" s="18"/>
      <c r="JU445" s="18"/>
      <c r="JV445" s="18"/>
      <c r="JW445" s="18"/>
      <c r="JX445" s="18"/>
      <c r="JY445" s="18"/>
      <c r="JZ445" s="18"/>
      <c r="KA445" s="18"/>
      <c r="KB445" s="18"/>
    </row>
    <row r="446" spans="1:288" s="18" customFormat="1" x14ac:dyDescent="0.2">
      <c r="B446" s="16">
        <v>2017</v>
      </c>
      <c r="C446" s="20">
        <v>42966</v>
      </c>
      <c r="D446" s="20" t="str">
        <f>CONCATENATE(J446,"-",C446)</f>
        <v>1307-42966</v>
      </c>
      <c r="E446" s="142" t="str">
        <f>CONCATENATE(T446,"-",U446,"-",C446)</f>
        <v>HW1-D2-42966</v>
      </c>
      <c r="F446" s="20" t="s">
        <v>106</v>
      </c>
      <c r="G446" s="20" t="s">
        <v>107</v>
      </c>
      <c r="H446" s="16"/>
      <c r="I446" s="16"/>
      <c r="J446" s="21">
        <v>1307</v>
      </c>
      <c r="K446" s="21">
        <v>2209</v>
      </c>
      <c r="L446" s="18">
        <v>0</v>
      </c>
      <c r="M446" s="21">
        <f>VLOOKUP($K446,'[4]blood tubes 2017'!$D$1:$L$647,8,FALSE)</f>
        <v>0</v>
      </c>
      <c r="N446" s="15">
        <v>0</v>
      </c>
      <c r="O446" s="15" t="s">
        <v>119</v>
      </c>
      <c r="P446" s="16" t="s">
        <v>119</v>
      </c>
      <c r="Q446" s="16">
        <v>0</v>
      </c>
      <c r="R446" s="16">
        <v>18</v>
      </c>
      <c r="S446" s="16"/>
      <c r="T446" s="16" t="s">
        <v>133</v>
      </c>
      <c r="U446" s="16" t="s">
        <v>198</v>
      </c>
      <c r="V446" s="16" t="s">
        <v>114</v>
      </c>
      <c r="W446" s="16">
        <f>AI446/AG446</f>
        <v>0.76842105263157889</v>
      </c>
      <c r="X446" s="16" t="s">
        <v>115</v>
      </c>
      <c r="Y446" s="16" t="s">
        <v>110</v>
      </c>
      <c r="Z446" s="16">
        <v>3</v>
      </c>
      <c r="AA446" s="16"/>
      <c r="AB446" s="16"/>
      <c r="AC446" s="16"/>
      <c r="AD446" s="16"/>
      <c r="AE446" s="16" t="s">
        <v>123</v>
      </c>
      <c r="AF446" s="16" t="s">
        <v>123</v>
      </c>
      <c r="AG446" s="16">
        <f>AH446-AI446</f>
        <v>95</v>
      </c>
      <c r="AH446" s="16">
        <v>168</v>
      </c>
      <c r="AI446" s="16">
        <v>73</v>
      </c>
      <c r="AJ446" s="16"/>
      <c r="AK446" s="16">
        <v>21.5</v>
      </c>
      <c r="AL446" s="16">
        <v>0</v>
      </c>
      <c r="AM446" s="16">
        <v>0</v>
      </c>
      <c r="AN446" s="16">
        <v>0</v>
      </c>
      <c r="AO446" s="16">
        <v>0</v>
      </c>
      <c r="AP446" s="16">
        <f>SUM(AL446:AN446)</f>
        <v>0</v>
      </c>
      <c r="AQ446" s="16">
        <v>1.778</v>
      </c>
      <c r="AR446" s="16">
        <f>AP446-1.472</f>
        <v>-1.472</v>
      </c>
      <c r="AS446" s="16">
        <f>AQ446-1.472</f>
        <v>0.30600000000000005</v>
      </c>
      <c r="AT446" s="16" t="e">
        <f>VLOOKUP(E446,[2]Current!$A$1:$W$435,7,FALSE)</f>
        <v>#N/A</v>
      </c>
      <c r="AU446" s="16">
        <v>0</v>
      </c>
      <c r="AV446" s="16"/>
      <c r="BE446" s="16"/>
      <c r="BF446" s="16"/>
      <c r="BG446" s="23"/>
      <c r="BH446" s="16"/>
      <c r="BI446" s="16"/>
      <c r="BJ446" s="16"/>
      <c r="BK446" s="16"/>
      <c r="BL446" s="16"/>
      <c r="BM446" s="16"/>
      <c r="BN446" s="16"/>
      <c r="BO446" s="16"/>
      <c r="BP446" s="16"/>
      <c r="BQ446" s="16"/>
      <c r="BR446" s="16"/>
      <c r="BS446" s="16"/>
      <c r="BT446" s="23"/>
      <c r="BU446" s="16"/>
      <c r="BV446" s="16"/>
      <c r="BW446" s="16"/>
      <c r="BX446" s="16"/>
      <c r="BY446" s="16"/>
      <c r="BZ446" s="16"/>
      <c r="CA446" s="16"/>
      <c r="CB446" s="16"/>
      <c r="CC446" s="16"/>
      <c r="CD446" s="23"/>
      <c r="CE446" s="16"/>
      <c r="CF446" s="16"/>
      <c r="CG446" s="16"/>
      <c r="CH446" s="16"/>
      <c r="CI446" s="16"/>
      <c r="CJ446" s="16"/>
      <c r="CK446" s="16"/>
      <c r="CL446" s="16"/>
      <c r="CM446" s="16"/>
      <c r="CN446" s="16"/>
      <c r="CO446" s="16"/>
      <c r="CP446" s="16"/>
      <c r="CQ446" s="16"/>
      <c r="CR446" s="16"/>
      <c r="CS446" s="16"/>
      <c r="CT446" s="16"/>
      <c r="CU446" s="16"/>
      <c r="CV446" s="16"/>
      <c r="CW446" s="16"/>
      <c r="CX446" s="16"/>
      <c r="CY446" s="16"/>
      <c r="CZ446" s="16"/>
      <c r="DA446" s="16"/>
      <c r="DB446" s="16"/>
      <c r="DC446" s="16"/>
      <c r="DD446" s="16"/>
      <c r="DE446" s="16"/>
      <c r="DF446" s="16" t="e">
        <f>VLOOKUP(K446,'[3]RNA Seq summary tables'!$V$3:$V$99,1,FALSE)</f>
        <v>#N/A</v>
      </c>
      <c r="DG446" s="16"/>
      <c r="DH446" s="16"/>
      <c r="DI446" s="16"/>
      <c r="DJ446" s="16"/>
      <c r="DK446" s="16"/>
      <c r="DL446" s="16"/>
      <c r="DM446" s="16"/>
      <c r="DN446" s="16"/>
      <c r="DO446" s="16"/>
      <c r="DP446" s="16"/>
      <c r="DQ446" s="16"/>
      <c r="DR446" s="16"/>
      <c r="DS446" s="16"/>
      <c r="JO446" s="16"/>
      <c r="JP446" s="16"/>
      <c r="JQ446" s="16"/>
    </row>
    <row r="447" spans="1:288" x14ac:dyDescent="0.2">
      <c r="B447" s="16">
        <v>2017</v>
      </c>
      <c r="C447" s="20">
        <v>42949</v>
      </c>
      <c r="D447" s="20" t="str">
        <f>CONCATENATE(J447,"-",C447)</f>
        <v>1309-42949</v>
      </c>
      <c r="E447" s="142" t="str">
        <f>CONCATENATE(T447,"-",U447,"-",C447)</f>
        <v>HW2-B2-42949</v>
      </c>
      <c r="F447" s="20" t="s">
        <v>106</v>
      </c>
      <c r="G447" s="20" t="s">
        <v>107</v>
      </c>
      <c r="J447" s="21">
        <v>1309</v>
      </c>
      <c r="K447" s="21">
        <v>2059</v>
      </c>
      <c r="L447" s="18">
        <v>0</v>
      </c>
      <c r="M447" s="21">
        <f>VLOOKUP($K447,'[4]blood tubes 2017'!$D$1:$L$647,8,FALSE)</f>
        <v>0</v>
      </c>
      <c r="N447" s="15">
        <v>0</v>
      </c>
      <c r="O447" s="15" t="s">
        <v>119</v>
      </c>
      <c r="P447" s="16" t="s">
        <v>119</v>
      </c>
      <c r="Q447" s="16">
        <v>0</v>
      </c>
      <c r="R447" s="16" t="s">
        <v>111</v>
      </c>
      <c r="T447" s="16" t="s">
        <v>129</v>
      </c>
      <c r="U447" s="16" t="s">
        <v>130</v>
      </c>
      <c r="V447" s="16" t="s">
        <v>114</v>
      </c>
      <c r="W447" s="16">
        <f>AI447/AG447</f>
        <v>0.87356321839080464</v>
      </c>
      <c r="X447" s="16" t="s">
        <v>115</v>
      </c>
      <c r="Y447" s="16" t="s">
        <v>110</v>
      </c>
      <c r="Z447" s="16">
        <v>3</v>
      </c>
      <c r="AE447" s="16" t="s">
        <v>123</v>
      </c>
      <c r="AF447" s="16" t="s">
        <v>123</v>
      </c>
      <c r="AG447" s="16">
        <f>AH447-AI447</f>
        <v>87</v>
      </c>
      <c r="AH447" s="16">
        <v>163</v>
      </c>
      <c r="AI447" s="16">
        <v>76</v>
      </c>
      <c r="AK447" s="16">
        <v>19.5</v>
      </c>
      <c r="AL447" s="16">
        <v>0</v>
      </c>
      <c r="AM447" s="16">
        <v>0</v>
      </c>
      <c r="AN447" s="16">
        <v>0</v>
      </c>
      <c r="AO447" s="16">
        <v>0</v>
      </c>
      <c r="AP447" s="16">
        <f>SUM(AL447:AO447)</f>
        <v>0</v>
      </c>
      <c r="AQ447" s="16">
        <v>1.855</v>
      </c>
      <c r="AR447" s="16">
        <f>AP447-1.472</f>
        <v>-1.472</v>
      </c>
      <c r="AS447" s="16">
        <f>AQ447-1.472</f>
        <v>0.38300000000000001</v>
      </c>
      <c r="AT447" s="16" t="e">
        <f>VLOOKUP(E447,[2]Current!$A$1:$W$435,7,FALSE)</f>
        <v>#N/A</v>
      </c>
      <c r="AU447" s="16">
        <v>0</v>
      </c>
      <c r="AW447" s="18"/>
      <c r="AX447" s="18"/>
      <c r="AY447" s="18"/>
      <c r="AZ447" s="18"/>
      <c r="BA447" s="18"/>
      <c r="BB447" s="18"/>
      <c r="BC447" s="18"/>
      <c r="BD447" s="18"/>
      <c r="BG447" s="77"/>
      <c r="BT447" s="77"/>
      <c r="CD447" s="77"/>
      <c r="DF447" s="16" t="e">
        <f>VLOOKUP(K447,'[3]RNA Seq summary tables'!$V$3:$V$99,1,FALSE)</f>
        <v>#N/A</v>
      </c>
    </row>
    <row r="448" spans="1:288" ht="16" x14ac:dyDescent="0.2">
      <c r="B448" s="16">
        <v>2017</v>
      </c>
      <c r="C448" s="20">
        <v>42949</v>
      </c>
      <c r="D448" s="20" t="str">
        <f>CONCATENATE(J448,"-",C448)</f>
        <v>1311-42949</v>
      </c>
      <c r="E448" s="37" t="str">
        <f>CONCATENATE(T448,"-",U448,"-",C448)</f>
        <v>HW1-H1-42949</v>
      </c>
      <c r="F448" s="20" t="s">
        <v>106</v>
      </c>
      <c r="G448" s="20" t="s">
        <v>107</v>
      </c>
      <c r="I448" s="16">
        <v>0</v>
      </c>
      <c r="J448" s="21">
        <v>1311</v>
      </c>
      <c r="K448" s="21">
        <v>2064</v>
      </c>
      <c r="L448" s="18">
        <v>0</v>
      </c>
      <c r="M448" s="21">
        <f>VLOOKUP($K448,'[4]blood tubes 2017'!$D$1:$L$647,8,FALSE)</f>
        <v>0</v>
      </c>
      <c r="N448" s="15">
        <v>0</v>
      </c>
      <c r="O448" s="15" t="s">
        <v>119</v>
      </c>
      <c r="P448" s="16" t="s">
        <v>119</v>
      </c>
      <c r="Q448" s="16">
        <v>0</v>
      </c>
      <c r="R448" s="16" t="s">
        <v>111</v>
      </c>
      <c r="T448" s="16" t="s">
        <v>133</v>
      </c>
      <c r="U448" s="16" t="s">
        <v>191</v>
      </c>
      <c r="V448" s="16" t="s">
        <v>114</v>
      </c>
      <c r="W448" s="16">
        <f>AI448/AG448</f>
        <v>0.87209302325581395</v>
      </c>
      <c r="X448" s="16" t="s">
        <v>121</v>
      </c>
      <c r="Y448" s="16" t="s">
        <v>110</v>
      </c>
      <c r="Z448" s="16">
        <v>3</v>
      </c>
      <c r="AA448" s="16" t="s">
        <v>119</v>
      </c>
      <c r="AB448" s="16" t="s">
        <v>123</v>
      </c>
      <c r="AC448" s="16" t="s">
        <v>123</v>
      </c>
      <c r="AD448" s="16" t="s">
        <v>123</v>
      </c>
      <c r="AG448" s="16">
        <f>AH448-AI448</f>
        <v>86</v>
      </c>
      <c r="AH448" s="16">
        <v>161</v>
      </c>
      <c r="AI448" s="16">
        <v>75</v>
      </c>
      <c r="AK448" s="16">
        <v>17</v>
      </c>
      <c r="AL448" s="16">
        <v>0</v>
      </c>
      <c r="AM448" s="16">
        <v>0</v>
      </c>
      <c r="AN448" s="16">
        <v>0</v>
      </c>
      <c r="AO448" s="16">
        <v>0</v>
      </c>
      <c r="AP448" s="16">
        <f>SUM(AL448:AO448)</f>
        <v>0</v>
      </c>
      <c r="AQ448" s="16">
        <v>2.0950000000000002</v>
      </c>
      <c r="AR448" s="16">
        <f>AP448-1.472</f>
        <v>-1.472</v>
      </c>
      <c r="AS448" s="16">
        <f>AQ448-1.472</f>
        <v>0.62300000000000022</v>
      </c>
      <c r="AT448" s="16" t="str">
        <f>VLOOKUP(E448,[2]Current!$A$1:$W$435,7,FALSE)</f>
        <v>TE</v>
      </c>
      <c r="AU448" s="16" t="s">
        <v>1288</v>
      </c>
      <c r="AV448" s="23"/>
      <c r="AW448" s="128">
        <f>IF(AX448&gt;0,1,0)</f>
        <v>1</v>
      </c>
      <c r="AX448" s="128">
        <f>SUM(BA448,BM448,CU448)</f>
        <v>181</v>
      </c>
      <c r="AY448" s="128">
        <f>SUM(BB448,BN448,CV448)</f>
        <v>468.69983948635615</v>
      </c>
      <c r="AZ448" s="128">
        <f>IF(BA448&gt;0,1,0)</f>
        <v>1</v>
      </c>
      <c r="BA448" s="128">
        <f>SUM(BC448+BF448+BI448)</f>
        <v>3</v>
      </c>
      <c r="BB448" s="128">
        <f>SUM(BE448,BH448,BK448)</f>
        <v>182.98555377207055</v>
      </c>
      <c r="BC448" s="130">
        <f>IF(BD448&gt;0,1,0)</f>
        <v>1</v>
      </c>
      <c r="BD448" s="128">
        <f>VLOOKUP($E448,[2]Current!$A:$AC,26,FALSE)</f>
        <v>12</v>
      </c>
      <c r="BE448" s="128">
        <f>BD448/$AS448</f>
        <v>19.261637239165321</v>
      </c>
      <c r="BF448" s="130">
        <f>IF(BG448&gt;0,1,0)</f>
        <v>1</v>
      </c>
      <c r="BG448" s="137">
        <f>VLOOKUP($E448,[2]Current!$A:$AC,27,FALSE)</f>
        <v>8</v>
      </c>
      <c r="BH448" s="128">
        <f>BG448/$AS448</f>
        <v>12.841091492776881</v>
      </c>
      <c r="BI448" s="130">
        <f>IF(BJ448&gt;0,1,0)</f>
        <v>1</v>
      </c>
      <c r="BJ448" s="128">
        <f>VLOOKUP($E448,[2]Current!$A:$AC,28,FALSE)</f>
        <v>94</v>
      </c>
      <c r="BK448" s="128">
        <f>BJ448/$AS448</f>
        <v>150.88282504012835</v>
      </c>
      <c r="BL448" s="128">
        <f>IF(BM448&gt;0,1,0)</f>
        <v>0</v>
      </c>
      <c r="BM448" s="128">
        <f>SUM(BR448,BU448,BX448,CA448,CD448)</f>
        <v>0</v>
      </c>
      <c r="BN448" s="131">
        <f>SUM(BT448,BW448,BZ448,CC448,CF448)</f>
        <v>0</v>
      </c>
      <c r="BO448" s="128">
        <f>IF(BP448&gt;0,1,0)</f>
        <v>0</v>
      </c>
      <c r="BP448" s="128">
        <f>BM448+CJ448</f>
        <v>0</v>
      </c>
      <c r="BQ448" s="128">
        <f>BN448+CL448</f>
        <v>0</v>
      </c>
      <c r="BR448" s="130">
        <f>IF(BS448&gt;0,1,0)</f>
        <v>0</v>
      </c>
      <c r="BS448" s="128">
        <f>VLOOKUP($E448,[2]Current!$A:$AC,12,FALSE)</f>
        <v>0</v>
      </c>
      <c r="BT448" s="137">
        <f>BS448/$AS448</f>
        <v>0</v>
      </c>
      <c r="BU448" s="130">
        <f>IF(BV448&gt;0,1,0)</f>
        <v>0</v>
      </c>
      <c r="BV448" s="128">
        <f>VLOOKUP($E448,[2]Current!$A:$AC,13,FALSE)</f>
        <v>0</v>
      </c>
      <c r="BW448" s="128">
        <f>BV448/$AS448</f>
        <v>0</v>
      </c>
      <c r="BX448" s="130">
        <f>IF(BY448&gt;0,1,0)</f>
        <v>0</v>
      </c>
      <c r="BY448" s="128">
        <f>VLOOKUP($E448,[2]Current!$A:$AC,14,FALSE)</f>
        <v>0</v>
      </c>
      <c r="BZ448" s="128">
        <f>BY448/$AS448</f>
        <v>0</v>
      </c>
      <c r="CA448" s="130">
        <f>IF(CB448&gt;0,1,0)</f>
        <v>0</v>
      </c>
      <c r="CB448" s="128">
        <f>VLOOKUP($E448,[2]Current!$A:$AC,15,FALSE)</f>
        <v>0</v>
      </c>
      <c r="CC448" s="128">
        <f>CB448/$AS448</f>
        <v>0</v>
      </c>
      <c r="CD448" s="174">
        <f>IF(CE448&gt;0,1,0)</f>
        <v>0</v>
      </c>
      <c r="CE448" s="128">
        <f>VLOOKUP($E448,[2]Current!$A:$AC,16,FALSE)</f>
        <v>0</v>
      </c>
      <c r="CF448" s="128">
        <f>CE448/$AS448</f>
        <v>0</v>
      </c>
      <c r="CG448" s="18"/>
      <c r="CH448" s="18"/>
      <c r="CI448" s="18"/>
      <c r="CJ448" s="130">
        <f>IF(CK448&gt;0,1,0)</f>
        <v>0</v>
      </c>
      <c r="CK448" s="128">
        <f>VLOOKUP($E448,[2]Current!$A:$AC,18,FALSE)</f>
        <v>0</v>
      </c>
      <c r="CL448" s="128">
        <f>CK448/$AS448</f>
        <v>0</v>
      </c>
      <c r="CS448" s="130">
        <f>IF(CU448&gt;0,1,0)</f>
        <v>1</v>
      </c>
      <c r="CU448" s="128">
        <f>VLOOKUP($E448,[2]Current!$A:$AC,17,FALSE)</f>
        <v>178</v>
      </c>
      <c r="CV448" s="128">
        <f>CU448/$AS448</f>
        <v>285.71428571428561</v>
      </c>
      <c r="CW448" s="18"/>
      <c r="CX448" s="18"/>
      <c r="CY448" s="18"/>
      <c r="DF448" s="16" t="e">
        <f>VLOOKUP(K448,'[3]RNA Seq summary tables'!$V$3:$V$99,1,FALSE)</f>
        <v>#N/A</v>
      </c>
    </row>
    <row r="449" spans="1:288" x14ac:dyDescent="0.2">
      <c r="B449" s="16">
        <v>2017</v>
      </c>
      <c r="C449" s="20">
        <v>42950</v>
      </c>
      <c r="D449" s="20" t="str">
        <f>CONCATENATE(J449,"-",C449)</f>
        <v>1313-42950</v>
      </c>
      <c r="E449" s="142" t="str">
        <f>CONCATENATE(T449,"-",U449,"-",C449)</f>
        <v>HW2-B3-42950</v>
      </c>
      <c r="F449" s="20" t="s">
        <v>106</v>
      </c>
      <c r="G449" s="20" t="s">
        <v>107</v>
      </c>
      <c r="J449" s="21">
        <v>1313</v>
      </c>
      <c r="K449" s="21">
        <v>2067</v>
      </c>
      <c r="L449" s="18">
        <v>0</v>
      </c>
      <c r="M449" s="21">
        <f>VLOOKUP($K449,'[4]blood tubes 2017'!$D$1:$L$647,8,FALSE)</f>
        <v>0</v>
      </c>
      <c r="N449" s="15">
        <v>0</v>
      </c>
      <c r="O449" s="15" t="s">
        <v>119</v>
      </c>
      <c r="P449" s="16" t="s">
        <v>119</v>
      </c>
      <c r="Q449" s="16">
        <v>0</v>
      </c>
      <c r="R449" s="16" t="s">
        <v>111</v>
      </c>
      <c r="T449" s="16" t="s">
        <v>129</v>
      </c>
      <c r="U449" s="16" t="s">
        <v>131</v>
      </c>
      <c r="V449" s="16" t="s">
        <v>114</v>
      </c>
      <c r="W449" s="16">
        <f>AI449/AG449</f>
        <v>0.84090909090909094</v>
      </c>
      <c r="X449" s="16" t="s">
        <v>115</v>
      </c>
      <c r="Y449" s="16" t="s">
        <v>110</v>
      </c>
      <c r="Z449" s="16">
        <v>3</v>
      </c>
      <c r="AE449" s="16" t="s">
        <v>123</v>
      </c>
      <c r="AF449" s="16" t="s">
        <v>123</v>
      </c>
      <c r="AG449" s="16">
        <f>AH449-AI449</f>
        <v>88</v>
      </c>
      <c r="AH449" s="16">
        <v>162</v>
      </c>
      <c r="AI449" s="16">
        <v>74</v>
      </c>
      <c r="AK449" s="16">
        <v>20.5</v>
      </c>
      <c r="AL449" s="16">
        <v>1</v>
      </c>
      <c r="AM449" s="16">
        <v>0</v>
      </c>
      <c r="AN449" s="16">
        <v>0</v>
      </c>
      <c r="AO449" s="16">
        <v>1</v>
      </c>
      <c r="AP449" s="16">
        <f>SUM(AL449:AO449)</f>
        <v>2</v>
      </c>
      <c r="AQ449" s="16">
        <v>1.778</v>
      </c>
      <c r="AR449" s="16">
        <f>AP449-1.472</f>
        <v>0.52800000000000002</v>
      </c>
      <c r="AS449" s="16">
        <f>AQ449-1.472</f>
        <v>0.30600000000000005</v>
      </c>
      <c r="AT449" s="16" t="e">
        <f>VLOOKUP(E449,[2]Current!$A$1:$W$435,7,FALSE)</f>
        <v>#N/A</v>
      </c>
      <c r="AU449" s="16">
        <v>0</v>
      </c>
      <c r="AW449" s="18"/>
      <c r="AX449" s="18"/>
      <c r="AY449" s="18"/>
      <c r="AZ449" s="18"/>
      <c r="BA449" s="18"/>
      <c r="BB449" s="18"/>
      <c r="BC449" s="18"/>
      <c r="BD449" s="18"/>
      <c r="BG449" s="77"/>
      <c r="BT449" s="77"/>
      <c r="CD449" s="77"/>
      <c r="DF449" s="16" t="e">
        <f>VLOOKUP(K449,'[3]RNA Seq summary tables'!$V$3:$V$99,1,FALSE)</f>
        <v>#N/A</v>
      </c>
    </row>
    <row r="450" spans="1:288" s="18" customFormat="1" x14ac:dyDescent="0.2">
      <c r="A450" s="51">
        <v>1</v>
      </c>
      <c r="B450" s="16">
        <v>2017</v>
      </c>
      <c r="C450" s="20">
        <v>42967</v>
      </c>
      <c r="D450" s="20" t="str">
        <f>CONCATENATE(J450,"-",C450)</f>
        <v>1313-42967</v>
      </c>
      <c r="E450" s="20" t="str">
        <f>CONCATENATE(T450,"-",U450,"-",C450)</f>
        <v>HW2-G5-42967</v>
      </c>
      <c r="F450" s="20" t="s">
        <v>106</v>
      </c>
      <c r="G450" s="20" t="s">
        <v>107</v>
      </c>
      <c r="H450" s="16" t="s">
        <v>243</v>
      </c>
      <c r="I450" s="16">
        <v>0</v>
      </c>
      <c r="J450" s="21">
        <v>1313</v>
      </c>
      <c r="K450" s="21" t="s">
        <v>153</v>
      </c>
      <c r="L450" s="18">
        <v>0</v>
      </c>
      <c r="M450" s="21"/>
      <c r="N450" s="21"/>
      <c r="O450" s="15" t="s">
        <v>119</v>
      </c>
      <c r="P450" s="16" t="s">
        <v>119</v>
      </c>
      <c r="Q450" s="16">
        <v>0</v>
      </c>
      <c r="R450" s="16">
        <v>17</v>
      </c>
      <c r="S450" s="16"/>
      <c r="T450" s="16" t="s">
        <v>129</v>
      </c>
      <c r="U450" s="16" t="s">
        <v>200</v>
      </c>
      <c r="V450" s="16" t="s">
        <v>114</v>
      </c>
      <c r="W450" s="16">
        <f>AI450/AG450</f>
        <v>0.84269662921348309</v>
      </c>
      <c r="X450" s="16" t="s">
        <v>115</v>
      </c>
      <c r="Y450" s="16" t="s">
        <v>110</v>
      </c>
      <c r="Z450" s="16">
        <v>3</v>
      </c>
      <c r="AA450" s="16"/>
      <c r="AB450" s="16"/>
      <c r="AC450" s="16"/>
      <c r="AD450" s="16"/>
      <c r="AE450" s="16" t="s">
        <v>116</v>
      </c>
      <c r="AF450" s="16" t="s">
        <v>116</v>
      </c>
      <c r="AG450" s="16">
        <f>AH450-AI450</f>
        <v>89</v>
      </c>
      <c r="AH450" s="16">
        <v>164</v>
      </c>
      <c r="AI450" s="16">
        <v>75</v>
      </c>
      <c r="AJ450" s="16"/>
      <c r="AK450" s="16">
        <v>22.5</v>
      </c>
      <c r="AL450" s="16">
        <v>0</v>
      </c>
      <c r="AM450" s="16">
        <v>0</v>
      </c>
      <c r="AN450" s="16">
        <v>0</v>
      </c>
      <c r="AO450" s="16">
        <v>0</v>
      </c>
      <c r="AP450" s="16">
        <f>SUM(AL450:AN450)</f>
        <v>0</v>
      </c>
      <c r="AQ450" s="16">
        <v>1.643</v>
      </c>
      <c r="AR450" s="16">
        <f>AP450-1.472</f>
        <v>-1.472</v>
      </c>
      <c r="AS450" s="16">
        <f>AQ450-1.472</f>
        <v>0.17100000000000004</v>
      </c>
      <c r="AT450" s="41" t="s">
        <v>153</v>
      </c>
      <c r="AU450" s="41"/>
      <c r="AV450" s="41"/>
      <c r="AW450" s="41"/>
      <c r="AX450" s="41"/>
      <c r="AY450" s="41"/>
      <c r="AZ450" s="41"/>
      <c r="BA450" s="41"/>
      <c r="BB450" s="41"/>
      <c r="BC450" s="41"/>
      <c r="BD450" s="41"/>
      <c r="BE450" s="41"/>
      <c r="BF450" s="41"/>
      <c r="BG450" s="28"/>
      <c r="BH450" s="41"/>
      <c r="BI450" s="41"/>
      <c r="BJ450" s="41"/>
      <c r="BK450" s="41"/>
      <c r="BL450" s="41"/>
      <c r="BM450" s="41"/>
      <c r="BN450" s="41"/>
      <c r="BO450" s="41"/>
      <c r="BP450" s="41"/>
      <c r="BQ450" s="41"/>
      <c r="BR450" s="41"/>
      <c r="BS450" s="41"/>
      <c r="BT450" s="28"/>
      <c r="BU450" s="41"/>
      <c r="BV450" s="41"/>
      <c r="BW450" s="41"/>
      <c r="BX450" s="41"/>
      <c r="BY450" s="41"/>
      <c r="BZ450" s="41"/>
      <c r="CA450" s="41"/>
      <c r="CB450" s="41"/>
      <c r="CC450" s="41"/>
      <c r="CD450" s="28"/>
      <c r="CE450" s="41"/>
      <c r="CF450" s="41"/>
      <c r="CG450" s="41"/>
      <c r="CH450" s="41"/>
      <c r="CI450" s="41"/>
      <c r="CJ450" s="41"/>
      <c r="CK450" s="41"/>
      <c r="CL450" s="41"/>
      <c r="CM450" s="41"/>
      <c r="CN450" s="41"/>
      <c r="CO450" s="41"/>
      <c r="CP450" s="41"/>
      <c r="CQ450" s="41"/>
      <c r="CR450" s="41"/>
      <c r="CS450" s="41"/>
      <c r="CT450" s="41"/>
      <c r="CU450" s="41"/>
      <c r="CV450" s="41"/>
      <c r="CW450" s="41"/>
      <c r="CX450" s="41"/>
      <c r="CY450" s="41"/>
      <c r="CZ450" s="41"/>
      <c r="DA450" s="41"/>
      <c r="DB450" s="41"/>
      <c r="DC450" s="41"/>
      <c r="DD450" s="41"/>
      <c r="DE450" s="41"/>
      <c r="DF450" s="16" t="e">
        <f>VLOOKUP(K450,'[3]RNA Seq summary tables'!$V$3:$V$99,1,FALSE)</f>
        <v>#N/A</v>
      </c>
      <c r="DG450" s="16"/>
      <c r="DH450" s="16"/>
      <c r="DI450" s="16"/>
      <c r="DJ450" s="16"/>
      <c r="DK450" s="16"/>
      <c r="DL450" s="16"/>
      <c r="DM450" s="16"/>
      <c r="DN450" s="16"/>
      <c r="DO450" s="16"/>
      <c r="DP450" s="16"/>
      <c r="DQ450" s="16"/>
      <c r="DR450" s="16"/>
      <c r="DS450" s="16"/>
      <c r="JO450" s="16"/>
      <c r="JR450" s="16"/>
      <c r="JS450" s="16"/>
      <c r="JT450" s="16"/>
      <c r="JU450" s="16"/>
      <c r="JV450" s="16"/>
      <c r="JW450" s="16"/>
      <c r="JX450" s="16"/>
      <c r="JY450" s="16"/>
      <c r="JZ450" s="16"/>
      <c r="KA450" s="16"/>
      <c r="KB450" s="16"/>
    </row>
    <row r="451" spans="1:288" x14ac:dyDescent="0.2">
      <c r="B451" s="16">
        <v>2017</v>
      </c>
      <c r="C451" s="20">
        <v>42950</v>
      </c>
      <c r="D451" s="20" t="str">
        <f>CONCATENATE(J451,"-",C451)</f>
        <v>1315-42950</v>
      </c>
      <c r="E451" s="142" t="str">
        <f>CONCATENATE(T451,"-",U451,"-",C451)</f>
        <v>HW2-D8-42950</v>
      </c>
      <c r="F451" s="20" t="s">
        <v>106</v>
      </c>
      <c r="G451" s="20" t="s">
        <v>107</v>
      </c>
      <c r="J451" s="21">
        <v>1315</v>
      </c>
      <c r="K451" s="21">
        <v>2069</v>
      </c>
      <c r="L451" s="18">
        <v>0</v>
      </c>
      <c r="M451" s="21">
        <f>VLOOKUP($K451,'[4]blood tubes 2017'!$D$1:$L$647,8,FALSE)</f>
        <v>0</v>
      </c>
      <c r="N451" s="15">
        <v>0</v>
      </c>
      <c r="O451" s="15" t="s">
        <v>119</v>
      </c>
      <c r="P451" s="16" t="s">
        <v>119</v>
      </c>
      <c r="Q451" s="16">
        <v>0</v>
      </c>
      <c r="R451" s="16" t="s">
        <v>111</v>
      </c>
      <c r="T451" s="16" t="s">
        <v>129</v>
      </c>
      <c r="U451" s="16" t="s">
        <v>178</v>
      </c>
      <c r="V451" s="16" t="s">
        <v>114</v>
      </c>
      <c r="W451" s="16">
        <f>AI451/AG451</f>
        <v>0.82926829268292679</v>
      </c>
      <c r="X451" s="16" t="s">
        <v>121</v>
      </c>
      <c r="Y451" s="16" t="s">
        <v>122</v>
      </c>
      <c r="Z451" s="16">
        <v>2.9</v>
      </c>
      <c r="AA451" s="16" t="s">
        <v>161</v>
      </c>
      <c r="AB451" s="16" t="s">
        <v>239</v>
      </c>
      <c r="AC451" s="16" t="s">
        <v>123</v>
      </c>
      <c r="AD451" s="16" t="s">
        <v>116</v>
      </c>
      <c r="AG451" s="16">
        <f>AH451-AI451</f>
        <v>82</v>
      </c>
      <c r="AH451" s="16">
        <v>150</v>
      </c>
      <c r="AI451" s="16">
        <v>68</v>
      </c>
      <c r="AK451" s="16">
        <v>14.5</v>
      </c>
      <c r="AL451" s="16">
        <v>0</v>
      </c>
      <c r="AM451" s="16">
        <v>0</v>
      </c>
      <c r="AN451" s="16">
        <v>0</v>
      </c>
      <c r="AO451" s="16">
        <v>0</v>
      </c>
      <c r="AP451" s="16">
        <f>SUM(AL451:AO451)</f>
        <v>0</v>
      </c>
      <c r="AQ451" s="16">
        <v>1.8089999999999999</v>
      </c>
      <c r="AR451" s="16">
        <f>AP451-1.472</f>
        <v>-1.472</v>
      </c>
      <c r="AS451" s="16">
        <f>AQ451-1.472</f>
        <v>0.33699999999999997</v>
      </c>
      <c r="AT451" s="16" t="e">
        <f>VLOOKUP(E451,[2]Current!$A$1:$W$435,7,FALSE)</f>
        <v>#N/A</v>
      </c>
      <c r="AU451" s="16">
        <v>0</v>
      </c>
      <c r="AW451" s="18"/>
      <c r="AX451" s="18"/>
      <c r="AY451" s="18"/>
      <c r="AZ451" s="18"/>
      <c r="BA451" s="18"/>
      <c r="BB451" s="18"/>
      <c r="BC451" s="18"/>
      <c r="BD451" s="18"/>
      <c r="BG451" s="77"/>
      <c r="BT451" s="77"/>
      <c r="CD451" s="77"/>
      <c r="DF451" s="16" t="e">
        <f>VLOOKUP(K451,'[3]RNA Seq summary tables'!$V$3:$V$99,1,FALSE)</f>
        <v>#N/A</v>
      </c>
    </row>
    <row r="452" spans="1:288" x14ac:dyDescent="0.2">
      <c r="B452" s="16">
        <v>2017</v>
      </c>
      <c r="C452" s="20">
        <v>42966</v>
      </c>
      <c r="D452" s="20" t="str">
        <f>CONCATENATE(J452,"-",C452)</f>
        <v>1315-42966</v>
      </c>
      <c r="E452" s="142" t="str">
        <f>CONCATENATE(T452,"-",U452,"-",C452)</f>
        <v>HW2-D8-42966</v>
      </c>
      <c r="F452" s="20" t="s">
        <v>106</v>
      </c>
      <c r="G452" s="20" t="s">
        <v>107</v>
      </c>
      <c r="J452" s="21">
        <v>1315</v>
      </c>
      <c r="K452" s="21">
        <v>2194</v>
      </c>
      <c r="L452" s="18">
        <v>0</v>
      </c>
      <c r="M452" s="21">
        <f>VLOOKUP($K452,'[4]blood tubes 2017'!$D$1:$L$647,8,FALSE)</f>
        <v>0</v>
      </c>
      <c r="N452" s="15">
        <v>0</v>
      </c>
      <c r="O452" s="15" t="s">
        <v>119</v>
      </c>
      <c r="P452" s="16" t="s">
        <v>119</v>
      </c>
      <c r="Q452" s="16">
        <v>0</v>
      </c>
      <c r="R452" s="16">
        <v>16</v>
      </c>
      <c r="T452" s="16" t="s">
        <v>129</v>
      </c>
      <c r="U452" s="16" t="s">
        <v>178</v>
      </c>
      <c r="V452" s="16" t="s">
        <v>114</v>
      </c>
      <c r="W452" s="16">
        <f>AI452/AG452</f>
        <v>0.82352941176470584</v>
      </c>
      <c r="X452" s="16" t="s">
        <v>121</v>
      </c>
      <c r="Y452" s="16" t="s">
        <v>122</v>
      </c>
      <c r="Z452" s="16">
        <v>2.9</v>
      </c>
      <c r="AA452" s="16" t="s">
        <v>161</v>
      </c>
      <c r="AB452" s="16" t="s">
        <v>239</v>
      </c>
      <c r="AC452" s="16" t="s">
        <v>123</v>
      </c>
      <c r="AD452" s="16" t="s">
        <v>116</v>
      </c>
      <c r="AG452" s="16">
        <f>AH452-AI452</f>
        <v>85</v>
      </c>
      <c r="AH452" s="16">
        <v>155</v>
      </c>
      <c r="AI452" s="16">
        <v>70</v>
      </c>
      <c r="AK452" s="16">
        <v>17.5</v>
      </c>
      <c r="AL452" s="16">
        <v>0</v>
      </c>
      <c r="AM452" s="16">
        <v>1</v>
      </c>
      <c r="AN452" s="16">
        <v>0</v>
      </c>
      <c r="AO452" s="16">
        <v>1</v>
      </c>
      <c r="AP452" s="16">
        <f>SUM(AL452:AN452)</f>
        <v>1</v>
      </c>
      <c r="AQ452" s="16">
        <v>1.857</v>
      </c>
      <c r="AR452" s="16">
        <f>AP452-1.472</f>
        <v>-0.47199999999999998</v>
      </c>
      <c r="AS452" s="16">
        <f>AQ452-1.472</f>
        <v>0.38500000000000001</v>
      </c>
      <c r="AT452" s="16" t="e">
        <f>VLOOKUP(E452,[2]Current!$A$1:$W$435,7,FALSE)</f>
        <v>#N/A</v>
      </c>
      <c r="AU452" s="16">
        <v>0</v>
      </c>
      <c r="AW452" s="18"/>
      <c r="AX452" s="18"/>
      <c r="AY452" s="18"/>
      <c r="AZ452" s="18"/>
      <c r="BA452" s="18"/>
      <c r="BB452" s="18"/>
      <c r="BC452" s="18"/>
      <c r="BD452" s="18"/>
      <c r="BG452" s="77"/>
      <c r="BT452" s="77"/>
      <c r="CD452" s="77"/>
      <c r="DF452" s="16" t="e">
        <f>VLOOKUP(K452,'[3]RNA Seq summary tables'!$V$3:$V$99,1,FALSE)</f>
        <v>#N/A</v>
      </c>
      <c r="JR452" s="30"/>
      <c r="JS452" s="30"/>
      <c r="JT452" s="30"/>
      <c r="JU452" s="30"/>
      <c r="JV452" s="30"/>
      <c r="JW452" s="30"/>
      <c r="JX452" s="30"/>
      <c r="JY452" s="30"/>
      <c r="JZ452" s="30"/>
      <c r="KA452" s="30"/>
      <c r="KB452" s="30"/>
    </row>
    <row r="453" spans="1:288" s="18" customFormat="1" x14ac:dyDescent="0.2">
      <c r="B453" s="16">
        <v>2017</v>
      </c>
      <c r="C453" s="20">
        <v>42954</v>
      </c>
      <c r="D453" s="20" t="str">
        <f>CONCATENATE(J453,"-",C453)</f>
        <v>1317-42954</v>
      </c>
      <c r="E453" s="142" t="str">
        <f>CONCATENATE(T453,"-",U453,"-",C453)</f>
        <v>BC2-H3-42954</v>
      </c>
      <c r="F453" s="20" t="s">
        <v>106</v>
      </c>
      <c r="G453" s="20" t="s">
        <v>107</v>
      </c>
      <c r="H453" s="16"/>
      <c r="I453" s="16"/>
      <c r="J453" s="21">
        <v>1317</v>
      </c>
      <c r="K453" s="21">
        <v>2080</v>
      </c>
      <c r="L453" s="18">
        <v>0</v>
      </c>
      <c r="M453" s="21">
        <f>VLOOKUP($K453,'[4]blood tubes 2017'!$D$1:$L$647,8,FALSE)</f>
        <v>0</v>
      </c>
      <c r="N453" s="15">
        <v>0</v>
      </c>
      <c r="O453" s="15" t="s">
        <v>119</v>
      </c>
      <c r="P453" s="16" t="s">
        <v>119</v>
      </c>
      <c r="Q453" s="16">
        <v>0</v>
      </c>
      <c r="R453" s="16" t="s">
        <v>111</v>
      </c>
      <c r="S453" s="16"/>
      <c r="T453" s="16" t="s">
        <v>154</v>
      </c>
      <c r="U453" s="16" t="s">
        <v>174</v>
      </c>
      <c r="V453" s="16" t="s">
        <v>114</v>
      </c>
      <c r="W453" s="16">
        <f>AI453/AG453</f>
        <v>0.86075949367088611</v>
      </c>
      <c r="X453" s="16" t="s">
        <v>121</v>
      </c>
      <c r="Y453" s="16" t="s">
        <v>122</v>
      </c>
      <c r="Z453" s="16">
        <v>2.2999999999999998</v>
      </c>
      <c r="AA453" s="16" t="s">
        <v>119</v>
      </c>
      <c r="AB453" s="16" t="s">
        <v>123</v>
      </c>
      <c r="AC453" s="16" t="s">
        <v>123</v>
      </c>
      <c r="AD453" s="16" t="s">
        <v>123</v>
      </c>
      <c r="AE453" s="16"/>
      <c r="AF453" s="16"/>
      <c r="AG453" s="16">
        <f>AH453-AI453</f>
        <v>79</v>
      </c>
      <c r="AH453" s="16">
        <v>147</v>
      </c>
      <c r="AI453" s="16">
        <v>68</v>
      </c>
      <c r="AJ453" s="16"/>
      <c r="AK453" s="16">
        <v>15.5</v>
      </c>
      <c r="AL453" s="16">
        <v>0</v>
      </c>
      <c r="AM453" s="16">
        <v>0</v>
      </c>
      <c r="AN453" s="16">
        <v>0</v>
      </c>
      <c r="AO453" s="16">
        <v>0</v>
      </c>
      <c r="AP453" s="16">
        <f>SUM(AL453:AN453)</f>
        <v>0</v>
      </c>
      <c r="AQ453" s="16">
        <v>1.845</v>
      </c>
      <c r="AR453" s="16">
        <f>AP453-1.472</f>
        <v>-1.472</v>
      </c>
      <c r="AS453" s="16">
        <f>AQ453-1.472</f>
        <v>0.373</v>
      </c>
      <c r="AT453" s="16" t="e">
        <f>VLOOKUP(E453,[2]Current!$A$1:$W$435,7,FALSE)</f>
        <v>#N/A</v>
      </c>
      <c r="AU453" s="16">
        <v>0</v>
      </c>
      <c r="AV453" s="16"/>
      <c r="BE453" s="16"/>
      <c r="BF453" s="16"/>
      <c r="BG453" s="77"/>
      <c r="BH453" s="16"/>
      <c r="BI453" s="16"/>
      <c r="BJ453" s="16"/>
      <c r="BK453" s="16"/>
      <c r="BL453" s="16"/>
      <c r="BM453" s="16"/>
      <c r="BN453" s="16"/>
      <c r="BO453" s="16"/>
      <c r="BP453" s="16"/>
      <c r="BQ453" s="16"/>
      <c r="BR453" s="16"/>
      <c r="BS453" s="16"/>
      <c r="BT453" s="77"/>
      <c r="BU453" s="16"/>
      <c r="BV453" s="16"/>
      <c r="BW453" s="16"/>
      <c r="BX453" s="16"/>
      <c r="BY453" s="16"/>
      <c r="BZ453" s="16"/>
      <c r="CA453" s="16"/>
      <c r="CB453" s="16"/>
      <c r="CC453" s="16"/>
      <c r="CD453" s="77"/>
      <c r="CE453" s="16"/>
      <c r="CF453" s="16"/>
      <c r="CG453" s="16"/>
      <c r="CH453" s="16"/>
      <c r="CI453" s="16"/>
      <c r="CJ453" s="16"/>
      <c r="CK453" s="16"/>
      <c r="CL453" s="16"/>
      <c r="CM453" s="16"/>
      <c r="CN453" s="16"/>
      <c r="CO453" s="16"/>
      <c r="CP453" s="16"/>
      <c r="CQ453" s="16"/>
      <c r="CR453" s="16"/>
      <c r="CS453" s="16"/>
      <c r="CT453" s="16"/>
      <c r="CU453" s="16"/>
      <c r="CV453" s="16"/>
      <c r="CW453" s="16"/>
      <c r="CX453" s="16"/>
      <c r="CY453" s="16"/>
      <c r="CZ453" s="16"/>
      <c r="DA453" s="16"/>
      <c r="DB453" s="16"/>
      <c r="DC453" s="16"/>
      <c r="DD453" s="16"/>
      <c r="DE453" s="16"/>
      <c r="DF453" s="16" t="e">
        <f>VLOOKUP(K453,'[3]RNA Seq summary tables'!$V$3:$V$99,1,FALSE)</f>
        <v>#N/A</v>
      </c>
      <c r="DG453" s="16"/>
      <c r="DH453" s="16"/>
      <c r="DI453" s="16"/>
      <c r="DJ453" s="16"/>
      <c r="DK453" s="16"/>
      <c r="DL453" s="16"/>
      <c r="DM453" s="16"/>
      <c r="DN453" s="16"/>
      <c r="DO453" s="16"/>
      <c r="DP453" s="16"/>
      <c r="DQ453" s="16"/>
      <c r="DR453" s="16"/>
      <c r="DS453" s="16"/>
      <c r="JO453" s="16"/>
      <c r="JP453" s="16"/>
      <c r="JQ453" s="16"/>
      <c r="JR453" s="30"/>
      <c r="JS453" s="30"/>
      <c r="JT453" s="30"/>
      <c r="JU453" s="30"/>
      <c r="JV453" s="30"/>
      <c r="JW453" s="30"/>
      <c r="JX453" s="30"/>
      <c r="JY453" s="30"/>
      <c r="JZ453" s="30"/>
      <c r="KA453" s="30"/>
      <c r="KB453" s="30"/>
    </row>
    <row r="454" spans="1:288" x14ac:dyDescent="0.2">
      <c r="B454" s="16">
        <v>2017</v>
      </c>
      <c r="C454" s="20">
        <v>42954</v>
      </c>
      <c r="D454" s="20" t="str">
        <f>CONCATENATE(J454,"-",C454)</f>
        <v>1320-42954</v>
      </c>
      <c r="E454" s="142" t="str">
        <f>CONCATENATE(T454,"-",U454,"-",C454)</f>
        <v>BC2-H7-42954</v>
      </c>
      <c r="F454" s="20" t="s">
        <v>106</v>
      </c>
      <c r="G454" s="20" t="s">
        <v>107</v>
      </c>
      <c r="J454" s="21">
        <v>1320</v>
      </c>
      <c r="K454" s="21">
        <v>2082</v>
      </c>
      <c r="L454" s="18">
        <v>0</v>
      </c>
      <c r="M454" s="21">
        <f>VLOOKUP($K454,'[4]blood tubes 2017'!$D$1:$L$647,8,FALSE)</f>
        <v>0</v>
      </c>
      <c r="N454" s="15">
        <v>0</v>
      </c>
      <c r="O454" s="15" t="s">
        <v>119</v>
      </c>
      <c r="P454" s="16" t="s">
        <v>119</v>
      </c>
      <c r="Q454" s="16">
        <v>0</v>
      </c>
      <c r="R454" s="16" t="s">
        <v>111</v>
      </c>
      <c r="T454" s="16" t="s">
        <v>154</v>
      </c>
      <c r="U454" s="16" t="s">
        <v>202</v>
      </c>
      <c r="V454" s="16" t="s">
        <v>114</v>
      </c>
      <c r="W454" s="16">
        <f>AI454/AG454</f>
        <v>0.7078651685393258</v>
      </c>
      <c r="X454" s="16" t="s">
        <v>115</v>
      </c>
      <c r="Y454" s="16" t="s">
        <v>110</v>
      </c>
      <c r="Z454" s="16">
        <v>3</v>
      </c>
      <c r="AE454" s="16" t="s">
        <v>123</v>
      </c>
      <c r="AF454" s="16" t="s">
        <v>123</v>
      </c>
      <c r="AG454" s="16">
        <f>AH454-AI454</f>
        <v>89</v>
      </c>
      <c r="AH454" s="16">
        <v>152</v>
      </c>
      <c r="AI454" s="16">
        <v>63</v>
      </c>
      <c r="AK454" s="16">
        <v>20</v>
      </c>
      <c r="AL454" s="16">
        <v>0</v>
      </c>
      <c r="AM454" s="16">
        <v>0</v>
      </c>
      <c r="AN454" s="16">
        <v>0</v>
      </c>
      <c r="AO454" s="16">
        <v>0</v>
      </c>
      <c r="AP454" s="16">
        <f>SUM(AL454:AN454)</f>
        <v>0</v>
      </c>
      <c r="AQ454" s="16">
        <v>1.8109999999999999</v>
      </c>
      <c r="AR454" s="16">
        <f>AP454-1.472</f>
        <v>-1.472</v>
      </c>
      <c r="AS454" s="16">
        <f>AQ454-1.472</f>
        <v>0.33899999999999997</v>
      </c>
      <c r="AT454" s="16" t="e">
        <f>VLOOKUP(E454,[2]Current!$A$1:$W$435,7,FALSE)</f>
        <v>#N/A</v>
      </c>
      <c r="AU454" s="16">
        <v>0</v>
      </c>
      <c r="AW454" s="18"/>
      <c r="AX454" s="18"/>
      <c r="AY454" s="18"/>
      <c r="AZ454" s="18"/>
      <c r="BA454" s="18"/>
      <c r="BB454" s="18"/>
      <c r="BC454" s="18"/>
      <c r="BD454" s="18"/>
      <c r="BG454" s="77"/>
      <c r="BT454" s="77"/>
      <c r="CD454" s="77"/>
      <c r="DF454" s="16" t="e">
        <f>VLOOKUP(K454,'[3]RNA Seq summary tables'!$V$3:$V$99,1,FALSE)</f>
        <v>#N/A</v>
      </c>
    </row>
    <row r="455" spans="1:288" s="30" customFormat="1" x14ac:dyDescent="0.2">
      <c r="A455" s="18"/>
      <c r="B455" s="16">
        <v>2017</v>
      </c>
      <c r="C455" s="20">
        <v>42954</v>
      </c>
      <c r="D455" s="20" t="str">
        <f>CONCATENATE(J455,"-",C455)</f>
        <v>1322-42954</v>
      </c>
      <c r="E455" s="142" t="str">
        <f>CONCATENATE(T455,"-",U455,"-",C455)</f>
        <v>BC1-D1-42954</v>
      </c>
      <c r="F455" s="20" t="s">
        <v>106</v>
      </c>
      <c r="G455" s="20" t="s">
        <v>107</v>
      </c>
      <c r="H455" s="16"/>
      <c r="I455" s="16"/>
      <c r="J455" s="21">
        <v>1322</v>
      </c>
      <c r="K455" s="21">
        <v>2086</v>
      </c>
      <c r="L455" s="18">
        <v>0</v>
      </c>
      <c r="M455" s="21">
        <f>VLOOKUP($K455,'[4]blood tubes 2017'!$D$1:$L$647,8,FALSE)</f>
        <v>0</v>
      </c>
      <c r="N455" s="15">
        <v>0</v>
      </c>
      <c r="O455" s="15" t="s">
        <v>119</v>
      </c>
      <c r="P455" s="16" t="s">
        <v>119</v>
      </c>
      <c r="Q455" s="16">
        <v>0</v>
      </c>
      <c r="R455" s="16" t="s">
        <v>111</v>
      </c>
      <c r="S455" s="16"/>
      <c r="T455" s="16" t="s">
        <v>159</v>
      </c>
      <c r="U455" s="16" t="s">
        <v>157</v>
      </c>
      <c r="V455" s="16" t="s">
        <v>142</v>
      </c>
      <c r="W455" s="16">
        <f>AI455/AG455</f>
        <v>0.96250000000000002</v>
      </c>
      <c r="X455" s="16" t="s">
        <v>115</v>
      </c>
      <c r="Y455" s="16" t="s">
        <v>110</v>
      </c>
      <c r="Z455" s="16">
        <v>3</v>
      </c>
      <c r="AA455" s="16"/>
      <c r="AB455" s="16"/>
      <c r="AC455" s="16"/>
      <c r="AD455" s="16"/>
      <c r="AE455" s="16" t="s">
        <v>123</v>
      </c>
      <c r="AF455" s="16" t="s">
        <v>123</v>
      </c>
      <c r="AG455" s="16">
        <f>AH455-AI455</f>
        <v>80</v>
      </c>
      <c r="AH455" s="16">
        <v>157</v>
      </c>
      <c r="AI455" s="16">
        <v>77</v>
      </c>
      <c r="AJ455" s="16"/>
      <c r="AK455" s="16">
        <v>14.5</v>
      </c>
      <c r="AL455" s="16">
        <v>0</v>
      </c>
      <c r="AM455" s="16">
        <v>0</v>
      </c>
      <c r="AN455" s="16">
        <v>0</v>
      </c>
      <c r="AO455" s="16">
        <v>0</v>
      </c>
      <c r="AP455" s="16">
        <f>SUM(AL455:AN455)</f>
        <v>0</v>
      </c>
      <c r="AQ455" s="16">
        <v>1.853</v>
      </c>
      <c r="AR455" s="16">
        <f>AP455-1.472</f>
        <v>-1.472</v>
      </c>
      <c r="AS455" s="16">
        <f>AQ455-1.472</f>
        <v>0.38100000000000001</v>
      </c>
      <c r="AT455" s="16" t="e">
        <f>VLOOKUP(E455,[2]Current!$A$1:$W$435,7,FALSE)</f>
        <v>#N/A</v>
      </c>
      <c r="AU455" s="16">
        <v>0</v>
      </c>
      <c r="AV455" s="16"/>
      <c r="AW455" s="18"/>
      <c r="AX455" s="18"/>
      <c r="AY455" s="18"/>
      <c r="AZ455" s="18"/>
      <c r="BA455" s="18"/>
      <c r="BB455" s="18"/>
      <c r="BC455" s="18"/>
      <c r="BD455" s="18"/>
      <c r="BE455" s="16"/>
      <c r="BF455" s="16"/>
      <c r="BG455" s="77"/>
      <c r="BH455" s="16"/>
      <c r="BI455" s="16"/>
      <c r="BJ455" s="16"/>
      <c r="BK455" s="16"/>
      <c r="BL455" s="16"/>
      <c r="BM455" s="16"/>
      <c r="BN455" s="16"/>
      <c r="BO455" s="16"/>
      <c r="BP455" s="16"/>
      <c r="BQ455" s="16"/>
      <c r="BR455" s="16"/>
      <c r="BS455" s="16"/>
      <c r="BT455" s="77"/>
      <c r="BU455" s="16"/>
      <c r="BV455" s="16"/>
      <c r="BW455" s="16"/>
      <c r="BX455" s="16"/>
      <c r="BY455" s="16"/>
      <c r="BZ455" s="16"/>
      <c r="CA455" s="16"/>
      <c r="CB455" s="16"/>
      <c r="CC455" s="16"/>
      <c r="CD455" s="77"/>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t="e">
        <f>VLOOKUP(K455,'[3]RNA Seq summary tables'!$V$3:$V$99,1,FALSE)</f>
        <v>#N/A</v>
      </c>
      <c r="DG455" s="16"/>
      <c r="DH455" s="16"/>
      <c r="DI455" s="16"/>
      <c r="DJ455" s="16"/>
      <c r="DK455" s="16"/>
      <c r="DL455" s="16"/>
      <c r="DM455" s="16"/>
      <c r="DN455" s="16"/>
      <c r="DO455" s="16"/>
      <c r="DP455" s="16"/>
      <c r="DQ455" s="16"/>
      <c r="DR455" s="16"/>
      <c r="DS455" s="16"/>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18"/>
      <c r="EQ455" s="18"/>
      <c r="ER455" s="18"/>
      <c r="ES455" s="18"/>
      <c r="ET455" s="18"/>
      <c r="EU455" s="18"/>
      <c r="EV455" s="18"/>
      <c r="EW455" s="18"/>
      <c r="EX455" s="18"/>
      <c r="EY455" s="18"/>
      <c r="EZ455" s="18"/>
      <c r="FA455" s="18"/>
      <c r="FB455" s="18"/>
      <c r="FC455" s="18"/>
      <c r="FD455" s="18"/>
      <c r="FE455" s="18"/>
      <c r="FF455" s="18"/>
      <c r="FG455" s="18"/>
      <c r="FH455" s="18"/>
      <c r="FI455" s="18"/>
      <c r="FJ455" s="18"/>
      <c r="FK455" s="18"/>
      <c r="FL455" s="18"/>
      <c r="FM455" s="18"/>
      <c r="FN455" s="18"/>
      <c r="FO455" s="18"/>
      <c r="FP455" s="18"/>
      <c r="FQ455" s="18"/>
      <c r="FR455" s="18"/>
      <c r="FS455" s="18"/>
      <c r="FT455" s="18"/>
      <c r="FU455" s="18"/>
      <c r="FV455" s="18"/>
      <c r="FW455" s="18"/>
      <c r="FX455" s="18"/>
      <c r="FY455" s="18"/>
      <c r="FZ455" s="18"/>
      <c r="GA455" s="18"/>
      <c r="GB455" s="18"/>
      <c r="GC455" s="18"/>
      <c r="GD455" s="18"/>
      <c r="GE455" s="18"/>
      <c r="GF455" s="18"/>
      <c r="GG455" s="18"/>
      <c r="GH455" s="18"/>
      <c r="GI455" s="18"/>
      <c r="GJ455" s="18"/>
      <c r="GK455" s="18"/>
      <c r="GL455" s="18"/>
      <c r="GM455" s="18"/>
      <c r="GN455" s="18"/>
      <c r="GO455" s="18"/>
      <c r="GP455" s="18"/>
      <c r="GQ455" s="18"/>
      <c r="GR455" s="18"/>
      <c r="GS455" s="18"/>
      <c r="GT455" s="18"/>
      <c r="GU455" s="18"/>
      <c r="GV455" s="18"/>
      <c r="GW455" s="18"/>
      <c r="GX455" s="18"/>
      <c r="GY455" s="18"/>
      <c r="GZ455" s="18"/>
      <c r="HA455" s="18"/>
      <c r="HB455" s="18"/>
      <c r="HC455" s="18"/>
      <c r="HD455" s="18"/>
      <c r="HE455" s="18"/>
      <c r="HF455" s="18"/>
      <c r="HG455" s="18"/>
      <c r="HH455" s="18"/>
      <c r="HI455" s="18"/>
      <c r="HJ455" s="18"/>
      <c r="HK455" s="18"/>
      <c r="HL455" s="18"/>
      <c r="HM455" s="18"/>
      <c r="HN455" s="18"/>
      <c r="HO455" s="18"/>
      <c r="HP455" s="18"/>
      <c r="HQ455" s="18"/>
      <c r="HR455" s="18"/>
      <c r="HS455" s="18"/>
      <c r="HT455" s="18"/>
      <c r="HU455" s="18"/>
      <c r="HV455" s="18"/>
      <c r="HW455" s="18"/>
      <c r="HX455" s="18"/>
      <c r="HY455" s="18"/>
      <c r="HZ455" s="18"/>
      <c r="IA455" s="18"/>
      <c r="IB455" s="18"/>
      <c r="IC455" s="18"/>
      <c r="ID455" s="18"/>
      <c r="IE455" s="18"/>
      <c r="IF455" s="18"/>
      <c r="IG455" s="18"/>
      <c r="IH455" s="18"/>
      <c r="II455" s="18"/>
      <c r="IJ455" s="18"/>
      <c r="IK455" s="18"/>
      <c r="IL455" s="18"/>
      <c r="IM455" s="18"/>
      <c r="IN455" s="18"/>
      <c r="IO455" s="18"/>
      <c r="IP455" s="18"/>
      <c r="IQ455" s="18"/>
      <c r="IR455" s="18"/>
      <c r="IS455" s="18"/>
      <c r="IT455" s="18"/>
      <c r="IU455" s="18"/>
      <c r="IV455" s="18"/>
      <c r="IW455" s="18"/>
      <c r="IX455" s="18"/>
      <c r="IY455" s="18"/>
      <c r="IZ455" s="18"/>
      <c r="JA455" s="18"/>
      <c r="JB455" s="18"/>
      <c r="JC455" s="18"/>
      <c r="JD455" s="18"/>
      <c r="JE455" s="18"/>
      <c r="JF455" s="18"/>
      <c r="JG455" s="18"/>
      <c r="JH455" s="18"/>
      <c r="JI455" s="18"/>
      <c r="JJ455" s="18"/>
      <c r="JK455" s="18"/>
      <c r="JL455" s="18"/>
      <c r="JM455" s="18"/>
      <c r="JN455" s="18"/>
      <c r="JO455" s="16"/>
      <c r="JP455" s="16"/>
      <c r="JQ455" s="16"/>
      <c r="JR455" s="16"/>
      <c r="JS455" s="16"/>
      <c r="JT455" s="16"/>
      <c r="JU455" s="16"/>
      <c r="JV455" s="16"/>
      <c r="JW455" s="16"/>
      <c r="JX455" s="16"/>
      <c r="JY455" s="16"/>
      <c r="JZ455" s="16"/>
      <c r="KA455" s="16"/>
      <c r="KB455" s="16"/>
    </row>
    <row r="456" spans="1:288" ht="16" x14ac:dyDescent="0.2">
      <c r="B456" s="16">
        <v>2017</v>
      </c>
      <c r="C456" s="20">
        <v>42954</v>
      </c>
      <c r="D456" s="20" t="str">
        <f>CONCATENATE(J456,"-",C456)</f>
        <v>1324-42954</v>
      </c>
      <c r="E456" s="37" t="str">
        <f>CONCATENATE(T456,"-",U456,"-",C456)</f>
        <v>BC1-E4-42954</v>
      </c>
      <c r="F456" s="20" t="s">
        <v>106</v>
      </c>
      <c r="G456" s="20" t="s">
        <v>107</v>
      </c>
      <c r="I456" s="16">
        <v>0</v>
      </c>
      <c r="J456" s="21">
        <v>1324</v>
      </c>
      <c r="K456" s="21">
        <v>2088</v>
      </c>
      <c r="L456" s="18">
        <v>0</v>
      </c>
      <c r="M456" s="21">
        <f>VLOOKUP($K456,'[4]blood tubes 2017'!$D$1:$L$647,8,FALSE)</f>
        <v>0</v>
      </c>
      <c r="N456" s="15">
        <v>0</v>
      </c>
      <c r="O456" s="15" t="s">
        <v>119</v>
      </c>
      <c r="P456" s="16" t="s">
        <v>119</v>
      </c>
      <c r="Q456" s="16">
        <v>0</v>
      </c>
      <c r="R456" s="16" t="s">
        <v>111</v>
      </c>
      <c r="T456" s="16" t="s">
        <v>159</v>
      </c>
      <c r="U456" s="16" t="s">
        <v>206</v>
      </c>
      <c r="V456" s="16" t="s">
        <v>114</v>
      </c>
      <c r="W456" s="16">
        <f>AI456/AG456</f>
        <v>0.79268292682926833</v>
      </c>
      <c r="X456" s="16" t="s">
        <v>121</v>
      </c>
      <c r="Y456" s="16" t="s">
        <v>110</v>
      </c>
      <c r="Z456" s="16">
        <v>3</v>
      </c>
      <c r="AA456" s="16" t="s">
        <v>161</v>
      </c>
      <c r="AB456" s="16" t="s">
        <v>123</v>
      </c>
      <c r="AC456" s="16" t="s">
        <v>123</v>
      </c>
      <c r="AD456" s="16" t="s">
        <v>116</v>
      </c>
      <c r="AG456" s="16">
        <f>AH456-AI456</f>
        <v>82</v>
      </c>
      <c r="AH456" s="16">
        <v>147</v>
      </c>
      <c r="AI456" s="16">
        <v>65</v>
      </c>
      <c r="AK456" s="16">
        <v>22.5</v>
      </c>
      <c r="AL456" s="16">
        <v>0</v>
      </c>
      <c r="AM456" s="16">
        <v>0</v>
      </c>
      <c r="AN456" s="16">
        <v>0</v>
      </c>
      <c r="AO456" s="16">
        <v>0</v>
      </c>
      <c r="AP456" s="16">
        <f>SUM(AL456:AN456)</f>
        <v>0</v>
      </c>
      <c r="AQ456" s="16">
        <v>2.089</v>
      </c>
      <c r="AR456" s="16">
        <f>AP456-1.472</f>
        <v>-1.472</v>
      </c>
      <c r="AS456" s="16">
        <f>AQ456-1.472</f>
        <v>0.61699999999999999</v>
      </c>
      <c r="AT456" s="16" t="str">
        <f>VLOOKUP(E456,[2]Current!$A$1:$W$435,7,FALSE)</f>
        <v>TE</v>
      </c>
      <c r="AU456" s="16" t="s">
        <v>1288</v>
      </c>
      <c r="AV456" s="23"/>
      <c r="AW456" s="128">
        <f>IF(AX456&gt;0,1,0)</f>
        <v>1</v>
      </c>
      <c r="AX456" s="128">
        <f>SUM(BA456,BM456,CU456)</f>
        <v>36</v>
      </c>
      <c r="AY456" s="128">
        <f>SUM(BB456,BN456,CV456)</f>
        <v>5719.6110210696925</v>
      </c>
      <c r="AZ456" s="128">
        <f>IF(BA456&gt;0,1,0)</f>
        <v>1</v>
      </c>
      <c r="BA456" s="128">
        <f>SUM(BC456+BF456+BI456)</f>
        <v>3</v>
      </c>
      <c r="BB456" s="128">
        <f>SUM(BE456,BH456,BK456)</f>
        <v>5666.1264181523502</v>
      </c>
      <c r="BC456" s="130">
        <f>IF(BD456&gt;0,1,0)</f>
        <v>1</v>
      </c>
      <c r="BD456" s="128">
        <f>VLOOKUP($E456,[2]Current!$A:$AC,26,FALSE)</f>
        <v>352</v>
      </c>
      <c r="BE456" s="128">
        <f>BD456/$AS456</f>
        <v>570.50243111831446</v>
      </c>
      <c r="BF456" s="130">
        <f>IF(BG456&gt;0,1,0)</f>
        <v>1</v>
      </c>
      <c r="BG456" s="137">
        <f>VLOOKUP($E456,[2]Current!$A:$AC,27,FALSE)</f>
        <v>1072</v>
      </c>
      <c r="BH456" s="128">
        <f>BG456/$AS456</f>
        <v>1737.4392220421394</v>
      </c>
      <c r="BI456" s="130">
        <f>IF(BJ456&gt;0,1,0)</f>
        <v>1</v>
      </c>
      <c r="BJ456" s="128">
        <f>VLOOKUP($E456,[2]Current!$A:$AC,28,FALSE)</f>
        <v>2072</v>
      </c>
      <c r="BK456" s="128">
        <f>BJ456/$AS456</f>
        <v>3358.1847649918964</v>
      </c>
      <c r="BL456" s="128">
        <f>IF(BM456&gt;0,1,0)</f>
        <v>0</v>
      </c>
      <c r="BM456" s="128">
        <f>SUM(BR456,BU456,BX456,CA456,CD456)</f>
        <v>0</v>
      </c>
      <c r="BN456" s="131">
        <f>SUM(BT456,BW456,BZ456,CC456,CF456)</f>
        <v>0</v>
      </c>
      <c r="BO456" s="128">
        <f>IF(BP456&gt;0,1,0)</f>
        <v>0</v>
      </c>
      <c r="BP456" s="128">
        <f>BM456+CJ456</f>
        <v>0</v>
      </c>
      <c r="BQ456" s="128">
        <f>BN456+CL456</f>
        <v>0</v>
      </c>
      <c r="BR456" s="130">
        <f>IF(BS456&gt;0,1,0)</f>
        <v>0</v>
      </c>
      <c r="BS456" s="128">
        <f>VLOOKUP($E456,[2]Current!$A:$AC,12,FALSE)</f>
        <v>0</v>
      </c>
      <c r="BT456" s="137">
        <f>BS456/$AS456</f>
        <v>0</v>
      </c>
      <c r="BU456" s="130">
        <f>IF(BV456&gt;0,1,0)</f>
        <v>0</v>
      </c>
      <c r="BV456" s="128">
        <f>VLOOKUP($E456,[2]Current!$A:$AC,13,FALSE)</f>
        <v>0</v>
      </c>
      <c r="BW456" s="128">
        <f>BV456/$AS456</f>
        <v>0</v>
      </c>
      <c r="BX456" s="130">
        <f>IF(BY456&gt;0,1,0)</f>
        <v>0</v>
      </c>
      <c r="BY456" s="128">
        <f>VLOOKUP($E456,[2]Current!$A:$AC,14,FALSE)</f>
        <v>0</v>
      </c>
      <c r="BZ456" s="128">
        <f>BY456/$AS456</f>
        <v>0</v>
      </c>
      <c r="CA456" s="130">
        <f>IF(CB456&gt;0,1,0)</f>
        <v>0</v>
      </c>
      <c r="CB456" s="128">
        <f>VLOOKUP($E456,[2]Current!$A:$AC,15,FALSE)</f>
        <v>0</v>
      </c>
      <c r="CC456" s="128">
        <f>CB456/$AS456</f>
        <v>0</v>
      </c>
      <c r="CD456" s="174">
        <f>IF(CE456&gt;0,1,0)</f>
        <v>0</v>
      </c>
      <c r="CE456" s="128">
        <f>VLOOKUP($E456,[2]Current!$A:$AC,16,FALSE)</f>
        <v>0</v>
      </c>
      <c r="CF456" s="128">
        <f>CE456/$AS456</f>
        <v>0</v>
      </c>
      <c r="CG456" s="18"/>
      <c r="CH456" s="18"/>
      <c r="CI456" s="18"/>
      <c r="CJ456" s="130">
        <f>IF(CK456&gt;0,1,0)</f>
        <v>0</v>
      </c>
      <c r="CK456" s="128">
        <f>VLOOKUP($E456,[2]Current!$A:$AC,18,FALSE)</f>
        <v>0</v>
      </c>
      <c r="CL456" s="128">
        <f>CK456/$AS456</f>
        <v>0</v>
      </c>
      <c r="CS456" s="130">
        <f>IF(CU456&gt;0,1,0)</f>
        <v>1</v>
      </c>
      <c r="CT456" s="18"/>
      <c r="CU456" s="128">
        <f>VLOOKUP($E456,[2]Current!$A:$AC,17,FALSE)</f>
        <v>33</v>
      </c>
      <c r="CV456" s="128">
        <f>CU456/$AS456</f>
        <v>53.484602917341981</v>
      </c>
      <c r="CW456" s="18"/>
      <c r="CX456" s="18"/>
      <c r="CY456" s="18"/>
      <c r="DF456" s="16" t="e">
        <f>VLOOKUP(K456,'[3]RNA Seq summary tables'!$V$3:$V$99,1,FALSE)</f>
        <v>#N/A</v>
      </c>
    </row>
    <row r="457" spans="1:288" x14ac:dyDescent="0.2">
      <c r="B457" s="16">
        <v>2017</v>
      </c>
      <c r="C457" s="20">
        <v>42954</v>
      </c>
      <c r="D457" s="20" t="str">
        <f>CONCATENATE(J457,"-",C457)</f>
        <v>1326-42954</v>
      </c>
      <c r="E457" s="142" t="str">
        <f>CONCATENATE(T457,"-",U457,"-",C457)</f>
        <v>BC1-H3-42954</v>
      </c>
      <c r="F457" s="20" t="s">
        <v>106</v>
      </c>
      <c r="G457" s="20" t="s">
        <v>107</v>
      </c>
      <c r="J457" s="21">
        <v>1326</v>
      </c>
      <c r="K457" s="21">
        <v>2091</v>
      </c>
      <c r="L457" s="18">
        <v>0</v>
      </c>
      <c r="M457" s="21">
        <f>VLOOKUP($K457,'[4]blood tubes 2017'!$D$1:$L$647,8,FALSE)</f>
        <v>0</v>
      </c>
      <c r="N457" s="15">
        <v>0</v>
      </c>
      <c r="O457" s="15" t="s">
        <v>119</v>
      </c>
      <c r="P457" s="16" t="s">
        <v>119</v>
      </c>
      <c r="Q457" s="16">
        <v>0</v>
      </c>
      <c r="R457" s="16" t="s">
        <v>111</v>
      </c>
      <c r="T457" s="16" t="s">
        <v>159</v>
      </c>
      <c r="U457" s="16" t="s">
        <v>174</v>
      </c>
      <c r="V457" s="16" t="s">
        <v>114</v>
      </c>
      <c r="W457" s="16">
        <f>AI457/AG457</f>
        <v>0.85555555555555551</v>
      </c>
      <c r="X457" s="16" t="s">
        <v>115</v>
      </c>
      <c r="Y457" s="16" t="s">
        <v>110</v>
      </c>
      <c r="Z457" s="16">
        <v>3</v>
      </c>
      <c r="AE457" s="16" t="s">
        <v>116</v>
      </c>
      <c r="AF457" s="16" t="s">
        <v>116</v>
      </c>
      <c r="AG457" s="16">
        <f>AH457-AI457</f>
        <v>90</v>
      </c>
      <c r="AH457" s="16">
        <v>167</v>
      </c>
      <c r="AI457" s="16">
        <v>77</v>
      </c>
      <c r="AK457" s="16">
        <v>22</v>
      </c>
      <c r="AL457" s="16">
        <v>1</v>
      </c>
      <c r="AM457" s="16">
        <v>0</v>
      </c>
      <c r="AN457" s="16">
        <v>0</v>
      </c>
      <c r="AO457" s="16">
        <v>1</v>
      </c>
      <c r="AP457" s="16">
        <f>SUM(AL457:AN457)</f>
        <v>1</v>
      </c>
      <c r="AQ457" s="16">
        <v>1.9730000000000001</v>
      </c>
      <c r="AR457" s="16">
        <f>AP457-1.472</f>
        <v>-0.47199999999999998</v>
      </c>
      <c r="AS457" s="16">
        <f>AQ457-1.472</f>
        <v>0.50100000000000011</v>
      </c>
      <c r="AT457" s="16" t="e">
        <f>VLOOKUP(E457,[2]Current!$A$1:$W$435,7,FALSE)</f>
        <v>#N/A</v>
      </c>
      <c r="AU457" s="16">
        <v>0</v>
      </c>
      <c r="AW457" s="18"/>
      <c r="AX457" s="18"/>
      <c r="AY457" s="18"/>
      <c r="AZ457" s="18"/>
      <c r="BA457" s="18"/>
      <c r="BB457" s="18"/>
      <c r="BC457" s="18"/>
      <c r="BD457" s="18"/>
      <c r="BG457" s="77"/>
      <c r="BT457" s="77"/>
      <c r="CD457" s="77"/>
      <c r="DF457" s="16" t="e">
        <f>VLOOKUP(K457,'[3]RNA Seq summary tables'!$V$3:$V$99,1,FALSE)</f>
        <v>#N/A</v>
      </c>
    </row>
    <row r="458" spans="1:288" x14ac:dyDescent="0.2">
      <c r="B458" s="16">
        <v>2017</v>
      </c>
      <c r="C458" s="20">
        <v>42955</v>
      </c>
      <c r="D458" s="20" t="str">
        <f>CONCATENATE(J458,"-",C458)</f>
        <v>1328-42955</v>
      </c>
      <c r="E458" s="142" t="str">
        <f>CONCATENATE(T458,"-",U458,"-",C458)</f>
        <v>BC1-A7-42955</v>
      </c>
      <c r="F458" s="20" t="s">
        <v>106</v>
      </c>
      <c r="G458" s="20" t="s">
        <v>107</v>
      </c>
      <c r="J458" s="21">
        <v>1328</v>
      </c>
      <c r="K458" s="21">
        <v>2095</v>
      </c>
      <c r="L458" s="18">
        <v>0</v>
      </c>
      <c r="M458" s="21">
        <f>VLOOKUP($K458,'[4]blood tubes 2017'!$D$1:$L$647,8,FALSE)</f>
        <v>0</v>
      </c>
      <c r="N458" s="15">
        <v>0</v>
      </c>
      <c r="O458" s="15" t="s">
        <v>119</v>
      </c>
      <c r="P458" s="16" t="s">
        <v>119</v>
      </c>
      <c r="Q458" s="16">
        <v>0</v>
      </c>
      <c r="R458" s="16" t="s">
        <v>111</v>
      </c>
      <c r="T458" s="16" t="s">
        <v>159</v>
      </c>
      <c r="U458" s="16" t="s">
        <v>120</v>
      </c>
      <c r="V458" s="16" t="s">
        <v>114</v>
      </c>
      <c r="W458" s="16">
        <f>AI458/AG458</f>
        <v>0.82758620689655171</v>
      </c>
      <c r="X458" s="16" t="s">
        <v>115</v>
      </c>
      <c r="Y458" s="16" t="s">
        <v>110</v>
      </c>
      <c r="Z458" s="16">
        <v>3</v>
      </c>
      <c r="AE458" s="16" t="s">
        <v>116</v>
      </c>
      <c r="AF458" s="16" t="s">
        <v>116</v>
      </c>
      <c r="AG458" s="16">
        <f>AH458-AI458</f>
        <v>87</v>
      </c>
      <c r="AH458" s="16">
        <v>159</v>
      </c>
      <c r="AI458" s="16">
        <v>72</v>
      </c>
      <c r="AK458" s="16">
        <v>21</v>
      </c>
      <c r="AL458" s="16">
        <v>0</v>
      </c>
      <c r="AM458" s="16">
        <v>0</v>
      </c>
      <c r="AN458" s="16">
        <v>0</v>
      </c>
      <c r="AO458" s="16">
        <v>0</v>
      </c>
      <c r="AP458" s="16">
        <f>SUM(AL458:AN458)</f>
        <v>0</v>
      </c>
      <c r="AQ458" s="16">
        <v>2.145</v>
      </c>
      <c r="AR458" s="16">
        <f>AP458-1.472</f>
        <v>-1.472</v>
      </c>
      <c r="AS458" s="16">
        <f>AQ458-1.472</f>
        <v>0.67300000000000004</v>
      </c>
      <c r="AT458" s="16" t="e">
        <f>VLOOKUP(E458,[2]Current!$A$1:$W$435,7,FALSE)</f>
        <v>#N/A</v>
      </c>
      <c r="AU458" s="16">
        <v>0</v>
      </c>
      <c r="AW458" s="18"/>
      <c r="AX458" s="18"/>
      <c r="AY458" s="18"/>
      <c r="AZ458" s="18"/>
      <c r="BA458" s="18"/>
      <c r="BB458" s="18"/>
      <c r="BC458" s="18"/>
      <c r="BD458" s="18"/>
      <c r="BG458" s="77"/>
      <c r="BT458" s="77"/>
      <c r="CD458" s="77"/>
      <c r="DF458" s="16" t="e">
        <f>VLOOKUP(K458,'[3]RNA Seq summary tables'!$V$3:$V$99,1,FALSE)</f>
        <v>#N/A</v>
      </c>
    </row>
    <row r="459" spans="1:288" x14ac:dyDescent="0.2">
      <c r="B459" s="16">
        <v>2017</v>
      </c>
      <c r="C459" s="43">
        <v>42956</v>
      </c>
      <c r="D459" s="20" t="str">
        <f>CONCATENATE(J459,"-",C459)</f>
        <v>1330-42956</v>
      </c>
      <c r="E459" s="142" t="str">
        <f>CONCATENATE(T459,"-",U459,"-",C459)</f>
        <v>BC2-C6-42956</v>
      </c>
      <c r="F459" s="20" t="s">
        <v>106</v>
      </c>
      <c r="G459" s="43" t="s">
        <v>107</v>
      </c>
      <c r="H459" s="23"/>
      <c r="J459" s="15">
        <v>1330</v>
      </c>
      <c r="K459" s="15">
        <v>2098</v>
      </c>
      <c r="L459" s="18">
        <v>0</v>
      </c>
      <c r="M459" s="21">
        <f>VLOOKUP($K459,'[4]blood tubes 2017'!$D$1:$L$647,8,FALSE)</f>
        <v>0</v>
      </c>
      <c r="N459" s="15">
        <v>0</v>
      </c>
      <c r="O459" s="15" t="s">
        <v>119</v>
      </c>
      <c r="P459" s="23" t="s">
        <v>119</v>
      </c>
      <c r="Q459" s="23">
        <v>0</v>
      </c>
      <c r="R459" s="23" t="s">
        <v>111</v>
      </c>
      <c r="S459" s="23"/>
      <c r="T459" s="23" t="s">
        <v>154</v>
      </c>
      <c r="U459" s="23" t="s">
        <v>213</v>
      </c>
      <c r="V459" s="23" t="s">
        <v>142</v>
      </c>
      <c r="W459" s="23">
        <f>AI459/AG459</f>
        <v>1.1084337349397591</v>
      </c>
      <c r="X459" s="23" t="s">
        <v>115</v>
      </c>
      <c r="Y459" s="23" t="s">
        <v>110</v>
      </c>
      <c r="Z459" s="23">
        <v>3</v>
      </c>
      <c r="AA459" s="23"/>
      <c r="AB459" s="23"/>
      <c r="AC459" s="23"/>
      <c r="AD459" s="23"/>
      <c r="AE459" s="23" t="s">
        <v>116</v>
      </c>
      <c r="AF459" s="23" t="s">
        <v>116</v>
      </c>
      <c r="AG459" s="23">
        <f>AH459-AI459</f>
        <v>83</v>
      </c>
      <c r="AH459" s="23">
        <v>175</v>
      </c>
      <c r="AI459" s="23">
        <v>92</v>
      </c>
      <c r="AJ459" s="23"/>
      <c r="AK459" s="23">
        <v>17</v>
      </c>
      <c r="AL459" s="23">
        <v>0</v>
      </c>
      <c r="AM459" s="23">
        <v>0</v>
      </c>
      <c r="AN459" s="23">
        <v>0</v>
      </c>
      <c r="AO459" s="23">
        <v>0</v>
      </c>
      <c r="AP459" s="23">
        <f>SUM(AL459:AN459)</f>
        <v>0</v>
      </c>
      <c r="AQ459" s="23">
        <v>1.6950000000000001</v>
      </c>
      <c r="AR459" s="23">
        <f>AP459-1.472</f>
        <v>-1.472</v>
      </c>
      <c r="AS459" s="23">
        <f>AQ459-1.472</f>
        <v>0.22300000000000009</v>
      </c>
      <c r="AT459" s="16" t="e">
        <f>VLOOKUP(E459,[2]Current!$A$1:$W$435,7,FALSE)</f>
        <v>#N/A</v>
      </c>
      <c r="AU459" s="16">
        <v>0</v>
      </c>
      <c r="AW459" s="18"/>
      <c r="AX459" s="18"/>
      <c r="AY459" s="18"/>
      <c r="AZ459" s="18"/>
      <c r="BA459" s="18"/>
      <c r="BB459" s="18"/>
      <c r="BC459" s="18"/>
      <c r="BD459" s="18"/>
      <c r="BG459" s="77"/>
      <c r="BT459" s="77"/>
      <c r="CD459" s="77"/>
      <c r="DC459" s="23"/>
      <c r="DD459" s="23"/>
      <c r="DE459" s="23"/>
      <c r="DF459" s="16" t="e">
        <f>VLOOKUP(K459,'[3]RNA Seq summary tables'!$V$3:$V$99,1,FALSE)</f>
        <v>#N/A</v>
      </c>
      <c r="DG459" s="23"/>
      <c r="DH459" s="23"/>
      <c r="DI459" s="23"/>
      <c r="DJ459" s="23"/>
      <c r="DK459" s="23"/>
      <c r="DL459" s="23"/>
      <c r="DM459" s="23"/>
      <c r="DN459" s="23"/>
      <c r="DO459" s="23"/>
      <c r="DP459" s="23"/>
      <c r="DQ459" s="23"/>
      <c r="DR459" s="23"/>
      <c r="DS459" s="23"/>
      <c r="DT459" s="25"/>
      <c r="DU459" s="25"/>
      <c r="DV459" s="25"/>
      <c r="DW459" s="25"/>
      <c r="DX459" s="25"/>
      <c r="DY459" s="25"/>
      <c r="DZ459" s="25"/>
      <c r="EA459" s="25"/>
      <c r="EB459" s="25"/>
      <c r="EC459" s="25"/>
      <c r="ED459" s="25"/>
      <c r="EE459" s="25"/>
      <c r="EF459" s="25"/>
      <c r="EG459" s="25"/>
      <c r="EH459" s="25"/>
      <c r="EI459" s="25"/>
      <c r="EJ459" s="25"/>
      <c r="EK459" s="25"/>
      <c r="EL459" s="25"/>
      <c r="EM459" s="25"/>
      <c r="EN459" s="25"/>
      <c r="EO459" s="25"/>
      <c r="EP459" s="25"/>
      <c r="EQ459" s="25"/>
      <c r="ER459" s="25"/>
      <c r="ES459" s="25"/>
      <c r="ET459" s="25"/>
      <c r="EU459" s="25"/>
      <c r="EV459" s="25"/>
      <c r="EW459" s="25"/>
      <c r="EX459" s="25"/>
      <c r="EY459" s="25"/>
      <c r="EZ459" s="25"/>
      <c r="FA459" s="25"/>
      <c r="FB459" s="25"/>
      <c r="FC459" s="25"/>
      <c r="FD459" s="25"/>
      <c r="FE459" s="25"/>
      <c r="FF459" s="25"/>
      <c r="FG459" s="25"/>
      <c r="FH459" s="25"/>
      <c r="FI459" s="25"/>
      <c r="FJ459" s="25"/>
      <c r="FK459" s="25"/>
      <c r="FL459" s="25"/>
      <c r="FM459" s="25"/>
      <c r="FN459" s="25"/>
      <c r="FO459" s="25"/>
      <c r="FP459" s="25"/>
      <c r="FQ459" s="25"/>
      <c r="FR459" s="25"/>
      <c r="FS459" s="25"/>
      <c r="FT459" s="25"/>
      <c r="FU459" s="25"/>
      <c r="FV459" s="25"/>
      <c r="FW459" s="25"/>
      <c r="FX459" s="25"/>
      <c r="FY459" s="25"/>
      <c r="FZ459" s="25"/>
      <c r="GA459" s="25"/>
      <c r="GB459" s="25"/>
      <c r="GC459" s="25"/>
      <c r="GD459" s="25"/>
      <c r="GE459" s="25"/>
      <c r="GF459" s="25"/>
      <c r="GG459" s="25"/>
      <c r="GH459" s="25"/>
      <c r="GI459" s="25"/>
      <c r="GJ459" s="25"/>
      <c r="GK459" s="25"/>
      <c r="GL459" s="25"/>
      <c r="GM459" s="25"/>
      <c r="GN459" s="25"/>
      <c r="GO459" s="25"/>
      <c r="GP459" s="25"/>
      <c r="GQ459" s="25"/>
      <c r="GR459" s="25"/>
      <c r="GS459" s="25"/>
      <c r="GT459" s="25"/>
      <c r="GU459" s="25"/>
      <c r="GV459" s="25"/>
      <c r="GW459" s="25"/>
      <c r="GX459" s="25"/>
      <c r="GY459" s="25"/>
      <c r="GZ459" s="25"/>
      <c r="HA459" s="25"/>
      <c r="HB459" s="25"/>
      <c r="HC459" s="25"/>
      <c r="HD459" s="25"/>
      <c r="HE459" s="25"/>
      <c r="HF459" s="25"/>
      <c r="HG459" s="25"/>
      <c r="HH459" s="25"/>
      <c r="HI459" s="25"/>
      <c r="HJ459" s="25"/>
      <c r="HK459" s="25"/>
      <c r="HL459" s="25"/>
      <c r="HM459" s="25"/>
      <c r="HN459" s="25"/>
      <c r="HO459" s="25"/>
      <c r="HP459" s="25"/>
      <c r="HQ459" s="25"/>
      <c r="HR459" s="25"/>
      <c r="HS459" s="25"/>
      <c r="HT459" s="25"/>
      <c r="HU459" s="25"/>
      <c r="HV459" s="25"/>
      <c r="HW459" s="25"/>
      <c r="HX459" s="25"/>
      <c r="HY459" s="25"/>
      <c r="HZ459" s="25"/>
      <c r="IA459" s="25"/>
      <c r="IB459" s="25"/>
      <c r="IC459" s="25"/>
      <c r="ID459" s="25"/>
      <c r="IE459" s="25"/>
      <c r="IF459" s="25"/>
      <c r="IG459" s="25"/>
      <c r="IH459" s="25"/>
      <c r="II459" s="25"/>
      <c r="IJ459" s="25"/>
      <c r="IK459" s="25"/>
      <c r="IL459" s="25"/>
      <c r="IM459" s="25"/>
      <c r="IN459" s="25"/>
      <c r="IO459" s="25"/>
      <c r="IP459" s="25"/>
      <c r="IQ459" s="25"/>
      <c r="IR459" s="25"/>
      <c r="IS459" s="25"/>
      <c r="IT459" s="25"/>
      <c r="IU459" s="25"/>
      <c r="IV459" s="25"/>
      <c r="IW459" s="25"/>
      <c r="IX459" s="25"/>
      <c r="IY459" s="25"/>
      <c r="IZ459" s="25"/>
      <c r="JA459" s="25"/>
      <c r="JB459" s="25"/>
      <c r="JC459" s="25"/>
      <c r="JD459" s="25"/>
      <c r="JE459" s="25"/>
      <c r="JF459" s="25"/>
      <c r="JG459" s="25"/>
      <c r="JH459" s="25"/>
      <c r="JI459" s="25"/>
      <c r="JJ459" s="25"/>
      <c r="JK459" s="25"/>
      <c r="JL459" s="25"/>
      <c r="JM459" s="25"/>
      <c r="JN459" s="25"/>
      <c r="JO459" s="18"/>
    </row>
    <row r="460" spans="1:288" x14ac:dyDescent="0.2">
      <c r="B460" s="16">
        <v>2017</v>
      </c>
      <c r="C460" s="20">
        <v>42956</v>
      </c>
      <c r="D460" s="20" t="str">
        <f>CONCATENATE(J460,"-",C460)</f>
        <v>1332-42956</v>
      </c>
      <c r="E460" s="142" t="str">
        <f>CONCATENATE(T460,"-",U460,"-",C460)</f>
        <v>BC2-H3-42956</v>
      </c>
      <c r="F460" s="20" t="s">
        <v>106</v>
      </c>
      <c r="G460" s="20" t="s">
        <v>107</v>
      </c>
      <c r="J460" s="21">
        <v>1332</v>
      </c>
      <c r="K460" s="21">
        <v>2100</v>
      </c>
      <c r="L460" s="18">
        <v>0</v>
      </c>
      <c r="M460" s="21">
        <f>VLOOKUP($K460,'[4]blood tubes 2017'!$D$1:$L$647,8,FALSE)</f>
        <v>0</v>
      </c>
      <c r="N460" s="15">
        <v>0</v>
      </c>
      <c r="O460" s="15" t="s">
        <v>119</v>
      </c>
      <c r="P460" s="16" t="s">
        <v>119</v>
      </c>
      <c r="Q460" s="16">
        <v>0</v>
      </c>
      <c r="R460" s="16" t="s">
        <v>111</v>
      </c>
      <c r="T460" s="16" t="s">
        <v>154</v>
      </c>
      <c r="U460" s="16" t="s">
        <v>174</v>
      </c>
      <c r="V460" s="16" t="s">
        <v>114</v>
      </c>
      <c r="W460" s="16">
        <f>AI460/AG460</f>
        <v>0.87356321839080464</v>
      </c>
      <c r="X460" s="16" t="s">
        <v>115</v>
      </c>
      <c r="Y460" s="16" t="s">
        <v>110</v>
      </c>
      <c r="Z460" s="16">
        <v>3</v>
      </c>
      <c r="AE460" s="16" t="s">
        <v>116</v>
      </c>
      <c r="AF460" s="16" t="s">
        <v>116</v>
      </c>
      <c r="AG460" s="16">
        <f>AH460-AI460</f>
        <v>87</v>
      </c>
      <c r="AH460" s="16">
        <v>163</v>
      </c>
      <c r="AI460" s="16">
        <v>76</v>
      </c>
      <c r="AK460" s="16">
        <v>14.5</v>
      </c>
      <c r="AL460" s="16">
        <v>1</v>
      </c>
      <c r="AM460" s="16">
        <v>0</v>
      </c>
      <c r="AN460" s="16">
        <v>0</v>
      </c>
      <c r="AO460" s="16">
        <v>1</v>
      </c>
      <c r="AP460" s="16">
        <f>SUM(AL460:AN460)</f>
        <v>1</v>
      </c>
      <c r="AQ460" s="16">
        <v>1.573</v>
      </c>
      <c r="AR460" s="16">
        <f>AP460-1.472</f>
        <v>-0.47199999999999998</v>
      </c>
      <c r="AS460" s="16">
        <f>AQ460-1.472</f>
        <v>0.10099999999999998</v>
      </c>
      <c r="AT460" s="16" t="e">
        <f>VLOOKUP(E460,[2]Current!$A$1:$W$435,7,FALSE)</f>
        <v>#N/A</v>
      </c>
      <c r="AU460" s="16">
        <v>0</v>
      </c>
      <c r="AW460" s="18"/>
      <c r="AX460" s="18"/>
      <c r="AY460" s="18"/>
      <c r="AZ460" s="18"/>
      <c r="BA460" s="18"/>
      <c r="BB460" s="18"/>
      <c r="BC460" s="18"/>
      <c r="BD460" s="18"/>
      <c r="BG460" s="77"/>
      <c r="BT460" s="77"/>
      <c r="CD460" s="77"/>
      <c r="DF460" s="16" t="e">
        <f>VLOOKUP(K460,'[3]RNA Seq summary tables'!$V$3:$V$99,1,FALSE)</f>
        <v>#N/A</v>
      </c>
    </row>
    <row r="461" spans="1:288" ht="16" x14ac:dyDescent="0.2">
      <c r="B461" s="16">
        <v>2017</v>
      </c>
      <c r="C461" s="20">
        <v>42957</v>
      </c>
      <c r="D461" s="20" t="str">
        <f>CONCATENATE(J461,"-",C461)</f>
        <v>1334-42957</v>
      </c>
      <c r="E461" s="37" t="str">
        <f>CONCATENATE(T461,"-",U461,"-",C461)</f>
        <v>SP2-G2-42957</v>
      </c>
      <c r="F461" s="20" t="s">
        <v>106</v>
      </c>
      <c r="G461" s="20" t="s">
        <v>107</v>
      </c>
      <c r="I461" s="16">
        <v>0</v>
      </c>
      <c r="J461" s="21">
        <v>1334</v>
      </c>
      <c r="K461" s="21">
        <v>2120</v>
      </c>
      <c r="L461" s="18">
        <v>0</v>
      </c>
      <c r="M461" s="21">
        <f>VLOOKUP($K461,'[4]blood tubes 2017'!$D$1:$L$647,8,FALSE)</f>
        <v>0</v>
      </c>
      <c r="N461" s="15">
        <v>0</v>
      </c>
      <c r="O461" s="15" t="s">
        <v>119</v>
      </c>
      <c r="P461" s="16" t="s">
        <v>119</v>
      </c>
      <c r="Q461" s="16">
        <v>0</v>
      </c>
      <c r="R461" s="16" t="s">
        <v>111</v>
      </c>
      <c r="T461" s="16" t="s">
        <v>137</v>
      </c>
      <c r="U461" s="16" t="s">
        <v>128</v>
      </c>
      <c r="V461" s="16" t="s">
        <v>114</v>
      </c>
      <c r="W461" s="16">
        <f>AI461/AG461</f>
        <v>0.81818181818181823</v>
      </c>
      <c r="X461" s="16" t="s">
        <v>121</v>
      </c>
      <c r="Y461" s="16" t="s">
        <v>110</v>
      </c>
      <c r="Z461" s="16">
        <v>3</v>
      </c>
      <c r="AA461" s="16" t="s">
        <v>119</v>
      </c>
      <c r="AB461" s="16" t="s">
        <v>123</v>
      </c>
      <c r="AC461" s="16" t="s">
        <v>123</v>
      </c>
      <c r="AD461" s="16" t="s">
        <v>123</v>
      </c>
      <c r="AG461" s="16">
        <f>AH461-AI461</f>
        <v>88</v>
      </c>
      <c r="AH461" s="16">
        <v>160</v>
      </c>
      <c r="AI461" s="16">
        <v>72</v>
      </c>
      <c r="AK461" s="16">
        <v>15.5</v>
      </c>
      <c r="AL461" s="16">
        <v>1</v>
      </c>
      <c r="AM461" s="16">
        <v>0</v>
      </c>
      <c r="AN461" s="16">
        <v>0</v>
      </c>
      <c r="AO461" s="16">
        <v>1</v>
      </c>
      <c r="AP461" s="16">
        <f>SUM(AL461:AN461)</f>
        <v>1</v>
      </c>
      <c r="AQ461" s="16">
        <v>1.746</v>
      </c>
      <c r="AR461" s="16">
        <f>AP461-1.472</f>
        <v>-0.47199999999999998</v>
      </c>
      <c r="AS461" s="16">
        <f>AQ461-1.472</f>
        <v>0.27400000000000002</v>
      </c>
      <c r="AT461" s="16" t="str">
        <f>VLOOKUP(E461,[2]Current!$A$1:$W$435,7,FALSE)</f>
        <v>NB</v>
      </c>
      <c r="AU461" s="16" t="s">
        <v>1288</v>
      </c>
      <c r="AW461" s="128">
        <f>IF(AX461&gt;0,1,0)</f>
        <v>1</v>
      </c>
      <c r="AX461" s="128">
        <f>SUM(BA461,BM461,CU461)</f>
        <v>117</v>
      </c>
      <c r="AY461" s="128">
        <f>SUM(BB461,BN461,CV461)</f>
        <v>9791.9708029197081</v>
      </c>
      <c r="AZ461" s="128">
        <f>IF(BA461&gt;0,1,0)</f>
        <v>1</v>
      </c>
      <c r="BA461" s="128">
        <f>SUM(BC461+BF461+BI461)</f>
        <v>2</v>
      </c>
      <c r="BB461" s="128">
        <f>SUM(BE461,BH461,BK461)</f>
        <v>9357.6642335766428</v>
      </c>
      <c r="BC461" s="130">
        <f>IF(BD461&gt;0,1,0)</f>
        <v>0</v>
      </c>
      <c r="BD461" s="128">
        <f>VLOOKUP($E461,[2]Current!$A:$AC,26,FALSE)</f>
        <v>0</v>
      </c>
      <c r="BE461" s="128">
        <f>BD461/$AS461</f>
        <v>0</v>
      </c>
      <c r="BF461" s="130">
        <f>IF(BG461&gt;0,1,0)</f>
        <v>1</v>
      </c>
      <c r="BG461" s="175">
        <f>VLOOKUP($E461,[2]Current!$A:$AC,27,FALSE)</f>
        <v>2542</v>
      </c>
      <c r="BH461" s="128">
        <f>BG461/$AS461</f>
        <v>9277.3722627737225</v>
      </c>
      <c r="BI461" s="130">
        <f>IF(BJ461&gt;0,1,0)</f>
        <v>1</v>
      </c>
      <c r="BJ461" s="128">
        <f>VLOOKUP($E461,[2]Current!$A:$AC,28,FALSE)</f>
        <v>22</v>
      </c>
      <c r="BK461" s="128">
        <f>BJ461/$AS461</f>
        <v>80.291970802919707</v>
      </c>
      <c r="BL461" s="128">
        <f>IF(BM461&gt;0,1,0)</f>
        <v>1</v>
      </c>
      <c r="BM461" s="128">
        <f>SUM(BR461,BU461,BX461,CA461,CD461)</f>
        <v>2</v>
      </c>
      <c r="BN461" s="131">
        <f>SUM(BT461,BW461,BZ461,CC461,CF461)</f>
        <v>21.897810218978101</v>
      </c>
      <c r="BO461" s="128">
        <f>IF(BP461&gt;0,1,0)</f>
        <v>1</v>
      </c>
      <c r="BP461" s="128">
        <f>BM461+CJ461</f>
        <v>2</v>
      </c>
      <c r="BQ461" s="128">
        <f>BN461+CL461</f>
        <v>21.897810218978101</v>
      </c>
      <c r="BR461" s="130">
        <f>IF(BS461&gt;0,1,0)</f>
        <v>0</v>
      </c>
      <c r="BS461" s="128">
        <f>VLOOKUP($E461,[2]Current!$A:$AC,12,FALSE)</f>
        <v>0</v>
      </c>
      <c r="BT461" s="175">
        <f>BS461/$AS461</f>
        <v>0</v>
      </c>
      <c r="BU461" s="130">
        <f>IF(BV461&gt;0,1,0)</f>
        <v>0</v>
      </c>
      <c r="BV461" s="128">
        <f>VLOOKUP($E461,[2]Current!$A:$AC,13,FALSE)</f>
        <v>0</v>
      </c>
      <c r="BW461" s="128">
        <f>BV461/$AS461</f>
        <v>0</v>
      </c>
      <c r="BX461" s="130">
        <f>IF(BY461&gt;0,1,0)</f>
        <v>1</v>
      </c>
      <c r="BY461" s="128">
        <f>VLOOKUP($E461,[2]Current!$A:$AC,14,FALSE)</f>
        <v>4</v>
      </c>
      <c r="BZ461" s="128">
        <f>BY461/$AS461</f>
        <v>14.5985401459854</v>
      </c>
      <c r="CA461" s="130">
        <f>IF(CB461&gt;0,1,0)</f>
        <v>1</v>
      </c>
      <c r="CB461" s="128">
        <f>VLOOKUP($E461,[2]Current!$A:$AC,15,FALSE)</f>
        <v>2</v>
      </c>
      <c r="CC461" s="128">
        <f>CB461/$AS461</f>
        <v>7.2992700729926998</v>
      </c>
      <c r="CD461" s="176">
        <f>IF(CE461&gt;0,1,0)</f>
        <v>0</v>
      </c>
      <c r="CE461" s="128">
        <f>VLOOKUP($E461,[2]Current!$A:$AC,16,FALSE)</f>
        <v>0</v>
      </c>
      <c r="CF461" s="128">
        <f>CE461/$AS461</f>
        <v>0</v>
      </c>
      <c r="CG461" s="18"/>
      <c r="CH461" s="18"/>
      <c r="CI461" s="18"/>
      <c r="CJ461" s="130">
        <f>IF(CK461&gt;0,1,0)</f>
        <v>0</v>
      </c>
      <c r="CK461" s="128">
        <f>VLOOKUP($E461,[2]Current!$A:$AC,18,FALSE)</f>
        <v>0</v>
      </c>
      <c r="CL461" s="128">
        <f>CK461/$AS461</f>
        <v>0</v>
      </c>
      <c r="CS461" s="130">
        <f>IF(CU461&gt;0,1,0)</f>
        <v>1</v>
      </c>
      <c r="CU461" s="128">
        <f>VLOOKUP($E461,[2]Current!$A:$AC,17,FALSE)</f>
        <v>113</v>
      </c>
      <c r="CV461" s="128">
        <f>CU461/$AS461</f>
        <v>412.40875912408757</v>
      </c>
      <c r="CW461" s="18"/>
      <c r="CX461" s="18"/>
      <c r="CY461" s="18"/>
      <c r="DF461" s="16" t="e">
        <f>VLOOKUP(K461,'[3]RNA Seq summary tables'!$V$3:$V$99,1,FALSE)</f>
        <v>#N/A</v>
      </c>
      <c r="JO461" s="38"/>
    </row>
    <row r="462" spans="1:288" ht="16" x14ac:dyDescent="0.2">
      <c r="B462" s="16">
        <v>2017</v>
      </c>
      <c r="C462" s="20">
        <v>42957</v>
      </c>
      <c r="D462" s="20" t="str">
        <f>CONCATENATE(J462,"-",C462)</f>
        <v>1336-42957</v>
      </c>
      <c r="E462" s="37" t="str">
        <f>CONCATENATE(T462,"-",U462,"-",C462)</f>
        <v>SP2-H8-42957</v>
      </c>
      <c r="F462" s="20" t="s">
        <v>106</v>
      </c>
      <c r="G462" s="20" t="s">
        <v>107</v>
      </c>
      <c r="I462" s="16">
        <v>0</v>
      </c>
      <c r="J462" s="21">
        <v>1336</v>
      </c>
      <c r="K462" s="21">
        <v>2126</v>
      </c>
      <c r="L462" s="18">
        <v>0</v>
      </c>
      <c r="M462" s="21">
        <f>VLOOKUP($K462,'[4]blood tubes 2017'!$D$1:$L$647,8,FALSE)</f>
        <v>0</v>
      </c>
      <c r="N462" s="15">
        <v>0</v>
      </c>
      <c r="O462" s="15" t="s">
        <v>119</v>
      </c>
      <c r="P462" s="16" t="s">
        <v>119</v>
      </c>
      <c r="Q462" s="16">
        <v>0</v>
      </c>
      <c r="R462" s="16" t="s">
        <v>111</v>
      </c>
      <c r="T462" s="16" t="s">
        <v>137</v>
      </c>
      <c r="U462" s="16" t="s">
        <v>152</v>
      </c>
      <c r="V462" s="16" t="s">
        <v>114</v>
      </c>
      <c r="W462" s="16">
        <f>AI462/AG462</f>
        <v>0.81521739130434778</v>
      </c>
      <c r="X462" s="16" t="s">
        <v>115</v>
      </c>
      <c r="Y462" s="16" t="s">
        <v>110</v>
      </c>
      <c r="Z462" s="16">
        <v>3</v>
      </c>
      <c r="AE462" s="16" t="s">
        <v>123</v>
      </c>
      <c r="AF462" s="16" t="s">
        <v>123</v>
      </c>
      <c r="AG462" s="16">
        <f>AH462-AI462</f>
        <v>92</v>
      </c>
      <c r="AH462" s="16">
        <v>167</v>
      </c>
      <c r="AI462" s="16">
        <v>75</v>
      </c>
      <c r="AK462" s="16">
        <v>24.5</v>
      </c>
      <c r="AL462" s="16">
        <v>1</v>
      </c>
      <c r="AM462" s="16">
        <v>0</v>
      </c>
      <c r="AN462" s="16">
        <v>0</v>
      </c>
      <c r="AO462" s="16">
        <v>1</v>
      </c>
      <c r="AP462" s="16">
        <f>SUM(AL462:AN462)</f>
        <v>1</v>
      </c>
      <c r="AQ462" s="16">
        <v>1.6870000000000001</v>
      </c>
      <c r="AR462" s="16">
        <f>AP462-1.472</f>
        <v>-0.47199999999999998</v>
      </c>
      <c r="AS462" s="16">
        <f>AQ462-1.472</f>
        <v>0.21500000000000008</v>
      </c>
      <c r="AT462" s="16" t="str">
        <f>VLOOKUP(E462,[2]Current!$A$1:$W$435,7,FALSE)</f>
        <v>NB</v>
      </c>
      <c r="AU462" s="16" t="s">
        <v>1288</v>
      </c>
      <c r="AW462" s="128">
        <f>IF(AX462&gt;0,1,0)</f>
        <v>1</v>
      </c>
      <c r="AX462" s="128">
        <f>SUM(BA462,BM462,CU462)</f>
        <v>1</v>
      </c>
      <c r="AY462" s="128">
        <f>SUM(BB462,BN462,CV462)</f>
        <v>4.6511627906976729</v>
      </c>
      <c r="AZ462" s="128">
        <f>IF(BA462&gt;0,1,0)</f>
        <v>1</v>
      </c>
      <c r="BA462" s="128">
        <f>SUM(BC462+BF462+BI462)</f>
        <v>1</v>
      </c>
      <c r="BB462" s="128">
        <f>SUM(BE462,BH462,BK462)</f>
        <v>4.6511627906976729</v>
      </c>
      <c r="BC462" s="130">
        <f>IF(BD462&gt;0,1,0)</f>
        <v>0</v>
      </c>
      <c r="BD462" s="128">
        <f>VLOOKUP($E462,[2]Current!$A:$AC,26,FALSE)</f>
        <v>0</v>
      </c>
      <c r="BE462" s="128">
        <f>BD462/$AS462</f>
        <v>0</v>
      </c>
      <c r="BF462" s="130">
        <f>IF(BG462&gt;0,1,0)</f>
        <v>1</v>
      </c>
      <c r="BG462" s="137">
        <f>VLOOKUP($E462,[2]Current!$A:$AC,27,FALSE)</f>
        <v>1</v>
      </c>
      <c r="BH462" s="128">
        <f>BG462/$AS462</f>
        <v>4.6511627906976729</v>
      </c>
      <c r="BI462" s="130">
        <f>IF(BJ462&gt;0,1,0)</f>
        <v>0</v>
      </c>
      <c r="BJ462" s="128">
        <f>VLOOKUP($E462,[2]Current!$A:$AC,28,FALSE)</f>
        <v>0</v>
      </c>
      <c r="BK462" s="128">
        <f>BJ462/$AS462</f>
        <v>0</v>
      </c>
      <c r="BL462" s="128">
        <f>IF(BM462&gt;0,1,0)</f>
        <v>0</v>
      </c>
      <c r="BM462" s="128">
        <f>SUM(BR462,BU462,BX462,CA462,CD462)</f>
        <v>0</v>
      </c>
      <c r="BN462" s="131">
        <f>SUM(BT462,BW462,BZ462,CC462,CF462)</f>
        <v>0</v>
      </c>
      <c r="BO462" s="128">
        <f>IF(BP462&gt;0,1,0)</f>
        <v>0</v>
      </c>
      <c r="BP462" s="128">
        <f>BM462+CJ462</f>
        <v>0</v>
      </c>
      <c r="BQ462" s="128">
        <f>BN462+CL462</f>
        <v>0</v>
      </c>
      <c r="BR462" s="130">
        <f>IF(BS462&gt;0,1,0)</f>
        <v>0</v>
      </c>
      <c r="BS462" s="128">
        <f>VLOOKUP($E462,[2]Current!$A:$AC,12,FALSE)</f>
        <v>0</v>
      </c>
      <c r="BT462" s="137">
        <f>BS462/$AS462</f>
        <v>0</v>
      </c>
      <c r="BU462" s="130">
        <f>IF(BV462&gt;0,1,0)</f>
        <v>0</v>
      </c>
      <c r="BV462" s="128">
        <f>VLOOKUP($E462,[2]Current!$A:$AC,13,FALSE)</f>
        <v>0</v>
      </c>
      <c r="BW462" s="128">
        <f>BV462/$AS462</f>
        <v>0</v>
      </c>
      <c r="BX462" s="130">
        <f>IF(BY462&gt;0,1,0)</f>
        <v>0</v>
      </c>
      <c r="BY462" s="128">
        <f>VLOOKUP($E462,[2]Current!$A:$AC,14,FALSE)</f>
        <v>0</v>
      </c>
      <c r="BZ462" s="128">
        <f>BY462/$AS462</f>
        <v>0</v>
      </c>
      <c r="CA462" s="130">
        <f>IF(CB462&gt;0,1,0)</f>
        <v>0</v>
      </c>
      <c r="CB462" s="128">
        <f>VLOOKUP($E462,[2]Current!$A:$AC,15,FALSE)</f>
        <v>0</v>
      </c>
      <c r="CC462" s="128">
        <f>CB462/$AS462</f>
        <v>0</v>
      </c>
      <c r="CD462" s="174">
        <f>IF(CE462&gt;0,1,0)</f>
        <v>0</v>
      </c>
      <c r="CE462" s="128">
        <f>VLOOKUP($E462,[2]Current!$A:$AC,16,FALSE)</f>
        <v>0</v>
      </c>
      <c r="CF462" s="128">
        <f>CE462/$AS462</f>
        <v>0</v>
      </c>
      <c r="CG462" s="18"/>
      <c r="CH462" s="18"/>
      <c r="CI462" s="18"/>
      <c r="CJ462" s="130">
        <f>IF(CK462&gt;0,1,0)</f>
        <v>0</v>
      </c>
      <c r="CK462" s="128">
        <f>VLOOKUP($E462,[2]Current!$A:$AC,18,FALSE)</f>
        <v>0</v>
      </c>
      <c r="CL462" s="128">
        <f>CK462/$AS462</f>
        <v>0</v>
      </c>
      <c r="CS462" s="130">
        <f>IF(CU462&gt;0,1,0)</f>
        <v>0</v>
      </c>
      <c r="CU462" s="128">
        <f>VLOOKUP($E462,[2]Current!$A:$AC,17,FALSE)</f>
        <v>0</v>
      </c>
      <c r="CV462" s="128">
        <f>CU462/$AS462</f>
        <v>0</v>
      </c>
      <c r="CW462" s="18"/>
      <c r="CX462" s="18"/>
      <c r="CY462" s="18"/>
      <c r="DF462" s="16" t="e">
        <f>VLOOKUP(K462,'[3]RNA Seq summary tables'!$V$3:$V$99,1,FALSE)</f>
        <v>#N/A</v>
      </c>
      <c r="JO462" s="38"/>
      <c r="JP462" s="38"/>
      <c r="JQ462" s="38"/>
    </row>
    <row r="463" spans="1:288" x14ac:dyDescent="0.2">
      <c r="B463" s="16">
        <v>2017</v>
      </c>
      <c r="C463" s="20">
        <v>42958</v>
      </c>
      <c r="D463" s="20" t="str">
        <f>CONCATENATE(J463,"-",C463)</f>
        <v>1338-42958</v>
      </c>
      <c r="E463" s="142" t="str">
        <f>CONCATENATE(T463,"-",U463,"-",C463)</f>
        <v>SP1-H7-42958</v>
      </c>
      <c r="F463" s="20" t="s">
        <v>106</v>
      </c>
      <c r="G463" s="20" t="s">
        <v>107</v>
      </c>
      <c r="J463" s="21">
        <v>1338</v>
      </c>
      <c r="K463" s="21">
        <v>2131</v>
      </c>
      <c r="L463" s="18">
        <v>0</v>
      </c>
      <c r="M463" s="21">
        <f>VLOOKUP($K463,'[4]blood tubes 2017'!$D$1:$L$647,8,FALSE)</f>
        <v>0</v>
      </c>
      <c r="N463" s="15">
        <v>0</v>
      </c>
      <c r="O463" s="15" t="s">
        <v>119</v>
      </c>
      <c r="P463" s="16" t="s">
        <v>119</v>
      </c>
      <c r="Q463" s="16">
        <v>0</v>
      </c>
      <c r="R463" s="16" t="s">
        <v>111</v>
      </c>
      <c r="T463" s="16" t="s">
        <v>140</v>
      </c>
      <c r="U463" s="16" t="s">
        <v>202</v>
      </c>
      <c r="V463" s="16" t="s">
        <v>114</v>
      </c>
      <c r="W463" s="16">
        <f>AI463/AG463</f>
        <v>0.92405063291139244</v>
      </c>
      <c r="X463" s="16" t="s">
        <v>121</v>
      </c>
      <c r="Y463" s="16" t="s">
        <v>122</v>
      </c>
      <c r="Z463" s="16">
        <v>2.2999999999999998</v>
      </c>
      <c r="AA463" s="16" t="s">
        <v>119</v>
      </c>
      <c r="AB463" s="16" t="s">
        <v>123</v>
      </c>
      <c r="AC463" s="16" t="s">
        <v>123</v>
      </c>
      <c r="AD463" s="16" t="s">
        <v>123</v>
      </c>
      <c r="AG463" s="16">
        <f>AH463-AI463</f>
        <v>79</v>
      </c>
      <c r="AH463" s="16">
        <v>152</v>
      </c>
      <c r="AI463" s="16">
        <v>73</v>
      </c>
      <c r="AK463" s="16">
        <v>14</v>
      </c>
      <c r="AL463" s="16">
        <v>0</v>
      </c>
      <c r="AM463" s="16">
        <v>0</v>
      </c>
      <c r="AN463" s="16">
        <v>0</v>
      </c>
      <c r="AO463" s="16">
        <v>0</v>
      </c>
      <c r="AP463" s="16">
        <f>SUM(AL463:AN463)</f>
        <v>0</v>
      </c>
      <c r="AQ463" s="16">
        <v>1.8759999999999999</v>
      </c>
      <c r="AR463" s="16">
        <f>AP463-1.472</f>
        <v>-1.472</v>
      </c>
      <c r="AS463" s="16">
        <f>AQ463-1.472</f>
        <v>0.40399999999999991</v>
      </c>
      <c r="AT463" s="16" t="e">
        <f>VLOOKUP(E463,[2]Current!$A$1:$W$435,7,FALSE)</f>
        <v>#N/A</v>
      </c>
      <c r="AU463" s="16">
        <v>0</v>
      </c>
      <c r="AW463" s="18"/>
      <c r="AX463" s="18"/>
      <c r="AY463" s="18"/>
      <c r="AZ463" s="18"/>
      <c r="BA463" s="18"/>
      <c r="BB463" s="18"/>
      <c r="BC463" s="18"/>
      <c r="BD463" s="18"/>
      <c r="BG463" s="77"/>
      <c r="BT463" s="77"/>
      <c r="CD463" s="77"/>
      <c r="DF463" s="16" t="e">
        <f>VLOOKUP(K463,'[3]RNA Seq summary tables'!$V$3:$V$99,1,FALSE)</f>
        <v>#N/A</v>
      </c>
      <c r="JO463" s="38"/>
      <c r="JP463" s="38"/>
      <c r="JQ463" s="38"/>
    </row>
    <row r="464" spans="1:288" ht="16" x14ac:dyDescent="0.2">
      <c r="B464" s="16">
        <v>2017</v>
      </c>
      <c r="C464" s="20">
        <v>42972</v>
      </c>
      <c r="D464" s="20" t="str">
        <f>CONCATENATE(J464,"-",C464)</f>
        <v>1338-42972</v>
      </c>
      <c r="E464" s="37" t="str">
        <f>CONCATENATE(T464,"-",U464,"-",C464)</f>
        <v>SP1-G5-42972</v>
      </c>
      <c r="F464" s="20" t="s">
        <v>106</v>
      </c>
      <c r="G464" s="20" t="s">
        <v>107</v>
      </c>
      <c r="I464" s="16">
        <v>0</v>
      </c>
      <c r="J464" s="21">
        <v>1338</v>
      </c>
      <c r="K464" s="21">
        <v>2238</v>
      </c>
      <c r="L464" s="18">
        <v>0</v>
      </c>
      <c r="M464" s="21">
        <f>VLOOKUP($K464,'[4]blood tubes 2017'!$D$1:$L$947,8,FALSE)</f>
        <v>0</v>
      </c>
      <c r="N464" s="15">
        <v>0</v>
      </c>
      <c r="O464" s="15" t="s">
        <v>119</v>
      </c>
      <c r="P464" s="16" t="s">
        <v>119</v>
      </c>
      <c r="Q464" s="16">
        <v>0</v>
      </c>
      <c r="R464" s="16">
        <v>14</v>
      </c>
      <c r="T464" s="16" t="s">
        <v>140</v>
      </c>
      <c r="U464" s="16" t="s">
        <v>200</v>
      </c>
      <c r="V464" s="16" t="s">
        <v>114</v>
      </c>
      <c r="W464" s="16">
        <f>AI464/AG464</f>
        <v>0.88505747126436785</v>
      </c>
      <c r="X464" s="16" t="s">
        <v>121</v>
      </c>
      <c r="Y464" s="16" t="s">
        <v>122</v>
      </c>
      <c r="Z464" s="16">
        <v>2.9</v>
      </c>
      <c r="AA464" s="16" t="s">
        <v>119</v>
      </c>
      <c r="AB464" s="16" t="s">
        <v>123</v>
      </c>
      <c r="AC464" s="16" t="s">
        <v>123</v>
      </c>
      <c r="AD464" s="16" t="s">
        <v>123</v>
      </c>
      <c r="AG464" s="16">
        <f>AH464-AI464</f>
        <v>87</v>
      </c>
      <c r="AH464" s="16">
        <v>164</v>
      </c>
      <c r="AI464" s="16">
        <v>77</v>
      </c>
      <c r="AK464" s="16">
        <v>17.5</v>
      </c>
      <c r="AL464" s="16">
        <v>0</v>
      </c>
      <c r="AM464" s="16">
        <v>0</v>
      </c>
      <c r="AN464" s="16">
        <v>0</v>
      </c>
      <c r="AO464" s="16">
        <v>0</v>
      </c>
      <c r="AP464" s="16">
        <f>SUM(AL464:AN464)</f>
        <v>0</v>
      </c>
      <c r="AQ464" s="16">
        <v>1.847</v>
      </c>
      <c r="AR464" s="16">
        <f>AP464-1.472</f>
        <v>-1.472</v>
      </c>
      <c r="AS464" s="16">
        <f>AQ464-1.472</f>
        <v>0.375</v>
      </c>
      <c r="AT464" s="16" t="str">
        <f>VLOOKUP(E464,[2]Current!$A$1:$W$435,7,FALSE)</f>
        <v>NB</v>
      </c>
      <c r="AU464" s="16" t="s">
        <v>1288</v>
      </c>
      <c r="AV464" s="23">
        <v>1</v>
      </c>
      <c r="AW464" s="128">
        <f>IF(AX464&gt;0,1,0)</f>
        <v>0</v>
      </c>
      <c r="AX464" s="128">
        <f>SUM(BA464,BM464,CU464)</f>
        <v>0</v>
      </c>
      <c r="AY464" s="128">
        <f>SUM(BB464,BN464,CV464)</f>
        <v>0</v>
      </c>
      <c r="AZ464" s="128">
        <f>IF(BA464&gt;0,1,0)</f>
        <v>0</v>
      </c>
      <c r="BA464" s="128">
        <f>SUM(BC464+BF464+BI464)</f>
        <v>0</v>
      </c>
      <c r="BB464" s="128">
        <f>SUM(BE464,BH464,BK464)</f>
        <v>0</v>
      </c>
      <c r="BC464" s="130">
        <f>IF(BD464&gt;0,1,0)</f>
        <v>0</v>
      </c>
      <c r="BD464" s="128">
        <f>VLOOKUP($E464,[2]Current!$A:$AC,26,FALSE)</f>
        <v>0</v>
      </c>
      <c r="BE464" s="128">
        <f>BD464/$AS464</f>
        <v>0</v>
      </c>
      <c r="BF464" s="130">
        <f>IF(BG464&gt;0,1,0)</f>
        <v>0</v>
      </c>
      <c r="BG464" s="137">
        <f>VLOOKUP($E464,[2]Current!$A:$AC,27,FALSE)</f>
        <v>0</v>
      </c>
      <c r="BH464" s="128">
        <f>BG464/$AS464</f>
        <v>0</v>
      </c>
      <c r="BI464" s="130">
        <f>IF(BJ464&gt;0,1,0)</f>
        <v>0</v>
      </c>
      <c r="BJ464" s="128">
        <f>VLOOKUP($E464,[2]Current!$A:$AC,28,FALSE)</f>
        <v>0</v>
      </c>
      <c r="BK464" s="128">
        <f>BJ464/$AS464</f>
        <v>0</v>
      </c>
      <c r="BL464" s="128">
        <f>IF(BM464&gt;0,1,0)</f>
        <v>0</v>
      </c>
      <c r="BM464" s="128">
        <f>SUM(BR464,BU464,BX464,CA464,CD464)</f>
        <v>0</v>
      </c>
      <c r="BN464" s="131">
        <f>SUM(BT464,BW464,BZ464,CC464,CF464)</f>
        <v>0</v>
      </c>
      <c r="BO464" s="128">
        <f>IF(BP464&gt;0,1,0)</f>
        <v>0</v>
      </c>
      <c r="BP464" s="128">
        <f>BM464+CJ464</f>
        <v>0</v>
      </c>
      <c r="BQ464" s="128">
        <f>BN464+CL464</f>
        <v>0</v>
      </c>
      <c r="BR464" s="130">
        <f>IF(BS464&gt;0,1,0)</f>
        <v>0</v>
      </c>
      <c r="BS464" s="128">
        <f>VLOOKUP($E464,[2]Current!$A:$AC,12,FALSE)</f>
        <v>0</v>
      </c>
      <c r="BT464" s="137">
        <f>BS464/$AS464</f>
        <v>0</v>
      </c>
      <c r="BU464" s="130">
        <f>IF(BV464&gt;0,1,0)</f>
        <v>0</v>
      </c>
      <c r="BV464" s="128">
        <f>VLOOKUP($E464,[2]Current!$A:$AC,13,FALSE)</f>
        <v>0</v>
      </c>
      <c r="BW464" s="128">
        <f>BV464/$AS464</f>
        <v>0</v>
      </c>
      <c r="BX464" s="130">
        <f>IF(BY464&gt;0,1,0)</f>
        <v>0</v>
      </c>
      <c r="BY464" s="128">
        <f>VLOOKUP($E464,[2]Current!$A:$AC,14,FALSE)</f>
        <v>0</v>
      </c>
      <c r="BZ464" s="128">
        <f>BY464/$AS464</f>
        <v>0</v>
      </c>
      <c r="CA464" s="130">
        <f>IF(CB464&gt;0,1,0)</f>
        <v>0</v>
      </c>
      <c r="CB464" s="128">
        <f>VLOOKUP($E464,[2]Current!$A:$AC,15,FALSE)</f>
        <v>0</v>
      </c>
      <c r="CC464" s="128">
        <f>CB464/$AS464</f>
        <v>0</v>
      </c>
      <c r="CD464" s="174">
        <f>IF(CE464&gt;0,1,0)</f>
        <v>0</v>
      </c>
      <c r="CE464" s="128">
        <f>VLOOKUP($E464,[2]Current!$A:$AC,16,FALSE)</f>
        <v>0</v>
      </c>
      <c r="CF464" s="128">
        <f>CE464/$AS464</f>
        <v>0</v>
      </c>
      <c r="CG464" s="18"/>
      <c r="CH464" s="18"/>
      <c r="CI464" s="18"/>
      <c r="CJ464" s="130">
        <f>IF(CK464&gt;0,1,0)</f>
        <v>0</v>
      </c>
      <c r="CK464" s="128">
        <f>VLOOKUP($E464,[2]Current!$A:$AC,18,FALSE)</f>
        <v>0</v>
      </c>
      <c r="CL464" s="128">
        <f>CK464/$AS464</f>
        <v>0</v>
      </c>
      <c r="CS464" s="130">
        <f>IF(CU464&gt;0,1,0)</f>
        <v>0</v>
      </c>
      <c r="CU464" s="128">
        <f>VLOOKUP($E464,[2]Current!$A:$AC,17,FALSE)</f>
        <v>0</v>
      </c>
      <c r="CV464" s="128">
        <f>CU464/$AS464</f>
        <v>0</v>
      </c>
      <c r="CW464" s="18"/>
      <c r="CX464" s="18"/>
      <c r="CY464" s="18"/>
      <c r="DF464" s="16" t="e">
        <f>VLOOKUP(K464,'[3]RNA Seq summary tables'!$V$3:$V$99,1,FALSE)</f>
        <v>#N/A</v>
      </c>
    </row>
    <row r="465" spans="1:288" x14ac:dyDescent="0.2">
      <c r="A465" s="19"/>
      <c r="B465" s="19">
        <v>2017</v>
      </c>
      <c r="C465" s="68">
        <v>42958</v>
      </c>
      <c r="D465" s="68" t="str">
        <f>CONCATENATE(J465,"-",C465)</f>
        <v>1340-42958</v>
      </c>
      <c r="E465" s="20" t="str">
        <f>CONCATENATE(T465,"-",U465,"-",C465)</f>
        <v>SP2-B8-42958</v>
      </c>
      <c r="F465" s="20" t="s">
        <v>106</v>
      </c>
      <c r="G465" s="68" t="s">
        <v>107</v>
      </c>
      <c r="H465" s="19"/>
      <c r="I465" s="16">
        <v>0</v>
      </c>
      <c r="J465" s="69">
        <v>1340</v>
      </c>
      <c r="K465" s="69">
        <v>2134</v>
      </c>
      <c r="L465" s="18">
        <v>0</v>
      </c>
      <c r="M465" s="69">
        <f>VLOOKUP($K465,'[4]blood tubes 2017'!$D$1:$L$647,8,FALSE)</f>
        <v>1</v>
      </c>
      <c r="N465" s="69">
        <f>VLOOKUP($K465,'[4]blood tubes 2017'!$D$1:$L$647,9,FALSE)</f>
        <v>13</v>
      </c>
      <c r="O465" s="15" t="s">
        <v>119</v>
      </c>
      <c r="P465" s="19" t="s">
        <v>119</v>
      </c>
      <c r="Q465" s="19">
        <v>0</v>
      </c>
      <c r="R465" s="19" t="s">
        <v>111</v>
      </c>
      <c r="S465" s="19"/>
      <c r="T465" s="19" t="s">
        <v>137</v>
      </c>
      <c r="U465" s="19" t="s">
        <v>209</v>
      </c>
      <c r="V465" s="19" t="s">
        <v>114</v>
      </c>
      <c r="W465" s="16">
        <f>AI465/AG465</f>
        <v>0.82608695652173914</v>
      </c>
      <c r="X465" s="19" t="s">
        <v>121</v>
      </c>
      <c r="Y465" s="19" t="s">
        <v>110</v>
      </c>
      <c r="Z465" s="19">
        <v>3</v>
      </c>
      <c r="AA465" s="19" t="s">
        <v>119</v>
      </c>
      <c r="AB465" s="19" t="s">
        <v>240</v>
      </c>
      <c r="AC465" s="19" t="s">
        <v>123</v>
      </c>
      <c r="AD465" s="19" t="s">
        <v>123</v>
      </c>
      <c r="AE465" s="19"/>
      <c r="AF465" s="19"/>
      <c r="AG465" s="19">
        <f>AH465-AI465</f>
        <v>92</v>
      </c>
      <c r="AH465" s="19">
        <v>168</v>
      </c>
      <c r="AI465" s="19">
        <v>76</v>
      </c>
      <c r="AJ465" s="19"/>
      <c r="AK465" s="19">
        <v>22</v>
      </c>
      <c r="AL465" s="19">
        <v>0</v>
      </c>
      <c r="AM465" s="19">
        <v>0</v>
      </c>
      <c r="AN465" s="19">
        <v>0</v>
      </c>
      <c r="AO465" s="19">
        <v>0</v>
      </c>
      <c r="AP465" s="19">
        <f>SUM(AL465:AN465)</f>
        <v>0</v>
      </c>
      <c r="AQ465" s="19">
        <v>1.871</v>
      </c>
      <c r="AR465" s="19">
        <f>AP465-1.472</f>
        <v>-1.472</v>
      </c>
      <c r="AS465" s="19">
        <f>AQ465-1.472</f>
        <v>0.39900000000000002</v>
      </c>
      <c r="AT465" s="19" t="str">
        <f>VLOOKUP(K465,'[5]FECs - good data'!$C$1:$P$575,13,FALSE)</f>
        <v>SB</v>
      </c>
      <c r="AU465" s="18" t="s">
        <v>1293</v>
      </c>
      <c r="AV465" s="16">
        <v>0</v>
      </c>
      <c r="AW465" s="19">
        <f>IF(AX465&gt;0,1,0)</f>
        <v>0</v>
      </c>
      <c r="AX465" s="19">
        <f>SUM(BA465,BM465,CT465)</f>
        <v>0</v>
      </c>
      <c r="AY465" s="19">
        <f>SUM(BB465,BN465,CV465)</f>
        <v>0</v>
      </c>
      <c r="AZ465" s="19">
        <f>IF(BA465&gt;0,1,0)</f>
        <v>0</v>
      </c>
      <c r="BA465" s="19">
        <f>SUM(BC465,BF465,BI465)</f>
        <v>0</v>
      </c>
      <c r="BB465" s="19">
        <f>SUM(BE465,BH465,BK465)</f>
        <v>0</v>
      </c>
      <c r="BC465" s="19">
        <f>IF(BD465&gt;0,1,0)</f>
        <v>0</v>
      </c>
      <c r="BD465" s="19">
        <f>VLOOKUP($K465,'[5]FECs - good data'!$C$1:$Z$574,14,FALSE)</f>
        <v>0</v>
      </c>
      <c r="BE465" s="19">
        <f>BD465/AS465</f>
        <v>0</v>
      </c>
      <c r="BF465" s="19">
        <f>IF(BG465&gt;0,1,0)</f>
        <v>0</v>
      </c>
      <c r="BG465" s="70">
        <f>VLOOKUP($K465,'[5]FECs - good data'!$C$1:$Z$574,15,FALSE)</f>
        <v>0</v>
      </c>
      <c r="BH465" s="19">
        <f>BG465/AS465</f>
        <v>0</v>
      </c>
      <c r="BI465" s="19">
        <f>IF(BJ465&gt;0,1,0)</f>
        <v>0</v>
      </c>
      <c r="BJ465" s="19">
        <f>VLOOKUP($K465,'[5]FECs - good data'!$C$1:$Z$574,16,FALSE)</f>
        <v>0</v>
      </c>
      <c r="BK465" s="19">
        <f>BJ465/AS465</f>
        <v>0</v>
      </c>
      <c r="BL465" s="19">
        <f>IF(BM465&gt;0,1,0)</f>
        <v>0</v>
      </c>
      <c r="BM465" s="19">
        <f>SUM(BR465,BU465,BX465,CA465,CD465,CG465,CJ465,CM465,CP465)</f>
        <v>0</v>
      </c>
      <c r="BN465" s="19">
        <f>SUM(BW465,BZ465,CC465,CF465,CI465,CL465,CO465,CR465,BT465)</f>
        <v>0</v>
      </c>
      <c r="BO465" s="19">
        <f>IF(BP465&gt;0,1,0)</f>
        <v>0</v>
      </c>
      <c r="BP465" s="19">
        <f>SUM(BU465,BX465,CA465,CD465,BR465)</f>
        <v>0</v>
      </c>
      <c r="BQ465" s="19">
        <f>SUM(BZ465,CC465,CF465,BT465,BW465)</f>
        <v>0</v>
      </c>
      <c r="BR465" s="19">
        <f>IF(BS465&gt;0,1,0)</f>
        <v>0</v>
      </c>
      <c r="BS465" s="19">
        <f>VLOOKUP($K465,'[5]FECs - good data'!$C$1:$Z$574,17,FALSE)</f>
        <v>0</v>
      </c>
      <c r="BT465" s="70">
        <f>BS465/AS465</f>
        <v>0</v>
      </c>
      <c r="BU465" s="19">
        <f>IF(BV465&gt;0,1,0)</f>
        <v>0</v>
      </c>
      <c r="BV465" s="19">
        <f>VLOOKUP($K465,'[5]FECs - good data'!$C$1:$Z$574,18,FALSE)</f>
        <v>0</v>
      </c>
      <c r="BW465" s="19">
        <f>BV465/AS465</f>
        <v>0</v>
      </c>
      <c r="BX465" s="19">
        <f>IF(BY465&gt;0,1,0)</f>
        <v>0</v>
      </c>
      <c r="BY465" s="19">
        <f>VLOOKUP($K465,'[5]FECs - good data'!$C$1:$Z$574,19,FALSE)</f>
        <v>0</v>
      </c>
      <c r="BZ465" s="19">
        <f>BY465/AS465</f>
        <v>0</v>
      </c>
      <c r="CA465" s="19">
        <f>IF(CB465&gt;0,1,0)</f>
        <v>0</v>
      </c>
      <c r="CB465" s="19">
        <f>VLOOKUP($K465,'[5]FECs - good data'!$C$1:$Z$574,20,FALSE)</f>
        <v>0</v>
      </c>
      <c r="CC465" s="19">
        <f>CB465/AS465</f>
        <v>0</v>
      </c>
      <c r="CD465" s="70">
        <f>IF(CE465&gt;0,1,0)</f>
        <v>0</v>
      </c>
      <c r="CE465" s="19">
        <f>VLOOKUP($K465,'[5]FECs - good data'!$C$1:$Z$574,21,FALSE)</f>
        <v>0</v>
      </c>
      <c r="CF465" s="19">
        <f>CE465/AS465</f>
        <v>0</v>
      </c>
      <c r="CG465" s="19">
        <f>IF(CH465&gt;0,1,0)</f>
        <v>0</v>
      </c>
      <c r="CH465" s="19">
        <f>VLOOKUP($K465,'[5]FECs - good data'!$C$1:$Z$574,22,FALSE)</f>
        <v>0</v>
      </c>
      <c r="CI465" s="19">
        <f>CH465/AS465</f>
        <v>0</v>
      </c>
      <c r="CJ465" s="19">
        <f>IF(CK465&gt;0,1,0)</f>
        <v>0</v>
      </c>
      <c r="CK465" s="19">
        <f>VLOOKUP($K465,'[5]FECs - good data'!$C$1:$Z$674,24,FALSE)</f>
        <v>0</v>
      </c>
      <c r="CL465" s="19">
        <f>CK465/AS465</f>
        <v>0</v>
      </c>
      <c r="CM465" s="19"/>
      <c r="CN465" s="19"/>
      <c r="CO465" s="19"/>
      <c r="CP465" s="19"/>
      <c r="CQ465" s="19"/>
      <c r="CR465" s="19"/>
      <c r="CS465" s="19">
        <f>IF(CT465&gt;0,1,0)</f>
        <v>0</v>
      </c>
      <c r="CT465" s="19">
        <f>SUM(CW465+CZ465,DC465)</f>
        <v>0</v>
      </c>
      <c r="CU465" s="19"/>
      <c r="CV465" s="19">
        <f>SUM(CY465,DB465,DE465)</f>
        <v>0</v>
      </c>
      <c r="CW465" s="19">
        <f>IF(CX465&gt;0,1,0)</f>
        <v>0</v>
      </c>
      <c r="CX465" s="19">
        <f>VLOOKUP($K465,'[5]FECs - good data'!$C$1:$Z$574,22,FALSE)</f>
        <v>0</v>
      </c>
      <c r="CY465" s="19">
        <f>CX465/AS465</f>
        <v>0</v>
      </c>
      <c r="CZ465" s="19">
        <f>IF(DA465&gt;0,1,0)</f>
        <v>0</v>
      </c>
      <c r="DA465" s="19">
        <f>VLOOKUP($K465,'[5]FECs - good data'!$C$1:$Z$5982,23,FALSE)</f>
        <v>0</v>
      </c>
      <c r="DB465" s="19">
        <f>DA465/AS465</f>
        <v>0</v>
      </c>
      <c r="DC465" s="19">
        <f>IF(DD465&gt;0,1,0)</f>
        <v>0</v>
      </c>
      <c r="DD465" s="19">
        <f>VLOOKUP($K465,'[5]FECs - good data'!$C$1:$Z$574,23,FALSE)</f>
        <v>0</v>
      </c>
      <c r="DE465" s="19">
        <f>DD465/AS465</f>
        <v>0</v>
      </c>
      <c r="DF465" s="16" t="e">
        <f>VLOOKUP(K465,'[3]RNA Seq summary tables'!$V$3:$V$99,1,FALSE)</f>
        <v>#N/A</v>
      </c>
      <c r="DI465" s="19"/>
      <c r="DJ465" s="19"/>
      <c r="DK465" s="19"/>
      <c r="DL465" s="19"/>
      <c r="DM465" s="19"/>
      <c r="DN465" s="19"/>
      <c r="DO465" s="19"/>
      <c r="DP465" s="19"/>
      <c r="DQ465" s="19"/>
      <c r="DR465" s="19"/>
      <c r="DS465" s="19"/>
      <c r="JO465" s="38"/>
      <c r="JP465" s="38"/>
      <c r="JQ465" s="38"/>
    </row>
    <row r="466" spans="1:288" x14ac:dyDescent="0.2">
      <c r="B466" s="16">
        <v>2017</v>
      </c>
      <c r="C466" s="43">
        <v>42958</v>
      </c>
      <c r="D466" s="20" t="str">
        <f>CONCATENATE(J466,"-",C466)</f>
        <v>1342-42958</v>
      </c>
      <c r="E466" s="142" t="str">
        <f>CONCATENATE(T466,"-",U466,"-",C466)</f>
        <v>SP2-H8-42958</v>
      </c>
      <c r="F466" s="20" t="s">
        <v>106</v>
      </c>
      <c r="G466" s="43" t="s">
        <v>107</v>
      </c>
      <c r="H466" s="23"/>
      <c r="J466" s="15">
        <v>1342</v>
      </c>
      <c r="K466" s="15">
        <v>2139</v>
      </c>
      <c r="L466" s="18">
        <v>0</v>
      </c>
      <c r="M466" s="21">
        <f>VLOOKUP($K466,'[4]blood tubes 2017'!$D$1:$L$647,8,FALSE)</f>
        <v>0</v>
      </c>
      <c r="N466" s="15">
        <v>0</v>
      </c>
      <c r="O466" s="15" t="s">
        <v>119</v>
      </c>
      <c r="P466" s="23" t="s">
        <v>119</v>
      </c>
      <c r="Q466" s="16">
        <v>0</v>
      </c>
      <c r="R466" s="23" t="s">
        <v>111</v>
      </c>
      <c r="S466" s="23"/>
      <c r="T466" s="23" t="s">
        <v>137</v>
      </c>
      <c r="U466" s="23" t="s">
        <v>152</v>
      </c>
      <c r="V466" s="23" t="s">
        <v>114</v>
      </c>
      <c r="W466" s="16">
        <f>AI466/AG466</f>
        <v>0.77272727272727271</v>
      </c>
      <c r="X466" s="23" t="s">
        <v>121</v>
      </c>
      <c r="Y466" s="23" t="s">
        <v>122</v>
      </c>
      <c r="Z466" s="23">
        <v>2.9</v>
      </c>
      <c r="AA466" s="23" t="s">
        <v>161</v>
      </c>
      <c r="AB466" s="23" t="s">
        <v>123</v>
      </c>
      <c r="AC466" s="23" t="s">
        <v>123</v>
      </c>
      <c r="AD466" s="23" t="s">
        <v>116</v>
      </c>
      <c r="AE466" s="23"/>
      <c r="AF466" s="23"/>
      <c r="AG466" s="23">
        <f>AH466-AI466</f>
        <v>88</v>
      </c>
      <c r="AH466" s="23">
        <v>156</v>
      </c>
      <c r="AI466" s="23">
        <v>68</v>
      </c>
      <c r="AJ466" s="23"/>
      <c r="AK466" s="23">
        <v>18.5</v>
      </c>
      <c r="AL466" s="23">
        <v>0</v>
      </c>
      <c r="AM466" s="23">
        <v>0</v>
      </c>
      <c r="AN466" s="23">
        <v>1</v>
      </c>
      <c r="AO466" s="23">
        <v>1</v>
      </c>
      <c r="AP466" s="23">
        <f>SUM(AL466:AN466)</f>
        <v>1</v>
      </c>
      <c r="AQ466" s="23">
        <v>1.655</v>
      </c>
      <c r="AR466" s="23">
        <f>AP466-1.472</f>
        <v>-0.47199999999999998</v>
      </c>
      <c r="AS466" s="23">
        <f>AQ466-1.472</f>
        <v>0.18300000000000005</v>
      </c>
      <c r="AT466" s="16" t="e">
        <f>VLOOKUP(E466,[2]Current!$A$1:$W$435,7,FALSE)</f>
        <v>#N/A</v>
      </c>
      <c r="AU466" s="16">
        <v>0</v>
      </c>
      <c r="AV466" s="23"/>
      <c r="AW466" s="25"/>
      <c r="AX466" s="25"/>
      <c r="AY466" s="25"/>
      <c r="AZ466" s="18"/>
      <c r="BA466" s="25"/>
      <c r="BB466" s="25"/>
      <c r="BC466" s="18"/>
      <c r="BD466" s="25"/>
      <c r="BE466" s="23"/>
      <c r="BG466" s="77"/>
      <c r="BH466" s="23"/>
      <c r="BJ466" s="23"/>
      <c r="BK466" s="23"/>
      <c r="BS466" s="23"/>
      <c r="BT466" s="77"/>
      <c r="BV466" s="23"/>
      <c r="BY466" s="23"/>
      <c r="CB466" s="23"/>
      <c r="CC466" s="23"/>
      <c r="CD466" s="77"/>
      <c r="CE466" s="23"/>
      <c r="CF466" s="23"/>
      <c r="CG466" s="23"/>
      <c r="CH466" s="23"/>
      <c r="CI466" s="23"/>
      <c r="CJ466" s="23"/>
      <c r="CK466" s="23"/>
      <c r="CL466" s="23"/>
      <c r="CM466" s="23"/>
      <c r="CN466" s="23"/>
      <c r="CO466" s="23"/>
      <c r="CP466" s="23"/>
      <c r="CQ466" s="23"/>
      <c r="CR466" s="23"/>
      <c r="CV466" s="23"/>
      <c r="CX466" s="23"/>
      <c r="CY466" s="23"/>
      <c r="CZ466" s="23"/>
      <c r="DA466" s="23"/>
      <c r="DB466" s="23"/>
      <c r="DC466" s="23"/>
      <c r="DD466" s="23"/>
      <c r="DE466" s="23"/>
      <c r="DF466" s="16" t="e">
        <f>VLOOKUP(K466,'[3]RNA Seq summary tables'!$V$3:$V$99,1,FALSE)</f>
        <v>#N/A</v>
      </c>
      <c r="DI466" s="23"/>
      <c r="DJ466" s="23"/>
      <c r="DK466" s="23"/>
      <c r="DL466" s="23"/>
      <c r="DM466" s="23"/>
      <c r="DN466" s="23"/>
      <c r="DO466" s="23"/>
      <c r="DP466" s="23"/>
      <c r="DQ466" s="23"/>
      <c r="DR466" s="23"/>
      <c r="DS466" s="23"/>
      <c r="DT466" s="25"/>
      <c r="DU466" s="25"/>
      <c r="DV466" s="25"/>
      <c r="DW466" s="25"/>
      <c r="DX466" s="25"/>
      <c r="DY466" s="25"/>
      <c r="DZ466" s="25"/>
      <c r="EA466" s="25"/>
      <c r="EB466" s="25"/>
      <c r="EC466" s="25"/>
      <c r="ED466" s="25"/>
      <c r="EE466" s="25"/>
      <c r="EF466" s="25"/>
      <c r="EG466" s="25"/>
      <c r="EH466" s="25"/>
      <c r="EI466" s="25"/>
      <c r="EJ466" s="25"/>
      <c r="EK466" s="25"/>
      <c r="EL466" s="25"/>
      <c r="EM466" s="25"/>
      <c r="EN466" s="25"/>
      <c r="EO466" s="25"/>
      <c r="EP466" s="25"/>
      <c r="EQ466" s="25"/>
      <c r="ER466" s="25"/>
      <c r="ES466" s="25"/>
      <c r="ET466" s="25"/>
      <c r="EU466" s="25"/>
      <c r="EV466" s="25"/>
      <c r="EW466" s="25"/>
      <c r="EX466" s="25"/>
      <c r="EY466" s="25"/>
      <c r="EZ466" s="25"/>
      <c r="FA466" s="25"/>
      <c r="FB466" s="25"/>
      <c r="FC466" s="25"/>
      <c r="FD466" s="25"/>
      <c r="FE466" s="25"/>
      <c r="FF466" s="25"/>
      <c r="FG466" s="25"/>
      <c r="FH466" s="25"/>
      <c r="FI466" s="25"/>
      <c r="FJ466" s="25"/>
      <c r="FK466" s="25"/>
      <c r="FL466" s="25"/>
      <c r="FM466" s="25"/>
      <c r="FN466" s="25"/>
      <c r="FO466" s="25"/>
      <c r="FP466" s="25"/>
      <c r="FQ466" s="25"/>
      <c r="FR466" s="25"/>
      <c r="FS466" s="25"/>
      <c r="FT466" s="25"/>
      <c r="FU466" s="25"/>
      <c r="FV466" s="25"/>
      <c r="FW466" s="25"/>
      <c r="FX466" s="25"/>
      <c r="FY466" s="25"/>
      <c r="FZ466" s="25"/>
      <c r="GA466" s="25"/>
      <c r="GB466" s="25"/>
      <c r="GC466" s="25"/>
      <c r="GD466" s="25"/>
      <c r="GE466" s="25"/>
      <c r="GF466" s="25"/>
      <c r="GG466" s="25"/>
      <c r="GH466" s="25"/>
      <c r="GI466" s="25"/>
      <c r="GJ466" s="25"/>
      <c r="GK466" s="25"/>
      <c r="GL466" s="25"/>
      <c r="GM466" s="25"/>
      <c r="GN466" s="25"/>
      <c r="GO466" s="25"/>
      <c r="GP466" s="25"/>
      <c r="GQ466" s="25"/>
      <c r="GR466" s="25"/>
      <c r="GS466" s="25"/>
      <c r="GT466" s="25"/>
      <c r="GU466" s="25"/>
      <c r="GV466" s="25"/>
      <c r="GW466" s="25"/>
      <c r="GX466" s="25"/>
      <c r="GY466" s="25"/>
      <c r="GZ466" s="25"/>
      <c r="HA466" s="25"/>
      <c r="HB466" s="25"/>
      <c r="HC466" s="25"/>
      <c r="HD466" s="25"/>
      <c r="HE466" s="25"/>
      <c r="HF466" s="25"/>
      <c r="HG466" s="25"/>
      <c r="HH466" s="25"/>
      <c r="HI466" s="25"/>
      <c r="HJ466" s="25"/>
      <c r="HK466" s="25"/>
      <c r="HL466" s="25"/>
      <c r="HM466" s="25"/>
      <c r="HN466" s="25"/>
      <c r="HO466" s="25"/>
      <c r="HP466" s="25"/>
      <c r="HQ466" s="25"/>
      <c r="HR466" s="25"/>
      <c r="HS466" s="25"/>
      <c r="HT466" s="25"/>
      <c r="HU466" s="25"/>
      <c r="HV466" s="25"/>
      <c r="HW466" s="25"/>
      <c r="HX466" s="25"/>
      <c r="HY466" s="25"/>
      <c r="HZ466" s="25"/>
      <c r="IA466" s="25"/>
      <c r="IB466" s="25"/>
      <c r="IC466" s="25"/>
      <c r="ID466" s="25"/>
      <c r="IE466" s="25"/>
      <c r="IF466" s="25"/>
      <c r="IG466" s="25"/>
      <c r="IH466" s="25"/>
      <c r="II466" s="25"/>
      <c r="IJ466" s="25"/>
      <c r="IK466" s="25"/>
      <c r="IL466" s="25"/>
      <c r="IM466" s="25"/>
      <c r="IN466" s="25"/>
      <c r="IO466" s="25"/>
      <c r="IP466" s="25"/>
      <c r="IQ466" s="25"/>
      <c r="IR466" s="25"/>
      <c r="IS466" s="25"/>
      <c r="IT466" s="25"/>
      <c r="IU466" s="25"/>
      <c r="IV466" s="25"/>
      <c r="IW466" s="25"/>
      <c r="IX466" s="25"/>
      <c r="IY466" s="25"/>
      <c r="IZ466" s="25"/>
      <c r="JA466" s="25"/>
      <c r="JB466" s="25"/>
      <c r="JC466" s="25"/>
      <c r="JD466" s="25"/>
      <c r="JE466" s="25"/>
      <c r="JF466" s="25"/>
      <c r="JG466" s="25"/>
      <c r="JH466" s="25"/>
      <c r="JI466" s="25"/>
      <c r="JJ466" s="25"/>
      <c r="JK466" s="25"/>
      <c r="JL466" s="25"/>
      <c r="JM466" s="25"/>
      <c r="JN466" s="25"/>
      <c r="JO466" s="117"/>
      <c r="JP466" s="38"/>
      <c r="JQ466" s="38"/>
    </row>
    <row r="467" spans="1:288" x14ac:dyDescent="0.2">
      <c r="B467" s="18">
        <v>2017</v>
      </c>
      <c r="C467" s="37">
        <v>42959</v>
      </c>
      <c r="D467" s="37" t="str">
        <f>CONCATENATE(J467,"-",C467)</f>
        <v>1344-42959</v>
      </c>
      <c r="E467" s="20" t="str">
        <f>CONCATENATE(T467,"-",U467,"-",C467)</f>
        <v>SP1-H8-42959</v>
      </c>
      <c r="F467" s="20" t="s">
        <v>106</v>
      </c>
      <c r="G467" s="37" t="s">
        <v>107</v>
      </c>
      <c r="H467" s="18"/>
      <c r="I467" s="16">
        <v>0</v>
      </c>
      <c r="J467" s="36">
        <v>1344</v>
      </c>
      <c r="K467" s="36">
        <v>2141</v>
      </c>
      <c r="L467" s="18">
        <v>0</v>
      </c>
      <c r="M467" s="21">
        <f>VLOOKUP($K467,'[4]blood tubes 2017'!$D$1:$L$647,8,FALSE)</f>
        <v>0</v>
      </c>
      <c r="N467" s="15">
        <v>0</v>
      </c>
      <c r="O467" s="15" t="s">
        <v>119</v>
      </c>
      <c r="P467" s="18" t="s">
        <v>119</v>
      </c>
      <c r="Q467" s="16">
        <v>0</v>
      </c>
      <c r="R467" s="18" t="s">
        <v>111</v>
      </c>
      <c r="S467" s="18"/>
      <c r="T467" s="18" t="s">
        <v>140</v>
      </c>
      <c r="U467" s="18" t="s">
        <v>152</v>
      </c>
      <c r="V467" s="18" t="s">
        <v>114</v>
      </c>
      <c r="W467" s="16">
        <f>AI467/AG467</f>
        <v>1</v>
      </c>
      <c r="X467" s="18" t="s">
        <v>115</v>
      </c>
      <c r="Y467" s="18" t="s">
        <v>110</v>
      </c>
      <c r="Z467" s="18">
        <v>3</v>
      </c>
      <c r="AA467" s="18"/>
      <c r="AB467" s="18"/>
      <c r="AC467" s="18"/>
      <c r="AD467" s="18"/>
      <c r="AE467" s="18" t="s">
        <v>116</v>
      </c>
      <c r="AF467" s="18" t="s">
        <v>116</v>
      </c>
      <c r="AG467" s="18">
        <f>AH467-AI467</f>
        <v>83</v>
      </c>
      <c r="AH467" s="18">
        <v>166</v>
      </c>
      <c r="AI467" s="18">
        <v>83</v>
      </c>
      <c r="AJ467" s="18"/>
      <c r="AK467" s="18">
        <v>20</v>
      </c>
      <c r="AL467" s="18">
        <v>1</v>
      </c>
      <c r="AM467" s="18">
        <v>1</v>
      </c>
      <c r="AN467" s="18">
        <v>0</v>
      </c>
      <c r="AO467" s="18">
        <v>1</v>
      </c>
      <c r="AP467" s="18">
        <f>SUM(AL467:AN467)</f>
        <v>2</v>
      </c>
      <c r="AQ467" s="18">
        <v>1.7769999999999999</v>
      </c>
      <c r="AR467" s="18">
        <f>AP467-1.472</f>
        <v>0.52800000000000002</v>
      </c>
      <c r="AS467" s="18">
        <f>AQ467-1.472</f>
        <v>0.30499999999999994</v>
      </c>
      <c r="AT467" s="18" t="str">
        <f>VLOOKUP(K467,'[5]FECs - good data'!$C$1:$P$575,13,FALSE)</f>
        <v>LV</v>
      </c>
      <c r="AU467" s="18"/>
      <c r="AV467" s="18"/>
      <c r="AW467" s="18">
        <f>IF(AX467&gt;0,1,0)</f>
        <v>1</v>
      </c>
      <c r="AX467" s="18">
        <f>SUM(BA467,BM467,CT467)</f>
        <v>3</v>
      </c>
      <c r="AY467" s="18">
        <f>SUM(BB467,BN467,CV467)</f>
        <v>11088.524590163937</v>
      </c>
      <c r="AZ467" s="18">
        <f>IF(BA467&gt;0,1,0)</f>
        <v>1</v>
      </c>
      <c r="BA467" s="18">
        <f>SUM(BC467,BF467,BI467)</f>
        <v>2</v>
      </c>
      <c r="BB467" s="18">
        <f>SUM(BE467,BH467,BK467)</f>
        <v>11081.967213114756</v>
      </c>
      <c r="BC467" s="18">
        <f>IF(BD467&gt;0,1,0)</f>
        <v>1</v>
      </c>
      <c r="BD467" s="18">
        <f>VLOOKUP($K467,'[5]FECs - good data'!$C$1:$Z$574,14,FALSE)</f>
        <v>289</v>
      </c>
      <c r="BE467" s="18">
        <f>BD467/AS467</f>
        <v>947.54098360655757</v>
      </c>
      <c r="BF467" s="18">
        <f>IF(BG467&gt;0,1,0)</f>
        <v>1</v>
      </c>
      <c r="BG467" s="78">
        <f>VLOOKUP($K467,'[5]FECs - good data'!$C$1:$Z$574,15,FALSE)</f>
        <v>3091</v>
      </c>
      <c r="BH467" s="18">
        <f>BG467/AS467</f>
        <v>10134.426229508199</v>
      </c>
      <c r="BI467" s="18">
        <f>IF(BJ467&gt;0,1,0)</f>
        <v>0</v>
      </c>
      <c r="BJ467" s="18">
        <f>VLOOKUP($K467,'[5]FECs - good data'!$C$1:$Z$574,16,FALSE)</f>
        <v>0</v>
      </c>
      <c r="BK467" s="18">
        <f>BJ467/AS467</f>
        <v>0</v>
      </c>
      <c r="BL467" s="18">
        <f>IF(BM467&gt;0,1,0)</f>
        <v>1</v>
      </c>
      <c r="BM467" s="18">
        <f>SUM(BR467,BU467,BX467,CA467,CD467,CG467,CJ467,CM467,CP467)</f>
        <v>1</v>
      </c>
      <c r="BN467" s="18">
        <f>SUM(BW467,BZ467,CC467,CF467,CI467,CL467,CO467,CR467,BT467)</f>
        <v>6.5573770491803289</v>
      </c>
      <c r="BO467" s="16">
        <f>IF(BP467&gt;0,1,0)</f>
        <v>1</v>
      </c>
      <c r="BP467" s="16">
        <f>SUM(BU467,BX467,CA467,CD467,BR467)</f>
        <v>1</v>
      </c>
      <c r="BQ467" s="16">
        <f>SUM(BZ467,CC467,CF467,BT467,BW467)</f>
        <v>6.5573770491803289</v>
      </c>
      <c r="BR467" s="18">
        <f>IF(BS467&gt;0,1,0)</f>
        <v>0</v>
      </c>
      <c r="BS467" s="18">
        <f>VLOOKUP($K467,'[5]FECs - good data'!$C$1:$Z$574,17,FALSE)</f>
        <v>0</v>
      </c>
      <c r="BT467" s="78">
        <f>BS467/AS467</f>
        <v>0</v>
      </c>
      <c r="BU467" s="18">
        <f>IF(BV467&gt;0,1,0)</f>
        <v>0</v>
      </c>
      <c r="BV467" s="18">
        <f>VLOOKUP($K467,'[5]FECs - good data'!$C$1:$Z$574,18,FALSE)</f>
        <v>0</v>
      </c>
      <c r="BW467" s="18">
        <f>BV467/AS467</f>
        <v>0</v>
      </c>
      <c r="BX467" s="18">
        <f>IF(BY467&gt;0,1,0)</f>
        <v>0</v>
      </c>
      <c r="BY467" s="18">
        <f>VLOOKUP($K467,'[5]FECs - good data'!$C$1:$Z$574,19,FALSE)</f>
        <v>0</v>
      </c>
      <c r="BZ467" s="18">
        <f>BY467/AS467</f>
        <v>0</v>
      </c>
      <c r="CA467" s="18">
        <f>IF(CB467&gt;0,1,0)</f>
        <v>1</v>
      </c>
      <c r="CB467" s="18">
        <f>VLOOKUP($K467,'[5]FECs - good data'!$C$1:$Z$574,20,FALSE)</f>
        <v>2</v>
      </c>
      <c r="CC467" s="18">
        <f>CB467/AS467</f>
        <v>6.5573770491803289</v>
      </c>
      <c r="CD467" s="78">
        <f>IF(CE467&gt;0,1,0)</f>
        <v>0</v>
      </c>
      <c r="CE467" s="18">
        <f>VLOOKUP($K467,'[5]FECs - good data'!$C$1:$Z$574,21,FALSE)</f>
        <v>0</v>
      </c>
      <c r="CF467" s="18">
        <f>CE467/AS467</f>
        <v>0</v>
      </c>
      <c r="CG467" s="18">
        <f>IF(CH467&gt;0,1,0)</f>
        <v>0</v>
      </c>
      <c r="CH467" s="18">
        <f>VLOOKUP($K467,'[5]FECs - good data'!$C$1:$Z$574,22,FALSE)</f>
        <v>0</v>
      </c>
      <c r="CI467" s="18">
        <f>CH467/AS467</f>
        <v>0</v>
      </c>
      <c r="CJ467" s="18">
        <f>IF(CK467&gt;0,1,0)</f>
        <v>0</v>
      </c>
      <c r="CK467" s="18">
        <f>VLOOKUP($K467,'[5]FECs - good data'!$C$1:$Z$674,24,FALSE)</f>
        <v>0</v>
      </c>
      <c r="CL467" s="18">
        <f>CK467/AS467</f>
        <v>0</v>
      </c>
      <c r="CM467" s="18"/>
      <c r="CN467" s="18"/>
      <c r="CO467" s="18"/>
      <c r="CP467" s="18"/>
      <c r="CQ467" s="18"/>
      <c r="CR467" s="18"/>
      <c r="CS467" s="18">
        <f>IF(CT467&gt;0,1,0)</f>
        <v>0</v>
      </c>
      <c r="CT467" s="18">
        <f>SUM(CW467+CZ467,DC467)</f>
        <v>0</v>
      </c>
      <c r="CU467" s="18"/>
      <c r="CV467" s="18">
        <f>SUM(CY467,DB467,DE467)</f>
        <v>0</v>
      </c>
      <c r="CW467" s="18">
        <f>IF(CX467&gt;0,1,0)</f>
        <v>0</v>
      </c>
      <c r="CX467" s="18">
        <f>VLOOKUP($K467,'[5]FECs - good data'!$C$1:$Z$574,22,FALSE)</f>
        <v>0</v>
      </c>
      <c r="CY467" s="18">
        <f>CX467/AS467</f>
        <v>0</v>
      </c>
      <c r="CZ467" s="18">
        <f>IF(DA467&gt;0,1,0)</f>
        <v>0</v>
      </c>
      <c r="DA467" s="18">
        <f>VLOOKUP($K467,'[5]FECs - good data'!$C$1:$Z$5982,23,FALSE)</f>
        <v>0</v>
      </c>
      <c r="DB467" s="18">
        <f>DA467/AS467</f>
        <v>0</v>
      </c>
      <c r="DC467" s="18">
        <f>IF(DD467&gt;0,1,0)</f>
        <v>0</v>
      </c>
      <c r="DD467" s="18">
        <f>VLOOKUP($K467,'[5]FECs - good data'!$C$1:$Z$574,23,FALSE)</f>
        <v>0</v>
      </c>
      <c r="DE467" s="18">
        <f>DD467/AS467</f>
        <v>0</v>
      </c>
      <c r="DF467" s="16" t="e">
        <f>VLOOKUP(K467,'[3]RNA Seq summary tables'!$V$3:$V$99,1,FALSE)</f>
        <v>#N/A</v>
      </c>
      <c r="DI467" s="18"/>
      <c r="DJ467" s="18"/>
      <c r="DK467" s="18"/>
      <c r="DL467" s="18"/>
      <c r="DM467" s="18"/>
      <c r="DN467" s="18"/>
      <c r="DO467" s="18"/>
      <c r="DP467" s="18"/>
      <c r="DQ467" s="18"/>
      <c r="DR467" s="18"/>
      <c r="DS467" s="18"/>
      <c r="JO467" s="38"/>
      <c r="JP467" s="38"/>
      <c r="JQ467" s="38"/>
    </row>
    <row r="468" spans="1:288" ht="16" x14ac:dyDescent="0.2">
      <c r="B468" s="18">
        <v>2017</v>
      </c>
      <c r="C468" s="37">
        <v>42963</v>
      </c>
      <c r="D468" s="37" t="str">
        <f>CONCATENATE(J468,"-",C468)</f>
        <v>1345-42963</v>
      </c>
      <c r="E468" s="37" t="str">
        <f>CONCATENATE(T468,"-",U468,"-",C468)</f>
        <v>PO1-C2-42963</v>
      </c>
      <c r="F468" s="20" t="s">
        <v>106</v>
      </c>
      <c r="G468" s="37" t="s">
        <v>107</v>
      </c>
      <c r="H468" s="18"/>
      <c r="I468" s="16">
        <v>0</v>
      </c>
      <c r="J468" s="36">
        <v>1345</v>
      </c>
      <c r="K468" s="36">
        <v>2149</v>
      </c>
      <c r="L468" s="18">
        <v>0</v>
      </c>
      <c r="M468" s="21">
        <f>VLOOKUP($K468,'[4]blood tubes 2017'!$D$1:$L$647,8,FALSE)</f>
        <v>0</v>
      </c>
      <c r="N468" s="15">
        <v>0</v>
      </c>
      <c r="O468" s="15" t="s">
        <v>119</v>
      </c>
      <c r="P468" s="18" t="s">
        <v>119</v>
      </c>
      <c r="Q468" s="16">
        <v>0</v>
      </c>
      <c r="R468" s="18" t="s">
        <v>111</v>
      </c>
      <c r="S468" s="18"/>
      <c r="T468" s="18" t="s">
        <v>112</v>
      </c>
      <c r="U468" s="18" t="s">
        <v>162</v>
      </c>
      <c r="V468" s="18" t="s">
        <v>114</v>
      </c>
      <c r="W468" s="16">
        <f>AI468/AG468</f>
        <v>0.8214285714285714</v>
      </c>
      <c r="X468" s="18" t="s">
        <v>115</v>
      </c>
      <c r="Y468" s="18" t="s">
        <v>110</v>
      </c>
      <c r="Z468" s="18">
        <v>3</v>
      </c>
      <c r="AA468" s="18"/>
      <c r="AB468" s="18"/>
      <c r="AC468" s="18"/>
      <c r="AD468" s="18"/>
      <c r="AE468" s="18" t="s">
        <v>123</v>
      </c>
      <c r="AF468" s="18" t="s">
        <v>123</v>
      </c>
      <c r="AG468" s="18">
        <f>AH468-AI468</f>
        <v>84</v>
      </c>
      <c r="AH468" s="18">
        <v>153</v>
      </c>
      <c r="AI468" s="18">
        <v>69</v>
      </c>
      <c r="AJ468" s="18"/>
      <c r="AK468" s="18">
        <v>18</v>
      </c>
      <c r="AL468" s="18">
        <v>0</v>
      </c>
      <c r="AM468" s="18">
        <v>0</v>
      </c>
      <c r="AN468" s="18">
        <v>0</v>
      </c>
      <c r="AO468" s="18">
        <v>0</v>
      </c>
      <c r="AP468" s="18">
        <f>SUM(AL468:AN468)</f>
        <v>0</v>
      </c>
      <c r="AQ468" s="18">
        <v>1.821</v>
      </c>
      <c r="AR468" s="18">
        <f>AP468-1.472</f>
        <v>-1.472</v>
      </c>
      <c r="AS468" s="18">
        <f>AQ468-1.472</f>
        <v>0.34899999999999998</v>
      </c>
      <c r="AT468" s="16" t="str">
        <f>VLOOKUP(E468,[2]Current!$A$1:$W$435,7,FALSE)</f>
        <v>NB</v>
      </c>
      <c r="AU468" s="16" t="s">
        <v>1288</v>
      </c>
      <c r="AV468" s="18"/>
      <c r="AW468" s="128">
        <f>IF(AX468&gt;0,1,0)</f>
        <v>1</v>
      </c>
      <c r="AX468" s="128">
        <f>SUM(BA468,BM468,CU468)</f>
        <v>1</v>
      </c>
      <c r="AY468" s="128">
        <f>SUM(BB468,BN468,CV468)</f>
        <v>2.8653295128939829</v>
      </c>
      <c r="AZ468" s="128">
        <f>IF(BA468&gt;0,1,0)</f>
        <v>0</v>
      </c>
      <c r="BA468" s="128">
        <f>SUM(BC468+BF468+BI468)</f>
        <v>0</v>
      </c>
      <c r="BB468" s="128">
        <f>SUM(BE468,BH468,BK468)</f>
        <v>0</v>
      </c>
      <c r="BC468" s="130">
        <f>IF(BD468&gt;0,1,0)</f>
        <v>0</v>
      </c>
      <c r="BD468" s="128">
        <f>VLOOKUP($E468,[2]Current!$A:$AC,26,FALSE)</f>
        <v>0</v>
      </c>
      <c r="BE468" s="128">
        <f>BD468/$AS468</f>
        <v>0</v>
      </c>
      <c r="BF468" s="130">
        <f>IF(BG468&gt;0,1,0)</f>
        <v>0</v>
      </c>
      <c r="BG468" s="175">
        <f>VLOOKUP($E468,[2]Current!$A:$AC,27,FALSE)</f>
        <v>0</v>
      </c>
      <c r="BH468" s="128">
        <f>BG468/$AS468</f>
        <v>0</v>
      </c>
      <c r="BI468" s="130">
        <f>IF(BJ468&gt;0,1,0)</f>
        <v>0</v>
      </c>
      <c r="BJ468" s="128">
        <f>VLOOKUP($E468,[2]Current!$A:$AC,28,FALSE)</f>
        <v>0</v>
      </c>
      <c r="BK468" s="128">
        <f>BJ468/$AS468</f>
        <v>0</v>
      </c>
      <c r="BL468" s="128">
        <f>IF(BM468&gt;0,1,0)</f>
        <v>1</v>
      </c>
      <c r="BM468" s="128">
        <f>SUM(BR468,BU468,BX468,CA468,CD468)</f>
        <v>1</v>
      </c>
      <c r="BN468" s="131">
        <f>SUM(BT468,BW468,BZ468,CC468,CF468)</f>
        <v>2.8653295128939829</v>
      </c>
      <c r="BO468" s="128">
        <f>IF(BP468&gt;0,1,0)</f>
        <v>1</v>
      </c>
      <c r="BP468" s="128">
        <f>BM468+CJ468</f>
        <v>1</v>
      </c>
      <c r="BQ468" s="128">
        <f>BN468+CL468</f>
        <v>2.8653295128939829</v>
      </c>
      <c r="BR468" s="130">
        <f>IF(BS468&gt;0,1,0)</f>
        <v>0</v>
      </c>
      <c r="BS468" s="128">
        <f>VLOOKUP($E468,[2]Current!$A:$AC,12,FALSE)</f>
        <v>0</v>
      </c>
      <c r="BT468" s="175">
        <f>BS468/$AS468</f>
        <v>0</v>
      </c>
      <c r="BU468" s="130">
        <f>IF(BV468&gt;0,1,0)</f>
        <v>0</v>
      </c>
      <c r="BV468" s="128">
        <f>VLOOKUP($E468,[2]Current!$A:$AC,13,FALSE)</f>
        <v>0</v>
      </c>
      <c r="BW468" s="128">
        <f>BV468/$AS468</f>
        <v>0</v>
      </c>
      <c r="BX468" s="130">
        <f>IF(BY468&gt;0,1,0)</f>
        <v>0</v>
      </c>
      <c r="BY468" s="128">
        <f>VLOOKUP($E468,[2]Current!$A:$AC,14,FALSE)</f>
        <v>0</v>
      </c>
      <c r="BZ468" s="128">
        <f>BY468/$AS468</f>
        <v>0</v>
      </c>
      <c r="CA468" s="130">
        <f>IF(CB468&gt;0,1,0)</f>
        <v>1</v>
      </c>
      <c r="CB468" s="128">
        <f>VLOOKUP($E468,[2]Current!$A:$AC,15,FALSE)</f>
        <v>1</v>
      </c>
      <c r="CC468" s="128">
        <f>CB468/$AS468</f>
        <v>2.8653295128939829</v>
      </c>
      <c r="CD468" s="176">
        <f>IF(CE468&gt;0,1,0)</f>
        <v>0</v>
      </c>
      <c r="CE468" s="128">
        <f>VLOOKUP($E468,[2]Current!$A:$AC,16,FALSE)</f>
        <v>0</v>
      </c>
      <c r="CF468" s="128">
        <f>CE468/$AS468</f>
        <v>0</v>
      </c>
      <c r="CG468" s="18"/>
      <c r="CH468" s="18"/>
      <c r="CI468" s="18"/>
      <c r="CJ468" s="130">
        <f>IF(CK468&gt;0,1,0)</f>
        <v>0</v>
      </c>
      <c r="CK468" s="128">
        <f>VLOOKUP($E468,[2]Current!$A:$AC,18,FALSE)</f>
        <v>0</v>
      </c>
      <c r="CL468" s="128">
        <f>CK468/$AS468</f>
        <v>0</v>
      </c>
      <c r="CS468" s="130">
        <f>IF(CU468&gt;0,1,0)</f>
        <v>0</v>
      </c>
      <c r="CU468" s="128">
        <f>VLOOKUP($E468,[2]Current!$A:$AC,17,FALSE)</f>
        <v>0</v>
      </c>
      <c r="CV468" s="128">
        <f>CU468/$AS468</f>
        <v>0</v>
      </c>
      <c r="CW468" s="18"/>
      <c r="CX468" s="18"/>
      <c r="CY468" s="18"/>
      <c r="DF468" s="16" t="e">
        <f>VLOOKUP(K468,'[3]RNA Seq summary tables'!$V$3:$V$99,1,FALSE)</f>
        <v>#N/A</v>
      </c>
      <c r="DI468" s="18"/>
      <c r="DJ468" s="18"/>
      <c r="DK468" s="18"/>
      <c r="DL468" s="18"/>
      <c r="DM468" s="18"/>
      <c r="DN468" s="18"/>
      <c r="DO468" s="18"/>
      <c r="DP468" s="18"/>
      <c r="DQ468" s="18"/>
      <c r="DR468" s="18"/>
      <c r="DS468" s="18"/>
      <c r="JP468" s="38"/>
      <c r="JQ468" s="38"/>
    </row>
    <row r="469" spans="1:288" x14ac:dyDescent="0.2">
      <c r="B469" s="16">
        <v>2017</v>
      </c>
      <c r="C469" s="20">
        <v>42963</v>
      </c>
      <c r="D469" s="20" t="str">
        <f>CONCATENATE(J469,"-",C469)</f>
        <v>1347-42963</v>
      </c>
      <c r="E469" s="20" t="str">
        <f>CONCATENATE(T469,"-",U469,"-",C469)</f>
        <v>PO1-H4-42963</v>
      </c>
      <c r="F469" s="20" t="s">
        <v>106</v>
      </c>
      <c r="G469" s="20" t="s">
        <v>107</v>
      </c>
      <c r="I469" s="16">
        <v>0</v>
      </c>
      <c r="J469" s="21">
        <v>1347</v>
      </c>
      <c r="K469" s="21">
        <v>2154</v>
      </c>
      <c r="L469" s="18">
        <v>0</v>
      </c>
      <c r="M469" s="21">
        <f>VLOOKUP($K469,'[4]blood tubes 2017'!$D$1:$L$647,8,FALSE)</f>
        <v>0</v>
      </c>
      <c r="N469" s="15">
        <v>0</v>
      </c>
      <c r="O469" s="15" t="s">
        <v>119</v>
      </c>
      <c r="P469" s="16" t="s">
        <v>119</v>
      </c>
      <c r="Q469" s="16">
        <v>0</v>
      </c>
      <c r="R469" s="16" t="s">
        <v>111</v>
      </c>
      <c r="S469" s="16">
        <v>1</v>
      </c>
      <c r="T469" s="16" t="s">
        <v>112</v>
      </c>
      <c r="U469" s="16" t="s">
        <v>151</v>
      </c>
      <c r="V469" s="16" t="s">
        <v>114</v>
      </c>
      <c r="W469" s="16">
        <f>AI469/AG469</f>
        <v>0.82352941176470584</v>
      </c>
      <c r="X469" s="16" t="s">
        <v>115</v>
      </c>
      <c r="Y469" s="16" t="s">
        <v>110</v>
      </c>
      <c r="Z469" s="16">
        <v>3</v>
      </c>
      <c r="AE469" s="16" t="s">
        <v>116</v>
      </c>
      <c r="AF469" s="16" t="s">
        <v>116</v>
      </c>
      <c r="AG469" s="16">
        <f>AH469-AI469</f>
        <v>85</v>
      </c>
      <c r="AH469" s="16">
        <v>155</v>
      </c>
      <c r="AI469" s="16">
        <v>70</v>
      </c>
      <c r="AK469" s="16">
        <v>17</v>
      </c>
      <c r="AL469" s="16">
        <v>0</v>
      </c>
      <c r="AM469" s="16">
        <v>0</v>
      </c>
      <c r="AN469" s="16">
        <v>0</v>
      </c>
      <c r="AO469" s="16">
        <v>0</v>
      </c>
      <c r="AP469" s="16">
        <f>SUM(AL469:AN469)</f>
        <v>0</v>
      </c>
      <c r="AQ469" s="16">
        <v>1.675</v>
      </c>
      <c r="AR469" s="16">
        <f>AP469-1.472</f>
        <v>-1.472</v>
      </c>
      <c r="AS469" s="16">
        <f>AQ469-1.472</f>
        <v>0.20300000000000007</v>
      </c>
      <c r="AT469" s="16" t="str">
        <f>VLOOKUP(K469,'[5]FECs - good data'!$C$1:$P$575,13,FALSE)</f>
        <v>TE</v>
      </c>
      <c r="AW469" s="18">
        <f>IF(AX469&gt;0,1,0)</f>
        <v>1</v>
      </c>
      <c r="AX469" s="18">
        <f>SUM(BA469,BM469,CT469)</f>
        <v>5</v>
      </c>
      <c r="AY469" s="18">
        <f>SUM(BB469,BN469,CV469)</f>
        <v>10433.49753694581</v>
      </c>
      <c r="AZ469" s="18">
        <f>IF(BA469&gt;0,1,0)</f>
        <v>1</v>
      </c>
      <c r="BA469" s="18">
        <f>SUM(BC469,BF469,BI469)</f>
        <v>3</v>
      </c>
      <c r="BB469" s="18">
        <f>SUM(BE469,BH469,BK469)</f>
        <v>10344.827586206893</v>
      </c>
      <c r="BC469" s="18">
        <f>IF(BD469&gt;0,1,0)</f>
        <v>1</v>
      </c>
      <c r="BD469" s="18">
        <f>VLOOKUP($K469,'[5]FECs - good data'!$C$1:$Z$574,14,FALSE)</f>
        <v>105</v>
      </c>
      <c r="BE469" s="16">
        <f>BD469/AS469</f>
        <v>517.24137931034466</v>
      </c>
      <c r="BF469" s="16">
        <f>IF(BG469&gt;0,1,0)</f>
        <v>1</v>
      </c>
      <c r="BG469" s="77">
        <f>VLOOKUP($K469,'[5]FECs - good data'!$C$1:$Z$574,15,FALSE)</f>
        <v>1994</v>
      </c>
      <c r="BH469" s="16">
        <f>BG469/AS469</f>
        <v>9822.6600985221648</v>
      </c>
      <c r="BI469" s="16">
        <f>IF(BJ469&gt;0,1,0)</f>
        <v>1</v>
      </c>
      <c r="BJ469" s="16">
        <f>VLOOKUP($K469,'[5]FECs - good data'!$C$1:$Z$574,16,FALSE)</f>
        <v>1</v>
      </c>
      <c r="BK469" s="16">
        <f>BJ469/AS469</f>
        <v>4.9261083743842349</v>
      </c>
      <c r="BL469" s="16">
        <f>IF(BM469&gt;0,1,0)</f>
        <v>1</v>
      </c>
      <c r="BM469" s="16">
        <f>SUM(BR469,BU469,BX469,CA469,CD469,CG469,CJ469,CM469,CP469)</f>
        <v>2</v>
      </c>
      <c r="BN469" s="16">
        <f>SUM(BW469,BZ469,CC469,CF469,CI469,CL469,CO469,CR469,BT469)</f>
        <v>88.669950738916214</v>
      </c>
      <c r="BO469" s="16">
        <f>IF(BP469&gt;0,1,0)</f>
        <v>1</v>
      </c>
      <c r="BP469" s="16">
        <f>SUM(BU469,BX469,CA469,CD469,BR469)</f>
        <v>2</v>
      </c>
      <c r="BQ469" s="16">
        <f>SUM(BZ469,CC469,CF469,BT469,BW469)</f>
        <v>88.669950738916214</v>
      </c>
      <c r="BR469" s="16">
        <f>IF(BS469&gt;0,1,0)</f>
        <v>1</v>
      </c>
      <c r="BS469" s="16">
        <f>VLOOKUP($K469,'[5]FECs - good data'!$C$1:$Z$574,17,FALSE)</f>
        <v>1</v>
      </c>
      <c r="BT469" s="77">
        <f>BS469/AS469</f>
        <v>4.9261083743842349</v>
      </c>
      <c r="BU469" s="16">
        <f>IF(BV469&gt;0,1,0)</f>
        <v>0</v>
      </c>
      <c r="BV469" s="16">
        <f>VLOOKUP($K469,'[5]FECs - good data'!$C$1:$Z$574,18,FALSE)</f>
        <v>0</v>
      </c>
      <c r="BW469" s="16">
        <f>BV469/AS469</f>
        <v>0</v>
      </c>
      <c r="BX469" s="16">
        <f>IF(BY469&gt;0,1,0)</f>
        <v>1</v>
      </c>
      <c r="BY469" s="16">
        <f>VLOOKUP($K469,'[5]FECs - good data'!$C$1:$Z$574,19,FALSE)</f>
        <v>17</v>
      </c>
      <c r="BZ469" s="16">
        <f>BY469/AS469</f>
        <v>83.743842364531986</v>
      </c>
      <c r="CA469" s="16">
        <f>IF(CB469&gt;0,1,0)</f>
        <v>0</v>
      </c>
      <c r="CB469" s="16">
        <f>VLOOKUP($K469,'[5]FECs - good data'!$C$1:$Z$574,20,FALSE)</f>
        <v>0</v>
      </c>
      <c r="CC469" s="16">
        <f>CB469/AS469</f>
        <v>0</v>
      </c>
      <c r="CD469" s="77">
        <f>IF(CE469&gt;0,1,0)</f>
        <v>0</v>
      </c>
      <c r="CE469" s="16">
        <f>VLOOKUP($K469,'[5]FECs - good data'!$C$1:$Z$574,21,FALSE)</f>
        <v>0</v>
      </c>
      <c r="CF469" s="16">
        <f>CE469/AS469</f>
        <v>0</v>
      </c>
      <c r="CG469" s="16">
        <f>IF(CH469&gt;0,1,0)</f>
        <v>0</v>
      </c>
      <c r="CH469" s="16">
        <f>VLOOKUP($K469,'[5]FECs - good data'!$C$1:$Z$574,22,FALSE)</f>
        <v>0</v>
      </c>
      <c r="CI469" s="16">
        <f>CH469/AS469</f>
        <v>0</v>
      </c>
      <c r="CJ469" s="16">
        <f>IF(CK469&gt;0,1,0)</f>
        <v>0</v>
      </c>
      <c r="CK469" s="16">
        <f>VLOOKUP($K469,'[5]FECs - good data'!$C$1:$Z$674,24,FALSE)</f>
        <v>0</v>
      </c>
      <c r="CL469" s="16">
        <f>CK469/AS469</f>
        <v>0</v>
      </c>
      <c r="CS469" s="16">
        <f>IF(CT469&gt;0,1,0)</f>
        <v>0</v>
      </c>
      <c r="CT469" s="16">
        <f>SUM(CW469+CZ469,DC469)</f>
        <v>0</v>
      </c>
      <c r="CV469" s="16">
        <f>SUM(CY469,DB469,DE469)</f>
        <v>0</v>
      </c>
      <c r="CW469" s="16">
        <f>IF(CX469&gt;0,1,0)</f>
        <v>0</v>
      </c>
      <c r="CX469" s="16">
        <f>VLOOKUP($K469,'[5]FECs - good data'!$C$1:$Z$574,22,FALSE)</f>
        <v>0</v>
      </c>
      <c r="CY469" s="16">
        <f>CX469/AS469</f>
        <v>0</v>
      </c>
      <c r="CZ469" s="16">
        <f>IF(DA469&gt;0,1,0)</f>
        <v>0</v>
      </c>
      <c r="DA469" s="16">
        <f>VLOOKUP($K469,'[5]FECs - good data'!$C$1:$Z$5982,23,FALSE)</f>
        <v>0</v>
      </c>
      <c r="DB469" s="16">
        <f>DA469/AS469</f>
        <v>0</v>
      </c>
      <c r="DC469" s="16">
        <f>IF(DD469&gt;0,1,0)</f>
        <v>0</v>
      </c>
      <c r="DD469" s="16">
        <f>VLOOKUP($K469,'[5]FECs - good data'!$C$1:$Z$574,23,FALSE)</f>
        <v>0</v>
      </c>
      <c r="DE469" s="16">
        <f>DD469/AS469</f>
        <v>0</v>
      </c>
      <c r="DF469" s="16" t="e">
        <f>VLOOKUP(K469,'[3]RNA Seq summary tables'!$V$3:$V$99,1,FALSE)</f>
        <v>#N/A</v>
      </c>
      <c r="JP469" s="38"/>
      <c r="JQ469" s="38"/>
    </row>
    <row r="470" spans="1:288" x14ac:dyDescent="0.2">
      <c r="B470" s="16">
        <v>2017</v>
      </c>
      <c r="C470" s="20">
        <v>42976</v>
      </c>
      <c r="D470" s="20" t="str">
        <f>CONCATENATE(J470,"-",C470)</f>
        <v>1347-42976</v>
      </c>
      <c r="E470" s="142" t="str">
        <f>CONCATENATE(T470,"-",U470,"-",C470)</f>
        <v>PO1-H6-42976</v>
      </c>
      <c r="F470" s="37" t="s">
        <v>224</v>
      </c>
      <c r="G470" s="20" t="s">
        <v>107</v>
      </c>
      <c r="J470" s="21">
        <v>1347</v>
      </c>
      <c r="K470" s="21">
        <v>2303</v>
      </c>
      <c r="L470" s="18">
        <v>0</v>
      </c>
      <c r="M470" s="21">
        <f>VLOOKUP($K470,'[4]blood tubes 2017'!$D$1:$L$947,8,FALSE)</f>
        <v>0</v>
      </c>
      <c r="N470" s="15">
        <v>0</v>
      </c>
      <c r="O470" s="15" t="s">
        <v>119</v>
      </c>
      <c r="P470" s="16" t="s">
        <v>119</v>
      </c>
      <c r="Q470" s="16">
        <v>0</v>
      </c>
      <c r="R470" s="16">
        <v>13</v>
      </c>
      <c r="S470" s="16">
        <v>1</v>
      </c>
      <c r="T470" s="16" t="s">
        <v>112</v>
      </c>
      <c r="U470" s="16" t="s">
        <v>141</v>
      </c>
      <c r="V470" s="16" t="s">
        <v>114</v>
      </c>
      <c r="W470" s="16">
        <f>AI470/AG470</f>
        <v>0.80219780219780223</v>
      </c>
      <c r="X470" s="16" t="s">
        <v>115</v>
      </c>
      <c r="Y470" s="16" t="s">
        <v>110</v>
      </c>
      <c r="Z470" s="16">
        <v>3</v>
      </c>
      <c r="AE470" s="16" t="s">
        <v>116</v>
      </c>
      <c r="AF470" s="16" t="s">
        <v>116</v>
      </c>
      <c r="AG470" s="16">
        <f>AH470-AI470</f>
        <v>91</v>
      </c>
      <c r="AH470" s="16">
        <v>164</v>
      </c>
      <c r="AI470" s="16">
        <v>73</v>
      </c>
      <c r="AK470" s="16">
        <v>21</v>
      </c>
      <c r="AL470" s="16">
        <v>0</v>
      </c>
      <c r="AM470" s="16">
        <v>0</v>
      </c>
      <c r="AN470" s="16">
        <v>0</v>
      </c>
      <c r="AO470" s="16">
        <v>0</v>
      </c>
      <c r="AP470" s="16">
        <f>SUM(AL470:AN470)</f>
        <v>0</v>
      </c>
      <c r="AQ470" s="16">
        <v>1.6679999999999999</v>
      </c>
      <c r="AR470" s="16">
        <f>AP470-1.472</f>
        <v>-1.472</v>
      </c>
      <c r="AS470" s="16">
        <f>AQ470-1.472</f>
        <v>0.19599999999999995</v>
      </c>
      <c r="AT470" s="16" t="e">
        <f>VLOOKUP(E470,[2]Current!$A$1:$W$435,7,FALSE)</f>
        <v>#N/A</v>
      </c>
      <c r="AU470" s="16">
        <v>0</v>
      </c>
      <c r="AW470" s="18"/>
      <c r="AX470" s="18"/>
      <c r="AY470" s="18"/>
      <c r="AZ470" s="18"/>
      <c r="BA470" s="18"/>
      <c r="BB470" s="18"/>
      <c r="BC470" s="18"/>
      <c r="BD470" s="18"/>
      <c r="BG470" s="77"/>
      <c r="BT470" s="77"/>
      <c r="CD470" s="77"/>
      <c r="DF470" s="16" t="e">
        <f>VLOOKUP(K470,'[3]RNA Seq summary tables'!$V$3:$V$99,1,FALSE)</f>
        <v>#N/A</v>
      </c>
    </row>
    <row r="471" spans="1:288" ht="16" x14ac:dyDescent="0.2">
      <c r="B471" s="16">
        <v>2018</v>
      </c>
      <c r="C471" s="124">
        <v>43229</v>
      </c>
      <c r="D471" t="s">
        <v>681</v>
      </c>
      <c r="E471" s="37" t="str">
        <f>CONCATENATE(T471,"-",U471,"-",C471)</f>
        <v>PO1-E3-43229</v>
      </c>
      <c r="F471" s="16" t="s">
        <v>227</v>
      </c>
      <c r="G471" s="126" t="s">
        <v>107</v>
      </c>
      <c r="H471" s="126"/>
      <c r="J471" s="126">
        <v>1347</v>
      </c>
      <c r="K471" s="126">
        <v>2322</v>
      </c>
      <c r="O471" s="126" t="s">
        <v>119</v>
      </c>
      <c r="P471" s="16" t="s">
        <v>119</v>
      </c>
      <c r="Q471" s="16">
        <v>0</v>
      </c>
      <c r="R471" s="16">
        <f>C471-C470</f>
        <v>253</v>
      </c>
      <c r="S471" s="16">
        <v>1</v>
      </c>
      <c r="T471" s="126" t="s">
        <v>112</v>
      </c>
      <c r="U471" s="126" t="s">
        <v>225</v>
      </c>
      <c r="V471" s="126" t="s">
        <v>114</v>
      </c>
      <c r="X471" s="126" t="s">
        <v>115</v>
      </c>
      <c r="Y471" s="126" t="s">
        <v>110</v>
      </c>
      <c r="Z471" s="126">
        <v>3</v>
      </c>
      <c r="AA471" s="126"/>
      <c r="AB471" s="126"/>
      <c r="AC471" s="126"/>
      <c r="AD471" s="126"/>
      <c r="AE471" s="126" t="s">
        <v>116</v>
      </c>
      <c r="AG471" s="16">
        <f>AH471-AI471</f>
        <v>94</v>
      </c>
      <c r="AH471" s="126">
        <v>170</v>
      </c>
      <c r="AI471" s="126">
        <v>76</v>
      </c>
      <c r="AK471" s="126">
        <v>23</v>
      </c>
      <c r="AL471" s="126">
        <v>0</v>
      </c>
      <c r="AM471" s="126">
        <v>0</v>
      </c>
      <c r="AN471" s="126">
        <v>0</v>
      </c>
      <c r="AO471" s="16">
        <f>IF(SUM(AL471:AN471)&gt;0,1,0)</f>
        <v>0</v>
      </c>
      <c r="AP471" s="18">
        <f>SUM(AL471:AN471)</f>
        <v>0</v>
      </c>
      <c r="AR471" s="16">
        <v>0.10700000000000021</v>
      </c>
      <c r="AS471" s="16">
        <f>VLOOKUP(E471,'[1]Feces weights'!$D$1:$H$459,5,FALSE)</f>
        <v>0.10700000000000021</v>
      </c>
      <c r="AT471" s="16" t="str">
        <f>VLOOKUP(E471,[9]Current!$A:$T,7,FALSE)</f>
        <v>IS</v>
      </c>
      <c r="AU471" s="18" t="s">
        <v>1290</v>
      </c>
      <c r="AW471" s="177">
        <f>IF(AY471&gt;0,1,0)</f>
        <v>1</v>
      </c>
      <c r="AX471" s="177">
        <f>SUM(BA471,BM471,CU471)</f>
        <v>34</v>
      </c>
      <c r="AY471" s="177">
        <f>SUM(BB471,BN471,CV471)</f>
        <v>317.75700934579379</v>
      </c>
      <c r="AZ471" s="177">
        <f>IF(BB471&gt;0,1,0)</f>
        <v>0</v>
      </c>
      <c r="BA471" s="177">
        <f>SUM(BC471+BF471+BI471)</f>
        <v>0</v>
      </c>
      <c r="BB471" s="177">
        <f>SUM(BE471,BH471,BK471)</f>
        <v>0</v>
      </c>
      <c r="BC471" s="178">
        <f>IF(BD471&gt;0,1,0)</f>
        <v>0</v>
      </c>
      <c r="BD471" s="177">
        <f>VLOOKUP($E471,[9]Current!$1:$1048576,8,FALSE)</f>
        <v>0</v>
      </c>
      <c r="BE471" s="177">
        <f>BD471/$AS471</f>
        <v>0</v>
      </c>
      <c r="BF471" s="178">
        <f>IF(BG471&gt;0,1,0)</f>
        <v>0</v>
      </c>
      <c r="BG471" s="179">
        <f>VLOOKUP($E471,[9]Current!$1:$1048576,9,FALSE)</f>
        <v>0</v>
      </c>
      <c r="BH471" s="177">
        <f>BG471/$AS471</f>
        <v>0</v>
      </c>
      <c r="BI471" s="178">
        <f>IF(BJ471&gt;0,1,0)</f>
        <v>0</v>
      </c>
      <c r="BJ471" s="177">
        <f>VLOOKUP($E471,[9]Current!$1:$1048576,10,FALSE)</f>
        <v>0</v>
      </c>
      <c r="BK471" s="177">
        <f>BJ471/$AS471</f>
        <v>0</v>
      </c>
      <c r="BL471" s="177">
        <f>IF(BM471&gt;0,1,0)</f>
        <v>0</v>
      </c>
      <c r="BM471" s="177">
        <f>SUM(BR471,BU471,BX471,CA471,CD471)</f>
        <v>0</v>
      </c>
      <c r="BN471" s="181">
        <f>SUM(BT471,BW471,BZ471,CC471,CF471)</f>
        <v>0</v>
      </c>
      <c r="BO471" s="177">
        <f>IF(BP471&gt;0,1,0)</f>
        <v>0</v>
      </c>
      <c r="BP471" s="177">
        <f>BM471+CJ471</f>
        <v>0</v>
      </c>
      <c r="BQ471" s="177">
        <f>BN471+CL471</f>
        <v>0</v>
      </c>
      <c r="BR471" s="178">
        <f>IF(BS471&gt;0,1,0)</f>
        <v>0</v>
      </c>
      <c r="BS471" s="177">
        <f>VLOOKUP($E471,[9]Current!$1:$1048576,12,FALSE)</f>
        <v>0</v>
      </c>
      <c r="BT471" s="179">
        <f>BS471/$AS471</f>
        <v>0</v>
      </c>
      <c r="BU471" s="178">
        <f>IF(BV471&gt;0,1,0)</f>
        <v>0</v>
      </c>
      <c r="BV471" s="177">
        <f>VLOOKUP($E471,[9]Current!$1:$1048576,13,FALSE)</f>
        <v>0</v>
      </c>
      <c r="BW471" s="177">
        <f>BV471/$AS471</f>
        <v>0</v>
      </c>
      <c r="BX471" s="178">
        <f>IF(BY471&gt;0,1,0)</f>
        <v>0</v>
      </c>
      <c r="BY471" s="177">
        <f>VLOOKUP($E471,[9]Current!$1:$1048576,14,FALSE)</f>
        <v>0</v>
      </c>
      <c r="BZ471" s="177">
        <f>BY471/$AS471</f>
        <v>0</v>
      </c>
      <c r="CA471" s="178">
        <f>IF(CB471&gt;0,1,0)</f>
        <v>0</v>
      </c>
      <c r="CB471" s="177">
        <f>VLOOKUP($E471,[9]Current!$1:$1048576,15,FALSE)</f>
        <v>0</v>
      </c>
      <c r="CC471" s="177">
        <f>CB471/$AS471</f>
        <v>0</v>
      </c>
      <c r="CD471" s="180">
        <f>IF(CE471&gt;0,1,0)</f>
        <v>0</v>
      </c>
      <c r="CE471" s="177">
        <f>VLOOKUP($E471,[9]Current!$1:$1048576,16,FALSE)</f>
        <v>0</v>
      </c>
      <c r="CF471" s="177">
        <f>CE471/$AS471</f>
        <v>0</v>
      </c>
      <c r="CG471" s="18"/>
      <c r="CH471" s="18"/>
      <c r="CI471" s="18"/>
      <c r="CJ471" s="178">
        <f>IF(CK471&gt;0,1,0)</f>
        <v>0</v>
      </c>
      <c r="CK471" s="177">
        <f>VLOOKUP($E471,[9]Current!$1:$1048576,18,FALSE)</f>
        <v>0</v>
      </c>
      <c r="CL471" s="177">
        <f>CK471/$AS471</f>
        <v>0</v>
      </c>
      <c r="CS471" s="178">
        <f>IF(CU471&gt;0,1,0)</f>
        <v>1</v>
      </c>
      <c r="CT471" s="177"/>
      <c r="CU471" s="177">
        <f>VLOOKUP($E471,[9]Current!$1:$1048576,17,FALSE)</f>
        <v>34</v>
      </c>
      <c r="CV471" s="177">
        <f>CU471/$AS471</f>
        <v>317.75700934579379</v>
      </c>
      <c r="DF471" s="16" t="e">
        <f>VLOOKUP(K471,'[3]RNA Seq summary tables'!$V$3:$V$99,1,FALSE)</f>
        <v>#N/A</v>
      </c>
      <c r="DG471" s="126" t="s">
        <v>116</v>
      </c>
    </row>
    <row r="472" spans="1:288" ht="16" x14ac:dyDescent="0.2">
      <c r="B472" s="16">
        <v>2018</v>
      </c>
      <c r="C472" s="124">
        <v>43230</v>
      </c>
      <c r="D472" t="s">
        <v>693</v>
      </c>
      <c r="E472" s="37" t="str">
        <f>CONCATENATE(T472,"-",U472,"-",C472)</f>
        <v>PO1-C2-43230</v>
      </c>
      <c r="F472" s="16" t="s">
        <v>227</v>
      </c>
      <c r="G472" s="126" t="s">
        <v>107</v>
      </c>
      <c r="H472" s="126"/>
      <c r="J472" s="126">
        <v>1347</v>
      </c>
      <c r="K472" s="126">
        <v>2331</v>
      </c>
      <c r="O472" s="126" t="s">
        <v>119</v>
      </c>
      <c r="P472" s="16" t="s">
        <v>119</v>
      </c>
      <c r="Q472" s="16">
        <v>0</v>
      </c>
      <c r="R472" s="16">
        <f>C472-C471</f>
        <v>1</v>
      </c>
      <c r="S472" s="16">
        <v>1</v>
      </c>
      <c r="T472" s="126" t="s">
        <v>112</v>
      </c>
      <c r="U472" s="126" t="s">
        <v>162</v>
      </c>
      <c r="V472" s="126" t="s">
        <v>114</v>
      </c>
      <c r="X472" s="126" t="s">
        <v>115</v>
      </c>
      <c r="Y472" s="126" t="s">
        <v>110</v>
      </c>
      <c r="Z472" s="126">
        <v>3</v>
      </c>
      <c r="AA472" s="126"/>
      <c r="AB472" s="126"/>
      <c r="AC472" s="126"/>
      <c r="AD472" s="126"/>
      <c r="AE472" s="126" t="s">
        <v>116</v>
      </c>
      <c r="AG472" s="16">
        <f>AH472-AI472</f>
        <v>90</v>
      </c>
      <c r="AH472" s="126">
        <v>165</v>
      </c>
      <c r="AI472" s="126">
        <v>75</v>
      </c>
      <c r="AK472" s="125">
        <v>23.5</v>
      </c>
      <c r="AL472" s="126">
        <v>0</v>
      </c>
      <c r="AM472" s="126">
        <v>0</v>
      </c>
      <c r="AN472" s="126">
        <v>0</v>
      </c>
      <c r="AO472" s="16">
        <f>IF(SUM(AL472:AN472)&gt;0,1,0)</f>
        <v>0</v>
      </c>
      <c r="AP472" s="18">
        <f>SUM(AL472:AN472)</f>
        <v>0</v>
      </c>
      <c r="AR472" s="16">
        <v>0.1120000000000001</v>
      </c>
      <c r="AS472" s="16">
        <f>VLOOKUP(E472,'[1]Feces weights'!$D$1:$H$459,5,FALSE)</f>
        <v>0.1120000000000001</v>
      </c>
      <c r="AT472" s="16" t="str">
        <f>VLOOKUP(E472,[9]Current!$A:$T,7,FALSE)</f>
        <v>TE</v>
      </c>
      <c r="AU472" s="18" t="s">
        <v>1290</v>
      </c>
      <c r="AW472" s="177">
        <f>IF(AY472&gt;0,1,0)</f>
        <v>1</v>
      </c>
      <c r="AX472" s="177">
        <f>SUM(BA472,BM472,CU472)</f>
        <v>120</v>
      </c>
      <c r="AY472" s="177">
        <f>SUM(BB472,BN472,CV472)</f>
        <v>1107.1428571428562</v>
      </c>
      <c r="AZ472" s="177">
        <f>IF(BB472&gt;0,1,0)</f>
        <v>1</v>
      </c>
      <c r="BA472" s="177">
        <f>SUM(BC472+BF472+BI472)</f>
        <v>1</v>
      </c>
      <c r="BB472" s="177">
        <f>SUM(BE472,BH472,BK472)</f>
        <v>44.642857142857103</v>
      </c>
      <c r="BC472" s="178">
        <f>IF(BD472&gt;0,1,0)</f>
        <v>0</v>
      </c>
      <c r="BD472" s="177">
        <f>VLOOKUP($E472,[9]Current!$1:$1048576,8,FALSE)</f>
        <v>0</v>
      </c>
      <c r="BE472" s="177">
        <f>BD472/$AS472</f>
        <v>0</v>
      </c>
      <c r="BF472" s="178">
        <f>IF(BG472&gt;0,1,0)</f>
        <v>0</v>
      </c>
      <c r="BG472" s="179">
        <f>VLOOKUP($E472,[9]Current!$1:$1048576,9,FALSE)</f>
        <v>0</v>
      </c>
      <c r="BH472" s="177">
        <f>BG472/$AS472</f>
        <v>0</v>
      </c>
      <c r="BI472" s="178">
        <f>IF(BJ472&gt;0,1,0)</f>
        <v>1</v>
      </c>
      <c r="BJ472" s="177">
        <f>VLOOKUP($E472,[9]Current!$1:$1048576,10,FALSE)</f>
        <v>5</v>
      </c>
      <c r="BK472" s="177">
        <f>BJ472/$AS472</f>
        <v>44.642857142857103</v>
      </c>
      <c r="BL472" s="177">
        <f>IF(BM472&gt;0,1,0)</f>
        <v>0</v>
      </c>
      <c r="BM472" s="177">
        <f>SUM(BR472,BU472,BX472,CA472,CD472)</f>
        <v>0</v>
      </c>
      <c r="BN472" s="181">
        <f>SUM(BT472,BW472,BZ472,CC472,CF472)</f>
        <v>0</v>
      </c>
      <c r="BO472" s="177">
        <f>IF(BP472&gt;0,1,0)</f>
        <v>0</v>
      </c>
      <c r="BP472" s="177">
        <f>BM472+CJ472</f>
        <v>0</v>
      </c>
      <c r="BQ472" s="177">
        <f>BN472+CL472</f>
        <v>0</v>
      </c>
      <c r="BR472" s="178">
        <f>IF(BS472&gt;0,1,0)</f>
        <v>0</v>
      </c>
      <c r="BS472" s="177">
        <f>VLOOKUP($E472,[9]Current!$1:$1048576,12,FALSE)</f>
        <v>0</v>
      </c>
      <c r="BT472" s="179">
        <f>BS472/$AS472</f>
        <v>0</v>
      </c>
      <c r="BU472" s="178">
        <f>IF(BV472&gt;0,1,0)</f>
        <v>0</v>
      </c>
      <c r="BV472" s="177">
        <f>VLOOKUP($E472,[9]Current!$1:$1048576,13,FALSE)</f>
        <v>0</v>
      </c>
      <c r="BW472" s="177">
        <f>BV472/$AS472</f>
        <v>0</v>
      </c>
      <c r="BX472" s="178">
        <f>IF(BY472&gt;0,1,0)</f>
        <v>0</v>
      </c>
      <c r="BY472" s="177">
        <f>VLOOKUP($E472,[9]Current!$1:$1048576,14,FALSE)</f>
        <v>0</v>
      </c>
      <c r="BZ472" s="177">
        <f>BY472/$AS472</f>
        <v>0</v>
      </c>
      <c r="CA472" s="178">
        <f>IF(CB472&gt;0,1,0)</f>
        <v>0</v>
      </c>
      <c r="CB472" s="177">
        <f>VLOOKUP($E472,[9]Current!$1:$1048576,15,FALSE)</f>
        <v>0</v>
      </c>
      <c r="CC472" s="177">
        <f>CB472/$AS472</f>
        <v>0</v>
      </c>
      <c r="CD472" s="180">
        <f>IF(CE472&gt;0,1,0)</f>
        <v>0</v>
      </c>
      <c r="CE472" s="177">
        <f>VLOOKUP($E472,[9]Current!$1:$1048576,16,FALSE)</f>
        <v>0</v>
      </c>
      <c r="CF472" s="177">
        <f>CE472/$AS472</f>
        <v>0</v>
      </c>
      <c r="CG472" s="18"/>
      <c r="CH472" s="18"/>
      <c r="CI472" s="18"/>
      <c r="CJ472" s="178">
        <f>IF(CK472&gt;0,1,0)</f>
        <v>0</v>
      </c>
      <c r="CK472" s="177">
        <f>VLOOKUP($E472,[9]Current!$1:$1048576,18,FALSE)</f>
        <v>0</v>
      </c>
      <c r="CL472" s="177">
        <f>CK472/$AS472</f>
        <v>0</v>
      </c>
      <c r="CS472" s="178">
        <f>IF(CU472&gt;0,1,0)</f>
        <v>1</v>
      </c>
      <c r="CT472" s="177"/>
      <c r="CU472" s="177">
        <f>VLOOKUP($E472,[9]Current!$1:$1048576,17,FALSE)</f>
        <v>119</v>
      </c>
      <c r="CV472" s="177">
        <f>CU472/$AS472</f>
        <v>1062.4999999999991</v>
      </c>
      <c r="DF472" s="16" t="e">
        <f>VLOOKUP(K472,'[3]RNA Seq summary tables'!$V$3:$V$99,1,FALSE)</f>
        <v>#N/A</v>
      </c>
      <c r="DG472" s="126" t="s">
        <v>116</v>
      </c>
    </row>
    <row r="473" spans="1:288" s="18" customFormat="1" ht="16" x14ac:dyDescent="0.2">
      <c r="B473" s="16">
        <v>2018</v>
      </c>
      <c r="C473" s="124">
        <v>43248</v>
      </c>
      <c r="D473" t="s">
        <v>745</v>
      </c>
      <c r="E473" s="37" t="str">
        <f>CONCATENATE(T473,"-",U473,"-",C473)</f>
        <v>PO1-H3-43248</v>
      </c>
      <c r="F473" s="16" t="s">
        <v>227</v>
      </c>
      <c r="G473" s="126" t="s">
        <v>107</v>
      </c>
      <c r="H473" s="126"/>
      <c r="I473" s="16"/>
      <c r="J473" s="126">
        <v>1347</v>
      </c>
      <c r="K473" s="126">
        <v>2386</v>
      </c>
      <c r="L473" s="16"/>
      <c r="M473" s="21"/>
      <c r="N473" s="21"/>
      <c r="O473" s="126" t="s">
        <v>119</v>
      </c>
      <c r="P473" s="16" t="s">
        <v>119</v>
      </c>
      <c r="Q473" s="16">
        <v>0</v>
      </c>
      <c r="R473" s="16">
        <f>C473-C472</f>
        <v>18</v>
      </c>
      <c r="S473" s="16">
        <v>1</v>
      </c>
      <c r="T473" s="126" t="s">
        <v>112</v>
      </c>
      <c r="U473" s="126" t="s">
        <v>174</v>
      </c>
      <c r="V473" s="126" t="s">
        <v>114</v>
      </c>
      <c r="W473" s="16"/>
      <c r="X473" s="126" t="s">
        <v>115</v>
      </c>
      <c r="Y473" s="126" t="s">
        <v>110</v>
      </c>
      <c r="Z473" s="126">
        <v>3</v>
      </c>
      <c r="AA473" s="126"/>
      <c r="AB473" s="126"/>
      <c r="AC473" s="126"/>
      <c r="AD473" s="126"/>
      <c r="AE473" s="126" t="s">
        <v>116</v>
      </c>
      <c r="AF473" s="16"/>
      <c r="AG473" s="16">
        <f>AH473-AI473</f>
        <v>93</v>
      </c>
      <c r="AH473" s="126">
        <v>172</v>
      </c>
      <c r="AI473" s="126">
        <v>79</v>
      </c>
      <c r="AJ473" s="16"/>
      <c r="AK473" s="126">
        <v>22.5</v>
      </c>
      <c r="AL473" s="126">
        <v>0</v>
      </c>
      <c r="AM473" s="126">
        <v>0</v>
      </c>
      <c r="AN473" s="126">
        <v>0</v>
      </c>
      <c r="AO473" s="16">
        <f>IF(SUM(AL473:AN473)&gt;0,1,0)</f>
        <v>0</v>
      </c>
      <c r="AP473" s="18">
        <f>SUM(AL473:AN473)</f>
        <v>0</v>
      </c>
      <c r="AQ473" s="16"/>
      <c r="AR473" s="16">
        <v>0.45900000000000007</v>
      </c>
      <c r="AS473" s="16">
        <f>VLOOKUP(E473,'[1]Feces weights'!$D$1:$H$459,5,FALSE)</f>
        <v>0.45900000000000007</v>
      </c>
      <c r="AT473" s="16" t="str">
        <f>VLOOKUP(E473,[9]Current!$A:$T,7,FALSE)</f>
        <v>TE</v>
      </c>
      <c r="AU473" s="18" t="s">
        <v>1290</v>
      </c>
      <c r="AV473" s="16"/>
      <c r="AW473" s="177">
        <f>IF(AY473&gt;0,1,0)</f>
        <v>1</v>
      </c>
      <c r="AX473" s="177">
        <f>SUM(BA473,BM473,CU473)</f>
        <v>2</v>
      </c>
      <c r="AY473" s="177">
        <f>SUM(BB473,BN473,CV473)</f>
        <v>61.002178649237464</v>
      </c>
      <c r="AZ473" s="177">
        <f>IF(BB473&gt;0,1,0)</f>
        <v>1</v>
      </c>
      <c r="BA473" s="177">
        <f>SUM(BC473+BF473+BI473)</f>
        <v>2</v>
      </c>
      <c r="BB473" s="177">
        <f>SUM(BE473,BH473,BK473)</f>
        <v>61.002178649237464</v>
      </c>
      <c r="BC473" s="178">
        <f>IF(BD473&gt;0,1,0)</f>
        <v>0</v>
      </c>
      <c r="BD473" s="177">
        <f>VLOOKUP($E473,[9]Current!$1:$1048576,8,FALSE)</f>
        <v>0</v>
      </c>
      <c r="BE473" s="177">
        <f>BD473/$AS473</f>
        <v>0</v>
      </c>
      <c r="BF473" s="178">
        <f>IF(BG473&gt;0,1,0)</f>
        <v>1</v>
      </c>
      <c r="BG473" s="179">
        <f>VLOOKUP($E473,[9]Current!$1:$1048576,9,FALSE)</f>
        <v>4</v>
      </c>
      <c r="BH473" s="177">
        <f>BG473/$AS473</f>
        <v>8.7145969498910656</v>
      </c>
      <c r="BI473" s="178">
        <f>IF(BJ473&gt;0,1,0)</f>
        <v>1</v>
      </c>
      <c r="BJ473" s="177">
        <f>VLOOKUP($E473,[9]Current!$1:$1048576,10,FALSE)</f>
        <v>24</v>
      </c>
      <c r="BK473" s="177">
        <f>BJ473/$AS473</f>
        <v>52.287581699346397</v>
      </c>
      <c r="BL473" s="177">
        <f>IF(BM473&gt;0,1,0)</f>
        <v>0</v>
      </c>
      <c r="BM473" s="177">
        <f>SUM(BR473,BU473,BX473,CA473,CD473)</f>
        <v>0</v>
      </c>
      <c r="BN473" s="181">
        <f>SUM(BT473,BW473,BZ473,CC473,CF473)</f>
        <v>0</v>
      </c>
      <c r="BO473" s="177">
        <f>IF(BP473&gt;0,1,0)</f>
        <v>0</v>
      </c>
      <c r="BP473" s="177">
        <f>BM473+CJ473</f>
        <v>0</v>
      </c>
      <c r="BQ473" s="177">
        <f>BN473+CL473</f>
        <v>0</v>
      </c>
      <c r="BR473" s="178">
        <f>IF(BS473&gt;0,1,0)</f>
        <v>0</v>
      </c>
      <c r="BS473" s="177">
        <f>VLOOKUP($E473,[9]Current!$1:$1048576,12,FALSE)</f>
        <v>0</v>
      </c>
      <c r="BT473" s="179">
        <f>BS473/$AS473</f>
        <v>0</v>
      </c>
      <c r="BU473" s="178">
        <f>IF(BV473&gt;0,1,0)</f>
        <v>0</v>
      </c>
      <c r="BV473" s="177">
        <f>VLOOKUP($E473,[9]Current!$1:$1048576,13,FALSE)</f>
        <v>0</v>
      </c>
      <c r="BW473" s="177">
        <f>BV473/$AS473</f>
        <v>0</v>
      </c>
      <c r="BX473" s="178">
        <f>IF(BY473&gt;0,1,0)</f>
        <v>0</v>
      </c>
      <c r="BY473" s="177">
        <f>VLOOKUP($E473,[9]Current!$1:$1048576,14,FALSE)</f>
        <v>0</v>
      </c>
      <c r="BZ473" s="177">
        <f>BY473/$AS473</f>
        <v>0</v>
      </c>
      <c r="CA473" s="178">
        <f>IF(CB473&gt;0,1,0)</f>
        <v>0</v>
      </c>
      <c r="CB473" s="177">
        <f>VLOOKUP($E473,[9]Current!$1:$1048576,15,FALSE)</f>
        <v>0</v>
      </c>
      <c r="CC473" s="177">
        <f>CB473/$AS473</f>
        <v>0</v>
      </c>
      <c r="CD473" s="180">
        <f>IF(CE473&gt;0,1,0)</f>
        <v>0</v>
      </c>
      <c r="CE473" s="177">
        <f>VLOOKUP($E473,[9]Current!$1:$1048576,16,FALSE)</f>
        <v>0</v>
      </c>
      <c r="CF473" s="177">
        <f>CE473/$AS473</f>
        <v>0</v>
      </c>
      <c r="CJ473" s="178">
        <f>IF(CK473&gt;0,1,0)</f>
        <v>0</v>
      </c>
      <c r="CK473" s="177">
        <f>VLOOKUP($E473,[9]Current!$1:$1048576,18,FALSE)</f>
        <v>0</v>
      </c>
      <c r="CL473" s="177">
        <f>CK473/$AS473</f>
        <v>0</v>
      </c>
      <c r="CM473" s="16"/>
      <c r="CN473" s="16"/>
      <c r="CO473" s="16"/>
      <c r="CP473" s="16"/>
      <c r="CQ473" s="16"/>
      <c r="CR473" s="16"/>
      <c r="CS473" s="178">
        <f>IF(CU473&gt;0,1,0)</f>
        <v>0</v>
      </c>
      <c r="CT473" s="177"/>
      <c r="CU473" s="177">
        <f>VLOOKUP($E473,[9]Current!$1:$1048576,17,FALSE)</f>
        <v>0</v>
      </c>
      <c r="CV473" s="177">
        <f>CU473/$AS473</f>
        <v>0</v>
      </c>
      <c r="CW473" s="16"/>
      <c r="CX473" s="16"/>
      <c r="CY473" s="16"/>
      <c r="CZ473" s="16"/>
      <c r="DA473" s="16"/>
      <c r="DB473" s="16"/>
      <c r="DC473" s="16"/>
      <c r="DD473" s="16"/>
      <c r="DE473" s="16"/>
      <c r="DF473" s="16" t="e">
        <f>VLOOKUP(K473,'[3]RNA Seq summary tables'!$V$3:$V$99,1,FALSE)</f>
        <v>#N/A</v>
      </c>
      <c r="DG473" s="126" t="s">
        <v>123</v>
      </c>
      <c r="DH473" s="16"/>
      <c r="DI473" s="16"/>
      <c r="DJ473" s="16"/>
      <c r="DK473" s="16"/>
      <c r="DL473" s="16"/>
      <c r="DM473" s="16"/>
      <c r="DN473" s="16"/>
      <c r="DO473" s="16"/>
      <c r="DP473" s="16"/>
      <c r="DQ473" s="16"/>
      <c r="DR473" s="16"/>
      <c r="DS473" s="16"/>
      <c r="JO473" s="16"/>
      <c r="JP473" s="16"/>
      <c r="JQ473" s="16"/>
      <c r="JR473" s="16"/>
      <c r="JS473" s="16"/>
      <c r="JT473" s="16"/>
      <c r="JU473" s="16"/>
      <c r="JV473" s="16"/>
      <c r="JW473" s="16"/>
      <c r="JX473" s="16"/>
      <c r="JY473" s="16"/>
      <c r="JZ473" s="16"/>
      <c r="KA473" s="16"/>
      <c r="KB473" s="16"/>
    </row>
    <row r="474" spans="1:288" ht="16" x14ac:dyDescent="0.2">
      <c r="B474" s="16">
        <v>2018</v>
      </c>
      <c r="C474" s="124">
        <v>43266</v>
      </c>
      <c r="D474" t="s">
        <v>805</v>
      </c>
      <c r="E474" s="37" t="str">
        <f>CONCATENATE(T474,"-",U474,"-",C474)</f>
        <v>PO1-G8-43266</v>
      </c>
      <c r="F474" s="16" t="s">
        <v>227</v>
      </c>
      <c r="G474" s="126" t="s">
        <v>107</v>
      </c>
      <c r="H474" s="126"/>
      <c r="J474" s="126">
        <v>1347</v>
      </c>
      <c r="K474" s="126">
        <v>2444</v>
      </c>
      <c r="O474" s="126" t="s">
        <v>119</v>
      </c>
      <c r="P474" s="16" t="s">
        <v>119</v>
      </c>
      <c r="Q474" s="16">
        <v>0</v>
      </c>
      <c r="R474" s="16">
        <f>C474-C473</f>
        <v>18</v>
      </c>
      <c r="S474" s="16">
        <v>1</v>
      </c>
      <c r="T474" s="126" t="s">
        <v>112</v>
      </c>
      <c r="U474" s="126" t="s">
        <v>216</v>
      </c>
      <c r="V474" s="126" t="s">
        <v>114</v>
      </c>
      <c r="X474" s="126" t="s">
        <v>115</v>
      </c>
      <c r="Y474" s="126" t="s">
        <v>110</v>
      </c>
      <c r="Z474" s="126">
        <v>3</v>
      </c>
      <c r="AA474" s="126"/>
      <c r="AB474" s="126"/>
      <c r="AC474" s="126"/>
      <c r="AD474" s="126"/>
      <c r="AE474" s="126" t="s">
        <v>116</v>
      </c>
      <c r="AG474" s="16">
        <f>AH474-AI474</f>
        <v>94</v>
      </c>
      <c r="AH474" s="126">
        <v>176</v>
      </c>
      <c r="AI474" s="126">
        <v>82</v>
      </c>
      <c r="AK474" s="126">
        <v>23</v>
      </c>
      <c r="AL474" s="126">
        <v>0</v>
      </c>
      <c r="AM474" s="126">
        <v>0</v>
      </c>
      <c r="AN474" s="126">
        <v>0</v>
      </c>
      <c r="AO474" s="16">
        <f>IF(SUM(AL474:AN474)&gt;0,1,0)</f>
        <v>0</v>
      </c>
      <c r="AP474" s="18">
        <f>SUM(AL474:AN474)</f>
        <v>0</v>
      </c>
      <c r="AR474" s="16">
        <v>0.29500000000000015</v>
      </c>
      <c r="AS474" s="16">
        <f>VLOOKUP(E474,'[1]Feces weights'!$D$1:$H$459,5,FALSE)</f>
        <v>0.29500000000000015</v>
      </c>
      <c r="AT474" s="16" t="str">
        <f>VLOOKUP(E474,[2]Current!$A$1:$W$435,7,FALSE)</f>
        <v>DP</v>
      </c>
      <c r="AU474" s="16" t="s">
        <v>1288</v>
      </c>
      <c r="AV474" s="23">
        <v>1</v>
      </c>
      <c r="AW474" s="128">
        <f>IF(AX474&gt;0,1,0)</f>
        <v>0</v>
      </c>
      <c r="AX474" s="128">
        <f>SUM(BA474,BM474,CU474)</f>
        <v>0</v>
      </c>
      <c r="AY474" s="128">
        <f>SUM(BB474,BN474,CV474)</f>
        <v>0</v>
      </c>
      <c r="AZ474" s="128">
        <f>IF(BA474&gt;0,1,0)</f>
        <v>0</v>
      </c>
      <c r="BA474" s="128">
        <f>SUM(BC474+BF474+BI474)</f>
        <v>0</v>
      </c>
      <c r="BB474" s="128">
        <f>SUM(BE474,BH474,BK474)</f>
        <v>0</v>
      </c>
      <c r="BC474" s="130">
        <f>IF(BD474&gt;0,1,0)</f>
        <v>0</v>
      </c>
      <c r="BD474" s="128">
        <f>VLOOKUP($E474,[2]Current!$A:$AC,26,FALSE)</f>
        <v>0</v>
      </c>
      <c r="BE474" s="128">
        <f>BD474/$AS474</f>
        <v>0</v>
      </c>
      <c r="BF474" s="130">
        <f>IF(BG474&gt;0,1,0)</f>
        <v>0</v>
      </c>
      <c r="BG474" s="137">
        <f>VLOOKUP($E474,[2]Current!$A:$AC,27,FALSE)</f>
        <v>0</v>
      </c>
      <c r="BH474" s="128">
        <f>BG474/$AS474</f>
        <v>0</v>
      </c>
      <c r="BI474" s="130">
        <f>IF(BJ474&gt;0,1,0)</f>
        <v>0</v>
      </c>
      <c r="BJ474" s="128">
        <f>VLOOKUP($E474,[2]Current!$A:$AC,28,FALSE)</f>
        <v>0</v>
      </c>
      <c r="BK474" s="128">
        <f>BJ474/$AS474</f>
        <v>0</v>
      </c>
      <c r="BL474" s="128">
        <f>IF(BM474&gt;0,1,0)</f>
        <v>0</v>
      </c>
      <c r="BM474" s="128">
        <f>SUM(BR474,BU474,BX474,CA474,CD474)</f>
        <v>0</v>
      </c>
      <c r="BN474" s="131">
        <f>SUM(BT474,BW474,BZ474,CC474,CF474)</f>
        <v>0</v>
      </c>
      <c r="BO474" s="128">
        <f>IF(BP474&gt;0,1,0)</f>
        <v>0</v>
      </c>
      <c r="BP474" s="128">
        <f>BM474+CJ474</f>
        <v>0</v>
      </c>
      <c r="BQ474" s="128">
        <f>BN474+CL474</f>
        <v>0</v>
      </c>
      <c r="BR474" s="130">
        <f>IF(BS474&gt;0,1,0)</f>
        <v>0</v>
      </c>
      <c r="BS474" s="128">
        <f>VLOOKUP($E474,[2]Current!$A:$AC,12,FALSE)</f>
        <v>0</v>
      </c>
      <c r="BT474" s="137">
        <f>BS474/$AS474</f>
        <v>0</v>
      </c>
      <c r="BU474" s="130">
        <f>IF(BV474&gt;0,1,0)</f>
        <v>0</v>
      </c>
      <c r="BV474" s="128">
        <f>VLOOKUP($E474,[2]Current!$A:$AC,13,FALSE)</f>
        <v>0</v>
      </c>
      <c r="BW474" s="128">
        <f>BV474/$AS474</f>
        <v>0</v>
      </c>
      <c r="BX474" s="130">
        <f>IF(BY474&gt;0,1,0)</f>
        <v>0</v>
      </c>
      <c r="BY474" s="128">
        <f>VLOOKUP($E474,[2]Current!$A:$AC,14,FALSE)</f>
        <v>0</v>
      </c>
      <c r="BZ474" s="128">
        <f>BY474/$AS474</f>
        <v>0</v>
      </c>
      <c r="CA474" s="130">
        <f>IF(CB474&gt;0,1,0)</f>
        <v>0</v>
      </c>
      <c r="CB474" s="128">
        <f>VLOOKUP($E474,[2]Current!$A:$AC,15,FALSE)</f>
        <v>0</v>
      </c>
      <c r="CC474" s="128">
        <f>CB474/$AS474</f>
        <v>0</v>
      </c>
      <c r="CD474" s="174">
        <f>IF(CE474&gt;0,1,0)</f>
        <v>0</v>
      </c>
      <c r="CE474" s="128">
        <f>VLOOKUP($E474,[2]Current!$A:$AC,16,FALSE)</f>
        <v>0</v>
      </c>
      <c r="CF474" s="128">
        <f>CE474/$AS474</f>
        <v>0</v>
      </c>
      <c r="CG474" s="18"/>
      <c r="CH474" s="18"/>
      <c r="CI474" s="18"/>
      <c r="CJ474" s="130">
        <f>IF(CK474&gt;0,1,0)</f>
        <v>0</v>
      </c>
      <c r="CK474" s="128">
        <f>VLOOKUP($E474,[2]Current!$A:$AC,18,FALSE)</f>
        <v>0</v>
      </c>
      <c r="CL474" s="128">
        <f>CK474/$AS474</f>
        <v>0</v>
      </c>
      <c r="CS474" s="130">
        <f>IF(CU474&gt;0,1,0)</f>
        <v>0</v>
      </c>
      <c r="CT474" s="18"/>
      <c r="CU474" s="128">
        <f>VLOOKUP($E474,[2]Current!$A:$AC,17,FALSE)</f>
        <v>0</v>
      </c>
      <c r="CV474" s="128">
        <f>CU474/$AS474</f>
        <v>0</v>
      </c>
      <c r="CW474" s="18"/>
      <c r="CX474" s="18"/>
      <c r="CY474" s="18"/>
      <c r="DF474" s="16" t="e">
        <f>VLOOKUP(K474,'[3]RNA Seq summary tables'!$V$3:$V$99,1,FALSE)</f>
        <v>#N/A</v>
      </c>
      <c r="DG474" s="126" t="s">
        <v>116</v>
      </c>
    </row>
    <row r="475" spans="1:288" s="18" customFormat="1" ht="16" x14ac:dyDescent="0.2">
      <c r="B475" s="16">
        <v>2018</v>
      </c>
      <c r="C475" s="124">
        <v>43283</v>
      </c>
      <c r="D475" t="s">
        <v>884</v>
      </c>
      <c r="E475" s="37" t="str">
        <f>CONCATENATE(T475,"-",U475,"-",C475)</f>
        <v>PO1-F6-43283</v>
      </c>
      <c r="F475" s="16" t="s">
        <v>227</v>
      </c>
      <c r="G475" s="126" t="s">
        <v>107</v>
      </c>
      <c r="H475" s="126"/>
      <c r="I475" s="16"/>
      <c r="J475" s="126">
        <v>1347</v>
      </c>
      <c r="K475" s="126">
        <v>2540</v>
      </c>
      <c r="L475" s="16"/>
      <c r="M475" s="21"/>
      <c r="N475" s="21"/>
      <c r="O475" s="126" t="s">
        <v>119</v>
      </c>
      <c r="P475" s="16" t="s">
        <v>119</v>
      </c>
      <c r="Q475" s="16">
        <v>0</v>
      </c>
      <c r="R475" s="16">
        <f>C475-C474</f>
        <v>17</v>
      </c>
      <c r="S475" s="16">
        <v>1</v>
      </c>
      <c r="T475" s="126" t="s">
        <v>112</v>
      </c>
      <c r="U475" s="126" t="s">
        <v>170</v>
      </c>
      <c r="V475" s="126" t="s">
        <v>114</v>
      </c>
      <c r="W475" s="16"/>
      <c r="X475" s="126" t="s">
        <v>115</v>
      </c>
      <c r="Y475" s="126" t="s">
        <v>110</v>
      </c>
      <c r="Z475" s="126">
        <v>3</v>
      </c>
      <c r="AA475" s="126"/>
      <c r="AB475" s="126"/>
      <c r="AC475" s="126"/>
      <c r="AD475" s="126"/>
      <c r="AE475" s="126" t="s">
        <v>116</v>
      </c>
      <c r="AF475" s="16"/>
      <c r="AG475" s="16">
        <f>AH475-AI475</f>
        <v>92</v>
      </c>
      <c r="AH475" s="126">
        <v>173</v>
      </c>
      <c r="AI475" s="126">
        <v>81</v>
      </c>
      <c r="AJ475" s="16"/>
      <c r="AK475" s="126">
        <v>22</v>
      </c>
      <c r="AL475" s="126">
        <v>0</v>
      </c>
      <c r="AM475" s="126">
        <v>0</v>
      </c>
      <c r="AN475" s="126">
        <v>0</v>
      </c>
      <c r="AO475" s="16">
        <f>IF(SUM(AL475:AN475)&gt;0,1,0)</f>
        <v>0</v>
      </c>
      <c r="AP475" s="18">
        <f>SUM(AL475:AN475)</f>
        <v>0</v>
      </c>
      <c r="AQ475" s="16"/>
      <c r="AR475" s="16">
        <v>2E-3</v>
      </c>
      <c r="AS475" s="16">
        <v>2E-3</v>
      </c>
      <c r="AT475" s="16" t="str">
        <f>VLOOKUP(E475,[2]Current!$A$1:$W$435,7,FALSE)</f>
        <v>DP</v>
      </c>
      <c r="AU475" s="16" t="s">
        <v>1288</v>
      </c>
      <c r="AV475" s="16">
        <v>1</v>
      </c>
      <c r="AW475" s="128">
        <f>IF(AX475&gt;0,1,0)</f>
        <v>0</v>
      </c>
      <c r="AX475" s="128">
        <f>SUM(BA475,BM475,CU475)</f>
        <v>0</v>
      </c>
      <c r="AY475" s="128">
        <f>SUM(BB475,BN475,CV475)</f>
        <v>0</v>
      </c>
      <c r="AZ475" s="128">
        <f>IF(BA475&gt;0,1,0)</f>
        <v>0</v>
      </c>
      <c r="BA475" s="128">
        <f>SUM(BC475+BF475+BI475)</f>
        <v>0</v>
      </c>
      <c r="BB475" s="128">
        <f>SUM(BE475,BH475,BK475)</f>
        <v>0</v>
      </c>
      <c r="BC475" s="130">
        <f>IF(BD475&gt;0,1,0)</f>
        <v>0</v>
      </c>
      <c r="BD475" s="128">
        <f>VLOOKUP($E475,[2]Current!$A:$AC,26,FALSE)</f>
        <v>0</v>
      </c>
      <c r="BE475" s="128">
        <f>BD475/$AS475</f>
        <v>0</v>
      </c>
      <c r="BF475" s="130">
        <f>IF(BG475&gt;0,1,0)</f>
        <v>0</v>
      </c>
      <c r="BG475" s="137">
        <f>VLOOKUP($E475,[2]Current!$A:$AC,27,FALSE)</f>
        <v>0</v>
      </c>
      <c r="BH475" s="128">
        <f>BG475/$AS475</f>
        <v>0</v>
      </c>
      <c r="BI475" s="130">
        <f>IF(BJ475&gt;0,1,0)</f>
        <v>0</v>
      </c>
      <c r="BJ475" s="128">
        <f>VLOOKUP($E475,[2]Current!$A:$AC,28,FALSE)</f>
        <v>0</v>
      </c>
      <c r="BK475" s="128">
        <f>BJ475/$AS475</f>
        <v>0</v>
      </c>
      <c r="BL475" s="128">
        <f>IF(BM475&gt;0,1,0)</f>
        <v>0</v>
      </c>
      <c r="BM475" s="128">
        <f>SUM(BR475,BU475,BX475,CA475,CD475)</f>
        <v>0</v>
      </c>
      <c r="BN475" s="131">
        <f>SUM(BT475,BW475,BZ475,CC475,CF475)</f>
        <v>0</v>
      </c>
      <c r="BO475" s="128">
        <f>IF(BP475&gt;0,1,0)</f>
        <v>0</v>
      </c>
      <c r="BP475" s="128">
        <f>BM475+CJ475</f>
        <v>0</v>
      </c>
      <c r="BQ475" s="128">
        <f>BN475+CL475</f>
        <v>0</v>
      </c>
      <c r="BR475" s="130">
        <f>IF(BS475&gt;0,1,0)</f>
        <v>0</v>
      </c>
      <c r="BS475" s="128">
        <f>VLOOKUP($E475,[2]Current!$A:$AC,12,FALSE)</f>
        <v>0</v>
      </c>
      <c r="BT475" s="137">
        <f>BS475/$AS475</f>
        <v>0</v>
      </c>
      <c r="BU475" s="130">
        <f>IF(BV475&gt;0,1,0)</f>
        <v>0</v>
      </c>
      <c r="BV475" s="128">
        <f>VLOOKUP($E475,[2]Current!$A:$AC,13,FALSE)</f>
        <v>0</v>
      </c>
      <c r="BW475" s="128">
        <f>BV475/$AS475</f>
        <v>0</v>
      </c>
      <c r="BX475" s="130">
        <f>IF(BY475&gt;0,1,0)</f>
        <v>0</v>
      </c>
      <c r="BY475" s="128">
        <f>VLOOKUP($E475,[2]Current!$A:$AC,14,FALSE)</f>
        <v>0</v>
      </c>
      <c r="BZ475" s="128">
        <f>BY475/$AS475</f>
        <v>0</v>
      </c>
      <c r="CA475" s="130">
        <f>IF(CB475&gt;0,1,0)</f>
        <v>0</v>
      </c>
      <c r="CB475" s="128">
        <f>VLOOKUP($E475,[2]Current!$A:$AC,15,FALSE)</f>
        <v>0</v>
      </c>
      <c r="CC475" s="128">
        <f>CB475/$AS475</f>
        <v>0</v>
      </c>
      <c r="CD475" s="174">
        <f>IF(CE475&gt;0,1,0)</f>
        <v>0</v>
      </c>
      <c r="CE475" s="128">
        <f>VLOOKUP($E475,[2]Current!$A:$AC,16,FALSE)</f>
        <v>0</v>
      </c>
      <c r="CF475" s="128">
        <f>CE475/$AS475</f>
        <v>0</v>
      </c>
      <c r="CJ475" s="130">
        <f>IF(CK475&gt;0,1,0)</f>
        <v>0</v>
      </c>
      <c r="CK475" s="128">
        <f>VLOOKUP($E475,[2]Current!$A:$AC,18,FALSE)</f>
        <v>0</v>
      </c>
      <c r="CL475" s="128">
        <f>CK475/$AS475</f>
        <v>0</v>
      </c>
      <c r="CM475" s="16"/>
      <c r="CN475" s="16"/>
      <c r="CO475" s="16"/>
      <c r="CP475" s="16"/>
      <c r="CQ475" s="16"/>
      <c r="CR475" s="16"/>
      <c r="CS475" s="130">
        <f>IF(CU475&gt;0,1,0)</f>
        <v>0</v>
      </c>
      <c r="CT475" s="16"/>
      <c r="CU475" s="128">
        <f>VLOOKUP($E475,[2]Current!$A:$AC,17,FALSE)</f>
        <v>0</v>
      </c>
      <c r="CV475" s="128">
        <f>CU475/$AS475</f>
        <v>0</v>
      </c>
      <c r="CZ475" s="16"/>
      <c r="DA475" s="16"/>
      <c r="DB475" s="16"/>
      <c r="DC475" s="16"/>
      <c r="DD475" s="16"/>
      <c r="DE475" s="16"/>
      <c r="DF475" s="16" t="e">
        <f>VLOOKUP(K475,'[3]RNA Seq summary tables'!$V$3:$V$99,1,FALSE)</f>
        <v>#N/A</v>
      </c>
      <c r="DG475" s="126" t="s">
        <v>116</v>
      </c>
      <c r="DH475" s="16"/>
      <c r="DI475" s="16"/>
      <c r="DJ475" s="16"/>
      <c r="DK475" s="16"/>
      <c r="DL475" s="16"/>
      <c r="DM475" s="16"/>
      <c r="DN475" s="16"/>
      <c r="DO475" s="16"/>
      <c r="DP475" s="16"/>
      <c r="DQ475" s="16"/>
      <c r="DR475" s="16"/>
      <c r="DS475" s="16"/>
      <c r="JO475" s="16"/>
      <c r="JP475" s="16"/>
      <c r="JQ475" s="16"/>
      <c r="JR475" s="16"/>
      <c r="JS475" s="16"/>
      <c r="JT475" s="16"/>
      <c r="JU475" s="16"/>
      <c r="JV475" s="16"/>
      <c r="JW475" s="16"/>
      <c r="JX475" s="16"/>
      <c r="JY475" s="16"/>
      <c r="JZ475" s="16"/>
      <c r="KA475" s="16"/>
      <c r="KB475" s="16"/>
    </row>
    <row r="476" spans="1:288" ht="16" x14ac:dyDescent="0.2">
      <c r="B476" s="16">
        <v>2018</v>
      </c>
      <c r="C476" s="124">
        <v>43296</v>
      </c>
      <c r="D476" t="s">
        <v>999</v>
      </c>
      <c r="E476" s="142" t="str">
        <f>CONCATENATE(T476,"-",U476,"-",C476)</f>
        <v>PO1-G1-43296</v>
      </c>
      <c r="F476" s="16" t="s">
        <v>227</v>
      </c>
      <c r="G476" s="126" t="s">
        <v>107</v>
      </c>
      <c r="H476" s="126"/>
      <c r="J476" s="126">
        <v>1347</v>
      </c>
      <c r="K476" s="126">
        <v>2636</v>
      </c>
      <c r="O476" s="126" t="s">
        <v>119</v>
      </c>
      <c r="P476" s="16" t="s">
        <v>119</v>
      </c>
      <c r="Q476" s="16">
        <v>0</v>
      </c>
      <c r="R476" s="16">
        <f>C476-C475</f>
        <v>13</v>
      </c>
      <c r="S476" s="16">
        <v>1</v>
      </c>
      <c r="T476" s="126" t="s">
        <v>112</v>
      </c>
      <c r="U476" s="126" t="s">
        <v>155</v>
      </c>
      <c r="V476" s="126" t="s">
        <v>114</v>
      </c>
      <c r="X476" s="126" t="s">
        <v>115</v>
      </c>
      <c r="Y476" s="126" t="s">
        <v>110</v>
      </c>
      <c r="Z476" s="126">
        <v>3</v>
      </c>
      <c r="AA476" s="126"/>
      <c r="AB476" s="126"/>
      <c r="AC476" s="126"/>
      <c r="AD476" s="126" t="s">
        <v>116</v>
      </c>
      <c r="AE476" s="126" t="s">
        <v>116</v>
      </c>
      <c r="AG476" s="40">
        <f>AH476-AI476</f>
        <v>90</v>
      </c>
      <c r="AH476" s="126">
        <v>170</v>
      </c>
      <c r="AI476" s="126">
        <v>80</v>
      </c>
      <c r="AK476" s="126">
        <v>22.5</v>
      </c>
      <c r="AL476" s="126">
        <v>0</v>
      </c>
      <c r="AM476" s="126">
        <v>0</v>
      </c>
      <c r="AN476" s="126">
        <v>0</v>
      </c>
      <c r="AO476" s="16">
        <f>IF(SUM(AL476:AN476)&gt;0,1,0)</f>
        <v>0</v>
      </c>
      <c r="AP476" s="18">
        <f>SUM(AL476:AN476)</f>
        <v>0</v>
      </c>
      <c r="AR476" s="16">
        <v>0.29300000000000015</v>
      </c>
      <c r="AS476" s="16">
        <f>VLOOKUP(E476,'[1]Feces weights'!$D$1:$H$459,5,FALSE)</f>
        <v>0.29300000000000015</v>
      </c>
      <c r="AT476" s="16" t="e">
        <f>VLOOKUP(E476,[2]Current!$A$1:$W$435,7,FALSE)</f>
        <v>#N/A</v>
      </c>
      <c r="AU476" s="16">
        <v>0</v>
      </c>
      <c r="BG476" s="77"/>
      <c r="BN476" s="126"/>
      <c r="BT476" s="78"/>
      <c r="BU476" s="18"/>
      <c r="BV476" s="18"/>
      <c r="BW476" s="25"/>
      <c r="BX476" s="18"/>
      <c r="BY476" s="18"/>
      <c r="BZ476" s="25"/>
      <c r="CA476" s="18"/>
      <c r="CB476" s="18"/>
      <c r="CC476" s="25"/>
      <c r="CD476" s="78"/>
      <c r="CE476" s="18"/>
      <c r="CF476" s="25"/>
      <c r="CG476" s="18"/>
      <c r="CH476" s="18"/>
      <c r="CI476" s="18"/>
      <c r="CJ476" s="18"/>
      <c r="CK476" s="18"/>
      <c r="CL476" s="25"/>
      <c r="DF476" s="16" t="e">
        <f>VLOOKUP(K476,'[3]RNA Seq summary tables'!$V$3:$V$99,1,FALSE)</f>
        <v>#N/A</v>
      </c>
      <c r="DG476" s="126" t="s">
        <v>116</v>
      </c>
    </row>
    <row r="477" spans="1:288" s="30" customFormat="1" ht="16" x14ac:dyDescent="0.2">
      <c r="A477" s="18"/>
      <c r="B477" s="16">
        <v>2018</v>
      </c>
      <c r="C477" s="147">
        <v>43315</v>
      </c>
      <c r="D477" t="s">
        <v>1254</v>
      </c>
      <c r="E477" s="20" t="str">
        <f>CONCATENATE(T477,"-",U477,"-",C477)</f>
        <v>PO1-F6-43315</v>
      </c>
      <c r="F477" s="16" t="s">
        <v>227</v>
      </c>
      <c r="G477" s="145" t="s">
        <v>107</v>
      </c>
      <c r="H477" s="145"/>
      <c r="I477" s="145"/>
      <c r="J477" s="145">
        <v>1347</v>
      </c>
      <c r="K477" s="145">
        <v>2756</v>
      </c>
      <c r="L477" s="16"/>
      <c r="M477" s="16"/>
      <c r="N477" s="16"/>
      <c r="O477" s="145" t="s">
        <v>119</v>
      </c>
      <c r="P477" s="16" t="s">
        <v>119</v>
      </c>
      <c r="Q477" s="16">
        <v>0</v>
      </c>
      <c r="R477" s="16">
        <f>C477-C476</f>
        <v>19</v>
      </c>
      <c r="S477" s="16">
        <v>1</v>
      </c>
      <c r="T477" s="145" t="s">
        <v>112</v>
      </c>
      <c r="U477" s="145" t="s">
        <v>170</v>
      </c>
      <c r="V477" s="145" t="s">
        <v>114</v>
      </c>
      <c r="W477" s="145"/>
      <c r="X477" s="145" t="s">
        <v>115</v>
      </c>
      <c r="Y477" s="145" t="s">
        <v>110</v>
      </c>
      <c r="Z477" s="145">
        <v>3</v>
      </c>
      <c r="AA477" s="145"/>
      <c r="AB477" s="145"/>
      <c r="AC477" s="145"/>
      <c r="AD477" s="145"/>
      <c r="AE477" s="145" t="s">
        <v>116</v>
      </c>
      <c r="AF477" s="145" t="s">
        <v>116</v>
      </c>
      <c r="AG477" s="145">
        <f>AH477-AI477</f>
        <v>82</v>
      </c>
      <c r="AH477" s="145">
        <v>161</v>
      </c>
      <c r="AI477" s="145">
        <v>79</v>
      </c>
      <c r="AJ477" s="145"/>
      <c r="AK477" s="145">
        <v>20</v>
      </c>
      <c r="AL477" s="145">
        <v>0</v>
      </c>
      <c r="AM477" s="145">
        <v>0</v>
      </c>
      <c r="AN477" s="145">
        <v>1</v>
      </c>
      <c r="AO477" s="16">
        <f>IF(SUM(AL477:AN477)&gt;0, 1,0)</f>
        <v>1</v>
      </c>
      <c r="AP477" s="16">
        <f>SUM(AL477:AN477)</f>
        <v>1</v>
      </c>
      <c r="AQ477" s="16"/>
      <c r="AR477" s="16"/>
      <c r="AS477" s="16">
        <f>VLOOKUP(E477,'[1]Feces weights'!$D$1:$H$459,5,FALSE)</f>
        <v>0.45200000000000018</v>
      </c>
      <c r="AT477" s="16" t="e">
        <f>VLOOKUP(E477,[2]Current!$A$1:$W$435,7,FALSE)</f>
        <v>#N/A</v>
      </c>
      <c r="AU477" s="16"/>
      <c r="AV477" s="16"/>
      <c r="AW477" s="16"/>
      <c r="AX477" s="16"/>
      <c r="AY477" s="16"/>
      <c r="AZ477" s="16"/>
      <c r="BA477" s="16"/>
      <c r="BB477" s="16"/>
      <c r="BC477" s="16"/>
      <c r="BD477" s="16"/>
      <c r="BE477" s="16"/>
      <c r="BF477" s="16"/>
      <c r="BG477" s="77"/>
      <c r="BH477" s="16"/>
      <c r="BI477" s="16"/>
      <c r="BJ477" s="16"/>
      <c r="BK477" s="16"/>
      <c r="BL477" s="16"/>
      <c r="BM477" s="16"/>
      <c r="BN477" s="16"/>
      <c r="BO477" s="16"/>
      <c r="BP477" s="16"/>
      <c r="BQ477" s="16"/>
      <c r="BR477" s="16"/>
      <c r="BS477" s="16"/>
      <c r="BT477" s="77"/>
      <c r="BU477" s="16"/>
      <c r="BV477" s="16"/>
      <c r="BW477" s="16"/>
      <c r="BX477" s="16"/>
      <c r="BY477" s="16"/>
      <c r="BZ477" s="16"/>
      <c r="CA477" s="16"/>
      <c r="CB477" s="16"/>
      <c r="CC477" s="16"/>
      <c r="CD477" s="77"/>
      <c r="CE477" s="16"/>
      <c r="CF477" s="16"/>
      <c r="CG477" s="16"/>
      <c r="CH477" s="16"/>
      <c r="CI477" s="16"/>
      <c r="CJ477" s="16"/>
      <c r="CK477" s="16"/>
      <c r="CL477" s="16"/>
      <c r="CM477" s="16"/>
      <c r="CN477" s="16"/>
      <c r="CO477" s="16"/>
      <c r="CP477" s="16"/>
      <c r="CQ477" s="16"/>
      <c r="CR477" s="16"/>
      <c r="CS477" s="16"/>
      <c r="CT477" s="16"/>
      <c r="CU477" s="16"/>
      <c r="CV477" s="16"/>
      <c r="CW477" s="16"/>
      <c r="CX477" s="16"/>
      <c r="CY477" s="16"/>
      <c r="CZ477" s="16"/>
      <c r="DA477" s="16"/>
      <c r="DB477" s="16"/>
      <c r="DC477" s="16"/>
      <c r="DD477" s="16"/>
      <c r="DE477" s="16"/>
      <c r="DF477" s="16"/>
      <c r="DG477" s="145" t="s">
        <v>123</v>
      </c>
      <c r="DH477" s="16"/>
      <c r="DI477" s="16"/>
      <c r="DJ477" s="16"/>
      <c r="DK477" s="16"/>
      <c r="DL477" s="16"/>
      <c r="DM477" s="16"/>
      <c r="DN477" s="16"/>
      <c r="DO477" s="16"/>
      <c r="DP477" s="16"/>
      <c r="DQ477" s="16"/>
      <c r="DR477" s="16"/>
      <c r="DS477" s="16"/>
      <c r="DT477" s="145" t="s">
        <v>123</v>
      </c>
      <c r="DU477" s="145"/>
      <c r="DV477" s="18"/>
      <c r="DW477" s="18"/>
      <c r="DX477" s="145"/>
      <c r="DY477" s="145"/>
      <c r="DZ477" s="16"/>
      <c r="EA477" s="16"/>
      <c r="EB477" s="16"/>
      <c r="EC477" s="16"/>
      <c r="ED477" s="16"/>
      <c r="EE477" s="16"/>
      <c r="EF477" s="16"/>
      <c r="EG477" s="18"/>
      <c r="EH477" s="18"/>
      <c r="EI477" s="18"/>
      <c r="EJ477" s="18"/>
      <c r="EK477" s="18"/>
      <c r="EL477" s="18"/>
      <c r="EM477" s="18"/>
      <c r="EN477" s="18"/>
      <c r="EO477" s="18"/>
      <c r="EP477" s="18"/>
      <c r="EQ477" s="18"/>
      <c r="ER477" s="18"/>
      <c r="ES477" s="18"/>
      <c r="ET477" s="18"/>
      <c r="EU477" s="18"/>
      <c r="EV477" s="18"/>
      <c r="EW477" s="18"/>
      <c r="EX477" s="18"/>
      <c r="EY477" s="18"/>
      <c r="EZ477" s="18"/>
      <c r="FA477" s="18"/>
      <c r="FB477" s="18"/>
      <c r="FC477" s="18"/>
      <c r="FD477" s="18"/>
      <c r="FE477" s="18"/>
      <c r="FF477" s="18"/>
      <c r="FG477" s="18"/>
      <c r="FH477" s="18"/>
      <c r="FI477" s="18"/>
      <c r="FJ477" s="18"/>
      <c r="FK477" s="18"/>
      <c r="FL477" s="18"/>
      <c r="FM477" s="18"/>
      <c r="FN477" s="18"/>
      <c r="FO477" s="18"/>
      <c r="FP477" s="18"/>
      <c r="FQ477" s="18"/>
      <c r="FR477" s="18"/>
      <c r="FS477" s="18"/>
      <c r="FT477" s="18"/>
      <c r="FU477" s="18"/>
      <c r="FV477" s="18"/>
      <c r="FW477" s="18"/>
      <c r="FX477" s="18"/>
      <c r="FY477" s="18"/>
      <c r="FZ477" s="18"/>
      <c r="GA477" s="18"/>
      <c r="GB477" s="18"/>
      <c r="GC477" s="18"/>
      <c r="GD477" s="18"/>
      <c r="GE477" s="18"/>
      <c r="GF477" s="18"/>
      <c r="GG477" s="18"/>
      <c r="GH477" s="18"/>
      <c r="GI477" s="18"/>
      <c r="GJ477" s="18"/>
      <c r="GK477" s="18"/>
      <c r="GL477" s="18"/>
      <c r="GM477" s="18"/>
      <c r="GN477" s="18"/>
      <c r="GO477" s="18"/>
      <c r="GP477" s="18"/>
      <c r="GQ477" s="18"/>
      <c r="GR477" s="18"/>
      <c r="GS477" s="18"/>
      <c r="GT477" s="18"/>
      <c r="GU477" s="18"/>
      <c r="GV477" s="18"/>
      <c r="GW477" s="18"/>
      <c r="GX477" s="18"/>
      <c r="GY477" s="18"/>
      <c r="GZ477" s="18"/>
      <c r="HA477" s="18"/>
      <c r="HB477" s="18"/>
      <c r="HC477" s="18"/>
      <c r="HD477" s="18"/>
      <c r="HE477" s="18"/>
      <c r="HF477" s="18"/>
      <c r="HG477" s="18"/>
      <c r="HH477" s="18"/>
      <c r="HI477" s="18"/>
      <c r="HJ477" s="18"/>
      <c r="HK477" s="18"/>
      <c r="HL477" s="18"/>
      <c r="HM477" s="18"/>
      <c r="HN477" s="18"/>
      <c r="HO477" s="18"/>
      <c r="HP477" s="18"/>
      <c r="HQ477" s="18"/>
      <c r="HR477" s="18"/>
      <c r="HS477" s="18"/>
      <c r="HT477" s="18"/>
      <c r="HU477" s="18"/>
      <c r="HV477" s="18"/>
      <c r="HW477" s="18"/>
      <c r="HX477" s="18"/>
      <c r="HY477" s="18"/>
      <c r="HZ477" s="18"/>
      <c r="IA477" s="18"/>
      <c r="IB477" s="18"/>
      <c r="IC477" s="18"/>
      <c r="ID477" s="18"/>
      <c r="IE477" s="18"/>
      <c r="IF477" s="18"/>
      <c r="IG477" s="18"/>
      <c r="IH477" s="18"/>
      <c r="II477" s="18"/>
      <c r="IJ477" s="18"/>
      <c r="IK477" s="18"/>
      <c r="IL477" s="18"/>
      <c r="IM477" s="18"/>
      <c r="IN477" s="18"/>
      <c r="IO477" s="18"/>
      <c r="IP477" s="18"/>
      <c r="IQ477" s="18"/>
      <c r="IR477" s="18"/>
      <c r="IS477" s="18"/>
      <c r="IT477" s="18"/>
      <c r="IU477" s="18"/>
      <c r="IV477" s="18"/>
      <c r="IW477" s="18"/>
      <c r="IX477" s="18"/>
      <c r="IY477" s="18"/>
      <c r="IZ477" s="18"/>
      <c r="JA477" s="18"/>
      <c r="JB477" s="18"/>
      <c r="JC477" s="18"/>
      <c r="JD477" s="18"/>
      <c r="JE477" s="18"/>
      <c r="JF477" s="18"/>
      <c r="JG477" s="18"/>
      <c r="JH477" s="18"/>
      <c r="JI477" s="18"/>
      <c r="JJ477" s="18"/>
      <c r="JK477" s="18"/>
      <c r="JL477" s="18"/>
      <c r="JM477" s="18"/>
      <c r="JN477" s="18"/>
      <c r="JO477" s="18"/>
      <c r="JP477" s="18"/>
      <c r="JQ477" s="18"/>
      <c r="JR477" s="18"/>
      <c r="JS477" s="18"/>
      <c r="JT477" s="18"/>
      <c r="JU477" s="18"/>
      <c r="JV477" s="18"/>
      <c r="JW477" s="18"/>
      <c r="JX477" s="18"/>
      <c r="JY477" s="18"/>
      <c r="JZ477" s="18"/>
      <c r="KA477" s="18"/>
      <c r="KB477" s="16"/>
    </row>
    <row r="478" spans="1:288" s="18" customFormat="1" ht="16" x14ac:dyDescent="0.2">
      <c r="B478" s="16">
        <v>2017</v>
      </c>
      <c r="C478" s="20">
        <v>42963</v>
      </c>
      <c r="D478" s="20" t="str">
        <f>CONCATENATE(J478,"-",C478)</f>
        <v>1349-42963</v>
      </c>
      <c r="E478" s="37" t="str">
        <f>CONCATENATE(T478,"-",U478,"-",C478)</f>
        <v>PO2-A7-42963</v>
      </c>
      <c r="F478" s="20" t="s">
        <v>106</v>
      </c>
      <c r="G478" s="20" t="s">
        <v>107</v>
      </c>
      <c r="H478" s="16"/>
      <c r="I478" s="16">
        <v>0</v>
      </c>
      <c r="J478" s="21">
        <v>1349</v>
      </c>
      <c r="K478" s="21">
        <v>2157</v>
      </c>
      <c r="L478" s="18">
        <v>0</v>
      </c>
      <c r="M478" s="21">
        <f>VLOOKUP($K478,'[4]blood tubes 2017'!$D$1:$L$647,8,FALSE)</f>
        <v>0</v>
      </c>
      <c r="N478" s="15">
        <v>0</v>
      </c>
      <c r="O478" s="15" t="s">
        <v>119</v>
      </c>
      <c r="P478" s="16" t="s">
        <v>119</v>
      </c>
      <c r="Q478" s="16">
        <v>0</v>
      </c>
      <c r="R478" s="16" t="s">
        <v>111</v>
      </c>
      <c r="S478" s="16"/>
      <c r="T478" s="16" t="s">
        <v>127</v>
      </c>
      <c r="U478" s="16" t="s">
        <v>120</v>
      </c>
      <c r="V478" s="16" t="s">
        <v>114</v>
      </c>
      <c r="W478" s="16">
        <f>AI478/AG478</f>
        <v>0.81521739130434778</v>
      </c>
      <c r="X478" s="16" t="s">
        <v>121</v>
      </c>
      <c r="Y478" s="16" t="s">
        <v>110</v>
      </c>
      <c r="Z478" s="16">
        <v>3</v>
      </c>
      <c r="AA478" s="16" t="s">
        <v>119</v>
      </c>
      <c r="AB478" s="16" t="s">
        <v>239</v>
      </c>
      <c r="AC478" s="16" t="s">
        <v>123</v>
      </c>
      <c r="AD478" s="16" t="s">
        <v>123</v>
      </c>
      <c r="AE478" s="16"/>
      <c r="AF478" s="16"/>
      <c r="AG478" s="16">
        <f>AH478-AI478</f>
        <v>92</v>
      </c>
      <c r="AH478" s="16">
        <v>167</v>
      </c>
      <c r="AI478" s="16">
        <v>75</v>
      </c>
      <c r="AJ478" s="16"/>
      <c r="AK478" s="16">
        <v>21.5</v>
      </c>
      <c r="AL478" s="16">
        <v>0</v>
      </c>
      <c r="AM478" s="16">
        <v>0</v>
      </c>
      <c r="AN478" s="16">
        <v>0</v>
      </c>
      <c r="AO478" s="16">
        <v>0</v>
      </c>
      <c r="AP478" s="16">
        <f>SUM(AL478:AN478)</f>
        <v>0</v>
      </c>
      <c r="AQ478" s="16">
        <v>1.93</v>
      </c>
      <c r="AR478" s="16">
        <f>AP478-1.472</f>
        <v>-1.472</v>
      </c>
      <c r="AS478" s="16">
        <f>AQ478-1.472</f>
        <v>0.45799999999999996</v>
      </c>
      <c r="AT478" s="16" t="str">
        <f>VLOOKUP(E478,[2]Current!$A$1:$W$435,7,FALSE)</f>
        <v>NB</v>
      </c>
      <c r="AU478" s="16" t="s">
        <v>1288</v>
      </c>
      <c r="AV478" s="16"/>
      <c r="AW478" s="128">
        <f>IF(AX478&gt;0,1,0)</f>
        <v>1</v>
      </c>
      <c r="AX478" s="128">
        <f>SUM(BA478,BM478,CU478)</f>
        <v>2</v>
      </c>
      <c r="AY478" s="128">
        <f>SUM(BB478,BN478,CV478)</f>
        <v>7406.1135371179043</v>
      </c>
      <c r="AZ478" s="128">
        <f>IF(BA478&gt;0,1,0)</f>
        <v>1</v>
      </c>
      <c r="BA478" s="128">
        <f>SUM(BC478+BF478+BI478)</f>
        <v>1</v>
      </c>
      <c r="BB478" s="128">
        <f>SUM(BE478,BH478,BK478)</f>
        <v>7403.9301310043675</v>
      </c>
      <c r="BC478" s="130">
        <f>IF(BD478&gt;0,1,0)</f>
        <v>0</v>
      </c>
      <c r="BD478" s="128">
        <f>VLOOKUP($E478,[2]Current!$A:$AC,26,FALSE)</f>
        <v>0</v>
      </c>
      <c r="BE478" s="128">
        <f>BD478/$AS478</f>
        <v>0</v>
      </c>
      <c r="BF478" s="130">
        <f>IF(BG478&gt;0,1,0)</f>
        <v>1</v>
      </c>
      <c r="BG478" s="175">
        <f>VLOOKUP($E478,[2]Current!$A:$AC,27,FALSE)</f>
        <v>3391</v>
      </c>
      <c r="BH478" s="128">
        <f>BG478/$AS478</f>
        <v>7403.9301310043675</v>
      </c>
      <c r="BI478" s="130">
        <f>IF(BJ478&gt;0,1,0)</f>
        <v>0</v>
      </c>
      <c r="BJ478" s="128">
        <f>VLOOKUP($E478,[2]Current!$A:$AC,28,FALSE)</f>
        <v>0</v>
      </c>
      <c r="BK478" s="128">
        <f>BJ478/$AS478</f>
        <v>0</v>
      </c>
      <c r="BL478" s="128">
        <f>IF(BM478&gt;0,1,0)</f>
        <v>1</v>
      </c>
      <c r="BM478" s="128">
        <f>SUM(BR478,BU478,BX478,CA478,CD478)</f>
        <v>1</v>
      </c>
      <c r="BN478" s="131">
        <f>SUM(BT478,BW478,BZ478,CC478,CF478)</f>
        <v>2.1834061135371181</v>
      </c>
      <c r="BO478" s="128">
        <f>IF(BP478&gt;0,1,0)</f>
        <v>1</v>
      </c>
      <c r="BP478" s="128">
        <f>BM478+CJ478</f>
        <v>1</v>
      </c>
      <c r="BQ478" s="128">
        <f>BN478+CL478</f>
        <v>2.1834061135371181</v>
      </c>
      <c r="BR478" s="130">
        <f>IF(BS478&gt;0,1,0)</f>
        <v>0</v>
      </c>
      <c r="BS478" s="128">
        <f>VLOOKUP($E478,[2]Current!$A:$AC,12,FALSE)</f>
        <v>0</v>
      </c>
      <c r="BT478" s="175">
        <f>BS478/$AS478</f>
        <v>0</v>
      </c>
      <c r="BU478" s="130">
        <f>IF(BV478&gt;0,1,0)</f>
        <v>0</v>
      </c>
      <c r="BV478" s="128">
        <f>VLOOKUP($E478,[2]Current!$A:$AC,13,FALSE)</f>
        <v>0</v>
      </c>
      <c r="BW478" s="128">
        <f>BV478/$AS478</f>
        <v>0</v>
      </c>
      <c r="BX478" s="130">
        <f>IF(BY478&gt;0,1,0)</f>
        <v>0</v>
      </c>
      <c r="BY478" s="128">
        <f>VLOOKUP($E478,[2]Current!$A:$AC,14,FALSE)</f>
        <v>0</v>
      </c>
      <c r="BZ478" s="128">
        <f>BY478/$AS478</f>
        <v>0</v>
      </c>
      <c r="CA478" s="130">
        <f>IF(CB478&gt;0,1,0)</f>
        <v>1</v>
      </c>
      <c r="CB478" s="128">
        <f>VLOOKUP($E478,[2]Current!$A:$AC,15,FALSE)</f>
        <v>1</v>
      </c>
      <c r="CC478" s="128">
        <f>CB478/$AS478</f>
        <v>2.1834061135371181</v>
      </c>
      <c r="CD478" s="176">
        <f>IF(CE478&gt;0,1,0)</f>
        <v>0</v>
      </c>
      <c r="CE478" s="128">
        <f>VLOOKUP($E478,[2]Current!$A:$AC,16,FALSE)</f>
        <v>0</v>
      </c>
      <c r="CF478" s="128">
        <f>CE478/$AS478</f>
        <v>0</v>
      </c>
      <c r="CJ478" s="130">
        <f>IF(CK478&gt;0,1,0)</f>
        <v>0</v>
      </c>
      <c r="CK478" s="128">
        <f>VLOOKUP($E478,[2]Current!$A:$AC,18,FALSE)</f>
        <v>0</v>
      </c>
      <c r="CL478" s="128">
        <f>CK478/$AS478</f>
        <v>0</v>
      </c>
      <c r="CM478" s="16"/>
      <c r="CN478" s="16"/>
      <c r="CO478" s="16"/>
      <c r="CP478" s="16"/>
      <c r="CQ478" s="16"/>
      <c r="CR478" s="16"/>
      <c r="CS478" s="130">
        <f>IF(CU478&gt;0,1,0)</f>
        <v>0</v>
      </c>
      <c r="CT478" s="16"/>
      <c r="CU478" s="128">
        <f>VLOOKUP($E478,[2]Current!$A:$AC,17,FALSE)</f>
        <v>0</v>
      </c>
      <c r="CV478" s="128">
        <f>CU478/$AS478</f>
        <v>0</v>
      </c>
      <c r="CZ478" s="16"/>
      <c r="DA478" s="16"/>
      <c r="DB478" s="16"/>
      <c r="DC478" s="16"/>
      <c r="DD478" s="16"/>
      <c r="DE478" s="16"/>
      <c r="DF478" s="16" t="e">
        <f>VLOOKUP(K478,'[3]RNA Seq summary tables'!$V$3:$V$99,1,FALSE)</f>
        <v>#N/A</v>
      </c>
      <c r="DG478" s="16"/>
      <c r="DH478" s="16"/>
      <c r="DI478" s="16"/>
      <c r="DJ478" s="16"/>
      <c r="DK478" s="16"/>
      <c r="DL478" s="16"/>
      <c r="DM478" s="16"/>
      <c r="DN478" s="16"/>
      <c r="DO478" s="16"/>
      <c r="DP478" s="16"/>
      <c r="DQ478" s="16"/>
      <c r="DR478" s="16"/>
      <c r="DS478" s="16"/>
      <c r="JO478" s="16"/>
      <c r="JP478" s="38"/>
      <c r="JQ478" s="38"/>
      <c r="JR478" s="16"/>
      <c r="JS478" s="16"/>
      <c r="JT478" s="16"/>
      <c r="JU478" s="16"/>
      <c r="JV478" s="16"/>
      <c r="JW478" s="16"/>
      <c r="JX478" s="16"/>
      <c r="JY478" s="16"/>
      <c r="JZ478" s="16"/>
      <c r="KA478" s="16"/>
      <c r="KB478" s="16"/>
    </row>
    <row r="479" spans="1:288" ht="16" x14ac:dyDescent="0.2">
      <c r="B479" s="16">
        <v>2017</v>
      </c>
      <c r="C479" s="20">
        <v>42963</v>
      </c>
      <c r="D479" s="20" t="str">
        <f>CONCATENATE(J479,"-",C479)</f>
        <v>1350-42963</v>
      </c>
      <c r="E479" s="37" t="str">
        <f>CONCATENATE(T479,"-",U479,"-",C479)</f>
        <v>PO2-C8-42963</v>
      </c>
      <c r="F479" s="20" t="s">
        <v>106</v>
      </c>
      <c r="G479" s="20" t="s">
        <v>107</v>
      </c>
      <c r="H479" s="16" t="s">
        <v>262</v>
      </c>
      <c r="I479" s="16">
        <v>0</v>
      </c>
      <c r="J479" s="21">
        <v>1350</v>
      </c>
      <c r="K479" s="21">
        <v>2158</v>
      </c>
      <c r="L479" s="18">
        <v>0</v>
      </c>
      <c r="M479" s="21">
        <f>VLOOKUP($K479,'[4]blood tubes 2017'!$D$1:$L$647,8,FALSE)</f>
        <v>0</v>
      </c>
      <c r="N479" s="15">
        <v>0</v>
      </c>
      <c r="O479" s="15" t="s">
        <v>119</v>
      </c>
      <c r="P479" s="16" t="s">
        <v>119</v>
      </c>
      <c r="R479" s="16" t="s">
        <v>111</v>
      </c>
      <c r="T479" s="16" t="s">
        <v>127</v>
      </c>
      <c r="U479" s="16" t="s">
        <v>188</v>
      </c>
      <c r="V479" s="16" t="s">
        <v>114</v>
      </c>
      <c r="W479" s="16">
        <f>AI479/AG479</f>
        <v>0.91764705882352937</v>
      </c>
      <c r="X479" s="16" t="s">
        <v>115</v>
      </c>
      <c r="Y479" s="16" t="s">
        <v>110</v>
      </c>
      <c r="Z479" s="16">
        <v>3</v>
      </c>
      <c r="AE479" s="16" t="s">
        <v>116</v>
      </c>
      <c r="AF479" s="16" t="s">
        <v>116</v>
      </c>
      <c r="AG479" s="16">
        <f>AH479-AI479</f>
        <v>85</v>
      </c>
      <c r="AH479" s="16">
        <v>163</v>
      </c>
      <c r="AI479" s="16">
        <v>78</v>
      </c>
      <c r="AK479" s="16">
        <v>20</v>
      </c>
      <c r="AL479" s="16">
        <v>0</v>
      </c>
      <c r="AM479" s="16">
        <v>0</v>
      </c>
      <c r="AN479" s="16">
        <v>0</v>
      </c>
      <c r="AO479" s="16">
        <v>0</v>
      </c>
      <c r="AP479" s="16">
        <f>SUM(AL479:AN479)</f>
        <v>0</v>
      </c>
      <c r="AQ479" s="16">
        <v>1.67</v>
      </c>
      <c r="AR479" s="16">
        <f>AP479-1.472</f>
        <v>-1.472</v>
      </c>
      <c r="AS479" s="16">
        <f>AQ479-1.472</f>
        <v>0.19799999999999995</v>
      </c>
      <c r="AT479" s="16" t="str">
        <f>VLOOKUP(E479,[2]Current!$A$1:$W$435,7,FALSE)</f>
        <v>NB</v>
      </c>
      <c r="AU479" s="16" t="s">
        <v>1288</v>
      </c>
      <c r="AV479" s="23">
        <v>1</v>
      </c>
      <c r="AW479" s="128">
        <f>IF(AX479&gt;0,1,0)</f>
        <v>0</v>
      </c>
      <c r="AX479" s="128">
        <f>SUM(BA479,BM479,CU479)</f>
        <v>0</v>
      </c>
      <c r="AY479" s="128">
        <f>SUM(BB479,BN479,CV479)</f>
        <v>0</v>
      </c>
      <c r="AZ479" s="128">
        <f>IF(BA479&gt;0,1,0)</f>
        <v>0</v>
      </c>
      <c r="BA479" s="128">
        <f>SUM(BC479+BF479+BI479)</f>
        <v>0</v>
      </c>
      <c r="BB479" s="128">
        <f>SUM(BE479,BH479,BK479)</f>
        <v>0</v>
      </c>
      <c r="BC479" s="130">
        <f>IF(BD479&gt;0,1,0)</f>
        <v>0</v>
      </c>
      <c r="BD479" s="128">
        <f>VLOOKUP($E479,[2]Current!$A:$AC,26,FALSE)</f>
        <v>0</v>
      </c>
      <c r="BE479" s="128">
        <f>BD479/$AS479</f>
        <v>0</v>
      </c>
      <c r="BF479" s="130">
        <f>IF(BG479&gt;0,1,0)</f>
        <v>0</v>
      </c>
      <c r="BG479" s="137">
        <f>VLOOKUP($E479,[2]Current!$A:$AC,27,FALSE)</f>
        <v>0</v>
      </c>
      <c r="BH479" s="128">
        <f>BG479/$AS479</f>
        <v>0</v>
      </c>
      <c r="BI479" s="130">
        <f>IF(BJ479&gt;0,1,0)</f>
        <v>0</v>
      </c>
      <c r="BJ479" s="128">
        <f>VLOOKUP($E479,[2]Current!$A:$AC,28,FALSE)</f>
        <v>0</v>
      </c>
      <c r="BK479" s="128">
        <f>BJ479/$AS479</f>
        <v>0</v>
      </c>
      <c r="BL479" s="128">
        <f>IF(BM479&gt;0,1,0)</f>
        <v>0</v>
      </c>
      <c r="BM479" s="128">
        <f>SUM(BR479,BU479,BX479,CA479,CD479)</f>
        <v>0</v>
      </c>
      <c r="BN479" s="131">
        <f>SUM(BT479,BW479,BZ479,CC479,CF479)</f>
        <v>0</v>
      </c>
      <c r="BO479" s="128">
        <f>IF(BP479&gt;0,1,0)</f>
        <v>0</v>
      </c>
      <c r="BP479" s="128">
        <f>BM479+CJ479</f>
        <v>0</v>
      </c>
      <c r="BQ479" s="128">
        <f>BN479+CL479</f>
        <v>0</v>
      </c>
      <c r="BR479" s="130">
        <f>IF(BS479&gt;0,1,0)</f>
        <v>0</v>
      </c>
      <c r="BS479" s="128">
        <f>VLOOKUP($E479,[2]Current!$A:$AC,12,FALSE)</f>
        <v>0</v>
      </c>
      <c r="BT479" s="137">
        <f>BS479/$AS479</f>
        <v>0</v>
      </c>
      <c r="BU479" s="130">
        <f>IF(BV479&gt;0,1,0)</f>
        <v>0</v>
      </c>
      <c r="BV479" s="128">
        <f>VLOOKUP($E479,[2]Current!$A:$AC,13,FALSE)</f>
        <v>0</v>
      </c>
      <c r="BW479" s="128">
        <f>BV479/$AS479</f>
        <v>0</v>
      </c>
      <c r="BX479" s="130">
        <f>IF(BY479&gt;0,1,0)</f>
        <v>0</v>
      </c>
      <c r="BY479" s="128">
        <f>VLOOKUP($E479,[2]Current!$A:$AC,14,FALSE)</f>
        <v>0</v>
      </c>
      <c r="BZ479" s="128">
        <f>BY479/$AS479</f>
        <v>0</v>
      </c>
      <c r="CA479" s="130">
        <f>IF(CB479&gt;0,1,0)</f>
        <v>0</v>
      </c>
      <c r="CB479" s="128">
        <f>VLOOKUP($E479,[2]Current!$A:$AC,15,FALSE)</f>
        <v>0</v>
      </c>
      <c r="CC479" s="128">
        <f>CB479/$AS479</f>
        <v>0</v>
      </c>
      <c r="CD479" s="174">
        <f>IF(CE479&gt;0,1,0)</f>
        <v>0</v>
      </c>
      <c r="CE479" s="128">
        <f>VLOOKUP($E479,[2]Current!$A:$AC,16,FALSE)</f>
        <v>0</v>
      </c>
      <c r="CF479" s="128">
        <f>CE479/$AS479</f>
        <v>0</v>
      </c>
      <c r="CG479" s="18"/>
      <c r="CH479" s="18"/>
      <c r="CI479" s="18"/>
      <c r="CJ479" s="130">
        <f>IF(CK479&gt;0,1,0)</f>
        <v>0</v>
      </c>
      <c r="CK479" s="128">
        <f>VLOOKUP($E479,[2]Current!$A:$AC,18,FALSE)</f>
        <v>0</v>
      </c>
      <c r="CL479" s="128">
        <f>CK479/$AS479</f>
        <v>0</v>
      </c>
      <c r="CS479" s="130">
        <f>IF(CU479&gt;0,1,0)</f>
        <v>0</v>
      </c>
      <c r="CT479" s="18"/>
      <c r="CU479" s="128">
        <f>VLOOKUP($E479,[2]Current!$A:$AC,17,FALSE)</f>
        <v>0</v>
      </c>
      <c r="CV479" s="128">
        <f>CU479/$AS479</f>
        <v>0</v>
      </c>
      <c r="CW479" s="18"/>
      <c r="CX479" s="18"/>
      <c r="CY479" s="18"/>
      <c r="DF479" s="16" t="e">
        <f>VLOOKUP(K479,'[3]RNA Seq summary tables'!$V$3:$V$99,1,FALSE)</f>
        <v>#N/A</v>
      </c>
      <c r="JP479" s="38"/>
      <c r="JQ479" s="38"/>
    </row>
    <row r="480" spans="1:288" x14ac:dyDescent="0.2">
      <c r="B480" s="16">
        <v>2017</v>
      </c>
      <c r="C480" s="20">
        <v>42975</v>
      </c>
      <c r="D480" s="20" t="str">
        <f>CONCATENATE(J480,"-",C480)</f>
        <v>1350-42975</v>
      </c>
      <c r="E480" s="142" t="str">
        <f>CONCATENATE(T480,"-",U480,"-",C480)</f>
        <v>PO2-D7-42975</v>
      </c>
      <c r="F480" s="37" t="s">
        <v>224</v>
      </c>
      <c r="G480" s="20" t="s">
        <v>107</v>
      </c>
      <c r="J480" s="21">
        <v>1350</v>
      </c>
      <c r="K480" s="21">
        <v>2287</v>
      </c>
      <c r="L480" s="18">
        <v>0</v>
      </c>
      <c r="M480" s="21">
        <f>VLOOKUP($K480,'[4]blood tubes 2017'!$D$1:$L$947,8,FALSE)</f>
        <v>0</v>
      </c>
      <c r="N480" s="15">
        <v>0</v>
      </c>
      <c r="O480" s="15" t="s">
        <v>119</v>
      </c>
      <c r="P480" s="16" t="s">
        <v>119</v>
      </c>
      <c r="Q480" s="16">
        <v>0</v>
      </c>
      <c r="R480" s="16">
        <v>12</v>
      </c>
      <c r="T480" s="16" t="s">
        <v>127</v>
      </c>
      <c r="U480" s="16" t="s">
        <v>177</v>
      </c>
      <c r="V480" s="16" t="s">
        <v>114</v>
      </c>
      <c r="W480" s="16">
        <f>AI480/AG480</f>
        <v>0.83870967741935487</v>
      </c>
      <c r="X480" s="16" t="s">
        <v>115</v>
      </c>
      <c r="Y480" s="16" t="s">
        <v>110</v>
      </c>
      <c r="Z480" s="16">
        <v>3</v>
      </c>
      <c r="AE480" s="16" t="s">
        <v>116</v>
      </c>
      <c r="AF480" s="16" t="s">
        <v>116</v>
      </c>
      <c r="AG480" s="16">
        <f>AH480-AI480</f>
        <v>93</v>
      </c>
      <c r="AH480" s="16">
        <v>171</v>
      </c>
      <c r="AI480" s="16">
        <v>78</v>
      </c>
      <c r="AK480" s="16">
        <v>22</v>
      </c>
      <c r="AL480" s="16">
        <v>0</v>
      </c>
      <c r="AM480" s="16">
        <v>0</v>
      </c>
      <c r="AN480" s="16">
        <v>0</v>
      </c>
      <c r="AO480" s="16">
        <v>0</v>
      </c>
      <c r="AP480" s="16">
        <f>SUM(AL480:AN480)</f>
        <v>0</v>
      </c>
      <c r="AQ480" s="16">
        <v>1.681</v>
      </c>
      <c r="AR480" s="16">
        <f>AP480-1.472</f>
        <v>-1.472</v>
      </c>
      <c r="AS480" s="16">
        <f>AQ480-1.472</f>
        <v>0.20900000000000007</v>
      </c>
      <c r="AT480" s="16" t="e">
        <f>VLOOKUP(E480,[2]Current!$A$1:$W$435,7,FALSE)</f>
        <v>#N/A</v>
      </c>
      <c r="AU480" s="16">
        <v>0</v>
      </c>
      <c r="AW480" s="18"/>
      <c r="AX480" s="18"/>
      <c r="AY480" s="18"/>
      <c r="AZ480" s="18"/>
      <c r="BA480" s="18"/>
      <c r="BB480" s="18"/>
      <c r="BC480" s="18"/>
      <c r="BD480" s="18"/>
      <c r="BG480" s="77"/>
      <c r="BT480" s="77"/>
      <c r="CD480" s="77"/>
      <c r="DF480" s="16" t="e">
        <f>VLOOKUP(K480,'[3]RNA Seq summary tables'!$V$3:$V$99,1,FALSE)</f>
        <v>#N/A</v>
      </c>
    </row>
    <row r="481" spans="1:288" x14ac:dyDescent="0.2">
      <c r="B481" s="18">
        <v>2017</v>
      </c>
      <c r="C481" s="37">
        <v>42964</v>
      </c>
      <c r="D481" s="37" t="str">
        <f>CONCATENATE(J481,"-",C481)</f>
        <v>1352-42964</v>
      </c>
      <c r="E481" s="142" t="str">
        <f>CONCATENATE(T481,"-",U481,"-",C481)</f>
        <v>PO1-E5-42964</v>
      </c>
      <c r="F481" s="20" t="s">
        <v>106</v>
      </c>
      <c r="G481" s="37" t="s">
        <v>107</v>
      </c>
      <c r="H481" s="18"/>
      <c r="J481" s="36">
        <v>1352</v>
      </c>
      <c r="K481" s="36">
        <v>2169</v>
      </c>
      <c r="L481" s="18">
        <v>0</v>
      </c>
      <c r="M481" s="21">
        <f>VLOOKUP($K481,'[4]blood tubes 2017'!$D$1:$L$647,8,FALSE)</f>
        <v>0</v>
      </c>
      <c r="N481" s="15">
        <v>0</v>
      </c>
      <c r="O481" s="15" t="s">
        <v>119</v>
      </c>
      <c r="P481" s="18" t="s">
        <v>119</v>
      </c>
      <c r="Q481" s="16">
        <v>0</v>
      </c>
      <c r="R481" s="18" t="s">
        <v>111</v>
      </c>
      <c r="S481" s="18"/>
      <c r="T481" s="18" t="s">
        <v>112</v>
      </c>
      <c r="U481" s="18" t="s">
        <v>158</v>
      </c>
      <c r="V481" s="18" t="s">
        <v>114</v>
      </c>
      <c r="W481" s="16">
        <f>AI481/AG481</f>
        <v>0.87654320987654322</v>
      </c>
      <c r="X481" s="18" t="s">
        <v>121</v>
      </c>
      <c r="Y481" s="18" t="s">
        <v>122</v>
      </c>
      <c r="Z481" s="18">
        <v>2.9</v>
      </c>
      <c r="AA481" s="18" t="s">
        <v>119</v>
      </c>
      <c r="AB481" s="18" t="s">
        <v>123</v>
      </c>
      <c r="AC481" s="18" t="s">
        <v>123</v>
      </c>
      <c r="AD481" s="18" t="s">
        <v>123</v>
      </c>
      <c r="AE481" s="18"/>
      <c r="AF481" s="18"/>
      <c r="AG481" s="18">
        <f>AH481-AI481</f>
        <v>81</v>
      </c>
      <c r="AH481" s="18">
        <v>152</v>
      </c>
      <c r="AI481" s="18">
        <v>71</v>
      </c>
      <c r="AJ481" s="18"/>
      <c r="AK481" s="18">
        <v>15</v>
      </c>
      <c r="AL481" s="18">
        <v>0</v>
      </c>
      <c r="AM481" s="18">
        <v>1</v>
      </c>
      <c r="AN481" s="18">
        <v>0</v>
      </c>
      <c r="AO481" s="18">
        <v>1</v>
      </c>
      <c r="AP481" s="18">
        <f>SUM(AL481:AN481)</f>
        <v>1</v>
      </c>
      <c r="AQ481" s="18">
        <v>1.641</v>
      </c>
      <c r="AR481" s="18">
        <f>AP481-1.472</f>
        <v>-0.47199999999999998</v>
      </c>
      <c r="AS481" s="18">
        <f>AQ481-1.472</f>
        <v>0.16900000000000004</v>
      </c>
      <c r="AT481" s="16" t="e">
        <f>VLOOKUP(E481,[2]Current!$A$1:$W$435,7,FALSE)</f>
        <v>#N/A</v>
      </c>
      <c r="AU481" s="16">
        <v>0</v>
      </c>
      <c r="AV481" s="18"/>
      <c r="AW481" s="18"/>
      <c r="AX481" s="18"/>
      <c r="AY481" s="18"/>
      <c r="AZ481" s="18"/>
      <c r="BA481" s="18"/>
      <c r="BB481" s="18"/>
      <c r="BC481" s="18"/>
      <c r="BD481" s="18"/>
      <c r="BE481" s="18"/>
      <c r="BF481" s="18"/>
      <c r="BG481" s="78"/>
      <c r="BH481" s="18"/>
      <c r="BI481" s="18"/>
      <c r="BJ481" s="18"/>
      <c r="BK481" s="18"/>
      <c r="BL481" s="18"/>
      <c r="BM481" s="18"/>
      <c r="BN481" s="18"/>
      <c r="BO481" s="18"/>
      <c r="BP481" s="18"/>
      <c r="BQ481" s="18"/>
      <c r="BR481" s="18"/>
      <c r="BS481" s="18"/>
      <c r="BT481" s="78"/>
      <c r="BU481" s="18"/>
      <c r="BV481" s="18"/>
      <c r="BW481" s="18"/>
      <c r="BX481" s="18"/>
      <c r="BY481" s="18"/>
      <c r="BZ481" s="18"/>
      <c r="CA481" s="18"/>
      <c r="CB481" s="18"/>
      <c r="CC481" s="18"/>
      <c r="CD481" s="7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6" t="e">
        <f>VLOOKUP(K481,'[3]RNA Seq summary tables'!$V$3:$V$99,1,FALSE)</f>
        <v>#N/A</v>
      </c>
      <c r="DI481" s="18"/>
      <c r="DJ481" s="18"/>
      <c r="DK481" s="18"/>
      <c r="DL481" s="18"/>
      <c r="DM481" s="18"/>
      <c r="DN481" s="18"/>
      <c r="DO481" s="18"/>
      <c r="DP481" s="18"/>
      <c r="DQ481" s="18"/>
      <c r="DR481" s="18"/>
      <c r="DS481" s="18"/>
      <c r="JP481" s="38"/>
      <c r="JQ481" s="38"/>
    </row>
    <row r="482" spans="1:288" s="18" customFormat="1" x14ac:dyDescent="0.2">
      <c r="B482" s="18">
        <v>2017</v>
      </c>
      <c r="C482" s="37">
        <v>42964</v>
      </c>
      <c r="D482" s="37" t="str">
        <f>CONCATENATE(J482,"-",C482)</f>
        <v>1353-42964</v>
      </c>
      <c r="E482" s="142" t="str">
        <f>CONCATENATE(T482,"-",U482,"-",C482)</f>
        <v>PO1-G5-42964</v>
      </c>
      <c r="F482" s="20" t="s">
        <v>106</v>
      </c>
      <c r="G482" s="37" t="s">
        <v>107</v>
      </c>
      <c r="H482" s="18" t="s">
        <v>262</v>
      </c>
      <c r="I482" s="16"/>
      <c r="J482" s="36">
        <v>1353</v>
      </c>
      <c r="K482" s="36">
        <v>2173</v>
      </c>
      <c r="L482" s="18">
        <v>0</v>
      </c>
      <c r="M482" s="21">
        <f>VLOOKUP($K482,'[4]blood tubes 2017'!$D$1:$L$647,8,FALSE)</f>
        <v>0</v>
      </c>
      <c r="N482" s="15">
        <v>0</v>
      </c>
      <c r="O482" s="15" t="s">
        <v>119</v>
      </c>
      <c r="P482" s="18" t="s">
        <v>119</v>
      </c>
      <c r="Q482" s="16"/>
      <c r="R482" s="18" t="s">
        <v>111</v>
      </c>
      <c r="S482" s="18">
        <v>1</v>
      </c>
      <c r="T482" s="18" t="s">
        <v>112</v>
      </c>
      <c r="U482" s="18" t="s">
        <v>200</v>
      </c>
      <c r="V482" s="18" t="s">
        <v>114</v>
      </c>
      <c r="W482" s="16">
        <f>AI482/AG482</f>
        <v>0.80645161290322576</v>
      </c>
      <c r="X482" s="18" t="s">
        <v>115</v>
      </c>
      <c r="Y482" s="18" t="s">
        <v>110</v>
      </c>
      <c r="Z482" s="18">
        <v>3</v>
      </c>
      <c r="AE482" s="18" t="s">
        <v>116</v>
      </c>
      <c r="AF482" s="18" t="s">
        <v>116</v>
      </c>
      <c r="AG482" s="18">
        <f>AH482-AI482</f>
        <v>93</v>
      </c>
      <c r="AH482" s="18">
        <v>168</v>
      </c>
      <c r="AI482" s="18">
        <v>75</v>
      </c>
      <c r="AK482" s="18">
        <v>24.5</v>
      </c>
      <c r="AL482" s="18">
        <v>0</v>
      </c>
      <c r="AM482" s="18">
        <v>0</v>
      </c>
      <c r="AN482" s="18">
        <v>0</v>
      </c>
      <c r="AO482" s="18">
        <v>0</v>
      </c>
      <c r="AP482" s="18">
        <f>SUM(AL482:AN482)</f>
        <v>0</v>
      </c>
      <c r="AQ482" s="18">
        <v>1.6950000000000001</v>
      </c>
      <c r="AR482" s="18">
        <f>AP482-1.472</f>
        <v>-1.472</v>
      </c>
      <c r="AS482" s="18">
        <f>AQ482-1.472</f>
        <v>0.22300000000000009</v>
      </c>
      <c r="AT482" s="16" t="e">
        <f>VLOOKUP(E482,[2]Current!$A$1:$W$435,7,FALSE)</f>
        <v>#N/A</v>
      </c>
      <c r="AU482" s="16">
        <v>0</v>
      </c>
      <c r="BG482" s="25"/>
      <c r="BT482" s="25"/>
      <c r="CD482" s="25"/>
      <c r="DF482" s="16" t="e">
        <f>VLOOKUP(K482,'[3]RNA Seq summary tables'!$V$3:$V$99,1,FALSE)</f>
        <v>#N/A</v>
      </c>
      <c r="DG482" s="16"/>
      <c r="DH482" s="16"/>
      <c r="JO482" s="16"/>
      <c r="JP482" s="38"/>
      <c r="JQ482" s="38"/>
      <c r="JR482" s="16"/>
      <c r="JS482" s="16"/>
      <c r="JT482" s="16"/>
      <c r="JU482" s="16"/>
      <c r="JV482" s="16"/>
      <c r="JW482" s="16"/>
      <c r="JX482" s="16"/>
      <c r="JY482" s="16"/>
      <c r="JZ482" s="16"/>
      <c r="KA482" s="16"/>
      <c r="KB482" s="16"/>
    </row>
    <row r="483" spans="1:288" s="30" customFormat="1" x14ac:dyDescent="0.2">
      <c r="A483" s="18"/>
      <c r="B483" s="18">
        <v>2017</v>
      </c>
      <c r="C483" s="37">
        <v>42975</v>
      </c>
      <c r="D483" s="37" t="str">
        <f>CONCATENATE(J483,"-",C483)</f>
        <v>1353-42975</v>
      </c>
      <c r="E483" s="20" t="str">
        <f>CONCATENATE(T483,"-",U483,"-",C483)</f>
        <v>PO1-G7-42975</v>
      </c>
      <c r="F483" s="37" t="s">
        <v>224</v>
      </c>
      <c r="G483" s="37" t="s">
        <v>107</v>
      </c>
      <c r="H483" s="18"/>
      <c r="I483" s="16">
        <v>0</v>
      </c>
      <c r="J483" s="36">
        <v>1353</v>
      </c>
      <c r="K483" s="36">
        <v>2277</v>
      </c>
      <c r="L483" s="18">
        <v>0</v>
      </c>
      <c r="M483" s="36">
        <f>VLOOKUP($K483,'[4]blood tubes 2017'!$D$1:$L$947,8,FALSE)</f>
        <v>0</v>
      </c>
      <c r="N483" s="42">
        <v>0</v>
      </c>
      <c r="O483" s="15" t="s">
        <v>119</v>
      </c>
      <c r="P483" s="18" t="s">
        <v>119</v>
      </c>
      <c r="Q483" s="18">
        <v>0</v>
      </c>
      <c r="R483" s="18">
        <v>11</v>
      </c>
      <c r="S483" s="18">
        <v>1</v>
      </c>
      <c r="T483" s="18" t="s">
        <v>112</v>
      </c>
      <c r="U483" s="18" t="s">
        <v>156</v>
      </c>
      <c r="V483" s="18" t="s">
        <v>114</v>
      </c>
      <c r="W483" s="16">
        <f>AI483/AG483</f>
        <v>0.78494623655913975</v>
      </c>
      <c r="X483" s="18" t="s">
        <v>115</v>
      </c>
      <c r="Y483" s="18" t="s">
        <v>110</v>
      </c>
      <c r="Z483" s="18">
        <v>3</v>
      </c>
      <c r="AA483" s="18"/>
      <c r="AB483" s="18"/>
      <c r="AC483" s="18"/>
      <c r="AD483" s="18"/>
      <c r="AE483" s="18" t="s">
        <v>116</v>
      </c>
      <c r="AF483" s="18" t="s">
        <v>116</v>
      </c>
      <c r="AG483" s="18">
        <f>AH483-AI483</f>
        <v>93</v>
      </c>
      <c r="AH483" s="18">
        <v>166</v>
      </c>
      <c r="AI483" s="18">
        <v>73</v>
      </c>
      <c r="AJ483" s="18"/>
      <c r="AK483" s="18">
        <v>24</v>
      </c>
      <c r="AL483" s="18">
        <v>0</v>
      </c>
      <c r="AM483" s="18">
        <v>0</v>
      </c>
      <c r="AN483" s="18">
        <v>0</v>
      </c>
      <c r="AO483" s="18">
        <v>0</v>
      </c>
      <c r="AP483" s="18">
        <f>SUM(AL483:AN483)</f>
        <v>0</v>
      </c>
      <c r="AQ483" s="18">
        <v>1.65</v>
      </c>
      <c r="AR483" s="18">
        <f>AP483-1.472</f>
        <v>-1.472</v>
      </c>
      <c r="AS483" s="18">
        <f>AQ483-1.472</f>
        <v>0.17799999999999994</v>
      </c>
      <c r="AT483" s="18" t="str">
        <f>VLOOKUP(K483,'[5]FECs - good data'!$C$1:$P$575,13,FALSE)</f>
        <v>JB</v>
      </c>
      <c r="AU483" s="18"/>
      <c r="AV483" s="18"/>
      <c r="AW483" s="18">
        <f>IF(AX483&gt;0,1,0)</f>
        <v>1</v>
      </c>
      <c r="AX483" s="18">
        <f>SUM(BA483,BM483,CT483)</f>
        <v>5</v>
      </c>
      <c r="AY483" s="18">
        <f>SUM(BB483,BN483,CV483)</f>
        <v>679.77528089887664</v>
      </c>
      <c r="AZ483" s="18">
        <f>IF(BA483&gt;0,1,0)</f>
        <v>1</v>
      </c>
      <c r="BA483" s="18">
        <f>SUM(BC483,BF483,BI483)</f>
        <v>2</v>
      </c>
      <c r="BB483" s="18">
        <f>SUM(BE483,BH483,BK483)</f>
        <v>488.76404494382041</v>
      </c>
      <c r="BC483" s="18">
        <f>IF(BD483&gt;0,1,0)</f>
        <v>1</v>
      </c>
      <c r="BD483" s="18">
        <f>VLOOKUP($K483,'[5]FECs - good data'!$C$1:$Z$574,14,FALSE)</f>
        <v>4</v>
      </c>
      <c r="BE483" s="18">
        <f>BD483/AS483</f>
        <v>22.471910112359559</v>
      </c>
      <c r="BF483" s="18">
        <f>IF(BG483&gt;0,1,0)</f>
        <v>1</v>
      </c>
      <c r="BG483" s="78">
        <f>VLOOKUP($K483,'[5]FECs - good data'!$C$1:$Z$574,15,FALSE)</f>
        <v>83</v>
      </c>
      <c r="BH483" s="18">
        <f>BG483/AS483</f>
        <v>466.29213483146083</v>
      </c>
      <c r="BI483" s="18">
        <f>IF(BJ483&gt;0,1,0)</f>
        <v>0</v>
      </c>
      <c r="BJ483" s="18">
        <f>VLOOKUP($K483,'[5]FECs - good data'!$C$1:$Z$574,16,FALSE)</f>
        <v>0</v>
      </c>
      <c r="BK483" s="18">
        <f>BJ483/AS483</f>
        <v>0</v>
      </c>
      <c r="BL483" s="18">
        <f>IF(BM483&gt;0,1,0)</f>
        <v>1</v>
      </c>
      <c r="BM483" s="18">
        <f>SUM(BR483,BU483,BX483,CA483,CD483,CG483,CJ483,CM483,CP483)</f>
        <v>2</v>
      </c>
      <c r="BN483" s="18">
        <f>SUM(BW483,BZ483,CC483,CF483,CI483,CL483,CO483,CR483,BT483)</f>
        <v>112.35955056179779</v>
      </c>
      <c r="BO483" s="16">
        <f>IF(BP483&gt;0,1,0)</f>
        <v>0</v>
      </c>
      <c r="BP483" s="16">
        <f>SUM(BU483,BX483,CA483,CD483,BR483)</f>
        <v>0</v>
      </c>
      <c r="BQ483" s="16">
        <f>SUM(BZ483,CC483,CF483,BT483,BW483)</f>
        <v>0</v>
      </c>
      <c r="BR483" s="18">
        <f>IF(BS483&gt;0,1,0)</f>
        <v>0</v>
      </c>
      <c r="BS483" s="18">
        <f>VLOOKUP($K483,'[5]FECs - good data'!$C$1:$Z$574,17,FALSE)</f>
        <v>0</v>
      </c>
      <c r="BT483" s="78">
        <f>BS483/AS483</f>
        <v>0</v>
      </c>
      <c r="BU483" s="18">
        <f>IF(BV483&gt;0,1,0)</f>
        <v>0</v>
      </c>
      <c r="BV483" s="18">
        <f>VLOOKUP($K483,'[5]FECs - good data'!$C$1:$Z$574,18,FALSE)</f>
        <v>0</v>
      </c>
      <c r="BW483" s="18">
        <f>BV483/AS483</f>
        <v>0</v>
      </c>
      <c r="BX483" s="18">
        <f>IF(BY483&gt;0,1,0)</f>
        <v>0</v>
      </c>
      <c r="BY483" s="18">
        <f>VLOOKUP($K483,'[5]FECs - good data'!$C$1:$Z$574,19,FALSE)</f>
        <v>0</v>
      </c>
      <c r="BZ483" s="18">
        <f>BY483/AS483</f>
        <v>0</v>
      </c>
      <c r="CA483" s="18">
        <f>IF(CB483&gt;0,1,0)</f>
        <v>0</v>
      </c>
      <c r="CB483" s="18">
        <f>VLOOKUP($K483,'[5]FECs - good data'!$C$1:$Z$574,20,FALSE)</f>
        <v>0</v>
      </c>
      <c r="CC483" s="18">
        <f>CB483/AS483</f>
        <v>0</v>
      </c>
      <c r="CD483" s="78">
        <f>IF(CE483&gt;0,1,0)</f>
        <v>0</v>
      </c>
      <c r="CE483" s="18">
        <f>VLOOKUP($K483,'[5]FECs - good data'!$C$1:$Z$574,21,FALSE)</f>
        <v>0</v>
      </c>
      <c r="CF483" s="18">
        <f>CE483/AS483</f>
        <v>0</v>
      </c>
      <c r="CG483" s="18">
        <f>IF(CH483&gt;0,1,0)</f>
        <v>1</v>
      </c>
      <c r="CH483" s="18">
        <f>VLOOKUP($K483,'[5]FECs - good data'!$C$1:$Z$574,22,FALSE)</f>
        <v>14</v>
      </c>
      <c r="CI483" s="18">
        <f>CH483/AS483</f>
        <v>78.651685393258461</v>
      </c>
      <c r="CJ483" s="18">
        <f>IF(CK483&gt;0,1,0)</f>
        <v>1</v>
      </c>
      <c r="CK483" s="18">
        <f>VLOOKUP($K483,'[5]FECs - good data'!$C$1:$Z$674,24,FALSE)</f>
        <v>6</v>
      </c>
      <c r="CL483" s="18">
        <f>CK483/AS483</f>
        <v>33.707865168539335</v>
      </c>
      <c r="CM483" s="18"/>
      <c r="CN483" s="18"/>
      <c r="CO483" s="18"/>
      <c r="CP483" s="18"/>
      <c r="CQ483" s="18"/>
      <c r="CR483" s="18"/>
      <c r="CS483" s="18">
        <f>IF(CT483&gt;0,1,0)</f>
        <v>1</v>
      </c>
      <c r="CT483" s="18">
        <f>SUM(CW483+CZ483,DC483)</f>
        <v>1</v>
      </c>
      <c r="CU483" s="18"/>
      <c r="CV483" s="18">
        <f>SUM(CY483,DB483,DE483)</f>
        <v>78.651685393258461</v>
      </c>
      <c r="CW483" s="18">
        <f>IF(CX483&gt;0,1,0)</f>
        <v>1</v>
      </c>
      <c r="CX483" s="18">
        <f>VLOOKUP($K483,'[5]FECs - good data'!$C$1:$Z$574,22,FALSE)</f>
        <v>14</v>
      </c>
      <c r="CY483" s="18">
        <f>CX483/AS483</f>
        <v>78.651685393258461</v>
      </c>
      <c r="CZ483" s="18">
        <f>IF(DA483&gt;0,1,0)</f>
        <v>0</v>
      </c>
      <c r="DA483" s="18">
        <f>VLOOKUP($K483,'[5]FECs - good data'!$C$1:$Z$5982,23,FALSE)</f>
        <v>0</v>
      </c>
      <c r="DB483" s="18">
        <f>DA483/AS483</f>
        <v>0</v>
      </c>
      <c r="DC483" s="18">
        <f>IF(DD483&gt;0,1,0)</f>
        <v>0</v>
      </c>
      <c r="DD483" s="18">
        <f>VLOOKUP($K483,'[5]FECs - good data'!$C$1:$Z$574,23,FALSE)</f>
        <v>0</v>
      </c>
      <c r="DE483" s="18">
        <f>DD483/AS483</f>
        <v>0</v>
      </c>
      <c r="DF483" s="16" t="e">
        <f>VLOOKUP(K483,'[3]RNA Seq summary tables'!$V$3:$V$99,1,FALSE)</f>
        <v>#N/A</v>
      </c>
      <c r="DG483" s="16"/>
      <c r="DH483" s="16"/>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18"/>
      <c r="EQ483" s="18"/>
      <c r="ER483" s="18"/>
      <c r="ES483" s="18"/>
      <c r="ET483" s="18"/>
      <c r="EU483" s="18"/>
      <c r="EV483" s="18"/>
      <c r="EW483" s="18"/>
      <c r="EX483" s="18"/>
      <c r="EY483" s="18"/>
      <c r="EZ483" s="18"/>
      <c r="FA483" s="18"/>
      <c r="FB483" s="18"/>
      <c r="FC483" s="18"/>
      <c r="FD483" s="18"/>
      <c r="FE483" s="18"/>
      <c r="FF483" s="18"/>
      <c r="FG483" s="18"/>
      <c r="FH483" s="18"/>
      <c r="FI483" s="18"/>
      <c r="FJ483" s="18"/>
      <c r="FK483" s="18"/>
      <c r="FL483" s="18"/>
      <c r="FM483" s="18"/>
      <c r="FN483" s="18"/>
      <c r="FO483" s="18"/>
      <c r="FP483" s="18"/>
      <c r="FQ483" s="18"/>
      <c r="FR483" s="18"/>
      <c r="FS483" s="18"/>
      <c r="FT483" s="18"/>
      <c r="FU483" s="18"/>
      <c r="FV483" s="18"/>
      <c r="FW483" s="18"/>
      <c r="FX483" s="18"/>
      <c r="FY483" s="18"/>
      <c r="FZ483" s="18"/>
      <c r="GA483" s="18"/>
      <c r="GB483" s="18"/>
      <c r="GC483" s="18"/>
      <c r="GD483" s="18"/>
      <c r="GE483" s="18"/>
      <c r="GF483" s="18"/>
      <c r="GG483" s="18"/>
      <c r="GH483" s="18"/>
      <c r="GI483" s="18"/>
      <c r="GJ483" s="18"/>
      <c r="GK483" s="18"/>
      <c r="GL483" s="18"/>
      <c r="GM483" s="18"/>
      <c r="GN483" s="18"/>
      <c r="GO483" s="18"/>
      <c r="GP483" s="18"/>
      <c r="GQ483" s="18"/>
      <c r="GR483" s="18"/>
      <c r="GS483" s="18"/>
      <c r="GT483" s="18"/>
      <c r="GU483" s="18"/>
      <c r="GV483" s="18"/>
      <c r="GW483" s="18"/>
      <c r="GX483" s="18"/>
      <c r="GY483" s="18"/>
      <c r="GZ483" s="18"/>
      <c r="HA483" s="18"/>
      <c r="HB483" s="18"/>
      <c r="HC483" s="18"/>
      <c r="HD483" s="18"/>
      <c r="HE483" s="18"/>
      <c r="HF483" s="18"/>
      <c r="HG483" s="18"/>
      <c r="HH483" s="18"/>
      <c r="HI483" s="18"/>
      <c r="HJ483" s="18"/>
      <c r="HK483" s="18"/>
      <c r="HL483" s="18"/>
      <c r="HM483" s="18"/>
      <c r="HN483" s="18"/>
      <c r="HO483" s="18"/>
      <c r="HP483" s="18"/>
      <c r="HQ483" s="18"/>
      <c r="HR483" s="18"/>
      <c r="HS483" s="18"/>
      <c r="HT483" s="18"/>
      <c r="HU483" s="18"/>
      <c r="HV483" s="18"/>
      <c r="HW483" s="18"/>
      <c r="HX483" s="18"/>
      <c r="HY483" s="18"/>
      <c r="HZ483" s="18"/>
      <c r="IA483" s="18"/>
      <c r="IB483" s="18"/>
      <c r="IC483" s="18"/>
      <c r="ID483" s="18"/>
      <c r="IE483" s="18"/>
      <c r="IF483" s="18"/>
      <c r="IG483" s="18"/>
      <c r="IH483" s="18"/>
      <c r="II483" s="18"/>
      <c r="IJ483" s="18"/>
      <c r="IK483" s="18"/>
      <c r="IL483" s="18"/>
      <c r="IM483" s="18"/>
      <c r="IN483" s="18"/>
      <c r="IO483" s="18"/>
      <c r="IP483" s="18"/>
      <c r="IQ483" s="18"/>
      <c r="IR483" s="18"/>
      <c r="IS483" s="18"/>
      <c r="IT483" s="18"/>
      <c r="IU483" s="18"/>
      <c r="IV483" s="18"/>
      <c r="IW483" s="18"/>
      <c r="IX483" s="18"/>
      <c r="IY483" s="18"/>
      <c r="IZ483" s="18"/>
      <c r="JA483" s="18"/>
      <c r="JB483" s="18"/>
      <c r="JC483" s="18"/>
      <c r="JD483" s="18"/>
      <c r="JE483" s="18"/>
      <c r="JF483" s="18"/>
      <c r="JG483" s="18"/>
      <c r="JH483" s="18"/>
      <c r="JI483" s="18"/>
      <c r="JJ483" s="18"/>
      <c r="JK483" s="18"/>
      <c r="JL483" s="18"/>
      <c r="JM483" s="18"/>
      <c r="JN483" s="18"/>
      <c r="JO483" s="16"/>
      <c r="JP483" s="16"/>
      <c r="JQ483" s="16"/>
      <c r="JR483" s="16"/>
      <c r="JS483" s="16"/>
      <c r="JT483" s="16"/>
      <c r="JU483" s="16"/>
      <c r="JV483" s="16"/>
      <c r="JW483" s="16"/>
      <c r="JX483" s="16"/>
      <c r="JY483" s="16"/>
      <c r="JZ483" s="16"/>
      <c r="KA483" s="16"/>
      <c r="KB483" s="16"/>
    </row>
    <row r="484" spans="1:288" s="30" customFormat="1" ht="16" x14ac:dyDescent="0.2">
      <c r="A484" s="18"/>
      <c r="B484" s="16">
        <v>2018</v>
      </c>
      <c r="C484" s="124">
        <v>43231</v>
      </c>
      <c r="D484" t="s">
        <v>698</v>
      </c>
      <c r="E484" s="37" t="str">
        <f>CONCATENATE(T484,"-",U484,"-",C484)</f>
        <v>PO1-H4-43231</v>
      </c>
      <c r="F484" s="16" t="s">
        <v>227</v>
      </c>
      <c r="G484" s="126" t="s">
        <v>107</v>
      </c>
      <c r="H484" s="126"/>
      <c r="I484" s="16"/>
      <c r="J484" s="126">
        <v>1353</v>
      </c>
      <c r="K484" s="126">
        <v>2337</v>
      </c>
      <c r="L484" s="16"/>
      <c r="M484" s="21"/>
      <c r="N484" s="21"/>
      <c r="O484" s="126" t="s">
        <v>119</v>
      </c>
      <c r="P484" s="16" t="s">
        <v>119</v>
      </c>
      <c r="Q484" s="18">
        <v>0</v>
      </c>
      <c r="R484" s="16">
        <f>C484-C483</f>
        <v>256</v>
      </c>
      <c r="S484" s="18">
        <v>1</v>
      </c>
      <c r="T484" s="126" t="s">
        <v>112</v>
      </c>
      <c r="U484" s="126" t="s">
        <v>151</v>
      </c>
      <c r="V484" s="126" t="s">
        <v>114</v>
      </c>
      <c r="W484" s="16"/>
      <c r="X484" s="126" t="s">
        <v>115</v>
      </c>
      <c r="Y484" s="126" t="s">
        <v>110</v>
      </c>
      <c r="Z484" s="126">
        <v>3</v>
      </c>
      <c r="AA484" s="126"/>
      <c r="AB484" s="126"/>
      <c r="AC484" s="126"/>
      <c r="AD484" s="126"/>
      <c r="AE484" s="126" t="s">
        <v>116</v>
      </c>
      <c r="AF484" s="16"/>
      <c r="AG484" s="16">
        <f>AH484-AI484</f>
        <v>90</v>
      </c>
      <c r="AH484" s="126">
        <v>165</v>
      </c>
      <c r="AI484" s="126">
        <v>75</v>
      </c>
      <c r="AJ484" s="16"/>
      <c r="AK484" s="125">
        <v>27</v>
      </c>
      <c r="AL484" s="126">
        <v>1</v>
      </c>
      <c r="AM484" s="126">
        <v>0</v>
      </c>
      <c r="AN484" s="126">
        <v>0</v>
      </c>
      <c r="AO484" s="16">
        <f>IF(SUM(AL484:AN484)&gt;0,1,0)</f>
        <v>1</v>
      </c>
      <c r="AP484" s="18">
        <f>SUM(AL484:AN484)</f>
        <v>1</v>
      </c>
      <c r="AQ484" s="16"/>
      <c r="AR484" s="16">
        <v>4.5000000000000151E-2</v>
      </c>
      <c r="AS484" s="16">
        <f>VLOOKUP(E484,'[1]Feces weights'!$D$1:$H$459,5,FALSE)</f>
        <v>4.5000000000000151E-2</v>
      </c>
      <c r="AT484" s="16" t="str">
        <f>VLOOKUP(E484,[9]Current!$A:$T,7,FALSE)</f>
        <v>JB</v>
      </c>
      <c r="AU484" s="18" t="s">
        <v>1290</v>
      </c>
      <c r="AV484" s="16"/>
      <c r="AW484" s="177">
        <f>IF(AY484&gt;0,1,0)</f>
        <v>1</v>
      </c>
      <c r="AX484" s="177">
        <f>SUM(BA484,BM484,CU484)</f>
        <v>1</v>
      </c>
      <c r="AY484" s="177">
        <f>SUM(BB484,BN484,CV484)</f>
        <v>155.55555555555503</v>
      </c>
      <c r="AZ484" s="177">
        <f>IF(BB484&gt;0,1,0)</f>
        <v>1</v>
      </c>
      <c r="BA484" s="177">
        <f>SUM(BC484+BF484+BI484)</f>
        <v>1</v>
      </c>
      <c r="BB484" s="177">
        <f>SUM(BE484,BH484,BK484)</f>
        <v>155.55555555555503</v>
      </c>
      <c r="BC484" s="178">
        <f>IF(BD484&gt;0,1,0)</f>
        <v>0</v>
      </c>
      <c r="BD484" s="177">
        <f>VLOOKUP($E484,[9]Current!$1:$1048576,8,FALSE)</f>
        <v>0</v>
      </c>
      <c r="BE484" s="177">
        <f>BD484/$AS484</f>
        <v>0</v>
      </c>
      <c r="BF484" s="178">
        <f>IF(BG484&gt;0,1,0)</f>
        <v>1</v>
      </c>
      <c r="BG484" s="179">
        <f>VLOOKUP($E484,[9]Current!$1:$1048576,9,FALSE)</f>
        <v>7</v>
      </c>
      <c r="BH484" s="177">
        <f>BG484/$AS484</f>
        <v>155.55555555555503</v>
      </c>
      <c r="BI484" s="178">
        <f>IF(BJ484&gt;0,1,0)</f>
        <v>0</v>
      </c>
      <c r="BJ484" s="177">
        <f>VLOOKUP($E484,[9]Current!$1:$1048576,10,FALSE)</f>
        <v>0</v>
      </c>
      <c r="BK484" s="177">
        <f>BJ484/$AS484</f>
        <v>0</v>
      </c>
      <c r="BL484" s="177">
        <f>IF(BM484&gt;0,1,0)</f>
        <v>0</v>
      </c>
      <c r="BM484" s="177">
        <f>SUM(BR484,BU484,BX484,CA484,CD484)</f>
        <v>0</v>
      </c>
      <c r="BN484" s="181">
        <f>SUM(BT484,BW484,BZ484,CC484,CF484)</f>
        <v>0</v>
      </c>
      <c r="BO484" s="177">
        <f>IF(BP484&gt;0,1,0)</f>
        <v>1</v>
      </c>
      <c r="BP484" s="177">
        <f>BM484+CJ484</f>
        <v>1</v>
      </c>
      <c r="BQ484" s="177">
        <f>BN484+CL484</f>
        <v>22.222222222222147</v>
      </c>
      <c r="BR484" s="178">
        <f>IF(BS484&gt;0,1,0)</f>
        <v>0</v>
      </c>
      <c r="BS484" s="177">
        <f>VLOOKUP($E484,[9]Current!$1:$1048576,12,FALSE)</f>
        <v>0</v>
      </c>
      <c r="BT484" s="179">
        <f>BS484/$AS484</f>
        <v>0</v>
      </c>
      <c r="BU484" s="178">
        <f>IF(BV484&gt;0,1,0)</f>
        <v>0</v>
      </c>
      <c r="BV484" s="177">
        <f>VLOOKUP($E484,[9]Current!$1:$1048576,13,FALSE)</f>
        <v>0</v>
      </c>
      <c r="BW484" s="177">
        <f>BV484/$AS484</f>
        <v>0</v>
      </c>
      <c r="BX484" s="178">
        <f>IF(BY484&gt;0,1,0)</f>
        <v>0</v>
      </c>
      <c r="BY484" s="177">
        <f>VLOOKUP($E484,[9]Current!$1:$1048576,14,FALSE)</f>
        <v>0</v>
      </c>
      <c r="BZ484" s="177">
        <f>BY484/$AS484</f>
        <v>0</v>
      </c>
      <c r="CA484" s="178">
        <f>IF(CB484&gt;0,1,0)</f>
        <v>0</v>
      </c>
      <c r="CB484" s="177">
        <f>VLOOKUP($E484,[9]Current!$1:$1048576,15,FALSE)</f>
        <v>0</v>
      </c>
      <c r="CC484" s="177">
        <f>CB484/$AS484</f>
        <v>0</v>
      </c>
      <c r="CD484" s="180">
        <f>IF(CE484&gt;0,1,0)</f>
        <v>0</v>
      </c>
      <c r="CE484" s="177">
        <f>VLOOKUP($E484,[9]Current!$1:$1048576,16,FALSE)</f>
        <v>0</v>
      </c>
      <c r="CF484" s="177">
        <f>CE484/$AS484</f>
        <v>0</v>
      </c>
      <c r="CG484" s="18"/>
      <c r="CH484" s="18"/>
      <c r="CI484" s="18"/>
      <c r="CJ484" s="178">
        <f>IF(CK484&gt;0,1,0)</f>
        <v>1</v>
      </c>
      <c r="CK484" s="177">
        <f>VLOOKUP($E484,[9]Current!$1:$1048576,18,FALSE)</f>
        <v>1</v>
      </c>
      <c r="CL484" s="177">
        <f>CK484/$AS484</f>
        <v>22.222222222222147</v>
      </c>
      <c r="CM484" s="16"/>
      <c r="CN484" s="16"/>
      <c r="CO484" s="16"/>
      <c r="CP484" s="16"/>
      <c r="CQ484" s="16"/>
      <c r="CR484" s="16"/>
      <c r="CS484" s="178">
        <f>IF(CU484&gt;0,1,0)</f>
        <v>0</v>
      </c>
      <c r="CT484" s="177"/>
      <c r="CU484" s="177">
        <f>VLOOKUP($E484,[9]Current!$1:$1048576,17,FALSE)</f>
        <v>0</v>
      </c>
      <c r="CV484" s="177">
        <f>CU484/$AS484</f>
        <v>0</v>
      </c>
      <c r="CW484" s="16"/>
      <c r="CX484" s="16"/>
      <c r="CY484" s="16"/>
      <c r="CZ484" s="16"/>
      <c r="DA484" s="16"/>
      <c r="DB484" s="16"/>
      <c r="DC484" s="16"/>
      <c r="DD484" s="16"/>
      <c r="DE484" s="16"/>
      <c r="DF484" s="16" t="e">
        <f>VLOOKUP(K484,'[3]RNA Seq summary tables'!$V$3:$V$99,1,FALSE)</f>
        <v>#N/A</v>
      </c>
      <c r="DG484" s="126" t="s">
        <v>116</v>
      </c>
      <c r="DH484" s="16"/>
      <c r="DI484" s="16"/>
      <c r="DJ484" s="16"/>
      <c r="DK484" s="16"/>
      <c r="DL484" s="16"/>
      <c r="DM484" s="16"/>
      <c r="DN484" s="16"/>
      <c r="DO484" s="16"/>
      <c r="DP484" s="16"/>
      <c r="DQ484" s="16"/>
      <c r="DR484" s="16"/>
      <c r="DS484" s="16"/>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18"/>
      <c r="EQ484" s="18"/>
      <c r="ER484" s="18"/>
      <c r="ES484" s="18"/>
      <c r="ET484" s="18"/>
      <c r="EU484" s="18"/>
      <c r="EV484" s="18"/>
      <c r="EW484" s="18"/>
      <c r="EX484" s="18"/>
      <c r="EY484" s="18"/>
      <c r="EZ484" s="18"/>
      <c r="FA484" s="18"/>
      <c r="FB484" s="18"/>
      <c r="FC484" s="18"/>
      <c r="FD484" s="18"/>
      <c r="FE484" s="18"/>
      <c r="FF484" s="18"/>
      <c r="FG484" s="18"/>
      <c r="FH484" s="18"/>
      <c r="FI484" s="18"/>
      <c r="FJ484" s="18"/>
      <c r="FK484" s="18"/>
      <c r="FL484" s="18"/>
      <c r="FM484" s="18"/>
      <c r="FN484" s="18"/>
      <c r="FO484" s="18"/>
      <c r="FP484" s="18"/>
      <c r="FQ484" s="18"/>
      <c r="FR484" s="18"/>
      <c r="FS484" s="18"/>
      <c r="FT484" s="18"/>
      <c r="FU484" s="18"/>
      <c r="FV484" s="18"/>
      <c r="FW484" s="18"/>
      <c r="FX484" s="18"/>
      <c r="FY484" s="18"/>
      <c r="FZ484" s="18"/>
      <c r="GA484" s="18"/>
      <c r="GB484" s="18"/>
      <c r="GC484" s="18"/>
      <c r="GD484" s="18"/>
      <c r="GE484" s="18"/>
      <c r="GF484" s="18"/>
      <c r="GG484" s="18"/>
      <c r="GH484" s="18"/>
      <c r="GI484" s="18"/>
      <c r="GJ484" s="18"/>
      <c r="GK484" s="18"/>
      <c r="GL484" s="18"/>
      <c r="GM484" s="18"/>
      <c r="GN484" s="18"/>
      <c r="GO484" s="18"/>
      <c r="GP484" s="18"/>
      <c r="GQ484" s="18"/>
      <c r="GR484" s="18"/>
      <c r="GS484" s="18"/>
      <c r="GT484" s="18"/>
      <c r="GU484" s="18"/>
      <c r="GV484" s="18"/>
      <c r="GW484" s="18"/>
      <c r="GX484" s="18"/>
      <c r="GY484" s="18"/>
      <c r="GZ484" s="18"/>
      <c r="HA484" s="18"/>
      <c r="HB484" s="18"/>
      <c r="HC484" s="18"/>
      <c r="HD484" s="18"/>
      <c r="HE484" s="18"/>
      <c r="HF484" s="18"/>
      <c r="HG484" s="18"/>
      <c r="HH484" s="18"/>
      <c r="HI484" s="18"/>
      <c r="HJ484" s="18"/>
      <c r="HK484" s="18"/>
      <c r="HL484" s="18"/>
      <c r="HM484" s="18"/>
      <c r="HN484" s="18"/>
      <c r="HO484" s="18"/>
      <c r="HP484" s="18"/>
      <c r="HQ484" s="18"/>
      <c r="HR484" s="18"/>
      <c r="HS484" s="18"/>
      <c r="HT484" s="18"/>
      <c r="HU484" s="18"/>
      <c r="HV484" s="18"/>
      <c r="HW484" s="18"/>
      <c r="HX484" s="18"/>
      <c r="HY484" s="18"/>
      <c r="HZ484" s="18"/>
      <c r="IA484" s="18"/>
      <c r="IB484" s="18"/>
      <c r="IC484" s="18"/>
      <c r="ID484" s="18"/>
      <c r="IE484" s="18"/>
      <c r="IF484" s="18"/>
      <c r="IG484" s="18"/>
      <c r="IH484" s="18"/>
      <c r="II484" s="18"/>
      <c r="IJ484" s="18"/>
      <c r="IK484" s="18"/>
      <c r="IL484" s="18"/>
      <c r="IM484" s="18"/>
      <c r="IN484" s="18"/>
      <c r="IO484" s="18"/>
      <c r="IP484" s="18"/>
      <c r="IQ484" s="18"/>
      <c r="IR484" s="18"/>
      <c r="IS484" s="18"/>
      <c r="IT484" s="18"/>
      <c r="IU484" s="18"/>
      <c r="IV484" s="18"/>
      <c r="IW484" s="18"/>
      <c r="IX484" s="18"/>
      <c r="IY484" s="18"/>
      <c r="IZ484" s="18"/>
      <c r="JA484" s="18"/>
      <c r="JB484" s="18"/>
      <c r="JC484" s="18"/>
      <c r="JD484" s="18"/>
      <c r="JE484" s="18"/>
      <c r="JF484" s="18"/>
      <c r="JG484" s="18"/>
      <c r="JH484" s="18"/>
      <c r="JI484" s="18"/>
      <c r="JJ484" s="18"/>
      <c r="JK484" s="18"/>
      <c r="JL484" s="18"/>
      <c r="JM484" s="18"/>
      <c r="JN484" s="18"/>
      <c r="JO484" s="16"/>
      <c r="JP484" s="16"/>
      <c r="JQ484" s="16"/>
      <c r="JR484" s="16"/>
      <c r="JS484" s="16"/>
      <c r="JT484" s="16"/>
      <c r="JU484" s="16"/>
      <c r="JV484" s="16"/>
      <c r="JW484" s="16"/>
      <c r="JX484" s="16"/>
      <c r="JY484" s="16"/>
      <c r="JZ484" s="16"/>
      <c r="KA484" s="16"/>
      <c r="KB484" s="16"/>
    </row>
    <row r="485" spans="1:288" s="30" customFormat="1" ht="16" x14ac:dyDescent="0.2">
      <c r="A485" s="18"/>
      <c r="B485" s="16">
        <v>2018</v>
      </c>
      <c r="C485" s="124">
        <v>43268</v>
      </c>
      <c r="D485" t="s">
        <v>817</v>
      </c>
      <c r="E485" s="37" t="str">
        <f>CONCATENATE(T485,"-",U485,"-",C485)</f>
        <v>PO1-H7-43268</v>
      </c>
      <c r="F485" s="16" t="s">
        <v>227</v>
      </c>
      <c r="G485" s="126" t="s">
        <v>107</v>
      </c>
      <c r="H485" s="126" t="s">
        <v>1105</v>
      </c>
      <c r="I485" s="16"/>
      <c r="J485" s="126">
        <v>1353</v>
      </c>
      <c r="K485" s="126"/>
      <c r="L485" s="16"/>
      <c r="M485" s="21"/>
      <c r="N485" s="21"/>
      <c r="O485" s="126" t="s">
        <v>119</v>
      </c>
      <c r="P485" s="16" t="s">
        <v>119</v>
      </c>
      <c r="Q485" s="18">
        <v>0</v>
      </c>
      <c r="R485" s="16">
        <f>C485-C484</f>
        <v>37</v>
      </c>
      <c r="S485" s="18">
        <v>1</v>
      </c>
      <c r="T485" s="126" t="s">
        <v>112</v>
      </c>
      <c r="U485" s="126" t="s">
        <v>202</v>
      </c>
      <c r="V485" s="126" t="s">
        <v>114</v>
      </c>
      <c r="W485" s="16"/>
      <c r="X485" s="126" t="s">
        <v>115</v>
      </c>
      <c r="Y485" s="126" t="s">
        <v>110</v>
      </c>
      <c r="Z485" s="126">
        <v>3</v>
      </c>
      <c r="AA485" s="126"/>
      <c r="AB485" s="126"/>
      <c r="AC485" s="126"/>
      <c r="AD485" s="126"/>
      <c r="AE485" s="126" t="s">
        <v>116</v>
      </c>
      <c r="AF485" s="16"/>
      <c r="AG485" s="16">
        <f>AH485-AI485</f>
        <v>97</v>
      </c>
      <c r="AH485" s="126">
        <v>173</v>
      </c>
      <c r="AI485" s="126">
        <v>76</v>
      </c>
      <c r="AJ485" s="16"/>
      <c r="AK485" s="126">
        <v>26</v>
      </c>
      <c r="AL485" s="126">
        <v>0</v>
      </c>
      <c r="AM485" s="126">
        <v>0</v>
      </c>
      <c r="AN485" s="126">
        <v>0</v>
      </c>
      <c r="AO485" s="16">
        <f>IF(SUM(AL485:AN485)&gt;0,1,0)</f>
        <v>0</v>
      </c>
      <c r="AP485" s="18">
        <f>SUM(AL485:AN485)</f>
        <v>0</v>
      </c>
      <c r="AQ485" s="16"/>
      <c r="AR485" s="16">
        <v>0.13200000000000012</v>
      </c>
      <c r="AS485" s="16">
        <f>VLOOKUP(E485,'[1]Feces weights'!$D$1:$H$459,5,FALSE)</f>
        <v>0.13200000000000012</v>
      </c>
      <c r="AT485" s="16" t="str">
        <f>VLOOKUP(E485,[2]Current!$A$1:$W$435,7,FALSE)</f>
        <v>TE</v>
      </c>
      <c r="AU485" s="16" t="s">
        <v>1288</v>
      </c>
      <c r="AV485" s="23">
        <v>1</v>
      </c>
      <c r="AW485" s="128">
        <f>IF(AX485&gt;0,1,0)</f>
        <v>0</v>
      </c>
      <c r="AX485" s="128">
        <f>SUM(BA485,BM485,CU485)</f>
        <v>0</v>
      </c>
      <c r="AY485" s="128">
        <f>SUM(BB485,BN485,CV485)</f>
        <v>0</v>
      </c>
      <c r="AZ485" s="128">
        <f>IF(BA485&gt;0,1,0)</f>
        <v>0</v>
      </c>
      <c r="BA485" s="128">
        <f>SUM(BC485+BF485+BI485)</f>
        <v>0</v>
      </c>
      <c r="BB485" s="128">
        <f>SUM(BE485,BH485,BK485)</f>
        <v>0</v>
      </c>
      <c r="BC485" s="130">
        <f>IF(BD485&gt;0,1,0)</f>
        <v>0</v>
      </c>
      <c r="BD485" s="128">
        <f>VLOOKUP($E485,[2]Current!$A:$AC,26,FALSE)</f>
        <v>0</v>
      </c>
      <c r="BE485" s="128">
        <f>BD485/$AS485</f>
        <v>0</v>
      </c>
      <c r="BF485" s="130">
        <f>IF(BG485&gt;0,1,0)</f>
        <v>0</v>
      </c>
      <c r="BG485" s="137">
        <f>VLOOKUP($E485,[2]Current!$A:$AC,27,FALSE)</f>
        <v>0</v>
      </c>
      <c r="BH485" s="128">
        <f>BG485/$AS485</f>
        <v>0</v>
      </c>
      <c r="BI485" s="130">
        <f>IF(BJ485&gt;0,1,0)</f>
        <v>0</v>
      </c>
      <c r="BJ485" s="128">
        <f>VLOOKUP($E485,[2]Current!$A:$AC,28,FALSE)</f>
        <v>0</v>
      </c>
      <c r="BK485" s="128">
        <f>BJ485/$AS485</f>
        <v>0</v>
      </c>
      <c r="BL485" s="128">
        <f>IF(BM485&gt;0,1,0)</f>
        <v>0</v>
      </c>
      <c r="BM485" s="128">
        <f>SUM(BR485,BU485,BX485,CA485,CD485)</f>
        <v>0</v>
      </c>
      <c r="BN485" s="131">
        <f>SUM(BT485,BW485,BZ485,CC485,CF485)</f>
        <v>0</v>
      </c>
      <c r="BO485" s="128">
        <f>IF(BP485&gt;0,1,0)</f>
        <v>1</v>
      </c>
      <c r="BP485" s="128">
        <f>BM485+CJ485</f>
        <v>1</v>
      </c>
      <c r="BQ485" s="128">
        <f>BN485+CL485</f>
        <v>7.575757575757569</v>
      </c>
      <c r="BR485" s="130">
        <f>IF(BS485&gt;0,1,0)</f>
        <v>0</v>
      </c>
      <c r="BS485" s="128">
        <f>VLOOKUP($E485,[2]Current!$A:$AC,12,FALSE)</f>
        <v>0</v>
      </c>
      <c r="BT485" s="137">
        <f>BS485/$AS485</f>
        <v>0</v>
      </c>
      <c r="BU485" s="130">
        <f>IF(BV485&gt;0,1,0)</f>
        <v>0</v>
      </c>
      <c r="BV485" s="128">
        <f>VLOOKUP($E485,[2]Current!$A:$AC,13,FALSE)</f>
        <v>0</v>
      </c>
      <c r="BW485" s="128">
        <f>BV485/$AS485</f>
        <v>0</v>
      </c>
      <c r="BX485" s="130">
        <f>IF(BY485&gt;0,1,0)</f>
        <v>0</v>
      </c>
      <c r="BY485" s="128">
        <f>VLOOKUP($E485,[2]Current!$A:$AC,14,FALSE)</f>
        <v>0</v>
      </c>
      <c r="BZ485" s="128">
        <f>BY485/$AS485</f>
        <v>0</v>
      </c>
      <c r="CA485" s="130">
        <f>IF(CB485&gt;0,1,0)</f>
        <v>0</v>
      </c>
      <c r="CB485" s="128">
        <f>VLOOKUP($E485,[2]Current!$A:$AC,15,FALSE)</f>
        <v>0</v>
      </c>
      <c r="CC485" s="128">
        <f>CB485/$AS485</f>
        <v>0</v>
      </c>
      <c r="CD485" s="174">
        <f>IF(CE485&gt;0,1,0)</f>
        <v>0</v>
      </c>
      <c r="CE485" s="128">
        <f>VLOOKUP($E485,[2]Current!$A:$AC,16,FALSE)</f>
        <v>0</v>
      </c>
      <c r="CF485" s="128">
        <f>CE485/$AS485</f>
        <v>0</v>
      </c>
      <c r="CG485" s="18"/>
      <c r="CH485" s="18"/>
      <c r="CI485" s="18"/>
      <c r="CJ485" s="130">
        <f>IF(CK485&gt;0,1,0)</f>
        <v>1</v>
      </c>
      <c r="CK485" s="128">
        <f>VLOOKUP($E485,[2]Current!$A:$AC,18,FALSE)</f>
        <v>1</v>
      </c>
      <c r="CL485" s="128">
        <f>CK485/$AS485</f>
        <v>7.575757575757569</v>
      </c>
      <c r="CM485" s="16"/>
      <c r="CN485" s="16"/>
      <c r="CO485" s="16"/>
      <c r="CP485" s="16"/>
      <c r="CQ485" s="16"/>
      <c r="CR485" s="16"/>
      <c r="CS485" s="130">
        <f>IF(CU485&gt;0,1,0)</f>
        <v>0</v>
      </c>
      <c r="CT485" s="16"/>
      <c r="CU485" s="128">
        <f>VLOOKUP($E485,[2]Current!$A:$AC,17,FALSE)</f>
        <v>0</v>
      </c>
      <c r="CV485" s="128">
        <f>CU485/$AS485</f>
        <v>0</v>
      </c>
      <c r="CW485" s="18"/>
      <c r="CX485" s="18"/>
      <c r="CY485" s="18"/>
      <c r="CZ485" s="16"/>
      <c r="DA485" s="16"/>
      <c r="DB485" s="16"/>
      <c r="DC485" s="16"/>
      <c r="DD485" s="16"/>
      <c r="DE485" s="16"/>
      <c r="DF485" s="16" t="e">
        <f>VLOOKUP(K485,'[3]RNA Seq summary tables'!$V$3:$V$99,1,FALSE)</f>
        <v>#N/A</v>
      </c>
      <c r="DG485" s="126" t="s">
        <v>116</v>
      </c>
      <c r="DH485" s="16"/>
      <c r="DI485" s="16"/>
      <c r="DJ485" s="16"/>
      <c r="DK485" s="16"/>
      <c r="DL485" s="16"/>
      <c r="DM485" s="16"/>
      <c r="DN485" s="16"/>
      <c r="DO485" s="16"/>
      <c r="DP485" s="16"/>
      <c r="DQ485" s="16"/>
      <c r="DR485" s="16"/>
      <c r="DS485" s="16"/>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18"/>
      <c r="EQ485" s="18"/>
      <c r="ER485" s="18"/>
      <c r="ES485" s="18"/>
      <c r="ET485" s="18"/>
      <c r="EU485" s="18"/>
      <c r="EV485" s="18"/>
      <c r="EW485" s="18"/>
      <c r="EX485" s="18"/>
      <c r="EY485" s="18"/>
      <c r="EZ485" s="18"/>
      <c r="FA485" s="18"/>
      <c r="FB485" s="18"/>
      <c r="FC485" s="18"/>
      <c r="FD485" s="18"/>
      <c r="FE485" s="18"/>
      <c r="FF485" s="18"/>
      <c r="FG485" s="18"/>
      <c r="FH485" s="18"/>
      <c r="FI485" s="18"/>
      <c r="FJ485" s="18"/>
      <c r="FK485" s="18"/>
      <c r="FL485" s="18"/>
      <c r="FM485" s="18"/>
      <c r="FN485" s="18"/>
      <c r="FO485" s="18"/>
      <c r="FP485" s="18"/>
      <c r="FQ485" s="18"/>
      <c r="FR485" s="18"/>
      <c r="FS485" s="18"/>
      <c r="FT485" s="18"/>
      <c r="FU485" s="18"/>
      <c r="FV485" s="18"/>
      <c r="FW485" s="18"/>
      <c r="FX485" s="18"/>
      <c r="FY485" s="18"/>
      <c r="FZ485" s="18"/>
      <c r="GA485" s="18"/>
      <c r="GB485" s="18"/>
      <c r="GC485" s="18"/>
      <c r="GD485" s="18"/>
      <c r="GE485" s="18"/>
      <c r="GF485" s="18"/>
      <c r="GG485" s="18"/>
      <c r="GH485" s="18"/>
      <c r="GI485" s="18"/>
      <c r="GJ485" s="18"/>
      <c r="GK485" s="18"/>
      <c r="GL485" s="18"/>
      <c r="GM485" s="18"/>
      <c r="GN485" s="18"/>
      <c r="GO485" s="18"/>
      <c r="GP485" s="18"/>
      <c r="GQ485" s="18"/>
      <c r="GR485" s="18"/>
      <c r="GS485" s="18"/>
      <c r="GT485" s="18"/>
      <c r="GU485" s="18"/>
      <c r="GV485" s="18"/>
      <c r="GW485" s="18"/>
      <c r="GX485" s="18"/>
      <c r="GY485" s="18"/>
      <c r="GZ485" s="18"/>
      <c r="HA485" s="18"/>
      <c r="HB485" s="18"/>
      <c r="HC485" s="18"/>
      <c r="HD485" s="18"/>
      <c r="HE485" s="18"/>
      <c r="HF485" s="18"/>
      <c r="HG485" s="18"/>
      <c r="HH485" s="18"/>
      <c r="HI485" s="18"/>
      <c r="HJ485" s="18"/>
      <c r="HK485" s="18"/>
      <c r="HL485" s="18"/>
      <c r="HM485" s="18"/>
      <c r="HN485" s="18"/>
      <c r="HO485" s="18"/>
      <c r="HP485" s="18"/>
      <c r="HQ485" s="18"/>
      <c r="HR485" s="18"/>
      <c r="HS485" s="18"/>
      <c r="HT485" s="18"/>
      <c r="HU485" s="18"/>
      <c r="HV485" s="18"/>
      <c r="HW485" s="18"/>
      <c r="HX485" s="18"/>
      <c r="HY485" s="18"/>
      <c r="HZ485" s="18"/>
      <c r="IA485" s="18"/>
      <c r="IB485" s="18"/>
      <c r="IC485" s="18"/>
      <c r="ID485" s="18"/>
      <c r="IE485" s="18"/>
      <c r="IF485" s="18"/>
      <c r="IG485" s="18"/>
      <c r="IH485" s="18"/>
      <c r="II485" s="18"/>
      <c r="IJ485" s="18"/>
      <c r="IK485" s="18"/>
      <c r="IL485" s="18"/>
      <c r="IM485" s="18"/>
      <c r="IN485" s="18"/>
      <c r="IO485" s="18"/>
      <c r="IP485" s="18"/>
      <c r="IQ485" s="18"/>
      <c r="IR485" s="18"/>
      <c r="IS485" s="18"/>
      <c r="IT485" s="18"/>
      <c r="IU485" s="18"/>
      <c r="IV485" s="18"/>
      <c r="IW485" s="18"/>
      <c r="IX485" s="18"/>
      <c r="IY485" s="18"/>
      <c r="IZ485" s="18"/>
      <c r="JA485" s="18"/>
      <c r="JB485" s="18"/>
      <c r="JC485" s="18"/>
      <c r="JD485" s="18"/>
      <c r="JE485" s="18"/>
      <c r="JF485" s="18"/>
      <c r="JG485" s="18"/>
      <c r="JH485" s="18"/>
      <c r="JI485" s="18"/>
      <c r="JJ485" s="18"/>
      <c r="JK485" s="18"/>
      <c r="JL485" s="18"/>
      <c r="JM485" s="18"/>
      <c r="JN485" s="18"/>
      <c r="JO485" s="16"/>
      <c r="JP485" s="16"/>
      <c r="JQ485" s="16"/>
      <c r="JR485" s="16"/>
      <c r="JS485" s="16"/>
      <c r="JT485" s="16"/>
      <c r="JU485" s="16"/>
      <c r="JV485" s="16"/>
      <c r="JW485" s="16"/>
      <c r="JX485" s="16"/>
      <c r="JY485" s="16"/>
      <c r="JZ485" s="16"/>
      <c r="KA485" s="16"/>
      <c r="KB485" s="16"/>
    </row>
    <row r="486" spans="1:288" s="30" customFormat="1" x14ac:dyDescent="0.2">
      <c r="A486" s="18"/>
      <c r="B486" s="18">
        <v>2017</v>
      </c>
      <c r="C486" s="65">
        <v>42964</v>
      </c>
      <c r="D486" s="37" t="str">
        <f>CONCATENATE(J486,"-",C486)</f>
        <v>1355-42964</v>
      </c>
      <c r="E486" s="142" t="str">
        <f>CONCATENATE(T486,"-",U486,"-",C486)</f>
        <v>PO2-A5-42964</v>
      </c>
      <c r="F486" s="20" t="s">
        <v>106</v>
      </c>
      <c r="G486" s="65" t="s">
        <v>107</v>
      </c>
      <c r="H486" s="25"/>
      <c r="I486" s="16"/>
      <c r="J486" s="42">
        <v>1355</v>
      </c>
      <c r="K486" s="42">
        <v>2176</v>
      </c>
      <c r="L486" s="18">
        <v>0</v>
      </c>
      <c r="M486" s="21">
        <f>VLOOKUP($K486,'[4]blood tubes 2017'!$D$1:$L$647,8,FALSE)</f>
        <v>0</v>
      </c>
      <c r="N486" s="15">
        <v>0</v>
      </c>
      <c r="O486" s="15" t="s">
        <v>119</v>
      </c>
      <c r="P486" s="25" t="s">
        <v>119</v>
      </c>
      <c r="Q486" s="16">
        <v>0</v>
      </c>
      <c r="R486" s="25" t="s">
        <v>111</v>
      </c>
      <c r="S486" s="25"/>
      <c r="T486" s="25" t="s">
        <v>127</v>
      </c>
      <c r="U486" s="25" t="s">
        <v>167</v>
      </c>
      <c r="V486" s="25" t="s">
        <v>114</v>
      </c>
      <c r="W486" s="16">
        <f>AI486/AG486</f>
        <v>0.83750000000000002</v>
      </c>
      <c r="X486" s="25" t="s">
        <v>115</v>
      </c>
      <c r="Y486" s="25" t="s">
        <v>122</v>
      </c>
      <c r="Z486" s="25">
        <v>2.6</v>
      </c>
      <c r="AA486" s="25"/>
      <c r="AB486" s="25"/>
      <c r="AC486" s="25"/>
      <c r="AD486" s="25"/>
      <c r="AE486" s="25" t="s">
        <v>116</v>
      </c>
      <c r="AF486" s="25" t="s">
        <v>116</v>
      </c>
      <c r="AG486" s="25">
        <f>AH486-AI486</f>
        <v>80</v>
      </c>
      <c r="AH486" s="25">
        <v>147</v>
      </c>
      <c r="AI486" s="25">
        <v>67</v>
      </c>
      <c r="AJ486" s="25"/>
      <c r="AK486" s="25">
        <v>15.5</v>
      </c>
      <c r="AL486" s="25">
        <v>1</v>
      </c>
      <c r="AM486" s="25">
        <v>0</v>
      </c>
      <c r="AN486" s="25">
        <v>0</v>
      </c>
      <c r="AO486" s="25">
        <v>1</v>
      </c>
      <c r="AP486" s="25">
        <f>SUM(AL486:AN486)</f>
        <v>1</v>
      </c>
      <c r="AQ486" s="25">
        <v>1.6659999999999999</v>
      </c>
      <c r="AR486" s="25">
        <f>AP486-1.472</f>
        <v>-0.47199999999999998</v>
      </c>
      <c r="AS486" s="25">
        <f>AQ486-1.472</f>
        <v>0.19399999999999995</v>
      </c>
      <c r="AT486" s="16" t="e">
        <f>VLOOKUP(E486,[2]Current!$A$1:$W$435,7,FALSE)</f>
        <v>#N/A</v>
      </c>
      <c r="AU486" s="16">
        <v>0</v>
      </c>
      <c r="AV486" s="25"/>
      <c r="AW486" s="25"/>
      <c r="AX486" s="25"/>
      <c r="AY486" s="25"/>
      <c r="AZ486" s="18"/>
      <c r="BA486" s="25"/>
      <c r="BB486" s="25"/>
      <c r="BC486" s="18"/>
      <c r="BD486" s="25"/>
      <c r="BE486" s="25"/>
      <c r="BF486" s="18"/>
      <c r="BG486" s="78"/>
      <c r="BH486" s="25"/>
      <c r="BI486" s="18"/>
      <c r="BJ486" s="25"/>
      <c r="BK486" s="25"/>
      <c r="BL486" s="18"/>
      <c r="BM486" s="18"/>
      <c r="BN486" s="18"/>
      <c r="BO486" s="18"/>
      <c r="BP486" s="18"/>
      <c r="BQ486" s="18"/>
      <c r="BR486" s="18"/>
      <c r="BS486" s="25"/>
      <c r="BT486" s="78"/>
      <c r="BU486" s="18"/>
      <c r="BV486" s="25"/>
      <c r="BW486" s="18"/>
      <c r="BX486" s="18"/>
      <c r="BY486" s="25"/>
      <c r="BZ486" s="18"/>
      <c r="CA486" s="18"/>
      <c r="CB486" s="25"/>
      <c r="CC486" s="25"/>
      <c r="CD486" s="78"/>
      <c r="CE486" s="25"/>
      <c r="CF486" s="25"/>
      <c r="CG486" s="25"/>
      <c r="CH486" s="25"/>
      <c r="CI486" s="25"/>
      <c r="CJ486" s="25"/>
      <c r="CK486" s="25"/>
      <c r="CL486" s="25"/>
      <c r="CM486" s="25"/>
      <c r="CN486" s="25"/>
      <c r="CO486" s="25"/>
      <c r="CP486" s="25"/>
      <c r="CQ486" s="25"/>
      <c r="CR486" s="25"/>
      <c r="CS486" s="18"/>
      <c r="CT486" s="18"/>
      <c r="CU486" s="18"/>
      <c r="CV486" s="25"/>
      <c r="CW486" s="18"/>
      <c r="CX486" s="25"/>
      <c r="CY486" s="25"/>
      <c r="CZ486" s="25"/>
      <c r="DA486" s="25"/>
      <c r="DB486" s="25"/>
      <c r="DC486" s="25"/>
      <c r="DD486" s="25"/>
      <c r="DE486" s="25"/>
      <c r="DF486" s="16" t="e">
        <f>VLOOKUP(K486,'[3]RNA Seq summary tables'!$V$3:$V$99,1,FALSE)</f>
        <v>#N/A</v>
      </c>
      <c r="DG486" s="16"/>
      <c r="DH486" s="16"/>
      <c r="DI486" s="25"/>
      <c r="DJ486" s="25"/>
      <c r="DK486" s="25"/>
      <c r="DL486" s="25"/>
      <c r="DM486" s="25"/>
      <c r="DN486" s="25"/>
      <c r="DO486" s="25"/>
      <c r="DP486" s="25"/>
      <c r="DQ486" s="25"/>
      <c r="DR486" s="25"/>
      <c r="DS486" s="25"/>
      <c r="DT486" s="25"/>
      <c r="DU486" s="25"/>
      <c r="DV486" s="25"/>
      <c r="DW486" s="25"/>
      <c r="DX486" s="25"/>
      <c r="DY486" s="25"/>
      <c r="DZ486" s="25"/>
      <c r="EA486" s="25"/>
      <c r="EB486" s="25"/>
      <c r="EC486" s="25"/>
      <c r="ED486" s="25"/>
      <c r="EE486" s="25"/>
      <c r="EF486" s="25"/>
      <c r="EG486" s="25"/>
      <c r="EH486" s="25"/>
      <c r="EI486" s="25"/>
      <c r="EJ486" s="25"/>
      <c r="EK486" s="25"/>
      <c r="EL486" s="25"/>
      <c r="EM486" s="25"/>
      <c r="EN486" s="25"/>
      <c r="EO486" s="25"/>
      <c r="EP486" s="25"/>
      <c r="EQ486" s="25"/>
      <c r="ER486" s="25"/>
      <c r="ES486" s="25"/>
      <c r="ET486" s="25"/>
      <c r="EU486" s="25"/>
      <c r="EV486" s="25"/>
      <c r="EW486" s="25"/>
      <c r="EX486" s="25"/>
      <c r="EY486" s="25"/>
      <c r="EZ486" s="25"/>
      <c r="FA486" s="25"/>
      <c r="FB486" s="25"/>
      <c r="FC486" s="25"/>
      <c r="FD486" s="25"/>
      <c r="FE486" s="25"/>
      <c r="FF486" s="25"/>
      <c r="FG486" s="25"/>
      <c r="FH486" s="25"/>
      <c r="FI486" s="25"/>
      <c r="FJ486" s="25"/>
      <c r="FK486" s="25"/>
      <c r="FL486" s="25"/>
      <c r="FM486" s="25"/>
      <c r="FN486" s="25"/>
      <c r="FO486" s="25"/>
      <c r="FP486" s="25"/>
      <c r="FQ486" s="25"/>
      <c r="FR486" s="25"/>
      <c r="FS486" s="25"/>
      <c r="FT486" s="25"/>
      <c r="FU486" s="25"/>
      <c r="FV486" s="25"/>
      <c r="FW486" s="25"/>
      <c r="FX486" s="25"/>
      <c r="FY486" s="25"/>
      <c r="FZ486" s="25"/>
      <c r="GA486" s="25"/>
      <c r="GB486" s="25"/>
      <c r="GC486" s="25"/>
      <c r="GD486" s="25"/>
      <c r="GE486" s="25"/>
      <c r="GF486" s="25"/>
      <c r="GG486" s="25"/>
      <c r="GH486" s="25"/>
      <c r="GI486" s="25"/>
      <c r="GJ486" s="25"/>
      <c r="GK486" s="25"/>
      <c r="GL486" s="25"/>
      <c r="GM486" s="25"/>
      <c r="GN486" s="25"/>
      <c r="GO486" s="25"/>
      <c r="GP486" s="25"/>
      <c r="GQ486" s="25"/>
      <c r="GR486" s="25"/>
      <c r="GS486" s="25"/>
      <c r="GT486" s="25"/>
      <c r="GU486" s="25"/>
      <c r="GV486" s="25"/>
      <c r="GW486" s="25"/>
      <c r="GX486" s="25"/>
      <c r="GY486" s="25"/>
      <c r="GZ486" s="25"/>
      <c r="HA486" s="25"/>
      <c r="HB486" s="25"/>
      <c r="HC486" s="25"/>
      <c r="HD486" s="25"/>
      <c r="HE486" s="25"/>
      <c r="HF486" s="25"/>
      <c r="HG486" s="25"/>
      <c r="HH486" s="25"/>
      <c r="HI486" s="25"/>
      <c r="HJ486" s="25"/>
      <c r="HK486" s="25"/>
      <c r="HL486" s="25"/>
      <c r="HM486" s="25"/>
      <c r="HN486" s="25"/>
      <c r="HO486" s="25"/>
      <c r="HP486" s="25"/>
      <c r="HQ486" s="25"/>
      <c r="HR486" s="25"/>
      <c r="HS486" s="25"/>
      <c r="HT486" s="25"/>
      <c r="HU486" s="25"/>
      <c r="HV486" s="25"/>
      <c r="HW486" s="25"/>
      <c r="HX486" s="25"/>
      <c r="HY486" s="25"/>
      <c r="HZ486" s="25"/>
      <c r="IA486" s="25"/>
      <c r="IB486" s="25"/>
      <c r="IC486" s="25"/>
      <c r="ID486" s="25"/>
      <c r="IE486" s="25"/>
      <c r="IF486" s="25"/>
      <c r="IG486" s="25"/>
      <c r="IH486" s="25"/>
      <c r="II486" s="25"/>
      <c r="IJ486" s="25"/>
      <c r="IK486" s="25"/>
      <c r="IL486" s="25"/>
      <c r="IM486" s="25"/>
      <c r="IN486" s="25"/>
      <c r="IO486" s="25"/>
      <c r="IP486" s="25"/>
      <c r="IQ486" s="25"/>
      <c r="IR486" s="25"/>
      <c r="IS486" s="25"/>
      <c r="IT486" s="25"/>
      <c r="IU486" s="25"/>
      <c r="IV486" s="25"/>
      <c r="IW486" s="25"/>
      <c r="IX486" s="25"/>
      <c r="IY486" s="25"/>
      <c r="IZ486" s="25"/>
      <c r="JA486" s="25"/>
      <c r="JB486" s="25"/>
      <c r="JC486" s="25"/>
      <c r="JD486" s="25"/>
      <c r="JE486" s="25"/>
      <c r="JF486" s="25"/>
      <c r="JG486" s="25"/>
      <c r="JH486" s="25"/>
      <c r="JI486" s="25"/>
      <c r="JJ486" s="25"/>
      <c r="JK486" s="25"/>
      <c r="JL486" s="25"/>
      <c r="JM486" s="25"/>
      <c r="JN486" s="25"/>
      <c r="JO486" s="16"/>
      <c r="JP486" s="16"/>
      <c r="JQ486" s="16"/>
      <c r="JR486" s="18"/>
      <c r="JS486" s="18"/>
      <c r="JT486" s="18"/>
      <c r="JU486" s="18"/>
      <c r="JV486" s="18"/>
      <c r="JW486" s="18"/>
      <c r="JX486" s="18"/>
      <c r="JY486" s="18"/>
      <c r="JZ486" s="18"/>
      <c r="KA486" s="18"/>
      <c r="KB486" s="18"/>
    </row>
    <row r="487" spans="1:288" s="30" customFormat="1" x14ac:dyDescent="0.2">
      <c r="A487" s="18"/>
      <c r="B487" s="18">
        <v>2017</v>
      </c>
      <c r="C487" s="37">
        <v>42965</v>
      </c>
      <c r="D487" s="37" t="str">
        <f>CONCATENATE(J487,"-",C487)</f>
        <v>1357-42965</v>
      </c>
      <c r="E487" s="20" t="str">
        <f>CONCATENATE(T487,"-",U487,"-",C487)</f>
        <v>PO2-H2-42965</v>
      </c>
      <c r="F487" s="20" t="s">
        <v>106</v>
      </c>
      <c r="G487" s="37" t="s">
        <v>107</v>
      </c>
      <c r="H487" s="18"/>
      <c r="I487" s="16">
        <v>0</v>
      </c>
      <c r="J487" s="36">
        <v>1357</v>
      </c>
      <c r="K487" s="36">
        <v>2184</v>
      </c>
      <c r="L487" s="18">
        <v>0</v>
      </c>
      <c r="M487" s="21">
        <f>VLOOKUP($K487,'[4]blood tubes 2017'!$D$1:$L$647,8,FALSE)</f>
        <v>0</v>
      </c>
      <c r="N487" s="15">
        <v>0</v>
      </c>
      <c r="O487" s="15" t="s">
        <v>119</v>
      </c>
      <c r="P487" s="18" t="s">
        <v>119</v>
      </c>
      <c r="Q487" s="16">
        <v>0</v>
      </c>
      <c r="R487" s="18" t="s">
        <v>111</v>
      </c>
      <c r="S487" s="18"/>
      <c r="T487" s="18" t="s">
        <v>127</v>
      </c>
      <c r="U487" s="18" t="s">
        <v>190</v>
      </c>
      <c r="V487" s="18" t="s">
        <v>114</v>
      </c>
      <c r="W487" s="16">
        <f>AI487/AG487</f>
        <v>0.90909090909090906</v>
      </c>
      <c r="X487" s="18" t="s">
        <v>115</v>
      </c>
      <c r="Y487" s="18" t="s">
        <v>110</v>
      </c>
      <c r="Z487" s="18">
        <v>3</v>
      </c>
      <c r="AA487" s="18"/>
      <c r="AB487" s="18"/>
      <c r="AC487" s="18"/>
      <c r="AD487" s="18"/>
      <c r="AE487" s="18" t="s">
        <v>116</v>
      </c>
      <c r="AF487" s="18" t="s">
        <v>116</v>
      </c>
      <c r="AG487" s="18">
        <f>AH487-AI487</f>
        <v>88</v>
      </c>
      <c r="AH487" s="18">
        <v>168</v>
      </c>
      <c r="AI487" s="18">
        <v>80</v>
      </c>
      <c r="AJ487" s="18"/>
      <c r="AK487" s="18">
        <v>18</v>
      </c>
      <c r="AL487" s="18">
        <v>0</v>
      </c>
      <c r="AM487" s="18">
        <v>0</v>
      </c>
      <c r="AN487" s="18">
        <v>0</v>
      </c>
      <c r="AO487" s="18">
        <v>0</v>
      </c>
      <c r="AP487" s="18">
        <f>SUM(AL487:AN487)</f>
        <v>0</v>
      </c>
      <c r="AQ487" s="18">
        <v>1.643</v>
      </c>
      <c r="AR487" s="18">
        <f>AP487-1.472</f>
        <v>-1.472</v>
      </c>
      <c r="AS487" s="18">
        <f>AQ487-1.472</f>
        <v>0.17100000000000004</v>
      </c>
      <c r="AT487" s="18" t="str">
        <f>VLOOKUP(K487,'[5]FECs - good data'!$C$1:$P$575,13,FALSE)</f>
        <v>JB</v>
      </c>
      <c r="AU487" s="18"/>
      <c r="AV487" s="18"/>
      <c r="AW487" s="18">
        <f>IF(AX487&gt;0,1,0)</f>
        <v>1</v>
      </c>
      <c r="AX487" s="18">
        <f>SUM(BA487,BM487,CT487)</f>
        <v>1</v>
      </c>
      <c r="AY487" s="18">
        <f>SUM(BB487,BN487,CV487)</f>
        <v>11.695906432748535</v>
      </c>
      <c r="AZ487" s="18">
        <f>IF(BA487&gt;0,1,0)</f>
        <v>1</v>
      </c>
      <c r="BA487" s="18">
        <f>SUM(BC487,BF487,BI487)</f>
        <v>1</v>
      </c>
      <c r="BB487" s="18">
        <f>SUM(BE487,BH487,BK487)</f>
        <v>11.695906432748535</v>
      </c>
      <c r="BC487" s="18">
        <f>IF(BD487&gt;0,1,0)</f>
        <v>1</v>
      </c>
      <c r="BD487" s="18">
        <f>VLOOKUP($K487,'[5]FECs - good data'!$C$1:$Z$574,14,FALSE)</f>
        <v>2</v>
      </c>
      <c r="BE487" s="18">
        <f>BD487/AS487</f>
        <v>11.695906432748535</v>
      </c>
      <c r="BF487" s="18">
        <f>IF(BG487&gt;0,1,0)</f>
        <v>0</v>
      </c>
      <c r="BG487" s="78">
        <f>VLOOKUP($K487,'[5]FECs - good data'!$C$1:$Z$574,15,FALSE)</f>
        <v>0</v>
      </c>
      <c r="BH487" s="18">
        <f>BG487/AS487</f>
        <v>0</v>
      </c>
      <c r="BI487" s="18">
        <f>IF(BJ487&gt;0,1,0)</f>
        <v>0</v>
      </c>
      <c r="BJ487" s="18">
        <f>VLOOKUP($K487,'[5]FECs - good data'!$C$1:$Z$574,16,FALSE)</f>
        <v>0</v>
      </c>
      <c r="BK487" s="18">
        <f>BJ487/AS487</f>
        <v>0</v>
      </c>
      <c r="BL487" s="18">
        <f>IF(BM487&gt;0,1,0)</f>
        <v>0</v>
      </c>
      <c r="BM487" s="18">
        <f>SUM(BR487,BU487,BX487,CA487,CD487,CG487,CJ487,CM487,CP487)</f>
        <v>0</v>
      </c>
      <c r="BN487" s="18">
        <f>SUM(BW487,BZ487,CC487,CF487,CI487,CL487,CO487,CR487,BT487)</f>
        <v>0</v>
      </c>
      <c r="BO487" s="18">
        <f>IF(BP487&gt;0,1,0)</f>
        <v>0</v>
      </c>
      <c r="BP487" s="18">
        <f>SUM(BU487,BX487,CA487,CD487,BR487)</f>
        <v>0</v>
      </c>
      <c r="BQ487" s="18">
        <f>SUM(BZ487,CC487,CF487,BT487,BW487)</f>
        <v>0</v>
      </c>
      <c r="BR487" s="18">
        <f>IF(BS487&gt;0,1,0)</f>
        <v>0</v>
      </c>
      <c r="BS487" s="18">
        <f>VLOOKUP($K487,'[5]FECs - good data'!$C$1:$Z$574,17,FALSE)</f>
        <v>0</v>
      </c>
      <c r="BT487" s="78">
        <f>BS487/AS487</f>
        <v>0</v>
      </c>
      <c r="BU487" s="18">
        <f>IF(BV487&gt;0,1,0)</f>
        <v>0</v>
      </c>
      <c r="BV487" s="18">
        <f>VLOOKUP($K487,'[5]FECs - good data'!$C$1:$Z$574,18,FALSE)</f>
        <v>0</v>
      </c>
      <c r="BW487" s="18">
        <f>BV487/AS487</f>
        <v>0</v>
      </c>
      <c r="BX487" s="18">
        <f>IF(BY487&gt;0,1,0)</f>
        <v>0</v>
      </c>
      <c r="BY487" s="18">
        <f>VLOOKUP($K487,'[5]FECs - good data'!$C$1:$Z$574,19,FALSE)</f>
        <v>0</v>
      </c>
      <c r="BZ487" s="18">
        <f>BY487/AS487</f>
        <v>0</v>
      </c>
      <c r="CA487" s="18">
        <f>IF(CB487&gt;0,1,0)</f>
        <v>0</v>
      </c>
      <c r="CB487" s="18">
        <f>VLOOKUP($K487,'[5]FECs - good data'!$C$1:$Z$574,20,FALSE)</f>
        <v>0</v>
      </c>
      <c r="CC487" s="18">
        <f>CB487/AS487</f>
        <v>0</v>
      </c>
      <c r="CD487" s="78">
        <f>IF(CE487&gt;0,1,0)</f>
        <v>0</v>
      </c>
      <c r="CE487" s="18">
        <f>VLOOKUP($K487,'[5]FECs - good data'!$C$1:$Z$574,21,FALSE)</f>
        <v>0</v>
      </c>
      <c r="CF487" s="18">
        <f>CE487/AS487</f>
        <v>0</v>
      </c>
      <c r="CG487" s="18">
        <f>IF(CH487&gt;0,1,0)</f>
        <v>0</v>
      </c>
      <c r="CH487" s="18">
        <f>VLOOKUP($K487,'[5]FECs - good data'!$C$1:$Z$574,22,FALSE)</f>
        <v>0</v>
      </c>
      <c r="CI487" s="18">
        <f>CH487/AS487</f>
        <v>0</v>
      </c>
      <c r="CJ487" s="18">
        <f>IF(CK487&gt;0,1,0)</f>
        <v>0</v>
      </c>
      <c r="CK487" s="18">
        <f>VLOOKUP($K487,'[5]FECs - good data'!$C$1:$Z$674,24,FALSE)</f>
        <v>0</v>
      </c>
      <c r="CL487" s="18">
        <f>CK487/AS487</f>
        <v>0</v>
      </c>
      <c r="CM487" s="18"/>
      <c r="CN487" s="18"/>
      <c r="CO487" s="18"/>
      <c r="CP487" s="18"/>
      <c r="CQ487" s="18"/>
      <c r="CR487" s="18"/>
      <c r="CS487" s="18">
        <f>IF(CT487&gt;0,1,0)</f>
        <v>0</v>
      </c>
      <c r="CT487" s="18">
        <f>SUM(CW487+CZ487,DC487)</f>
        <v>0</v>
      </c>
      <c r="CU487" s="18"/>
      <c r="CV487" s="18">
        <f>SUM(CY487,DB487,DE487)</f>
        <v>0</v>
      </c>
      <c r="CW487" s="18">
        <f>IF(CX487&gt;0,1,0)</f>
        <v>0</v>
      </c>
      <c r="CX487" s="18">
        <f>VLOOKUP($K487,'[5]FECs - good data'!$C$1:$Z$574,22,FALSE)</f>
        <v>0</v>
      </c>
      <c r="CY487" s="18">
        <f>CX487/AS487</f>
        <v>0</v>
      </c>
      <c r="CZ487" s="18">
        <f>IF(DA487&gt;0,1,0)</f>
        <v>0</v>
      </c>
      <c r="DA487" s="18">
        <f>VLOOKUP($K487,'[5]FECs - good data'!$C$1:$Z$5982,23,FALSE)</f>
        <v>0</v>
      </c>
      <c r="DB487" s="18">
        <f>DA487/AS487</f>
        <v>0</v>
      </c>
      <c r="DC487" s="18">
        <f>IF(DD487&gt;0,1,0)</f>
        <v>0</v>
      </c>
      <c r="DD487" s="18">
        <f>VLOOKUP($K487,'[5]FECs - good data'!$C$1:$Z$574,23,FALSE)</f>
        <v>0</v>
      </c>
      <c r="DE487" s="18">
        <f>DD487/AS487</f>
        <v>0</v>
      </c>
      <c r="DF487" s="16" t="e">
        <f>VLOOKUP(K487,'[3]RNA Seq summary tables'!$V$3:$V$99,1,FALSE)</f>
        <v>#N/A</v>
      </c>
      <c r="DG487" s="16"/>
      <c r="DH487" s="16"/>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18"/>
      <c r="EQ487" s="18"/>
      <c r="ER487" s="18"/>
      <c r="ES487" s="18"/>
      <c r="ET487" s="18"/>
      <c r="EU487" s="18"/>
      <c r="EV487" s="18"/>
      <c r="EW487" s="18"/>
      <c r="EX487" s="18"/>
      <c r="EY487" s="18"/>
      <c r="EZ487" s="18"/>
      <c r="FA487" s="18"/>
      <c r="FB487" s="18"/>
      <c r="FC487" s="18"/>
      <c r="FD487" s="18"/>
      <c r="FE487" s="18"/>
      <c r="FF487" s="18"/>
      <c r="FG487" s="18"/>
      <c r="FH487" s="18"/>
      <c r="FI487" s="18"/>
      <c r="FJ487" s="18"/>
      <c r="FK487" s="18"/>
      <c r="FL487" s="18"/>
      <c r="FM487" s="18"/>
      <c r="FN487" s="18"/>
      <c r="FO487" s="18"/>
      <c r="FP487" s="18"/>
      <c r="FQ487" s="18"/>
      <c r="FR487" s="18"/>
      <c r="FS487" s="18"/>
      <c r="FT487" s="18"/>
      <c r="FU487" s="18"/>
      <c r="FV487" s="18"/>
      <c r="FW487" s="18"/>
      <c r="FX487" s="18"/>
      <c r="FY487" s="18"/>
      <c r="FZ487" s="18"/>
      <c r="GA487" s="18"/>
      <c r="GB487" s="18"/>
      <c r="GC487" s="18"/>
      <c r="GD487" s="18"/>
      <c r="GE487" s="18"/>
      <c r="GF487" s="18"/>
      <c r="GG487" s="18"/>
      <c r="GH487" s="18"/>
      <c r="GI487" s="18"/>
      <c r="GJ487" s="18"/>
      <c r="GK487" s="18"/>
      <c r="GL487" s="18"/>
      <c r="GM487" s="18"/>
      <c r="GN487" s="18"/>
      <c r="GO487" s="18"/>
      <c r="GP487" s="18"/>
      <c r="GQ487" s="18"/>
      <c r="GR487" s="18"/>
      <c r="GS487" s="18"/>
      <c r="GT487" s="18"/>
      <c r="GU487" s="18"/>
      <c r="GV487" s="18"/>
      <c r="GW487" s="18"/>
      <c r="GX487" s="18"/>
      <c r="GY487" s="18"/>
      <c r="GZ487" s="18"/>
      <c r="HA487" s="18"/>
      <c r="HB487" s="18"/>
      <c r="HC487" s="18"/>
      <c r="HD487" s="18"/>
      <c r="HE487" s="18"/>
      <c r="HF487" s="18"/>
      <c r="HG487" s="18"/>
      <c r="HH487" s="18"/>
      <c r="HI487" s="18"/>
      <c r="HJ487" s="18"/>
      <c r="HK487" s="18"/>
      <c r="HL487" s="18"/>
      <c r="HM487" s="18"/>
      <c r="HN487" s="18"/>
      <c r="HO487" s="18"/>
      <c r="HP487" s="18"/>
      <c r="HQ487" s="18"/>
      <c r="HR487" s="18"/>
      <c r="HS487" s="18"/>
      <c r="HT487" s="18"/>
      <c r="HU487" s="18"/>
      <c r="HV487" s="18"/>
      <c r="HW487" s="18"/>
      <c r="HX487" s="18"/>
      <c r="HY487" s="18"/>
      <c r="HZ487" s="18"/>
      <c r="IA487" s="18"/>
      <c r="IB487" s="18"/>
      <c r="IC487" s="18"/>
      <c r="ID487" s="18"/>
      <c r="IE487" s="18"/>
      <c r="IF487" s="18"/>
      <c r="IG487" s="18"/>
      <c r="IH487" s="18"/>
      <c r="II487" s="18"/>
      <c r="IJ487" s="18"/>
      <c r="IK487" s="18"/>
      <c r="IL487" s="18"/>
      <c r="IM487" s="18"/>
      <c r="IN487" s="18"/>
      <c r="IO487" s="18"/>
      <c r="IP487" s="18"/>
      <c r="IQ487" s="18"/>
      <c r="IR487" s="18"/>
      <c r="IS487" s="18"/>
      <c r="IT487" s="18"/>
      <c r="IU487" s="18"/>
      <c r="IV487" s="18"/>
      <c r="IW487" s="18"/>
      <c r="IX487" s="18"/>
      <c r="IY487" s="18"/>
      <c r="IZ487" s="18"/>
      <c r="JA487" s="18"/>
      <c r="JB487" s="18"/>
      <c r="JC487" s="18"/>
      <c r="JD487" s="18"/>
      <c r="JE487" s="18"/>
      <c r="JF487" s="18"/>
      <c r="JG487" s="18"/>
      <c r="JH487" s="18"/>
      <c r="JI487" s="18"/>
      <c r="JJ487" s="18"/>
      <c r="JK487" s="18"/>
      <c r="JL487" s="18"/>
      <c r="JM487" s="18"/>
      <c r="JN487" s="18"/>
      <c r="JO487" s="16"/>
      <c r="JP487" s="16"/>
      <c r="JQ487" s="16"/>
      <c r="JR487" s="16"/>
      <c r="JS487" s="16"/>
      <c r="JT487" s="16"/>
      <c r="JU487" s="16"/>
      <c r="JV487" s="16"/>
      <c r="JW487" s="16"/>
      <c r="JX487" s="16"/>
      <c r="JY487" s="16"/>
      <c r="JZ487" s="16"/>
      <c r="KA487" s="16"/>
      <c r="KB487" s="16"/>
    </row>
    <row r="488" spans="1:288" s="30" customFormat="1" x14ac:dyDescent="0.2">
      <c r="A488" s="18"/>
      <c r="B488" s="16">
        <v>2017</v>
      </c>
      <c r="C488" s="43">
        <v>42975</v>
      </c>
      <c r="D488" s="20" t="str">
        <f>CONCATENATE(J488,"-",C488)</f>
        <v>1357-42975</v>
      </c>
      <c r="E488" s="20" t="str">
        <f>CONCATENATE(T488,"-",U488,"-",C488)</f>
        <v>PO2-G2-42975</v>
      </c>
      <c r="F488" s="37" t="s">
        <v>224</v>
      </c>
      <c r="G488" s="43" t="s">
        <v>107</v>
      </c>
      <c r="H488" s="23"/>
      <c r="I488" s="16">
        <v>1</v>
      </c>
      <c r="J488" s="15">
        <v>1357</v>
      </c>
      <c r="K488" s="15">
        <v>2292</v>
      </c>
      <c r="L488" s="18">
        <v>0</v>
      </c>
      <c r="M488" s="21">
        <f>VLOOKUP($K488,'[4]blood tubes 2017'!$D$1:$L$947,8,FALSE)</f>
        <v>0</v>
      </c>
      <c r="N488" s="15">
        <v>0</v>
      </c>
      <c r="O488" s="15" t="s">
        <v>119</v>
      </c>
      <c r="P488" s="23" t="s">
        <v>119</v>
      </c>
      <c r="Q488" s="16">
        <v>0</v>
      </c>
      <c r="R488" s="23">
        <v>10</v>
      </c>
      <c r="S488" s="23"/>
      <c r="T488" s="23" t="s">
        <v>127</v>
      </c>
      <c r="U488" s="23" t="s">
        <v>128</v>
      </c>
      <c r="V488" s="23" t="s">
        <v>114</v>
      </c>
      <c r="W488" s="16">
        <f>AI488/AG488</f>
        <v>0.96511627906976749</v>
      </c>
      <c r="X488" s="23" t="s">
        <v>115</v>
      </c>
      <c r="Y488" s="23" t="s">
        <v>110</v>
      </c>
      <c r="Z488" s="23">
        <v>3</v>
      </c>
      <c r="AA488" s="23"/>
      <c r="AB488" s="23"/>
      <c r="AC488" s="23"/>
      <c r="AD488" s="23"/>
      <c r="AE488" s="23" t="s">
        <v>123</v>
      </c>
      <c r="AF488" s="23" t="s">
        <v>123</v>
      </c>
      <c r="AG488" s="23">
        <f>AH488-AI488</f>
        <v>86</v>
      </c>
      <c r="AH488" s="23">
        <v>169</v>
      </c>
      <c r="AI488" s="23">
        <v>83</v>
      </c>
      <c r="AJ488" s="23"/>
      <c r="AK488" s="23">
        <v>17.5</v>
      </c>
      <c r="AL488" s="23">
        <v>0</v>
      </c>
      <c r="AM488" s="23">
        <v>0</v>
      </c>
      <c r="AN488" s="23">
        <v>0</v>
      </c>
      <c r="AO488" s="23">
        <v>0</v>
      </c>
      <c r="AP488" s="23">
        <f>SUM(AL488:AN488)</f>
        <v>0</v>
      </c>
      <c r="AQ488" s="23">
        <v>1.605</v>
      </c>
      <c r="AR488" s="23">
        <f>AP488-1.472</f>
        <v>-1.472</v>
      </c>
      <c r="AS488" s="23">
        <f>AQ488-1.472</f>
        <v>0.13300000000000001</v>
      </c>
      <c r="AT488" s="34" t="str">
        <f>VLOOKUP(K488,'[5]FECs - good data'!$C$1:$P$575,13,FALSE)</f>
        <v>duplicate, can't use</v>
      </c>
      <c r="AU488" s="23"/>
      <c r="AV488" s="23"/>
      <c r="AW488" s="25"/>
      <c r="AX488" s="25"/>
      <c r="AY488" s="25"/>
      <c r="AZ488" s="18"/>
      <c r="BA488" s="25"/>
      <c r="BB488" s="25"/>
      <c r="BC488" s="18"/>
      <c r="BD488" s="25"/>
      <c r="BE488" s="23"/>
      <c r="BF488" s="16"/>
      <c r="BG488" s="77"/>
      <c r="BH488" s="23"/>
      <c r="BI488" s="16"/>
      <c r="BJ488" s="23"/>
      <c r="BK488" s="23"/>
      <c r="BL488" s="16"/>
      <c r="BM488" s="16"/>
      <c r="BN488" s="16"/>
      <c r="BO488" s="16"/>
      <c r="BP488" s="16"/>
      <c r="BQ488" s="16"/>
      <c r="BR488" s="16"/>
      <c r="BS488" s="23"/>
      <c r="BT488" s="77"/>
      <c r="BU488" s="16"/>
      <c r="BV488" s="23"/>
      <c r="BW488" s="16"/>
      <c r="BX488" s="16"/>
      <c r="BY488" s="23"/>
      <c r="BZ488" s="16"/>
      <c r="CA488" s="16"/>
      <c r="CB488" s="23"/>
      <c r="CC488" s="23"/>
      <c r="CD488" s="77"/>
      <c r="CE488" s="23"/>
      <c r="CF488" s="23"/>
      <c r="CG488" s="23"/>
      <c r="CH488" s="23"/>
      <c r="CI488" s="23"/>
      <c r="CJ488" s="23"/>
      <c r="CK488" s="23"/>
      <c r="CL488" s="23"/>
      <c r="CM488" s="23"/>
      <c r="CN488" s="23"/>
      <c r="CO488" s="23"/>
      <c r="CP488" s="23"/>
      <c r="CQ488" s="23"/>
      <c r="CR488" s="23"/>
      <c r="CS488" s="16"/>
      <c r="CT488" s="16"/>
      <c r="CU488" s="16"/>
      <c r="CV488" s="23"/>
      <c r="CW488" s="16"/>
      <c r="CX488" s="23"/>
      <c r="CY488" s="23"/>
      <c r="CZ488" s="23"/>
      <c r="DA488" s="23"/>
      <c r="DB488" s="23"/>
      <c r="DC488" s="23"/>
      <c r="DD488" s="23"/>
      <c r="DE488" s="23"/>
      <c r="DF488" s="16" t="e">
        <f>VLOOKUP(K488,'[3]RNA Seq summary tables'!$V$3:$V$99,1,FALSE)</f>
        <v>#N/A</v>
      </c>
      <c r="DG488" s="16"/>
      <c r="DH488" s="16"/>
      <c r="DI488" s="23"/>
      <c r="DJ488" s="23"/>
      <c r="DK488" s="23"/>
      <c r="DL488" s="23"/>
      <c r="DM488" s="23"/>
      <c r="DN488" s="23"/>
      <c r="DO488" s="23"/>
      <c r="DP488" s="23"/>
      <c r="DQ488" s="23"/>
      <c r="DR488" s="23"/>
      <c r="DS488" s="23"/>
      <c r="DT488" s="25"/>
      <c r="DU488" s="25"/>
      <c r="DV488" s="25"/>
      <c r="DW488" s="25"/>
      <c r="DX488" s="25"/>
      <c r="DY488" s="25"/>
      <c r="DZ488" s="25"/>
      <c r="EA488" s="25"/>
      <c r="EB488" s="25"/>
      <c r="EC488" s="25"/>
      <c r="ED488" s="25"/>
      <c r="EE488" s="25"/>
      <c r="EF488" s="25"/>
      <c r="EG488" s="25"/>
      <c r="EH488" s="25"/>
      <c r="EI488" s="25"/>
      <c r="EJ488" s="25"/>
      <c r="EK488" s="25"/>
      <c r="EL488" s="25"/>
      <c r="EM488" s="25"/>
      <c r="EN488" s="25"/>
      <c r="EO488" s="25"/>
      <c r="EP488" s="25"/>
      <c r="EQ488" s="25"/>
      <c r="ER488" s="25"/>
      <c r="ES488" s="25"/>
      <c r="ET488" s="25"/>
      <c r="EU488" s="25"/>
      <c r="EV488" s="25"/>
      <c r="EW488" s="25"/>
      <c r="EX488" s="25"/>
      <c r="EY488" s="25"/>
      <c r="EZ488" s="25"/>
      <c r="FA488" s="25"/>
      <c r="FB488" s="25"/>
      <c r="FC488" s="25"/>
      <c r="FD488" s="25"/>
      <c r="FE488" s="25"/>
      <c r="FF488" s="25"/>
      <c r="FG488" s="25"/>
      <c r="FH488" s="25"/>
      <c r="FI488" s="25"/>
      <c r="FJ488" s="25"/>
      <c r="FK488" s="25"/>
      <c r="FL488" s="25"/>
      <c r="FM488" s="25"/>
      <c r="FN488" s="25"/>
      <c r="FO488" s="25"/>
      <c r="FP488" s="25"/>
      <c r="FQ488" s="25"/>
      <c r="FR488" s="25"/>
      <c r="FS488" s="25"/>
      <c r="FT488" s="25"/>
      <c r="FU488" s="25"/>
      <c r="FV488" s="25"/>
      <c r="FW488" s="25"/>
      <c r="FX488" s="25"/>
      <c r="FY488" s="25"/>
      <c r="FZ488" s="25"/>
      <c r="GA488" s="25"/>
      <c r="GB488" s="25"/>
      <c r="GC488" s="25"/>
      <c r="GD488" s="25"/>
      <c r="GE488" s="25"/>
      <c r="GF488" s="25"/>
      <c r="GG488" s="25"/>
      <c r="GH488" s="25"/>
      <c r="GI488" s="25"/>
      <c r="GJ488" s="25"/>
      <c r="GK488" s="25"/>
      <c r="GL488" s="25"/>
      <c r="GM488" s="25"/>
      <c r="GN488" s="25"/>
      <c r="GO488" s="25"/>
      <c r="GP488" s="25"/>
      <c r="GQ488" s="25"/>
      <c r="GR488" s="25"/>
      <c r="GS488" s="25"/>
      <c r="GT488" s="25"/>
      <c r="GU488" s="25"/>
      <c r="GV488" s="25"/>
      <c r="GW488" s="25"/>
      <c r="GX488" s="25"/>
      <c r="GY488" s="25"/>
      <c r="GZ488" s="25"/>
      <c r="HA488" s="25"/>
      <c r="HB488" s="25"/>
      <c r="HC488" s="25"/>
      <c r="HD488" s="25"/>
      <c r="HE488" s="25"/>
      <c r="HF488" s="25"/>
      <c r="HG488" s="25"/>
      <c r="HH488" s="25"/>
      <c r="HI488" s="25"/>
      <c r="HJ488" s="25"/>
      <c r="HK488" s="25"/>
      <c r="HL488" s="25"/>
      <c r="HM488" s="25"/>
      <c r="HN488" s="25"/>
      <c r="HO488" s="25"/>
      <c r="HP488" s="25"/>
      <c r="HQ488" s="25"/>
      <c r="HR488" s="25"/>
      <c r="HS488" s="25"/>
      <c r="HT488" s="25"/>
      <c r="HU488" s="25"/>
      <c r="HV488" s="25"/>
      <c r="HW488" s="25"/>
      <c r="HX488" s="25"/>
      <c r="HY488" s="25"/>
      <c r="HZ488" s="25"/>
      <c r="IA488" s="25"/>
      <c r="IB488" s="25"/>
      <c r="IC488" s="25"/>
      <c r="ID488" s="25"/>
      <c r="IE488" s="25"/>
      <c r="IF488" s="25"/>
      <c r="IG488" s="25"/>
      <c r="IH488" s="25"/>
      <c r="II488" s="25"/>
      <c r="IJ488" s="25"/>
      <c r="IK488" s="25"/>
      <c r="IL488" s="25"/>
      <c r="IM488" s="25"/>
      <c r="IN488" s="25"/>
      <c r="IO488" s="25"/>
      <c r="IP488" s="25"/>
      <c r="IQ488" s="25"/>
      <c r="IR488" s="25"/>
      <c r="IS488" s="25"/>
      <c r="IT488" s="25"/>
      <c r="IU488" s="25"/>
      <c r="IV488" s="25"/>
      <c r="IW488" s="25"/>
      <c r="IX488" s="25"/>
      <c r="IY488" s="25"/>
      <c r="IZ488" s="25"/>
      <c r="JA488" s="25"/>
      <c r="JB488" s="25"/>
      <c r="JC488" s="25"/>
      <c r="JD488" s="25"/>
      <c r="JE488" s="25"/>
      <c r="JF488" s="25"/>
      <c r="JG488" s="25"/>
      <c r="JH488" s="25"/>
      <c r="JI488" s="25"/>
      <c r="JJ488" s="25"/>
      <c r="JK488" s="25"/>
      <c r="JL488" s="25"/>
      <c r="JM488" s="25"/>
      <c r="JN488" s="25"/>
      <c r="JO488" s="23"/>
      <c r="JP488" s="23"/>
      <c r="JQ488" s="23"/>
      <c r="JR488" s="23"/>
      <c r="JS488" s="23"/>
      <c r="JT488" s="23"/>
      <c r="JU488" s="23"/>
      <c r="JV488" s="23"/>
      <c r="JW488" s="23"/>
      <c r="JX488" s="23"/>
      <c r="JY488" s="23"/>
      <c r="JZ488" s="23"/>
      <c r="KA488" s="23"/>
      <c r="KB488" s="23"/>
    </row>
    <row r="489" spans="1:288" s="18" customFormat="1" x14ac:dyDescent="0.2">
      <c r="B489" s="18">
        <v>2017</v>
      </c>
      <c r="C489" s="37">
        <v>42966</v>
      </c>
      <c r="D489" s="37" t="str">
        <f>CONCATENATE(J489,"-",C489)</f>
        <v>1359-42966</v>
      </c>
      <c r="E489" s="142" t="str">
        <f>CONCATENATE(T489,"-",U489,"-",C489)</f>
        <v>HW1-A6-42966</v>
      </c>
      <c r="F489" s="20" t="s">
        <v>106</v>
      </c>
      <c r="G489" s="37" t="s">
        <v>107</v>
      </c>
      <c r="H489" s="18" t="s">
        <v>262</v>
      </c>
      <c r="I489" s="16"/>
      <c r="J489" s="36">
        <v>1359</v>
      </c>
      <c r="K489" s="36">
        <v>2204</v>
      </c>
      <c r="L489" s="18">
        <v>0</v>
      </c>
      <c r="M489" s="21">
        <f>VLOOKUP($K489,'[4]blood tubes 2017'!$D$1:$L$647,8,FALSE)</f>
        <v>0</v>
      </c>
      <c r="N489" s="15">
        <v>0</v>
      </c>
      <c r="O489" s="15" t="s">
        <v>119</v>
      </c>
      <c r="P489" s="18" t="s">
        <v>119</v>
      </c>
      <c r="Q489" s="16"/>
      <c r="R489" s="18" t="s">
        <v>111</v>
      </c>
      <c r="T489" s="18" t="s">
        <v>133</v>
      </c>
      <c r="U489" s="18" t="s">
        <v>147</v>
      </c>
      <c r="V489" s="18" t="s">
        <v>114</v>
      </c>
      <c r="W489" s="16">
        <f>AI489/AG489</f>
        <v>0.93023255813953487</v>
      </c>
      <c r="X489" s="18" t="s">
        <v>115</v>
      </c>
      <c r="Y489" s="18" t="s">
        <v>110</v>
      </c>
      <c r="Z489" s="18">
        <v>3</v>
      </c>
      <c r="AE489" s="18" t="s">
        <v>123</v>
      </c>
      <c r="AF489" s="18" t="s">
        <v>123</v>
      </c>
      <c r="AG489" s="18">
        <f>AH489-AI489</f>
        <v>86</v>
      </c>
      <c r="AH489" s="18">
        <v>166</v>
      </c>
      <c r="AI489" s="18">
        <v>80</v>
      </c>
      <c r="AK489" s="18">
        <v>18</v>
      </c>
      <c r="AL489" s="18">
        <v>0</v>
      </c>
      <c r="AM489" s="18">
        <v>0</v>
      </c>
      <c r="AN489" s="18">
        <v>0</v>
      </c>
      <c r="AO489" s="18">
        <v>0</v>
      </c>
      <c r="AP489" s="18">
        <f>SUM(AL489:AN489)</f>
        <v>0</v>
      </c>
      <c r="AQ489" s="18">
        <v>1.6919999999999999</v>
      </c>
      <c r="AR489" s="18">
        <f>AP489-1.472</f>
        <v>-1.472</v>
      </c>
      <c r="AS489" s="18">
        <f>AQ489-1.472</f>
        <v>0.21999999999999997</v>
      </c>
      <c r="AT489" s="16" t="e">
        <f>VLOOKUP(E489,[2]Current!$A$1:$W$435,7,FALSE)</f>
        <v>#N/A</v>
      </c>
      <c r="AU489" s="16">
        <v>0</v>
      </c>
      <c r="BG489" s="78"/>
      <c r="BT489" s="78"/>
      <c r="CD489" s="78"/>
      <c r="DF489" s="16" t="e">
        <f>VLOOKUP(K489,'[3]RNA Seq summary tables'!$V$3:$V$99,1,FALSE)</f>
        <v>#N/A</v>
      </c>
      <c r="DG489" s="16"/>
      <c r="DH489" s="16"/>
      <c r="JO489" s="16"/>
      <c r="JP489" s="16"/>
      <c r="JQ489" s="16"/>
      <c r="JR489" s="16"/>
      <c r="JS489" s="16"/>
      <c r="JT489" s="16"/>
      <c r="JU489" s="16"/>
      <c r="JV489" s="16"/>
      <c r="JW489" s="16"/>
      <c r="JX489" s="16"/>
      <c r="JY489" s="16"/>
      <c r="JZ489" s="16"/>
      <c r="KA489" s="16"/>
      <c r="KB489" s="16"/>
    </row>
    <row r="490" spans="1:288" x14ac:dyDescent="0.2">
      <c r="B490" s="18">
        <v>2017</v>
      </c>
      <c r="C490" s="37">
        <v>42967</v>
      </c>
      <c r="D490" s="37" t="str">
        <f>CONCATENATE(J490,"-",C490)</f>
        <v>1362-42967</v>
      </c>
      <c r="E490" s="142" t="str">
        <f>CONCATENATE(T490,"-",U490,"-",C490)</f>
        <v>HW2-E7-42967</v>
      </c>
      <c r="F490" s="20" t="s">
        <v>106</v>
      </c>
      <c r="G490" s="37" t="s">
        <v>107</v>
      </c>
      <c r="H490" s="18"/>
      <c r="J490" s="36">
        <v>1362</v>
      </c>
      <c r="K490" s="36">
        <v>2218</v>
      </c>
      <c r="L490" s="18">
        <v>0</v>
      </c>
      <c r="M490" s="21">
        <f>VLOOKUP($K490,'[4]blood tubes 2017'!$D$1:$L$647,8,FALSE)</f>
        <v>0</v>
      </c>
      <c r="N490" s="15">
        <v>0</v>
      </c>
      <c r="O490" s="15" t="s">
        <v>119</v>
      </c>
      <c r="P490" s="18" t="s">
        <v>119</v>
      </c>
      <c r="Q490" s="16">
        <v>0</v>
      </c>
      <c r="R490" s="18" t="s">
        <v>111</v>
      </c>
      <c r="S490" s="18"/>
      <c r="T490" s="18" t="s">
        <v>129</v>
      </c>
      <c r="U490" s="18" t="s">
        <v>135</v>
      </c>
      <c r="V490" s="18" t="s">
        <v>142</v>
      </c>
      <c r="W490" s="16">
        <f>AI490/AG490</f>
        <v>0.9885057471264368</v>
      </c>
      <c r="X490" s="18" t="s">
        <v>115</v>
      </c>
      <c r="Y490" s="18" t="s">
        <v>110</v>
      </c>
      <c r="Z490" s="18">
        <v>3</v>
      </c>
      <c r="AA490" s="18"/>
      <c r="AB490" s="18"/>
      <c r="AC490" s="18"/>
      <c r="AD490" s="18"/>
      <c r="AE490" s="18" t="s">
        <v>116</v>
      </c>
      <c r="AF490" s="18" t="s">
        <v>116</v>
      </c>
      <c r="AG490" s="18">
        <f>AH490-AI490</f>
        <v>87</v>
      </c>
      <c r="AH490" s="18">
        <v>173</v>
      </c>
      <c r="AI490" s="18">
        <v>86</v>
      </c>
      <c r="AJ490" s="18"/>
      <c r="AK490" s="18">
        <v>16</v>
      </c>
      <c r="AL490" s="18">
        <v>1</v>
      </c>
      <c r="AM490" s="18">
        <v>0</v>
      </c>
      <c r="AN490" s="18">
        <v>0</v>
      </c>
      <c r="AO490" s="18">
        <v>1</v>
      </c>
      <c r="AP490" s="18">
        <f>SUM(AL490:AN490)</f>
        <v>1</v>
      </c>
      <c r="AQ490" s="18">
        <v>1.603</v>
      </c>
      <c r="AR490" s="18">
        <f>AP490-1.472</f>
        <v>-0.47199999999999998</v>
      </c>
      <c r="AS490" s="18">
        <f>AQ490-1.472</f>
        <v>0.13100000000000001</v>
      </c>
      <c r="AT490" s="16" t="e">
        <f>VLOOKUP(E490,[2]Current!$A$1:$W$435,7,FALSE)</f>
        <v>#N/A</v>
      </c>
      <c r="AU490" s="16">
        <v>0</v>
      </c>
      <c r="AV490" s="18"/>
      <c r="AW490" s="18"/>
      <c r="AX490" s="18"/>
      <c r="AY490" s="18"/>
      <c r="AZ490" s="18"/>
      <c r="BA490" s="18"/>
      <c r="BB490" s="18"/>
      <c r="BC490" s="18"/>
      <c r="BD490" s="18"/>
      <c r="BE490" s="18"/>
      <c r="BF490" s="18"/>
      <c r="BG490" s="78"/>
      <c r="BH490" s="18"/>
      <c r="BI490" s="18"/>
      <c r="BJ490" s="18"/>
      <c r="BK490" s="18"/>
      <c r="BL490" s="18"/>
      <c r="BM490" s="18"/>
      <c r="BN490" s="18"/>
      <c r="BO490" s="18"/>
      <c r="BP490" s="18"/>
      <c r="BQ490" s="18"/>
      <c r="BR490" s="18"/>
      <c r="BS490" s="18"/>
      <c r="BT490" s="78"/>
      <c r="BU490" s="18"/>
      <c r="BV490" s="18"/>
      <c r="BW490" s="18"/>
      <c r="BX490" s="18"/>
      <c r="BY490" s="18"/>
      <c r="BZ490" s="18"/>
      <c r="CA490" s="18"/>
      <c r="CB490" s="18"/>
      <c r="CC490" s="18"/>
      <c r="CD490" s="7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6" t="e">
        <f>VLOOKUP(K490,'[3]RNA Seq summary tables'!$V$3:$V$99,1,FALSE)</f>
        <v>#N/A</v>
      </c>
      <c r="DI490" s="18"/>
      <c r="DJ490" s="18"/>
      <c r="DK490" s="18"/>
      <c r="DL490" s="18"/>
      <c r="DM490" s="18"/>
      <c r="DN490" s="18"/>
      <c r="DO490" s="18"/>
      <c r="DP490" s="18"/>
      <c r="DQ490" s="18"/>
      <c r="DR490" s="18"/>
      <c r="DS490" s="18"/>
    </row>
    <row r="491" spans="1:288" x14ac:dyDescent="0.2">
      <c r="B491" s="18">
        <v>2017</v>
      </c>
      <c r="C491" s="37">
        <v>42967</v>
      </c>
      <c r="D491" s="37" t="str">
        <f>CONCATENATE(J491,"-",C491)</f>
        <v>1364-42967</v>
      </c>
      <c r="E491" s="142" t="str">
        <f>CONCATENATE(T491,"-",U491,"-",C491)</f>
        <v>HW1-D5-42967</v>
      </c>
      <c r="F491" s="20" t="s">
        <v>106</v>
      </c>
      <c r="G491" s="37" t="s">
        <v>107</v>
      </c>
      <c r="H491" s="18"/>
      <c r="J491" s="36">
        <v>1364</v>
      </c>
      <c r="K491" s="36">
        <v>2222</v>
      </c>
      <c r="L491" s="18">
        <v>0</v>
      </c>
      <c r="M491" s="21">
        <f>VLOOKUP($K491,'[4]blood tubes 2017'!$D$1:$L$947,8,FALSE)</f>
        <v>0</v>
      </c>
      <c r="N491" s="15">
        <v>0</v>
      </c>
      <c r="O491" s="15" t="s">
        <v>119</v>
      </c>
      <c r="P491" s="18" t="s">
        <v>119</v>
      </c>
      <c r="Q491" s="16">
        <v>0</v>
      </c>
      <c r="R491" s="18" t="s">
        <v>111</v>
      </c>
      <c r="S491" s="18"/>
      <c r="T491" s="18" t="s">
        <v>133</v>
      </c>
      <c r="U491" s="18" t="s">
        <v>183</v>
      </c>
      <c r="V491" s="18" t="s">
        <v>114</v>
      </c>
      <c r="W491" s="16">
        <f>AI491/AG491</f>
        <v>0.80722891566265065</v>
      </c>
      <c r="X491" s="18" t="s">
        <v>115</v>
      </c>
      <c r="Y491" s="18" t="s">
        <v>110</v>
      </c>
      <c r="Z491" s="18">
        <v>2.6</v>
      </c>
      <c r="AA491" s="18"/>
      <c r="AB491" s="18"/>
      <c r="AC491" s="18"/>
      <c r="AD491" s="18"/>
      <c r="AE491" s="18" t="s">
        <v>116</v>
      </c>
      <c r="AF491" s="18" t="s">
        <v>116</v>
      </c>
      <c r="AG491" s="18">
        <f>AH491-AI491</f>
        <v>83</v>
      </c>
      <c r="AH491" s="18">
        <v>150</v>
      </c>
      <c r="AI491" s="18">
        <v>67</v>
      </c>
      <c r="AJ491" s="18"/>
      <c r="AK491" s="18">
        <v>14.5</v>
      </c>
      <c r="AL491" s="18">
        <v>0</v>
      </c>
      <c r="AM491" s="18">
        <v>0</v>
      </c>
      <c r="AN491" s="18">
        <v>0</v>
      </c>
      <c r="AO491" s="18">
        <v>0</v>
      </c>
      <c r="AP491" s="18">
        <f>SUM(AL491:AN491)</f>
        <v>0</v>
      </c>
      <c r="AQ491" s="18">
        <v>1.671</v>
      </c>
      <c r="AR491" s="18">
        <f>AP491-1.472</f>
        <v>-1.472</v>
      </c>
      <c r="AS491" s="18">
        <f>AQ491-1.472</f>
        <v>0.19900000000000007</v>
      </c>
      <c r="AT491" s="16" t="e">
        <f>VLOOKUP(E491,[2]Current!$A$1:$W$435,7,FALSE)</f>
        <v>#N/A</v>
      </c>
      <c r="AU491" s="16">
        <v>0</v>
      </c>
      <c r="AV491" s="18"/>
      <c r="AW491" s="18"/>
      <c r="AX491" s="18"/>
      <c r="AY491" s="18"/>
      <c r="AZ491" s="18"/>
      <c r="BA491" s="18"/>
      <c r="BB491" s="18"/>
      <c r="BC491" s="18"/>
      <c r="BD491" s="18"/>
      <c r="BE491" s="18"/>
      <c r="BF491" s="18"/>
      <c r="BG491" s="78"/>
      <c r="BH491" s="18"/>
      <c r="BI491" s="18"/>
      <c r="BJ491" s="18"/>
      <c r="BK491" s="18"/>
      <c r="BL491" s="18"/>
      <c r="BM491" s="18"/>
      <c r="BN491" s="18"/>
      <c r="BO491" s="18"/>
      <c r="BP491" s="18"/>
      <c r="BQ491" s="18"/>
      <c r="BR491" s="18"/>
      <c r="BS491" s="18"/>
      <c r="BT491" s="78"/>
      <c r="BU491" s="18"/>
      <c r="BV491" s="18"/>
      <c r="BW491" s="18"/>
      <c r="BX491" s="18"/>
      <c r="BY491" s="18"/>
      <c r="BZ491" s="18"/>
      <c r="CA491" s="18"/>
      <c r="CB491" s="18"/>
      <c r="CC491" s="18"/>
      <c r="CD491" s="7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6" t="e">
        <f>VLOOKUP(K491,'[3]RNA Seq summary tables'!$V$3:$V$99,1,FALSE)</f>
        <v>#N/A</v>
      </c>
      <c r="DI491" s="18"/>
      <c r="DJ491" s="18"/>
      <c r="DK491" s="18"/>
      <c r="DL491" s="18"/>
      <c r="DM491" s="18"/>
      <c r="DN491" s="18"/>
      <c r="DO491" s="18"/>
      <c r="DP491" s="18"/>
      <c r="DQ491" s="18"/>
      <c r="DR491" s="18"/>
      <c r="DS491" s="18"/>
    </row>
    <row r="492" spans="1:288" ht="16" x14ac:dyDescent="0.2">
      <c r="B492" s="18">
        <v>2017</v>
      </c>
      <c r="C492" s="37">
        <v>42968</v>
      </c>
      <c r="D492" s="37" t="str">
        <f>CONCATENATE(J492,"-",C492)</f>
        <v>1366-42968</v>
      </c>
      <c r="E492" s="37" t="str">
        <f>CONCATENATE(T492,"-",U492,"-",C492)</f>
        <v>HW2-E7-42968</v>
      </c>
      <c r="F492" s="20" t="s">
        <v>106</v>
      </c>
      <c r="G492" s="37" t="s">
        <v>107</v>
      </c>
      <c r="H492" s="18"/>
      <c r="I492" s="16">
        <v>0</v>
      </c>
      <c r="J492" s="36">
        <v>1366</v>
      </c>
      <c r="K492" s="36">
        <v>2225</v>
      </c>
      <c r="L492" s="18">
        <v>0</v>
      </c>
      <c r="M492" s="21">
        <f>VLOOKUP($K492,'[4]blood tubes 2017'!$D$1:$L$947,8,FALSE)</f>
        <v>0</v>
      </c>
      <c r="N492" s="15">
        <v>0</v>
      </c>
      <c r="O492" s="15" t="s">
        <v>119</v>
      </c>
      <c r="P492" s="18" t="s">
        <v>119</v>
      </c>
      <c r="Q492" s="16">
        <v>0</v>
      </c>
      <c r="R492" s="18" t="s">
        <v>111</v>
      </c>
      <c r="S492" s="18"/>
      <c r="T492" s="18" t="s">
        <v>129</v>
      </c>
      <c r="U492" s="18" t="s">
        <v>135</v>
      </c>
      <c r="V492" s="18" t="s">
        <v>114</v>
      </c>
      <c r="W492" s="16">
        <f>AI492/AG492</f>
        <v>0.87654320987654322</v>
      </c>
      <c r="X492" s="18" t="s">
        <v>121</v>
      </c>
      <c r="Y492" s="18" t="s">
        <v>110</v>
      </c>
      <c r="Z492" s="18">
        <v>3</v>
      </c>
      <c r="AA492" s="18" t="s">
        <v>161</v>
      </c>
      <c r="AB492" s="18" t="s">
        <v>123</v>
      </c>
      <c r="AC492" s="18" t="s">
        <v>123</v>
      </c>
      <c r="AD492" s="18" t="s">
        <v>116</v>
      </c>
      <c r="AE492" s="18"/>
      <c r="AF492" s="18"/>
      <c r="AG492" s="18">
        <f>AH492-AI492</f>
        <v>81</v>
      </c>
      <c r="AH492" s="18">
        <v>152</v>
      </c>
      <c r="AI492" s="18">
        <v>71</v>
      </c>
      <c r="AJ492" s="18"/>
      <c r="AK492" s="18">
        <v>18.5</v>
      </c>
      <c r="AL492" s="18">
        <v>1</v>
      </c>
      <c r="AM492" s="18">
        <v>0</v>
      </c>
      <c r="AN492" s="18">
        <v>0</v>
      </c>
      <c r="AO492" s="18">
        <v>1</v>
      </c>
      <c r="AP492" s="18">
        <f>SUM(AL492:AN492)</f>
        <v>1</v>
      </c>
      <c r="AQ492" s="18">
        <v>1.7190000000000001</v>
      </c>
      <c r="AR492" s="18">
        <f>AP492-1.472</f>
        <v>-0.47199999999999998</v>
      </c>
      <c r="AS492" s="18">
        <f>AQ492-1.472</f>
        <v>0.24700000000000011</v>
      </c>
      <c r="AT492" s="16" t="str">
        <f>VLOOKUP(E492,[2]Current!$A$1:$W$435,7,FALSE)</f>
        <v>TE</v>
      </c>
      <c r="AU492" s="16" t="s">
        <v>1288</v>
      </c>
      <c r="AV492" s="23">
        <v>1</v>
      </c>
      <c r="AW492" s="128">
        <f>IF(AX492&gt;0,1,0)</f>
        <v>0</v>
      </c>
      <c r="AX492" s="128">
        <f>SUM(BA492,BM492,CU492)</f>
        <v>0</v>
      </c>
      <c r="AY492" s="128">
        <f>SUM(BB492,BN492,CV492)</f>
        <v>0</v>
      </c>
      <c r="AZ492" s="128">
        <f>IF(BA492&gt;0,1,0)</f>
        <v>0</v>
      </c>
      <c r="BA492" s="128">
        <f>SUM(BC492+BF492+BI492)</f>
        <v>0</v>
      </c>
      <c r="BB492" s="128">
        <f>SUM(BE492,BH492,BK492)</f>
        <v>0</v>
      </c>
      <c r="BC492" s="130">
        <f>IF(BD492&gt;0,1,0)</f>
        <v>0</v>
      </c>
      <c r="BD492" s="128">
        <f>VLOOKUP($E492,[2]Current!$A:$AC,26,FALSE)</f>
        <v>0</v>
      </c>
      <c r="BE492" s="128">
        <f>BD492/$AS492</f>
        <v>0</v>
      </c>
      <c r="BF492" s="130">
        <f>IF(BG492&gt;0,1,0)</f>
        <v>0</v>
      </c>
      <c r="BG492" s="137">
        <f>VLOOKUP($E492,[2]Current!$A:$AC,27,FALSE)</f>
        <v>0</v>
      </c>
      <c r="BH492" s="128">
        <f>BG492/$AS492</f>
        <v>0</v>
      </c>
      <c r="BI492" s="130">
        <f>IF(BJ492&gt;0,1,0)</f>
        <v>0</v>
      </c>
      <c r="BJ492" s="128">
        <f>VLOOKUP($E492,[2]Current!$A:$AC,28,FALSE)</f>
        <v>0</v>
      </c>
      <c r="BK492" s="128">
        <f>BJ492/$AS492</f>
        <v>0</v>
      </c>
      <c r="BL492" s="128">
        <f>IF(BM492&gt;0,1,0)</f>
        <v>0</v>
      </c>
      <c r="BM492" s="128">
        <f>SUM(BR492,BU492,BX492,CA492,CD492)</f>
        <v>0</v>
      </c>
      <c r="BN492" s="131">
        <f>SUM(BT492,BW492,BZ492,CC492,CF492)</f>
        <v>0</v>
      </c>
      <c r="BO492" s="128">
        <f>IF(BP492&gt;0,1,0)</f>
        <v>0</v>
      </c>
      <c r="BP492" s="128">
        <f>BM492+CJ492</f>
        <v>0</v>
      </c>
      <c r="BQ492" s="128">
        <f>BN492+CL492</f>
        <v>0</v>
      </c>
      <c r="BR492" s="130">
        <f>IF(BS492&gt;0,1,0)</f>
        <v>0</v>
      </c>
      <c r="BS492" s="128">
        <f>VLOOKUP($E492,[2]Current!$A:$AC,12,FALSE)</f>
        <v>0</v>
      </c>
      <c r="BT492" s="137">
        <f>BS492/$AS492</f>
        <v>0</v>
      </c>
      <c r="BU492" s="130">
        <f>IF(BV492&gt;0,1,0)</f>
        <v>0</v>
      </c>
      <c r="BV492" s="128">
        <f>VLOOKUP($E492,[2]Current!$A:$AC,13,FALSE)</f>
        <v>0</v>
      </c>
      <c r="BW492" s="128">
        <f>BV492/$AS492</f>
        <v>0</v>
      </c>
      <c r="BX492" s="130">
        <f>IF(BY492&gt;0,1,0)</f>
        <v>0</v>
      </c>
      <c r="BY492" s="128">
        <f>VLOOKUP($E492,[2]Current!$A:$AC,14,FALSE)</f>
        <v>0</v>
      </c>
      <c r="BZ492" s="128">
        <f>BY492/$AS492</f>
        <v>0</v>
      </c>
      <c r="CA492" s="130">
        <f>IF(CB492&gt;0,1,0)</f>
        <v>0</v>
      </c>
      <c r="CB492" s="128">
        <f>VLOOKUP($E492,[2]Current!$A:$AC,15,FALSE)</f>
        <v>0</v>
      </c>
      <c r="CC492" s="128">
        <f>CB492/$AS492</f>
        <v>0</v>
      </c>
      <c r="CD492" s="174">
        <f>IF(CE492&gt;0,1,0)</f>
        <v>0</v>
      </c>
      <c r="CE492" s="128">
        <f>VLOOKUP($E492,[2]Current!$A:$AC,16,FALSE)</f>
        <v>0</v>
      </c>
      <c r="CF492" s="128">
        <f>CE492/$AS492</f>
        <v>0</v>
      </c>
      <c r="CG492" s="18"/>
      <c r="CH492" s="18"/>
      <c r="CI492" s="18"/>
      <c r="CJ492" s="130">
        <f>IF(CK492&gt;0,1,0)</f>
        <v>0</v>
      </c>
      <c r="CK492" s="128">
        <f>VLOOKUP($E492,[2]Current!$A:$AC,18,FALSE)</f>
        <v>0</v>
      </c>
      <c r="CL492" s="128">
        <f>CK492/$AS492</f>
        <v>0</v>
      </c>
      <c r="CS492" s="130">
        <f>IF(CU492&gt;0,1,0)</f>
        <v>0</v>
      </c>
      <c r="CU492" s="128">
        <f>VLOOKUP($E492,[2]Current!$A:$AC,17,FALSE)</f>
        <v>0</v>
      </c>
      <c r="CV492" s="128">
        <f>CU492/$AS492</f>
        <v>0</v>
      </c>
      <c r="CW492" s="18"/>
      <c r="CX492" s="18"/>
      <c r="CY492" s="18"/>
      <c r="DF492" s="16" t="e">
        <f>VLOOKUP(K492,'[3]RNA Seq summary tables'!$V$3:$V$99,1,FALSE)</f>
        <v>#N/A</v>
      </c>
      <c r="DI492" s="18"/>
      <c r="DJ492" s="18"/>
      <c r="DK492" s="18"/>
      <c r="DL492" s="18"/>
      <c r="DM492" s="18"/>
      <c r="DN492" s="18"/>
      <c r="DO492" s="18"/>
      <c r="DP492" s="18"/>
      <c r="DQ492" s="18"/>
      <c r="DR492" s="18"/>
      <c r="DS492" s="18"/>
    </row>
    <row r="493" spans="1:288" x14ac:dyDescent="0.2">
      <c r="B493" s="18">
        <v>2017</v>
      </c>
      <c r="C493" s="65">
        <v>42968</v>
      </c>
      <c r="D493" s="65" t="str">
        <f>CONCATENATE(J493,"-",C493)</f>
        <v>1368-42968</v>
      </c>
      <c r="E493" s="142" t="str">
        <f>CONCATENATE(T493,"-",U493,"-",C493)</f>
        <v>HW1-H6-42968</v>
      </c>
      <c r="F493" s="20" t="s">
        <v>106</v>
      </c>
      <c r="G493" s="65" t="s">
        <v>107</v>
      </c>
      <c r="H493" s="25"/>
      <c r="J493" s="42">
        <v>1368</v>
      </c>
      <c r="K493" s="42">
        <v>2228</v>
      </c>
      <c r="L493" s="18">
        <v>0</v>
      </c>
      <c r="M493" s="21">
        <f>VLOOKUP($K493,'[4]blood tubes 2017'!$D$1:$L$947,8,FALSE)</f>
        <v>0</v>
      </c>
      <c r="N493" s="15">
        <v>0</v>
      </c>
      <c r="O493" s="15" t="s">
        <v>119</v>
      </c>
      <c r="P493" s="25" t="s">
        <v>119</v>
      </c>
      <c r="Q493" s="16">
        <v>0</v>
      </c>
      <c r="R493" s="25" t="s">
        <v>111</v>
      </c>
      <c r="S493" s="25"/>
      <c r="T493" s="25" t="s">
        <v>133</v>
      </c>
      <c r="U493" s="25" t="s">
        <v>141</v>
      </c>
      <c r="V493" s="25" t="s">
        <v>114</v>
      </c>
      <c r="W493" s="16">
        <f>AI493/AG493</f>
        <v>0.8271604938271605</v>
      </c>
      <c r="X493" s="25" t="s">
        <v>115</v>
      </c>
      <c r="Y493" s="25" t="s">
        <v>110</v>
      </c>
      <c r="Z493" s="25">
        <v>3</v>
      </c>
      <c r="AA493" s="25"/>
      <c r="AB493" s="25"/>
      <c r="AC493" s="25"/>
      <c r="AD493" s="25"/>
      <c r="AE493" s="25" t="s">
        <v>116</v>
      </c>
      <c r="AF493" s="25" t="s">
        <v>116</v>
      </c>
      <c r="AG493" s="25">
        <f>AH493-AI493</f>
        <v>81</v>
      </c>
      <c r="AH493" s="25">
        <v>148</v>
      </c>
      <c r="AI493" s="25">
        <v>67</v>
      </c>
      <c r="AJ493" s="25"/>
      <c r="AK493" s="25">
        <v>18</v>
      </c>
      <c r="AL493" s="25">
        <v>1</v>
      </c>
      <c r="AM493" s="25">
        <v>0</v>
      </c>
      <c r="AN493" s="25">
        <v>0</v>
      </c>
      <c r="AO493" s="25">
        <v>1</v>
      </c>
      <c r="AP493" s="25">
        <f>SUM(AL493:AN493)</f>
        <v>1</v>
      </c>
      <c r="AQ493" s="25">
        <v>1.6240000000000001</v>
      </c>
      <c r="AR493" s="25">
        <f>AP493-1.472</f>
        <v>-0.47199999999999998</v>
      </c>
      <c r="AS493" s="25">
        <f>AQ493-1.472</f>
        <v>0.15200000000000014</v>
      </c>
      <c r="AT493" s="16" t="e">
        <f>VLOOKUP(E493,[2]Current!$A$1:$W$435,7,FALSE)</f>
        <v>#N/A</v>
      </c>
      <c r="AU493" s="16">
        <v>0</v>
      </c>
      <c r="AV493" s="25"/>
      <c r="AW493" s="25"/>
      <c r="AX493" s="25"/>
      <c r="AY493" s="25"/>
      <c r="AZ493" s="25"/>
      <c r="BA493" s="25"/>
      <c r="BB493" s="25"/>
      <c r="BC493" s="25"/>
      <c r="BD493" s="25"/>
      <c r="BE493" s="25"/>
      <c r="BF493" s="25"/>
      <c r="BG493" s="78"/>
      <c r="BH493" s="25"/>
      <c r="BI493" s="25"/>
      <c r="BJ493" s="25"/>
      <c r="BK493" s="25"/>
      <c r="BL493" s="25"/>
      <c r="BM493" s="25"/>
      <c r="BN493" s="25"/>
      <c r="BO493" s="25"/>
      <c r="BP493" s="25"/>
      <c r="BQ493" s="25"/>
      <c r="BR493" s="25"/>
      <c r="BS493" s="25"/>
      <c r="BT493" s="78"/>
      <c r="BU493" s="25"/>
      <c r="BV493" s="25"/>
      <c r="BW493" s="25"/>
      <c r="BX493" s="25"/>
      <c r="BY493" s="25"/>
      <c r="BZ493" s="25"/>
      <c r="CA493" s="25"/>
      <c r="CB493" s="25"/>
      <c r="CC493" s="25"/>
      <c r="CD493" s="78"/>
      <c r="CE493" s="25"/>
      <c r="CF493" s="25"/>
      <c r="CG493" s="25"/>
      <c r="CH493" s="25"/>
      <c r="CI493" s="25"/>
      <c r="CJ493" s="25"/>
      <c r="CK493" s="25"/>
      <c r="CL493" s="25"/>
      <c r="CM493" s="25"/>
      <c r="CN493" s="25"/>
      <c r="CO493" s="25"/>
      <c r="CP493" s="25"/>
      <c r="CQ493" s="25"/>
      <c r="CR493" s="25"/>
      <c r="CS493" s="25"/>
      <c r="CT493" s="25"/>
      <c r="CU493" s="25"/>
      <c r="CV493" s="25"/>
      <c r="CW493" s="25"/>
      <c r="CX493" s="25"/>
      <c r="CY493" s="25"/>
      <c r="CZ493" s="25"/>
      <c r="DA493" s="25"/>
      <c r="DB493" s="25"/>
      <c r="DC493" s="25"/>
      <c r="DD493" s="25"/>
      <c r="DE493" s="25"/>
      <c r="DF493" s="16" t="e">
        <f>VLOOKUP(K493,'[3]RNA Seq summary tables'!$V$3:$V$99,1,FALSE)</f>
        <v>#N/A</v>
      </c>
      <c r="DI493" s="25"/>
      <c r="DJ493" s="25"/>
      <c r="DK493" s="25"/>
      <c r="DL493" s="25"/>
      <c r="DM493" s="25"/>
      <c r="DN493" s="25"/>
      <c r="DO493" s="25"/>
      <c r="DP493" s="25"/>
      <c r="DQ493" s="25"/>
      <c r="DR493" s="25"/>
      <c r="DS493" s="25"/>
    </row>
    <row r="494" spans="1:288" ht="16" x14ac:dyDescent="0.2">
      <c r="B494" s="18">
        <v>2017</v>
      </c>
      <c r="C494" s="37">
        <v>42972</v>
      </c>
      <c r="D494" s="37" t="str">
        <f>CONCATENATE(J494,"-",C494)</f>
        <v>1370-42972</v>
      </c>
      <c r="E494" s="37" t="str">
        <f>CONCATENATE(T494,"-",U494,"-",C494)</f>
        <v>SP1-D1-42972</v>
      </c>
      <c r="F494" s="20" t="s">
        <v>106</v>
      </c>
      <c r="G494" s="37" t="s">
        <v>107</v>
      </c>
      <c r="H494" s="18"/>
      <c r="I494" s="16">
        <v>0</v>
      </c>
      <c r="J494" s="36">
        <v>1370</v>
      </c>
      <c r="K494" s="36">
        <v>2233</v>
      </c>
      <c r="L494" s="18">
        <v>0</v>
      </c>
      <c r="M494" s="21">
        <f>VLOOKUP($K494,'[4]blood tubes 2017'!$D$1:$L$947,8,FALSE)</f>
        <v>0</v>
      </c>
      <c r="N494" s="15">
        <v>0</v>
      </c>
      <c r="O494" s="15" t="s">
        <v>119</v>
      </c>
      <c r="P494" s="18" t="s">
        <v>119</v>
      </c>
      <c r="Q494" s="16">
        <v>0</v>
      </c>
      <c r="R494" s="18" t="s">
        <v>111</v>
      </c>
      <c r="S494" s="18"/>
      <c r="T494" s="18" t="s">
        <v>140</v>
      </c>
      <c r="U494" s="18" t="s">
        <v>157</v>
      </c>
      <c r="V494" s="18" t="s">
        <v>142</v>
      </c>
      <c r="W494" s="16">
        <f>AI494/AG494</f>
        <v>0.97530864197530864</v>
      </c>
      <c r="X494" s="18" t="s">
        <v>121</v>
      </c>
      <c r="Y494" s="18" t="s">
        <v>110</v>
      </c>
      <c r="Z494" s="18">
        <v>3</v>
      </c>
      <c r="AA494" s="18" t="s">
        <v>161</v>
      </c>
      <c r="AB494" s="18" t="s">
        <v>123</v>
      </c>
      <c r="AC494" s="18" t="s">
        <v>123</v>
      </c>
      <c r="AD494" s="18" t="s">
        <v>116</v>
      </c>
      <c r="AE494" s="18"/>
      <c r="AF494" s="18"/>
      <c r="AG494" s="18">
        <f>AH494-AI494</f>
        <v>81</v>
      </c>
      <c r="AH494" s="18">
        <v>160</v>
      </c>
      <c r="AI494" s="18">
        <v>79</v>
      </c>
      <c r="AJ494" s="18"/>
      <c r="AK494" s="18">
        <v>15</v>
      </c>
      <c r="AL494" s="18">
        <v>0</v>
      </c>
      <c r="AM494" s="18">
        <v>0</v>
      </c>
      <c r="AN494" s="18">
        <v>0</v>
      </c>
      <c r="AO494" s="18">
        <v>0</v>
      </c>
      <c r="AP494" s="18">
        <f>SUM(AL494:AN494)</f>
        <v>0</v>
      </c>
      <c r="AQ494" s="18">
        <v>1.6859999999999999</v>
      </c>
      <c r="AR494" s="18">
        <f>AP494-1.472</f>
        <v>-1.472</v>
      </c>
      <c r="AS494" s="18">
        <f>AQ494-1.472</f>
        <v>0.21399999999999997</v>
      </c>
      <c r="AT494" s="16" t="str">
        <f>VLOOKUP(E494,[2]Current!$A$1:$W$435,7,FALSE)</f>
        <v>TE</v>
      </c>
      <c r="AU494" s="16" t="s">
        <v>1288</v>
      </c>
      <c r="AV494" s="23">
        <v>1</v>
      </c>
      <c r="AW494" s="128">
        <f>IF(AX494&gt;0,1,0)</f>
        <v>0</v>
      </c>
      <c r="AX494" s="128">
        <f>SUM(BA494,BM494,CU494)</f>
        <v>0</v>
      </c>
      <c r="AY494" s="128">
        <f>SUM(BB494,BN494,CV494)</f>
        <v>0</v>
      </c>
      <c r="AZ494" s="128">
        <f>IF(BA494&gt;0,1,0)</f>
        <v>0</v>
      </c>
      <c r="BA494" s="128">
        <f>SUM(BC494+BF494+BI494)</f>
        <v>0</v>
      </c>
      <c r="BB494" s="128">
        <f>SUM(BE494,BH494,BK494)</f>
        <v>0</v>
      </c>
      <c r="BC494" s="130">
        <f>IF(BD494&gt;0,1,0)</f>
        <v>0</v>
      </c>
      <c r="BD494" s="128">
        <f>VLOOKUP($E494,[2]Current!$A:$AC,26,FALSE)</f>
        <v>0</v>
      </c>
      <c r="BE494" s="128">
        <f>BD494/$AS494</f>
        <v>0</v>
      </c>
      <c r="BF494" s="130">
        <f>IF(BG494&gt;0,1,0)</f>
        <v>0</v>
      </c>
      <c r="BG494" s="137">
        <f>VLOOKUP($E494,[2]Current!$A:$AC,27,FALSE)</f>
        <v>0</v>
      </c>
      <c r="BH494" s="128">
        <f>BG494/$AS494</f>
        <v>0</v>
      </c>
      <c r="BI494" s="130">
        <f>IF(BJ494&gt;0,1,0)</f>
        <v>0</v>
      </c>
      <c r="BJ494" s="128">
        <f>VLOOKUP($E494,[2]Current!$A:$AC,28,FALSE)</f>
        <v>0</v>
      </c>
      <c r="BK494" s="128">
        <f>BJ494/$AS494</f>
        <v>0</v>
      </c>
      <c r="BL494" s="128">
        <f>IF(BM494&gt;0,1,0)</f>
        <v>0</v>
      </c>
      <c r="BM494" s="128">
        <f>SUM(BR494,BU494,BX494,CA494,CD494)</f>
        <v>0</v>
      </c>
      <c r="BN494" s="131">
        <f>SUM(BT494,BW494,BZ494,CC494,CF494)</f>
        <v>0</v>
      </c>
      <c r="BO494" s="128">
        <f>IF(BP494&gt;0,1,0)</f>
        <v>0</v>
      </c>
      <c r="BP494" s="128">
        <f>BM494+CJ494</f>
        <v>0</v>
      </c>
      <c r="BQ494" s="128">
        <f>BN494+CL494</f>
        <v>0</v>
      </c>
      <c r="BR494" s="130">
        <f>IF(BS494&gt;0,1,0)</f>
        <v>0</v>
      </c>
      <c r="BS494" s="128">
        <f>VLOOKUP($E494,[2]Current!$A:$AC,12,FALSE)</f>
        <v>0</v>
      </c>
      <c r="BT494" s="137">
        <f>BS494/$AS494</f>
        <v>0</v>
      </c>
      <c r="BU494" s="130">
        <f>IF(BV494&gt;0,1,0)</f>
        <v>0</v>
      </c>
      <c r="BV494" s="128">
        <f>VLOOKUP($E494,[2]Current!$A:$AC,13,FALSE)</f>
        <v>0</v>
      </c>
      <c r="BW494" s="128">
        <f>BV494/$AS494</f>
        <v>0</v>
      </c>
      <c r="BX494" s="130">
        <f>IF(BY494&gt;0,1,0)</f>
        <v>0</v>
      </c>
      <c r="BY494" s="128">
        <f>VLOOKUP($E494,[2]Current!$A:$AC,14,FALSE)</f>
        <v>0</v>
      </c>
      <c r="BZ494" s="128">
        <f>BY494/$AS494</f>
        <v>0</v>
      </c>
      <c r="CA494" s="130">
        <f>IF(CB494&gt;0,1,0)</f>
        <v>0</v>
      </c>
      <c r="CB494" s="128">
        <f>VLOOKUP($E494,[2]Current!$A:$AC,15,FALSE)</f>
        <v>0</v>
      </c>
      <c r="CC494" s="128">
        <f>CB494/$AS494</f>
        <v>0</v>
      </c>
      <c r="CD494" s="174">
        <f>IF(CE494&gt;0,1,0)</f>
        <v>0</v>
      </c>
      <c r="CE494" s="128">
        <f>VLOOKUP($E494,[2]Current!$A:$AC,16,FALSE)</f>
        <v>0</v>
      </c>
      <c r="CF494" s="128">
        <f>CE494/$AS494</f>
        <v>0</v>
      </c>
      <c r="CG494" s="18"/>
      <c r="CH494" s="18"/>
      <c r="CI494" s="18"/>
      <c r="CJ494" s="130">
        <f>IF(CK494&gt;0,1,0)</f>
        <v>0</v>
      </c>
      <c r="CK494" s="128">
        <f>VLOOKUP($E494,[2]Current!$A:$AC,18,FALSE)</f>
        <v>0</v>
      </c>
      <c r="CL494" s="128">
        <f>CK494/$AS494</f>
        <v>0</v>
      </c>
      <c r="CS494" s="130">
        <f>IF(CU494&gt;0,1,0)</f>
        <v>0</v>
      </c>
      <c r="CU494" s="128">
        <f>VLOOKUP($E494,[2]Current!$A:$AC,17,FALSE)</f>
        <v>0</v>
      </c>
      <c r="CV494" s="128">
        <f>CU494/$AS494</f>
        <v>0</v>
      </c>
      <c r="CW494" s="18"/>
      <c r="CX494" s="18"/>
      <c r="CY494" s="18"/>
      <c r="DF494" s="16" t="e">
        <f>VLOOKUP(K494,'[3]RNA Seq summary tables'!$V$3:$V$99,1,FALSE)</f>
        <v>#N/A</v>
      </c>
      <c r="DI494" s="18"/>
      <c r="DJ494" s="18"/>
      <c r="DK494" s="18"/>
      <c r="DL494" s="18"/>
      <c r="DM494" s="18"/>
      <c r="DN494" s="18"/>
      <c r="DO494" s="18"/>
      <c r="DP494" s="18"/>
      <c r="DQ494" s="18"/>
      <c r="DR494" s="18"/>
      <c r="DS494" s="18"/>
    </row>
    <row r="495" spans="1:288" ht="16" x14ac:dyDescent="0.2">
      <c r="B495" s="18">
        <v>2017</v>
      </c>
      <c r="C495" s="65">
        <v>42972</v>
      </c>
      <c r="D495" s="37" t="str">
        <f>CONCATENATE(J495,"-",C495)</f>
        <v>1372-42972</v>
      </c>
      <c r="E495" s="37" t="str">
        <f>CONCATENATE(T495,"-",U495,"-",C495)</f>
        <v>SP1-G2-42972</v>
      </c>
      <c r="F495" s="20" t="s">
        <v>106</v>
      </c>
      <c r="G495" s="65" t="s">
        <v>107</v>
      </c>
      <c r="H495" s="25"/>
      <c r="I495" s="16">
        <v>0</v>
      </c>
      <c r="J495" s="42">
        <v>1372</v>
      </c>
      <c r="K495" s="42">
        <v>2237</v>
      </c>
      <c r="L495" s="18">
        <v>0</v>
      </c>
      <c r="M495" s="21">
        <f>VLOOKUP($K495,'[4]blood tubes 2017'!$D$1:$L$947,8,FALSE)</f>
        <v>0</v>
      </c>
      <c r="N495" s="15">
        <v>0</v>
      </c>
      <c r="O495" s="15" t="s">
        <v>119</v>
      </c>
      <c r="P495" s="25" t="s">
        <v>119</v>
      </c>
      <c r="Q495" s="16">
        <v>0</v>
      </c>
      <c r="R495" s="25" t="s">
        <v>111</v>
      </c>
      <c r="S495" s="25"/>
      <c r="T495" s="25" t="s">
        <v>140</v>
      </c>
      <c r="U495" s="25" t="s">
        <v>128</v>
      </c>
      <c r="V495" s="25" t="s">
        <v>114</v>
      </c>
      <c r="W495" s="16">
        <f>AI495/AG495</f>
        <v>0.81176470588235294</v>
      </c>
      <c r="X495" s="25" t="s">
        <v>115</v>
      </c>
      <c r="Y495" s="25" t="s">
        <v>122</v>
      </c>
      <c r="Z495" s="25">
        <v>2.9</v>
      </c>
      <c r="AA495" s="25"/>
      <c r="AB495" s="25"/>
      <c r="AC495" s="25"/>
      <c r="AD495" s="25"/>
      <c r="AE495" s="25" t="s">
        <v>123</v>
      </c>
      <c r="AF495" s="25" t="s">
        <v>123</v>
      </c>
      <c r="AG495" s="25">
        <f>AH495-AI495</f>
        <v>85</v>
      </c>
      <c r="AH495" s="25">
        <v>154</v>
      </c>
      <c r="AI495" s="25">
        <v>69</v>
      </c>
      <c r="AJ495" s="25"/>
      <c r="AK495" s="25">
        <v>16</v>
      </c>
      <c r="AL495" s="25">
        <v>0</v>
      </c>
      <c r="AM495" s="25">
        <v>0</v>
      </c>
      <c r="AN495" s="25">
        <v>0</v>
      </c>
      <c r="AO495" s="25">
        <v>0</v>
      </c>
      <c r="AP495" s="25">
        <f>SUM(AL495:AN495)</f>
        <v>0</v>
      </c>
      <c r="AQ495" s="25">
        <v>1.538</v>
      </c>
      <c r="AR495" s="25">
        <f>AP495-1.472</f>
        <v>-1.472</v>
      </c>
      <c r="AS495" s="25">
        <f>AQ495-1.472</f>
        <v>6.6000000000000059E-2</v>
      </c>
      <c r="AT495" s="16" t="str">
        <f>VLOOKUP(E495,[2]Current!$A$1:$W$435,7,FALSE)</f>
        <v>JY</v>
      </c>
      <c r="AU495" s="16" t="s">
        <v>1288</v>
      </c>
      <c r="AV495" s="23">
        <v>1</v>
      </c>
      <c r="AW495" s="128">
        <f>IF(AX495&gt;0,1,0)</f>
        <v>0</v>
      </c>
      <c r="AX495" s="128">
        <f>SUM(BA495,BM495,CU495)</f>
        <v>0</v>
      </c>
      <c r="AY495" s="128">
        <f>SUM(BB495,BN495,CV495)</f>
        <v>0</v>
      </c>
      <c r="AZ495" s="128">
        <f>IF(BA495&gt;0,1,0)</f>
        <v>0</v>
      </c>
      <c r="BA495" s="128">
        <f>SUM(BC495+BF495+BI495)</f>
        <v>0</v>
      </c>
      <c r="BB495" s="128">
        <f>SUM(BE495,BH495,BK495)</f>
        <v>0</v>
      </c>
      <c r="BC495" s="130">
        <f>IF(BD495&gt;0,1,0)</f>
        <v>0</v>
      </c>
      <c r="BD495" s="128">
        <f>VLOOKUP($E495,[2]Current!$A:$AC,26,FALSE)</f>
        <v>0</v>
      </c>
      <c r="BE495" s="128">
        <f>BD495/$AS495</f>
        <v>0</v>
      </c>
      <c r="BF495" s="130">
        <f>IF(BG495&gt;0,1,0)</f>
        <v>0</v>
      </c>
      <c r="BG495" s="137">
        <f>VLOOKUP($E495,[2]Current!$A:$AC,27,FALSE)</f>
        <v>0</v>
      </c>
      <c r="BH495" s="128">
        <f>BG495/$AS495</f>
        <v>0</v>
      </c>
      <c r="BI495" s="130">
        <f>IF(BJ495&gt;0,1,0)</f>
        <v>0</v>
      </c>
      <c r="BJ495" s="128">
        <f>VLOOKUP($E495,[2]Current!$A:$AC,28,FALSE)</f>
        <v>0</v>
      </c>
      <c r="BK495" s="128">
        <f>BJ495/$AS495</f>
        <v>0</v>
      </c>
      <c r="BL495" s="128">
        <f>IF(BM495&gt;0,1,0)</f>
        <v>0</v>
      </c>
      <c r="BM495" s="128">
        <f>SUM(BR495,BU495,BX495,CA495,CD495)</f>
        <v>0</v>
      </c>
      <c r="BN495" s="131">
        <f>SUM(BT495,BW495,BZ495,CC495,CF495)</f>
        <v>0</v>
      </c>
      <c r="BO495" s="128">
        <f>IF(BP495&gt;0,1,0)</f>
        <v>1</v>
      </c>
      <c r="BP495" s="128">
        <f>BM495+CJ495</f>
        <v>1</v>
      </c>
      <c r="BQ495" s="128">
        <f>BN495+CL495</f>
        <v>30.303030303030276</v>
      </c>
      <c r="BR495" s="130">
        <f>IF(BS495&gt;0,1,0)</f>
        <v>0</v>
      </c>
      <c r="BS495" s="128">
        <f>VLOOKUP($E495,[2]Current!$A:$AC,12,FALSE)</f>
        <v>0</v>
      </c>
      <c r="BT495" s="137">
        <f>BS495/$AS495</f>
        <v>0</v>
      </c>
      <c r="BU495" s="130">
        <f>IF(BV495&gt;0,1,0)</f>
        <v>0</v>
      </c>
      <c r="BV495" s="128">
        <f>VLOOKUP($E495,[2]Current!$A:$AC,13,FALSE)</f>
        <v>0</v>
      </c>
      <c r="BW495" s="128">
        <f>BV495/$AS495</f>
        <v>0</v>
      </c>
      <c r="BX495" s="130">
        <f>IF(BY495&gt;0,1,0)</f>
        <v>0</v>
      </c>
      <c r="BY495" s="128">
        <f>VLOOKUP($E495,[2]Current!$A:$AC,14,FALSE)</f>
        <v>0</v>
      </c>
      <c r="BZ495" s="128">
        <f>BY495/$AS495</f>
        <v>0</v>
      </c>
      <c r="CA495" s="130">
        <f>IF(CB495&gt;0,1,0)</f>
        <v>0</v>
      </c>
      <c r="CB495" s="128">
        <f>VLOOKUP($E495,[2]Current!$A:$AC,15,FALSE)</f>
        <v>0</v>
      </c>
      <c r="CC495" s="128">
        <f>CB495/$AS495</f>
        <v>0</v>
      </c>
      <c r="CD495" s="174">
        <f>IF(CE495&gt;0,1,0)</f>
        <v>0</v>
      </c>
      <c r="CE495" s="128">
        <f>VLOOKUP($E495,[2]Current!$A:$AC,16,FALSE)</f>
        <v>0</v>
      </c>
      <c r="CF495" s="128">
        <f>CE495/$AS495</f>
        <v>0</v>
      </c>
      <c r="CG495" s="18"/>
      <c r="CH495" s="18"/>
      <c r="CI495" s="18"/>
      <c r="CJ495" s="130">
        <f>IF(CK495&gt;0,1,0)</f>
        <v>1</v>
      </c>
      <c r="CK495" s="128">
        <f>VLOOKUP($E495,[2]Current!$A:$AC,18,FALSE)</f>
        <v>2</v>
      </c>
      <c r="CL495" s="128">
        <f>CK495/$AS495</f>
        <v>30.303030303030276</v>
      </c>
      <c r="CS495" s="130">
        <f>IF(CU495&gt;0,1,0)</f>
        <v>0</v>
      </c>
      <c r="CU495" s="128">
        <f>VLOOKUP($E495,[2]Current!$A:$AC,17,FALSE)</f>
        <v>0</v>
      </c>
      <c r="CV495" s="128">
        <f>CU495/$AS495</f>
        <v>0</v>
      </c>
      <c r="CW495" s="18"/>
      <c r="CX495" s="18"/>
      <c r="CY495" s="18"/>
      <c r="DF495" s="16" t="e">
        <f>VLOOKUP(K495,'[3]RNA Seq summary tables'!$V$3:$V$99,1,FALSE)</f>
        <v>#N/A</v>
      </c>
      <c r="DI495" s="25"/>
      <c r="DJ495" s="25"/>
      <c r="DK495" s="25"/>
      <c r="DL495" s="25"/>
      <c r="DM495" s="25"/>
      <c r="DN495" s="25"/>
      <c r="DO495" s="25"/>
      <c r="DP495" s="25"/>
      <c r="DQ495" s="25"/>
      <c r="DR495" s="25"/>
      <c r="DS495" s="25"/>
      <c r="DT495" s="25"/>
      <c r="DU495" s="25"/>
      <c r="DV495" s="25"/>
      <c r="DW495" s="25"/>
      <c r="DX495" s="25"/>
      <c r="DY495" s="25"/>
      <c r="DZ495" s="25"/>
      <c r="EA495" s="25"/>
      <c r="EB495" s="25"/>
      <c r="EC495" s="25"/>
      <c r="ED495" s="25"/>
      <c r="EE495" s="25"/>
      <c r="EF495" s="25"/>
      <c r="EG495" s="25"/>
      <c r="EH495" s="25"/>
      <c r="EI495" s="25"/>
      <c r="EJ495" s="25"/>
      <c r="EK495" s="25"/>
      <c r="EL495" s="25"/>
      <c r="EM495" s="25"/>
      <c r="EN495" s="25"/>
      <c r="EO495" s="25"/>
      <c r="EP495" s="25"/>
      <c r="EQ495" s="25"/>
      <c r="ER495" s="25"/>
      <c r="ES495" s="25"/>
      <c r="ET495" s="25"/>
      <c r="EU495" s="25"/>
      <c r="EV495" s="25"/>
      <c r="EW495" s="25"/>
      <c r="EX495" s="25"/>
      <c r="EY495" s="25"/>
      <c r="EZ495" s="25"/>
      <c r="FA495" s="25"/>
      <c r="FB495" s="25"/>
      <c r="FC495" s="25"/>
      <c r="FD495" s="25"/>
      <c r="FE495" s="25"/>
      <c r="FF495" s="25"/>
      <c r="FG495" s="25"/>
      <c r="FH495" s="25"/>
      <c r="FI495" s="25"/>
      <c r="FJ495" s="25"/>
      <c r="FK495" s="25"/>
      <c r="FL495" s="25"/>
      <c r="FM495" s="25"/>
      <c r="FN495" s="25"/>
      <c r="FO495" s="25"/>
      <c r="FP495" s="25"/>
      <c r="FQ495" s="25"/>
      <c r="FR495" s="25"/>
      <c r="FS495" s="25"/>
      <c r="FT495" s="25"/>
      <c r="FU495" s="25"/>
      <c r="FV495" s="25"/>
      <c r="FW495" s="25"/>
      <c r="FX495" s="25"/>
      <c r="FY495" s="25"/>
      <c r="FZ495" s="25"/>
      <c r="GA495" s="25"/>
      <c r="GB495" s="25"/>
      <c r="GC495" s="25"/>
      <c r="GD495" s="25"/>
      <c r="GE495" s="25"/>
      <c r="GF495" s="25"/>
      <c r="GG495" s="25"/>
      <c r="GH495" s="25"/>
      <c r="GI495" s="25"/>
      <c r="GJ495" s="25"/>
      <c r="GK495" s="25"/>
      <c r="GL495" s="25"/>
      <c r="GM495" s="25"/>
      <c r="GN495" s="25"/>
      <c r="GO495" s="25"/>
      <c r="GP495" s="25"/>
      <c r="GQ495" s="25"/>
      <c r="GR495" s="25"/>
      <c r="GS495" s="25"/>
      <c r="GT495" s="25"/>
      <c r="GU495" s="25"/>
      <c r="GV495" s="25"/>
      <c r="GW495" s="25"/>
      <c r="GX495" s="25"/>
      <c r="GY495" s="25"/>
      <c r="GZ495" s="25"/>
      <c r="HA495" s="25"/>
      <c r="HB495" s="25"/>
      <c r="HC495" s="25"/>
      <c r="HD495" s="25"/>
      <c r="HE495" s="25"/>
      <c r="HF495" s="25"/>
      <c r="HG495" s="25"/>
      <c r="HH495" s="25"/>
      <c r="HI495" s="25"/>
      <c r="HJ495" s="25"/>
      <c r="HK495" s="25"/>
      <c r="HL495" s="25"/>
      <c r="HM495" s="25"/>
      <c r="HN495" s="25"/>
      <c r="HO495" s="25"/>
      <c r="HP495" s="25"/>
      <c r="HQ495" s="25"/>
      <c r="HR495" s="25"/>
      <c r="HS495" s="25"/>
      <c r="HT495" s="25"/>
      <c r="HU495" s="25"/>
      <c r="HV495" s="25"/>
      <c r="HW495" s="25"/>
      <c r="HX495" s="25"/>
      <c r="HY495" s="25"/>
      <c r="HZ495" s="25"/>
      <c r="IA495" s="25"/>
      <c r="IB495" s="25"/>
      <c r="IC495" s="25"/>
      <c r="ID495" s="25"/>
      <c r="IE495" s="25"/>
      <c r="IF495" s="25"/>
      <c r="IG495" s="25"/>
      <c r="IH495" s="25"/>
      <c r="II495" s="25"/>
      <c r="IJ495" s="25"/>
      <c r="IK495" s="25"/>
      <c r="IL495" s="25"/>
      <c r="IM495" s="25"/>
      <c r="IN495" s="25"/>
      <c r="IO495" s="25"/>
      <c r="IP495" s="25"/>
      <c r="IQ495" s="25"/>
      <c r="IR495" s="25"/>
      <c r="IS495" s="25"/>
      <c r="IT495" s="25"/>
      <c r="IU495" s="25"/>
      <c r="IV495" s="25"/>
      <c r="IW495" s="25"/>
      <c r="IX495" s="25"/>
      <c r="IY495" s="25"/>
      <c r="IZ495" s="25"/>
      <c r="JA495" s="25"/>
      <c r="JB495" s="25"/>
      <c r="JC495" s="25"/>
      <c r="JD495" s="25"/>
      <c r="JE495" s="25"/>
      <c r="JF495" s="25"/>
      <c r="JG495" s="25"/>
      <c r="JH495" s="25"/>
      <c r="JI495" s="25"/>
      <c r="JJ495" s="25"/>
      <c r="JK495" s="25"/>
      <c r="JL495" s="25"/>
      <c r="JM495" s="25"/>
      <c r="JN495" s="25"/>
    </row>
    <row r="496" spans="1:288" ht="16" x14ac:dyDescent="0.2">
      <c r="B496" s="18">
        <v>2017</v>
      </c>
      <c r="C496" s="65">
        <v>42972</v>
      </c>
      <c r="D496" s="65" t="str">
        <f>CONCATENATE(J496,"-",C496)</f>
        <v>1373-42972</v>
      </c>
      <c r="E496" s="37" t="str">
        <f>CONCATENATE(T496,"-",U496,"-",C496)</f>
        <v>SP1-H8-42972</v>
      </c>
      <c r="F496" s="20" t="s">
        <v>106</v>
      </c>
      <c r="G496" s="65" t="s">
        <v>107</v>
      </c>
      <c r="H496" s="25" t="s">
        <v>262</v>
      </c>
      <c r="I496" s="16">
        <v>0</v>
      </c>
      <c r="J496" s="42">
        <v>1373</v>
      </c>
      <c r="K496" s="42">
        <v>2241</v>
      </c>
      <c r="L496" s="18">
        <v>0</v>
      </c>
      <c r="M496" s="21">
        <f>VLOOKUP($K496,'[4]blood tubes 2017'!$D$1:$L$947,8,FALSE)</f>
        <v>0</v>
      </c>
      <c r="N496" s="15">
        <v>0</v>
      </c>
      <c r="O496" s="15" t="s">
        <v>119</v>
      </c>
      <c r="P496" s="25" t="s">
        <v>119</v>
      </c>
      <c r="R496" s="25" t="s">
        <v>111</v>
      </c>
      <c r="S496" s="25"/>
      <c r="T496" s="25" t="s">
        <v>140</v>
      </c>
      <c r="U496" s="25" t="s">
        <v>152</v>
      </c>
      <c r="V496" s="25" t="s">
        <v>114</v>
      </c>
      <c r="W496" s="16">
        <f>AI496/AG496</f>
        <v>0.9</v>
      </c>
      <c r="X496" s="25" t="s">
        <v>121</v>
      </c>
      <c r="Y496" s="25" t="s">
        <v>110</v>
      </c>
      <c r="Z496" s="25">
        <v>3</v>
      </c>
      <c r="AA496" s="25" t="s">
        <v>119</v>
      </c>
      <c r="AB496" s="25" t="s">
        <v>239</v>
      </c>
      <c r="AC496" s="25" t="s">
        <v>123</v>
      </c>
      <c r="AD496" s="25" t="s">
        <v>123</v>
      </c>
      <c r="AE496" s="25"/>
      <c r="AF496" s="25"/>
      <c r="AG496" s="25">
        <f>AH496-AI496</f>
        <v>100</v>
      </c>
      <c r="AH496" s="25">
        <v>190</v>
      </c>
      <c r="AI496" s="25">
        <v>90</v>
      </c>
      <c r="AJ496" s="25"/>
      <c r="AK496" s="25">
        <v>30</v>
      </c>
      <c r="AL496" s="25">
        <v>0</v>
      </c>
      <c r="AM496" s="25">
        <v>0</v>
      </c>
      <c r="AN496" s="25">
        <v>0</v>
      </c>
      <c r="AO496" s="25">
        <v>0</v>
      </c>
      <c r="AP496" s="25">
        <f>SUM(AL496:AN496)</f>
        <v>0</v>
      </c>
      <c r="AQ496" s="25">
        <v>1.7629999999999999</v>
      </c>
      <c r="AR496" s="25">
        <f>AP496-1.472</f>
        <v>-1.472</v>
      </c>
      <c r="AS496" s="25">
        <f>AQ496-1.472</f>
        <v>0.29099999999999993</v>
      </c>
      <c r="AT496" s="16" t="str">
        <f>VLOOKUP(E496,[2]Current!$A$1:$W$435,7,FALSE)</f>
        <v>NB</v>
      </c>
      <c r="AU496" s="16" t="s">
        <v>1288</v>
      </c>
      <c r="AV496" s="18"/>
      <c r="AW496" s="128">
        <f>IF(AX496&gt;0,1,0)</f>
        <v>1</v>
      </c>
      <c r="AX496" s="128">
        <f>SUM(BA496,BM496,CU496)</f>
        <v>2</v>
      </c>
      <c r="AY496" s="128">
        <f>SUM(BB496,BN496,CV496)</f>
        <v>1281.7869415807563</v>
      </c>
      <c r="AZ496" s="128">
        <f>IF(BA496&gt;0,1,0)</f>
        <v>1</v>
      </c>
      <c r="BA496" s="128">
        <f>SUM(BC496+BF496+BI496)</f>
        <v>1</v>
      </c>
      <c r="BB496" s="128">
        <f>SUM(BE496,BH496,BK496)</f>
        <v>1192.4398625429556</v>
      </c>
      <c r="BC496" s="130">
        <f>IF(BD496&gt;0,1,0)</f>
        <v>0</v>
      </c>
      <c r="BD496" s="128">
        <f>VLOOKUP($E496,[2]Current!$A:$AC,26,FALSE)</f>
        <v>0</v>
      </c>
      <c r="BE496" s="128">
        <f>BD496/$AS496</f>
        <v>0</v>
      </c>
      <c r="BF496" s="130">
        <f>IF(BG496&gt;0,1,0)</f>
        <v>1</v>
      </c>
      <c r="BG496" s="137">
        <f>VLOOKUP($E496,[2]Current!$A:$AC,27,FALSE)</f>
        <v>347</v>
      </c>
      <c r="BH496" s="128">
        <f>BG496/$AS496</f>
        <v>1192.4398625429556</v>
      </c>
      <c r="BI496" s="130">
        <f>IF(BJ496&gt;0,1,0)</f>
        <v>0</v>
      </c>
      <c r="BJ496" s="128">
        <f>VLOOKUP($E496,[2]Current!$A:$AC,28,FALSE)</f>
        <v>0</v>
      </c>
      <c r="BK496" s="128">
        <f>BJ496/$AS496</f>
        <v>0</v>
      </c>
      <c r="BL496" s="128">
        <f>IF(BM496&gt;0,1,0)</f>
        <v>1</v>
      </c>
      <c r="BM496" s="128">
        <f>SUM(BR496,BU496,BX496,CA496,CD496)</f>
        <v>1</v>
      </c>
      <c r="BN496" s="131">
        <f>SUM(BT496,BW496,BZ496,CC496,CF496)</f>
        <v>89.347079037800711</v>
      </c>
      <c r="BO496" s="128">
        <f>IF(BP496&gt;0,1,0)</f>
        <v>1</v>
      </c>
      <c r="BP496" s="128">
        <f>BM496+CJ496</f>
        <v>1</v>
      </c>
      <c r="BQ496" s="128">
        <f>BN496+CL496</f>
        <v>89.347079037800711</v>
      </c>
      <c r="BR496" s="130">
        <f>IF(BS496&gt;0,1,0)</f>
        <v>0</v>
      </c>
      <c r="BS496" s="128">
        <f>VLOOKUP($E496,[2]Current!$A:$AC,12,FALSE)</f>
        <v>0</v>
      </c>
      <c r="BT496" s="137">
        <f>BS496/$AS496</f>
        <v>0</v>
      </c>
      <c r="BU496" s="130">
        <f>IF(BV496&gt;0,1,0)</f>
        <v>0</v>
      </c>
      <c r="BV496" s="128">
        <f>VLOOKUP($E496,[2]Current!$A:$AC,13,FALSE)</f>
        <v>0</v>
      </c>
      <c r="BW496" s="128">
        <f>BV496/$AS496</f>
        <v>0</v>
      </c>
      <c r="BX496" s="130">
        <f>IF(BY496&gt;0,1,0)</f>
        <v>1</v>
      </c>
      <c r="BY496" s="128">
        <f>VLOOKUP($E496,[2]Current!$A:$AC,14,FALSE)</f>
        <v>26</v>
      </c>
      <c r="BZ496" s="128">
        <f>BY496/$AS496</f>
        <v>89.347079037800711</v>
      </c>
      <c r="CA496" s="130">
        <f>IF(CB496&gt;0,1,0)</f>
        <v>0</v>
      </c>
      <c r="CB496" s="128">
        <f>VLOOKUP($E496,[2]Current!$A:$AC,15,FALSE)</f>
        <v>0</v>
      </c>
      <c r="CC496" s="128">
        <f>CB496/$AS496</f>
        <v>0</v>
      </c>
      <c r="CD496" s="174">
        <f>IF(CE496&gt;0,1,0)</f>
        <v>0</v>
      </c>
      <c r="CE496" s="128">
        <f>VLOOKUP($E496,[2]Current!$A:$AC,16,FALSE)</f>
        <v>0</v>
      </c>
      <c r="CF496" s="128">
        <f>CE496/$AS496</f>
        <v>0</v>
      </c>
      <c r="CG496" s="18"/>
      <c r="CH496" s="18"/>
      <c r="CI496" s="18"/>
      <c r="CJ496" s="130">
        <f>IF(CK496&gt;0,1,0)</f>
        <v>0</v>
      </c>
      <c r="CK496" s="128">
        <f>VLOOKUP($E496,[2]Current!$A:$AC,18,FALSE)</f>
        <v>0</v>
      </c>
      <c r="CL496" s="128">
        <f>CK496/$AS496</f>
        <v>0</v>
      </c>
      <c r="CS496" s="130">
        <f>IF(CU496&gt;0,1,0)</f>
        <v>0</v>
      </c>
      <c r="CU496" s="128">
        <f>VLOOKUP($E496,[2]Current!$A:$AC,17,FALSE)</f>
        <v>0</v>
      </c>
      <c r="CV496" s="128">
        <f>CU496/$AS496</f>
        <v>0</v>
      </c>
      <c r="CW496" s="18"/>
      <c r="CX496" s="18"/>
      <c r="CY496" s="18"/>
      <c r="DF496" s="16" t="e">
        <f>VLOOKUP(K496,'[3]RNA Seq summary tables'!$V$3:$V$99,1,FALSE)</f>
        <v>#N/A</v>
      </c>
      <c r="DI496" s="25"/>
      <c r="DJ496" s="25"/>
      <c r="DK496" s="25"/>
      <c r="DL496" s="25"/>
      <c r="DM496" s="25"/>
      <c r="DN496" s="25"/>
      <c r="DO496" s="25"/>
      <c r="DP496" s="25"/>
      <c r="DQ496" s="25"/>
      <c r="DR496" s="25"/>
      <c r="DS496" s="25"/>
    </row>
    <row r="497" spans="1:288" ht="16" x14ac:dyDescent="0.2">
      <c r="B497" s="16">
        <v>2017</v>
      </c>
      <c r="C497" s="20">
        <v>42972</v>
      </c>
      <c r="D497" s="20" t="str">
        <f>CONCATENATE(J497,"-",C497)</f>
        <v>1375-42972</v>
      </c>
      <c r="E497" s="37" t="str">
        <f>CONCATENATE(T497,"-",U497,"-",C497)</f>
        <v>SP2-A2-42972</v>
      </c>
      <c r="F497" s="20" t="s">
        <v>106</v>
      </c>
      <c r="G497" s="20" t="s">
        <v>107</v>
      </c>
      <c r="I497" s="16">
        <v>0</v>
      </c>
      <c r="J497" s="21">
        <v>1375</v>
      </c>
      <c r="K497" s="21">
        <v>2242</v>
      </c>
      <c r="L497" s="18">
        <v>0</v>
      </c>
      <c r="M497" s="21">
        <f>VLOOKUP($K497,'[4]blood tubes 2017'!$D$1:$L$947,8,FALSE)</f>
        <v>0</v>
      </c>
      <c r="N497" s="15">
        <v>0</v>
      </c>
      <c r="O497" s="15" t="s">
        <v>119</v>
      </c>
      <c r="P497" s="16" t="s">
        <v>119</v>
      </c>
      <c r="Q497" s="16">
        <v>0</v>
      </c>
      <c r="R497" s="16" t="s">
        <v>111</v>
      </c>
      <c r="T497" s="16" t="s">
        <v>137</v>
      </c>
      <c r="U497" s="16" t="s">
        <v>171</v>
      </c>
      <c r="V497" s="16" t="s">
        <v>114</v>
      </c>
      <c r="W497" s="16">
        <f>AI497/AG497</f>
        <v>0.81818181818181823</v>
      </c>
      <c r="X497" s="16" t="s">
        <v>121</v>
      </c>
      <c r="Y497" s="16" t="s">
        <v>110</v>
      </c>
      <c r="Z497" s="16">
        <v>3</v>
      </c>
      <c r="AA497" s="16" t="s">
        <v>119</v>
      </c>
      <c r="AB497" s="16" t="s">
        <v>239</v>
      </c>
      <c r="AC497" s="16" t="s">
        <v>123</v>
      </c>
      <c r="AD497" s="16" t="s">
        <v>123</v>
      </c>
      <c r="AG497" s="16">
        <f>AH497-AI497</f>
        <v>88</v>
      </c>
      <c r="AH497" s="16">
        <v>160</v>
      </c>
      <c r="AI497" s="16">
        <v>72</v>
      </c>
      <c r="AK497" s="16">
        <v>20.5</v>
      </c>
      <c r="AL497" s="16">
        <v>0</v>
      </c>
      <c r="AM497" s="16">
        <v>0</v>
      </c>
      <c r="AN497" s="16">
        <v>0</v>
      </c>
      <c r="AO497" s="16">
        <v>0</v>
      </c>
      <c r="AP497" s="16">
        <f>SUM(AL497:AN497)</f>
        <v>0</v>
      </c>
      <c r="AQ497" s="16">
        <v>1.962</v>
      </c>
      <c r="AR497" s="16">
        <f>AP497-1.472</f>
        <v>-1.472</v>
      </c>
      <c r="AS497" s="16">
        <f>AQ497-1.472</f>
        <v>0.49</v>
      </c>
      <c r="AT497" s="16" t="str">
        <f>VLOOKUP(E497,[2]Current!$A$1:$W$435,7,FALSE)</f>
        <v>JY</v>
      </c>
      <c r="AU497" s="16" t="s">
        <v>1288</v>
      </c>
      <c r="AV497" s="23">
        <v>1</v>
      </c>
      <c r="AW497" s="128">
        <f>IF(AX497&gt;0,1,0)</f>
        <v>0</v>
      </c>
      <c r="AX497" s="128">
        <f>SUM(BA497,BM497,CU497)</f>
        <v>0</v>
      </c>
      <c r="AY497" s="128">
        <f>SUM(BB497,BN497,CV497)</f>
        <v>0</v>
      </c>
      <c r="AZ497" s="128">
        <f>IF(BA497&gt;0,1,0)</f>
        <v>0</v>
      </c>
      <c r="BA497" s="128">
        <f>SUM(BC497+BF497+BI497)</f>
        <v>0</v>
      </c>
      <c r="BB497" s="128">
        <f>SUM(BE497,BH497,BK497)</f>
        <v>0</v>
      </c>
      <c r="BC497" s="130">
        <f>IF(BD497&gt;0,1,0)</f>
        <v>0</v>
      </c>
      <c r="BD497" s="128">
        <f>VLOOKUP($E497,[2]Current!$A:$AC,26,FALSE)</f>
        <v>0</v>
      </c>
      <c r="BE497" s="128">
        <f>BD497/$AS497</f>
        <v>0</v>
      </c>
      <c r="BF497" s="130">
        <f>IF(BG497&gt;0,1,0)</f>
        <v>0</v>
      </c>
      <c r="BG497" s="137">
        <f>VLOOKUP($E497,[2]Current!$A:$AC,27,FALSE)</f>
        <v>0</v>
      </c>
      <c r="BH497" s="128">
        <f>BG497/$AS497</f>
        <v>0</v>
      </c>
      <c r="BI497" s="130">
        <f>IF(BJ497&gt;0,1,0)</f>
        <v>0</v>
      </c>
      <c r="BJ497" s="128">
        <f>VLOOKUP($E497,[2]Current!$A:$AC,28,FALSE)</f>
        <v>0</v>
      </c>
      <c r="BK497" s="128">
        <f>BJ497/$AS497</f>
        <v>0</v>
      </c>
      <c r="BL497" s="128">
        <f>IF(BM497&gt;0,1,0)</f>
        <v>0</v>
      </c>
      <c r="BM497" s="128">
        <f>SUM(BR497,BU497,BX497,CA497,CD497)</f>
        <v>0</v>
      </c>
      <c r="BN497" s="131">
        <f>SUM(BT497,BW497,BZ497,CC497,CF497)</f>
        <v>0</v>
      </c>
      <c r="BO497" s="128">
        <f>IF(BP497&gt;0,1,0)</f>
        <v>1</v>
      </c>
      <c r="BP497" s="128">
        <f>BM497+CJ497</f>
        <v>1</v>
      </c>
      <c r="BQ497" s="128">
        <f>BN497+CL497</f>
        <v>2.0408163265306123</v>
      </c>
      <c r="BR497" s="130">
        <f>IF(BS497&gt;0,1,0)</f>
        <v>0</v>
      </c>
      <c r="BS497" s="128">
        <f>VLOOKUP($E497,[2]Current!$A:$AC,12,FALSE)</f>
        <v>0</v>
      </c>
      <c r="BT497" s="137">
        <f>BS497/$AS497</f>
        <v>0</v>
      </c>
      <c r="BU497" s="130">
        <f>IF(BV497&gt;0,1,0)</f>
        <v>0</v>
      </c>
      <c r="BV497" s="128">
        <f>VLOOKUP($E497,[2]Current!$A:$AC,13,FALSE)</f>
        <v>0</v>
      </c>
      <c r="BW497" s="128">
        <f>BV497/$AS497</f>
        <v>0</v>
      </c>
      <c r="BX497" s="130">
        <f>IF(BY497&gt;0,1,0)</f>
        <v>0</v>
      </c>
      <c r="BY497" s="128">
        <f>VLOOKUP($E497,[2]Current!$A:$AC,14,FALSE)</f>
        <v>0</v>
      </c>
      <c r="BZ497" s="128">
        <f>BY497/$AS497</f>
        <v>0</v>
      </c>
      <c r="CA497" s="130">
        <f>IF(CB497&gt;0,1,0)</f>
        <v>0</v>
      </c>
      <c r="CB497" s="128">
        <f>VLOOKUP($E497,[2]Current!$A:$AC,15,FALSE)</f>
        <v>0</v>
      </c>
      <c r="CC497" s="128">
        <f>CB497/$AS497</f>
        <v>0</v>
      </c>
      <c r="CD497" s="174">
        <f>IF(CE497&gt;0,1,0)</f>
        <v>0</v>
      </c>
      <c r="CE497" s="128">
        <f>VLOOKUP($E497,[2]Current!$A:$AC,16,FALSE)</f>
        <v>0</v>
      </c>
      <c r="CF497" s="128">
        <f>CE497/$AS497</f>
        <v>0</v>
      </c>
      <c r="CG497" s="18"/>
      <c r="CH497" s="18"/>
      <c r="CI497" s="18"/>
      <c r="CJ497" s="130">
        <f>IF(CK497&gt;0,1,0)</f>
        <v>1</v>
      </c>
      <c r="CK497" s="128">
        <f>VLOOKUP($E497,[2]Current!$A:$AC,18,FALSE)</f>
        <v>1</v>
      </c>
      <c r="CL497" s="128">
        <f>CK497/$AS497</f>
        <v>2.0408163265306123</v>
      </c>
      <c r="CS497" s="130">
        <f>IF(CU497&gt;0,1,0)</f>
        <v>0</v>
      </c>
      <c r="CU497" s="128">
        <f>VLOOKUP($E497,[2]Current!$A:$AC,17,FALSE)</f>
        <v>0</v>
      </c>
      <c r="CV497" s="128">
        <f>CU497/$AS497</f>
        <v>0</v>
      </c>
      <c r="CW497" s="18"/>
      <c r="CX497" s="18"/>
      <c r="CY497" s="18"/>
      <c r="DF497" s="16" t="e">
        <f>VLOOKUP(K497,'[3]RNA Seq summary tables'!$V$3:$V$99,1,FALSE)</f>
        <v>#N/A</v>
      </c>
    </row>
    <row r="498" spans="1:288" ht="16" x14ac:dyDescent="0.2">
      <c r="B498" s="16">
        <v>2017</v>
      </c>
      <c r="C498" s="20">
        <v>42972</v>
      </c>
      <c r="D498" s="20" t="str">
        <f>CONCATENATE(J498,"-",C498)</f>
        <v>1376-42972</v>
      </c>
      <c r="E498" s="37" t="str">
        <f>CONCATENATE(T498,"-",U498,"-",C498)</f>
        <v>SP2-C4-42972</v>
      </c>
      <c r="F498" s="20" t="s">
        <v>106</v>
      </c>
      <c r="G498" s="20" t="s">
        <v>107</v>
      </c>
      <c r="J498" s="21">
        <v>1376</v>
      </c>
      <c r="K498" s="21">
        <v>2246</v>
      </c>
      <c r="L498" s="18">
        <v>0</v>
      </c>
      <c r="M498" s="21">
        <f>VLOOKUP($K498,'[4]blood tubes 2017'!$D$1:$L$947,8,FALSE)</f>
        <v>0</v>
      </c>
      <c r="N498" s="15">
        <v>0</v>
      </c>
      <c r="O498" s="15" t="s">
        <v>119</v>
      </c>
      <c r="P498" s="16" t="s">
        <v>119</v>
      </c>
      <c r="Q498" s="16">
        <v>0</v>
      </c>
      <c r="R498" s="16" t="s">
        <v>111</v>
      </c>
      <c r="T498" s="16" t="s">
        <v>137</v>
      </c>
      <c r="U498" s="16" t="s">
        <v>229</v>
      </c>
      <c r="V498" s="16" t="s">
        <v>114</v>
      </c>
      <c r="W498" s="16">
        <f>AI498/AG498</f>
        <v>0.82558139534883723</v>
      </c>
      <c r="X498" s="16" t="s">
        <v>115</v>
      </c>
      <c r="Y498" s="16" t="s">
        <v>122</v>
      </c>
      <c r="Z498" s="16">
        <v>2.9</v>
      </c>
      <c r="AE498" s="16" t="s">
        <v>123</v>
      </c>
      <c r="AF498" s="16" t="s">
        <v>123</v>
      </c>
      <c r="AG498" s="16">
        <f>AH498-AI498</f>
        <v>86</v>
      </c>
      <c r="AH498" s="16">
        <v>157</v>
      </c>
      <c r="AI498" s="16">
        <v>71</v>
      </c>
      <c r="AK498" s="16">
        <v>18</v>
      </c>
      <c r="AL498" s="16">
        <v>1</v>
      </c>
      <c r="AM498" s="16">
        <v>0</v>
      </c>
      <c r="AN498" s="16">
        <v>0</v>
      </c>
      <c r="AO498" s="16">
        <v>1</v>
      </c>
      <c r="AP498" s="16">
        <f>SUM(AL498:AN498)</f>
        <v>1</v>
      </c>
      <c r="AQ498" s="16">
        <v>1.651</v>
      </c>
      <c r="AR498" s="16">
        <f>AP498-1.472</f>
        <v>-0.47199999999999998</v>
      </c>
      <c r="AS498" s="16">
        <f>AQ498-1.472</f>
        <v>0.17900000000000005</v>
      </c>
      <c r="AT498" s="16" t="str">
        <f>VLOOKUP(E498,[2]Current!$A$1:$W$435,7,FALSE)</f>
        <v>JY</v>
      </c>
      <c r="AU498" s="16" t="s">
        <v>1288</v>
      </c>
      <c r="AV498" s="23">
        <v>1</v>
      </c>
      <c r="AW498" s="128">
        <f>IF(AX498&gt;0,1,0)</f>
        <v>0</v>
      </c>
      <c r="AX498" s="128">
        <f>SUM(BA498,BM498,CU498)</f>
        <v>0</v>
      </c>
      <c r="AY498" s="128">
        <f>SUM(BB498,BN498,CV498)</f>
        <v>0</v>
      </c>
      <c r="AZ498" s="128">
        <f>IF(BA498&gt;0,1,0)</f>
        <v>0</v>
      </c>
      <c r="BA498" s="128">
        <f>SUM(BC498+BF498+BI498)</f>
        <v>0</v>
      </c>
      <c r="BB498" s="128">
        <f>SUM(BE498,BH498,BK498)</f>
        <v>0</v>
      </c>
      <c r="BC498" s="130">
        <f>IF(BD498&gt;0,1,0)</f>
        <v>0</v>
      </c>
      <c r="BD498" s="128">
        <f>VLOOKUP($E498,[2]Current!$A:$AC,26,FALSE)</f>
        <v>0</v>
      </c>
      <c r="BE498" s="128">
        <f>BD498/$AS498</f>
        <v>0</v>
      </c>
      <c r="BF498" s="130">
        <f>IF(BG498&gt;0,1,0)</f>
        <v>0</v>
      </c>
      <c r="BG498" s="137">
        <f>VLOOKUP($E498,[2]Current!$A:$AC,27,FALSE)</f>
        <v>0</v>
      </c>
      <c r="BH498" s="128">
        <f>BG498/$AS498</f>
        <v>0</v>
      </c>
      <c r="BI498" s="130">
        <f>IF(BJ498&gt;0,1,0)</f>
        <v>0</v>
      </c>
      <c r="BJ498" s="128">
        <f>VLOOKUP($E498,[2]Current!$A:$AC,28,FALSE)</f>
        <v>0</v>
      </c>
      <c r="BK498" s="128">
        <f>BJ498/$AS498</f>
        <v>0</v>
      </c>
      <c r="BL498" s="128">
        <f>IF(BM498&gt;0,1,0)</f>
        <v>0</v>
      </c>
      <c r="BM498" s="128">
        <f>SUM(BR498,BU498,BX498,CA498,CD498)</f>
        <v>0</v>
      </c>
      <c r="BN498" s="131">
        <f>SUM(BT498,BW498,BZ498,CC498,CF498)</f>
        <v>0</v>
      </c>
      <c r="BO498" s="128">
        <f>IF(BP498&gt;0,1,0)</f>
        <v>0</v>
      </c>
      <c r="BP498" s="128">
        <f>BM498+CJ498</f>
        <v>0</v>
      </c>
      <c r="BQ498" s="128">
        <f>BN498+CL498</f>
        <v>0</v>
      </c>
      <c r="BR498" s="130">
        <f>IF(BS498&gt;0,1,0)</f>
        <v>0</v>
      </c>
      <c r="BS498" s="128">
        <f>VLOOKUP($E498,[2]Current!$A:$AC,12,FALSE)</f>
        <v>0</v>
      </c>
      <c r="BT498" s="137">
        <f>BS498/$AS498</f>
        <v>0</v>
      </c>
      <c r="BU498" s="130">
        <f>IF(BV498&gt;0,1,0)</f>
        <v>0</v>
      </c>
      <c r="BV498" s="128">
        <f>VLOOKUP($E498,[2]Current!$A:$AC,13,FALSE)</f>
        <v>0</v>
      </c>
      <c r="BW498" s="128">
        <f>BV498/$AS498</f>
        <v>0</v>
      </c>
      <c r="BX498" s="130">
        <f>IF(BY498&gt;0,1,0)</f>
        <v>0</v>
      </c>
      <c r="BY498" s="128">
        <f>VLOOKUP($E498,[2]Current!$A:$AC,14,FALSE)</f>
        <v>0</v>
      </c>
      <c r="BZ498" s="128">
        <f>BY498/$AS498</f>
        <v>0</v>
      </c>
      <c r="CA498" s="130">
        <f>IF(CB498&gt;0,1,0)</f>
        <v>0</v>
      </c>
      <c r="CB498" s="128">
        <f>VLOOKUP($E498,[2]Current!$A:$AC,15,FALSE)</f>
        <v>0</v>
      </c>
      <c r="CC498" s="128">
        <f>CB498/$AS498</f>
        <v>0</v>
      </c>
      <c r="CD498" s="174">
        <f>IF(CE498&gt;0,1,0)</f>
        <v>0</v>
      </c>
      <c r="CE498" s="128">
        <f>VLOOKUP($E498,[2]Current!$A:$AC,16,FALSE)</f>
        <v>0</v>
      </c>
      <c r="CF498" s="128">
        <f>CE498/$AS498</f>
        <v>0</v>
      </c>
      <c r="CG498" s="18"/>
      <c r="CH498" s="18"/>
      <c r="CI498" s="18"/>
      <c r="CJ498" s="130">
        <f>IF(CK498&gt;0,1,0)</f>
        <v>0</v>
      </c>
      <c r="CK498" s="128">
        <f>VLOOKUP($E498,[2]Current!$A:$AC,18,FALSE)</f>
        <v>0</v>
      </c>
      <c r="CL498" s="128">
        <f>CK498/$AS498</f>
        <v>0</v>
      </c>
      <c r="CS498" s="130">
        <f>IF(CU498&gt;0,1,0)</f>
        <v>0</v>
      </c>
      <c r="CU498" s="128">
        <f>VLOOKUP($E498,[2]Current!$A:$AC,17,FALSE)</f>
        <v>0</v>
      </c>
      <c r="CV498" s="128">
        <f>CU498/$AS498</f>
        <v>0</v>
      </c>
      <c r="CW498" s="18"/>
      <c r="CX498" s="18"/>
      <c r="CY498" s="18"/>
      <c r="DF498" s="16" t="e">
        <f>VLOOKUP(K498,'[3]RNA Seq summary tables'!$V$3:$V$99,1,FALSE)</f>
        <v>#N/A</v>
      </c>
    </row>
    <row r="499" spans="1:288" x14ac:dyDescent="0.2">
      <c r="B499" s="16">
        <v>2017</v>
      </c>
      <c r="C499" s="20">
        <v>42972</v>
      </c>
      <c r="D499" s="20" t="str">
        <f>CONCATENATE(J499,"-",C499)</f>
        <v>1378-42972</v>
      </c>
      <c r="E499" s="20" t="str">
        <f>CONCATENATE(T499,"-",U499,"-",C499)</f>
        <v>SP2-H5-42972</v>
      </c>
      <c r="F499" s="20" t="s">
        <v>106</v>
      </c>
      <c r="G499" s="20" t="s">
        <v>107</v>
      </c>
      <c r="I499" s="16">
        <v>0</v>
      </c>
      <c r="J499" s="21">
        <v>1378</v>
      </c>
      <c r="K499" s="21">
        <v>2257</v>
      </c>
      <c r="L499" s="18">
        <v>0</v>
      </c>
      <c r="M499" s="21">
        <f>VLOOKUP($K499,'[4]blood tubes 2017'!$D$1:$L$947,8,FALSE)</f>
        <v>0</v>
      </c>
      <c r="N499" s="15">
        <v>0</v>
      </c>
      <c r="O499" s="15" t="s">
        <v>119</v>
      </c>
      <c r="P499" s="16" t="s">
        <v>119</v>
      </c>
      <c r="Q499" s="16">
        <v>0</v>
      </c>
      <c r="R499" s="16" t="s">
        <v>111</v>
      </c>
      <c r="T499" s="16" t="s">
        <v>137</v>
      </c>
      <c r="U499" s="16" t="s">
        <v>180</v>
      </c>
      <c r="V499" s="16" t="s">
        <v>114</v>
      </c>
      <c r="W499" s="16">
        <f>AI499/AG499</f>
        <v>0.8314606741573034</v>
      </c>
      <c r="X499" s="16" t="s">
        <v>115</v>
      </c>
      <c r="Y499" s="16" t="s">
        <v>110</v>
      </c>
      <c r="Z499" s="16">
        <v>3</v>
      </c>
      <c r="AE499" s="16" t="s">
        <v>116</v>
      </c>
      <c r="AF499" s="16" t="s">
        <v>116</v>
      </c>
      <c r="AG499" s="16">
        <f>AH499-AI499</f>
        <v>89</v>
      </c>
      <c r="AH499" s="16">
        <v>163</v>
      </c>
      <c r="AI499" s="16">
        <v>74</v>
      </c>
      <c r="AK499" s="16">
        <v>24</v>
      </c>
      <c r="AL499" s="16">
        <v>0</v>
      </c>
      <c r="AM499" s="16">
        <v>0</v>
      </c>
      <c r="AN499" s="16">
        <v>0</v>
      </c>
      <c r="AO499" s="16">
        <v>0</v>
      </c>
      <c r="AP499" s="16">
        <f>SUM(AL499:AN499)</f>
        <v>0</v>
      </c>
      <c r="AQ499" s="16">
        <v>1.6850000000000001</v>
      </c>
      <c r="AR499" s="16">
        <f>AP499-1.472</f>
        <v>-1.472</v>
      </c>
      <c r="AS499" s="16">
        <f>AQ499-1.472</f>
        <v>0.21300000000000008</v>
      </c>
      <c r="AT499" s="16" t="str">
        <f>VLOOKUP(K499,'[5]FECs - good data'!$C$1:$P$575,13,FALSE)</f>
        <v>SB</v>
      </c>
      <c r="AU499" s="18" t="s">
        <v>1293</v>
      </c>
      <c r="AV499" s="16">
        <v>0</v>
      </c>
      <c r="AW499" s="18">
        <f>IF(AX499&gt;0,1,0)</f>
        <v>0</v>
      </c>
      <c r="AX499" s="18">
        <f>SUM(BA499,BM499,CT499)</f>
        <v>0</v>
      </c>
      <c r="AY499" s="18">
        <f>SUM(BB499,BN499,CV499)</f>
        <v>0</v>
      </c>
      <c r="AZ499" s="18">
        <f>IF(BA499&gt;0,1,0)</f>
        <v>0</v>
      </c>
      <c r="BA499" s="18">
        <f>SUM(BC499,BF499,BI499)</f>
        <v>0</v>
      </c>
      <c r="BB499" s="18">
        <f>SUM(BE499,BH499,BK499)</f>
        <v>0</v>
      </c>
      <c r="BC499" s="18">
        <f>IF(BD499&gt;0,1,0)</f>
        <v>0</v>
      </c>
      <c r="BD499" s="18">
        <f>VLOOKUP($K499,'[5]FECs - good data'!$C$1:$Z$574,14,FALSE)</f>
        <v>0</v>
      </c>
      <c r="BE499" s="16">
        <f>BD499/AS499</f>
        <v>0</v>
      </c>
      <c r="BF499" s="16">
        <f>IF(BG499&gt;0,1,0)</f>
        <v>0</v>
      </c>
      <c r="BG499" s="77">
        <f>VLOOKUP($K499,'[5]FECs - good data'!$C$1:$Z$574,15,FALSE)</f>
        <v>0</v>
      </c>
      <c r="BH499" s="16">
        <f>BG499/AS499</f>
        <v>0</v>
      </c>
      <c r="BI499" s="16">
        <f>IF(BJ499&gt;0,1,0)</f>
        <v>0</v>
      </c>
      <c r="BJ499" s="16">
        <f>VLOOKUP($K499,'[5]FECs - good data'!$C$1:$Z$574,16,FALSE)</f>
        <v>0</v>
      </c>
      <c r="BK499" s="16">
        <f>BJ499/AS499</f>
        <v>0</v>
      </c>
      <c r="BL499" s="16">
        <f>IF(BM499&gt;0,1,0)</f>
        <v>0</v>
      </c>
      <c r="BM499" s="16">
        <f>SUM(BR499,BU499,BX499,CA499,CD499,CG499,CJ499,CM499,CP499)</f>
        <v>0</v>
      </c>
      <c r="BN499" s="16">
        <f>SUM(BW499,BZ499,CC499,CF499,CI499,CL499,CO499,CR499,BT499)</f>
        <v>0</v>
      </c>
      <c r="BO499" s="16">
        <f>IF(BP499&gt;0,1,0)</f>
        <v>0</v>
      </c>
      <c r="BP499" s="16">
        <f>SUM(BU499,BX499,CA499,CD499,BR499)</f>
        <v>0</v>
      </c>
      <c r="BQ499" s="16">
        <f>SUM(BZ499,CC499,CF499,BT499,BW499)</f>
        <v>0</v>
      </c>
      <c r="BR499" s="16">
        <f>IF(BS499&gt;0,1,0)</f>
        <v>0</v>
      </c>
      <c r="BS499" s="16">
        <f>VLOOKUP($K499,'[5]FECs - good data'!$C$1:$Z$574,17,FALSE)</f>
        <v>0</v>
      </c>
      <c r="BT499" s="77">
        <f>BS499/AS499</f>
        <v>0</v>
      </c>
      <c r="BU499" s="16">
        <f>IF(BV499&gt;0,1,0)</f>
        <v>0</v>
      </c>
      <c r="BV499" s="16">
        <f>VLOOKUP($K499,'[5]FECs - good data'!$C$1:$Z$574,18,FALSE)</f>
        <v>0</v>
      </c>
      <c r="BW499" s="16">
        <f>BV499/AS499</f>
        <v>0</v>
      </c>
      <c r="BX499" s="16">
        <f>IF(BY499&gt;0,1,0)</f>
        <v>0</v>
      </c>
      <c r="BY499" s="16">
        <f>VLOOKUP($K499,'[5]FECs - good data'!$C$1:$Z$574,19,FALSE)</f>
        <v>0</v>
      </c>
      <c r="BZ499" s="16">
        <f>BY499/AS499</f>
        <v>0</v>
      </c>
      <c r="CA499" s="16">
        <f>IF(CB499&gt;0,1,0)</f>
        <v>0</v>
      </c>
      <c r="CB499" s="16">
        <f>VLOOKUP($K499,'[5]FECs - good data'!$C$1:$Z$574,20,FALSE)</f>
        <v>0</v>
      </c>
      <c r="CC499" s="16">
        <f>CB499/AS499</f>
        <v>0</v>
      </c>
      <c r="CD499" s="77">
        <f>IF(CE499&gt;0,1,0)</f>
        <v>0</v>
      </c>
      <c r="CE499" s="16">
        <f>VLOOKUP($K499,'[5]FECs - good data'!$C$1:$Z$574,21,FALSE)</f>
        <v>0</v>
      </c>
      <c r="CF499" s="16">
        <f>CE499/AS499</f>
        <v>0</v>
      </c>
      <c r="CG499" s="16">
        <f>IF(CH499&gt;0,1,0)</f>
        <v>0</v>
      </c>
      <c r="CH499" s="16">
        <f>VLOOKUP($K499,'[5]FECs - good data'!$C$1:$Z$574,22,FALSE)</f>
        <v>0</v>
      </c>
      <c r="CI499" s="16">
        <f>CH499/AS499</f>
        <v>0</v>
      </c>
      <c r="CJ499" s="16">
        <f>IF(CK499&gt;0,1,0)</f>
        <v>0</v>
      </c>
      <c r="CK499" s="16">
        <f>VLOOKUP($K499,'[5]FECs - good data'!$C$1:$Z$674,24,FALSE)</f>
        <v>0</v>
      </c>
      <c r="CL499" s="16">
        <f>CK499/AS499</f>
        <v>0</v>
      </c>
      <c r="CS499" s="16">
        <f>IF(CT499&gt;0,1,0)</f>
        <v>0</v>
      </c>
      <c r="CT499" s="16">
        <f>SUM(CW499+CZ499,DC499)</f>
        <v>0</v>
      </c>
      <c r="CV499" s="16">
        <f>SUM(CY499,DB499,DE499)</f>
        <v>0</v>
      </c>
      <c r="CW499" s="16">
        <f>IF(CX499&gt;0,1,0)</f>
        <v>0</v>
      </c>
      <c r="CX499" s="16">
        <f>VLOOKUP($K499,'[5]FECs - good data'!$C$1:$Z$574,22,FALSE)</f>
        <v>0</v>
      </c>
      <c r="CY499" s="16">
        <f>CX499/AS499</f>
        <v>0</v>
      </c>
      <c r="CZ499" s="16">
        <f>IF(DA499&gt;0,1,0)</f>
        <v>0</v>
      </c>
      <c r="DA499" s="16">
        <f>VLOOKUP($K499,'[5]FECs - good data'!$C$1:$Z$5982,23,FALSE)</f>
        <v>0</v>
      </c>
      <c r="DB499" s="16">
        <f>DA499/AS499</f>
        <v>0</v>
      </c>
      <c r="DC499" s="16">
        <f>IF(DD499&gt;0,1,0)</f>
        <v>0</v>
      </c>
      <c r="DD499" s="16">
        <f>VLOOKUP($K499,'[5]FECs - good data'!$C$1:$Z$574,23,FALSE)</f>
        <v>0</v>
      </c>
      <c r="DE499" s="16">
        <f>DD499/AS499</f>
        <v>0</v>
      </c>
      <c r="DF499" s="16" t="e">
        <f>VLOOKUP(K499,'[3]RNA Seq summary tables'!$V$3:$V$99,1,FALSE)</f>
        <v>#N/A</v>
      </c>
    </row>
    <row r="500" spans="1:288" x14ac:dyDescent="0.2">
      <c r="B500" s="16">
        <v>2017</v>
      </c>
      <c r="C500" s="20">
        <v>42973</v>
      </c>
      <c r="D500" s="20" t="str">
        <f>CONCATENATE(J500,"-",C500)</f>
        <v>1380-42973</v>
      </c>
      <c r="E500" s="142" t="str">
        <f>CONCATENATE(T500,"-",U500,"-",C500)</f>
        <v>SP2-B4-42973</v>
      </c>
      <c r="F500" s="37" t="s">
        <v>224</v>
      </c>
      <c r="G500" s="20" t="s">
        <v>107</v>
      </c>
      <c r="H500" s="40" t="s">
        <v>264</v>
      </c>
      <c r="J500" s="36">
        <v>1380</v>
      </c>
      <c r="K500" s="36">
        <v>2263</v>
      </c>
      <c r="L500" s="18">
        <v>0</v>
      </c>
      <c r="M500" s="36">
        <f>VLOOKUP($K500,'[4]blood tubes 2017'!$D$1:$L$947,8,FALSE)</f>
        <v>0</v>
      </c>
      <c r="N500" s="42">
        <v>0</v>
      </c>
      <c r="O500" s="15" t="s">
        <v>119</v>
      </c>
      <c r="P500" s="18" t="s">
        <v>119</v>
      </c>
      <c r="Q500" s="18">
        <v>0</v>
      </c>
      <c r="R500" s="18" t="s">
        <v>111</v>
      </c>
      <c r="S500" s="18"/>
      <c r="T500" s="18" t="s">
        <v>137</v>
      </c>
      <c r="U500" s="18" t="s">
        <v>144</v>
      </c>
      <c r="V500" s="18" t="s">
        <v>114</v>
      </c>
      <c r="W500" s="16">
        <f>AI500/AG500</f>
        <v>0.94117647058823528</v>
      </c>
      <c r="X500" s="16" t="s">
        <v>121</v>
      </c>
      <c r="Y500" s="16" t="s">
        <v>110</v>
      </c>
      <c r="Z500" s="16">
        <v>3</v>
      </c>
      <c r="AA500" s="16" t="s">
        <v>161</v>
      </c>
      <c r="AB500" s="16" t="s">
        <v>123</v>
      </c>
      <c r="AC500" s="16" t="s">
        <v>123</v>
      </c>
      <c r="AD500" s="16" t="s">
        <v>116</v>
      </c>
      <c r="AG500" s="16">
        <f>AH500-AI500</f>
        <v>85</v>
      </c>
      <c r="AH500" s="16">
        <v>165</v>
      </c>
      <c r="AI500" s="16">
        <v>80</v>
      </c>
      <c r="AK500" s="16">
        <v>18.5</v>
      </c>
      <c r="AL500" s="16">
        <v>0</v>
      </c>
      <c r="AM500" s="16">
        <v>0</v>
      </c>
      <c r="AN500" s="16">
        <v>0</v>
      </c>
      <c r="AO500" s="16">
        <v>0</v>
      </c>
      <c r="AP500" s="16">
        <f>SUM(AL500:AN500)</f>
        <v>0</v>
      </c>
      <c r="AQ500" s="16">
        <v>1.65</v>
      </c>
      <c r="AR500" s="16">
        <f>AP500-1.472</f>
        <v>-1.472</v>
      </c>
      <c r="AS500" s="16">
        <f>AQ500-1.472</f>
        <v>0.17799999999999994</v>
      </c>
      <c r="AT500" s="16" t="e">
        <f>VLOOKUP(E500,[2]Current!$A$1:$W$435,7,FALSE)</f>
        <v>#N/A</v>
      </c>
      <c r="AU500" s="16">
        <v>0</v>
      </c>
      <c r="AW500" s="18"/>
      <c r="AX500" s="18"/>
      <c r="AY500" s="18"/>
      <c r="AZ500" s="18"/>
      <c r="BA500" s="18"/>
      <c r="BB500" s="18"/>
      <c r="BC500" s="18"/>
      <c r="BD500" s="18"/>
      <c r="BG500" s="77"/>
      <c r="BT500" s="77"/>
      <c r="CD500" s="77"/>
      <c r="DF500" s="16" t="e">
        <f>VLOOKUP(K500,'[3]RNA Seq summary tables'!$V$3:$V$99,1,FALSE)</f>
        <v>#N/A</v>
      </c>
    </row>
    <row r="501" spans="1:288" x14ac:dyDescent="0.2">
      <c r="B501" s="18">
        <v>2017</v>
      </c>
      <c r="C501" s="37">
        <v>42975</v>
      </c>
      <c r="D501" s="37" t="str">
        <f>CONCATENATE(J501,"-",C501)</f>
        <v>1384-42975</v>
      </c>
      <c r="E501" s="20" t="str">
        <f>CONCATENATE(T501,"-",U501,"-",C501)</f>
        <v>PO1-F3-42975</v>
      </c>
      <c r="F501" s="37" t="s">
        <v>224</v>
      </c>
      <c r="G501" s="37" t="s">
        <v>107</v>
      </c>
      <c r="H501" s="18"/>
      <c r="I501" s="16">
        <v>0</v>
      </c>
      <c r="J501" s="36">
        <v>1384</v>
      </c>
      <c r="K501" s="36">
        <v>2275</v>
      </c>
      <c r="L501" s="18">
        <v>0</v>
      </c>
      <c r="M501" s="36">
        <f>VLOOKUP($K501,'[4]blood tubes 2017'!$D$1:$L$947,8,FALSE)</f>
        <v>0</v>
      </c>
      <c r="N501" s="42">
        <v>0</v>
      </c>
      <c r="O501" s="15" t="s">
        <v>119</v>
      </c>
      <c r="P501" s="18" t="s">
        <v>119</v>
      </c>
      <c r="Q501" s="18">
        <v>0</v>
      </c>
      <c r="R501" s="18" t="s">
        <v>111</v>
      </c>
      <c r="S501" s="18"/>
      <c r="T501" s="18" t="s">
        <v>112</v>
      </c>
      <c r="U501" s="18" t="s">
        <v>182</v>
      </c>
      <c r="V501" s="18" t="s">
        <v>114</v>
      </c>
      <c r="W501" s="16">
        <f>AI501/AG501</f>
        <v>0.79746835443037978</v>
      </c>
      <c r="X501" s="18" t="s">
        <v>115</v>
      </c>
      <c r="Y501" s="18" t="s">
        <v>145</v>
      </c>
      <c r="Z501" s="18">
        <v>1</v>
      </c>
      <c r="AA501" s="18"/>
      <c r="AB501" s="18"/>
      <c r="AC501" s="18"/>
      <c r="AD501" s="18"/>
      <c r="AE501" s="18" t="s">
        <v>123</v>
      </c>
      <c r="AF501" s="18" t="s">
        <v>123</v>
      </c>
      <c r="AG501" s="18">
        <v>79</v>
      </c>
      <c r="AH501" s="18">
        <v>142</v>
      </c>
      <c r="AI501" s="18">
        <v>63</v>
      </c>
      <c r="AJ501" s="18"/>
      <c r="AK501" s="18">
        <v>15.5</v>
      </c>
      <c r="AL501" s="18">
        <v>0</v>
      </c>
      <c r="AM501" s="18">
        <v>0</v>
      </c>
      <c r="AN501" s="18">
        <v>0</v>
      </c>
      <c r="AO501" s="18">
        <v>0</v>
      </c>
      <c r="AP501" s="18">
        <f>SUM(AL501:AN501)</f>
        <v>0</v>
      </c>
      <c r="AQ501" s="18">
        <v>1.5429999999999999</v>
      </c>
      <c r="AR501" s="18">
        <f>AP501-1.472</f>
        <v>-1.472</v>
      </c>
      <c r="AS501" s="18">
        <f>AQ501-1.472</f>
        <v>7.0999999999999952E-2</v>
      </c>
      <c r="AT501" s="18" t="str">
        <f>VLOOKUP(K501,'[5]FECs - good data'!$C$1:$P$575,13,FALSE)</f>
        <v>JY</v>
      </c>
      <c r="AU501" s="18"/>
      <c r="AV501" s="18"/>
      <c r="AW501" s="18">
        <f>IF(AX501&gt;0,1,0)</f>
        <v>1</v>
      </c>
      <c r="AX501" s="18">
        <f>SUM(BA501,BM501,CT501)</f>
        <v>1</v>
      </c>
      <c r="AY501" s="18">
        <f>SUM(BB501,BN501,CV501)</f>
        <v>56.338028169014123</v>
      </c>
      <c r="AZ501" s="18">
        <f>IF(BA501&gt;0,1,0)</f>
        <v>1</v>
      </c>
      <c r="BA501" s="18">
        <f>SUM(BC501,BF501,BI501)</f>
        <v>1</v>
      </c>
      <c r="BB501" s="18">
        <f>SUM(BE501,BH501,BK501)</f>
        <v>56.338028169014123</v>
      </c>
      <c r="BC501" s="18">
        <f>IF(BD501&gt;0,1,0)</f>
        <v>0</v>
      </c>
      <c r="BD501" s="18">
        <f>VLOOKUP($K501,'[5]FECs - good data'!$C$1:$Z$574,14,FALSE)</f>
        <v>0</v>
      </c>
      <c r="BE501" s="18">
        <f>BD501/AS501</f>
        <v>0</v>
      </c>
      <c r="BF501" s="18">
        <f>IF(BG501&gt;0,1,0)</f>
        <v>1</v>
      </c>
      <c r="BG501" s="78">
        <f>VLOOKUP($K501,'[5]FECs - good data'!$C$1:$Z$574,15,FALSE)</f>
        <v>4</v>
      </c>
      <c r="BH501" s="18">
        <f>BG501/AS501</f>
        <v>56.338028169014123</v>
      </c>
      <c r="BI501" s="18">
        <f>IF(BJ501&gt;0,1,0)</f>
        <v>0</v>
      </c>
      <c r="BJ501" s="18">
        <f>VLOOKUP($K501,'[5]FECs - good data'!$C$1:$Z$574,16,FALSE)</f>
        <v>0</v>
      </c>
      <c r="BK501" s="18">
        <f>BJ501/AS501</f>
        <v>0</v>
      </c>
      <c r="BL501" s="18">
        <f>IF(BM501&gt;0,1,0)</f>
        <v>0</v>
      </c>
      <c r="BM501" s="18">
        <f>SUM(BR501,BU501,BX501,CA501,CD501,CG501,CJ501,CM501,CP501)</f>
        <v>0</v>
      </c>
      <c r="BN501" s="18">
        <f>SUM(BW501,BZ501,CC501,CF501,CI501,CL501,CO501,CR501,BT501)</f>
        <v>0</v>
      </c>
      <c r="BO501" s="18">
        <f>IF(BP501&gt;0,1,0)</f>
        <v>0</v>
      </c>
      <c r="BP501" s="18">
        <f>SUM(BU501,BX501,CA501,CD501,BR501)</f>
        <v>0</v>
      </c>
      <c r="BQ501" s="18">
        <f>SUM(BZ501,CC501,CF501,BT501,BW501)</f>
        <v>0</v>
      </c>
      <c r="BR501" s="18">
        <f>IF(BS501&gt;0,1,0)</f>
        <v>0</v>
      </c>
      <c r="BS501" s="18">
        <f>VLOOKUP($K501,'[5]FECs - good data'!$C$1:$Z$574,17,FALSE)</f>
        <v>0</v>
      </c>
      <c r="BT501" s="78">
        <f>BS501/AS501</f>
        <v>0</v>
      </c>
      <c r="BU501" s="18">
        <f>IF(BV501&gt;0,1,0)</f>
        <v>0</v>
      </c>
      <c r="BV501" s="18">
        <f>VLOOKUP($K501,'[5]FECs - good data'!$C$1:$Z$574,18,FALSE)</f>
        <v>0</v>
      </c>
      <c r="BW501" s="18">
        <f>BV501/AS501</f>
        <v>0</v>
      </c>
      <c r="BX501" s="18">
        <f>IF(BY501&gt;0,1,0)</f>
        <v>0</v>
      </c>
      <c r="BY501" s="18">
        <f>VLOOKUP($K501,'[5]FECs - good data'!$C$1:$Z$574,19,FALSE)</f>
        <v>0</v>
      </c>
      <c r="BZ501" s="18">
        <f>BY501/AS501</f>
        <v>0</v>
      </c>
      <c r="CA501" s="18">
        <f>IF(CB501&gt;0,1,0)</f>
        <v>0</v>
      </c>
      <c r="CB501" s="18">
        <f>VLOOKUP($K501,'[5]FECs - good data'!$C$1:$Z$574,20,FALSE)</f>
        <v>0</v>
      </c>
      <c r="CC501" s="18">
        <f>CB501/AS501</f>
        <v>0</v>
      </c>
      <c r="CD501" s="78">
        <f>IF(CE501&gt;0,1,0)</f>
        <v>0</v>
      </c>
      <c r="CE501" s="18">
        <f>VLOOKUP($K501,'[5]FECs - good data'!$C$1:$Z$574,21,FALSE)</f>
        <v>0</v>
      </c>
      <c r="CF501" s="18">
        <f>CE501/AS501</f>
        <v>0</v>
      </c>
      <c r="CG501" s="18">
        <f>IF(CH501&gt;0,1,0)</f>
        <v>0</v>
      </c>
      <c r="CH501" s="18">
        <f>VLOOKUP($K501,'[5]FECs - good data'!$C$1:$Z$574,22,FALSE)</f>
        <v>0</v>
      </c>
      <c r="CI501" s="18">
        <f>CH501/AS501</f>
        <v>0</v>
      </c>
      <c r="CJ501" s="18">
        <f>IF(CK501&gt;0,1,0)</f>
        <v>0</v>
      </c>
      <c r="CK501" s="18">
        <f>VLOOKUP($K501,'[5]FECs - good data'!$C$1:$Z$674,24,FALSE)</f>
        <v>0</v>
      </c>
      <c r="CL501" s="18">
        <f>CK501/AS501</f>
        <v>0</v>
      </c>
      <c r="CM501" s="18"/>
      <c r="CN501" s="18"/>
      <c r="CO501" s="18"/>
      <c r="CP501" s="18"/>
      <c r="CQ501" s="18"/>
      <c r="CR501" s="18"/>
      <c r="CS501" s="18">
        <f>IF(CT501&gt;0,1,0)</f>
        <v>0</v>
      </c>
      <c r="CT501" s="18">
        <f>SUM(CW501+CZ501,DC501)</f>
        <v>0</v>
      </c>
      <c r="CU501" s="18"/>
      <c r="CV501" s="18">
        <f>SUM(CY501,DB501,DE501)</f>
        <v>0</v>
      </c>
      <c r="CW501" s="18">
        <f>IF(CX501&gt;0,1,0)</f>
        <v>0</v>
      </c>
      <c r="CX501" s="18">
        <f>VLOOKUP($K501,'[5]FECs - good data'!$C$1:$Z$574,22,FALSE)</f>
        <v>0</v>
      </c>
      <c r="CY501" s="18">
        <f>CX501/AS501</f>
        <v>0</v>
      </c>
      <c r="CZ501" s="18">
        <f>IF(DA501&gt;0,1,0)</f>
        <v>0</v>
      </c>
      <c r="DA501" s="18">
        <f>VLOOKUP($K501,'[5]FECs - good data'!$C$1:$Z$5982,23,FALSE)</f>
        <v>0</v>
      </c>
      <c r="DB501" s="18">
        <f>DA501/AS501</f>
        <v>0</v>
      </c>
      <c r="DC501" s="18">
        <f>IF(DD501&gt;0,1,0)</f>
        <v>0</v>
      </c>
      <c r="DD501" s="18">
        <f>VLOOKUP($K501,'[5]FECs - good data'!$C$1:$Z$574,23,FALSE)</f>
        <v>0</v>
      </c>
      <c r="DE501" s="18">
        <f>DD501/AS501</f>
        <v>0</v>
      </c>
      <c r="DF501" s="16" t="e">
        <f>VLOOKUP(K501,'[3]RNA Seq summary tables'!$V$3:$V$99,1,FALSE)</f>
        <v>#N/A</v>
      </c>
      <c r="DI501" s="18"/>
      <c r="DJ501" s="18"/>
      <c r="DK501" s="18"/>
      <c r="DL501" s="18"/>
      <c r="DM501" s="18"/>
      <c r="DN501" s="18"/>
      <c r="DO501" s="18"/>
      <c r="DP501" s="18"/>
      <c r="DQ501" s="18"/>
      <c r="DR501" s="18"/>
      <c r="DS501" s="18"/>
      <c r="EE501" s="95"/>
    </row>
    <row r="502" spans="1:288" x14ac:dyDescent="0.2">
      <c r="B502" s="18">
        <v>2017</v>
      </c>
      <c r="C502" s="37">
        <v>42975</v>
      </c>
      <c r="D502" s="37" t="str">
        <f>CONCATENATE(J502,"-",C502)</f>
        <v>1386-42975</v>
      </c>
      <c r="E502" s="20" t="str">
        <f>CONCATENATE(T502,"-",U502,"-",C502)</f>
        <v>PO2-H1-42975</v>
      </c>
      <c r="F502" s="37" t="s">
        <v>224</v>
      </c>
      <c r="G502" s="37" t="s">
        <v>107</v>
      </c>
      <c r="H502" s="18"/>
      <c r="I502" s="16">
        <v>0</v>
      </c>
      <c r="J502" s="36">
        <v>1386</v>
      </c>
      <c r="K502" s="36">
        <v>2295</v>
      </c>
      <c r="L502" s="18">
        <v>0</v>
      </c>
      <c r="M502" s="21">
        <f>VLOOKUP($K502,'[4]blood tubes 2017'!$D$1:$L$947,8,FALSE)</f>
        <v>0</v>
      </c>
      <c r="N502" s="15">
        <v>0</v>
      </c>
      <c r="O502" s="15" t="s">
        <v>119</v>
      </c>
      <c r="P502" s="18" t="s">
        <v>119</v>
      </c>
      <c r="Q502" s="16">
        <v>0</v>
      </c>
      <c r="R502" s="18" t="s">
        <v>111</v>
      </c>
      <c r="S502" s="18"/>
      <c r="T502" s="18" t="s">
        <v>127</v>
      </c>
      <c r="U502" s="18" t="s">
        <v>191</v>
      </c>
      <c r="V502" s="18" t="s">
        <v>114</v>
      </c>
      <c r="W502" s="16">
        <f>AI502/AG502</f>
        <v>0.89010989010989006</v>
      </c>
      <c r="X502" s="18" t="s">
        <v>115</v>
      </c>
      <c r="Y502" s="18" t="s">
        <v>110</v>
      </c>
      <c r="Z502" s="18">
        <v>3</v>
      </c>
      <c r="AA502" s="18"/>
      <c r="AB502" s="18"/>
      <c r="AC502" s="18"/>
      <c r="AD502" s="18"/>
      <c r="AE502" s="18" t="s">
        <v>116</v>
      </c>
      <c r="AF502" s="18" t="s">
        <v>116</v>
      </c>
      <c r="AG502" s="18">
        <f>AH502-AI502</f>
        <v>91</v>
      </c>
      <c r="AH502" s="18">
        <v>172</v>
      </c>
      <c r="AI502" s="18">
        <v>81</v>
      </c>
      <c r="AJ502" s="18"/>
      <c r="AK502" s="18">
        <v>24</v>
      </c>
      <c r="AL502" s="18">
        <v>0</v>
      </c>
      <c r="AM502" s="18">
        <v>0</v>
      </c>
      <c r="AN502" s="18">
        <v>0</v>
      </c>
      <c r="AO502" s="18">
        <v>0</v>
      </c>
      <c r="AP502" s="18">
        <f>SUM(AL502:AN502)</f>
        <v>0</v>
      </c>
      <c r="AQ502" s="18">
        <v>1.6020000000000001</v>
      </c>
      <c r="AR502" s="18">
        <f>AP502-1.472</f>
        <v>-1.472</v>
      </c>
      <c r="AS502" s="18">
        <f>AQ502-1.472</f>
        <v>0.13000000000000012</v>
      </c>
      <c r="AT502" s="18" t="str">
        <f>VLOOKUP(K502,'[5]FECs - good data'!$C$1:$P$575,13,FALSE)</f>
        <v>JB</v>
      </c>
      <c r="AU502" s="18"/>
      <c r="AV502" s="18"/>
      <c r="AW502" s="18">
        <f>IF(AX502&gt;0,1,0)</f>
        <v>1</v>
      </c>
      <c r="AX502" s="18">
        <f>SUM(BA502,BM502,CT502)</f>
        <v>1</v>
      </c>
      <c r="AY502" s="18">
        <f>SUM(BB502,BN502,CV502)</f>
        <v>169.23076923076908</v>
      </c>
      <c r="AZ502" s="18">
        <f>IF(BA502&gt;0,1,0)</f>
        <v>1</v>
      </c>
      <c r="BA502" s="18">
        <f>SUM(BC502,BF502,BI502)</f>
        <v>1</v>
      </c>
      <c r="BB502" s="18">
        <f>SUM(BE502,BH502,BK502)</f>
        <v>169.23076923076908</v>
      </c>
      <c r="BC502" s="18">
        <f>IF(BD502&gt;0,1,0)</f>
        <v>0</v>
      </c>
      <c r="BD502" s="18">
        <f>VLOOKUP($K502,'[5]FECs - good data'!$C$1:$Z$574,14,FALSE)</f>
        <v>0</v>
      </c>
      <c r="BE502" s="18">
        <f>BD502/AS502</f>
        <v>0</v>
      </c>
      <c r="BF502" s="18">
        <f>IF(BG502&gt;0,1,0)</f>
        <v>1</v>
      </c>
      <c r="BG502" s="78">
        <f>VLOOKUP($K502,'[5]FECs - good data'!$C$1:$Z$574,15,FALSE)</f>
        <v>22</v>
      </c>
      <c r="BH502" s="18">
        <f>BG502/AS502</f>
        <v>169.23076923076908</v>
      </c>
      <c r="BI502" s="18">
        <f>IF(BJ502&gt;0,1,0)</f>
        <v>0</v>
      </c>
      <c r="BJ502" s="18">
        <f>VLOOKUP($K502,'[5]FECs - good data'!$C$1:$Z$574,16,FALSE)</f>
        <v>0</v>
      </c>
      <c r="BK502" s="18">
        <f>BJ502/AS502</f>
        <v>0</v>
      </c>
      <c r="BL502" s="18">
        <f>IF(BM502&gt;0,1,0)</f>
        <v>0</v>
      </c>
      <c r="BM502" s="18">
        <f>SUM(BR502,BU502,BX502,CA502,CD502,CG502,CJ502,CM502,CP502)</f>
        <v>0</v>
      </c>
      <c r="BN502" s="18">
        <f>SUM(BW502,BZ502,CC502,CF502,CI502,CL502,CO502,CR502,BT502)</f>
        <v>0</v>
      </c>
      <c r="BO502" s="18">
        <f>IF(BP502&gt;0,1,0)</f>
        <v>0</v>
      </c>
      <c r="BP502" s="18">
        <f>SUM(BU502,BX502,CA502,CD502,BR502)</f>
        <v>0</v>
      </c>
      <c r="BQ502" s="18">
        <f>SUM(BZ502,CC502,CF502,BT502,BW502)</f>
        <v>0</v>
      </c>
      <c r="BR502" s="18">
        <f>IF(BS502&gt;0,1,0)</f>
        <v>0</v>
      </c>
      <c r="BS502" s="18">
        <f>VLOOKUP($K502,'[5]FECs - good data'!$C$1:$Z$574,17,FALSE)</f>
        <v>0</v>
      </c>
      <c r="BT502" s="78">
        <f>BS502/AS502</f>
        <v>0</v>
      </c>
      <c r="BU502" s="18">
        <f>IF(BV502&gt;0,1,0)</f>
        <v>0</v>
      </c>
      <c r="BV502" s="18">
        <f>VLOOKUP($K502,'[5]FECs - good data'!$C$1:$Z$574,18,FALSE)</f>
        <v>0</v>
      </c>
      <c r="BW502" s="18">
        <f>BV502/AS502</f>
        <v>0</v>
      </c>
      <c r="BX502" s="18">
        <f>IF(BY502&gt;0,1,0)</f>
        <v>0</v>
      </c>
      <c r="BY502" s="18">
        <f>VLOOKUP($K502,'[5]FECs - good data'!$C$1:$Z$574,19,FALSE)</f>
        <v>0</v>
      </c>
      <c r="BZ502" s="18">
        <f>BY502/AS502</f>
        <v>0</v>
      </c>
      <c r="CA502" s="18">
        <f>IF(CB502&gt;0,1,0)</f>
        <v>0</v>
      </c>
      <c r="CB502" s="18">
        <f>VLOOKUP($K502,'[5]FECs - good data'!$C$1:$Z$574,20,FALSE)</f>
        <v>0</v>
      </c>
      <c r="CC502" s="18">
        <f>CB502/AS502</f>
        <v>0</v>
      </c>
      <c r="CD502" s="78">
        <f>IF(CE502&gt;0,1,0)</f>
        <v>0</v>
      </c>
      <c r="CE502" s="18">
        <f>VLOOKUP($K502,'[5]FECs - good data'!$C$1:$Z$574,21,FALSE)</f>
        <v>0</v>
      </c>
      <c r="CF502" s="18">
        <f>CE502/AS502</f>
        <v>0</v>
      </c>
      <c r="CG502" s="18">
        <f>IF(CH502&gt;0,1,0)</f>
        <v>0</v>
      </c>
      <c r="CH502" s="18">
        <f>VLOOKUP($K502,'[5]FECs - good data'!$C$1:$Z$574,22,FALSE)</f>
        <v>0</v>
      </c>
      <c r="CI502" s="18">
        <f>CH502/AS502</f>
        <v>0</v>
      </c>
      <c r="CJ502" s="18">
        <f>IF(CK502&gt;0,1,0)</f>
        <v>0</v>
      </c>
      <c r="CK502" s="18">
        <f>VLOOKUP($K502,'[5]FECs - good data'!$C$1:$Z$674,24,FALSE)</f>
        <v>0</v>
      </c>
      <c r="CL502" s="18">
        <f>CK502/AS502</f>
        <v>0</v>
      </c>
      <c r="CM502" s="18"/>
      <c r="CN502" s="18"/>
      <c r="CO502" s="18"/>
      <c r="CP502" s="18"/>
      <c r="CQ502" s="18"/>
      <c r="CR502" s="18"/>
      <c r="CS502" s="18">
        <f>IF(CT502&gt;0,1,0)</f>
        <v>0</v>
      </c>
      <c r="CT502" s="18">
        <f>SUM(CW502+CZ502,DC502)</f>
        <v>0</v>
      </c>
      <c r="CU502" s="18"/>
      <c r="CV502" s="18">
        <f>SUM(CY502,DB502,DE502)</f>
        <v>0</v>
      </c>
      <c r="CW502" s="18">
        <f>IF(CX502&gt;0,1,0)</f>
        <v>0</v>
      </c>
      <c r="CX502" s="18">
        <f>VLOOKUP($K502,'[5]FECs - good data'!$C$1:$Z$574,22,FALSE)</f>
        <v>0</v>
      </c>
      <c r="CY502" s="18">
        <f>CX502/AS502</f>
        <v>0</v>
      </c>
      <c r="CZ502" s="18">
        <f>IF(DA502&gt;0,1,0)</f>
        <v>0</v>
      </c>
      <c r="DA502" s="18">
        <f>VLOOKUP($K502,'[5]FECs - good data'!$C$1:$Z$5982,23,FALSE)</f>
        <v>0</v>
      </c>
      <c r="DB502" s="18">
        <f>DA502/AS502</f>
        <v>0</v>
      </c>
      <c r="DC502" s="18">
        <f>IF(DD502&gt;0,1,0)</f>
        <v>0</v>
      </c>
      <c r="DD502" s="18">
        <f>VLOOKUP($K502,'[5]FECs - good data'!$C$1:$Z$574,23,FALSE)</f>
        <v>0</v>
      </c>
      <c r="DE502" s="18">
        <f>DD502/AS502</f>
        <v>0</v>
      </c>
      <c r="DF502" s="16" t="e">
        <f>VLOOKUP(K502,'[3]RNA Seq summary tables'!$V$3:$V$99,1,FALSE)</f>
        <v>#N/A</v>
      </c>
      <c r="DI502" s="18"/>
      <c r="DJ502" s="18"/>
      <c r="DK502" s="18"/>
      <c r="DL502" s="18"/>
      <c r="DM502" s="18"/>
      <c r="DN502" s="18"/>
      <c r="DO502" s="18"/>
      <c r="DP502" s="18"/>
      <c r="DQ502" s="18"/>
      <c r="DR502" s="18"/>
      <c r="DS502" s="18"/>
    </row>
    <row r="503" spans="1:288" x14ac:dyDescent="0.2">
      <c r="B503" s="18">
        <v>2017</v>
      </c>
      <c r="C503" s="37">
        <v>42976</v>
      </c>
      <c r="D503" s="37" t="str">
        <f>CONCATENATE(J503,"-",C503)</f>
        <v>1388-42976</v>
      </c>
      <c r="E503" s="20" t="str">
        <f>CONCATENATE(T503,"-",U503,"-",C503)</f>
        <v>PO1-C8-42976</v>
      </c>
      <c r="F503" s="37" t="s">
        <v>224</v>
      </c>
      <c r="G503" s="37" t="s">
        <v>107</v>
      </c>
      <c r="H503" s="18"/>
      <c r="I503" s="16">
        <v>0</v>
      </c>
      <c r="J503" s="36">
        <v>1388</v>
      </c>
      <c r="K503" s="36">
        <v>2298</v>
      </c>
      <c r="L503" s="18">
        <v>0</v>
      </c>
      <c r="M503" s="21">
        <f>VLOOKUP($K503,'[4]blood tubes 2017'!$D$1:$L$947,8,FALSE)</f>
        <v>0</v>
      </c>
      <c r="N503" s="15">
        <v>0</v>
      </c>
      <c r="O503" s="15" t="s">
        <v>119</v>
      </c>
      <c r="P503" s="18" t="s">
        <v>119</v>
      </c>
      <c r="Q503" s="16">
        <v>0</v>
      </c>
      <c r="R503" s="18" t="s">
        <v>111</v>
      </c>
      <c r="S503" s="18"/>
      <c r="T503" s="18" t="s">
        <v>112</v>
      </c>
      <c r="U503" s="18" t="s">
        <v>188</v>
      </c>
      <c r="V503" s="18" t="s">
        <v>114</v>
      </c>
      <c r="W503" s="16">
        <f>AI503/AG503</f>
        <v>0.85227272727272729</v>
      </c>
      <c r="X503" s="18" t="s">
        <v>115</v>
      </c>
      <c r="Y503" s="18" t="s">
        <v>110</v>
      </c>
      <c r="Z503" s="18">
        <v>3</v>
      </c>
      <c r="AA503" s="18"/>
      <c r="AB503" s="18"/>
      <c r="AC503" s="18"/>
      <c r="AD503" s="18"/>
      <c r="AE503" s="18" t="s">
        <v>123</v>
      </c>
      <c r="AF503" s="18" t="s">
        <v>123</v>
      </c>
      <c r="AG503" s="18">
        <f>AH503-AI503</f>
        <v>88</v>
      </c>
      <c r="AH503" s="18">
        <v>163</v>
      </c>
      <c r="AI503" s="18">
        <v>75</v>
      </c>
      <c r="AJ503" s="18"/>
      <c r="AK503" s="18">
        <v>20</v>
      </c>
      <c r="AL503" s="18">
        <v>0</v>
      </c>
      <c r="AM503" s="18">
        <v>0</v>
      </c>
      <c r="AN503" s="18">
        <v>0</v>
      </c>
      <c r="AO503" s="18">
        <v>0</v>
      </c>
      <c r="AP503" s="18">
        <f>SUM(AL503:AN503)</f>
        <v>0</v>
      </c>
      <c r="AQ503" s="18">
        <v>2.274</v>
      </c>
      <c r="AR503" s="18">
        <f>AP503-1.472</f>
        <v>-1.472</v>
      </c>
      <c r="AS503" s="18">
        <f>AQ503-1.472</f>
        <v>0.80200000000000005</v>
      </c>
      <c r="AT503" s="18" t="str">
        <f>VLOOKUP(K503,'[5]FECs - good data'!$C$1:$P$575,13,FALSE)</f>
        <v>SB</v>
      </c>
      <c r="AU503" s="18"/>
      <c r="AV503" s="18"/>
      <c r="AW503" s="18">
        <f>IF(AX503&gt;0,1,0)</f>
        <v>1</v>
      </c>
      <c r="AX503" s="18">
        <f>SUM(BA503,BM503,CT503)</f>
        <v>7</v>
      </c>
      <c r="AY503" s="18">
        <f>SUM(BB503,BN503,CV503)</f>
        <v>2664.5885286783041</v>
      </c>
      <c r="AZ503" s="18">
        <f>IF(BA503&gt;0,1,0)</f>
        <v>1</v>
      </c>
      <c r="BA503" s="18">
        <f>SUM(BC503,BF503,BI503)</f>
        <v>3</v>
      </c>
      <c r="BB503" s="18">
        <f>SUM(BE503,BH503,BK503)</f>
        <v>2599.7506234413963</v>
      </c>
      <c r="BC503" s="18">
        <f>IF(BD503&gt;0,1,0)</f>
        <v>1</v>
      </c>
      <c r="BD503" s="18">
        <f>VLOOKUP($K503,'[5]FECs - good data'!$C$1:$Z$574,14,FALSE)</f>
        <v>141</v>
      </c>
      <c r="BE503" s="18">
        <f>BD503/AS503</f>
        <v>175.81047381546134</v>
      </c>
      <c r="BF503" s="18">
        <f>IF(BG503&gt;0,1,0)</f>
        <v>1</v>
      </c>
      <c r="BG503" s="78">
        <f>VLOOKUP($K503,'[5]FECs - good data'!$C$1:$Z$574,15,FALSE)</f>
        <v>1892</v>
      </c>
      <c r="BH503" s="18">
        <f>BG503/AS503</f>
        <v>2359.1022443890274</v>
      </c>
      <c r="BI503" s="18">
        <f>IF(BJ503&gt;0,1,0)</f>
        <v>1</v>
      </c>
      <c r="BJ503" s="18">
        <f>VLOOKUP($K503,'[5]FECs - good data'!$C$1:$Z$574,16,FALSE)</f>
        <v>52</v>
      </c>
      <c r="BK503" s="18">
        <f>BJ503/AS503</f>
        <v>64.83790523690773</v>
      </c>
      <c r="BL503" s="16">
        <f>IF(BM503&gt;0,1,0)</f>
        <v>1</v>
      </c>
      <c r="BM503" s="16">
        <f>SUM(BR503,BU503,BX503,CA503,CD503,CG503,CJ503,CM503,CP503)</f>
        <v>4</v>
      </c>
      <c r="BN503" s="18">
        <f>SUM(BW503,BZ503,CC503,CF503,CI503,CL503,CO503,CR503,BT503)</f>
        <v>64.83790523690773</v>
      </c>
      <c r="BO503" s="16">
        <f>IF(BP503&gt;0,1,0)</f>
        <v>1</v>
      </c>
      <c r="BP503" s="16">
        <f>SUM(BU503,BX503,CA503,CD503,BR503)</f>
        <v>3</v>
      </c>
      <c r="BQ503" s="16">
        <f>SUM(BZ503,CC503,CF503,BT503,BW503)</f>
        <v>44.88778054862842</v>
      </c>
      <c r="BR503" s="18">
        <f>IF(BS503&gt;0,1,0)</f>
        <v>1</v>
      </c>
      <c r="BS503" s="18">
        <f>VLOOKUP($K503,'[5]FECs - good data'!$C$1:$Z$574,17,FALSE)</f>
        <v>3</v>
      </c>
      <c r="BT503" s="78">
        <f>BS503/AS503</f>
        <v>3.7406483790523688</v>
      </c>
      <c r="BU503" s="18">
        <f>IF(BV503&gt;0,1,0)</f>
        <v>1</v>
      </c>
      <c r="BV503" s="18">
        <f>VLOOKUP($K503,'[5]FECs - good data'!$C$1:$Z$574,18,FALSE)</f>
        <v>1</v>
      </c>
      <c r="BW503" s="18">
        <f>BV503/AS503</f>
        <v>1.2468827930174562</v>
      </c>
      <c r="BX503" s="18">
        <f>IF(BY503&gt;0,1,0)</f>
        <v>1</v>
      </c>
      <c r="BY503" s="18">
        <f>VLOOKUP($K503,'[5]FECs - good data'!$C$1:$Z$574,19,FALSE)</f>
        <v>32</v>
      </c>
      <c r="BZ503" s="18">
        <f>BY503/AS503</f>
        <v>39.900249376558598</v>
      </c>
      <c r="CA503" s="18">
        <f>IF(CB503&gt;0,1,0)</f>
        <v>0</v>
      </c>
      <c r="CB503" s="18">
        <f>VLOOKUP($K503,'[5]FECs - good data'!$C$1:$Z$574,20,FALSE)</f>
        <v>0</v>
      </c>
      <c r="CC503" s="18">
        <f>CB503/AS503</f>
        <v>0</v>
      </c>
      <c r="CD503" s="78">
        <f>IF(CE503&gt;0,1,0)</f>
        <v>0</v>
      </c>
      <c r="CE503" s="18">
        <f>VLOOKUP($K503,'[5]FECs - good data'!$C$1:$Z$574,21,FALSE)</f>
        <v>0</v>
      </c>
      <c r="CF503" s="18">
        <f>CE503/AS503</f>
        <v>0</v>
      </c>
      <c r="CG503" s="18">
        <f>IF(CH503&gt;0,1,0)</f>
        <v>0</v>
      </c>
      <c r="CH503" s="18">
        <f>VLOOKUP($K503,'[5]FECs - good data'!$C$1:$Z$574,22,FALSE)</f>
        <v>0</v>
      </c>
      <c r="CI503" s="18">
        <f>CH503/AS503</f>
        <v>0</v>
      </c>
      <c r="CJ503" s="18">
        <f>IF(CK503&gt;0,1,0)</f>
        <v>1</v>
      </c>
      <c r="CK503" s="18">
        <f>VLOOKUP($K503,'[5]FECs - good data'!$C$1:$Z$674,24,FALSE)</f>
        <v>16</v>
      </c>
      <c r="CL503" s="18">
        <f>CK503/AS503</f>
        <v>19.950124688279299</v>
      </c>
      <c r="CM503" s="18"/>
      <c r="CN503" s="18"/>
      <c r="CO503" s="18"/>
      <c r="CP503" s="18"/>
      <c r="CQ503" s="18"/>
      <c r="CR503" s="18"/>
      <c r="CS503" s="18">
        <f>IF(CT503&gt;0,1,0)</f>
        <v>0</v>
      </c>
      <c r="CT503" s="18">
        <f>SUM(CW503+CZ503,DC503)</f>
        <v>0</v>
      </c>
      <c r="CU503" s="18"/>
      <c r="CV503" s="18">
        <f>SUM(CY503,DB503,DE503)</f>
        <v>0</v>
      </c>
      <c r="CW503" s="18">
        <f>IF(CX503&gt;0,1,0)</f>
        <v>0</v>
      </c>
      <c r="CX503" s="18">
        <f>VLOOKUP($K503,'[5]FECs - good data'!$C$1:$Z$574,22,FALSE)</f>
        <v>0</v>
      </c>
      <c r="CY503" s="18">
        <f>CX503/AS503</f>
        <v>0</v>
      </c>
      <c r="CZ503" s="18">
        <f>IF(DA503&gt;0,1,0)</f>
        <v>0</v>
      </c>
      <c r="DA503" s="18">
        <f>VLOOKUP($K503,'[5]FECs - good data'!$C$1:$Z$5982,23,FALSE)</f>
        <v>0</v>
      </c>
      <c r="DB503" s="18">
        <f>DA503/AS503</f>
        <v>0</v>
      </c>
      <c r="DC503" s="18">
        <f>IF(DD503&gt;0,1,0)</f>
        <v>0</v>
      </c>
      <c r="DD503" s="18">
        <f>VLOOKUP($K503,'[5]FECs - good data'!$C$1:$Z$574,23,FALSE)</f>
        <v>0</v>
      </c>
      <c r="DE503" s="18">
        <f>DD503/AS503</f>
        <v>0</v>
      </c>
      <c r="DF503" s="16" t="e">
        <f>VLOOKUP(K503,'[3]RNA Seq summary tables'!$V$3:$V$99,1,FALSE)</f>
        <v>#N/A</v>
      </c>
      <c r="DI503" s="18"/>
      <c r="DJ503" s="18"/>
      <c r="DK503" s="18"/>
      <c r="DL503" s="18"/>
      <c r="DM503" s="18"/>
      <c r="DN503" s="18"/>
      <c r="DO503" s="18"/>
      <c r="DP503" s="18"/>
      <c r="DQ503" s="18"/>
      <c r="DR503" s="18"/>
      <c r="DS503" s="18"/>
    </row>
    <row r="504" spans="1:288" x14ac:dyDescent="0.2">
      <c r="A504" s="26"/>
      <c r="B504" s="26">
        <v>2017</v>
      </c>
      <c r="C504" s="94">
        <v>42976</v>
      </c>
      <c r="D504" s="44" t="str">
        <f>CONCATENATE(J504,"-",C504)</f>
        <v>1391-42976</v>
      </c>
      <c r="E504" s="20" t="str">
        <f>CONCATENATE(T504,"-",U504,"-",C504)</f>
        <v>PO2-G1-42976</v>
      </c>
      <c r="F504" s="37" t="s">
        <v>224</v>
      </c>
      <c r="G504" s="94" t="s">
        <v>107</v>
      </c>
      <c r="H504" s="48"/>
      <c r="I504" s="16">
        <v>0</v>
      </c>
      <c r="J504" s="46">
        <v>1391</v>
      </c>
      <c r="K504" s="46">
        <v>2309</v>
      </c>
      <c r="L504" s="16">
        <v>1</v>
      </c>
      <c r="M504" s="45">
        <f>VLOOKUP($K504,'[4]blood tubes 2017'!$D$1:$L$947,8,FALSE)</f>
        <v>1</v>
      </c>
      <c r="N504" s="45">
        <f>VLOOKUP($K504,'[4]blood tubes 2017'!$D$1:$L$947,9,FALSE)</f>
        <v>1600</v>
      </c>
      <c r="O504" s="15" t="s">
        <v>119</v>
      </c>
      <c r="P504" s="48" t="s">
        <v>119</v>
      </c>
      <c r="Q504" s="48">
        <v>0</v>
      </c>
      <c r="R504" s="48" t="s">
        <v>111</v>
      </c>
      <c r="S504" s="48"/>
      <c r="T504" s="48" t="s">
        <v>127</v>
      </c>
      <c r="U504" s="48" t="s">
        <v>155</v>
      </c>
      <c r="V504" s="48" t="s">
        <v>114</v>
      </c>
      <c r="W504" s="23">
        <f>AI504/AG504</f>
        <v>0.80851063829787229</v>
      </c>
      <c r="X504" s="48" t="s">
        <v>115</v>
      </c>
      <c r="Y504" s="48" t="s">
        <v>110</v>
      </c>
      <c r="Z504" s="48">
        <v>3</v>
      </c>
      <c r="AA504" s="48"/>
      <c r="AB504" s="48"/>
      <c r="AC504" s="48"/>
      <c r="AD504" s="48"/>
      <c r="AE504" s="48" t="s">
        <v>116</v>
      </c>
      <c r="AF504" s="48" t="s">
        <v>116</v>
      </c>
      <c r="AG504" s="48">
        <f>AH504-AI504</f>
        <v>94</v>
      </c>
      <c r="AH504" s="48">
        <v>170</v>
      </c>
      <c r="AI504" s="48">
        <v>76</v>
      </c>
      <c r="AJ504" s="48"/>
      <c r="AK504" s="48">
        <v>32</v>
      </c>
      <c r="AL504" s="48">
        <v>0</v>
      </c>
      <c r="AM504" s="48">
        <v>0</v>
      </c>
      <c r="AN504" s="48">
        <v>0</v>
      </c>
      <c r="AO504" s="48">
        <v>0</v>
      </c>
      <c r="AP504" s="48">
        <f>SUM(AL504:AN504)</f>
        <v>0</v>
      </c>
      <c r="AQ504" s="48">
        <v>2.367</v>
      </c>
      <c r="AR504" s="48">
        <f>AP504-1.472</f>
        <v>-1.472</v>
      </c>
      <c r="AS504" s="48">
        <f>AQ504-1.472</f>
        <v>0.89500000000000002</v>
      </c>
      <c r="AT504" s="26" t="str">
        <f>VLOOKUP(K504,'[5]FECs - good data'!$C$1:$P$575,13,FALSE)</f>
        <v>SB</v>
      </c>
      <c r="AU504" s="26"/>
      <c r="AV504" s="26"/>
      <c r="AW504" s="26">
        <f>IF(AX504&gt;0,1,0)</f>
        <v>1</v>
      </c>
      <c r="AX504" s="26">
        <f>SUM(BA504,BM504,CT504)</f>
        <v>4</v>
      </c>
      <c r="AY504" s="26">
        <f>SUM(BB504,BN504,CV504)</f>
        <v>813.40782122905034</v>
      </c>
      <c r="AZ504" s="26">
        <f>IF(BA504&gt;0,1,0)</f>
        <v>1</v>
      </c>
      <c r="BA504" s="26">
        <f>SUM(BC504,BF504,BI504)</f>
        <v>3</v>
      </c>
      <c r="BB504" s="26">
        <f>SUM(BE504,BH504,BK504)</f>
        <v>811.17318435754191</v>
      </c>
      <c r="BC504" s="26">
        <f>IF(BD504&gt;0,1,0)</f>
        <v>1</v>
      </c>
      <c r="BD504" s="26">
        <f>VLOOKUP($K504,'[5]FECs - good data'!$C$1:$Z$574,14,FALSE)</f>
        <v>97</v>
      </c>
      <c r="BE504" s="26">
        <f>BD504/AS504</f>
        <v>108.37988826815642</v>
      </c>
      <c r="BF504" s="26">
        <f>IF(BG504&gt;0,1,0)</f>
        <v>1</v>
      </c>
      <c r="BG504" s="82">
        <f>VLOOKUP($K504,'[5]FECs - good data'!$C$1:$Z$574,15,FALSE)</f>
        <v>613</v>
      </c>
      <c r="BH504" s="26">
        <f>BG504/AS504</f>
        <v>684.91620111731845</v>
      </c>
      <c r="BI504" s="26">
        <f>IF(BJ504&gt;0,1,0)</f>
        <v>1</v>
      </c>
      <c r="BJ504" s="26">
        <f>VLOOKUP($K504,'[5]FECs - good data'!$C$1:$Z$574,16,FALSE)</f>
        <v>16</v>
      </c>
      <c r="BK504" s="26">
        <f>BJ504/AS504</f>
        <v>17.877094972067038</v>
      </c>
      <c r="BL504" s="26">
        <f>IF(BM504&gt;0,1,0)</f>
        <v>1</v>
      </c>
      <c r="BM504" s="26">
        <f>SUM(BR504,BU504,BX504,CA504,CD504,CG504,CJ504,CM504,CP504)</f>
        <v>1</v>
      </c>
      <c r="BN504" s="26">
        <f>SUM(BW504,BZ504,CC504,CF504,CI504,CL504,CO504,CR504,BT504)</f>
        <v>2.2346368715083798</v>
      </c>
      <c r="BO504" s="16">
        <f>IF(BP504&gt;0,1,0)</f>
        <v>1</v>
      </c>
      <c r="BP504" s="16">
        <f>SUM(BU504,BX504,CA504,CD504,BR504)</f>
        <v>1</v>
      </c>
      <c r="BQ504" s="16">
        <f>SUM(BZ504,CC504,CF504,BT504,BW504)</f>
        <v>2.2346368715083798</v>
      </c>
      <c r="BR504" s="26">
        <f>IF(BS504&gt;0,1,0)</f>
        <v>0</v>
      </c>
      <c r="BS504" s="26">
        <f>VLOOKUP($K504,'[5]FECs - good data'!$C$1:$Z$574,17,FALSE)</f>
        <v>0</v>
      </c>
      <c r="BT504" s="82">
        <f>BS504/AS504</f>
        <v>0</v>
      </c>
      <c r="BU504" s="26">
        <f>IF(BV504&gt;0,1,0)</f>
        <v>0</v>
      </c>
      <c r="BV504" s="26">
        <f>VLOOKUP($K504,'[5]FECs - good data'!$C$1:$Z$574,18,FALSE)</f>
        <v>0</v>
      </c>
      <c r="BW504" s="26">
        <f>BV504/AS504</f>
        <v>0</v>
      </c>
      <c r="BX504" s="26">
        <f>IF(BY504&gt;0,1,0)</f>
        <v>0</v>
      </c>
      <c r="BY504" s="26">
        <f>VLOOKUP($K504,'[5]FECs - good data'!$C$1:$Z$574,19,FALSE)</f>
        <v>0</v>
      </c>
      <c r="BZ504" s="26">
        <f>BY504/AS504</f>
        <v>0</v>
      </c>
      <c r="CA504" s="26">
        <f>IF(CB504&gt;0,1,0)</f>
        <v>0</v>
      </c>
      <c r="CB504" s="26">
        <f>VLOOKUP($K504,'[5]FECs - good data'!$C$1:$Z$574,20,FALSE)</f>
        <v>0</v>
      </c>
      <c r="CC504" s="26">
        <f>CB504/AS504</f>
        <v>0</v>
      </c>
      <c r="CD504" s="82">
        <f>IF(CE504&gt;0,1,0)</f>
        <v>1</v>
      </c>
      <c r="CE504" s="26">
        <f>VLOOKUP($K504,'[5]FECs - good data'!$C$1:$Z$574,21,FALSE)</f>
        <v>2</v>
      </c>
      <c r="CF504" s="26">
        <f>CE504/AS504</f>
        <v>2.2346368715083798</v>
      </c>
      <c r="CG504" s="26">
        <f>IF(CH504&gt;0,1,0)</f>
        <v>0</v>
      </c>
      <c r="CH504" s="26">
        <f>VLOOKUP($K504,'[5]FECs - good data'!$C$1:$Z$574,22,FALSE)</f>
        <v>0</v>
      </c>
      <c r="CI504" s="26">
        <f>CH504/AS504</f>
        <v>0</v>
      </c>
      <c r="CJ504" s="26">
        <f>IF(CK504&gt;0,1,0)</f>
        <v>0</v>
      </c>
      <c r="CK504" s="26">
        <f>VLOOKUP($K504,'[5]FECs - good data'!$C$1:$Z$674,24,FALSE)</f>
        <v>0</v>
      </c>
      <c r="CL504" s="26">
        <f>CK504/AS504</f>
        <v>0</v>
      </c>
      <c r="CM504" s="26"/>
      <c r="CN504" s="26"/>
      <c r="CO504" s="26"/>
      <c r="CP504" s="26"/>
      <c r="CQ504" s="26"/>
      <c r="CR504" s="26"/>
      <c r="CS504" s="26">
        <f>IF(CT504&gt;0,1,0)</f>
        <v>0</v>
      </c>
      <c r="CT504" s="26">
        <f>SUM(CW504+CZ504,DC504)</f>
        <v>0</v>
      </c>
      <c r="CU504" s="26"/>
      <c r="CV504" s="26">
        <f>SUM(CY504,DB504,DE504)</f>
        <v>0</v>
      </c>
      <c r="CW504" s="26">
        <f>IF(CX504&gt;0,1,0)</f>
        <v>0</v>
      </c>
      <c r="CX504" s="26">
        <f>VLOOKUP($K504,'[5]FECs - good data'!$C$1:$Z$574,22,FALSE)</f>
        <v>0</v>
      </c>
      <c r="CY504" s="26">
        <f>CX504/AS504</f>
        <v>0</v>
      </c>
      <c r="CZ504" s="26">
        <f>IF(DA504&gt;0,1,0)</f>
        <v>0</v>
      </c>
      <c r="DA504" s="26">
        <f>VLOOKUP($K504,'[5]FECs - good data'!$C$1:$Z$5982,23,FALSE)</f>
        <v>0</v>
      </c>
      <c r="DB504" s="26">
        <f>DA504/AS504</f>
        <v>0</v>
      </c>
      <c r="DC504" s="48">
        <f>IF(DD504&gt;0,1,0)</f>
        <v>0</v>
      </c>
      <c r="DD504" s="48">
        <f>VLOOKUP($K504,'[5]FECs - good data'!$C$1:$Z$574,23,FALSE)</f>
        <v>0</v>
      </c>
      <c r="DE504" s="48">
        <f>DD504/AS504</f>
        <v>0</v>
      </c>
      <c r="DF504" s="16">
        <f>VLOOKUP(K504,'[3]RNA Seq summary tables'!$V$3:$V$99,1,FALSE)</f>
        <v>2309</v>
      </c>
      <c r="DI504" s="48"/>
      <c r="DJ504" s="48"/>
      <c r="DK504" s="48"/>
      <c r="DL504" s="48"/>
      <c r="DM504" s="48"/>
      <c r="DN504" s="48"/>
      <c r="DO504" s="48"/>
      <c r="DP504" s="48"/>
      <c r="DQ504" s="48"/>
      <c r="DR504" s="48"/>
      <c r="DS504" s="48"/>
      <c r="DT504" s="25"/>
      <c r="DU504" s="25"/>
      <c r="DV504" s="25"/>
      <c r="DW504" s="25"/>
      <c r="DX504" s="25"/>
      <c r="DY504" s="25"/>
      <c r="DZ504" s="25"/>
      <c r="EA504" s="25"/>
      <c r="EB504" s="25"/>
      <c r="EC504" s="25"/>
      <c r="ED504" s="25"/>
      <c r="EE504" s="25"/>
      <c r="EF504" s="25"/>
      <c r="EG504" s="25"/>
      <c r="EH504" s="25"/>
      <c r="EI504" s="25"/>
      <c r="EJ504" s="25"/>
      <c r="EK504" s="25"/>
      <c r="EL504" s="25"/>
      <c r="EM504" s="25"/>
      <c r="EN504" s="25"/>
      <c r="EO504" s="25"/>
      <c r="EP504" s="25"/>
      <c r="EQ504" s="25"/>
      <c r="ER504" s="25"/>
      <c r="ES504" s="25"/>
      <c r="ET504" s="25"/>
      <c r="EU504" s="25"/>
      <c r="EV504" s="25"/>
      <c r="EW504" s="25"/>
      <c r="EX504" s="25"/>
      <c r="EY504" s="25"/>
      <c r="EZ504" s="25"/>
      <c r="FA504" s="25"/>
      <c r="FB504" s="25"/>
      <c r="FC504" s="25"/>
      <c r="FD504" s="25"/>
      <c r="FE504" s="25"/>
      <c r="FF504" s="25"/>
      <c r="FG504" s="25"/>
      <c r="FH504" s="25"/>
      <c r="FI504" s="25"/>
      <c r="FJ504" s="25"/>
      <c r="FK504" s="25"/>
      <c r="FL504" s="25"/>
      <c r="FM504" s="25"/>
      <c r="FN504" s="25"/>
      <c r="FO504" s="25"/>
      <c r="FP504" s="25"/>
      <c r="FQ504" s="25"/>
      <c r="FR504" s="25"/>
      <c r="FS504" s="25"/>
      <c r="FT504" s="25"/>
      <c r="FU504" s="25"/>
      <c r="FV504" s="25"/>
      <c r="FW504" s="25"/>
      <c r="FX504" s="25"/>
      <c r="FY504" s="25"/>
      <c r="FZ504" s="25"/>
      <c r="GA504" s="25"/>
      <c r="GB504" s="25"/>
      <c r="GC504" s="25"/>
      <c r="GD504" s="25"/>
      <c r="GE504" s="25"/>
      <c r="GF504" s="25"/>
      <c r="GG504" s="25"/>
      <c r="GH504" s="25"/>
      <c r="GI504" s="25"/>
      <c r="GJ504" s="25"/>
      <c r="GK504" s="25"/>
      <c r="GL504" s="25"/>
      <c r="GM504" s="25"/>
      <c r="GN504" s="25"/>
      <c r="GO504" s="25"/>
      <c r="GP504" s="25"/>
      <c r="GQ504" s="25"/>
      <c r="GR504" s="25"/>
      <c r="GS504" s="25"/>
      <c r="GT504" s="25"/>
      <c r="GU504" s="25"/>
      <c r="GV504" s="25"/>
      <c r="GW504" s="25"/>
      <c r="GX504" s="25"/>
      <c r="GY504" s="25"/>
      <c r="GZ504" s="25"/>
      <c r="HA504" s="25"/>
      <c r="HB504" s="25"/>
      <c r="HC504" s="25"/>
      <c r="HD504" s="25"/>
      <c r="HE504" s="25"/>
      <c r="HF504" s="25"/>
      <c r="HG504" s="25"/>
      <c r="HH504" s="25"/>
      <c r="HI504" s="25"/>
      <c r="HJ504" s="25"/>
      <c r="HK504" s="25"/>
      <c r="HL504" s="25"/>
      <c r="HM504" s="25"/>
      <c r="HN504" s="25"/>
      <c r="HO504" s="25"/>
      <c r="HP504" s="25"/>
      <c r="HQ504" s="25"/>
      <c r="HR504" s="25"/>
      <c r="HS504" s="25"/>
      <c r="HT504" s="25"/>
      <c r="HU504" s="25"/>
      <c r="HV504" s="25"/>
      <c r="HW504" s="25"/>
      <c r="HX504" s="25"/>
      <c r="HY504" s="25"/>
      <c r="HZ504" s="25"/>
      <c r="IA504" s="25"/>
      <c r="IB504" s="25"/>
      <c r="IC504" s="25"/>
      <c r="ID504" s="25"/>
      <c r="IE504" s="25"/>
      <c r="IF504" s="25"/>
      <c r="IG504" s="25"/>
      <c r="IH504" s="25"/>
      <c r="II504" s="25"/>
      <c r="IJ504" s="25"/>
      <c r="IK504" s="25"/>
      <c r="IL504" s="25"/>
      <c r="IM504" s="25"/>
      <c r="IN504" s="25"/>
      <c r="IO504" s="25"/>
      <c r="IP504" s="25"/>
      <c r="IQ504" s="25"/>
      <c r="IR504" s="25"/>
      <c r="IS504" s="25"/>
      <c r="IT504" s="25"/>
      <c r="IU504" s="25"/>
      <c r="IV504" s="25"/>
      <c r="IW504" s="25"/>
      <c r="IX504" s="25"/>
      <c r="IY504" s="25"/>
      <c r="IZ504" s="25"/>
      <c r="JA504" s="25"/>
      <c r="JB504" s="25"/>
      <c r="JC504" s="25"/>
      <c r="JD504" s="25"/>
      <c r="JE504" s="25"/>
      <c r="JF504" s="25"/>
      <c r="JG504" s="25"/>
      <c r="JH504" s="25"/>
      <c r="JI504" s="25"/>
      <c r="JJ504" s="25"/>
      <c r="JK504" s="25"/>
      <c r="JL504" s="25"/>
      <c r="JM504" s="25"/>
      <c r="JN504" s="25"/>
      <c r="JO504" s="18"/>
    </row>
    <row r="505" spans="1:288" x14ac:dyDescent="0.2">
      <c r="B505" s="18">
        <v>2017</v>
      </c>
      <c r="C505" s="37">
        <v>42977</v>
      </c>
      <c r="D505" s="37" t="str">
        <f>CONCATENATE(J505,"-",C505)</f>
        <v>1393-42977</v>
      </c>
      <c r="E505" s="142" t="str">
        <f>CONCATENATE(T505,"-",U505,"-",C505)</f>
        <v>PO1-F8-42977</v>
      </c>
      <c r="F505" s="37" t="s">
        <v>224</v>
      </c>
      <c r="G505" s="37" t="s">
        <v>107</v>
      </c>
      <c r="H505" s="40" t="s">
        <v>264</v>
      </c>
      <c r="J505" s="36">
        <v>1393</v>
      </c>
      <c r="K505" s="36">
        <v>2314</v>
      </c>
      <c r="L505" s="18">
        <v>0</v>
      </c>
      <c r="M505" s="36">
        <f>VLOOKUP($K505,'[4]blood tubes 2017'!$D$1:$L$947,8,FALSE)</f>
        <v>0</v>
      </c>
      <c r="N505" s="42">
        <v>0</v>
      </c>
      <c r="O505" s="15" t="s">
        <v>119</v>
      </c>
      <c r="P505" s="18" t="s">
        <v>119</v>
      </c>
      <c r="Q505" s="18">
        <v>0</v>
      </c>
      <c r="R505" s="18" t="str">
        <f>IF(J505=J504,C505-C504,"")</f>
        <v/>
      </c>
      <c r="S505" s="18"/>
      <c r="T505" s="18" t="s">
        <v>112</v>
      </c>
      <c r="U505" s="18" t="s">
        <v>138</v>
      </c>
      <c r="V505" s="18" t="s">
        <v>114</v>
      </c>
      <c r="W505" s="16">
        <f>AI505/AG505</f>
        <v>0.91549295774647887</v>
      </c>
      <c r="X505" s="18" t="s">
        <v>121</v>
      </c>
      <c r="Y505" s="18" t="s">
        <v>145</v>
      </c>
      <c r="Z505" s="18">
        <v>1</v>
      </c>
      <c r="AA505" s="18" t="s">
        <v>119</v>
      </c>
      <c r="AB505" s="18" t="s">
        <v>123</v>
      </c>
      <c r="AC505" s="18" t="s">
        <v>123</v>
      </c>
      <c r="AD505" s="18" t="s">
        <v>123</v>
      </c>
      <c r="AE505" s="18"/>
      <c r="AF505" s="18"/>
      <c r="AG505" s="18">
        <f>AH505-AI505</f>
        <v>71</v>
      </c>
      <c r="AH505" s="18">
        <v>136</v>
      </c>
      <c r="AI505" s="18">
        <v>65</v>
      </c>
      <c r="AJ505" s="18"/>
      <c r="AK505" s="18">
        <v>13.5</v>
      </c>
      <c r="AL505" s="18">
        <v>0</v>
      </c>
      <c r="AM505" s="18">
        <v>0</v>
      </c>
      <c r="AN505" s="18">
        <v>0</v>
      </c>
      <c r="AO505" s="18">
        <v>0</v>
      </c>
      <c r="AP505" s="18">
        <f>SUM(AL505:AN505)</f>
        <v>0</v>
      </c>
      <c r="AQ505" s="18">
        <v>1.6850000000000001</v>
      </c>
      <c r="AR505" s="18">
        <f>AP505-1.472</f>
        <v>-1.472</v>
      </c>
      <c r="AS505" s="18">
        <f>AQ505-1.472</f>
        <v>0.21300000000000008</v>
      </c>
      <c r="AT505" s="16" t="e">
        <f>VLOOKUP(E505,[2]Current!$A$1:$W$435,7,FALSE)</f>
        <v>#N/A</v>
      </c>
      <c r="AU505" s="16">
        <v>0</v>
      </c>
      <c r="AV505" s="18"/>
      <c r="AW505" s="18"/>
      <c r="AX505" s="18"/>
      <c r="AY505" s="18"/>
      <c r="AZ505" s="18"/>
      <c r="BA505" s="18"/>
      <c r="BB505" s="18"/>
      <c r="BC505" s="18"/>
      <c r="BD505" s="18"/>
      <c r="BE505" s="18"/>
      <c r="BF505" s="18"/>
      <c r="BG505" s="78"/>
      <c r="BH505" s="18"/>
      <c r="BI505" s="18"/>
      <c r="BJ505" s="18"/>
      <c r="BK505" s="18"/>
      <c r="BL505" s="18"/>
      <c r="BM505" s="18"/>
      <c r="BN505" s="18"/>
      <c r="BO505" s="18"/>
      <c r="BP505" s="18"/>
      <c r="BQ505" s="18"/>
      <c r="BR505" s="18"/>
      <c r="BS505" s="18"/>
      <c r="BT505" s="78"/>
      <c r="BU505" s="18"/>
      <c r="BV505" s="18"/>
      <c r="BW505" s="18"/>
      <c r="BX505" s="18"/>
      <c r="BY505" s="18"/>
      <c r="BZ505" s="18"/>
      <c r="CA505" s="18"/>
      <c r="CB505" s="18"/>
      <c r="CC505" s="18"/>
      <c r="CD505" s="7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6" t="e">
        <f>VLOOKUP(K505,'[3]RNA Seq summary tables'!$V$3:$V$99,1,FALSE)</f>
        <v>#N/A</v>
      </c>
      <c r="DI505" s="18"/>
      <c r="DJ505" s="18"/>
      <c r="DK505" s="18"/>
      <c r="DL505" s="18"/>
      <c r="DM505" s="18"/>
      <c r="DN505" s="18"/>
      <c r="DO505" s="18"/>
      <c r="DP505" s="18"/>
      <c r="DQ505" s="18"/>
      <c r="DR505" s="18"/>
      <c r="DS505" s="18"/>
    </row>
    <row r="506" spans="1:288" ht="16" x14ac:dyDescent="0.2">
      <c r="B506" s="16">
        <v>2018</v>
      </c>
      <c r="C506" s="124">
        <v>43229</v>
      </c>
      <c r="D506" t="s">
        <v>684</v>
      </c>
      <c r="E506" s="37" t="str">
        <f>CONCATENATE(T506,"-",U506,"-",C506)</f>
        <v>PO2-A7-43229</v>
      </c>
      <c r="F506" s="16" t="s">
        <v>227</v>
      </c>
      <c r="G506" s="126" t="s">
        <v>107</v>
      </c>
      <c r="H506" s="126"/>
      <c r="J506" s="126">
        <v>1394</v>
      </c>
      <c r="K506" s="126">
        <v>2334</v>
      </c>
      <c r="O506" s="126" t="s">
        <v>119</v>
      </c>
      <c r="P506" s="18" t="s">
        <v>119</v>
      </c>
      <c r="Q506" s="18">
        <v>0</v>
      </c>
      <c r="R506" s="18" t="str">
        <f>IF(J506=J505,C506-C505,"")</f>
        <v/>
      </c>
      <c r="T506" s="126" t="s">
        <v>127</v>
      </c>
      <c r="U506" s="126" t="s">
        <v>120</v>
      </c>
      <c r="V506" s="125" t="s">
        <v>114</v>
      </c>
      <c r="X506" s="126" t="s">
        <v>121</v>
      </c>
      <c r="Y506" s="126" t="s">
        <v>110</v>
      </c>
      <c r="Z506" s="126">
        <v>3</v>
      </c>
      <c r="AA506" s="126" t="s">
        <v>119</v>
      </c>
      <c r="AB506" s="126" t="s">
        <v>123</v>
      </c>
      <c r="AC506" s="126" t="s">
        <v>123</v>
      </c>
      <c r="AD506" s="126"/>
      <c r="AE506" s="126"/>
      <c r="AG506" s="16">
        <f>AH506-AI506</f>
        <v>88</v>
      </c>
      <c r="AH506" s="126">
        <v>155</v>
      </c>
      <c r="AI506" s="126">
        <v>67</v>
      </c>
      <c r="AK506" s="126">
        <v>18.5</v>
      </c>
      <c r="AL506" s="126">
        <v>1</v>
      </c>
      <c r="AM506" s="126">
        <v>0</v>
      </c>
      <c r="AN506" s="126">
        <v>0</v>
      </c>
      <c r="AO506" s="16">
        <f>IF(SUM(AL506:AN506)&gt;0,1,0)</f>
        <v>1</v>
      </c>
      <c r="AP506" s="18">
        <f>SUM(AL506:AN506)</f>
        <v>1</v>
      </c>
      <c r="AR506" s="16">
        <v>0.19800000000000018</v>
      </c>
      <c r="AS506" s="16">
        <f>VLOOKUP(E506,'[1]Feces weights'!$D$1:$H$459,5,FALSE)</f>
        <v>0.19800000000000018</v>
      </c>
      <c r="AT506" s="16" t="str">
        <f>VLOOKUP(E506,[9]Current!$A:$T,7,FALSE)</f>
        <v>DP</v>
      </c>
      <c r="AU506" s="18" t="s">
        <v>1290</v>
      </c>
      <c r="AW506" s="177">
        <f>IF(AY506&gt;0,1,0)</f>
        <v>1</v>
      </c>
      <c r="AX506" s="177">
        <f>SUM(BA506,BM506,CU506)</f>
        <v>1</v>
      </c>
      <c r="AY506" s="177">
        <f>SUM(BB506,BN506,CV506)</f>
        <v>5.0505050505050457</v>
      </c>
      <c r="AZ506" s="177">
        <f>IF(BB506&gt;0,1,0)</f>
        <v>0</v>
      </c>
      <c r="BA506" s="177">
        <f>SUM(BC506+BF506+BI506)</f>
        <v>0</v>
      </c>
      <c r="BB506" s="177">
        <f>SUM(BE506,BH506,BK506)</f>
        <v>0</v>
      </c>
      <c r="BC506" s="178">
        <f>IF(BD506&gt;0,1,0)</f>
        <v>0</v>
      </c>
      <c r="BD506" s="177">
        <f>VLOOKUP($E506,[9]Current!$1:$1048576,8,FALSE)</f>
        <v>0</v>
      </c>
      <c r="BE506" s="177">
        <f>BD506/$AS506</f>
        <v>0</v>
      </c>
      <c r="BF506" s="178">
        <f>IF(BG506&gt;0,1,0)</f>
        <v>0</v>
      </c>
      <c r="BG506" s="179">
        <f>VLOOKUP($E506,[9]Current!$1:$1048576,9,FALSE)</f>
        <v>0</v>
      </c>
      <c r="BH506" s="177">
        <f>BG506/$AS506</f>
        <v>0</v>
      </c>
      <c r="BI506" s="178">
        <f>IF(BJ506&gt;0,1,0)</f>
        <v>0</v>
      </c>
      <c r="BJ506" s="177">
        <f>VLOOKUP($E506,[9]Current!$1:$1048576,10,FALSE)</f>
        <v>0</v>
      </c>
      <c r="BK506" s="177">
        <f>BJ506/$AS506</f>
        <v>0</v>
      </c>
      <c r="BL506" s="177">
        <f>IF(BM506&gt;0,1,0)</f>
        <v>1</v>
      </c>
      <c r="BM506" s="177">
        <f>SUM(BR506,BU506,BX506,CA506,CD506)</f>
        <v>1</v>
      </c>
      <c r="BN506" s="181">
        <f>SUM(BT506,BW506,BZ506,CC506,CF506)</f>
        <v>5.0505050505050457</v>
      </c>
      <c r="BO506" s="177">
        <f>IF(BP506&gt;0,1,0)</f>
        <v>1</v>
      </c>
      <c r="BP506" s="177">
        <f>BM506+CJ506</f>
        <v>1</v>
      </c>
      <c r="BQ506" s="177">
        <f>BN506+CL506</f>
        <v>5.0505050505050457</v>
      </c>
      <c r="BR506" s="178">
        <f>IF(BS506&gt;0,1,0)</f>
        <v>1</v>
      </c>
      <c r="BS506" s="177">
        <f>VLOOKUP($E506,[9]Current!$1:$1048576,12,FALSE)</f>
        <v>1</v>
      </c>
      <c r="BT506" s="179">
        <f>BS506/$AS506</f>
        <v>5.0505050505050457</v>
      </c>
      <c r="BU506" s="178">
        <f>IF(BV506&gt;0,1,0)</f>
        <v>0</v>
      </c>
      <c r="BV506" s="177">
        <f>VLOOKUP($E506,[9]Current!$1:$1048576,13,FALSE)</f>
        <v>0</v>
      </c>
      <c r="BW506" s="177">
        <f>BV506/$AS506</f>
        <v>0</v>
      </c>
      <c r="BX506" s="178">
        <f>IF(BY506&gt;0,1,0)</f>
        <v>0</v>
      </c>
      <c r="BY506" s="177">
        <f>VLOOKUP($E506,[9]Current!$1:$1048576,14,FALSE)</f>
        <v>0</v>
      </c>
      <c r="BZ506" s="177">
        <f>BY506/$AS506</f>
        <v>0</v>
      </c>
      <c r="CA506" s="178">
        <f>IF(CB506&gt;0,1,0)</f>
        <v>0</v>
      </c>
      <c r="CB506" s="177">
        <f>VLOOKUP($E506,[9]Current!$1:$1048576,15,FALSE)</f>
        <v>0</v>
      </c>
      <c r="CC506" s="177">
        <f>CB506/$AS506</f>
        <v>0</v>
      </c>
      <c r="CD506" s="180">
        <f>IF(CE506&gt;0,1,0)</f>
        <v>0</v>
      </c>
      <c r="CE506" s="177">
        <f>VLOOKUP($E506,[9]Current!$1:$1048576,16,FALSE)</f>
        <v>0</v>
      </c>
      <c r="CF506" s="177">
        <f>CE506/$AS506</f>
        <v>0</v>
      </c>
      <c r="CG506" s="18"/>
      <c r="CH506" s="18"/>
      <c r="CI506" s="18"/>
      <c r="CJ506" s="178">
        <f>IF(CK506&gt;0,1,0)</f>
        <v>0</v>
      </c>
      <c r="CK506" s="177">
        <f>VLOOKUP($E506,[9]Current!$1:$1048576,18,FALSE)</f>
        <v>0</v>
      </c>
      <c r="CL506" s="177">
        <f>CK506/$AS506</f>
        <v>0</v>
      </c>
      <c r="CS506" s="178">
        <f>IF(CU506&gt;0,1,0)</f>
        <v>0</v>
      </c>
      <c r="CT506" s="177"/>
      <c r="CU506" s="177">
        <f>VLOOKUP($E506,[9]Current!$1:$1048576,17,FALSE)</f>
        <v>0</v>
      </c>
      <c r="CV506" s="177">
        <f>CU506/$AS506</f>
        <v>0</v>
      </c>
      <c r="DF506" s="16" t="e">
        <f>VLOOKUP(K506,'[3]RNA Seq summary tables'!$V$3:$V$99,1,FALSE)</f>
        <v>#N/A</v>
      </c>
      <c r="DG506" s="126" t="s">
        <v>116</v>
      </c>
    </row>
    <row r="507" spans="1:288" ht="16" x14ac:dyDescent="0.2">
      <c r="B507" s="16">
        <v>2018</v>
      </c>
      <c r="C507" s="124">
        <v>43229</v>
      </c>
      <c r="D507" t="s">
        <v>682</v>
      </c>
      <c r="E507" s="37" t="str">
        <f>CONCATENATE(T507,"-",U507,"-",C507)</f>
        <v>PO2-D5-43229</v>
      </c>
      <c r="F507" s="16" t="s">
        <v>227</v>
      </c>
      <c r="G507" s="126" t="s">
        <v>107</v>
      </c>
      <c r="H507" s="126"/>
      <c r="J507" s="126">
        <v>1396</v>
      </c>
      <c r="K507" s="126">
        <v>2317</v>
      </c>
      <c r="O507" s="126" t="s">
        <v>119</v>
      </c>
      <c r="P507" s="18" t="s">
        <v>119</v>
      </c>
      <c r="Q507" s="18">
        <v>0</v>
      </c>
      <c r="R507" s="18" t="str">
        <f>IF(J507=J506,C507-C506,"")</f>
        <v/>
      </c>
      <c r="T507" s="126" t="s">
        <v>127</v>
      </c>
      <c r="U507" s="126" t="s">
        <v>183</v>
      </c>
      <c r="V507" s="126" t="s">
        <v>114</v>
      </c>
      <c r="X507" s="126" t="s">
        <v>115</v>
      </c>
      <c r="Y507" s="126" t="s">
        <v>110</v>
      </c>
      <c r="Z507" s="126">
        <v>3</v>
      </c>
      <c r="AA507" s="126"/>
      <c r="AB507" s="126"/>
      <c r="AC507" s="126"/>
      <c r="AD507" s="126"/>
      <c r="AE507" s="126" t="s">
        <v>123</v>
      </c>
      <c r="AG507" s="16">
        <f>AH507-AI507</f>
        <v>85</v>
      </c>
      <c r="AH507" s="126">
        <v>156</v>
      </c>
      <c r="AI507" s="126">
        <v>71</v>
      </c>
      <c r="AK507" s="126">
        <v>18.5</v>
      </c>
      <c r="AL507" s="126">
        <v>0</v>
      </c>
      <c r="AM507" s="126">
        <v>0</v>
      </c>
      <c r="AN507" s="126">
        <v>0</v>
      </c>
      <c r="AO507" s="16">
        <f>IF(SUM(AL507:AN507)&gt;0,1,0)</f>
        <v>0</v>
      </c>
      <c r="AP507" s="18">
        <f>SUM(AL507:AN507)</f>
        <v>0</v>
      </c>
      <c r="AR507" s="16">
        <v>0.125</v>
      </c>
      <c r="AS507" s="16">
        <f>VLOOKUP(E507,'[1]Feces weights'!$D$1:$H$459,5,FALSE)</f>
        <v>0.125</v>
      </c>
      <c r="AT507" s="16" t="str">
        <f>VLOOKUP(E507,[9]Current!$A:$T,7,FALSE)</f>
        <v>IS</v>
      </c>
      <c r="AU507" s="18" t="s">
        <v>1290</v>
      </c>
      <c r="AW507" s="177">
        <f>IF(AY507&gt;0,1,0)</f>
        <v>1</v>
      </c>
      <c r="AX507" s="177">
        <f>SUM(BA507,BM507,CU507)</f>
        <v>3</v>
      </c>
      <c r="AY507" s="177">
        <f>SUM(BB507,BN507,CV507)</f>
        <v>8784</v>
      </c>
      <c r="AZ507" s="177">
        <f>IF(BB507&gt;0,1,0)</f>
        <v>1</v>
      </c>
      <c r="BA507" s="177">
        <f>SUM(BC507+BF507+BI507)</f>
        <v>1</v>
      </c>
      <c r="BB507" s="177">
        <f>SUM(BE507,BH507,BK507)</f>
        <v>8288</v>
      </c>
      <c r="BC507" s="178">
        <f>IF(BD507&gt;0,1,0)</f>
        <v>1</v>
      </c>
      <c r="BD507" s="177">
        <f>VLOOKUP($E507,[9]Current!$1:$1048576,8,FALSE)</f>
        <v>1036</v>
      </c>
      <c r="BE507" s="177">
        <f>BD507/$AS507</f>
        <v>8288</v>
      </c>
      <c r="BF507" s="178">
        <f>IF(BG507&gt;0,1,0)</f>
        <v>0</v>
      </c>
      <c r="BG507" s="179">
        <f>VLOOKUP($E507,[9]Current!$1:$1048576,9,FALSE)</f>
        <v>0</v>
      </c>
      <c r="BH507" s="177">
        <f>BG507/$AS507</f>
        <v>0</v>
      </c>
      <c r="BI507" s="178">
        <f>IF(BJ507&gt;0,1,0)</f>
        <v>0</v>
      </c>
      <c r="BJ507" s="177">
        <f>VLOOKUP($E507,[9]Current!$1:$1048576,10,FALSE)</f>
        <v>0</v>
      </c>
      <c r="BK507" s="177">
        <f>BJ507/$AS507</f>
        <v>0</v>
      </c>
      <c r="BL507" s="177">
        <f>IF(BM507&gt;0,1,0)</f>
        <v>1</v>
      </c>
      <c r="BM507" s="177">
        <f>SUM(BR507,BU507,BX507,CA507,CD507)</f>
        <v>2</v>
      </c>
      <c r="BN507" s="181">
        <f>SUM(BT507,BW507,BZ507,CC507,CF507)</f>
        <v>496</v>
      </c>
      <c r="BO507" s="177">
        <f>IF(BP507&gt;0,1,0)</f>
        <v>1</v>
      </c>
      <c r="BP507" s="177">
        <f>BM507+CJ507</f>
        <v>2</v>
      </c>
      <c r="BQ507" s="177">
        <f>BN507+CL507</f>
        <v>496</v>
      </c>
      <c r="BR507" s="178">
        <f>IF(BS507&gt;0,1,0)</f>
        <v>0</v>
      </c>
      <c r="BS507" s="177">
        <f>VLOOKUP($E507,[9]Current!$1:$1048576,12,FALSE)</f>
        <v>0</v>
      </c>
      <c r="BT507" s="179">
        <f>BS507/$AS507</f>
        <v>0</v>
      </c>
      <c r="BU507" s="178">
        <f>IF(BV507&gt;0,1,0)</f>
        <v>1</v>
      </c>
      <c r="BV507" s="177">
        <f>VLOOKUP($E507,[9]Current!$1:$1048576,13,FALSE)</f>
        <v>49</v>
      </c>
      <c r="BW507" s="177">
        <f>BV507/$AS507</f>
        <v>392</v>
      </c>
      <c r="BX507" s="178">
        <f>IF(BY507&gt;0,1,0)</f>
        <v>1</v>
      </c>
      <c r="BY507" s="177">
        <f>VLOOKUP($E507,[9]Current!$1:$1048576,14,FALSE)</f>
        <v>13</v>
      </c>
      <c r="BZ507" s="177">
        <f>BY507/$AS507</f>
        <v>104</v>
      </c>
      <c r="CA507" s="178">
        <f>IF(CB507&gt;0,1,0)</f>
        <v>0</v>
      </c>
      <c r="CB507" s="177">
        <f>VLOOKUP($E507,[9]Current!$1:$1048576,15,FALSE)</f>
        <v>0</v>
      </c>
      <c r="CC507" s="177">
        <f>CB507/$AS507</f>
        <v>0</v>
      </c>
      <c r="CD507" s="180">
        <f>IF(CE507&gt;0,1,0)</f>
        <v>0</v>
      </c>
      <c r="CE507" s="177">
        <f>VLOOKUP($E507,[9]Current!$1:$1048576,16,FALSE)</f>
        <v>0</v>
      </c>
      <c r="CF507" s="177">
        <f>CE507/$AS507</f>
        <v>0</v>
      </c>
      <c r="CG507" s="18"/>
      <c r="CH507" s="18"/>
      <c r="CI507" s="18"/>
      <c r="CJ507" s="178">
        <f>IF(CK507&gt;0,1,0)</f>
        <v>0</v>
      </c>
      <c r="CK507" s="177">
        <f>VLOOKUP($E507,[9]Current!$1:$1048576,18,FALSE)</f>
        <v>0</v>
      </c>
      <c r="CL507" s="177">
        <f>CK507/$AS507</f>
        <v>0</v>
      </c>
      <c r="CS507" s="178">
        <f>IF(CU507&gt;0,1,0)</f>
        <v>0</v>
      </c>
      <c r="CT507" s="177"/>
      <c r="CU507" s="177">
        <f>VLOOKUP($E507,[9]Current!$1:$1048576,17,FALSE)</f>
        <v>0</v>
      </c>
      <c r="CV507" s="177">
        <f>CU507/$AS507</f>
        <v>0</v>
      </c>
      <c r="DF507" s="16" t="e">
        <f>VLOOKUP(K507,'[3]RNA Seq summary tables'!$V$3:$V$99,1,FALSE)</f>
        <v>#N/A</v>
      </c>
      <c r="DG507" s="126" t="s">
        <v>116</v>
      </c>
    </row>
    <row r="508" spans="1:288" ht="16" x14ac:dyDescent="0.2">
      <c r="B508" s="16">
        <v>2018</v>
      </c>
      <c r="C508" s="124">
        <v>43229</v>
      </c>
      <c r="D508" t="s">
        <v>686</v>
      </c>
      <c r="E508" s="37" t="str">
        <f>CONCATENATE(T508,"-",U508,"-",C508)</f>
        <v>PO2-G4-43229</v>
      </c>
      <c r="F508" s="16" t="s">
        <v>227</v>
      </c>
      <c r="G508" s="126" t="s">
        <v>107</v>
      </c>
      <c r="H508" s="126"/>
      <c r="J508" s="126">
        <v>1398</v>
      </c>
      <c r="K508" s="126">
        <v>2318</v>
      </c>
      <c r="O508" s="126" t="s">
        <v>119</v>
      </c>
      <c r="P508" s="18" t="s">
        <v>119</v>
      </c>
      <c r="Q508" s="18">
        <v>0</v>
      </c>
      <c r="R508" s="18" t="str">
        <f>IF(J508=J507,C508-C507,"")</f>
        <v/>
      </c>
      <c r="T508" s="126" t="s">
        <v>127</v>
      </c>
      <c r="U508" s="126" t="s">
        <v>173</v>
      </c>
      <c r="V508" s="126" t="s">
        <v>114</v>
      </c>
      <c r="X508" s="126" t="s">
        <v>115</v>
      </c>
      <c r="Y508" s="126" t="s">
        <v>110</v>
      </c>
      <c r="Z508" s="126">
        <v>3</v>
      </c>
      <c r="AA508" s="126"/>
      <c r="AB508" s="126"/>
      <c r="AC508" s="126"/>
      <c r="AD508" s="126"/>
      <c r="AE508" s="126" t="s">
        <v>116</v>
      </c>
      <c r="AG508" s="16">
        <f>AH508-AI508</f>
        <v>90</v>
      </c>
      <c r="AH508" s="126">
        <v>155</v>
      </c>
      <c r="AI508" s="126">
        <v>65</v>
      </c>
      <c r="AK508" s="126">
        <v>22.5</v>
      </c>
      <c r="AL508" s="126">
        <v>1</v>
      </c>
      <c r="AM508" s="126">
        <v>0</v>
      </c>
      <c r="AN508" s="126">
        <v>0</v>
      </c>
      <c r="AO508" s="16">
        <f>IF(SUM(AL508:AN508)&gt;0,1,0)</f>
        <v>1</v>
      </c>
      <c r="AP508" s="18">
        <f>SUM(AL508:AN508)</f>
        <v>1</v>
      </c>
      <c r="AR508" s="16">
        <v>0.252</v>
      </c>
      <c r="AS508" s="16">
        <f>VLOOKUP(E508,'[1]Feces weights'!$D$1:$H$459,5,FALSE)</f>
        <v>0.252</v>
      </c>
      <c r="AT508" s="16" t="str">
        <f>VLOOKUP(E508,[9]Current!$A:$T,7,FALSE)</f>
        <v>IS</v>
      </c>
      <c r="AU508" s="18" t="s">
        <v>1290</v>
      </c>
      <c r="AW508" s="177">
        <f>IF(AY508&gt;0,1,0)</f>
        <v>1</v>
      </c>
      <c r="AX508" s="177">
        <f>SUM(BA508,BM508,CU508)</f>
        <v>3</v>
      </c>
      <c r="AY508" s="177">
        <f>SUM(BB508,BN508,CV508)</f>
        <v>357.14285714285711</v>
      </c>
      <c r="AZ508" s="177">
        <f>IF(BB508&gt;0,1,0)</f>
        <v>1</v>
      </c>
      <c r="BA508" s="177">
        <f>SUM(BC508+BF508+BI508)</f>
        <v>2</v>
      </c>
      <c r="BB508" s="177">
        <f>SUM(BE508,BH508,BK508)</f>
        <v>353.17460317460313</v>
      </c>
      <c r="BC508" s="178">
        <f>IF(BD508&gt;0,1,0)</f>
        <v>1</v>
      </c>
      <c r="BD508" s="177">
        <f>VLOOKUP($E508,[9]Current!$1:$1048576,8,FALSE)</f>
        <v>54</v>
      </c>
      <c r="BE508" s="177">
        <f>BD508/$AS508</f>
        <v>214.28571428571428</v>
      </c>
      <c r="BF508" s="178">
        <f>IF(BG508&gt;0,1,0)</f>
        <v>1</v>
      </c>
      <c r="BG508" s="179">
        <f>VLOOKUP($E508,[9]Current!$1:$1048576,9,FALSE)</f>
        <v>35</v>
      </c>
      <c r="BH508" s="177">
        <f>BG508/$AS508</f>
        <v>138.88888888888889</v>
      </c>
      <c r="BI508" s="178">
        <f>IF(BJ508&gt;0,1,0)</f>
        <v>0</v>
      </c>
      <c r="BJ508" s="177">
        <f>VLOOKUP($E508,[9]Current!$1:$1048576,10,FALSE)</f>
        <v>0</v>
      </c>
      <c r="BK508" s="177">
        <f>BJ508/$AS508</f>
        <v>0</v>
      </c>
      <c r="BL508" s="177">
        <f>IF(BM508&gt;0,1,0)</f>
        <v>1</v>
      </c>
      <c r="BM508" s="177">
        <f>SUM(BR508,BU508,BX508,CA508,CD508)</f>
        <v>1</v>
      </c>
      <c r="BN508" s="181">
        <f>SUM(BT508,BW508,BZ508,CC508,CF508)</f>
        <v>3.9682539682539684</v>
      </c>
      <c r="BO508" s="177">
        <f>IF(BP508&gt;0,1,0)</f>
        <v>1</v>
      </c>
      <c r="BP508" s="177">
        <f>BM508+CJ508</f>
        <v>2</v>
      </c>
      <c r="BQ508" s="177">
        <f>BN508+CL508</f>
        <v>7.9365079365079367</v>
      </c>
      <c r="BR508" s="178">
        <f>IF(BS508&gt;0,1,0)</f>
        <v>0</v>
      </c>
      <c r="BS508" s="177">
        <f>VLOOKUP($E508,[9]Current!$1:$1048576,12,FALSE)</f>
        <v>0</v>
      </c>
      <c r="BT508" s="179">
        <f>BS508/$AS508</f>
        <v>0</v>
      </c>
      <c r="BU508" s="178">
        <f>IF(BV508&gt;0,1,0)</f>
        <v>0</v>
      </c>
      <c r="BV508" s="177">
        <f>VLOOKUP($E508,[9]Current!$1:$1048576,13,FALSE)</f>
        <v>0</v>
      </c>
      <c r="BW508" s="177">
        <f>BV508/$AS508</f>
        <v>0</v>
      </c>
      <c r="BX508" s="178">
        <f>IF(BY508&gt;0,1,0)</f>
        <v>1</v>
      </c>
      <c r="BY508" s="177">
        <f>VLOOKUP($E508,[9]Current!$1:$1048576,14,FALSE)</f>
        <v>1</v>
      </c>
      <c r="BZ508" s="177">
        <f>BY508/$AS508</f>
        <v>3.9682539682539684</v>
      </c>
      <c r="CA508" s="178">
        <f>IF(CB508&gt;0,1,0)</f>
        <v>0</v>
      </c>
      <c r="CB508" s="177">
        <f>VLOOKUP($E508,[9]Current!$1:$1048576,15,FALSE)</f>
        <v>0</v>
      </c>
      <c r="CC508" s="177">
        <f>CB508/$AS508</f>
        <v>0</v>
      </c>
      <c r="CD508" s="180">
        <f>IF(CE508&gt;0,1,0)</f>
        <v>0</v>
      </c>
      <c r="CE508" s="177">
        <f>VLOOKUP($E508,[9]Current!$1:$1048576,16,FALSE)</f>
        <v>0</v>
      </c>
      <c r="CF508" s="177">
        <f>CE508/$AS508</f>
        <v>0</v>
      </c>
      <c r="CG508" s="18"/>
      <c r="CH508" s="18"/>
      <c r="CI508" s="18"/>
      <c r="CJ508" s="178">
        <f>IF(CK508&gt;0,1,0)</f>
        <v>1</v>
      </c>
      <c r="CK508" s="177">
        <f>VLOOKUP($E508,[9]Current!$1:$1048576,18,FALSE)</f>
        <v>1</v>
      </c>
      <c r="CL508" s="177">
        <f>CK508/$AS508</f>
        <v>3.9682539682539684</v>
      </c>
      <c r="CS508" s="178">
        <f>IF(CU508&gt;0,1,0)</f>
        <v>0</v>
      </c>
      <c r="CT508" s="177"/>
      <c r="CU508" s="177">
        <f>VLOOKUP($E508,[9]Current!$1:$1048576,17,FALSE)</f>
        <v>0</v>
      </c>
      <c r="CV508" s="177">
        <f>CU508/$AS508</f>
        <v>0</v>
      </c>
      <c r="DF508" s="16" t="e">
        <f>VLOOKUP(K508,'[3]RNA Seq summary tables'!$V$3:$V$99,1,FALSE)</f>
        <v>#N/A</v>
      </c>
      <c r="DG508" s="126" t="s">
        <v>116</v>
      </c>
    </row>
    <row r="509" spans="1:288" ht="16" x14ac:dyDescent="0.2">
      <c r="B509" s="16">
        <v>2018</v>
      </c>
      <c r="C509" s="124">
        <v>43229</v>
      </c>
      <c r="D509" t="s">
        <v>685</v>
      </c>
      <c r="E509" s="37" t="str">
        <f>CONCATENATE(T509,"-",U509,"-",C509)</f>
        <v>PO2-H3-43229</v>
      </c>
      <c r="F509" s="16" t="s">
        <v>227</v>
      </c>
      <c r="G509" s="126" t="s">
        <v>107</v>
      </c>
      <c r="H509" s="126"/>
      <c r="J509" s="126">
        <v>1400</v>
      </c>
      <c r="K509" s="126">
        <v>2320</v>
      </c>
      <c r="O509" s="126" t="s">
        <v>119</v>
      </c>
      <c r="P509" s="18" t="s">
        <v>119</v>
      </c>
      <c r="Q509" s="18">
        <v>0</v>
      </c>
      <c r="R509" s="18" t="str">
        <f>IF(J509=J508,C509-C508,"")</f>
        <v/>
      </c>
      <c r="T509" s="126" t="s">
        <v>127</v>
      </c>
      <c r="U509" s="126" t="s">
        <v>174</v>
      </c>
      <c r="V509" s="126" t="s">
        <v>114</v>
      </c>
      <c r="X509" s="126" t="s">
        <v>121</v>
      </c>
      <c r="Y509" s="126" t="s">
        <v>110</v>
      </c>
      <c r="Z509" s="126">
        <v>3</v>
      </c>
      <c r="AA509" s="126" t="s">
        <v>119</v>
      </c>
      <c r="AB509" s="126" t="s">
        <v>115</v>
      </c>
      <c r="AC509" s="126" t="s">
        <v>116</v>
      </c>
      <c r="AD509" s="126"/>
      <c r="AE509" s="126"/>
      <c r="AG509" s="16">
        <f>AH509-AI509</f>
        <v>100</v>
      </c>
      <c r="AH509" s="126">
        <v>170</v>
      </c>
      <c r="AI509" s="126">
        <v>70</v>
      </c>
      <c r="AK509" s="126">
        <v>25</v>
      </c>
      <c r="AL509" s="126">
        <v>0</v>
      </c>
      <c r="AM509" s="126">
        <v>0</v>
      </c>
      <c r="AN509" s="126">
        <v>0</v>
      </c>
      <c r="AO509" s="16">
        <f>IF(SUM(AL509:AN509)&gt;0,1,0)</f>
        <v>0</v>
      </c>
      <c r="AP509" s="18">
        <f>SUM(AL509:AN509)</f>
        <v>0</v>
      </c>
      <c r="AR509" s="16">
        <v>0.22500000000000009</v>
      </c>
      <c r="AS509" s="16">
        <f>VLOOKUP(E509,'[1]Feces weights'!$D$1:$H$459,5,FALSE)</f>
        <v>0.22500000000000009</v>
      </c>
      <c r="AT509" s="16" t="str">
        <f>VLOOKUP(E509,[9]Current!$A:$T,7,FALSE)</f>
        <v>IS</v>
      </c>
      <c r="AU509" s="18" t="s">
        <v>1290</v>
      </c>
      <c r="AW509" s="177">
        <f>IF(AY509&gt;0,1,0)</f>
        <v>1</v>
      </c>
      <c r="AX509" s="177">
        <f>SUM(BA509,BM509,CU509)</f>
        <v>2</v>
      </c>
      <c r="AY509" s="177">
        <f>SUM(BB509,BN509,CV509)</f>
        <v>84.444444444444414</v>
      </c>
      <c r="AZ509" s="177">
        <f>IF(BB509&gt;0,1,0)</f>
        <v>1</v>
      </c>
      <c r="BA509" s="177">
        <f>SUM(BC509+BF509+BI509)</f>
        <v>2</v>
      </c>
      <c r="BB509" s="177">
        <f>SUM(BE509,BH509,BK509)</f>
        <v>84.444444444444414</v>
      </c>
      <c r="BC509" s="178">
        <f>IF(BD509&gt;0,1,0)</f>
        <v>1</v>
      </c>
      <c r="BD509" s="177">
        <f>VLOOKUP($E509,[9]Current!$1:$1048576,8,FALSE)</f>
        <v>9</v>
      </c>
      <c r="BE509" s="177">
        <f>BD509/$AS509</f>
        <v>39.999999999999986</v>
      </c>
      <c r="BF509" s="178">
        <f>IF(BG509&gt;0,1,0)</f>
        <v>1</v>
      </c>
      <c r="BG509" s="179">
        <f>VLOOKUP($E509,[9]Current!$1:$1048576,9,FALSE)</f>
        <v>10</v>
      </c>
      <c r="BH509" s="177">
        <f>BG509/$AS509</f>
        <v>44.444444444444429</v>
      </c>
      <c r="BI509" s="178">
        <f>IF(BJ509&gt;0,1,0)</f>
        <v>0</v>
      </c>
      <c r="BJ509" s="177">
        <f>VLOOKUP($E509,[9]Current!$1:$1048576,10,FALSE)</f>
        <v>0</v>
      </c>
      <c r="BK509" s="177">
        <f>BJ509/$AS509</f>
        <v>0</v>
      </c>
      <c r="BL509" s="177">
        <f>IF(BM509&gt;0,1,0)</f>
        <v>0</v>
      </c>
      <c r="BM509" s="177">
        <f>SUM(BR509,BU509,BX509,CA509,CD509)</f>
        <v>0</v>
      </c>
      <c r="BN509" s="181">
        <f>SUM(BT509,BW509,BZ509,CC509,CF509)</f>
        <v>0</v>
      </c>
      <c r="BO509" s="177">
        <f>IF(BP509&gt;0,1,0)</f>
        <v>0</v>
      </c>
      <c r="BP509" s="177">
        <f>BM509+CJ509</f>
        <v>0</v>
      </c>
      <c r="BQ509" s="177">
        <f>BN509+CL509</f>
        <v>0</v>
      </c>
      <c r="BR509" s="178">
        <f>IF(BS509&gt;0,1,0)</f>
        <v>0</v>
      </c>
      <c r="BS509" s="177">
        <f>VLOOKUP($E509,[9]Current!$1:$1048576,12,FALSE)</f>
        <v>0</v>
      </c>
      <c r="BT509" s="179">
        <f>BS509/$AS509</f>
        <v>0</v>
      </c>
      <c r="BU509" s="178">
        <f>IF(BV509&gt;0,1,0)</f>
        <v>0</v>
      </c>
      <c r="BV509" s="177">
        <f>VLOOKUP($E509,[9]Current!$1:$1048576,13,FALSE)</f>
        <v>0</v>
      </c>
      <c r="BW509" s="177">
        <f>BV509/$AS509</f>
        <v>0</v>
      </c>
      <c r="BX509" s="178">
        <f>IF(BY509&gt;0,1,0)</f>
        <v>0</v>
      </c>
      <c r="BY509" s="177">
        <f>VLOOKUP($E509,[9]Current!$1:$1048576,14,FALSE)</f>
        <v>0</v>
      </c>
      <c r="BZ509" s="177">
        <f>BY509/$AS509</f>
        <v>0</v>
      </c>
      <c r="CA509" s="178">
        <f>IF(CB509&gt;0,1,0)</f>
        <v>0</v>
      </c>
      <c r="CB509" s="177">
        <f>VLOOKUP($E509,[9]Current!$1:$1048576,15,FALSE)</f>
        <v>0</v>
      </c>
      <c r="CC509" s="177">
        <f>CB509/$AS509</f>
        <v>0</v>
      </c>
      <c r="CD509" s="180">
        <f>IF(CE509&gt;0,1,0)</f>
        <v>0</v>
      </c>
      <c r="CE509" s="177">
        <f>VLOOKUP($E509,[9]Current!$1:$1048576,16,FALSE)</f>
        <v>0</v>
      </c>
      <c r="CF509" s="177">
        <f>CE509/$AS509</f>
        <v>0</v>
      </c>
      <c r="CG509" s="18"/>
      <c r="CH509" s="18"/>
      <c r="CI509" s="18"/>
      <c r="CJ509" s="178">
        <f>IF(CK509&gt;0,1,0)</f>
        <v>0</v>
      </c>
      <c r="CK509" s="177">
        <f>VLOOKUP($E509,[9]Current!$1:$1048576,18,FALSE)</f>
        <v>0</v>
      </c>
      <c r="CL509" s="177">
        <f>CK509/$AS509</f>
        <v>0</v>
      </c>
      <c r="CS509" s="178">
        <f>IF(CU509&gt;0,1,0)</f>
        <v>0</v>
      </c>
      <c r="CT509" s="177"/>
      <c r="CU509" s="177">
        <f>VLOOKUP($E509,[9]Current!$1:$1048576,17,FALSE)</f>
        <v>0</v>
      </c>
      <c r="CV509" s="177">
        <f>CU509/$AS509</f>
        <v>0</v>
      </c>
      <c r="DF509" s="16" t="e">
        <f>VLOOKUP(K509,'[3]RNA Seq summary tables'!$V$3:$V$99,1,FALSE)</f>
        <v>#N/A</v>
      </c>
      <c r="DG509" s="126" t="s">
        <v>116</v>
      </c>
    </row>
    <row r="510" spans="1:288" ht="16" x14ac:dyDescent="0.2">
      <c r="B510" s="16">
        <v>2018</v>
      </c>
      <c r="C510" s="124">
        <v>43250</v>
      </c>
      <c r="D510" t="s">
        <v>756</v>
      </c>
      <c r="E510" s="37" t="str">
        <f>CONCATENATE(T510,"-",U510,"-",C510)</f>
        <v>PO2-H3-43250</v>
      </c>
      <c r="F510" s="16" t="s">
        <v>227</v>
      </c>
      <c r="G510" s="126" t="s">
        <v>107</v>
      </c>
      <c r="H510" s="126"/>
      <c r="J510" s="126">
        <v>1400</v>
      </c>
      <c r="K510" s="126">
        <v>2392</v>
      </c>
      <c r="O510" s="126" t="s">
        <v>119</v>
      </c>
      <c r="P510" s="18" t="s">
        <v>119</v>
      </c>
      <c r="Q510" s="18">
        <v>0</v>
      </c>
      <c r="R510" s="18">
        <f>IF(J510=J509,C510-C509,"")</f>
        <v>21</v>
      </c>
      <c r="T510" s="126" t="s">
        <v>127</v>
      </c>
      <c r="U510" s="126" t="s">
        <v>174</v>
      </c>
      <c r="V510" s="126" t="s">
        <v>114</v>
      </c>
      <c r="X510" s="126" t="s">
        <v>121</v>
      </c>
      <c r="Y510" s="126" t="s">
        <v>110</v>
      </c>
      <c r="Z510" s="126">
        <v>3</v>
      </c>
      <c r="AA510" s="126" t="s">
        <v>119</v>
      </c>
      <c r="AB510" s="126" t="s">
        <v>116</v>
      </c>
      <c r="AC510" s="126" t="s">
        <v>116</v>
      </c>
      <c r="AD510" s="126"/>
      <c r="AE510" s="126"/>
      <c r="AG510" s="16">
        <f>AH510-AI510</f>
        <v>87</v>
      </c>
      <c r="AH510" s="126">
        <v>168</v>
      </c>
      <c r="AI510" s="126">
        <v>81</v>
      </c>
      <c r="AK510" s="126">
        <v>21</v>
      </c>
      <c r="AL510" s="126">
        <v>0</v>
      </c>
      <c r="AM510" s="126">
        <v>0</v>
      </c>
      <c r="AN510" s="126">
        <v>0</v>
      </c>
      <c r="AO510" s="16">
        <f>IF(SUM(AL510:AN510)&gt;0,1,0)</f>
        <v>0</v>
      </c>
      <c r="AP510" s="18">
        <f>SUM(AL510:AN510)</f>
        <v>0</v>
      </c>
      <c r="AR510" s="16">
        <v>0.56699999999999995</v>
      </c>
      <c r="AS510" s="16">
        <f>VLOOKUP(E510,'[1]Feces weights'!$D$1:$H$459,5,FALSE)</f>
        <v>0.56699999999999995</v>
      </c>
      <c r="AT510" s="16" t="str">
        <f>VLOOKUP(E510,[2]Current!$A$1:$W$435,7,FALSE)</f>
        <v>IS</v>
      </c>
      <c r="AU510" s="16" t="s">
        <v>1288</v>
      </c>
      <c r="AW510" s="128">
        <f>IF(AX510&gt;0,1,0)</f>
        <v>1</v>
      </c>
      <c r="AX510" s="128">
        <f>SUM(BA510,BM510,CU510)</f>
        <v>1018</v>
      </c>
      <c r="AY510" s="128">
        <f>SUM(BB510,BN510,CV510)</f>
        <v>2455.0264550264551</v>
      </c>
      <c r="AZ510" s="128">
        <f>IF(BA510&gt;0,1,0)</f>
        <v>1</v>
      </c>
      <c r="BA510" s="128">
        <f>SUM(BC510+BF510+BI510)</f>
        <v>1</v>
      </c>
      <c r="BB510" s="128">
        <f>SUM(BE510,BH510,BK510)</f>
        <v>331.56966490299828</v>
      </c>
      <c r="BC510" s="130">
        <f>IF(BD510&gt;0,1,0)</f>
        <v>0</v>
      </c>
      <c r="BD510" s="128">
        <f>VLOOKUP($E510,[2]Current!$A:$AC,26,FALSE)</f>
        <v>0</v>
      </c>
      <c r="BE510" s="128">
        <f>BD510/$AS510</f>
        <v>0</v>
      </c>
      <c r="BF510" s="130">
        <f>IF(BG510&gt;0,1,0)</f>
        <v>1</v>
      </c>
      <c r="BG510" s="137">
        <f>VLOOKUP($E510,[2]Current!$A:$AC,27,FALSE)</f>
        <v>188</v>
      </c>
      <c r="BH510" s="128">
        <f>BG510/$AS510</f>
        <v>331.56966490299828</v>
      </c>
      <c r="BI510" s="130">
        <f>IF(BJ510&gt;0,1,0)</f>
        <v>0</v>
      </c>
      <c r="BJ510" s="128">
        <f>VLOOKUP($E510,[2]Current!$A:$AC,28,FALSE)</f>
        <v>0</v>
      </c>
      <c r="BK510" s="128">
        <f>BJ510/$AS510</f>
        <v>0</v>
      </c>
      <c r="BL510" s="128">
        <f>IF(BM510&gt;0,1,0)</f>
        <v>1</v>
      </c>
      <c r="BM510" s="128">
        <f>SUM(BR510,BU510,BX510,CA510,CD510)</f>
        <v>4</v>
      </c>
      <c r="BN510" s="131">
        <f>SUM(BT510,BW510,BZ510,CC510,CF510)</f>
        <v>336.86067019400355</v>
      </c>
      <c r="BO510" s="128">
        <f>IF(BP510&gt;0,1,0)</f>
        <v>1</v>
      </c>
      <c r="BP510" s="128">
        <f>BM510+CJ510</f>
        <v>4</v>
      </c>
      <c r="BQ510" s="128">
        <f>BN510+CL510</f>
        <v>336.86067019400355</v>
      </c>
      <c r="BR510" s="130">
        <f>IF(BS510&gt;0,1,0)</f>
        <v>1</v>
      </c>
      <c r="BS510" s="128">
        <f>VLOOKUP($E510,[2]Current!$A:$AC,12,FALSE)</f>
        <v>144</v>
      </c>
      <c r="BT510" s="137">
        <f>BS510/$AS510</f>
        <v>253.968253968254</v>
      </c>
      <c r="BU510" s="130">
        <f>IF(BV510&gt;0,1,0)</f>
        <v>1</v>
      </c>
      <c r="BV510" s="128">
        <f>VLOOKUP($E510,[2]Current!$A:$AC,13,FALSE)</f>
        <v>44</v>
      </c>
      <c r="BW510" s="128">
        <f>BV510/$AS510</f>
        <v>77.60141093474428</v>
      </c>
      <c r="BX510" s="130">
        <f>IF(BY510&gt;0,1,0)</f>
        <v>1</v>
      </c>
      <c r="BY510" s="128">
        <f>VLOOKUP($E510,[2]Current!$A:$AC,14,FALSE)</f>
        <v>2</v>
      </c>
      <c r="BZ510" s="128">
        <f>BY510/$AS510</f>
        <v>3.5273368606701943</v>
      </c>
      <c r="CA510" s="130">
        <f>IF(CB510&gt;0,1,0)</f>
        <v>0</v>
      </c>
      <c r="CB510" s="128">
        <f>VLOOKUP($E510,[2]Current!$A:$AC,15,FALSE)</f>
        <v>0</v>
      </c>
      <c r="CC510" s="128">
        <f>CB510/$AS510</f>
        <v>0</v>
      </c>
      <c r="CD510" s="174">
        <f>IF(CE510&gt;0,1,0)</f>
        <v>1</v>
      </c>
      <c r="CE510" s="128">
        <f>VLOOKUP($E510,[2]Current!$A:$AC,16,FALSE)</f>
        <v>1</v>
      </c>
      <c r="CF510" s="128">
        <f>CE510/$AS510</f>
        <v>1.7636684303350971</v>
      </c>
      <c r="CG510" s="18"/>
      <c r="CH510" s="18"/>
      <c r="CI510" s="18"/>
      <c r="CJ510" s="130">
        <f>IF(CK510&gt;0,1,0)</f>
        <v>0</v>
      </c>
      <c r="CK510" s="128">
        <f>VLOOKUP($E510,[2]Current!$A:$AC,18,FALSE)</f>
        <v>0</v>
      </c>
      <c r="CL510" s="128">
        <f>CK510/$AS510</f>
        <v>0</v>
      </c>
      <c r="CS510" s="130">
        <f>IF(CU510&gt;0,1,0)</f>
        <v>1</v>
      </c>
      <c r="CU510" s="128">
        <f>VLOOKUP($E510,[2]Current!$A:$AC,17,FALSE)</f>
        <v>1013</v>
      </c>
      <c r="CV510" s="128">
        <f>CU510/$AS510</f>
        <v>1786.5961199294534</v>
      </c>
      <c r="CW510" s="18"/>
      <c r="CX510" s="18"/>
      <c r="CY510" s="18"/>
      <c r="DF510" s="16" t="e">
        <f>VLOOKUP(K510,'[3]RNA Seq summary tables'!$V$3:$V$99,1,FALSE)</f>
        <v>#N/A</v>
      </c>
      <c r="DG510" s="126" t="s">
        <v>123</v>
      </c>
    </row>
    <row r="511" spans="1:288" ht="16" x14ac:dyDescent="0.2">
      <c r="B511" s="16">
        <v>2018</v>
      </c>
      <c r="C511" s="124">
        <v>43229</v>
      </c>
      <c r="D511" t="s">
        <v>679</v>
      </c>
      <c r="E511" s="37" t="str">
        <f>CONCATENATE(T511,"-",U511,"-",C511)</f>
        <v>PO1-H1-43229</v>
      </c>
      <c r="F511" s="16" t="s">
        <v>227</v>
      </c>
      <c r="G511" s="126" t="s">
        <v>107</v>
      </c>
      <c r="H511" s="126"/>
      <c r="J511" s="126">
        <v>1402</v>
      </c>
      <c r="K511" s="126">
        <v>2324</v>
      </c>
      <c r="O511" s="126" t="s">
        <v>119</v>
      </c>
      <c r="P511" s="18" t="s">
        <v>119</v>
      </c>
      <c r="Q511" s="18">
        <v>0</v>
      </c>
      <c r="R511" s="18" t="str">
        <f>IF(J511=J510,C511-C510,"")</f>
        <v/>
      </c>
      <c r="T511" s="126" t="s">
        <v>112</v>
      </c>
      <c r="U511" s="126" t="s">
        <v>191</v>
      </c>
      <c r="V511" s="126" t="s">
        <v>114</v>
      </c>
      <c r="X511" s="126" t="s">
        <v>121</v>
      </c>
      <c r="Y511" s="126" t="s">
        <v>110</v>
      </c>
      <c r="Z511" s="126">
        <v>3</v>
      </c>
      <c r="AA511" s="126" t="s">
        <v>119</v>
      </c>
      <c r="AB511" s="126" t="s">
        <v>123</v>
      </c>
      <c r="AC511" s="126" t="s">
        <v>116</v>
      </c>
      <c r="AD511" s="126"/>
      <c r="AE511" s="126"/>
      <c r="AG511" s="16">
        <f>AH511-AI511</f>
        <v>90</v>
      </c>
      <c r="AH511" s="126">
        <v>156</v>
      </c>
      <c r="AI511" s="126">
        <v>66</v>
      </c>
      <c r="AK511" s="126">
        <v>20</v>
      </c>
      <c r="AL511" s="126">
        <v>0</v>
      </c>
      <c r="AM511" s="126">
        <v>0</v>
      </c>
      <c r="AN511" s="126">
        <v>0</v>
      </c>
      <c r="AO511" s="16">
        <f>IF(SUM(AL511:AN511)&gt;0,1,0)</f>
        <v>0</v>
      </c>
      <c r="AP511" s="18">
        <f>SUM(AL511:AN511)</f>
        <v>0</v>
      </c>
      <c r="AR511" s="16">
        <v>5.3000000000000158E-2</v>
      </c>
      <c r="AS511" s="16">
        <f>VLOOKUP(E511,'[1]Feces weights'!$D$1:$H$459,5,FALSE)</f>
        <v>5.3000000000000158E-2</v>
      </c>
      <c r="AT511" s="16" t="str">
        <f>VLOOKUP(E511,[9]Current!$A:$T,7,FALSE)</f>
        <v>IS</v>
      </c>
      <c r="AU511" s="18" t="s">
        <v>1290</v>
      </c>
      <c r="AW511" s="177">
        <f>IF(AY511&gt;0,1,0)</f>
        <v>1</v>
      </c>
      <c r="AX511" s="177">
        <f>SUM(BA511,BM511,CU511)</f>
        <v>10</v>
      </c>
      <c r="AY511" s="177">
        <f>SUM(BB511,BN511,CV511)</f>
        <v>754.71698113207322</v>
      </c>
      <c r="AZ511" s="177">
        <f>IF(BB511&gt;0,1,0)</f>
        <v>1</v>
      </c>
      <c r="BA511" s="177">
        <f>SUM(BC511+BF511+BI511)</f>
        <v>1</v>
      </c>
      <c r="BB511" s="177">
        <f>SUM(BE511,BH511,BK511)</f>
        <v>584.90566037735675</v>
      </c>
      <c r="BC511" s="178">
        <f>IF(BD511&gt;0,1,0)</f>
        <v>1</v>
      </c>
      <c r="BD511" s="177">
        <f>VLOOKUP($E511,[9]Current!$1:$1048576,8,FALSE)</f>
        <v>31</v>
      </c>
      <c r="BE511" s="177">
        <f>BD511/$AS511</f>
        <v>584.90566037735675</v>
      </c>
      <c r="BF511" s="178">
        <f>IF(BG511&gt;0,1,0)</f>
        <v>0</v>
      </c>
      <c r="BG511" s="179">
        <f>VLOOKUP($E511,[9]Current!$1:$1048576,9,FALSE)</f>
        <v>0</v>
      </c>
      <c r="BH511" s="177">
        <f>BG511/$AS511</f>
        <v>0</v>
      </c>
      <c r="BI511" s="178">
        <f>IF(BJ511&gt;0,1,0)</f>
        <v>0</v>
      </c>
      <c r="BJ511" s="177">
        <f>VLOOKUP($E511,[9]Current!$1:$1048576,10,FALSE)</f>
        <v>0</v>
      </c>
      <c r="BK511" s="177">
        <f>BJ511/$AS511</f>
        <v>0</v>
      </c>
      <c r="BL511" s="177">
        <f>IF(BM511&gt;0,1,0)</f>
        <v>0</v>
      </c>
      <c r="BM511" s="177">
        <f>SUM(BR511,BU511,BX511,CA511,CD511)</f>
        <v>0</v>
      </c>
      <c r="BN511" s="181">
        <f>SUM(BT511,BW511,BZ511,CC511,CF511)</f>
        <v>0</v>
      </c>
      <c r="BO511" s="177">
        <f>IF(BP511&gt;0,1,0)</f>
        <v>0</v>
      </c>
      <c r="BP511" s="177">
        <f>BM511+CJ511</f>
        <v>0</v>
      </c>
      <c r="BQ511" s="177">
        <f>BN511+CL511</f>
        <v>0</v>
      </c>
      <c r="BR511" s="178">
        <f>IF(BS511&gt;0,1,0)</f>
        <v>0</v>
      </c>
      <c r="BS511" s="177">
        <f>VLOOKUP($E511,[9]Current!$1:$1048576,12,FALSE)</f>
        <v>0</v>
      </c>
      <c r="BT511" s="179">
        <f>BS511/$AS511</f>
        <v>0</v>
      </c>
      <c r="BU511" s="178">
        <f>IF(BV511&gt;0,1,0)</f>
        <v>0</v>
      </c>
      <c r="BV511" s="177">
        <f>VLOOKUP($E511,[9]Current!$1:$1048576,13,FALSE)</f>
        <v>0</v>
      </c>
      <c r="BW511" s="177">
        <f>BV511/$AS511</f>
        <v>0</v>
      </c>
      <c r="BX511" s="178">
        <f>IF(BY511&gt;0,1,0)</f>
        <v>0</v>
      </c>
      <c r="BY511" s="177">
        <f>VLOOKUP($E511,[9]Current!$1:$1048576,14,FALSE)</f>
        <v>0</v>
      </c>
      <c r="BZ511" s="177">
        <f>BY511/$AS511</f>
        <v>0</v>
      </c>
      <c r="CA511" s="178">
        <f>IF(CB511&gt;0,1,0)</f>
        <v>0</v>
      </c>
      <c r="CB511" s="177">
        <f>VLOOKUP($E511,[9]Current!$1:$1048576,15,FALSE)</f>
        <v>0</v>
      </c>
      <c r="CC511" s="177">
        <f>CB511/$AS511</f>
        <v>0</v>
      </c>
      <c r="CD511" s="180">
        <f>IF(CE511&gt;0,1,0)</f>
        <v>0</v>
      </c>
      <c r="CE511" s="177">
        <f>VLOOKUP($E511,[9]Current!$1:$1048576,16,FALSE)</f>
        <v>0</v>
      </c>
      <c r="CF511" s="177">
        <f>CE511/$AS511</f>
        <v>0</v>
      </c>
      <c r="CG511" s="18"/>
      <c r="CH511" s="18"/>
      <c r="CI511" s="18"/>
      <c r="CJ511" s="178">
        <f>IF(CK511&gt;0,1,0)</f>
        <v>0</v>
      </c>
      <c r="CK511" s="177">
        <f>VLOOKUP($E511,[9]Current!$1:$1048576,18,FALSE)</f>
        <v>0</v>
      </c>
      <c r="CL511" s="177">
        <f>CK511/$AS511</f>
        <v>0</v>
      </c>
      <c r="CS511" s="178">
        <f>IF(CU511&gt;0,1,0)</f>
        <v>1</v>
      </c>
      <c r="CT511" s="177"/>
      <c r="CU511" s="177">
        <f>VLOOKUP($E511,[9]Current!$1:$1048576,17,FALSE)</f>
        <v>9</v>
      </c>
      <c r="CV511" s="177">
        <f>CU511/$AS511</f>
        <v>169.81132075471646</v>
      </c>
      <c r="DF511" s="16" t="e">
        <f>VLOOKUP(K511,'[3]RNA Seq summary tables'!$V$3:$V$99,1,FALSE)</f>
        <v>#N/A</v>
      </c>
      <c r="DG511" s="126" t="s">
        <v>116</v>
      </c>
    </row>
    <row r="512" spans="1:288" ht="16" x14ac:dyDescent="0.2">
      <c r="B512" s="16">
        <v>2018</v>
      </c>
      <c r="C512" s="124">
        <v>43248</v>
      </c>
      <c r="D512" t="s">
        <v>1294</v>
      </c>
      <c r="E512" s="37" t="str">
        <f>CONCATENATE(T512,"-",U512,"-",C512)</f>
        <v>PO1-B1-43248</v>
      </c>
      <c r="F512" s="16" t="s">
        <v>227</v>
      </c>
      <c r="G512" s="126" t="s">
        <v>107</v>
      </c>
      <c r="H512" s="126" t="s">
        <v>1095</v>
      </c>
      <c r="J512" s="126">
        <v>1402</v>
      </c>
      <c r="K512" s="126">
        <v>2385</v>
      </c>
      <c r="O512" s="126" t="s">
        <v>119</v>
      </c>
      <c r="P512" s="18" t="s">
        <v>119</v>
      </c>
      <c r="Q512" s="18">
        <v>0</v>
      </c>
      <c r="R512" s="18">
        <f>IF(J512=J511,C512-C511,"")</f>
        <v>19</v>
      </c>
      <c r="T512" s="126" t="s">
        <v>112</v>
      </c>
      <c r="U512" s="126" t="s">
        <v>113</v>
      </c>
      <c r="V512" s="126" t="s">
        <v>114</v>
      </c>
      <c r="X512" s="126" t="s">
        <v>121</v>
      </c>
      <c r="Y512" s="126" t="s">
        <v>110</v>
      </c>
      <c r="Z512" s="126">
        <v>3</v>
      </c>
      <c r="AA512" s="126" t="s">
        <v>161</v>
      </c>
      <c r="AB512" s="126" t="s">
        <v>116</v>
      </c>
      <c r="AC512" s="126" t="s">
        <v>123</v>
      </c>
      <c r="AD512" s="126"/>
      <c r="AE512" s="126"/>
      <c r="AG512" s="16">
        <f>AH512-AI512</f>
        <v>88</v>
      </c>
      <c r="AH512" s="126">
        <v>155</v>
      </c>
      <c r="AI512" s="126">
        <v>67</v>
      </c>
      <c r="AK512" s="126">
        <v>21</v>
      </c>
      <c r="AL512" s="126">
        <v>0</v>
      </c>
      <c r="AM512" s="126">
        <v>0</v>
      </c>
      <c r="AN512" s="126">
        <v>0</v>
      </c>
      <c r="AO512" s="16">
        <f>IF(SUM(AL512:AN512)&gt;0,1,0)</f>
        <v>0</v>
      </c>
      <c r="AP512" s="18">
        <f>SUM(AL512:AN512)</f>
        <v>0</v>
      </c>
      <c r="AR512" s="16">
        <v>0.8819999999999999</v>
      </c>
      <c r="AS512" s="16">
        <f>VLOOKUP(E512,'[1]Feces weights'!$D$1:$H$459,5,FALSE)</f>
        <v>0.8819999999999999</v>
      </c>
      <c r="AT512" s="16" t="str">
        <f>VLOOKUP(E512,[9]Current!$A:$Q,7,FALSE)</f>
        <v>TE</v>
      </c>
      <c r="AU512" s="18" t="s">
        <v>1290</v>
      </c>
      <c r="AW512" s="177">
        <f>IF(AY512&gt;0,1,0)</f>
        <v>1</v>
      </c>
      <c r="AX512" s="177">
        <f>SUM(BA512,BM512,CU512)</f>
        <v>477</v>
      </c>
      <c r="AY512" s="177">
        <f>SUM(BB512,BN512,CV512)</f>
        <v>9725.6235827664404</v>
      </c>
      <c r="AZ512" s="177">
        <f>IF(BB512&gt;0,1,0)</f>
        <v>1</v>
      </c>
      <c r="BA512" s="177">
        <f>SUM(BC512+BF512+BI512)</f>
        <v>3</v>
      </c>
      <c r="BB512" s="177">
        <f>SUM(BE512,BH512,BK512)</f>
        <v>9188.2086167800462</v>
      </c>
      <c r="BC512" s="178">
        <f>IF(BD512&gt;0,1,0)</f>
        <v>1</v>
      </c>
      <c r="BD512" s="177">
        <f>VLOOKUP($E512,[9]Current!$1:$1048576,8,FALSE)</f>
        <v>12</v>
      </c>
      <c r="BE512" s="177">
        <f>BD512/$AS512</f>
        <v>13.605442176870749</v>
      </c>
      <c r="BF512" s="178">
        <f>IF(BG512&gt;0,1,0)</f>
        <v>1</v>
      </c>
      <c r="BG512" s="179">
        <f>VLOOKUP($E512,[9]Current!$1:$1048576,9,FALSE)</f>
        <v>156</v>
      </c>
      <c r="BH512" s="177">
        <f>BG512/$AS512</f>
        <v>176.87074829931976</v>
      </c>
      <c r="BI512" s="178">
        <f>IF(BJ512&gt;0,1,0)</f>
        <v>1</v>
      </c>
      <c r="BJ512" s="177">
        <f>VLOOKUP($E512,[9]Current!$1:$1048576,10,FALSE)</f>
        <v>7936</v>
      </c>
      <c r="BK512" s="177">
        <f>BJ512/$AS512</f>
        <v>8997.7324263038554</v>
      </c>
      <c r="BL512" s="177">
        <f>IF(BM512&gt;0,1,0)</f>
        <v>0</v>
      </c>
      <c r="BM512" s="177">
        <f>SUM(BR512,BU512,BX512,CA512,CD512)</f>
        <v>0</v>
      </c>
      <c r="BN512" s="181">
        <f>SUM(BT512,BW512,BZ512,CC512,CF512)</f>
        <v>0</v>
      </c>
      <c r="BO512" s="177">
        <f>IF(BP512&gt;0,1,0)</f>
        <v>0</v>
      </c>
      <c r="BP512" s="177">
        <f>BM512+CJ512</f>
        <v>0</v>
      </c>
      <c r="BQ512" s="177">
        <f>BN512+CL512</f>
        <v>0</v>
      </c>
      <c r="BR512" s="178">
        <f>IF(BS512&gt;0,1,0)</f>
        <v>0</v>
      </c>
      <c r="BS512" s="177">
        <f>VLOOKUP($E512,[9]Current!$1:$1048576,12,FALSE)</f>
        <v>0</v>
      </c>
      <c r="BT512" s="179">
        <f>BS512/$AS512</f>
        <v>0</v>
      </c>
      <c r="BU512" s="178">
        <f>IF(BV512&gt;0,1,0)</f>
        <v>0</v>
      </c>
      <c r="BV512" s="177">
        <f>VLOOKUP($E512,[9]Current!$1:$1048576,13,FALSE)</f>
        <v>0</v>
      </c>
      <c r="BW512" s="177">
        <f>BV512/$AS512</f>
        <v>0</v>
      </c>
      <c r="BX512" s="178">
        <f>IF(BY512&gt;0,1,0)</f>
        <v>0</v>
      </c>
      <c r="BY512" s="177">
        <f>VLOOKUP($E512,[9]Current!$1:$1048576,14,FALSE)</f>
        <v>0</v>
      </c>
      <c r="BZ512" s="177">
        <f>BY512/$AS512</f>
        <v>0</v>
      </c>
      <c r="CA512" s="178">
        <f>IF(CB512&gt;0,1,0)</f>
        <v>0</v>
      </c>
      <c r="CB512" s="177">
        <f>VLOOKUP($E512,[9]Current!$1:$1048576,15,FALSE)</f>
        <v>0</v>
      </c>
      <c r="CC512" s="177">
        <f>CB512/$AS512</f>
        <v>0</v>
      </c>
      <c r="CD512" s="180">
        <f>IF(CE512&gt;0,1,0)</f>
        <v>0</v>
      </c>
      <c r="CE512" s="177">
        <f>VLOOKUP($E512,[9]Current!$1:$1048576,16,FALSE)</f>
        <v>0</v>
      </c>
      <c r="CF512" s="177">
        <f>CE512/$AS512</f>
        <v>0</v>
      </c>
      <c r="CG512" s="18"/>
      <c r="CH512" s="18"/>
      <c r="CI512" s="18"/>
      <c r="CJ512" s="178">
        <f>IF(CK512&gt;0,1,0)</f>
        <v>0</v>
      </c>
      <c r="CK512" s="177">
        <f>VLOOKUP($E512,[9]Current!$1:$1048576,18,FALSE)</f>
        <v>0</v>
      </c>
      <c r="CL512" s="177">
        <f>CK512/$AS512</f>
        <v>0</v>
      </c>
      <c r="CS512" s="178">
        <f>IF(CU512&gt;0,1,0)</f>
        <v>1</v>
      </c>
      <c r="CT512" s="177"/>
      <c r="CU512" s="177">
        <f>VLOOKUP($E512,[9]Current!$1:$1048576,17,FALSE)</f>
        <v>474</v>
      </c>
      <c r="CV512" s="177">
        <f>CU512/$AS512</f>
        <v>537.41496598639458</v>
      </c>
      <c r="CW512" s="23"/>
      <c r="CX512" s="23"/>
      <c r="CY512" s="23"/>
      <c r="CZ512" s="23"/>
      <c r="DA512" s="23"/>
      <c r="DB512" s="23"/>
      <c r="DC512" s="23"/>
      <c r="DD512" s="23"/>
      <c r="DE512" s="23"/>
      <c r="DF512" s="16" t="e">
        <f>VLOOKUP(K512,'[3]RNA Seq summary tables'!$V$3:$V$99,1,FALSE)</f>
        <v>#N/A</v>
      </c>
      <c r="DG512" s="126" t="s">
        <v>123</v>
      </c>
      <c r="JR512" s="18"/>
      <c r="JS512" s="18"/>
      <c r="JT512" s="18"/>
      <c r="JU512" s="18"/>
      <c r="JV512" s="18"/>
      <c r="JW512" s="18"/>
      <c r="JX512" s="18"/>
      <c r="JY512" s="18"/>
      <c r="JZ512" s="18"/>
      <c r="KA512" s="18"/>
      <c r="KB512" s="18"/>
    </row>
    <row r="513" spans="2:288" ht="16" x14ac:dyDescent="0.2">
      <c r="B513" s="16">
        <v>2018</v>
      </c>
      <c r="C513" s="124">
        <v>43268</v>
      </c>
      <c r="D513" t="s">
        <v>819</v>
      </c>
      <c r="E513" s="37" t="str">
        <f>CONCATENATE(T513,"-",U513,"-",C513)</f>
        <v>PO1-H2-43268</v>
      </c>
      <c r="F513" s="16" t="s">
        <v>227</v>
      </c>
      <c r="G513" s="126" t="s">
        <v>107</v>
      </c>
      <c r="H513" s="126"/>
      <c r="J513" s="126">
        <v>1402</v>
      </c>
      <c r="K513" s="126">
        <v>2457</v>
      </c>
      <c r="O513" s="126" t="s">
        <v>119</v>
      </c>
      <c r="P513" s="18" t="s">
        <v>119</v>
      </c>
      <c r="Q513" s="18">
        <v>0</v>
      </c>
      <c r="R513" s="18">
        <f>IF(J513=J512,C513-C512,"")</f>
        <v>20</v>
      </c>
      <c r="T513" s="126" t="s">
        <v>112</v>
      </c>
      <c r="U513" s="126" t="s">
        <v>190</v>
      </c>
      <c r="V513" s="126" t="s">
        <v>114</v>
      </c>
      <c r="X513" s="126" t="s">
        <v>121</v>
      </c>
      <c r="Y513" s="126" t="s">
        <v>110</v>
      </c>
      <c r="Z513" s="126">
        <v>3</v>
      </c>
      <c r="AA513" s="126" t="s">
        <v>119</v>
      </c>
      <c r="AB513" s="126" t="s">
        <v>116</v>
      </c>
      <c r="AC513" s="126" t="s">
        <v>116</v>
      </c>
      <c r="AD513" s="126"/>
      <c r="AE513" s="126"/>
      <c r="AG513" s="16">
        <f>AH513-AI513</f>
        <v>82</v>
      </c>
      <c r="AH513" s="126">
        <v>152</v>
      </c>
      <c r="AI513" s="126">
        <v>70</v>
      </c>
      <c r="AK513" s="126">
        <v>21.5</v>
      </c>
      <c r="AL513" s="126">
        <v>0</v>
      </c>
      <c r="AM513" s="126">
        <v>0</v>
      </c>
      <c r="AN513" s="126">
        <v>0</v>
      </c>
      <c r="AO513" s="16">
        <f>IF(SUM(AL513:AN513)&gt;0,1,0)</f>
        <v>0</v>
      </c>
      <c r="AP513" s="18">
        <f>SUM(AL513:AN513)</f>
        <v>0</v>
      </c>
      <c r="AR513" s="16">
        <v>0.36100000000000021</v>
      </c>
      <c r="AS513" s="16">
        <f>VLOOKUP(E513,'[1]Feces weights'!$D$1:$H$459,5,FALSE)</f>
        <v>0.36100000000000021</v>
      </c>
      <c r="AT513" s="16" t="str">
        <f>VLOOKUP(E513,[2]Current!$A$1:$W$435,7,FALSE)</f>
        <v>JB</v>
      </c>
      <c r="AU513" s="16" t="s">
        <v>1288</v>
      </c>
      <c r="AW513" s="128">
        <f>IF(AX513&gt;0,1,0)</f>
        <v>1</v>
      </c>
      <c r="AX513" s="128">
        <f>SUM(BA513,BM513,CU513)</f>
        <v>2</v>
      </c>
      <c r="AY513" s="128">
        <f>SUM(BB513,BN513,CV513)</f>
        <v>88.642659279778343</v>
      </c>
      <c r="AZ513" s="128">
        <f>IF(BA513&gt;0,1,0)</f>
        <v>1</v>
      </c>
      <c r="BA513" s="128">
        <f>SUM(BC513+BF513+BI513)</f>
        <v>2</v>
      </c>
      <c r="BB513" s="128">
        <f>SUM(BE513,BH513,BK513)</f>
        <v>88.642659279778343</v>
      </c>
      <c r="BC513" s="130">
        <f>IF(BD513&gt;0,1,0)</f>
        <v>0</v>
      </c>
      <c r="BD513" s="128">
        <f>VLOOKUP($E513,[2]Current!$A:$AC,26,FALSE)</f>
        <v>0</v>
      </c>
      <c r="BE513" s="128">
        <f>BD513/$AS513</f>
        <v>0</v>
      </c>
      <c r="BF513" s="130">
        <f>IF(BG513&gt;0,1,0)</f>
        <v>1</v>
      </c>
      <c r="BG513" s="137">
        <f>VLOOKUP($E513,[2]Current!$A:$AC,27,FALSE)</f>
        <v>28</v>
      </c>
      <c r="BH513" s="128">
        <f>BG513/$AS513</f>
        <v>77.562326869806043</v>
      </c>
      <c r="BI513" s="130">
        <f>IF(BJ513&gt;0,1,0)</f>
        <v>1</v>
      </c>
      <c r="BJ513" s="128">
        <f>VLOOKUP($E513,[2]Current!$A:$AC,28,FALSE)</f>
        <v>4</v>
      </c>
      <c r="BK513" s="128">
        <f>BJ513/$AS513</f>
        <v>11.080332409972293</v>
      </c>
      <c r="BL513" s="128">
        <f>IF(BM513&gt;0,1,0)</f>
        <v>0</v>
      </c>
      <c r="BM513" s="128">
        <f>SUM(BR513,BU513,BX513,CA513,CD513)</f>
        <v>0</v>
      </c>
      <c r="BN513" s="131">
        <f>SUM(BT513,BW513,BZ513,CC513,CF513)</f>
        <v>0</v>
      </c>
      <c r="BO513" s="128">
        <f>IF(BP513&gt;0,1,0)</f>
        <v>0</v>
      </c>
      <c r="BP513" s="128">
        <f>BM513+CJ513</f>
        <v>0</v>
      </c>
      <c r="BQ513" s="128">
        <f>BN513+CL513</f>
        <v>0</v>
      </c>
      <c r="BR513" s="130">
        <f>IF(BS513&gt;0,1,0)</f>
        <v>0</v>
      </c>
      <c r="BS513" s="128">
        <f>VLOOKUP($E513,[2]Current!$A:$AC,12,FALSE)</f>
        <v>0</v>
      </c>
      <c r="BT513" s="137">
        <f>BS513/$AS513</f>
        <v>0</v>
      </c>
      <c r="BU513" s="130">
        <f>IF(BV513&gt;0,1,0)</f>
        <v>0</v>
      </c>
      <c r="BV513" s="128">
        <f>VLOOKUP($E513,[2]Current!$A:$AC,13,FALSE)</f>
        <v>0</v>
      </c>
      <c r="BW513" s="128">
        <f>BV513/$AS513</f>
        <v>0</v>
      </c>
      <c r="BX513" s="130">
        <f>IF(BY513&gt;0,1,0)</f>
        <v>0</v>
      </c>
      <c r="BY513" s="128">
        <f>VLOOKUP($E513,[2]Current!$A:$AC,14,FALSE)</f>
        <v>0</v>
      </c>
      <c r="BZ513" s="128">
        <f>BY513/$AS513</f>
        <v>0</v>
      </c>
      <c r="CA513" s="130">
        <f>IF(CB513&gt;0,1,0)</f>
        <v>0</v>
      </c>
      <c r="CB513" s="128">
        <f>VLOOKUP($E513,[2]Current!$A:$AC,15,FALSE)</f>
        <v>0</v>
      </c>
      <c r="CC513" s="128">
        <f>CB513/$AS513</f>
        <v>0</v>
      </c>
      <c r="CD513" s="174">
        <f>IF(CE513&gt;0,1,0)</f>
        <v>0</v>
      </c>
      <c r="CE513" s="128">
        <f>VLOOKUP($E513,[2]Current!$A:$AC,16,FALSE)</f>
        <v>0</v>
      </c>
      <c r="CF513" s="128">
        <f>CE513/$AS513</f>
        <v>0</v>
      </c>
      <c r="CG513" s="18"/>
      <c r="CH513" s="18"/>
      <c r="CI513" s="18"/>
      <c r="CJ513" s="130">
        <f>IF(CK513&gt;0,1,0)</f>
        <v>0</v>
      </c>
      <c r="CK513" s="128">
        <f>VLOOKUP($E513,[2]Current!$A:$AC,18,FALSE)</f>
        <v>0</v>
      </c>
      <c r="CL513" s="128">
        <f>CK513/$AS513</f>
        <v>0</v>
      </c>
      <c r="CS513" s="130">
        <f>IF(CU513&gt;0,1,0)</f>
        <v>0</v>
      </c>
      <c r="CU513" s="128">
        <f>VLOOKUP($E513,[2]Current!$A:$AC,17,FALSE)</f>
        <v>0</v>
      </c>
      <c r="CV513" s="128">
        <f>CU513/$AS513</f>
        <v>0</v>
      </c>
      <c r="CW513" s="18"/>
      <c r="CX513" s="18"/>
      <c r="CY513" s="18"/>
      <c r="DF513" s="16" t="e">
        <f>VLOOKUP(K513,'[3]RNA Seq summary tables'!$V$3:$V$99,1,FALSE)</f>
        <v>#N/A</v>
      </c>
      <c r="DG513" s="126" t="s">
        <v>116</v>
      </c>
    </row>
    <row r="514" spans="2:288" ht="16" x14ac:dyDescent="0.2">
      <c r="B514" s="16">
        <v>2018</v>
      </c>
      <c r="C514" s="124">
        <v>43284</v>
      </c>
      <c r="D514" t="s">
        <v>907</v>
      </c>
      <c r="E514" s="37" t="str">
        <f>CONCATENATE(T514,"-",U514,"-",C514)</f>
        <v>PO1-F1-43284</v>
      </c>
      <c r="F514" s="16" t="s">
        <v>227</v>
      </c>
      <c r="G514" s="126" t="s">
        <v>107</v>
      </c>
      <c r="H514" s="126"/>
      <c r="J514" s="126">
        <v>1402</v>
      </c>
      <c r="K514" s="126">
        <v>2547</v>
      </c>
      <c r="O514" s="126" t="s">
        <v>119</v>
      </c>
      <c r="P514" s="18" t="s">
        <v>119</v>
      </c>
      <c r="Q514" s="18">
        <v>0</v>
      </c>
      <c r="R514" s="18">
        <f>IF(J514=J513,C514-C513,"")</f>
        <v>16</v>
      </c>
      <c r="T514" s="126" t="s">
        <v>112</v>
      </c>
      <c r="U514" s="126" t="s">
        <v>217</v>
      </c>
      <c r="V514" s="136" t="s">
        <v>114</v>
      </c>
      <c r="X514" s="126" t="s">
        <v>121</v>
      </c>
      <c r="Y514" s="126" t="s">
        <v>110</v>
      </c>
      <c r="Z514" s="126">
        <v>3</v>
      </c>
      <c r="AA514" s="126" t="s">
        <v>119</v>
      </c>
      <c r="AB514" s="126" t="s">
        <v>116</v>
      </c>
      <c r="AC514" s="126" t="s">
        <v>116</v>
      </c>
      <c r="AD514" s="126"/>
      <c r="AE514" s="126"/>
      <c r="AG514" s="16">
        <f>AH514-AI514</f>
        <v>82</v>
      </c>
      <c r="AH514" s="126">
        <v>148</v>
      </c>
      <c r="AI514" s="126">
        <v>66</v>
      </c>
      <c r="AK514" s="126">
        <v>23</v>
      </c>
      <c r="AL514" s="126">
        <v>0</v>
      </c>
      <c r="AM514" s="126">
        <v>0</v>
      </c>
      <c r="AN514" s="126">
        <v>0</v>
      </c>
      <c r="AO514" s="16">
        <f>IF(SUM(AL514:AN514)&gt;0,1,0)</f>
        <v>0</v>
      </c>
      <c r="AP514" s="18">
        <f>SUM(AL514:AN514)</f>
        <v>0</v>
      </c>
      <c r="AR514" s="16">
        <v>0.32100000000000017</v>
      </c>
      <c r="AS514" s="16">
        <f>VLOOKUP(E514,'[1]Feces weights'!$D$1:$H$459,5,FALSE)</f>
        <v>0.32100000000000017</v>
      </c>
      <c r="AT514" s="16" t="str">
        <f>VLOOKUP(E514,[2]Current!$A$1:$W$435,7,FALSE)</f>
        <v>TE</v>
      </c>
      <c r="AU514" s="16" t="s">
        <v>1288</v>
      </c>
      <c r="AW514" s="128">
        <f>IF(AX514&gt;0,1,0)</f>
        <v>1</v>
      </c>
      <c r="AX514" s="128">
        <f>SUM(BA514,BM514,CU514)</f>
        <v>1</v>
      </c>
      <c r="AY514" s="128">
        <f>SUM(BB514,BN514,CV514)</f>
        <v>3.1152647975077863</v>
      </c>
      <c r="AZ514" s="128">
        <f>IF(BA514&gt;0,1,0)</f>
        <v>0</v>
      </c>
      <c r="BA514" s="128">
        <f>SUM(BC514+BF514+BI514)</f>
        <v>0</v>
      </c>
      <c r="BB514" s="128">
        <f>SUM(BE514,BH514,BK514)</f>
        <v>0</v>
      </c>
      <c r="BC514" s="130">
        <f>IF(BD514&gt;0,1,0)</f>
        <v>0</v>
      </c>
      <c r="BD514" s="128">
        <f>VLOOKUP($E514,[2]Current!$A:$AC,26,FALSE)</f>
        <v>0</v>
      </c>
      <c r="BE514" s="128">
        <f>BD514/$AS514</f>
        <v>0</v>
      </c>
      <c r="BF514" s="130">
        <f>IF(BG514&gt;0,1,0)</f>
        <v>0</v>
      </c>
      <c r="BG514" s="137">
        <f>VLOOKUP($E514,[2]Current!$A:$AC,27,FALSE)</f>
        <v>0</v>
      </c>
      <c r="BH514" s="128">
        <f>BG514/$AS514</f>
        <v>0</v>
      </c>
      <c r="BI514" s="130">
        <f>IF(BJ514&gt;0,1,0)</f>
        <v>0</v>
      </c>
      <c r="BJ514" s="128">
        <f>VLOOKUP($E514,[2]Current!$A:$AC,28,FALSE)</f>
        <v>0</v>
      </c>
      <c r="BK514" s="128">
        <f>BJ514/$AS514</f>
        <v>0</v>
      </c>
      <c r="BL514" s="128">
        <f>IF(BM514&gt;0,1,0)</f>
        <v>1</v>
      </c>
      <c r="BM514" s="128">
        <f>SUM(BR514,BU514,BX514,CA514,CD514)</f>
        <v>1</v>
      </c>
      <c r="BN514" s="131">
        <f>SUM(BT514,BW514,BZ514,CC514,CF514)</f>
        <v>3.1152647975077863</v>
      </c>
      <c r="BO514" s="128">
        <f>IF(BP514&gt;0,1,0)</f>
        <v>1</v>
      </c>
      <c r="BP514" s="128">
        <f>BM514+CJ514</f>
        <v>1</v>
      </c>
      <c r="BQ514" s="128">
        <f>BN514+CL514</f>
        <v>3.1152647975077863</v>
      </c>
      <c r="BR514" s="130">
        <f>IF(BS514&gt;0,1,0)</f>
        <v>0</v>
      </c>
      <c r="BS514" s="128">
        <f>VLOOKUP($E514,[2]Current!$A:$AC,12,FALSE)</f>
        <v>0</v>
      </c>
      <c r="BT514" s="137">
        <f>BS514/$AS514</f>
        <v>0</v>
      </c>
      <c r="BU514" s="130">
        <f>IF(BV514&gt;0,1,0)</f>
        <v>0</v>
      </c>
      <c r="BV514" s="128">
        <f>VLOOKUP($E514,[2]Current!$A:$AC,13,FALSE)</f>
        <v>0</v>
      </c>
      <c r="BW514" s="128">
        <f>BV514/$AS514</f>
        <v>0</v>
      </c>
      <c r="BX514" s="130">
        <f>IF(BY514&gt;0,1,0)</f>
        <v>0</v>
      </c>
      <c r="BY514" s="128">
        <f>VLOOKUP($E514,[2]Current!$A:$AC,14,FALSE)</f>
        <v>0</v>
      </c>
      <c r="BZ514" s="128">
        <f>BY514/$AS514</f>
        <v>0</v>
      </c>
      <c r="CA514" s="130">
        <f>IF(CB514&gt;0,1,0)</f>
        <v>1</v>
      </c>
      <c r="CB514" s="128">
        <f>VLOOKUP($E514,[2]Current!$A:$AC,15,FALSE)</f>
        <v>1</v>
      </c>
      <c r="CC514" s="128">
        <f>CB514/$AS514</f>
        <v>3.1152647975077863</v>
      </c>
      <c r="CD514" s="174">
        <f>IF(CE514&gt;0,1,0)</f>
        <v>0</v>
      </c>
      <c r="CE514" s="128">
        <f>VLOOKUP($E514,[2]Current!$A:$AC,16,FALSE)</f>
        <v>0</v>
      </c>
      <c r="CF514" s="128">
        <f>CE514/$AS514</f>
        <v>0</v>
      </c>
      <c r="CG514" s="18"/>
      <c r="CH514" s="18"/>
      <c r="CI514" s="18"/>
      <c r="CJ514" s="130">
        <f>IF(CK514&gt;0,1,0)</f>
        <v>0</v>
      </c>
      <c r="CK514" s="128">
        <f>VLOOKUP($E514,[2]Current!$A:$AC,18,FALSE)</f>
        <v>0</v>
      </c>
      <c r="CL514" s="128">
        <f>CK514/$AS514</f>
        <v>0</v>
      </c>
      <c r="CS514" s="130">
        <f>IF(CU514&gt;0,1,0)</f>
        <v>0</v>
      </c>
      <c r="CU514" s="128">
        <f>VLOOKUP($E514,[2]Current!$A:$AC,17,FALSE)</f>
        <v>0</v>
      </c>
      <c r="CV514" s="128">
        <f>CU514/$AS514</f>
        <v>0</v>
      </c>
      <c r="CW514" s="18"/>
      <c r="CX514" s="18"/>
      <c r="CY514" s="18"/>
      <c r="DF514" s="16" t="e">
        <f>VLOOKUP(K514,'[3]RNA Seq summary tables'!$V$3:$V$99,1,FALSE)</f>
        <v>#N/A</v>
      </c>
      <c r="DG514" s="126" t="s">
        <v>116</v>
      </c>
      <c r="JR514" s="27"/>
      <c r="JS514" s="27"/>
      <c r="JT514" s="27"/>
      <c r="JU514" s="27"/>
      <c r="JV514" s="27"/>
      <c r="JW514" s="27"/>
      <c r="JX514" s="27"/>
      <c r="JY514" s="27"/>
      <c r="JZ514" s="27"/>
      <c r="KA514" s="27"/>
      <c r="KB514" s="27"/>
    </row>
    <row r="515" spans="2:288" ht="16" x14ac:dyDescent="0.2">
      <c r="B515" s="16">
        <v>2018</v>
      </c>
      <c r="C515" s="124">
        <v>43296</v>
      </c>
      <c r="D515" t="s">
        <v>988</v>
      </c>
      <c r="E515" s="37" t="str">
        <f>CONCATENATE(T515,"-",U515,"-",C515)</f>
        <v>PO1-H1-43296</v>
      </c>
      <c r="F515" s="16" t="s">
        <v>227</v>
      </c>
      <c r="G515" s="126" t="s">
        <v>107</v>
      </c>
      <c r="H515" s="126" t="s">
        <v>1143</v>
      </c>
      <c r="J515" s="126">
        <v>1402</v>
      </c>
      <c r="K515" s="126">
        <v>2639</v>
      </c>
      <c r="O515" s="126" t="s">
        <v>119</v>
      </c>
      <c r="P515" s="18" t="s">
        <v>119</v>
      </c>
      <c r="Q515" s="18">
        <v>0</v>
      </c>
      <c r="R515" s="18">
        <f>IF(J515=J514,C515-C514,"")</f>
        <v>12</v>
      </c>
      <c r="T515" s="126" t="s">
        <v>112</v>
      </c>
      <c r="U515" s="126" t="s">
        <v>191</v>
      </c>
      <c r="V515" s="126" t="s">
        <v>114</v>
      </c>
      <c r="X515" s="126" t="s">
        <v>121</v>
      </c>
      <c r="Y515" s="126" t="s">
        <v>110</v>
      </c>
      <c r="Z515" s="126">
        <v>3</v>
      </c>
      <c r="AA515" s="126" t="s">
        <v>119</v>
      </c>
      <c r="AB515" s="126" t="s">
        <v>123</v>
      </c>
      <c r="AC515" s="126" t="s">
        <v>116</v>
      </c>
      <c r="AD515" s="126"/>
      <c r="AE515" s="126"/>
      <c r="AG515" s="40">
        <f>AH515-AI515</f>
        <v>89</v>
      </c>
      <c r="AH515" s="126">
        <v>158</v>
      </c>
      <c r="AI515" s="126">
        <v>69</v>
      </c>
      <c r="AK515" s="126">
        <v>21</v>
      </c>
      <c r="AL515" s="126">
        <v>0</v>
      </c>
      <c r="AM515" s="126">
        <v>0</v>
      </c>
      <c r="AN515" s="126">
        <v>0</v>
      </c>
      <c r="AO515" s="16">
        <f>IF(SUM(AL515:AN515)&gt;0,1,0)</f>
        <v>0</v>
      </c>
      <c r="AP515" s="18">
        <f>SUM(AL515:AN515)</f>
        <v>0</v>
      </c>
      <c r="AR515" s="16">
        <v>0.12800000000000011</v>
      </c>
      <c r="AS515" s="16">
        <f>VLOOKUP(E515,'[1]Feces weights'!$D$1:$H$459,5,FALSE)</f>
        <v>0.12800000000000011</v>
      </c>
      <c r="AT515" s="16" t="str">
        <f>VLOOKUP(E515,[2]Current!$A$1:$W$435,7,FALSE)</f>
        <v>LV</v>
      </c>
      <c r="AU515" s="16" t="s">
        <v>1288</v>
      </c>
      <c r="AV515" s="23">
        <v>1</v>
      </c>
      <c r="AW515" s="128">
        <f>IF(AX515&gt;0,1,0)</f>
        <v>0</v>
      </c>
      <c r="AX515" s="128">
        <f>SUM(BA515,BM515,CU515)</f>
        <v>0</v>
      </c>
      <c r="AY515" s="128">
        <f>SUM(BB515,BN515,CV515)</f>
        <v>0</v>
      </c>
      <c r="AZ515" s="128">
        <f>IF(BA515&gt;0,1,0)</f>
        <v>0</v>
      </c>
      <c r="BA515" s="128">
        <f>SUM(BC515+BF515+BI515)</f>
        <v>0</v>
      </c>
      <c r="BB515" s="128">
        <f>SUM(BE515,BH515,BK515)</f>
        <v>0</v>
      </c>
      <c r="BC515" s="130">
        <f>IF(BD515&gt;0,1,0)</f>
        <v>0</v>
      </c>
      <c r="BD515" s="128">
        <f>VLOOKUP($E515,[2]Current!$A:$AC,26,FALSE)</f>
        <v>0</v>
      </c>
      <c r="BE515" s="128">
        <f>BD515/$AS515</f>
        <v>0</v>
      </c>
      <c r="BF515" s="130">
        <f>IF(BG515&gt;0,1,0)</f>
        <v>0</v>
      </c>
      <c r="BG515" s="137">
        <f>VLOOKUP($E515,[2]Current!$A:$AC,27,FALSE)</f>
        <v>0</v>
      </c>
      <c r="BH515" s="128">
        <f>BG515/$AS515</f>
        <v>0</v>
      </c>
      <c r="BI515" s="130">
        <f>IF(BJ515&gt;0,1,0)</f>
        <v>0</v>
      </c>
      <c r="BJ515" s="128">
        <f>VLOOKUP($E515,[2]Current!$A:$AC,28,FALSE)</f>
        <v>0</v>
      </c>
      <c r="BK515" s="128">
        <f>BJ515/$AS515</f>
        <v>0</v>
      </c>
      <c r="BL515" s="128">
        <f>IF(BM515&gt;0,1,0)</f>
        <v>0</v>
      </c>
      <c r="BM515" s="128">
        <f>SUM(BR515,BU515,BX515,CA515,CD515)</f>
        <v>0</v>
      </c>
      <c r="BN515" s="131">
        <f>SUM(BT515,BW515,BZ515,CC515,CF515)</f>
        <v>0</v>
      </c>
      <c r="BO515" s="128">
        <f>IF(BP515&gt;0,1,0)</f>
        <v>0</v>
      </c>
      <c r="BP515" s="128">
        <f>BM515+CJ515</f>
        <v>0</v>
      </c>
      <c r="BQ515" s="128">
        <f>BN515+CL515</f>
        <v>0</v>
      </c>
      <c r="BR515" s="130">
        <f>IF(BS515&gt;0,1,0)</f>
        <v>0</v>
      </c>
      <c r="BS515" s="128">
        <f>VLOOKUP($E515,[2]Current!$A:$AC,12,FALSE)</f>
        <v>0</v>
      </c>
      <c r="BT515" s="137">
        <f>BS515/$AS515</f>
        <v>0</v>
      </c>
      <c r="BU515" s="130">
        <f>IF(BV515&gt;0,1,0)</f>
        <v>0</v>
      </c>
      <c r="BV515" s="128">
        <f>VLOOKUP($E515,[2]Current!$A:$AC,13,FALSE)</f>
        <v>0</v>
      </c>
      <c r="BW515" s="128">
        <f>BV515/$AS515</f>
        <v>0</v>
      </c>
      <c r="BX515" s="130">
        <f>IF(BY515&gt;0,1,0)</f>
        <v>0</v>
      </c>
      <c r="BY515" s="128">
        <f>VLOOKUP($E515,[2]Current!$A:$AC,14,FALSE)</f>
        <v>0</v>
      </c>
      <c r="BZ515" s="128">
        <f>BY515/$AS515</f>
        <v>0</v>
      </c>
      <c r="CA515" s="130">
        <f>IF(CB515&gt;0,1,0)</f>
        <v>0</v>
      </c>
      <c r="CB515" s="128">
        <f>VLOOKUP($E515,[2]Current!$A:$AC,15,FALSE)</f>
        <v>0</v>
      </c>
      <c r="CC515" s="128">
        <f>CB515/$AS515</f>
        <v>0</v>
      </c>
      <c r="CD515" s="174">
        <f>IF(CE515&gt;0,1,0)</f>
        <v>0</v>
      </c>
      <c r="CE515" s="128">
        <f>VLOOKUP($E515,[2]Current!$A:$AC,16,FALSE)</f>
        <v>0</v>
      </c>
      <c r="CF515" s="128">
        <f>CE515/$AS515</f>
        <v>0</v>
      </c>
      <c r="CG515" s="18"/>
      <c r="CH515" s="18"/>
      <c r="CI515" s="18"/>
      <c r="CJ515" s="130">
        <f>IF(CK515&gt;0,1,0)</f>
        <v>0</v>
      </c>
      <c r="CK515" s="128">
        <f>VLOOKUP($E515,[2]Current!$A:$AC,18,FALSE)</f>
        <v>0</v>
      </c>
      <c r="CL515" s="128">
        <f>CK515/$AS515</f>
        <v>0</v>
      </c>
      <c r="CS515" s="130">
        <f>IF(CU515&gt;0,1,0)</f>
        <v>0</v>
      </c>
      <c r="CU515" s="128">
        <f>VLOOKUP($E515,[2]Current!$A:$AC,17,FALSE)</f>
        <v>0</v>
      </c>
      <c r="CV515" s="128">
        <f>CU515/$AS515</f>
        <v>0</v>
      </c>
      <c r="CW515" s="18"/>
      <c r="CX515" s="18"/>
      <c r="CY515" s="18"/>
      <c r="DF515" s="16" t="e">
        <f>VLOOKUP(K515,'[3]RNA Seq summary tables'!$V$3:$V$99,1,FALSE)</f>
        <v>#N/A</v>
      </c>
      <c r="DG515" s="126" t="s">
        <v>116</v>
      </c>
    </row>
    <row r="516" spans="2:288" ht="16" x14ac:dyDescent="0.2">
      <c r="B516" s="16">
        <v>2018</v>
      </c>
      <c r="C516" s="147">
        <v>43315</v>
      </c>
      <c r="D516" t="s">
        <v>1255</v>
      </c>
      <c r="E516" s="20" t="str">
        <f>CONCATENATE(T516,"-",U516,"-",C516)</f>
        <v>PO1-H2-43315</v>
      </c>
      <c r="F516" s="16" t="s">
        <v>227</v>
      </c>
      <c r="G516" s="145" t="s">
        <v>107</v>
      </c>
      <c r="H516" s="145"/>
      <c r="I516" s="145"/>
      <c r="J516" s="145">
        <v>1402</v>
      </c>
      <c r="K516" s="145">
        <v>2793</v>
      </c>
      <c r="M516" s="16"/>
      <c r="N516" s="16"/>
      <c r="O516" s="145" t="s">
        <v>119</v>
      </c>
      <c r="P516" s="18" t="s">
        <v>119</v>
      </c>
      <c r="Q516" s="18">
        <v>0</v>
      </c>
      <c r="R516" s="18">
        <f>IF(J516=J515,C516-C515,"")</f>
        <v>19</v>
      </c>
      <c r="S516" s="145"/>
      <c r="T516" s="145" t="s">
        <v>112</v>
      </c>
      <c r="U516" s="145" t="s">
        <v>190</v>
      </c>
      <c r="V516" s="145" t="s">
        <v>114</v>
      </c>
      <c r="W516" s="145"/>
      <c r="X516" s="145" t="s">
        <v>121</v>
      </c>
      <c r="Y516" s="145" t="s">
        <v>110</v>
      </c>
      <c r="Z516" s="145">
        <v>3</v>
      </c>
      <c r="AA516" s="145" t="s">
        <v>119</v>
      </c>
      <c r="AB516" s="145" t="s">
        <v>123</v>
      </c>
      <c r="AC516" s="145" t="s">
        <v>123</v>
      </c>
      <c r="AD516" s="145"/>
      <c r="AE516" s="145"/>
      <c r="AF516" s="145"/>
      <c r="AG516" s="145">
        <f>AH516-AI516</f>
        <v>89</v>
      </c>
      <c r="AH516" s="145">
        <v>159</v>
      </c>
      <c r="AI516" s="145">
        <v>70</v>
      </c>
      <c r="AJ516" s="145"/>
      <c r="AK516" s="145">
        <v>22</v>
      </c>
      <c r="AL516" s="145">
        <v>0</v>
      </c>
      <c r="AM516" s="145">
        <v>0</v>
      </c>
      <c r="AN516" s="145">
        <v>1</v>
      </c>
      <c r="AO516" s="16">
        <f>IF(SUM(AL516:AN516)&gt;0, 1,0)</f>
        <v>1</v>
      </c>
      <c r="AP516" s="16">
        <f>SUM(AL516:AN516)</f>
        <v>1</v>
      </c>
      <c r="AS516" s="16">
        <f>VLOOKUP(E516,'[1]Feces weights'!$D$1:$H$459,5,FALSE)</f>
        <v>0.42100000000000004</v>
      </c>
      <c r="AT516" s="16" t="e">
        <f>VLOOKUP(E516,[2]Current!$A$1:$W$435,7,FALSE)</f>
        <v>#N/A</v>
      </c>
      <c r="BG516" s="77"/>
      <c r="BT516" s="77"/>
      <c r="CD516" s="77"/>
      <c r="DG516" s="145" t="s">
        <v>123</v>
      </c>
      <c r="DT516" s="145" t="s">
        <v>123</v>
      </c>
      <c r="DU516" s="145"/>
      <c r="DX516" s="145"/>
      <c r="DY516" s="145"/>
      <c r="DZ516" s="16"/>
      <c r="EA516" s="16"/>
      <c r="EB516" s="16"/>
      <c r="EC516" s="16"/>
      <c r="ED516" s="16"/>
      <c r="EE516" s="16"/>
      <c r="EF516" s="16"/>
      <c r="JO516" s="18"/>
      <c r="JP516" s="18"/>
      <c r="JQ516" s="18"/>
      <c r="JR516" s="18"/>
      <c r="JS516" s="18"/>
      <c r="JT516" s="18"/>
      <c r="JU516" s="18"/>
      <c r="JV516" s="18"/>
      <c r="JW516" s="18"/>
      <c r="JX516" s="18"/>
      <c r="JY516" s="18"/>
      <c r="JZ516" s="18"/>
      <c r="KA516" s="18"/>
    </row>
    <row r="517" spans="2:288" ht="16" x14ac:dyDescent="0.2">
      <c r="B517" s="16">
        <v>2018</v>
      </c>
      <c r="C517" s="124">
        <v>43230</v>
      </c>
      <c r="D517" t="s">
        <v>697</v>
      </c>
      <c r="E517" s="37" t="str">
        <f>CONCATENATE(T517,"-",U517,"-",C517)</f>
        <v>PO2-E1-43230</v>
      </c>
      <c r="F517" s="16" t="s">
        <v>227</v>
      </c>
      <c r="G517" s="126" t="s">
        <v>107</v>
      </c>
      <c r="H517" s="126"/>
      <c r="J517" s="126">
        <v>1404</v>
      </c>
      <c r="K517" s="126">
        <v>2326</v>
      </c>
      <c r="O517" s="126" t="s">
        <v>119</v>
      </c>
      <c r="P517" s="18" t="s">
        <v>119</v>
      </c>
      <c r="Q517" s="18">
        <v>0</v>
      </c>
      <c r="R517" s="18" t="str">
        <f>IF(J517=J516,C517-C516,"")</f>
        <v/>
      </c>
      <c r="T517" s="126" t="s">
        <v>127</v>
      </c>
      <c r="U517" s="126" t="s">
        <v>222</v>
      </c>
      <c r="V517" s="126" t="s">
        <v>114</v>
      </c>
      <c r="X517" s="126" t="s">
        <v>121</v>
      </c>
      <c r="Y517" s="126" t="s">
        <v>110</v>
      </c>
      <c r="Z517" s="126">
        <v>3</v>
      </c>
      <c r="AA517" s="126" t="s">
        <v>119</v>
      </c>
      <c r="AB517" s="126" t="s">
        <v>123</v>
      </c>
      <c r="AC517" s="126" t="s">
        <v>116</v>
      </c>
      <c r="AD517" s="126"/>
      <c r="AE517" s="126"/>
      <c r="AG517" s="16">
        <f>AH517-AI517</f>
        <v>89</v>
      </c>
      <c r="AH517" s="126">
        <v>158</v>
      </c>
      <c r="AI517" s="126">
        <v>69</v>
      </c>
      <c r="AK517" s="126">
        <v>21</v>
      </c>
      <c r="AL517" s="126">
        <v>1</v>
      </c>
      <c r="AM517" s="126">
        <v>0</v>
      </c>
      <c r="AN517" s="126">
        <v>0</v>
      </c>
      <c r="AO517" s="16">
        <f>IF(SUM(AL517:AN517)&gt;0,1,0)</f>
        <v>1</v>
      </c>
      <c r="AP517" s="18">
        <f>SUM(AL517:AN517)</f>
        <v>1</v>
      </c>
      <c r="AR517" s="16">
        <v>0.31600000000000006</v>
      </c>
      <c r="AS517" s="16">
        <f>VLOOKUP(E517,'[1]Feces weights'!$D$1:$H$459,5,FALSE)</f>
        <v>0.31600000000000006</v>
      </c>
      <c r="AT517" s="16" t="str">
        <f>VLOOKUP(E517,[9]Current!$A:$T,7,FALSE)</f>
        <v>JB</v>
      </c>
      <c r="AU517" s="18" t="s">
        <v>1290</v>
      </c>
      <c r="AW517" s="177">
        <f>IF(AY517&gt;0,1,0)</f>
        <v>1</v>
      </c>
      <c r="AX517" s="177">
        <f>SUM(BA517,BM517,CU517)</f>
        <v>29</v>
      </c>
      <c r="AY517" s="177">
        <f>SUM(BB517,BN517,CV517)</f>
        <v>34484.177215189869</v>
      </c>
      <c r="AZ517" s="177">
        <f>IF(BB517&gt;0,1,0)</f>
        <v>1</v>
      </c>
      <c r="BA517" s="177">
        <f>SUM(BC517+BF517+BI517)</f>
        <v>2</v>
      </c>
      <c r="BB517" s="177">
        <f>SUM(BE517,BH517,BK517)</f>
        <v>34215.189873417716</v>
      </c>
      <c r="BC517" s="178">
        <f>IF(BD517&gt;0,1,0)</f>
        <v>1</v>
      </c>
      <c r="BD517" s="177">
        <f>VLOOKUP($E517,[9]Current!$1:$1048576,8,FALSE)</f>
        <v>1366</v>
      </c>
      <c r="BE517" s="177">
        <f>BD517/$AS517</f>
        <v>4322.7848101265818</v>
      </c>
      <c r="BF517" s="178">
        <f>IF(BG517&gt;0,1,0)</f>
        <v>1</v>
      </c>
      <c r="BG517" s="179">
        <f>VLOOKUP($E517,[9]Current!$1:$1048576,9,FALSE)</f>
        <v>9446</v>
      </c>
      <c r="BH517" s="177">
        <f>BG517/$AS517</f>
        <v>29892.405063291135</v>
      </c>
      <c r="BI517" s="178">
        <f>IF(BJ517&gt;0,1,0)</f>
        <v>0</v>
      </c>
      <c r="BJ517" s="177">
        <f>VLOOKUP($E517,[9]Current!$1:$1048576,10,FALSE)</f>
        <v>0</v>
      </c>
      <c r="BK517" s="177">
        <f>BJ517/$AS517</f>
        <v>0</v>
      </c>
      <c r="BL517" s="177">
        <f>IF(BM517&gt;0,1,0)</f>
        <v>1</v>
      </c>
      <c r="BM517" s="177">
        <f>SUM(BR517,BU517,BX517,CA517,CD517)</f>
        <v>1</v>
      </c>
      <c r="BN517" s="181">
        <f>SUM(BT517,BW517,BZ517,CC517,CF517)</f>
        <v>186.70886075949363</v>
      </c>
      <c r="BO517" s="177">
        <f>IF(BP517&gt;0,1,0)</f>
        <v>1</v>
      </c>
      <c r="BP517" s="177">
        <f>BM517+CJ517</f>
        <v>1</v>
      </c>
      <c r="BQ517" s="177">
        <f>BN517+CL517</f>
        <v>186.70886075949363</v>
      </c>
      <c r="BR517" s="178">
        <f>IF(BS517&gt;0,1,0)</f>
        <v>1</v>
      </c>
      <c r="BS517" s="177">
        <f>VLOOKUP($E517,[9]Current!$1:$1048576,12,FALSE)</f>
        <v>59</v>
      </c>
      <c r="BT517" s="179">
        <f>BS517/$AS517</f>
        <v>186.70886075949363</v>
      </c>
      <c r="BU517" s="178">
        <f>IF(BV517&gt;0,1,0)</f>
        <v>0</v>
      </c>
      <c r="BV517" s="177">
        <f>VLOOKUP($E517,[9]Current!$1:$1048576,13,FALSE)</f>
        <v>0</v>
      </c>
      <c r="BW517" s="177">
        <f>BV517/$AS517</f>
        <v>0</v>
      </c>
      <c r="BX517" s="178">
        <f>IF(BY517&gt;0,1,0)</f>
        <v>0</v>
      </c>
      <c r="BY517" s="177">
        <f>VLOOKUP($E517,[9]Current!$1:$1048576,14,FALSE)</f>
        <v>0</v>
      </c>
      <c r="BZ517" s="177">
        <f>BY517/$AS517</f>
        <v>0</v>
      </c>
      <c r="CA517" s="178">
        <f>IF(CB517&gt;0,1,0)</f>
        <v>0</v>
      </c>
      <c r="CB517" s="177">
        <f>VLOOKUP($E517,[9]Current!$1:$1048576,15,FALSE)</f>
        <v>0</v>
      </c>
      <c r="CC517" s="177">
        <f>CB517/$AS517</f>
        <v>0</v>
      </c>
      <c r="CD517" s="180">
        <f>IF(CE517&gt;0,1,0)</f>
        <v>0</v>
      </c>
      <c r="CE517" s="177">
        <f>VLOOKUP($E517,[9]Current!$1:$1048576,16,FALSE)</f>
        <v>0</v>
      </c>
      <c r="CF517" s="177">
        <f>CE517/$AS517</f>
        <v>0</v>
      </c>
      <c r="CG517" s="18"/>
      <c r="CH517" s="18"/>
      <c r="CI517" s="18"/>
      <c r="CJ517" s="178">
        <f>IF(CK517&gt;0,1,0)</f>
        <v>0</v>
      </c>
      <c r="CK517" s="177">
        <f>VLOOKUP($E517,[9]Current!$1:$1048576,18,FALSE)</f>
        <v>0</v>
      </c>
      <c r="CL517" s="177">
        <f>CK517/$AS517</f>
        <v>0</v>
      </c>
      <c r="CS517" s="178">
        <f>IF(CU517&gt;0,1,0)</f>
        <v>1</v>
      </c>
      <c r="CT517" s="177"/>
      <c r="CU517" s="177">
        <f>VLOOKUP($E517,[9]Current!$1:$1048576,17,FALSE)</f>
        <v>26</v>
      </c>
      <c r="CV517" s="177">
        <f>CU517/$AS517</f>
        <v>82.278481012658219</v>
      </c>
      <c r="DF517" s="16" t="e">
        <f>VLOOKUP(K517,'[3]RNA Seq summary tables'!$V$3:$V$99,1,FALSE)</f>
        <v>#N/A</v>
      </c>
      <c r="DG517" s="126" t="s">
        <v>116</v>
      </c>
    </row>
    <row r="518" spans="2:288" ht="16" x14ac:dyDescent="0.2">
      <c r="B518" s="16">
        <v>2018</v>
      </c>
      <c r="C518" s="124">
        <v>43230</v>
      </c>
      <c r="D518" t="s">
        <v>691</v>
      </c>
      <c r="E518" s="142" t="str">
        <f>CONCATENATE(T518,"-",U518,"-",C518)</f>
        <v>PO1-A1-43230</v>
      </c>
      <c r="F518" s="16" t="s">
        <v>227</v>
      </c>
      <c r="G518" s="126" t="s">
        <v>107</v>
      </c>
      <c r="H518" s="126"/>
      <c r="J518" s="127">
        <v>1406</v>
      </c>
      <c r="K518" s="126">
        <v>2328</v>
      </c>
      <c r="O518" s="126" t="s">
        <v>119</v>
      </c>
      <c r="P518" s="18" t="s">
        <v>119</v>
      </c>
      <c r="Q518" s="18">
        <v>0</v>
      </c>
      <c r="R518" s="18" t="str">
        <f>IF(J518=J517,C518-C517,"")</f>
        <v/>
      </c>
      <c r="T518" s="126" t="s">
        <v>112</v>
      </c>
      <c r="U518" s="126" t="s">
        <v>210</v>
      </c>
      <c r="V518" s="125" t="s">
        <v>114</v>
      </c>
      <c r="X518" s="126" t="s">
        <v>115</v>
      </c>
      <c r="Y518" s="126" t="s">
        <v>110</v>
      </c>
      <c r="Z518" s="126">
        <v>3</v>
      </c>
      <c r="AA518" s="126"/>
      <c r="AB518" s="126"/>
      <c r="AC518" s="126"/>
      <c r="AD518" s="126"/>
      <c r="AE518" s="126" t="s">
        <v>123</v>
      </c>
      <c r="AG518" s="16">
        <f>AH518-AI518</f>
        <v>84</v>
      </c>
      <c r="AH518" s="126">
        <v>158</v>
      </c>
      <c r="AI518" s="126">
        <v>74</v>
      </c>
      <c r="AK518" s="125">
        <v>15</v>
      </c>
      <c r="AL518" s="126">
        <v>0</v>
      </c>
      <c r="AM518" s="126">
        <v>0</v>
      </c>
      <c r="AN518" s="126">
        <v>0</v>
      </c>
      <c r="AO518" s="16">
        <f>IF(SUM(AL518:AN518)&gt;0,1,0)</f>
        <v>0</v>
      </c>
      <c r="AP518" s="18">
        <f>SUM(AL518:AN518)</f>
        <v>0</v>
      </c>
      <c r="AR518" s="16">
        <v>7.2000000000000064E-2</v>
      </c>
      <c r="AS518" s="16">
        <f>VLOOKUP(E518,'[1]Feces weights'!$D$1:$H$459,5,FALSE)</f>
        <v>7.2000000000000064E-2</v>
      </c>
      <c r="AT518" s="16" t="e">
        <f>VLOOKUP(E518,[2]Current!$A$1:$W$435,7,FALSE)</f>
        <v>#N/A</v>
      </c>
      <c r="AU518" s="16">
        <v>0</v>
      </c>
      <c r="BG518" s="77"/>
      <c r="BN518" s="126"/>
      <c r="BT518" s="78"/>
      <c r="BV518" s="18"/>
      <c r="BW518" s="25"/>
      <c r="BY518" s="18"/>
      <c r="BZ518" s="25"/>
      <c r="CB518" s="18"/>
      <c r="CC518" s="25"/>
      <c r="CD518" s="77"/>
      <c r="CE518" s="18"/>
      <c r="CF518" s="25"/>
      <c r="CG518" s="18"/>
      <c r="CH518" s="18"/>
      <c r="CI518" s="18"/>
      <c r="CK518" s="18"/>
      <c r="CL518" s="25"/>
      <c r="DF518" s="16" t="e">
        <f>VLOOKUP(K518,'[3]RNA Seq summary tables'!$V$3:$V$99,1,FALSE)</f>
        <v>#N/A</v>
      </c>
      <c r="DG518" s="126" t="s">
        <v>116</v>
      </c>
    </row>
    <row r="519" spans="2:288" ht="16" x14ac:dyDescent="0.2">
      <c r="B519" s="16">
        <v>2018</v>
      </c>
      <c r="C519" s="124">
        <v>43266</v>
      </c>
      <c r="D519" t="s">
        <v>800</v>
      </c>
      <c r="E519" s="37" t="str">
        <f>CONCATENATE(T519,"-",U519,"-",C519)</f>
        <v>PO1-E4-43266</v>
      </c>
      <c r="F519" s="16" t="s">
        <v>227</v>
      </c>
      <c r="G519" s="126" t="s">
        <v>107</v>
      </c>
      <c r="H519" s="126"/>
      <c r="J519" s="127">
        <v>1406</v>
      </c>
      <c r="K519" s="126">
        <v>2443</v>
      </c>
      <c r="O519" s="126" t="s">
        <v>119</v>
      </c>
      <c r="P519" s="18" t="s">
        <v>119</v>
      </c>
      <c r="Q519" s="18">
        <v>0</v>
      </c>
      <c r="R519" s="18">
        <f>IF(J519=J518,C519-C518,"")</f>
        <v>36</v>
      </c>
      <c r="T519" s="126" t="s">
        <v>112</v>
      </c>
      <c r="U519" s="126" t="s">
        <v>206</v>
      </c>
      <c r="V519" s="126" t="s">
        <v>114</v>
      </c>
      <c r="X519" s="126" t="s">
        <v>115</v>
      </c>
      <c r="Y519" s="126" t="s">
        <v>110</v>
      </c>
      <c r="Z519" s="126">
        <v>3</v>
      </c>
      <c r="AA519" s="126"/>
      <c r="AB519" s="126"/>
      <c r="AC519" s="126"/>
      <c r="AD519" s="126"/>
      <c r="AE519" s="126" t="s">
        <v>116</v>
      </c>
      <c r="AG519" s="16">
        <f>AH519-AI519</f>
        <v>89</v>
      </c>
      <c r="AH519" s="126">
        <v>165</v>
      </c>
      <c r="AI519" s="126">
        <v>76</v>
      </c>
      <c r="AK519" s="126">
        <v>16</v>
      </c>
      <c r="AL519" s="126">
        <v>0</v>
      </c>
      <c r="AM519" s="126">
        <v>0</v>
      </c>
      <c r="AN519" s="126">
        <v>0</v>
      </c>
      <c r="AO519" s="16">
        <f>IF(SUM(AL519:AN519)&gt;0,1,0)</f>
        <v>0</v>
      </c>
      <c r="AP519" s="18">
        <f>SUM(AL519:AN519)</f>
        <v>0</v>
      </c>
      <c r="AR519" s="16">
        <v>7.3000000000000176E-2</v>
      </c>
      <c r="AS519" s="16">
        <f>VLOOKUP(E519,'[1]Feces weights'!$D$1:$H$459,5,FALSE)</f>
        <v>7.3000000000000176E-2</v>
      </c>
      <c r="AT519" s="16" t="str">
        <f>VLOOKUP(E519,[2]Current!$A$1:$W$435,7,FALSE)</f>
        <v>LV</v>
      </c>
      <c r="AU519" s="16" t="s">
        <v>1288</v>
      </c>
      <c r="AV519" s="23">
        <v>1</v>
      </c>
      <c r="AW519" s="128">
        <f>IF(AX519&gt;0,1,0)</f>
        <v>0</v>
      </c>
      <c r="AX519" s="128">
        <f>SUM(BA519,BM519,CU519)</f>
        <v>0</v>
      </c>
      <c r="AY519" s="128">
        <f>SUM(BB519,BN519,CV519)</f>
        <v>0</v>
      </c>
      <c r="AZ519" s="128">
        <f>IF(BA519&gt;0,1,0)</f>
        <v>0</v>
      </c>
      <c r="BA519" s="128">
        <f>SUM(BC519+BF519+BI519)</f>
        <v>0</v>
      </c>
      <c r="BB519" s="128">
        <f>SUM(BE519,BH519,BK519)</f>
        <v>0</v>
      </c>
      <c r="BC519" s="130">
        <f>IF(BD519&gt;0,1,0)</f>
        <v>0</v>
      </c>
      <c r="BD519" s="128">
        <f>VLOOKUP($E519,[2]Current!$A:$AC,26,FALSE)</f>
        <v>0</v>
      </c>
      <c r="BE519" s="128">
        <f>BD519/$AS519</f>
        <v>0</v>
      </c>
      <c r="BF519" s="130">
        <f>IF(BG519&gt;0,1,0)</f>
        <v>0</v>
      </c>
      <c r="BG519" s="137">
        <f>VLOOKUP($E519,[2]Current!$A:$AC,27,FALSE)</f>
        <v>0</v>
      </c>
      <c r="BH519" s="128">
        <f>BG519/$AS519</f>
        <v>0</v>
      </c>
      <c r="BI519" s="130">
        <f>IF(BJ519&gt;0,1,0)</f>
        <v>0</v>
      </c>
      <c r="BJ519" s="128">
        <f>VLOOKUP($E519,[2]Current!$A:$AC,28,FALSE)</f>
        <v>0</v>
      </c>
      <c r="BK519" s="128">
        <f>BJ519/$AS519</f>
        <v>0</v>
      </c>
      <c r="BL519" s="128">
        <f>IF(BM519&gt;0,1,0)</f>
        <v>0</v>
      </c>
      <c r="BM519" s="128">
        <f>SUM(BR519,BU519,BX519,CA519,CD519)</f>
        <v>0</v>
      </c>
      <c r="BN519" s="131">
        <f>SUM(BT519,BW519,BZ519,CC519,CF519)</f>
        <v>0</v>
      </c>
      <c r="BO519" s="128">
        <f>IF(BP519&gt;0,1,0)</f>
        <v>0</v>
      </c>
      <c r="BP519" s="128">
        <f>BM519+CJ519</f>
        <v>0</v>
      </c>
      <c r="BQ519" s="128">
        <f>BN519+CL519</f>
        <v>0</v>
      </c>
      <c r="BR519" s="130">
        <f>IF(BS519&gt;0,1,0)</f>
        <v>0</v>
      </c>
      <c r="BS519" s="128">
        <f>VLOOKUP($E519,[2]Current!$A:$AC,12,FALSE)</f>
        <v>0</v>
      </c>
      <c r="BT519" s="137">
        <f>BS519/$AS519</f>
        <v>0</v>
      </c>
      <c r="BU519" s="130">
        <f>IF(BV519&gt;0,1,0)</f>
        <v>0</v>
      </c>
      <c r="BV519" s="128">
        <f>VLOOKUP($E519,[2]Current!$A:$AC,13,FALSE)</f>
        <v>0</v>
      </c>
      <c r="BW519" s="128">
        <f>BV519/$AS519</f>
        <v>0</v>
      </c>
      <c r="BX519" s="130">
        <f>IF(BY519&gt;0,1,0)</f>
        <v>0</v>
      </c>
      <c r="BY519" s="128">
        <f>VLOOKUP($E519,[2]Current!$A:$AC,14,FALSE)</f>
        <v>0</v>
      </c>
      <c r="BZ519" s="128">
        <f>BY519/$AS519</f>
        <v>0</v>
      </c>
      <c r="CA519" s="130">
        <f>IF(CB519&gt;0,1,0)</f>
        <v>0</v>
      </c>
      <c r="CB519" s="128">
        <f>VLOOKUP($E519,[2]Current!$A:$AC,15,FALSE)</f>
        <v>0</v>
      </c>
      <c r="CC519" s="128">
        <f>CB519/$AS519</f>
        <v>0</v>
      </c>
      <c r="CD519" s="174">
        <f>IF(CE519&gt;0,1,0)</f>
        <v>0</v>
      </c>
      <c r="CE519" s="128">
        <f>VLOOKUP($E519,[2]Current!$A:$AC,16,FALSE)</f>
        <v>0</v>
      </c>
      <c r="CF519" s="128">
        <f>CE519/$AS519</f>
        <v>0</v>
      </c>
      <c r="CG519" s="18"/>
      <c r="CH519" s="18"/>
      <c r="CI519" s="18"/>
      <c r="CJ519" s="130">
        <f>IF(CK519&gt;0,1,0)</f>
        <v>0</v>
      </c>
      <c r="CK519" s="128">
        <f>VLOOKUP($E519,[2]Current!$A:$AC,18,FALSE)</f>
        <v>0</v>
      </c>
      <c r="CL519" s="128">
        <f>CK519/$AS519</f>
        <v>0</v>
      </c>
      <c r="CS519" s="130">
        <f>IF(CU519&gt;0,1,0)</f>
        <v>0</v>
      </c>
      <c r="CU519" s="128">
        <f>VLOOKUP($E519,[2]Current!$A:$AC,17,FALSE)</f>
        <v>0</v>
      </c>
      <c r="CV519" s="128">
        <f>CU519/$AS519</f>
        <v>0</v>
      </c>
      <c r="CW519" s="18"/>
      <c r="CX519" s="18"/>
      <c r="CY519" s="18"/>
      <c r="DF519" s="16" t="e">
        <f>VLOOKUP(K519,'[3]RNA Seq summary tables'!$V$3:$V$99,1,FALSE)</f>
        <v>#N/A</v>
      </c>
      <c r="DG519" s="126" t="s">
        <v>116</v>
      </c>
    </row>
    <row r="520" spans="2:288" ht="16" x14ac:dyDescent="0.2">
      <c r="B520" s="16">
        <v>2018</v>
      </c>
      <c r="C520" s="124">
        <v>43283</v>
      </c>
      <c r="D520" t="s">
        <v>887</v>
      </c>
      <c r="E520" s="37" t="str">
        <f>CONCATENATE(T520,"-",U520,"-",C520)</f>
        <v>PO1-E1-43283</v>
      </c>
      <c r="F520" s="16" t="s">
        <v>227</v>
      </c>
      <c r="G520" s="126" t="s">
        <v>107</v>
      </c>
      <c r="H520" s="126" t="s">
        <v>1123</v>
      </c>
      <c r="J520" s="127">
        <v>1406</v>
      </c>
      <c r="K520" s="126">
        <v>2538</v>
      </c>
      <c r="O520" s="126" t="s">
        <v>119</v>
      </c>
      <c r="P520" s="18" t="s">
        <v>119</v>
      </c>
      <c r="Q520" s="18">
        <v>0</v>
      </c>
      <c r="R520" s="18">
        <f>IF(J520=J519,C520-C519,"")</f>
        <v>17</v>
      </c>
      <c r="T520" s="126" t="s">
        <v>112</v>
      </c>
      <c r="U520" s="126" t="s">
        <v>222</v>
      </c>
      <c r="V520" s="131" t="s">
        <v>142</v>
      </c>
      <c r="X520" s="126" t="s">
        <v>115</v>
      </c>
      <c r="Y520" s="126" t="s">
        <v>110</v>
      </c>
      <c r="Z520" s="126">
        <v>3</v>
      </c>
      <c r="AA520" s="126"/>
      <c r="AB520" s="126"/>
      <c r="AC520" s="126"/>
      <c r="AD520" s="126"/>
      <c r="AE520" s="126" t="s">
        <v>123</v>
      </c>
      <c r="AG520" s="16">
        <f>AH520-AI520</f>
        <v>80</v>
      </c>
      <c r="AH520" s="126">
        <v>161</v>
      </c>
      <c r="AI520" s="126">
        <v>81</v>
      </c>
      <c r="AK520" s="126">
        <v>16</v>
      </c>
      <c r="AL520" s="126">
        <v>0</v>
      </c>
      <c r="AM520" s="126">
        <v>0</v>
      </c>
      <c r="AN520" s="126">
        <v>0</v>
      </c>
      <c r="AO520" s="16">
        <f>IF(SUM(AL520:AN520)&gt;0,1,0)</f>
        <v>0</v>
      </c>
      <c r="AP520" s="18">
        <f>SUM(AL520:AN520)</f>
        <v>0</v>
      </c>
      <c r="AR520" s="16">
        <v>1.3000000000000123E-2</v>
      </c>
      <c r="AS520" s="16">
        <f>VLOOKUP(E520,'[1]Feces weights'!$D$1:$H$459,5,FALSE)</f>
        <v>1.3000000000000123E-2</v>
      </c>
      <c r="AT520" s="16" t="str">
        <f>VLOOKUP(E520,[2]Current!$A$1:$W$435,7,FALSE)</f>
        <v>DP</v>
      </c>
      <c r="AU520" s="16" t="s">
        <v>1288</v>
      </c>
      <c r="AW520" s="128">
        <f>IF(AX520&gt;0,1,0)</f>
        <v>1</v>
      </c>
      <c r="AX520" s="128">
        <f>SUM(BA520,BM520,CU520)</f>
        <v>1</v>
      </c>
      <c r="AY520" s="128">
        <f>SUM(BB520,BN520,CV520)</f>
        <v>307.69230769230478</v>
      </c>
      <c r="AZ520" s="128">
        <f>IF(BA520&gt;0,1,0)</f>
        <v>1</v>
      </c>
      <c r="BA520" s="128">
        <f>SUM(BC520+BF520+BI520)</f>
        <v>1</v>
      </c>
      <c r="BB520" s="128">
        <f>SUM(BE520,BH520,BK520)</f>
        <v>307.69230769230478</v>
      </c>
      <c r="BC520" s="130">
        <f>IF(BD520&gt;0,1,0)</f>
        <v>0</v>
      </c>
      <c r="BD520" s="128">
        <f>VLOOKUP($E520,[2]Current!$A:$AC,26,FALSE)</f>
        <v>0</v>
      </c>
      <c r="BE520" s="128">
        <f>BD520/$AS520</f>
        <v>0</v>
      </c>
      <c r="BF520" s="130">
        <f>IF(BG520&gt;0,1,0)</f>
        <v>1</v>
      </c>
      <c r="BG520" s="137">
        <f>VLOOKUP($E520,[2]Current!$A:$AC,27,FALSE)</f>
        <v>4</v>
      </c>
      <c r="BH520" s="128">
        <f>BG520/$AS520</f>
        <v>307.69230769230478</v>
      </c>
      <c r="BI520" s="130">
        <f>IF(BJ520&gt;0,1,0)</f>
        <v>0</v>
      </c>
      <c r="BJ520" s="128">
        <f>VLOOKUP($E520,[2]Current!$A:$AC,28,FALSE)</f>
        <v>0</v>
      </c>
      <c r="BK520" s="128">
        <f>BJ520/$AS520</f>
        <v>0</v>
      </c>
      <c r="BL520" s="128">
        <f>IF(BM520&gt;0,1,0)</f>
        <v>0</v>
      </c>
      <c r="BM520" s="128">
        <f>SUM(BR520,BU520,BX520,CA520,CD520)</f>
        <v>0</v>
      </c>
      <c r="BN520" s="131">
        <f>SUM(BT520,BW520,BZ520,CC520,CF520)</f>
        <v>0</v>
      </c>
      <c r="BO520" s="128">
        <f>IF(BP520&gt;0,1,0)</f>
        <v>0</v>
      </c>
      <c r="BP520" s="128">
        <f>BM520+CJ520</f>
        <v>0</v>
      </c>
      <c r="BQ520" s="128">
        <f>BN520+CL520</f>
        <v>0</v>
      </c>
      <c r="BR520" s="130">
        <f>IF(BS520&gt;0,1,0)</f>
        <v>0</v>
      </c>
      <c r="BS520" s="128">
        <f>VLOOKUP($E520,[2]Current!$A:$AC,12,FALSE)</f>
        <v>0</v>
      </c>
      <c r="BT520" s="137">
        <f>BS520/$AS520</f>
        <v>0</v>
      </c>
      <c r="BU520" s="130">
        <f>IF(BV520&gt;0,1,0)</f>
        <v>0</v>
      </c>
      <c r="BV520" s="128">
        <f>VLOOKUP($E520,[2]Current!$A:$AC,13,FALSE)</f>
        <v>0</v>
      </c>
      <c r="BW520" s="128">
        <f>BV520/$AS520</f>
        <v>0</v>
      </c>
      <c r="BX520" s="130">
        <f>IF(BY520&gt;0,1,0)</f>
        <v>0</v>
      </c>
      <c r="BY520" s="128">
        <f>VLOOKUP($E520,[2]Current!$A:$AC,14,FALSE)</f>
        <v>0</v>
      </c>
      <c r="BZ520" s="128">
        <f>BY520/$AS520</f>
        <v>0</v>
      </c>
      <c r="CA520" s="130">
        <f>IF(CB520&gt;0,1,0)</f>
        <v>0</v>
      </c>
      <c r="CB520" s="128">
        <f>VLOOKUP($E520,[2]Current!$A:$AC,15,FALSE)</f>
        <v>0</v>
      </c>
      <c r="CC520" s="128">
        <f>CB520/$AS520</f>
        <v>0</v>
      </c>
      <c r="CD520" s="174">
        <f>IF(CE520&gt;0,1,0)</f>
        <v>0</v>
      </c>
      <c r="CE520" s="128">
        <f>VLOOKUP($E520,[2]Current!$A:$AC,16,FALSE)</f>
        <v>0</v>
      </c>
      <c r="CF520" s="128">
        <f>CE520/$AS520</f>
        <v>0</v>
      </c>
      <c r="CG520" s="18"/>
      <c r="CH520" s="18"/>
      <c r="CI520" s="18"/>
      <c r="CJ520" s="130">
        <f>IF(CK520&gt;0,1,0)</f>
        <v>0</v>
      </c>
      <c r="CK520" s="128">
        <f>VLOOKUP($E520,[2]Current!$A:$AC,18,FALSE)</f>
        <v>0</v>
      </c>
      <c r="CL520" s="128">
        <f>CK520/$AS520</f>
        <v>0</v>
      </c>
      <c r="CS520" s="130">
        <f>IF(CU520&gt;0,1,0)</f>
        <v>0</v>
      </c>
      <c r="CU520" s="128">
        <f>VLOOKUP($E520,[2]Current!$A:$AC,17,FALSE)</f>
        <v>0</v>
      </c>
      <c r="CV520" s="128">
        <f>CU520/$AS520</f>
        <v>0</v>
      </c>
      <c r="CW520" s="18"/>
      <c r="CX520" s="18"/>
      <c r="CY520" s="18"/>
      <c r="DF520" s="16" t="e">
        <f>VLOOKUP(K520,'[3]RNA Seq summary tables'!$V$3:$V$99,1,FALSE)</f>
        <v>#N/A</v>
      </c>
      <c r="DG520" s="126" t="s">
        <v>116</v>
      </c>
    </row>
    <row r="521" spans="2:288" ht="16" x14ac:dyDescent="0.2">
      <c r="B521" s="16">
        <v>2018</v>
      </c>
      <c r="C521" s="124">
        <v>43296</v>
      </c>
      <c r="D521" t="s">
        <v>998</v>
      </c>
      <c r="E521" s="142" t="str">
        <f>CONCATENATE(T521,"-",U521,"-",C521)</f>
        <v>PO1-H8-43296</v>
      </c>
      <c r="F521" s="16" t="s">
        <v>227</v>
      </c>
      <c r="G521" s="126" t="s">
        <v>107</v>
      </c>
      <c r="H521" s="126" t="s">
        <v>1085</v>
      </c>
      <c r="J521" s="126">
        <v>1406</v>
      </c>
      <c r="K521" s="126">
        <v>2640</v>
      </c>
      <c r="O521" s="126" t="s">
        <v>119</v>
      </c>
      <c r="P521" s="18" t="s">
        <v>119</v>
      </c>
      <c r="Q521" s="18">
        <v>0</v>
      </c>
      <c r="R521" s="18">
        <f>IF(J521=J520,C521-C520,"")</f>
        <v>13</v>
      </c>
      <c r="T521" s="126" t="s">
        <v>112</v>
      </c>
      <c r="U521" s="126" t="s">
        <v>152</v>
      </c>
      <c r="V521" s="126" t="s">
        <v>142</v>
      </c>
      <c r="X521" s="126" t="s">
        <v>115</v>
      </c>
      <c r="Y521" s="126" t="s">
        <v>110</v>
      </c>
      <c r="Z521" s="126">
        <v>3</v>
      </c>
      <c r="AA521" s="126"/>
      <c r="AB521" s="126"/>
      <c r="AC521" s="126"/>
      <c r="AD521" s="126" t="s">
        <v>116</v>
      </c>
      <c r="AE521" s="126" t="s">
        <v>116</v>
      </c>
      <c r="AG521" s="40">
        <f>AH521-AI521</f>
        <v>80</v>
      </c>
      <c r="AH521" s="126">
        <v>157</v>
      </c>
      <c r="AI521" s="126">
        <v>77</v>
      </c>
      <c r="AK521" s="126">
        <v>16</v>
      </c>
      <c r="AL521" s="126">
        <v>1</v>
      </c>
      <c r="AM521" s="126">
        <v>0</v>
      </c>
      <c r="AN521" s="126">
        <v>0</v>
      </c>
      <c r="AO521" s="16">
        <f>IF(SUM(AL521:AN521)&gt;0,1,0)</f>
        <v>1</v>
      </c>
      <c r="AP521" s="18">
        <f>SUM(AL521:AN521)</f>
        <v>1</v>
      </c>
      <c r="AR521" s="16">
        <v>0.23400000000000021</v>
      </c>
      <c r="AS521" s="16">
        <f>VLOOKUP(E521,'[1]Feces weights'!$D$1:$H$459,5,FALSE)</f>
        <v>0.23400000000000021</v>
      </c>
      <c r="AT521" s="16" t="e">
        <f>VLOOKUP(E521,[2]Current!$A$1:$W$435,7,FALSE)</f>
        <v>#N/A</v>
      </c>
      <c r="AU521" s="16">
        <v>0</v>
      </c>
      <c r="BG521" s="77"/>
      <c r="BN521" s="126"/>
      <c r="BT521" s="78"/>
      <c r="BU521" s="18"/>
      <c r="BV521" s="18"/>
      <c r="BW521" s="25"/>
      <c r="BX521" s="18"/>
      <c r="BY521" s="18"/>
      <c r="BZ521" s="25"/>
      <c r="CA521" s="18"/>
      <c r="CB521" s="18"/>
      <c r="CC521" s="25"/>
      <c r="CD521" s="78"/>
      <c r="CE521" s="18"/>
      <c r="CF521" s="25"/>
      <c r="CG521" s="18"/>
      <c r="CH521" s="18"/>
      <c r="CI521" s="18"/>
      <c r="CJ521" s="18"/>
      <c r="CK521" s="18"/>
      <c r="CL521" s="25"/>
      <c r="DF521" s="16" t="e">
        <f>VLOOKUP(K521,'[3]RNA Seq summary tables'!$V$3:$V$99,1,FALSE)</f>
        <v>#N/A</v>
      </c>
      <c r="DG521" s="126" t="s">
        <v>116</v>
      </c>
    </row>
    <row r="522" spans="2:288" ht="16" x14ac:dyDescent="0.2">
      <c r="B522" s="16">
        <v>2018</v>
      </c>
      <c r="C522" s="147">
        <v>43315</v>
      </c>
      <c r="D522" t="s">
        <v>1247</v>
      </c>
      <c r="E522" s="20" t="str">
        <f>CONCATENATE(T522,"-",U522,"-",C522)</f>
        <v>PO1-A2-43315</v>
      </c>
      <c r="F522" s="16" t="s">
        <v>227</v>
      </c>
      <c r="G522" s="145" t="s">
        <v>107</v>
      </c>
      <c r="H522" s="145" t="s">
        <v>1142</v>
      </c>
      <c r="I522" s="145"/>
      <c r="J522" s="145">
        <v>1406</v>
      </c>
      <c r="K522" s="145">
        <v>2746</v>
      </c>
      <c r="M522" s="16"/>
      <c r="N522" s="16"/>
      <c r="O522" s="145" t="s">
        <v>119</v>
      </c>
      <c r="P522" s="18" t="s">
        <v>119</v>
      </c>
      <c r="Q522" s="18">
        <v>0</v>
      </c>
      <c r="R522" s="18">
        <f>IF(J522=J521,C522-C521,"")</f>
        <v>19</v>
      </c>
      <c r="S522" s="145"/>
      <c r="T522" s="145" t="s">
        <v>112</v>
      </c>
      <c r="U522" s="145" t="s">
        <v>171</v>
      </c>
      <c r="V522" s="145" t="s">
        <v>142</v>
      </c>
      <c r="W522" s="145"/>
      <c r="X522" s="145" t="s">
        <v>115</v>
      </c>
      <c r="Y522" s="145" t="s">
        <v>110</v>
      </c>
      <c r="Z522" s="145">
        <v>3</v>
      </c>
      <c r="AA522" s="145"/>
      <c r="AB522" s="145"/>
      <c r="AC522" s="145"/>
      <c r="AD522" s="145"/>
      <c r="AE522" s="145" t="s">
        <v>116</v>
      </c>
      <c r="AF522" s="145" t="s">
        <v>116</v>
      </c>
      <c r="AG522" s="145">
        <f>AH522-AI522</f>
        <v>88</v>
      </c>
      <c r="AH522" s="145">
        <v>165</v>
      </c>
      <c r="AI522" s="145">
        <v>77</v>
      </c>
      <c r="AJ522" s="145"/>
      <c r="AK522" s="145">
        <v>15</v>
      </c>
      <c r="AL522" s="145">
        <v>0</v>
      </c>
      <c r="AM522" s="145">
        <v>0</v>
      </c>
      <c r="AN522" s="145">
        <v>0</v>
      </c>
      <c r="AO522" s="16">
        <f>IF(SUM(AL522:AN522)&gt;0, 1,0)</f>
        <v>0</v>
      </c>
      <c r="AP522" s="16">
        <f>SUM(AL522:AN522)</f>
        <v>0</v>
      </c>
      <c r="AS522" s="16">
        <f>VLOOKUP(E522,'[1]Feces weights'!$D$1:$H$459,5,FALSE)</f>
        <v>0.3470000000000002</v>
      </c>
      <c r="AT522" s="16" t="e">
        <f>VLOOKUP(E522,[2]Current!$A$1:$W$435,7,FALSE)</f>
        <v>#N/A</v>
      </c>
      <c r="BG522" s="77"/>
      <c r="BT522" s="77"/>
      <c r="CD522" s="77"/>
      <c r="DG522" s="145" t="s">
        <v>123</v>
      </c>
      <c r="DT522" s="145" t="s">
        <v>123</v>
      </c>
      <c r="DU522" s="145"/>
      <c r="DX522" s="145"/>
      <c r="DY522" s="145"/>
      <c r="DZ522" s="16"/>
      <c r="EA522" s="16"/>
      <c r="EB522" s="16"/>
      <c r="EC522" s="16"/>
      <c r="ED522" s="16"/>
      <c r="EE522" s="16"/>
      <c r="EF522" s="16"/>
      <c r="JO522" s="18"/>
      <c r="JP522" s="18"/>
      <c r="JQ522" s="18"/>
      <c r="JR522" s="18"/>
      <c r="JS522" s="18"/>
      <c r="JT522" s="18"/>
      <c r="JU522" s="18"/>
      <c r="JV522" s="18"/>
      <c r="JW522" s="18"/>
      <c r="JX522" s="18"/>
      <c r="JY522" s="18"/>
      <c r="JZ522" s="18"/>
      <c r="KA522" s="18"/>
    </row>
    <row r="523" spans="2:288" ht="16" x14ac:dyDescent="0.2">
      <c r="B523" s="16">
        <v>2018</v>
      </c>
      <c r="C523" s="124">
        <v>43230</v>
      </c>
      <c r="D523" t="s">
        <v>692</v>
      </c>
      <c r="E523" s="37" t="str">
        <f>CONCATENATE(T523,"-",U523,"-",C523)</f>
        <v>PO1-C1-43230</v>
      </c>
      <c r="F523" s="16" t="s">
        <v>227</v>
      </c>
      <c r="G523" s="126" t="s">
        <v>107</v>
      </c>
      <c r="H523" s="126"/>
      <c r="J523" s="127">
        <v>1408</v>
      </c>
      <c r="K523" s="126">
        <v>2330</v>
      </c>
      <c r="O523" s="126" t="s">
        <v>119</v>
      </c>
      <c r="P523" s="18" t="s">
        <v>119</v>
      </c>
      <c r="Q523" s="18">
        <v>0</v>
      </c>
      <c r="R523" s="18" t="str">
        <f>IF(J523=J522,C523-C522,"")</f>
        <v/>
      </c>
      <c r="T523" s="126" t="s">
        <v>112</v>
      </c>
      <c r="U523" s="126" t="s">
        <v>150</v>
      </c>
      <c r="V523" s="131" t="s">
        <v>114</v>
      </c>
      <c r="X523" s="126" t="s">
        <v>115</v>
      </c>
      <c r="Y523" s="126" t="s">
        <v>122</v>
      </c>
      <c r="Z523" s="126">
        <v>2.9</v>
      </c>
      <c r="AA523" s="126"/>
      <c r="AB523" s="126"/>
      <c r="AC523" s="126"/>
      <c r="AD523" s="126"/>
      <c r="AE523" s="126" t="s">
        <v>123</v>
      </c>
      <c r="AG523" s="16">
        <f>AH523-AI523</f>
        <v>86</v>
      </c>
      <c r="AH523" s="126">
        <v>170</v>
      </c>
      <c r="AI523" s="126">
        <v>84</v>
      </c>
      <c r="AK523" s="125"/>
      <c r="AL523" s="126">
        <v>1</v>
      </c>
      <c r="AM523" s="126">
        <v>0</v>
      </c>
      <c r="AN523" s="126">
        <v>0</v>
      </c>
      <c r="AO523" s="16">
        <f>IF(SUM(AL523:AN523)&gt;0,1,0)</f>
        <v>1</v>
      </c>
      <c r="AP523" s="18">
        <f>SUM(AL523:AN523)</f>
        <v>1</v>
      </c>
      <c r="AR523" s="16">
        <v>8.8000000000000078E-2</v>
      </c>
      <c r="AS523" s="16">
        <f>VLOOKUP(E523,'[1]Feces weights'!$D$1:$H$459,5,FALSE)</f>
        <v>8.8000000000000078E-2</v>
      </c>
      <c r="AT523" s="16" t="str">
        <f>VLOOKUP(E523,[9]Current!$A:$T,7,FALSE)</f>
        <v>TE</v>
      </c>
      <c r="AU523" s="18" t="s">
        <v>1290</v>
      </c>
      <c r="AW523" s="177">
        <f>IF(AY523&gt;0,1,0)</f>
        <v>1</v>
      </c>
      <c r="AX523" s="177">
        <f>SUM(BA523,BM523,CU523)</f>
        <v>2</v>
      </c>
      <c r="AY523" s="177">
        <f>SUM(BB523,BN523,CV523)</f>
        <v>159.09090909090895</v>
      </c>
      <c r="AZ523" s="177">
        <f>IF(BB523&gt;0,1,0)</f>
        <v>1</v>
      </c>
      <c r="BA523" s="177">
        <f>SUM(BC523+BF523+BI523)</f>
        <v>1</v>
      </c>
      <c r="BB523" s="177">
        <f>SUM(BE523,BH523,BK523)</f>
        <v>56.81818181818177</v>
      </c>
      <c r="BC523" s="178">
        <f>IF(BD523&gt;0,1,0)</f>
        <v>1</v>
      </c>
      <c r="BD523" s="177">
        <f>VLOOKUP($E523,[9]Current!$1:$1048576,8,FALSE)</f>
        <v>5</v>
      </c>
      <c r="BE523" s="177">
        <f>BD523/$AS523</f>
        <v>56.81818181818177</v>
      </c>
      <c r="BF523" s="178">
        <f>IF(BG523&gt;0,1,0)</f>
        <v>0</v>
      </c>
      <c r="BG523" s="179">
        <f>VLOOKUP($E523,[9]Current!$1:$1048576,9,FALSE)</f>
        <v>0</v>
      </c>
      <c r="BH523" s="177">
        <f>BG523/$AS523</f>
        <v>0</v>
      </c>
      <c r="BI523" s="178">
        <f>IF(BJ523&gt;0,1,0)</f>
        <v>0</v>
      </c>
      <c r="BJ523" s="177">
        <f>VLOOKUP($E523,[9]Current!$1:$1048576,10,FALSE)</f>
        <v>0</v>
      </c>
      <c r="BK523" s="177">
        <f>BJ523/$AS523</f>
        <v>0</v>
      </c>
      <c r="BL523" s="177">
        <f>IF(BM523&gt;0,1,0)</f>
        <v>1</v>
      </c>
      <c r="BM523" s="177">
        <f>SUM(BR523,BU523,BX523,CA523,CD523)</f>
        <v>1</v>
      </c>
      <c r="BN523" s="181">
        <f>SUM(BT523,BW523,BZ523,CC523,CF523)</f>
        <v>102.27272727272718</v>
      </c>
      <c r="BO523" s="177">
        <f>IF(BP523&gt;0,1,0)</f>
        <v>1</v>
      </c>
      <c r="BP523" s="177">
        <f>BM523+CJ523</f>
        <v>1</v>
      </c>
      <c r="BQ523" s="177">
        <f>BN523+CL523</f>
        <v>102.27272727272718</v>
      </c>
      <c r="BR523" s="178">
        <f>IF(BS523&gt;0,1,0)</f>
        <v>0</v>
      </c>
      <c r="BS523" s="177">
        <f>VLOOKUP($E523,[9]Current!$1:$1048576,12,FALSE)</f>
        <v>0</v>
      </c>
      <c r="BT523" s="179">
        <f>BS523/$AS523</f>
        <v>0</v>
      </c>
      <c r="BU523" s="178">
        <f>IF(BV523&gt;0,1,0)</f>
        <v>0</v>
      </c>
      <c r="BV523" s="177">
        <f>VLOOKUP($E523,[9]Current!$1:$1048576,13,FALSE)</f>
        <v>0</v>
      </c>
      <c r="BW523" s="177">
        <f>BV523/$AS523</f>
        <v>0</v>
      </c>
      <c r="BX523" s="178">
        <f>IF(BY523&gt;0,1,0)</f>
        <v>1</v>
      </c>
      <c r="BY523" s="177">
        <f>VLOOKUP($E523,[9]Current!$1:$1048576,14,FALSE)</f>
        <v>9</v>
      </c>
      <c r="BZ523" s="177">
        <f>BY523/$AS523</f>
        <v>102.27272727272718</v>
      </c>
      <c r="CA523" s="178">
        <f>IF(CB523&gt;0,1,0)</f>
        <v>0</v>
      </c>
      <c r="CB523" s="177">
        <f>VLOOKUP($E523,[9]Current!$1:$1048576,15,FALSE)</f>
        <v>0</v>
      </c>
      <c r="CC523" s="177">
        <f>CB523/$AS523</f>
        <v>0</v>
      </c>
      <c r="CD523" s="180">
        <f>IF(CE523&gt;0,1,0)</f>
        <v>0</v>
      </c>
      <c r="CE523" s="177">
        <f>VLOOKUP($E523,[9]Current!$1:$1048576,16,FALSE)</f>
        <v>0</v>
      </c>
      <c r="CF523" s="177">
        <f>CE523/$AS523</f>
        <v>0</v>
      </c>
      <c r="CG523" s="18"/>
      <c r="CH523" s="18"/>
      <c r="CI523" s="18"/>
      <c r="CJ523" s="178">
        <f>IF(CK523&gt;0,1,0)</f>
        <v>0</v>
      </c>
      <c r="CK523" s="177">
        <f>VLOOKUP($E523,[9]Current!$1:$1048576,18,FALSE)</f>
        <v>0</v>
      </c>
      <c r="CL523" s="177">
        <f>CK523/$AS523</f>
        <v>0</v>
      </c>
      <c r="CS523" s="178">
        <f>IF(CU523&gt;0,1,0)</f>
        <v>0</v>
      </c>
      <c r="CT523" s="177"/>
      <c r="CU523" s="177">
        <f>VLOOKUP($E523,[9]Current!$1:$1048576,17,FALSE)</f>
        <v>0</v>
      </c>
      <c r="CV523" s="177">
        <f>CU523/$AS523</f>
        <v>0</v>
      </c>
      <c r="DF523" s="16" t="e">
        <f>VLOOKUP(K523,'[3]RNA Seq summary tables'!$V$3:$V$99,1,FALSE)</f>
        <v>#N/A</v>
      </c>
      <c r="DG523" s="126" t="s">
        <v>116</v>
      </c>
    </row>
    <row r="524" spans="2:288" ht="16" x14ac:dyDescent="0.2">
      <c r="B524" s="16">
        <v>2018</v>
      </c>
      <c r="C524" s="124">
        <v>43250</v>
      </c>
      <c r="D524" t="s">
        <v>755</v>
      </c>
      <c r="E524" s="142" t="str">
        <f>CONCATENATE(T524,"-",U524,"-",C524)</f>
        <v>PO1-A4-43250</v>
      </c>
      <c r="F524" s="16" t="s">
        <v>227</v>
      </c>
      <c r="G524" s="126" t="s">
        <v>107</v>
      </c>
      <c r="H524" s="126"/>
      <c r="J524" s="127">
        <v>1408</v>
      </c>
      <c r="K524" s="126">
        <v>2393</v>
      </c>
      <c r="O524" s="126" t="s">
        <v>119</v>
      </c>
      <c r="P524" s="18" t="s">
        <v>119</v>
      </c>
      <c r="Q524" s="18">
        <v>0</v>
      </c>
      <c r="R524" s="18">
        <f>IF(J524=J523,C524-C523,"")</f>
        <v>20</v>
      </c>
      <c r="T524" s="126" t="s">
        <v>112</v>
      </c>
      <c r="U524" s="126" t="s">
        <v>134</v>
      </c>
      <c r="V524" s="131" t="s">
        <v>142</v>
      </c>
      <c r="X524" s="126" t="s">
        <v>115</v>
      </c>
      <c r="Y524" s="126" t="s">
        <v>110</v>
      </c>
      <c r="Z524" s="126">
        <v>3</v>
      </c>
      <c r="AA524" s="126"/>
      <c r="AB524" s="126"/>
      <c r="AC524" s="126"/>
      <c r="AD524" s="126"/>
      <c r="AE524" s="126" t="s">
        <v>116</v>
      </c>
      <c r="AG524" s="16">
        <f>AH524-AI524</f>
        <v>77</v>
      </c>
      <c r="AH524" s="126">
        <v>166</v>
      </c>
      <c r="AI524" s="126">
        <v>89</v>
      </c>
      <c r="AK524" s="126">
        <v>16</v>
      </c>
      <c r="AL524" s="126">
        <v>1</v>
      </c>
      <c r="AM524" s="126">
        <v>0</v>
      </c>
      <c r="AN524" s="126">
        <v>0</v>
      </c>
      <c r="AO524" s="16">
        <f>IF(SUM(AL524:AN524)&gt;0,1,0)</f>
        <v>1</v>
      </c>
      <c r="AP524" s="18">
        <f>SUM(AL524:AN524)</f>
        <v>1</v>
      </c>
      <c r="AR524" s="16">
        <v>0.44800000000000018</v>
      </c>
      <c r="AS524" s="16">
        <f>VLOOKUP(E524,'[1]Feces weights'!$D$1:$H$459,5,FALSE)</f>
        <v>0.44800000000000018</v>
      </c>
      <c r="AT524" s="16" t="e">
        <f>VLOOKUP(E524,[2]Current!$A$1:$W$435,7,FALSE)</f>
        <v>#N/A</v>
      </c>
      <c r="AU524" s="16">
        <v>0</v>
      </c>
      <c r="BG524" s="77"/>
      <c r="BN524" s="126"/>
      <c r="BT524" s="78"/>
      <c r="BV524" s="18"/>
      <c r="BW524" s="25"/>
      <c r="BY524" s="18"/>
      <c r="BZ524" s="25"/>
      <c r="CB524" s="18"/>
      <c r="CC524" s="25"/>
      <c r="CD524" s="77"/>
      <c r="CE524" s="18"/>
      <c r="CF524" s="25"/>
      <c r="CG524" s="18"/>
      <c r="CH524" s="18"/>
      <c r="CI524" s="18"/>
      <c r="CK524" s="18"/>
      <c r="CL524" s="25"/>
      <c r="DF524" s="16" t="e">
        <f>VLOOKUP(K524,'[3]RNA Seq summary tables'!$V$3:$V$99,1,FALSE)</f>
        <v>#N/A</v>
      </c>
      <c r="DG524" s="126" t="s">
        <v>123</v>
      </c>
    </row>
    <row r="525" spans="2:288" ht="16" x14ac:dyDescent="0.2">
      <c r="B525" s="16">
        <v>2018</v>
      </c>
      <c r="C525" s="124">
        <v>43296</v>
      </c>
      <c r="D525" t="s">
        <v>984</v>
      </c>
      <c r="E525" s="37" t="str">
        <f>CONCATENATE(T525,"-",U525,"-",C525)</f>
        <v>PO1-A3-43296</v>
      </c>
      <c r="F525" s="16" t="s">
        <v>227</v>
      </c>
      <c r="G525" s="126" t="s">
        <v>107</v>
      </c>
      <c r="H525" s="126" t="s">
        <v>1142</v>
      </c>
      <c r="J525" s="126">
        <v>1408</v>
      </c>
      <c r="K525" s="126">
        <v>2631</v>
      </c>
      <c r="O525" s="126" t="s">
        <v>119</v>
      </c>
      <c r="P525" s="18" t="s">
        <v>119</v>
      </c>
      <c r="Q525" s="18">
        <v>0</v>
      </c>
      <c r="R525" s="18">
        <f>IF(J525=J524,C525-C524,"")</f>
        <v>46</v>
      </c>
      <c r="T525" s="126" t="s">
        <v>112</v>
      </c>
      <c r="U525" s="126" t="s">
        <v>201</v>
      </c>
      <c r="V525" s="126" t="s">
        <v>142</v>
      </c>
      <c r="X525" s="126" t="s">
        <v>115</v>
      </c>
      <c r="Y525" s="126" t="s">
        <v>110</v>
      </c>
      <c r="Z525" s="126">
        <v>3</v>
      </c>
      <c r="AA525" s="126"/>
      <c r="AB525" s="126"/>
      <c r="AC525" s="126"/>
      <c r="AD525" s="126"/>
      <c r="AE525" s="126" t="s">
        <v>116</v>
      </c>
      <c r="AG525" s="40">
        <f>AH525-AI525</f>
        <v>79</v>
      </c>
      <c r="AH525" s="126">
        <v>167</v>
      </c>
      <c r="AI525" s="126">
        <v>88</v>
      </c>
      <c r="AK525" s="126">
        <v>15</v>
      </c>
      <c r="AL525" s="126">
        <v>0</v>
      </c>
      <c r="AM525" s="126">
        <v>0</v>
      </c>
      <c r="AN525" s="126">
        <v>0</v>
      </c>
      <c r="AO525" s="16">
        <f>IF(SUM(AL525:AN525)&gt;0,1,0)</f>
        <v>0</v>
      </c>
      <c r="AP525" s="18">
        <f>SUM(AL525:AN525)</f>
        <v>0</v>
      </c>
      <c r="AQ525" s="16" t="s">
        <v>1278</v>
      </c>
      <c r="AT525" s="16" t="str">
        <f>VLOOKUP(E525,[2]Current!$A$1:$W$435,7,FALSE)</f>
        <v>IS</v>
      </c>
      <c r="AU525" s="16" t="s">
        <v>1288</v>
      </c>
      <c r="AV525" s="23"/>
      <c r="AW525" s="128">
        <f>IF(AX525&gt;0,1,0)</f>
        <v>1</v>
      </c>
      <c r="AX525" s="128">
        <f>SUM(BA525,BM525,CU525)</f>
        <v>1</v>
      </c>
      <c r="AY525" s="128"/>
      <c r="AZ525" s="128">
        <f>IF(BA525&gt;0,1,0)</f>
        <v>0</v>
      </c>
      <c r="BA525" s="128">
        <f>SUM(BC525+BF525+BI525)</f>
        <v>0</v>
      </c>
      <c r="BB525" s="128"/>
      <c r="BC525" s="130">
        <f>IF(BD525&gt;0,1,0)</f>
        <v>0</v>
      </c>
      <c r="BD525" s="128">
        <f>VLOOKUP($E525,[2]Current!$A:$AC,26,FALSE)</f>
        <v>0</v>
      </c>
      <c r="BE525" s="128"/>
      <c r="BF525" s="130">
        <f>IF(BG525&gt;0,1,0)</f>
        <v>0</v>
      </c>
      <c r="BG525" s="137">
        <f>VLOOKUP($E525,[2]Current!$A:$AC,27,FALSE)</f>
        <v>0</v>
      </c>
      <c r="BH525" s="128"/>
      <c r="BI525" s="130">
        <f>IF(BJ525&gt;0,1,0)</f>
        <v>0</v>
      </c>
      <c r="BJ525" s="128">
        <f>VLOOKUP($E525,[2]Current!$A:$AC,28,FALSE)</f>
        <v>0</v>
      </c>
      <c r="BK525" s="128"/>
      <c r="BL525" s="128">
        <f>IF(BM525&gt;0,1,0)</f>
        <v>1</v>
      </c>
      <c r="BM525" s="128">
        <f>SUM(BR525,BU525,BX525,CA525,CD525)</f>
        <v>1</v>
      </c>
      <c r="BN525" s="131"/>
      <c r="BO525" s="128">
        <f>IF(BP525&gt;0,1,0)</f>
        <v>1</v>
      </c>
      <c r="BP525" s="128">
        <f>BM525+CJ525</f>
        <v>1</v>
      </c>
      <c r="BQ525" s="128"/>
      <c r="BR525" s="130">
        <f>IF(BS525&gt;0,1,0)</f>
        <v>0</v>
      </c>
      <c r="BS525" s="128">
        <f>VLOOKUP($E525,[2]Current!$A:$AC,12,FALSE)</f>
        <v>0</v>
      </c>
      <c r="BT525" s="137"/>
      <c r="BU525" s="130">
        <f>IF(BV525&gt;0,1,0)</f>
        <v>0</v>
      </c>
      <c r="BV525" s="128">
        <f>VLOOKUP($E525,[2]Current!$A:$AC,13,FALSE)</f>
        <v>0</v>
      </c>
      <c r="BW525" s="128"/>
      <c r="BX525" s="130">
        <f>IF(BY525&gt;0,1,0)</f>
        <v>1</v>
      </c>
      <c r="BY525" s="128">
        <f>VLOOKUP($E525,[2]Current!$A:$AC,14,FALSE)</f>
        <v>1</v>
      </c>
      <c r="BZ525" s="128"/>
      <c r="CA525" s="130">
        <f>IF(CB525&gt;0,1,0)</f>
        <v>0</v>
      </c>
      <c r="CB525" s="128">
        <f>VLOOKUP($E525,[2]Current!$A:$AC,15,FALSE)</f>
        <v>0</v>
      </c>
      <c r="CC525" s="128"/>
      <c r="CD525" s="174">
        <f>IF(CE525&gt;0,1,0)</f>
        <v>0</v>
      </c>
      <c r="CE525" s="128">
        <f>VLOOKUP($E525,[2]Current!$A:$AC,16,FALSE)</f>
        <v>0</v>
      </c>
      <c r="CF525" s="128"/>
      <c r="CG525" s="18"/>
      <c r="CH525" s="18"/>
      <c r="CI525" s="18"/>
      <c r="CJ525" s="130">
        <f>IF(CK525&gt;0,1,0)</f>
        <v>0</v>
      </c>
      <c r="CK525" s="128">
        <f>VLOOKUP($E525,[2]Current!$A:$AC,18,FALSE)</f>
        <v>0</v>
      </c>
      <c r="CL525" s="128"/>
      <c r="CS525" s="130">
        <f>IF(CU525&gt;0,1,0)</f>
        <v>0</v>
      </c>
      <c r="CU525" s="128">
        <f>VLOOKUP($E525,[2]Current!$A:$AC,17,FALSE)</f>
        <v>0</v>
      </c>
      <c r="CV525" s="128"/>
      <c r="CW525" s="18"/>
      <c r="CX525" s="18"/>
      <c r="CY525" s="18"/>
      <c r="DF525" s="16" t="e">
        <f>VLOOKUP(K525,'[3]RNA Seq summary tables'!$V$3:$V$99,1,FALSE)</f>
        <v>#N/A</v>
      </c>
      <c r="DG525" s="126" t="s">
        <v>116</v>
      </c>
    </row>
    <row r="526" spans="2:288" ht="16" x14ac:dyDescent="0.2">
      <c r="B526" s="16">
        <v>2018</v>
      </c>
      <c r="C526" s="147">
        <v>43316</v>
      </c>
      <c r="D526" t="s">
        <v>1259</v>
      </c>
      <c r="E526" s="20" t="str">
        <f>CONCATENATE(T526,"-",U526,"-",C526)</f>
        <v>PO1-A3-43316</v>
      </c>
      <c r="F526" s="16" t="s">
        <v>227</v>
      </c>
      <c r="G526" s="145" t="s">
        <v>107</v>
      </c>
      <c r="H526" s="145" t="s">
        <v>1142</v>
      </c>
      <c r="I526" s="145"/>
      <c r="J526" s="145">
        <v>1408</v>
      </c>
      <c r="K526" s="145">
        <v>2757</v>
      </c>
      <c r="M526" s="16"/>
      <c r="N526" s="16"/>
      <c r="O526" s="145" t="s">
        <v>119</v>
      </c>
      <c r="P526" s="18" t="s">
        <v>119</v>
      </c>
      <c r="Q526" s="18">
        <v>0</v>
      </c>
      <c r="R526" s="18">
        <f>IF(J526=J525,C526-C525,"")</f>
        <v>20</v>
      </c>
      <c r="S526" s="145"/>
      <c r="T526" s="145" t="s">
        <v>112</v>
      </c>
      <c r="U526" s="145" t="s">
        <v>201</v>
      </c>
      <c r="V526" s="145" t="s">
        <v>142</v>
      </c>
      <c r="W526" s="145"/>
      <c r="X526" s="145" t="s">
        <v>115</v>
      </c>
      <c r="Y526" s="145" t="s">
        <v>110</v>
      </c>
      <c r="Z526" s="145">
        <v>3</v>
      </c>
      <c r="AA526" s="145"/>
      <c r="AB526" s="145"/>
      <c r="AC526" s="145"/>
      <c r="AD526" s="145"/>
      <c r="AE526" s="145" t="s">
        <v>123</v>
      </c>
      <c r="AF526" s="145" t="s">
        <v>123</v>
      </c>
      <c r="AG526" s="145">
        <f>AH526-AI526</f>
        <v>82</v>
      </c>
      <c r="AH526" s="145">
        <v>172</v>
      </c>
      <c r="AI526" s="145">
        <v>90</v>
      </c>
      <c r="AJ526" s="145"/>
      <c r="AK526" s="145">
        <v>15.5</v>
      </c>
      <c r="AL526" s="145">
        <v>0</v>
      </c>
      <c r="AM526" s="145">
        <v>0</v>
      </c>
      <c r="AN526" s="145">
        <v>0</v>
      </c>
      <c r="AO526" s="16">
        <f>IF(SUM(AL526:AN526)&gt;0, 1,0)</f>
        <v>0</v>
      </c>
      <c r="AP526" s="16">
        <f>SUM(AL526:AN526)</f>
        <v>0</v>
      </c>
      <c r="AS526" s="16">
        <f>VLOOKUP(E526,'[1]Feces weights'!$D$1:$H$459,5,FALSE)</f>
        <v>0.20500000000000007</v>
      </c>
      <c r="AT526" s="16" t="e">
        <f>VLOOKUP(E526,[2]Current!$A$1:$W$435,7,FALSE)</f>
        <v>#N/A</v>
      </c>
      <c r="BG526" s="77"/>
      <c r="BT526" s="77"/>
      <c r="CD526" s="77"/>
      <c r="DG526" s="145" t="s">
        <v>123</v>
      </c>
      <c r="DT526" s="145" t="s">
        <v>123</v>
      </c>
      <c r="DU526" s="145"/>
      <c r="DX526" s="145"/>
      <c r="DY526" s="145"/>
      <c r="DZ526" s="16"/>
      <c r="EA526" s="16"/>
      <c r="EB526" s="16"/>
      <c r="EC526" s="16"/>
      <c r="ED526" s="16"/>
      <c r="EE526" s="16"/>
      <c r="EF526" s="16"/>
      <c r="JO526" s="18"/>
      <c r="JP526" s="18"/>
      <c r="JQ526" s="18"/>
      <c r="JR526" s="18"/>
      <c r="JS526" s="18"/>
      <c r="JT526" s="18"/>
      <c r="JU526" s="18"/>
      <c r="JV526" s="18"/>
      <c r="JW526" s="18"/>
      <c r="JX526" s="18"/>
      <c r="JY526" s="18"/>
      <c r="JZ526" s="18"/>
      <c r="KA526" s="18"/>
    </row>
    <row r="527" spans="2:288" ht="16" x14ac:dyDescent="0.2">
      <c r="B527" s="16">
        <v>2018</v>
      </c>
      <c r="C527" s="124">
        <v>43231</v>
      </c>
      <c r="D527" t="s">
        <v>700</v>
      </c>
      <c r="E527" s="37" t="str">
        <f>CONCATENATE(T527,"-",U527,"-",C527)</f>
        <v>PO1-F1-43231</v>
      </c>
      <c r="F527" s="16" t="s">
        <v>227</v>
      </c>
      <c r="G527" s="126" t="s">
        <v>107</v>
      </c>
      <c r="H527" s="126"/>
      <c r="J527" s="126">
        <v>1410</v>
      </c>
      <c r="K527" s="126">
        <v>2335</v>
      </c>
      <c r="O527" s="126" t="s">
        <v>119</v>
      </c>
      <c r="P527" s="18" t="s">
        <v>119</v>
      </c>
      <c r="Q527" s="18">
        <v>0</v>
      </c>
      <c r="R527" s="18" t="str">
        <f>IF(J527=J526,C527-C526,"")</f>
        <v/>
      </c>
      <c r="T527" s="126" t="s">
        <v>112</v>
      </c>
      <c r="U527" s="126" t="s">
        <v>217</v>
      </c>
      <c r="V527" s="126" t="s">
        <v>114</v>
      </c>
      <c r="X527" s="126" t="s">
        <v>121</v>
      </c>
      <c r="Y527" s="126" t="s">
        <v>110</v>
      </c>
      <c r="Z527" s="126">
        <v>3</v>
      </c>
      <c r="AA527" s="126" t="s">
        <v>119</v>
      </c>
      <c r="AB527" s="126" t="s">
        <v>115</v>
      </c>
      <c r="AC527" s="126" t="s">
        <v>116</v>
      </c>
      <c r="AD527" s="126"/>
      <c r="AE527" s="126"/>
      <c r="AG527" s="16">
        <f>AH527-AI527</f>
        <v>88</v>
      </c>
      <c r="AH527" s="126">
        <v>166</v>
      </c>
      <c r="AI527" s="126">
        <v>78</v>
      </c>
      <c r="AK527" s="125">
        <v>18</v>
      </c>
      <c r="AL527" s="126">
        <v>0</v>
      </c>
      <c r="AM527" s="126">
        <v>0</v>
      </c>
      <c r="AN527" s="126">
        <v>0</v>
      </c>
      <c r="AO527" s="16">
        <f>IF(SUM(AL527:AN527)&gt;0,1,0)</f>
        <v>0</v>
      </c>
      <c r="AP527" s="18">
        <f>SUM(AL527:AN527)</f>
        <v>0</v>
      </c>
      <c r="AR527" s="16">
        <v>0.30400000000000005</v>
      </c>
      <c r="AS527" s="16">
        <f>VLOOKUP(E527,'[1]Feces weights'!$D$1:$H$459,5,FALSE)</f>
        <v>0.30400000000000005</v>
      </c>
      <c r="AT527" s="16" t="str">
        <f>VLOOKUP(E527,[9]Current!$A:$T,7,FALSE)</f>
        <v>TE</v>
      </c>
      <c r="AU527" s="18" t="s">
        <v>1290</v>
      </c>
      <c r="AW527" s="177">
        <f>IF(AY527&gt;0,1,0)</f>
        <v>1</v>
      </c>
      <c r="AX527" s="177">
        <f>SUM(BA527,BM527,CU527)</f>
        <v>1</v>
      </c>
      <c r="AY527" s="177">
        <f>SUM(BB527,BN527,CV527)</f>
        <v>105.26315789473682</v>
      </c>
      <c r="AZ527" s="177">
        <f>IF(BB527&gt;0,1,0)</f>
        <v>1</v>
      </c>
      <c r="BA527" s="177">
        <f>SUM(BC527+BF527+BI527)</f>
        <v>1</v>
      </c>
      <c r="BB527" s="177">
        <f>SUM(BE527,BH527,BK527)</f>
        <v>105.26315789473682</v>
      </c>
      <c r="BC527" s="178">
        <f>IF(BD527&gt;0,1,0)</f>
        <v>0</v>
      </c>
      <c r="BD527" s="177">
        <f>VLOOKUP($E527,[9]Current!$1:$1048576,8,FALSE)</f>
        <v>0</v>
      </c>
      <c r="BE527" s="177">
        <f>BD527/$AS527</f>
        <v>0</v>
      </c>
      <c r="BF527" s="178">
        <f>IF(BG527&gt;0,1,0)</f>
        <v>0</v>
      </c>
      <c r="BG527" s="179">
        <f>VLOOKUP($E527,[9]Current!$1:$1048576,9,FALSE)</f>
        <v>0</v>
      </c>
      <c r="BH527" s="177">
        <f>BG527/$AS527</f>
        <v>0</v>
      </c>
      <c r="BI527" s="178">
        <f>IF(BJ527&gt;0,1,0)</f>
        <v>1</v>
      </c>
      <c r="BJ527" s="177">
        <f>VLOOKUP($E527,[9]Current!$1:$1048576,10,FALSE)</f>
        <v>32</v>
      </c>
      <c r="BK527" s="177">
        <f>BJ527/$AS527</f>
        <v>105.26315789473682</v>
      </c>
      <c r="BL527" s="177">
        <f>IF(BM527&gt;0,1,0)</f>
        <v>0</v>
      </c>
      <c r="BM527" s="177">
        <f>SUM(BR527,BU527,BX527,CA527,CD527)</f>
        <v>0</v>
      </c>
      <c r="BN527" s="181">
        <f>SUM(BT527,BW527,BZ527,CC527,CF527)</f>
        <v>0</v>
      </c>
      <c r="BO527" s="177">
        <f>IF(BP527&gt;0,1,0)</f>
        <v>0</v>
      </c>
      <c r="BP527" s="177">
        <f>BM527+CJ527</f>
        <v>0</v>
      </c>
      <c r="BQ527" s="177">
        <f>BN527+CL527</f>
        <v>0</v>
      </c>
      <c r="BR527" s="178">
        <f>IF(BS527&gt;0,1,0)</f>
        <v>0</v>
      </c>
      <c r="BS527" s="177">
        <f>VLOOKUP($E527,[9]Current!$1:$1048576,12,FALSE)</f>
        <v>0</v>
      </c>
      <c r="BT527" s="179">
        <f>BS527/$AS527</f>
        <v>0</v>
      </c>
      <c r="BU527" s="178">
        <f>IF(BV527&gt;0,1,0)</f>
        <v>0</v>
      </c>
      <c r="BV527" s="177">
        <f>VLOOKUP($E527,[9]Current!$1:$1048576,13,FALSE)</f>
        <v>0</v>
      </c>
      <c r="BW527" s="177">
        <f>BV527/$AS527</f>
        <v>0</v>
      </c>
      <c r="BX527" s="178">
        <f>IF(BY527&gt;0,1,0)</f>
        <v>0</v>
      </c>
      <c r="BY527" s="177">
        <f>VLOOKUP($E527,[9]Current!$1:$1048576,14,FALSE)</f>
        <v>0</v>
      </c>
      <c r="BZ527" s="177">
        <f>BY527/$AS527</f>
        <v>0</v>
      </c>
      <c r="CA527" s="178">
        <f>IF(CB527&gt;0,1,0)</f>
        <v>0</v>
      </c>
      <c r="CB527" s="177">
        <f>VLOOKUP($E527,[9]Current!$1:$1048576,15,FALSE)</f>
        <v>0</v>
      </c>
      <c r="CC527" s="177">
        <f>CB527/$AS527</f>
        <v>0</v>
      </c>
      <c r="CD527" s="180">
        <f>IF(CE527&gt;0,1,0)</f>
        <v>0</v>
      </c>
      <c r="CE527" s="177">
        <f>VLOOKUP($E527,[9]Current!$1:$1048576,16,FALSE)</f>
        <v>0</v>
      </c>
      <c r="CF527" s="177">
        <f>CE527/$AS527</f>
        <v>0</v>
      </c>
      <c r="CG527" s="18"/>
      <c r="CH527" s="18"/>
      <c r="CI527" s="18"/>
      <c r="CJ527" s="178">
        <f>IF(CK527&gt;0,1,0)</f>
        <v>0</v>
      </c>
      <c r="CK527" s="177">
        <f>VLOOKUP($E527,[9]Current!$1:$1048576,18,FALSE)</f>
        <v>0</v>
      </c>
      <c r="CL527" s="177">
        <f>CK527/$AS527</f>
        <v>0</v>
      </c>
      <c r="CS527" s="178">
        <f>IF(CU527&gt;0,1,0)</f>
        <v>0</v>
      </c>
      <c r="CT527" s="177"/>
      <c r="CU527" s="177">
        <f>VLOOKUP($E527,[9]Current!$1:$1048576,17,FALSE)</f>
        <v>0</v>
      </c>
      <c r="CV527" s="177">
        <f>CU527/$AS527</f>
        <v>0</v>
      </c>
      <c r="DF527" s="16" t="e">
        <f>VLOOKUP(K527,'[3]RNA Seq summary tables'!$V$3:$V$99,1,FALSE)</f>
        <v>#N/A</v>
      </c>
      <c r="DG527" s="126" t="s">
        <v>116</v>
      </c>
    </row>
    <row r="528" spans="2:288" ht="16" x14ac:dyDescent="0.2">
      <c r="B528" s="16">
        <v>2018</v>
      </c>
      <c r="C528" s="124">
        <v>43232</v>
      </c>
      <c r="D528" t="s">
        <v>702</v>
      </c>
      <c r="E528" s="37" t="str">
        <f>CONCATENATE(T528,"-",U528,"-",C528)</f>
        <v>SP2-A2-43232</v>
      </c>
      <c r="F528" s="16" t="s">
        <v>227</v>
      </c>
      <c r="G528" s="126" t="s">
        <v>107</v>
      </c>
      <c r="H528" s="126"/>
      <c r="J528" s="126">
        <v>1412</v>
      </c>
      <c r="K528" s="126">
        <v>2338</v>
      </c>
      <c r="O528" s="126" t="s">
        <v>119</v>
      </c>
      <c r="P528" s="18" t="s">
        <v>119</v>
      </c>
      <c r="Q528" s="18">
        <v>0</v>
      </c>
      <c r="R528" s="18" t="str">
        <f>IF(J528=J527,C528-C527,"")</f>
        <v/>
      </c>
      <c r="T528" s="126" t="s">
        <v>137</v>
      </c>
      <c r="U528" s="126" t="s">
        <v>171</v>
      </c>
      <c r="V528" s="126" t="s">
        <v>114</v>
      </c>
      <c r="X528" s="126" t="s">
        <v>115</v>
      </c>
      <c r="Y528" s="126" t="s">
        <v>110</v>
      </c>
      <c r="Z528" s="126">
        <v>3</v>
      </c>
      <c r="AA528" s="126"/>
      <c r="AB528" s="126"/>
      <c r="AC528" s="126"/>
      <c r="AD528" s="126"/>
      <c r="AE528" s="126" t="s">
        <v>123</v>
      </c>
      <c r="AG528" s="16">
        <f>AH528-AI528</f>
        <v>87</v>
      </c>
      <c r="AH528" s="126">
        <v>166</v>
      </c>
      <c r="AI528" s="126">
        <v>79</v>
      </c>
      <c r="AK528" s="125">
        <v>23</v>
      </c>
      <c r="AL528" s="126">
        <v>1</v>
      </c>
      <c r="AM528" s="126">
        <v>0</v>
      </c>
      <c r="AN528" s="126">
        <v>0</v>
      </c>
      <c r="AO528" s="16">
        <f>IF(SUM(AL528:AN528)&gt;0,1,0)</f>
        <v>1</v>
      </c>
      <c r="AP528" s="18">
        <f>SUM(AL528:AN528)</f>
        <v>1</v>
      </c>
      <c r="AR528" s="16">
        <v>2.6000000000000023E-2</v>
      </c>
      <c r="AS528" s="16">
        <f>VLOOKUP(E528,'[1]Feces weights'!$D$1:$H$459,5,FALSE)</f>
        <v>2.6000000000000023E-2</v>
      </c>
      <c r="AT528" s="16" t="str">
        <f>VLOOKUP(E528,[9]Current!$A:$T,7,FALSE)</f>
        <v>TE</v>
      </c>
      <c r="AU528" s="18" t="s">
        <v>1290</v>
      </c>
      <c r="AW528" s="177">
        <f>IF(AY528&gt;0,1,0)</f>
        <v>1</v>
      </c>
      <c r="AX528" s="177">
        <f>SUM(BA528,BM528,CU528)</f>
        <v>3</v>
      </c>
      <c r="AY528" s="177">
        <f>SUM(BB528,BN528,CV528)</f>
        <v>2692.3076923076901</v>
      </c>
      <c r="AZ528" s="177">
        <f>IF(BB528&gt;0,1,0)</f>
        <v>1</v>
      </c>
      <c r="BA528" s="177">
        <f>SUM(BC528+BF528+BI528)</f>
        <v>2</v>
      </c>
      <c r="BB528" s="177">
        <f>SUM(BE528,BH528,BK528)</f>
        <v>2307.6923076923058</v>
      </c>
      <c r="BC528" s="178">
        <f>IF(BD528&gt;0,1,0)</f>
        <v>1</v>
      </c>
      <c r="BD528" s="177">
        <f>VLOOKUP($E528,[9]Current!$1:$1048576,8,FALSE)</f>
        <v>37</v>
      </c>
      <c r="BE528" s="177">
        <f>BD528/$AS528</f>
        <v>1423.0769230769217</v>
      </c>
      <c r="BF528" s="178">
        <f>IF(BG528&gt;0,1,0)</f>
        <v>0</v>
      </c>
      <c r="BG528" s="179">
        <f>VLOOKUP($E528,[9]Current!$1:$1048576,9,FALSE)</f>
        <v>0</v>
      </c>
      <c r="BH528" s="177">
        <f>BG528/$AS528</f>
        <v>0</v>
      </c>
      <c r="BI528" s="178">
        <f>IF(BJ528&gt;0,1,0)</f>
        <v>1</v>
      </c>
      <c r="BJ528" s="177">
        <f>VLOOKUP($E528,[9]Current!$1:$1048576,10,FALSE)</f>
        <v>23</v>
      </c>
      <c r="BK528" s="177">
        <f>BJ528/$AS528</f>
        <v>884.61538461538385</v>
      </c>
      <c r="BL528" s="177">
        <f>IF(BM528&gt;0,1,0)</f>
        <v>1</v>
      </c>
      <c r="BM528" s="177">
        <f>SUM(BR528,BU528,BX528,CA528,CD528)</f>
        <v>1</v>
      </c>
      <c r="BN528" s="181">
        <f>SUM(BT528,BW528,BZ528,CC528,CF528)</f>
        <v>384.6153846153843</v>
      </c>
      <c r="BO528" s="177">
        <f>IF(BP528&gt;0,1,0)</f>
        <v>1</v>
      </c>
      <c r="BP528" s="177">
        <f>BM528+CJ528</f>
        <v>1</v>
      </c>
      <c r="BQ528" s="177">
        <f>BN528+CL528</f>
        <v>384.6153846153843</v>
      </c>
      <c r="BR528" s="178">
        <f>IF(BS528&gt;0,1,0)</f>
        <v>0</v>
      </c>
      <c r="BS528" s="177">
        <f>VLOOKUP($E528,[9]Current!$1:$1048576,12,FALSE)</f>
        <v>0</v>
      </c>
      <c r="BT528" s="179">
        <f>BS528/$AS528</f>
        <v>0</v>
      </c>
      <c r="BU528" s="178">
        <f>IF(BV528&gt;0,1,0)</f>
        <v>0</v>
      </c>
      <c r="BV528" s="177">
        <f>VLOOKUP($E528,[9]Current!$1:$1048576,13,FALSE)</f>
        <v>0</v>
      </c>
      <c r="BW528" s="177">
        <f>BV528/$AS528</f>
        <v>0</v>
      </c>
      <c r="BX528" s="178">
        <f>IF(BY528&gt;0,1,0)</f>
        <v>1</v>
      </c>
      <c r="BY528" s="177">
        <f>VLOOKUP($E528,[9]Current!$1:$1048576,14,FALSE)</f>
        <v>10</v>
      </c>
      <c r="BZ528" s="177">
        <f>BY528/$AS528</f>
        <v>384.6153846153843</v>
      </c>
      <c r="CA528" s="178">
        <f>IF(CB528&gt;0,1,0)</f>
        <v>0</v>
      </c>
      <c r="CB528" s="177">
        <f>VLOOKUP($E528,[9]Current!$1:$1048576,15,FALSE)</f>
        <v>0</v>
      </c>
      <c r="CC528" s="177">
        <f>CB528/$AS528</f>
        <v>0</v>
      </c>
      <c r="CD528" s="180">
        <f>IF(CE528&gt;0,1,0)</f>
        <v>0</v>
      </c>
      <c r="CE528" s="177">
        <f>VLOOKUP($E528,[9]Current!$1:$1048576,16,FALSE)</f>
        <v>0</v>
      </c>
      <c r="CF528" s="177">
        <f>CE528/$AS528</f>
        <v>0</v>
      </c>
      <c r="CG528" s="18"/>
      <c r="CH528" s="18"/>
      <c r="CI528" s="18"/>
      <c r="CJ528" s="178">
        <f>IF(CK528&gt;0,1,0)</f>
        <v>0</v>
      </c>
      <c r="CK528" s="177">
        <f>VLOOKUP($E528,[9]Current!$1:$1048576,18,FALSE)</f>
        <v>0</v>
      </c>
      <c r="CL528" s="177">
        <f>CK528/$AS528</f>
        <v>0</v>
      </c>
      <c r="CS528" s="178">
        <f>IF(CU528&gt;0,1,0)</f>
        <v>0</v>
      </c>
      <c r="CT528" s="177"/>
      <c r="CU528" s="177">
        <f>VLOOKUP($E528,[9]Current!$1:$1048576,17,FALSE)</f>
        <v>0</v>
      </c>
      <c r="CV528" s="177">
        <f>CU528/$AS528</f>
        <v>0</v>
      </c>
      <c r="DF528" s="16" t="e">
        <f>VLOOKUP(K528,'[3]RNA Seq summary tables'!$V$3:$V$99,1,FALSE)</f>
        <v>#N/A</v>
      </c>
      <c r="DG528" s="126" t="s">
        <v>116</v>
      </c>
    </row>
    <row r="529" spans="2:287" ht="16" x14ac:dyDescent="0.2">
      <c r="B529" s="16">
        <v>2018</v>
      </c>
      <c r="C529" s="124">
        <v>43270</v>
      </c>
      <c r="D529" t="s">
        <v>834</v>
      </c>
      <c r="E529" s="37" t="str">
        <f>CONCATENATE(T529,"-",U529,"-",C529)</f>
        <v>SP2-B3-43270</v>
      </c>
      <c r="F529" s="16" t="s">
        <v>227</v>
      </c>
      <c r="G529" s="126" t="s">
        <v>107</v>
      </c>
      <c r="H529" s="126"/>
      <c r="J529" s="126">
        <v>1412</v>
      </c>
      <c r="K529" s="126">
        <v>2473</v>
      </c>
      <c r="O529" s="126" t="s">
        <v>119</v>
      </c>
      <c r="P529" s="18" t="s">
        <v>119</v>
      </c>
      <c r="Q529" s="18">
        <v>0</v>
      </c>
      <c r="R529" s="18">
        <f>IF(J529=J528,C529-C528,"")</f>
        <v>38</v>
      </c>
      <c r="T529" s="126" t="s">
        <v>137</v>
      </c>
      <c r="U529" s="126" t="s">
        <v>131</v>
      </c>
      <c r="V529" s="126" t="s">
        <v>114</v>
      </c>
      <c r="X529" s="126" t="s">
        <v>115</v>
      </c>
      <c r="Y529" s="126" t="s">
        <v>110</v>
      </c>
      <c r="Z529" s="126">
        <v>3</v>
      </c>
      <c r="AA529" s="126"/>
      <c r="AB529" s="126"/>
      <c r="AC529" s="126"/>
      <c r="AD529" s="126"/>
      <c r="AE529" s="126" t="s">
        <v>116</v>
      </c>
      <c r="AG529" s="16">
        <f>AH529-AI529</f>
        <v>91</v>
      </c>
      <c r="AH529" s="126">
        <v>171</v>
      </c>
      <c r="AI529" s="126">
        <v>80</v>
      </c>
      <c r="AK529" s="126">
        <v>23</v>
      </c>
      <c r="AL529" s="126">
        <v>1</v>
      </c>
      <c r="AM529" s="126">
        <v>0</v>
      </c>
      <c r="AN529" s="126">
        <v>0</v>
      </c>
      <c r="AO529" s="16">
        <f>IF(SUM(AL529:AN529)&gt;0,1,0)</f>
        <v>1</v>
      </c>
      <c r="AP529" s="18">
        <f>SUM(AL529:AN529)</f>
        <v>1</v>
      </c>
      <c r="AR529" s="16">
        <v>7.2000000000000064E-2</v>
      </c>
      <c r="AS529" s="16">
        <f>VLOOKUP(E529,'[1]Feces weights'!$D$1:$H$459,5,FALSE)</f>
        <v>7.2000000000000064E-2</v>
      </c>
      <c r="AT529" s="16" t="str">
        <f>VLOOKUP(E529,[2]Current!$A$1:$W$435,7,FALSE)</f>
        <v>TE</v>
      </c>
      <c r="AU529" s="16" t="s">
        <v>1288</v>
      </c>
      <c r="AV529" s="23">
        <v>1</v>
      </c>
      <c r="AW529" s="128">
        <f>IF(AX529&gt;0,1,0)</f>
        <v>0</v>
      </c>
      <c r="AX529" s="128">
        <f>SUM(BA529,BM529,CU529)</f>
        <v>0</v>
      </c>
      <c r="AY529" s="128">
        <f>SUM(BB529,BN529,CV529)</f>
        <v>0</v>
      </c>
      <c r="AZ529" s="128">
        <f>IF(BA529&gt;0,1,0)</f>
        <v>0</v>
      </c>
      <c r="BA529" s="128">
        <f>SUM(BC529+BF529+BI529)</f>
        <v>0</v>
      </c>
      <c r="BB529" s="128">
        <f>SUM(BE529,BH529,BK529)</f>
        <v>0</v>
      </c>
      <c r="BC529" s="130">
        <f>IF(BD529&gt;0,1,0)</f>
        <v>0</v>
      </c>
      <c r="BD529" s="128">
        <f>VLOOKUP($E529,[2]Current!$A:$AC,26,FALSE)</f>
        <v>0</v>
      </c>
      <c r="BE529" s="128">
        <f>BD529/$AS529</f>
        <v>0</v>
      </c>
      <c r="BF529" s="130">
        <f>IF(BG529&gt;0,1,0)</f>
        <v>0</v>
      </c>
      <c r="BG529" s="137">
        <f>VLOOKUP($E529,[2]Current!$A:$AC,27,FALSE)</f>
        <v>0</v>
      </c>
      <c r="BH529" s="128">
        <f>BG529/$AS529</f>
        <v>0</v>
      </c>
      <c r="BI529" s="130">
        <f>IF(BJ529&gt;0,1,0)</f>
        <v>0</v>
      </c>
      <c r="BJ529" s="128">
        <f>VLOOKUP($E529,[2]Current!$A:$AC,28,FALSE)</f>
        <v>0</v>
      </c>
      <c r="BK529" s="128">
        <f>BJ529/$AS529</f>
        <v>0</v>
      </c>
      <c r="BL529" s="128">
        <f>IF(BM529&gt;0,1,0)</f>
        <v>0</v>
      </c>
      <c r="BM529" s="128">
        <f>SUM(BR529,BU529,BX529,CA529,CD529)</f>
        <v>0</v>
      </c>
      <c r="BN529" s="131">
        <f>SUM(BT529,BW529,BZ529,CC529,CF529)</f>
        <v>0</v>
      </c>
      <c r="BO529" s="128">
        <f>IF(BP529&gt;0,1,0)</f>
        <v>1</v>
      </c>
      <c r="BP529" s="128">
        <f>BM529+CJ529</f>
        <v>1</v>
      </c>
      <c r="BQ529" s="128">
        <f>BN529+CL529</f>
        <v>13.888888888888877</v>
      </c>
      <c r="BR529" s="130">
        <f>IF(BS529&gt;0,1,0)</f>
        <v>0</v>
      </c>
      <c r="BS529" s="128">
        <f>VLOOKUP($E529,[2]Current!$A:$AC,12,FALSE)</f>
        <v>0</v>
      </c>
      <c r="BT529" s="137">
        <f>BS529/$AS529</f>
        <v>0</v>
      </c>
      <c r="BU529" s="130">
        <f>IF(BV529&gt;0,1,0)</f>
        <v>0</v>
      </c>
      <c r="BV529" s="128">
        <f>VLOOKUP($E529,[2]Current!$A:$AC,13,FALSE)</f>
        <v>0</v>
      </c>
      <c r="BW529" s="128">
        <f>BV529/$AS529</f>
        <v>0</v>
      </c>
      <c r="BX529" s="130">
        <f>IF(BY529&gt;0,1,0)</f>
        <v>0</v>
      </c>
      <c r="BY529" s="128">
        <f>VLOOKUP($E529,[2]Current!$A:$AC,14,FALSE)</f>
        <v>0</v>
      </c>
      <c r="BZ529" s="128">
        <f>BY529/$AS529</f>
        <v>0</v>
      </c>
      <c r="CA529" s="130">
        <f>IF(CB529&gt;0,1,0)</f>
        <v>0</v>
      </c>
      <c r="CB529" s="128">
        <f>VLOOKUP($E529,[2]Current!$A:$AC,15,FALSE)</f>
        <v>0</v>
      </c>
      <c r="CC529" s="128">
        <f>CB529/$AS529</f>
        <v>0</v>
      </c>
      <c r="CD529" s="174">
        <f>IF(CE529&gt;0,1,0)</f>
        <v>0</v>
      </c>
      <c r="CE529" s="128">
        <f>VLOOKUP($E529,[2]Current!$A:$AC,16,FALSE)</f>
        <v>0</v>
      </c>
      <c r="CF529" s="128">
        <f>CE529/$AS529</f>
        <v>0</v>
      </c>
      <c r="CG529" s="18"/>
      <c r="CH529" s="18"/>
      <c r="CI529" s="18"/>
      <c r="CJ529" s="130">
        <f>IF(CK529&gt;0,1,0)</f>
        <v>1</v>
      </c>
      <c r="CK529" s="128">
        <f>VLOOKUP($E529,[2]Current!$A:$AC,18,FALSE)</f>
        <v>1</v>
      </c>
      <c r="CL529" s="128">
        <f>CK529/$AS529</f>
        <v>13.888888888888877</v>
      </c>
      <c r="CS529" s="130">
        <f>IF(CU529&gt;0,1,0)</f>
        <v>0</v>
      </c>
      <c r="CU529" s="128">
        <f>VLOOKUP($E529,[2]Current!$A:$AC,17,FALSE)</f>
        <v>0</v>
      </c>
      <c r="CV529" s="128">
        <f>CU529/$AS529</f>
        <v>0</v>
      </c>
      <c r="CW529" s="18"/>
      <c r="CX529" s="18"/>
      <c r="CY529" s="18"/>
      <c r="DF529" s="16" t="e">
        <f>VLOOKUP(K529,'[3]RNA Seq summary tables'!$V$3:$V$99,1,FALSE)</f>
        <v>#N/A</v>
      </c>
      <c r="DG529" s="126" t="s">
        <v>116</v>
      </c>
    </row>
    <row r="530" spans="2:287" ht="16" x14ac:dyDescent="0.2">
      <c r="B530" s="16">
        <v>2018</v>
      </c>
      <c r="C530" s="124">
        <v>43301</v>
      </c>
      <c r="D530" t="s">
        <v>1019</v>
      </c>
      <c r="E530" s="142" t="str">
        <f>CONCATENATE(T530,"-",U530,"-",C530)</f>
        <v>SP2-F1-43301</v>
      </c>
      <c r="F530" s="16" t="s">
        <v>227</v>
      </c>
      <c r="G530" s="126" t="s">
        <v>107</v>
      </c>
      <c r="H530" s="126"/>
      <c r="J530" s="126">
        <v>1412</v>
      </c>
      <c r="K530" s="126">
        <v>2651</v>
      </c>
      <c r="O530" s="126" t="s">
        <v>119</v>
      </c>
      <c r="P530" s="18" t="s">
        <v>119</v>
      </c>
      <c r="Q530" s="18">
        <v>0</v>
      </c>
      <c r="R530" s="18">
        <f>IF(J530=J529,C530-C529,"")</f>
        <v>31</v>
      </c>
      <c r="T530" s="126" t="s">
        <v>137</v>
      </c>
      <c r="U530" s="126" t="s">
        <v>217</v>
      </c>
      <c r="V530" s="126" t="s">
        <v>114</v>
      </c>
      <c r="X530" s="126" t="s">
        <v>115</v>
      </c>
      <c r="Y530" s="126" t="s">
        <v>110</v>
      </c>
      <c r="Z530" s="126">
        <v>3</v>
      </c>
      <c r="AA530" s="126"/>
      <c r="AB530" s="126"/>
      <c r="AC530" s="126"/>
      <c r="AD530" s="126" t="s">
        <v>116</v>
      </c>
      <c r="AE530" s="126" t="s">
        <v>116</v>
      </c>
      <c r="AG530" s="40">
        <f>AH530-AI530</f>
        <v>85</v>
      </c>
      <c r="AH530" s="126">
        <v>165</v>
      </c>
      <c r="AI530" s="126">
        <v>80</v>
      </c>
      <c r="AK530" s="126">
        <v>23</v>
      </c>
      <c r="AL530" s="126">
        <v>1</v>
      </c>
      <c r="AM530" s="126">
        <v>0</v>
      </c>
      <c r="AN530" s="126">
        <v>0</v>
      </c>
      <c r="AO530" s="16">
        <f>IF(SUM(AL530:AN530)&gt;0,1,0)</f>
        <v>1</v>
      </c>
      <c r="AP530" s="18">
        <f>SUM(AL530:AN530)</f>
        <v>1</v>
      </c>
      <c r="AR530" s="16">
        <v>0.32000000000000006</v>
      </c>
      <c r="AS530" s="16">
        <f>VLOOKUP(E530,'[1]Feces weights'!$D$1:$H$459,5,FALSE)</f>
        <v>0.32000000000000006</v>
      </c>
      <c r="AT530" s="16" t="e">
        <f>VLOOKUP(E530,[2]Current!$A$1:$W$435,7,FALSE)</f>
        <v>#N/A</v>
      </c>
      <c r="AU530" s="16">
        <v>0</v>
      </c>
      <c r="BG530" s="77"/>
      <c r="BN530" s="126"/>
      <c r="BT530" s="78"/>
      <c r="BU530" s="18"/>
      <c r="BV530" s="18"/>
      <c r="BW530" s="25"/>
      <c r="BX530" s="18"/>
      <c r="BY530" s="18"/>
      <c r="BZ530" s="25"/>
      <c r="CA530" s="18"/>
      <c r="CB530" s="18"/>
      <c r="CC530" s="25"/>
      <c r="CD530" s="78"/>
      <c r="CE530" s="18"/>
      <c r="CF530" s="25"/>
      <c r="CG530" s="18"/>
      <c r="CH530" s="18"/>
      <c r="CI530" s="18"/>
      <c r="CJ530" s="18"/>
      <c r="CK530" s="18"/>
      <c r="CL530" s="25"/>
      <c r="DF530" s="16" t="e">
        <f>VLOOKUP(K530,'[3]RNA Seq summary tables'!$V$3:$V$99,1,FALSE)</f>
        <v>#N/A</v>
      </c>
      <c r="DG530" s="126" t="s">
        <v>123</v>
      </c>
    </row>
    <row r="531" spans="2:287" ht="16" x14ac:dyDescent="0.2">
      <c r="B531" s="16">
        <v>2018</v>
      </c>
      <c r="C531" s="124">
        <v>43302</v>
      </c>
      <c r="D531" t="s">
        <v>1028</v>
      </c>
      <c r="E531" s="142" t="str">
        <f>CONCATENATE(T531,"-",U531,"-",C531)</f>
        <v>SP2-E2-43302</v>
      </c>
      <c r="F531" s="16" t="s">
        <v>227</v>
      </c>
      <c r="G531" s="126" t="s">
        <v>107</v>
      </c>
      <c r="H531" s="126"/>
      <c r="J531" s="126">
        <v>1412</v>
      </c>
      <c r="K531" s="126">
        <v>2667</v>
      </c>
      <c r="O531" s="126" t="s">
        <v>119</v>
      </c>
      <c r="P531" s="18" t="s">
        <v>119</v>
      </c>
      <c r="Q531" s="18">
        <v>0</v>
      </c>
      <c r="R531" s="18">
        <f>IF(J531=J530,C531-C530,"")</f>
        <v>1</v>
      </c>
      <c r="T531" s="126" t="s">
        <v>137</v>
      </c>
      <c r="U531" s="126" t="s">
        <v>136</v>
      </c>
      <c r="V531" s="126" t="s">
        <v>114</v>
      </c>
      <c r="X531" s="126" t="s">
        <v>115</v>
      </c>
      <c r="Y531" s="126" t="s">
        <v>110</v>
      </c>
      <c r="Z531" s="126">
        <v>3</v>
      </c>
      <c r="AA531" s="126"/>
      <c r="AB531" s="126"/>
      <c r="AC531" s="126"/>
      <c r="AD531" s="126" t="s">
        <v>116</v>
      </c>
      <c r="AE531" s="126" t="s">
        <v>116</v>
      </c>
      <c r="AG531" s="40">
        <f>AH531-AI531</f>
        <v>87</v>
      </c>
      <c r="AH531" s="126">
        <v>167</v>
      </c>
      <c r="AI531" s="126">
        <v>80</v>
      </c>
      <c r="AK531" s="126">
        <v>23.5</v>
      </c>
      <c r="AL531" s="126">
        <v>1</v>
      </c>
      <c r="AM531" s="126">
        <v>0</v>
      </c>
      <c r="AN531" s="126">
        <v>0</v>
      </c>
      <c r="AO531" s="16">
        <f>IF(SUM(AL531:AN531)&gt;0,1,0)</f>
        <v>1</v>
      </c>
      <c r="AP531" s="18">
        <f>SUM(AL531:AN531)</f>
        <v>1</v>
      </c>
      <c r="AR531" s="16">
        <v>0.27200000000000002</v>
      </c>
      <c r="AS531" s="16">
        <f>VLOOKUP(E531,'[1]Feces weights'!$D$1:$H$459,5,FALSE)</f>
        <v>0.27200000000000002</v>
      </c>
      <c r="AT531" s="16" t="e">
        <f>VLOOKUP(E531,[2]Current!$A$1:$W$435,7,FALSE)</f>
        <v>#N/A</v>
      </c>
      <c r="AU531" s="16">
        <v>0</v>
      </c>
      <c r="BG531" s="77"/>
      <c r="BN531" s="126"/>
      <c r="BT531" s="78"/>
      <c r="BU531" s="18"/>
      <c r="BV531" s="18"/>
      <c r="BW531" s="25"/>
      <c r="BX531" s="18"/>
      <c r="BY531" s="18"/>
      <c r="BZ531" s="25"/>
      <c r="CA531" s="18"/>
      <c r="CB531" s="18"/>
      <c r="CC531" s="25"/>
      <c r="CD531" s="78"/>
      <c r="CE531" s="18"/>
      <c r="CF531" s="25"/>
      <c r="CG531" s="18"/>
      <c r="CH531" s="18"/>
      <c r="CI531" s="18"/>
      <c r="CJ531" s="18"/>
      <c r="CK531" s="18"/>
      <c r="CL531" s="25"/>
      <c r="DF531" s="16" t="e">
        <f>VLOOKUP(K531,'[3]RNA Seq summary tables'!$V$3:$V$99,1,FALSE)</f>
        <v>#N/A</v>
      </c>
      <c r="DG531" s="126" t="s">
        <v>116</v>
      </c>
    </row>
    <row r="532" spans="2:287" ht="16" x14ac:dyDescent="0.2">
      <c r="B532" s="16">
        <v>2018</v>
      </c>
      <c r="C532" s="124">
        <v>43232</v>
      </c>
      <c r="D532" t="s">
        <v>703</v>
      </c>
      <c r="E532" s="37" t="str">
        <f>CONCATENATE(T532,"-",U532,"-",C532)</f>
        <v>SP1-B2-43232</v>
      </c>
      <c r="F532" s="16" t="s">
        <v>227</v>
      </c>
      <c r="G532" s="126" t="s">
        <v>107</v>
      </c>
      <c r="H532" s="126"/>
      <c r="J532" s="127">
        <v>1414</v>
      </c>
      <c r="K532" s="126">
        <v>2340</v>
      </c>
      <c r="O532" s="126" t="s">
        <v>119</v>
      </c>
      <c r="P532" s="18" t="s">
        <v>119</v>
      </c>
      <c r="Q532" s="18">
        <v>0</v>
      </c>
      <c r="R532" s="18" t="str">
        <f>IF(J532=J531,C532-C531,"")</f>
        <v/>
      </c>
      <c r="T532" s="126" t="s">
        <v>140</v>
      </c>
      <c r="U532" s="126" t="s">
        <v>130</v>
      </c>
      <c r="V532" s="131" t="s">
        <v>114</v>
      </c>
      <c r="X532" s="126" t="s">
        <v>115</v>
      </c>
      <c r="Y532" s="126" t="s">
        <v>110</v>
      </c>
      <c r="Z532" s="126">
        <v>3</v>
      </c>
      <c r="AA532" s="126"/>
      <c r="AB532" s="126"/>
      <c r="AC532" s="126"/>
      <c r="AD532" s="126"/>
      <c r="AE532" s="126" t="s">
        <v>123</v>
      </c>
      <c r="AG532" s="16">
        <f>AH532-AI532</f>
        <v>98</v>
      </c>
      <c r="AH532" s="126">
        <v>187</v>
      </c>
      <c r="AI532" s="126">
        <v>89</v>
      </c>
      <c r="AK532" s="126">
        <v>22</v>
      </c>
      <c r="AL532" s="126">
        <v>0</v>
      </c>
      <c r="AM532" s="126">
        <v>0</v>
      </c>
      <c r="AN532" s="126">
        <v>0</v>
      </c>
      <c r="AO532" s="16">
        <f>IF(SUM(AL532:AN532)&gt;0,1,0)</f>
        <v>0</v>
      </c>
      <c r="AP532" s="18">
        <f>SUM(AL532:AN532)</f>
        <v>0</v>
      </c>
      <c r="AR532" s="16">
        <v>4.0000000000000036E-2</v>
      </c>
      <c r="AS532" s="16">
        <f>VLOOKUP(E532,'[1]Feces weights'!$D$1:$H$459,5,FALSE)</f>
        <v>4.0000000000000036E-2</v>
      </c>
      <c r="AT532" s="16" t="str">
        <f>VLOOKUP(E532,[9]Current!$A:$T,7,FALSE)</f>
        <v>JB</v>
      </c>
      <c r="AU532" s="18" t="s">
        <v>1290</v>
      </c>
      <c r="AW532" s="177">
        <f>IF(AY532&gt;0,1,0)</f>
        <v>1</v>
      </c>
      <c r="AX532" s="177">
        <f>SUM(BA532,BM532,CU532)</f>
        <v>3</v>
      </c>
      <c r="AY532" s="177">
        <f>SUM(BB532,BN532,CV532)</f>
        <v>1124.9999999999991</v>
      </c>
      <c r="AZ532" s="177">
        <f>IF(BB532&gt;0,1,0)</f>
        <v>1</v>
      </c>
      <c r="BA532" s="177">
        <f>SUM(BC532+BF532+BI532)</f>
        <v>2</v>
      </c>
      <c r="BB532" s="177">
        <f>SUM(BE532,BH532,BK532)</f>
        <v>1099.9999999999991</v>
      </c>
      <c r="BC532" s="178">
        <f>IF(BD532&gt;0,1,0)</f>
        <v>1</v>
      </c>
      <c r="BD532" s="177">
        <f>VLOOKUP($E532,[9]Current!$1:$1048576,8,FALSE)</f>
        <v>2</v>
      </c>
      <c r="BE532" s="177">
        <f>BD532/$AS532</f>
        <v>49.999999999999957</v>
      </c>
      <c r="BF532" s="178">
        <f>IF(BG532&gt;0,1,0)</f>
        <v>1</v>
      </c>
      <c r="BG532" s="179">
        <f>VLOOKUP($E532,[9]Current!$1:$1048576,9,FALSE)</f>
        <v>42</v>
      </c>
      <c r="BH532" s="177">
        <f>BG532/$AS532</f>
        <v>1049.9999999999991</v>
      </c>
      <c r="BI532" s="178">
        <f>IF(BJ532&gt;0,1,0)</f>
        <v>0</v>
      </c>
      <c r="BJ532" s="177">
        <f>VLOOKUP($E532,[9]Current!$1:$1048576,10,FALSE)</f>
        <v>0</v>
      </c>
      <c r="BK532" s="177">
        <f>BJ532/$AS532</f>
        <v>0</v>
      </c>
      <c r="BL532" s="177">
        <f>IF(BM532&gt;0,1,0)</f>
        <v>1</v>
      </c>
      <c r="BM532" s="177">
        <f>SUM(BR532,BU532,BX532,CA532,CD532)</f>
        <v>1</v>
      </c>
      <c r="BN532" s="181">
        <f>SUM(BT532,BW532,BZ532,CC532,CF532)</f>
        <v>24.999999999999979</v>
      </c>
      <c r="BO532" s="177">
        <f>IF(BP532&gt;0,1,0)</f>
        <v>1</v>
      </c>
      <c r="BP532" s="177">
        <f>BM532+CJ532</f>
        <v>2</v>
      </c>
      <c r="BQ532" s="177">
        <f>BN532+CL532</f>
        <v>49.999999999999957</v>
      </c>
      <c r="BR532" s="178">
        <f>IF(BS532&gt;0,1,0)</f>
        <v>0</v>
      </c>
      <c r="BS532" s="177">
        <f>VLOOKUP($E532,[9]Current!$1:$1048576,12,FALSE)</f>
        <v>0</v>
      </c>
      <c r="BT532" s="179">
        <f>BS532/$AS532</f>
        <v>0</v>
      </c>
      <c r="BU532" s="178">
        <f>IF(BV532&gt;0,1,0)</f>
        <v>0</v>
      </c>
      <c r="BV532" s="177">
        <f>VLOOKUP($E532,[9]Current!$1:$1048576,13,FALSE)</f>
        <v>0</v>
      </c>
      <c r="BW532" s="177">
        <f>BV532/$AS532</f>
        <v>0</v>
      </c>
      <c r="BX532" s="178">
        <f>IF(BY532&gt;0,1,0)</f>
        <v>1</v>
      </c>
      <c r="BY532" s="177">
        <f>VLOOKUP($E532,[9]Current!$1:$1048576,14,FALSE)</f>
        <v>1</v>
      </c>
      <c r="BZ532" s="177">
        <f>BY532/$AS532</f>
        <v>24.999999999999979</v>
      </c>
      <c r="CA532" s="178">
        <f>IF(CB532&gt;0,1,0)</f>
        <v>0</v>
      </c>
      <c r="CB532" s="177">
        <f>VLOOKUP($E532,[9]Current!$1:$1048576,15,FALSE)</f>
        <v>0</v>
      </c>
      <c r="CC532" s="177">
        <f>CB532/$AS532</f>
        <v>0</v>
      </c>
      <c r="CD532" s="180">
        <f>IF(CE532&gt;0,1,0)</f>
        <v>0</v>
      </c>
      <c r="CE532" s="177">
        <f>VLOOKUP($E532,[9]Current!$1:$1048576,16,FALSE)</f>
        <v>0</v>
      </c>
      <c r="CF532" s="177">
        <f>CE532/$AS532</f>
        <v>0</v>
      </c>
      <c r="CG532" s="18"/>
      <c r="CH532" s="18"/>
      <c r="CI532" s="18"/>
      <c r="CJ532" s="178">
        <f>IF(CK532&gt;0,1,0)</f>
        <v>1</v>
      </c>
      <c r="CK532" s="177">
        <f>VLOOKUP($E532,[9]Current!$1:$1048576,18,FALSE)</f>
        <v>1</v>
      </c>
      <c r="CL532" s="177">
        <f>CK532/$AS532</f>
        <v>24.999999999999979</v>
      </c>
      <c r="CS532" s="178">
        <f>IF(CU532&gt;0,1,0)</f>
        <v>0</v>
      </c>
      <c r="CT532" s="177"/>
      <c r="CU532" s="177">
        <f>VLOOKUP($E532,[9]Current!$1:$1048576,17,FALSE)</f>
        <v>0</v>
      </c>
      <c r="CV532" s="177">
        <f>CU532/$AS532</f>
        <v>0</v>
      </c>
      <c r="DF532" s="16" t="e">
        <f>VLOOKUP(K532,'[3]RNA Seq summary tables'!$V$3:$V$99,1,FALSE)</f>
        <v>#N/A</v>
      </c>
      <c r="DG532" s="126" t="s">
        <v>116</v>
      </c>
    </row>
    <row r="533" spans="2:287" ht="16" x14ac:dyDescent="0.2">
      <c r="B533" s="16">
        <v>2018</v>
      </c>
      <c r="C533" s="124">
        <v>43253</v>
      </c>
      <c r="D533" t="s">
        <v>763</v>
      </c>
      <c r="E533" s="37" t="str">
        <f>CONCATENATE(T533,"-",U533,"-",C533)</f>
        <v>SP1-D6-43253</v>
      </c>
      <c r="F533" s="16" t="s">
        <v>227</v>
      </c>
      <c r="G533" s="126" t="s">
        <v>107</v>
      </c>
      <c r="H533" s="126"/>
      <c r="J533" s="127">
        <v>1414</v>
      </c>
      <c r="K533" s="126">
        <v>2403</v>
      </c>
      <c r="O533" s="126" t="s">
        <v>119</v>
      </c>
      <c r="P533" s="18" t="s">
        <v>119</v>
      </c>
      <c r="Q533" s="18">
        <v>0</v>
      </c>
      <c r="R533" s="18">
        <f>IF(J533=J532,C533-C532,"")</f>
        <v>21</v>
      </c>
      <c r="T533" s="126" t="s">
        <v>140</v>
      </c>
      <c r="U533" s="126" t="s">
        <v>186</v>
      </c>
      <c r="V533" s="131" t="s">
        <v>142</v>
      </c>
      <c r="X533" s="126" t="s">
        <v>115</v>
      </c>
      <c r="Y533" s="126" t="s">
        <v>110</v>
      </c>
      <c r="Z533" s="126">
        <v>3</v>
      </c>
      <c r="AA533" s="126"/>
      <c r="AB533" s="126"/>
      <c r="AC533" s="126"/>
      <c r="AD533" s="126"/>
      <c r="AE533" s="126" t="s">
        <v>116</v>
      </c>
      <c r="AG533" s="16">
        <f>AH533-AI533</f>
        <v>97</v>
      </c>
      <c r="AH533" s="126">
        <v>193</v>
      </c>
      <c r="AI533" s="126">
        <v>96</v>
      </c>
      <c r="AK533" s="126">
        <v>24.5</v>
      </c>
      <c r="AL533" s="126">
        <v>0</v>
      </c>
      <c r="AM533" s="126">
        <v>1</v>
      </c>
      <c r="AN533" s="126">
        <v>0</v>
      </c>
      <c r="AO533" s="16">
        <f>IF(SUM(AL533:AN533)&gt;0,1,0)</f>
        <v>1</v>
      </c>
      <c r="AP533" s="18">
        <f>SUM(AL533:AN533)</f>
        <v>1</v>
      </c>
      <c r="AR533" s="16">
        <v>0.24900000000000011</v>
      </c>
      <c r="AS533" s="16">
        <f>VLOOKUP(E533,'[1]Feces weights'!$D$1:$H$459,5,FALSE)</f>
        <v>0.24900000000000011</v>
      </c>
      <c r="AT533" s="16" t="str">
        <f>VLOOKUP(E533,[2]Current!$A$1:$W$435,7,FALSE)</f>
        <v>DP</v>
      </c>
      <c r="AU533" s="16" t="s">
        <v>1288</v>
      </c>
      <c r="AW533" s="128">
        <f>IF(AX533&gt;0,1,0)</f>
        <v>1</v>
      </c>
      <c r="AX533" s="128">
        <f>SUM(BA533,BM533,CU533)</f>
        <v>3</v>
      </c>
      <c r="AY533" s="128">
        <f>SUM(BB533,BN533,CV533)</f>
        <v>6473.8955823293145</v>
      </c>
      <c r="AZ533" s="128">
        <f>IF(BA533&gt;0,1,0)</f>
        <v>1</v>
      </c>
      <c r="BA533" s="128">
        <f>SUM(BC533+BF533+BI533)</f>
        <v>3</v>
      </c>
      <c r="BB533" s="128">
        <f>SUM(BE533,BH533,BK533)</f>
        <v>6473.8955823293145</v>
      </c>
      <c r="BC533" s="130">
        <f>IF(BD533&gt;0,1,0)</f>
        <v>1</v>
      </c>
      <c r="BD533" s="128">
        <f>VLOOKUP($E533,[2]Current!$A:$AC,26,FALSE)</f>
        <v>52</v>
      </c>
      <c r="BE533" s="128">
        <f>BD533/$AS533</f>
        <v>208.83534136546174</v>
      </c>
      <c r="BF533" s="130">
        <f>IF(BG533&gt;0,1,0)</f>
        <v>1</v>
      </c>
      <c r="BG533" s="137">
        <f>VLOOKUP($E533,[2]Current!$A:$AC,27,FALSE)</f>
        <v>1532</v>
      </c>
      <c r="BH533" s="128">
        <f>BG533/$AS533</f>
        <v>6152.6104417670658</v>
      </c>
      <c r="BI533" s="130">
        <f>IF(BJ533&gt;0,1,0)</f>
        <v>1</v>
      </c>
      <c r="BJ533" s="128">
        <f>VLOOKUP($E533,[2]Current!$A:$AC,28,FALSE)</f>
        <v>28</v>
      </c>
      <c r="BK533" s="128">
        <f>BJ533/$AS533</f>
        <v>112.4497991967871</v>
      </c>
      <c r="BL533" s="128">
        <f>IF(BM533&gt;0,1,0)</f>
        <v>0</v>
      </c>
      <c r="BM533" s="128">
        <f>SUM(BR533,BU533,BX533,CA533,CD533)</f>
        <v>0</v>
      </c>
      <c r="BN533" s="131">
        <f>SUM(BT533,BW533,BZ533,CC533,CF533)</f>
        <v>0</v>
      </c>
      <c r="BO533" s="128">
        <f>IF(BP533&gt;0,1,0)</f>
        <v>0</v>
      </c>
      <c r="BP533" s="128">
        <f>BM533+CJ533</f>
        <v>0</v>
      </c>
      <c r="BQ533" s="128">
        <f>BN533+CL533</f>
        <v>0</v>
      </c>
      <c r="BR533" s="130">
        <f>IF(BS533&gt;0,1,0)</f>
        <v>0</v>
      </c>
      <c r="BS533" s="128">
        <f>VLOOKUP($E533,[2]Current!$A:$AC,12,FALSE)</f>
        <v>0</v>
      </c>
      <c r="BT533" s="137">
        <f>BS533/$AS533</f>
        <v>0</v>
      </c>
      <c r="BU533" s="130">
        <f>IF(BV533&gt;0,1,0)</f>
        <v>0</v>
      </c>
      <c r="BV533" s="128">
        <f>VLOOKUP($E533,[2]Current!$A:$AC,13,FALSE)</f>
        <v>0</v>
      </c>
      <c r="BW533" s="128">
        <f>BV533/$AS533</f>
        <v>0</v>
      </c>
      <c r="BX533" s="130">
        <f>IF(BY533&gt;0,1,0)</f>
        <v>0</v>
      </c>
      <c r="BY533" s="128">
        <f>VLOOKUP($E533,[2]Current!$A:$AC,14,FALSE)</f>
        <v>0</v>
      </c>
      <c r="BZ533" s="128">
        <f>BY533/$AS533</f>
        <v>0</v>
      </c>
      <c r="CA533" s="130">
        <f>IF(CB533&gt;0,1,0)</f>
        <v>0</v>
      </c>
      <c r="CB533" s="128">
        <f>VLOOKUP($E533,[2]Current!$A:$AC,15,FALSE)</f>
        <v>0</v>
      </c>
      <c r="CC533" s="128">
        <f>CB533/$AS533</f>
        <v>0</v>
      </c>
      <c r="CD533" s="174">
        <f>IF(CE533&gt;0,1,0)</f>
        <v>0</v>
      </c>
      <c r="CE533" s="128">
        <f>VLOOKUP($E533,[2]Current!$A:$AC,16,FALSE)</f>
        <v>0</v>
      </c>
      <c r="CF533" s="128">
        <f>CE533/$AS533</f>
        <v>0</v>
      </c>
      <c r="CG533" s="18"/>
      <c r="CH533" s="18"/>
      <c r="CI533" s="18"/>
      <c r="CJ533" s="130">
        <f>IF(CK533&gt;0,1,0)</f>
        <v>0</v>
      </c>
      <c r="CK533" s="128">
        <f>VLOOKUP($E533,[2]Current!$A:$AC,18,FALSE)</f>
        <v>0</v>
      </c>
      <c r="CL533" s="128">
        <f>CK533/$AS533</f>
        <v>0</v>
      </c>
      <c r="CS533" s="130">
        <f>IF(CU533&gt;0,1,0)</f>
        <v>0</v>
      </c>
      <c r="CU533" s="128">
        <f>VLOOKUP($E533,[2]Current!$A:$AC,17,FALSE)</f>
        <v>0</v>
      </c>
      <c r="CV533" s="128">
        <f>CU533/$AS533</f>
        <v>0</v>
      </c>
      <c r="CW533" s="18"/>
      <c r="CX533" s="18"/>
      <c r="CY533" s="18"/>
      <c r="DF533" s="16" t="e">
        <f>VLOOKUP(K533,'[3]RNA Seq summary tables'!$V$3:$V$99,1,FALSE)</f>
        <v>#N/A</v>
      </c>
      <c r="DG533" s="126" t="s">
        <v>123</v>
      </c>
    </row>
    <row r="534" spans="2:287" ht="16" x14ac:dyDescent="0.2">
      <c r="B534" s="16">
        <v>2018</v>
      </c>
      <c r="C534" s="124">
        <v>43269</v>
      </c>
      <c r="D534" t="s">
        <v>832</v>
      </c>
      <c r="E534" s="37" t="str">
        <f>CONCATENATE(T534,"-",U534,"-",C534)</f>
        <v>SP1-G7-43269</v>
      </c>
      <c r="F534" s="16" t="s">
        <v>227</v>
      </c>
      <c r="G534" s="126" t="s">
        <v>107</v>
      </c>
      <c r="H534" s="126" t="s">
        <v>1110</v>
      </c>
      <c r="J534" s="127">
        <v>1414</v>
      </c>
      <c r="K534" s="126">
        <v>2468</v>
      </c>
      <c r="O534" s="126" t="s">
        <v>119</v>
      </c>
      <c r="P534" s="18" t="s">
        <v>119</v>
      </c>
      <c r="Q534" s="18">
        <v>0</v>
      </c>
      <c r="R534" s="18">
        <f>IF(J534=J533,C534-C533,"")</f>
        <v>16</v>
      </c>
      <c r="T534" s="126" t="s">
        <v>140</v>
      </c>
      <c r="U534" s="126" t="s">
        <v>156</v>
      </c>
      <c r="V534" s="131" t="s">
        <v>142</v>
      </c>
      <c r="X534" s="126" t="s">
        <v>115</v>
      </c>
      <c r="Y534" s="126" t="s">
        <v>110</v>
      </c>
      <c r="Z534" s="126">
        <v>3</v>
      </c>
      <c r="AA534" s="126"/>
      <c r="AB534" s="126"/>
      <c r="AC534" s="126"/>
      <c r="AD534" s="126"/>
      <c r="AE534" s="126" t="s">
        <v>116</v>
      </c>
      <c r="AG534" s="16">
        <f>AH534-AI534</f>
        <v>101</v>
      </c>
      <c r="AH534" s="126">
        <v>193</v>
      </c>
      <c r="AI534" s="126">
        <v>92</v>
      </c>
      <c r="AK534" s="126">
        <v>26</v>
      </c>
      <c r="AL534" s="126">
        <v>0</v>
      </c>
      <c r="AM534" s="126">
        <v>0</v>
      </c>
      <c r="AN534" s="126">
        <v>0</v>
      </c>
      <c r="AO534" s="16">
        <f>IF(SUM(AL534:AN534)&gt;0,1,0)</f>
        <v>0</v>
      </c>
      <c r="AP534" s="18">
        <f>SUM(AL534:AN534)</f>
        <v>0</v>
      </c>
      <c r="AR534" s="16">
        <v>0.16400000000000015</v>
      </c>
      <c r="AS534" s="16">
        <f>VLOOKUP(E534,'[1]Feces weights'!$D$1:$H$459,5,FALSE)</f>
        <v>0.16400000000000015</v>
      </c>
      <c r="AT534" s="16" t="str">
        <f>VLOOKUP(E534,[2]Current!$A$1:$W$435,7,FALSE)</f>
        <v>LV</v>
      </c>
      <c r="AU534" s="16" t="s">
        <v>1288</v>
      </c>
      <c r="AW534" s="128">
        <f>IF(AX534&gt;0,1,0)</f>
        <v>1</v>
      </c>
      <c r="AX534" s="128">
        <f>SUM(BA534,BM534,CU534)</f>
        <v>2</v>
      </c>
      <c r="AY534" s="128">
        <f>SUM(BB534,BN534,CV534)</f>
        <v>475.60975609756053</v>
      </c>
      <c r="AZ534" s="128">
        <f>IF(BA534&gt;0,1,0)</f>
        <v>1</v>
      </c>
      <c r="BA534" s="128">
        <f>SUM(BC534+BF534+BI534)</f>
        <v>2</v>
      </c>
      <c r="BB534" s="128">
        <f>SUM(BE534,BH534,BK534)</f>
        <v>475.60975609756053</v>
      </c>
      <c r="BC534" s="130">
        <f>IF(BD534&gt;0,1,0)</f>
        <v>0</v>
      </c>
      <c r="BD534" s="128">
        <f>VLOOKUP($E534,[2]Current!$A:$AC,26,FALSE)</f>
        <v>0</v>
      </c>
      <c r="BE534" s="128">
        <f>BD534/$AS534</f>
        <v>0</v>
      </c>
      <c r="BF534" s="130">
        <f>IF(BG534&gt;0,1,0)</f>
        <v>1</v>
      </c>
      <c r="BG534" s="137">
        <f>VLOOKUP($E534,[2]Current!$A:$AC,27,FALSE)</f>
        <v>76</v>
      </c>
      <c r="BH534" s="128">
        <f>BG534/$AS534</f>
        <v>463.41463414634103</v>
      </c>
      <c r="BI534" s="130">
        <f>IF(BJ534&gt;0,1,0)</f>
        <v>1</v>
      </c>
      <c r="BJ534" s="128">
        <f>VLOOKUP($E534,[2]Current!$A:$AC,28,FALSE)</f>
        <v>2</v>
      </c>
      <c r="BK534" s="128">
        <f>BJ534/$AS534</f>
        <v>12.195121951219502</v>
      </c>
      <c r="BL534" s="128">
        <f>IF(BM534&gt;0,1,0)</f>
        <v>0</v>
      </c>
      <c r="BM534" s="128">
        <f>SUM(BR534,BU534,BX534,CA534,CD534)</f>
        <v>0</v>
      </c>
      <c r="BN534" s="131">
        <f>SUM(BT534,BW534,BZ534,CC534,CF534)</f>
        <v>0</v>
      </c>
      <c r="BO534" s="128">
        <f>IF(BP534&gt;0,1,0)</f>
        <v>0</v>
      </c>
      <c r="BP534" s="128">
        <f>BM534+CJ534</f>
        <v>0</v>
      </c>
      <c r="BQ534" s="128">
        <f>BN534+CL534</f>
        <v>0</v>
      </c>
      <c r="BR534" s="130">
        <f>IF(BS534&gt;0,1,0)</f>
        <v>0</v>
      </c>
      <c r="BS534" s="128">
        <f>VLOOKUP($E534,[2]Current!$A:$AC,12,FALSE)</f>
        <v>0</v>
      </c>
      <c r="BT534" s="137">
        <f>BS534/$AS534</f>
        <v>0</v>
      </c>
      <c r="BU534" s="130">
        <f>IF(BV534&gt;0,1,0)</f>
        <v>0</v>
      </c>
      <c r="BV534" s="128">
        <f>VLOOKUP($E534,[2]Current!$A:$AC,13,FALSE)</f>
        <v>0</v>
      </c>
      <c r="BW534" s="128">
        <f>BV534/$AS534</f>
        <v>0</v>
      </c>
      <c r="BX534" s="130">
        <f>IF(BY534&gt;0,1,0)</f>
        <v>0</v>
      </c>
      <c r="BY534" s="128">
        <f>VLOOKUP($E534,[2]Current!$A:$AC,14,FALSE)</f>
        <v>0</v>
      </c>
      <c r="BZ534" s="128">
        <f>BY534/$AS534</f>
        <v>0</v>
      </c>
      <c r="CA534" s="130">
        <f>IF(CB534&gt;0,1,0)</f>
        <v>0</v>
      </c>
      <c r="CB534" s="128">
        <f>VLOOKUP($E534,[2]Current!$A:$AC,15,FALSE)</f>
        <v>0</v>
      </c>
      <c r="CC534" s="128">
        <f>CB534/$AS534</f>
        <v>0</v>
      </c>
      <c r="CD534" s="174">
        <f>IF(CE534&gt;0,1,0)</f>
        <v>0</v>
      </c>
      <c r="CE534" s="128">
        <f>VLOOKUP($E534,[2]Current!$A:$AC,16,FALSE)</f>
        <v>0</v>
      </c>
      <c r="CF534" s="128">
        <f>CE534/$AS534</f>
        <v>0</v>
      </c>
      <c r="CG534" s="18"/>
      <c r="CH534" s="18"/>
      <c r="CI534" s="18"/>
      <c r="CJ534" s="130">
        <f>IF(CK534&gt;0,1,0)</f>
        <v>0</v>
      </c>
      <c r="CK534" s="128">
        <f>VLOOKUP($E534,[2]Current!$A:$AC,18,FALSE)</f>
        <v>0</v>
      </c>
      <c r="CL534" s="128">
        <f>CK534/$AS534</f>
        <v>0</v>
      </c>
      <c r="CS534" s="130">
        <f>IF(CU534&gt;0,1,0)</f>
        <v>0</v>
      </c>
      <c r="CU534" s="128">
        <f>VLOOKUP($E534,[2]Current!$A:$AC,17,FALSE)</f>
        <v>0</v>
      </c>
      <c r="CV534" s="128">
        <f>CU534/$AS534</f>
        <v>0</v>
      </c>
      <c r="CW534" s="18"/>
      <c r="CX534" s="18"/>
      <c r="CY534" s="18"/>
      <c r="DF534" s="16" t="e">
        <f>VLOOKUP(K534,'[3]RNA Seq summary tables'!$V$3:$V$99,1,FALSE)</f>
        <v>#N/A</v>
      </c>
      <c r="DG534" s="126" t="s">
        <v>116</v>
      </c>
    </row>
    <row r="535" spans="2:287" ht="16" x14ac:dyDescent="0.2">
      <c r="B535" s="16">
        <v>2018</v>
      </c>
      <c r="C535" s="124">
        <v>43301</v>
      </c>
      <c r="D535" t="s">
        <v>1023</v>
      </c>
      <c r="E535" s="142" t="str">
        <f>CONCATENATE(T535,"-",U535,"-",C535)</f>
        <v>SP1-C8-43301</v>
      </c>
      <c r="F535" s="16" t="s">
        <v>227</v>
      </c>
      <c r="G535" s="126" t="s">
        <v>107</v>
      </c>
      <c r="H535" s="126" t="s">
        <v>1147</v>
      </c>
      <c r="J535" s="126">
        <v>1414</v>
      </c>
      <c r="K535" s="126">
        <v>2660</v>
      </c>
      <c r="O535" s="126" t="s">
        <v>119</v>
      </c>
      <c r="P535" s="18" t="s">
        <v>119</v>
      </c>
      <c r="Q535" s="18">
        <v>0</v>
      </c>
      <c r="R535" s="18">
        <f>IF(J535=J534,C535-C534,"")</f>
        <v>32</v>
      </c>
      <c r="T535" s="126" t="s">
        <v>140</v>
      </c>
      <c r="U535" s="126" t="s">
        <v>188</v>
      </c>
      <c r="V535" s="126" t="s">
        <v>142</v>
      </c>
      <c r="X535" s="126" t="s">
        <v>115</v>
      </c>
      <c r="Y535" s="126" t="s">
        <v>110</v>
      </c>
      <c r="Z535" s="126">
        <v>3</v>
      </c>
      <c r="AA535" s="126"/>
      <c r="AB535" s="126"/>
      <c r="AC535" s="126"/>
      <c r="AD535" s="126" t="s">
        <v>1079</v>
      </c>
      <c r="AE535" s="126" t="s">
        <v>1079</v>
      </c>
      <c r="AG535" s="40">
        <f>AH535-AI535</f>
        <v>89</v>
      </c>
      <c r="AH535" s="126">
        <v>181</v>
      </c>
      <c r="AI535" s="126">
        <v>92</v>
      </c>
      <c r="AK535" s="126">
        <v>26.5</v>
      </c>
      <c r="AL535" s="126">
        <v>0</v>
      </c>
      <c r="AM535" s="126">
        <v>0</v>
      </c>
      <c r="AN535" s="126">
        <v>1</v>
      </c>
      <c r="AO535" s="16">
        <f>IF(SUM(AL535:AN535)&gt;0,1,0)</f>
        <v>1</v>
      </c>
      <c r="AP535" s="18">
        <f>SUM(AL535:AN535)</f>
        <v>1</v>
      </c>
      <c r="AR535" s="16">
        <v>0.59099999999999997</v>
      </c>
      <c r="AS535" s="16">
        <f>VLOOKUP(E535,'[1]Feces weights'!$D$1:$H$459,5,FALSE)</f>
        <v>0.59099999999999997</v>
      </c>
      <c r="AT535" s="16" t="e">
        <f>VLOOKUP(E535,[2]Current!$A$1:$W$435,7,FALSE)</f>
        <v>#N/A</v>
      </c>
      <c r="AU535" s="16">
        <v>0</v>
      </c>
      <c r="BG535" s="77"/>
      <c r="BN535" s="126"/>
      <c r="BT535" s="78"/>
      <c r="BU535" s="18"/>
      <c r="BV535" s="18"/>
      <c r="BW535" s="25"/>
      <c r="BX535" s="18"/>
      <c r="BY535" s="18"/>
      <c r="BZ535" s="25"/>
      <c r="CA535" s="18"/>
      <c r="CB535" s="18"/>
      <c r="CC535" s="25"/>
      <c r="CD535" s="78"/>
      <c r="CE535" s="18"/>
      <c r="CF535" s="25"/>
      <c r="CG535" s="18"/>
      <c r="CH535" s="18"/>
      <c r="CI535" s="18"/>
      <c r="CJ535" s="18"/>
      <c r="CK535" s="18"/>
      <c r="CL535" s="25"/>
      <c r="DF535" s="16" t="e">
        <f>VLOOKUP(K535,'[3]RNA Seq summary tables'!$V$3:$V$99,1,FALSE)</f>
        <v>#N/A</v>
      </c>
      <c r="DG535" s="126" t="s">
        <v>123</v>
      </c>
    </row>
    <row r="536" spans="2:287" ht="16" x14ac:dyDescent="0.2">
      <c r="B536" s="16">
        <v>2018</v>
      </c>
      <c r="C536" s="147">
        <v>43313</v>
      </c>
      <c r="D536" t="s">
        <v>1209</v>
      </c>
      <c r="E536" s="20" t="str">
        <f>CONCATENATE(T536,"-",U536,"-",C536)</f>
        <v>SP1-B8-43313</v>
      </c>
      <c r="F536" s="16" t="s">
        <v>227</v>
      </c>
      <c r="G536" s="145" t="s">
        <v>107</v>
      </c>
      <c r="H536" s="145" t="s">
        <v>1165</v>
      </c>
      <c r="I536" s="145"/>
      <c r="J536" s="145">
        <v>1414</v>
      </c>
      <c r="K536" s="145">
        <v>2724</v>
      </c>
      <c r="M536" s="16"/>
      <c r="N536" s="16"/>
      <c r="O536" s="145" t="s">
        <v>119</v>
      </c>
      <c r="P536" s="18" t="s">
        <v>119</v>
      </c>
      <c r="Q536" s="18">
        <v>0</v>
      </c>
      <c r="R536" s="18">
        <f>IF(J536=J535,C536-C535,"")</f>
        <v>12</v>
      </c>
      <c r="S536" s="145"/>
      <c r="T536" s="145" t="s">
        <v>140</v>
      </c>
      <c r="U536" s="145" t="s">
        <v>209</v>
      </c>
      <c r="V536" s="145" t="s">
        <v>114</v>
      </c>
      <c r="W536" s="145"/>
      <c r="X536" s="145" t="s">
        <v>115</v>
      </c>
      <c r="Y536" s="145" t="s">
        <v>110</v>
      </c>
      <c r="Z536" s="145">
        <v>3</v>
      </c>
      <c r="AA536" s="145"/>
      <c r="AB536" s="145"/>
      <c r="AC536" s="145"/>
      <c r="AD536" s="145"/>
      <c r="AE536" s="145" t="s">
        <v>116</v>
      </c>
      <c r="AF536" s="145" t="s">
        <v>116</v>
      </c>
      <c r="AG536" s="145">
        <f>AH536-AI536</f>
        <v>98</v>
      </c>
      <c r="AH536" s="145">
        <v>192</v>
      </c>
      <c r="AI536" s="145">
        <v>94</v>
      </c>
      <c r="AJ536" s="145"/>
      <c r="AK536" s="145">
        <v>28.5</v>
      </c>
      <c r="AL536" s="145">
        <v>1</v>
      </c>
      <c r="AM536" s="145">
        <v>0</v>
      </c>
      <c r="AN536" s="145">
        <v>0</v>
      </c>
      <c r="AO536" s="16">
        <f>IF(SUM(AL536:AN536)&gt;0, 1,0)</f>
        <v>1</v>
      </c>
      <c r="AP536" s="16">
        <f>SUM(AL536:AN536)</f>
        <v>1</v>
      </c>
      <c r="AS536" s="16">
        <f>VLOOKUP(E536,'[1]Feces weights'!$D$1:$H$459,5,FALSE)</f>
        <v>0.40600000000000014</v>
      </c>
      <c r="AT536" s="16" t="e">
        <f>VLOOKUP(E536,[2]Current!$A$1:$W$435,7,FALSE)</f>
        <v>#N/A</v>
      </c>
      <c r="BG536" s="77"/>
      <c r="BT536" s="77"/>
      <c r="CD536" s="77"/>
      <c r="DG536" s="145" t="s">
        <v>123</v>
      </c>
      <c r="DT536" s="145" t="s">
        <v>123</v>
      </c>
      <c r="DU536" s="145"/>
      <c r="DX536" s="145"/>
      <c r="DY536" s="145"/>
      <c r="DZ536" s="16"/>
      <c r="EA536" s="16"/>
      <c r="EB536" s="16"/>
      <c r="EC536" s="16"/>
      <c r="ED536" s="16"/>
      <c r="EE536" s="16"/>
      <c r="EF536" s="16"/>
      <c r="JO536" s="18"/>
      <c r="JP536" s="18"/>
      <c r="JQ536" s="18"/>
      <c r="JR536" s="18"/>
      <c r="JS536" s="18"/>
      <c r="JT536" s="18"/>
      <c r="JU536" s="18"/>
      <c r="JV536" s="18"/>
      <c r="JW536" s="18"/>
      <c r="JX536" s="18"/>
      <c r="JY536" s="18"/>
      <c r="JZ536" s="18"/>
      <c r="KA536" s="18"/>
    </row>
    <row r="537" spans="2:287" ht="16" x14ac:dyDescent="0.2">
      <c r="B537" s="16">
        <v>2018</v>
      </c>
      <c r="C537" s="124">
        <v>43232</v>
      </c>
      <c r="D537" t="s">
        <v>706</v>
      </c>
      <c r="E537" s="37" t="str">
        <f>CONCATENATE(T537,"-",U537,"-",C537)</f>
        <v>SP1-G6-43232</v>
      </c>
      <c r="F537" s="16" t="s">
        <v>227</v>
      </c>
      <c r="G537" s="126" t="s">
        <v>107</v>
      </c>
      <c r="H537" s="126"/>
      <c r="J537" s="126">
        <v>1416</v>
      </c>
      <c r="K537" s="126">
        <v>2342</v>
      </c>
      <c r="O537" s="126" t="s">
        <v>119</v>
      </c>
      <c r="P537" s="18" t="s">
        <v>119</v>
      </c>
      <c r="Q537" s="18">
        <v>0</v>
      </c>
      <c r="R537" s="18" t="str">
        <f>IF(J537=J536,C537-C536,"")</f>
        <v/>
      </c>
      <c r="T537" s="126" t="s">
        <v>140</v>
      </c>
      <c r="U537" s="126" t="s">
        <v>218</v>
      </c>
      <c r="V537" s="126" t="s">
        <v>114</v>
      </c>
      <c r="X537" s="126" t="s">
        <v>121</v>
      </c>
      <c r="Y537" s="126" t="s">
        <v>110</v>
      </c>
      <c r="Z537" s="126">
        <v>3</v>
      </c>
      <c r="AA537" s="126" t="s">
        <v>119</v>
      </c>
      <c r="AB537" s="126" t="s">
        <v>116</v>
      </c>
      <c r="AC537" s="126" t="s">
        <v>116</v>
      </c>
      <c r="AD537" s="126"/>
      <c r="AE537" s="126"/>
      <c r="AG537" s="16">
        <f>AH537-AI537</f>
        <v>91</v>
      </c>
      <c r="AH537" s="126">
        <v>167</v>
      </c>
      <c r="AI537" s="126">
        <v>76</v>
      </c>
      <c r="AK537" s="126">
        <v>23.5</v>
      </c>
      <c r="AL537" s="126">
        <v>0</v>
      </c>
      <c r="AM537" s="126">
        <v>0</v>
      </c>
      <c r="AN537" s="126">
        <v>0</v>
      </c>
      <c r="AO537" s="16">
        <f>IF(SUM(AL537:AN537)&gt;0,1,0)</f>
        <v>0</v>
      </c>
      <c r="AP537" s="18">
        <f>SUM(AL537:AN537)</f>
        <v>0</v>
      </c>
      <c r="AR537" s="16">
        <v>0.33500000000000019</v>
      </c>
      <c r="AS537" s="16">
        <f>VLOOKUP(E537,'[1]Feces weights'!$D$1:$H$459,5,FALSE)</f>
        <v>0.33500000000000019</v>
      </c>
      <c r="AT537" s="16" t="str">
        <f>VLOOKUP(E537,[9]Current!$A:$T,7,FALSE)</f>
        <v>TE</v>
      </c>
      <c r="AU537" s="18" t="s">
        <v>1290</v>
      </c>
      <c r="AW537" s="177">
        <f>IF(AY537&gt;0,1,0)</f>
        <v>1</v>
      </c>
      <c r="AX537" s="177">
        <f>SUM(BA537,BM537,CU537)</f>
        <v>3</v>
      </c>
      <c r="AY537" s="177">
        <f>SUM(BB537,BN537,CV537)</f>
        <v>16310.44776119402</v>
      </c>
      <c r="AZ537" s="177">
        <f>IF(BB537&gt;0,1,0)</f>
        <v>1</v>
      </c>
      <c r="BA537" s="177">
        <f>SUM(BC537+BF537+BI537)</f>
        <v>2</v>
      </c>
      <c r="BB537" s="177">
        <f>SUM(BE537,BH537,BK537)</f>
        <v>16268.656716417901</v>
      </c>
      <c r="BC537" s="178">
        <f>IF(BD537&gt;0,1,0)</f>
        <v>1</v>
      </c>
      <c r="BD537" s="177">
        <f>VLOOKUP($E537,[9]Current!$1:$1048576,8,FALSE)</f>
        <v>1355</v>
      </c>
      <c r="BE537" s="177">
        <f>BD537/$AS537</f>
        <v>4044.7761194029827</v>
      </c>
      <c r="BF537" s="178">
        <f>IF(BG537&gt;0,1,0)</f>
        <v>0</v>
      </c>
      <c r="BG537" s="179">
        <f>VLOOKUP($E537,[9]Current!$1:$1048576,9,FALSE)</f>
        <v>0</v>
      </c>
      <c r="BH537" s="177">
        <f>BG537/$AS537</f>
        <v>0</v>
      </c>
      <c r="BI537" s="178">
        <f>IF(BJ537&gt;0,1,0)</f>
        <v>1</v>
      </c>
      <c r="BJ537" s="177">
        <f>VLOOKUP($E537,[9]Current!$1:$1048576,10,FALSE)</f>
        <v>4095</v>
      </c>
      <c r="BK537" s="177">
        <f>BJ537/$AS537</f>
        <v>12223.880597014919</v>
      </c>
      <c r="BL537" s="177">
        <f>IF(BM537&gt;0,1,0)</f>
        <v>1</v>
      </c>
      <c r="BM537" s="177">
        <f>SUM(BR537,BU537,BX537,CA537,CD537)</f>
        <v>1</v>
      </c>
      <c r="BN537" s="181">
        <f>SUM(BT537,BW537,BZ537,CC537,CF537)</f>
        <v>41.791044776119378</v>
      </c>
      <c r="BO537" s="177">
        <f>IF(BP537&gt;0,1,0)</f>
        <v>1</v>
      </c>
      <c r="BP537" s="177">
        <f>BM537+CJ537</f>
        <v>1</v>
      </c>
      <c r="BQ537" s="177">
        <f>BN537+CL537</f>
        <v>41.791044776119378</v>
      </c>
      <c r="BR537" s="178">
        <f>IF(BS537&gt;0,1,0)</f>
        <v>1</v>
      </c>
      <c r="BS537" s="177">
        <f>VLOOKUP($E537,[9]Current!$1:$1048576,12,FALSE)</f>
        <v>14</v>
      </c>
      <c r="BT537" s="179">
        <f>BS537/$AS537</f>
        <v>41.791044776119378</v>
      </c>
      <c r="BU537" s="178">
        <f>IF(BV537&gt;0,1,0)</f>
        <v>0</v>
      </c>
      <c r="BV537" s="177">
        <f>VLOOKUP($E537,[9]Current!$1:$1048576,13,FALSE)</f>
        <v>0</v>
      </c>
      <c r="BW537" s="177">
        <f>BV537/$AS537</f>
        <v>0</v>
      </c>
      <c r="BX537" s="178">
        <f>IF(BY537&gt;0,1,0)</f>
        <v>0</v>
      </c>
      <c r="BY537" s="177">
        <f>VLOOKUP($E537,[9]Current!$1:$1048576,14,FALSE)</f>
        <v>0</v>
      </c>
      <c r="BZ537" s="177">
        <f>BY537/$AS537</f>
        <v>0</v>
      </c>
      <c r="CA537" s="178">
        <f>IF(CB537&gt;0,1,0)</f>
        <v>0</v>
      </c>
      <c r="CB537" s="177">
        <f>VLOOKUP($E537,[9]Current!$1:$1048576,15,FALSE)</f>
        <v>0</v>
      </c>
      <c r="CC537" s="177">
        <f>CB537/$AS537</f>
        <v>0</v>
      </c>
      <c r="CD537" s="180">
        <f>IF(CE537&gt;0,1,0)</f>
        <v>0</v>
      </c>
      <c r="CE537" s="177">
        <f>VLOOKUP($E537,[9]Current!$1:$1048576,16,FALSE)</f>
        <v>0</v>
      </c>
      <c r="CF537" s="177">
        <f>CE537/$AS537</f>
        <v>0</v>
      </c>
      <c r="CG537" s="18"/>
      <c r="CH537" s="18"/>
      <c r="CI537" s="18"/>
      <c r="CJ537" s="178">
        <f>IF(CK537&gt;0,1,0)</f>
        <v>0</v>
      </c>
      <c r="CK537" s="177">
        <f>VLOOKUP($E537,[9]Current!$1:$1048576,18,FALSE)</f>
        <v>0</v>
      </c>
      <c r="CL537" s="177">
        <f>CK537/$AS537</f>
        <v>0</v>
      </c>
      <c r="CS537" s="178">
        <f>IF(CU537&gt;0,1,0)</f>
        <v>0</v>
      </c>
      <c r="CT537" s="177"/>
      <c r="CU537" s="177">
        <f>VLOOKUP($E537,[9]Current!$1:$1048576,17,FALSE)</f>
        <v>0</v>
      </c>
      <c r="CV537" s="177">
        <f>CU537/$AS537</f>
        <v>0</v>
      </c>
      <c r="DF537" s="16" t="e">
        <f>VLOOKUP(K537,'[3]RNA Seq summary tables'!$V$3:$V$99,1,FALSE)</f>
        <v>#N/A</v>
      </c>
      <c r="DG537" s="126" t="s">
        <v>116</v>
      </c>
    </row>
    <row r="538" spans="2:287" ht="16" x14ac:dyDescent="0.2">
      <c r="B538" s="16">
        <v>2018</v>
      </c>
      <c r="C538" s="124">
        <v>43253</v>
      </c>
      <c r="D538" t="s">
        <v>764</v>
      </c>
      <c r="E538" s="37" t="str">
        <f>CONCATENATE(T538,"-",U538,"-",C538)</f>
        <v>SP1-G5-43253</v>
      </c>
      <c r="F538" s="16" t="s">
        <v>227</v>
      </c>
      <c r="G538" s="126" t="s">
        <v>107</v>
      </c>
      <c r="H538" s="126"/>
      <c r="J538" s="126">
        <v>1416</v>
      </c>
      <c r="K538" s="126">
        <v>2404</v>
      </c>
      <c r="O538" s="126" t="s">
        <v>119</v>
      </c>
      <c r="P538" s="18" t="s">
        <v>119</v>
      </c>
      <c r="Q538" s="18">
        <v>0</v>
      </c>
      <c r="R538" s="18">
        <f>IF(J538=J537,C538-C537,"")</f>
        <v>21</v>
      </c>
      <c r="T538" s="126" t="s">
        <v>140</v>
      </c>
      <c r="U538" s="126" t="s">
        <v>200</v>
      </c>
      <c r="V538" s="125" t="s">
        <v>114</v>
      </c>
      <c r="X538" s="126" t="s">
        <v>121</v>
      </c>
      <c r="Y538" s="126" t="s">
        <v>110</v>
      </c>
      <c r="Z538" s="126">
        <v>3</v>
      </c>
      <c r="AA538" s="126" t="s">
        <v>119</v>
      </c>
      <c r="AB538" s="126" t="s">
        <v>116</v>
      </c>
      <c r="AC538" s="126" t="s">
        <v>116</v>
      </c>
      <c r="AD538" s="126"/>
      <c r="AE538" s="126"/>
      <c r="AG538" s="16">
        <f>AH538-AI538</f>
        <v>88</v>
      </c>
      <c r="AH538" s="126">
        <v>174</v>
      </c>
      <c r="AI538" s="126">
        <v>86</v>
      </c>
      <c r="AK538" s="126">
        <v>27.5</v>
      </c>
      <c r="AL538" s="126">
        <v>1</v>
      </c>
      <c r="AM538" s="126">
        <v>0</v>
      </c>
      <c r="AN538" s="126">
        <v>0</v>
      </c>
      <c r="AO538" s="16">
        <f>IF(SUM(AL538:AN538)&gt;0,1,0)</f>
        <v>1</v>
      </c>
      <c r="AP538" s="18">
        <f>SUM(AL538:AN538)</f>
        <v>1</v>
      </c>
      <c r="AR538" s="16">
        <v>0.34600000000000009</v>
      </c>
      <c r="AS538" s="16">
        <f>VLOOKUP(E538,'[1]Feces weights'!$D$1:$H$459,5,FALSE)</f>
        <v>0.34600000000000009</v>
      </c>
      <c r="AT538" s="16" t="str">
        <f>VLOOKUP(E538,[9]Current!$A:$T,7,FALSE)</f>
        <v>JB</v>
      </c>
      <c r="AU538" s="18" t="s">
        <v>1290</v>
      </c>
      <c r="AW538" s="177">
        <f>IF(AY538&gt;0,1,0)</f>
        <v>1</v>
      </c>
      <c r="AX538" s="177">
        <f>SUM(BA538,BM538,CU538)</f>
        <v>3</v>
      </c>
      <c r="AY538" s="177">
        <f>SUM(BB538,BN538,CV538)</f>
        <v>580.92485549132937</v>
      </c>
      <c r="AZ538" s="177">
        <f>IF(BB538&gt;0,1,0)</f>
        <v>1</v>
      </c>
      <c r="BA538" s="177">
        <f>SUM(BC538+BF538+BI538)</f>
        <v>1</v>
      </c>
      <c r="BB538" s="177">
        <f>SUM(BE538,BH538,BK538)</f>
        <v>554.91329479768774</v>
      </c>
      <c r="BC538" s="178">
        <f>IF(BD538&gt;0,1,0)</f>
        <v>0</v>
      </c>
      <c r="BD538" s="177">
        <f>VLOOKUP($E538,[9]Current!$1:$1048576,8,FALSE)</f>
        <v>0</v>
      </c>
      <c r="BE538" s="177">
        <f>BD538/$AS538</f>
        <v>0</v>
      </c>
      <c r="BF538" s="178">
        <f>IF(BG538&gt;0,1,0)</f>
        <v>1</v>
      </c>
      <c r="BG538" s="179">
        <f>VLOOKUP($E538,[9]Current!$1:$1048576,9,FALSE)</f>
        <v>192</v>
      </c>
      <c r="BH538" s="177">
        <f>BG538/$AS538</f>
        <v>554.91329479768774</v>
      </c>
      <c r="BI538" s="178">
        <f>IF(BJ538&gt;0,1,0)</f>
        <v>0</v>
      </c>
      <c r="BJ538" s="177">
        <f>VLOOKUP($E538,[9]Current!$1:$1048576,10,FALSE)</f>
        <v>0</v>
      </c>
      <c r="BK538" s="177">
        <f>BJ538/$AS538</f>
        <v>0</v>
      </c>
      <c r="BL538" s="177">
        <f>IF(BM538&gt;0,1,0)</f>
        <v>1</v>
      </c>
      <c r="BM538" s="177">
        <f>SUM(BR538,BU538,BX538,CA538,CD538)</f>
        <v>2</v>
      </c>
      <c r="BN538" s="181">
        <f>SUM(BT538,BW538,BZ538,CC538,CF538)</f>
        <v>26.011560693641613</v>
      </c>
      <c r="BO538" s="177">
        <f>IF(BP538&gt;0,1,0)</f>
        <v>1</v>
      </c>
      <c r="BP538" s="177">
        <f>BM538+CJ538</f>
        <v>3</v>
      </c>
      <c r="BQ538" s="177">
        <f>BN538+CL538</f>
        <v>28.901734104046238</v>
      </c>
      <c r="BR538" s="178">
        <f>IF(BS538&gt;0,1,0)</f>
        <v>0</v>
      </c>
      <c r="BS538" s="177">
        <f>VLOOKUP($E538,[9]Current!$1:$1048576,12,FALSE)</f>
        <v>0</v>
      </c>
      <c r="BT538" s="179">
        <f>BS538/$AS538</f>
        <v>0</v>
      </c>
      <c r="BU538" s="178">
        <f>IF(BV538&gt;0,1,0)</f>
        <v>0</v>
      </c>
      <c r="BV538" s="177">
        <f>VLOOKUP($E538,[9]Current!$1:$1048576,13,FALSE)</f>
        <v>0</v>
      </c>
      <c r="BW538" s="177">
        <f>BV538/$AS538</f>
        <v>0</v>
      </c>
      <c r="BX538" s="178">
        <f>IF(BY538&gt;0,1,0)</f>
        <v>1</v>
      </c>
      <c r="BY538" s="177">
        <f>VLOOKUP($E538,[9]Current!$1:$1048576,14,FALSE)</f>
        <v>8</v>
      </c>
      <c r="BZ538" s="177">
        <f>BY538/$AS538</f>
        <v>23.121387283236988</v>
      </c>
      <c r="CA538" s="178">
        <f>IF(CB538&gt;0,1,0)</f>
        <v>1</v>
      </c>
      <c r="CB538" s="177">
        <f>VLOOKUP($E538,[9]Current!$1:$1048576,15,FALSE)</f>
        <v>1</v>
      </c>
      <c r="CC538" s="177">
        <f>CB538/$AS538</f>
        <v>2.8901734104046235</v>
      </c>
      <c r="CD538" s="180">
        <f>IF(CE538&gt;0,1,0)</f>
        <v>0</v>
      </c>
      <c r="CE538" s="177">
        <f>VLOOKUP($E538,[9]Current!$1:$1048576,16,FALSE)</f>
        <v>0</v>
      </c>
      <c r="CF538" s="177">
        <f>CE538/$AS538</f>
        <v>0</v>
      </c>
      <c r="CG538" s="18"/>
      <c r="CH538" s="18"/>
      <c r="CI538" s="18"/>
      <c r="CJ538" s="178">
        <f>IF(CK538&gt;0,1,0)</f>
        <v>1</v>
      </c>
      <c r="CK538" s="177">
        <f>VLOOKUP($E538,[9]Current!$1:$1048576,18,FALSE)</f>
        <v>1</v>
      </c>
      <c r="CL538" s="177">
        <f>CK538/$AS538</f>
        <v>2.8901734104046235</v>
      </c>
      <c r="CS538" s="178">
        <f>IF(CU538&gt;0,1,0)</f>
        <v>0</v>
      </c>
      <c r="CT538" s="177"/>
      <c r="CU538" s="177">
        <f>VLOOKUP($E538,[9]Current!$1:$1048576,17,FALSE)</f>
        <v>0</v>
      </c>
      <c r="CV538" s="177">
        <f>CU538/$AS538</f>
        <v>0</v>
      </c>
      <c r="DF538" s="16" t="e">
        <f>VLOOKUP(K538,'[3]RNA Seq summary tables'!$V$3:$V$99,1,FALSE)</f>
        <v>#N/A</v>
      </c>
      <c r="DG538" s="126" t="s">
        <v>123</v>
      </c>
    </row>
    <row r="539" spans="2:287" ht="16" x14ac:dyDescent="0.2">
      <c r="B539" s="16">
        <v>2018</v>
      </c>
      <c r="C539" s="124">
        <v>43269</v>
      </c>
      <c r="D539" t="s">
        <v>833</v>
      </c>
      <c r="E539" s="37" t="str">
        <f>CONCATENATE(T539,"-",U539,"-",C539)</f>
        <v>SP1-H4-43269</v>
      </c>
      <c r="F539" s="16" t="s">
        <v>227</v>
      </c>
      <c r="G539" s="126" t="s">
        <v>107</v>
      </c>
      <c r="H539" s="126" t="s">
        <v>1108</v>
      </c>
      <c r="J539" s="126">
        <v>1416</v>
      </c>
      <c r="K539" s="126">
        <v>2480</v>
      </c>
      <c r="O539" s="126" t="s">
        <v>119</v>
      </c>
      <c r="P539" s="18" t="s">
        <v>119</v>
      </c>
      <c r="Q539" s="18">
        <v>0</v>
      </c>
      <c r="R539" s="18">
        <f>IF(J539=J538,C539-C538,"")</f>
        <v>16</v>
      </c>
      <c r="T539" s="126" t="s">
        <v>140</v>
      </c>
      <c r="U539" s="126" t="s">
        <v>151</v>
      </c>
      <c r="V539" s="126" t="s">
        <v>114</v>
      </c>
      <c r="X539" s="126" t="s">
        <v>121</v>
      </c>
      <c r="Y539" s="126" t="s">
        <v>110</v>
      </c>
      <c r="Z539" s="126">
        <v>3</v>
      </c>
      <c r="AA539" s="126" t="s">
        <v>119</v>
      </c>
      <c r="AB539" s="126" t="s">
        <v>116</v>
      </c>
      <c r="AC539" s="126" t="s">
        <v>116</v>
      </c>
      <c r="AD539" s="126"/>
      <c r="AE539" s="126"/>
      <c r="AG539" s="16">
        <f>AH539-AI539</f>
        <v>97</v>
      </c>
      <c r="AH539" s="126">
        <v>175</v>
      </c>
      <c r="AI539" s="126">
        <v>78</v>
      </c>
      <c r="AK539" s="126">
        <v>28.5</v>
      </c>
      <c r="AL539" s="126">
        <v>0</v>
      </c>
      <c r="AM539" s="126">
        <v>0</v>
      </c>
      <c r="AN539" s="126">
        <v>0</v>
      </c>
      <c r="AO539" s="16">
        <f>IF(SUM(AL539:AN539)&gt;0,1,0)</f>
        <v>0</v>
      </c>
      <c r="AP539" s="18">
        <f>SUM(AL539:AN539)</f>
        <v>0</v>
      </c>
      <c r="AR539" s="16">
        <v>0.20000000000000018</v>
      </c>
      <c r="AS539" s="16">
        <f>VLOOKUP(E539,'[1]Feces weights'!$D$1:$H$459,5,FALSE)</f>
        <v>0.20000000000000018</v>
      </c>
      <c r="AT539" s="16" t="str">
        <f>VLOOKUP(E539,[2]Current!$A$1:$W$435,7,FALSE)</f>
        <v>TE</v>
      </c>
      <c r="AU539" s="16" t="s">
        <v>1288</v>
      </c>
      <c r="AW539" s="128">
        <f>IF(AX539&gt;0,1,0)</f>
        <v>1</v>
      </c>
      <c r="AX539" s="128">
        <f>SUM(BA539,BM539,CU539)</f>
        <v>4</v>
      </c>
      <c r="AY539" s="128">
        <f>SUM(BB539,BN539,CV539)</f>
        <v>534.99999999999955</v>
      </c>
      <c r="AZ539" s="128">
        <f>IF(BA539&gt;0,1,0)</f>
        <v>1</v>
      </c>
      <c r="BA539" s="128">
        <f>SUM(BC539+BF539+BI539)</f>
        <v>3</v>
      </c>
      <c r="BB539" s="128">
        <f>SUM(BE539,BH539,BK539)</f>
        <v>399.99999999999966</v>
      </c>
      <c r="BC539" s="130">
        <f>IF(BD539&gt;0,1,0)</f>
        <v>1</v>
      </c>
      <c r="BD539" s="128">
        <f>VLOOKUP($E539,[2]Current!$A:$AC,26,FALSE)</f>
        <v>74</v>
      </c>
      <c r="BE539" s="128">
        <f>BD539/$AS539</f>
        <v>369.99999999999966</v>
      </c>
      <c r="BF539" s="130">
        <f>IF(BG539&gt;0,1,0)</f>
        <v>1</v>
      </c>
      <c r="BG539" s="137">
        <f>VLOOKUP($E539,[2]Current!$A:$AC,27,FALSE)</f>
        <v>2</v>
      </c>
      <c r="BH539" s="128">
        <f>BG539/$AS539</f>
        <v>9.9999999999999911</v>
      </c>
      <c r="BI539" s="130">
        <f>IF(BJ539&gt;0,1,0)</f>
        <v>1</v>
      </c>
      <c r="BJ539" s="128">
        <f>VLOOKUP($E539,[2]Current!$A:$AC,28,FALSE)</f>
        <v>4</v>
      </c>
      <c r="BK539" s="128">
        <f>BJ539/$AS539</f>
        <v>19.999999999999982</v>
      </c>
      <c r="BL539" s="128">
        <f>IF(BM539&gt;0,1,0)</f>
        <v>1</v>
      </c>
      <c r="BM539" s="128">
        <f>SUM(BR539,BU539,BX539,CA539,CD539)</f>
        <v>1</v>
      </c>
      <c r="BN539" s="131">
        <f>SUM(BT539,BW539,BZ539,CC539,CF539)</f>
        <v>134.99999999999989</v>
      </c>
      <c r="BO539" s="128">
        <f>IF(BP539&gt;0,1,0)</f>
        <v>1</v>
      </c>
      <c r="BP539" s="128">
        <f>BM539+CJ539</f>
        <v>1</v>
      </c>
      <c r="BQ539" s="128">
        <f>BN539+CL539</f>
        <v>134.99999999999989</v>
      </c>
      <c r="BR539" s="130">
        <f>IF(BS539&gt;0,1,0)</f>
        <v>0</v>
      </c>
      <c r="BS539" s="128">
        <f>VLOOKUP($E539,[2]Current!$A:$AC,12,FALSE)</f>
        <v>0</v>
      </c>
      <c r="BT539" s="137">
        <f>BS539/$AS539</f>
        <v>0</v>
      </c>
      <c r="BU539" s="130">
        <f>IF(BV539&gt;0,1,0)</f>
        <v>0</v>
      </c>
      <c r="BV539" s="128">
        <f>VLOOKUP($E539,[2]Current!$A:$AC,13,FALSE)</f>
        <v>0</v>
      </c>
      <c r="BW539" s="128">
        <f>BV539/$AS539</f>
        <v>0</v>
      </c>
      <c r="BX539" s="130">
        <f>IF(BY539&gt;0,1,0)</f>
        <v>1</v>
      </c>
      <c r="BY539" s="128">
        <f>VLOOKUP($E539,[2]Current!$A:$AC,14,FALSE)</f>
        <v>27</v>
      </c>
      <c r="BZ539" s="128">
        <f>BY539/$AS539</f>
        <v>134.99999999999989</v>
      </c>
      <c r="CA539" s="130">
        <f>IF(CB539&gt;0,1,0)</f>
        <v>0</v>
      </c>
      <c r="CB539" s="128">
        <f>VLOOKUP($E539,[2]Current!$A:$AC,15,FALSE)</f>
        <v>0</v>
      </c>
      <c r="CC539" s="128">
        <f>CB539/$AS539</f>
        <v>0</v>
      </c>
      <c r="CD539" s="174">
        <f>IF(CE539&gt;0,1,0)</f>
        <v>0</v>
      </c>
      <c r="CE539" s="128">
        <f>VLOOKUP($E539,[2]Current!$A:$AC,16,FALSE)</f>
        <v>0</v>
      </c>
      <c r="CF539" s="128">
        <f>CE539/$AS539</f>
        <v>0</v>
      </c>
      <c r="CG539" s="18"/>
      <c r="CH539" s="18"/>
      <c r="CI539" s="18"/>
      <c r="CJ539" s="130">
        <f>IF(CK539&gt;0,1,0)</f>
        <v>0</v>
      </c>
      <c r="CK539" s="128">
        <f>VLOOKUP($E539,[2]Current!$A:$AC,18,FALSE)</f>
        <v>0</v>
      </c>
      <c r="CL539" s="128">
        <f>CK539/$AS539</f>
        <v>0</v>
      </c>
      <c r="CS539" s="130">
        <f>IF(CU539&gt;0,1,0)</f>
        <v>0</v>
      </c>
      <c r="CU539" s="128">
        <f>VLOOKUP($E539,[2]Current!$A:$AC,17,FALSE)</f>
        <v>0</v>
      </c>
      <c r="CV539" s="128">
        <f>CU539/$AS539</f>
        <v>0</v>
      </c>
      <c r="CW539" s="18"/>
      <c r="CX539" s="18"/>
      <c r="CY539" s="18"/>
      <c r="DF539" s="16" t="e">
        <f>VLOOKUP(K539,'[3]RNA Seq summary tables'!$V$3:$V$99,1,FALSE)</f>
        <v>#N/A</v>
      </c>
      <c r="DG539" s="126" t="s">
        <v>116</v>
      </c>
    </row>
    <row r="540" spans="2:287" ht="16" x14ac:dyDescent="0.2">
      <c r="B540" s="16">
        <v>2018</v>
      </c>
      <c r="C540" s="124">
        <v>43233</v>
      </c>
      <c r="D540" t="s">
        <v>709</v>
      </c>
      <c r="E540" s="37" t="str">
        <f>CONCATENATE(T540,"-",U540,"-",C540)</f>
        <v>SP2-B8-43233</v>
      </c>
      <c r="F540" s="16" t="s">
        <v>227</v>
      </c>
      <c r="G540" s="126" t="s">
        <v>107</v>
      </c>
      <c r="H540" s="126"/>
      <c r="J540" s="126">
        <v>1418</v>
      </c>
      <c r="K540" s="126">
        <v>2346</v>
      </c>
      <c r="O540" s="126" t="s">
        <v>119</v>
      </c>
      <c r="P540" s="18" t="s">
        <v>119</v>
      </c>
      <c r="Q540" s="18">
        <v>0</v>
      </c>
      <c r="R540" s="18" t="str">
        <f>IF(J540=J539,C540-C539,"")</f>
        <v/>
      </c>
      <c r="T540" s="126" t="s">
        <v>137</v>
      </c>
      <c r="U540" s="126" t="s">
        <v>209</v>
      </c>
      <c r="V540" s="126" t="s">
        <v>114</v>
      </c>
      <c r="X540" s="126" t="s">
        <v>115</v>
      </c>
      <c r="Y540" s="126" t="s">
        <v>110</v>
      </c>
      <c r="Z540" s="126">
        <v>3</v>
      </c>
      <c r="AA540" s="126"/>
      <c r="AB540" s="126"/>
      <c r="AC540" s="126"/>
      <c r="AD540" s="126"/>
      <c r="AE540" s="126" t="s">
        <v>123</v>
      </c>
      <c r="AG540" s="16">
        <f>AH540-AI540</f>
        <v>88</v>
      </c>
      <c r="AH540" s="126">
        <v>162</v>
      </c>
      <c r="AI540" s="126">
        <v>74</v>
      </c>
      <c r="AK540" s="126">
        <v>21</v>
      </c>
      <c r="AL540" s="126">
        <v>1</v>
      </c>
      <c r="AM540" s="126">
        <v>0</v>
      </c>
      <c r="AN540" s="126">
        <v>0</v>
      </c>
      <c r="AO540" s="16">
        <f>IF(SUM(AL540:AN540)&gt;0,1,0)</f>
        <v>1</v>
      </c>
      <c r="AP540" s="18">
        <f>SUM(AL540:AN540)</f>
        <v>1</v>
      </c>
      <c r="AR540" s="16">
        <v>0.16700000000000004</v>
      </c>
      <c r="AS540" s="16">
        <f>VLOOKUP(E540,'[1]Feces weights'!$D$1:$H$459,5,FALSE)</f>
        <v>0.16700000000000004</v>
      </c>
      <c r="AT540" s="16" t="str">
        <f>VLOOKUP(E540,[9]Current!$A:$T,7,FALSE)</f>
        <v>TE</v>
      </c>
      <c r="AU540" s="18" t="s">
        <v>1290</v>
      </c>
      <c r="AW540" s="177">
        <f>IF(AY540&gt;0,1,0)</f>
        <v>1</v>
      </c>
      <c r="AX540" s="177">
        <f>SUM(BA540,BM540,CU540)</f>
        <v>3</v>
      </c>
      <c r="AY540" s="177">
        <f>SUM(BB540,BN540,CV540)</f>
        <v>101.79640718562871</v>
      </c>
      <c r="AZ540" s="177">
        <f>IF(BB540&gt;0,1,0)</f>
        <v>1</v>
      </c>
      <c r="BA540" s="177">
        <f>SUM(BC540+BF540+BI540)</f>
        <v>1</v>
      </c>
      <c r="BB540" s="177">
        <f>SUM(BE540,BH540,BK540)</f>
        <v>65.868263473053872</v>
      </c>
      <c r="BC540" s="178">
        <f>IF(BD540&gt;0,1,0)</f>
        <v>0</v>
      </c>
      <c r="BD540" s="177">
        <f>VLOOKUP($E540,[9]Current!$1:$1048576,8,FALSE)</f>
        <v>0</v>
      </c>
      <c r="BE540" s="177">
        <f>BD540/$AS540</f>
        <v>0</v>
      </c>
      <c r="BF540" s="178">
        <f>IF(BG540&gt;0,1,0)</f>
        <v>0</v>
      </c>
      <c r="BG540" s="179">
        <f>VLOOKUP($E540,[9]Current!$1:$1048576,9,FALSE)</f>
        <v>0</v>
      </c>
      <c r="BH540" s="177">
        <f>BG540/$AS540</f>
        <v>0</v>
      </c>
      <c r="BI540" s="178">
        <f>IF(BJ540&gt;0,1,0)</f>
        <v>1</v>
      </c>
      <c r="BJ540" s="177">
        <f>VLOOKUP($E540,[9]Current!$1:$1048576,10,FALSE)</f>
        <v>11</v>
      </c>
      <c r="BK540" s="177">
        <f>BJ540/$AS540</f>
        <v>65.868263473053872</v>
      </c>
      <c r="BL540" s="177">
        <f>IF(BM540&gt;0,1,0)</f>
        <v>1</v>
      </c>
      <c r="BM540" s="177">
        <f>SUM(BR540,BU540,BX540,CA540,CD540)</f>
        <v>2</v>
      </c>
      <c r="BN540" s="181">
        <f>SUM(BT540,BW540,BZ540,CC540,CF540)</f>
        <v>35.928143712574837</v>
      </c>
      <c r="BO540" s="177">
        <f>IF(BP540&gt;0,1,0)</f>
        <v>1</v>
      </c>
      <c r="BP540" s="177">
        <f>BM540+CJ540</f>
        <v>2</v>
      </c>
      <c r="BQ540" s="177">
        <f>BN540+CL540</f>
        <v>35.928143712574837</v>
      </c>
      <c r="BR540" s="178">
        <f>IF(BS540&gt;0,1,0)</f>
        <v>1</v>
      </c>
      <c r="BS540" s="177">
        <f>VLOOKUP($E540,[9]Current!$1:$1048576,12,FALSE)</f>
        <v>2</v>
      </c>
      <c r="BT540" s="179">
        <f>BS540/$AS540</f>
        <v>11.976047904191613</v>
      </c>
      <c r="BU540" s="178">
        <f>IF(BV540&gt;0,1,0)</f>
        <v>0</v>
      </c>
      <c r="BV540" s="177">
        <f>VLOOKUP($E540,[9]Current!$1:$1048576,13,FALSE)</f>
        <v>0</v>
      </c>
      <c r="BW540" s="177">
        <f>BV540/$AS540</f>
        <v>0</v>
      </c>
      <c r="BX540" s="178">
        <f>IF(BY540&gt;0,1,0)</f>
        <v>1</v>
      </c>
      <c r="BY540" s="177">
        <f>VLOOKUP($E540,[9]Current!$1:$1048576,14,FALSE)</f>
        <v>4</v>
      </c>
      <c r="BZ540" s="177">
        <f>BY540/$AS540</f>
        <v>23.952095808383227</v>
      </c>
      <c r="CA540" s="178">
        <f>IF(CB540&gt;0,1,0)</f>
        <v>0</v>
      </c>
      <c r="CB540" s="177">
        <f>VLOOKUP($E540,[9]Current!$1:$1048576,15,FALSE)</f>
        <v>0</v>
      </c>
      <c r="CC540" s="177">
        <f>CB540/$AS540</f>
        <v>0</v>
      </c>
      <c r="CD540" s="180">
        <f>IF(CE540&gt;0,1,0)</f>
        <v>0</v>
      </c>
      <c r="CE540" s="177">
        <f>VLOOKUP($E540,[9]Current!$1:$1048576,16,FALSE)</f>
        <v>0</v>
      </c>
      <c r="CF540" s="177">
        <f>CE540/$AS540</f>
        <v>0</v>
      </c>
      <c r="CG540" s="18"/>
      <c r="CH540" s="18"/>
      <c r="CI540" s="18"/>
      <c r="CJ540" s="178">
        <f>IF(CK540&gt;0,1,0)</f>
        <v>0</v>
      </c>
      <c r="CK540" s="177">
        <f>VLOOKUP($E540,[9]Current!$1:$1048576,18,FALSE)</f>
        <v>0</v>
      </c>
      <c r="CL540" s="177">
        <f>CK540/$AS540</f>
        <v>0</v>
      </c>
      <c r="CS540" s="178">
        <f>IF(CU540&gt;0,1,0)</f>
        <v>0</v>
      </c>
      <c r="CT540" s="177"/>
      <c r="CU540" s="177">
        <f>VLOOKUP($E540,[9]Current!$1:$1048576,17,FALSE)</f>
        <v>0</v>
      </c>
      <c r="CV540" s="177">
        <f>CU540/$AS540</f>
        <v>0</v>
      </c>
      <c r="DF540" s="16" t="e">
        <f>VLOOKUP(K540,'[3]RNA Seq summary tables'!$V$3:$V$99,1,FALSE)</f>
        <v>#N/A</v>
      </c>
      <c r="DG540" s="126" t="s">
        <v>116</v>
      </c>
    </row>
    <row r="541" spans="2:287" ht="16" x14ac:dyDescent="0.2">
      <c r="B541" s="16">
        <v>2018</v>
      </c>
      <c r="C541" s="124">
        <v>43270</v>
      </c>
      <c r="D541" t="s">
        <v>838</v>
      </c>
      <c r="E541" s="37" t="str">
        <f>CONCATENATE(T541,"-",U541,"-",C541)</f>
        <v>SP2-A8-43270</v>
      </c>
      <c r="F541" s="16" t="s">
        <v>227</v>
      </c>
      <c r="G541" s="126" t="s">
        <v>107</v>
      </c>
      <c r="H541" s="126"/>
      <c r="J541" s="126">
        <v>1418</v>
      </c>
      <c r="K541" s="126">
        <v>2472</v>
      </c>
      <c r="O541" s="126" t="s">
        <v>119</v>
      </c>
      <c r="P541" s="18" t="s">
        <v>119</v>
      </c>
      <c r="Q541" s="18">
        <v>0</v>
      </c>
      <c r="R541" s="18">
        <f>IF(J541=J540,C541-C540,"")</f>
        <v>37</v>
      </c>
      <c r="T541" s="126" t="s">
        <v>137</v>
      </c>
      <c r="U541" s="126" t="s">
        <v>194</v>
      </c>
      <c r="V541" s="126" t="s">
        <v>114</v>
      </c>
      <c r="X541" s="126" t="s">
        <v>115</v>
      </c>
      <c r="Y541" s="126" t="s">
        <v>110</v>
      </c>
      <c r="Z541" s="126">
        <v>3</v>
      </c>
      <c r="AA541" s="126"/>
      <c r="AB541" s="126"/>
      <c r="AC541" s="126"/>
      <c r="AD541" s="126"/>
      <c r="AE541" s="126" t="s">
        <v>116</v>
      </c>
      <c r="AG541" s="16">
        <f>AH541-AI541</f>
        <v>91</v>
      </c>
      <c r="AH541" s="126">
        <v>165</v>
      </c>
      <c r="AI541" s="126">
        <v>74</v>
      </c>
      <c r="AK541" s="126">
        <v>21</v>
      </c>
      <c r="AL541" s="126">
        <v>0</v>
      </c>
      <c r="AM541" s="126">
        <v>0</v>
      </c>
      <c r="AN541" s="126">
        <v>0</v>
      </c>
      <c r="AO541" s="16">
        <f>IF(SUM(AL541:AN541)&gt;0,1,0)</f>
        <v>0</v>
      </c>
      <c r="AP541" s="18">
        <f>SUM(AL541:AN541)</f>
        <v>0</v>
      </c>
      <c r="AR541" s="16">
        <v>0.30100000000000016</v>
      </c>
      <c r="AS541" s="16">
        <f>VLOOKUP(E541,'[1]Feces weights'!$D$1:$H$459,5,FALSE)</f>
        <v>0.30100000000000016</v>
      </c>
      <c r="AT541" s="16" t="str">
        <f>VLOOKUP(E541,[2]Current!$A$1:$W$435,7,FALSE)</f>
        <v>TE</v>
      </c>
      <c r="AU541" s="16" t="s">
        <v>1288</v>
      </c>
      <c r="AV541" s="23">
        <v>1</v>
      </c>
      <c r="AW541" s="128">
        <f>IF(AX541&gt;0,1,0)</f>
        <v>0</v>
      </c>
      <c r="AX541" s="128">
        <f>SUM(BA541,BM541,CU541)</f>
        <v>0</v>
      </c>
      <c r="AY541" s="128">
        <f>SUM(BB541,BN541,CV541)</f>
        <v>0</v>
      </c>
      <c r="AZ541" s="128">
        <f>IF(BA541&gt;0,1,0)</f>
        <v>0</v>
      </c>
      <c r="BA541" s="128">
        <f>SUM(BC541+BF541+BI541)</f>
        <v>0</v>
      </c>
      <c r="BB541" s="128">
        <f>SUM(BE541,BH541,BK541)</f>
        <v>0</v>
      </c>
      <c r="BC541" s="130">
        <f>IF(BD541&gt;0,1,0)</f>
        <v>0</v>
      </c>
      <c r="BD541" s="128">
        <f>VLOOKUP($E541,[2]Current!$A:$AC,26,FALSE)</f>
        <v>0</v>
      </c>
      <c r="BE541" s="128">
        <f>BD541/$AS541</f>
        <v>0</v>
      </c>
      <c r="BF541" s="130">
        <f>IF(BG541&gt;0,1,0)</f>
        <v>0</v>
      </c>
      <c r="BG541" s="137">
        <f>VLOOKUP($E541,[2]Current!$A:$AC,27,FALSE)</f>
        <v>0</v>
      </c>
      <c r="BH541" s="128">
        <f>BG541/$AS541</f>
        <v>0</v>
      </c>
      <c r="BI541" s="130">
        <f>IF(BJ541&gt;0,1,0)</f>
        <v>0</v>
      </c>
      <c r="BJ541" s="128">
        <f>VLOOKUP($E541,[2]Current!$A:$AC,28,FALSE)</f>
        <v>0</v>
      </c>
      <c r="BK541" s="128">
        <f>BJ541/$AS541</f>
        <v>0</v>
      </c>
      <c r="BL541" s="128">
        <f>IF(BM541&gt;0,1,0)</f>
        <v>0</v>
      </c>
      <c r="BM541" s="128">
        <f>SUM(BR541,BU541,BX541,CA541,CD541)</f>
        <v>0</v>
      </c>
      <c r="BN541" s="131">
        <f>SUM(BT541,BW541,BZ541,CC541,CF541)</f>
        <v>0</v>
      </c>
      <c r="BO541" s="128">
        <f>IF(BP541&gt;0,1,0)</f>
        <v>1</v>
      </c>
      <c r="BP541" s="128">
        <f>BM541+CJ541</f>
        <v>1</v>
      </c>
      <c r="BQ541" s="128">
        <f>BN541+CL541</f>
        <v>3.3222591362126228</v>
      </c>
      <c r="BR541" s="130">
        <f>IF(BS541&gt;0,1,0)</f>
        <v>0</v>
      </c>
      <c r="BS541" s="128">
        <f>VLOOKUP($E541,[2]Current!$A:$AC,12,FALSE)</f>
        <v>0</v>
      </c>
      <c r="BT541" s="137">
        <f>BS541/$AS541</f>
        <v>0</v>
      </c>
      <c r="BU541" s="130">
        <f>IF(BV541&gt;0,1,0)</f>
        <v>0</v>
      </c>
      <c r="BV541" s="128">
        <f>VLOOKUP($E541,[2]Current!$A:$AC,13,FALSE)</f>
        <v>0</v>
      </c>
      <c r="BW541" s="128">
        <f>BV541/$AS541</f>
        <v>0</v>
      </c>
      <c r="BX541" s="130">
        <f>IF(BY541&gt;0,1,0)</f>
        <v>0</v>
      </c>
      <c r="BY541" s="128">
        <f>VLOOKUP($E541,[2]Current!$A:$AC,14,FALSE)</f>
        <v>0</v>
      </c>
      <c r="BZ541" s="128">
        <f>BY541/$AS541</f>
        <v>0</v>
      </c>
      <c r="CA541" s="130">
        <f>IF(CB541&gt;0,1,0)</f>
        <v>0</v>
      </c>
      <c r="CB541" s="128">
        <f>VLOOKUP($E541,[2]Current!$A:$AC,15,FALSE)</f>
        <v>0</v>
      </c>
      <c r="CC541" s="128">
        <f>CB541/$AS541</f>
        <v>0</v>
      </c>
      <c r="CD541" s="174">
        <f>IF(CE541&gt;0,1,0)</f>
        <v>0</v>
      </c>
      <c r="CE541" s="128">
        <f>VLOOKUP($E541,[2]Current!$A:$AC,16,FALSE)</f>
        <v>0</v>
      </c>
      <c r="CF541" s="128">
        <f>CE541/$AS541</f>
        <v>0</v>
      </c>
      <c r="CG541" s="18"/>
      <c r="CH541" s="18"/>
      <c r="CI541" s="18"/>
      <c r="CJ541" s="130">
        <f>IF(CK541&gt;0,1,0)</f>
        <v>1</v>
      </c>
      <c r="CK541" s="128">
        <f>VLOOKUP($E541,[2]Current!$A:$AC,18,FALSE)</f>
        <v>1</v>
      </c>
      <c r="CL541" s="128">
        <f>CK541/$AS541</f>
        <v>3.3222591362126228</v>
      </c>
      <c r="CS541" s="130">
        <f>IF(CU541&gt;0,1,0)</f>
        <v>0</v>
      </c>
      <c r="CU541" s="128">
        <f>VLOOKUP($E541,[2]Current!$A:$AC,17,FALSE)</f>
        <v>0</v>
      </c>
      <c r="CV541" s="128">
        <f>CU541/$AS541</f>
        <v>0</v>
      </c>
      <c r="CW541" s="18"/>
      <c r="CX541" s="18"/>
      <c r="CY541" s="18"/>
      <c r="DF541" s="16" t="e">
        <f>VLOOKUP(K541,'[3]RNA Seq summary tables'!$V$3:$V$99,1,FALSE)</f>
        <v>#N/A</v>
      </c>
      <c r="DG541" s="126" t="s">
        <v>116</v>
      </c>
    </row>
    <row r="542" spans="2:287" ht="16" x14ac:dyDescent="0.2">
      <c r="B542" s="16">
        <v>2018</v>
      </c>
      <c r="C542" s="124">
        <v>43233</v>
      </c>
      <c r="D542" t="s">
        <v>707</v>
      </c>
      <c r="E542" s="142" t="str">
        <f>CONCATENATE(T542,"-",U542,"-",C542)</f>
        <v>SP1-B2-43233</v>
      </c>
      <c r="F542" s="16" t="s">
        <v>227</v>
      </c>
      <c r="G542" s="126" t="s">
        <v>107</v>
      </c>
      <c r="H542" s="126"/>
      <c r="J542" s="126">
        <v>1420</v>
      </c>
      <c r="K542" s="126">
        <v>2347</v>
      </c>
      <c r="O542" s="126" t="s">
        <v>119</v>
      </c>
      <c r="P542" s="18" t="s">
        <v>119</v>
      </c>
      <c r="Q542" s="18">
        <v>0</v>
      </c>
      <c r="R542" s="18" t="str">
        <f>IF(J542=J541,C542-C541,"")</f>
        <v/>
      </c>
      <c r="T542" s="126" t="s">
        <v>140</v>
      </c>
      <c r="U542" s="126" t="s">
        <v>130</v>
      </c>
      <c r="V542" s="126" t="s">
        <v>114</v>
      </c>
      <c r="X542" s="126" t="s">
        <v>121</v>
      </c>
      <c r="Y542" s="126" t="s">
        <v>122</v>
      </c>
      <c r="Z542" s="126">
        <v>2.2999999999999998</v>
      </c>
      <c r="AA542" s="126" t="s">
        <v>119</v>
      </c>
      <c r="AB542" s="126" t="s">
        <v>123</v>
      </c>
      <c r="AC542" s="126" t="s">
        <v>123</v>
      </c>
      <c r="AD542" s="126"/>
      <c r="AE542" s="126"/>
      <c r="AG542" s="16">
        <f>AH542-AI542</f>
        <v>81</v>
      </c>
      <c r="AH542" s="126">
        <v>155</v>
      </c>
      <c r="AI542" s="126">
        <v>74</v>
      </c>
      <c r="AK542" s="126">
        <v>14</v>
      </c>
      <c r="AL542" s="126">
        <v>0</v>
      </c>
      <c r="AM542" s="126">
        <v>1</v>
      </c>
      <c r="AN542" s="126">
        <v>0</v>
      </c>
      <c r="AO542" s="16">
        <f>IF(SUM(AL542:AN542)&gt;0,1,0)</f>
        <v>1</v>
      </c>
      <c r="AP542" s="18">
        <f>SUM(AL542:AN542)</f>
        <v>1</v>
      </c>
      <c r="AR542" s="16">
        <v>1.4000000000000012E-2</v>
      </c>
      <c r="AS542" s="16">
        <f>VLOOKUP(E542,'[1]Feces weights'!$D$1:$H$459,5,FALSE)</f>
        <v>1.4000000000000012E-2</v>
      </c>
      <c r="AT542" s="16" t="e">
        <f>VLOOKUP(E542,[2]Current!$A$1:$W$435,7,FALSE)</f>
        <v>#N/A</v>
      </c>
      <c r="AU542" s="16">
        <v>0</v>
      </c>
      <c r="BG542" s="77"/>
      <c r="BN542" s="126"/>
      <c r="BT542" s="78"/>
      <c r="BV542" s="18"/>
      <c r="BW542" s="25"/>
      <c r="BY542" s="18"/>
      <c r="BZ542" s="25"/>
      <c r="CB542" s="18"/>
      <c r="CC542" s="25"/>
      <c r="CD542" s="77"/>
      <c r="CE542" s="18"/>
      <c r="CF542" s="25"/>
      <c r="CG542" s="18"/>
      <c r="CH542" s="18"/>
      <c r="CI542" s="18"/>
      <c r="CK542" s="18"/>
      <c r="CL542" s="25"/>
      <c r="DF542" s="16" t="e">
        <f>VLOOKUP(K542,'[3]RNA Seq summary tables'!$V$3:$V$99,1,FALSE)</f>
        <v>#N/A</v>
      </c>
      <c r="DG542" s="126" t="s">
        <v>116</v>
      </c>
    </row>
    <row r="543" spans="2:287" ht="16" x14ac:dyDescent="0.2">
      <c r="B543" s="16">
        <v>2018</v>
      </c>
      <c r="C543" s="124">
        <v>43239</v>
      </c>
      <c r="D543" t="s">
        <v>712</v>
      </c>
      <c r="E543" s="37" t="str">
        <f>CONCATENATE(T543,"-",U543,"-",C543)</f>
        <v>BC1-G4-43239</v>
      </c>
      <c r="F543" s="16" t="s">
        <v>227</v>
      </c>
      <c r="G543" s="126" t="s">
        <v>107</v>
      </c>
      <c r="H543" s="126"/>
      <c r="J543" s="126">
        <v>1422</v>
      </c>
      <c r="K543" s="126">
        <v>2349</v>
      </c>
      <c r="O543" s="126" t="s">
        <v>119</v>
      </c>
      <c r="P543" s="18" t="s">
        <v>119</v>
      </c>
      <c r="Q543" s="18">
        <v>0</v>
      </c>
      <c r="R543" s="18" t="str">
        <f>IF(J543=J542,C543-C542,"")</f>
        <v/>
      </c>
      <c r="T543" s="126" t="s">
        <v>159</v>
      </c>
      <c r="U543" s="126" t="s">
        <v>173</v>
      </c>
      <c r="V543" s="126" t="s">
        <v>114</v>
      </c>
      <c r="X543" s="126" t="s">
        <v>121</v>
      </c>
      <c r="Y543" s="126" t="s">
        <v>110</v>
      </c>
      <c r="Z543" s="126">
        <v>3</v>
      </c>
      <c r="AA543" s="126" t="s">
        <v>119</v>
      </c>
      <c r="AB543" s="126" t="s">
        <v>116</v>
      </c>
      <c r="AC543" s="126" t="s">
        <v>123</v>
      </c>
      <c r="AD543" s="126"/>
      <c r="AE543" s="126"/>
      <c r="AG543" s="16">
        <f>AH543-AI543</f>
        <v>95</v>
      </c>
      <c r="AH543" s="126">
        <v>171</v>
      </c>
      <c r="AI543" s="126">
        <v>76</v>
      </c>
      <c r="AK543" s="126">
        <v>23</v>
      </c>
      <c r="AL543" s="126">
        <v>0</v>
      </c>
      <c r="AM543" s="126">
        <v>0</v>
      </c>
      <c r="AN543" s="126">
        <v>0</v>
      </c>
      <c r="AO543" s="16">
        <f>IF(SUM(AL543:AN543)&gt;0,1,0)</f>
        <v>0</v>
      </c>
      <c r="AP543" s="18">
        <f>SUM(AL543:AN543)</f>
        <v>0</v>
      </c>
      <c r="AR543" s="16">
        <v>0.30900000000000016</v>
      </c>
      <c r="AS543" s="16">
        <f>VLOOKUP(E543,'[1]Feces weights'!$D$1:$H$459,5,FALSE)</f>
        <v>0.30900000000000016</v>
      </c>
      <c r="AT543" s="16" t="str">
        <f>VLOOKUP(E543,[9]Current!$A:$T,7,FALSE)</f>
        <v>DP</v>
      </c>
      <c r="AU543" s="18" t="s">
        <v>1290</v>
      </c>
      <c r="AW543" s="177">
        <f>IF(AY543&gt;0,1,0)</f>
        <v>1</v>
      </c>
      <c r="AX543" s="177">
        <f>SUM(BA543,BM543,CU543)</f>
        <v>2</v>
      </c>
      <c r="AY543" s="177">
        <f>SUM(BB543,BN543,CV543)</f>
        <v>22.653721682847888</v>
      </c>
      <c r="AZ543" s="177">
        <f>IF(BB543&gt;0,1,0)</f>
        <v>0</v>
      </c>
      <c r="BA543" s="177">
        <f>SUM(BC543+BF543+BI543)</f>
        <v>0</v>
      </c>
      <c r="BB543" s="177">
        <f>SUM(BE543,BH543,BK543)</f>
        <v>0</v>
      </c>
      <c r="BC543" s="178">
        <f>IF(BD543&gt;0,1,0)</f>
        <v>0</v>
      </c>
      <c r="BD543" s="177">
        <f>VLOOKUP($E543,[9]Current!$1:$1048576,8,FALSE)</f>
        <v>0</v>
      </c>
      <c r="BE543" s="177">
        <f>BD543/$AS543</f>
        <v>0</v>
      </c>
      <c r="BF543" s="178">
        <f>IF(BG543&gt;0,1,0)</f>
        <v>0</v>
      </c>
      <c r="BG543" s="179">
        <f>VLOOKUP($E543,[9]Current!$1:$1048576,9,FALSE)</f>
        <v>0</v>
      </c>
      <c r="BH543" s="177">
        <f>BG543/$AS543</f>
        <v>0</v>
      </c>
      <c r="BI543" s="178">
        <f>IF(BJ543&gt;0,1,0)</f>
        <v>0</v>
      </c>
      <c r="BJ543" s="177">
        <f>VLOOKUP($E543,[9]Current!$1:$1048576,10,FALSE)</f>
        <v>0</v>
      </c>
      <c r="BK543" s="177">
        <f>BJ543/$AS543</f>
        <v>0</v>
      </c>
      <c r="BL543" s="177">
        <f>IF(BM543&gt;0,1,0)</f>
        <v>1</v>
      </c>
      <c r="BM543" s="177">
        <f>SUM(BR543,BU543,BX543,CA543,CD543)</f>
        <v>2</v>
      </c>
      <c r="BN543" s="181">
        <f>SUM(BT543,BW543,BZ543,CC543,CF543)</f>
        <v>22.653721682847888</v>
      </c>
      <c r="BO543" s="177">
        <f>IF(BP543&gt;0,1,0)</f>
        <v>1</v>
      </c>
      <c r="BP543" s="177">
        <f>BM543+CJ543</f>
        <v>3</v>
      </c>
      <c r="BQ543" s="177">
        <f>BN543+CL543</f>
        <v>25.889967637540444</v>
      </c>
      <c r="BR543" s="178">
        <f>IF(BS543&gt;0,1,0)</f>
        <v>0</v>
      </c>
      <c r="BS543" s="177">
        <f>VLOOKUP($E543,[9]Current!$1:$1048576,12,FALSE)</f>
        <v>0</v>
      </c>
      <c r="BT543" s="179">
        <f>BS543/$AS543</f>
        <v>0</v>
      </c>
      <c r="BU543" s="178">
        <f>IF(BV543&gt;0,1,0)</f>
        <v>1</v>
      </c>
      <c r="BV543" s="177">
        <f>VLOOKUP($E543,[9]Current!$1:$1048576,13,FALSE)</f>
        <v>3</v>
      </c>
      <c r="BW543" s="177">
        <f>BV543/$AS543</f>
        <v>9.7087378640776656</v>
      </c>
      <c r="BX543" s="178">
        <f>IF(BY543&gt;0,1,0)</f>
        <v>1</v>
      </c>
      <c r="BY543" s="177">
        <f>VLOOKUP($E543,[9]Current!$1:$1048576,14,FALSE)</f>
        <v>4</v>
      </c>
      <c r="BZ543" s="177">
        <f>BY543/$AS543</f>
        <v>12.94498381877022</v>
      </c>
      <c r="CA543" s="178">
        <f>IF(CB543&gt;0,1,0)</f>
        <v>0</v>
      </c>
      <c r="CB543" s="177">
        <f>VLOOKUP($E543,[9]Current!$1:$1048576,15,FALSE)</f>
        <v>0</v>
      </c>
      <c r="CC543" s="177">
        <f>CB543/$AS543</f>
        <v>0</v>
      </c>
      <c r="CD543" s="180">
        <f>IF(CE543&gt;0,1,0)</f>
        <v>0</v>
      </c>
      <c r="CE543" s="177">
        <f>VLOOKUP($E543,[9]Current!$1:$1048576,16,FALSE)</f>
        <v>0</v>
      </c>
      <c r="CF543" s="177">
        <f>CE543/$AS543</f>
        <v>0</v>
      </c>
      <c r="CG543" s="18"/>
      <c r="CH543" s="18"/>
      <c r="CI543" s="18"/>
      <c r="CJ543" s="178">
        <f>IF(CK543&gt;0,1,0)</f>
        <v>1</v>
      </c>
      <c r="CK543" s="177">
        <f>VLOOKUP($E543,[9]Current!$1:$1048576,18,FALSE)</f>
        <v>1</v>
      </c>
      <c r="CL543" s="177">
        <f>CK543/$AS543</f>
        <v>3.236245954692555</v>
      </c>
      <c r="CS543" s="178">
        <f>IF(CU543&gt;0,1,0)</f>
        <v>0</v>
      </c>
      <c r="CT543" s="177"/>
      <c r="CU543" s="177">
        <f>VLOOKUP($E543,[9]Current!$1:$1048576,17,FALSE)</f>
        <v>0</v>
      </c>
      <c r="CV543" s="177">
        <f>CU543/$AS543</f>
        <v>0</v>
      </c>
      <c r="DF543" s="16" t="e">
        <f>VLOOKUP(K543,'[3]RNA Seq summary tables'!$V$3:$V$99,1,FALSE)</f>
        <v>#N/A</v>
      </c>
      <c r="DG543" s="126" t="s">
        <v>116</v>
      </c>
    </row>
    <row r="544" spans="2:287" ht="16" x14ac:dyDescent="0.2">
      <c r="B544" s="16">
        <v>2018</v>
      </c>
      <c r="C544" s="124">
        <v>43257</v>
      </c>
      <c r="D544" t="s">
        <v>771</v>
      </c>
      <c r="E544" s="37" t="str">
        <f>CONCATENATE(T544,"-",U544,"-",C544)</f>
        <v>BC1-F4-43257</v>
      </c>
      <c r="F544" s="16" t="s">
        <v>227</v>
      </c>
      <c r="G544" s="126" t="s">
        <v>107</v>
      </c>
      <c r="H544" s="126"/>
      <c r="J544" s="126">
        <v>1422</v>
      </c>
      <c r="K544" s="126">
        <v>2407</v>
      </c>
      <c r="O544" s="126" t="s">
        <v>119</v>
      </c>
      <c r="P544" s="18" t="s">
        <v>119</v>
      </c>
      <c r="Q544" s="18">
        <v>0</v>
      </c>
      <c r="R544" s="18">
        <f>IF(J544=J543,C544-C543,"")</f>
        <v>18</v>
      </c>
      <c r="T544" s="126" t="s">
        <v>159</v>
      </c>
      <c r="U544" s="126" t="s">
        <v>184</v>
      </c>
      <c r="V544" s="126" t="s">
        <v>114</v>
      </c>
      <c r="X544" s="126" t="s">
        <v>121</v>
      </c>
      <c r="Y544" s="126" t="s">
        <v>110</v>
      </c>
      <c r="Z544" s="126">
        <v>3</v>
      </c>
      <c r="AA544" s="126" t="s">
        <v>119</v>
      </c>
      <c r="AB544" s="126" t="s">
        <v>116</v>
      </c>
      <c r="AC544" s="126" t="s">
        <v>123</v>
      </c>
      <c r="AD544" s="126"/>
      <c r="AE544" s="126"/>
      <c r="AG544" s="16">
        <f>AH544-AI544</f>
        <v>85</v>
      </c>
      <c r="AH544" s="126">
        <v>161</v>
      </c>
      <c r="AI544" s="126">
        <v>76</v>
      </c>
      <c r="AK544" s="126">
        <v>22</v>
      </c>
      <c r="AL544" s="126">
        <v>0</v>
      </c>
      <c r="AM544" s="126">
        <v>0</v>
      </c>
      <c r="AN544" s="126">
        <v>0</v>
      </c>
      <c r="AO544" s="16">
        <f>IF(SUM(AL544:AN544)&gt;0,1,0)</f>
        <v>0</v>
      </c>
      <c r="AP544" s="18">
        <f>SUM(AL544:AN544)</f>
        <v>0</v>
      </c>
      <c r="AR544" s="16">
        <v>0.17800000000000016</v>
      </c>
      <c r="AS544" s="16">
        <f>VLOOKUP(E544,'[1]Feces weights'!$D$1:$H$459,5,FALSE)</f>
        <v>0.17800000000000016</v>
      </c>
      <c r="AT544" s="16" t="str">
        <f>VLOOKUP(E544,[2]Current!$A$1:$W$435,7,FALSE)</f>
        <v>TE</v>
      </c>
      <c r="AU544" s="16" t="s">
        <v>1288</v>
      </c>
      <c r="AW544" s="128">
        <f>IF(AX544&gt;0,1,0)</f>
        <v>1</v>
      </c>
      <c r="AX544" s="128">
        <f>SUM(BA544,BM544,CU544)</f>
        <v>2</v>
      </c>
      <c r="AY544" s="128">
        <f>SUM(BB544,BN544,CV544)</f>
        <v>28.089887640449412</v>
      </c>
      <c r="AZ544" s="128">
        <f>IF(BA544&gt;0,1,0)</f>
        <v>1</v>
      </c>
      <c r="BA544" s="128">
        <f>SUM(BC544+BF544+BI544)</f>
        <v>1</v>
      </c>
      <c r="BB544" s="128">
        <f>SUM(BE544,BH544,BK544)</f>
        <v>22.471910112359531</v>
      </c>
      <c r="BC544" s="130">
        <f>IF(BD544&gt;0,1,0)</f>
        <v>1</v>
      </c>
      <c r="BD544" s="128">
        <f>VLOOKUP($E544,[2]Current!$A:$AC,26,FALSE)</f>
        <v>4</v>
      </c>
      <c r="BE544" s="128">
        <f>BD544/$AS544</f>
        <v>22.471910112359531</v>
      </c>
      <c r="BF544" s="130">
        <f>IF(BG544&gt;0,1,0)</f>
        <v>0</v>
      </c>
      <c r="BG544" s="137">
        <f>VLOOKUP($E544,[2]Current!$A:$AC,27,FALSE)</f>
        <v>0</v>
      </c>
      <c r="BH544" s="128">
        <f>BG544/$AS544</f>
        <v>0</v>
      </c>
      <c r="BI544" s="130">
        <f>IF(BJ544&gt;0,1,0)</f>
        <v>0</v>
      </c>
      <c r="BJ544" s="128">
        <f>VLOOKUP($E544,[2]Current!$A:$AC,28,FALSE)</f>
        <v>0</v>
      </c>
      <c r="BK544" s="128">
        <f>BJ544/$AS544</f>
        <v>0</v>
      </c>
      <c r="BL544" s="128">
        <f>IF(BM544&gt;0,1,0)</f>
        <v>1</v>
      </c>
      <c r="BM544" s="128">
        <f>SUM(BR544,BU544,BX544,CA544,CD544)</f>
        <v>1</v>
      </c>
      <c r="BN544" s="131">
        <f>SUM(BT544,BW544,BZ544,CC544,CF544)</f>
        <v>5.6179775280898827</v>
      </c>
      <c r="BO544" s="128">
        <f>IF(BP544&gt;0,1,0)</f>
        <v>1</v>
      </c>
      <c r="BP544" s="128">
        <f>BM544+CJ544</f>
        <v>1</v>
      </c>
      <c r="BQ544" s="128">
        <f>BN544+CL544</f>
        <v>5.6179775280898827</v>
      </c>
      <c r="BR544" s="130">
        <f>IF(BS544&gt;0,1,0)</f>
        <v>0</v>
      </c>
      <c r="BS544" s="128">
        <f>VLOOKUP($E544,[2]Current!$A:$AC,12,FALSE)</f>
        <v>0</v>
      </c>
      <c r="BT544" s="137">
        <f>BS544/$AS544</f>
        <v>0</v>
      </c>
      <c r="BU544" s="130">
        <f>IF(BV544&gt;0,1,0)</f>
        <v>0</v>
      </c>
      <c r="BV544" s="128">
        <f>VLOOKUP($E544,[2]Current!$A:$AC,13,FALSE)</f>
        <v>0</v>
      </c>
      <c r="BW544" s="128">
        <f>BV544/$AS544</f>
        <v>0</v>
      </c>
      <c r="BX544" s="130">
        <f>IF(BY544&gt;0,1,0)</f>
        <v>1</v>
      </c>
      <c r="BY544" s="128">
        <f>VLOOKUP($E544,[2]Current!$A:$AC,14,FALSE)</f>
        <v>1</v>
      </c>
      <c r="BZ544" s="128">
        <f>BY544/$AS544</f>
        <v>5.6179775280898827</v>
      </c>
      <c r="CA544" s="130">
        <f>IF(CB544&gt;0,1,0)</f>
        <v>0</v>
      </c>
      <c r="CB544" s="128">
        <f>VLOOKUP($E544,[2]Current!$A:$AC,15,FALSE)</f>
        <v>0</v>
      </c>
      <c r="CC544" s="128">
        <f>CB544/$AS544</f>
        <v>0</v>
      </c>
      <c r="CD544" s="174">
        <f>IF(CE544&gt;0,1,0)</f>
        <v>0</v>
      </c>
      <c r="CE544" s="128">
        <f>VLOOKUP($E544,[2]Current!$A:$AC,16,FALSE)</f>
        <v>0</v>
      </c>
      <c r="CF544" s="128">
        <f>CE544/$AS544</f>
        <v>0</v>
      </c>
      <c r="CG544" s="18"/>
      <c r="CH544" s="18"/>
      <c r="CI544" s="18"/>
      <c r="CJ544" s="130">
        <f>IF(CK544&gt;0,1,0)</f>
        <v>0</v>
      </c>
      <c r="CK544" s="128">
        <f>VLOOKUP($E544,[2]Current!$A:$AC,18,FALSE)</f>
        <v>0</v>
      </c>
      <c r="CL544" s="128">
        <f>CK544/$AS544</f>
        <v>0</v>
      </c>
      <c r="CS544" s="130">
        <f>IF(CU544&gt;0,1,0)</f>
        <v>0</v>
      </c>
      <c r="CU544" s="128">
        <f>VLOOKUP($E544,[2]Current!$A:$AC,17,FALSE)</f>
        <v>0</v>
      </c>
      <c r="CV544" s="128">
        <f>CU544/$AS544</f>
        <v>0</v>
      </c>
      <c r="CW544" s="18"/>
      <c r="CX544" s="18"/>
      <c r="CY544" s="18"/>
      <c r="DF544" s="16" t="e">
        <f>VLOOKUP(K544,'[3]RNA Seq summary tables'!$V$3:$V$99,1,FALSE)</f>
        <v>#N/A</v>
      </c>
      <c r="DG544" s="126" t="s">
        <v>123</v>
      </c>
    </row>
    <row r="545" spans="2:288" ht="16" x14ac:dyDescent="0.2">
      <c r="B545" s="16">
        <v>2018</v>
      </c>
      <c r="C545" s="124">
        <v>43274</v>
      </c>
      <c r="D545" t="s">
        <v>845</v>
      </c>
      <c r="E545" s="37" t="str">
        <f>CONCATENATE(T545,"-",U545,"-",C545)</f>
        <v>BC1-B3-43274</v>
      </c>
      <c r="F545" s="16" t="s">
        <v>227</v>
      </c>
      <c r="G545" s="126" t="s">
        <v>107</v>
      </c>
      <c r="H545" s="126"/>
      <c r="J545" s="126">
        <v>1422</v>
      </c>
      <c r="K545" s="126">
        <v>2482</v>
      </c>
      <c r="O545" s="126" t="s">
        <v>119</v>
      </c>
      <c r="P545" s="18" t="s">
        <v>119</v>
      </c>
      <c r="Q545" s="18">
        <v>0</v>
      </c>
      <c r="R545" s="18">
        <f>IF(J545=J544,C545-C544,"")</f>
        <v>17</v>
      </c>
      <c r="T545" s="126" t="s">
        <v>159</v>
      </c>
      <c r="U545" s="126" t="s">
        <v>131</v>
      </c>
      <c r="V545" s="126" t="s">
        <v>114</v>
      </c>
      <c r="X545" s="126" t="s">
        <v>121</v>
      </c>
      <c r="Y545" s="126" t="s">
        <v>110</v>
      </c>
      <c r="Z545" s="126">
        <v>3</v>
      </c>
      <c r="AA545" s="126" t="s">
        <v>119</v>
      </c>
      <c r="AB545" s="126" t="s">
        <v>123</v>
      </c>
      <c r="AC545" s="126" t="s">
        <v>116</v>
      </c>
      <c r="AD545" s="126"/>
      <c r="AE545" s="126"/>
      <c r="AG545" s="16">
        <f>AH545-AI545</f>
        <v>90</v>
      </c>
      <c r="AH545" s="126">
        <v>165</v>
      </c>
      <c r="AI545" s="126">
        <v>75</v>
      </c>
      <c r="AK545" s="126">
        <v>23.5</v>
      </c>
      <c r="AL545" s="126">
        <v>0</v>
      </c>
      <c r="AM545" s="126">
        <v>0</v>
      </c>
      <c r="AN545" s="126">
        <v>0</v>
      </c>
      <c r="AO545" s="16">
        <f>IF(SUM(AL545:AN545)&gt;0,1,0)</f>
        <v>0</v>
      </c>
      <c r="AP545" s="18">
        <f>SUM(AL545:AN545)</f>
        <v>0</v>
      </c>
      <c r="AR545" s="16">
        <v>0.19600000000000017</v>
      </c>
      <c r="AS545" s="16">
        <f>VLOOKUP(E545,'[1]Feces weights'!$D$1:$H$459,5,FALSE)</f>
        <v>0.19600000000000017</v>
      </c>
      <c r="AT545" s="16" t="str">
        <f>VLOOKUP(E545,[2]Current!$A$1:$W$435,7,FALSE)</f>
        <v>LV</v>
      </c>
      <c r="AU545" s="16" t="s">
        <v>1288</v>
      </c>
      <c r="AV545" s="23">
        <v>1</v>
      </c>
      <c r="AW545" s="128">
        <f>IF(AX545&gt;0,1,0)</f>
        <v>0</v>
      </c>
      <c r="AX545" s="128">
        <f>SUM(BA545,BM545,CU545)</f>
        <v>0</v>
      </c>
      <c r="AY545" s="128">
        <f>SUM(BB545,BN545,CV545)</f>
        <v>0</v>
      </c>
      <c r="AZ545" s="128">
        <f>IF(BA545&gt;0,1,0)</f>
        <v>0</v>
      </c>
      <c r="BA545" s="128">
        <f>SUM(BC545+BF545+BI545)</f>
        <v>0</v>
      </c>
      <c r="BB545" s="128">
        <f>SUM(BE545,BH545,BK545)</f>
        <v>0</v>
      </c>
      <c r="BC545" s="130">
        <f>IF(BD545&gt;0,1,0)</f>
        <v>0</v>
      </c>
      <c r="BD545" s="128">
        <f>VLOOKUP($E545,[2]Current!$A:$AC,26,FALSE)</f>
        <v>0</v>
      </c>
      <c r="BE545" s="128">
        <f>BD545/$AS545</f>
        <v>0</v>
      </c>
      <c r="BF545" s="130">
        <f>IF(BG545&gt;0,1,0)</f>
        <v>0</v>
      </c>
      <c r="BG545" s="137">
        <f>VLOOKUP($E545,[2]Current!$A:$AC,27,FALSE)</f>
        <v>0</v>
      </c>
      <c r="BH545" s="128">
        <f>BG545/$AS545</f>
        <v>0</v>
      </c>
      <c r="BI545" s="130">
        <f>IF(BJ545&gt;0,1,0)</f>
        <v>0</v>
      </c>
      <c r="BJ545" s="128">
        <f>VLOOKUP($E545,[2]Current!$A:$AC,28,FALSE)</f>
        <v>0</v>
      </c>
      <c r="BK545" s="128">
        <f>BJ545/$AS545</f>
        <v>0</v>
      </c>
      <c r="BL545" s="128">
        <f>IF(BM545&gt;0,1,0)</f>
        <v>0</v>
      </c>
      <c r="BM545" s="128">
        <f>SUM(BR545,BU545,BX545,CA545,CD545)</f>
        <v>0</v>
      </c>
      <c r="BN545" s="131">
        <f>SUM(BT545,BW545,BZ545,CC545,CF545)</f>
        <v>0</v>
      </c>
      <c r="BO545" s="128">
        <f>IF(BP545&gt;0,1,0)</f>
        <v>0</v>
      </c>
      <c r="BP545" s="128">
        <f>BM545+CJ545</f>
        <v>0</v>
      </c>
      <c r="BQ545" s="128">
        <f>BN545+CL545</f>
        <v>0</v>
      </c>
      <c r="BR545" s="130">
        <f>IF(BS545&gt;0,1,0)</f>
        <v>0</v>
      </c>
      <c r="BS545" s="128">
        <f>VLOOKUP($E545,[2]Current!$A:$AC,12,FALSE)</f>
        <v>0</v>
      </c>
      <c r="BT545" s="137">
        <f>BS545/$AS545</f>
        <v>0</v>
      </c>
      <c r="BU545" s="130">
        <f>IF(BV545&gt;0,1,0)</f>
        <v>0</v>
      </c>
      <c r="BV545" s="128">
        <f>VLOOKUP($E545,[2]Current!$A:$AC,13,FALSE)</f>
        <v>0</v>
      </c>
      <c r="BW545" s="128">
        <f>BV545/$AS545</f>
        <v>0</v>
      </c>
      <c r="BX545" s="130">
        <f>IF(BY545&gt;0,1,0)</f>
        <v>0</v>
      </c>
      <c r="BY545" s="128">
        <f>VLOOKUP($E545,[2]Current!$A:$AC,14,FALSE)</f>
        <v>0</v>
      </c>
      <c r="BZ545" s="128">
        <f>BY545/$AS545</f>
        <v>0</v>
      </c>
      <c r="CA545" s="130">
        <f>IF(CB545&gt;0,1,0)</f>
        <v>0</v>
      </c>
      <c r="CB545" s="128">
        <f>VLOOKUP($E545,[2]Current!$A:$AC,15,FALSE)</f>
        <v>0</v>
      </c>
      <c r="CC545" s="128">
        <f>CB545/$AS545</f>
        <v>0</v>
      </c>
      <c r="CD545" s="174">
        <f>IF(CE545&gt;0,1,0)</f>
        <v>0</v>
      </c>
      <c r="CE545" s="128">
        <f>VLOOKUP($E545,[2]Current!$A:$AC,16,FALSE)</f>
        <v>0</v>
      </c>
      <c r="CF545" s="128">
        <f>CE545/$AS545</f>
        <v>0</v>
      </c>
      <c r="CG545" s="18"/>
      <c r="CH545" s="18"/>
      <c r="CI545" s="18"/>
      <c r="CJ545" s="130">
        <f>IF(CK545&gt;0,1,0)</f>
        <v>0</v>
      </c>
      <c r="CK545" s="128">
        <f>VLOOKUP($E545,[2]Current!$A:$AC,18,FALSE)</f>
        <v>0</v>
      </c>
      <c r="CL545" s="128">
        <f>CK545/$AS545</f>
        <v>0</v>
      </c>
      <c r="CS545" s="130">
        <f>IF(CU545&gt;0,1,0)</f>
        <v>0</v>
      </c>
      <c r="CU545" s="128">
        <f>VLOOKUP($E545,[2]Current!$A:$AC,17,FALSE)</f>
        <v>0</v>
      </c>
      <c r="CV545" s="128">
        <f>CU545/$AS545</f>
        <v>0</v>
      </c>
      <c r="CW545" s="18"/>
      <c r="CX545" s="18"/>
      <c r="CY545" s="18"/>
      <c r="DF545" s="16" t="e">
        <f>VLOOKUP(K545,'[3]RNA Seq summary tables'!$V$3:$V$99,1,FALSE)</f>
        <v>#N/A</v>
      </c>
      <c r="DG545" s="126" t="s">
        <v>116</v>
      </c>
    </row>
    <row r="546" spans="2:288" ht="16" x14ac:dyDescent="0.2">
      <c r="B546" s="16">
        <v>2018</v>
      </c>
      <c r="C546" s="124">
        <v>43239</v>
      </c>
      <c r="D546" t="s">
        <v>716</v>
      </c>
      <c r="E546" s="37" t="str">
        <f>CONCATENATE(T546,"-",U546,"-",C546)</f>
        <v>BC2-D7-43239</v>
      </c>
      <c r="F546" s="16" t="s">
        <v>227</v>
      </c>
      <c r="G546" s="126" t="s">
        <v>107</v>
      </c>
      <c r="H546" s="126"/>
      <c r="J546" s="127">
        <v>1424</v>
      </c>
      <c r="K546" s="126">
        <v>2351</v>
      </c>
      <c r="O546" s="126" t="s">
        <v>119</v>
      </c>
      <c r="P546" s="18" t="s">
        <v>119</v>
      </c>
      <c r="Q546" s="18">
        <v>0</v>
      </c>
      <c r="R546" s="18" t="str">
        <f>IF(J546=J545,C546-C545,"")</f>
        <v/>
      </c>
      <c r="T546" s="126" t="s">
        <v>154</v>
      </c>
      <c r="U546" s="126" t="s">
        <v>177</v>
      </c>
      <c r="V546" s="131" t="s">
        <v>142</v>
      </c>
      <c r="X546" s="126" t="s">
        <v>121</v>
      </c>
      <c r="Y546" s="126" t="s">
        <v>110</v>
      </c>
      <c r="Z546" s="126">
        <v>3</v>
      </c>
      <c r="AA546" s="126" t="s">
        <v>119</v>
      </c>
      <c r="AB546" s="126" t="s">
        <v>123</v>
      </c>
      <c r="AC546" s="126" t="s">
        <v>116</v>
      </c>
      <c r="AD546" s="126"/>
      <c r="AE546" s="126"/>
      <c r="AG546" s="16">
        <f>AH546-AI546</f>
        <v>74</v>
      </c>
      <c r="AH546" s="126">
        <v>151</v>
      </c>
      <c r="AI546" s="126">
        <v>77</v>
      </c>
      <c r="AK546" s="126">
        <v>13.5</v>
      </c>
      <c r="AL546" s="126">
        <v>1</v>
      </c>
      <c r="AM546" s="126">
        <v>0</v>
      </c>
      <c r="AN546" s="126">
        <v>0</v>
      </c>
      <c r="AO546" s="16">
        <f>IF(SUM(AL546:AN546)&gt;0,1,0)</f>
        <v>1</v>
      </c>
      <c r="AP546" s="18">
        <f>SUM(AL546:AN546)</f>
        <v>1</v>
      </c>
      <c r="AR546" s="16">
        <v>0.53499999999999992</v>
      </c>
      <c r="AS546" s="16">
        <f>VLOOKUP(E546,'[1]Feces weights'!$D$1:$H$459,5,FALSE)</f>
        <v>0.53499999999999992</v>
      </c>
      <c r="AT546" s="16" t="str">
        <f>VLOOKUP(E546,[9]Current!$A:$T,7,FALSE)</f>
        <v>TE</v>
      </c>
      <c r="AU546" s="18" t="s">
        <v>1290</v>
      </c>
      <c r="AW546" s="177">
        <f>IF(AY546&gt;0,1,0)</f>
        <v>1</v>
      </c>
      <c r="AX546" s="177">
        <f>SUM(BA546,BM546,CU546)</f>
        <v>2</v>
      </c>
      <c r="AY546" s="177">
        <f>SUM(BB546,BN546,CV546)</f>
        <v>93.45794392523365</v>
      </c>
      <c r="AZ546" s="177">
        <f>IF(BB546&gt;0,1,0)</f>
        <v>1</v>
      </c>
      <c r="BA546" s="177">
        <f>SUM(BC546+BF546+BI546)</f>
        <v>2</v>
      </c>
      <c r="BB546" s="177">
        <f>SUM(BE546,BH546,BK546)</f>
        <v>93.45794392523365</v>
      </c>
      <c r="BC546" s="178">
        <f>IF(BD546&gt;0,1,0)</f>
        <v>0</v>
      </c>
      <c r="BD546" s="177">
        <f>VLOOKUP($E546,[9]Current!$1:$1048576,8,FALSE)</f>
        <v>0</v>
      </c>
      <c r="BE546" s="177">
        <f>BD546/$AS546</f>
        <v>0</v>
      </c>
      <c r="BF546" s="178">
        <f>IF(BG546&gt;0,1,0)</f>
        <v>1</v>
      </c>
      <c r="BG546" s="179">
        <f>VLOOKUP($E546,[9]Current!$1:$1048576,9,FALSE)</f>
        <v>9</v>
      </c>
      <c r="BH546" s="177">
        <f>BG546/$AS546</f>
        <v>16.822429906542059</v>
      </c>
      <c r="BI546" s="178">
        <f>IF(BJ546&gt;0,1,0)</f>
        <v>1</v>
      </c>
      <c r="BJ546" s="177">
        <f>VLOOKUP($E546,[9]Current!$1:$1048576,10,FALSE)</f>
        <v>41</v>
      </c>
      <c r="BK546" s="177">
        <f>BJ546/$AS546</f>
        <v>76.635514018691595</v>
      </c>
      <c r="BL546" s="177">
        <f>IF(BM546&gt;0,1,0)</f>
        <v>0</v>
      </c>
      <c r="BM546" s="177">
        <f>SUM(BR546,BU546,BX546,CA546,CD546)</f>
        <v>0</v>
      </c>
      <c r="BN546" s="181">
        <f>SUM(BT546,BW546,BZ546,CC546,CF546)</f>
        <v>0</v>
      </c>
      <c r="BO546" s="177">
        <f>IF(BP546&gt;0,1,0)</f>
        <v>0</v>
      </c>
      <c r="BP546" s="177">
        <f>BM546+CJ546</f>
        <v>0</v>
      </c>
      <c r="BQ546" s="177">
        <f>BN546+CL546</f>
        <v>0</v>
      </c>
      <c r="BR546" s="178">
        <f>IF(BS546&gt;0,1,0)</f>
        <v>0</v>
      </c>
      <c r="BS546" s="177">
        <f>VLOOKUP($E546,[9]Current!$1:$1048576,12,FALSE)</f>
        <v>0</v>
      </c>
      <c r="BT546" s="179">
        <f>BS546/$AS546</f>
        <v>0</v>
      </c>
      <c r="BU546" s="178">
        <f>IF(BV546&gt;0,1,0)</f>
        <v>0</v>
      </c>
      <c r="BV546" s="177">
        <f>VLOOKUP($E546,[9]Current!$1:$1048576,13,FALSE)</f>
        <v>0</v>
      </c>
      <c r="BW546" s="177">
        <f>BV546/$AS546</f>
        <v>0</v>
      </c>
      <c r="BX546" s="178">
        <f>IF(BY546&gt;0,1,0)</f>
        <v>0</v>
      </c>
      <c r="BY546" s="177">
        <f>VLOOKUP($E546,[9]Current!$1:$1048576,14,FALSE)</f>
        <v>0</v>
      </c>
      <c r="BZ546" s="177">
        <f>BY546/$AS546</f>
        <v>0</v>
      </c>
      <c r="CA546" s="178">
        <f>IF(CB546&gt;0,1,0)</f>
        <v>0</v>
      </c>
      <c r="CB546" s="177">
        <f>VLOOKUP($E546,[9]Current!$1:$1048576,15,FALSE)</f>
        <v>0</v>
      </c>
      <c r="CC546" s="177">
        <f>CB546/$AS546</f>
        <v>0</v>
      </c>
      <c r="CD546" s="180">
        <f>IF(CE546&gt;0,1,0)</f>
        <v>0</v>
      </c>
      <c r="CE546" s="177">
        <f>VLOOKUP($E546,[9]Current!$1:$1048576,16,FALSE)</f>
        <v>0</v>
      </c>
      <c r="CF546" s="177">
        <f>CE546/$AS546</f>
        <v>0</v>
      </c>
      <c r="CG546" s="18"/>
      <c r="CH546" s="18"/>
      <c r="CI546" s="18"/>
      <c r="CJ546" s="178">
        <f>IF(CK546&gt;0,1,0)</f>
        <v>0</v>
      </c>
      <c r="CK546" s="177">
        <f>VLOOKUP($E546,[9]Current!$1:$1048576,18,FALSE)</f>
        <v>0</v>
      </c>
      <c r="CL546" s="177">
        <f>CK546/$AS546</f>
        <v>0</v>
      </c>
      <c r="CS546" s="178">
        <f>IF(CU546&gt;0,1,0)</f>
        <v>0</v>
      </c>
      <c r="CT546" s="177"/>
      <c r="CU546" s="177">
        <f>VLOOKUP($E546,[9]Current!$1:$1048576,17,FALSE)</f>
        <v>0</v>
      </c>
      <c r="CV546" s="177">
        <f>CU546/$AS546</f>
        <v>0</v>
      </c>
      <c r="DF546" s="16" t="e">
        <f>VLOOKUP(K546,'[3]RNA Seq summary tables'!$V$3:$V$99,1,FALSE)</f>
        <v>#N/A</v>
      </c>
      <c r="DG546" s="126" t="s">
        <v>116</v>
      </c>
    </row>
    <row r="547" spans="2:288" ht="16" x14ac:dyDescent="0.2">
      <c r="B547" s="16">
        <v>2018</v>
      </c>
      <c r="C547" s="124">
        <v>43259</v>
      </c>
      <c r="D547" t="s">
        <v>777</v>
      </c>
      <c r="E547" s="37" t="str">
        <f>CONCATENATE(T547,"-",U547,"-",C547)</f>
        <v>BC2-E7-43259</v>
      </c>
      <c r="F547" s="16" t="s">
        <v>227</v>
      </c>
      <c r="G547" s="126" t="s">
        <v>107</v>
      </c>
      <c r="H547" s="126"/>
      <c r="J547" s="127">
        <v>1424</v>
      </c>
      <c r="K547" s="126">
        <v>2416</v>
      </c>
      <c r="O547" s="126" t="s">
        <v>119</v>
      </c>
      <c r="P547" s="18" t="s">
        <v>119</v>
      </c>
      <c r="Q547" s="18">
        <v>0</v>
      </c>
      <c r="R547" s="18">
        <f>IF(J547=J546,C547-C546,"")</f>
        <v>20</v>
      </c>
      <c r="T547" s="126" t="s">
        <v>154</v>
      </c>
      <c r="U547" s="126" t="s">
        <v>135</v>
      </c>
      <c r="V547" s="126" t="s">
        <v>114</v>
      </c>
      <c r="X547" s="126" t="s">
        <v>121</v>
      </c>
      <c r="Y547" s="126" t="s">
        <v>110</v>
      </c>
      <c r="Z547" s="126">
        <v>3</v>
      </c>
      <c r="AA547" s="126" t="s">
        <v>119</v>
      </c>
      <c r="AB547" s="126" t="s">
        <v>123</v>
      </c>
      <c r="AC547" s="126" t="s">
        <v>116</v>
      </c>
      <c r="AD547" s="126"/>
      <c r="AE547" s="126"/>
      <c r="AG547" s="16">
        <f>AH547-AI547</f>
        <v>81</v>
      </c>
      <c r="AH547" s="126">
        <v>157</v>
      </c>
      <c r="AI547" s="126">
        <v>76</v>
      </c>
      <c r="AK547" s="126">
        <v>16</v>
      </c>
      <c r="AL547" s="126">
        <v>0</v>
      </c>
      <c r="AM547" s="126">
        <v>0</v>
      </c>
      <c r="AN547" s="126">
        <v>0</v>
      </c>
      <c r="AO547" s="16">
        <f>IF(SUM(AL547:AN547)&gt;0,1,0)</f>
        <v>0</v>
      </c>
      <c r="AP547" s="18">
        <f>SUM(AL547:AN547)</f>
        <v>0</v>
      </c>
      <c r="AR547" s="16">
        <v>0.13700000000000001</v>
      </c>
      <c r="AS547" s="16">
        <f>VLOOKUP(E547,'[1]Feces weights'!$D$1:$H$459,5,FALSE)</f>
        <v>0.13700000000000001</v>
      </c>
      <c r="AT547" s="16" t="str">
        <f>VLOOKUP(E547,[9]Current!$A:$T,7,FALSE)</f>
        <v>JB</v>
      </c>
      <c r="AU547" s="18" t="s">
        <v>1290</v>
      </c>
      <c r="AW547" s="177">
        <f>IF(AY547&gt;0,1,0)</f>
        <v>1</v>
      </c>
      <c r="AX547" s="177">
        <f>SUM(BA547,BM547,CU547)</f>
        <v>3</v>
      </c>
      <c r="AY547" s="177">
        <f>SUM(BB547,BN547,CV547)</f>
        <v>7999.9999999999991</v>
      </c>
      <c r="AZ547" s="177">
        <f>IF(BB547&gt;0,1,0)</f>
        <v>1</v>
      </c>
      <c r="BA547" s="177">
        <f>SUM(BC547+BF547+BI547)</f>
        <v>3</v>
      </c>
      <c r="BB547" s="177">
        <f>SUM(BE547,BH547,BK547)</f>
        <v>7999.9999999999991</v>
      </c>
      <c r="BC547" s="178">
        <f>IF(BD547&gt;0,1,0)</f>
        <v>1</v>
      </c>
      <c r="BD547" s="177">
        <f>VLOOKUP($E547,[9]Current!$1:$1048576,8,FALSE)</f>
        <v>344</v>
      </c>
      <c r="BE547" s="177">
        <f>BD547/$AS547</f>
        <v>2510.9489051094888</v>
      </c>
      <c r="BF547" s="178">
        <f>IF(BG547&gt;0,1,0)</f>
        <v>1</v>
      </c>
      <c r="BG547" s="179">
        <f>VLOOKUP($E547,[9]Current!$1:$1048576,9,FALSE)</f>
        <v>728</v>
      </c>
      <c r="BH547" s="177">
        <f>BG547/$AS547</f>
        <v>5313.8686131386858</v>
      </c>
      <c r="BI547" s="178">
        <f>IF(BJ547&gt;0,1,0)</f>
        <v>1</v>
      </c>
      <c r="BJ547" s="177">
        <f>VLOOKUP($E547,[9]Current!$1:$1048576,10,FALSE)</f>
        <v>24</v>
      </c>
      <c r="BK547" s="177">
        <f>BJ547/$AS547</f>
        <v>175.18248175182481</v>
      </c>
      <c r="BL547" s="177">
        <f>IF(BM547&gt;0,1,0)</f>
        <v>0</v>
      </c>
      <c r="BM547" s="177">
        <f>SUM(BR547,BU547,BX547,CA547,CD547)</f>
        <v>0</v>
      </c>
      <c r="BN547" s="181">
        <f>SUM(BT547,BW547,BZ547,CC547,CF547)</f>
        <v>0</v>
      </c>
      <c r="BO547" s="177">
        <f>IF(BP547&gt;0,1,0)</f>
        <v>0</v>
      </c>
      <c r="BP547" s="177">
        <f>BM547+CJ547</f>
        <v>0</v>
      </c>
      <c r="BQ547" s="177">
        <f>BN547+CL547</f>
        <v>0</v>
      </c>
      <c r="BR547" s="178">
        <f>IF(BS547&gt;0,1,0)</f>
        <v>0</v>
      </c>
      <c r="BS547" s="177">
        <f>VLOOKUP($E547,[9]Current!$1:$1048576,12,FALSE)</f>
        <v>0</v>
      </c>
      <c r="BT547" s="179">
        <f>BS547/$AS547</f>
        <v>0</v>
      </c>
      <c r="BU547" s="178">
        <f>IF(BV547&gt;0,1,0)</f>
        <v>0</v>
      </c>
      <c r="BV547" s="177">
        <f>VLOOKUP($E547,[9]Current!$1:$1048576,13,FALSE)</f>
        <v>0</v>
      </c>
      <c r="BW547" s="177">
        <f>BV547/$AS547</f>
        <v>0</v>
      </c>
      <c r="BX547" s="178">
        <f>IF(BY547&gt;0,1,0)</f>
        <v>0</v>
      </c>
      <c r="BY547" s="177">
        <f>VLOOKUP($E547,[9]Current!$1:$1048576,14,FALSE)</f>
        <v>0</v>
      </c>
      <c r="BZ547" s="177">
        <f>BY547/$AS547</f>
        <v>0</v>
      </c>
      <c r="CA547" s="178">
        <f>IF(CB547&gt;0,1,0)</f>
        <v>0</v>
      </c>
      <c r="CB547" s="177">
        <f>VLOOKUP($E547,[9]Current!$1:$1048576,15,FALSE)</f>
        <v>0</v>
      </c>
      <c r="CC547" s="177">
        <f>CB547/$AS547</f>
        <v>0</v>
      </c>
      <c r="CD547" s="180">
        <f>IF(CE547&gt;0,1,0)</f>
        <v>0</v>
      </c>
      <c r="CE547" s="177">
        <f>VLOOKUP($E547,[9]Current!$1:$1048576,16,FALSE)</f>
        <v>0</v>
      </c>
      <c r="CF547" s="177">
        <f>CE547/$AS547</f>
        <v>0</v>
      </c>
      <c r="CG547" s="18"/>
      <c r="CH547" s="18"/>
      <c r="CI547" s="18"/>
      <c r="CJ547" s="178">
        <f>IF(CK547&gt;0,1,0)</f>
        <v>0</v>
      </c>
      <c r="CK547" s="177">
        <f>VLOOKUP($E547,[9]Current!$1:$1048576,18,FALSE)</f>
        <v>0</v>
      </c>
      <c r="CL547" s="177">
        <f>CK547/$AS547</f>
        <v>0</v>
      </c>
      <c r="CS547" s="178">
        <f>IF(CU547&gt;0,1,0)</f>
        <v>0</v>
      </c>
      <c r="CT547" s="177"/>
      <c r="CU547" s="177">
        <f>VLOOKUP($E547,[9]Current!$1:$1048576,17,FALSE)</f>
        <v>0</v>
      </c>
      <c r="CV547" s="177">
        <f>CU547/$AS547</f>
        <v>0</v>
      </c>
      <c r="DF547" s="16" t="e">
        <f>VLOOKUP(K547,'[3]RNA Seq summary tables'!$V$3:$V$99,1,FALSE)</f>
        <v>#N/A</v>
      </c>
      <c r="DG547" s="126" t="s">
        <v>116</v>
      </c>
    </row>
    <row r="548" spans="2:288" ht="16" x14ac:dyDescent="0.2">
      <c r="B548" s="16">
        <v>2018</v>
      </c>
      <c r="C548" s="124">
        <v>43275</v>
      </c>
      <c r="D548" t="s">
        <v>856</v>
      </c>
      <c r="E548" s="37" t="str">
        <f>CONCATENATE(T548,"-",U548,"-",C548)</f>
        <v>BC2-B7-43275</v>
      </c>
      <c r="F548" s="16" t="s">
        <v>227</v>
      </c>
      <c r="G548" s="126" t="s">
        <v>107</v>
      </c>
      <c r="H548" s="126" t="s">
        <v>1113</v>
      </c>
      <c r="J548" s="127">
        <v>1424</v>
      </c>
      <c r="K548" s="126">
        <v>2494</v>
      </c>
      <c r="O548" s="126" t="s">
        <v>119</v>
      </c>
      <c r="P548" s="18" t="s">
        <v>119</v>
      </c>
      <c r="Q548" s="18">
        <v>0</v>
      </c>
      <c r="R548" s="18">
        <f>IF(J548=J547,C548-C547,"")</f>
        <v>16</v>
      </c>
      <c r="T548" s="126" t="s">
        <v>154</v>
      </c>
      <c r="U548" s="126" t="s">
        <v>168</v>
      </c>
      <c r="V548" s="131" t="s">
        <v>142</v>
      </c>
      <c r="X548" s="126" t="s">
        <v>121</v>
      </c>
      <c r="Y548" s="126" t="s">
        <v>110</v>
      </c>
      <c r="Z548" s="126">
        <v>3</v>
      </c>
      <c r="AA548" s="126" t="s">
        <v>119</v>
      </c>
      <c r="AB548" s="126" t="s">
        <v>123</v>
      </c>
      <c r="AC548" s="126" t="s">
        <v>116</v>
      </c>
      <c r="AD548" s="126"/>
      <c r="AE548" s="126"/>
      <c r="AG548" s="16">
        <f>AH548-AI548</f>
        <v>87</v>
      </c>
      <c r="AH548" s="126">
        <v>164</v>
      </c>
      <c r="AI548" s="126">
        <v>77</v>
      </c>
      <c r="AK548" s="126">
        <v>15.5</v>
      </c>
      <c r="AL548" s="126">
        <v>0</v>
      </c>
      <c r="AM548" s="126">
        <v>0</v>
      </c>
      <c r="AN548" s="126">
        <v>0</v>
      </c>
      <c r="AO548" s="16">
        <f>IF(SUM(AL548:AN548)&gt;0,1,0)</f>
        <v>0</v>
      </c>
      <c r="AP548" s="18">
        <f>SUM(AL548:AN548)</f>
        <v>0</v>
      </c>
      <c r="AR548" s="16">
        <v>0.25</v>
      </c>
      <c r="AS548" s="16">
        <f>VLOOKUP(E548,'[1]Feces weights'!$D$1:$H$459,5,FALSE)</f>
        <v>0.25</v>
      </c>
      <c r="AT548" s="16" t="str">
        <f>VLOOKUP(E548,[2]Current!$A$1:$W$435,7,FALSE)</f>
        <v>DP</v>
      </c>
      <c r="AU548" s="16" t="s">
        <v>1288</v>
      </c>
      <c r="AW548" s="128">
        <f>IF(AX548&gt;0,1,0)</f>
        <v>1</v>
      </c>
      <c r="AX548" s="128">
        <f>SUM(BA548,BM548,CU548)</f>
        <v>3</v>
      </c>
      <c r="AY548" s="128">
        <f>SUM(BB548,BN548,CV548)</f>
        <v>3280</v>
      </c>
      <c r="AZ548" s="128">
        <f>IF(BA548&gt;0,1,0)</f>
        <v>1</v>
      </c>
      <c r="BA548" s="128">
        <f>SUM(BC548+BF548+BI548)</f>
        <v>3</v>
      </c>
      <c r="BB548" s="128">
        <f>SUM(BE548,BH548,BK548)</f>
        <v>3280</v>
      </c>
      <c r="BC548" s="130">
        <f>IF(BD548&gt;0,1,0)</f>
        <v>1</v>
      </c>
      <c r="BD548" s="128">
        <f>VLOOKUP($E548,[2]Current!$A:$AC,26,FALSE)</f>
        <v>8</v>
      </c>
      <c r="BE548" s="128">
        <f>BD548/$AS548</f>
        <v>32</v>
      </c>
      <c r="BF548" s="130">
        <f>IF(BG548&gt;0,1,0)</f>
        <v>1</v>
      </c>
      <c r="BG548" s="137">
        <f>VLOOKUP($E548,[2]Current!$A:$AC,27,FALSE)</f>
        <v>792</v>
      </c>
      <c r="BH548" s="128">
        <f>BG548/$AS548</f>
        <v>3168</v>
      </c>
      <c r="BI548" s="130">
        <f>IF(BJ548&gt;0,1,0)</f>
        <v>1</v>
      </c>
      <c r="BJ548" s="128">
        <f>VLOOKUP($E548,[2]Current!$A:$AC,28,FALSE)</f>
        <v>20</v>
      </c>
      <c r="BK548" s="128">
        <f>BJ548/$AS548</f>
        <v>80</v>
      </c>
      <c r="BL548" s="128">
        <f>IF(BM548&gt;0,1,0)</f>
        <v>0</v>
      </c>
      <c r="BM548" s="128">
        <f>SUM(BR548,BU548,BX548,CA548,CD548)</f>
        <v>0</v>
      </c>
      <c r="BN548" s="131">
        <f>SUM(BT548,BW548,BZ548,CC548,CF548)</f>
        <v>0</v>
      </c>
      <c r="BO548" s="128">
        <f>IF(BP548&gt;0,1,0)</f>
        <v>0</v>
      </c>
      <c r="BP548" s="128">
        <f>BM548+CJ548</f>
        <v>0</v>
      </c>
      <c r="BQ548" s="128">
        <f>BN548+CL548</f>
        <v>0</v>
      </c>
      <c r="BR548" s="130">
        <f>IF(BS548&gt;0,1,0)</f>
        <v>0</v>
      </c>
      <c r="BS548" s="128">
        <f>VLOOKUP($E548,[2]Current!$A:$AC,12,FALSE)</f>
        <v>0</v>
      </c>
      <c r="BT548" s="137">
        <f>BS548/$AS548</f>
        <v>0</v>
      </c>
      <c r="BU548" s="130">
        <f>IF(BV548&gt;0,1,0)</f>
        <v>0</v>
      </c>
      <c r="BV548" s="128">
        <f>VLOOKUP($E548,[2]Current!$A:$AC,13,FALSE)</f>
        <v>0</v>
      </c>
      <c r="BW548" s="128">
        <f>BV548/$AS548</f>
        <v>0</v>
      </c>
      <c r="BX548" s="130">
        <f>IF(BY548&gt;0,1,0)</f>
        <v>0</v>
      </c>
      <c r="BY548" s="128">
        <f>VLOOKUP($E548,[2]Current!$A:$AC,14,FALSE)</f>
        <v>0</v>
      </c>
      <c r="BZ548" s="128">
        <f>BY548/$AS548</f>
        <v>0</v>
      </c>
      <c r="CA548" s="130">
        <f>IF(CB548&gt;0,1,0)</f>
        <v>0</v>
      </c>
      <c r="CB548" s="128">
        <f>VLOOKUP($E548,[2]Current!$A:$AC,15,FALSE)</f>
        <v>0</v>
      </c>
      <c r="CC548" s="128">
        <f>CB548/$AS548</f>
        <v>0</v>
      </c>
      <c r="CD548" s="174">
        <f>IF(CE548&gt;0,1,0)</f>
        <v>0</v>
      </c>
      <c r="CE548" s="128">
        <f>VLOOKUP($E548,[2]Current!$A:$AC,16,FALSE)</f>
        <v>0</v>
      </c>
      <c r="CF548" s="128">
        <f>CE548/$AS548</f>
        <v>0</v>
      </c>
      <c r="CG548" s="18"/>
      <c r="CH548" s="18"/>
      <c r="CI548" s="18"/>
      <c r="CJ548" s="130">
        <f>IF(CK548&gt;0,1,0)</f>
        <v>0</v>
      </c>
      <c r="CK548" s="128">
        <f>VLOOKUP($E548,[2]Current!$A:$AC,18,FALSE)</f>
        <v>0</v>
      </c>
      <c r="CL548" s="128">
        <f>CK548/$AS548</f>
        <v>0</v>
      </c>
      <c r="CS548" s="130">
        <f>IF(CU548&gt;0,1,0)</f>
        <v>0</v>
      </c>
      <c r="CU548" s="128">
        <f>VLOOKUP($E548,[2]Current!$A:$AC,17,FALSE)</f>
        <v>0</v>
      </c>
      <c r="CV548" s="128">
        <f>CU548/$AS548</f>
        <v>0</v>
      </c>
      <c r="CW548" s="18"/>
      <c r="CX548" s="18"/>
      <c r="CY548" s="18"/>
      <c r="DF548" s="16" t="e">
        <f>VLOOKUP(K548,'[3]RNA Seq summary tables'!$V$3:$V$99,1,FALSE)</f>
        <v>#N/A</v>
      </c>
      <c r="DG548" s="126" t="s">
        <v>116</v>
      </c>
      <c r="JR548" s="18"/>
      <c r="JS548" s="18"/>
      <c r="JT548" s="18"/>
      <c r="JU548" s="18"/>
      <c r="JV548" s="18"/>
      <c r="JW548" s="18"/>
      <c r="JX548" s="18"/>
      <c r="JY548" s="18"/>
      <c r="JZ548" s="18"/>
      <c r="KA548" s="18"/>
      <c r="KB548" s="18"/>
    </row>
    <row r="549" spans="2:288" ht="16" x14ac:dyDescent="0.2">
      <c r="B549" s="16">
        <v>2018</v>
      </c>
      <c r="C549" s="124">
        <v>43292</v>
      </c>
      <c r="D549" t="s">
        <v>943</v>
      </c>
      <c r="E549" s="37" t="str">
        <f>CONCATENATE(T549,"-",U549,"-",C549)</f>
        <v>BC2-E5-43292</v>
      </c>
      <c r="F549" s="16" t="s">
        <v>227</v>
      </c>
      <c r="G549" s="126" t="s">
        <v>107</v>
      </c>
      <c r="H549" s="126"/>
      <c r="J549" s="126">
        <v>1424</v>
      </c>
      <c r="K549" s="126">
        <v>2586</v>
      </c>
      <c r="O549" s="126" t="s">
        <v>119</v>
      </c>
      <c r="P549" s="18" t="s">
        <v>119</v>
      </c>
      <c r="Q549" s="18">
        <v>0</v>
      </c>
      <c r="R549" s="18">
        <f>IF(J549=J548,C549-C548,"")</f>
        <v>17</v>
      </c>
      <c r="T549" s="126" t="s">
        <v>154</v>
      </c>
      <c r="U549" s="126" t="s">
        <v>158</v>
      </c>
      <c r="V549" s="126" t="s">
        <v>142</v>
      </c>
      <c r="X549" s="126" t="s">
        <v>121</v>
      </c>
      <c r="Y549" s="126" t="s">
        <v>110</v>
      </c>
      <c r="Z549" s="126">
        <v>3</v>
      </c>
      <c r="AA549" s="126" t="s">
        <v>119</v>
      </c>
      <c r="AB549" s="126" t="s">
        <v>116</v>
      </c>
      <c r="AC549" s="126" t="s">
        <v>123</v>
      </c>
      <c r="AD549" s="126"/>
      <c r="AE549" s="126"/>
      <c r="AG549" s="16">
        <f>AH549-AI549</f>
        <v>79</v>
      </c>
      <c r="AH549" s="126">
        <v>158</v>
      </c>
      <c r="AI549" s="126">
        <v>79</v>
      </c>
      <c r="AK549" s="126">
        <v>14</v>
      </c>
      <c r="AL549" s="126">
        <v>1</v>
      </c>
      <c r="AM549" s="126">
        <v>0</v>
      </c>
      <c r="AN549" s="126">
        <v>0</v>
      </c>
      <c r="AO549" s="16">
        <f>IF(SUM(AL549:AN549)&gt;0,1,0)</f>
        <v>1</v>
      </c>
      <c r="AP549" s="18">
        <f>SUM(AL549:AN549)</f>
        <v>1</v>
      </c>
      <c r="AR549" s="16">
        <v>0.16000000000000014</v>
      </c>
      <c r="AS549" s="16">
        <f>VLOOKUP(E549,'[1]Feces weights'!$D$1:$H$459,5,FALSE)</f>
        <v>0.16000000000000014</v>
      </c>
      <c r="AT549" s="16" t="str">
        <f>VLOOKUP(E549,[2]Current!$A$1:$W$435,7,FALSE)</f>
        <v>DP</v>
      </c>
      <c r="AU549" s="16" t="s">
        <v>1288</v>
      </c>
      <c r="AW549" s="128">
        <f>IF(AX549&gt;0,1,0)</f>
        <v>1</v>
      </c>
      <c r="AX549" s="128">
        <f>SUM(BA549,BM549,CU549)</f>
        <v>1</v>
      </c>
      <c r="AY549" s="128">
        <f>SUM(BB549,BN549,CV549)</f>
        <v>1062.4999999999991</v>
      </c>
      <c r="AZ549" s="128">
        <f>IF(BA549&gt;0,1,0)</f>
        <v>1</v>
      </c>
      <c r="BA549" s="128">
        <f>SUM(BC549+BF549+BI549)</f>
        <v>1</v>
      </c>
      <c r="BB549" s="128">
        <f>SUM(BE549,BH549,BK549)</f>
        <v>1062.4999999999991</v>
      </c>
      <c r="BC549" s="130">
        <f>IF(BD549&gt;0,1,0)</f>
        <v>0</v>
      </c>
      <c r="BD549" s="128">
        <f>VLOOKUP($E549,[2]Current!$A:$AC,26,FALSE)</f>
        <v>0</v>
      </c>
      <c r="BE549" s="128">
        <f>BD549/$AS549</f>
        <v>0</v>
      </c>
      <c r="BF549" s="130">
        <f>IF(BG549&gt;0,1,0)</f>
        <v>1</v>
      </c>
      <c r="BG549" s="137">
        <f>VLOOKUP($E549,[2]Current!$A:$AC,27,FALSE)</f>
        <v>170</v>
      </c>
      <c r="BH549" s="128">
        <f>BG549/$AS549</f>
        <v>1062.4999999999991</v>
      </c>
      <c r="BI549" s="130">
        <f>IF(BJ549&gt;0,1,0)</f>
        <v>0</v>
      </c>
      <c r="BJ549" s="128">
        <f>VLOOKUP($E549,[2]Current!$A:$AC,28,FALSE)</f>
        <v>0</v>
      </c>
      <c r="BK549" s="128">
        <f>BJ549/$AS549</f>
        <v>0</v>
      </c>
      <c r="BL549" s="128">
        <f>IF(BM549&gt;0,1,0)</f>
        <v>0</v>
      </c>
      <c r="BM549" s="128">
        <f>SUM(BR549,BU549,BX549,CA549,CD549)</f>
        <v>0</v>
      </c>
      <c r="BN549" s="131">
        <f>SUM(BT549,BW549,BZ549,CC549,CF549)</f>
        <v>0</v>
      </c>
      <c r="BO549" s="128">
        <f>IF(BP549&gt;0,1,0)</f>
        <v>0</v>
      </c>
      <c r="BP549" s="128">
        <f>BM549+CJ549</f>
        <v>0</v>
      </c>
      <c r="BQ549" s="128">
        <f>BN549+CL549</f>
        <v>0</v>
      </c>
      <c r="BR549" s="130">
        <f>IF(BS549&gt;0,1,0)</f>
        <v>0</v>
      </c>
      <c r="BS549" s="128">
        <f>VLOOKUP($E549,[2]Current!$A:$AC,12,FALSE)</f>
        <v>0</v>
      </c>
      <c r="BT549" s="137">
        <f>BS549/$AS549</f>
        <v>0</v>
      </c>
      <c r="BU549" s="130">
        <f>IF(BV549&gt;0,1,0)</f>
        <v>0</v>
      </c>
      <c r="BV549" s="128">
        <f>VLOOKUP($E549,[2]Current!$A:$AC,13,FALSE)</f>
        <v>0</v>
      </c>
      <c r="BW549" s="128">
        <f>BV549/$AS549</f>
        <v>0</v>
      </c>
      <c r="BX549" s="130">
        <f>IF(BY549&gt;0,1,0)</f>
        <v>0</v>
      </c>
      <c r="BY549" s="128">
        <f>VLOOKUP($E549,[2]Current!$A:$AC,14,FALSE)</f>
        <v>0</v>
      </c>
      <c r="BZ549" s="128">
        <f>BY549/$AS549</f>
        <v>0</v>
      </c>
      <c r="CA549" s="130">
        <f>IF(CB549&gt;0,1,0)</f>
        <v>0</v>
      </c>
      <c r="CB549" s="128">
        <f>VLOOKUP($E549,[2]Current!$A:$AC,15,FALSE)</f>
        <v>0</v>
      </c>
      <c r="CC549" s="128">
        <f>CB549/$AS549</f>
        <v>0</v>
      </c>
      <c r="CD549" s="174">
        <f>IF(CE549&gt;0,1,0)</f>
        <v>0</v>
      </c>
      <c r="CE549" s="128">
        <f>VLOOKUP($E549,[2]Current!$A:$AC,16,FALSE)</f>
        <v>0</v>
      </c>
      <c r="CF549" s="128">
        <f>CE549/$AS549</f>
        <v>0</v>
      </c>
      <c r="CG549" s="18"/>
      <c r="CH549" s="18"/>
      <c r="CI549" s="18"/>
      <c r="CJ549" s="130">
        <f>IF(CK549&gt;0,1,0)</f>
        <v>0</v>
      </c>
      <c r="CK549" s="128">
        <f>VLOOKUP($E549,[2]Current!$A:$AC,18,FALSE)</f>
        <v>0</v>
      </c>
      <c r="CL549" s="128">
        <f>CK549/$AS549</f>
        <v>0</v>
      </c>
      <c r="CS549" s="130">
        <f>IF(CU549&gt;0,1,0)</f>
        <v>0</v>
      </c>
      <c r="CU549" s="128">
        <f>VLOOKUP($E549,[2]Current!$A:$AC,17,FALSE)</f>
        <v>0</v>
      </c>
      <c r="CV549" s="128">
        <f>CU549/$AS549</f>
        <v>0</v>
      </c>
      <c r="CW549" s="18"/>
      <c r="CX549" s="18"/>
      <c r="CY549" s="18"/>
      <c r="DF549" s="16" t="e">
        <f>VLOOKUP(K549,'[3]RNA Seq summary tables'!$V$3:$V$99,1,FALSE)</f>
        <v>#N/A</v>
      </c>
      <c r="DG549" s="126" t="s">
        <v>116</v>
      </c>
    </row>
    <row r="550" spans="2:288" ht="16" x14ac:dyDescent="0.2">
      <c r="B550" s="16">
        <v>2018</v>
      </c>
      <c r="C550" s="124">
        <v>43304</v>
      </c>
      <c r="D550" t="s">
        <v>1043</v>
      </c>
      <c r="E550" s="37" t="str">
        <f>CONCATENATE(T550,"-",U550,"-",C550)</f>
        <v>BC2-E8-43304</v>
      </c>
      <c r="F550" s="16" t="s">
        <v>227</v>
      </c>
      <c r="G550" s="126" t="s">
        <v>107</v>
      </c>
      <c r="H550" s="126" t="s">
        <v>1150</v>
      </c>
      <c r="J550" s="126">
        <v>1424</v>
      </c>
      <c r="K550" s="126">
        <v>2683</v>
      </c>
      <c r="O550" s="126" t="s">
        <v>119</v>
      </c>
      <c r="P550" s="18" t="s">
        <v>119</v>
      </c>
      <c r="Q550" s="18">
        <v>0</v>
      </c>
      <c r="R550" s="18">
        <f>IF(J550=J549,C550-C549,"")</f>
        <v>12</v>
      </c>
      <c r="T550" s="126" t="s">
        <v>154</v>
      </c>
      <c r="U550" s="126" t="s">
        <v>181</v>
      </c>
      <c r="V550" s="126" t="s">
        <v>142</v>
      </c>
      <c r="X550" s="126" t="s">
        <v>121</v>
      </c>
      <c r="Y550" s="126" t="s">
        <v>110</v>
      </c>
      <c r="Z550" s="126">
        <v>3</v>
      </c>
      <c r="AA550" s="126" t="s">
        <v>119</v>
      </c>
      <c r="AB550" s="126" t="s">
        <v>116</v>
      </c>
      <c r="AC550" s="126" t="s">
        <v>123</v>
      </c>
      <c r="AD550" s="126"/>
      <c r="AE550" s="126"/>
      <c r="AG550" s="40">
        <f>AH550-AI550</f>
        <v>81</v>
      </c>
      <c r="AH550" s="126">
        <v>160</v>
      </c>
      <c r="AI550" s="126">
        <v>79</v>
      </c>
      <c r="AK550" s="126">
        <v>16</v>
      </c>
      <c r="AL550" s="126">
        <v>0</v>
      </c>
      <c r="AM550" s="126">
        <v>0</v>
      </c>
      <c r="AN550" s="126">
        <v>0</v>
      </c>
      <c r="AO550" s="16">
        <f>IF(SUM(AL550:AN550)&gt;0,1,0)</f>
        <v>0</v>
      </c>
      <c r="AP550" s="18">
        <f>SUM(AL550:AN550)</f>
        <v>0</v>
      </c>
      <c r="AR550" s="16">
        <v>0.31100000000000017</v>
      </c>
      <c r="AS550" s="16">
        <f>VLOOKUP(E550,'[1]Feces weights'!$D$1:$H$459,5,FALSE)</f>
        <v>0.31100000000000017</v>
      </c>
      <c r="AT550" s="16" t="str">
        <f>VLOOKUP(E550,[2]Current!$A$1:$W$435,7,FALSE)</f>
        <v>NB</v>
      </c>
      <c r="AU550" s="16" t="s">
        <v>1288</v>
      </c>
      <c r="AV550" s="23"/>
      <c r="AW550" s="128">
        <f>IF(AX550&gt;0,1,0)</f>
        <v>1</v>
      </c>
      <c r="AX550" s="128">
        <f>SUM(BA550,BM550,CU550)</f>
        <v>1</v>
      </c>
      <c r="AY550" s="128">
        <f>SUM(BB550,BN550,CV550)</f>
        <v>3.2154340836012847</v>
      </c>
      <c r="AZ550" s="128">
        <f>IF(BA550&gt;0,1,0)</f>
        <v>0</v>
      </c>
      <c r="BA550" s="128">
        <f>SUM(BC550+BF550+BI550)</f>
        <v>0</v>
      </c>
      <c r="BB550" s="128">
        <f>SUM(BE550,BH550,BK550)</f>
        <v>0</v>
      </c>
      <c r="BC550" s="130">
        <f>IF(BD550&gt;0,1,0)</f>
        <v>0</v>
      </c>
      <c r="BD550" s="128">
        <f>VLOOKUP($E550,[2]Current!$A:$AC,26,FALSE)</f>
        <v>0</v>
      </c>
      <c r="BE550" s="128">
        <f>BD550/$AS550</f>
        <v>0</v>
      </c>
      <c r="BF550" s="130">
        <f>IF(BG550&gt;0,1,0)</f>
        <v>0</v>
      </c>
      <c r="BG550" s="137">
        <f>VLOOKUP($E550,[2]Current!$A:$AC,27,FALSE)</f>
        <v>0</v>
      </c>
      <c r="BH550" s="128">
        <f>BG550/$AS550</f>
        <v>0</v>
      </c>
      <c r="BI550" s="130">
        <f>IF(BJ550&gt;0,1,0)</f>
        <v>0</v>
      </c>
      <c r="BJ550" s="128">
        <f>VLOOKUP($E550,[2]Current!$A:$AC,28,FALSE)</f>
        <v>0</v>
      </c>
      <c r="BK550" s="128">
        <f>BJ550/$AS550</f>
        <v>0</v>
      </c>
      <c r="BL550" s="128">
        <f>IF(BM550&gt;0,1,0)</f>
        <v>1</v>
      </c>
      <c r="BM550" s="128">
        <f>SUM(BR550,BU550,BX550,CA550,CD550)</f>
        <v>1</v>
      </c>
      <c r="BN550" s="131">
        <f>SUM(BT550,BW550,BZ550,CC550,CF550)</f>
        <v>3.2154340836012847</v>
      </c>
      <c r="BO550" s="128">
        <f>IF(BP550&gt;0,1,0)</f>
        <v>1</v>
      </c>
      <c r="BP550" s="128">
        <f>BM550+CJ550</f>
        <v>2</v>
      </c>
      <c r="BQ550" s="128">
        <f>BN550+CL550</f>
        <v>6.4308681672025694</v>
      </c>
      <c r="BR550" s="130">
        <f>IF(BS550&gt;0,1,0)</f>
        <v>0</v>
      </c>
      <c r="BS550" s="128">
        <f>VLOOKUP($E550,[2]Current!$A:$AC,12,FALSE)</f>
        <v>0</v>
      </c>
      <c r="BT550" s="137">
        <f>BS550/$AS550</f>
        <v>0</v>
      </c>
      <c r="BU550" s="130">
        <f>IF(BV550&gt;0,1,0)</f>
        <v>0</v>
      </c>
      <c r="BV550" s="128">
        <f>VLOOKUP($E550,[2]Current!$A:$AC,13,FALSE)</f>
        <v>0</v>
      </c>
      <c r="BW550" s="128">
        <f>BV550/$AS550</f>
        <v>0</v>
      </c>
      <c r="BX550" s="130">
        <f>IF(BY550&gt;0,1,0)</f>
        <v>0</v>
      </c>
      <c r="BY550" s="128">
        <f>VLOOKUP($E550,[2]Current!$A:$AC,14,FALSE)</f>
        <v>0</v>
      </c>
      <c r="BZ550" s="128">
        <f>BY550/$AS550</f>
        <v>0</v>
      </c>
      <c r="CA550" s="130">
        <f>IF(CB550&gt;0,1,0)</f>
        <v>1</v>
      </c>
      <c r="CB550" s="128">
        <f>VLOOKUP($E550,[2]Current!$A:$AC,15,FALSE)</f>
        <v>1</v>
      </c>
      <c r="CC550" s="128">
        <f>CB550/$AS550</f>
        <v>3.2154340836012847</v>
      </c>
      <c r="CD550" s="174">
        <f>IF(CE550&gt;0,1,0)</f>
        <v>0</v>
      </c>
      <c r="CE550" s="128">
        <f>VLOOKUP($E550,[2]Current!$A:$AC,16,FALSE)</f>
        <v>0</v>
      </c>
      <c r="CF550" s="128">
        <f>CE550/$AS550</f>
        <v>0</v>
      </c>
      <c r="CG550" s="18"/>
      <c r="CH550" s="18"/>
      <c r="CI550" s="18"/>
      <c r="CJ550" s="130">
        <f>IF(CK550&gt;0,1,0)</f>
        <v>1</v>
      </c>
      <c r="CK550" s="128">
        <f>VLOOKUP($E550,[2]Current!$A:$AC,18,FALSE)</f>
        <v>1</v>
      </c>
      <c r="CL550" s="128">
        <f>CK550/$AS550</f>
        <v>3.2154340836012847</v>
      </c>
      <c r="CS550" s="130">
        <f>IF(CU550&gt;0,1,0)</f>
        <v>0</v>
      </c>
      <c r="CU550" s="128">
        <f>VLOOKUP($E550,[2]Current!$A:$AC,17,FALSE)</f>
        <v>0</v>
      </c>
      <c r="CV550" s="128">
        <f>CU550/$AS550</f>
        <v>0</v>
      </c>
      <c r="CW550" s="18"/>
      <c r="CX550" s="18"/>
      <c r="CY550" s="18"/>
      <c r="DF550" s="16" t="e">
        <f>VLOOKUP(K550,'[3]RNA Seq summary tables'!$V$3:$V$99,1,FALSE)</f>
        <v>#N/A</v>
      </c>
      <c r="DG550" s="126" t="s">
        <v>123</v>
      </c>
      <c r="JR550" s="41"/>
      <c r="JS550" s="41"/>
      <c r="JT550" s="41"/>
      <c r="JU550" s="41"/>
      <c r="JV550" s="41"/>
      <c r="JW550" s="41"/>
      <c r="JX550" s="41"/>
      <c r="JY550" s="41"/>
      <c r="JZ550" s="41"/>
      <c r="KA550" s="41"/>
      <c r="KB550" s="41"/>
    </row>
    <row r="551" spans="2:288" ht="16" x14ac:dyDescent="0.2">
      <c r="B551" s="16">
        <v>2018</v>
      </c>
      <c r="C551" s="124">
        <v>43239</v>
      </c>
      <c r="D551" t="s">
        <v>714</v>
      </c>
      <c r="E551" s="37" t="str">
        <f>CONCATENATE(T551,"-",U551,"-",C551)</f>
        <v>BC2-E1-43239</v>
      </c>
      <c r="F551" s="16" t="s">
        <v>227</v>
      </c>
      <c r="G551" s="126" t="s">
        <v>107</v>
      </c>
      <c r="H551" s="126"/>
      <c r="J551" s="127">
        <v>1426</v>
      </c>
      <c r="K551" s="126">
        <v>2353</v>
      </c>
      <c r="O551" s="126" t="s">
        <v>119</v>
      </c>
      <c r="P551" s="18" t="s">
        <v>119</v>
      </c>
      <c r="Q551" s="18">
        <v>0</v>
      </c>
      <c r="R551" s="18" t="str">
        <f>IF(J551=J550,C551-C550,"")</f>
        <v/>
      </c>
      <c r="T551" s="126" t="s">
        <v>154</v>
      </c>
      <c r="U551" s="126" t="s">
        <v>222</v>
      </c>
      <c r="V551" s="126" t="s">
        <v>114</v>
      </c>
      <c r="X551" s="126" t="s">
        <v>115</v>
      </c>
      <c r="Y551" s="126" t="s">
        <v>110</v>
      </c>
      <c r="Z551" s="126">
        <v>3</v>
      </c>
      <c r="AA551" s="126"/>
      <c r="AB551" s="126"/>
      <c r="AC551" s="126"/>
      <c r="AD551" s="126"/>
      <c r="AE551" s="126" t="s">
        <v>123</v>
      </c>
      <c r="AG551" s="16">
        <f>AH551-AI551</f>
        <v>86</v>
      </c>
      <c r="AH551" s="126">
        <v>158</v>
      </c>
      <c r="AI551" s="126">
        <v>72</v>
      </c>
      <c r="AK551" s="126">
        <v>19</v>
      </c>
      <c r="AL551" s="126">
        <v>0</v>
      </c>
      <c r="AM551" s="126">
        <v>0</v>
      </c>
      <c r="AN551" s="126">
        <v>0</v>
      </c>
      <c r="AO551" s="16">
        <f>IF(SUM(AL551:AN551)&gt;0,1,0)</f>
        <v>0</v>
      </c>
      <c r="AP551" s="18">
        <f>SUM(AL551:AN551)</f>
        <v>0</v>
      </c>
      <c r="AR551" s="16">
        <v>0.43700000000000006</v>
      </c>
      <c r="AS551" s="16">
        <f>VLOOKUP(E551,'[1]Feces weights'!$D$1:$H$459,5,FALSE)</f>
        <v>0.43700000000000006</v>
      </c>
      <c r="AT551" s="16" t="str">
        <f>VLOOKUP(E551,[9]Current!$A:$T,7,FALSE)</f>
        <v>IS</v>
      </c>
      <c r="AU551" s="18" t="s">
        <v>1290</v>
      </c>
      <c r="AW551" s="177">
        <f>IF(AY551&gt;0,1,0)</f>
        <v>1</v>
      </c>
      <c r="AX551" s="177">
        <f>SUM(BA551,BM551,CU551)</f>
        <v>3</v>
      </c>
      <c r="AY551" s="177">
        <f>SUM(BB551,BN551,CV551)</f>
        <v>27.459954233409611</v>
      </c>
      <c r="AZ551" s="177">
        <f>IF(BB551&gt;0,1,0)</f>
        <v>1</v>
      </c>
      <c r="BA551" s="177">
        <f>SUM(BC551+BF551+BI551)</f>
        <v>3</v>
      </c>
      <c r="BB551" s="177">
        <f>SUM(BE551,BH551,BK551)</f>
        <v>27.459954233409611</v>
      </c>
      <c r="BC551" s="178">
        <f>IF(BD551&gt;0,1,0)</f>
        <v>1</v>
      </c>
      <c r="BD551" s="177">
        <f>VLOOKUP($E551,[9]Current!$1:$1048576,8,FALSE)</f>
        <v>2</v>
      </c>
      <c r="BE551" s="177">
        <f>BD551/$AS551</f>
        <v>4.5766590389016013</v>
      </c>
      <c r="BF551" s="178">
        <f>IF(BG551&gt;0,1,0)</f>
        <v>1</v>
      </c>
      <c r="BG551" s="179">
        <f>VLOOKUP($E551,[9]Current!$1:$1048576,9,FALSE)</f>
        <v>8</v>
      </c>
      <c r="BH551" s="177">
        <f>BG551/$AS551</f>
        <v>18.306636155606405</v>
      </c>
      <c r="BI551" s="178">
        <f>IF(BJ551&gt;0,1,0)</f>
        <v>1</v>
      </c>
      <c r="BJ551" s="177">
        <f>VLOOKUP($E551,[9]Current!$1:$1048576,10,FALSE)</f>
        <v>2</v>
      </c>
      <c r="BK551" s="177">
        <f>BJ551/$AS551</f>
        <v>4.5766590389016013</v>
      </c>
      <c r="BL551" s="177">
        <f>IF(BM551&gt;0,1,0)</f>
        <v>0</v>
      </c>
      <c r="BM551" s="177">
        <f>SUM(BR551,BU551,BX551,CA551,CD551)</f>
        <v>0</v>
      </c>
      <c r="BN551" s="181">
        <f>SUM(BT551,BW551,BZ551,CC551,CF551)</f>
        <v>0</v>
      </c>
      <c r="BO551" s="177">
        <f>IF(BP551&gt;0,1,0)</f>
        <v>0</v>
      </c>
      <c r="BP551" s="177">
        <f>BM551+CJ551</f>
        <v>0</v>
      </c>
      <c r="BQ551" s="177">
        <f>BN551+CL551</f>
        <v>0</v>
      </c>
      <c r="BR551" s="178">
        <f>IF(BS551&gt;0,1,0)</f>
        <v>0</v>
      </c>
      <c r="BS551" s="177">
        <f>VLOOKUP($E551,[9]Current!$1:$1048576,12,FALSE)</f>
        <v>0</v>
      </c>
      <c r="BT551" s="179">
        <f>BS551/$AS551</f>
        <v>0</v>
      </c>
      <c r="BU551" s="178">
        <f>IF(BV551&gt;0,1,0)</f>
        <v>0</v>
      </c>
      <c r="BV551" s="177">
        <f>VLOOKUP($E551,[9]Current!$1:$1048576,13,FALSE)</f>
        <v>0</v>
      </c>
      <c r="BW551" s="177">
        <f>BV551/$AS551</f>
        <v>0</v>
      </c>
      <c r="BX551" s="178">
        <f>IF(BY551&gt;0,1,0)</f>
        <v>0</v>
      </c>
      <c r="BY551" s="177">
        <f>VLOOKUP($E551,[9]Current!$1:$1048576,14,FALSE)</f>
        <v>0</v>
      </c>
      <c r="BZ551" s="177">
        <f>BY551/$AS551</f>
        <v>0</v>
      </c>
      <c r="CA551" s="178">
        <f>IF(CB551&gt;0,1,0)</f>
        <v>0</v>
      </c>
      <c r="CB551" s="177">
        <f>VLOOKUP($E551,[9]Current!$1:$1048576,15,FALSE)</f>
        <v>0</v>
      </c>
      <c r="CC551" s="177">
        <f>CB551/$AS551</f>
        <v>0</v>
      </c>
      <c r="CD551" s="180">
        <f>IF(CE551&gt;0,1,0)</f>
        <v>0</v>
      </c>
      <c r="CE551" s="177">
        <f>VLOOKUP($E551,[9]Current!$1:$1048576,16,FALSE)</f>
        <v>0</v>
      </c>
      <c r="CF551" s="177">
        <f>CE551/$AS551</f>
        <v>0</v>
      </c>
      <c r="CG551" s="18"/>
      <c r="CH551" s="18"/>
      <c r="CI551" s="18"/>
      <c r="CJ551" s="178">
        <f>IF(CK551&gt;0,1,0)</f>
        <v>0</v>
      </c>
      <c r="CK551" s="177">
        <f>VLOOKUP($E551,[9]Current!$1:$1048576,18,FALSE)</f>
        <v>0</v>
      </c>
      <c r="CL551" s="177">
        <f>CK551/$AS551</f>
        <v>0</v>
      </c>
      <c r="CS551" s="178">
        <f>IF(CU551&gt;0,1,0)</f>
        <v>0</v>
      </c>
      <c r="CT551" s="177"/>
      <c r="CU551" s="177">
        <f>VLOOKUP($E551,[9]Current!$1:$1048576,17,FALSE)</f>
        <v>0</v>
      </c>
      <c r="CV551" s="177">
        <f>CU551/$AS551</f>
        <v>0</v>
      </c>
      <c r="DF551" s="16" t="e">
        <f>VLOOKUP(K551,'[3]RNA Seq summary tables'!$V$3:$V$99,1,FALSE)</f>
        <v>#N/A</v>
      </c>
      <c r="DG551" s="126" t="s">
        <v>116</v>
      </c>
    </row>
    <row r="552" spans="2:288" ht="16" x14ac:dyDescent="0.2">
      <c r="B552" s="16">
        <v>2018</v>
      </c>
      <c r="C552" s="124">
        <v>43257</v>
      </c>
      <c r="D552" t="s">
        <v>770</v>
      </c>
      <c r="E552" s="37" t="str">
        <f>CONCATENATE(T552,"-",U552,"-",C552)</f>
        <v>BC2-E1-43257</v>
      </c>
      <c r="F552" s="16" t="s">
        <v>227</v>
      </c>
      <c r="G552" s="126" t="s">
        <v>107</v>
      </c>
      <c r="H552" s="126"/>
      <c r="J552" s="127">
        <v>1426</v>
      </c>
      <c r="K552" s="126">
        <v>2410</v>
      </c>
      <c r="O552" s="126" t="s">
        <v>119</v>
      </c>
      <c r="P552" s="18" t="s">
        <v>119</v>
      </c>
      <c r="Q552" s="18">
        <v>0</v>
      </c>
      <c r="R552" s="18">
        <f>IF(J552=J551,C552-C551,"")</f>
        <v>18</v>
      </c>
      <c r="T552" s="126" t="s">
        <v>154</v>
      </c>
      <c r="U552" s="126" t="s">
        <v>222</v>
      </c>
      <c r="V552" s="126" t="s">
        <v>114</v>
      </c>
      <c r="X552" s="126" t="s">
        <v>115</v>
      </c>
      <c r="Y552" s="126" t="s">
        <v>110</v>
      </c>
      <c r="Z552" s="126">
        <v>3</v>
      </c>
      <c r="AA552" s="126"/>
      <c r="AB552" s="126"/>
      <c r="AC552" s="126"/>
      <c r="AD552" s="126"/>
      <c r="AE552" s="126" t="s">
        <v>123</v>
      </c>
      <c r="AG552" s="16">
        <f>AH552-AI552</f>
        <v>80</v>
      </c>
      <c r="AH552" s="126">
        <v>154</v>
      </c>
      <c r="AI552" s="126">
        <v>74</v>
      </c>
      <c r="AK552" s="126">
        <v>15</v>
      </c>
      <c r="AL552" s="126">
        <v>0</v>
      </c>
      <c r="AM552" s="126">
        <v>0</v>
      </c>
      <c r="AN552" s="126">
        <v>0</v>
      </c>
      <c r="AO552" s="16">
        <f>IF(SUM(AL552:AN552)&gt;0,1,0)</f>
        <v>0</v>
      </c>
      <c r="AP552" s="18">
        <f>SUM(AL552:AN552)</f>
        <v>0</v>
      </c>
      <c r="AR552" s="16">
        <v>0.16900000000000004</v>
      </c>
      <c r="AS552" s="16">
        <f>VLOOKUP(E552,'[1]Feces weights'!$D$1:$H$459,5,FALSE)</f>
        <v>0.16900000000000004</v>
      </c>
      <c r="AT552" s="16" t="str">
        <f>VLOOKUP(E552,[2]Current!$A$1:$W$435,7,FALSE)</f>
        <v>DP</v>
      </c>
      <c r="AU552" s="16" t="s">
        <v>1288</v>
      </c>
      <c r="AW552" s="128">
        <f>IF(AX552&gt;0,1,0)</f>
        <v>1</v>
      </c>
      <c r="AX552" s="128">
        <f>SUM(BA552,BM552,CU552)</f>
        <v>1</v>
      </c>
      <c r="AY552" s="128">
        <f>SUM(BB552,BN552,CV552)</f>
        <v>23.668639053254431</v>
      </c>
      <c r="AZ552" s="128">
        <f>IF(BA552&gt;0,1,0)</f>
        <v>1</v>
      </c>
      <c r="BA552" s="128">
        <f>SUM(BC552+BF552+BI552)</f>
        <v>1</v>
      </c>
      <c r="BB552" s="128">
        <f>SUM(BE552,BH552,BK552)</f>
        <v>23.668639053254431</v>
      </c>
      <c r="BC552" s="130">
        <f>IF(BD552&gt;0,1,0)</f>
        <v>0</v>
      </c>
      <c r="BD552" s="128">
        <f>VLOOKUP($E552,[2]Current!$A:$AC,26,FALSE)</f>
        <v>0</v>
      </c>
      <c r="BE552" s="128">
        <f>BD552/$AS552</f>
        <v>0</v>
      </c>
      <c r="BF552" s="130">
        <f>IF(BG552&gt;0,1,0)</f>
        <v>1</v>
      </c>
      <c r="BG552" s="137">
        <f>VLOOKUP($E552,[2]Current!$A:$AC,27,FALSE)</f>
        <v>4</v>
      </c>
      <c r="BH552" s="128">
        <f>BG552/$AS552</f>
        <v>23.668639053254431</v>
      </c>
      <c r="BI552" s="130">
        <f>IF(BJ552&gt;0,1,0)</f>
        <v>0</v>
      </c>
      <c r="BJ552" s="128">
        <f>VLOOKUP($E552,[2]Current!$A:$AC,28,FALSE)</f>
        <v>0</v>
      </c>
      <c r="BK552" s="128">
        <f>BJ552/$AS552</f>
        <v>0</v>
      </c>
      <c r="BL552" s="128">
        <f>IF(BM552&gt;0,1,0)</f>
        <v>0</v>
      </c>
      <c r="BM552" s="128">
        <f>SUM(BR552,BU552,BX552,CA552,CD552)</f>
        <v>0</v>
      </c>
      <c r="BN552" s="131">
        <f>SUM(BT552,BW552,BZ552,CC552,CF552)</f>
        <v>0</v>
      </c>
      <c r="BO552" s="128">
        <f>IF(BP552&gt;0,1,0)</f>
        <v>0</v>
      </c>
      <c r="BP552" s="128">
        <f>BM552+CJ552</f>
        <v>0</v>
      </c>
      <c r="BQ552" s="128">
        <f>BN552+CL552</f>
        <v>0</v>
      </c>
      <c r="BR552" s="130">
        <f>IF(BS552&gt;0,1,0)</f>
        <v>0</v>
      </c>
      <c r="BS552" s="128">
        <f>VLOOKUP($E552,[2]Current!$A:$AC,12,FALSE)</f>
        <v>0</v>
      </c>
      <c r="BT552" s="137">
        <f>BS552/$AS552</f>
        <v>0</v>
      </c>
      <c r="BU552" s="130">
        <f>IF(BV552&gt;0,1,0)</f>
        <v>0</v>
      </c>
      <c r="BV552" s="128">
        <f>VLOOKUP($E552,[2]Current!$A:$AC,13,FALSE)</f>
        <v>0</v>
      </c>
      <c r="BW552" s="128">
        <f>BV552/$AS552</f>
        <v>0</v>
      </c>
      <c r="BX552" s="130">
        <f>IF(BY552&gt;0,1,0)</f>
        <v>0</v>
      </c>
      <c r="BY552" s="128">
        <f>VLOOKUP($E552,[2]Current!$A:$AC,14,FALSE)</f>
        <v>0</v>
      </c>
      <c r="BZ552" s="128">
        <f>BY552/$AS552</f>
        <v>0</v>
      </c>
      <c r="CA552" s="130">
        <f>IF(CB552&gt;0,1,0)</f>
        <v>0</v>
      </c>
      <c r="CB552" s="128">
        <f>VLOOKUP($E552,[2]Current!$A:$AC,15,FALSE)</f>
        <v>0</v>
      </c>
      <c r="CC552" s="128">
        <f>CB552/$AS552</f>
        <v>0</v>
      </c>
      <c r="CD552" s="174">
        <f>IF(CE552&gt;0,1,0)</f>
        <v>0</v>
      </c>
      <c r="CE552" s="128">
        <f>VLOOKUP($E552,[2]Current!$A:$AC,16,FALSE)</f>
        <v>0</v>
      </c>
      <c r="CF552" s="128">
        <f>CE552/$AS552</f>
        <v>0</v>
      </c>
      <c r="CG552" s="18"/>
      <c r="CH552" s="18"/>
      <c r="CI552" s="18"/>
      <c r="CJ552" s="130">
        <f>IF(CK552&gt;0,1,0)</f>
        <v>0</v>
      </c>
      <c r="CK552" s="128">
        <f>VLOOKUP($E552,[2]Current!$A:$AC,18,FALSE)</f>
        <v>0</v>
      </c>
      <c r="CL552" s="128">
        <f>CK552/$AS552</f>
        <v>0</v>
      </c>
      <c r="CS552" s="130">
        <f>IF(CU552&gt;0,1,0)</f>
        <v>0</v>
      </c>
      <c r="CU552" s="128">
        <f>VLOOKUP($E552,[2]Current!$A:$AC,17,FALSE)</f>
        <v>0</v>
      </c>
      <c r="CV552" s="128">
        <f>CU552/$AS552</f>
        <v>0</v>
      </c>
      <c r="CW552" s="18"/>
      <c r="CX552" s="18"/>
      <c r="CY552" s="18"/>
      <c r="DF552" s="16" t="e">
        <f>VLOOKUP(K552,'[3]RNA Seq summary tables'!$V$3:$V$99,1,FALSE)</f>
        <v>#N/A</v>
      </c>
      <c r="DG552" s="126"/>
    </row>
    <row r="553" spans="2:288" ht="16" x14ac:dyDescent="0.2">
      <c r="B553" s="16">
        <v>2018</v>
      </c>
      <c r="C553" s="124">
        <v>43292</v>
      </c>
      <c r="D553" t="s">
        <v>944</v>
      </c>
      <c r="E553" s="37" t="str">
        <f>CONCATENATE(T553,"-",U553,"-",C553)</f>
        <v>BC2-H3-43292</v>
      </c>
      <c r="F553" s="16" t="s">
        <v>227</v>
      </c>
      <c r="G553" s="126" t="s">
        <v>107</v>
      </c>
      <c r="H553" s="126"/>
      <c r="J553" s="127">
        <v>1426</v>
      </c>
      <c r="K553" s="126">
        <v>2584</v>
      </c>
      <c r="O553" s="126" t="s">
        <v>119</v>
      </c>
      <c r="P553" s="18" t="s">
        <v>119</v>
      </c>
      <c r="Q553" s="18">
        <v>0</v>
      </c>
      <c r="R553" s="18">
        <f>IF(J553=J552,C553-C552,"")</f>
        <v>35</v>
      </c>
      <c r="T553" s="126" t="s">
        <v>154</v>
      </c>
      <c r="U553" s="126" t="s">
        <v>174</v>
      </c>
      <c r="V553" s="131" t="s">
        <v>142</v>
      </c>
      <c r="X553" s="126" t="s">
        <v>115</v>
      </c>
      <c r="Y553" s="126" t="s">
        <v>110</v>
      </c>
      <c r="Z553" s="126">
        <v>3</v>
      </c>
      <c r="AA553" s="126"/>
      <c r="AB553" s="126"/>
      <c r="AC553" s="126"/>
      <c r="AD553" s="126"/>
      <c r="AE553" s="126" t="s">
        <v>123</v>
      </c>
      <c r="AG553" s="16">
        <f>AH553-AI553</f>
        <v>86</v>
      </c>
      <c r="AH553" s="126">
        <v>162</v>
      </c>
      <c r="AI553" s="126">
        <v>76</v>
      </c>
      <c r="AK553" s="126">
        <v>16</v>
      </c>
      <c r="AL553" s="126">
        <v>0</v>
      </c>
      <c r="AM553" s="126">
        <v>0</v>
      </c>
      <c r="AN553" s="126">
        <v>0</v>
      </c>
      <c r="AO553" s="16">
        <f>IF(SUM(AL553:AN553)&gt;0,1,0)</f>
        <v>0</v>
      </c>
      <c r="AP553" s="18">
        <f>SUM(AL553:AN553)</f>
        <v>0</v>
      </c>
      <c r="AR553" s="16">
        <v>0.17900000000000005</v>
      </c>
      <c r="AS553" s="16">
        <f>VLOOKUP(E553,'[1]Feces weights'!$D$1:$H$459,5,FALSE)</f>
        <v>0.17900000000000005</v>
      </c>
      <c r="AT553" s="16" t="str">
        <f>VLOOKUP(E553,[2]Current!$A$1:$W$435,7,FALSE)</f>
        <v>JB</v>
      </c>
      <c r="AU553" s="16" t="s">
        <v>1288</v>
      </c>
      <c r="AW553" s="128">
        <f>IF(AX553&gt;0,1,0)</f>
        <v>1</v>
      </c>
      <c r="AX553" s="128">
        <f>SUM(BA553,BM553,CU553)</f>
        <v>2</v>
      </c>
      <c r="AY553" s="128">
        <f>SUM(BB553,BN553,CV553)</f>
        <v>2486.033519553072</v>
      </c>
      <c r="AZ553" s="128">
        <f>IF(BA553&gt;0,1,0)</f>
        <v>1</v>
      </c>
      <c r="BA553" s="128">
        <f>SUM(BC553+BF553+BI553)</f>
        <v>1</v>
      </c>
      <c r="BB553" s="128">
        <f>SUM(BE553,BH553,BK553)</f>
        <v>770.94972067039089</v>
      </c>
      <c r="BC553" s="130">
        <f>IF(BD553&gt;0,1,0)</f>
        <v>0</v>
      </c>
      <c r="BD553" s="128">
        <f>VLOOKUP($E553,[2]Current!$A:$AC,26,FALSE)</f>
        <v>0</v>
      </c>
      <c r="BE553" s="128">
        <f>BD553/$AS553</f>
        <v>0</v>
      </c>
      <c r="BF553" s="130">
        <f>IF(BG553&gt;0,1,0)</f>
        <v>1</v>
      </c>
      <c r="BG553" s="137">
        <f>VLOOKUP($E553,[2]Current!$A:$AC,27,FALSE)</f>
        <v>138</v>
      </c>
      <c r="BH553" s="128">
        <f>BG553/$AS553</f>
        <v>770.94972067039089</v>
      </c>
      <c r="BI553" s="130">
        <f>IF(BJ553&gt;0,1,0)</f>
        <v>0</v>
      </c>
      <c r="BJ553" s="128">
        <f>VLOOKUP($E553,[2]Current!$A:$AC,28,FALSE)</f>
        <v>0</v>
      </c>
      <c r="BK553" s="128">
        <f>BJ553/$AS553</f>
        <v>0</v>
      </c>
      <c r="BL553" s="128">
        <f>IF(BM553&gt;0,1,0)</f>
        <v>1</v>
      </c>
      <c r="BM553" s="128">
        <f>SUM(BR553,BU553,BX553,CA553,CD553)</f>
        <v>1</v>
      </c>
      <c r="BN553" s="131">
        <f>SUM(BT553,BW553,BZ553,CC553,CF553)</f>
        <v>1715.0837988826811</v>
      </c>
      <c r="BO553" s="128">
        <f>IF(BP553&gt;0,1,0)</f>
        <v>1</v>
      </c>
      <c r="BP553" s="128">
        <f>BM553+CJ553</f>
        <v>1</v>
      </c>
      <c r="BQ553" s="128">
        <f>BN553+CL553</f>
        <v>1715.0837988826811</v>
      </c>
      <c r="BR553" s="130">
        <f>IF(BS553&gt;0,1,0)</f>
        <v>0</v>
      </c>
      <c r="BS553" s="128">
        <f>VLOOKUP($E553,[2]Current!$A:$AC,12,FALSE)</f>
        <v>0</v>
      </c>
      <c r="BT553" s="137">
        <f>BS553/$AS553</f>
        <v>0</v>
      </c>
      <c r="BU553" s="130">
        <f>IF(BV553&gt;0,1,0)</f>
        <v>0</v>
      </c>
      <c r="BV553" s="128">
        <f>VLOOKUP($E553,[2]Current!$A:$AC,13,FALSE)</f>
        <v>0</v>
      </c>
      <c r="BW553" s="128">
        <f>BV553/$AS553</f>
        <v>0</v>
      </c>
      <c r="BX553" s="130">
        <f>IF(BY553&gt;0,1,0)</f>
        <v>1</v>
      </c>
      <c r="BY553" s="128">
        <f>VLOOKUP($E553,[2]Current!$A:$AC,14,FALSE)</f>
        <v>307</v>
      </c>
      <c r="BZ553" s="128">
        <f>BY553/$AS553</f>
        <v>1715.0837988826811</v>
      </c>
      <c r="CA553" s="130">
        <f>IF(CB553&gt;0,1,0)</f>
        <v>0</v>
      </c>
      <c r="CB553" s="128">
        <f>VLOOKUP($E553,[2]Current!$A:$AC,15,FALSE)</f>
        <v>0</v>
      </c>
      <c r="CC553" s="128">
        <f>CB553/$AS553</f>
        <v>0</v>
      </c>
      <c r="CD553" s="174">
        <f>IF(CE553&gt;0,1,0)</f>
        <v>0</v>
      </c>
      <c r="CE553" s="128">
        <f>VLOOKUP($E553,[2]Current!$A:$AC,16,FALSE)</f>
        <v>0</v>
      </c>
      <c r="CF553" s="128">
        <f>CE553/$AS553</f>
        <v>0</v>
      </c>
      <c r="CG553" s="18"/>
      <c r="CH553" s="18"/>
      <c r="CI553" s="18"/>
      <c r="CJ553" s="130">
        <f>IF(CK553&gt;0,1,0)</f>
        <v>0</v>
      </c>
      <c r="CK553" s="128">
        <f>VLOOKUP($E553,[2]Current!$A:$AC,18,FALSE)</f>
        <v>0</v>
      </c>
      <c r="CL553" s="128">
        <f>CK553/$AS553</f>
        <v>0</v>
      </c>
      <c r="CS553" s="130">
        <f>IF(CU553&gt;0,1,0)</f>
        <v>0</v>
      </c>
      <c r="CU553" s="128">
        <f>VLOOKUP($E553,[2]Current!$A:$AC,17,FALSE)</f>
        <v>0</v>
      </c>
      <c r="CV553" s="128">
        <f>CU553/$AS553</f>
        <v>0</v>
      </c>
      <c r="CW553" s="18"/>
      <c r="CX553" s="18"/>
      <c r="CY553" s="18"/>
      <c r="DF553" s="16" t="e">
        <f>VLOOKUP(K553,'[3]RNA Seq summary tables'!$V$3:$V$99,1,FALSE)</f>
        <v>#N/A</v>
      </c>
      <c r="DG553" s="126" t="s">
        <v>116</v>
      </c>
    </row>
    <row r="554" spans="2:288" ht="16" x14ac:dyDescent="0.2">
      <c r="B554" s="16">
        <v>2018</v>
      </c>
      <c r="C554" s="124">
        <v>43239</v>
      </c>
      <c r="D554" t="s">
        <v>713</v>
      </c>
      <c r="E554" s="37" t="str">
        <f>CONCATENATE(T554,"-",U554,"-",C554)</f>
        <v>BC2-G4-43239</v>
      </c>
      <c r="F554" s="16" t="s">
        <v>227</v>
      </c>
      <c r="G554" s="126" t="s">
        <v>107</v>
      </c>
      <c r="H554" s="126"/>
      <c r="J554" s="126">
        <v>1428</v>
      </c>
      <c r="K554" s="126">
        <v>2355</v>
      </c>
      <c r="O554" s="126" t="s">
        <v>119</v>
      </c>
      <c r="P554" s="18" t="s">
        <v>119</v>
      </c>
      <c r="Q554" s="18">
        <v>0</v>
      </c>
      <c r="R554" s="18" t="str">
        <f>IF(J554=J553,C554-C553,"")</f>
        <v/>
      </c>
      <c r="T554" s="126" t="s">
        <v>154</v>
      </c>
      <c r="U554" s="126" t="s">
        <v>173</v>
      </c>
      <c r="V554" s="126" t="s">
        <v>114</v>
      </c>
      <c r="X554" s="126" t="s">
        <v>115</v>
      </c>
      <c r="Y554" s="126" t="s">
        <v>110</v>
      </c>
      <c r="Z554" s="126">
        <v>3</v>
      </c>
      <c r="AA554" s="126"/>
      <c r="AB554" s="126"/>
      <c r="AC554" s="126"/>
      <c r="AD554" s="126"/>
      <c r="AE554" s="126" t="s">
        <v>123</v>
      </c>
      <c r="AG554" s="16">
        <f>AH554-AI554</f>
        <v>84</v>
      </c>
      <c r="AH554" s="126">
        <v>153</v>
      </c>
      <c r="AI554" s="126">
        <v>69</v>
      </c>
      <c r="AK554" s="126">
        <v>19.5</v>
      </c>
      <c r="AL554" s="126">
        <v>0</v>
      </c>
      <c r="AM554" s="126">
        <v>1</v>
      </c>
      <c r="AN554" s="126">
        <v>0</v>
      </c>
      <c r="AO554" s="16">
        <f>IF(SUM(AL554:AN554)&gt;0,1,0)</f>
        <v>1</v>
      </c>
      <c r="AP554" s="18">
        <f>SUM(AL554:AN554)</f>
        <v>1</v>
      </c>
      <c r="AR554" s="16">
        <v>0.3510000000000002</v>
      </c>
      <c r="AS554" s="16">
        <f>VLOOKUP(E554,'[1]Feces weights'!$D$1:$H$459,5,FALSE)</f>
        <v>0.3510000000000002</v>
      </c>
      <c r="AT554" s="16" t="str">
        <f>VLOOKUP(E554,[9]Current!$A:$T,7,FALSE)</f>
        <v>IS</v>
      </c>
      <c r="AU554" s="18" t="s">
        <v>1290</v>
      </c>
      <c r="AW554" s="177">
        <f>IF(AY554&gt;0,1,0)</f>
        <v>1</v>
      </c>
      <c r="AX554" s="177">
        <f>SUM(BA554,BM554,CU554)</f>
        <v>4</v>
      </c>
      <c r="AY554" s="177">
        <f>SUM(BB554,BN554,CV554)</f>
        <v>71.225071225071176</v>
      </c>
      <c r="AZ554" s="177">
        <f>IF(BB554&gt;0,1,0)</f>
        <v>1</v>
      </c>
      <c r="BA554" s="177">
        <f>SUM(BC554+BF554+BI554)</f>
        <v>3</v>
      </c>
      <c r="BB554" s="177">
        <f>SUM(BE554,BH554,BK554)</f>
        <v>68.376068376068332</v>
      </c>
      <c r="BC554" s="178">
        <f>IF(BD554&gt;0,1,0)</f>
        <v>1</v>
      </c>
      <c r="BD554" s="177">
        <f>VLOOKUP($E554,[9]Current!$1:$1048576,8,FALSE)</f>
        <v>2</v>
      </c>
      <c r="BE554" s="177">
        <f>BD554/$AS554</f>
        <v>5.6980056980056943</v>
      </c>
      <c r="BF554" s="178">
        <f>IF(BG554&gt;0,1,0)</f>
        <v>1</v>
      </c>
      <c r="BG554" s="179">
        <f>VLOOKUP($E554,[9]Current!$1:$1048576,9,FALSE)</f>
        <v>10</v>
      </c>
      <c r="BH554" s="177">
        <f>BG554/$AS554</f>
        <v>28.490028490028475</v>
      </c>
      <c r="BI554" s="178">
        <f>IF(BJ554&gt;0,1,0)</f>
        <v>1</v>
      </c>
      <c r="BJ554" s="177">
        <f>VLOOKUP($E554,[9]Current!$1:$1048576,10,FALSE)</f>
        <v>12</v>
      </c>
      <c r="BK554" s="177">
        <f>BJ554/$AS554</f>
        <v>34.188034188034166</v>
      </c>
      <c r="BL554" s="177">
        <f>IF(BM554&gt;0,1,0)</f>
        <v>1</v>
      </c>
      <c r="BM554" s="177">
        <f>SUM(BR554,BU554,BX554,CA554,CD554)</f>
        <v>1</v>
      </c>
      <c r="BN554" s="181">
        <f>SUM(BT554,BW554,BZ554,CC554,CF554)</f>
        <v>2.8490028490028472</v>
      </c>
      <c r="BO554" s="177">
        <f>IF(BP554&gt;0,1,0)</f>
        <v>1</v>
      </c>
      <c r="BP554" s="177">
        <f>BM554+CJ554</f>
        <v>1</v>
      </c>
      <c r="BQ554" s="177">
        <f>BN554+CL554</f>
        <v>2.8490028490028472</v>
      </c>
      <c r="BR554" s="178">
        <f>IF(BS554&gt;0,1,0)</f>
        <v>0</v>
      </c>
      <c r="BS554" s="177">
        <f>VLOOKUP($E554,[9]Current!$1:$1048576,12,FALSE)</f>
        <v>0</v>
      </c>
      <c r="BT554" s="179">
        <f>BS554/$AS554</f>
        <v>0</v>
      </c>
      <c r="BU554" s="178">
        <f>IF(BV554&gt;0,1,0)</f>
        <v>1</v>
      </c>
      <c r="BV554" s="177">
        <f>VLOOKUP($E554,[9]Current!$1:$1048576,13,FALSE)</f>
        <v>1</v>
      </c>
      <c r="BW554" s="177">
        <f>BV554/$AS554</f>
        <v>2.8490028490028472</v>
      </c>
      <c r="BX554" s="178">
        <f>IF(BY554&gt;0,1,0)</f>
        <v>0</v>
      </c>
      <c r="BY554" s="177">
        <f>VLOOKUP($E554,[9]Current!$1:$1048576,14,FALSE)</f>
        <v>0</v>
      </c>
      <c r="BZ554" s="177">
        <f>BY554/$AS554</f>
        <v>0</v>
      </c>
      <c r="CA554" s="178">
        <f>IF(CB554&gt;0,1,0)</f>
        <v>0</v>
      </c>
      <c r="CB554" s="177">
        <f>VLOOKUP($E554,[9]Current!$1:$1048576,15,FALSE)</f>
        <v>0</v>
      </c>
      <c r="CC554" s="177">
        <f>CB554/$AS554</f>
        <v>0</v>
      </c>
      <c r="CD554" s="180">
        <f>IF(CE554&gt;0,1,0)</f>
        <v>0</v>
      </c>
      <c r="CE554" s="177">
        <f>VLOOKUP($E554,[9]Current!$1:$1048576,16,FALSE)</f>
        <v>0</v>
      </c>
      <c r="CF554" s="177">
        <f>CE554/$AS554</f>
        <v>0</v>
      </c>
      <c r="CG554" s="18"/>
      <c r="CH554" s="18"/>
      <c r="CI554" s="18"/>
      <c r="CJ554" s="178">
        <f>IF(CK554&gt;0,1,0)</f>
        <v>0</v>
      </c>
      <c r="CK554" s="177">
        <f>VLOOKUP($E554,[9]Current!$1:$1048576,18,FALSE)</f>
        <v>0</v>
      </c>
      <c r="CL554" s="177">
        <f>CK554/$AS554</f>
        <v>0</v>
      </c>
      <c r="CS554" s="178">
        <f>IF(CU554&gt;0,1,0)</f>
        <v>0</v>
      </c>
      <c r="CT554" s="177"/>
      <c r="CU554" s="177">
        <f>VLOOKUP($E554,[9]Current!$1:$1048576,17,FALSE)</f>
        <v>0</v>
      </c>
      <c r="CV554" s="177">
        <f>CU554/$AS554</f>
        <v>0</v>
      </c>
      <c r="DF554" s="16" t="e">
        <f>VLOOKUP(K554,'[3]RNA Seq summary tables'!$V$3:$V$99,1,FALSE)</f>
        <v>#N/A</v>
      </c>
      <c r="DG554" s="126" t="s">
        <v>116</v>
      </c>
    </row>
    <row r="555" spans="2:288" ht="16" x14ac:dyDescent="0.2">
      <c r="B555" s="16">
        <v>2018</v>
      </c>
      <c r="C555" s="124">
        <v>43241</v>
      </c>
      <c r="D555" t="s">
        <v>722</v>
      </c>
      <c r="E555" s="142" t="str">
        <f>CONCATENATE(T555,"-",U555,"-",C555)</f>
        <v>BC1-A1-43241</v>
      </c>
      <c r="F555" s="16" t="s">
        <v>227</v>
      </c>
      <c r="G555" s="126" t="s">
        <v>107</v>
      </c>
      <c r="H555" s="126"/>
      <c r="J555" s="126">
        <v>1432</v>
      </c>
      <c r="K555" s="126">
        <v>2359</v>
      </c>
      <c r="O555" s="126" t="s">
        <v>119</v>
      </c>
      <c r="P555" s="18" t="s">
        <v>119</v>
      </c>
      <c r="Q555" s="18">
        <v>0</v>
      </c>
      <c r="R555" s="18" t="str">
        <f>IF(J555=J554,C555-C554,"")</f>
        <v/>
      </c>
      <c r="T555" s="126" t="s">
        <v>159</v>
      </c>
      <c r="U555" s="126" t="s">
        <v>210</v>
      </c>
      <c r="V555" s="127" t="s">
        <v>142</v>
      </c>
      <c r="X555" s="126" t="s">
        <v>115</v>
      </c>
      <c r="Y555" s="126" t="s">
        <v>122</v>
      </c>
      <c r="Z555" s="126">
        <v>2.9</v>
      </c>
      <c r="AA555" s="126"/>
      <c r="AB555" s="126"/>
      <c r="AC555" s="126"/>
      <c r="AD555" s="126"/>
      <c r="AE555" s="126" t="s">
        <v>123</v>
      </c>
      <c r="AG555" s="16">
        <f>AH555-AI555</f>
        <v>91</v>
      </c>
      <c r="AH555" s="126">
        <v>178</v>
      </c>
      <c r="AI555" s="126">
        <v>87</v>
      </c>
      <c r="AK555" s="126">
        <v>17.5</v>
      </c>
      <c r="AL555" s="126">
        <v>0</v>
      </c>
      <c r="AM555" s="126">
        <v>0</v>
      </c>
      <c r="AN555" s="126">
        <v>0</v>
      </c>
      <c r="AO555" s="16">
        <f>IF(SUM(AL555:AN555)&gt;0,1,0)</f>
        <v>0</v>
      </c>
      <c r="AP555" s="18">
        <f>SUM(AL555:AN555)</f>
        <v>0</v>
      </c>
      <c r="AR555" s="16">
        <v>0.21500000000000008</v>
      </c>
      <c r="AS555" s="16">
        <f>VLOOKUP(E555,'[1]Feces weights'!$D$1:$H$459,5,FALSE)</f>
        <v>0.21500000000000008</v>
      </c>
      <c r="AT555" s="16" t="e">
        <f>VLOOKUP(E555,[2]Current!$A$1:$W$435,7,FALSE)</f>
        <v>#N/A</v>
      </c>
      <c r="AU555" s="16">
        <v>0</v>
      </c>
      <c r="BG555" s="77"/>
      <c r="BN555" s="126"/>
      <c r="BT555" s="78"/>
      <c r="BV555" s="18"/>
      <c r="BW555" s="25"/>
      <c r="BY555" s="18"/>
      <c r="BZ555" s="25"/>
      <c r="CB555" s="18"/>
      <c r="CC555" s="25"/>
      <c r="CD555" s="77"/>
      <c r="CE555" s="18"/>
      <c r="CF555" s="25"/>
      <c r="CG555" s="18"/>
      <c r="CH555" s="18"/>
      <c r="CI555" s="18"/>
      <c r="CK555" s="18"/>
      <c r="CL555" s="25"/>
      <c r="DF555" s="16" t="e">
        <f>VLOOKUP(K555,'[3]RNA Seq summary tables'!$V$3:$V$99,1,FALSE)</f>
        <v>#N/A</v>
      </c>
      <c r="DG555" s="126" t="s">
        <v>116</v>
      </c>
    </row>
    <row r="556" spans="2:288" ht="16" x14ac:dyDescent="0.2">
      <c r="B556" s="16">
        <v>2018</v>
      </c>
      <c r="C556" s="124">
        <v>43242</v>
      </c>
      <c r="D556" t="s">
        <v>731</v>
      </c>
      <c r="E556" s="142" t="str">
        <f>CONCATENATE(T556,"-",U556,"-",C556)</f>
        <v>HW1-D3-43242</v>
      </c>
      <c r="F556" s="16" t="s">
        <v>227</v>
      </c>
      <c r="G556" s="126" t="s">
        <v>107</v>
      </c>
      <c r="H556" s="126"/>
      <c r="J556" s="126">
        <v>1433</v>
      </c>
      <c r="K556" s="126">
        <v>2360</v>
      </c>
      <c r="O556" s="126" t="s">
        <v>119</v>
      </c>
      <c r="P556" s="18" t="s">
        <v>119</v>
      </c>
      <c r="Q556" s="18">
        <v>0</v>
      </c>
      <c r="R556" s="18" t="str">
        <f>IF(J556=J555,C556-C555,"")</f>
        <v/>
      </c>
      <c r="T556" s="126" t="s">
        <v>133</v>
      </c>
      <c r="U556" s="126" t="s">
        <v>149</v>
      </c>
      <c r="V556" s="126" t="s">
        <v>114</v>
      </c>
      <c r="X556" s="126" t="s">
        <v>121</v>
      </c>
      <c r="Y556" s="126" t="s">
        <v>110</v>
      </c>
      <c r="Z556" s="126">
        <v>3</v>
      </c>
      <c r="AA556" s="126" t="s">
        <v>119</v>
      </c>
      <c r="AB556" s="126" t="s">
        <v>116</v>
      </c>
      <c r="AC556" s="126" t="s">
        <v>123</v>
      </c>
      <c r="AD556" s="126"/>
      <c r="AE556" s="126"/>
      <c r="AG556" s="16">
        <f>AH556-AI556</f>
        <v>89</v>
      </c>
      <c r="AH556" s="126">
        <v>171</v>
      </c>
      <c r="AI556" s="126">
        <v>82</v>
      </c>
      <c r="AK556" s="126">
        <v>25</v>
      </c>
      <c r="AL556" s="126">
        <v>0</v>
      </c>
      <c r="AM556" s="126">
        <v>0</v>
      </c>
      <c r="AN556" s="126">
        <v>0</v>
      </c>
      <c r="AO556" s="16">
        <f>IF(SUM(AL556:AN556)&gt;0,1,0)</f>
        <v>0</v>
      </c>
      <c r="AP556" s="18">
        <f>SUM(AL556:AN556)</f>
        <v>0</v>
      </c>
      <c r="AR556" s="16">
        <v>1.143</v>
      </c>
      <c r="AS556" s="16">
        <f>VLOOKUP(E556,'[1]Feces weights'!$D$1:$H$459,5,FALSE)</f>
        <v>1.143</v>
      </c>
      <c r="AT556" s="16" t="e">
        <f>VLOOKUP(E556,[2]Current!$A$1:$W$435,7,FALSE)</f>
        <v>#N/A</v>
      </c>
      <c r="AU556" s="16">
        <v>0</v>
      </c>
      <c r="BG556" s="77"/>
      <c r="BN556" s="126"/>
      <c r="BT556" s="78"/>
      <c r="BV556" s="18"/>
      <c r="BW556" s="25"/>
      <c r="BY556" s="18"/>
      <c r="BZ556" s="25"/>
      <c r="CB556" s="18"/>
      <c r="CC556" s="25"/>
      <c r="CD556" s="77"/>
      <c r="CE556" s="18"/>
      <c r="CF556" s="25"/>
      <c r="CG556" s="18"/>
      <c r="CH556" s="18"/>
      <c r="CI556" s="18"/>
      <c r="CK556" s="18"/>
      <c r="CL556" s="25"/>
      <c r="DF556" s="16" t="e">
        <f>VLOOKUP(K556,'[3]RNA Seq summary tables'!$V$3:$V$99,1,FALSE)</f>
        <v>#N/A</v>
      </c>
      <c r="DG556" s="126" t="s">
        <v>116</v>
      </c>
    </row>
    <row r="557" spans="2:288" ht="16" x14ac:dyDescent="0.2">
      <c r="B557" s="16">
        <v>2018</v>
      </c>
      <c r="C557" s="124">
        <v>43242</v>
      </c>
      <c r="D557" t="s">
        <v>723</v>
      </c>
      <c r="E557" s="37" t="str">
        <f>CONCATENATE(T557,"-",U557,"-",C557)</f>
        <v>HW1-E1-43242</v>
      </c>
      <c r="F557" s="16" t="s">
        <v>227</v>
      </c>
      <c r="G557" s="126" t="s">
        <v>107</v>
      </c>
      <c r="H557" s="126"/>
      <c r="J557" s="126">
        <v>1435</v>
      </c>
      <c r="K557" s="126">
        <v>2362</v>
      </c>
      <c r="O557" s="126" t="s">
        <v>119</v>
      </c>
      <c r="P557" s="18" t="s">
        <v>119</v>
      </c>
      <c r="Q557" s="18">
        <v>0</v>
      </c>
      <c r="R557" s="18" t="str">
        <f>IF(J557=J556,C557-C556,"")</f>
        <v/>
      </c>
      <c r="T557" s="126" t="s">
        <v>133</v>
      </c>
      <c r="U557" s="126" t="s">
        <v>222</v>
      </c>
      <c r="V557" s="126" t="s">
        <v>114</v>
      </c>
      <c r="X557" s="126" t="s">
        <v>115</v>
      </c>
      <c r="Y557" s="126" t="s">
        <v>110</v>
      </c>
      <c r="Z557" s="126">
        <v>3</v>
      </c>
      <c r="AA557" s="126"/>
      <c r="AB557" s="126"/>
      <c r="AC557" s="126"/>
      <c r="AD557" s="126"/>
      <c r="AE557" s="126" t="s">
        <v>116</v>
      </c>
      <c r="AG557" s="16">
        <f>AH557-AI557</f>
        <v>97</v>
      </c>
      <c r="AH557" s="126">
        <v>168</v>
      </c>
      <c r="AI557" s="126">
        <v>71</v>
      </c>
      <c r="AK557" s="126">
        <v>24.5</v>
      </c>
      <c r="AL557" s="126">
        <v>0</v>
      </c>
      <c r="AM557" s="126">
        <v>0</v>
      </c>
      <c r="AN557" s="126">
        <v>0</v>
      </c>
      <c r="AO557" s="16">
        <f>IF(SUM(AL557:AN557)&gt;0,1,0)</f>
        <v>0</v>
      </c>
      <c r="AP557" s="18">
        <f>SUM(AL557:AN557)</f>
        <v>0</v>
      </c>
      <c r="AR557" s="16">
        <v>0.22500000000000009</v>
      </c>
      <c r="AS557" s="16">
        <f>VLOOKUP(E557,'[1]Feces weights'!$D$1:$H$459,5,FALSE)</f>
        <v>0.22500000000000009</v>
      </c>
      <c r="AT557" s="16" t="str">
        <f>VLOOKUP(E557,[9]Current!$A:$T,7,FALSE)</f>
        <v>JB</v>
      </c>
      <c r="AU557" s="18" t="s">
        <v>1290</v>
      </c>
      <c r="AW557" s="177">
        <f>IF(AY557&gt;0,1,0)</f>
        <v>1</v>
      </c>
      <c r="AX557" s="177">
        <f>SUM(BA557,BM557,CU557)</f>
        <v>1</v>
      </c>
      <c r="AY557" s="177">
        <f>SUM(BB557,BN557,CV557)</f>
        <v>4.4444444444444429</v>
      </c>
      <c r="AZ557" s="177">
        <f>IF(BB557&gt;0,1,0)</f>
        <v>1</v>
      </c>
      <c r="BA557" s="177">
        <f>SUM(BC557+BF557+BI557)</f>
        <v>1</v>
      </c>
      <c r="BB557" s="177">
        <f>SUM(BE557,BH557,BK557)</f>
        <v>4.4444444444444429</v>
      </c>
      <c r="BC557" s="178">
        <f>IF(BD557&gt;0,1,0)</f>
        <v>1</v>
      </c>
      <c r="BD557" s="177">
        <f>VLOOKUP($E557,[9]Current!$1:$1048576,8,FALSE)</f>
        <v>1</v>
      </c>
      <c r="BE557" s="177">
        <f>BD557/$AS557</f>
        <v>4.4444444444444429</v>
      </c>
      <c r="BF557" s="178">
        <f>IF(BG557&gt;0,1,0)</f>
        <v>0</v>
      </c>
      <c r="BG557" s="179">
        <f>VLOOKUP($E557,[9]Current!$1:$1048576,9,FALSE)</f>
        <v>0</v>
      </c>
      <c r="BH557" s="177">
        <f>BG557/$AS557</f>
        <v>0</v>
      </c>
      <c r="BI557" s="178">
        <f>IF(BJ557&gt;0,1,0)</f>
        <v>0</v>
      </c>
      <c r="BJ557" s="177">
        <f>VLOOKUP($E557,[9]Current!$1:$1048576,10,FALSE)</f>
        <v>0</v>
      </c>
      <c r="BK557" s="177">
        <f>BJ557/$AS557</f>
        <v>0</v>
      </c>
      <c r="BL557" s="177">
        <f>IF(BM557&gt;0,1,0)</f>
        <v>0</v>
      </c>
      <c r="BM557" s="177">
        <f>SUM(BR557,BU557,BX557,CA557,CD557)</f>
        <v>0</v>
      </c>
      <c r="BN557" s="181">
        <f>SUM(BT557,BW557,BZ557,CC557,CF557)</f>
        <v>0</v>
      </c>
      <c r="BO557" s="177">
        <f>IF(BP557&gt;0,1,0)</f>
        <v>0</v>
      </c>
      <c r="BP557" s="177">
        <f>BM557+CJ557</f>
        <v>0</v>
      </c>
      <c r="BQ557" s="177">
        <f>BN557+CL557</f>
        <v>0</v>
      </c>
      <c r="BR557" s="178">
        <f>IF(BS557&gt;0,1,0)</f>
        <v>0</v>
      </c>
      <c r="BS557" s="177">
        <f>VLOOKUP($E557,[9]Current!$1:$1048576,12,FALSE)</f>
        <v>0</v>
      </c>
      <c r="BT557" s="179">
        <f>BS557/$AS557</f>
        <v>0</v>
      </c>
      <c r="BU557" s="178">
        <f>IF(BV557&gt;0,1,0)</f>
        <v>0</v>
      </c>
      <c r="BV557" s="177">
        <f>VLOOKUP($E557,[9]Current!$1:$1048576,13,FALSE)</f>
        <v>0</v>
      </c>
      <c r="BW557" s="177">
        <f>BV557/$AS557</f>
        <v>0</v>
      </c>
      <c r="BX557" s="178">
        <f>IF(BY557&gt;0,1,0)</f>
        <v>0</v>
      </c>
      <c r="BY557" s="177">
        <f>VLOOKUP($E557,[9]Current!$1:$1048576,14,FALSE)</f>
        <v>0</v>
      </c>
      <c r="BZ557" s="177">
        <f>BY557/$AS557</f>
        <v>0</v>
      </c>
      <c r="CA557" s="178">
        <f>IF(CB557&gt;0,1,0)</f>
        <v>0</v>
      </c>
      <c r="CB557" s="177">
        <f>VLOOKUP($E557,[9]Current!$1:$1048576,15,FALSE)</f>
        <v>0</v>
      </c>
      <c r="CC557" s="177">
        <f>CB557/$AS557</f>
        <v>0</v>
      </c>
      <c r="CD557" s="180">
        <f>IF(CE557&gt;0,1,0)</f>
        <v>0</v>
      </c>
      <c r="CE557" s="177">
        <f>VLOOKUP($E557,[9]Current!$1:$1048576,16,FALSE)</f>
        <v>0</v>
      </c>
      <c r="CF557" s="177">
        <f>CE557/$AS557</f>
        <v>0</v>
      </c>
      <c r="CG557" s="18"/>
      <c r="CH557" s="18"/>
      <c r="CI557" s="18"/>
      <c r="CJ557" s="178">
        <f>IF(CK557&gt;0,1,0)</f>
        <v>0</v>
      </c>
      <c r="CK557" s="177">
        <f>VLOOKUP($E557,[9]Current!$1:$1048576,18,FALSE)</f>
        <v>0</v>
      </c>
      <c r="CL557" s="177">
        <f>CK557/$AS557</f>
        <v>0</v>
      </c>
      <c r="CS557" s="178">
        <f>IF(CU557&gt;0,1,0)</f>
        <v>0</v>
      </c>
      <c r="CT557" s="177"/>
      <c r="CU557" s="177">
        <f>VLOOKUP($E557,[9]Current!$1:$1048576,17,FALSE)</f>
        <v>0</v>
      </c>
      <c r="CV557" s="177">
        <f>CU557/$AS557</f>
        <v>0</v>
      </c>
      <c r="DF557" s="16" t="e">
        <f>VLOOKUP(K557,'[3]RNA Seq summary tables'!$V$3:$V$99,1,FALSE)</f>
        <v>#N/A</v>
      </c>
      <c r="DG557" s="126" t="s">
        <v>116</v>
      </c>
    </row>
    <row r="558" spans="2:288" ht="16" x14ac:dyDescent="0.2">
      <c r="B558" s="16">
        <v>2018</v>
      </c>
      <c r="C558" s="124">
        <v>43260</v>
      </c>
      <c r="D558" t="s">
        <v>779</v>
      </c>
      <c r="E558" s="37" t="str">
        <f>CONCATENATE(T558,"-",U558,"-",C558)</f>
        <v>HW1-E5-43260</v>
      </c>
      <c r="F558" s="16" t="s">
        <v>227</v>
      </c>
      <c r="G558" s="126" t="s">
        <v>107</v>
      </c>
      <c r="H558" s="126"/>
      <c r="J558" s="126">
        <v>1435</v>
      </c>
      <c r="K558" s="126">
        <v>2420</v>
      </c>
      <c r="O558" s="126" t="s">
        <v>119</v>
      </c>
      <c r="P558" s="18" t="s">
        <v>119</v>
      </c>
      <c r="Q558" s="18">
        <v>0</v>
      </c>
      <c r="R558" s="18">
        <f>IF(J558=J557,C558-C557,"")</f>
        <v>18</v>
      </c>
      <c r="T558" s="126" t="s">
        <v>133</v>
      </c>
      <c r="U558" s="126" t="s">
        <v>158</v>
      </c>
      <c r="V558" s="126" t="s">
        <v>114</v>
      </c>
      <c r="X558" s="126" t="s">
        <v>115</v>
      </c>
      <c r="Y558" s="126" t="s">
        <v>110</v>
      </c>
      <c r="Z558" s="126">
        <v>3</v>
      </c>
      <c r="AA558" s="126"/>
      <c r="AB558" s="126"/>
      <c r="AC558" s="126"/>
      <c r="AD558" s="126"/>
      <c r="AE558" s="126" t="s">
        <v>116</v>
      </c>
      <c r="AG558" s="16">
        <f>AH558-AI558</f>
        <v>90</v>
      </c>
      <c r="AH558" s="126">
        <v>166</v>
      </c>
      <c r="AI558" s="126">
        <v>76</v>
      </c>
      <c r="AK558" s="126">
        <v>25.5</v>
      </c>
      <c r="AL558" s="126">
        <v>0</v>
      </c>
      <c r="AM558" s="126">
        <v>0</v>
      </c>
      <c r="AN558" s="126">
        <v>0</v>
      </c>
      <c r="AO558" s="16">
        <f>IF(SUM(AL558:AN558)&gt;0,1,0)</f>
        <v>0</v>
      </c>
      <c r="AP558" s="18">
        <f>SUM(AL558:AN558)</f>
        <v>0</v>
      </c>
      <c r="AR558" s="16">
        <v>0.11500000000000021</v>
      </c>
      <c r="AS558" s="16">
        <f>VLOOKUP(E558,'[1]Feces weights'!$D$1:$H$459,5,FALSE)</f>
        <v>0.11500000000000021</v>
      </c>
      <c r="AT558" s="16" t="str">
        <f>VLOOKUP(E558,[2]Current!$A$1:$W$435,7,FALSE)</f>
        <v>IS</v>
      </c>
      <c r="AU558" s="16" t="s">
        <v>1288</v>
      </c>
      <c r="AV558" s="23">
        <v>1</v>
      </c>
      <c r="AW558" s="128">
        <f>IF(AX558&gt;0,1,0)</f>
        <v>0</v>
      </c>
      <c r="AX558" s="128">
        <f>SUM(BA558,BM558,CU558)</f>
        <v>0</v>
      </c>
      <c r="AY558" s="128">
        <f>SUM(BB558,BN558,CV558)</f>
        <v>0</v>
      </c>
      <c r="AZ558" s="128">
        <f>IF(BA558&gt;0,1,0)</f>
        <v>0</v>
      </c>
      <c r="BA558" s="128">
        <f>SUM(BC558+BF558+BI558)</f>
        <v>0</v>
      </c>
      <c r="BB558" s="128">
        <f>SUM(BE558,BH558,BK558)</f>
        <v>0</v>
      </c>
      <c r="BC558" s="130">
        <f>IF(BD558&gt;0,1,0)</f>
        <v>0</v>
      </c>
      <c r="BD558" s="128">
        <f>VLOOKUP($E558,[2]Current!$A:$AC,26,FALSE)</f>
        <v>0</v>
      </c>
      <c r="BE558" s="128">
        <f>BD558/$AS558</f>
        <v>0</v>
      </c>
      <c r="BF558" s="130">
        <f>IF(BG558&gt;0,1,0)</f>
        <v>0</v>
      </c>
      <c r="BG558" s="137">
        <f>VLOOKUP($E558,[2]Current!$A:$AC,27,FALSE)</f>
        <v>0</v>
      </c>
      <c r="BH558" s="128">
        <f>BG558/$AS558</f>
        <v>0</v>
      </c>
      <c r="BI558" s="130">
        <f>IF(BJ558&gt;0,1,0)</f>
        <v>0</v>
      </c>
      <c r="BJ558" s="128">
        <f>VLOOKUP($E558,[2]Current!$A:$AC,28,FALSE)</f>
        <v>0</v>
      </c>
      <c r="BK558" s="128">
        <f>BJ558/$AS558</f>
        <v>0</v>
      </c>
      <c r="BL558" s="128">
        <f>IF(BM558&gt;0,1,0)</f>
        <v>0</v>
      </c>
      <c r="BM558" s="128">
        <f>SUM(BR558,BU558,BX558,CA558,CD558)</f>
        <v>0</v>
      </c>
      <c r="BN558" s="131">
        <f>SUM(BT558,BW558,BZ558,CC558,CF558)</f>
        <v>0</v>
      </c>
      <c r="BO558" s="128">
        <f>IF(BP558&gt;0,1,0)</f>
        <v>0</v>
      </c>
      <c r="BP558" s="128">
        <f>BM558+CJ558</f>
        <v>0</v>
      </c>
      <c r="BQ558" s="128">
        <f>BN558+CL558</f>
        <v>0</v>
      </c>
      <c r="BR558" s="130">
        <f>IF(BS558&gt;0,1,0)</f>
        <v>0</v>
      </c>
      <c r="BS558" s="128">
        <f>VLOOKUP($E558,[2]Current!$A:$AC,12,FALSE)</f>
        <v>0</v>
      </c>
      <c r="BT558" s="137">
        <f>BS558/$AS558</f>
        <v>0</v>
      </c>
      <c r="BU558" s="130">
        <f>IF(BV558&gt;0,1,0)</f>
        <v>0</v>
      </c>
      <c r="BV558" s="128">
        <f>VLOOKUP($E558,[2]Current!$A:$AC,13,FALSE)</f>
        <v>0</v>
      </c>
      <c r="BW558" s="128">
        <f>BV558/$AS558</f>
        <v>0</v>
      </c>
      <c r="BX558" s="130">
        <f>IF(BY558&gt;0,1,0)</f>
        <v>0</v>
      </c>
      <c r="BY558" s="128">
        <f>VLOOKUP($E558,[2]Current!$A:$AC,14,FALSE)</f>
        <v>0</v>
      </c>
      <c r="BZ558" s="128">
        <f>BY558/$AS558</f>
        <v>0</v>
      </c>
      <c r="CA558" s="130">
        <f>IF(CB558&gt;0,1,0)</f>
        <v>0</v>
      </c>
      <c r="CB558" s="128">
        <f>VLOOKUP($E558,[2]Current!$A:$AC,15,FALSE)</f>
        <v>0</v>
      </c>
      <c r="CC558" s="128">
        <f>CB558/$AS558</f>
        <v>0</v>
      </c>
      <c r="CD558" s="174">
        <f>IF(CE558&gt;0,1,0)</f>
        <v>0</v>
      </c>
      <c r="CE558" s="128">
        <f>VLOOKUP($E558,[2]Current!$A:$AC,16,FALSE)</f>
        <v>0</v>
      </c>
      <c r="CF558" s="128">
        <f>CE558/$AS558</f>
        <v>0</v>
      </c>
      <c r="CG558" s="18"/>
      <c r="CH558" s="18"/>
      <c r="CI558" s="18"/>
      <c r="CJ558" s="130">
        <f>IF(CK558&gt;0,1,0)</f>
        <v>0</v>
      </c>
      <c r="CK558" s="128">
        <f>VLOOKUP($E558,[2]Current!$A:$AC,18,FALSE)</f>
        <v>0</v>
      </c>
      <c r="CL558" s="128">
        <f>CK558/$AS558</f>
        <v>0</v>
      </c>
      <c r="CS558" s="130">
        <f>IF(CU558&gt;0,1,0)</f>
        <v>0</v>
      </c>
      <c r="CU558" s="128">
        <f>VLOOKUP($E558,[2]Current!$A:$AC,17,FALSE)</f>
        <v>0</v>
      </c>
      <c r="CV558" s="128">
        <f>CU558/$AS558</f>
        <v>0</v>
      </c>
      <c r="CW558" s="18"/>
      <c r="CX558" s="18"/>
      <c r="CY558" s="18"/>
      <c r="DF558" s="16" t="e">
        <f>VLOOKUP(K558,'[3]RNA Seq summary tables'!$V$3:$V$99,1,FALSE)</f>
        <v>#N/A</v>
      </c>
      <c r="DG558" s="126" t="s">
        <v>116</v>
      </c>
    </row>
    <row r="559" spans="2:288" ht="16" x14ac:dyDescent="0.2">
      <c r="B559" s="16">
        <v>2018</v>
      </c>
      <c r="C559" s="124">
        <v>43277</v>
      </c>
      <c r="D559" t="s">
        <v>867</v>
      </c>
      <c r="E559" s="37" t="str">
        <f>CONCATENATE(T559,"-",U559,"-",C559)</f>
        <v>HW1-H5-43277</v>
      </c>
      <c r="F559" s="16" t="s">
        <v>227</v>
      </c>
      <c r="G559" s="126" t="s">
        <v>107</v>
      </c>
      <c r="H559" s="126"/>
      <c r="J559" s="126">
        <v>1435</v>
      </c>
      <c r="K559" s="126">
        <v>2512</v>
      </c>
      <c r="O559" s="126" t="s">
        <v>119</v>
      </c>
      <c r="P559" s="18" t="s">
        <v>119</v>
      </c>
      <c r="Q559" s="18">
        <v>0</v>
      </c>
      <c r="R559" s="18">
        <f>IF(J559=J558,C559-C558,"")</f>
        <v>17</v>
      </c>
      <c r="T559" s="126" t="s">
        <v>133</v>
      </c>
      <c r="U559" s="126" t="s">
        <v>180</v>
      </c>
      <c r="V559" s="126" t="s">
        <v>114</v>
      </c>
      <c r="X559" s="126" t="s">
        <v>115</v>
      </c>
      <c r="Y559" s="126" t="s">
        <v>110</v>
      </c>
      <c r="Z559" s="126">
        <v>3</v>
      </c>
      <c r="AA559" s="126"/>
      <c r="AB559" s="126"/>
      <c r="AC559" s="126"/>
      <c r="AD559" s="126"/>
      <c r="AE559" s="126" t="s">
        <v>116</v>
      </c>
      <c r="AG559" s="16">
        <f>AH559-AI559</f>
        <v>85</v>
      </c>
      <c r="AH559" s="126">
        <v>162</v>
      </c>
      <c r="AI559" s="126">
        <v>77</v>
      </c>
      <c r="AK559" s="126">
        <v>24</v>
      </c>
      <c r="AL559" s="126">
        <v>0</v>
      </c>
      <c r="AM559" s="126">
        <v>0</v>
      </c>
      <c r="AN559" s="126">
        <v>0</v>
      </c>
      <c r="AO559" s="16">
        <f>IF(SUM(AL559:AN559)&gt;0,1,0)</f>
        <v>0</v>
      </c>
      <c r="AP559" s="18">
        <f>SUM(AL559:AN559)</f>
        <v>0</v>
      </c>
      <c r="AR559" s="16">
        <v>0.30400000000000005</v>
      </c>
      <c r="AS559" s="16">
        <f>VLOOKUP(E559,'[1]Feces weights'!$D$1:$H$459,5,FALSE)</f>
        <v>0.30400000000000005</v>
      </c>
      <c r="AT559" s="16" t="str">
        <f>VLOOKUP(E559,[2]Current!$A$1:$W$435,7,FALSE)</f>
        <v>JB</v>
      </c>
      <c r="AU559" s="16" t="s">
        <v>1288</v>
      </c>
      <c r="AW559" s="128">
        <f>IF(AX559&gt;0,1,0)</f>
        <v>1</v>
      </c>
      <c r="AX559" s="128">
        <f>SUM(BA559,BM559,CU559)</f>
        <v>2</v>
      </c>
      <c r="AY559" s="128">
        <f>SUM(BB559,BN559,CV559)</f>
        <v>55.921052631578938</v>
      </c>
      <c r="AZ559" s="128">
        <f>IF(BA559&gt;0,1,0)</f>
        <v>0</v>
      </c>
      <c r="BA559" s="128">
        <f>SUM(BC559+BF559+BI559)</f>
        <v>0</v>
      </c>
      <c r="BB559" s="128">
        <f>SUM(BE559,BH559,BK559)</f>
        <v>0</v>
      </c>
      <c r="BC559" s="130">
        <f>IF(BD559&gt;0,1,0)</f>
        <v>0</v>
      </c>
      <c r="BD559" s="128">
        <f>VLOOKUP($E559,[2]Current!$A:$AC,26,FALSE)</f>
        <v>0</v>
      </c>
      <c r="BE559" s="128">
        <f>BD559/$AS559</f>
        <v>0</v>
      </c>
      <c r="BF559" s="130">
        <f>IF(BG559&gt;0,1,0)</f>
        <v>0</v>
      </c>
      <c r="BG559" s="137">
        <f>VLOOKUP($E559,[2]Current!$A:$AC,27,FALSE)</f>
        <v>0</v>
      </c>
      <c r="BH559" s="128">
        <f>BG559/$AS559</f>
        <v>0</v>
      </c>
      <c r="BI559" s="130">
        <f>IF(BJ559&gt;0,1,0)</f>
        <v>0</v>
      </c>
      <c r="BJ559" s="128">
        <f>VLOOKUP($E559,[2]Current!$A:$AC,28,FALSE)</f>
        <v>0</v>
      </c>
      <c r="BK559" s="128">
        <f>BJ559/$AS559</f>
        <v>0</v>
      </c>
      <c r="BL559" s="128">
        <f>IF(BM559&gt;0,1,0)</f>
        <v>1</v>
      </c>
      <c r="BM559" s="128">
        <f>SUM(BR559,BU559,BX559,CA559,CD559)</f>
        <v>2</v>
      </c>
      <c r="BN559" s="131">
        <f>SUM(BT559,BW559,BZ559,CC559,CF559)</f>
        <v>55.921052631578938</v>
      </c>
      <c r="BO559" s="128">
        <f>IF(BP559&gt;0,1,0)</f>
        <v>1</v>
      </c>
      <c r="BP559" s="128">
        <f>BM559+CJ559</f>
        <v>2</v>
      </c>
      <c r="BQ559" s="128">
        <f>BN559+CL559</f>
        <v>55.921052631578938</v>
      </c>
      <c r="BR559" s="130">
        <f>IF(BS559&gt;0,1,0)</f>
        <v>1</v>
      </c>
      <c r="BS559" s="128">
        <f>VLOOKUP($E559,[2]Current!$A:$AC,12,FALSE)</f>
        <v>9</v>
      </c>
      <c r="BT559" s="137">
        <f>BS559/$AS559</f>
        <v>29.605263157894733</v>
      </c>
      <c r="BU559" s="130">
        <f>IF(BV559&gt;0,1,0)</f>
        <v>0</v>
      </c>
      <c r="BV559" s="128">
        <f>VLOOKUP($E559,[2]Current!$A:$AC,13,FALSE)</f>
        <v>0</v>
      </c>
      <c r="BW559" s="128">
        <f>BV559/$AS559</f>
        <v>0</v>
      </c>
      <c r="BX559" s="130">
        <f>IF(BY559&gt;0,1,0)</f>
        <v>1</v>
      </c>
      <c r="BY559" s="128">
        <f>VLOOKUP($E559,[2]Current!$A:$AC,14,FALSE)</f>
        <v>8</v>
      </c>
      <c r="BZ559" s="128">
        <f>BY559/$AS559</f>
        <v>26.315789473684205</v>
      </c>
      <c r="CA559" s="130">
        <f>IF(CB559&gt;0,1,0)</f>
        <v>0</v>
      </c>
      <c r="CB559" s="128">
        <f>VLOOKUP($E559,[2]Current!$A:$AC,15,FALSE)</f>
        <v>0</v>
      </c>
      <c r="CC559" s="128">
        <f>CB559/$AS559</f>
        <v>0</v>
      </c>
      <c r="CD559" s="174">
        <f>IF(CE559&gt;0,1,0)</f>
        <v>0</v>
      </c>
      <c r="CE559" s="128">
        <f>VLOOKUP($E559,[2]Current!$A:$AC,16,FALSE)</f>
        <v>0</v>
      </c>
      <c r="CF559" s="128">
        <f>CE559/$AS559</f>
        <v>0</v>
      </c>
      <c r="CG559" s="18"/>
      <c r="CH559" s="18"/>
      <c r="CI559" s="18"/>
      <c r="CJ559" s="130">
        <f>IF(CK559&gt;0,1,0)</f>
        <v>0</v>
      </c>
      <c r="CK559" s="128">
        <f>VLOOKUP($E559,[2]Current!$A:$AC,18,FALSE)</f>
        <v>0</v>
      </c>
      <c r="CL559" s="128">
        <f>CK559/$AS559</f>
        <v>0</v>
      </c>
      <c r="CS559" s="130">
        <f>IF(CU559&gt;0,1,0)</f>
        <v>0</v>
      </c>
      <c r="CT559" s="18"/>
      <c r="CU559" s="128">
        <f>VLOOKUP($E559,[2]Current!$A:$AC,17,FALSE)</f>
        <v>0</v>
      </c>
      <c r="CV559" s="128">
        <f>CU559/$AS559</f>
        <v>0</v>
      </c>
      <c r="CW559" s="18"/>
      <c r="CX559" s="18"/>
      <c r="CY559" s="18"/>
      <c r="DF559" s="16" t="e">
        <f>VLOOKUP(K559,'[3]RNA Seq summary tables'!$V$3:$V$99,1,FALSE)</f>
        <v>#N/A</v>
      </c>
      <c r="DG559" s="126" t="s">
        <v>1080</v>
      </c>
    </row>
    <row r="560" spans="2:288" ht="16" x14ac:dyDescent="0.2">
      <c r="B560" s="16">
        <v>2018</v>
      </c>
      <c r="C560" s="124">
        <v>43294</v>
      </c>
      <c r="D560" t="s">
        <v>957</v>
      </c>
      <c r="E560" s="142" t="str">
        <f>CONCATENATE(T560,"-",U560,"-",C560)</f>
        <v>HW1-C4-43294</v>
      </c>
      <c r="F560" s="16" t="s">
        <v>227</v>
      </c>
      <c r="G560" s="126" t="s">
        <v>107</v>
      </c>
      <c r="H560" s="126"/>
      <c r="J560" s="126">
        <v>1435</v>
      </c>
      <c r="K560" s="126">
        <v>2596</v>
      </c>
      <c r="O560" s="126" t="s">
        <v>119</v>
      </c>
      <c r="P560" s="18" t="s">
        <v>119</v>
      </c>
      <c r="Q560" s="18">
        <v>0</v>
      </c>
      <c r="R560" s="18">
        <f>IF(J560=J559,C560-C559,"")</f>
        <v>17</v>
      </c>
      <c r="T560" s="126" t="s">
        <v>133</v>
      </c>
      <c r="U560" s="126" t="s">
        <v>229</v>
      </c>
      <c r="V560" s="126" t="s">
        <v>114</v>
      </c>
      <c r="X560" s="126" t="s">
        <v>115</v>
      </c>
      <c r="Y560" s="126" t="s">
        <v>110</v>
      </c>
      <c r="Z560" s="126">
        <v>3</v>
      </c>
      <c r="AA560" s="126"/>
      <c r="AB560" s="126"/>
      <c r="AC560" s="126"/>
      <c r="AD560" s="126" t="s">
        <v>116</v>
      </c>
      <c r="AE560" s="126" t="s">
        <v>116</v>
      </c>
      <c r="AG560" s="16">
        <f>AH560-AI560</f>
        <v>80</v>
      </c>
      <c r="AH560" s="126">
        <v>156</v>
      </c>
      <c r="AI560" s="126">
        <v>76</v>
      </c>
      <c r="AK560" s="126">
        <v>23</v>
      </c>
      <c r="AL560" s="126">
        <v>0</v>
      </c>
      <c r="AM560" s="126">
        <v>0</v>
      </c>
      <c r="AN560" s="126">
        <v>0</v>
      </c>
      <c r="AO560" s="16">
        <f>IF(SUM(AL560:AN560)&gt;0,1,0)</f>
        <v>0</v>
      </c>
      <c r="AP560" s="18">
        <f>SUM(AL560:AN560)</f>
        <v>0</v>
      </c>
      <c r="AR560" s="16">
        <v>0.12800000000000011</v>
      </c>
      <c r="AS560" s="16">
        <f>VLOOKUP(E560,'[1]Feces weights'!$D$1:$H$459,5,FALSE)</f>
        <v>0.12800000000000011</v>
      </c>
      <c r="AT560" s="16" t="e">
        <f>VLOOKUP(E560,[2]Current!$A$1:$W$435,7,FALSE)</f>
        <v>#N/A</v>
      </c>
      <c r="AU560" s="16">
        <v>0</v>
      </c>
      <c r="BG560" s="77"/>
      <c r="BN560" s="126"/>
      <c r="BT560" s="78"/>
      <c r="BU560" s="18"/>
      <c r="BV560" s="18"/>
      <c r="BW560" s="25"/>
      <c r="BX560" s="18"/>
      <c r="BY560" s="18"/>
      <c r="BZ560" s="25"/>
      <c r="CA560" s="18"/>
      <c r="CB560" s="18"/>
      <c r="CC560" s="25"/>
      <c r="CD560" s="78"/>
      <c r="CE560" s="18"/>
      <c r="CF560" s="25"/>
      <c r="CG560" s="18"/>
      <c r="CH560" s="18"/>
      <c r="CI560" s="18"/>
      <c r="CJ560" s="18"/>
      <c r="CK560" s="18"/>
      <c r="CL560" s="25"/>
      <c r="DF560" s="16" t="e">
        <f>VLOOKUP(K560,'[3]RNA Seq summary tables'!$V$3:$V$99,1,FALSE)</f>
        <v>#N/A</v>
      </c>
      <c r="DG560" s="126" t="s">
        <v>116</v>
      </c>
    </row>
    <row r="561" spans="2:288" ht="16" x14ac:dyDescent="0.2">
      <c r="B561" s="26">
        <v>2018</v>
      </c>
      <c r="C561" s="189">
        <v>43305</v>
      </c>
      <c r="D561" s="107" t="s">
        <v>1052</v>
      </c>
      <c r="E561" s="142" t="str">
        <f>CONCATENATE(T561,"-",U561,"-",C561)</f>
        <v>HW1-G4-43305</v>
      </c>
      <c r="F561" s="16" t="s">
        <v>227</v>
      </c>
      <c r="G561" s="126" t="s">
        <v>107</v>
      </c>
      <c r="H561" s="126"/>
      <c r="J561" s="126">
        <v>1435</v>
      </c>
      <c r="K561" s="126">
        <v>2691</v>
      </c>
      <c r="O561" s="126" t="s">
        <v>119</v>
      </c>
      <c r="P561" s="18" t="s">
        <v>119</v>
      </c>
      <c r="Q561" s="18">
        <v>0</v>
      </c>
      <c r="R561" s="18">
        <f>IF(J561=J560,C561-C560,"")</f>
        <v>11</v>
      </c>
      <c r="T561" s="126" t="s">
        <v>133</v>
      </c>
      <c r="U561" s="126" t="s">
        <v>173</v>
      </c>
      <c r="V561" s="126" t="s">
        <v>114</v>
      </c>
      <c r="X561" s="126" t="s">
        <v>115</v>
      </c>
      <c r="Y561" s="126" t="s">
        <v>110</v>
      </c>
      <c r="Z561" s="126">
        <v>3</v>
      </c>
      <c r="AA561" s="126"/>
      <c r="AB561" s="126"/>
      <c r="AC561" s="126"/>
      <c r="AD561" s="126" t="s">
        <v>116</v>
      </c>
      <c r="AE561" s="126" t="s">
        <v>116</v>
      </c>
      <c r="AG561" s="40">
        <f>AH561-AI561</f>
        <v>85</v>
      </c>
      <c r="AH561" s="126">
        <v>160</v>
      </c>
      <c r="AI561" s="126">
        <v>75</v>
      </c>
      <c r="AK561" s="126">
        <v>25</v>
      </c>
      <c r="AL561" s="126">
        <v>0</v>
      </c>
      <c r="AM561" s="126">
        <v>0</v>
      </c>
      <c r="AN561" s="126">
        <v>0</v>
      </c>
      <c r="AO561" s="16">
        <f>IF(SUM(AL561:AN561)&gt;0,1,0)</f>
        <v>0</v>
      </c>
      <c r="AP561" s="18">
        <f>SUM(AL561:AN561)</f>
        <v>0</v>
      </c>
      <c r="AR561" s="16">
        <v>0.30500000000000016</v>
      </c>
      <c r="AS561" s="16">
        <f>VLOOKUP(E561,'[1]Feces weights'!$D$1:$H$459,5,FALSE)</f>
        <v>0.30500000000000016</v>
      </c>
      <c r="AT561" s="16" t="e">
        <f>VLOOKUP(E561,[2]Current!$A$1:$W$435,7,FALSE)</f>
        <v>#N/A</v>
      </c>
      <c r="AU561" s="16">
        <v>0</v>
      </c>
      <c r="BG561" s="77"/>
      <c r="BN561" s="126"/>
      <c r="BT561" s="78"/>
      <c r="BU561" s="18"/>
      <c r="BV561" s="18"/>
      <c r="BW561" s="25"/>
      <c r="BX561" s="18"/>
      <c r="BY561" s="18"/>
      <c r="BZ561" s="25"/>
      <c r="CA561" s="18"/>
      <c r="CB561" s="18"/>
      <c r="CC561" s="25"/>
      <c r="CD561" s="78"/>
      <c r="CE561" s="18"/>
      <c r="CF561" s="25"/>
      <c r="CG561" s="18"/>
      <c r="CH561" s="18"/>
      <c r="CI561" s="18"/>
      <c r="CJ561" s="18"/>
      <c r="CK561" s="18"/>
      <c r="CL561" s="25"/>
      <c r="DF561" s="16" t="e">
        <f>VLOOKUP(K561,'[3]RNA Seq summary tables'!$V$3:$V$99,1,FALSE)</f>
        <v>#N/A</v>
      </c>
      <c r="DG561" s="126" t="s">
        <v>116</v>
      </c>
      <c r="JR561" s="30"/>
      <c r="JS561" s="30"/>
      <c r="JT561" s="30"/>
      <c r="JU561" s="30"/>
      <c r="JV561" s="30"/>
      <c r="JW561" s="30"/>
      <c r="JX561" s="30"/>
      <c r="JY561" s="30"/>
      <c r="JZ561" s="30"/>
      <c r="KA561" s="30"/>
      <c r="KB561" s="30"/>
    </row>
    <row r="562" spans="2:288" ht="16" x14ac:dyDescent="0.2">
      <c r="B562" s="26">
        <v>2018</v>
      </c>
      <c r="C562" s="191">
        <v>43305</v>
      </c>
      <c r="D562" s="107" t="s">
        <v>1172</v>
      </c>
      <c r="E562" s="20" t="str">
        <f>CONCATENATE(T562,"-",U562,"-",C562)</f>
        <v>HW1-G4-43305</v>
      </c>
      <c r="F562" s="16" t="s">
        <v>227</v>
      </c>
      <c r="G562" s="145" t="s">
        <v>107</v>
      </c>
      <c r="H562" s="145"/>
      <c r="I562" s="145"/>
      <c r="J562" s="145">
        <v>1435</v>
      </c>
      <c r="K562" s="145">
        <v>2691</v>
      </c>
      <c r="M562" s="16"/>
      <c r="N562" s="16"/>
      <c r="O562" s="145" t="s">
        <v>119</v>
      </c>
      <c r="P562" s="18" t="s">
        <v>119</v>
      </c>
      <c r="Q562" s="18">
        <v>0</v>
      </c>
      <c r="R562" s="18">
        <f>IF(J562=J561,C562-C561,"")</f>
        <v>0</v>
      </c>
      <c r="S562" s="145"/>
      <c r="T562" s="145" t="s">
        <v>133</v>
      </c>
      <c r="U562" s="145" t="s">
        <v>173</v>
      </c>
      <c r="V562" s="145" t="s">
        <v>114</v>
      </c>
      <c r="W562" s="145"/>
      <c r="X562" s="145" t="s">
        <v>115</v>
      </c>
      <c r="Y562" s="145" t="s">
        <v>110</v>
      </c>
      <c r="Z562" s="145">
        <v>3</v>
      </c>
      <c r="AA562" s="145"/>
      <c r="AB562" s="145"/>
      <c r="AC562" s="145"/>
      <c r="AD562" s="145"/>
      <c r="AE562" s="145" t="s">
        <v>116</v>
      </c>
      <c r="AF562" s="145" t="s">
        <v>116</v>
      </c>
      <c r="AG562" s="145">
        <f>AH562-AI562</f>
        <v>85</v>
      </c>
      <c r="AH562" s="145">
        <v>160</v>
      </c>
      <c r="AI562" s="145">
        <v>75</v>
      </c>
      <c r="AJ562" s="145"/>
      <c r="AK562" s="145">
        <v>25</v>
      </c>
      <c r="AL562" s="145">
        <v>0</v>
      </c>
      <c r="AM562" s="145">
        <v>0</v>
      </c>
      <c r="AN562" s="145">
        <v>0</v>
      </c>
      <c r="AO562" s="16">
        <f>IF(SUM(AL562:AN562)&gt;0, 1,0)</f>
        <v>0</v>
      </c>
      <c r="AP562" s="16">
        <f>SUM(AL562:AN562)</f>
        <v>0</v>
      </c>
      <c r="AS562" s="16">
        <f>VLOOKUP(E562,'[1]Feces weights'!$D$1:$H$459,5,FALSE)</f>
        <v>0.30500000000000016</v>
      </c>
      <c r="AT562" s="16" t="e">
        <f>VLOOKUP(E562,[2]Current!$A$1:$W$435,7,FALSE)</f>
        <v>#N/A</v>
      </c>
      <c r="BG562" s="77"/>
      <c r="BT562" s="77"/>
      <c r="CD562" s="77"/>
      <c r="DG562" s="145" t="s">
        <v>116</v>
      </c>
      <c r="DT562" s="145" t="s">
        <v>123</v>
      </c>
      <c r="DU562" s="145"/>
      <c r="DX562" s="145"/>
      <c r="DY562" s="145"/>
      <c r="DZ562" s="16"/>
      <c r="EA562" s="16"/>
      <c r="EB562" s="16"/>
      <c r="EC562" s="16"/>
      <c r="ED562" s="16"/>
      <c r="EE562" s="16"/>
      <c r="EF562" s="16"/>
      <c r="JO562" s="18"/>
      <c r="JP562" s="18"/>
      <c r="JQ562" s="18"/>
      <c r="JR562" s="18"/>
      <c r="JS562" s="18"/>
      <c r="JT562" s="18"/>
      <c r="JU562" s="18"/>
      <c r="JV562" s="18"/>
      <c r="JW562" s="18"/>
      <c r="JX562" s="18"/>
      <c r="JY562" s="18"/>
      <c r="JZ562" s="18"/>
      <c r="KA562" s="18"/>
    </row>
    <row r="563" spans="2:288" ht="16" x14ac:dyDescent="0.2">
      <c r="B563" s="16">
        <v>2018</v>
      </c>
      <c r="C563" s="124">
        <v>43242</v>
      </c>
      <c r="D563" t="s">
        <v>728</v>
      </c>
      <c r="E563" s="37" t="str">
        <f>CONCATENATE(T563,"-",U563,"-",C563)</f>
        <v>HW2-B4-43242</v>
      </c>
      <c r="F563" s="16" t="s">
        <v>227</v>
      </c>
      <c r="G563" s="126" t="s">
        <v>107</v>
      </c>
      <c r="H563" s="126" t="s">
        <v>1090</v>
      </c>
      <c r="J563" s="126">
        <v>1437</v>
      </c>
      <c r="K563" s="126">
        <v>2364</v>
      </c>
      <c r="O563" s="126" t="s">
        <v>119</v>
      </c>
      <c r="P563" s="18" t="s">
        <v>119</v>
      </c>
      <c r="Q563" s="18">
        <v>0</v>
      </c>
      <c r="R563" s="18" t="str">
        <f>IF(J563=J562,C563-C562,"")</f>
        <v/>
      </c>
      <c r="T563" s="126" t="s">
        <v>129</v>
      </c>
      <c r="U563" s="126" t="s">
        <v>144</v>
      </c>
      <c r="V563" s="126" t="s">
        <v>114</v>
      </c>
      <c r="X563" s="126" t="s">
        <v>115</v>
      </c>
      <c r="Y563" s="126" t="s">
        <v>110</v>
      </c>
      <c r="Z563" s="126">
        <v>3</v>
      </c>
      <c r="AA563" s="126"/>
      <c r="AB563" s="126"/>
      <c r="AC563" s="126"/>
      <c r="AD563" s="126"/>
      <c r="AE563" s="126" t="s">
        <v>116</v>
      </c>
      <c r="AG563" s="16">
        <f>AH563-AI563</f>
        <v>91</v>
      </c>
      <c r="AH563" s="126">
        <v>170</v>
      </c>
      <c r="AI563" s="126">
        <v>79</v>
      </c>
      <c r="AK563" s="126">
        <v>22.5</v>
      </c>
      <c r="AL563" s="126">
        <v>1</v>
      </c>
      <c r="AM563" s="126">
        <v>0</v>
      </c>
      <c r="AN563" s="126">
        <v>0</v>
      </c>
      <c r="AO563" s="16">
        <f>IF(SUM(AL563:AN563)&gt;0,1,0)</f>
        <v>1</v>
      </c>
      <c r="AP563" s="18">
        <f>SUM(AL563:AN563)</f>
        <v>1</v>
      </c>
      <c r="AR563" s="16">
        <v>0.53800000000000003</v>
      </c>
      <c r="AS563" s="16">
        <f>VLOOKUP(E563,'[1]Feces weights'!$D$1:$H$459,5,FALSE)</f>
        <v>0.53800000000000003</v>
      </c>
      <c r="AT563" s="16" t="str">
        <f>VLOOKUP(E563,[9]Current!$A:$T,7,FALSE)</f>
        <v>IS</v>
      </c>
      <c r="AU563" s="18" t="s">
        <v>1290</v>
      </c>
      <c r="AW563" s="177">
        <f>IF(AY563&gt;0,1,0)</f>
        <v>1</v>
      </c>
      <c r="AX563" s="177">
        <f>SUM(BA563,BM563,CU563)</f>
        <v>4</v>
      </c>
      <c r="AY563" s="177">
        <f>SUM(BB563,BN563,CV563)</f>
        <v>9821.5613382899628</v>
      </c>
      <c r="AZ563" s="177">
        <f>IF(BB563&gt;0,1,0)</f>
        <v>1</v>
      </c>
      <c r="BA563" s="177">
        <f>SUM(BC563+BF563+BI563)</f>
        <v>3</v>
      </c>
      <c r="BB563" s="177">
        <f>SUM(BE563,BH563,BK563)</f>
        <v>9819.7026022304835</v>
      </c>
      <c r="BC563" s="178">
        <f>IF(BD563&gt;0,1,0)</f>
        <v>1</v>
      </c>
      <c r="BD563" s="177">
        <f>VLOOKUP($E563,[9]Current!$1:$1048576,8,FALSE)</f>
        <v>525</v>
      </c>
      <c r="BE563" s="177">
        <f>BD563/$AS563</f>
        <v>975.83643122676574</v>
      </c>
      <c r="BF563" s="178">
        <f>IF(BG563&gt;0,1,0)</f>
        <v>1</v>
      </c>
      <c r="BG563" s="179">
        <f>VLOOKUP($E563,[9]Current!$1:$1048576,9,FALSE)</f>
        <v>3933</v>
      </c>
      <c r="BH563" s="177">
        <f>BG563/$AS563</f>
        <v>7310.4089219330854</v>
      </c>
      <c r="BI563" s="178">
        <f>IF(BJ563&gt;0,1,0)</f>
        <v>1</v>
      </c>
      <c r="BJ563" s="177">
        <f>VLOOKUP($E563,[9]Current!$1:$1048576,10,FALSE)</f>
        <v>825</v>
      </c>
      <c r="BK563" s="177">
        <f>BJ563/$AS563</f>
        <v>1533.4572490706319</v>
      </c>
      <c r="BL563" s="177">
        <f>IF(BM563&gt;0,1,0)</f>
        <v>1</v>
      </c>
      <c r="BM563" s="177">
        <f>SUM(BR563,BU563,BX563,CA563,CD563)</f>
        <v>1</v>
      </c>
      <c r="BN563" s="181">
        <f>SUM(BT563,BW563,BZ563,CC563,CF563)</f>
        <v>1.8587360594795539</v>
      </c>
      <c r="BO563" s="177">
        <f>IF(BP563&gt;0,1,0)</f>
        <v>1</v>
      </c>
      <c r="BP563" s="177">
        <f>BM563+CJ563</f>
        <v>1</v>
      </c>
      <c r="BQ563" s="177">
        <f>BN563+CL563</f>
        <v>1.8587360594795539</v>
      </c>
      <c r="BR563" s="178">
        <f>IF(BS563&gt;0,1,0)</f>
        <v>0</v>
      </c>
      <c r="BS563" s="177">
        <f>VLOOKUP($E563,[9]Current!$1:$1048576,12,FALSE)</f>
        <v>0</v>
      </c>
      <c r="BT563" s="179">
        <f>BS563/$AS563</f>
        <v>0</v>
      </c>
      <c r="BU563" s="178">
        <f>IF(BV563&gt;0,1,0)</f>
        <v>0</v>
      </c>
      <c r="BV563" s="177">
        <f>VLOOKUP($E563,[9]Current!$1:$1048576,13,FALSE)</f>
        <v>0</v>
      </c>
      <c r="BW563" s="177">
        <f>BV563/$AS563</f>
        <v>0</v>
      </c>
      <c r="BX563" s="178">
        <f>IF(BY563&gt;0,1,0)</f>
        <v>0</v>
      </c>
      <c r="BY563" s="177">
        <f>VLOOKUP($E563,[9]Current!$1:$1048576,14,FALSE)</f>
        <v>0</v>
      </c>
      <c r="BZ563" s="177">
        <f>BY563/$AS563</f>
        <v>0</v>
      </c>
      <c r="CA563" s="178">
        <f>IF(CB563&gt;0,1,0)</f>
        <v>0</v>
      </c>
      <c r="CB563" s="177">
        <f>VLOOKUP($E563,[9]Current!$1:$1048576,15,FALSE)</f>
        <v>0</v>
      </c>
      <c r="CC563" s="177">
        <f>CB563/$AS563</f>
        <v>0</v>
      </c>
      <c r="CD563" s="180">
        <f>IF(CE563&gt;0,1,0)</f>
        <v>1</v>
      </c>
      <c r="CE563" s="177">
        <f>VLOOKUP($E563,[9]Current!$1:$1048576,16,FALSE)</f>
        <v>1</v>
      </c>
      <c r="CF563" s="177">
        <f>CE563/$AS563</f>
        <v>1.8587360594795539</v>
      </c>
      <c r="CG563" s="18"/>
      <c r="CH563" s="18"/>
      <c r="CI563" s="18"/>
      <c r="CJ563" s="178">
        <f>IF(CK563&gt;0,1,0)</f>
        <v>0</v>
      </c>
      <c r="CK563" s="177">
        <f>VLOOKUP($E563,[9]Current!$1:$1048576,18,FALSE)</f>
        <v>0</v>
      </c>
      <c r="CL563" s="177">
        <f>CK563/$AS563</f>
        <v>0</v>
      </c>
      <c r="CS563" s="178">
        <f>IF(CU563&gt;0,1,0)</f>
        <v>0</v>
      </c>
      <c r="CT563" s="177"/>
      <c r="CU563" s="177">
        <f>VLOOKUP($E563,[9]Current!$1:$1048576,17,FALSE)</f>
        <v>0</v>
      </c>
      <c r="CV563" s="177">
        <f>CU563/$AS563</f>
        <v>0</v>
      </c>
      <c r="DF563" s="16" t="e">
        <f>VLOOKUP(K563,'[3]RNA Seq summary tables'!$V$3:$V$99,1,FALSE)</f>
        <v>#N/A</v>
      </c>
      <c r="DG563" s="126" t="s">
        <v>116</v>
      </c>
    </row>
    <row r="564" spans="2:288" ht="16" x14ac:dyDescent="0.2">
      <c r="B564" s="16">
        <v>2018</v>
      </c>
      <c r="C564" s="124">
        <v>43242</v>
      </c>
      <c r="D564" t="s">
        <v>727</v>
      </c>
      <c r="E564" s="37" t="str">
        <f>CONCATENATE(T564,"-",U564,"-",C564)</f>
        <v>HW2-D3-43242</v>
      </c>
      <c r="F564" s="16" t="s">
        <v>227</v>
      </c>
      <c r="G564" s="126" t="s">
        <v>107</v>
      </c>
      <c r="H564" s="126"/>
      <c r="J564" s="126">
        <v>1439</v>
      </c>
      <c r="K564" s="126">
        <v>2366</v>
      </c>
      <c r="O564" s="126" t="s">
        <v>119</v>
      </c>
      <c r="P564" s="18" t="s">
        <v>119</v>
      </c>
      <c r="Q564" s="18">
        <v>0</v>
      </c>
      <c r="R564" s="18" t="str">
        <f>IF(J564=J563,C564-C563,"")</f>
        <v/>
      </c>
      <c r="T564" s="126" t="s">
        <v>129</v>
      </c>
      <c r="U564" s="126" t="s">
        <v>149</v>
      </c>
      <c r="V564" s="126" t="s">
        <v>114</v>
      </c>
      <c r="X564" s="126" t="s">
        <v>115</v>
      </c>
      <c r="Y564" s="126" t="s">
        <v>110</v>
      </c>
      <c r="Z564" s="126">
        <v>3</v>
      </c>
      <c r="AA564" s="126"/>
      <c r="AB564" s="126"/>
      <c r="AC564" s="126"/>
      <c r="AD564" s="126"/>
      <c r="AE564" s="126" t="s">
        <v>123</v>
      </c>
      <c r="AG564" s="16">
        <f>AH564-AI564</f>
        <v>90</v>
      </c>
      <c r="AH564" s="126">
        <v>161</v>
      </c>
      <c r="AI564" s="126">
        <v>71</v>
      </c>
      <c r="AK564" s="126">
        <v>24</v>
      </c>
      <c r="AL564" s="126">
        <v>0</v>
      </c>
      <c r="AM564" s="126">
        <v>0</v>
      </c>
      <c r="AN564" s="126">
        <v>0</v>
      </c>
      <c r="AO564" s="16">
        <f>IF(SUM(AL564:AN564)&gt;0,1,0)</f>
        <v>0</v>
      </c>
      <c r="AP564" s="18">
        <f>SUM(AL564:AN564)</f>
        <v>0</v>
      </c>
      <c r="AR564" s="16">
        <v>0.48100000000000009</v>
      </c>
      <c r="AS564" s="16">
        <f>VLOOKUP(E564,'[1]Feces weights'!$D$1:$H$459,5,FALSE)</f>
        <v>0.48100000000000009</v>
      </c>
      <c r="AT564" s="16" t="str">
        <f>VLOOKUP(E564,[9]Current!$A:$T,7,FALSE)</f>
        <v>TE</v>
      </c>
      <c r="AU564" s="18" t="s">
        <v>1290</v>
      </c>
      <c r="AW564" s="177">
        <f>IF(AY564&gt;0,1,0)</f>
        <v>1</v>
      </c>
      <c r="AX564" s="177">
        <f>SUM(BA564,BM564,CU564)</f>
        <v>1</v>
      </c>
      <c r="AY564" s="177">
        <f>SUM(BB564,BN564,CV564)</f>
        <v>2.0790020790020787</v>
      </c>
      <c r="AZ564" s="177">
        <f>IF(BB564&gt;0,1,0)</f>
        <v>1</v>
      </c>
      <c r="BA564" s="177">
        <f>SUM(BC564+BF564+BI564)</f>
        <v>1</v>
      </c>
      <c r="BB564" s="177">
        <f>SUM(BE564,BH564,BK564)</f>
        <v>2.0790020790020787</v>
      </c>
      <c r="BC564" s="178">
        <f>IF(BD564&gt;0,1,0)</f>
        <v>1</v>
      </c>
      <c r="BD564" s="177">
        <f>VLOOKUP($E564,[9]Current!$1:$1048576,8,FALSE)</f>
        <v>1</v>
      </c>
      <c r="BE564" s="177">
        <f>BD564/$AS564</f>
        <v>2.0790020790020787</v>
      </c>
      <c r="BF564" s="178">
        <f>IF(BG564&gt;0,1,0)</f>
        <v>0</v>
      </c>
      <c r="BG564" s="179">
        <f>VLOOKUP($E564,[9]Current!$1:$1048576,9,FALSE)</f>
        <v>0</v>
      </c>
      <c r="BH564" s="177">
        <f>BG564/$AS564</f>
        <v>0</v>
      </c>
      <c r="BI564" s="178">
        <f>IF(BJ564&gt;0,1,0)</f>
        <v>0</v>
      </c>
      <c r="BJ564" s="177">
        <f>VLOOKUP($E564,[9]Current!$1:$1048576,10,FALSE)</f>
        <v>0</v>
      </c>
      <c r="BK564" s="177">
        <f>BJ564/$AS564</f>
        <v>0</v>
      </c>
      <c r="BL564" s="177">
        <f>IF(BM564&gt;0,1,0)</f>
        <v>0</v>
      </c>
      <c r="BM564" s="177">
        <f>SUM(BR564,BU564,BX564,CA564,CD564)</f>
        <v>0</v>
      </c>
      <c r="BN564" s="181">
        <f>SUM(BT564,BW564,BZ564,CC564,CF564)</f>
        <v>0</v>
      </c>
      <c r="BO564" s="177">
        <f>IF(BP564&gt;0,1,0)</f>
        <v>0</v>
      </c>
      <c r="BP564" s="177">
        <f>BM564+CJ564</f>
        <v>0</v>
      </c>
      <c r="BQ564" s="177">
        <f>BN564+CL564</f>
        <v>0</v>
      </c>
      <c r="BR564" s="178">
        <f>IF(BS564&gt;0,1,0)</f>
        <v>0</v>
      </c>
      <c r="BS564" s="177">
        <f>VLOOKUP($E564,[9]Current!$1:$1048576,12,FALSE)</f>
        <v>0</v>
      </c>
      <c r="BT564" s="179">
        <f>BS564/$AS564</f>
        <v>0</v>
      </c>
      <c r="BU564" s="178">
        <f>IF(BV564&gt;0,1,0)</f>
        <v>0</v>
      </c>
      <c r="BV564" s="177">
        <f>VLOOKUP($E564,[9]Current!$1:$1048576,13,FALSE)</f>
        <v>0</v>
      </c>
      <c r="BW564" s="177">
        <f>BV564/$AS564</f>
        <v>0</v>
      </c>
      <c r="BX564" s="178">
        <f>IF(BY564&gt;0,1,0)</f>
        <v>0</v>
      </c>
      <c r="BY564" s="177">
        <f>VLOOKUP($E564,[9]Current!$1:$1048576,14,FALSE)</f>
        <v>0</v>
      </c>
      <c r="BZ564" s="177">
        <f>BY564/$AS564</f>
        <v>0</v>
      </c>
      <c r="CA564" s="178">
        <f>IF(CB564&gt;0,1,0)</f>
        <v>0</v>
      </c>
      <c r="CB564" s="177">
        <f>VLOOKUP($E564,[9]Current!$1:$1048576,15,FALSE)</f>
        <v>0</v>
      </c>
      <c r="CC564" s="177">
        <f>CB564/$AS564</f>
        <v>0</v>
      </c>
      <c r="CD564" s="180">
        <f>IF(CE564&gt;0,1,0)</f>
        <v>0</v>
      </c>
      <c r="CE564" s="177">
        <f>VLOOKUP($E564,[9]Current!$1:$1048576,16,FALSE)</f>
        <v>0</v>
      </c>
      <c r="CF564" s="177">
        <f>CE564/$AS564</f>
        <v>0</v>
      </c>
      <c r="CG564" s="18"/>
      <c r="CH564" s="18"/>
      <c r="CI564" s="18"/>
      <c r="CJ564" s="178">
        <f>IF(CK564&gt;0,1,0)</f>
        <v>0</v>
      </c>
      <c r="CK564" s="177">
        <f>VLOOKUP($E564,[9]Current!$1:$1048576,18,FALSE)</f>
        <v>0</v>
      </c>
      <c r="CL564" s="177">
        <f>CK564/$AS564</f>
        <v>0</v>
      </c>
      <c r="CS564" s="178">
        <f>IF(CU564&gt;0,1,0)</f>
        <v>0</v>
      </c>
      <c r="CT564" s="177"/>
      <c r="CU564" s="177">
        <f>VLOOKUP($E564,[9]Current!$1:$1048576,17,FALSE)</f>
        <v>0</v>
      </c>
      <c r="CV564" s="177">
        <f>CU564/$AS564</f>
        <v>0</v>
      </c>
      <c r="DF564" s="16" t="e">
        <f>VLOOKUP(K564,'[3]RNA Seq summary tables'!$V$3:$V$99,1,FALSE)</f>
        <v>#N/A</v>
      </c>
      <c r="DG564" s="126" t="s">
        <v>116</v>
      </c>
    </row>
    <row r="565" spans="2:288" ht="16" x14ac:dyDescent="0.2">
      <c r="B565" s="16">
        <v>2018</v>
      </c>
      <c r="C565" s="124">
        <v>43260</v>
      </c>
      <c r="D565" t="s">
        <v>781</v>
      </c>
      <c r="E565" s="37" t="str">
        <f>CONCATENATE(T565,"-",U565,"-",C565)</f>
        <v>HW2-D2-43260</v>
      </c>
      <c r="F565" s="16" t="s">
        <v>227</v>
      </c>
      <c r="G565" s="126" t="s">
        <v>107</v>
      </c>
      <c r="H565" s="126"/>
      <c r="J565" s="126">
        <v>1439</v>
      </c>
      <c r="K565" s="126">
        <v>2425</v>
      </c>
      <c r="O565" s="126" t="s">
        <v>119</v>
      </c>
      <c r="P565" s="18" t="s">
        <v>119</v>
      </c>
      <c r="Q565" s="18">
        <v>0</v>
      </c>
      <c r="R565" s="18">
        <f>IF(J565=J564,C565-C564,"")</f>
        <v>18</v>
      </c>
      <c r="T565" s="126" t="s">
        <v>129</v>
      </c>
      <c r="U565" s="126" t="s">
        <v>198</v>
      </c>
      <c r="V565" s="126" t="s">
        <v>114</v>
      </c>
      <c r="X565" s="126" t="s">
        <v>115</v>
      </c>
      <c r="Y565" s="126" t="s">
        <v>110</v>
      </c>
      <c r="Z565" s="126">
        <v>3</v>
      </c>
      <c r="AA565" s="126"/>
      <c r="AB565" s="126"/>
      <c r="AC565" s="126"/>
      <c r="AD565" s="126"/>
      <c r="AE565" s="126" t="s">
        <v>116</v>
      </c>
      <c r="AG565" s="16">
        <f>AH565-AI565</f>
        <v>89</v>
      </c>
      <c r="AH565" s="126">
        <v>167</v>
      </c>
      <c r="AI565" s="126">
        <v>78</v>
      </c>
      <c r="AK565" s="126">
        <v>22</v>
      </c>
      <c r="AL565" s="126">
        <v>0</v>
      </c>
      <c r="AM565" s="126">
        <v>0</v>
      </c>
      <c r="AN565" s="126">
        <v>0</v>
      </c>
      <c r="AO565" s="16">
        <f>IF(SUM(AL565:AN565)&gt;0,1,0)</f>
        <v>0</v>
      </c>
      <c r="AP565" s="18">
        <f>SUM(AL565:AN565)</f>
        <v>0</v>
      </c>
      <c r="AR565" s="16">
        <v>0.14800000000000013</v>
      </c>
      <c r="AS565" s="16">
        <f>VLOOKUP(E565,'[1]Feces weights'!$D$1:$H$459,5,FALSE)</f>
        <v>0.14800000000000013</v>
      </c>
      <c r="AT565" s="16" t="str">
        <f>VLOOKUP(E565,[2]Current!$A$1:$W$435,7,FALSE)</f>
        <v>IS</v>
      </c>
      <c r="AU565" s="16" t="s">
        <v>1288</v>
      </c>
      <c r="AW565" s="128">
        <f>IF(AX565&gt;0,1,0)</f>
        <v>1</v>
      </c>
      <c r="AX565" s="128">
        <f>SUM(BA565,BM565,CU565)</f>
        <v>3</v>
      </c>
      <c r="AY565" s="128">
        <f>SUM(BB565,BN565,CV565)</f>
        <v>2959.4594594594569</v>
      </c>
      <c r="AZ565" s="128">
        <f>IF(BA565&gt;0,1,0)</f>
        <v>1</v>
      </c>
      <c r="BA565" s="128">
        <f>SUM(BC565+BF565+BI565)</f>
        <v>3</v>
      </c>
      <c r="BB565" s="128">
        <f>SUM(BE565,BH565,BK565)</f>
        <v>2959.4594594594569</v>
      </c>
      <c r="BC565" s="130">
        <f>IF(BD565&gt;0,1,0)</f>
        <v>1</v>
      </c>
      <c r="BD565" s="128">
        <f>VLOOKUP($E565,[2]Current!$A:$AC,26,FALSE)</f>
        <v>14</v>
      </c>
      <c r="BE565" s="128">
        <f>BD565/$AS565</f>
        <v>94.594594594594511</v>
      </c>
      <c r="BF565" s="130">
        <f>IF(BG565&gt;0,1,0)</f>
        <v>1</v>
      </c>
      <c r="BG565" s="137">
        <f>VLOOKUP($E565,[2]Current!$A:$AC,27,FALSE)</f>
        <v>414</v>
      </c>
      <c r="BH565" s="128">
        <f>BG565/$AS565</f>
        <v>2797.2972972972948</v>
      </c>
      <c r="BI565" s="130">
        <f>IF(BJ565&gt;0,1,0)</f>
        <v>1</v>
      </c>
      <c r="BJ565" s="128">
        <f>VLOOKUP($E565,[2]Current!$A:$AC,28,FALSE)</f>
        <v>10</v>
      </c>
      <c r="BK565" s="128">
        <f>BJ565/$AS565</f>
        <v>67.567567567567508</v>
      </c>
      <c r="BL565" s="128">
        <f>IF(BM565&gt;0,1,0)</f>
        <v>0</v>
      </c>
      <c r="BM565" s="128">
        <f>SUM(BR565,BU565,BX565,CA565,CD565)</f>
        <v>0</v>
      </c>
      <c r="BN565" s="131">
        <f>SUM(BT565,BW565,BZ565,CC565,CF565)</f>
        <v>0</v>
      </c>
      <c r="BO565" s="128">
        <f>IF(BP565&gt;0,1,0)</f>
        <v>0</v>
      </c>
      <c r="BP565" s="128">
        <f>BM565+CJ565</f>
        <v>0</v>
      </c>
      <c r="BQ565" s="128">
        <f>BN565+CL565</f>
        <v>0</v>
      </c>
      <c r="BR565" s="130">
        <f>IF(BS565&gt;0,1,0)</f>
        <v>0</v>
      </c>
      <c r="BS565" s="128">
        <f>VLOOKUP($E565,[2]Current!$A:$AC,12,FALSE)</f>
        <v>0</v>
      </c>
      <c r="BT565" s="137">
        <f>BS565/$AS565</f>
        <v>0</v>
      </c>
      <c r="BU565" s="130">
        <f>IF(BV565&gt;0,1,0)</f>
        <v>0</v>
      </c>
      <c r="BV565" s="128">
        <f>VLOOKUP($E565,[2]Current!$A:$AC,13,FALSE)</f>
        <v>0</v>
      </c>
      <c r="BW565" s="128">
        <f>BV565/$AS565</f>
        <v>0</v>
      </c>
      <c r="BX565" s="130">
        <f>IF(BY565&gt;0,1,0)</f>
        <v>0</v>
      </c>
      <c r="BY565" s="128">
        <f>VLOOKUP($E565,[2]Current!$A:$AC,14,FALSE)</f>
        <v>0</v>
      </c>
      <c r="BZ565" s="128">
        <f>BY565/$AS565</f>
        <v>0</v>
      </c>
      <c r="CA565" s="130">
        <f>IF(CB565&gt;0,1,0)</f>
        <v>0</v>
      </c>
      <c r="CB565" s="128">
        <f>VLOOKUP($E565,[2]Current!$A:$AC,15,FALSE)</f>
        <v>0</v>
      </c>
      <c r="CC565" s="128">
        <f>CB565/$AS565</f>
        <v>0</v>
      </c>
      <c r="CD565" s="174">
        <f>IF(CE565&gt;0,1,0)</f>
        <v>0</v>
      </c>
      <c r="CE565" s="128">
        <f>VLOOKUP($E565,[2]Current!$A:$AC,16,FALSE)</f>
        <v>0</v>
      </c>
      <c r="CF565" s="128">
        <f>CE565/$AS565</f>
        <v>0</v>
      </c>
      <c r="CG565" s="18"/>
      <c r="CH565" s="18"/>
      <c r="CI565" s="18"/>
      <c r="CJ565" s="130">
        <f>IF(CK565&gt;0,1,0)</f>
        <v>0</v>
      </c>
      <c r="CK565" s="128">
        <f>VLOOKUP($E565,[2]Current!$A:$AC,18,FALSE)</f>
        <v>0</v>
      </c>
      <c r="CL565" s="128">
        <f>CK565/$AS565</f>
        <v>0</v>
      </c>
      <c r="CS565" s="130">
        <f>IF(CU565&gt;0,1,0)</f>
        <v>0</v>
      </c>
      <c r="CU565" s="128">
        <f>VLOOKUP($E565,[2]Current!$A:$AC,17,FALSE)</f>
        <v>0</v>
      </c>
      <c r="CV565" s="128">
        <f>CU565/$AS565</f>
        <v>0</v>
      </c>
      <c r="CW565" s="18"/>
      <c r="CX565" s="18"/>
      <c r="CY565" s="18"/>
      <c r="DF565" s="16" t="e">
        <f>VLOOKUP(K565,'[3]RNA Seq summary tables'!$V$3:$V$99,1,FALSE)</f>
        <v>#N/A</v>
      </c>
      <c r="DG565" s="126" t="s">
        <v>116</v>
      </c>
    </row>
    <row r="566" spans="2:288" ht="16" x14ac:dyDescent="0.2">
      <c r="B566" s="16">
        <v>2018</v>
      </c>
      <c r="C566" s="124">
        <v>43277</v>
      </c>
      <c r="D566" t="s">
        <v>875</v>
      </c>
      <c r="E566" s="37" t="str">
        <f>CONCATENATE(T566,"-",U566,"-",C566)</f>
        <v>HW2-F2-43277</v>
      </c>
      <c r="F566" s="16" t="s">
        <v>227</v>
      </c>
      <c r="G566" s="126" t="s">
        <v>107</v>
      </c>
      <c r="H566" s="126"/>
      <c r="J566" s="126">
        <v>1439</v>
      </c>
      <c r="K566" s="126">
        <v>2500</v>
      </c>
      <c r="O566" s="126" t="s">
        <v>119</v>
      </c>
      <c r="P566" s="18" t="s">
        <v>119</v>
      </c>
      <c r="Q566" s="18">
        <v>0</v>
      </c>
      <c r="R566" s="18">
        <f>IF(J566=J565,C566-C565,"")</f>
        <v>17</v>
      </c>
      <c r="T566" s="126" t="s">
        <v>129</v>
      </c>
      <c r="U566" s="126" t="s">
        <v>187</v>
      </c>
      <c r="V566" s="126" t="s">
        <v>114</v>
      </c>
      <c r="X566" s="126" t="s">
        <v>115</v>
      </c>
      <c r="Y566" s="126" t="s">
        <v>110</v>
      </c>
      <c r="Z566" s="126">
        <v>3</v>
      </c>
      <c r="AA566" s="126"/>
      <c r="AB566" s="126"/>
      <c r="AC566" s="126"/>
      <c r="AD566" s="126"/>
      <c r="AE566" s="126" t="s">
        <v>116</v>
      </c>
      <c r="AG566" s="16">
        <f>AH566-AI566</f>
        <v>87</v>
      </c>
      <c r="AH566" s="126">
        <v>163</v>
      </c>
      <c r="AI566" s="126">
        <v>76</v>
      </c>
      <c r="AK566" s="126">
        <v>23.5</v>
      </c>
      <c r="AL566" s="126">
        <v>0</v>
      </c>
      <c r="AM566" s="126">
        <v>0</v>
      </c>
      <c r="AN566" s="126">
        <v>0</v>
      </c>
      <c r="AO566" s="16">
        <f>IF(SUM(AL566:AN566)&gt;0,1,0)</f>
        <v>0</v>
      </c>
      <c r="AP566" s="18">
        <f>SUM(AL566:AN566)</f>
        <v>0</v>
      </c>
      <c r="AR566" s="16">
        <v>0.6100000000000001</v>
      </c>
      <c r="AS566" s="16">
        <f>VLOOKUP(E566,'[1]Feces weights'!$D$1:$H$459,5,FALSE)</f>
        <v>0.6100000000000001</v>
      </c>
      <c r="AT566" s="16" t="str">
        <f>VLOOKUP(E566,[2]Current!$A$1:$W$435,7,FALSE)</f>
        <v>LV</v>
      </c>
      <c r="AU566" s="16" t="s">
        <v>1288</v>
      </c>
      <c r="AW566" s="128">
        <f>IF(AX566&gt;0,1,0)</f>
        <v>1</v>
      </c>
      <c r="AX566" s="128">
        <f>SUM(BA566,BM566,CU566)</f>
        <v>2</v>
      </c>
      <c r="AY566" s="128">
        <f>SUM(BB566,BN566,CV566)</f>
        <v>127.86885245901638</v>
      </c>
      <c r="AZ566" s="128">
        <f>IF(BA566&gt;0,1,0)</f>
        <v>1</v>
      </c>
      <c r="BA566" s="128">
        <f>SUM(BC566+BF566+BI566)</f>
        <v>2</v>
      </c>
      <c r="BB566" s="128">
        <f>SUM(BE566,BH566,BK566)</f>
        <v>127.86885245901638</v>
      </c>
      <c r="BC566" s="130">
        <f>IF(BD566&gt;0,1,0)</f>
        <v>1</v>
      </c>
      <c r="BD566" s="128">
        <f>VLOOKUP($E566,[2]Current!$A:$AC,26,FALSE)</f>
        <v>6</v>
      </c>
      <c r="BE566" s="128">
        <f>BD566/$AS566</f>
        <v>9.8360655737704903</v>
      </c>
      <c r="BF566" s="130">
        <f>IF(BG566&gt;0,1,0)</f>
        <v>1</v>
      </c>
      <c r="BG566" s="137">
        <f>VLOOKUP($E566,[2]Current!$A:$AC,27,FALSE)</f>
        <v>72</v>
      </c>
      <c r="BH566" s="128">
        <f>BG566/$AS566</f>
        <v>118.03278688524588</v>
      </c>
      <c r="BI566" s="130">
        <f>IF(BJ566&gt;0,1,0)</f>
        <v>0</v>
      </c>
      <c r="BJ566" s="128">
        <f>VLOOKUP($E566,[2]Current!$A:$AC,28,FALSE)</f>
        <v>0</v>
      </c>
      <c r="BK566" s="128">
        <f>BJ566/$AS566</f>
        <v>0</v>
      </c>
      <c r="BL566" s="128">
        <f>IF(BM566&gt;0,1,0)</f>
        <v>0</v>
      </c>
      <c r="BM566" s="128">
        <f>SUM(BR566,BU566,BX566,CA566,CD566)</f>
        <v>0</v>
      </c>
      <c r="BN566" s="131">
        <f>SUM(BT566,BW566,BZ566,CC566,CF566)</f>
        <v>0</v>
      </c>
      <c r="BO566" s="128">
        <f>IF(BP566&gt;0,1,0)</f>
        <v>0</v>
      </c>
      <c r="BP566" s="128">
        <f>BM566+CJ566</f>
        <v>0</v>
      </c>
      <c r="BQ566" s="128">
        <f>BN566+CL566</f>
        <v>0</v>
      </c>
      <c r="BR566" s="130">
        <f>IF(BS566&gt;0,1,0)</f>
        <v>0</v>
      </c>
      <c r="BS566" s="128">
        <f>VLOOKUP($E566,[2]Current!$A:$AC,12,FALSE)</f>
        <v>0</v>
      </c>
      <c r="BT566" s="137">
        <f>BS566/$AS566</f>
        <v>0</v>
      </c>
      <c r="BU566" s="130">
        <f>IF(BV566&gt;0,1,0)</f>
        <v>0</v>
      </c>
      <c r="BV566" s="128">
        <f>VLOOKUP($E566,[2]Current!$A:$AC,13,FALSE)</f>
        <v>0</v>
      </c>
      <c r="BW566" s="128">
        <f>BV566/$AS566</f>
        <v>0</v>
      </c>
      <c r="BX566" s="130">
        <f>IF(BY566&gt;0,1,0)</f>
        <v>0</v>
      </c>
      <c r="BY566" s="128">
        <f>VLOOKUP($E566,[2]Current!$A:$AC,14,FALSE)</f>
        <v>0</v>
      </c>
      <c r="BZ566" s="128">
        <f>BY566/$AS566</f>
        <v>0</v>
      </c>
      <c r="CA566" s="130">
        <f>IF(CB566&gt;0,1,0)</f>
        <v>0</v>
      </c>
      <c r="CB566" s="128">
        <f>VLOOKUP($E566,[2]Current!$A:$AC,15,FALSE)</f>
        <v>0</v>
      </c>
      <c r="CC566" s="128">
        <f>CB566/$AS566</f>
        <v>0</v>
      </c>
      <c r="CD566" s="174">
        <f>IF(CE566&gt;0,1,0)</f>
        <v>0</v>
      </c>
      <c r="CE566" s="128">
        <f>VLOOKUP($E566,[2]Current!$A:$AC,16,FALSE)</f>
        <v>0</v>
      </c>
      <c r="CF566" s="128">
        <f>CE566/$AS566</f>
        <v>0</v>
      </c>
      <c r="CG566" s="18"/>
      <c r="CH566" s="18"/>
      <c r="CI566" s="18"/>
      <c r="CJ566" s="130">
        <f>IF(CK566&gt;0,1,0)</f>
        <v>0</v>
      </c>
      <c r="CK566" s="128">
        <f>VLOOKUP($E566,[2]Current!$A:$AC,18,FALSE)</f>
        <v>0</v>
      </c>
      <c r="CL566" s="128">
        <f>CK566/$AS566</f>
        <v>0</v>
      </c>
      <c r="CS566" s="130">
        <f>IF(CU566&gt;0,1,0)</f>
        <v>0</v>
      </c>
      <c r="CT566" s="30"/>
      <c r="CU566" s="128">
        <f>VLOOKUP($E566,[2]Current!$A:$AC,17,FALSE)</f>
        <v>0</v>
      </c>
      <c r="CV566" s="128">
        <f>CU566/$AS566</f>
        <v>0</v>
      </c>
      <c r="CW566" s="18"/>
      <c r="CX566" s="18"/>
      <c r="CY566" s="18"/>
      <c r="DF566" s="16" t="e">
        <f>VLOOKUP(K566,'[3]RNA Seq summary tables'!$V$3:$V$99,1,FALSE)</f>
        <v>#N/A</v>
      </c>
      <c r="DG566" s="126" t="s">
        <v>116</v>
      </c>
    </row>
    <row r="567" spans="2:288" ht="16" x14ac:dyDescent="0.2">
      <c r="B567" s="16">
        <v>2018</v>
      </c>
      <c r="C567" s="124">
        <v>43294</v>
      </c>
      <c r="D567" t="s">
        <v>960</v>
      </c>
      <c r="E567" s="142" t="str">
        <f>CONCATENATE(T567,"-",U567,"-",C567)</f>
        <v>HW2-B2-43294</v>
      </c>
      <c r="F567" s="16" t="s">
        <v>227</v>
      </c>
      <c r="G567" s="126" t="s">
        <v>107</v>
      </c>
      <c r="H567" s="126"/>
      <c r="J567" s="126">
        <v>1439</v>
      </c>
      <c r="K567" s="126">
        <v>2600</v>
      </c>
      <c r="O567" s="126" t="s">
        <v>119</v>
      </c>
      <c r="P567" s="18" t="s">
        <v>119</v>
      </c>
      <c r="Q567" s="18">
        <v>0</v>
      </c>
      <c r="R567" s="18">
        <f>IF(J567=J566,C567-C566,"")</f>
        <v>17</v>
      </c>
      <c r="T567" s="126" t="s">
        <v>129</v>
      </c>
      <c r="U567" s="126" t="s">
        <v>130</v>
      </c>
      <c r="V567" s="126" t="s">
        <v>114</v>
      </c>
      <c r="X567" s="126" t="s">
        <v>115</v>
      </c>
      <c r="Y567" s="126" t="s">
        <v>110</v>
      </c>
      <c r="Z567" s="126">
        <v>3</v>
      </c>
      <c r="AA567" s="126"/>
      <c r="AB567" s="126"/>
      <c r="AC567" s="126"/>
      <c r="AD567" s="126" t="s">
        <v>116</v>
      </c>
      <c r="AE567" s="126" t="s">
        <v>116</v>
      </c>
      <c r="AG567" s="16">
        <f>AH567-AI567</f>
        <v>93</v>
      </c>
      <c r="AH567" s="126">
        <v>165</v>
      </c>
      <c r="AI567" s="126">
        <v>72</v>
      </c>
      <c r="AK567" s="126">
        <v>22</v>
      </c>
      <c r="AL567" s="126">
        <v>0</v>
      </c>
      <c r="AM567" s="126">
        <v>0</v>
      </c>
      <c r="AN567" s="126">
        <v>0</v>
      </c>
      <c r="AO567" s="16">
        <f>IF(SUM(AL567:AN567)&gt;0,1,0)</f>
        <v>0</v>
      </c>
      <c r="AP567" s="18">
        <f>SUM(AL567:AN567)</f>
        <v>0</v>
      </c>
      <c r="AR567" s="16">
        <v>0.39000000000000012</v>
      </c>
      <c r="AS567" s="16">
        <f>VLOOKUP(E567,'[1]Feces weights'!$D$1:$H$459,5,FALSE)</f>
        <v>0.39000000000000012</v>
      </c>
      <c r="AT567" s="16" t="e">
        <f>VLOOKUP(E567,[2]Current!$A$1:$W$435,7,FALSE)</f>
        <v>#N/A</v>
      </c>
      <c r="AU567" s="16">
        <v>0</v>
      </c>
      <c r="BG567" s="77"/>
      <c r="BN567" s="126"/>
      <c r="BT567" s="78"/>
      <c r="BU567" s="18"/>
      <c r="BV567" s="18"/>
      <c r="BW567" s="25"/>
      <c r="BX567" s="18"/>
      <c r="BY567" s="18"/>
      <c r="BZ567" s="25"/>
      <c r="CA567" s="18"/>
      <c r="CB567" s="18"/>
      <c r="CC567" s="25"/>
      <c r="CD567" s="78"/>
      <c r="CE567" s="18"/>
      <c r="CF567" s="25"/>
      <c r="CG567" s="18"/>
      <c r="CH567" s="18"/>
      <c r="CI567" s="18"/>
      <c r="CJ567" s="18"/>
      <c r="CK567" s="18"/>
      <c r="CL567" s="25"/>
      <c r="DF567" s="16" t="e">
        <f>VLOOKUP(K567,'[3]RNA Seq summary tables'!$V$3:$V$99,1,FALSE)</f>
        <v>#N/A</v>
      </c>
      <c r="DG567" s="126" t="s">
        <v>116</v>
      </c>
    </row>
    <row r="568" spans="2:288" ht="16" x14ac:dyDescent="0.2">
      <c r="B568" s="16">
        <v>2018</v>
      </c>
      <c r="C568" s="124">
        <v>43294</v>
      </c>
      <c r="D568" t="s">
        <v>968</v>
      </c>
      <c r="E568" s="37" t="str">
        <f>CONCATENATE(T568,"-",U568,"-",C568)</f>
        <v>HW2-E2-43294</v>
      </c>
      <c r="F568" s="16" t="s">
        <v>227</v>
      </c>
      <c r="G568" s="126" t="s">
        <v>107</v>
      </c>
      <c r="H568" s="126"/>
      <c r="J568" s="126">
        <v>1439</v>
      </c>
      <c r="K568" s="126">
        <v>2607</v>
      </c>
      <c r="O568" s="126" t="s">
        <v>119</v>
      </c>
      <c r="P568" s="18" t="s">
        <v>119</v>
      </c>
      <c r="Q568" s="18">
        <v>0</v>
      </c>
      <c r="R568" s="18">
        <f>IF(J568=J567,C568-C567,"")</f>
        <v>0</v>
      </c>
      <c r="T568" s="126" t="s">
        <v>129</v>
      </c>
      <c r="U568" s="126" t="s">
        <v>136</v>
      </c>
      <c r="V568" s="126" t="s">
        <v>114</v>
      </c>
      <c r="X568" s="126" t="s">
        <v>121</v>
      </c>
      <c r="Y568" s="126" t="s">
        <v>110</v>
      </c>
      <c r="Z568" s="126">
        <v>3</v>
      </c>
      <c r="AA568" s="126" t="s">
        <v>119</v>
      </c>
      <c r="AB568" s="126" t="s">
        <v>123</v>
      </c>
      <c r="AC568" s="126" t="s">
        <v>116</v>
      </c>
      <c r="AD568" s="126"/>
      <c r="AE568" s="126"/>
      <c r="AG568" s="16">
        <f>AH568-AI568</f>
        <v>89</v>
      </c>
      <c r="AH568" s="126">
        <v>168</v>
      </c>
      <c r="AI568" s="126">
        <v>79</v>
      </c>
      <c r="AK568" s="126">
        <v>23.5</v>
      </c>
      <c r="AL568" s="126">
        <v>0</v>
      </c>
      <c r="AM568" s="126">
        <v>0</v>
      </c>
      <c r="AN568" s="126">
        <v>0</v>
      </c>
      <c r="AO568" s="16">
        <f>IF(SUM(AL568:AN568)&gt;0,1,0)</f>
        <v>0</v>
      </c>
      <c r="AP568" s="18">
        <f>SUM(AL568:AN568)</f>
        <v>0</v>
      </c>
      <c r="AR568" s="16">
        <v>0.31200000000000006</v>
      </c>
      <c r="AS568" s="16">
        <f>VLOOKUP(E568,'[1]Feces weights'!$D$1:$H$459,5,FALSE)</f>
        <v>0.31200000000000006</v>
      </c>
      <c r="AT568" s="16" t="str">
        <f>VLOOKUP(E568,[2]Current!$A$1:$W$435,7,FALSE)</f>
        <v>JY</v>
      </c>
      <c r="AU568" s="16" t="s">
        <v>1288</v>
      </c>
      <c r="AV568" s="23"/>
      <c r="AW568" s="128">
        <f>IF(AX568&gt;0,1,0)</f>
        <v>1</v>
      </c>
      <c r="AX568" s="128">
        <f>SUM(BA568,BM568,CU568)</f>
        <v>2</v>
      </c>
      <c r="AY568" s="128">
        <f>SUM(BB568,BN568,CV568)</f>
        <v>1147.4358974358972</v>
      </c>
      <c r="AZ568" s="128">
        <f>IF(BA568&gt;0,1,0)</f>
        <v>1</v>
      </c>
      <c r="BA568" s="128">
        <f>SUM(BC568+BF568+BI568)</f>
        <v>2</v>
      </c>
      <c r="BB568" s="128">
        <f>SUM(BE568,BH568,BK568)</f>
        <v>1147.4358974358972</v>
      </c>
      <c r="BC568" s="130">
        <f>IF(BD568&gt;0,1,0)</f>
        <v>1</v>
      </c>
      <c r="BD568" s="128">
        <f>VLOOKUP($E568,[2]Current!$A:$AC,26,FALSE)</f>
        <v>78</v>
      </c>
      <c r="BE568" s="128">
        <f>BD568/$AS568</f>
        <v>249.99999999999994</v>
      </c>
      <c r="BF568" s="130">
        <f>IF(BG568&gt;0,1,0)</f>
        <v>1</v>
      </c>
      <c r="BG568" s="137">
        <f>VLOOKUP($E568,[2]Current!$A:$AC,27,FALSE)</f>
        <v>280</v>
      </c>
      <c r="BH568" s="128">
        <f>BG568/$AS568</f>
        <v>897.43589743589723</v>
      </c>
      <c r="BI568" s="130">
        <f>IF(BJ568&gt;0,1,0)</f>
        <v>0</v>
      </c>
      <c r="BJ568" s="128">
        <f>VLOOKUP($E568,[2]Current!$A:$AC,28,FALSE)</f>
        <v>0</v>
      </c>
      <c r="BK568" s="128">
        <f>BJ568/$AS568</f>
        <v>0</v>
      </c>
      <c r="BL568" s="128">
        <f>IF(BM568&gt;0,1,0)</f>
        <v>0</v>
      </c>
      <c r="BM568" s="128">
        <f>SUM(BR568,BU568,BX568,CA568,CD568)</f>
        <v>0</v>
      </c>
      <c r="BN568" s="131">
        <f>SUM(BT568,BW568,BZ568,CC568,CF568)</f>
        <v>0</v>
      </c>
      <c r="BO568" s="128">
        <f>IF(BP568&gt;0,1,0)</f>
        <v>0</v>
      </c>
      <c r="BP568" s="128">
        <f>BM568+CJ568</f>
        <v>0</v>
      </c>
      <c r="BQ568" s="128">
        <f>BN568+CL568</f>
        <v>0</v>
      </c>
      <c r="BR568" s="130">
        <f>IF(BS568&gt;0,1,0)</f>
        <v>0</v>
      </c>
      <c r="BS568" s="128">
        <f>VLOOKUP($E568,[2]Current!$A:$AC,12,FALSE)</f>
        <v>0</v>
      </c>
      <c r="BT568" s="137">
        <f>BS568/$AS568</f>
        <v>0</v>
      </c>
      <c r="BU568" s="130">
        <f>IF(BV568&gt;0,1,0)</f>
        <v>0</v>
      </c>
      <c r="BV568" s="128">
        <f>VLOOKUP($E568,[2]Current!$A:$AC,13,FALSE)</f>
        <v>0</v>
      </c>
      <c r="BW568" s="128">
        <f>BV568/$AS568</f>
        <v>0</v>
      </c>
      <c r="BX568" s="130">
        <f>IF(BY568&gt;0,1,0)</f>
        <v>0</v>
      </c>
      <c r="BY568" s="128">
        <f>VLOOKUP($E568,[2]Current!$A:$AC,14,FALSE)</f>
        <v>0</v>
      </c>
      <c r="BZ568" s="128">
        <f>BY568/$AS568</f>
        <v>0</v>
      </c>
      <c r="CA568" s="130">
        <f>IF(CB568&gt;0,1,0)</f>
        <v>0</v>
      </c>
      <c r="CB568" s="128">
        <f>VLOOKUP($E568,[2]Current!$A:$AC,15,FALSE)</f>
        <v>0</v>
      </c>
      <c r="CC568" s="128">
        <f>CB568/$AS568</f>
        <v>0</v>
      </c>
      <c r="CD568" s="174">
        <f>IF(CE568&gt;0,1,0)</f>
        <v>0</v>
      </c>
      <c r="CE568" s="128">
        <f>VLOOKUP($E568,[2]Current!$A:$AC,16,FALSE)</f>
        <v>0</v>
      </c>
      <c r="CF568" s="128">
        <f>CE568/$AS568</f>
        <v>0</v>
      </c>
      <c r="CG568" s="18"/>
      <c r="CH568" s="18"/>
      <c r="CI568" s="18"/>
      <c r="CJ568" s="130">
        <f>IF(CK568&gt;0,1,0)</f>
        <v>0</v>
      </c>
      <c r="CK568" s="128">
        <f>VLOOKUP($E568,[2]Current!$A:$AC,18,FALSE)</f>
        <v>0</v>
      </c>
      <c r="CL568" s="128">
        <f>CK568/$AS568</f>
        <v>0</v>
      </c>
      <c r="CS568" s="130">
        <f>IF(CU568&gt;0,1,0)</f>
        <v>0</v>
      </c>
      <c r="CU568" s="128">
        <f>VLOOKUP($E568,[2]Current!$A:$AC,17,FALSE)</f>
        <v>0</v>
      </c>
      <c r="CV568" s="128">
        <f>CU568/$AS568</f>
        <v>0</v>
      </c>
      <c r="CW568" s="18"/>
      <c r="CX568" s="18"/>
      <c r="CY568" s="18"/>
      <c r="DF568" s="16" t="e">
        <f>VLOOKUP(K568,'[3]RNA Seq summary tables'!$V$3:$V$99,1,FALSE)</f>
        <v>#N/A</v>
      </c>
      <c r="DG568" s="126" t="s">
        <v>116</v>
      </c>
    </row>
    <row r="569" spans="2:288" ht="16" x14ac:dyDescent="0.2">
      <c r="B569" s="16">
        <v>2018</v>
      </c>
      <c r="C569" s="124">
        <v>43242</v>
      </c>
      <c r="D569" t="s">
        <v>732</v>
      </c>
      <c r="E569" s="142" t="str">
        <f>CONCATENATE(T569,"-",U569,"-",C569)</f>
        <v>HW2-H3-43242</v>
      </c>
      <c r="F569" s="16" t="s">
        <v>227</v>
      </c>
      <c r="G569" s="126" t="s">
        <v>107</v>
      </c>
      <c r="H569" s="126"/>
      <c r="J569" s="126">
        <v>1441</v>
      </c>
      <c r="K569" s="126">
        <v>2369</v>
      </c>
      <c r="O569" s="126" t="s">
        <v>119</v>
      </c>
      <c r="P569" s="18" t="s">
        <v>119</v>
      </c>
      <c r="Q569" s="18">
        <v>0</v>
      </c>
      <c r="R569" s="18" t="str">
        <f>IF(J569=J568,C569-C568,"")</f>
        <v/>
      </c>
      <c r="T569" s="126" t="s">
        <v>129</v>
      </c>
      <c r="U569" s="126" t="s">
        <v>174</v>
      </c>
      <c r="V569" s="126" t="s">
        <v>114</v>
      </c>
      <c r="X569" s="126" t="s">
        <v>115</v>
      </c>
      <c r="Y569" s="126" t="s">
        <v>110</v>
      </c>
      <c r="Z569" s="126">
        <v>3</v>
      </c>
      <c r="AA569" s="126"/>
      <c r="AB569" s="126"/>
      <c r="AC569" s="126"/>
      <c r="AD569" s="126" t="s">
        <v>116</v>
      </c>
      <c r="AE569" s="126" t="s">
        <v>116</v>
      </c>
      <c r="AG569" s="16">
        <f>AH569-AI569</f>
        <v>84</v>
      </c>
      <c r="AH569" s="126">
        <v>154</v>
      </c>
      <c r="AI569" s="126">
        <v>70</v>
      </c>
      <c r="AK569" s="126">
        <v>21</v>
      </c>
      <c r="AL569" s="126">
        <v>0</v>
      </c>
      <c r="AM569" s="126">
        <v>0</v>
      </c>
      <c r="AN569" s="126">
        <v>0</v>
      </c>
      <c r="AO569" s="16">
        <f>IF(SUM(AL569:AN569)&gt;0,1,0)</f>
        <v>0</v>
      </c>
      <c r="AP569" s="18">
        <f>SUM(AL569:AN569)</f>
        <v>0</v>
      </c>
      <c r="AQ569" s="16" t="s">
        <v>1285</v>
      </c>
      <c r="AS569" s="152"/>
      <c r="AT569" s="16" t="e">
        <f>VLOOKUP(E569,[2]Current!$A$1:$W$435,7,FALSE)</f>
        <v>#N/A</v>
      </c>
      <c r="AU569" s="16">
        <v>0</v>
      </c>
      <c r="BG569" s="77"/>
      <c r="BN569" s="126"/>
      <c r="BT569" s="78"/>
      <c r="BU569" s="18"/>
      <c r="BV569" s="18"/>
      <c r="BW569" s="25"/>
      <c r="BX569" s="18"/>
      <c r="BY569" s="18"/>
      <c r="BZ569" s="25"/>
      <c r="CA569" s="18"/>
      <c r="CB569" s="18"/>
      <c r="CC569" s="25"/>
      <c r="CD569" s="78"/>
      <c r="CE569" s="18"/>
      <c r="CF569" s="25"/>
      <c r="CG569" s="18"/>
      <c r="CH569" s="18"/>
      <c r="CI569" s="18"/>
      <c r="CJ569" s="18"/>
      <c r="CK569" s="18"/>
      <c r="CL569" s="25"/>
      <c r="DF569" s="16" t="e">
        <f>VLOOKUP(K569,'[3]RNA Seq summary tables'!$V$3:$V$99,1,FALSE)</f>
        <v>#N/A</v>
      </c>
      <c r="DG569" s="126" t="s">
        <v>116</v>
      </c>
    </row>
    <row r="570" spans="2:288" ht="16" x14ac:dyDescent="0.2">
      <c r="B570" s="16">
        <v>2018</v>
      </c>
      <c r="C570" s="124">
        <v>43295</v>
      </c>
      <c r="D570" t="s">
        <v>978</v>
      </c>
      <c r="E570" s="142" t="str">
        <f>CONCATENATE(T570,"-",U570,"-",C570)</f>
        <v>HW2-H5-43295</v>
      </c>
      <c r="F570" s="16" t="s">
        <v>227</v>
      </c>
      <c r="G570" s="126" t="s">
        <v>107</v>
      </c>
      <c r="H570" s="126"/>
      <c r="J570" s="126">
        <v>1441</v>
      </c>
      <c r="K570" s="126">
        <v>2615</v>
      </c>
      <c r="O570" s="126" t="s">
        <v>119</v>
      </c>
      <c r="P570" s="18" t="s">
        <v>119</v>
      </c>
      <c r="Q570" s="18">
        <v>0</v>
      </c>
      <c r="R570" s="18">
        <f>IF(J570=J569,C570-C569,"")</f>
        <v>53</v>
      </c>
      <c r="T570" s="126" t="s">
        <v>129</v>
      </c>
      <c r="U570" s="126" t="s">
        <v>180</v>
      </c>
      <c r="V570" s="126" t="s">
        <v>114</v>
      </c>
      <c r="X570" s="126" t="s">
        <v>115</v>
      </c>
      <c r="Y570" s="126" t="s">
        <v>110</v>
      </c>
      <c r="Z570" s="126">
        <v>3</v>
      </c>
      <c r="AA570" s="126"/>
      <c r="AB570" s="126"/>
      <c r="AC570" s="126"/>
      <c r="AD570" s="126" t="s">
        <v>116</v>
      </c>
      <c r="AE570" s="126" t="s">
        <v>116</v>
      </c>
      <c r="AG570" s="16">
        <f>AH570-AI570</f>
        <v>90</v>
      </c>
      <c r="AH570" s="126">
        <v>161</v>
      </c>
      <c r="AI570" s="126">
        <v>71</v>
      </c>
      <c r="AK570" s="126">
        <v>20</v>
      </c>
      <c r="AL570" s="126">
        <v>0</v>
      </c>
      <c r="AM570" s="126">
        <v>0</v>
      </c>
      <c r="AN570" s="126">
        <v>0</v>
      </c>
      <c r="AO570" s="16">
        <f>IF(SUM(AL570:AN570)&gt;0,1,0)</f>
        <v>0</v>
      </c>
      <c r="AP570" s="18">
        <f>SUM(AL570:AN570)</f>
        <v>0</v>
      </c>
      <c r="AR570" s="16">
        <v>0.32000000000000006</v>
      </c>
      <c r="AS570" s="16">
        <f>VLOOKUP(E570,'[1]Feces weights'!$D$1:$H$459,5,FALSE)</f>
        <v>0.32000000000000006</v>
      </c>
      <c r="AT570" s="16" t="e">
        <f>VLOOKUP(E570,[2]Current!$A$1:$W$435,7,FALSE)</f>
        <v>#N/A</v>
      </c>
      <c r="AU570" s="16">
        <v>0</v>
      </c>
      <c r="BG570" s="77"/>
      <c r="BN570" s="126"/>
      <c r="BT570" s="78"/>
      <c r="BU570" s="18"/>
      <c r="BV570" s="18"/>
      <c r="BW570" s="25"/>
      <c r="BX570" s="18"/>
      <c r="BY570" s="18"/>
      <c r="BZ570" s="25"/>
      <c r="CA570" s="18"/>
      <c r="CB570" s="18"/>
      <c r="CC570" s="25"/>
      <c r="CD570" s="78"/>
      <c r="CE570" s="18"/>
      <c r="CF570" s="25"/>
      <c r="CG570" s="18"/>
      <c r="CH570" s="18"/>
      <c r="CI570" s="18"/>
      <c r="CJ570" s="18"/>
      <c r="CK570" s="18"/>
      <c r="CL570" s="25"/>
      <c r="DF570" s="16" t="e">
        <f>VLOOKUP(K570,'[3]RNA Seq summary tables'!$V$3:$V$99,1,FALSE)</f>
        <v>#N/A</v>
      </c>
      <c r="DG570" s="126" t="s">
        <v>116</v>
      </c>
    </row>
    <row r="571" spans="2:288" ht="16" x14ac:dyDescent="0.2">
      <c r="B571" s="16">
        <v>2018</v>
      </c>
      <c r="C571" s="147">
        <v>43306</v>
      </c>
      <c r="D571" t="s">
        <v>1184</v>
      </c>
      <c r="E571" s="20" t="str">
        <f>CONCATENATE(T571,"-",U571,"-",C571)</f>
        <v>HW2-G4-43306</v>
      </c>
      <c r="F571" s="16" t="s">
        <v>227</v>
      </c>
      <c r="G571" s="145" t="s">
        <v>107</v>
      </c>
      <c r="H571" s="145"/>
      <c r="I571" s="145"/>
      <c r="J571" s="145">
        <v>1441</v>
      </c>
      <c r="K571" s="145">
        <v>2706</v>
      </c>
      <c r="M571" s="16"/>
      <c r="N571" s="16"/>
      <c r="O571" s="145" t="s">
        <v>119</v>
      </c>
      <c r="P571" s="18" t="s">
        <v>119</v>
      </c>
      <c r="Q571" s="18">
        <v>0</v>
      </c>
      <c r="R571" s="18">
        <f>IF(J571=J570,C571-C570,"")</f>
        <v>11</v>
      </c>
      <c r="S571" s="145"/>
      <c r="T571" s="145" t="s">
        <v>129</v>
      </c>
      <c r="U571" s="145" t="s">
        <v>173</v>
      </c>
      <c r="V571" s="145" t="s">
        <v>114</v>
      </c>
      <c r="W571" s="145"/>
      <c r="X571" s="145" t="s">
        <v>115</v>
      </c>
      <c r="Y571" s="145" t="s">
        <v>110</v>
      </c>
      <c r="Z571" s="145">
        <v>3</v>
      </c>
      <c r="AA571" s="145"/>
      <c r="AB571" s="145"/>
      <c r="AC571" s="145"/>
      <c r="AD571" s="145"/>
      <c r="AE571" s="145" t="s">
        <v>116</v>
      </c>
      <c r="AF571" s="145" t="s">
        <v>116</v>
      </c>
      <c r="AG571" s="145">
        <f>AH571-AI571</f>
        <v>82</v>
      </c>
      <c r="AH571" s="145">
        <v>156</v>
      </c>
      <c r="AI571" s="145">
        <v>74</v>
      </c>
      <c r="AJ571" s="145"/>
      <c r="AK571" s="145">
        <v>22</v>
      </c>
      <c r="AL571" s="145">
        <v>0</v>
      </c>
      <c r="AM571" s="145">
        <v>0</v>
      </c>
      <c r="AN571" s="145">
        <v>0</v>
      </c>
      <c r="AO571" s="16">
        <f>IF(SUM(AL571:AN571)&gt;0, 1,0)</f>
        <v>0</v>
      </c>
      <c r="AP571" s="16">
        <f>SUM(AL571:AN571)</f>
        <v>0</v>
      </c>
      <c r="AS571" s="16">
        <f>VLOOKUP(E571,'[1]Feces weights'!$D$1:$H$459,5,FALSE)</f>
        <v>0.19300000000000006</v>
      </c>
      <c r="AT571" s="16" t="e">
        <f>VLOOKUP(E571,[2]Current!$A$1:$W$435,7,FALSE)</f>
        <v>#N/A</v>
      </c>
      <c r="BG571" s="77"/>
      <c r="BT571" s="77"/>
      <c r="CD571" s="77"/>
      <c r="DG571" s="145" t="s">
        <v>116</v>
      </c>
      <c r="DT571" s="145" t="s">
        <v>123</v>
      </c>
      <c r="DU571" s="145"/>
      <c r="DX571" s="145"/>
      <c r="DY571" s="145"/>
      <c r="DZ571" s="16"/>
      <c r="EA571" s="16"/>
      <c r="EB571" s="16"/>
      <c r="EC571" s="16"/>
      <c r="ED571" s="16"/>
      <c r="EE571" s="16"/>
      <c r="EF571" s="16"/>
      <c r="JO571" s="18"/>
      <c r="JP571" s="18"/>
      <c r="JQ571" s="18"/>
      <c r="JR571" s="18"/>
      <c r="JS571" s="18"/>
      <c r="JT571" s="18"/>
      <c r="JU571" s="18"/>
      <c r="JV571" s="18"/>
      <c r="JW571" s="18"/>
      <c r="JX571" s="18"/>
      <c r="JY571" s="18"/>
      <c r="JZ571" s="18"/>
      <c r="KA571" s="18"/>
    </row>
    <row r="572" spans="2:288" ht="16" x14ac:dyDescent="0.2">
      <c r="B572" s="16">
        <v>2018</v>
      </c>
      <c r="C572" s="124">
        <v>43243</v>
      </c>
      <c r="D572" t="s">
        <v>734</v>
      </c>
      <c r="E572" s="37" t="str">
        <f>CONCATENATE(T572,"-",U572,"-",C572)</f>
        <v>HW1-G1-43243</v>
      </c>
      <c r="F572" s="16" t="s">
        <v>227</v>
      </c>
      <c r="G572" s="126" t="s">
        <v>107</v>
      </c>
      <c r="H572" s="126"/>
      <c r="J572" s="126">
        <v>1443</v>
      </c>
      <c r="K572" s="126">
        <v>2370</v>
      </c>
      <c r="O572" s="126" t="s">
        <v>119</v>
      </c>
      <c r="P572" s="18" t="s">
        <v>119</v>
      </c>
      <c r="Q572" s="18">
        <v>0</v>
      </c>
      <c r="R572" s="18" t="str">
        <f>IF(J572=J571,C572-C571,"")</f>
        <v/>
      </c>
      <c r="T572" s="126" t="s">
        <v>133</v>
      </c>
      <c r="U572" s="126" t="s">
        <v>155</v>
      </c>
      <c r="V572" s="126" t="s">
        <v>114</v>
      </c>
      <c r="X572" s="126" t="s">
        <v>115</v>
      </c>
      <c r="Y572" s="126" t="s">
        <v>110</v>
      </c>
      <c r="Z572" s="126">
        <v>3</v>
      </c>
      <c r="AA572" s="126"/>
      <c r="AB572" s="126"/>
      <c r="AC572" s="126"/>
      <c r="AD572" s="126"/>
      <c r="AE572" s="126" t="s">
        <v>116</v>
      </c>
      <c r="AG572" s="16">
        <f>AH572-AI572</f>
        <v>88</v>
      </c>
      <c r="AH572" s="126">
        <v>170</v>
      </c>
      <c r="AI572" s="126">
        <v>82</v>
      </c>
      <c r="AK572" s="126">
        <v>21.5</v>
      </c>
      <c r="AL572" s="126">
        <v>0</v>
      </c>
      <c r="AM572" s="126">
        <v>0</v>
      </c>
      <c r="AN572" s="126">
        <v>0</v>
      </c>
      <c r="AO572" s="16">
        <f>IF(SUM(AL572:AN572)&gt;0,1,0)</f>
        <v>0</v>
      </c>
      <c r="AP572" s="18">
        <f>SUM(AL572:AN572)</f>
        <v>0</v>
      </c>
      <c r="AR572" s="16">
        <v>0.20000000000000018</v>
      </c>
      <c r="AS572" s="16">
        <f>VLOOKUP(E572,'[1]Feces weights'!$D$1:$H$459,5,FALSE)</f>
        <v>0.20000000000000018</v>
      </c>
      <c r="AT572" s="16" t="str">
        <f>VLOOKUP(E572,[9]Current!$A:$T,7,FALSE)</f>
        <v>IS</v>
      </c>
      <c r="AU572" s="18" t="s">
        <v>1290</v>
      </c>
      <c r="AW572" s="177">
        <f>IF(AY572&gt;0,1,0)</f>
        <v>1</v>
      </c>
      <c r="AX572" s="177">
        <f>SUM(BA572,BM572,CU572)</f>
        <v>3</v>
      </c>
      <c r="AY572" s="177">
        <f>SUM(BB572,BN572,CV572)</f>
        <v>359.99999999999966</v>
      </c>
      <c r="AZ572" s="177">
        <f>IF(BB572&gt;0,1,0)</f>
        <v>1</v>
      </c>
      <c r="BA572" s="177">
        <f>SUM(BC572+BF572+BI572)</f>
        <v>3</v>
      </c>
      <c r="BB572" s="177">
        <f>SUM(BE572,BH572,BK572)</f>
        <v>359.99999999999966</v>
      </c>
      <c r="BC572" s="178">
        <f>IF(BD572&gt;0,1,0)</f>
        <v>1</v>
      </c>
      <c r="BD572" s="177">
        <f>VLOOKUP($E572,[9]Current!$1:$1048576,8,FALSE)</f>
        <v>18</v>
      </c>
      <c r="BE572" s="177">
        <f>BD572/$AS572</f>
        <v>89.999999999999915</v>
      </c>
      <c r="BF572" s="178">
        <f>IF(BG572&gt;0,1,0)</f>
        <v>1</v>
      </c>
      <c r="BG572" s="179">
        <f>VLOOKUP($E572,[9]Current!$1:$1048576,9,FALSE)</f>
        <v>52</v>
      </c>
      <c r="BH572" s="177">
        <f>BG572/$AS572</f>
        <v>259.99999999999977</v>
      </c>
      <c r="BI572" s="178">
        <f>IF(BJ572&gt;0,1,0)</f>
        <v>1</v>
      </c>
      <c r="BJ572" s="177">
        <f>VLOOKUP($E572,[9]Current!$1:$1048576,10,FALSE)</f>
        <v>2</v>
      </c>
      <c r="BK572" s="177">
        <f>BJ572/$AS572</f>
        <v>9.9999999999999911</v>
      </c>
      <c r="BL572" s="177">
        <f>IF(BM572&gt;0,1,0)</f>
        <v>0</v>
      </c>
      <c r="BM572" s="177">
        <f>SUM(BR572,BU572,BX572,CA572,CD572)</f>
        <v>0</v>
      </c>
      <c r="BN572" s="181">
        <f>SUM(BT572,BW572,BZ572,CC572,CF572)</f>
        <v>0</v>
      </c>
      <c r="BO572" s="177">
        <f>IF(BP572&gt;0,1,0)</f>
        <v>0</v>
      </c>
      <c r="BP572" s="177">
        <f>BM572+CJ572</f>
        <v>0</v>
      </c>
      <c r="BQ572" s="177">
        <f>BN572+CL572</f>
        <v>0</v>
      </c>
      <c r="BR572" s="178">
        <f>IF(BS572&gt;0,1,0)</f>
        <v>0</v>
      </c>
      <c r="BS572" s="177">
        <f>VLOOKUP($E572,[9]Current!$1:$1048576,12,FALSE)</f>
        <v>0</v>
      </c>
      <c r="BT572" s="179">
        <f>BS572/$AS572</f>
        <v>0</v>
      </c>
      <c r="BU572" s="178">
        <f>IF(BV572&gt;0,1,0)</f>
        <v>0</v>
      </c>
      <c r="BV572" s="177">
        <f>VLOOKUP($E572,[9]Current!$1:$1048576,13,FALSE)</f>
        <v>0</v>
      </c>
      <c r="BW572" s="177">
        <f>BV572/$AS572</f>
        <v>0</v>
      </c>
      <c r="BX572" s="178">
        <f>IF(BY572&gt;0,1,0)</f>
        <v>0</v>
      </c>
      <c r="BY572" s="177">
        <f>VLOOKUP($E572,[9]Current!$1:$1048576,14,FALSE)</f>
        <v>0</v>
      </c>
      <c r="BZ572" s="177">
        <f>BY572/$AS572</f>
        <v>0</v>
      </c>
      <c r="CA572" s="178">
        <f>IF(CB572&gt;0,1,0)</f>
        <v>0</v>
      </c>
      <c r="CB572" s="177">
        <f>VLOOKUP($E572,[9]Current!$1:$1048576,15,FALSE)</f>
        <v>0</v>
      </c>
      <c r="CC572" s="177">
        <f>CB572/$AS572</f>
        <v>0</v>
      </c>
      <c r="CD572" s="180">
        <f>IF(CE572&gt;0,1,0)</f>
        <v>0</v>
      </c>
      <c r="CE572" s="177">
        <f>VLOOKUP($E572,[9]Current!$1:$1048576,16,FALSE)</f>
        <v>0</v>
      </c>
      <c r="CF572" s="177">
        <f>CE572/$AS572</f>
        <v>0</v>
      </c>
      <c r="CG572" s="18"/>
      <c r="CH572" s="18"/>
      <c r="CI572" s="18"/>
      <c r="CJ572" s="178">
        <f>IF(CK572&gt;0,1,0)</f>
        <v>0</v>
      </c>
      <c r="CK572" s="177">
        <f>VLOOKUP($E572,[9]Current!$1:$1048576,18,FALSE)</f>
        <v>0</v>
      </c>
      <c r="CL572" s="177">
        <f>CK572/$AS572</f>
        <v>0</v>
      </c>
      <c r="CS572" s="178">
        <f>IF(CU572&gt;0,1,0)</f>
        <v>0</v>
      </c>
      <c r="CT572" s="177"/>
      <c r="CU572" s="177">
        <f>VLOOKUP($E572,[9]Current!$1:$1048576,17,FALSE)</f>
        <v>0</v>
      </c>
      <c r="CV572" s="177">
        <f>CU572/$AS572</f>
        <v>0</v>
      </c>
      <c r="DF572" s="16" t="e">
        <f>VLOOKUP(K572,'[3]RNA Seq summary tables'!$V$3:$V$99,1,FALSE)</f>
        <v>#N/A</v>
      </c>
      <c r="DG572" s="126" t="s">
        <v>116</v>
      </c>
    </row>
    <row r="573" spans="2:288" ht="16" x14ac:dyDescent="0.2">
      <c r="B573" s="26">
        <v>2018</v>
      </c>
      <c r="C573" s="189">
        <v>43305</v>
      </c>
      <c r="D573" s="107" t="s">
        <v>1059</v>
      </c>
      <c r="E573" s="44" t="str">
        <f>CONCATENATE(T573,"-",U573,"-",C573)</f>
        <v>HW2-H5-43305</v>
      </c>
      <c r="F573" s="16" t="s">
        <v>227</v>
      </c>
      <c r="G573" s="126" t="s">
        <v>107</v>
      </c>
      <c r="H573" s="126" t="s">
        <v>1108</v>
      </c>
      <c r="J573" s="126">
        <v>1443</v>
      </c>
      <c r="K573" s="126">
        <v>2703</v>
      </c>
      <c r="O573" s="126" t="s">
        <v>119</v>
      </c>
      <c r="P573" s="18" t="s">
        <v>119</v>
      </c>
      <c r="Q573" s="18">
        <v>0</v>
      </c>
      <c r="R573" s="18">
        <f>IF(J573=J572,C573-C572,"")</f>
        <v>62</v>
      </c>
      <c r="T573" s="126" t="s">
        <v>129</v>
      </c>
      <c r="U573" s="126" t="s">
        <v>180</v>
      </c>
      <c r="V573" s="126" t="s">
        <v>114</v>
      </c>
      <c r="X573" s="126" t="s">
        <v>121</v>
      </c>
      <c r="Y573" s="126" t="s">
        <v>110</v>
      </c>
      <c r="Z573" s="126">
        <v>3</v>
      </c>
      <c r="AA573" s="126" t="s">
        <v>119</v>
      </c>
      <c r="AB573" s="126" t="s">
        <v>123</v>
      </c>
      <c r="AC573" s="126" t="s">
        <v>116</v>
      </c>
      <c r="AD573" s="126"/>
      <c r="AE573" s="126"/>
      <c r="AG573" s="40">
        <f>AH573-AI573</f>
        <v>84</v>
      </c>
      <c r="AH573" s="126">
        <v>159</v>
      </c>
      <c r="AI573" s="126">
        <v>75</v>
      </c>
      <c r="AK573" s="126">
        <v>26.5</v>
      </c>
      <c r="AL573" s="126">
        <v>0</v>
      </c>
      <c r="AM573" s="126">
        <v>0</v>
      </c>
      <c r="AN573" s="126">
        <v>0</v>
      </c>
      <c r="AO573" s="16">
        <f>IF(SUM(AL573:AN573)&gt;0,1,0)</f>
        <v>0</v>
      </c>
      <c r="AP573" s="18">
        <f>SUM(AL573:AN573)</f>
        <v>0</v>
      </c>
      <c r="AR573" s="16">
        <v>0.498</v>
      </c>
      <c r="AS573" s="16">
        <f>VLOOKUP(E573,'[1]Feces weights'!$D$1:$H$459,5,FALSE)</f>
        <v>0.498</v>
      </c>
      <c r="AT573" s="16" t="str">
        <f>VLOOKUP(E573,[2]Current!$A$1:$W$435,7,FALSE)</f>
        <v>NB</v>
      </c>
      <c r="AU573" s="16" t="s">
        <v>1288</v>
      </c>
      <c r="AV573" s="23"/>
      <c r="AW573" s="128">
        <f>IF(AX573&gt;0,1,0)</f>
        <v>1</v>
      </c>
      <c r="AX573" s="128">
        <f>SUM(BA573,BM573,CU573)</f>
        <v>1</v>
      </c>
      <c r="AY573" s="128">
        <f>SUM(BB573,BN573,CV573)</f>
        <v>2.0080321285140563</v>
      </c>
      <c r="AZ573" s="128">
        <f>IF(BA573&gt;0,1,0)</f>
        <v>0</v>
      </c>
      <c r="BA573" s="128">
        <f>SUM(BC573+BF573+BI573)</f>
        <v>0</v>
      </c>
      <c r="BB573" s="128">
        <f>SUM(BE573,BH573,BK573)</f>
        <v>0</v>
      </c>
      <c r="BC573" s="130">
        <f>IF(BD573&gt;0,1,0)</f>
        <v>0</v>
      </c>
      <c r="BD573" s="128">
        <f>VLOOKUP($E573,[2]Current!$A:$AC,26,FALSE)</f>
        <v>0</v>
      </c>
      <c r="BE573" s="128">
        <f>BD573/$AS573</f>
        <v>0</v>
      </c>
      <c r="BF573" s="130">
        <f>IF(BG573&gt;0,1,0)</f>
        <v>0</v>
      </c>
      <c r="BG573" s="137">
        <f>VLOOKUP($E573,[2]Current!$A:$AC,27,FALSE)</f>
        <v>0</v>
      </c>
      <c r="BH573" s="128">
        <f>BG573/$AS573</f>
        <v>0</v>
      </c>
      <c r="BI573" s="130">
        <f>IF(BJ573&gt;0,1,0)</f>
        <v>0</v>
      </c>
      <c r="BJ573" s="128">
        <f>VLOOKUP($E573,[2]Current!$A:$AC,28,FALSE)</f>
        <v>0</v>
      </c>
      <c r="BK573" s="128">
        <f>BJ573/$AS573</f>
        <v>0</v>
      </c>
      <c r="BL573" s="128">
        <f>IF(BM573&gt;0,1,0)</f>
        <v>1</v>
      </c>
      <c r="BM573" s="128">
        <f>SUM(BR573,BU573,BX573,CA573,CD573)</f>
        <v>1</v>
      </c>
      <c r="BN573" s="131">
        <f>SUM(BT573,BW573,BZ573,CC573,CF573)</f>
        <v>2.0080321285140563</v>
      </c>
      <c r="BO573" s="128">
        <f>IF(BP573&gt;0,1,0)</f>
        <v>1</v>
      </c>
      <c r="BP573" s="128">
        <f>BM573+CJ573</f>
        <v>1</v>
      </c>
      <c r="BQ573" s="128">
        <f>BN573+CL573</f>
        <v>2.0080321285140563</v>
      </c>
      <c r="BR573" s="130">
        <f>IF(BS573&gt;0,1,0)</f>
        <v>1</v>
      </c>
      <c r="BS573" s="128">
        <f>VLOOKUP($E573,[2]Current!$A:$AC,12,FALSE)</f>
        <v>1</v>
      </c>
      <c r="BT573" s="137">
        <f>BS573/$AS573</f>
        <v>2.0080321285140563</v>
      </c>
      <c r="BU573" s="130">
        <f>IF(BV573&gt;0,1,0)</f>
        <v>0</v>
      </c>
      <c r="BV573" s="128">
        <f>VLOOKUP($E573,[2]Current!$A:$AC,13,FALSE)</f>
        <v>0</v>
      </c>
      <c r="BW573" s="128">
        <f>BV573/$AS573</f>
        <v>0</v>
      </c>
      <c r="BX573" s="130">
        <f>IF(BY573&gt;0,1,0)</f>
        <v>0</v>
      </c>
      <c r="BY573" s="128">
        <f>VLOOKUP($E573,[2]Current!$A:$AC,14,FALSE)</f>
        <v>0</v>
      </c>
      <c r="BZ573" s="128">
        <f>BY573/$AS573</f>
        <v>0</v>
      </c>
      <c r="CA573" s="130">
        <f>IF(CB573&gt;0,1,0)</f>
        <v>0</v>
      </c>
      <c r="CB573" s="128">
        <f>VLOOKUP($E573,[2]Current!$A:$AC,15,FALSE)</f>
        <v>0</v>
      </c>
      <c r="CC573" s="128">
        <f>CB573/$AS573</f>
        <v>0</v>
      </c>
      <c r="CD573" s="174">
        <f>IF(CE573&gt;0,1,0)</f>
        <v>0</v>
      </c>
      <c r="CE573" s="128">
        <f>VLOOKUP($E573,[2]Current!$A:$AC,16,FALSE)</f>
        <v>0</v>
      </c>
      <c r="CF573" s="128">
        <f>CE573/$AS573</f>
        <v>0</v>
      </c>
      <c r="CG573" s="18"/>
      <c r="CH573" s="18"/>
      <c r="CI573" s="18"/>
      <c r="CJ573" s="130">
        <f>IF(CK573&gt;0,1,0)</f>
        <v>0</v>
      </c>
      <c r="CK573" s="128">
        <f>VLOOKUP($E573,[2]Current!$A:$AC,18,FALSE)</f>
        <v>0</v>
      </c>
      <c r="CL573" s="128">
        <f>CK573/$AS573</f>
        <v>0</v>
      </c>
      <c r="CS573" s="130">
        <f>IF(CU573&gt;0,1,0)</f>
        <v>0</v>
      </c>
      <c r="CT573" s="18"/>
      <c r="CU573" s="128">
        <f>VLOOKUP($E573,[2]Current!$A:$AC,17,FALSE)</f>
        <v>0</v>
      </c>
      <c r="CV573" s="128">
        <f>CU573/$AS573</f>
        <v>0</v>
      </c>
      <c r="CW573" s="18"/>
      <c r="CX573" s="18"/>
      <c r="CY573" s="18"/>
      <c r="DF573" s="16" t="e">
        <f>VLOOKUP(K573,'[3]RNA Seq summary tables'!$V$3:$V$99,1,FALSE)</f>
        <v>#N/A</v>
      </c>
      <c r="DG573" s="126" t="s">
        <v>116</v>
      </c>
    </row>
    <row r="574" spans="2:288" ht="16" x14ac:dyDescent="0.2">
      <c r="B574" s="26">
        <v>2018</v>
      </c>
      <c r="C574" s="191">
        <v>43305</v>
      </c>
      <c r="D574" s="107" t="s">
        <v>1179</v>
      </c>
      <c r="E574" s="44" t="str">
        <f>CONCATENATE(T574,"-",U574,"-",C574)</f>
        <v>HW2-H5-43305</v>
      </c>
      <c r="F574" s="16" t="s">
        <v>227</v>
      </c>
      <c r="G574" s="145" t="s">
        <v>107</v>
      </c>
      <c r="H574" s="145" t="s">
        <v>1108</v>
      </c>
      <c r="I574" s="145"/>
      <c r="J574" s="145">
        <v>1443</v>
      </c>
      <c r="K574" s="145">
        <v>2703</v>
      </c>
      <c r="M574" s="16"/>
      <c r="N574" s="16"/>
      <c r="O574" s="145" t="s">
        <v>119</v>
      </c>
      <c r="P574" s="18" t="s">
        <v>119</v>
      </c>
      <c r="Q574" s="18">
        <v>0</v>
      </c>
      <c r="R574" s="18">
        <f>IF(J574=J573,C574-C573,"")</f>
        <v>0</v>
      </c>
      <c r="S574" s="145"/>
      <c r="T574" s="145" t="s">
        <v>129</v>
      </c>
      <c r="U574" s="145" t="s">
        <v>180</v>
      </c>
      <c r="V574" s="145" t="s">
        <v>114</v>
      </c>
      <c r="W574" s="145"/>
      <c r="X574" s="145" t="s">
        <v>121</v>
      </c>
      <c r="Y574" s="145" t="s">
        <v>110</v>
      </c>
      <c r="Z574" s="145">
        <v>3</v>
      </c>
      <c r="AA574" s="145" t="s">
        <v>119</v>
      </c>
      <c r="AB574" s="145" t="s">
        <v>123</v>
      </c>
      <c r="AC574" s="145" t="s">
        <v>116</v>
      </c>
      <c r="AD574" s="145" t="s">
        <v>116</v>
      </c>
      <c r="AE574" s="145"/>
      <c r="AF574" s="145"/>
      <c r="AG574" s="145">
        <f>AH574-AI574</f>
        <v>84</v>
      </c>
      <c r="AH574" s="145">
        <v>159</v>
      </c>
      <c r="AI574" s="145">
        <v>75</v>
      </c>
      <c r="AJ574" s="145"/>
      <c r="AK574" s="145">
        <v>26.5</v>
      </c>
      <c r="AL574" s="145">
        <v>0</v>
      </c>
      <c r="AM574" s="145">
        <v>0</v>
      </c>
      <c r="AN574" s="145">
        <v>0</v>
      </c>
      <c r="AO574" s="16">
        <f>IF(SUM(AL574:AN574)&gt;0, 1,0)</f>
        <v>0</v>
      </c>
      <c r="AP574" s="16">
        <f>SUM(AL574:AN574)</f>
        <v>0</v>
      </c>
      <c r="AS574" s="16">
        <f>VLOOKUP(E574,'[1]Feces weights'!$D$1:$H$459,5,FALSE)</f>
        <v>0.498</v>
      </c>
      <c r="AT574" s="16" t="str">
        <f>VLOOKUP(E574,[2]Current!$A$1:$W$435,7,FALSE)</f>
        <v>NB</v>
      </c>
      <c r="AU574" s="16" t="s">
        <v>1288</v>
      </c>
      <c r="AV574" s="23"/>
      <c r="AW574" s="128">
        <f>IF(AX574&gt;0,1,0)</f>
        <v>1</v>
      </c>
      <c r="AX574" s="128">
        <f>SUM(BA574,BM574,CU574)</f>
        <v>1</v>
      </c>
      <c r="AY574" s="128">
        <f>SUM(BB574,BN574,CV574)</f>
        <v>2.0080321285140563</v>
      </c>
      <c r="AZ574" s="128">
        <f>IF(BA574&gt;0,1,0)</f>
        <v>0</v>
      </c>
      <c r="BA574" s="128">
        <f>SUM(BC574+BF574+BI574)</f>
        <v>0</v>
      </c>
      <c r="BB574" s="128">
        <f>SUM(BE574,BH574,BK574)</f>
        <v>0</v>
      </c>
      <c r="BC574" s="130">
        <f>IF(BD574&gt;0,1,0)</f>
        <v>0</v>
      </c>
      <c r="BD574" s="128">
        <f>VLOOKUP($E574,[2]Current!$A:$AC,26,FALSE)</f>
        <v>0</v>
      </c>
      <c r="BE574" s="128">
        <f>BD574/$AS574</f>
        <v>0</v>
      </c>
      <c r="BF574" s="130">
        <f>IF(BG574&gt;0,1,0)</f>
        <v>0</v>
      </c>
      <c r="BG574" s="137">
        <f>VLOOKUP($E574,[2]Current!$A:$AC,27,FALSE)</f>
        <v>0</v>
      </c>
      <c r="BH574" s="128">
        <f>BG574/$AS574</f>
        <v>0</v>
      </c>
      <c r="BI574" s="130">
        <f>IF(BJ574&gt;0,1,0)</f>
        <v>0</v>
      </c>
      <c r="BJ574" s="128">
        <f>VLOOKUP($E574,[2]Current!$A:$AC,28,FALSE)</f>
        <v>0</v>
      </c>
      <c r="BK574" s="128">
        <f>BJ574/$AS574</f>
        <v>0</v>
      </c>
      <c r="BL574" s="128">
        <f>IF(BM574&gt;0,1,0)</f>
        <v>1</v>
      </c>
      <c r="BM574" s="128">
        <f>SUM(BR574,BU574,BX574,CA574,CD574)</f>
        <v>1</v>
      </c>
      <c r="BN574" s="131">
        <f>SUM(BT574,BW574,BZ574,CC574,CF574)</f>
        <v>2.0080321285140563</v>
      </c>
      <c r="BO574" s="128">
        <f>IF(BP574&gt;0,1,0)</f>
        <v>1</v>
      </c>
      <c r="BP574" s="128">
        <f>BM574+CJ574</f>
        <v>1</v>
      </c>
      <c r="BQ574" s="128">
        <f>BN574+CL574</f>
        <v>2.0080321285140563</v>
      </c>
      <c r="BR574" s="130">
        <f>IF(BS574&gt;0,1,0)</f>
        <v>1</v>
      </c>
      <c r="BS574" s="128">
        <f>VLOOKUP($E574,[2]Current!$A:$AC,12,FALSE)</f>
        <v>1</v>
      </c>
      <c r="BT574" s="137">
        <f>BS574/$AS574</f>
        <v>2.0080321285140563</v>
      </c>
      <c r="BU574" s="130">
        <f>IF(BV574&gt;0,1,0)</f>
        <v>0</v>
      </c>
      <c r="BV574" s="128">
        <f>VLOOKUP($E574,[2]Current!$A:$AC,13,FALSE)</f>
        <v>0</v>
      </c>
      <c r="BW574" s="128">
        <f>BV574/$AS574</f>
        <v>0</v>
      </c>
      <c r="BX574" s="130">
        <f>IF(BY574&gt;0,1,0)</f>
        <v>0</v>
      </c>
      <c r="BY574" s="128">
        <f>VLOOKUP($E574,[2]Current!$A:$AC,14,FALSE)</f>
        <v>0</v>
      </c>
      <c r="BZ574" s="128">
        <f>BY574/$AS574</f>
        <v>0</v>
      </c>
      <c r="CA574" s="130">
        <f>IF(CB574&gt;0,1,0)</f>
        <v>0</v>
      </c>
      <c r="CB574" s="128">
        <f>VLOOKUP($E574,[2]Current!$A:$AC,15,FALSE)</f>
        <v>0</v>
      </c>
      <c r="CC574" s="128">
        <f>CB574/$AS574</f>
        <v>0</v>
      </c>
      <c r="CD574" s="174">
        <f>IF(CE574&gt;0,1,0)</f>
        <v>0</v>
      </c>
      <c r="CE574" s="128">
        <f>VLOOKUP($E574,[2]Current!$A:$AC,16,FALSE)</f>
        <v>0</v>
      </c>
      <c r="CF574" s="128">
        <f>CE574/$AS574</f>
        <v>0</v>
      </c>
      <c r="CG574" s="18"/>
      <c r="CH574" s="18"/>
      <c r="CI574" s="18"/>
      <c r="CJ574" s="130">
        <f>IF(CK574&gt;0,1,0)</f>
        <v>0</v>
      </c>
      <c r="CK574" s="128">
        <f>VLOOKUP($E574,[2]Current!$A:$AC,18,FALSE)</f>
        <v>0</v>
      </c>
      <c r="CL574" s="128">
        <f>CK574/$AS574</f>
        <v>0</v>
      </c>
      <c r="CS574" s="130">
        <f>IF(CU574&gt;0,1,0)</f>
        <v>0</v>
      </c>
      <c r="CU574" s="128">
        <f>VLOOKUP($E574,[2]Current!$A:$AC,17,FALSE)</f>
        <v>0</v>
      </c>
      <c r="CV574" s="128">
        <f>CU574/$AS574</f>
        <v>0</v>
      </c>
      <c r="CW574" s="18"/>
      <c r="CX574" s="18"/>
      <c r="CY574" s="18"/>
      <c r="DG574" s="145" t="s">
        <v>116</v>
      </c>
      <c r="DT574" s="145" t="s">
        <v>123</v>
      </c>
      <c r="DU574" s="145"/>
      <c r="DX574" s="145"/>
      <c r="DY574" s="145"/>
      <c r="DZ574" s="16"/>
      <c r="EA574" s="16"/>
      <c r="EB574" s="16"/>
      <c r="EC574" s="16"/>
      <c r="ED574" s="16"/>
      <c r="EE574" s="16"/>
      <c r="EF574" s="16"/>
      <c r="JO574" s="18"/>
      <c r="JP574" s="18"/>
      <c r="JQ574" s="18"/>
      <c r="JR574" s="18"/>
      <c r="JS574" s="18"/>
      <c r="JT574" s="18"/>
      <c r="JU574" s="18"/>
      <c r="JV574" s="18"/>
      <c r="JW574" s="18"/>
      <c r="JX574" s="18"/>
      <c r="JY574" s="18"/>
      <c r="JZ574" s="18"/>
      <c r="KA574" s="18"/>
    </row>
    <row r="575" spans="2:288" ht="16" x14ac:dyDescent="0.2">
      <c r="B575" s="16">
        <v>2018</v>
      </c>
      <c r="C575" s="124">
        <v>43243</v>
      </c>
      <c r="D575" t="s">
        <v>736</v>
      </c>
      <c r="E575" s="37" t="str">
        <f>CONCATENATE(T575,"-",U575,"-",C575)</f>
        <v>HW2-G8-43243</v>
      </c>
      <c r="F575" s="16" t="s">
        <v>227</v>
      </c>
      <c r="G575" s="126" t="s">
        <v>107</v>
      </c>
      <c r="H575" s="126"/>
      <c r="J575" s="127">
        <v>1445</v>
      </c>
      <c r="K575" s="126">
        <v>2373</v>
      </c>
      <c r="O575" s="126" t="s">
        <v>119</v>
      </c>
      <c r="P575" s="18" t="s">
        <v>119</v>
      </c>
      <c r="Q575" s="18">
        <v>0</v>
      </c>
      <c r="R575" s="18" t="str">
        <f>IF(J575=J574,C575-C574,"")</f>
        <v/>
      </c>
      <c r="T575" s="126" t="s">
        <v>129</v>
      </c>
      <c r="U575" s="126" t="s">
        <v>216</v>
      </c>
      <c r="V575" s="131" t="s">
        <v>114</v>
      </c>
      <c r="X575" s="126" t="s">
        <v>121</v>
      </c>
      <c r="Y575" s="126" t="s">
        <v>110</v>
      </c>
      <c r="Z575" s="126">
        <v>3</v>
      </c>
      <c r="AA575" s="126" t="s">
        <v>161</v>
      </c>
      <c r="AB575" s="126" t="s">
        <v>116</v>
      </c>
      <c r="AC575" s="126" t="s">
        <v>116</v>
      </c>
      <c r="AD575" s="126"/>
      <c r="AE575" s="126"/>
      <c r="AG575" s="16">
        <f>AH575-AI575</f>
        <v>91</v>
      </c>
      <c r="AH575" s="126">
        <v>176</v>
      </c>
      <c r="AI575" s="126">
        <v>85</v>
      </c>
      <c r="AK575" s="126">
        <v>25</v>
      </c>
      <c r="AL575" s="126">
        <v>1</v>
      </c>
      <c r="AM575" s="126">
        <v>0</v>
      </c>
      <c r="AN575" s="126">
        <v>0</v>
      </c>
      <c r="AO575" s="16">
        <f>IF(SUM(AL575:AN575)&gt;0,1,0)</f>
        <v>1</v>
      </c>
      <c r="AP575" s="18">
        <f>SUM(AL575:AN575)</f>
        <v>1</v>
      </c>
      <c r="AR575" s="16">
        <v>0.32600000000000007</v>
      </c>
      <c r="AS575" s="16">
        <f>VLOOKUP(E575,'[1]Feces weights'!$D$1:$H$459,5,FALSE)</f>
        <v>0.32600000000000007</v>
      </c>
      <c r="AT575" s="16" t="str">
        <f>VLOOKUP(E575,[9]Current!$A:$T,7,FALSE)</f>
        <v>TE</v>
      </c>
      <c r="AU575" s="18" t="s">
        <v>1290</v>
      </c>
      <c r="AW575" s="177">
        <f>IF(AY575&gt;0,1,0)</f>
        <v>1</v>
      </c>
      <c r="AX575" s="177">
        <f>SUM(BA575,BM575,CU575)</f>
        <v>3</v>
      </c>
      <c r="AY575" s="177">
        <f>SUM(BB575,BN575,CV575)</f>
        <v>24.53987730061349</v>
      </c>
      <c r="AZ575" s="177">
        <f>IF(BB575&gt;0,1,0)</f>
        <v>0</v>
      </c>
      <c r="BA575" s="177">
        <f>SUM(BC575+BF575+BI575)</f>
        <v>0</v>
      </c>
      <c r="BB575" s="177">
        <f>SUM(BE575,BH575,BK575)</f>
        <v>0</v>
      </c>
      <c r="BC575" s="178">
        <f>IF(BD575&gt;0,1,0)</f>
        <v>0</v>
      </c>
      <c r="BD575" s="177">
        <f>VLOOKUP($E575,[9]Current!$1:$1048576,8,FALSE)</f>
        <v>0</v>
      </c>
      <c r="BE575" s="177">
        <f>BD575/$AS575</f>
        <v>0</v>
      </c>
      <c r="BF575" s="178">
        <f>IF(BG575&gt;0,1,0)</f>
        <v>0</v>
      </c>
      <c r="BG575" s="179">
        <f>VLOOKUP($E575,[9]Current!$1:$1048576,9,FALSE)</f>
        <v>0</v>
      </c>
      <c r="BH575" s="177">
        <f>BG575/$AS575</f>
        <v>0</v>
      </c>
      <c r="BI575" s="178">
        <f>IF(BJ575&gt;0,1,0)</f>
        <v>0</v>
      </c>
      <c r="BJ575" s="177">
        <f>VLOOKUP($E575,[9]Current!$1:$1048576,10,FALSE)</f>
        <v>0</v>
      </c>
      <c r="BK575" s="177">
        <f>BJ575/$AS575</f>
        <v>0</v>
      </c>
      <c r="BL575" s="177">
        <f>IF(BM575&gt;0,1,0)</f>
        <v>1</v>
      </c>
      <c r="BM575" s="177">
        <f>SUM(BR575,BU575,BX575,CA575,CD575)</f>
        <v>3</v>
      </c>
      <c r="BN575" s="181">
        <f>SUM(BT575,BW575,BZ575,CC575,CF575)</f>
        <v>24.53987730061349</v>
      </c>
      <c r="BO575" s="177">
        <f>IF(BP575&gt;0,1,0)</f>
        <v>1</v>
      </c>
      <c r="BP575" s="177">
        <f>BM575+CJ575</f>
        <v>3</v>
      </c>
      <c r="BQ575" s="177">
        <f>BN575+CL575</f>
        <v>24.53987730061349</v>
      </c>
      <c r="BR575" s="178">
        <f>IF(BS575&gt;0,1,0)</f>
        <v>1</v>
      </c>
      <c r="BS575" s="177">
        <f>VLOOKUP($E575,[9]Current!$1:$1048576,12,FALSE)</f>
        <v>5</v>
      </c>
      <c r="BT575" s="179">
        <f>BS575/$AS575</f>
        <v>15.337423312883432</v>
      </c>
      <c r="BU575" s="178">
        <f>IF(BV575&gt;0,1,0)</f>
        <v>1</v>
      </c>
      <c r="BV575" s="177">
        <f>VLOOKUP($E575,[9]Current!$1:$1048576,13,FALSE)</f>
        <v>1</v>
      </c>
      <c r="BW575" s="177">
        <f>BV575/$AS575</f>
        <v>3.0674846625766863</v>
      </c>
      <c r="BX575" s="178">
        <f>IF(BY575&gt;0,1,0)</f>
        <v>0</v>
      </c>
      <c r="BY575" s="177">
        <f>VLOOKUP($E575,[9]Current!$1:$1048576,14,FALSE)</f>
        <v>0</v>
      </c>
      <c r="BZ575" s="177">
        <f>BY575/$AS575</f>
        <v>0</v>
      </c>
      <c r="CA575" s="178">
        <f>IF(CB575&gt;0,1,0)</f>
        <v>0</v>
      </c>
      <c r="CB575" s="177">
        <f>VLOOKUP($E575,[9]Current!$1:$1048576,15,FALSE)</f>
        <v>0</v>
      </c>
      <c r="CC575" s="177">
        <f>CB575/$AS575</f>
        <v>0</v>
      </c>
      <c r="CD575" s="180">
        <f>IF(CE575&gt;0,1,0)</f>
        <v>1</v>
      </c>
      <c r="CE575" s="177">
        <f>VLOOKUP($E575,[9]Current!$1:$1048576,16,FALSE)</f>
        <v>2</v>
      </c>
      <c r="CF575" s="177">
        <f>CE575/$AS575</f>
        <v>6.1349693251533726</v>
      </c>
      <c r="CG575" s="18"/>
      <c r="CH575" s="18"/>
      <c r="CI575" s="18"/>
      <c r="CJ575" s="178">
        <f>IF(CK575&gt;0,1,0)</f>
        <v>0</v>
      </c>
      <c r="CK575" s="177">
        <f>VLOOKUP($E575,[9]Current!$1:$1048576,18,FALSE)</f>
        <v>0</v>
      </c>
      <c r="CL575" s="177">
        <f>CK575/$AS575</f>
        <v>0</v>
      </c>
      <c r="CS575" s="178">
        <f>IF(CU575&gt;0,1,0)</f>
        <v>0</v>
      </c>
      <c r="CT575" s="177"/>
      <c r="CU575" s="177">
        <f>VLOOKUP($E575,[9]Current!$1:$1048576,17,FALSE)</f>
        <v>0</v>
      </c>
      <c r="CV575" s="177">
        <f>CU575/$AS575</f>
        <v>0</v>
      </c>
      <c r="DF575" s="16" t="e">
        <f>VLOOKUP(K575,'[3]RNA Seq summary tables'!$V$3:$V$99,1,FALSE)</f>
        <v>#N/A</v>
      </c>
      <c r="DG575" s="126" t="s">
        <v>116</v>
      </c>
    </row>
    <row r="576" spans="2:288" ht="16" x14ac:dyDescent="0.2">
      <c r="B576" s="16">
        <v>2018</v>
      </c>
      <c r="C576" s="124">
        <v>43261</v>
      </c>
      <c r="D576" t="s">
        <v>792</v>
      </c>
      <c r="E576" s="37" t="str">
        <f>CONCATENATE(T576,"-",U576,"-",C576)</f>
        <v>HW2-F8-43261</v>
      </c>
      <c r="F576" s="16" t="s">
        <v>227</v>
      </c>
      <c r="G576" s="126" t="s">
        <v>107</v>
      </c>
      <c r="H576" s="126" t="s">
        <v>1101</v>
      </c>
      <c r="J576" s="127">
        <v>1445</v>
      </c>
      <c r="K576" s="126">
        <v>2429</v>
      </c>
      <c r="O576" s="126" t="s">
        <v>119</v>
      </c>
      <c r="P576" s="18" t="s">
        <v>119</v>
      </c>
      <c r="Q576" s="18">
        <v>0</v>
      </c>
      <c r="R576" s="18">
        <f>IF(J576=J575,C576-C575,"")</f>
        <v>18</v>
      </c>
      <c r="T576" s="126" t="s">
        <v>129</v>
      </c>
      <c r="U576" s="126" t="s">
        <v>138</v>
      </c>
      <c r="V576" s="131" t="s">
        <v>114</v>
      </c>
      <c r="X576" s="126" t="s">
        <v>121</v>
      </c>
      <c r="Y576" s="126" t="s">
        <v>110</v>
      </c>
      <c r="Z576" s="126">
        <v>3</v>
      </c>
      <c r="AA576" s="126" t="s">
        <v>161</v>
      </c>
      <c r="AB576" s="126" t="s">
        <v>116</v>
      </c>
      <c r="AC576" s="126" t="s">
        <v>123</v>
      </c>
      <c r="AD576" s="126"/>
      <c r="AE576" s="126"/>
      <c r="AG576" s="16">
        <f>AH576-AI576</f>
        <v>89</v>
      </c>
      <c r="AH576" s="126">
        <v>174</v>
      </c>
      <c r="AI576" s="126">
        <v>85</v>
      </c>
      <c r="AK576" s="126">
        <v>28</v>
      </c>
      <c r="AL576" s="126">
        <v>0</v>
      </c>
      <c r="AM576" s="126">
        <v>1</v>
      </c>
      <c r="AN576" s="126">
        <v>0</v>
      </c>
      <c r="AO576" s="16">
        <f>IF(SUM(AL576:AN576)&gt;0,1,0)</f>
        <v>1</v>
      </c>
      <c r="AP576" s="18">
        <f>SUM(AL576:AN576)</f>
        <v>1</v>
      </c>
      <c r="AR576" s="16">
        <v>0.42000000000000015</v>
      </c>
      <c r="AS576" s="16">
        <f>VLOOKUP(E576,'[1]Feces weights'!$D$1:$H$459,5,FALSE)</f>
        <v>0.42000000000000015</v>
      </c>
      <c r="AT576" s="16" t="str">
        <f>VLOOKUP(E576,[2]Current!$A$1:$W$435,7,FALSE)</f>
        <v>TE</v>
      </c>
      <c r="AU576" s="16" t="s">
        <v>1288</v>
      </c>
      <c r="AW576" s="128">
        <f>IF(AX576&gt;0,1,0)</f>
        <v>1</v>
      </c>
      <c r="AX576" s="128">
        <f>SUM(BA576,BM576,CU576)</f>
        <v>2</v>
      </c>
      <c r="AY576" s="128">
        <f>SUM(BB576,BN576,CV576)</f>
        <v>61.904761904761884</v>
      </c>
      <c r="AZ576" s="128">
        <f>IF(BA576&gt;0,1,0)</f>
        <v>0</v>
      </c>
      <c r="BA576" s="128">
        <f>SUM(BC576+BF576+BI576)</f>
        <v>0</v>
      </c>
      <c r="BB576" s="128">
        <f>SUM(BE576,BH576,BK576)</f>
        <v>0</v>
      </c>
      <c r="BC576" s="130">
        <f>IF(BD576&gt;0,1,0)</f>
        <v>0</v>
      </c>
      <c r="BD576" s="128">
        <f>VLOOKUP($E576,[2]Current!$A:$AC,26,FALSE)</f>
        <v>0</v>
      </c>
      <c r="BE576" s="128">
        <f>BD576/$AS576</f>
        <v>0</v>
      </c>
      <c r="BF576" s="130">
        <f>IF(BG576&gt;0,1,0)</f>
        <v>0</v>
      </c>
      <c r="BG576" s="137">
        <f>VLOOKUP($E576,[2]Current!$A:$AC,27,FALSE)</f>
        <v>0</v>
      </c>
      <c r="BH576" s="128">
        <f>BG576/$AS576</f>
        <v>0</v>
      </c>
      <c r="BI576" s="130">
        <f>IF(BJ576&gt;0,1,0)</f>
        <v>0</v>
      </c>
      <c r="BJ576" s="128">
        <f>VLOOKUP($E576,[2]Current!$A:$AC,28,FALSE)</f>
        <v>0</v>
      </c>
      <c r="BK576" s="128">
        <f>BJ576/$AS576</f>
        <v>0</v>
      </c>
      <c r="BL576" s="128">
        <f>IF(BM576&gt;0,1,0)</f>
        <v>1</v>
      </c>
      <c r="BM576" s="128">
        <f>SUM(BR576,BU576,BX576,CA576,CD576)</f>
        <v>2</v>
      </c>
      <c r="BN576" s="131">
        <f>SUM(BT576,BW576,BZ576,CC576,CF576)</f>
        <v>61.904761904761884</v>
      </c>
      <c r="BO576" s="128">
        <f>IF(BP576&gt;0,1,0)</f>
        <v>1</v>
      </c>
      <c r="BP576" s="128">
        <f>BM576+CJ576</f>
        <v>2</v>
      </c>
      <c r="BQ576" s="128">
        <f>BN576+CL576</f>
        <v>61.904761904761884</v>
      </c>
      <c r="BR576" s="130">
        <f>IF(BS576&gt;0,1,0)</f>
        <v>1</v>
      </c>
      <c r="BS576" s="128">
        <f>VLOOKUP($E576,[2]Current!$A:$AC,12,FALSE)</f>
        <v>20</v>
      </c>
      <c r="BT576" s="137">
        <f>BS576/$AS576</f>
        <v>47.619047619047599</v>
      </c>
      <c r="BU576" s="130">
        <f>IF(BV576&gt;0,1,0)</f>
        <v>0</v>
      </c>
      <c r="BV576" s="128">
        <f>VLOOKUP($E576,[2]Current!$A:$AC,13,FALSE)</f>
        <v>0</v>
      </c>
      <c r="BW576" s="128">
        <f>BV576/$AS576</f>
        <v>0</v>
      </c>
      <c r="BX576" s="130">
        <f>IF(BY576&gt;0,1,0)</f>
        <v>1</v>
      </c>
      <c r="BY576" s="128">
        <f>VLOOKUP($E576,[2]Current!$A:$AC,14,FALSE)</f>
        <v>6</v>
      </c>
      <c r="BZ576" s="128">
        <f>BY576/$AS576</f>
        <v>14.285714285714281</v>
      </c>
      <c r="CA576" s="130">
        <f>IF(CB576&gt;0,1,0)</f>
        <v>0</v>
      </c>
      <c r="CB576" s="128">
        <f>VLOOKUP($E576,[2]Current!$A:$AC,15,FALSE)</f>
        <v>0</v>
      </c>
      <c r="CC576" s="128">
        <f>CB576/$AS576</f>
        <v>0</v>
      </c>
      <c r="CD576" s="174">
        <f>IF(CE576&gt;0,1,0)</f>
        <v>0</v>
      </c>
      <c r="CE576" s="128">
        <f>VLOOKUP($E576,[2]Current!$A:$AC,16,FALSE)</f>
        <v>0</v>
      </c>
      <c r="CF576" s="128">
        <f>CE576/$AS576</f>
        <v>0</v>
      </c>
      <c r="CG576" s="18"/>
      <c r="CH576" s="18"/>
      <c r="CI576" s="18"/>
      <c r="CJ576" s="130">
        <f>IF(CK576&gt;0,1,0)</f>
        <v>0</v>
      </c>
      <c r="CK576" s="128">
        <f>VLOOKUP($E576,[2]Current!$A:$AC,18,FALSE)</f>
        <v>0</v>
      </c>
      <c r="CL576" s="128">
        <f>CK576/$AS576</f>
        <v>0</v>
      </c>
      <c r="CS576" s="130">
        <f>IF(CU576&gt;0,1,0)</f>
        <v>0</v>
      </c>
      <c r="CU576" s="128">
        <f>VLOOKUP($E576,[2]Current!$A:$AC,17,FALSE)</f>
        <v>0</v>
      </c>
      <c r="CV576" s="128">
        <f>CU576/$AS576</f>
        <v>0</v>
      </c>
      <c r="CW576" s="18"/>
      <c r="CX576" s="18"/>
      <c r="CY576" s="18"/>
      <c r="DF576" s="16" t="e">
        <f>VLOOKUP(K576,'[3]RNA Seq summary tables'!$V$3:$V$99,1,FALSE)</f>
        <v>#N/A</v>
      </c>
      <c r="DG576" s="126" t="s">
        <v>116</v>
      </c>
    </row>
    <row r="577" spans="2:288" s="18" customFormat="1" ht="16" x14ac:dyDescent="0.2">
      <c r="B577" s="16">
        <v>2018</v>
      </c>
      <c r="C577" s="124">
        <v>43278</v>
      </c>
      <c r="D577" t="s">
        <v>881</v>
      </c>
      <c r="E577" s="37" t="str">
        <f>CONCATENATE(T577,"-",U577,"-",C577)</f>
        <v>HW2-H8-43278</v>
      </c>
      <c r="F577" s="16" t="s">
        <v>227</v>
      </c>
      <c r="G577" s="126" t="s">
        <v>107</v>
      </c>
      <c r="H577" s="126"/>
      <c r="I577" s="16"/>
      <c r="J577" s="127">
        <v>1445</v>
      </c>
      <c r="K577" s="126">
        <v>2509</v>
      </c>
      <c r="L577" s="16"/>
      <c r="M577" s="21"/>
      <c r="N577" s="21"/>
      <c r="O577" s="126" t="s">
        <v>119</v>
      </c>
      <c r="P577" s="18" t="s">
        <v>119</v>
      </c>
      <c r="Q577" s="18">
        <v>0</v>
      </c>
      <c r="R577" s="18">
        <f>IF(J577=J576,C577-C576,"")</f>
        <v>17</v>
      </c>
      <c r="S577" s="16"/>
      <c r="T577" s="126" t="s">
        <v>129</v>
      </c>
      <c r="U577" s="126" t="s">
        <v>152</v>
      </c>
      <c r="V577" s="131" t="s">
        <v>142</v>
      </c>
      <c r="W577" s="16"/>
      <c r="X577" s="126" t="s">
        <v>121</v>
      </c>
      <c r="Y577" s="126" t="s">
        <v>110</v>
      </c>
      <c r="Z577" s="126">
        <v>3</v>
      </c>
      <c r="AA577" s="126" t="s">
        <v>161</v>
      </c>
      <c r="AB577" s="126" t="s">
        <v>123</v>
      </c>
      <c r="AC577" s="126" t="s">
        <v>123</v>
      </c>
      <c r="AD577" s="126"/>
      <c r="AE577" s="126"/>
      <c r="AF577" s="16"/>
      <c r="AG577" s="16">
        <f>AH577-AI577</f>
        <v>88</v>
      </c>
      <c r="AH577" s="126">
        <v>176</v>
      </c>
      <c r="AI577" s="126">
        <v>88</v>
      </c>
      <c r="AJ577" s="16"/>
      <c r="AK577" s="126">
        <v>23.5</v>
      </c>
      <c r="AL577" s="126">
        <v>0</v>
      </c>
      <c r="AM577" s="126">
        <v>0</v>
      </c>
      <c r="AN577" s="126">
        <v>0</v>
      </c>
      <c r="AO577" s="16">
        <f>IF(SUM(AL577:AN577)&gt;0,1,0)</f>
        <v>0</v>
      </c>
      <c r="AP577" s="18">
        <f>SUM(AL577:AN577)</f>
        <v>0</v>
      </c>
      <c r="AQ577" s="16"/>
      <c r="AR577" s="16">
        <v>0.2390000000000001</v>
      </c>
      <c r="AS577" s="16">
        <f>VLOOKUP(E577,'[1]Feces weights'!$D$1:$H$459,5,FALSE)</f>
        <v>0.2390000000000001</v>
      </c>
      <c r="AT577" s="16" t="str">
        <f>VLOOKUP(E577,[2]Current!$A$1:$W$435,7,FALSE)</f>
        <v>LV</v>
      </c>
      <c r="AU577" s="16" t="s">
        <v>1288</v>
      </c>
      <c r="AV577" s="16"/>
      <c r="AW577" s="128">
        <f>IF(AX577&gt;0,1,0)</f>
        <v>1</v>
      </c>
      <c r="AX577" s="128">
        <f>SUM(BA577,BM577,CU577)</f>
        <v>2</v>
      </c>
      <c r="AY577" s="128">
        <f>SUM(BB577,BN577,CV577)</f>
        <v>167.3640167364016</v>
      </c>
      <c r="AZ577" s="128">
        <f>IF(BA577&gt;0,1,0)</f>
        <v>1</v>
      </c>
      <c r="BA577" s="128">
        <f>SUM(BC577+BF577+BI577)</f>
        <v>1</v>
      </c>
      <c r="BB577" s="128">
        <f>SUM(BE577,BH577,BK577)</f>
        <v>150.62761506276144</v>
      </c>
      <c r="BC577" s="130">
        <f>IF(BD577&gt;0,1,0)</f>
        <v>0</v>
      </c>
      <c r="BD577" s="128">
        <f>VLOOKUP($E577,[2]Current!$A:$AC,26,FALSE)</f>
        <v>0</v>
      </c>
      <c r="BE577" s="128">
        <f>BD577/$AS577</f>
        <v>0</v>
      </c>
      <c r="BF577" s="130">
        <f>IF(BG577&gt;0,1,0)</f>
        <v>1</v>
      </c>
      <c r="BG577" s="137">
        <f>VLOOKUP($E577,[2]Current!$A:$AC,27,FALSE)</f>
        <v>36</v>
      </c>
      <c r="BH577" s="128">
        <f>BG577/$AS577</f>
        <v>150.62761506276144</v>
      </c>
      <c r="BI577" s="130">
        <f>IF(BJ577&gt;0,1,0)</f>
        <v>0</v>
      </c>
      <c r="BJ577" s="128">
        <f>VLOOKUP($E577,[2]Current!$A:$AC,28,FALSE)</f>
        <v>0</v>
      </c>
      <c r="BK577" s="128">
        <f>BJ577/$AS577</f>
        <v>0</v>
      </c>
      <c r="BL577" s="128">
        <f>IF(BM577&gt;0,1,0)</f>
        <v>1</v>
      </c>
      <c r="BM577" s="128">
        <f>SUM(BR577,BU577,BX577,CA577,CD577)</f>
        <v>1</v>
      </c>
      <c r="BN577" s="131">
        <f>SUM(BT577,BW577,BZ577,CC577,CF577)</f>
        <v>16.73640167364016</v>
      </c>
      <c r="BO577" s="128">
        <f>IF(BP577&gt;0,1,0)</f>
        <v>1</v>
      </c>
      <c r="BP577" s="128">
        <f>BM577+CJ577</f>
        <v>1</v>
      </c>
      <c r="BQ577" s="128">
        <f>BN577+CL577</f>
        <v>16.73640167364016</v>
      </c>
      <c r="BR577" s="130">
        <f>IF(BS577&gt;0,1,0)</f>
        <v>1</v>
      </c>
      <c r="BS577" s="128">
        <f>VLOOKUP($E577,[2]Current!$A:$AC,12,FALSE)</f>
        <v>4</v>
      </c>
      <c r="BT577" s="137">
        <f>BS577/$AS577</f>
        <v>16.73640167364016</v>
      </c>
      <c r="BU577" s="130">
        <f>IF(BV577&gt;0,1,0)</f>
        <v>0</v>
      </c>
      <c r="BV577" s="128">
        <f>VLOOKUP($E577,[2]Current!$A:$AC,13,FALSE)</f>
        <v>0</v>
      </c>
      <c r="BW577" s="128">
        <f>BV577/$AS577</f>
        <v>0</v>
      </c>
      <c r="BX577" s="130">
        <f>IF(BY577&gt;0,1,0)</f>
        <v>0</v>
      </c>
      <c r="BY577" s="128">
        <f>VLOOKUP($E577,[2]Current!$A:$AC,14,FALSE)</f>
        <v>0</v>
      </c>
      <c r="BZ577" s="128">
        <f>BY577/$AS577</f>
        <v>0</v>
      </c>
      <c r="CA577" s="130">
        <f>IF(CB577&gt;0,1,0)</f>
        <v>0</v>
      </c>
      <c r="CB577" s="128">
        <f>VLOOKUP($E577,[2]Current!$A:$AC,15,FALSE)</f>
        <v>0</v>
      </c>
      <c r="CC577" s="128">
        <f>CB577/$AS577</f>
        <v>0</v>
      </c>
      <c r="CD577" s="174">
        <f>IF(CE577&gt;0,1,0)</f>
        <v>0</v>
      </c>
      <c r="CE577" s="128">
        <f>VLOOKUP($E577,[2]Current!$A:$AC,16,FALSE)</f>
        <v>0</v>
      </c>
      <c r="CF577" s="128">
        <f>CE577/$AS577</f>
        <v>0</v>
      </c>
      <c r="CJ577" s="130">
        <f>IF(CK577&gt;0,1,0)</f>
        <v>0</v>
      </c>
      <c r="CK577" s="128">
        <f>VLOOKUP($E577,[2]Current!$A:$AC,18,FALSE)</f>
        <v>0</v>
      </c>
      <c r="CL577" s="128">
        <f>CK577/$AS577</f>
        <v>0</v>
      </c>
      <c r="CM577" s="16"/>
      <c r="CN577" s="16"/>
      <c r="CO577" s="16"/>
      <c r="CP577" s="16"/>
      <c r="CQ577" s="16"/>
      <c r="CR577" s="16"/>
      <c r="CS577" s="130">
        <f>IF(CU577&gt;0,1,0)</f>
        <v>0</v>
      </c>
      <c r="CT577" s="16"/>
      <c r="CU577" s="128">
        <f>VLOOKUP($E577,[2]Current!$A:$AC,17,FALSE)</f>
        <v>0</v>
      </c>
      <c r="CV577" s="128">
        <f>CU577/$AS577</f>
        <v>0</v>
      </c>
      <c r="CZ577" s="16"/>
      <c r="DA577" s="16"/>
      <c r="DB577" s="16"/>
      <c r="DC577" s="16"/>
      <c r="DD577" s="16"/>
      <c r="DE577" s="16"/>
      <c r="DF577" s="16" t="e">
        <f>VLOOKUP(K577,'[3]RNA Seq summary tables'!$V$3:$V$99,1,FALSE)</f>
        <v>#N/A</v>
      </c>
      <c r="DG577" s="126" t="s">
        <v>116</v>
      </c>
      <c r="DH577" s="16"/>
      <c r="DI577" s="16"/>
      <c r="DJ577" s="16"/>
      <c r="DK577" s="16"/>
      <c r="DL577" s="16"/>
      <c r="DM577" s="16"/>
      <c r="DN577" s="16"/>
      <c r="DO577" s="16"/>
      <c r="DP577" s="16"/>
      <c r="DQ577" s="16"/>
      <c r="DR577" s="16"/>
      <c r="DS577" s="16"/>
      <c r="JO577" s="16"/>
      <c r="JP577" s="16"/>
      <c r="JQ577" s="16"/>
      <c r="JR577" s="16"/>
      <c r="JS577" s="16"/>
      <c r="JT577" s="16"/>
      <c r="JU577" s="16"/>
      <c r="JV577" s="16"/>
      <c r="JW577" s="16"/>
      <c r="JX577" s="16"/>
      <c r="JY577" s="16"/>
      <c r="JZ577" s="16"/>
      <c r="KA577" s="16"/>
      <c r="KB577" s="16"/>
    </row>
    <row r="578" spans="2:288" ht="16" x14ac:dyDescent="0.2">
      <c r="B578" s="16">
        <v>2018</v>
      </c>
      <c r="C578" s="124">
        <v>43244</v>
      </c>
      <c r="D578" t="s">
        <v>738</v>
      </c>
      <c r="E578" s="37" t="str">
        <f>CONCATENATE(T578,"-",U578,"-",C578)</f>
        <v>HW2-F7-43244</v>
      </c>
      <c r="F578" s="16" t="s">
        <v>227</v>
      </c>
      <c r="G578" s="126" t="s">
        <v>107</v>
      </c>
      <c r="H578" s="126"/>
      <c r="J578" s="126">
        <v>1447</v>
      </c>
      <c r="K578" s="126">
        <v>2375</v>
      </c>
      <c r="O578" s="126" t="s">
        <v>119</v>
      </c>
      <c r="P578" s="18" t="s">
        <v>119</v>
      </c>
      <c r="Q578" s="18">
        <v>0</v>
      </c>
      <c r="R578" s="18" t="str">
        <f>IF(J578=J577,C578-C577,"")</f>
        <v/>
      </c>
      <c r="T578" s="126" t="s">
        <v>129</v>
      </c>
      <c r="U578" s="126" t="s">
        <v>189</v>
      </c>
      <c r="V578" s="126" t="s">
        <v>114</v>
      </c>
      <c r="X578" s="126" t="s">
        <v>115</v>
      </c>
      <c r="Y578" s="126" t="s">
        <v>110</v>
      </c>
      <c r="Z578" s="126">
        <v>3</v>
      </c>
      <c r="AA578" s="126"/>
      <c r="AB578" s="126"/>
      <c r="AC578" s="126"/>
      <c r="AD578" s="126"/>
      <c r="AE578" s="126" t="s">
        <v>123</v>
      </c>
      <c r="AG578" s="16">
        <f>AH578-AI578</f>
        <v>83</v>
      </c>
      <c r="AH578" s="126">
        <v>159</v>
      </c>
      <c r="AI578" s="126">
        <v>76</v>
      </c>
      <c r="AK578" s="126">
        <v>20</v>
      </c>
      <c r="AL578" s="126">
        <v>1</v>
      </c>
      <c r="AM578" s="126">
        <v>1</v>
      </c>
      <c r="AN578" s="126">
        <v>0</v>
      </c>
      <c r="AO578" s="16">
        <f>IF(SUM(AL578:AN578)&gt;0,1,0)</f>
        <v>1</v>
      </c>
      <c r="AP578" s="18">
        <f>SUM(AL578:AN578)</f>
        <v>2</v>
      </c>
      <c r="AR578" s="16">
        <v>7.3000000000000176E-2</v>
      </c>
      <c r="AS578" s="16">
        <f>VLOOKUP(E578,'[1]Feces weights'!$D$1:$H$459,5,FALSE)</f>
        <v>7.3000000000000176E-2</v>
      </c>
      <c r="AT578" s="16" t="str">
        <f>VLOOKUP(E578,[9]Current!$A:$T,7,FALSE)</f>
        <v>JB</v>
      </c>
      <c r="AU578" s="18" t="s">
        <v>1290</v>
      </c>
      <c r="AW578" s="177">
        <f>IF(AY578&gt;0,1,0)</f>
        <v>1</v>
      </c>
      <c r="AX578" s="177">
        <f>SUM(BA578,BM578,CU578)</f>
        <v>2</v>
      </c>
      <c r="AY578" s="177">
        <f>SUM(BB578,BN578,CV578)</f>
        <v>2684.9315068493088</v>
      </c>
      <c r="AZ578" s="177">
        <f>IF(BB578&gt;0,1,0)</f>
        <v>1</v>
      </c>
      <c r="BA578" s="177">
        <f>SUM(BC578+BF578+BI578)</f>
        <v>2</v>
      </c>
      <c r="BB578" s="177">
        <f>SUM(BE578,BH578,BK578)</f>
        <v>2684.9315068493088</v>
      </c>
      <c r="BC578" s="178">
        <f>IF(BD578&gt;0,1,0)</f>
        <v>1</v>
      </c>
      <c r="BD578" s="177">
        <f>VLOOKUP($E578,[9]Current!$1:$1048576,8,FALSE)</f>
        <v>16</v>
      </c>
      <c r="BE578" s="177">
        <f>BD578/$AS578</f>
        <v>219.17808219178031</v>
      </c>
      <c r="BF578" s="178">
        <f>IF(BG578&gt;0,1,0)</f>
        <v>1</v>
      </c>
      <c r="BG578" s="179">
        <f>VLOOKUP($E578,[9]Current!$1:$1048576,9,FALSE)</f>
        <v>180</v>
      </c>
      <c r="BH578" s="177">
        <f>BG578/$AS578</f>
        <v>2465.7534246575283</v>
      </c>
      <c r="BI578" s="178">
        <f>IF(BJ578&gt;0,1,0)</f>
        <v>0</v>
      </c>
      <c r="BJ578" s="177">
        <f>VLOOKUP($E578,[9]Current!$1:$1048576,10,FALSE)</f>
        <v>0</v>
      </c>
      <c r="BK578" s="177">
        <f>BJ578/$AS578</f>
        <v>0</v>
      </c>
      <c r="BL578" s="177">
        <f>IF(BM578&gt;0,1,0)</f>
        <v>0</v>
      </c>
      <c r="BM578" s="177">
        <f>SUM(BR578,BU578,BX578,CA578,CD578)</f>
        <v>0</v>
      </c>
      <c r="BN578" s="181">
        <f>SUM(BT578,BW578,BZ578,CC578,CF578)</f>
        <v>0</v>
      </c>
      <c r="BO578" s="177">
        <f>IF(BP578&gt;0,1,0)</f>
        <v>0</v>
      </c>
      <c r="BP578" s="177">
        <f>BM578+CJ578</f>
        <v>0</v>
      </c>
      <c r="BQ578" s="177">
        <f>BN578+CL578</f>
        <v>0</v>
      </c>
      <c r="BR578" s="178">
        <f>IF(BS578&gt;0,1,0)</f>
        <v>0</v>
      </c>
      <c r="BS578" s="177">
        <f>VLOOKUP($E578,[9]Current!$1:$1048576,12,FALSE)</f>
        <v>0</v>
      </c>
      <c r="BT578" s="179">
        <f>BS578/$AS578</f>
        <v>0</v>
      </c>
      <c r="BU578" s="178">
        <f>IF(BV578&gt;0,1,0)</f>
        <v>0</v>
      </c>
      <c r="BV578" s="177">
        <f>VLOOKUP($E578,[9]Current!$1:$1048576,13,FALSE)</f>
        <v>0</v>
      </c>
      <c r="BW578" s="177">
        <f>BV578/$AS578</f>
        <v>0</v>
      </c>
      <c r="BX578" s="178">
        <f>IF(BY578&gt;0,1,0)</f>
        <v>0</v>
      </c>
      <c r="BY578" s="177">
        <f>VLOOKUP($E578,[9]Current!$1:$1048576,14,FALSE)</f>
        <v>0</v>
      </c>
      <c r="BZ578" s="177">
        <f>BY578/$AS578</f>
        <v>0</v>
      </c>
      <c r="CA578" s="178">
        <f>IF(CB578&gt;0,1,0)</f>
        <v>0</v>
      </c>
      <c r="CB578" s="177">
        <f>VLOOKUP($E578,[9]Current!$1:$1048576,15,FALSE)</f>
        <v>0</v>
      </c>
      <c r="CC578" s="177">
        <f>CB578/$AS578</f>
        <v>0</v>
      </c>
      <c r="CD578" s="180">
        <f>IF(CE578&gt;0,1,0)</f>
        <v>0</v>
      </c>
      <c r="CE578" s="177">
        <f>VLOOKUP($E578,[9]Current!$1:$1048576,16,FALSE)</f>
        <v>0</v>
      </c>
      <c r="CF578" s="177">
        <f>CE578/$AS578</f>
        <v>0</v>
      </c>
      <c r="CG578" s="18"/>
      <c r="CH578" s="18"/>
      <c r="CI578" s="18"/>
      <c r="CJ578" s="178">
        <f>IF(CK578&gt;0,1,0)</f>
        <v>0</v>
      </c>
      <c r="CK578" s="177">
        <f>VLOOKUP($E578,[9]Current!$1:$1048576,18,FALSE)</f>
        <v>0</v>
      </c>
      <c r="CL578" s="177">
        <f>CK578/$AS578</f>
        <v>0</v>
      </c>
      <c r="CS578" s="178">
        <f>IF(CU578&gt;0,1,0)</f>
        <v>0</v>
      </c>
      <c r="CT578" s="177"/>
      <c r="CU578" s="177">
        <f>VLOOKUP($E578,[9]Current!$1:$1048576,17,FALSE)</f>
        <v>0</v>
      </c>
      <c r="CV578" s="177">
        <f>CU578/$AS578</f>
        <v>0</v>
      </c>
      <c r="DF578" s="16" t="e">
        <f>VLOOKUP(K578,'[3]RNA Seq summary tables'!$V$3:$V$99,1,FALSE)</f>
        <v>#N/A</v>
      </c>
      <c r="DG578" s="126" t="s">
        <v>116</v>
      </c>
    </row>
    <row r="579" spans="2:288" ht="16" x14ac:dyDescent="0.2">
      <c r="B579" s="16">
        <v>2018</v>
      </c>
      <c r="C579" s="124">
        <v>43244</v>
      </c>
      <c r="D579" t="s">
        <v>741</v>
      </c>
      <c r="E579" s="142" t="str">
        <f>CONCATENATE(T579,"-",U579,"-",C579)</f>
        <v>HW1-A3-43244</v>
      </c>
      <c r="F579" s="16" t="s">
        <v>227</v>
      </c>
      <c r="G579" s="126" t="s">
        <v>107</v>
      </c>
      <c r="H579" s="126" t="s">
        <v>1092</v>
      </c>
      <c r="J579" s="126">
        <v>1450</v>
      </c>
      <c r="K579" s="126">
        <v>2377</v>
      </c>
      <c r="O579" s="126" t="s">
        <v>119</v>
      </c>
      <c r="P579" s="18" t="s">
        <v>119</v>
      </c>
      <c r="Q579" s="18">
        <v>0</v>
      </c>
      <c r="R579" s="18" t="str">
        <f>IF(J579=J578,C579-C578,"")</f>
        <v/>
      </c>
      <c r="T579" s="126" t="s">
        <v>133</v>
      </c>
      <c r="U579" s="126" t="s">
        <v>201</v>
      </c>
      <c r="V579" s="126" t="s">
        <v>114</v>
      </c>
      <c r="X579" s="126" t="s">
        <v>115</v>
      </c>
      <c r="Y579" s="126" t="s">
        <v>110</v>
      </c>
      <c r="Z579" s="126">
        <v>3</v>
      </c>
      <c r="AA579" s="126"/>
      <c r="AB579" s="126"/>
      <c r="AC579" s="126"/>
      <c r="AD579" s="126"/>
      <c r="AE579" s="126" t="s">
        <v>123</v>
      </c>
      <c r="AG579" s="16">
        <f>AH579-AI579</f>
        <v>92</v>
      </c>
      <c r="AH579" s="126">
        <v>169</v>
      </c>
      <c r="AI579" s="126">
        <v>77</v>
      </c>
      <c r="AK579" s="126">
        <v>21</v>
      </c>
      <c r="AL579" s="126">
        <v>0</v>
      </c>
      <c r="AM579" s="126">
        <v>0</v>
      </c>
      <c r="AN579" s="126">
        <v>0</v>
      </c>
      <c r="AO579" s="16">
        <f>IF(SUM(AL579:AN579)&gt;0,1,0)</f>
        <v>0</v>
      </c>
      <c r="AP579" s="18">
        <f>SUM(AL579:AN579)</f>
        <v>0</v>
      </c>
      <c r="AR579" s="16">
        <v>0.21200000000000019</v>
      </c>
      <c r="AS579" s="16">
        <f>VLOOKUP(E579,'[1]Feces weights'!$D$1:$H$459,5,FALSE)</f>
        <v>0.21200000000000019</v>
      </c>
      <c r="AT579" s="16" t="e">
        <f>VLOOKUP(E579,[2]Current!$A$1:$W$435,7,FALSE)</f>
        <v>#N/A</v>
      </c>
      <c r="AU579" s="16">
        <v>0</v>
      </c>
      <c r="BG579" s="77"/>
      <c r="BN579" s="126"/>
      <c r="BT579" s="78"/>
      <c r="BV579" s="18"/>
      <c r="BW579" s="25"/>
      <c r="BY579" s="18"/>
      <c r="BZ579" s="25"/>
      <c r="CB579" s="18"/>
      <c r="CC579" s="25"/>
      <c r="CD579" s="77"/>
      <c r="CE579" s="18"/>
      <c r="CF579" s="25"/>
      <c r="CG579" s="18"/>
      <c r="CH579" s="18"/>
      <c r="CI579" s="18"/>
      <c r="CK579" s="18"/>
      <c r="CL579" s="25"/>
      <c r="DF579" s="16" t="e">
        <f>VLOOKUP(K579,'[3]RNA Seq summary tables'!$V$3:$V$99,1,FALSE)</f>
        <v>#N/A</v>
      </c>
      <c r="DG579" s="126" t="s">
        <v>116</v>
      </c>
    </row>
    <row r="580" spans="2:288" ht="16" x14ac:dyDescent="0.2">
      <c r="B580" s="16">
        <v>2018</v>
      </c>
      <c r="C580" s="124">
        <v>43248</v>
      </c>
      <c r="D580" t="s">
        <v>747</v>
      </c>
      <c r="E580" s="37" t="str">
        <f>CONCATENATE(T580,"-",U580,"-",C580)</f>
        <v>PO1-H7-43248</v>
      </c>
      <c r="F580" s="16" t="s">
        <v>227</v>
      </c>
      <c r="G580" s="126" t="s">
        <v>107</v>
      </c>
      <c r="H580" s="126"/>
      <c r="J580" s="126">
        <v>1452</v>
      </c>
      <c r="K580" s="126">
        <v>2388</v>
      </c>
      <c r="O580" s="126" t="s">
        <v>119</v>
      </c>
      <c r="P580" s="18" t="s">
        <v>119</v>
      </c>
      <c r="Q580" s="18">
        <v>0</v>
      </c>
      <c r="R580" s="18" t="str">
        <f>IF(J580=J579,C580-C579,"")</f>
        <v/>
      </c>
      <c r="T580" s="126" t="s">
        <v>112</v>
      </c>
      <c r="U580" s="126" t="s">
        <v>202</v>
      </c>
      <c r="V580" s="126" t="s">
        <v>114</v>
      </c>
      <c r="X580" s="126" t="s">
        <v>115</v>
      </c>
      <c r="Y580" s="126" t="s">
        <v>110</v>
      </c>
      <c r="Z580" s="126">
        <v>3</v>
      </c>
      <c r="AA580" s="126"/>
      <c r="AB580" s="126"/>
      <c r="AC580" s="126"/>
      <c r="AD580" s="126"/>
      <c r="AE580" s="126" t="s">
        <v>123</v>
      </c>
      <c r="AG580" s="16">
        <f>AH580-AI580</f>
        <v>87</v>
      </c>
      <c r="AH580" s="126">
        <v>162</v>
      </c>
      <c r="AI580" s="126">
        <v>75</v>
      </c>
      <c r="AK580" s="126">
        <v>21</v>
      </c>
      <c r="AL580" s="126">
        <v>0</v>
      </c>
      <c r="AM580" s="126">
        <v>0</v>
      </c>
      <c r="AN580" s="126">
        <v>0</v>
      </c>
      <c r="AO580" s="16">
        <f>IF(SUM(AL580:AN580)&gt;0,1,0)</f>
        <v>0</v>
      </c>
      <c r="AP580" s="18">
        <f>SUM(AL580:AN580)</f>
        <v>0</v>
      </c>
      <c r="AR580" s="16">
        <v>0.63800000000000012</v>
      </c>
      <c r="AS580" s="16">
        <f>VLOOKUP(E580,'[1]Feces weights'!$D$1:$H$459,5,FALSE)</f>
        <v>0.63800000000000012</v>
      </c>
      <c r="AT580" s="16" t="str">
        <f>VLOOKUP(E580,[9]Current!$A:$T,7,FALSE)</f>
        <v>TE</v>
      </c>
      <c r="AU580" s="18" t="s">
        <v>1290</v>
      </c>
      <c r="AW580" s="177">
        <f>IF(AY580&gt;0,1,0)</f>
        <v>1</v>
      </c>
      <c r="AX580" s="177">
        <f>SUM(BA580,BM580,CU580)</f>
        <v>1</v>
      </c>
      <c r="AY580" s="177">
        <f>SUM(BB580,BN580,CV580)</f>
        <v>1.5673981191222568</v>
      </c>
      <c r="AZ580" s="177">
        <f>IF(BB580&gt;0,1,0)</f>
        <v>0</v>
      </c>
      <c r="BA580" s="177">
        <f>SUM(BC580+BF580+BI580)</f>
        <v>0</v>
      </c>
      <c r="BB580" s="177">
        <f>SUM(BE580,BH580,BK580)</f>
        <v>0</v>
      </c>
      <c r="BC580" s="178">
        <f>IF(BD580&gt;0,1,0)</f>
        <v>0</v>
      </c>
      <c r="BD580" s="177">
        <f>VLOOKUP($E580,[9]Current!$1:$1048576,8,FALSE)</f>
        <v>0</v>
      </c>
      <c r="BE580" s="177">
        <f>BD580/$AS580</f>
        <v>0</v>
      </c>
      <c r="BF580" s="178">
        <f>IF(BG580&gt;0,1,0)</f>
        <v>0</v>
      </c>
      <c r="BG580" s="179">
        <f>VLOOKUP($E580,[9]Current!$1:$1048576,9,FALSE)</f>
        <v>0</v>
      </c>
      <c r="BH580" s="177">
        <f>BG580/$AS580</f>
        <v>0</v>
      </c>
      <c r="BI580" s="178">
        <f>IF(BJ580&gt;0,1,0)</f>
        <v>0</v>
      </c>
      <c r="BJ580" s="177">
        <f>VLOOKUP($E580,[9]Current!$1:$1048576,10,FALSE)</f>
        <v>0</v>
      </c>
      <c r="BK580" s="177">
        <f>BJ580/$AS580</f>
        <v>0</v>
      </c>
      <c r="BL580" s="177">
        <f>IF(BM580&gt;0,1,0)</f>
        <v>1</v>
      </c>
      <c r="BM580" s="177">
        <f>SUM(BR580,BU580,BX580,CA580,CD580)</f>
        <v>1</v>
      </c>
      <c r="BN580" s="181">
        <f>SUM(BT580,BW580,BZ580,CC580,CF580)</f>
        <v>1.5673981191222568</v>
      </c>
      <c r="BO580" s="177">
        <f>IF(BP580&gt;0,1,0)</f>
        <v>1</v>
      </c>
      <c r="BP580" s="177">
        <f>BM580+CJ580</f>
        <v>2</v>
      </c>
      <c r="BQ580" s="177">
        <f>BN580+CL580</f>
        <v>3.1347962382445136</v>
      </c>
      <c r="BR580" s="178">
        <f>IF(BS580&gt;0,1,0)</f>
        <v>0</v>
      </c>
      <c r="BS580" s="177">
        <f>VLOOKUP($E580,[9]Current!$1:$1048576,12,FALSE)</f>
        <v>0</v>
      </c>
      <c r="BT580" s="179">
        <f>BS580/$AS580</f>
        <v>0</v>
      </c>
      <c r="BU580" s="178">
        <f>IF(BV580&gt;0,1,0)</f>
        <v>0</v>
      </c>
      <c r="BV580" s="177">
        <f>VLOOKUP($E580,[9]Current!$1:$1048576,13,FALSE)</f>
        <v>0</v>
      </c>
      <c r="BW580" s="177">
        <f>BV580/$AS580</f>
        <v>0</v>
      </c>
      <c r="BX580" s="178">
        <f>IF(BY580&gt;0,1,0)</f>
        <v>0</v>
      </c>
      <c r="BY580" s="177">
        <f>VLOOKUP($E580,[9]Current!$1:$1048576,14,FALSE)</f>
        <v>0</v>
      </c>
      <c r="BZ580" s="177">
        <f>BY580/$AS580</f>
        <v>0</v>
      </c>
      <c r="CA580" s="178">
        <f>IF(CB580&gt;0,1,0)</f>
        <v>1</v>
      </c>
      <c r="CB580" s="177">
        <f>VLOOKUP($E580,[9]Current!$1:$1048576,15,FALSE)</f>
        <v>1</v>
      </c>
      <c r="CC580" s="177">
        <f>CB580/$AS580</f>
        <v>1.5673981191222568</v>
      </c>
      <c r="CD580" s="180">
        <f>IF(CE580&gt;0,1,0)</f>
        <v>0</v>
      </c>
      <c r="CE580" s="177">
        <f>VLOOKUP($E580,[9]Current!$1:$1048576,16,FALSE)</f>
        <v>0</v>
      </c>
      <c r="CF580" s="177">
        <f>CE580/$AS580</f>
        <v>0</v>
      </c>
      <c r="CG580" s="18"/>
      <c r="CH580" s="18"/>
      <c r="CI580" s="18"/>
      <c r="CJ580" s="178">
        <f>IF(CK580&gt;0,1,0)</f>
        <v>1</v>
      </c>
      <c r="CK580" s="177">
        <f>VLOOKUP($E580,[9]Current!$1:$1048576,18,FALSE)</f>
        <v>1</v>
      </c>
      <c r="CL580" s="177">
        <f>CK580/$AS580</f>
        <v>1.5673981191222568</v>
      </c>
      <c r="CS580" s="178">
        <f>IF(CU580&gt;0,1,0)</f>
        <v>0</v>
      </c>
      <c r="CT580" s="177"/>
      <c r="CU580" s="177">
        <f>VLOOKUP($E580,[9]Current!$1:$1048576,17,FALSE)</f>
        <v>0</v>
      </c>
      <c r="CV580" s="177">
        <f>CU580/$AS580</f>
        <v>0</v>
      </c>
      <c r="DF580" s="16" t="e">
        <f>VLOOKUP(K580,'[3]RNA Seq summary tables'!$V$3:$V$99,1,FALSE)</f>
        <v>#N/A</v>
      </c>
      <c r="DG580" s="126" t="s">
        <v>123</v>
      </c>
    </row>
    <row r="581" spans="2:288" ht="16" x14ac:dyDescent="0.2">
      <c r="B581" s="16">
        <v>2018</v>
      </c>
      <c r="C581" s="124">
        <v>43250</v>
      </c>
      <c r="D581" t="s">
        <v>754</v>
      </c>
      <c r="E581" s="37" t="str">
        <f>CONCATENATE(T581,"-",U581,"-",C581)</f>
        <v>PO2-A6-43250</v>
      </c>
      <c r="F581" s="16" t="s">
        <v>227</v>
      </c>
      <c r="G581" s="126" t="s">
        <v>107</v>
      </c>
      <c r="H581" s="126"/>
      <c r="J581" s="126">
        <v>1454</v>
      </c>
      <c r="K581" s="126">
        <v>2390</v>
      </c>
      <c r="O581" s="126" t="s">
        <v>119</v>
      </c>
      <c r="P581" s="18" t="s">
        <v>119</v>
      </c>
      <c r="Q581" s="18">
        <v>0</v>
      </c>
      <c r="R581" s="18" t="str">
        <f>IF(J581=J580,C581-C580,"")</f>
        <v/>
      </c>
      <c r="T581" s="126" t="s">
        <v>127</v>
      </c>
      <c r="U581" s="126" t="s">
        <v>147</v>
      </c>
      <c r="V581" s="126" t="s">
        <v>114</v>
      </c>
      <c r="X581" s="126" t="s">
        <v>121</v>
      </c>
      <c r="Y581" s="126" t="s">
        <v>110</v>
      </c>
      <c r="Z581" s="126">
        <v>3</v>
      </c>
      <c r="AA581" s="126" t="s">
        <v>119</v>
      </c>
      <c r="AB581" s="126" t="s">
        <v>123</v>
      </c>
      <c r="AC581" s="126" t="s">
        <v>123</v>
      </c>
      <c r="AD581" s="126"/>
      <c r="AE581" s="126"/>
      <c r="AG581" s="16">
        <f>AH581-AI581</f>
        <v>89</v>
      </c>
      <c r="AH581" s="126">
        <v>162</v>
      </c>
      <c r="AI581" s="126">
        <v>73</v>
      </c>
      <c r="AK581" s="126">
        <v>19.5</v>
      </c>
      <c r="AL581" s="126">
        <v>1</v>
      </c>
      <c r="AM581" s="126">
        <v>0</v>
      </c>
      <c r="AN581" s="126">
        <v>0</v>
      </c>
      <c r="AO581" s="16">
        <f>IF(SUM(AL581:AN581)&gt;0,1,0)</f>
        <v>1</v>
      </c>
      <c r="AP581" s="18">
        <f>SUM(AL581:AN581)</f>
        <v>1</v>
      </c>
      <c r="AR581" s="16">
        <v>0.41800000000000015</v>
      </c>
      <c r="AS581" s="16">
        <f>VLOOKUP(E581,'[1]Feces weights'!$D$1:$H$459,5,FALSE)</f>
        <v>0.41800000000000015</v>
      </c>
      <c r="AT581" s="16" t="str">
        <f>VLOOKUP(E581,[9]Current!$A:$T,7,FALSE)</f>
        <v>LV</v>
      </c>
      <c r="AU581" s="18" t="s">
        <v>1290</v>
      </c>
      <c r="AW581" s="177">
        <f>IF(AY581&gt;0,1,0)</f>
        <v>1</v>
      </c>
      <c r="AX581" s="177">
        <f>SUM(BA581,BM581,CU581)</f>
        <v>3</v>
      </c>
      <c r="AY581" s="177">
        <f>SUM(BB581,BN581,CV581)</f>
        <v>5598.0861244019125</v>
      </c>
      <c r="AZ581" s="177">
        <f>IF(BB581&gt;0,1,0)</f>
        <v>1</v>
      </c>
      <c r="BA581" s="177">
        <f>SUM(BC581+BF581+BI581)</f>
        <v>2</v>
      </c>
      <c r="BB581" s="177">
        <f>SUM(BE581,BH581,BK581)</f>
        <v>5581.3397129186587</v>
      </c>
      <c r="BC581" s="178">
        <f>IF(BD581&gt;0,1,0)</f>
        <v>1</v>
      </c>
      <c r="BD581" s="177">
        <f>VLOOKUP($E581,[9]Current!$1:$1048576,8,FALSE)</f>
        <v>25</v>
      </c>
      <c r="BE581" s="177">
        <f>BD581/$AS581</f>
        <v>59.808612440191368</v>
      </c>
      <c r="BF581" s="178">
        <f>IF(BG581&gt;0,1,0)</f>
        <v>1</v>
      </c>
      <c r="BG581" s="179">
        <f>VLOOKUP($E581,[9]Current!$1:$1048576,9,FALSE)</f>
        <v>2308</v>
      </c>
      <c r="BH581" s="177">
        <f>BG581/$AS581</f>
        <v>5521.5311004784671</v>
      </c>
      <c r="BI581" s="178">
        <f>IF(BJ581&gt;0,1,0)</f>
        <v>0</v>
      </c>
      <c r="BJ581" s="177">
        <f>VLOOKUP($E581,[9]Current!$1:$1048576,10,FALSE)</f>
        <v>0</v>
      </c>
      <c r="BK581" s="177">
        <f>BJ581/$AS581</f>
        <v>0</v>
      </c>
      <c r="BL581" s="177">
        <f>IF(BM581&gt;0,1,0)</f>
        <v>1</v>
      </c>
      <c r="BM581" s="177">
        <f>SUM(BR581,BU581,BX581,CA581,CD581)</f>
        <v>1</v>
      </c>
      <c r="BN581" s="181">
        <f>SUM(BT581,BW581,BZ581,CC581,CF581)</f>
        <v>16.746411483253581</v>
      </c>
      <c r="BO581" s="177">
        <f>IF(BP581&gt;0,1,0)</f>
        <v>1</v>
      </c>
      <c r="BP581" s="177">
        <f>BM581+CJ581</f>
        <v>2</v>
      </c>
      <c r="BQ581" s="177">
        <f>BN581+CL581</f>
        <v>19.138755980861237</v>
      </c>
      <c r="BR581" s="178">
        <f>IF(BS581&gt;0,1,0)</f>
        <v>1</v>
      </c>
      <c r="BS581" s="177">
        <f>VLOOKUP($E581,[9]Current!$1:$1048576,12,FALSE)</f>
        <v>7</v>
      </c>
      <c r="BT581" s="179">
        <f>BS581/$AS581</f>
        <v>16.746411483253581</v>
      </c>
      <c r="BU581" s="178">
        <f>IF(BV581&gt;0,1,0)</f>
        <v>0</v>
      </c>
      <c r="BV581" s="177">
        <f>VLOOKUP($E581,[9]Current!$1:$1048576,13,FALSE)</f>
        <v>0</v>
      </c>
      <c r="BW581" s="177">
        <f>BV581/$AS581</f>
        <v>0</v>
      </c>
      <c r="BX581" s="178">
        <f>IF(BY581&gt;0,1,0)</f>
        <v>0</v>
      </c>
      <c r="BY581" s="177">
        <f>VLOOKUP($E581,[9]Current!$1:$1048576,14,FALSE)</f>
        <v>0</v>
      </c>
      <c r="BZ581" s="177">
        <f>BY581/$AS581</f>
        <v>0</v>
      </c>
      <c r="CA581" s="178">
        <f>IF(CB581&gt;0,1,0)</f>
        <v>0</v>
      </c>
      <c r="CB581" s="177">
        <f>VLOOKUP($E581,[9]Current!$1:$1048576,15,FALSE)</f>
        <v>0</v>
      </c>
      <c r="CC581" s="177">
        <f>CB581/$AS581</f>
        <v>0</v>
      </c>
      <c r="CD581" s="180">
        <f>IF(CE581&gt;0,1,0)</f>
        <v>0</v>
      </c>
      <c r="CE581" s="177">
        <f>VLOOKUP($E581,[9]Current!$1:$1048576,16,FALSE)</f>
        <v>0</v>
      </c>
      <c r="CF581" s="177">
        <f>CE581/$AS581</f>
        <v>0</v>
      </c>
      <c r="CG581" s="18"/>
      <c r="CH581" s="18"/>
      <c r="CI581" s="18"/>
      <c r="CJ581" s="178">
        <f>IF(CK581&gt;0,1,0)</f>
        <v>1</v>
      </c>
      <c r="CK581" s="177">
        <f>VLOOKUP($E581,[9]Current!$1:$1048576,18,FALSE)</f>
        <v>1</v>
      </c>
      <c r="CL581" s="177">
        <f>CK581/$AS581</f>
        <v>2.3923444976076547</v>
      </c>
      <c r="CS581" s="178">
        <f>IF(CU581&gt;0,1,0)</f>
        <v>0</v>
      </c>
      <c r="CT581" s="177"/>
      <c r="CU581" s="177">
        <f>VLOOKUP($E581,[9]Current!$1:$1048576,17,FALSE)</f>
        <v>0</v>
      </c>
      <c r="CV581" s="177">
        <f>CU581/$AS581</f>
        <v>0</v>
      </c>
      <c r="DF581" s="16" t="e">
        <f>VLOOKUP(K581,'[3]RNA Seq summary tables'!$V$3:$V$99,1,FALSE)</f>
        <v>#N/A</v>
      </c>
      <c r="DG581" s="126" t="s">
        <v>123</v>
      </c>
    </row>
    <row r="582" spans="2:288" ht="16" x14ac:dyDescent="0.2">
      <c r="B582" s="16">
        <v>2018</v>
      </c>
      <c r="C582" s="124">
        <v>43267</v>
      </c>
      <c r="D582" t="s">
        <v>813</v>
      </c>
      <c r="E582" s="37" t="str">
        <f>CONCATENATE(T582,"-",U582,"-",C582)</f>
        <v>PO2-B6-43267</v>
      </c>
      <c r="F582" s="16" t="s">
        <v>227</v>
      </c>
      <c r="G582" s="126" t="s">
        <v>107</v>
      </c>
      <c r="H582" s="126"/>
      <c r="J582" s="126">
        <v>1454</v>
      </c>
      <c r="K582" s="126">
        <v>2448</v>
      </c>
      <c r="O582" s="126" t="s">
        <v>119</v>
      </c>
      <c r="P582" s="18" t="s">
        <v>119</v>
      </c>
      <c r="Q582" s="18">
        <v>0</v>
      </c>
      <c r="R582" s="18">
        <f>IF(J582=J581,C582-C581,"")</f>
        <v>17</v>
      </c>
      <c r="T582" s="126" t="s">
        <v>127</v>
      </c>
      <c r="U582" s="126" t="s">
        <v>132</v>
      </c>
      <c r="V582" s="126" t="s">
        <v>114</v>
      </c>
      <c r="X582" s="126" t="s">
        <v>121</v>
      </c>
      <c r="Y582" s="126" t="s">
        <v>110</v>
      </c>
      <c r="Z582" s="126">
        <v>3</v>
      </c>
      <c r="AA582" s="126" t="s">
        <v>119</v>
      </c>
      <c r="AB582" s="126" t="s">
        <v>116</v>
      </c>
      <c r="AC582" s="126" t="s">
        <v>123</v>
      </c>
      <c r="AD582" s="126"/>
      <c r="AE582" s="126"/>
      <c r="AG582" s="16">
        <f>AH582-AI582</f>
        <v>85</v>
      </c>
      <c r="AH582" s="126">
        <v>158</v>
      </c>
      <c r="AI582" s="126">
        <v>73</v>
      </c>
      <c r="AK582" s="126">
        <v>19</v>
      </c>
      <c r="AL582" s="126">
        <v>0</v>
      </c>
      <c r="AM582" s="126">
        <v>0</v>
      </c>
      <c r="AN582" s="126">
        <v>0</v>
      </c>
      <c r="AO582" s="16">
        <f>IF(SUM(AL582:AN582)&gt;0,1,0)</f>
        <v>0</v>
      </c>
      <c r="AP582" s="18">
        <f>SUM(AL582:AN582)</f>
        <v>0</v>
      </c>
      <c r="AR582" s="16">
        <v>0.15000000000000013</v>
      </c>
      <c r="AS582" s="16">
        <f>VLOOKUP(E582,'[1]Feces weights'!$D$1:$H$459,5,FALSE)</f>
        <v>0.15000000000000013</v>
      </c>
      <c r="AT582" s="16" t="str">
        <f>VLOOKUP(E582,[2]Current!$A$1:$W$435,7,FALSE)</f>
        <v>JB</v>
      </c>
      <c r="AU582" s="16" t="s">
        <v>1288</v>
      </c>
      <c r="AW582" s="128">
        <f>IF(AX582&gt;0,1,0)</f>
        <v>1</v>
      </c>
      <c r="AX582" s="128">
        <f>SUM(BA582,BM582,CU582)</f>
        <v>3</v>
      </c>
      <c r="AY582" s="128">
        <f>SUM(BB582,BN582,CV582)</f>
        <v>2299.9999999999977</v>
      </c>
      <c r="AZ582" s="128">
        <f>IF(BA582&gt;0,1,0)</f>
        <v>1</v>
      </c>
      <c r="BA582" s="128">
        <f>SUM(BC582+BF582+BI582)</f>
        <v>2</v>
      </c>
      <c r="BB582" s="128">
        <f>SUM(BE582,BH582,BK582)</f>
        <v>2293.3333333333312</v>
      </c>
      <c r="BC582" s="130">
        <f>IF(BD582&gt;0,1,0)</f>
        <v>0</v>
      </c>
      <c r="BD582" s="128">
        <f>VLOOKUP($E582,[2]Current!$A:$AC,26,FALSE)</f>
        <v>0</v>
      </c>
      <c r="BE582" s="128">
        <f>BD582/$AS582</f>
        <v>0</v>
      </c>
      <c r="BF582" s="130">
        <f>IF(BG582&gt;0,1,0)</f>
        <v>1</v>
      </c>
      <c r="BG582" s="137">
        <f>VLOOKUP($E582,[2]Current!$A:$AC,27,FALSE)</f>
        <v>326</v>
      </c>
      <c r="BH582" s="128">
        <f>BG582/$AS582</f>
        <v>2173.3333333333312</v>
      </c>
      <c r="BI582" s="130">
        <f>IF(BJ582&gt;0,1,0)</f>
        <v>1</v>
      </c>
      <c r="BJ582" s="128">
        <f>VLOOKUP($E582,[2]Current!$A:$AC,28,FALSE)</f>
        <v>18</v>
      </c>
      <c r="BK582" s="128">
        <f>BJ582/$AS582</f>
        <v>119.99999999999989</v>
      </c>
      <c r="BL582" s="128">
        <f>IF(BM582&gt;0,1,0)</f>
        <v>1</v>
      </c>
      <c r="BM582" s="128">
        <f>SUM(BR582,BU582,BX582,CA582,CD582)</f>
        <v>1</v>
      </c>
      <c r="BN582" s="131">
        <f>SUM(BT582,BW582,BZ582,CC582,CF582)</f>
        <v>6.6666666666666607</v>
      </c>
      <c r="BO582" s="128">
        <f>IF(BP582&gt;0,1,0)</f>
        <v>1</v>
      </c>
      <c r="BP582" s="128">
        <f>BM582+CJ582</f>
        <v>1</v>
      </c>
      <c r="BQ582" s="128">
        <f>BN582+CL582</f>
        <v>6.6666666666666607</v>
      </c>
      <c r="BR582" s="130">
        <f>IF(BS582&gt;0,1,0)</f>
        <v>1</v>
      </c>
      <c r="BS582" s="128">
        <f>VLOOKUP($E582,[2]Current!$A:$AC,12,FALSE)</f>
        <v>1</v>
      </c>
      <c r="BT582" s="137">
        <f>BS582/$AS582</f>
        <v>6.6666666666666607</v>
      </c>
      <c r="BU582" s="130">
        <f>IF(BV582&gt;0,1,0)</f>
        <v>0</v>
      </c>
      <c r="BV582" s="128">
        <f>VLOOKUP($E582,[2]Current!$A:$AC,13,FALSE)</f>
        <v>0</v>
      </c>
      <c r="BW582" s="128">
        <f>BV582/$AS582</f>
        <v>0</v>
      </c>
      <c r="BX582" s="130">
        <f>IF(BY582&gt;0,1,0)</f>
        <v>0</v>
      </c>
      <c r="BY582" s="128">
        <f>VLOOKUP($E582,[2]Current!$A:$AC,14,FALSE)</f>
        <v>0</v>
      </c>
      <c r="BZ582" s="128">
        <f>BY582/$AS582</f>
        <v>0</v>
      </c>
      <c r="CA582" s="130">
        <f>IF(CB582&gt;0,1,0)</f>
        <v>0</v>
      </c>
      <c r="CB582" s="128">
        <f>VLOOKUP($E582,[2]Current!$A:$AC,15,FALSE)</f>
        <v>0</v>
      </c>
      <c r="CC582" s="128">
        <f>CB582/$AS582</f>
        <v>0</v>
      </c>
      <c r="CD582" s="174">
        <f>IF(CE582&gt;0,1,0)</f>
        <v>0</v>
      </c>
      <c r="CE582" s="128">
        <f>VLOOKUP($E582,[2]Current!$A:$AC,16,FALSE)</f>
        <v>0</v>
      </c>
      <c r="CF582" s="128">
        <f>CE582/$AS582</f>
        <v>0</v>
      </c>
      <c r="CG582" s="18"/>
      <c r="CH582" s="18"/>
      <c r="CI582" s="18"/>
      <c r="CJ582" s="130">
        <f>IF(CK582&gt;0,1,0)</f>
        <v>0</v>
      </c>
      <c r="CK582" s="128">
        <f>VLOOKUP($E582,[2]Current!$A:$AC,18,FALSE)</f>
        <v>0</v>
      </c>
      <c r="CL582" s="128">
        <f>CK582/$AS582</f>
        <v>0</v>
      </c>
      <c r="CS582" s="130">
        <f>IF(CU582&gt;0,1,0)</f>
        <v>0</v>
      </c>
      <c r="CU582" s="128">
        <f>VLOOKUP($E582,[2]Current!$A:$AC,17,FALSE)</f>
        <v>0</v>
      </c>
      <c r="CV582" s="128">
        <f>CU582/$AS582</f>
        <v>0</v>
      </c>
      <c r="CW582" s="18"/>
      <c r="CX582" s="18"/>
      <c r="CY582" s="18"/>
      <c r="DF582" s="16" t="e">
        <f>VLOOKUP(K582,'[3]RNA Seq summary tables'!$V$3:$V$99,1,FALSE)</f>
        <v>#N/A</v>
      </c>
      <c r="DG582" s="126" t="s">
        <v>116</v>
      </c>
    </row>
    <row r="583" spans="2:288" ht="16" x14ac:dyDescent="0.2">
      <c r="B583" s="16">
        <v>2018</v>
      </c>
      <c r="C583" s="124">
        <v>43283</v>
      </c>
      <c r="D583" t="s">
        <v>901</v>
      </c>
      <c r="E583" s="142" t="str">
        <f>CONCATENATE(T583,"-",U583,"-",C583)</f>
        <v>PO2-A7-43283</v>
      </c>
      <c r="F583" s="16" t="s">
        <v>227</v>
      </c>
      <c r="G583" s="126" t="s">
        <v>107</v>
      </c>
      <c r="H583" s="126"/>
      <c r="J583" s="126">
        <v>1454</v>
      </c>
      <c r="K583" s="126">
        <v>2526</v>
      </c>
      <c r="O583" s="126" t="s">
        <v>119</v>
      </c>
      <c r="P583" s="18" t="s">
        <v>119</v>
      </c>
      <c r="Q583" s="18">
        <v>0</v>
      </c>
      <c r="R583" s="18">
        <f>IF(J583=J582,C583-C582,"")</f>
        <v>16</v>
      </c>
      <c r="T583" s="126" t="s">
        <v>127</v>
      </c>
      <c r="U583" s="126" t="s">
        <v>120</v>
      </c>
      <c r="V583" s="126" t="s">
        <v>114</v>
      </c>
      <c r="X583" s="126" t="s">
        <v>121</v>
      </c>
      <c r="Y583" s="126" t="s">
        <v>110</v>
      </c>
      <c r="Z583" s="126">
        <v>3</v>
      </c>
      <c r="AA583" s="126" t="s">
        <v>119</v>
      </c>
      <c r="AB583" s="126" t="s">
        <v>116</v>
      </c>
      <c r="AC583" s="126" t="s">
        <v>123</v>
      </c>
      <c r="AD583" s="126"/>
      <c r="AE583" s="126"/>
      <c r="AG583" s="16">
        <f>AH583-AI583</f>
        <v>89</v>
      </c>
      <c r="AH583" s="126">
        <v>164</v>
      </c>
      <c r="AI583" s="126">
        <v>75</v>
      </c>
      <c r="AK583" s="126">
        <v>19.5</v>
      </c>
      <c r="AL583" s="126">
        <v>0</v>
      </c>
      <c r="AM583" s="126">
        <v>0</v>
      </c>
      <c r="AN583" s="126">
        <v>0</v>
      </c>
      <c r="AO583" s="16">
        <f>IF(SUM(AL583:AN583)&gt;0,1,0)</f>
        <v>0</v>
      </c>
      <c r="AP583" s="18">
        <f>SUM(AL583:AN583)</f>
        <v>0</v>
      </c>
      <c r="AR583" s="16">
        <v>0.20000000000000018</v>
      </c>
      <c r="AS583" s="16">
        <f>VLOOKUP(E583,'[1]Feces weights'!$D$1:$H$459,5,FALSE)</f>
        <v>0.20000000000000018</v>
      </c>
      <c r="AT583" s="16" t="e">
        <f>VLOOKUP(E583,[2]Current!$A$1:$W$435,7,FALSE)</f>
        <v>#N/A</v>
      </c>
      <c r="AU583" s="16">
        <v>0</v>
      </c>
      <c r="BG583" s="77"/>
      <c r="BN583" s="126"/>
      <c r="BT583" s="78"/>
      <c r="BU583" s="18"/>
      <c r="BV583" s="18"/>
      <c r="BW583" s="25"/>
      <c r="BX583" s="18"/>
      <c r="BY583" s="18"/>
      <c r="BZ583" s="25"/>
      <c r="CA583" s="18"/>
      <c r="CB583" s="18"/>
      <c r="CC583" s="25"/>
      <c r="CD583" s="78"/>
      <c r="CE583" s="18"/>
      <c r="CF583" s="25"/>
      <c r="CG583" s="18"/>
      <c r="CH583" s="18"/>
      <c r="CI583" s="18"/>
      <c r="CJ583" s="18"/>
      <c r="CK583" s="18"/>
      <c r="CL583" s="25"/>
      <c r="DF583" s="16" t="e">
        <f>VLOOKUP(K583,'[3]RNA Seq summary tables'!$V$3:$V$99,1,FALSE)</f>
        <v>#N/A</v>
      </c>
      <c r="DG583" s="126" t="s">
        <v>116</v>
      </c>
    </row>
    <row r="584" spans="2:288" ht="16" x14ac:dyDescent="0.2">
      <c r="B584" s="16">
        <v>2018</v>
      </c>
      <c r="C584" s="124">
        <v>43296</v>
      </c>
      <c r="D584" t="s">
        <v>985</v>
      </c>
      <c r="E584" s="37" t="str">
        <f>CONCATENATE(T584,"-",U584,"-",C584)</f>
        <v>PO2-A6-43296</v>
      </c>
      <c r="F584" s="16" t="s">
        <v>227</v>
      </c>
      <c r="G584" s="126" t="s">
        <v>107</v>
      </c>
      <c r="H584" s="126" t="s">
        <v>1143</v>
      </c>
      <c r="J584" s="126">
        <v>1454</v>
      </c>
      <c r="K584" s="126">
        <v>2621</v>
      </c>
      <c r="O584" s="126" t="s">
        <v>119</v>
      </c>
      <c r="P584" s="18" t="s">
        <v>119</v>
      </c>
      <c r="Q584" s="18">
        <v>0</v>
      </c>
      <c r="R584" s="18">
        <f>IF(J584=J583,C584-C583,"")</f>
        <v>13</v>
      </c>
      <c r="T584" s="126" t="s">
        <v>127</v>
      </c>
      <c r="U584" s="126" t="s">
        <v>147</v>
      </c>
      <c r="V584" s="126" t="s">
        <v>114</v>
      </c>
      <c r="X584" s="126" t="s">
        <v>121</v>
      </c>
      <c r="Y584" s="126" t="s">
        <v>110</v>
      </c>
      <c r="Z584" s="126">
        <v>3</v>
      </c>
      <c r="AA584" s="126" t="s">
        <v>119</v>
      </c>
      <c r="AB584" s="126" t="s">
        <v>123</v>
      </c>
      <c r="AC584" s="126" t="s">
        <v>116</v>
      </c>
      <c r="AD584" s="126"/>
      <c r="AE584" s="126"/>
      <c r="AG584" s="40">
        <f>AH584-AI584</f>
        <v>87</v>
      </c>
      <c r="AH584" s="126">
        <v>160</v>
      </c>
      <c r="AI584" s="126">
        <v>73</v>
      </c>
      <c r="AK584" s="126">
        <v>18.5</v>
      </c>
      <c r="AL584" s="126">
        <v>0</v>
      </c>
      <c r="AM584" s="126">
        <v>0</v>
      </c>
      <c r="AN584" s="126">
        <v>0</v>
      </c>
      <c r="AO584" s="16">
        <f>IF(SUM(AL584:AN584)&gt;0,1,0)</f>
        <v>0</v>
      </c>
      <c r="AP584" s="18">
        <f>SUM(AL584:AN584)</f>
        <v>0</v>
      </c>
      <c r="AR584" s="16">
        <v>0.1120000000000001</v>
      </c>
      <c r="AS584" s="16">
        <f>VLOOKUP(E584,'[1]Feces weights'!$D$1:$H$459,5,FALSE)</f>
        <v>0.1120000000000001</v>
      </c>
      <c r="AT584" s="16" t="str">
        <f>VLOOKUP(E584,[2]Current!$A$1:$W$435,7,FALSE)</f>
        <v>TE</v>
      </c>
      <c r="AU584" s="16" t="s">
        <v>1288</v>
      </c>
      <c r="AV584" s="23">
        <v>1</v>
      </c>
      <c r="AW584" s="128">
        <f>IF(AX584&gt;0,1,0)</f>
        <v>0</v>
      </c>
      <c r="AX584" s="128">
        <f>SUM(BA584,BM584,CU584)</f>
        <v>0</v>
      </c>
      <c r="AY584" s="128">
        <f>SUM(BB584,BN584,CV584)</f>
        <v>0</v>
      </c>
      <c r="AZ584" s="128">
        <f>IF(BA584&gt;0,1,0)</f>
        <v>0</v>
      </c>
      <c r="BA584" s="128">
        <f>SUM(BC584+BF584+BI584)</f>
        <v>0</v>
      </c>
      <c r="BB584" s="128">
        <f>SUM(BE584,BH584,BK584)</f>
        <v>0</v>
      </c>
      <c r="BC584" s="130">
        <f>IF(BD584&gt;0,1,0)</f>
        <v>0</v>
      </c>
      <c r="BD584" s="128">
        <f>VLOOKUP($E584,[2]Current!$A:$AC,26,FALSE)</f>
        <v>0</v>
      </c>
      <c r="BE584" s="128">
        <f>BD584/$AS584</f>
        <v>0</v>
      </c>
      <c r="BF584" s="130">
        <f>IF(BG584&gt;0,1,0)</f>
        <v>0</v>
      </c>
      <c r="BG584" s="137">
        <f>VLOOKUP($E584,[2]Current!$A:$AC,27,FALSE)</f>
        <v>0</v>
      </c>
      <c r="BH584" s="128">
        <f>BG584/$AS584</f>
        <v>0</v>
      </c>
      <c r="BI584" s="130">
        <f>IF(BJ584&gt;0,1,0)</f>
        <v>0</v>
      </c>
      <c r="BJ584" s="128">
        <f>VLOOKUP($E584,[2]Current!$A:$AC,28,FALSE)</f>
        <v>0</v>
      </c>
      <c r="BK584" s="128">
        <f>BJ584/$AS584</f>
        <v>0</v>
      </c>
      <c r="BL584" s="128">
        <f>IF(BM584&gt;0,1,0)</f>
        <v>0</v>
      </c>
      <c r="BM584" s="128">
        <f>SUM(BR584,BU584,BX584,CA584,CD584)</f>
        <v>0</v>
      </c>
      <c r="BN584" s="131">
        <f>SUM(BT584,BW584,BZ584,CC584,CF584)</f>
        <v>0</v>
      </c>
      <c r="BO584" s="128">
        <f>IF(BP584&gt;0,1,0)</f>
        <v>0</v>
      </c>
      <c r="BP584" s="128">
        <f>BM584+CJ584</f>
        <v>0</v>
      </c>
      <c r="BQ584" s="128">
        <f>BN584+CL584</f>
        <v>0</v>
      </c>
      <c r="BR584" s="130">
        <f>IF(BS584&gt;0,1,0)</f>
        <v>0</v>
      </c>
      <c r="BS584" s="128">
        <f>VLOOKUP($E584,[2]Current!$A:$AC,12,FALSE)</f>
        <v>0</v>
      </c>
      <c r="BT584" s="137">
        <f>BS584/$AS584</f>
        <v>0</v>
      </c>
      <c r="BU584" s="130">
        <f>IF(BV584&gt;0,1,0)</f>
        <v>0</v>
      </c>
      <c r="BV584" s="128">
        <f>VLOOKUP($E584,[2]Current!$A:$AC,13,FALSE)</f>
        <v>0</v>
      </c>
      <c r="BW584" s="128">
        <f>BV584/$AS584</f>
        <v>0</v>
      </c>
      <c r="BX584" s="130">
        <f>IF(BY584&gt;0,1,0)</f>
        <v>0</v>
      </c>
      <c r="BY584" s="128">
        <f>VLOOKUP($E584,[2]Current!$A:$AC,14,FALSE)</f>
        <v>0</v>
      </c>
      <c r="BZ584" s="128">
        <f>BY584/$AS584</f>
        <v>0</v>
      </c>
      <c r="CA584" s="130">
        <f>IF(CB584&gt;0,1,0)</f>
        <v>0</v>
      </c>
      <c r="CB584" s="128">
        <f>VLOOKUP($E584,[2]Current!$A:$AC,15,FALSE)</f>
        <v>0</v>
      </c>
      <c r="CC584" s="128">
        <f>CB584/$AS584</f>
        <v>0</v>
      </c>
      <c r="CD584" s="174">
        <f>IF(CE584&gt;0,1,0)</f>
        <v>0</v>
      </c>
      <c r="CE584" s="128">
        <f>VLOOKUP($E584,[2]Current!$A:$AC,16,FALSE)</f>
        <v>0</v>
      </c>
      <c r="CF584" s="128">
        <f>CE584/$AS584</f>
        <v>0</v>
      </c>
      <c r="CG584" s="18"/>
      <c r="CH584" s="18"/>
      <c r="CI584" s="18"/>
      <c r="CJ584" s="130">
        <f>IF(CK584&gt;0,1,0)</f>
        <v>0</v>
      </c>
      <c r="CK584" s="128">
        <f>VLOOKUP($E584,[2]Current!$A:$AC,18,FALSE)</f>
        <v>0</v>
      </c>
      <c r="CL584" s="128">
        <f>CK584/$AS584</f>
        <v>0</v>
      </c>
      <c r="CS584" s="130">
        <f>IF(CU584&gt;0,1,0)</f>
        <v>0</v>
      </c>
      <c r="CU584" s="128">
        <f>VLOOKUP($E584,[2]Current!$A:$AC,17,FALSE)</f>
        <v>0</v>
      </c>
      <c r="CV584" s="128">
        <f>CU584/$AS584</f>
        <v>0</v>
      </c>
      <c r="CW584" s="18"/>
      <c r="CX584" s="18"/>
      <c r="CY584" s="18"/>
      <c r="DF584" s="16" t="e">
        <f>VLOOKUP(K584,'[3]RNA Seq summary tables'!$V$3:$V$99,1,FALSE)</f>
        <v>#N/A</v>
      </c>
      <c r="DG584" s="126" t="s">
        <v>116</v>
      </c>
      <c r="JR584" s="18"/>
      <c r="JS584" s="18"/>
      <c r="JT584" s="18"/>
      <c r="JU584" s="18"/>
      <c r="JV584" s="18"/>
      <c r="JW584" s="18"/>
      <c r="JX584" s="18"/>
      <c r="JY584" s="18"/>
      <c r="JZ584" s="18"/>
      <c r="KA584" s="18"/>
      <c r="KB584" s="18"/>
    </row>
    <row r="585" spans="2:288" ht="16" x14ac:dyDescent="0.2">
      <c r="B585" s="16">
        <v>2018</v>
      </c>
      <c r="C585" s="124">
        <v>43251</v>
      </c>
      <c r="D585" t="s">
        <v>1283</v>
      </c>
      <c r="E585" s="37" t="str">
        <f>CONCATENATE(T585,"-",U585,"-",C585)</f>
        <v>SP1-F8-43251</v>
      </c>
      <c r="F585" s="16" t="s">
        <v>227</v>
      </c>
      <c r="G585" s="126" t="s">
        <v>107</v>
      </c>
      <c r="H585" s="126"/>
      <c r="J585" s="126">
        <v>1456</v>
      </c>
      <c r="K585" s="126">
        <v>2394</v>
      </c>
      <c r="O585" s="126" t="s">
        <v>119</v>
      </c>
      <c r="P585" s="18" t="s">
        <v>119</v>
      </c>
      <c r="Q585" s="18">
        <v>0</v>
      </c>
      <c r="R585" s="18" t="str">
        <f>IF(J585=J584,C585-C584,"")</f>
        <v/>
      </c>
      <c r="T585" s="126" t="s">
        <v>140</v>
      </c>
      <c r="U585" s="126" t="s">
        <v>138</v>
      </c>
      <c r="V585" s="126" t="s">
        <v>114</v>
      </c>
      <c r="X585" s="126" t="s">
        <v>121</v>
      </c>
      <c r="Y585" s="126" t="s">
        <v>110</v>
      </c>
      <c r="Z585" s="126">
        <v>3</v>
      </c>
      <c r="AA585" s="126" t="s">
        <v>119</v>
      </c>
      <c r="AB585" s="127" t="s">
        <v>119</v>
      </c>
      <c r="AC585" s="126" t="s">
        <v>123</v>
      </c>
      <c r="AD585" s="126"/>
      <c r="AE585" s="126"/>
      <c r="AG585" s="16">
        <f>AH585-AI585</f>
        <v>96</v>
      </c>
      <c r="AH585" s="126">
        <v>177</v>
      </c>
      <c r="AI585" s="126">
        <v>81</v>
      </c>
      <c r="AK585" s="126">
        <v>25.5</v>
      </c>
      <c r="AL585" s="126">
        <v>0</v>
      </c>
      <c r="AM585" s="126">
        <v>0</v>
      </c>
      <c r="AN585" s="126">
        <v>0</v>
      </c>
      <c r="AO585" s="16">
        <f>IF(SUM(AL585:AN585)&gt;0,1,0)</f>
        <v>0</v>
      </c>
      <c r="AP585" s="18">
        <f>SUM(AL585:AN585)</f>
        <v>0</v>
      </c>
      <c r="AR585" s="16">
        <v>0.26</v>
      </c>
      <c r="AS585" s="16">
        <f>VLOOKUP(E585,'[1]Feces weights'!$D$1:$H$459,5,FALSE)</f>
        <v>0.26</v>
      </c>
      <c r="AT585" s="16" t="str">
        <f>VLOOKUP(E585,[9]Current!$A:$Q,7,FALSE)</f>
        <v>LV</v>
      </c>
      <c r="AU585" s="18" t="s">
        <v>1290</v>
      </c>
      <c r="AW585" s="177">
        <f>IF(AY585&gt;0,1,0)</f>
        <v>1</v>
      </c>
      <c r="AX585" s="177">
        <f>SUM(BA585,BM585,CU585)</f>
        <v>1</v>
      </c>
      <c r="AY585" s="177">
        <f>SUM(BB585,BN585,CV585)</f>
        <v>676.92307692307691</v>
      </c>
      <c r="AZ585" s="177">
        <f>IF(BB585&gt;0,1,0)</f>
        <v>1</v>
      </c>
      <c r="BA585" s="177">
        <f>SUM(BC585+BF585+BI585)</f>
        <v>1</v>
      </c>
      <c r="BB585" s="177">
        <f>SUM(BE585,BH585,BK585)</f>
        <v>676.92307692307691</v>
      </c>
      <c r="BC585" s="178">
        <f>IF(BD585&gt;0,1,0)</f>
        <v>0</v>
      </c>
      <c r="BD585" s="177">
        <f>VLOOKUP($E585,[9]Current!$1:$1048576,8,FALSE)</f>
        <v>0</v>
      </c>
      <c r="BE585" s="177">
        <f>BD585/$AS585</f>
        <v>0</v>
      </c>
      <c r="BF585" s="178">
        <f>IF(BG585&gt;0,1,0)</f>
        <v>1</v>
      </c>
      <c r="BG585" s="179">
        <f>VLOOKUP($E585,[9]Current!$1:$1048576,9,FALSE)</f>
        <v>176</v>
      </c>
      <c r="BH585" s="177">
        <f>BG585/$AS585</f>
        <v>676.92307692307691</v>
      </c>
      <c r="BI585" s="178">
        <f>IF(BJ585&gt;0,1,0)</f>
        <v>0</v>
      </c>
      <c r="BJ585" s="177">
        <f>VLOOKUP($E585,[9]Current!$1:$1048576,10,FALSE)</f>
        <v>0</v>
      </c>
      <c r="BK585" s="177">
        <f>BJ585/$AS585</f>
        <v>0</v>
      </c>
      <c r="BL585" s="177">
        <f>IF(BM585&gt;0,1,0)</f>
        <v>0</v>
      </c>
      <c r="BM585" s="177">
        <f>SUM(BR585,BU585,BX585,CA585,CD585)</f>
        <v>0</v>
      </c>
      <c r="BN585" s="181">
        <f>SUM(BT585,BW585,BZ585,CC585,CF585)</f>
        <v>0</v>
      </c>
      <c r="BO585" s="177">
        <f>IF(BP585&gt;0,1,0)</f>
        <v>1</v>
      </c>
      <c r="BP585" s="177">
        <f>BM585+CJ585</f>
        <v>1</v>
      </c>
      <c r="BQ585" s="177">
        <f>BN585+CL585</f>
        <v>11.538461538461538</v>
      </c>
      <c r="BR585" s="178">
        <f>IF(BS585&gt;0,1,0)</f>
        <v>0</v>
      </c>
      <c r="BS585" s="177">
        <f>VLOOKUP($E585,[9]Current!$1:$1048576,12,FALSE)</f>
        <v>0</v>
      </c>
      <c r="BT585" s="179">
        <f>BS585/$AS585</f>
        <v>0</v>
      </c>
      <c r="BU585" s="178">
        <f>IF(BV585&gt;0,1,0)</f>
        <v>0</v>
      </c>
      <c r="BV585" s="177">
        <f>VLOOKUP($E585,[9]Current!$1:$1048576,13,FALSE)</f>
        <v>0</v>
      </c>
      <c r="BW585" s="177">
        <f>BV585/$AS585</f>
        <v>0</v>
      </c>
      <c r="BX585" s="178">
        <f>IF(BY585&gt;0,1,0)</f>
        <v>0</v>
      </c>
      <c r="BY585" s="177">
        <f>VLOOKUP($E585,[9]Current!$1:$1048576,14,FALSE)</f>
        <v>0</v>
      </c>
      <c r="BZ585" s="177">
        <f>BY585/$AS585</f>
        <v>0</v>
      </c>
      <c r="CA585" s="178">
        <f>IF(CB585&gt;0,1,0)</f>
        <v>0</v>
      </c>
      <c r="CB585" s="177">
        <f>VLOOKUP($E585,[9]Current!$1:$1048576,15,FALSE)</f>
        <v>0</v>
      </c>
      <c r="CC585" s="177">
        <f>CB585/$AS585</f>
        <v>0</v>
      </c>
      <c r="CD585" s="180">
        <f>IF(CE585&gt;0,1,0)</f>
        <v>0</v>
      </c>
      <c r="CE585" s="177">
        <f>VLOOKUP($E585,[9]Current!$1:$1048576,16,FALSE)</f>
        <v>0</v>
      </c>
      <c r="CF585" s="177">
        <f>CE585/$AS585</f>
        <v>0</v>
      </c>
      <c r="CG585" s="18"/>
      <c r="CH585" s="18"/>
      <c r="CI585" s="18"/>
      <c r="CJ585" s="178">
        <f>IF(CK585&gt;0,1,0)</f>
        <v>1</v>
      </c>
      <c r="CK585" s="177">
        <f>VLOOKUP($E585,[9]Current!$1:$1048576,18,FALSE)</f>
        <v>3</v>
      </c>
      <c r="CL585" s="177">
        <f>CK585/$AS585</f>
        <v>11.538461538461538</v>
      </c>
      <c r="CS585" s="178">
        <f>IF(CU585&gt;0,1,0)</f>
        <v>0</v>
      </c>
      <c r="CT585" s="177"/>
      <c r="CU585" s="177">
        <f>VLOOKUP($E585,[9]Current!$1:$1048576,17,FALSE)</f>
        <v>0</v>
      </c>
      <c r="CV585" s="177">
        <f>CU585/$AS585</f>
        <v>0</v>
      </c>
      <c r="CW585" s="23"/>
      <c r="CX585" s="23"/>
      <c r="CY585" s="23"/>
      <c r="CZ585" s="23"/>
      <c r="DF585" s="16" t="e">
        <f>VLOOKUP(K585,'[3]RNA Seq summary tables'!$V$3:$V$99,1,FALSE)</f>
        <v>#N/A</v>
      </c>
      <c r="DG585" s="126" t="s">
        <v>123</v>
      </c>
    </row>
    <row r="586" spans="2:288" ht="16" x14ac:dyDescent="0.2">
      <c r="B586" s="16">
        <v>2018</v>
      </c>
      <c r="C586" s="124">
        <v>43252</v>
      </c>
      <c r="D586" t="s">
        <v>758</v>
      </c>
      <c r="E586" s="37" t="str">
        <f>CONCATENATE(T586,"-",U586,"-",C586)</f>
        <v>SP2-F1-43252</v>
      </c>
      <c r="F586" s="16" t="s">
        <v>227</v>
      </c>
      <c r="G586" s="126" t="s">
        <v>107</v>
      </c>
      <c r="H586" s="126"/>
      <c r="J586" s="126">
        <v>1458</v>
      </c>
      <c r="K586" s="126">
        <v>2397</v>
      </c>
      <c r="O586" s="126" t="s">
        <v>119</v>
      </c>
      <c r="P586" s="18" t="s">
        <v>119</v>
      </c>
      <c r="Q586" s="18">
        <v>0</v>
      </c>
      <c r="R586" s="18" t="str">
        <f>IF(J586=J585,C586-C585,"")</f>
        <v/>
      </c>
      <c r="T586" s="126" t="s">
        <v>137</v>
      </c>
      <c r="U586" s="126" t="s">
        <v>217</v>
      </c>
      <c r="V586" s="126" t="s">
        <v>114</v>
      </c>
      <c r="X586" s="126" t="s">
        <v>115</v>
      </c>
      <c r="Y586" s="126" t="s">
        <v>110</v>
      </c>
      <c r="Z586" s="126">
        <v>3</v>
      </c>
      <c r="AA586" s="126"/>
      <c r="AB586" s="126"/>
      <c r="AC586" s="126"/>
      <c r="AD586" s="126"/>
      <c r="AE586" s="126" t="s">
        <v>116</v>
      </c>
      <c r="AG586" s="16">
        <f>AH586-AI586</f>
        <v>78</v>
      </c>
      <c r="AH586" s="126">
        <v>145</v>
      </c>
      <c r="AI586" s="126">
        <v>67</v>
      </c>
      <c r="AK586" s="126">
        <v>18.5</v>
      </c>
      <c r="AL586" s="126">
        <v>1</v>
      </c>
      <c r="AM586" s="126">
        <v>0</v>
      </c>
      <c r="AN586" s="126">
        <v>0</v>
      </c>
      <c r="AO586" s="16">
        <f>IF(SUM(AL586:AN586)&gt;0,1,0)</f>
        <v>1</v>
      </c>
      <c r="AP586" s="18">
        <f>SUM(AL586:AN586)</f>
        <v>1</v>
      </c>
      <c r="AR586" s="16">
        <v>0.11100000000000021</v>
      </c>
      <c r="AS586" s="16">
        <f>VLOOKUP(E586,'[1]Feces weights'!$D$1:$H$459,5,FALSE)</f>
        <v>0.11100000000000021</v>
      </c>
      <c r="AT586" s="16" t="str">
        <f>VLOOKUP(E586,[2]Current!$A$1:$W$435,7,FALSE)</f>
        <v>TE</v>
      </c>
      <c r="AU586" s="16" t="s">
        <v>1288</v>
      </c>
      <c r="AW586" s="128">
        <f>IF(AX586&gt;0,1,0)</f>
        <v>1</v>
      </c>
      <c r="AX586" s="128">
        <f>SUM(BA586,BM586,CU586)</f>
        <v>2</v>
      </c>
      <c r="AY586" s="128">
        <f>SUM(BB586,BN586,CV586)</f>
        <v>252.25225225225176</v>
      </c>
      <c r="AZ586" s="128">
        <f>IF(BA586&gt;0,1,0)</f>
        <v>1</v>
      </c>
      <c r="BA586" s="128">
        <f>SUM(BC586+BF586+BI586)</f>
        <v>2</v>
      </c>
      <c r="BB586" s="128">
        <f>SUM(BE586,BH586,BK586)</f>
        <v>252.25225225225176</v>
      </c>
      <c r="BC586" s="130">
        <f>IF(BD586&gt;0,1,0)</f>
        <v>0</v>
      </c>
      <c r="BD586" s="128">
        <f>VLOOKUP($E586,[2]Current!$A:$AC,26,FALSE)</f>
        <v>0</v>
      </c>
      <c r="BE586" s="128">
        <f>BD586/$AS586</f>
        <v>0</v>
      </c>
      <c r="BF586" s="130">
        <f>IF(BG586&gt;0,1,0)</f>
        <v>1</v>
      </c>
      <c r="BG586" s="137">
        <f>VLOOKUP($E586,[2]Current!$A:$AC,27,FALSE)</f>
        <v>8</v>
      </c>
      <c r="BH586" s="128">
        <f>BG586/$AS586</f>
        <v>72.072072072071933</v>
      </c>
      <c r="BI586" s="130">
        <f>IF(BJ586&gt;0,1,0)</f>
        <v>1</v>
      </c>
      <c r="BJ586" s="128">
        <f>VLOOKUP($E586,[2]Current!$A:$AC,28,FALSE)</f>
        <v>20</v>
      </c>
      <c r="BK586" s="128">
        <f>BJ586/$AS586</f>
        <v>180.18018018017983</v>
      </c>
      <c r="BL586" s="128">
        <f>IF(BM586&gt;0,1,0)</f>
        <v>0</v>
      </c>
      <c r="BM586" s="128">
        <f>SUM(BR586,BU586,BX586,CA586,CD586)</f>
        <v>0</v>
      </c>
      <c r="BN586" s="131">
        <f>SUM(BT586,BW586,BZ586,CC586,CF586)</f>
        <v>0</v>
      </c>
      <c r="BO586" s="128">
        <f>IF(BP586&gt;0,1,0)</f>
        <v>0</v>
      </c>
      <c r="BP586" s="128">
        <f>BM586+CJ586</f>
        <v>0</v>
      </c>
      <c r="BQ586" s="128">
        <f>BN586+CL586</f>
        <v>0</v>
      </c>
      <c r="BR586" s="130">
        <f>IF(BS586&gt;0,1,0)</f>
        <v>0</v>
      </c>
      <c r="BS586" s="128">
        <f>VLOOKUP($E586,[2]Current!$A:$AC,12,FALSE)</f>
        <v>0</v>
      </c>
      <c r="BT586" s="137">
        <f>BS586/$AS586</f>
        <v>0</v>
      </c>
      <c r="BU586" s="130">
        <f>IF(BV586&gt;0,1,0)</f>
        <v>0</v>
      </c>
      <c r="BV586" s="128">
        <f>VLOOKUP($E586,[2]Current!$A:$AC,13,FALSE)</f>
        <v>0</v>
      </c>
      <c r="BW586" s="128">
        <f>BV586/$AS586</f>
        <v>0</v>
      </c>
      <c r="BX586" s="130">
        <f>IF(BY586&gt;0,1,0)</f>
        <v>0</v>
      </c>
      <c r="BY586" s="128">
        <f>VLOOKUP($E586,[2]Current!$A:$AC,14,FALSE)</f>
        <v>0</v>
      </c>
      <c r="BZ586" s="128">
        <f>BY586/$AS586</f>
        <v>0</v>
      </c>
      <c r="CA586" s="130">
        <f>IF(CB586&gt;0,1,0)</f>
        <v>0</v>
      </c>
      <c r="CB586" s="128">
        <f>VLOOKUP($E586,[2]Current!$A:$AC,15,FALSE)</f>
        <v>0</v>
      </c>
      <c r="CC586" s="128">
        <f>CB586/$AS586</f>
        <v>0</v>
      </c>
      <c r="CD586" s="174">
        <f>IF(CE586&gt;0,1,0)</f>
        <v>0</v>
      </c>
      <c r="CE586" s="128">
        <f>VLOOKUP($E586,[2]Current!$A:$AC,16,FALSE)</f>
        <v>0</v>
      </c>
      <c r="CF586" s="128">
        <f>CE586/$AS586</f>
        <v>0</v>
      </c>
      <c r="CG586" s="18"/>
      <c r="CH586" s="18"/>
      <c r="CI586" s="18"/>
      <c r="CJ586" s="130">
        <f>IF(CK586&gt;0,1,0)</f>
        <v>0</v>
      </c>
      <c r="CK586" s="128">
        <f>VLOOKUP($E586,[2]Current!$A:$AC,18,FALSE)</f>
        <v>0</v>
      </c>
      <c r="CL586" s="128">
        <f>CK586/$AS586</f>
        <v>0</v>
      </c>
      <c r="CS586" s="130">
        <f>IF(CU586&gt;0,1,0)</f>
        <v>0</v>
      </c>
      <c r="CT586" s="18"/>
      <c r="CU586" s="128">
        <f>VLOOKUP($E586,[2]Current!$A:$AC,17,FALSE)</f>
        <v>0</v>
      </c>
      <c r="CV586" s="128">
        <f>CU586/$AS586</f>
        <v>0</v>
      </c>
      <c r="CW586" s="18"/>
      <c r="CX586" s="18"/>
      <c r="CY586" s="18"/>
      <c r="DF586" s="16" t="e">
        <f>VLOOKUP(K586,'[3]RNA Seq summary tables'!$V$3:$V$99,1,FALSE)</f>
        <v>#N/A</v>
      </c>
      <c r="DG586" s="126" t="s">
        <v>123</v>
      </c>
    </row>
    <row r="587" spans="2:288" ht="16" x14ac:dyDescent="0.2">
      <c r="B587" s="16">
        <v>2018</v>
      </c>
      <c r="C587" s="124">
        <v>43269</v>
      </c>
      <c r="D587" t="s">
        <v>829</v>
      </c>
      <c r="E587" s="37" t="str">
        <f>CONCATENATE(T587,"-",U587,"-",C587)</f>
        <v>SP2-H2-43269</v>
      </c>
      <c r="F587" s="16" t="s">
        <v>227</v>
      </c>
      <c r="G587" s="126" t="s">
        <v>107</v>
      </c>
      <c r="H587" s="126"/>
      <c r="J587" s="126">
        <v>1458</v>
      </c>
      <c r="K587" s="126">
        <v>2463</v>
      </c>
      <c r="O587" s="126" t="s">
        <v>119</v>
      </c>
      <c r="P587" s="18" t="s">
        <v>119</v>
      </c>
      <c r="Q587" s="18">
        <v>0</v>
      </c>
      <c r="R587" s="18">
        <f>IF(J587=J586,C587-C586,"")</f>
        <v>17</v>
      </c>
      <c r="T587" s="126" t="s">
        <v>137</v>
      </c>
      <c r="U587" s="126" t="s">
        <v>190</v>
      </c>
      <c r="V587" s="126" t="s">
        <v>114</v>
      </c>
      <c r="X587" s="126" t="s">
        <v>115</v>
      </c>
      <c r="Y587" s="126" t="s">
        <v>110</v>
      </c>
      <c r="Z587" s="126">
        <v>3</v>
      </c>
      <c r="AA587" s="126"/>
      <c r="AB587" s="126"/>
      <c r="AC587" s="126"/>
      <c r="AD587" s="126"/>
      <c r="AE587" s="126" t="s">
        <v>116</v>
      </c>
      <c r="AG587" s="16">
        <f>AH587-AI587</f>
        <v>80</v>
      </c>
      <c r="AH587" s="126">
        <v>147</v>
      </c>
      <c r="AI587" s="126">
        <v>67</v>
      </c>
      <c r="AK587" s="126">
        <v>21</v>
      </c>
      <c r="AL587" s="126">
        <v>1</v>
      </c>
      <c r="AM587" s="126">
        <v>0</v>
      </c>
      <c r="AN587" s="126">
        <v>0</v>
      </c>
      <c r="AO587" s="16">
        <f>IF(SUM(AL587:AN587)&gt;0,1,0)</f>
        <v>1</v>
      </c>
      <c r="AP587" s="18">
        <f>SUM(AL587:AN587)</f>
        <v>1</v>
      </c>
      <c r="AR587" s="16">
        <v>5.3000000000000158E-2</v>
      </c>
      <c r="AS587" s="16">
        <f>VLOOKUP(E587,'[1]Feces weights'!$D$1:$H$459,5,FALSE)</f>
        <v>5.3000000000000158E-2</v>
      </c>
      <c r="AT587" s="16" t="str">
        <f>VLOOKUP(E587,[2]Current!$A$1:$W$435,7,FALSE)</f>
        <v>JB</v>
      </c>
      <c r="AU587" s="16" t="s">
        <v>1288</v>
      </c>
      <c r="AW587" s="128">
        <f>IF(AX587&gt;0,1,0)</f>
        <v>1</v>
      </c>
      <c r="AX587" s="128">
        <f>SUM(BA587,BM587,CU587)</f>
        <v>9</v>
      </c>
      <c r="AY587" s="128">
        <f>SUM(BB587,BN587,CV587)</f>
        <v>169.81132075471646</v>
      </c>
      <c r="AZ587" s="128">
        <f>IF(BA587&gt;0,1,0)</f>
        <v>0</v>
      </c>
      <c r="BA587" s="128">
        <f>SUM(BC587+BF587+BI587)</f>
        <v>0</v>
      </c>
      <c r="BB587" s="128">
        <f>SUM(BE587,BH587,BK587)</f>
        <v>0</v>
      </c>
      <c r="BC587" s="130">
        <f>IF(BD587&gt;0,1,0)</f>
        <v>0</v>
      </c>
      <c r="BD587" s="128">
        <f>VLOOKUP($E587,[2]Current!$A:$AC,26,FALSE)</f>
        <v>0</v>
      </c>
      <c r="BE587" s="128">
        <f>BD587/$AS587</f>
        <v>0</v>
      </c>
      <c r="BF587" s="130">
        <f>IF(BG587&gt;0,1,0)</f>
        <v>0</v>
      </c>
      <c r="BG587" s="137">
        <f>VLOOKUP($E587,[2]Current!$A:$AC,27,FALSE)</f>
        <v>0</v>
      </c>
      <c r="BH587" s="128">
        <f>BG587/$AS587</f>
        <v>0</v>
      </c>
      <c r="BI587" s="130">
        <f>IF(BJ587&gt;0,1,0)</f>
        <v>0</v>
      </c>
      <c r="BJ587" s="128">
        <f>VLOOKUP($E587,[2]Current!$A:$AC,28,FALSE)</f>
        <v>0</v>
      </c>
      <c r="BK587" s="128">
        <f>BJ587/$AS587</f>
        <v>0</v>
      </c>
      <c r="BL587" s="128">
        <f>IF(BM587&gt;0,1,0)</f>
        <v>0</v>
      </c>
      <c r="BM587" s="128">
        <f>SUM(BR587,BU587,BX587,CA587,CD587)</f>
        <v>0</v>
      </c>
      <c r="BN587" s="131">
        <f>SUM(BT587,BW587,BZ587,CC587,CF587)</f>
        <v>0</v>
      </c>
      <c r="BO587" s="128">
        <f>IF(BP587&gt;0,1,0)</f>
        <v>0</v>
      </c>
      <c r="BP587" s="128">
        <f>BM587+CJ587</f>
        <v>0</v>
      </c>
      <c r="BQ587" s="128">
        <f>BN587+CL587</f>
        <v>0</v>
      </c>
      <c r="BR587" s="130">
        <f>IF(BS587&gt;0,1,0)</f>
        <v>0</v>
      </c>
      <c r="BS587" s="128">
        <f>VLOOKUP($E587,[2]Current!$A:$AC,12,FALSE)</f>
        <v>0</v>
      </c>
      <c r="BT587" s="137">
        <f>BS587/$AS587</f>
        <v>0</v>
      </c>
      <c r="BU587" s="130">
        <f>IF(BV587&gt;0,1,0)</f>
        <v>0</v>
      </c>
      <c r="BV587" s="128">
        <f>VLOOKUP($E587,[2]Current!$A:$AC,13,FALSE)</f>
        <v>0</v>
      </c>
      <c r="BW587" s="128">
        <f>BV587/$AS587</f>
        <v>0</v>
      </c>
      <c r="BX587" s="130">
        <f>IF(BY587&gt;0,1,0)</f>
        <v>0</v>
      </c>
      <c r="BY587" s="128">
        <f>VLOOKUP($E587,[2]Current!$A:$AC,14,FALSE)</f>
        <v>0</v>
      </c>
      <c r="BZ587" s="128">
        <f>BY587/$AS587</f>
        <v>0</v>
      </c>
      <c r="CA587" s="130">
        <f>IF(CB587&gt;0,1,0)</f>
        <v>0</v>
      </c>
      <c r="CB587" s="128">
        <f>VLOOKUP($E587,[2]Current!$A:$AC,15,FALSE)</f>
        <v>0</v>
      </c>
      <c r="CC587" s="128">
        <f>CB587/$AS587</f>
        <v>0</v>
      </c>
      <c r="CD587" s="174">
        <f>IF(CE587&gt;0,1,0)</f>
        <v>0</v>
      </c>
      <c r="CE587" s="128">
        <f>VLOOKUP($E587,[2]Current!$A:$AC,16,FALSE)</f>
        <v>0</v>
      </c>
      <c r="CF587" s="128">
        <f>CE587/$AS587</f>
        <v>0</v>
      </c>
      <c r="CG587" s="18"/>
      <c r="CH587" s="18"/>
      <c r="CI587" s="18"/>
      <c r="CJ587" s="130">
        <f>IF(CK587&gt;0,1,0)</f>
        <v>0</v>
      </c>
      <c r="CK587" s="128">
        <f>VLOOKUP($E587,[2]Current!$A:$AC,18,FALSE)</f>
        <v>0</v>
      </c>
      <c r="CL587" s="128">
        <f>CK587/$AS587</f>
        <v>0</v>
      </c>
      <c r="CS587" s="130">
        <f>IF(CU587&gt;0,1,0)</f>
        <v>1</v>
      </c>
      <c r="CU587" s="128">
        <f>VLOOKUP($E587,[2]Current!$A:$AC,17,FALSE)</f>
        <v>9</v>
      </c>
      <c r="CV587" s="128">
        <f>CU587/$AS587</f>
        <v>169.81132075471646</v>
      </c>
      <c r="CW587" s="18"/>
      <c r="CX587" s="18"/>
      <c r="CY587" s="18"/>
      <c r="DF587" s="16" t="e">
        <f>VLOOKUP(K587,'[3]RNA Seq summary tables'!$V$3:$V$99,1,FALSE)</f>
        <v>#N/A</v>
      </c>
      <c r="DG587" s="126" t="s">
        <v>116</v>
      </c>
    </row>
    <row r="588" spans="2:288" ht="16" x14ac:dyDescent="0.2">
      <c r="B588" s="16">
        <v>2018</v>
      </c>
      <c r="C588" s="124">
        <v>43286</v>
      </c>
      <c r="D588" t="s">
        <v>922</v>
      </c>
      <c r="E588" s="37" t="str">
        <f>CONCATENATE(T588,"-",U588,"-",C588)</f>
        <v>SP2-G2-43286</v>
      </c>
      <c r="F588" s="16" t="s">
        <v>227</v>
      </c>
      <c r="G588" s="126" t="s">
        <v>107</v>
      </c>
      <c r="H588" s="126"/>
      <c r="J588" s="126">
        <v>1458</v>
      </c>
      <c r="K588" s="126">
        <v>2560</v>
      </c>
      <c r="O588" s="126" t="s">
        <v>119</v>
      </c>
      <c r="P588" s="18" t="s">
        <v>119</v>
      </c>
      <c r="Q588" s="18">
        <v>0</v>
      </c>
      <c r="R588" s="18">
        <f>IF(J588=J587,C588-C587,"")</f>
        <v>17</v>
      </c>
      <c r="T588" s="126" t="s">
        <v>137</v>
      </c>
      <c r="U588" s="126" t="s">
        <v>128</v>
      </c>
      <c r="V588" s="126" t="s">
        <v>114</v>
      </c>
      <c r="X588" s="126" t="s">
        <v>115</v>
      </c>
      <c r="Y588" s="126" t="s">
        <v>110</v>
      </c>
      <c r="Z588" s="126">
        <v>3</v>
      </c>
      <c r="AA588" s="126"/>
      <c r="AB588" s="126"/>
      <c r="AC588" s="126"/>
      <c r="AD588" s="126"/>
      <c r="AE588" s="126" t="s">
        <v>116</v>
      </c>
      <c r="AG588" s="16">
        <f>AH588-AI588</f>
        <v>87</v>
      </c>
      <c r="AH588" s="126">
        <v>155</v>
      </c>
      <c r="AI588" s="126">
        <v>68</v>
      </c>
      <c r="AK588" s="126">
        <v>20</v>
      </c>
      <c r="AL588" s="126">
        <v>0</v>
      </c>
      <c r="AM588" s="126">
        <v>0</v>
      </c>
      <c r="AN588" s="126">
        <v>0</v>
      </c>
      <c r="AO588" s="16">
        <f>IF(SUM(AL588:AN588)&gt;0,1,0)</f>
        <v>0</v>
      </c>
      <c r="AP588" s="18">
        <f>SUM(AL588:AN588)</f>
        <v>0</v>
      </c>
      <c r="AR588" s="16">
        <v>3.2000000000000028E-2</v>
      </c>
      <c r="AS588" s="16">
        <f>VLOOKUP(E588,'[1]Feces weights'!$D$1:$H$459,5,FALSE)</f>
        <v>3.2000000000000028E-2</v>
      </c>
      <c r="AT588" s="16" t="str">
        <f>VLOOKUP(E588,[2]Current!$A$1:$W$435,7,FALSE)</f>
        <v>JB</v>
      </c>
      <c r="AU588" s="16" t="s">
        <v>1288</v>
      </c>
      <c r="AW588" s="128">
        <f>IF(AX588&gt;0,1,0)</f>
        <v>1</v>
      </c>
      <c r="AX588" s="128">
        <f>SUM(BA588,BM588,CU588)</f>
        <v>1</v>
      </c>
      <c r="AY588" s="128">
        <f>SUM(BB588,BN588,CV588)</f>
        <v>1812.4999999999984</v>
      </c>
      <c r="AZ588" s="128">
        <f>IF(BA588&gt;0,1,0)</f>
        <v>0</v>
      </c>
      <c r="BA588" s="128">
        <f>SUM(BC588+BF588+BI588)</f>
        <v>0</v>
      </c>
      <c r="BB588" s="128">
        <f>SUM(BE588,BH588,BK588)</f>
        <v>0</v>
      </c>
      <c r="BC588" s="130">
        <f>IF(BD588&gt;0,1,0)</f>
        <v>0</v>
      </c>
      <c r="BD588" s="128">
        <f>VLOOKUP($E588,[2]Current!$A:$AC,26,FALSE)</f>
        <v>0</v>
      </c>
      <c r="BE588" s="128">
        <f>BD588/$AS588</f>
        <v>0</v>
      </c>
      <c r="BF588" s="130">
        <f>IF(BG588&gt;0,1,0)</f>
        <v>0</v>
      </c>
      <c r="BG588" s="137">
        <f>VLOOKUP($E588,[2]Current!$A:$AC,27,FALSE)</f>
        <v>0</v>
      </c>
      <c r="BH588" s="128">
        <f>BG588/$AS588</f>
        <v>0</v>
      </c>
      <c r="BI588" s="130">
        <f>IF(BJ588&gt;0,1,0)</f>
        <v>0</v>
      </c>
      <c r="BJ588" s="128">
        <f>VLOOKUP($E588,[2]Current!$A:$AC,28,FALSE)</f>
        <v>0</v>
      </c>
      <c r="BK588" s="128">
        <f>BJ588/$AS588</f>
        <v>0</v>
      </c>
      <c r="BL588" s="128">
        <f>IF(BM588&gt;0,1,0)</f>
        <v>1</v>
      </c>
      <c r="BM588" s="128">
        <f>SUM(BR588,BU588,BX588,CA588,CD588)</f>
        <v>1</v>
      </c>
      <c r="BN588" s="131">
        <f>SUM(BT588,BW588,BZ588,CC588,CF588)</f>
        <v>1812.4999999999984</v>
      </c>
      <c r="BO588" s="128">
        <f>IF(BP588&gt;0,1,0)</f>
        <v>1</v>
      </c>
      <c r="BP588" s="128">
        <f>BM588+CJ588</f>
        <v>1</v>
      </c>
      <c r="BQ588" s="128">
        <f>BN588+CL588</f>
        <v>1812.4999999999984</v>
      </c>
      <c r="BR588" s="130">
        <f>IF(BS588&gt;0,1,0)</f>
        <v>0</v>
      </c>
      <c r="BS588" s="128">
        <f>VLOOKUP($E588,[2]Current!$A:$AC,12,FALSE)</f>
        <v>0</v>
      </c>
      <c r="BT588" s="137">
        <f>BS588/$AS588</f>
        <v>0</v>
      </c>
      <c r="BU588" s="130">
        <f>IF(BV588&gt;0,1,0)</f>
        <v>0</v>
      </c>
      <c r="BV588" s="128">
        <f>VLOOKUP($E588,[2]Current!$A:$AC,13,FALSE)</f>
        <v>0</v>
      </c>
      <c r="BW588" s="128">
        <f>BV588/$AS588</f>
        <v>0</v>
      </c>
      <c r="BX588" s="130">
        <f>IF(BY588&gt;0,1,0)</f>
        <v>1</v>
      </c>
      <c r="BY588" s="128">
        <f>VLOOKUP($E588,[2]Current!$A:$AC,14,FALSE)</f>
        <v>58</v>
      </c>
      <c r="BZ588" s="128">
        <f>BY588/$AS588</f>
        <v>1812.4999999999984</v>
      </c>
      <c r="CA588" s="130">
        <f>IF(CB588&gt;0,1,0)</f>
        <v>0</v>
      </c>
      <c r="CB588" s="128">
        <f>VLOOKUP($E588,[2]Current!$A:$AC,15,FALSE)</f>
        <v>0</v>
      </c>
      <c r="CC588" s="128">
        <f>CB588/$AS588</f>
        <v>0</v>
      </c>
      <c r="CD588" s="174">
        <f>IF(CE588&gt;0,1,0)</f>
        <v>0</v>
      </c>
      <c r="CE588" s="128">
        <f>VLOOKUP($E588,[2]Current!$A:$AC,16,FALSE)</f>
        <v>0</v>
      </c>
      <c r="CF588" s="128">
        <f>CE588/$AS588</f>
        <v>0</v>
      </c>
      <c r="CG588" s="18"/>
      <c r="CH588" s="18"/>
      <c r="CI588" s="18"/>
      <c r="CJ588" s="130">
        <f>IF(CK588&gt;0,1,0)</f>
        <v>0</v>
      </c>
      <c r="CK588" s="128">
        <f>VLOOKUP($E588,[2]Current!$A:$AC,18,FALSE)</f>
        <v>0</v>
      </c>
      <c r="CL588" s="128">
        <f>CK588/$AS588</f>
        <v>0</v>
      </c>
      <c r="CS588" s="130">
        <f>IF(CU588&gt;0,1,0)</f>
        <v>0</v>
      </c>
      <c r="CU588" s="128">
        <f>VLOOKUP($E588,[2]Current!$A:$AC,17,FALSE)</f>
        <v>0</v>
      </c>
      <c r="CV588" s="128">
        <f>CU588/$AS588</f>
        <v>0</v>
      </c>
      <c r="CW588" s="18"/>
      <c r="CX588" s="18"/>
      <c r="CY588" s="18"/>
      <c r="DF588" s="16" t="e">
        <f>VLOOKUP(K588,'[3]RNA Seq summary tables'!$V$3:$V$99,1,FALSE)</f>
        <v>#N/A</v>
      </c>
      <c r="DG588" s="126" t="s">
        <v>116</v>
      </c>
    </row>
    <row r="589" spans="2:288" ht="16" x14ac:dyDescent="0.2">
      <c r="B589" s="16">
        <v>2018</v>
      </c>
      <c r="C589" s="124">
        <v>43302</v>
      </c>
      <c r="D589" t="s">
        <v>1027</v>
      </c>
      <c r="E589" s="142" t="str">
        <f>CONCATENATE(T589,"-",U589,"-",C589)</f>
        <v>SP2-G3-43302</v>
      </c>
      <c r="F589" s="16" t="s">
        <v>227</v>
      </c>
      <c r="G589" s="126" t="s">
        <v>107</v>
      </c>
      <c r="H589" s="126"/>
      <c r="J589" s="126">
        <v>1458</v>
      </c>
      <c r="K589" s="126">
        <v>2668</v>
      </c>
      <c r="O589" s="126" t="s">
        <v>119</v>
      </c>
      <c r="P589" s="18" t="s">
        <v>119</v>
      </c>
      <c r="Q589" s="18">
        <v>0</v>
      </c>
      <c r="R589" s="18">
        <f>IF(J589=J588,C589-C588,"")</f>
        <v>16</v>
      </c>
      <c r="T589" s="126" t="s">
        <v>137</v>
      </c>
      <c r="U589" s="126" t="s">
        <v>179</v>
      </c>
      <c r="V589" s="126" t="s">
        <v>114</v>
      </c>
      <c r="X589" s="126" t="s">
        <v>115</v>
      </c>
      <c r="Y589" s="126" t="s">
        <v>110</v>
      </c>
      <c r="Z589" s="126">
        <v>3</v>
      </c>
      <c r="AA589" s="126"/>
      <c r="AB589" s="126"/>
      <c r="AC589" s="126"/>
      <c r="AD589" s="126" t="s">
        <v>123</v>
      </c>
      <c r="AE589" s="126" t="s">
        <v>123</v>
      </c>
      <c r="AG589" s="40">
        <f>AH589-AI589</f>
        <v>85</v>
      </c>
      <c r="AH589" s="126">
        <v>152</v>
      </c>
      <c r="AI589" s="126">
        <v>67</v>
      </c>
      <c r="AK589" s="126">
        <v>20.5</v>
      </c>
      <c r="AL589" s="126">
        <v>0</v>
      </c>
      <c r="AM589" s="126">
        <v>0</v>
      </c>
      <c r="AN589" s="126">
        <v>0</v>
      </c>
      <c r="AO589" s="16">
        <f>IF(SUM(AL589:AN589)&gt;0,1,0)</f>
        <v>0</v>
      </c>
      <c r="AP589" s="18">
        <f>SUM(AL589:AN589)</f>
        <v>0</v>
      </c>
      <c r="AR589" s="16">
        <v>0.248</v>
      </c>
      <c r="AS589" s="16">
        <f>VLOOKUP(E589,'[1]Feces weights'!$D$1:$H$459,5,FALSE)</f>
        <v>0.248</v>
      </c>
      <c r="AT589" s="16" t="e">
        <f>VLOOKUP(E589,[2]Current!$A$1:$W$435,7,FALSE)</f>
        <v>#N/A</v>
      </c>
      <c r="AU589" s="16">
        <v>0</v>
      </c>
      <c r="BG589" s="77"/>
      <c r="BN589" s="126"/>
      <c r="BT589" s="78"/>
      <c r="BU589" s="18"/>
      <c r="BV589" s="18"/>
      <c r="BW589" s="25"/>
      <c r="BX589" s="18"/>
      <c r="BY589" s="18"/>
      <c r="BZ589" s="25"/>
      <c r="CA589" s="18"/>
      <c r="CB589" s="18"/>
      <c r="CC589" s="25"/>
      <c r="CD589" s="78"/>
      <c r="CE589" s="18"/>
      <c r="CF589" s="25"/>
      <c r="CG589" s="18"/>
      <c r="CH589" s="18"/>
      <c r="CI589" s="18"/>
      <c r="CJ589" s="18"/>
      <c r="CK589" s="18"/>
      <c r="CL589" s="25"/>
      <c r="DF589" s="16" t="e">
        <f>VLOOKUP(K589,'[3]RNA Seq summary tables'!$V$3:$V$99,1,FALSE)</f>
        <v>#N/A</v>
      </c>
      <c r="DG589" s="126" t="s">
        <v>116</v>
      </c>
    </row>
    <row r="590" spans="2:288" ht="16" x14ac:dyDescent="0.2">
      <c r="B590" s="16">
        <v>2018</v>
      </c>
      <c r="C590" s="147">
        <v>43313</v>
      </c>
      <c r="D590" t="s">
        <v>1204</v>
      </c>
      <c r="E590" s="20" t="str">
        <f>CONCATENATE(T590,"-",U590,"-",C590)</f>
        <v>SP2-G1-43313</v>
      </c>
      <c r="F590" s="16" t="s">
        <v>227</v>
      </c>
      <c r="G590" s="145" t="s">
        <v>107</v>
      </c>
      <c r="H590" s="145"/>
      <c r="I590" s="145"/>
      <c r="J590" s="145">
        <v>1458</v>
      </c>
      <c r="K590" s="145">
        <v>2719</v>
      </c>
      <c r="M590" s="16"/>
      <c r="N590" s="16"/>
      <c r="O590" s="145" t="s">
        <v>119</v>
      </c>
      <c r="P590" s="18" t="s">
        <v>119</v>
      </c>
      <c r="Q590" s="18">
        <v>0</v>
      </c>
      <c r="R590" s="18">
        <f>IF(J590=J589,C590-C589,"")</f>
        <v>11</v>
      </c>
      <c r="S590" s="145"/>
      <c r="T590" s="145" t="s">
        <v>137</v>
      </c>
      <c r="U590" s="145" t="s">
        <v>155</v>
      </c>
      <c r="V590" s="145" t="s">
        <v>114</v>
      </c>
      <c r="W590" s="145"/>
      <c r="X590" s="145" t="s">
        <v>115</v>
      </c>
      <c r="Y590" s="145" t="s">
        <v>110</v>
      </c>
      <c r="Z590" s="145">
        <v>3</v>
      </c>
      <c r="AA590" s="145"/>
      <c r="AB590" s="145"/>
      <c r="AC590" s="145"/>
      <c r="AD590" s="145"/>
      <c r="AE590" s="145" t="s">
        <v>116</v>
      </c>
      <c r="AF590" s="145" t="s">
        <v>116</v>
      </c>
      <c r="AG590" s="145">
        <f>AH590-AI590</f>
        <v>84</v>
      </c>
      <c r="AH590" s="145">
        <v>152</v>
      </c>
      <c r="AI590" s="145">
        <v>68</v>
      </c>
      <c r="AJ590" s="145"/>
      <c r="AK590" s="145">
        <v>21</v>
      </c>
      <c r="AL590" s="145">
        <v>0</v>
      </c>
      <c r="AM590" s="145">
        <v>0</v>
      </c>
      <c r="AN590" s="145">
        <v>0</v>
      </c>
      <c r="AO590" s="16">
        <f>IF(SUM(AL590:AN590)&gt;0, 1,0)</f>
        <v>0</v>
      </c>
      <c r="AP590" s="16">
        <f>SUM(AL590:AN590)</f>
        <v>0</v>
      </c>
      <c r="AS590" s="16">
        <f>VLOOKUP(E590,'[1]Feces weights'!$D$1:$H$459,5,FALSE)</f>
        <v>0.48600000000000021</v>
      </c>
      <c r="AT590" s="16" t="e">
        <f>VLOOKUP(E590,[2]Current!$A$1:$W$435,7,FALSE)</f>
        <v>#N/A</v>
      </c>
      <c r="BG590" s="77"/>
      <c r="BT590" s="77"/>
      <c r="CD590" s="77"/>
      <c r="DG590" s="145" t="s">
        <v>123</v>
      </c>
      <c r="DT590" s="145" t="s">
        <v>123</v>
      </c>
      <c r="DU590" s="145"/>
      <c r="DX590" s="145"/>
      <c r="DY590" s="145"/>
      <c r="DZ590" s="16"/>
      <c r="EA590" s="16"/>
      <c r="EB590" s="16"/>
      <c r="EC590" s="16"/>
      <c r="ED590" s="16"/>
      <c r="EE590" s="16"/>
      <c r="EF590" s="16"/>
      <c r="JO590" s="18"/>
      <c r="JP590" s="18"/>
      <c r="JQ590" s="18"/>
      <c r="JR590" s="18"/>
      <c r="JS590" s="18"/>
      <c r="JT590" s="18"/>
      <c r="JU590" s="18"/>
      <c r="JV590" s="18"/>
      <c r="JW590" s="18"/>
      <c r="JX590" s="18"/>
      <c r="JY590" s="18"/>
      <c r="JZ590" s="18"/>
      <c r="KA590" s="18"/>
    </row>
    <row r="591" spans="2:288" ht="16" x14ac:dyDescent="0.2">
      <c r="B591" s="16">
        <v>2018</v>
      </c>
      <c r="C591" s="124">
        <v>43252</v>
      </c>
      <c r="D591" t="s">
        <v>759</v>
      </c>
      <c r="E591" s="142" t="str">
        <f>CONCATENATE(T591,"-",U591,"-",C591)</f>
        <v>SP1-C2-43252</v>
      </c>
      <c r="F591" s="16" t="s">
        <v>227</v>
      </c>
      <c r="G591" s="126" t="s">
        <v>107</v>
      </c>
      <c r="H591" s="126"/>
      <c r="J591" s="126">
        <v>1460</v>
      </c>
      <c r="K591" s="126">
        <v>2398</v>
      </c>
      <c r="O591" s="126" t="s">
        <v>119</v>
      </c>
      <c r="P591" s="18" t="s">
        <v>119</v>
      </c>
      <c r="Q591" s="18">
        <v>0</v>
      </c>
      <c r="R591" s="18" t="str">
        <f>IF(J591=J590,C591-C590,"")</f>
        <v/>
      </c>
      <c r="T591" s="126" t="s">
        <v>140</v>
      </c>
      <c r="U591" s="126" t="s">
        <v>162</v>
      </c>
      <c r="V591" s="126" t="s">
        <v>114</v>
      </c>
      <c r="X591" s="126" t="s">
        <v>115</v>
      </c>
      <c r="Y591" s="126" t="s">
        <v>110</v>
      </c>
      <c r="Z591" s="126">
        <v>3</v>
      </c>
      <c r="AA591" s="126"/>
      <c r="AB591" s="126"/>
      <c r="AC591" s="126"/>
      <c r="AD591" s="126"/>
      <c r="AE591" s="126" t="s">
        <v>116</v>
      </c>
      <c r="AG591" s="16">
        <f>AH591-AI591</f>
        <v>90</v>
      </c>
      <c r="AH591" s="126">
        <v>167</v>
      </c>
      <c r="AI591" s="126">
        <v>77</v>
      </c>
      <c r="AK591" s="126">
        <v>22</v>
      </c>
      <c r="AL591" s="126">
        <v>0</v>
      </c>
      <c r="AM591" s="126">
        <v>0</v>
      </c>
      <c r="AN591" s="126">
        <v>0</v>
      </c>
      <c r="AO591" s="16">
        <f>IF(SUM(AL591:AN591)&gt;0,1,0)</f>
        <v>0</v>
      </c>
      <c r="AP591" s="18">
        <f>SUM(AL591:AN591)</f>
        <v>0</v>
      </c>
      <c r="AR591" s="16">
        <v>0.18400000000000016</v>
      </c>
      <c r="AS591" s="16">
        <f>VLOOKUP(E591,'[1]Feces weights'!$D$1:$H$459,5,FALSE)</f>
        <v>0.18400000000000016</v>
      </c>
      <c r="AT591" s="16" t="e">
        <f>VLOOKUP(E591,[2]Current!$A$1:$W$435,7,FALSE)</f>
        <v>#N/A</v>
      </c>
      <c r="AU591" s="16">
        <v>0</v>
      </c>
      <c r="BG591" s="77"/>
      <c r="BN591" s="126"/>
      <c r="BT591" s="78"/>
      <c r="BV591" s="18"/>
      <c r="BW591" s="25"/>
      <c r="BY591" s="18"/>
      <c r="BZ591" s="25"/>
      <c r="CB591" s="18"/>
      <c r="CC591" s="25"/>
      <c r="CD591" s="77"/>
      <c r="CE591" s="18"/>
      <c r="CF591" s="25"/>
      <c r="CG591" s="18"/>
      <c r="CH591" s="18"/>
      <c r="CI591" s="18"/>
      <c r="CK591" s="18"/>
      <c r="CL591" s="25"/>
      <c r="DF591" s="16" t="e">
        <f>VLOOKUP(K591,'[3]RNA Seq summary tables'!$V$3:$V$99,1,FALSE)</f>
        <v>#N/A</v>
      </c>
      <c r="DG591" s="126" t="s">
        <v>123</v>
      </c>
    </row>
    <row r="592" spans="2:288" ht="16" x14ac:dyDescent="0.2">
      <c r="B592" s="16">
        <v>2018</v>
      </c>
      <c r="C592" s="124">
        <v>43257</v>
      </c>
      <c r="D592" t="s">
        <v>772</v>
      </c>
      <c r="E592" s="37" t="str">
        <f>CONCATENATE(T592,"-",U592,"-",C592)</f>
        <v>BC1-C1-43257</v>
      </c>
      <c r="F592" s="16" t="s">
        <v>227</v>
      </c>
      <c r="G592" s="126" t="s">
        <v>107</v>
      </c>
      <c r="H592" s="126"/>
      <c r="J592" s="126">
        <v>1460</v>
      </c>
      <c r="K592" s="126">
        <v>2405</v>
      </c>
      <c r="O592" s="126" t="s">
        <v>119</v>
      </c>
      <c r="P592" s="18" t="s">
        <v>119</v>
      </c>
      <c r="Q592" s="18">
        <v>0</v>
      </c>
      <c r="R592" s="18">
        <f>IF(J592=J591,C592-C591,"")</f>
        <v>5</v>
      </c>
      <c r="T592" s="126" t="s">
        <v>159</v>
      </c>
      <c r="U592" s="126" t="s">
        <v>150</v>
      </c>
      <c r="V592" s="126" t="s">
        <v>114</v>
      </c>
      <c r="X592" s="126" t="s">
        <v>115</v>
      </c>
      <c r="Y592" s="126" t="s">
        <v>110</v>
      </c>
      <c r="Z592" s="126">
        <v>3</v>
      </c>
      <c r="AA592" s="126"/>
      <c r="AB592" s="126"/>
      <c r="AC592" s="126"/>
      <c r="AD592" s="126"/>
      <c r="AE592" s="126" t="s">
        <v>123</v>
      </c>
      <c r="AG592" s="16">
        <f>AH592-AI592</f>
        <v>91</v>
      </c>
      <c r="AH592" s="126">
        <v>166</v>
      </c>
      <c r="AI592" s="126">
        <v>75</v>
      </c>
      <c r="AK592" s="126">
        <v>20.5</v>
      </c>
      <c r="AL592" s="126">
        <v>0</v>
      </c>
      <c r="AM592" s="126">
        <v>0</v>
      </c>
      <c r="AN592" s="126">
        <v>0</v>
      </c>
      <c r="AO592" s="16">
        <f>IF(SUM(AL592:AN592)&gt;0,1,0)</f>
        <v>0</v>
      </c>
      <c r="AP592" s="18">
        <f>SUM(AL592:AN592)</f>
        <v>0</v>
      </c>
      <c r="AR592" s="16">
        <v>0.19000000000000017</v>
      </c>
      <c r="AS592" s="16">
        <f>VLOOKUP(E592,'[1]Feces weights'!$D$1:$H$459,5,FALSE)</f>
        <v>0.19000000000000017</v>
      </c>
      <c r="AT592" s="16" t="str">
        <f>VLOOKUP(E592,[9]Current!$A:$T,7,FALSE)</f>
        <v>JB</v>
      </c>
      <c r="AU592" s="18" t="s">
        <v>1290</v>
      </c>
      <c r="AW592" s="177">
        <f>IF(AY592&gt;0,1,0)</f>
        <v>1</v>
      </c>
      <c r="AX592" s="177">
        <f>SUM(BA592,BM592,CU592)</f>
        <v>1</v>
      </c>
      <c r="AY592" s="177">
        <f>SUM(BB592,BN592,CV592)</f>
        <v>421.052631578947</v>
      </c>
      <c r="AZ592" s="177">
        <f>IF(BB592&gt;0,1,0)</f>
        <v>1</v>
      </c>
      <c r="BA592" s="177">
        <f>SUM(BC592+BF592+BI592)</f>
        <v>1</v>
      </c>
      <c r="BB592" s="177">
        <f>SUM(BE592,BH592,BK592)</f>
        <v>421.052631578947</v>
      </c>
      <c r="BC592" s="178">
        <f>IF(BD592&gt;0,1,0)</f>
        <v>0</v>
      </c>
      <c r="BD592" s="177">
        <f>VLOOKUP($E592,[9]Current!$1:$1048576,8,FALSE)</f>
        <v>0</v>
      </c>
      <c r="BE592" s="177">
        <f>BD592/$AS592</f>
        <v>0</v>
      </c>
      <c r="BF592" s="178">
        <f>IF(BG592&gt;0,1,0)</f>
        <v>1</v>
      </c>
      <c r="BG592" s="179">
        <f>VLOOKUP($E592,[9]Current!$1:$1048576,9,FALSE)</f>
        <v>80</v>
      </c>
      <c r="BH592" s="177">
        <f>BG592/$AS592</f>
        <v>421.052631578947</v>
      </c>
      <c r="BI592" s="178">
        <f>IF(BJ592&gt;0,1,0)</f>
        <v>0</v>
      </c>
      <c r="BJ592" s="177">
        <f>VLOOKUP($E592,[9]Current!$1:$1048576,10,FALSE)</f>
        <v>0</v>
      </c>
      <c r="BK592" s="177">
        <f>BJ592/$AS592</f>
        <v>0</v>
      </c>
      <c r="BL592" s="177">
        <f>IF(BM592&gt;0,1,0)</f>
        <v>0</v>
      </c>
      <c r="BM592" s="177">
        <f>SUM(BR592,BU592,BX592,CA592,CD592)</f>
        <v>0</v>
      </c>
      <c r="BN592" s="181">
        <f>SUM(BT592,BW592,BZ592,CC592,CF592)</f>
        <v>0</v>
      </c>
      <c r="BO592" s="177">
        <f>IF(BP592&gt;0,1,0)</f>
        <v>1</v>
      </c>
      <c r="BP592" s="177">
        <f>BM592+CJ592</f>
        <v>1</v>
      </c>
      <c r="BQ592" s="177">
        <f>BN592+CL592</f>
        <v>5.2631578947368372</v>
      </c>
      <c r="BR592" s="178">
        <f>IF(BS592&gt;0,1,0)</f>
        <v>0</v>
      </c>
      <c r="BS592" s="177">
        <f>VLOOKUP($E592,[9]Current!$1:$1048576,12,FALSE)</f>
        <v>0</v>
      </c>
      <c r="BT592" s="179">
        <f>BS592/$AS592</f>
        <v>0</v>
      </c>
      <c r="BU592" s="178">
        <f>IF(BV592&gt;0,1,0)</f>
        <v>0</v>
      </c>
      <c r="BV592" s="177">
        <f>VLOOKUP($E592,[9]Current!$1:$1048576,13,FALSE)</f>
        <v>0</v>
      </c>
      <c r="BW592" s="177">
        <f>BV592/$AS592</f>
        <v>0</v>
      </c>
      <c r="BX592" s="178">
        <f>IF(BY592&gt;0,1,0)</f>
        <v>0</v>
      </c>
      <c r="BY592" s="177">
        <f>VLOOKUP($E592,[9]Current!$1:$1048576,14,FALSE)</f>
        <v>0</v>
      </c>
      <c r="BZ592" s="177">
        <f>BY592/$AS592</f>
        <v>0</v>
      </c>
      <c r="CA592" s="178">
        <f>IF(CB592&gt;0,1,0)</f>
        <v>0</v>
      </c>
      <c r="CB592" s="177">
        <f>VLOOKUP($E592,[9]Current!$1:$1048576,15,FALSE)</f>
        <v>0</v>
      </c>
      <c r="CC592" s="177">
        <f>CB592/$AS592</f>
        <v>0</v>
      </c>
      <c r="CD592" s="180">
        <f>IF(CE592&gt;0,1,0)</f>
        <v>0</v>
      </c>
      <c r="CE592" s="177">
        <f>VLOOKUP($E592,[9]Current!$1:$1048576,16,FALSE)</f>
        <v>0</v>
      </c>
      <c r="CF592" s="177">
        <f>CE592/$AS592</f>
        <v>0</v>
      </c>
      <c r="CG592" s="18"/>
      <c r="CH592" s="18"/>
      <c r="CI592" s="18"/>
      <c r="CJ592" s="178">
        <f>IF(CK592&gt;0,1,0)</f>
        <v>1</v>
      </c>
      <c r="CK592" s="177">
        <f>VLOOKUP($E592,[9]Current!$1:$1048576,18,FALSE)</f>
        <v>1</v>
      </c>
      <c r="CL592" s="177">
        <f>CK592/$AS592</f>
        <v>5.2631578947368372</v>
      </c>
      <c r="CS592" s="178">
        <f>IF(CU592&gt;0,1,0)</f>
        <v>0</v>
      </c>
      <c r="CT592" s="177"/>
      <c r="CU592" s="177">
        <f>VLOOKUP($E592,[9]Current!$1:$1048576,17,FALSE)</f>
        <v>0</v>
      </c>
      <c r="CV592" s="177">
        <f>CU592/$AS592</f>
        <v>0</v>
      </c>
      <c r="DF592" s="16" t="e">
        <f>VLOOKUP(K592,'[3]RNA Seq summary tables'!$V$3:$V$99,1,FALSE)</f>
        <v>#N/A</v>
      </c>
      <c r="DG592" s="126" t="s">
        <v>123</v>
      </c>
    </row>
    <row r="593" spans="1:288" ht="16" x14ac:dyDescent="0.2">
      <c r="B593" s="16">
        <v>2018</v>
      </c>
      <c r="C593" s="124">
        <v>43274</v>
      </c>
      <c r="D593" t="s">
        <v>847</v>
      </c>
      <c r="E593" s="37" t="str">
        <f>CONCATENATE(T593,"-",U593,"-",C593)</f>
        <v>BC2-A5-43274</v>
      </c>
      <c r="F593" s="16" t="s">
        <v>227</v>
      </c>
      <c r="G593" s="126" t="s">
        <v>107</v>
      </c>
      <c r="H593" s="126"/>
      <c r="J593" s="126">
        <v>1460</v>
      </c>
      <c r="K593" s="126">
        <v>2489</v>
      </c>
      <c r="O593" s="126" t="s">
        <v>119</v>
      </c>
      <c r="P593" s="18" t="s">
        <v>119</v>
      </c>
      <c r="Q593" s="18">
        <v>0</v>
      </c>
      <c r="R593" s="18">
        <f>IF(J593=J592,C593-C592,"")</f>
        <v>17</v>
      </c>
      <c r="T593" s="126" t="s">
        <v>154</v>
      </c>
      <c r="U593" s="126" t="s">
        <v>167</v>
      </c>
      <c r="V593" s="126" t="s">
        <v>114</v>
      </c>
      <c r="X593" s="126" t="s">
        <v>115</v>
      </c>
      <c r="Y593" s="126" t="s">
        <v>110</v>
      </c>
      <c r="Z593" s="126">
        <v>3</v>
      </c>
      <c r="AA593" s="126"/>
      <c r="AB593" s="126"/>
      <c r="AC593" s="126"/>
      <c r="AD593" s="126"/>
      <c r="AE593" s="126" t="s">
        <v>116</v>
      </c>
      <c r="AG593" s="16">
        <f>AH593-AI593</f>
        <v>89</v>
      </c>
      <c r="AH593" s="126">
        <v>164</v>
      </c>
      <c r="AI593" s="126">
        <v>75</v>
      </c>
      <c r="AK593" s="126">
        <v>23</v>
      </c>
      <c r="AL593" s="126">
        <v>0</v>
      </c>
      <c r="AM593" s="126">
        <v>0</v>
      </c>
      <c r="AN593" s="126">
        <v>0</v>
      </c>
      <c r="AO593" s="16">
        <f>IF(SUM(AL593:AN593)&gt;0,1,0)</f>
        <v>0</v>
      </c>
      <c r="AP593" s="18">
        <f>SUM(AL593:AN593)</f>
        <v>0</v>
      </c>
      <c r="AR593" s="16">
        <v>0.40300000000000002</v>
      </c>
      <c r="AS593" s="16">
        <f>VLOOKUP(E593,'[1]Feces weights'!$D$1:$H$459,5,FALSE)</f>
        <v>0.40300000000000002</v>
      </c>
      <c r="AT593" s="16" t="str">
        <f>VLOOKUP(E593,[2]Current!$A$1:$W$435,7,FALSE)</f>
        <v>JB</v>
      </c>
      <c r="AU593" s="16" t="s">
        <v>1288</v>
      </c>
      <c r="AW593" s="128">
        <f>IF(AX593&gt;0,1,0)</f>
        <v>1</v>
      </c>
      <c r="AX593" s="128">
        <f>SUM(BA593,BM593,CU593)</f>
        <v>4</v>
      </c>
      <c r="AY593" s="128">
        <f>SUM(BB593,BN593,CV593)</f>
        <v>173.69727047146401</v>
      </c>
      <c r="AZ593" s="128">
        <f>IF(BA593&gt;0,1,0)</f>
        <v>1</v>
      </c>
      <c r="BA593" s="128">
        <f>SUM(BC593+BF593+BI593)</f>
        <v>2</v>
      </c>
      <c r="BB593" s="128">
        <f>SUM(BE593,BH593,BK593)</f>
        <v>133.99503722084367</v>
      </c>
      <c r="BC593" s="130">
        <f>IF(BD593&gt;0,1,0)</f>
        <v>0</v>
      </c>
      <c r="BD593" s="128">
        <f>VLOOKUP($E593,[2]Current!$A:$AC,26,FALSE)</f>
        <v>0</v>
      </c>
      <c r="BE593" s="128">
        <f>BD593/$AS593</f>
        <v>0</v>
      </c>
      <c r="BF593" s="130">
        <f>IF(BG593&gt;0,1,0)</f>
        <v>1</v>
      </c>
      <c r="BG593" s="137">
        <f>VLOOKUP($E593,[2]Current!$A:$AC,27,FALSE)</f>
        <v>46</v>
      </c>
      <c r="BH593" s="128">
        <f>BG593/$AS593</f>
        <v>114.14392059553349</v>
      </c>
      <c r="BI593" s="130">
        <f>IF(BJ593&gt;0,1,0)</f>
        <v>1</v>
      </c>
      <c r="BJ593" s="128">
        <f>VLOOKUP($E593,[2]Current!$A:$AC,28,FALSE)</f>
        <v>8</v>
      </c>
      <c r="BK593" s="128">
        <f>BJ593/$AS593</f>
        <v>19.851116625310173</v>
      </c>
      <c r="BL593" s="128">
        <f>IF(BM593&gt;0,1,0)</f>
        <v>1</v>
      </c>
      <c r="BM593" s="128">
        <f>SUM(BR593,BU593,BX593,CA593,CD593)</f>
        <v>2</v>
      </c>
      <c r="BN593" s="131">
        <f>SUM(BT593,BW593,BZ593,CC593,CF593)</f>
        <v>39.702233250620345</v>
      </c>
      <c r="BO593" s="128">
        <f>IF(BP593&gt;0,1,0)</f>
        <v>1</v>
      </c>
      <c r="BP593" s="128">
        <f>BM593+CJ593</f>
        <v>3</v>
      </c>
      <c r="BQ593" s="128">
        <f>BN593+CL593</f>
        <v>49.62779156327543</v>
      </c>
      <c r="BR593" s="130">
        <f>IF(BS593&gt;0,1,0)</f>
        <v>1</v>
      </c>
      <c r="BS593" s="128">
        <f>VLOOKUP($E593,[2]Current!$A:$AC,12,FALSE)</f>
        <v>13</v>
      </c>
      <c r="BT593" s="137">
        <f>BS593/$AS593</f>
        <v>32.258064516129032</v>
      </c>
      <c r="BU593" s="130">
        <f>IF(BV593&gt;0,1,0)</f>
        <v>0</v>
      </c>
      <c r="BV593" s="128">
        <f>VLOOKUP($E593,[2]Current!$A:$AC,13,FALSE)</f>
        <v>0</v>
      </c>
      <c r="BW593" s="128">
        <f>BV593/$AS593</f>
        <v>0</v>
      </c>
      <c r="BX593" s="130">
        <f>IF(BY593&gt;0,1,0)</f>
        <v>0</v>
      </c>
      <c r="BY593" s="128">
        <f>VLOOKUP($E593,[2]Current!$A:$AC,14,FALSE)</f>
        <v>0</v>
      </c>
      <c r="BZ593" s="128">
        <f>BY593/$AS593</f>
        <v>0</v>
      </c>
      <c r="CA593" s="130">
        <f>IF(CB593&gt;0,1,0)</f>
        <v>1</v>
      </c>
      <c r="CB593" s="128">
        <f>VLOOKUP($E593,[2]Current!$A:$AC,15,FALSE)</f>
        <v>3</v>
      </c>
      <c r="CC593" s="128">
        <f>CB593/$AS593</f>
        <v>7.4441687344913143</v>
      </c>
      <c r="CD593" s="174">
        <f>IF(CE593&gt;0,1,0)</f>
        <v>0</v>
      </c>
      <c r="CE593" s="128">
        <f>VLOOKUP($E593,[2]Current!$A:$AC,16,FALSE)</f>
        <v>0</v>
      </c>
      <c r="CF593" s="128">
        <f>CE593/$AS593</f>
        <v>0</v>
      </c>
      <c r="CG593" s="18"/>
      <c r="CH593" s="18"/>
      <c r="CI593" s="18"/>
      <c r="CJ593" s="130">
        <f>IF(CK593&gt;0,1,0)</f>
        <v>1</v>
      </c>
      <c r="CK593" s="128">
        <f>VLOOKUP($E593,[2]Current!$A:$AC,18,FALSE)</f>
        <v>4</v>
      </c>
      <c r="CL593" s="128">
        <f>CK593/$AS593</f>
        <v>9.9255583126550864</v>
      </c>
      <c r="CS593" s="130">
        <f>IF(CU593&gt;0,1,0)</f>
        <v>0</v>
      </c>
      <c r="CT593" s="30"/>
      <c r="CU593" s="128">
        <f>VLOOKUP($E593,[2]Current!$A:$AC,17,FALSE)</f>
        <v>0</v>
      </c>
      <c r="CV593" s="128">
        <f>CU593/$AS593</f>
        <v>0</v>
      </c>
      <c r="CW593" s="18"/>
      <c r="CX593" s="18"/>
      <c r="CY593" s="18"/>
      <c r="DF593" s="16" t="e">
        <f>VLOOKUP(K593,'[3]RNA Seq summary tables'!$V$3:$V$99,1,FALSE)</f>
        <v>#N/A</v>
      </c>
      <c r="DG593" s="126" t="s">
        <v>116</v>
      </c>
    </row>
    <row r="594" spans="1:288" ht="16" x14ac:dyDescent="0.2">
      <c r="B594" s="16">
        <v>2018</v>
      </c>
      <c r="C594" s="124">
        <v>43292</v>
      </c>
      <c r="D594" t="s">
        <v>940</v>
      </c>
      <c r="E594" s="37" t="str">
        <f>CONCATENATE(T594,"-",U594,"-",C594)</f>
        <v>BC2-A3-43292</v>
      </c>
      <c r="F594" s="16" t="s">
        <v>227</v>
      </c>
      <c r="G594" s="126" t="s">
        <v>107</v>
      </c>
      <c r="H594" s="126"/>
      <c r="J594" s="126">
        <v>1460</v>
      </c>
      <c r="K594" s="126">
        <v>2581</v>
      </c>
      <c r="O594" s="126" t="s">
        <v>119</v>
      </c>
      <c r="P594" s="18" t="s">
        <v>119</v>
      </c>
      <c r="Q594" s="18">
        <v>0</v>
      </c>
      <c r="R594" s="18">
        <f>IF(J594=J593,C594-C593,"")</f>
        <v>18</v>
      </c>
      <c r="T594" s="126" t="s">
        <v>154</v>
      </c>
      <c r="U594" s="126" t="s">
        <v>201</v>
      </c>
      <c r="V594" s="126" t="s">
        <v>114</v>
      </c>
      <c r="X594" s="126" t="s">
        <v>115</v>
      </c>
      <c r="Y594" s="126" t="s">
        <v>110</v>
      </c>
      <c r="Z594" s="126">
        <v>3</v>
      </c>
      <c r="AA594" s="126"/>
      <c r="AB594" s="126"/>
      <c r="AC594" s="126"/>
      <c r="AD594" s="126"/>
      <c r="AE594" s="126" t="s">
        <v>116</v>
      </c>
      <c r="AG594" s="16">
        <f>AH594-AI594</f>
        <v>91</v>
      </c>
      <c r="AH594" s="126">
        <v>167</v>
      </c>
      <c r="AI594" s="126">
        <v>76</v>
      </c>
      <c r="AK594" s="126">
        <v>21.5</v>
      </c>
      <c r="AL594" s="126">
        <v>1</v>
      </c>
      <c r="AM594" s="126">
        <v>0</v>
      </c>
      <c r="AN594" s="126">
        <v>0</v>
      </c>
      <c r="AO594" s="16">
        <f>IF(SUM(AL594:AN594)&gt;0,1,0)</f>
        <v>1</v>
      </c>
      <c r="AP594" s="18">
        <f>SUM(AL594:AN594)</f>
        <v>1</v>
      </c>
      <c r="AR594" s="16">
        <v>0.1030000000000002</v>
      </c>
      <c r="AS594" s="16">
        <f>VLOOKUP(E594,'[1]Feces weights'!$D$1:$H$459,5,FALSE)</f>
        <v>0.1030000000000002</v>
      </c>
      <c r="AT594" s="16" t="str">
        <f>VLOOKUP(E594,[2]Current!$A$1:$W$435,7,FALSE)</f>
        <v>JB</v>
      </c>
      <c r="AU594" s="16" t="s">
        <v>1288</v>
      </c>
      <c r="AW594" s="128">
        <f>IF(AX594&gt;0,1,0)</f>
        <v>1</v>
      </c>
      <c r="AX594" s="128">
        <f>SUM(BA594,BM594,CU594)</f>
        <v>3</v>
      </c>
      <c r="AY594" s="128">
        <f>SUM(BB594,BN594,CV594)</f>
        <v>25563.106796116455</v>
      </c>
      <c r="AZ594" s="128">
        <f>IF(BA594&gt;0,1,0)</f>
        <v>1</v>
      </c>
      <c r="BA594" s="128">
        <f>SUM(BC594+BF594+BI594)</f>
        <v>2</v>
      </c>
      <c r="BB594" s="128">
        <f>SUM(BE594,BH594,BK594)</f>
        <v>25553.398058252376</v>
      </c>
      <c r="BC594" s="130">
        <f>IF(BD594&gt;0,1,0)</f>
        <v>1</v>
      </c>
      <c r="BD594" s="128">
        <f>VLOOKUP($E594,[2]Current!$A:$AC,26,FALSE)</f>
        <v>422</v>
      </c>
      <c r="BE594" s="128">
        <f>BD594/$AS594</f>
        <v>4097.0873786407683</v>
      </c>
      <c r="BF594" s="130">
        <f>IF(BG594&gt;0,1,0)</f>
        <v>1</v>
      </c>
      <c r="BG594" s="137">
        <f>VLOOKUP($E594,[2]Current!$A:$AC,27,FALSE)</f>
        <v>2210</v>
      </c>
      <c r="BH594" s="128">
        <f>BG594/$AS594</f>
        <v>21456.310679611608</v>
      </c>
      <c r="BI594" s="130">
        <f>IF(BJ594&gt;0,1,0)</f>
        <v>0</v>
      </c>
      <c r="BJ594" s="128">
        <f>VLOOKUP($E594,[2]Current!$A:$AC,28,FALSE)</f>
        <v>0</v>
      </c>
      <c r="BK594" s="128">
        <f>BJ594/$AS594</f>
        <v>0</v>
      </c>
      <c r="BL594" s="128">
        <f>IF(BM594&gt;0,1,0)</f>
        <v>1</v>
      </c>
      <c r="BM594" s="128">
        <f>SUM(BR594,BU594,BX594,CA594,CD594)</f>
        <v>1</v>
      </c>
      <c r="BN594" s="131">
        <f>SUM(BT594,BW594,BZ594,CC594,CF594)</f>
        <v>9.7087378640776514</v>
      </c>
      <c r="BO594" s="128">
        <f>IF(BP594&gt;0,1,0)</f>
        <v>1</v>
      </c>
      <c r="BP594" s="128">
        <f>BM594+CJ594</f>
        <v>2</v>
      </c>
      <c r="BQ594" s="128">
        <f>BN594+CL594</f>
        <v>19.417475728155303</v>
      </c>
      <c r="BR594" s="130">
        <f>IF(BS594&gt;0,1,0)</f>
        <v>1</v>
      </c>
      <c r="BS594" s="128">
        <f>VLOOKUP($E594,[2]Current!$A:$AC,12,FALSE)</f>
        <v>1</v>
      </c>
      <c r="BT594" s="137">
        <f>BS594/$AS594</f>
        <v>9.7087378640776514</v>
      </c>
      <c r="BU594" s="130">
        <f>IF(BV594&gt;0,1,0)</f>
        <v>0</v>
      </c>
      <c r="BV594" s="128">
        <f>VLOOKUP($E594,[2]Current!$A:$AC,13,FALSE)</f>
        <v>0</v>
      </c>
      <c r="BW594" s="128">
        <f>BV594/$AS594</f>
        <v>0</v>
      </c>
      <c r="BX594" s="130">
        <f>IF(BY594&gt;0,1,0)</f>
        <v>0</v>
      </c>
      <c r="BY594" s="128">
        <f>VLOOKUP($E594,[2]Current!$A:$AC,14,FALSE)</f>
        <v>0</v>
      </c>
      <c r="BZ594" s="128">
        <f>BY594/$AS594</f>
        <v>0</v>
      </c>
      <c r="CA594" s="130">
        <f>IF(CB594&gt;0,1,0)</f>
        <v>0</v>
      </c>
      <c r="CB594" s="128">
        <f>VLOOKUP($E594,[2]Current!$A:$AC,15,FALSE)</f>
        <v>0</v>
      </c>
      <c r="CC594" s="128">
        <f>CB594/$AS594</f>
        <v>0</v>
      </c>
      <c r="CD594" s="174">
        <f>IF(CE594&gt;0,1,0)</f>
        <v>0</v>
      </c>
      <c r="CE594" s="128">
        <f>VLOOKUP($E594,[2]Current!$A:$AC,16,FALSE)</f>
        <v>0</v>
      </c>
      <c r="CF594" s="128">
        <f>CE594/$AS594</f>
        <v>0</v>
      </c>
      <c r="CG594" s="18"/>
      <c r="CH594" s="18"/>
      <c r="CI594" s="18"/>
      <c r="CJ594" s="130">
        <f>IF(CK594&gt;0,1,0)</f>
        <v>1</v>
      </c>
      <c r="CK594" s="128">
        <f>VLOOKUP($E594,[2]Current!$A:$AC,18,FALSE)</f>
        <v>1</v>
      </c>
      <c r="CL594" s="128">
        <f>CK594/$AS594</f>
        <v>9.7087378640776514</v>
      </c>
      <c r="CS594" s="130">
        <f>IF(CU594&gt;0,1,0)</f>
        <v>0</v>
      </c>
      <c r="CU594" s="128">
        <f>VLOOKUP($E594,[2]Current!$A:$AC,17,FALSE)</f>
        <v>0</v>
      </c>
      <c r="CV594" s="128">
        <f>CU594/$AS594</f>
        <v>0</v>
      </c>
      <c r="CW594" s="18"/>
      <c r="CX594" s="18"/>
      <c r="CY594" s="18"/>
      <c r="DF594" s="16" t="e">
        <f>VLOOKUP(K594,'[3]RNA Seq summary tables'!$V$3:$V$99,1,FALSE)</f>
        <v>#N/A</v>
      </c>
      <c r="DG594" s="126" t="s">
        <v>116</v>
      </c>
    </row>
    <row r="595" spans="1:288" ht="16" x14ac:dyDescent="0.2">
      <c r="B595" s="16">
        <v>2018</v>
      </c>
      <c r="C595" s="124">
        <v>43303</v>
      </c>
      <c r="D595" t="s">
        <v>1032</v>
      </c>
      <c r="E595" s="142" t="str">
        <f>CONCATENATE(T595,"-",U595,"-",C595)</f>
        <v>BC2-B5-43303</v>
      </c>
      <c r="F595" s="16" t="s">
        <v>227</v>
      </c>
      <c r="G595" s="126" t="s">
        <v>107</v>
      </c>
      <c r="H595" s="126"/>
      <c r="J595" s="126">
        <v>1460</v>
      </c>
      <c r="K595" s="126">
        <v>2677</v>
      </c>
      <c r="O595" s="126" t="s">
        <v>119</v>
      </c>
      <c r="P595" s="18" t="s">
        <v>119</v>
      </c>
      <c r="Q595" s="18">
        <v>0</v>
      </c>
      <c r="R595" s="18">
        <f>IF(J595=J594,C595-C594,"")</f>
        <v>11</v>
      </c>
      <c r="T595" s="126" t="s">
        <v>154</v>
      </c>
      <c r="U595" s="126" t="s">
        <v>160</v>
      </c>
      <c r="V595" s="126" t="s">
        <v>114</v>
      </c>
      <c r="X595" s="126" t="s">
        <v>115</v>
      </c>
      <c r="Y595" s="126" t="s">
        <v>110</v>
      </c>
      <c r="Z595" s="126">
        <v>3</v>
      </c>
      <c r="AA595" s="126"/>
      <c r="AB595" s="126"/>
      <c r="AC595" s="126"/>
      <c r="AD595" s="126" t="s">
        <v>116</v>
      </c>
      <c r="AE595" s="126" t="s">
        <v>116</v>
      </c>
      <c r="AG595" s="40">
        <f>AH595-AI595</f>
        <v>83</v>
      </c>
      <c r="AH595" s="126">
        <v>158</v>
      </c>
      <c r="AI595" s="126">
        <v>75</v>
      </c>
      <c r="AK595" s="126">
        <v>21</v>
      </c>
      <c r="AL595" s="126">
        <v>1</v>
      </c>
      <c r="AM595" s="126">
        <v>0</v>
      </c>
      <c r="AN595" s="126">
        <v>0</v>
      </c>
      <c r="AO595" s="16">
        <f>IF(SUM(AL595:AN595)&gt;0,1,0)</f>
        <v>1</v>
      </c>
      <c r="AP595" s="18">
        <f>SUM(AL595:AN595)</f>
        <v>1</v>
      </c>
      <c r="AR595" s="16">
        <v>0.20400000000000018</v>
      </c>
      <c r="AS595" s="16">
        <f>VLOOKUP(E595,'[1]Feces weights'!$D$1:$H$459,5,FALSE)</f>
        <v>0.20400000000000018</v>
      </c>
      <c r="AT595" s="16" t="e">
        <f>VLOOKUP(E595,[2]Current!$A$1:$W$435,7,FALSE)</f>
        <v>#N/A</v>
      </c>
      <c r="AU595" s="16">
        <v>0</v>
      </c>
      <c r="BG595" s="77"/>
      <c r="BN595" s="126"/>
      <c r="BT595" s="78"/>
      <c r="BU595" s="18"/>
      <c r="BV595" s="18"/>
      <c r="BW595" s="25"/>
      <c r="BX595" s="18"/>
      <c r="BY595" s="18"/>
      <c r="BZ595" s="25"/>
      <c r="CA595" s="18"/>
      <c r="CB595" s="18"/>
      <c r="CC595" s="25"/>
      <c r="CD595" s="78"/>
      <c r="CE595" s="18"/>
      <c r="CF595" s="25"/>
      <c r="CG595" s="18"/>
      <c r="CH595" s="18"/>
      <c r="CI595" s="18"/>
      <c r="CJ595" s="18"/>
      <c r="CK595" s="18"/>
      <c r="CL595" s="25"/>
      <c r="DF595" s="16" t="e">
        <f>VLOOKUP(K595,'[3]RNA Seq summary tables'!$V$3:$V$99,1,FALSE)</f>
        <v>#N/A</v>
      </c>
      <c r="DG595" s="126" t="s">
        <v>116</v>
      </c>
    </row>
    <row r="596" spans="1:288" ht="16" x14ac:dyDescent="0.2">
      <c r="B596" s="16">
        <v>2018</v>
      </c>
      <c r="C596" s="124">
        <v>43253</v>
      </c>
      <c r="D596" t="s">
        <v>762</v>
      </c>
      <c r="E596" s="142" t="str">
        <f>CONCATENATE(T596,"-",U596,"-",C596)</f>
        <v>SP2-F8-43253</v>
      </c>
      <c r="F596" s="16" t="s">
        <v>227</v>
      </c>
      <c r="G596" s="126" t="s">
        <v>107</v>
      </c>
      <c r="H596" s="126" t="s">
        <v>1096</v>
      </c>
      <c r="J596" s="126">
        <v>1462</v>
      </c>
      <c r="K596" s="126">
        <v>2401</v>
      </c>
      <c r="O596" s="126" t="s">
        <v>119</v>
      </c>
      <c r="P596" s="18" t="s">
        <v>119</v>
      </c>
      <c r="Q596" s="18">
        <v>0</v>
      </c>
      <c r="R596" s="18" t="str">
        <f>IF(J596=J595,C596-C595,"")</f>
        <v/>
      </c>
      <c r="T596" s="126" t="s">
        <v>137</v>
      </c>
      <c r="U596" s="126" t="s">
        <v>138</v>
      </c>
      <c r="V596" s="126" t="s">
        <v>114</v>
      </c>
      <c r="X596" s="126" t="s">
        <v>115</v>
      </c>
      <c r="Y596" s="126" t="s">
        <v>110</v>
      </c>
      <c r="Z596" s="126">
        <v>3</v>
      </c>
      <c r="AA596" s="126"/>
      <c r="AB596" s="126"/>
      <c r="AC596" s="126"/>
      <c r="AD596" s="125"/>
      <c r="AE596" s="125"/>
      <c r="AG596" s="16">
        <f>AH596-AI596</f>
        <v>91</v>
      </c>
      <c r="AH596" s="126">
        <v>168</v>
      </c>
      <c r="AI596" s="126">
        <v>77</v>
      </c>
      <c r="AK596" s="126">
        <v>24.5</v>
      </c>
      <c r="AL596" s="126">
        <v>0</v>
      </c>
      <c r="AM596" s="126">
        <v>0</v>
      </c>
      <c r="AN596" s="126">
        <v>0</v>
      </c>
      <c r="AO596" s="16">
        <f>IF(SUM(AL596:AN596)&gt;0,1,0)</f>
        <v>0</v>
      </c>
      <c r="AP596" s="18">
        <f>SUM(AL596:AN596)</f>
        <v>0</v>
      </c>
      <c r="AR596" s="16">
        <v>0.2390000000000001</v>
      </c>
      <c r="AS596" s="16">
        <f>VLOOKUP(E596,'[1]Feces weights'!$D$1:$H$459,5,FALSE)</f>
        <v>0.2390000000000001</v>
      </c>
      <c r="AT596" s="16" t="e">
        <f>VLOOKUP(E596,[2]Current!$A$1:$W$435,7,FALSE)</f>
        <v>#N/A</v>
      </c>
      <c r="AU596" s="16">
        <v>0</v>
      </c>
      <c r="BG596" s="77"/>
      <c r="BN596" s="126"/>
      <c r="BT596" s="78"/>
      <c r="BV596" s="18"/>
      <c r="BW596" s="25"/>
      <c r="BY596" s="18"/>
      <c r="BZ596" s="25"/>
      <c r="CB596" s="18"/>
      <c r="CC596" s="25"/>
      <c r="CD596" s="77"/>
      <c r="CE596" s="18"/>
      <c r="CF596" s="25"/>
      <c r="CG596" s="18"/>
      <c r="CH596" s="18"/>
      <c r="CI596" s="18"/>
      <c r="CK596" s="18"/>
      <c r="CL596" s="25"/>
      <c r="DF596" s="16" t="e">
        <f>VLOOKUP(K596,'[3]RNA Seq summary tables'!$V$3:$V$99,1,FALSE)</f>
        <v>#N/A</v>
      </c>
      <c r="DG596" s="126" t="s">
        <v>123</v>
      </c>
    </row>
    <row r="597" spans="1:288" ht="16" x14ac:dyDescent="0.2">
      <c r="B597" s="16">
        <v>2018</v>
      </c>
      <c r="C597" s="124">
        <v>43257</v>
      </c>
      <c r="D597" t="s">
        <v>769</v>
      </c>
      <c r="E597" s="37" t="str">
        <f>CONCATENATE(T597,"-",U597,"-",C597)</f>
        <v>BC1-H6-43257</v>
      </c>
      <c r="F597" s="16" t="s">
        <v>227</v>
      </c>
      <c r="G597" s="126" t="s">
        <v>107</v>
      </c>
      <c r="H597" s="126"/>
      <c r="J597" s="126">
        <v>1464</v>
      </c>
      <c r="K597" s="126">
        <v>2409</v>
      </c>
      <c r="O597" s="126" t="s">
        <v>119</v>
      </c>
      <c r="P597" s="18" t="s">
        <v>119</v>
      </c>
      <c r="Q597" s="18">
        <v>0</v>
      </c>
      <c r="R597" s="18" t="str">
        <f>IF(J597=J596,C597-C596,"")</f>
        <v/>
      </c>
      <c r="T597" s="126" t="s">
        <v>159</v>
      </c>
      <c r="U597" s="126" t="s">
        <v>141</v>
      </c>
      <c r="V597" s="126" t="s">
        <v>114</v>
      </c>
      <c r="X597" s="126" t="s">
        <v>115</v>
      </c>
      <c r="Y597" s="126" t="s">
        <v>110</v>
      </c>
      <c r="Z597" s="126">
        <v>3</v>
      </c>
      <c r="AA597" s="126"/>
      <c r="AB597" s="126"/>
      <c r="AC597" s="126"/>
      <c r="AD597" s="126"/>
      <c r="AE597" s="126" t="s">
        <v>116</v>
      </c>
      <c r="AG597" s="16">
        <f>AH597-AI597</f>
        <v>89</v>
      </c>
      <c r="AH597" s="126">
        <v>165</v>
      </c>
      <c r="AI597" s="126">
        <v>76</v>
      </c>
      <c r="AK597" s="126">
        <v>20.5</v>
      </c>
      <c r="AL597" s="126">
        <v>1</v>
      </c>
      <c r="AM597" s="126">
        <v>0</v>
      </c>
      <c r="AN597" s="126">
        <v>0</v>
      </c>
      <c r="AO597" s="16">
        <f>IF(SUM(AL597:AN597)&gt;0,1,0)</f>
        <v>1</v>
      </c>
      <c r="AP597" s="18">
        <f>SUM(AL597:AN597)</f>
        <v>1</v>
      </c>
      <c r="AR597" s="16">
        <v>0.11500000000000021</v>
      </c>
      <c r="AS597" s="16">
        <f>VLOOKUP(E597,'[1]Feces weights'!$D$1:$H$459,5,FALSE)</f>
        <v>0.11500000000000021</v>
      </c>
      <c r="AT597" s="16" t="str">
        <f>VLOOKUP(E597,[9]Current!$A:$T,7,FALSE)</f>
        <v>LV</v>
      </c>
      <c r="AU597" s="18" t="s">
        <v>1290</v>
      </c>
      <c r="AW597" s="177">
        <f>IF(AY597&gt;0,1,0)</f>
        <v>1</v>
      </c>
      <c r="AX597" s="177">
        <f>SUM(BA597,BM597,CU597)</f>
        <v>6</v>
      </c>
      <c r="AY597" s="177">
        <f>SUM(BB597,BN597,CV597)</f>
        <v>95.652173913043299</v>
      </c>
      <c r="AZ597" s="177">
        <f>IF(BB597&gt;0,1,0)</f>
        <v>1</v>
      </c>
      <c r="BA597" s="177">
        <f>SUM(BC597+BF597+BI597)</f>
        <v>1</v>
      </c>
      <c r="BB597" s="177">
        <f>SUM(BE597,BH597,BK597)</f>
        <v>8.695652173913027</v>
      </c>
      <c r="BC597" s="178">
        <f>IF(BD597&gt;0,1,0)</f>
        <v>0</v>
      </c>
      <c r="BD597" s="177">
        <f>VLOOKUP($E597,[9]Current!$1:$1048576,8,FALSE)</f>
        <v>0</v>
      </c>
      <c r="BE597" s="177">
        <f>BD597/$AS597</f>
        <v>0</v>
      </c>
      <c r="BF597" s="178">
        <f>IF(BG597&gt;0,1,0)</f>
        <v>0</v>
      </c>
      <c r="BG597" s="179">
        <f>VLOOKUP($E597,[9]Current!$1:$1048576,9,FALSE)</f>
        <v>0</v>
      </c>
      <c r="BH597" s="177">
        <f>BG597/$AS597</f>
        <v>0</v>
      </c>
      <c r="BI597" s="178">
        <f>IF(BJ597&gt;0,1,0)</f>
        <v>1</v>
      </c>
      <c r="BJ597" s="177">
        <f>VLOOKUP($E597,[9]Current!$1:$1048576,10,FALSE)</f>
        <v>1</v>
      </c>
      <c r="BK597" s="177">
        <f>BJ597/$AS597</f>
        <v>8.695652173913027</v>
      </c>
      <c r="BL597" s="177">
        <f>IF(BM597&gt;0,1,0)</f>
        <v>1</v>
      </c>
      <c r="BM597" s="177">
        <f>SUM(BR597,BU597,BX597,CA597,CD597)</f>
        <v>1</v>
      </c>
      <c r="BN597" s="181">
        <f>SUM(BT597,BW597,BZ597,CC597,CF597)</f>
        <v>52.173913043478166</v>
      </c>
      <c r="BO597" s="177">
        <f>IF(BP597&gt;0,1,0)</f>
        <v>1</v>
      </c>
      <c r="BP597" s="177">
        <f>BM597+CJ597</f>
        <v>2</v>
      </c>
      <c r="BQ597" s="177">
        <f>BN597+CL597</f>
        <v>69.565217391304216</v>
      </c>
      <c r="BR597" s="178">
        <f>IF(BS597&gt;0,1,0)</f>
        <v>1</v>
      </c>
      <c r="BS597" s="177">
        <f>VLOOKUP($E597,[9]Current!$1:$1048576,12,FALSE)</f>
        <v>6</v>
      </c>
      <c r="BT597" s="179">
        <f>BS597/$AS597</f>
        <v>52.173913043478166</v>
      </c>
      <c r="BU597" s="178">
        <f>IF(BV597&gt;0,1,0)</f>
        <v>0</v>
      </c>
      <c r="BV597" s="177">
        <f>VLOOKUP($E597,[9]Current!$1:$1048576,13,FALSE)</f>
        <v>0</v>
      </c>
      <c r="BW597" s="177">
        <f>BV597/$AS597</f>
        <v>0</v>
      </c>
      <c r="BX597" s="178">
        <f>IF(BY597&gt;0,1,0)</f>
        <v>0</v>
      </c>
      <c r="BY597" s="177">
        <f>VLOOKUP($E597,[9]Current!$1:$1048576,14,FALSE)</f>
        <v>0</v>
      </c>
      <c r="BZ597" s="177">
        <f>BY597/$AS597</f>
        <v>0</v>
      </c>
      <c r="CA597" s="178">
        <f>IF(CB597&gt;0,1,0)</f>
        <v>0</v>
      </c>
      <c r="CB597" s="177">
        <f>VLOOKUP($E597,[9]Current!$1:$1048576,15,FALSE)</f>
        <v>0</v>
      </c>
      <c r="CC597" s="177">
        <f>CB597/$AS597</f>
        <v>0</v>
      </c>
      <c r="CD597" s="180">
        <f>IF(CE597&gt;0,1,0)</f>
        <v>0</v>
      </c>
      <c r="CE597" s="177">
        <f>VLOOKUP($E597,[9]Current!$1:$1048576,16,FALSE)</f>
        <v>0</v>
      </c>
      <c r="CF597" s="177">
        <f>CE597/$AS597</f>
        <v>0</v>
      </c>
      <c r="CG597" s="18"/>
      <c r="CH597" s="18"/>
      <c r="CI597" s="18"/>
      <c r="CJ597" s="178">
        <f>IF(CK597&gt;0,1,0)</f>
        <v>1</v>
      </c>
      <c r="CK597" s="177">
        <f>VLOOKUP($E597,[9]Current!$1:$1048576,18,FALSE)</f>
        <v>2</v>
      </c>
      <c r="CL597" s="177">
        <f>CK597/$AS597</f>
        <v>17.391304347826054</v>
      </c>
      <c r="CS597" s="178">
        <f>IF(CU597&gt;0,1,0)</f>
        <v>1</v>
      </c>
      <c r="CT597" s="177"/>
      <c r="CU597" s="177">
        <f>VLOOKUP($E597,[9]Current!$1:$1048576,17,FALSE)</f>
        <v>4</v>
      </c>
      <c r="CV597" s="177">
        <f>CU597/$AS597</f>
        <v>34.782608695652108</v>
      </c>
      <c r="DF597" s="16" t="e">
        <f>VLOOKUP(K597,'[3]RNA Seq summary tables'!$V$3:$V$99,1,FALSE)</f>
        <v>#N/A</v>
      </c>
      <c r="DG597" s="126"/>
    </row>
    <row r="598" spans="1:288" ht="16" x14ac:dyDescent="0.2">
      <c r="B598" s="16">
        <v>2018</v>
      </c>
      <c r="C598" s="124">
        <v>43258</v>
      </c>
      <c r="D598" t="s">
        <v>774</v>
      </c>
      <c r="E598" s="37" t="str">
        <f>CONCATENATE(T598,"-",U598,"-",C598)</f>
        <v>BC1-C1-43258</v>
      </c>
      <c r="F598" s="16" t="s">
        <v>227</v>
      </c>
      <c r="G598" s="126" t="s">
        <v>107</v>
      </c>
      <c r="H598" s="126"/>
      <c r="J598" s="126">
        <v>1466</v>
      </c>
      <c r="K598" s="126">
        <v>2412</v>
      </c>
      <c r="O598" s="126" t="s">
        <v>119</v>
      </c>
      <c r="P598" s="18" t="s">
        <v>119</v>
      </c>
      <c r="Q598" s="18">
        <v>0</v>
      </c>
      <c r="R598" s="18" t="str">
        <f>IF(J598=J597,C598-C597,"")</f>
        <v/>
      </c>
      <c r="T598" s="126" t="s">
        <v>159</v>
      </c>
      <c r="U598" s="126" t="s">
        <v>150</v>
      </c>
      <c r="V598" s="126" t="s">
        <v>114</v>
      </c>
      <c r="X598" s="126" t="s">
        <v>115</v>
      </c>
      <c r="Y598" s="126" t="s">
        <v>110</v>
      </c>
      <c r="Z598" s="126">
        <v>3</v>
      </c>
      <c r="AA598" s="126"/>
      <c r="AB598" s="126"/>
      <c r="AC598" s="126"/>
      <c r="AD598" s="126"/>
      <c r="AE598" s="126" t="s">
        <v>116</v>
      </c>
      <c r="AG598" s="16">
        <f>AH598-AI598</f>
        <v>96</v>
      </c>
      <c r="AH598" s="126">
        <v>172</v>
      </c>
      <c r="AI598" s="126">
        <v>76</v>
      </c>
      <c r="AK598" s="126">
        <v>23</v>
      </c>
      <c r="AL598" s="126">
        <v>0</v>
      </c>
      <c r="AM598" s="126">
        <v>1</v>
      </c>
      <c r="AN598" s="126">
        <v>0</v>
      </c>
      <c r="AO598" s="16">
        <f>IF(SUM(AL598:AN598)&gt;0,1,0)</f>
        <v>1</v>
      </c>
      <c r="AP598" s="18">
        <f>SUM(AL598:AN598)</f>
        <v>1</v>
      </c>
      <c r="AR598" s="16">
        <v>2.7000000000000135E-2</v>
      </c>
      <c r="AS598" s="16">
        <f>VLOOKUP(E598,'[1]Feces weights'!$D$1:$H$459,5,FALSE)</f>
        <v>2.7000000000000135E-2</v>
      </c>
      <c r="AT598" s="16" t="str">
        <f>VLOOKUP(E598,[9]Current!$A:$T,7,FALSE)</f>
        <v>LV</v>
      </c>
      <c r="AU598" s="18" t="s">
        <v>1290</v>
      </c>
      <c r="AW598" s="177">
        <f>IF(AY598&gt;0,1,0)</f>
        <v>1</v>
      </c>
      <c r="AX598" s="177">
        <f>SUM(BA598,BM598,CU598)</f>
        <v>1</v>
      </c>
      <c r="AY598" s="177">
        <f>SUM(BB598,BN598,CV598)</f>
        <v>666.66666666666333</v>
      </c>
      <c r="AZ598" s="177">
        <f>IF(BB598&gt;0,1,0)</f>
        <v>1</v>
      </c>
      <c r="BA598" s="177">
        <f>SUM(BC598+BF598+BI598)</f>
        <v>1</v>
      </c>
      <c r="BB598" s="177">
        <f>SUM(BE598,BH598,BK598)</f>
        <v>666.66666666666333</v>
      </c>
      <c r="BC598" s="178">
        <f>IF(BD598&gt;0,1,0)</f>
        <v>0</v>
      </c>
      <c r="BD598" s="177">
        <f>VLOOKUP($E598,[9]Current!$1:$1048576,8,FALSE)</f>
        <v>0</v>
      </c>
      <c r="BE598" s="177">
        <f>BD598/$AS598</f>
        <v>0</v>
      </c>
      <c r="BF598" s="178">
        <f>IF(BG598&gt;0,1,0)</f>
        <v>1</v>
      </c>
      <c r="BG598" s="179">
        <f>VLOOKUP($E598,[9]Current!$1:$1048576,9,FALSE)</f>
        <v>18</v>
      </c>
      <c r="BH598" s="177">
        <f>BG598/$AS598</f>
        <v>666.66666666666333</v>
      </c>
      <c r="BI598" s="178">
        <f>IF(BJ598&gt;0,1,0)</f>
        <v>0</v>
      </c>
      <c r="BJ598" s="177">
        <f>VLOOKUP($E598,[9]Current!$1:$1048576,10,FALSE)</f>
        <v>0</v>
      </c>
      <c r="BK598" s="177">
        <f>BJ598/$AS598</f>
        <v>0</v>
      </c>
      <c r="BL598" s="177">
        <f>IF(BM598&gt;0,1,0)</f>
        <v>0</v>
      </c>
      <c r="BM598" s="177">
        <f>SUM(BR598,BU598,BX598,CA598,CD598)</f>
        <v>0</v>
      </c>
      <c r="BN598" s="181">
        <f>SUM(BT598,BW598,BZ598,CC598,CF598)</f>
        <v>0</v>
      </c>
      <c r="BO598" s="177">
        <f>IF(BP598&gt;0,1,0)</f>
        <v>0</v>
      </c>
      <c r="BP598" s="177">
        <f>BM598+CJ598</f>
        <v>0</v>
      </c>
      <c r="BQ598" s="177">
        <f>BN598+CL598</f>
        <v>0</v>
      </c>
      <c r="BR598" s="178">
        <f>IF(BS598&gt;0,1,0)</f>
        <v>0</v>
      </c>
      <c r="BS598" s="177">
        <f>VLOOKUP($E598,[9]Current!$1:$1048576,12,FALSE)</f>
        <v>0</v>
      </c>
      <c r="BT598" s="179">
        <f>BS598/$AS598</f>
        <v>0</v>
      </c>
      <c r="BU598" s="178">
        <f>IF(BV598&gt;0,1,0)</f>
        <v>0</v>
      </c>
      <c r="BV598" s="177">
        <f>VLOOKUP($E598,[9]Current!$1:$1048576,13,FALSE)</f>
        <v>0</v>
      </c>
      <c r="BW598" s="177">
        <f>BV598/$AS598</f>
        <v>0</v>
      </c>
      <c r="BX598" s="178">
        <f>IF(BY598&gt;0,1,0)</f>
        <v>0</v>
      </c>
      <c r="BY598" s="177">
        <f>VLOOKUP($E598,[9]Current!$1:$1048576,14,FALSE)</f>
        <v>0</v>
      </c>
      <c r="BZ598" s="177">
        <f>BY598/$AS598</f>
        <v>0</v>
      </c>
      <c r="CA598" s="178">
        <f>IF(CB598&gt;0,1,0)</f>
        <v>0</v>
      </c>
      <c r="CB598" s="177">
        <f>VLOOKUP($E598,[9]Current!$1:$1048576,15,FALSE)</f>
        <v>0</v>
      </c>
      <c r="CC598" s="177">
        <f>CB598/$AS598</f>
        <v>0</v>
      </c>
      <c r="CD598" s="180">
        <f>IF(CE598&gt;0,1,0)</f>
        <v>0</v>
      </c>
      <c r="CE598" s="177">
        <f>VLOOKUP($E598,[9]Current!$1:$1048576,16,FALSE)</f>
        <v>0</v>
      </c>
      <c r="CF598" s="177">
        <f>CE598/$AS598</f>
        <v>0</v>
      </c>
      <c r="CG598" s="18"/>
      <c r="CH598" s="18"/>
      <c r="CI598" s="18"/>
      <c r="CJ598" s="178">
        <f>IF(CK598&gt;0,1,0)</f>
        <v>0</v>
      </c>
      <c r="CK598" s="177">
        <f>VLOOKUP($E598,[9]Current!$1:$1048576,18,FALSE)</f>
        <v>0</v>
      </c>
      <c r="CL598" s="177">
        <f>CK598/$AS598</f>
        <v>0</v>
      </c>
      <c r="CS598" s="178">
        <f>IF(CU598&gt;0,1,0)</f>
        <v>0</v>
      </c>
      <c r="CT598" s="177"/>
      <c r="CU598" s="177">
        <f>VLOOKUP($E598,[9]Current!$1:$1048576,17,FALSE)</f>
        <v>0</v>
      </c>
      <c r="CV598" s="177">
        <f>CU598/$AS598</f>
        <v>0</v>
      </c>
      <c r="DF598" s="16" t="e">
        <f>VLOOKUP(K598,'[3]RNA Seq summary tables'!$V$3:$V$99,1,FALSE)</f>
        <v>#N/A</v>
      </c>
      <c r="DG598" s="126" t="s">
        <v>116</v>
      </c>
    </row>
    <row r="599" spans="1:288" ht="16" x14ac:dyDescent="0.2">
      <c r="B599" s="16">
        <v>2018</v>
      </c>
      <c r="C599" s="124">
        <v>43274</v>
      </c>
      <c r="D599" t="s">
        <v>850</v>
      </c>
      <c r="E599" s="37" t="str">
        <f>CONCATENATE(T599,"-",U599,"-",C599)</f>
        <v>BC1-C8-43274</v>
      </c>
      <c r="F599" s="16" t="s">
        <v>227</v>
      </c>
      <c r="G599" s="126" t="s">
        <v>107</v>
      </c>
      <c r="H599" s="126"/>
      <c r="J599" s="126">
        <v>1466</v>
      </c>
      <c r="K599" s="126">
        <v>2483</v>
      </c>
      <c r="O599" s="126" t="s">
        <v>119</v>
      </c>
      <c r="P599" s="18" t="s">
        <v>119</v>
      </c>
      <c r="Q599" s="18">
        <v>0</v>
      </c>
      <c r="R599" s="18">
        <f>IF(J599=J598,C599-C598,"")</f>
        <v>16</v>
      </c>
      <c r="T599" s="126" t="s">
        <v>159</v>
      </c>
      <c r="U599" s="126" t="s">
        <v>188</v>
      </c>
      <c r="V599" s="126" t="s">
        <v>114</v>
      </c>
      <c r="X599" s="126" t="s">
        <v>115</v>
      </c>
      <c r="Y599" s="126" t="s">
        <v>110</v>
      </c>
      <c r="Z599" s="126">
        <v>3</v>
      </c>
      <c r="AA599" s="126"/>
      <c r="AB599" s="126"/>
      <c r="AC599" s="126"/>
      <c r="AD599" s="126"/>
      <c r="AE599" s="126" t="s">
        <v>116</v>
      </c>
      <c r="AG599" s="16">
        <f>AH599-AI599</f>
        <v>91</v>
      </c>
      <c r="AH599" s="126">
        <v>170</v>
      </c>
      <c r="AI599" s="126">
        <v>79</v>
      </c>
      <c r="AK599" s="126">
        <v>27</v>
      </c>
      <c r="AL599" s="126">
        <v>0</v>
      </c>
      <c r="AM599" s="126">
        <v>0</v>
      </c>
      <c r="AN599" s="126">
        <v>0</v>
      </c>
      <c r="AO599" s="16">
        <f>IF(SUM(AL599:AN599)&gt;0,1,0)</f>
        <v>0</v>
      </c>
      <c r="AP599" s="18">
        <f>SUM(AL599:AN599)</f>
        <v>0</v>
      </c>
      <c r="AR599" s="16">
        <v>0.57800000000000007</v>
      </c>
      <c r="AS599" s="16">
        <f>VLOOKUP(E599,'[1]Feces weights'!$D$1:$H$459,5,FALSE)</f>
        <v>0.57800000000000007</v>
      </c>
      <c r="AT599" s="16" t="str">
        <f>VLOOKUP(E599,[2]Current!$A$1:$W$435,7,FALSE)</f>
        <v>JB</v>
      </c>
      <c r="AU599" s="16" t="s">
        <v>1288</v>
      </c>
      <c r="AW599" s="128">
        <f>IF(AX599&gt;0,1,0)</f>
        <v>1</v>
      </c>
      <c r="AX599" s="128">
        <f>SUM(BA599,BM599,CU599)</f>
        <v>3</v>
      </c>
      <c r="AY599" s="128">
        <f>SUM(BB599,BN599,CV599)</f>
        <v>5878.8927335640128</v>
      </c>
      <c r="AZ599" s="128">
        <f>IF(BA599&gt;0,1,0)</f>
        <v>1</v>
      </c>
      <c r="BA599" s="128">
        <f>SUM(BC599+BF599+BI599)</f>
        <v>3</v>
      </c>
      <c r="BB599" s="128">
        <f>SUM(BE599,BH599,BK599)</f>
        <v>5878.8927335640128</v>
      </c>
      <c r="BC599" s="130">
        <f>IF(BD599&gt;0,1,0)</f>
        <v>1</v>
      </c>
      <c r="BD599" s="128">
        <f>VLOOKUP($E599,[2]Current!$A:$AC,26,FALSE)</f>
        <v>106</v>
      </c>
      <c r="BE599" s="128">
        <f>BD599/$AS599</f>
        <v>183.3910034602076</v>
      </c>
      <c r="BF599" s="130">
        <f>IF(BG599&gt;0,1,0)</f>
        <v>1</v>
      </c>
      <c r="BG599" s="137">
        <f>VLOOKUP($E599,[2]Current!$A:$AC,27,FALSE)</f>
        <v>3212</v>
      </c>
      <c r="BH599" s="128">
        <f>BG599/$AS599</f>
        <v>5557.0934256055352</v>
      </c>
      <c r="BI599" s="130">
        <f>IF(BJ599&gt;0,1,0)</f>
        <v>1</v>
      </c>
      <c r="BJ599" s="128">
        <f>VLOOKUP($E599,[2]Current!$A:$AC,28,FALSE)</f>
        <v>80</v>
      </c>
      <c r="BK599" s="128">
        <f>BJ599/$AS599</f>
        <v>138.40830449826987</v>
      </c>
      <c r="BL599" s="128">
        <f>IF(BM599&gt;0,1,0)</f>
        <v>0</v>
      </c>
      <c r="BM599" s="128">
        <f>SUM(BR599,BU599,BX599,CA599,CD599)</f>
        <v>0</v>
      </c>
      <c r="BN599" s="131">
        <f>SUM(BT599,BW599,BZ599,CC599,CF599)</f>
        <v>0</v>
      </c>
      <c r="BO599" s="128">
        <f>IF(BP599&gt;0,1,0)</f>
        <v>0</v>
      </c>
      <c r="BP599" s="128">
        <f>BM599+CJ599</f>
        <v>0</v>
      </c>
      <c r="BQ599" s="128">
        <f>BN599+CL599</f>
        <v>0</v>
      </c>
      <c r="BR599" s="130">
        <f>IF(BS599&gt;0,1,0)</f>
        <v>0</v>
      </c>
      <c r="BS599" s="128">
        <f>VLOOKUP($E599,[2]Current!$A:$AC,12,FALSE)</f>
        <v>0</v>
      </c>
      <c r="BT599" s="137">
        <f>BS599/$AS599</f>
        <v>0</v>
      </c>
      <c r="BU599" s="130">
        <f>IF(BV599&gt;0,1,0)</f>
        <v>0</v>
      </c>
      <c r="BV599" s="128">
        <f>VLOOKUP($E599,[2]Current!$A:$AC,13,FALSE)</f>
        <v>0</v>
      </c>
      <c r="BW599" s="128">
        <f>BV599/$AS599</f>
        <v>0</v>
      </c>
      <c r="BX599" s="130">
        <f>IF(BY599&gt;0,1,0)</f>
        <v>0</v>
      </c>
      <c r="BY599" s="128">
        <f>VLOOKUP($E599,[2]Current!$A:$AC,14,FALSE)</f>
        <v>0</v>
      </c>
      <c r="BZ599" s="128">
        <f>BY599/$AS599</f>
        <v>0</v>
      </c>
      <c r="CA599" s="130">
        <f>IF(CB599&gt;0,1,0)</f>
        <v>0</v>
      </c>
      <c r="CB599" s="128">
        <f>VLOOKUP($E599,[2]Current!$A:$AC,15,FALSE)</f>
        <v>0</v>
      </c>
      <c r="CC599" s="128">
        <f>CB599/$AS599</f>
        <v>0</v>
      </c>
      <c r="CD599" s="174">
        <f>IF(CE599&gt;0,1,0)</f>
        <v>0</v>
      </c>
      <c r="CE599" s="128">
        <f>VLOOKUP($E599,[2]Current!$A:$AC,16,FALSE)</f>
        <v>0</v>
      </c>
      <c r="CF599" s="128">
        <f>CE599/$AS599</f>
        <v>0</v>
      </c>
      <c r="CG599" s="18"/>
      <c r="CH599" s="18"/>
      <c r="CI599" s="18"/>
      <c r="CJ599" s="130">
        <f>IF(CK599&gt;0,1,0)</f>
        <v>0</v>
      </c>
      <c r="CK599" s="128">
        <f>VLOOKUP($E599,[2]Current!$A:$AC,18,FALSE)</f>
        <v>0</v>
      </c>
      <c r="CL599" s="128">
        <f>CK599/$AS599</f>
        <v>0</v>
      </c>
      <c r="CS599" s="130">
        <f>IF(CU599&gt;0,1,0)</f>
        <v>0</v>
      </c>
      <c r="CU599" s="128">
        <f>VLOOKUP($E599,[2]Current!$A:$AC,17,FALSE)</f>
        <v>0</v>
      </c>
      <c r="CV599" s="128">
        <f>CU599/$AS599</f>
        <v>0</v>
      </c>
      <c r="CW599" s="18"/>
      <c r="CX599" s="18"/>
      <c r="CY599" s="18"/>
      <c r="DF599" s="16" t="e">
        <f>VLOOKUP(K599,'[3]RNA Seq summary tables'!$V$3:$V$99,1,FALSE)</f>
        <v>#N/A</v>
      </c>
      <c r="DG599" s="126" t="s">
        <v>116</v>
      </c>
    </row>
    <row r="600" spans="1:288" ht="16" x14ac:dyDescent="0.2">
      <c r="B600" s="16">
        <v>2018</v>
      </c>
      <c r="C600" s="124">
        <v>43292</v>
      </c>
      <c r="D600" t="s">
        <v>947</v>
      </c>
      <c r="E600" s="37" t="str">
        <f>CONCATENATE(T600,"-",U600,"-",C600)</f>
        <v>BC1-C8-43292</v>
      </c>
      <c r="F600" s="16" t="s">
        <v>227</v>
      </c>
      <c r="G600" s="126" t="s">
        <v>107</v>
      </c>
      <c r="H600" s="126"/>
      <c r="J600" s="126">
        <v>1466</v>
      </c>
      <c r="K600" s="126">
        <v>2577</v>
      </c>
      <c r="O600" s="126" t="s">
        <v>119</v>
      </c>
      <c r="P600" s="18" t="s">
        <v>119</v>
      </c>
      <c r="Q600" s="18">
        <v>0</v>
      </c>
      <c r="R600" s="18">
        <f>IF(J600=J599,C600-C599,"")</f>
        <v>18</v>
      </c>
      <c r="T600" s="126" t="s">
        <v>159</v>
      </c>
      <c r="U600" s="126" t="s">
        <v>188</v>
      </c>
      <c r="V600" s="126" t="s">
        <v>114</v>
      </c>
      <c r="X600" s="126" t="s">
        <v>115</v>
      </c>
      <c r="Y600" s="126" t="s">
        <v>110</v>
      </c>
      <c r="Z600" s="126">
        <v>3</v>
      </c>
      <c r="AA600" s="126"/>
      <c r="AB600" s="126"/>
      <c r="AC600" s="126"/>
      <c r="AD600" s="126"/>
      <c r="AE600" s="126" t="s">
        <v>116</v>
      </c>
      <c r="AG600" s="16">
        <f>AH600-AI600</f>
        <v>95</v>
      </c>
      <c r="AH600" s="126">
        <v>171</v>
      </c>
      <c r="AI600" s="126">
        <v>76</v>
      </c>
      <c r="AK600" s="126">
        <v>25</v>
      </c>
      <c r="AL600" s="126">
        <v>1</v>
      </c>
      <c r="AM600" s="126">
        <v>0</v>
      </c>
      <c r="AN600" s="126">
        <v>0</v>
      </c>
      <c r="AO600" s="16">
        <f>IF(SUM(AL600:AN600)&gt;0,1,0)</f>
        <v>1</v>
      </c>
      <c r="AP600" s="18">
        <f>SUM(AL600:AN600)</f>
        <v>1</v>
      </c>
      <c r="AR600" s="16">
        <v>0.46800000000000019</v>
      </c>
      <c r="AS600" s="16">
        <f>VLOOKUP(E600,'[1]Feces weights'!$D$1:$H$459,5,FALSE)</f>
        <v>0.46800000000000019</v>
      </c>
      <c r="AT600" s="16" t="str">
        <f>VLOOKUP(E600,[2]Current!$A$1:$W$435,7,FALSE)</f>
        <v>JB</v>
      </c>
      <c r="AU600" s="16" t="s">
        <v>1288</v>
      </c>
      <c r="AW600" s="128">
        <f>IF(AX600&gt;0,1,0)</f>
        <v>1</v>
      </c>
      <c r="AX600" s="128">
        <f>SUM(BA600,BM600,CU600)</f>
        <v>1</v>
      </c>
      <c r="AY600" s="128">
        <f>SUM(BB600,BN600,CV600)</f>
        <v>28487.179487179474</v>
      </c>
      <c r="AZ600" s="128">
        <f>IF(BA600&gt;0,1,0)</f>
        <v>1</v>
      </c>
      <c r="BA600" s="128">
        <f>SUM(BC600+BF600+BI600)</f>
        <v>1</v>
      </c>
      <c r="BB600" s="128">
        <f>SUM(BE600,BH600,BK600)</f>
        <v>28487.179487179474</v>
      </c>
      <c r="BC600" s="130">
        <f>IF(BD600&gt;0,1,0)</f>
        <v>0</v>
      </c>
      <c r="BD600" s="128">
        <f>VLOOKUP($E600,[2]Current!$A:$AC,26,FALSE)</f>
        <v>0</v>
      </c>
      <c r="BE600" s="128">
        <f>BD600/$AS600</f>
        <v>0</v>
      </c>
      <c r="BF600" s="130">
        <f>IF(BG600&gt;0,1,0)</f>
        <v>1</v>
      </c>
      <c r="BG600" s="137">
        <f>VLOOKUP($E600,[2]Current!$A:$AC,27,FALSE)</f>
        <v>13332</v>
      </c>
      <c r="BH600" s="128">
        <f>BG600/$AS600</f>
        <v>28487.179487179474</v>
      </c>
      <c r="BI600" s="130">
        <f>IF(BJ600&gt;0,1,0)</f>
        <v>0</v>
      </c>
      <c r="BJ600" s="128">
        <f>VLOOKUP($E600,[2]Current!$A:$AC,28,FALSE)</f>
        <v>0</v>
      </c>
      <c r="BK600" s="128">
        <f>BJ600/$AS600</f>
        <v>0</v>
      </c>
      <c r="BL600" s="128">
        <f>IF(BM600&gt;0,1,0)</f>
        <v>0</v>
      </c>
      <c r="BM600" s="128">
        <f>SUM(BR600,BU600,BX600,CA600,CD600)</f>
        <v>0</v>
      </c>
      <c r="BN600" s="131">
        <f>SUM(BT600,BW600,BZ600,CC600,CF600)</f>
        <v>0</v>
      </c>
      <c r="BO600" s="128">
        <f>IF(BP600&gt;0,1,0)</f>
        <v>0</v>
      </c>
      <c r="BP600" s="128">
        <f>BM600+CJ600</f>
        <v>0</v>
      </c>
      <c r="BQ600" s="128">
        <f>BN600+CL600</f>
        <v>0</v>
      </c>
      <c r="BR600" s="130">
        <f>IF(BS600&gt;0,1,0)</f>
        <v>0</v>
      </c>
      <c r="BS600" s="128">
        <f>VLOOKUP($E600,[2]Current!$A:$AC,12,FALSE)</f>
        <v>0</v>
      </c>
      <c r="BT600" s="137">
        <f>BS600/$AS600</f>
        <v>0</v>
      </c>
      <c r="BU600" s="130">
        <f>IF(BV600&gt;0,1,0)</f>
        <v>0</v>
      </c>
      <c r="BV600" s="128">
        <f>VLOOKUP($E600,[2]Current!$A:$AC,13,FALSE)</f>
        <v>0</v>
      </c>
      <c r="BW600" s="128">
        <f>BV600/$AS600</f>
        <v>0</v>
      </c>
      <c r="BX600" s="130">
        <f>IF(BY600&gt;0,1,0)</f>
        <v>0</v>
      </c>
      <c r="BY600" s="128">
        <f>VLOOKUP($E600,[2]Current!$A:$AC,14,FALSE)</f>
        <v>0</v>
      </c>
      <c r="BZ600" s="128">
        <f>BY600/$AS600</f>
        <v>0</v>
      </c>
      <c r="CA600" s="130">
        <f>IF(CB600&gt;0,1,0)</f>
        <v>0</v>
      </c>
      <c r="CB600" s="128">
        <f>VLOOKUP($E600,[2]Current!$A:$AC,15,FALSE)</f>
        <v>0</v>
      </c>
      <c r="CC600" s="128">
        <f>CB600/$AS600</f>
        <v>0</v>
      </c>
      <c r="CD600" s="174">
        <f>IF(CE600&gt;0,1,0)</f>
        <v>0</v>
      </c>
      <c r="CE600" s="128">
        <f>VLOOKUP($E600,[2]Current!$A:$AC,16,FALSE)</f>
        <v>0</v>
      </c>
      <c r="CF600" s="128">
        <f>CE600/$AS600</f>
        <v>0</v>
      </c>
      <c r="CG600" s="18"/>
      <c r="CH600" s="18"/>
      <c r="CI600" s="18"/>
      <c r="CJ600" s="130">
        <f>IF(CK600&gt;0,1,0)</f>
        <v>0</v>
      </c>
      <c r="CK600" s="128">
        <f>VLOOKUP($E600,[2]Current!$A:$AC,18,FALSE)</f>
        <v>0</v>
      </c>
      <c r="CL600" s="128">
        <f>CK600/$AS600</f>
        <v>0</v>
      </c>
      <c r="CS600" s="130">
        <f>IF(CU600&gt;0,1,0)</f>
        <v>0</v>
      </c>
      <c r="CU600" s="128">
        <f>VLOOKUP($E600,[2]Current!$A:$AC,17,FALSE)</f>
        <v>0</v>
      </c>
      <c r="CV600" s="128">
        <f>CU600/$AS600</f>
        <v>0</v>
      </c>
      <c r="CW600" s="18"/>
      <c r="CX600" s="18"/>
      <c r="CY600" s="18"/>
      <c r="DF600" s="16" t="e">
        <f>VLOOKUP(K600,'[3]RNA Seq summary tables'!$V$3:$V$99,1,FALSE)</f>
        <v>#N/A</v>
      </c>
      <c r="DG600" s="126" t="s">
        <v>116</v>
      </c>
    </row>
    <row r="601" spans="1:288" ht="16" x14ac:dyDescent="0.2">
      <c r="A601" s="25"/>
      <c r="B601" s="23">
        <v>2018</v>
      </c>
      <c r="C601" s="124">
        <v>43260</v>
      </c>
      <c r="D601" s="183" t="s">
        <v>786</v>
      </c>
      <c r="E601" s="65" t="str">
        <f>CONCATENATE(T601,"-",U601,"-",C601)</f>
        <v>HW1-F1-43260</v>
      </c>
      <c r="F601" s="23" t="s">
        <v>227</v>
      </c>
      <c r="G601" s="126" t="s">
        <v>107</v>
      </c>
      <c r="H601" s="126"/>
      <c r="I601" s="23"/>
      <c r="J601" s="126">
        <v>1468</v>
      </c>
      <c r="K601" s="126">
        <v>2418</v>
      </c>
      <c r="L601" s="23"/>
      <c r="M601" s="15"/>
      <c r="N601" s="15"/>
      <c r="O601" s="126" t="s">
        <v>119</v>
      </c>
      <c r="P601" s="18" t="s">
        <v>119</v>
      </c>
      <c r="Q601" s="18">
        <v>0</v>
      </c>
      <c r="R601" s="18" t="str">
        <f>IF(J601=J600,C601-C600,"")</f>
        <v/>
      </c>
      <c r="S601" s="23"/>
      <c r="T601" s="126" t="s">
        <v>133</v>
      </c>
      <c r="U601" s="126" t="s">
        <v>217</v>
      </c>
      <c r="V601" s="126" t="s">
        <v>114</v>
      </c>
      <c r="W601" s="23"/>
      <c r="X601" s="126" t="s">
        <v>115</v>
      </c>
      <c r="Y601" s="126" t="s">
        <v>110</v>
      </c>
      <c r="Z601" s="126">
        <v>3</v>
      </c>
      <c r="AA601" s="126"/>
      <c r="AB601" s="126"/>
      <c r="AC601" s="126"/>
      <c r="AD601" s="126"/>
      <c r="AE601" s="126" t="s">
        <v>116</v>
      </c>
      <c r="AF601" s="23"/>
      <c r="AG601" s="23">
        <f>AH601-AI601</f>
        <v>86</v>
      </c>
      <c r="AH601" s="126">
        <v>162</v>
      </c>
      <c r="AI601" s="126">
        <v>76</v>
      </c>
      <c r="AJ601" s="23"/>
      <c r="AK601" s="126">
        <v>20.5</v>
      </c>
      <c r="AL601" s="126">
        <v>0</v>
      </c>
      <c r="AM601" s="126">
        <v>0</v>
      </c>
      <c r="AN601" s="126">
        <v>0</v>
      </c>
      <c r="AO601" s="23">
        <f>IF(SUM(AL601:AN601)&gt;0,1,0)</f>
        <v>0</v>
      </c>
      <c r="AP601" s="25">
        <f>SUM(AL601:AN601)</f>
        <v>0</v>
      </c>
      <c r="AQ601" s="23"/>
      <c r="AR601" s="23">
        <v>0.33000000000000007</v>
      </c>
      <c r="AS601" s="23">
        <f>VLOOKUP(E601,'[1]Feces weights'!$D$1:$H$459,5,FALSE)</f>
        <v>0.33000000000000007</v>
      </c>
      <c r="AT601" s="23" t="str">
        <f>VLOOKUP(E601,[9]Current!$A:$T,7,FALSE)</f>
        <v>LV</v>
      </c>
      <c r="AU601" s="25" t="s">
        <v>1290</v>
      </c>
      <c r="AV601" s="23"/>
      <c r="AW601" s="177">
        <f>IF(AY601&gt;0,1,0)</f>
        <v>1</v>
      </c>
      <c r="AX601" s="177">
        <f>SUM(BA601,BM601,CU601)</f>
        <v>3</v>
      </c>
      <c r="AY601" s="177">
        <f>SUM(BB601,BN601,CV601)</f>
        <v>82909.090909090883</v>
      </c>
      <c r="AZ601" s="177">
        <f>IF(BB601&gt;0,1,0)</f>
        <v>1</v>
      </c>
      <c r="BA601" s="177">
        <f>SUM(BC601+BF601+BI601)</f>
        <v>3</v>
      </c>
      <c r="BB601" s="177">
        <f>SUM(BE601,BH601,BK601)</f>
        <v>82909.090909090883</v>
      </c>
      <c r="BC601" s="178">
        <f>IF(BD601&gt;0,1,0)</f>
        <v>1</v>
      </c>
      <c r="BD601" s="177">
        <f>VLOOKUP($E601,[9]Current!$1:$1048576,8,FALSE)</f>
        <v>164</v>
      </c>
      <c r="BE601" s="177">
        <f>BD601/$AS601</f>
        <v>496.96969696969688</v>
      </c>
      <c r="BF601" s="178">
        <f>IF(BG601&gt;0,1,0)</f>
        <v>1</v>
      </c>
      <c r="BG601" s="179">
        <f>VLOOKUP($E601,[9]Current!$1:$1048576,9,FALSE)</f>
        <v>26412</v>
      </c>
      <c r="BH601" s="177">
        <f>BG601/$AS601</f>
        <v>80036.363636363618</v>
      </c>
      <c r="BI601" s="178">
        <f>IF(BJ601&gt;0,1,0)</f>
        <v>1</v>
      </c>
      <c r="BJ601" s="177">
        <f>VLOOKUP($E601,[9]Current!$1:$1048576,10,FALSE)</f>
        <v>784</v>
      </c>
      <c r="BK601" s="177">
        <f>BJ601/$AS601</f>
        <v>2375.7575757575751</v>
      </c>
      <c r="BL601" s="177">
        <f>IF(BM601&gt;0,1,0)</f>
        <v>0</v>
      </c>
      <c r="BM601" s="177">
        <f>SUM(BR601,BU601,BX601,CA601,CD601)</f>
        <v>0</v>
      </c>
      <c r="BN601" s="181">
        <f>SUM(BT601,BW601,BZ601,CC601,CF601)</f>
        <v>0</v>
      </c>
      <c r="BO601" s="177">
        <f>IF(BP601&gt;0,1,0)</f>
        <v>0</v>
      </c>
      <c r="BP601" s="177">
        <f>BM601+CJ601</f>
        <v>0</v>
      </c>
      <c r="BQ601" s="177">
        <f>BN601+CL601</f>
        <v>0</v>
      </c>
      <c r="BR601" s="178">
        <f>IF(BS601&gt;0,1,0)</f>
        <v>0</v>
      </c>
      <c r="BS601" s="177">
        <f>VLOOKUP($E601,[9]Current!$1:$1048576,12,FALSE)</f>
        <v>0</v>
      </c>
      <c r="BT601" s="179">
        <f>BS601/$AS601</f>
        <v>0</v>
      </c>
      <c r="BU601" s="178">
        <f>IF(BV601&gt;0,1,0)</f>
        <v>0</v>
      </c>
      <c r="BV601" s="177">
        <f>VLOOKUP($E601,[9]Current!$1:$1048576,13,FALSE)</f>
        <v>0</v>
      </c>
      <c r="BW601" s="177">
        <f>BV601/$AS601</f>
        <v>0</v>
      </c>
      <c r="BX601" s="178">
        <f>IF(BY601&gt;0,1,0)</f>
        <v>0</v>
      </c>
      <c r="BY601" s="177">
        <f>VLOOKUP($E601,[9]Current!$1:$1048576,14,FALSE)</f>
        <v>0</v>
      </c>
      <c r="BZ601" s="177">
        <f>BY601/$AS601</f>
        <v>0</v>
      </c>
      <c r="CA601" s="178">
        <f>IF(CB601&gt;0,1,0)</f>
        <v>0</v>
      </c>
      <c r="CB601" s="177">
        <f>VLOOKUP($E601,[9]Current!$1:$1048576,15,FALSE)</f>
        <v>0</v>
      </c>
      <c r="CC601" s="177">
        <f>CB601/$AS601</f>
        <v>0</v>
      </c>
      <c r="CD601" s="180">
        <f>IF(CE601&gt;0,1,0)</f>
        <v>0</v>
      </c>
      <c r="CE601" s="177">
        <f>VLOOKUP($E601,[9]Current!$1:$1048576,16,FALSE)</f>
        <v>0</v>
      </c>
      <c r="CF601" s="177">
        <f>CE601/$AS601</f>
        <v>0</v>
      </c>
      <c r="CG601" s="18"/>
      <c r="CH601" s="18"/>
      <c r="CI601" s="18"/>
      <c r="CJ601" s="178">
        <f>IF(CK601&gt;0,1,0)</f>
        <v>0</v>
      </c>
      <c r="CK601" s="177">
        <f>VLOOKUP($E601,[9]Current!$1:$1048576,18,FALSE)</f>
        <v>0</v>
      </c>
      <c r="CL601" s="177">
        <f>CK601/$AS601</f>
        <v>0</v>
      </c>
      <c r="CS601" s="178">
        <f>IF(CU601&gt;0,1,0)</f>
        <v>0</v>
      </c>
      <c r="CT601" s="177"/>
      <c r="CU601" s="177">
        <f>VLOOKUP($E601,[9]Current!$1:$1048576,17,FALSE)</f>
        <v>0</v>
      </c>
      <c r="CV601" s="177">
        <f>CU601/$AS601</f>
        <v>0</v>
      </c>
      <c r="CW601" s="23"/>
      <c r="CX601" s="23"/>
      <c r="CY601" s="23"/>
      <c r="CZ601" s="23"/>
      <c r="DA601" s="23"/>
      <c r="DB601" s="23"/>
      <c r="DC601" s="23"/>
      <c r="DD601" s="23"/>
      <c r="DE601" s="23"/>
      <c r="DF601" s="23" t="e">
        <f>VLOOKUP(K601,'[3]RNA Seq summary tables'!$V$3:$V$99,1,FALSE)</f>
        <v>#N/A</v>
      </c>
      <c r="DG601" s="126" t="s">
        <v>116</v>
      </c>
      <c r="DH601" s="23"/>
      <c r="DI601" s="23"/>
      <c r="DJ601" s="23"/>
      <c r="DK601" s="23"/>
      <c r="DL601" s="23"/>
      <c r="DM601" s="23"/>
      <c r="DN601" s="23"/>
      <c r="DO601" s="23"/>
      <c r="DP601" s="23"/>
      <c r="DQ601" s="23"/>
      <c r="DR601" s="23"/>
      <c r="DS601" s="23"/>
      <c r="DT601" s="25"/>
      <c r="DU601" s="25"/>
      <c r="DV601" s="25"/>
      <c r="DW601" s="25"/>
      <c r="DX601" s="25"/>
      <c r="DY601" s="25"/>
      <c r="DZ601" s="25"/>
      <c r="EA601" s="25"/>
      <c r="EB601" s="25"/>
      <c r="EC601" s="25"/>
      <c r="ED601" s="25"/>
      <c r="EE601" s="25"/>
      <c r="EF601" s="25"/>
      <c r="EG601" s="25"/>
      <c r="EH601" s="25"/>
      <c r="EI601" s="25"/>
      <c r="EJ601" s="25"/>
      <c r="EK601" s="25"/>
      <c r="EL601" s="25"/>
      <c r="EM601" s="25"/>
      <c r="EN601" s="25"/>
      <c r="EO601" s="25"/>
      <c r="EP601" s="25"/>
      <c r="EQ601" s="25"/>
      <c r="ER601" s="25"/>
      <c r="ES601" s="25"/>
      <c r="ET601" s="25"/>
      <c r="EU601" s="25"/>
      <c r="EV601" s="25"/>
      <c r="EW601" s="25"/>
      <c r="EX601" s="25"/>
      <c r="EY601" s="25"/>
      <c r="EZ601" s="25"/>
      <c r="FA601" s="25"/>
      <c r="FB601" s="25"/>
      <c r="FC601" s="25"/>
      <c r="FD601" s="25"/>
      <c r="FE601" s="25"/>
      <c r="FF601" s="25"/>
      <c r="FG601" s="25"/>
      <c r="FH601" s="25"/>
      <c r="FI601" s="25"/>
      <c r="FJ601" s="25"/>
      <c r="FK601" s="25"/>
      <c r="FL601" s="25"/>
      <c r="FM601" s="25"/>
      <c r="FN601" s="25"/>
      <c r="FO601" s="25"/>
      <c r="FP601" s="25"/>
      <c r="FQ601" s="25"/>
      <c r="FR601" s="25"/>
      <c r="FS601" s="25"/>
      <c r="FT601" s="25"/>
      <c r="FU601" s="25"/>
      <c r="FV601" s="25"/>
      <c r="FW601" s="25"/>
      <c r="FX601" s="25"/>
      <c r="FY601" s="25"/>
      <c r="FZ601" s="25"/>
      <c r="GA601" s="25"/>
      <c r="GB601" s="25"/>
      <c r="GC601" s="25"/>
      <c r="GD601" s="25"/>
      <c r="GE601" s="25"/>
      <c r="GF601" s="25"/>
      <c r="GG601" s="25"/>
      <c r="GH601" s="25"/>
      <c r="GI601" s="25"/>
      <c r="GJ601" s="25"/>
      <c r="GK601" s="25"/>
      <c r="GL601" s="25"/>
      <c r="GM601" s="25"/>
      <c r="GN601" s="25"/>
      <c r="GO601" s="25"/>
      <c r="GP601" s="25"/>
      <c r="GQ601" s="25"/>
      <c r="GR601" s="25"/>
      <c r="GS601" s="25"/>
      <c r="GT601" s="25"/>
      <c r="GU601" s="25"/>
      <c r="GV601" s="25"/>
      <c r="GW601" s="25"/>
      <c r="GX601" s="25"/>
      <c r="GY601" s="25"/>
      <c r="GZ601" s="25"/>
      <c r="HA601" s="25"/>
      <c r="HB601" s="25"/>
      <c r="HC601" s="25"/>
      <c r="HD601" s="25"/>
      <c r="HE601" s="25"/>
      <c r="HF601" s="25"/>
      <c r="HG601" s="25"/>
      <c r="HH601" s="25"/>
      <c r="HI601" s="25"/>
      <c r="HJ601" s="25"/>
      <c r="HK601" s="25"/>
      <c r="HL601" s="25"/>
      <c r="HM601" s="25"/>
      <c r="HN601" s="25"/>
      <c r="HO601" s="25"/>
      <c r="HP601" s="25"/>
      <c r="HQ601" s="25"/>
      <c r="HR601" s="25"/>
      <c r="HS601" s="25"/>
      <c r="HT601" s="25"/>
      <c r="HU601" s="25"/>
      <c r="HV601" s="25"/>
      <c r="HW601" s="25"/>
      <c r="HX601" s="25"/>
      <c r="HY601" s="25"/>
      <c r="HZ601" s="25"/>
      <c r="IA601" s="25"/>
      <c r="IB601" s="25"/>
      <c r="IC601" s="25"/>
      <c r="ID601" s="25"/>
      <c r="IE601" s="25"/>
      <c r="IF601" s="25"/>
      <c r="IG601" s="25"/>
      <c r="IH601" s="25"/>
      <c r="II601" s="25"/>
      <c r="IJ601" s="25"/>
      <c r="IK601" s="25"/>
      <c r="IL601" s="25"/>
      <c r="IM601" s="25"/>
      <c r="IN601" s="25"/>
      <c r="IO601" s="25"/>
      <c r="IP601" s="25"/>
      <c r="IQ601" s="25"/>
      <c r="IR601" s="25"/>
      <c r="IS601" s="25"/>
      <c r="IT601" s="25"/>
      <c r="IU601" s="25"/>
      <c r="IV601" s="25"/>
      <c r="IW601" s="25"/>
      <c r="IX601" s="25"/>
      <c r="IY601" s="25"/>
      <c r="IZ601" s="25"/>
      <c r="JA601" s="25"/>
      <c r="JB601" s="25"/>
      <c r="JC601" s="25"/>
      <c r="JD601" s="25"/>
      <c r="JE601" s="25"/>
      <c r="JF601" s="25"/>
      <c r="JG601" s="25"/>
      <c r="JH601" s="25"/>
      <c r="JI601" s="25"/>
      <c r="JJ601" s="25"/>
      <c r="JK601" s="25"/>
      <c r="JL601" s="25"/>
      <c r="JM601" s="25"/>
      <c r="JN601" s="25"/>
      <c r="JO601" s="23"/>
      <c r="JP601" s="23"/>
      <c r="JQ601" s="23"/>
      <c r="JR601" s="23"/>
      <c r="JS601" s="23"/>
      <c r="JT601" s="23"/>
      <c r="JU601" s="23"/>
      <c r="JV601" s="23"/>
      <c r="JW601" s="23"/>
      <c r="JX601" s="23"/>
      <c r="JY601" s="23"/>
      <c r="JZ601" s="23"/>
      <c r="KA601" s="23"/>
      <c r="KB601" s="23"/>
    </row>
    <row r="602" spans="1:288" ht="16" x14ac:dyDescent="0.2">
      <c r="B602" s="16">
        <v>2018</v>
      </c>
      <c r="C602" s="124">
        <v>43260</v>
      </c>
      <c r="D602" t="s">
        <v>787</v>
      </c>
      <c r="E602" s="37" t="str">
        <f>CONCATENATE(T602,"-",U602,"-",C602)</f>
        <v>HW2-B4-43260</v>
      </c>
      <c r="F602" s="16" t="s">
        <v>227</v>
      </c>
      <c r="G602" s="126" t="s">
        <v>107</v>
      </c>
      <c r="H602" s="126"/>
      <c r="J602" s="126">
        <v>1470</v>
      </c>
      <c r="K602" s="126">
        <v>2426</v>
      </c>
      <c r="O602" s="126" t="s">
        <v>119</v>
      </c>
      <c r="P602" s="18" t="s">
        <v>119</v>
      </c>
      <c r="Q602" s="18">
        <v>0</v>
      </c>
      <c r="R602" s="18" t="str">
        <f>IF(J602=J601,C602-C601,"")</f>
        <v/>
      </c>
      <c r="T602" s="126" t="s">
        <v>129</v>
      </c>
      <c r="U602" s="126" t="s">
        <v>144</v>
      </c>
      <c r="V602" s="126" t="s">
        <v>114</v>
      </c>
      <c r="X602" s="126" t="s">
        <v>115</v>
      </c>
      <c r="Y602" s="126" t="s">
        <v>110</v>
      </c>
      <c r="Z602" s="126">
        <v>3</v>
      </c>
      <c r="AA602" s="126"/>
      <c r="AB602" s="126"/>
      <c r="AC602" s="126"/>
      <c r="AD602" s="126"/>
      <c r="AE602" s="126" t="s">
        <v>116</v>
      </c>
      <c r="AG602" s="16">
        <f>AH602-AI602</f>
        <v>86</v>
      </c>
      <c r="AH602" s="126">
        <v>165</v>
      </c>
      <c r="AI602" s="126">
        <v>79</v>
      </c>
      <c r="AK602" s="126">
        <v>19.5</v>
      </c>
      <c r="AL602" s="126">
        <v>1</v>
      </c>
      <c r="AM602" s="126">
        <v>0</v>
      </c>
      <c r="AN602" s="126">
        <v>0</v>
      </c>
      <c r="AO602" s="16">
        <f>IF(SUM(AL602:AN602)&gt;0,1,0)</f>
        <v>1</v>
      </c>
      <c r="AP602" s="18">
        <f>SUM(AL602:AN602)</f>
        <v>1</v>
      </c>
      <c r="AR602" s="16">
        <v>0.33600000000000008</v>
      </c>
      <c r="AS602" s="16">
        <f>VLOOKUP(E602,'[1]Feces weights'!$D$1:$H$459,5,FALSE)</f>
        <v>0.33600000000000008</v>
      </c>
      <c r="AT602" s="16" t="str">
        <f>VLOOKUP(E602,[2]Current!$A$1:$W$435,7,FALSE)</f>
        <v>DP</v>
      </c>
      <c r="AU602" s="16" t="s">
        <v>1288</v>
      </c>
      <c r="AW602" s="128">
        <f>IF(AX602&gt;0,1,0)</f>
        <v>1</v>
      </c>
      <c r="AX602" s="128">
        <f>SUM(BA602,BM602,CU602)</f>
        <v>3</v>
      </c>
      <c r="AY602" s="128">
        <f>SUM(BB602,BN602,CV602)</f>
        <v>8666.6666666666642</v>
      </c>
      <c r="AZ602" s="128">
        <f>IF(BA602&gt;0,1,0)</f>
        <v>1</v>
      </c>
      <c r="BA602" s="128">
        <f>SUM(BC602+BF602+BI602)</f>
        <v>3</v>
      </c>
      <c r="BB602" s="128">
        <f>SUM(BE602,BH602,BK602)</f>
        <v>8666.6666666666642</v>
      </c>
      <c r="BC602" s="130">
        <f>IF(BD602&gt;0,1,0)</f>
        <v>1</v>
      </c>
      <c r="BD602" s="128">
        <f>VLOOKUP($E602,[2]Current!$A:$AC,26,FALSE)</f>
        <v>28</v>
      </c>
      <c r="BE602" s="128">
        <f>BD602/$AS602</f>
        <v>83.333333333333314</v>
      </c>
      <c r="BF602" s="130">
        <f>IF(BG602&gt;0,1,0)</f>
        <v>1</v>
      </c>
      <c r="BG602" s="137">
        <f>VLOOKUP($E602,[2]Current!$A:$AC,27,FALSE)</f>
        <v>2672</v>
      </c>
      <c r="BH602" s="128">
        <f>BG602/$AS602</f>
        <v>7952.3809523809505</v>
      </c>
      <c r="BI602" s="130">
        <f>IF(BJ602&gt;0,1,0)</f>
        <v>1</v>
      </c>
      <c r="BJ602" s="128">
        <f>VLOOKUP($E602,[2]Current!$A:$AC,28,FALSE)</f>
        <v>212</v>
      </c>
      <c r="BK602" s="128">
        <f>BJ602/$AS602</f>
        <v>630.95238095238085</v>
      </c>
      <c r="BL602" s="128">
        <f>IF(BM602&gt;0,1,0)</f>
        <v>0</v>
      </c>
      <c r="BM602" s="128">
        <f>SUM(BR602,BU602,BX602,CA602,CD602)</f>
        <v>0</v>
      </c>
      <c r="BN602" s="131">
        <f>SUM(BT602,BW602,BZ602,CC602,CF602)</f>
        <v>0</v>
      </c>
      <c r="BO602" s="128">
        <f>IF(BP602&gt;0,1,0)</f>
        <v>0</v>
      </c>
      <c r="BP602" s="128">
        <f>BM602+CJ602</f>
        <v>0</v>
      </c>
      <c r="BQ602" s="128">
        <f>BN602+CL602</f>
        <v>0</v>
      </c>
      <c r="BR602" s="130">
        <f>IF(BS602&gt;0,1,0)</f>
        <v>0</v>
      </c>
      <c r="BS602" s="128">
        <f>VLOOKUP($E602,[2]Current!$A:$AC,12,FALSE)</f>
        <v>0</v>
      </c>
      <c r="BT602" s="137">
        <f>BS602/$AS602</f>
        <v>0</v>
      </c>
      <c r="BU602" s="130">
        <f>IF(BV602&gt;0,1,0)</f>
        <v>0</v>
      </c>
      <c r="BV602" s="128">
        <f>VLOOKUP($E602,[2]Current!$A:$AC,13,FALSE)</f>
        <v>0</v>
      </c>
      <c r="BW602" s="128">
        <f>BV602/$AS602</f>
        <v>0</v>
      </c>
      <c r="BX602" s="130">
        <f>IF(BY602&gt;0,1,0)</f>
        <v>0</v>
      </c>
      <c r="BY602" s="128">
        <f>VLOOKUP($E602,[2]Current!$A:$AC,14,FALSE)</f>
        <v>0</v>
      </c>
      <c r="BZ602" s="128">
        <f>BY602/$AS602</f>
        <v>0</v>
      </c>
      <c r="CA602" s="130">
        <f>IF(CB602&gt;0,1,0)</f>
        <v>0</v>
      </c>
      <c r="CB602" s="128">
        <f>VLOOKUP($E602,[2]Current!$A:$AC,15,FALSE)</f>
        <v>0</v>
      </c>
      <c r="CC602" s="128">
        <f>CB602/$AS602</f>
        <v>0</v>
      </c>
      <c r="CD602" s="174">
        <f>IF(CE602&gt;0,1,0)</f>
        <v>0</v>
      </c>
      <c r="CE602" s="128">
        <f>VLOOKUP($E602,[2]Current!$A:$AC,16,FALSE)</f>
        <v>0</v>
      </c>
      <c r="CF602" s="128">
        <f>CE602/$AS602</f>
        <v>0</v>
      </c>
      <c r="CG602" s="18"/>
      <c r="CH602" s="18"/>
      <c r="CI602" s="18"/>
      <c r="CJ602" s="130">
        <f>IF(CK602&gt;0,1,0)</f>
        <v>0</v>
      </c>
      <c r="CK602" s="128">
        <f>VLOOKUP($E602,[2]Current!$A:$AC,18,FALSE)</f>
        <v>0</v>
      </c>
      <c r="CL602" s="128">
        <f>CK602/$AS602</f>
        <v>0</v>
      </c>
      <c r="CS602" s="130">
        <f>IF(CU602&gt;0,1,0)</f>
        <v>0</v>
      </c>
      <c r="CU602" s="128">
        <f>VLOOKUP($E602,[2]Current!$A:$AC,17,FALSE)</f>
        <v>0</v>
      </c>
      <c r="CV602" s="128">
        <f>CU602/$AS602</f>
        <v>0</v>
      </c>
      <c r="DF602" s="16" t="e">
        <f>VLOOKUP(K602,'[3]RNA Seq summary tables'!$V$3:$V$99,1,FALSE)</f>
        <v>#N/A</v>
      </c>
      <c r="DG602" s="126"/>
    </row>
    <row r="603" spans="1:288" ht="16" x14ac:dyDescent="0.2">
      <c r="B603" s="16">
        <v>2018</v>
      </c>
      <c r="C603" s="124">
        <v>43277</v>
      </c>
      <c r="D603" t="s">
        <v>872</v>
      </c>
      <c r="E603" s="37" t="str">
        <f>CONCATENATE(T603,"-",U603,"-",C603)</f>
        <v>HW2-A4-43277</v>
      </c>
      <c r="F603" s="16" t="s">
        <v>227</v>
      </c>
      <c r="G603" s="126" t="s">
        <v>107</v>
      </c>
      <c r="H603" s="126"/>
      <c r="J603" s="126">
        <v>1470</v>
      </c>
      <c r="K603" s="126">
        <v>2519</v>
      </c>
      <c r="O603" s="126" t="s">
        <v>119</v>
      </c>
      <c r="P603" s="18" t="s">
        <v>119</v>
      </c>
      <c r="Q603" s="18">
        <v>0</v>
      </c>
      <c r="R603" s="18">
        <f>IF(J603=J602,C603-C602,"")</f>
        <v>17</v>
      </c>
      <c r="T603" s="126" t="s">
        <v>129</v>
      </c>
      <c r="U603" s="126" t="s">
        <v>134</v>
      </c>
      <c r="V603" s="126" t="s">
        <v>114</v>
      </c>
      <c r="X603" s="126" t="s">
        <v>115</v>
      </c>
      <c r="Y603" s="126" t="s">
        <v>110</v>
      </c>
      <c r="Z603" s="126">
        <v>3</v>
      </c>
      <c r="AA603" s="126"/>
      <c r="AB603" s="126"/>
      <c r="AC603" s="126"/>
      <c r="AD603" s="126"/>
      <c r="AE603" s="126" t="s">
        <v>116</v>
      </c>
      <c r="AG603" s="16">
        <f>AH603-AI603</f>
        <v>81</v>
      </c>
      <c r="AH603" s="126">
        <v>160</v>
      </c>
      <c r="AI603" s="126">
        <v>79</v>
      </c>
      <c r="AK603" s="126">
        <v>20.5</v>
      </c>
      <c r="AL603" s="126">
        <v>0</v>
      </c>
      <c r="AM603" s="126">
        <v>0</v>
      </c>
      <c r="AN603" s="126">
        <v>0</v>
      </c>
      <c r="AO603" s="16">
        <f>IF(SUM(AL603:AN603)&gt;0,1,0)</f>
        <v>0</v>
      </c>
      <c r="AP603" s="18">
        <f>SUM(AL603:AN603)</f>
        <v>0</v>
      </c>
      <c r="AR603" s="16">
        <v>0.3530000000000002</v>
      </c>
      <c r="AS603" s="16">
        <f>VLOOKUP(E603,'[1]Feces weights'!$D$1:$H$459,5,FALSE)</f>
        <v>0.3530000000000002</v>
      </c>
      <c r="AT603" s="16" t="str">
        <f>VLOOKUP(E603,[2]Current!$A$1:$W$435,7,FALSE)</f>
        <v>JB</v>
      </c>
      <c r="AU603" s="16" t="s">
        <v>1288</v>
      </c>
      <c r="AW603" s="128">
        <f>IF(AX603&gt;0,1,0)</f>
        <v>1</v>
      </c>
      <c r="AX603" s="128">
        <f>SUM(BA603,BM603,CU603)</f>
        <v>2</v>
      </c>
      <c r="AY603" s="128">
        <f>SUM(BB603,BN603,CV603)</f>
        <v>220.96317280453246</v>
      </c>
      <c r="AZ603" s="128">
        <f>IF(BA603&gt;0,1,0)</f>
        <v>1</v>
      </c>
      <c r="BA603" s="128">
        <f>SUM(BC603+BF603+BI603)</f>
        <v>2</v>
      </c>
      <c r="BB603" s="128">
        <f>SUM(BE603,BH603,BK603)</f>
        <v>220.96317280453246</v>
      </c>
      <c r="BC603" s="130">
        <f>IF(BD603&gt;0,1,0)</f>
        <v>0</v>
      </c>
      <c r="BD603" s="128">
        <f>VLOOKUP($E603,[2]Current!$A:$AC,26,FALSE)</f>
        <v>0</v>
      </c>
      <c r="BE603" s="128">
        <f>BD603/$AS603</f>
        <v>0</v>
      </c>
      <c r="BF603" s="130">
        <f>IF(BG603&gt;0,1,0)</f>
        <v>1</v>
      </c>
      <c r="BG603" s="137">
        <f>VLOOKUP($E603,[2]Current!$A:$AC,27,FALSE)</f>
        <v>72</v>
      </c>
      <c r="BH603" s="128">
        <f>BG603/$AS603</f>
        <v>203.96600566572226</v>
      </c>
      <c r="BI603" s="130">
        <f>IF(BJ603&gt;0,1,0)</f>
        <v>1</v>
      </c>
      <c r="BJ603" s="128">
        <f>VLOOKUP($E603,[2]Current!$A:$AC,28,FALSE)</f>
        <v>6</v>
      </c>
      <c r="BK603" s="128">
        <f>BJ603/$AS603</f>
        <v>16.997167138810187</v>
      </c>
      <c r="BL603" s="128">
        <f>IF(BM603&gt;0,1,0)</f>
        <v>0</v>
      </c>
      <c r="BM603" s="128">
        <f>SUM(BR603,BU603,BX603,CA603,CD603)</f>
        <v>0</v>
      </c>
      <c r="BN603" s="131">
        <f>SUM(BT603,BW603,BZ603,CC603,CF603)</f>
        <v>0</v>
      </c>
      <c r="BO603" s="128">
        <f>IF(BP603&gt;0,1,0)</f>
        <v>0</v>
      </c>
      <c r="BP603" s="128">
        <f>BM603+CJ603</f>
        <v>0</v>
      </c>
      <c r="BQ603" s="128">
        <f>BN603+CL603</f>
        <v>0</v>
      </c>
      <c r="BR603" s="130">
        <f>IF(BS603&gt;0,1,0)</f>
        <v>0</v>
      </c>
      <c r="BS603" s="128">
        <f>VLOOKUP($E603,[2]Current!$A:$AC,12,FALSE)</f>
        <v>0</v>
      </c>
      <c r="BT603" s="137">
        <f>BS603/$AS603</f>
        <v>0</v>
      </c>
      <c r="BU603" s="130">
        <f>IF(BV603&gt;0,1,0)</f>
        <v>0</v>
      </c>
      <c r="BV603" s="128">
        <f>VLOOKUP($E603,[2]Current!$A:$AC,13,FALSE)</f>
        <v>0</v>
      </c>
      <c r="BW603" s="128">
        <f>BV603/$AS603</f>
        <v>0</v>
      </c>
      <c r="BX603" s="130">
        <f>IF(BY603&gt;0,1,0)</f>
        <v>0</v>
      </c>
      <c r="BY603" s="128">
        <f>VLOOKUP($E603,[2]Current!$A:$AC,14,FALSE)</f>
        <v>0</v>
      </c>
      <c r="BZ603" s="128">
        <f>BY603/$AS603</f>
        <v>0</v>
      </c>
      <c r="CA603" s="130">
        <f>IF(CB603&gt;0,1,0)</f>
        <v>0</v>
      </c>
      <c r="CB603" s="128">
        <f>VLOOKUP($E603,[2]Current!$A:$AC,15,FALSE)</f>
        <v>0</v>
      </c>
      <c r="CC603" s="128">
        <f>CB603/$AS603</f>
        <v>0</v>
      </c>
      <c r="CD603" s="174">
        <f>IF(CE603&gt;0,1,0)</f>
        <v>0</v>
      </c>
      <c r="CE603" s="128">
        <f>VLOOKUP($E603,[2]Current!$A:$AC,16,FALSE)</f>
        <v>0</v>
      </c>
      <c r="CF603" s="128">
        <f>CE603/$AS603</f>
        <v>0</v>
      </c>
      <c r="CG603" s="18"/>
      <c r="CH603" s="18"/>
      <c r="CI603" s="18"/>
      <c r="CJ603" s="130">
        <f>IF(CK603&gt;0,1,0)</f>
        <v>0</v>
      </c>
      <c r="CK603" s="128">
        <f>VLOOKUP($E603,[2]Current!$A:$AC,18,FALSE)</f>
        <v>0</v>
      </c>
      <c r="CL603" s="128">
        <f>CK603/$AS603</f>
        <v>0</v>
      </c>
      <c r="CS603" s="130">
        <f>IF(CU603&gt;0,1,0)</f>
        <v>0</v>
      </c>
      <c r="CT603" s="18"/>
      <c r="CU603" s="128">
        <f>VLOOKUP($E603,[2]Current!$A:$AC,17,FALSE)</f>
        <v>0</v>
      </c>
      <c r="CV603" s="128">
        <f>CU603/$AS603</f>
        <v>0</v>
      </c>
      <c r="CW603" s="18"/>
      <c r="CX603" s="18"/>
      <c r="CY603" s="18"/>
      <c r="DF603" s="16" t="e">
        <f>VLOOKUP(K603,'[3]RNA Seq summary tables'!$V$3:$V$99,1,FALSE)</f>
        <v>#N/A</v>
      </c>
      <c r="DG603" s="126" t="s">
        <v>116</v>
      </c>
    </row>
    <row r="604" spans="1:288" ht="16" x14ac:dyDescent="0.2">
      <c r="B604" s="16">
        <v>2018</v>
      </c>
      <c r="C604" s="124">
        <v>43294</v>
      </c>
      <c r="D604" t="s">
        <v>970</v>
      </c>
      <c r="E604" s="37" t="str">
        <f>CONCATENATE(T604,"-",U604,"-",C604)</f>
        <v>HW2-B4-43294</v>
      </c>
      <c r="F604" s="16" t="s">
        <v>227</v>
      </c>
      <c r="G604" s="126" t="s">
        <v>107</v>
      </c>
      <c r="H604" s="126" t="s">
        <v>1139</v>
      </c>
      <c r="J604" s="126">
        <v>1470</v>
      </c>
      <c r="K604" s="126">
        <v>2601</v>
      </c>
      <c r="O604" s="126" t="s">
        <v>119</v>
      </c>
      <c r="P604" s="18" t="s">
        <v>119</v>
      </c>
      <c r="Q604" s="18">
        <v>0</v>
      </c>
      <c r="R604" s="18">
        <f>IF(J604=J603,C604-C603,"")</f>
        <v>17</v>
      </c>
      <c r="T604" s="126" t="s">
        <v>129</v>
      </c>
      <c r="U604" s="126" t="s">
        <v>144</v>
      </c>
      <c r="V604" s="126" t="s">
        <v>114</v>
      </c>
      <c r="X604" s="126" t="s">
        <v>115</v>
      </c>
      <c r="Y604" s="126" t="s">
        <v>110</v>
      </c>
      <c r="Z604" s="126">
        <v>3</v>
      </c>
      <c r="AA604" s="126"/>
      <c r="AB604" s="126"/>
      <c r="AC604" s="126"/>
      <c r="AD604" s="126" t="s">
        <v>116</v>
      </c>
      <c r="AE604" s="126" t="s">
        <v>116</v>
      </c>
      <c r="AG604" s="16">
        <f>AH604-AI604</f>
        <v>85</v>
      </c>
      <c r="AH604" s="126">
        <v>163</v>
      </c>
      <c r="AI604" s="126">
        <v>78</v>
      </c>
      <c r="AK604" s="126">
        <v>21</v>
      </c>
      <c r="AL604" s="126">
        <v>1</v>
      </c>
      <c r="AM604" s="126">
        <v>0</v>
      </c>
      <c r="AN604" s="126">
        <v>0</v>
      </c>
      <c r="AO604" s="16">
        <f>IF(SUM(AL604:AN604)&gt;0,1,0)</f>
        <v>1</v>
      </c>
      <c r="AP604" s="18">
        <f>SUM(AL604:AN604)</f>
        <v>1</v>
      </c>
      <c r="AQ604" s="16" t="s">
        <v>1286</v>
      </c>
      <c r="AT604" s="16" t="str">
        <f>VLOOKUP(E604,[2]Current!$A$1:$W$435,7,FALSE)</f>
        <v>JY</v>
      </c>
      <c r="AU604" s="16" t="s">
        <v>1288</v>
      </c>
      <c r="AV604" s="23"/>
      <c r="AW604" s="128">
        <f>IF(AX604&gt;0,1,0)</f>
        <v>1</v>
      </c>
      <c r="AX604" s="128">
        <f>SUM(BA604,BM604,CU604)</f>
        <v>2</v>
      </c>
      <c r="AY604" s="128"/>
      <c r="AZ604" s="128">
        <f>IF(BA604&gt;0,1,0)</f>
        <v>1</v>
      </c>
      <c r="BA604" s="128">
        <f>SUM(BC604+BF604+BI604)</f>
        <v>1</v>
      </c>
      <c r="BB604" s="128"/>
      <c r="BC604" s="130">
        <f>IF(BD604&gt;0,1,0)</f>
        <v>0</v>
      </c>
      <c r="BD604" s="128">
        <f>VLOOKUP($E604,[2]Current!$A:$AC,26,FALSE)</f>
        <v>0</v>
      </c>
      <c r="BE604" s="128"/>
      <c r="BF604" s="130">
        <f>IF(BG604&gt;0,1,0)</f>
        <v>1</v>
      </c>
      <c r="BG604" s="137">
        <f>VLOOKUP($E604,[2]Current!$A:$AC,27,FALSE)</f>
        <v>260</v>
      </c>
      <c r="BH604" s="128"/>
      <c r="BI604" s="130">
        <f>IF(BJ604&gt;0,1,0)</f>
        <v>0</v>
      </c>
      <c r="BJ604" s="128">
        <f>VLOOKUP($E604,[2]Current!$A:$AC,28,FALSE)</f>
        <v>0</v>
      </c>
      <c r="BK604" s="128"/>
      <c r="BL604" s="128">
        <f>IF(BM604&gt;0,1,0)</f>
        <v>1</v>
      </c>
      <c r="BM604" s="128">
        <f>SUM(BR604,BU604,BX604,CA604,CD604)</f>
        <v>1</v>
      </c>
      <c r="BN604" s="131"/>
      <c r="BO604" s="128">
        <f>IF(BP604&gt;0,1,0)</f>
        <v>1</v>
      </c>
      <c r="BP604" s="128">
        <f>BM604+CJ604</f>
        <v>1</v>
      </c>
      <c r="BQ604" s="128"/>
      <c r="BR604" s="130">
        <f>IF(BS604&gt;0,1,0)</f>
        <v>0</v>
      </c>
      <c r="BS604" s="128">
        <f>VLOOKUP($E604,[2]Current!$A:$AC,12,FALSE)</f>
        <v>0</v>
      </c>
      <c r="BT604" s="137"/>
      <c r="BU604" s="130">
        <f>IF(BV604&gt;0,1,0)</f>
        <v>0</v>
      </c>
      <c r="BV604" s="128">
        <f>VLOOKUP($E604,[2]Current!$A:$AC,13,FALSE)</f>
        <v>0</v>
      </c>
      <c r="BW604" s="128"/>
      <c r="BX604" s="130">
        <f>IF(BY604&gt;0,1,0)</f>
        <v>1</v>
      </c>
      <c r="BY604" s="128">
        <f>VLOOKUP($E604,[2]Current!$A:$AC,14,FALSE)</f>
        <v>16</v>
      </c>
      <c r="BZ604" s="128"/>
      <c r="CA604" s="130">
        <f>IF(CB604&gt;0,1,0)</f>
        <v>0</v>
      </c>
      <c r="CB604" s="128">
        <f>VLOOKUP($E604,[2]Current!$A:$AC,15,FALSE)</f>
        <v>0</v>
      </c>
      <c r="CC604" s="128"/>
      <c r="CD604" s="174">
        <f>IF(CE604&gt;0,1,0)</f>
        <v>0</v>
      </c>
      <c r="CE604" s="128">
        <f>VLOOKUP($E604,[2]Current!$A:$AC,16,FALSE)</f>
        <v>0</v>
      </c>
      <c r="CF604" s="128"/>
      <c r="CG604" s="18"/>
      <c r="CH604" s="18"/>
      <c r="CI604" s="18"/>
      <c r="CJ604" s="130">
        <f>IF(CK604&gt;0,1,0)</f>
        <v>0</v>
      </c>
      <c r="CK604" s="128">
        <f>VLOOKUP($E604,[2]Current!$A:$AC,18,FALSE)</f>
        <v>0</v>
      </c>
      <c r="CL604" s="128"/>
      <c r="CS604" s="130">
        <f>IF(CU604&gt;0,1,0)</f>
        <v>0</v>
      </c>
      <c r="CU604" s="128">
        <f>VLOOKUP($E604,[2]Current!$A:$AC,17,FALSE)</f>
        <v>0</v>
      </c>
      <c r="CV604" s="128"/>
      <c r="CW604" s="18"/>
      <c r="CX604" s="18"/>
      <c r="CY604" s="18"/>
      <c r="DF604" s="16" t="e">
        <f>VLOOKUP(K604,'[3]RNA Seq summary tables'!$V$3:$V$99,1,FALSE)</f>
        <v>#N/A</v>
      </c>
      <c r="DG604" s="126" t="s">
        <v>116</v>
      </c>
    </row>
    <row r="605" spans="1:288" ht="16" x14ac:dyDescent="0.2">
      <c r="B605" s="16">
        <v>2018</v>
      </c>
      <c r="C605" s="189">
        <v>43305</v>
      </c>
      <c r="D605" s="107" t="s">
        <v>1046</v>
      </c>
      <c r="E605" s="44" t="str">
        <f>CONCATENATE(T605,"-",U605,"-",C605)</f>
        <v>HW2-A1-43305</v>
      </c>
      <c r="F605" s="26" t="s">
        <v>227</v>
      </c>
      <c r="G605" s="190" t="s">
        <v>107</v>
      </c>
      <c r="H605" s="190"/>
      <c r="I605" s="26"/>
      <c r="J605" s="190">
        <v>1470</v>
      </c>
      <c r="K605" s="190">
        <v>2694</v>
      </c>
      <c r="O605" s="126" t="s">
        <v>119</v>
      </c>
      <c r="P605" s="18" t="s">
        <v>119</v>
      </c>
      <c r="Q605" s="18">
        <v>0</v>
      </c>
      <c r="R605" s="18">
        <f>IF(J605=J604,C605-C604,"")</f>
        <v>11</v>
      </c>
      <c r="T605" s="126" t="s">
        <v>129</v>
      </c>
      <c r="U605" s="126" t="s">
        <v>210</v>
      </c>
      <c r="V605" s="126" t="s">
        <v>114</v>
      </c>
      <c r="X605" s="126" t="s">
        <v>115</v>
      </c>
      <c r="Y605" s="126" t="s">
        <v>110</v>
      </c>
      <c r="Z605" s="126">
        <v>3</v>
      </c>
      <c r="AA605" s="126"/>
      <c r="AB605" s="126"/>
      <c r="AC605" s="126"/>
      <c r="AD605" s="126" t="s">
        <v>116</v>
      </c>
      <c r="AE605" s="126" t="s">
        <v>116</v>
      </c>
      <c r="AG605" s="40">
        <f>AH605-AI605</f>
        <v>85</v>
      </c>
      <c r="AH605" s="126">
        <v>164</v>
      </c>
      <c r="AI605" s="126">
        <v>79</v>
      </c>
      <c r="AK605" s="126">
        <v>18</v>
      </c>
      <c r="AL605" s="126">
        <v>1</v>
      </c>
      <c r="AM605" s="126">
        <v>0</v>
      </c>
      <c r="AN605" s="126">
        <v>0</v>
      </c>
      <c r="AO605" s="16">
        <f>IF(SUM(AL605:AN605)&gt;0,1,0)</f>
        <v>1</v>
      </c>
      <c r="AP605" s="18">
        <f>SUM(AL605:AN605)</f>
        <v>1</v>
      </c>
      <c r="AR605" s="16">
        <v>0.18300000000000005</v>
      </c>
      <c r="AS605" s="16">
        <f>VLOOKUP(E605,'[1]Feces weights'!$D$1:$H$459,5,FALSE)</f>
        <v>0.18300000000000005</v>
      </c>
      <c r="AT605" s="16" t="e">
        <f>VLOOKUP(E605,[2]Current!$A$1:$W$435,7,FALSE)</f>
        <v>#N/A</v>
      </c>
      <c r="AU605" s="16">
        <v>0</v>
      </c>
      <c r="BG605" s="77"/>
      <c r="BN605" s="126"/>
      <c r="BT605" s="78"/>
      <c r="BU605" s="18"/>
      <c r="BV605" s="18"/>
      <c r="BW605" s="25"/>
      <c r="BX605" s="18"/>
      <c r="BY605" s="18"/>
      <c r="BZ605" s="25"/>
      <c r="CA605" s="18"/>
      <c r="CB605" s="18"/>
      <c r="CC605" s="25"/>
      <c r="CD605" s="78"/>
      <c r="CE605" s="18"/>
      <c r="CF605" s="25"/>
      <c r="CG605" s="18"/>
      <c r="CH605" s="18"/>
      <c r="CI605" s="18"/>
      <c r="CJ605" s="18"/>
      <c r="CK605" s="18"/>
      <c r="CL605" s="25"/>
      <c r="DF605" s="16" t="e">
        <f>VLOOKUP(K605,'[3]RNA Seq summary tables'!$V$3:$V$99,1,FALSE)</f>
        <v>#N/A</v>
      </c>
      <c r="DG605" s="126" t="s">
        <v>116</v>
      </c>
      <c r="JR605" s="30"/>
      <c r="JS605" s="30"/>
      <c r="JT605" s="30"/>
      <c r="JU605" s="30"/>
      <c r="JV605" s="30"/>
      <c r="JW605" s="30"/>
      <c r="JX605" s="30"/>
      <c r="JY605" s="30"/>
      <c r="JZ605" s="30"/>
      <c r="KA605" s="30"/>
      <c r="KB605" s="30"/>
    </row>
    <row r="606" spans="1:288" ht="16" x14ac:dyDescent="0.2">
      <c r="B606" s="16">
        <v>2018</v>
      </c>
      <c r="C606" s="191">
        <v>43305</v>
      </c>
      <c r="D606" s="107" t="s">
        <v>1174</v>
      </c>
      <c r="E606" s="44" t="str">
        <f>CONCATENATE(T606,"-",U606,"-",C606)</f>
        <v>HW2-A1-43305</v>
      </c>
      <c r="F606" s="26" t="s">
        <v>227</v>
      </c>
      <c r="G606" s="192" t="s">
        <v>107</v>
      </c>
      <c r="H606" s="192"/>
      <c r="I606" s="192"/>
      <c r="J606" s="192">
        <v>1470</v>
      </c>
      <c r="K606" s="192">
        <v>2694</v>
      </c>
      <c r="M606" s="16"/>
      <c r="N606" s="16"/>
      <c r="O606" s="145" t="s">
        <v>119</v>
      </c>
      <c r="P606" s="18" t="s">
        <v>119</v>
      </c>
      <c r="Q606" s="18">
        <v>0</v>
      </c>
      <c r="R606" s="18">
        <f>IF(J606=J605,C606-C605,"")</f>
        <v>0</v>
      </c>
      <c r="S606" s="145"/>
      <c r="T606" s="145" t="s">
        <v>129</v>
      </c>
      <c r="U606" s="145" t="s">
        <v>210</v>
      </c>
      <c r="V606" s="145" t="s">
        <v>114</v>
      </c>
      <c r="W606" s="145"/>
      <c r="X606" s="145" t="s">
        <v>115</v>
      </c>
      <c r="Y606" s="145" t="s">
        <v>110</v>
      </c>
      <c r="Z606" s="145">
        <v>3</v>
      </c>
      <c r="AA606" s="145"/>
      <c r="AB606" s="145"/>
      <c r="AC606" s="145"/>
      <c r="AD606" s="145"/>
      <c r="AE606" s="145" t="s">
        <v>116</v>
      </c>
      <c r="AF606" s="145" t="s">
        <v>116</v>
      </c>
      <c r="AG606" s="145">
        <f>AH606-AI606</f>
        <v>85</v>
      </c>
      <c r="AH606" s="145">
        <v>164</v>
      </c>
      <c r="AI606" s="145">
        <v>79</v>
      </c>
      <c r="AJ606" s="145"/>
      <c r="AK606" s="145">
        <v>18</v>
      </c>
      <c r="AL606" s="145">
        <v>1</v>
      </c>
      <c r="AM606" s="145">
        <v>0</v>
      </c>
      <c r="AN606" s="145">
        <v>0</v>
      </c>
      <c r="AO606" s="16">
        <f>IF(SUM(AL606:AN606)&gt;0, 1,0)</f>
        <v>1</v>
      </c>
      <c r="AP606" s="16">
        <f>SUM(AL606:AN606)</f>
        <v>1</v>
      </c>
      <c r="AS606" s="16">
        <f>VLOOKUP(E606,'[1]Feces weights'!$D$1:$H$459,5,FALSE)</f>
        <v>0.18300000000000005</v>
      </c>
      <c r="AT606" s="16" t="e">
        <f>VLOOKUP(E606,[2]Current!$A$1:$W$435,7,FALSE)</f>
        <v>#N/A</v>
      </c>
      <c r="BG606" s="77"/>
      <c r="BT606" s="77"/>
      <c r="CD606" s="77"/>
      <c r="DG606" s="145" t="s">
        <v>116</v>
      </c>
      <c r="DT606" s="145" t="s">
        <v>123</v>
      </c>
      <c r="DU606" s="145"/>
      <c r="DX606" s="145"/>
      <c r="DY606" s="145"/>
      <c r="DZ606" s="16"/>
      <c r="EA606" s="16"/>
      <c r="EB606" s="16"/>
      <c r="EC606" s="16"/>
      <c r="ED606" s="16"/>
      <c r="EE606" s="16"/>
      <c r="EF606" s="16"/>
      <c r="JO606" s="18"/>
      <c r="JP606" s="18"/>
      <c r="JQ606" s="18"/>
      <c r="JR606" s="18"/>
      <c r="JS606" s="18"/>
      <c r="JT606" s="18"/>
      <c r="JU606" s="18"/>
      <c r="JV606" s="18"/>
      <c r="JW606" s="18"/>
      <c r="JX606" s="18"/>
      <c r="JY606" s="18"/>
      <c r="JZ606" s="18"/>
      <c r="KA606" s="18"/>
    </row>
    <row r="607" spans="1:288" ht="16" x14ac:dyDescent="0.2">
      <c r="B607" s="16">
        <v>2018</v>
      </c>
      <c r="C607" s="124">
        <v>43248</v>
      </c>
      <c r="D607" t="s">
        <v>744</v>
      </c>
      <c r="E607" s="37" t="str">
        <f>CONCATENATE(T607,"-",U607,"-",C607)</f>
        <v>PO2-H4-43248</v>
      </c>
      <c r="F607" s="16" t="s">
        <v>227</v>
      </c>
      <c r="G607" s="126" t="s">
        <v>107</v>
      </c>
      <c r="H607" s="126" t="s">
        <v>1094</v>
      </c>
      <c r="J607" s="126">
        <v>1472</v>
      </c>
      <c r="K607" s="126">
        <v>2382</v>
      </c>
      <c r="O607" s="126" t="s">
        <v>119</v>
      </c>
      <c r="P607" s="18" t="s">
        <v>119</v>
      </c>
      <c r="Q607" s="18">
        <v>0</v>
      </c>
      <c r="R607" s="18" t="str">
        <f>IF(J607=J606,C607-C606,"")</f>
        <v/>
      </c>
      <c r="T607" s="126" t="s">
        <v>127</v>
      </c>
      <c r="U607" s="126" t="s">
        <v>151</v>
      </c>
      <c r="V607" s="126" t="s">
        <v>114</v>
      </c>
      <c r="X607" s="126" t="s">
        <v>115</v>
      </c>
      <c r="Y607" s="126" t="s">
        <v>110</v>
      </c>
      <c r="Z607" s="126">
        <v>3</v>
      </c>
      <c r="AA607" s="126"/>
      <c r="AB607" s="126"/>
      <c r="AC607" s="126"/>
      <c r="AD607" s="126"/>
      <c r="AE607" s="126" t="s">
        <v>116</v>
      </c>
      <c r="AG607" s="16">
        <f>AH607-AI607</f>
        <v>83</v>
      </c>
      <c r="AH607" s="126">
        <v>156</v>
      </c>
      <c r="AI607" s="126">
        <v>73</v>
      </c>
      <c r="AK607" s="126">
        <v>24.5</v>
      </c>
      <c r="AL607" s="126">
        <v>0</v>
      </c>
      <c r="AM607" s="126">
        <v>1</v>
      </c>
      <c r="AN607" s="126">
        <v>0</v>
      </c>
      <c r="AO607" s="16">
        <f>IF(SUM(AL607:AN607)&gt;0,1,0)</f>
        <v>1</v>
      </c>
      <c r="AP607" s="18">
        <f>SUM(AL607:AN607)</f>
        <v>1</v>
      </c>
      <c r="AR607" s="16">
        <v>0.41400000000000015</v>
      </c>
      <c r="AS607" s="16">
        <f>VLOOKUP(E607,'[1]Feces weights'!$D$1:$H$459,5,FALSE)</f>
        <v>0.41400000000000015</v>
      </c>
      <c r="AT607" s="16" t="str">
        <f>VLOOKUP(E607,[9]Current!$A:$T,7,FALSE)</f>
        <v>IS</v>
      </c>
      <c r="AU607" s="18" t="s">
        <v>1290</v>
      </c>
      <c r="AW607" s="177">
        <f>IF(AY607&gt;0,1,0)</f>
        <v>1</v>
      </c>
      <c r="AX607" s="177">
        <f>SUM(BA607,BM607,CU607)</f>
        <v>392</v>
      </c>
      <c r="AY607" s="177">
        <f>SUM(BB607,BN607,CV607)</f>
        <v>1140.0966183574874</v>
      </c>
      <c r="AZ607" s="177">
        <f>IF(BB607&gt;0,1,0)</f>
        <v>1</v>
      </c>
      <c r="BA607" s="177">
        <f>SUM(BC607+BF607+BI607)</f>
        <v>1</v>
      </c>
      <c r="BB607" s="177">
        <f>SUM(BE607,BH607,BK607)</f>
        <v>193.23671497584533</v>
      </c>
      <c r="BC607" s="178">
        <f>IF(BD607&gt;0,1,0)</f>
        <v>0</v>
      </c>
      <c r="BD607" s="177">
        <f>VLOOKUP($E607,[9]Current!$1:$1048576,8,FALSE)</f>
        <v>0</v>
      </c>
      <c r="BE607" s="177">
        <f>BD607/$AS607</f>
        <v>0</v>
      </c>
      <c r="BF607" s="178">
        <f>IF(BG607&gt;0,1,0)</f>
        <v>1</v>
      </c>
      <c r="BG607" s="179">
        <f>VLOOKUP($E607,[9]Current!$1:$1048576,9,FALSE)</f>
        <v>80</v>
      </c>
      <c r="BH607" s="177">
        <f>BG607/$AS607</f>
        <v>193.23671497584533</v>
      </c>
      <c r="BI607" s="178">
        <f>IF(BJ607&gt;0,1,0)</f>
        <v>0</v>
      </c>
      <c r="BJ607" s="177">
        <f>VLOOKUP($E607,[9]Current!$1:$1048576,10,FALSE)</f>
        <v>0</v>
      </c>
      <c r="BK607" s="177">
        <f>BJ607/$AS607</f>
        <v>0</v>
      </c>
      <c r="BL607" s="177">
        <f>IF(BM607&gt;0,1,0)</f>
        <v>1</v>
      </c>
      <c r="BM607" s="177">
        <f>SUM(BR607,BU607,BX607,CA607,CD607)</f>
        <v>1</v>
      </c>
      <c r="BN607" s="181">
        <f>SUM(BT607,BW607,BZ607,CC607,CF607)</f>
        <v>4.8309178743961336</v>
      </c>
      <c r="BO607" s="177">
        <f>IF(BP607&gt;0,1,0)</f>
        <v>1</v>
      </c>
      <c r="BP607" s="177">
        <f>BM607+CJ607</f>
        <v>1</v>
      </c>
      <c r="BQ607" s="177">
        <f>BN607+CL607</f>
        <v>4.8309178743961336</v>
      </c>
      <c r="BR607" s="178">
        <f>IF(BS607&gt;0,1,0)</f>
        <v>0</v>
      </c>
      <c r="BS607" s="177">
        <f>VLOOKUP($E607,[9]Current!$1:$1048576,12,FALSE)</f>
        <v>0</v>
      </c>
      <c r="BT607" s="179">
        <f>BS607/$AS607</f>
        <v>0</v>
      </c>
      <c r="BU607" s="178">
        <f>IF(BV607&gt;0,1,0)</f>
        <v>0</v>
      </c>
      <c r="BV607" s="177">
        <f>VLOOKUP($E607,[9]Current!$1:$1048576,13,FALSE)</f>
        <v>0</v>
      </c>
      <c r="BW607" s="177">
        <f>BV607/$AS607</f>
        <v>0</v>
      </c>
      <c r="BX607" s="178">
        <f>IF(BY607&gt;0,1,0)</f>
        <v>0</v>
      </c>
      <c r="BY607" s="177">
        <f>VLOOKUP($E607,[9]Current!$1:$1048576,14,FALSE)</f>
        <v>0</v>
      </c>
      <c r="BZ607" s="177">
        <f>BY607/$AS607</f>
        <v>0</v>
      </c>
      <c r="CA607" s="178">
        <f>IF(CB607&gt;0,1,0)</f>
        <v>1</v>
      </c>
      <c r="CB607" s="177">
        <f>VLOOKUP($E607,[9]Current!$1:$1048576,15,FALSE)</f>
        <v>2</v>
      </c>
      <c r="CC607" s="177">
        <f>CB607/$AS607</f>
        <v>4.8309178743961336</v>
      </c>
      <c r="CD607" s="180">
        <f>IF(CE607&gt;0,1,0)</f>
        <v>0</v>
      </c>
      <c r="CE607" s="177">
        <f>VLOOKUP($E607,[9]Current!$1:$1048576,16,FALSE)</f>
        <v>0</v>
      </c>
      <c r="CF607" s="177">
        <f>CE607/$AS607</f>
        <v>0</v>
      </c>
      <c r="CG607" s="18"/>
      <c r="CH607" s="18"/>
      <c r="CI607" s="18"/>
      <c r="CJ607" s="178">
        <f>IF(CK607&gt;0,1,0)</f>
        <v>0</v>
      </c>
      <c r="CK607" s="177">
        <f>VLOOKUP($E607,[9]Current!$1:$1048576,18,FALSE)</f>
        <v>0</v>
      </c>
      <c r="CL607" s="177">
        <f>CK607/$AS607</f>
        <v>0</v>
      </c>
      <c r="CS607" s="178">
        <f>IF(CU607&gt;0,1,0)</f>
        <v>1</v>
      </c>
      <c r="CT607" s="177"/>
      <c r="CU607" s="177">
        <f>VLOOKUP($E607,[9]Current!$1:$1048576,17,FALSE)</f>
        <v>390</v>
      </c>
      <c r="CV607" s="177">
        <f>CU607/$AS607</f>
        <v>942.02898550724603</v>
      </c>
      <c r="DF607" s="16" t="e">
        <f>VLOOKUP(K607,'[3]RNA Seq summary tables'!$V$3:$V$99,1,FALSE)</f>
        <v>#N/A</v>
      </c>
      <c r="DG607" s="126" t="s">
        <v>123</v>
      </c>
    </row>
    <row r="608" spans="1:288" ht="16" x14ac:dyDescent="0.2">
      <c r="B608" s="16">
        <v>2018</v>
      </c>
      <c r="C608" s="124">
        <v>43283</v>
      </c>
      <c r="D608" t="s">
        <v>892</v>
      </c>
      <c r="E608" s="37" t="str">
        <f>CONCATENATE(T608,"-",U608,"-",C608)</f>
        <v>PO2-D8-43283</v>
      </c>
      <c r="F608" s="16" t="s">
        <v>227</v>
      </c>
      <c r="G608" s="126" t="s">
        <v>107</v>
      </c>
      <c r="H608" s="126" t="s">
        <v>1126</v>
      </c>
      <c r="J608" s="126">
        <v>1472</v>
      </c>
      <c r="K608" s="126">
        <v>2530</v>
      </c>
      <c r="O608" s="126" t="s">
        <v>119</v>
      </c>
      <c r="P608" s="18" t="s">
        <v>119</v>
      </c>
      <c r="Q608" s="18">
        <v>0</v>
      </c>
      <c r="R608" s="18">
        <f>IF(J608=J607,C608-C607,"")</f>
        <v>35</v>
      </c>
      <c r="T608" s="126" t="s">
        <v>127</v>
      </c>
      <c r="U608" s="126" t="s">
        <v>178</v>
      </c>
      <c r="V608" s="126" t="s">
        <v>114</v>
      </c>
      <c r="X608" s="126" t="s">
        <v>115</v>
      </c>
      <c r="Y608" s="126" t="s">
        <v>110</v>
      </c>
      <c r="Z608" s="126">
        <v>3</v>
      </c>
      <c r="AA608" s="126"/>
      <c r="AB608" s="126"/>
      <c r="AC608" s="126"/>
      <c r="AD608" s="126"/>
      <c r="AE608" s="126" t="s">
        <v>116</v>
      </c>
      <c r="AG608" s="16">
        <f>AH608-AI608</f>
        <v>83</v>
      </c>
      <c r="AH608" s="126">
        <v>154</v>
      </c>
      <c r="AI608" s="126">
        <v>71</v>
      </c>
      <c r="AK608" s="126">
        <v>21.5</v>
      </c>
      <c r="AL608" s="126">
        <v>0</v>
      </c>
      <c r="AM608" s="126">
        <v>0</v>
      </c>
      <c r="AN608" s="126">
        <v>0</v>
      </c>
      <c r="AO608" s="16">
        <f>IF(SUM(AL608:AN608)&gt;0,1,0)</f>
        <v>0</v>
      </c>
      <c r="AP608" s="18">
        <f>SUM(AL608:AN608)</f>
        <v>0</v>
      </c>
      <c r="AR608" s="16">
        <v>3.2000000000000028E-2</v>
      </c>
      <c r="AS608" s="16">
        <f>VLOOKUP(E608,'[1]Feces weights'!$D$1:$H$459,5,FALSE)</f>
        <v>3.2000000000000028E-2</v>
      </c>
      <c r="AT608" s="16" t="str">
        <f>VLOOKUP(E608,[2]Current!$A$1:$W$435,7,FALSE)</f>
        <v>DP</v>
      </c>
      <c r="AU608" s="16" t="s">
        <v>1288</v>
      </c>
      <c r="AV608" s="23">
        <v>1</v>
      </c>
      <c r="AW608" s="128">
        <f>IF(AX608&gt;0,1,0)</f>
        <v>0</v>
      </c>
      <c r="AX608" s="128">
        <f>SUM(BA608,BM608,CU608)</f>
        <v>0</v>
      </c>
      <c r="AY608" s="128">
        <f>SUM(BB608,BN608,CV608)</f>
        <v>0</v>
      </c>
      <c r="AZ608" s="128">
        <f>IF(BA608&gt;0,1,0)</f>
        <v>0</v>
      </c>
      <c r="BA608" s="128">
        <f>SUM(BC608+BF608+BI608)</f>
        <v>0</v>
      </c>
      <c r="BB608" s="128">
        <f>SUM(BE608,BH608,BK608)</f>
        <v>0</v>
      </c>
      <c r="BC608" s="130">
        <f>IF(BD608&gt;0,1,0)</f>
        <v>0</v>
      </c>
      <c r="BD608" s="128">
        <f>VLOOKUP($E608,[2]Current!$A:$AC,26,FALSE)</f>
        <v>0</v>
      </c>
      <c r="BE608" s="128">
        <f>BD608/$AS608</f>
        <v>0</v>
      </c>
      <c r="BF608" s="130">
        <f>IF(BG608&gt;0,1,0)</f>
        <v>0</v>
      </c>
      <c r="BG608" s="137">
        <f>VLOOKUP($E608,[2]Current!$A:$AC,27,FALSE)</f>
        <v>0</v>
      </c>
      <c r="BH608" s="128">
        <f>BG608/$AS608</f>
        <v>0</v>
      </c>
      <c r="BI608" s="130">
        <f>IF(BJ608&gt;0,1,0)</f>
        <v>0</v>
      </c>
      <c r="BJ608" s="128">
        <f>VLOOKUP($E608,[2]Current!$A:$AC,28,FALSE)</f>
        <v>0</v>
      </c>
      <c r="BK608" s="128">
        <f>BJ608/$AS608</f>
        <v>0</v>
      </c>
      <c r="BL608" s="128">
        <f>IF(BM608&gt;0,1,0)</f>
        <v>0</v>
      </c>
      <c r="BM608" s="128">
        <f>SUM(BR608,BU608,BX608,CA608,CD608)</f>
        <v>0</v>
      </c>
      <c r="BN608" s="131">
        <f>SUM(BT608,BW608,BZ608,CC608,CF608)</f>
        <v>0</v>
      </c>
      <c r="BO608" s="128">
        <f>IF(BP608&gt;0,1,0)</f>
        <v>0</v>
      </c>
      <c r="BP608" s="128">
        <f>BM608+CJ608</f>
        <v>0</v>
      </c>
      <c r="BQ608" s="128">
        <f>BN608+CL608</f>
        <v>0</v>
      </c>
      <c r="BR608" s="130">
        <f>IF(BS608&gt;0,1,0)</f>
        <v>0</v>
      </c>
      <c r="BS608" s="128">
        <f>VLOOKUP($E608,[2]Current!$A:$AC,12,FALSE)</f>
        <v>0</v>
      </c>
      <c r="BT608" s="137">
        <f>BS608/$AS608</f>
        <v>0</v>
      </c>
      <c r="BU608" s="130">
        <f>IF(BV608&gt;0,1,0)</f>
        <v>0</v>
      </c>
      <c r="BV608" s="128">
        <f>VLOOKUP($E608,[2]Current!$A:$AC,13,FALSE)</f>
        <v>0</v>
      </c>
      <c r="BW608" s="128">
        <f>BV608/$AS608</f>
        <v>0</v>
      </c>
      <c r="BX608" s="130">
        <f>IF(BY608&gt;0,1,0)</f>
        <v>0</v>
      </c>
      <c r="BY608" s="128">
        <f>VLOOKUP($E608,[2]Current!$A:$AC,14,FALSE)</f>
        <v>0</v>
      </c>
      <c r="BZ608" s="128">
        <f>BY608/$AS608</f>
        <v>0</v>
      </c>
      <c r="CA608" s="130">
        <f>IF(CB608&gt;0,1,0)</f>
        <v>0</v>
      </c>
      <c r="CB608" s="128">
        <f>VLOOKUP($E608,[2]Current!$A:$AC,15,FALSE)</f>
        <v>0</v>
      </c>
      <c r="CC608" s="128">
        <f>CB608/$AS608</f>
        <v>0</v>
      </c>
      <c r="CD608" s="174">
        <f>IF(CE608&gt;0,1,0)</f>
        <v>0</v>
      </c>
      <c r="CE608" s="128">
        <f>VLOOKUP($E608,[2]Current!$A:$AC,16,FALSE)</f>
        <v>0</v>
      </c>
      <c r="CF608" s="128">
        <f>CE608/$AS608</f>
        <v>0</v>
      </c>
      <c r="CG608" s="18"/>
      <c r="CH608" s="18"/>
      <c r="CI608" s="18"/>
      <c r="CJ608" s="130">
        <f>IF(CK608&gt;0,1,0)</f>
        <v>0</v>
      </c>
      <c r="CK608" s="128">
        <f>VLOOKUP($E608,[2]Current!$A:$AC,18,FALSE)</f>
        <v>0</v>
      </c>
      <c r="CL608" s="128">
        <f>CK608/$AS608</f>
        <v>0</v>
      </c>
      <c r="CS608" s="130">
        <f>IF(CU608&gt;0,1,0)</f>
        <v>0</v>
      </c>
      <c r="CU608" s="128">
        <f>VLOOKUP($E608,[2]Current!$A:$AC,17,FALSE)</f>
        <v>0</v>
      </c>
      <c r="CV608" s="128">
        <f>CU608/$AS608</f>
        <v>0</v>
      </c>
      <c r="CW608" s="18"/>
      <c r="CX608" s="18"/>
      <c r="CY608" s="18"/>
      <c r="DF608" s="16" t="e">
        <f>VLOOKUP(K608,'[3]RNA Seq summary tables'!$V$3:$V$99,1,FALSE)</f>
        <v>#N/A</v>
      </c>
      <c r="DG608" s="126" t="s">
        <v>116</v>
      </c>
      <c r="JR608" s="29"/>
      <c r="JS608" s="29"/>
      <c r="JT608" s="29"/>
      <c r="JU608" s="29"/>
      <c r="JV608" s="29"/>
      <c r="JW608" s="29"/>
      <c r="JX608" s="29"/>
      <c r="JY608" s="29"/>
      <c r="JZ608" s="29"/>
      <c r="KA608" s="29"/>
      <c r="KB608" s="29"/>
    </row>
    <row r="609" spans="2:288" ht="16" x14ac:dyDescent="0.2">
      <c r="B609" s="16">
        <v>2018</v>
      </c>
      <c r="C609" s="124">
        <v>43296</v>
      </c>
      <c r="D609" t="s">
        <v>1000</v>
      </c>
      <c r="E609" s="142" t="str">
        <f>CONCATENATE(T609,"-",U609,"-",C609)</f>
        <v>PO2-E7-43296</v>
      </c>
      <c r="F609" s="16" t="s">
        <v>227</v>
      </c>
      <c r="G609" s="126" t="s">
        <v>107</v>
      </c>
      <c r="H609" s="126" t="s">
        <v>1126</v>
      </c>
      <c r="J609" s="126">
        <v>1472</v>
      </c>
      <c r="K609" s="126">
        <v>2626</v>
      </c>
      <c r="O609" s="126" t="s">
        <v>119</v>
      </c>
      <c r="P609" s="18" t="s">
        <v>119</v>
      </c>
      <c r="Q609" s="18">
        <v>0</v>
      </c>
      <c r="R609" s="18">
        <f>IF(J609=J608,C609-C608,"")</f>
        <v>13</v>
      </c>
      <c r="T609" s="126" t="s">
        <v>127</v>
      </c>
      <c r="U609" s="126" t="s">
        <v>135</v>
      </c>
      <c r="V609" s="126" t="s">
        <v>114</v>
      </c>
      <c r="X609" s="126" t="s">
        <v>115</v>
      </c>
      <c r="Y609" s="126" t="s">
        <v>110</v>
      </c>
      <c r="Z609" s="126">
        <v>3</v>
      </c>
      <c r="AA609" s="126"/>
      <c r="AB609" s="126"/>
      <c r="AC609" s="126"/>
      <c r="AD609" s="126" t="s">
        <v>116</v>
      </c>
      <c r="AE609" s="126" t="s">
        <v>116</v>
      </c>
      <c r="AG609" s="40">
        <f>AH609-AI609</f>
        <v>75</v>
      </c>
      <c r="AH609" s="126">
        <v>150</v>
      </c>
      <c r="AI609" s="126">
        <v>75</v>
      </c>
      <c r="AK609" s="126">
        <v>22</v>
      </c>
      <c r="AL609" s="126">
        <v>0</v>
      </c>
      <c r="AM609" s="126">
        <v>0</v>
      </c>
      <c r="AN609" s="126">
        <v>0</v>
      </c>
      <c r="AO609" s="16">
        <f>IF(SUM(AL609:AN609)&gt;0,1,0)</f>
        <v>0</v>
      </c>
      <c r="AP609" s="18">
        <f>SUM(AL609:AN609)</f>
        <v>0</v>
      </c>
      <c r="AR609" s="16">
        <v>0.33500000000000019</v>
      </c>
      <c r="AS609" s="16">
        <f>VLOOKUP(E609,'[1]Feces weights'!$D$1:$H$459,5,FALSE)</f>
        <v>0.33500000000000019</v>
      </c>
      <c r="AT609" s="16" t="e">
        <f>VLOOKUP(E609,[2]Current!$A$1:$W$435,7,FALSE)</f>
        <v>#N/A</v>
      </c>
      <c r="AU609" s="16">
        <v>0</v>
      </c>
      <c r="BG609" s="77"/>
      <c r="BN609" s="126"/>
      <c r="BT609" s="78"/>
      <c r="BU609" s="18"/>
      <c r="BV609" s="18"/>
      <c r="BW609" s="25"/>
      <c r="BX609" s="18"/>
      <c r="BY609" s="18"/>
      <c r="BZ609" s="25"/>
      <c r="CA609" s="18"/>
      <c r="CB609" s="18"/>
      <c r="CC609" s="25"/>
      <c r="CD609" s="78"/>
      <c r="CE609" s="18"/>
      <c r="CF609" s="25"/>
      <c r="CG609" s="18"/>
      <c r="CH609" s="18"/>
      <c r="CI609" s="18"/>
      <c r="CJ609" s="18"/>
      <c r="CK609" s="18"/>
      <c r="CL609" s="25"/>
      <c r="DF609" s="16" t="e">
        <f>VLOOKUP(K609,'[3]RNA Seq summary tables'!$V$3:$V$99,1,FALSE)</f>
        <v>#N/A</v>
      </c>
      <c r="DG609" s="126" t="s">
        <v>116</v>
      </c>
    </row>
    <row r="610" spans="2:288" ht="16" x14ac:dyDescent="0.2">
      <c r="B610" s="16">
        <v>2018</v>
      </c>
      <c r="C610" s="124">
        <v>43248</v>
      </c>
      <c r="D610" t="s">
        <v>748</v>
      </c>
      <c r="E610" s="37" t="str">
        <f>CONCATENATE(T610,"-",U610,"-",C610)</f>
        <v>PO2-F2-43248</v>
      </c>
      <c r="F610" s="16" t="s">
        <v>227</v>
      </c>
      <c r="G610" s="126" t="s">
        <v>107</v>
      </c>
      <c r="H610" s="126" t="s">
        <v>1094</v>
      </c>
      <c r="I610" s="23"/>
      <c r="J610" s="126">
        <v>1474</v>
      </c>
      <c r="K610" s="126">
        <v>2380</v>
      </c>
      <c r="L610" s="23"/>
      <c r="O610" s="126" t="s">
        <v>119</v>
      </c>
      <c r="P610" s="25" t="s">
        <v>119</v>
      </c>
      <c r="Q610" s="25">
        <v>0</v>
      </c>
      <c r="R610" s="25" t="str">
        <f>IF(J610=J609,C610-C609,"")</f>
        <v/>
      </c>
      <c r="S610" s="23"/>
      <c r="T610" s="126" t="s">
        <v>127</v>
      </c>
      <c r="U610" s="126" t="s">
        <v>187</v>
      </c>
      <c r="V610" s="126" t="s">
        <v>114</v>
      </c>
      <c r="W610" s="23"/>
      <c r="X610" s="126" t="s">
        <v>115</v>
      </c>
      <c r="Y610" s="126" t="s">
        <v>110</v>
      </c>
      <c r="Z610" s="126">
        <v>3</v>
      </c>
      <c r="AA610" s="126"/>
      <c r="AB610" s="126"/>
      <c r="AC610" s="126"/>
      <c r="AD610" s="126"/>
      <c r="AE610" s="126" t="s">
        <v>123</v>
      </c>
      <c r="AF610" s="23"/>
      <c r="AG610" s="23">
        <f>AH610-AI610</f>
        <v>84</v>
      </c>
      <c r="AH610" s="126">
        <v>160</v>
      </c>
      <c r="AI610" s="126">
        <v>76</v>
      </c>
      <c r="AJ610" s="23"/>
      <c r="AK610" s="126">
        <v>20.5</v>
      </c>
      <c r="AL610" s="126">
        <v>1</v>
      </c>
      <c r="AM610" s="126">
        <v>0</v>
      </c>
      <c r="AN610" s="126">
        <v>0</v>
      </c>
      <c r="AO610" s="23">
        <f>IF(SUM(AL610:AN610)&gt;0,1,0)</f>
        <v>1</v>
      </c>
      <c r="AP610" s="25">
        <f>SUM(AL610:AN610)</f>
        <v>1</v>
      </c>
      <c r="AQ610" s="23"/>
      <c r="AR610" s="23">
        <v>0.78600000000000025</v>
      </c>
      <c r="AS610" s="16">
        <f>VLOOKUP(E610,'[1]Feces weights'!$D$1:$H$459,5,FALSE)</f>
        <v>0.78600000000000025</v>
      </c>
      <c r="AT610" s="16" t="str">
        <f>VLOOKUP(E610,[9]Current!$A:$T,7,FALSE)</f>
        <v>JB</v>
      </c>
      <c r="AU610" s="18" t="s">
        <v>1290</v>
      </c>
      <c r="AW610" s="177">
        <f>IF(AY610&gt;0,1,0)</f>
        <v>1</v>
      </c>
      <c r="AX610" s="177">
        <f>SUM(BA610,BM610,CU610)</f>
        <v>2</v>
      </c>
      <c r="AY610" s="177">
        <f>SUM(BB610,BN610,CV610)</f>
        <v>22.900763358778619</v>
      </c>
      <c r="AZ610" s="177">
        <f>IF(BB610&gt;0,1,0)</f>
        <v>0</v>
      </c>
      <c r="BA610" s="177">
        <f>SUM(BC610+BF610+BI610)</f>
        <v>0</v>
      </c>
      <c r="BB610" s="177">
        <f>SUM(BE610,BH610,BK610)</f>
        <v>0</v>
      </c>
      <c r="BC610" s="178">
        <f>IF(BD610&gt;0,1,0)</f>
        <v>0</v>
      </c>
      <c r="BD610" s="177">
        <f>VLOOKUP($E610,[9]Current!$1:$1048576,8,FALSE)</f>
        <v>0</v>
      </c>
      <c r="BE610" s="177">
        <f>BD610/$AS610</f>
        <v>0</v>
      </c>
      <c r="BF610" s="178">
        <f>IF(BG610&gt;0,1,0)</f>
        <v>0</v>
      </c>
      <c r="BG610" s="179">
        <f>VLOOKUP($E610,[9]Current!$1:$1048576,9,FALSE)</f>
        <v>0</v>
      </c>
      <c r="BH610" s="177">
        <f>BG610/$AS610</f>
        <v>0</v>
      </c>
      <c r="BI610" s="178">
        <f>IF(BJ610&gt;0,1,0)</f>
        <v>0</v>
      </c>
      <c r="BJ610" s="177">
        <f>VLOOKUP($E610,[9]Current!$1:$1048576,10,FALSE)</f>
        <v>0</v>
      </c>
      <c r="BK610" s="177">
        <f>BJ610/$AS610</f>
        <v>0</v>
      </c>
      <c r="BL610" s="177">
        <f>IF(BM610&gt;0,1,0)</f>
        <v>1</v>
      </c>
      <c r="BM610" s="177">
        <f>SUM(BR610,BU610,BX610,CA610,CD610)</f>
        <v>2</v>
      </c>
      <c r="BN610" s="181">
        <f>SUM(BT610,BW610,BZ610,CC610,CF610)</f>
        <v>22.900763358778619</v>
      </c>
      <c r="BO610" s="177">
        <f>IF(BP610&gt;0,1,0)</f>
        <v>1</v>
      </c>
      <c r="BP610" s="177">
        <f>BM610+CJ610</f>
        <v>2</v>
      </c>
      <c r="BQ610" s="177">
        <f>BN610+CL610</f>
        <v>22.900763358778619</v>
      </c>
      <c r="BR610" s="178">
        <f>IF(BS610&gt;0,1,0)</f>
        <v>1</v>
      </c>
      <c r="BS610" s="177">
        <f>VLOOKUP($E610,[9]Current!$1:$1048576,12,FALSE)</f>
        <v>14</v>
      </c>
      <c r="BT610" s="179">
        <f>BS610/$AS610</f>
        <v>17.811704834605592</v>
      </c>
      <c r="BU610" s="178">
        <f>IF(BV610&gt;0,1,0)</f>
        <v>1</v>
      </c>
      <c r="BV610" s="177">
        <f>VLOOKUP($E610,[9]Current!$1:$1048576,13,FALSE)</f>
        <v>4</v>
      </c>
      <c r="BW610" s="177">
        <f>BV610/$AS610</f>
        <v>5.0890585241730264</v>
      </c>
      <c r="BX610" s="178">
        <f>IF(BY610&gt;0,1,0)</f>
        <v>0</v>
      </c>
      <c r="BY610" s="177">
        <f>VLOOKUP($E610,[9]Current!$1:$1048576,14,FALSE)</f>
        <v>0</v>
      </c>
      <c r="BZ610" s="177">
        <f>BY610/$AS610</f>
        <v>0</v>
      </c>
      <c r="CA610" s="178">
        <f>IF(CB610&gt;0,1,0)</f>
        <v>0</v>
      </c>
      <c r="CB610" s="177">
        <f>VLOOKUP($E610,[9]Current!$1:$1048576,15,FALSE)</f>
        <v>0</v>
      </c>
      <c r="CC610" s="177">
        <f>CB610/$AS610</f>
        <v>0</v>
      </c>
      <c r="CD610" s="180">
        <f>IF(CE610&gt;0,1,0)</f>
        <v>0</v>
      </c>
      <c r="CE610" s="177">
        <f>VLOOKUP($E610,[9]Current!$1:$1048576,16,FALSE)</f>
        <v>0</v>
      </c>
      <c r="CF610" s="177">
        <f>CE610/$AS610</f>
        <v>0</v>
      </c>
      <c r="CG610" s="18"/>
      <c r="CH610" s="18"/>
      <c r="CI610" s="18"/>
      <c r="CJ610" s="178">
        <f>IF(CK610&gt;0,1,0)</f>
        <v>0</v>
      </c>
      <c r="CK610" s="177">
        <f>VLOOKUP($E610,[9]Current!$1:$1048576,18,FALSE)</f>
        <v>0</v>
      </c>
      <c r="CL610" s="177">
        <f>CK610/$AS610</f>
        <v>0</v>
      </c>
      <c r="CS610" s="178">
        <f>IF(CU610&gt;0,1,0)</f>
        <v>0</v>
      </c>
      <c r="CT610" s="177"/>
      <c r="CU610" s="177">
        <f>VLOOKUP($E610,[9]Current!$1:$1048576,17,FALSE)</f>
        <v>0</v>
      </c>
      <c r="CV610" s="177">
        <f>CU610/$AS610</f>
        <v>0</v>
      </c>
      <c r="DC610" s="23"/>
      <c r="DD610" s="23"/>
      <c r="DE610" s="23"/>
      <c r="DF610" s="16" t="e">
        <f>VLOOKUP(K610,'[3]RNA Seq summary tables'!$V$3:$V$99,1,FALSE)</f>
        <v>#N/A</v>
      </c>
      <c r="DG610" s="126" t="s">
        <v>123</v>
      </c>
      <c r="DH610" s="23"/>
      <c r="DI610" s="23"/>
      <c r="DJ610" s="23"/>
      <c r="DK610" s="23"/>
      <c r="DL610" s="23"/>
      <c r="DM610" s="23"/>
      <c r="DN610" s="23"/>
      <c r="DO610" s="23"/>
      <c r="DP610" s="23"/>
      <c r="DQ610" s="23"/>
      <c r="DR610" s="23"/>
      <c r="DS610" s="23"/>
      <c r="DT610" s="25"/>
      <c r="DU610" s="25"/>
      <c r="DV610" s="25"/>
      <c r="DW610" s="25"/>
      <c r="DX610" s="25"/>
      <c r="DY610" s="25"/>
      <c r="DZ610" s="25"/>
      <c r="EA610" s="25"/>
      <c r="EB610" s="25"/>
      <c r="EC610" s="25"/>
      <c r="ED610" s="25"/>
      <c r="EE610" s="25"/>
      <c r="EF610" s="25"/>
      <c r="EG610" s="25"/>
      <c r="EH610" s="25"/>
      <c r="EI610" s="25"/>
      <c r="EJ610" s="25"/>
      <c r="EK610" s="25"/>
      <c r="EL610" s="25"/>
      <c r="EM610" s="25"/>
      <c r="EN610" s="25"/>
      <c r="EO610" s="25"/>
      <c r="EP610" s="25"/>
      <c r="EQ610" s="25"/>
      <c r="ER610" s="25"/>
      <c r="ES610" s="25"/>
      <c r="ET610" s="25"/>
      <c r="EU610" s="25"/>
      <c r="EV610" s="25"/>
      <c r="EW610" s="25"/>
      <c r="EX610" s="25"/>
      <c r="EY610" s="25"/>
      <c r="EZ610" s="25"/>
      <c r="FA610" s="25"/>
      <c r="FB610" s="25"/>
      <c r="FC610" s="25"/>
      <c r="FD610" s="25"/>
      <c r="FE610" s="25"/>
      <c r="FF610" s="25"/>
      <c r="FG610" s="25"/>
      <c r="FH610" s="25"/>
      <c r="FI610" s="25"/>
      <c r="FJ610" s="25"/>
      <c r="FK610" s="25"/>
      <c r="FL610" s="25"/>
      <c r="FM610" s="25"/>
      <c r="FN610" s="25"/>
      <c r="FO610" s="25"/>
      <c r="FP610" s="25"/>
      <c r="FQ610" s="25"/>
      <c r="FR610" s="25"/>
      <c r="FS610" s="25"/>
      <c r="FT610" s="25"/>
      <c r="FU610" s="25"/>
      <c r="FV610" s="25"/>
      <c r="FW610" s="25"/>
      <c r="FX610" s="25"/>
      <c r="FY610" s="25"/>
      <c r="FZ610" s="25"/>
      <c r="GA610" s="25"/>
      <c r="GB610" s="25"/>
      <c r="GC610" s="25"/>
      <c r="GD610" s="25"/>
      <c r="GE610" s="25"/>
      <c r="GF610" s="25"/>
      <c r="GG610" s="25"/>
      <c r="GH610" s="25"/>
      <c r="GI610" s="25"/>
      <c r="GJ610" s="25"/>
      <c r="GK610" s="25"/>
      <c r="GL610" s="25"/>
      <c r="GM610" s="25"/>
      <c r="GN610" s="25"/>
      <c r="GO610" s="25"/>
      <c r="GP610" s="25"/>
      <c r="GQ610" s="25"/>
      <c r="GR610" s="25"/>
      <c r="GS610" s="25"/>
      <c r="GT610" s="25"/>
      <c r="GU610" s="25"/>
      <c r="GV610" s="25"/>
      <c r="GW610" s="25"/>
      <c r="GX610" s="25"/>
      <c r="GY610" s="25"/>
      <c r="GZ610" s="25"/>
      <c r="HA610" s="25"/>
      <c r="HB610" s="25"/>
      <c r="HC610" s="25"/>
      <c r="HD610" s="25"/>
      <c r="HE610" s="25"/>
      <c r="HF610" s="25"/>
      <c r="HG610" s="25"/>
      <c r="HH610" s="25"/>
      <c r="HI610" s="25"/>
      <c r="HJ610" s="25"/>
      <c r="HK610" s="25"/>
      <c r="HL610" s="25"/>
      <c r="HM610" s="25"/>
      <c r="HN610" s="25"/>
      <c r="HO610" s="25"/>
      <c r="HP610" s="25"/>
      <c r="HQ610" s="25"/>
      <c r="HR610" s="25"/>
      <c r="HS610" s="25"/>
      <c r="HT610" s="25"/>
      <c r="HU610" s="25"/>
      <c r="HV610" s="25"/>
      <c r="HW610" s="25"/>
      <c r="HX610" s="25"/>
      <c r="HY610" s="25"/>
      <c r="HZ610" s="25"/>
      <c r="IA610" s="25"/>
      <c r="IB610" s="25"/>
      <c r="IC610" s="25"/>
      <c r="ID610" s="25"/>
      <c r="IE610" s="25"/>
      <c r="IF610" s="25"/>
      <c r="IG610" s="25"/>
      <c r="IH610" s="25"/>
      <c r="II610" s="25"/>
      <c r="IJ610" s="25"/>
      <c r="IK610" s="25"/>
      <c r="IL610" s="25"/>
      <c r="IM610" s="25"/>
      <c r="IN610" s="25"/>
      <c r="IO610" s="25"/>
      <c r="IP610" s="25"/>
      <c r="IQ610" s="25"/>
      <c r="IR610" s="25"/>
      <c r="IS610" s="25"/>
      <c r="IT610" s="25"/>
      <c r="IU610" s="25"/>
      <c r="IV610" s="25"/>
      <c r="IW610" s="25"/>
      <c r="IX610" s="25"/>
      <c r="IY610" s="25"/>
      <c r="IZ610" s="25"/>
      <c r="JA610" s="25"/>
      <c r="JB610" s="25"/>
      <c r="JC610" s="25"/>
      <c r="JD610" s="25"/>
      <c r="JE610" s="25"/>
      <c r="JF610" s="25"/>
      <c r="JG610" s="25"/>
      <c r="JH610" s="25"/>
      <c r="JI610" s="25"/>
      <c r="JJ610" s="25"/>
      <c r="JK610" s="25"/>
      <c r="JL610" s="25"/>
      <c r="JM610" s="25"/>
      <c r="JN610" s="25"/>
      <c r="JO610" s="23"/>
      <c r="JP610" s="23"/>
      <c r="JQ610" s="23"/>
      <c r="JR610" s="23"/>
      <c r="JS610" s="23"/>
      <c r="JT610" s="23"/>
      <c r="JU610" s="23"/>
      <c r="JV610" s="23"/>
      <c r="JW610" s="23"/>
      <c r="JX610" s="23"/>
      <c r="JY610" s="23"/>
      <c r="JZ610" s="23"/>
      <c r="KA610" s="23"/>
      <c r="KB610" s="23"/>
    </row>
    <row r="611" spans="2:288" ht="16" x14ac:dyDescent="0.2">
      <c r="B611" s="16">
        <v>2018</v>
      </c>
      <c r="C611" s="124">
        <v>43266</v>
      </c>
      <c r="D611" t="s">
        <v>804</v>
      </c>
      <c r="E611" s="37" t="str">
        <f>CONCATENATE(T611,"-",U611,"-",C611)</f>
        <v>PO2-G1-43266</v>
      </c>
      <c r="F611" s="16" t="s">
        <v>227</v>
      </c>
      <c r="G611" s="126" t="s">
        <v>107</v>
      </c>
      <c r="H611" s="126" t="s">
        <v>1102</v>
      </c>
      <c r="J611" s="126">
        <v>1474</v>
      </c>
      <c r="K611" s="126">
        <v>2438</v>
      </c>
      <c r="O611" s="126" t="s">
        <v>119</v>
      </c>
      <c r="P611" s="18" t="s">
        <v>119</v>
      </c>
      <c r="Q611" s="18">
        <v>0</v>
      </c>
      <c r="R611" s="18">
        <f>IF(J611=J610,C611-C610,"")</f>
        <v>18</v>
      </c>
      <c r="T611" s="126" t="s">
        <v>127</v>
      </c>
      <c r="U611" s="126" t="s">
        <v>155</v>
      </c>
      <c r="V611" s="126" t="s">
        <v>114</v>
      </c>
      <c r="X611" s="126" t="s">
        <v>115</v>
      </c>
      <c r="Y611" s="126" t="s">
        <v>110</v>
      </c>
      <c r="Z611" s="126">
        <v>3</v>
      </c>
      <c r="AA611" s="126"/>
      <c r="AB611" s="126"/>
      <c r="AC611" s="126"/>
      <c r="AD611" s="126"/>
      <c r="AE611" s="126" t="s">
        <v>123</v>
      </c>
      <c r="AG611" s="16">
        <f>AH611-AI611</f>
        <v>84</v>
      </c>
      <c r="AH611" s="126">
        <v>160</v>
      </c>
      <c r="AI611" s="126">
        <v>76</v>
      </c>
      <c r="AK611" s="126">
        <v>20</v>
      </c>
      <c r="AL611" s="126">
        <v>0</v>
      </c>
      <c r="AM611" s="126">
        <v>0</v>
      </c>
      <c r="AN611" s="126">
        <v>0</v>
      </c>
      <c r="AO611" s="16">
        <f>IF(SUM(AL611:AN611)&gt;0,1,0)</f>
        <v>0</v>
      </c>
      <c r="AP611" s="18">
        <f>SUM(AL611:AN611)</f>
        <v>0</v>
      </c>
      <c r="AR611" s="16">
        <v>0.2370000000000001</v>
      </c>
      <c r="AS611" s="16">
        <f>VLOOKUP(E611,'[1]Feces weights'!$D$1:$H$459,5,FALSE)</f>
        <v>0.2370000000000001</v>
      </c>
      <c r="AT611" s="16" t="str">
        <f>VLOOKUP(E611,[2]Current!$A$1:$W$435,7,FALSE)</f>
        <v>TE</v>
      </c>
      <c r="AU611" s="16" t="s">
        <v>1288</v>
      </c>
      <c r="AV611" s="23">
        <v>1</v>
      </c>
      <c r="AW611" s="128">
        <f>IF(AX611&gt;0,1,0)</f>
        <v>0</v>
      </c>
      <c r="AX611" s="128">
        <f>SUM(BA611,BM611,CU611)</f>
        <v>0</v>
      </c>
      <c r="AY611" s="128">
        <f>SUM(BB611,BN611,CV611)</f>
        <v>0</v>
      </c>
      <c r="AZ611" s="128">
        <f>IF(BA611&gt;0,1,0)</f>
        <v>0</v>
      </c>
      <c r="BA611" s="128">
        <f>SUM(BC611+BF611+BI611)</f>
        <v>0</v>
      </c>
      <c r="BB611" s="128">
        <f>SUM(BE611,BH611,BK611)</f>
        <v>0</v>
      </c>
      <c r="BC611" s="130">
        <f>IF(BD611&gt;0,1,0)</f>
        <v>0</v>
      </c>
      <c r="BD611" s="128">
        <f>VLOOKUP($E611,[2]Current!$A:$AC,26,FALSE)</f>
        <v>0</v>
      </c>
      <c r="BE611" s="128">
        <f>BD611/$AS611</f>
        <v>0</v>
      </c>
      <c r="BF611" s="130">
        <f>IF(BG611&gt;0,1,0)</f>
        <v>0</v>
      </c>
      <c r="BG611" s="137">
        <f>VLOOKUP($E611,[2]Current!$A:$AC,27,FALSE)</f>
        <v>0</v>
      </c>
      <c r="BH611" s="128">
        <f>BG611/$AS611</f>
        <v>0</v>
      </c>
      <c r="BI611" s="130">
        <f>IF(BJ611&gt;0,1,0)</f>
        <v>0</v>
      </c>
      <c r="BJ611" s="128">
        <f>VLOOKUP($E611,[2]Current!$A:$AC,28,FALSE)</f>
        <v>0</v>
      </c>
      <c r="BK611" s="128">
        <f>BJ611/$AS611</f>
        <v>0</v>
      </c>
      <c r="BL611" s="128">
        <f>IF(BM611&gt;0,1,0)</f>
        <v>0</v>
      </c>
      <c r="BM611" s="128">
        <f>SUM(BR611,BU611,BX611,CA611,CD611)</f>
        <v>0</v>
      </c>
      <c r="BN611" s="131">
        <f>SUM(BT611,BW611,BZ611,CC611,CF611)</f>
        <v>0</v>
      </c>
      <c r="BO611" s="128">
        <f>IF(BP611&gt;0,1,0)</f>
        <v>0</v>
      </c>
      <c r="BP611" s="128">
        <f>BM611+CJ611</f>
        <v>0</v>
      </c>
      <c r="BQ611" s="128">
        <f>BN611+CL611</f>
        <v>0</v>
      </c>
      <c r="BR611" s="130">
        <f>IF(BS611&gt;0,1,0)</f>
        <v>0</v>
      </c>
      <c r="BS611" s="128">
        <f>VLOOKUP($E611,[2]Current!$A:$AC,12,FALSE)</f>
        <v>0</v>
      </c>
      <c r="BT611" s="137">
        <f>BS611/$AS611</f>
        <v>0</v>
      </c>
      <c r="BU611" s="130">
        <f>IF(BV611&gt;0,1,0)</f>
        <v>0</v>
      </c>
      <c r="BV611" s="128">
        <f>VLOOKUP($E611,[2]Current!$A:$AC,13,FALSE)</f>
        <v>0</v>
      </c>
      <c r="BW611" s="128">
        <f>BV611/$AS611</f>
        <v>0</v>
      </c>
      <c r="BX611" s="130">
        <f>IF(BY611&gt;0,1,0)</f>
        <v>0</v>
      </c>
      <c r="BY611" s="128">
        <f>VLOOKUP($E611,[2]Current!$A:$AC,14,FALSE)</f>
        <v>0</v>
      </c>
      <c r="BZ611" s="128">
        <f>BY611/$AS611</f>
        <v>0</v>
      </c>
      <c r="CA611" s="130">
        <f>IF(CB611&gt;0,1,0)</f>
        <v>0</v>
      </c>
      <c r="CB611" s="128">
        <f>VLOOKUP($E611,[2]Current!$A:$AC,15,FALSE)</f>
        <v>0</v>
      </c>
      <c r="CC611" s="128">
        <f>CB611/$AS611</f>
        <v>0</v>
      </c>
      <c r="CD611" s="174">
        <f>IF(CE611&gt;0,1,0)</f>
        <v>0</v>
      </c>
      <c r="CE611" s="128">
        <f>VLOOKUP($E611,[2]Current!$A:$AC,16,FALSE)</f>
        <v>0</v>
      </c>
      <c r="CF611" s="128">
        <f>CE611/$AS611</f>
        <v>0</v>
      </c>
      <c r="CG611" s="18"/>
      <c r="CH611" s="18"/>
      <c r="CI611" s="18"/>
      <c r="CJ611" s="130">
        <f>IF(CK611&gt;0,1,0)</f>
        <v>0</v>
      </c>
      <c r="CK611" s="128">
        <f>VLOOKUP($E611,[2]Current!$A:$AC,18,FALSE)</f>
        <v>0</v>
      </c>
      <c r="CL611" s="128">
        <f>CK611/$AS611</f>
        <v>0</v>
      </c>
      <c r="CS611" s="130">
        <f>IF(CU611&gt;0,1,0)</f>
        <v>0</v>
      </c>
      <c r="CU611" s="128">
        <f>VLOOKUP($E611,[2]Current!$A:$AC,17,FALSE)</f>
        <v>0</v>
      </c>
      <c r="CV611" s="128">
        <f>CU611/$AS611</f>
        <v>0</v>
      </c>
      <c r="CW611" s="18"/>
      <c r="CX611" s="18"/>
      <c r="CY611" s="18"/>
      <c r="DF611" s="16" t="e">
        <f>VLOOKUP(K611,'[3]RNA Seq summary tables'!$V$3:$V$99,1,FALSE)</f>
        <v>#N/A</v>
      </c>
      <c r="DG611" s="126" t="s">
        <v>116</v>
      </c>
    </row>
    <row r="612" spans="2:288" s="18" customFormat="1" ht="16" x14ac:dyDescent="0.2">
      <c r="B612" s="16">
        <v>2018</v>
      </c>
      <c r="C612" s="124">
        <v>43283</v>
      </c>
      <c r="D612" t="s">
        <v>893</v>
      </c>
      <c r="E612" s="37" t="str">
        <f>CONCATENATE(T612,"-",U612,"-",C612)</f>
        <v>PO2-A1-43283</v>
      </c>
      <c r="F612" s="16" t="s">
        <v>227</v>
      </c>
      <c r="G612" s="126" t="s">
        <v>107</v>
      </c>
      <c r="H612" s="126"/>
      <c r="I612" s="23"/>
      <c r="J612" s="126">
        <v>1474</v>
      </c>
      <c r="K612" s="126">
        <v>2524</v>
      </c>
      <c r="L612" s="23"/>
      <c r="M612" s="21"/>
      <c r="N612" s="21"/>
      <c r="O612" s="126" t="s">
        <v>119</v>
      </c>
      <c r="P612" s="18" t="s">
        <v>119</v>
      </c>
      <c r="Q612" s="18">
        <v>0</v>
      </c>
      <c r="R612" s="18">
        <f>IF(J612=J611,C612-C611,"")</f>
        <v>17</v>
      </c>
      <c r="S612" s="23"/>
      <c r="T612" s="126" t="s">
        <v>127</v>
      </c>
      <c r="U612" s="126" t="s">
        <v>210</v>
      </c>
      <c r="V612" s="126" t="s">
        <v>114</v>
      </c>
      <c r="W612" s="23"/>
      <c r="X612" s="126" t="s">
        <v>115</v>
      </c>
      <c r="Y612" s="126" t="s">
        <v>110</v>
      </c>
      <c r="Z612" s="126">
        <v>3</v>
      </c>
      <c r="AA612" s="126"/>
      <c r="AB612" s="126"/>
      <c r="AC612" s="126"/>
      <c r="AD612" s="126"/>
      <c r="AE612" s="126" t="s">
        <v>116</v>
      </c>
      <c r="AF612" s="23"/>
      <c r="AG612" s="23">
        <f>AH612-AI612</f>
        <v>85</v>
      </c>
      <c r="AH612" s="126">
        <v>165</v>
      </c>
      <c r="AI612" s="126">
        <v>80</v>
      </c>
      <c r="AJ612" s="23"/>
      <c r="AK612" s="126">
        <v>20</v>
      </c>
      <c r="AL612" s="126">
        <v>0</v>
      </c>
      <c r="AM612" s="126">
        <v>0</v>
      </c>
      <c r="AN612" s="126">
        <v>0</v>
      </c>
      <c r="AO612" s="23">
        <f>IF(SUM(AL612:AN612)&gt;0,1,0)</f>
        <v>0</v>
      </c>
      <c r="AP612" s="25">
        <f>SUM(AL612:AN612)</f>
        <v>0</v>
      </c>
      <c r="AQ612" s="23"/>
      <c r="AR612" s="23">
        <v>4.1000000000000147E-2</v>
      </c>
      <c r="AS612" s="16">
        <f>VLOOKUP(E612,'[1]Feces weights'!$D$1:$H$459,5,FALSE)</f>
        <v>4.1000000000000147E-2</v>
      </c>
      <c r="AT612" s="16" t="str">
        <f>VLOOKUP(E612,[2]Current!$A$1:$W$435,7,FALSE)</f>
        <v>JB</v>
      </c>
      <c r="AU612" s="16" t="s">
        <v>1288</v>
      </c>
      <c r="AV612" s="23">
        <v>1</v>
      </c>
      <c r="AW612" s="128">
        <f>IF(AX612&gt;0,1,0)</f>
        <v>0</v>
      </c>
      <c r="AX612" s="128">
        <f>SUM(BA612,BM612,CU612)</f>
        <v>0</v>
      </c>
      <c r="AY612" s="128">
        <f>SUM(BB612,BN612,CV612)</f>
        <v>0</v>
      </c>
      <c r="AZ612" s="128">
        <f>IF(BA612&gt;0,1,0)</f>
        <v>0</v>
      </c>
      <c r="BA612" s="128">
        <f>SUM(BC612+BF612+BI612)</f>
        <v>0</v>
      </c>
      <c r="BB612" s="128">
        <f>SUM(BE612,BH612,BK612)</f>
        <v>0</v>
      </c>
      <c r="BC612" s="130">
        <f>IF(BD612&gt;0,1,0)</f>
        <v>0</v>
      </c>
      <c r="BD612" s="128">
        <f>VLOOKUP($E612,[2]Current!$A:$AC,26,FALSE)</f>
        <v>0</v>
      </c>
      <c r="BE612" s="128">
        <f>BD612/$AS612</f>
        <v>0</v>
      </c>
      <c r="BF612" s="130">
        <f>IF(BG612&gt;0,1,0)</f>
        <v>0</v>
      </c>
      <c r="BG612" s="137">
        <f>VLOOKUP($E612,[2]Current!$A:$AC,27,FALSE)</f>
        <v>0</v>
      </c>
      <c r="BH612" s="128">
        <f>BG612/$AS612</f>
        <v>0</v>
      </c>
      <c r="BI612" s="130">
        <f>IF(BJ612&gt;0,1,0)</f>
        <v>0</v>
      </c>
      <c r="BJ612" s="128">
        <f>VLOOKUP($E612,[2]Current!$A:$AC,28,FALSE)</f>
        <v>0</v>
      </c>
      <c r="BK612" s="128">
        <f>BJ612/$AS612</f>
        <v>0</v>
      </c>
      <c r="BL612" s="128">
        <f>IF(BM612&gt;0,1,0)</f>
        <v>0</v>
      </c>
      <c r="BM612" s="128">
        <f>SUM(BR612,BU612,BX612,CA612,CD612)</f>
        <v>0</v>
      </c>
      <c r="BN612" s="131">
        <f>SUM(BT612,BW612,BZ612,CC612,CF612)</f>
        <v>0</v>
      </c>
      <c r="BO612" s="128">
        <f>IF(BP612&gt;0,1,0)</f>
        <v>0</v>
      </c>
      <c r="BP612" s="128">
        <f>BM612+CJ612</f>
        <v>0</v>
      </c>
      <c r="BQ612" s="128">
        <f>BN612+CL612</f>
        <v>0</v>
      </c>
      <c r="BR612" s="130">
        <f>IF(BS612&gt;0,1,0)</f>
        <v>0</v>
      </c>
      <c r="BS612" s="128">
        <f>VLOOKUP($E612,[2]Current!$A:$AC,12,FALSE)</f>
        <v>0</v>
      </c>
      <c r="BT612" s="137">
        <f>BS612/$AS612</f>
        <v>0</v>
      </c>
      <c r="BU612" s="130">
        <f>IF(BV612&gt;0,1,0)</f>
        <v>0</v>
      </c>
      <c r="BV612" s="128">
        <f>VLOOKUP($E612,[2]Current!$A:$AC,13,FALSE)</f>
        <v>0</v>
      </c>
      <c r="BW612" s="128">
        <f>BV612/$AS612</f>
        <v>0</v>
      </c>
      <c r="BX612" s="130">
        <f>IF(BY612&gt;0,1,0)</f>
        <v>0</v>
      </c>
      <c r="BY612" s="128">
        <f>VLOOKUP($E612,[2]Current!$A:$AC,14,FALSE)</f>
        <v>0</v>
      </c>
      <c r="BZ612" s="128">
        <f>BY612/$AS612</f>
        <v>0</v>
      </c>
      <c r="CA612" s="130">
        <f>IF(CB612&gt;0,1,0)</f>
        <v>0</v>
      </c>
      <c r="CB612" s="128">
        <f>VLOOKUP($E612,[2]Current!$A:$AC,15,FALSE)</f>
        <v>0</v>
      </c>
      <c r="CC612" s="128">
        <f>CB612/$AS612</f>
        <v>0</v>
      </c>
      <c r="CD612" s="174">
        <f>IF(CE612&gt;0,1,0)</f>
        <v>0</v>
      </c>
      <c r="CE612" s="128">
        <f>VLOOKUP($E612,[2]Current!$A:$AC,16,FALSE)</f>
        <v>0</v>
      </c>
      <c r="CF612" s="128">
        <f>CE612/$AS612</f>
        <v>0</v>
      </c>
      <c r="CJ612" s="130">
        <f>IF(CK612&gt;0,1,0)</f>
        <v>0</v>
      </c>
      <c r="CK612" s="128">
        <f>VLOOKUP($E612,[2]Current!$A:$AC,18,FALSE)</f>
        <v>0</v>
      </c>
      <c r="CL612" s="128">
        <f>CK612/$AS612</f>
        <v>0</v>
      </c>
      <c r="CM612" s="16"/>
      <c r="CN612" s="16"/>
      <c r="CO612" s="16"/>
      <c r="CP612" s="16"/>
      <c r="CQ612" s="16"/>
      <c r="CR612" s="16"/>
      <c r="CS612" s="130">
        <f>IF(CU612&gt;0,1,0)</f>
        <v>0</v>
      </c>
      <c r="CT612" s="16"/>
      <c r="CU612" s="128">
        <f>VLOOKUP($E612,[2]Current!$A:$AC,17,FALSE)</f>
        <v>0</v>
      </c>
      <c r="CV612" s="128">
        <f>CU612/$AS612</f>
        <v>0</v>
      </c>
      <c r="CZ612" s="16"/>
      <c r="DA612" s="16"/>
      <c r="DB612" s="16"/>
      <c r="DC612" s="16"/>
      <c r="DD612" s="16"/>
      <c r="DE612" s="16"/>
      <c r="DF612" s="16" t="e">
        <f>VLOOKUP(K612,'[3]RNA Seq summary tables'!$V$3:$V$99,1,FALSE)</f>
        <v>#N/A</v>
      </c>
      <c r="DG612" s="126" t="s">
        <v>116</v>
      </c>
      <c r="DH612" s="23"/>
      <c r="DI612" s="23"/>
      <c r="DJ612" s="23"/>
      <c r="DK612" s="23"/>
      <c r="DL612" s="23"/>
      <c r="DM612" s="23"/>
      <c r="DN612" s="23"/>
      <c r="DO612" s="23"/>
      <c r="DP612" s="23"/>
      <c r="DQ612" s="23"/>
      <c r="DR612" s="23"/>
      <c r="DS612" s="23"/>
      <c r="DT612" s="25"/>
      <c r="DU612" s="25"/>
      <c r="DV612" s="25"/>
      <c r="DW612" s="25"/>
      <c r="DX612" s="25"/>
      <c r="DY612" s="25"/>
      <c r="DZ612" s="25"/>
      <c r="EA612" s="25"/>
      <c r="EB612" s="25"/>
      <c r="EC612" s="25"/>
      <c r="ED612" s="25"/>
      <c r="EE612" s="25"/>
      <c r="EF612" s="25"/>
      <c r="EG612" s="25"/>
      <c r="EH612" s="25"/>
      <c r="EI612" s="25"/>
      <c r="EJ612" s="25"/>
      <c r="EK612" s="25"/>
      <c r="EL612" s="25"/>
      <c r="EM612" s="25"/>
      <c r="EN612" s="25"/>
      <c r="EO612" s="25"/>
      <c r="EP612" s="25"/>
      <c r="EQ612" s="25"/>
      <c r="ER612" s="25"/>
      <c r="ES612" s="25"/>
      <c r="ET612" s="25"/>
      <c r="EU612" s="25"/>
      <c r="EV612" s="25"/>
      <c r="EW612" s="25"/>
      <c r="EX612" s="25"/>
      <c r="EY612" s="25"/>
      <c r="EZ612" s="25"/>
      <c r="FA612" s="25"/>
      <c r="FB612" s="25"/>
      <c r="FC612" s="25"/>
      <c r="FD612" s="25"/>
      <c r="FE612" s="25"/>
      <c r="FF612" s="25"/>
      <c r="FG612" s="25"/>
      <c r="FH612" s="25"/>
      <c r="FI612" s="25"/>
      <c r="FJ612" s="25"/>
      <c r="FK612" s="25"/>
      <c r="FL612" s="25"/>
      <c r="FM612" s="25"/>
      <c r="FN612" s="25"/>
      <c r="FO612" s="25"/>
      <c r="FP612" s="25"/>
      <c r="FQ612" s="25"/>
      <c r="FR612" s="25"/>
      <c r="FS612" s="25"/>
      <c r="FT612" s="25"/>
      <c r="FU612" s="25"/>
      <c r="FV612" s="25"/>
      <c r="FW612" s="25"/>
      <c r="FX612" s="25"/>
      <c r="FY612" s="25"/>
      <c r="FZ612" s="25"/>
      <c r="GA612" s="25"/>
      <c r="GB612" s="25"/>
      <c r="GC612" s="25"/>
      <c r="GD612" s="25"/>
      <c r="GE612" s="25"/>
      <c r="GF612" s="25"/>
      <c r="GG612" s="25"/>
      <c r="GH612" s="25"/>
      <c r="GI612" s="25"/>
      <c r="GJ612" s="25"/>
      <c r="GK612" s="25"/>
      <c r="GL612" s="25"/>
      <c r="GM612" s="25"/>
      <c r="GN612" s="25"/>
      <c r="GO612" s="25"/>
      <c r="GP612" s="25"/>
      <c r="GQ612" s="25"/>
      <c r="GR612" s="25"/>
      <c r="GS612" s="25"/>
      <c r="GT612" s="25"/>
      <c r="GU612" s="25"/>
      <c r="GV612" s="25"/>
      <c r="GW612" s="25"/>
      <c r="GX612" s="25"/>
      <c r="GY612" s="25"/>
      <c r="GZ612" s="25"/>
      <c r="HA612" s="25"/>
      <c r="HB612" s="25"/>
      <c r="HC612" s="25"/>
      <c r="HD612" s="25"/>
      <c r="HE612" s="25"/>
      <c r="HF612" s="25"/>
      <c r="HG612" s="25"/>
      <c r="HH612" s="25"/>
      <c r="HI612" s="25"/>
      <c r="HJ612" s="25"/>
      <c r="HK612" s="25"/>
      <c r="HL612" s="25"/>
      <c r="HM612" s="25"/>
      <c r="HN612" s="25"/>
      <c r="HO612" s="25"/>
      <c r="HP612" s="25"/>
      <c r="HQ612" s="25"/>
      <c r="HR612" s="25"/>
      <c r="HS612" s="25"/>
      <c r="HT612" s="25"/>
      <c r="HU612" s="25"/>
      <c r="HV612" s="25"/>
      <c r="HW612" s="25"/>
      <c r="HX612" s="25"/>
      <c r="HY612" s="25"/>
      <c r="HZ612" s="25"/>
      <c r="IA612" s="25"/>
      <c r="IB612" s="25"/>
      <c r="IC612" s="25"/>
      <c r="ID612" s="25"/>
      <c r="IE612" s="25"/>
      <c r="IF612" s="25"/>
      <c r="IG612" s="25"/>
      <c r="IH612" s="25"/>
      <c r="II612" s="25"/>
      <c r="IJ612" s="25"/>
      <c r="IK612" s="25"/>
      <c r="IL612" s="25"/>
      <c r="IM612" s="25"/>
      <c r="IN612" s="25"/>
      <c r="IO612" s="25"/>
      <c r="IP612" s="25"/>
      <c r="IQ612" s="25"/>
      <c r="IR612" s="25"/>
      <c r="IS612" s="25"/>
      <c r="IT612" s="25"/>
      <c r="IU612" s="25"/>
      <c r="IV612" s="25"/>
      <c r="IW612" s="25"/>
      <c r="IX612" s="25"/>
      <c r="IY612" s="25"/>
      <c r="IZ612" s="25"/>
      <c r="JA612" s="25"/>
      <c r="JB612" s="25"/>
      <c r="JC612" s="25"/>
      <c r="JD612" s="25"/>
      <c r="JE612" s="25"/>
      <c r="JF612" s="25"/>
      <c r="JG612" s="25"/>
      <c r="JH612" s="25"/>
      <c r="JI612" s="25"/>
      <c r="JJ612" s="25"/>
      <c r="JK612" s="25"/>
      <c r="JL612" s="25"/>
      <c r="JM612" s="25"/>
      <c r="JN612" s="25"/>
      <c r="JO612" s="23"/>
      <c r="JP612" s="23"/>
      <c r="JQ612" s="23"/>
      <c r="JR612" s="58"/>
      <c r="JS612" s="58"/>
      <c r="JT612" s="58"/>
      <c r="JU612" s="58"/>
      <c r="JV612" s="58"/>
      <c r="JW612" s="58"/>
      <c r="JX612" s="58"/>
      <c r="JY612" s="58"/>
      <c r="JZ612" s="58"/>
      <c r="KA612" s="58"/>
      <c r="KB612" s="58"/>
    </row>
    <row r="613" spans="2:288" ht="16" x14ac:dyDescent="0.2">
      <c r="B613" s="16">
        <v>2018</v>
      </c>
      <c r="C613" s="124">
        <v>43287</v>
      </c>
      <c r="D613" t="s">
        <v>930</v>
      </c>
      <c r="E613" s="37" t="str">
        <f>CONCATENATE(T613,"-",U613,"-",C613)</f>
        <v>SP2-G8-43287</v>
      </c>
      <c r="F613" s="16" t="s">
        <v>227</v>
      </c>
      <c r="G613" s="126" t="s">
        <v>107</v>
      </c>
      <c r="H613" s="126"/>
      <c r="J613" s="126">
        <v>1474</v>
      </c>
      <c r="K613" s="126">
        <v>2570</v>
      </c>
      <c r="O613" s="126" t="s">
        <v>119</v>
      </c>
      <c r="P613" s="18" t="s">
        <v>119</v>
      </c>
      <c r="Q613" s="18">
        <v>0</v>
      </c>
      <c r="R613" s="18">
        <f>IF(J613=J612,C613-C612,"")</f>
        <v>4</v>
      </c>
      <c r="T613" s="126" t="s">
        <v>137</v>
      </c>
      <c r="U613" s="126" t="s">
        <v>216</v>
      </c>
      <c r="V613" s="126" t="s">
        <v>114</v>
      </c>
      <c r="X613" s="126" t="s">
        <v>115</v>
      </c>
      <c r="Y613" s="126" t="s">
        <v>110</v>
      </c>
      <c r="Z613" s="126">
        <v>3</v>
      </c>
      <c r="AA613" s="126"/>
      <c r="AB613" s="126"/>
      <c r="AC613" s="126"/>
      <c r="AD613" s="126"/>
      <c r="AE613" s="126" t="s">
        <v>116</v>
      </c>
      <c r="AG613" s="16">
        <f>AH613-AI613</f>
        <v>82</v>
      </c>
      <c r="AH613" s="126">
        <v>156</v>
      </c>
      <c r="AI613" s="126">
        <v>74</v>
      </c>
      <c r="AK613" s="126">
        <v>20</v>
      </c>
      <c r="AL613" s="126">
        <v>0</v>
      </c>
      <c r="AM613" s="126">
        <v>0</v>
      </c>
      <c r="AN613" s="126">
        <v>0</v>
      </c>
      <c r="AO613" s="16">
        <f>IF(SUM(AL613:AN613)&gt;0,1,0)</f>
        <v>0</v>
      </c>
      <c r="AP613" s="18">
        <f>SUM(AL613:AN613)</f>
        <v>0</v>
      </c>
      <c r="AR613" s="16">
        <v>0.16500000000000004</v>
      </c>
      <c r="AS613" s="16">
        <f>VLOOKUP(E613,'[1]Feces weights'!$D$1:$H$459,5,FALSE)</f>
        <v>0.16500000000000004</v>
      </c>
      <c r="AT613" s="16" t="str">
        <f>VLOOKUP(E613,[2]Current!$A$1:$W$435,7,FALSE)</f>
        <v>IS</v>
      </c>
      <c r="AU613" s="16" t="s">
        <v>1288</v>
      </c>
      <c r="AW613" s="128">
        <f>IF(AX613&gt;0,1,0)</f>
        <v>1</v>
      </c>
      <c r="AX613" s="128">
        <f>SUM(BA613,BM613,CU613)</f>
        <v>5</v>
      </c>
      <c r="AY613" s="128">
        <f>SUM(BB613,BN613,CV613)</f>
        <v>67636.363636363632</v>
      </c>
      <c r="AZ613" s="128">
        <f>IF(BA613&gt;0,1,0)</f>
        <v>1</v>
      </c>
      <c r="BA613" s="128">
        <f>SUM(BC613+BF613+BI613)</f>
        <v>3</v>
      </c>
      <c r="BB613" s="128">
        <f>SUM(BE613,BH613,BK613)</f>
        <v>67563.636363636353</v>
      </c>
      <c r="BC613" s="130">
        <f>IF(BD613&gt;0,1,0)</f>
        <v>1</v>
      </c>
      <c r="BD613" s="128">
        <f>VLOOKUP($E613,[2]Current!$A:$AC,26,FALSE)</f>
        <v>4432</v>
      </c>
      <c r="BE613" s="128">
        <f>BD613/$AS613</f>
        <v>26860.606060606056</v>
      </c>
      <c r="BF613" s="130">
        <f>IF(BG613&gt;0,1,0)</f>
        <v>1</v>
      </c>
      <c r="BG613" s="137">
        <f>VLOOKUP($E613,[2]Current!$A:$AC,27,FALSE)</f>
        <v>6668</v>
      </c>
      <c r="BH613" s="128">
        <f>BG613/$AS613</f>
        <v>40412.121212121201</v>
      </c>
      <c r="BI613" s="130">
        <f>IF(BJ613&gt;0,1,0)</f>
        <v>1</v>
      </c>
      <c r="BJ613" s="128">
        <f>VLOOKUP($E613,[2]Current!$A:$AC,28,FALSE)</f>
        <v>48</v>
      </c>
      <c r="BK613" s="128">
        <f>BJ613/$AS613</f>
        <v>290.90909090909082</v>
      </c>
      <c r="BL613" s="128">
        <f>IF(BM613&gt;0,1,0)</f>
        <v>1</v>
      </c>
      <c r="BM613" s="128">
        <f>SUM(BR613,BU613,BX613,CA613,CD613)</f>
        <v>2</v>
      </c>
      <c r="BN613" s="131">
        <f>SUM(BT613,BW613,BZ613,CC613,CF613)</f>
        <v>72.72727272727272</v>
      </c>
      <c r="BO613" s="128">
        <f>IF(BP613&gt;0,1,0)</f>
        <v>1</v>
      </c>
      <c r="BP613" s="128">
        <f>BM613+CJ613</f>
        <v>3</v>
      </c>
      <c r="BQ613" s="128">
        <f>BN613+CL613</f>
        <v>78.787878787878782</v>
      </c>
      <c r="BR613" s="130">
        <f>IF(BS613&gt;0,1,0)</f>
        <v>0</v>
      </c>
      <c r="BS613" s="128">
        <f>VLOOKUP($E613,[2]Current!$A:$AC,12,FALSE)</f>
        <v>0</v>
      </c>
      <c r="BT613" s="137">
        <f>BS613/$AS613</f>
        <v>0</v>
      </c>
      <c r="BU613" s="130">
        <f>IF(BV613&gt;0,1,0)</f>
        <v>0</v>
      </c>
      <c r="BV613" s="128">
        <f>VLOOKUP($E613,[2]Current!$A:$AC,13,FALSE)</f>
        <v>0</v>
      </c>
      <c r="BW613" s="128">
        <f>BV613/$AS613</f>
        <v>0</v>
      </c>
      <c r="BX613" s="130">
        <f>IF(BY613&gt;0,1,0)</f>
        <v>0</v>
      </c>
      <c r="BY613" s="128">
        <f>VLOOKUP($E613,[2]Current!$A:$AC,14,FALSE)</f>
        <v>0</v>
      </c>
      <c r="BZ613" s="128">
        <f>BY613/$AS613</f>
        <v>0</v>
      </c>
      <c r="CA613" s="130">
        <f>IF(CB613&gt;0,1,0)</f>
        <v>1</v>
      </c>
      <c r="CB613" s="128">
        <f>VLOOKUP($E613,[2]Current!$A:$AC,15,FALSE)</f>
        <v>2</v>
      </c>
      <c r="CC613" s="128">
        <f>CB613/$AS613</f>
        <v>12.121212121212119</v>
      </c>
      <c r="CD613" s="174">
        <f>IF(CE613&gt;0,1,0)</f>
        <v>1</v>
      </c>
      <c r="CE613" s="128">
        <f>VLOOKUP($E613,[2]Current!$A:$AC,16,FALSE)</f>
        <v>10</v>
      </c>
      <c r="CF613" s="128">
        <f>CE613/$AS613</f>
        <v>60.606060606060595</v>
      </c>
      <c r="CG613" s="18"/>
      <c r="CH613" s="18"/>
      <c r="CI613" s="18"/>
      <c r="CJ613" s="130">
        <f>IF(CK613&gt;0,1,0)</f>
        <v>1</v>
      </c>
      <c r="CK613" s="128">
        <f>VLOOKUP($E613,[2]Current!$A:$AC,18,FALSE)</f>
        <v>1</v>
      </c>
      <c r="CL613" s="128">
        <f>CK613/$AS613</f>
        <v>6.0606060606060597</v>
      </c>
      <c r="CS613" s="130">
        <f>IF(CU613&gt;0,1,0)</f>
        <v>0</v>
      </c>
      <c r="CU613" s="128">
        <f>VLOOKUP($E613,[2]Current!$A:$AC,17,FALSE)</f>
        <v>0</v>
      </c>
      <c r="CV613" s="128">
        <f>CU613/$AS613</f>
        <v>0</v>
      </c>
      <c r="CW613" s="18"/>
      <c r="CX613" s="18"/>
      <c r="CY613" s="18"/>
      <c r="DF613" s="16" t="e">
        <f>VLOOKUP(K613,'[3]RNA Seq summary tables'!$V$3:$V$99,1,FALSE)</f>
        <v>#N/A</v>
      </c>
      <c r="DG613" s="126" t="s">
        <v>116</v>
      </c>
    </row>
    <row r="614" spans="2:288" ht="16" x14ac:dyDescent="0.2">
      <c r="B614" s="16">
        <v>2018</v>
      </c>
      <c r="C614" s="124">
        <v>43296</v>
      </c>
      <c r="D614" t="s">
        <v>980</v>
      </c>
      <c r="E614" s="142" t="str">
        <f>CONCATENATE(T614,"-",U614,"-",C614)</f>
        <v>PO2-D1-43296</v>
      </c>
      <c r="F614" s="16" t="s">
        <v>227</v>
      </c>
      <c r="G614" s="126" t="s">
        <v>107</v>
      </c>
      <c r="H614" s="126"/>
      <c r="J614" s="126">
        <v>1474</v>
      </c>
      <c r="K614" s="126">
        <v>2624</v>
      </c>
      <c r="O614" s="126" t="s">
        <v>119</v>
      </c>
      <c r="P614" s="18" t="s">
        <v>119</v>
      </c>
      <c r="Q614" s="18">
        <v>0</v>
      </c>
      <c r="R614" s="18">
        <f>IF(J614=J613,C614-C613,"")</f>
        <v>9</v>
      </c>
      <c r="T614" s="126" t="s">
        <v>127</v>
      </c>
      <c r="U614" s="126" t="s">
        <v>157</v>
      </c>
      <c r="V614" s="126" t="s">
        <v>114</v>
      </c>
      <c r="X614" s="126" t="s">
        <v>115</v>
      </c>
      <c r="Y614" s="126" t="s">
        <v>110</v>
      </c>
      <c r="Z614" s="126">
        <v>3</v>
      </c>
      <c r="AA614" s="126"/>
      <c r="AB614" s="126"/>
      <c r="AC614" s="126"/>
      <c r="AD614" s="126" t="s">
        <v>116</v>
      </c>
      <c r="AE614" s="126" t="s">
        <v>116</v>
      </c>
      <c r="AG614" s="40">
        <f>AH614-AI614</f>
        <v>86</v>
      </c>
      <c r="AH614" s="126">
        <v>165</v>
      </c>
      <c r="AI614" s="126">
        <v>79</v>
      </c>
      <c r="AK614" s="126">
        <v>20.5</v>
      </c>
      <c r="AL614" s="126">
        <v>0</v>
      </c>
      <c r="AM614" s="126">
        <v>0</v>
      </c>
      <c r="AN614" s="126">
        <v>0</v>
      </c>
      <c r="AO614" s="16">
        <f>IF(SUM(AL614:AN614)&gt;0,1,0)</f>
        <v>0</v>
      </c>
      <c r="AP614" s="18">
        <f>SUM(AL614:AN614)</f>
        <v>0</v>
      </c>
      <c r="AR614" s="16">
        <v>5.500000000000016E-2</v>
      </c>
      <c r="AS614" s="16">
        <f>VLOOKUP(E614,'[1]Feces weights'!$D$1:$H$459,5,FALSE)</f>
        <v>5.500000000000016E-2</v>
      </c>
      <c r="AT614" s="16" t="e">
        <f>VLOOKUP(E614,[2]Current!$A$1:$W$435,7,FALSE)</f>
        <v>#N/A</v>
      </c>
      <c r="AU614" s="16">
        <v>0</v>
      </c>
      <c r="BG614" s="77"/>
      <c r="BN614" s="126"/>
      <c r="BT614" s="78"/>
      <c r="BU614" s="18"/>
      <c r="BV614" s="18"/>
      <c r="BW614" s="25"/>
      <c r="BX614" s="18"/>
      <c r="BY614" s="18"/>
      <c r="BZ614" s="25"/>
      <c r="CA614" s="18"/>
      <c r="CB614" s="18"/>
      <c r="CC614" s="25"/>
      <c r="CD614" s="78"/>
      <c r="CE614" s="18"/>
      <c r="CF614" s="25"/>
      <c r="CG614" s="18"/>
      <c r="CH614" s="18"/>
      <c r="CI614" s="18"/>
      <c r="CJ614" s="18"/>
      <c r="CK614" s="18"/>
      <c r="CL614" s="25"/>
      <c r="DF614" s="16" t="e">
        <f>VLOOKUP(K614,'[3]RNA Seq summary tables'!$V$3:$V$99,1,FALSE)</f>
        <v>#N/A</v>
      </c>
      <c r="DG614" s="126" t="s">
        <v>116</v>
      </c>
    </row>
    <row r="615" spans="2:288" ht="16" x14ac:dyDescent="0.2">
      <c r="B615" s="16">
        <v>2018</v>
      </c>
      <c r="C615" s="147">
        <v>43315</v>
      </c>
      <c r="D615" t="s">
        <v>1241</v>
      </c>
      <c r="E615" s="20" t="str">
        <f>CONCATENATE(T615,"-",U615,"-",C615)</f>
        <v>PO2-E3-43315</v>
      </c>
      <c r="F615" s="16" t="s">
        <v>227</v>
      </c>
      <c r="G615" s="145" t="s">
        <v>107</v>
      </c>
      <c r="H615" s="145"/>
      <c r="I615" s="145"/>
      <c r="J615" s="145">
        <v>1474</v>
      </c>
      <c r="K615" s="145">
        <v>2740</v>
      </c>
      <c r="M615" s="16"/>
      <c r="N615" s="16"/>
      <c r="O615" s="145" t="s">
        <v>119</v>
      </c>
      <c r="P615" s="18" t="s">
        <v>119</v>
      </c>
      <c r="Q615" s="18">
        <v>0</v>
      </c>
      <c r="R615" s="18">
        <f>IF(J615=J614,C615-C614,"")</f>
        <v>19</v>
      </c>
      <c r="S615" s="145"/>
      <c r="T615" s="145" t="s">
        <v>127</v>
      </c>
      <c r="U615" s="145" t="s">
        <v>225</v>
      </c>
      <c r="V615" s="145" t="s">
        <v>114</v>
      </c>
      <c r="W615" s="145"/>
      <c r="X615" s="145" t="s">
        <v>115</v>
      </c>
      <c r="Y615" s="145" t="s">
        <v>110</v>
      </c>
      <c r="Z615" s="145">
        <v>3</v>
      </c>
      <c r="AA615" s="145"/>
      <c r="AB615" s="145"/>
      <c r="AC615" s="145"/>
      <c r="AD615" s="145"/>
      <c r="AE615" s="145" t="s">
        <v>116</v>
      </c>
      <c r="AF615" s="145" t="s">
        <v>116</v>
      </c>
      <c r="AG615" s="145">
        <f>AH615-AI615</f>
        <v>86</v>
      </c>
      <c r="AH615" s="145">
        <v>165</v>
      </c>
      <c r="AI615" s="145">
        <v>79</v>
      </c>
      <c r="AJ615" s="145"/>
      <c r="AK615" s="145">
        <v>20.5</v>
      </c>
      <c r="AL615" s="145">
        <v>1</v>
      </c>
      <c r="AM615" s="145">
        <v>0</v>
      </c>
      <c r="AN615" s="145">
        <v>0</v>
      </c>
      <c r="AO615" s="16">
        <f>IF(SUM(AL615:AN615)&gt;0, 1,0)</f>
        <v>1</v>
      </c>
      <c r="AP615" s="16">
        <f>SUM(AL615:AN615)</f>
        <v>1</v>
      </c>
      <c r="AS615" s="16">
        <f>VLOOKUP(E615,'[1]Feces weights'!$D$1:$H$459,5,FALSE)</f>
        <v>0.9850000000000001</v>
      </c>
      <c r="AT615" s="16" t="e">
        <f>VLOOKUP(E615,[2]Current!$A$1:$W$435,7,FALSE)</f>
        <v>#N/A</v>
      </c>
      <c r="BG615" s="77"/>
      <c r="BT615" s="77"/>
      <c r="CD615" s="77"/>
      <c r="DG615" s="145" t="s">
        <v>123</v>
      </c>
      <c r="DT615" s="145" t="s">
        <v>123</v>
      </c>
      <c r="DU615" s="145"/>
      <c r="DX615" s="145"/>
      <c r="DY615" s="145"/>
      <c r="DZ615" s="16"/>
      <c r="EA615" s="16"/>
      <c r="EB615" s="16"/>
      <c r="EC615" s="16"/>
      <c r="ED615" s="16"/>
      <c r="EE615" s="16"/>
      <c r="EF615" s="16"/>
      <c r="JO615" s="18"/>
      <c r="JP615" s="18"/>
      <c r="JQ615" s="18"/>
      <c r="JR615" s="18"/>
      <c r="JS615" s="18"/>
      <c r="JT615" s="18"/>
      <c r="JU615" s="18"/>
      <c r="JV615" s="18"/>
      <c r="JW615" s="18"/>
      <c r="JX615" s="18"/>
      <c r="JY615" s="18"/>
      <c r="JZ615" s="18"/>
      <c r="KA615" s="18"/>
    </row>
    <row r="616" spans="2:288" ht="16" x14ac:dyDescent="0.2">
      <c r="B616" s="16">
        <v>2018</v>
      </c>
      <c r="C616" s="124">
        <v>43248</v>
      </c>
      <c r="D616" t="s">
        <v>750</v>
      </c>
      <c r="E616" s="37" t="str">
        <f>CONCATENATE(T616,"-",U616,"-",C616)</f>
        <v>PO2-E8-43248</v>
      </c>
      <c r="F616" s="16" t="s">
        <v>227</v>
      </c>
      <c r="G616" s="126" t="s">
        <v>107</v>
      </c>
      <c r="H616" s="126"/>
      <c r="J616" s="126">
        <v>1475</v>
      </c>
      <c r="K616" s="126">
        <v>2379</v>
      </c>
      <c r="O616" s="126" t="s">
        <v>119</v>
      </c>
      <c r="P616" s="18" t="s">
        <v>119</v>
      </c>
      <c r="Q616" s="18">
        <v>0</v>
      </c>
      <c r="R616" s="18" t="str">
        <f>IF(J616=J615,C616-C615,"")</f>
        <v/>
      </c>
      <c r="T616" s="126" t="s">
        <v>127</v>
      </c>
      <c r="U616" s="126" t="s">
        <v>181</v>
      </c>
      <c r="V616" s="126" t="s">
        <v>114</v>
      </c>
      <c r="X616" s="126" t="s">
        <v>121</v>
      </c>
      <c r="Y616" s="126" t="s">
        <v>110</v>
      </c>
      <c r="Z616" s="126">
        <v>3</v>
      </c>
      <c r="AA616" s="126" t="s">
        <v>119</v>
      </c>
      <c r="AB616" s="126" t="s">
        <v>116</v>
      </c>
      <c r="AC616" s="126" t="s">
        <v>123</v>
      </c>
      <c r="AD616" s="126"/>
      <c r="AE616" s="126"/>
      <c r="AG616" s="16">
        <f>AH616-AI616</f>
        <v>86</v>
      </c>
      <c r="AH616" s="126">
        <v>158</v>
      </c>
      <c r="AI616" s="126">
        <v>72</v>
      </c>
      <c r="AK616" s="126">
        <v>20.5</v>
      </c>
      <c r="AL616" s="126">
        <v>0</v>
      </c>
      <c r="AM616" s="126">
        <v>0</v>
      </c>
      <c r="AN616" s="126">
        <v>0</v>
      </c>
      <c r="AO616" s="16">
        <f>IF(SUM(AL616:AN616)&gt;0,1,0)</f>
        <v>0</v>
      </c>
      <c r="AP616" s="18">
        <f>SUM(AL616:AN616)</f>
        <v>0</v>
      </c>
      <c r="AR616" s="16">
        <v>0.92199999999999993</v>
      </c>
      <c r="AS616" s="16">
        <f>VLOOKUP(E616,'[1]Feces weights'!$D$1:$H$459,5,FALSE)</f>
        <v>0.92199999999999993</v>
      </c>
      <c r="AT616" s="16" t="str">
        <f>VLOOKUP(E616,[2]Current!$A$1:$W$435,7,FALSE)</f>
        <v>DP</v>
      </c>
      <c r="AU616" s="16" t="s">
        <v>1288</v>
      </c>
      <c r="AV616" s="23">
        <v>1</v>
      </c>
      <c r="AW616" s="128">
        <f>IF(AX616&gt;0,1,0)</f>
        <v>0</v>
      </c>
      <c r="AX616" s="128">
        <f>SUM(BA616,BM616,CU616)</f>
        <v>0</v>
      </c>
      <c r="AY616" s="128">
        <f>SUM(BB616,BN616,CV616)</f>
        <v>0</v>
      </c>
      <c r="AZ616" s="128">
        <f>IF(BA616&gt;0,1,0)</f>
        <v>0</v>
      </c>
      <c r="BA616" s="128">
        <f>SUM(BC616+BF616+BI616)</f>
        <v>0</v>
      </c>
      <c r="BB616" s="128">
        <f>SUM(BE616,BH616,BK616)</f>
        <v>0</v>
      </c>
      <c r="BC616" s="130">
        <f>IF(BD616&gt;0,1,0)</f>
        <v>0</v>
      </c>
      <c r="BD616" s="128">
        <f>VLOOKUP($E616,[2]Current!$A:$AC,26,FALSE)</f>
        <v>0</v>
      </c>
      <c r="BE616" s="128">
        <f>BD616/$AS616</f>
        <v>0</v>
      </c>
      <c r="BF616" s="130">
        <f>IF(BG616&gt;0,1,0)</f>
        <v>0</v>
      </c>
      <c r="BG616" s="137">
        <f>VLOOKUP($E616,[2]Current!$A:$AC,27,FALSE)</f>
        <v>0</v>
      </c>
      <c r="BH616" s="128">
        <f>BG616/$AS616</f>
        <v>0</v>
      </c>
      <c r="BI616" s="130">
        <f>IF(BJ616&gt;0,1,0)</f>
        <v>0</v>
      </c>
      <c r="BJ616" s="128">
        <f>VLOOKUP($E616,[2]Current!$A:$AC,28,FALSE)</f>
        <v>0</v>
      </c>
      <c r="BK616" s="128">
        <f>BJ616/$AS616</f>
        <v>0</v>
      </c>
      <c r="BL616" s="128">
        <f>IF(BM616&gt;0,1,0)</f>
        <v>0</v>
      </c>
      <c r="BM616" s="128">
        <f>SUM(BR616,BU616,BX616,CA616,CD616)</f>
        <v>0</v>
      </c>
      <c r="BN616" s="131">
        <f>SUM(BT616,BW616,BZ616,CC616,CF616)</f>
        <v>0</v>
      </c>
      <c r="BO616" s="128">
        <f>IF(BP616&gt;0,1,0)</f>
        <v>0</v>
      </c>
      <c r="BP616" s="128">
        <f>BM616+CJ616</f>
        <v>0</v>
      </c>
      <c r="BQ616" s="128">
        <f>BN616+CL616</f>
        <v>0</v>
      </c>
      <c r="BR616" s="130">
        <f>IF(BS616&gt;0,1,0)</f>
        <v>0</v>
      </c>
      <c r="BS616" s="128">
        <f>VLOOKUP($E616,[2]Current!$A:$AC,12,FALSE)</f>
        <v>0</v>
      </c>
      <c r="BT616" s="137">
        <f>BS616/$AS616</f>
        <v>0</v>
      </c>
      <c r="BU616" s="130">
        <f>IF(BV616&gt;0,1,0)</f>
        <v>0</v>
      </c>
      <c r="BV616" s="128">
        <f>VLOOKUP($E616,[2]Current!$A:$AC,13,FALSE)</f>
        <v>0</v>
      </c>
      <c r="BW616" s="128">
        <f>BV616/$AS616</f>
        <v>0</v>
      </c>
      <c r="BX616" s="130">
        <f>IF(BY616&gt;0,1,0)</f>
        <v>0</v>
      </c>
      <c r="BY616" s="128">
        <f>VLOOKUP($E616,[2]Current!$A:$AC,14,FALSE)</f>
        <v>0</v>
      </c>
      <c r="BZ616" s="128">
        <f>BY616/$AS616</f>
        <v>0</v>
      </c>
      <c r="CA616" s="130">
        <f>IF(CB616&gt;0,1,0)</f>
        <v>0</v>
      </c>
      <c r="CB616" s="128">
        <f>VLOOKUP($E616,[2]Current!$A:$AC,15,FALSE)</f>
        <v>0</v>
      </c>
      <c r="CC616" s="128">
        <f>CB616/$AS616</f>
        <v>0</v>
      </c>
      <c r="CD616" s="174">
        <f>IF(CE616&gt;0,1,0)</f>
        <v>0</v>
      </c>
      <c r="CE616" s="128">
        <f>VLOOKUP($E616,[2]Current!$A:$AC,16,FALSE)</f>
        <v>0</v>
      </c>
      <c r="CF616" s="128">
        <f>CE616/$AS616</f>
        <v>0</v>
      </c>
      <c r="CG616" s="18"/>
      <c r="CH616" s="18"/>
      <c r="CI616" s="18"/>
      <c r="CJ616" s="130">
        <f>IF(CK616&gt;0,1,0)</f>
        <v>0</v>
      </c>
      <c r="CK616" s="128">
        <f>VLOOKUP($E616,[2]Current!$A:$AC,18,FALSE)</f>
        <v>0</v>
      </c>
      <c r="CL616" s="128">
        <f>CK616/$AS616</f>
        <v>0</v>
      </c>
      <c r="CS616" s="130">
        <f>IF(CU616&gt;0,1,0)</f>
        <v>0</v>
      </c>
      <c r="CU616" s="128">
        <f>VLOOKUP($E616,[2]Current!$A:$AC,17,FALSE)</f>
        <v>0</v>
      </c>
      <c r="CV616" s="128">
        <f>CU616/$AS616</f>
        <v>0</v>
      </c>
      <c r="CW616" s="18"/>
      <c r="CX616" s="18"/>
      <c r="CY616" s="18"/>
      <c r="DF616" s="16" t="e">
        <f>VLOOKUP(K616,'[3]RNA Seq summary tables'!$V$3:$V$99,1,FALSE)</f>
        <v>#N/A</v>
      </c>
      <c r="DG616" s="126" t="s">
        <v>123</v>
      </c>
    </row>
    <row r="617" spans="2:288" ht="16" x14ac:dyDescent="0.2">
      <c r="B617" s="16">
        <v>2018</v>
      </c>
      <c r="C617" s="124">
        <v>43266</v>
      </c>
      <c r="D617" t="s">
        <v>803</v>
      </c>
      <c r="E617" s="37" t="str">
        <f>CONCATENATE(T617,"-",U617,"-",C617)</f>
        <v>PO2-D8-43266</v>
      </c>
      <c r="F617" s="16" t="s">
        <v>227</v>
      </c>
      <c r="G617" s="126" t="s">
        <v>107</v>
      </c>
      <c r="H617" s="126"/>
      <c r="J617" s="126">
        <v>1475</v>
      </c>
      <c r="K617" s="126">
        <v>2436</v>
      </c>
      <c r="O617" s="126" t="s">
        <v>119</v>
      </c>
      <c r="P617" s="18" t="s">
        <v>119</v>
      </c>
      <c r="Q617" s="18">
        <v>0</v>
      </c>
      <c r="R617" s="18">
        <f>IF(J617=J616,C617-C616,"")</f>
        <v>18</v>
      </c>
      <c r="T617" s="126" t="s">
        <v>127</v>
      </c>
      <c r="U617" s="126" t="s">
        <v>178</v>
      </c>
      <c r="V617" s="126" t="s">
        <v>114</v>
      </c>
      <c r="X617" s="126" t="s">
        <v>121</v>
      </c>
      <c r="Y617" s="126" t="s">
        <v>110</v>
      </c>
      <c r="Z617" s="126">
        <v>3</v>
      </c>
      <c r="AA617" s="126" t="s">
        <v>119</v>
      </c>
      <c r="AB617" s="126" t="s">
        <v>116</v>
      </c>
      <c r="AC617" s="126" t="s">
        <v>123</v>
      </c>
      <c r="AD617" s="126"/>
      <c r="AE617" s="126"/>
      <c r="AG617" s="16">
        <f>AH617-AI617</f>
        <v>85</v>
      </c>
      <c r="AH617" s="126">
        <v>159</v>
      </c>
      <c r="AI617" s="126">
        <v>74</v>
      </c>
      <c r="AK617" s="126">
        <v>20</v>
      </c>
      <c r="AL617" s="126">
        <v>0</v>
      </c>
      <c r="AM617" s="126">
        <v>0</v>
      </c>
      <c r="AN617" s="126">
        <v>0</v>
      </c>
      <c r="AO617" s="16">
        <f>IF(SUM(AL617:AN617)&gt;0,1,0)</f>
        <v>0</v>
      </c>
      <c r="AP617" s="18">
        <f>SUM(AL617:AN617)</f>
        <v>0</v>
      </c>
      <c r="AR617" s="16">
        <v>0.21500000000000008</v>
      </c>
      <c r="AS617" s="16">
        <f>VLOOKUP(E617,'[1]Feces weights'!$D$1:$H$459,5,FALSE)</f>
        <v>0.21500000000000008</v>
      </c>
      <c r="AT617" s="16" t="str">
        <f>VLOOKUP(E617,[2]Current!$A$1:$W$435,7,FALSE)</f>
        <v>JB</v>
      </c>
      <c r="AU617" s="16" t="s">
        <v>1288</v>
      </c>
      <c r="AV617" s="23">
        <v>1</v>
      </c>
      <c r="AW617" s="128">
        <f>IF(AX617&gt;0,1,0)</f>
        <v>0</v>
      </c>
      <c r="AX617" s="128">
        <f>SUM(BA617,BM617,CU617)</f>
        <v>0</v>
      </c>
      <c r="AY617" s="128">
        <f>SUM(BB617,BN617,CV617)</f>
        <v>0</v>
      </c>
      <c r="AZ617" s="128">
        <f>IF(BA617&gt;0,1,0)</f>
        <v>0</v>
      </c>
      <c r="BA617" s="128">
        <f>SUM(BC617+BF617+BI617)</f>
        <v>0</v>
      </c>
      <c r="BB617" s="128">
        <f>SUM(BE617,BH617,BK617)</f>
        <v>0</v>
      </c>
      <c r="BC617" s="130">
        <f>IF(BD617&gt;0,1,0)</f>
        <v>0</v>
      </c>
      <c r="BD617" s="128">
        <f>VLOOKUP($E617,[2]Current!$A:$AC,26,FALSE)</f>
        <v>0</v>
      </c>
      <c r="BE617" s="128">
        <f>BD617/$AS617</f>
        <v>0</v>
      </c>
      <c r="BF617" s="130">
        <f>IF(BG617&gt;0,1,0)</f>
        <v>0</v>
      </c>
      <c r="BG617" s="137">
        <f>VLOOKUP($E617,[2]Current!$A:$AC,27,FALSE)</f>
        <v>0</v>
      </c>
      <c r="BH617" s="128">
        <f>BG617/$AS617</f>
        <v>0</v>
      </c>
      <c r="BI617" s="130">
        <f>IF(BJ617&gt;0,1,0)</f>
        <v>0</v>
      </c>
      <c r="BJ617" s="128">
        <f>VLOOKUP($E617,[2]Current!$A:$AC,28,FALSE)</f>
        <v>0</v>
      </c>
      <c r="BK617" s="128">
        <f>BJ617/$AS617</f>
        <v>0</v>
      </c>
      <c r="BL617" s="128">
        <f>IF(BM617&gt;0,1,0)</f>
        <v>0</v>
      </c>
      <c r="BM617" s="128">
        <f>SUM(BR617,BU617,BX617,CA617,CD617)</f>
        <v>0</v>
      </c>
      <c r="BN617" s="131">
        <f>SUM(BT617,BW617,BZ617,CC617,CF617)</f>
        <v>0</v>
      </c>
      <c r="BO617" s="128">
        <f>IF(BP617&gt;0,1,0)</f>
        <v>0</v>
      </c>
      <c r="BP617" s="128">
        <f>BM617+CJ617</f>
        <v>0</v>
      </c>
      <c r="BQ617" s="128">
        <f>BN617+CL617</f>
        <v>0</v>
      </c>
      <c r="BR617" s="130">
        <f>IF(BS617&gt;0,1,0)</f>
        <v>0</v>
      </c>
      <c r="BS617" s="128">
        <f>VLOOKUP($E617,[2]Current!$A:$AC,12,FALSE)</f>
        <v>0</v>
      </c>
      <c r="BT617" s="137">
        <f>BS617/$AS617</f>
        <v>0</v>
      </c>
      <c r="BU617" s="130">
        <f>IF(BV617&gt;0,1,0)</f>
        <v>0</v>
      </c>
      <c r="BV617" s="128">
        <f>VLOOKUP($E617,[2]Current!$A:$AC,13,FALSE)</f>
        <v>0</v>
      </c>
      <c r="BW617" s="128">
        <f>BV617/$AS617</f>
        <v>0</v>
      </c>
      <c r="BX617" s="130">
        <f>IF(BY617&gt;0,1,0)</f>
        <v>0</v>
      </c>
      <c r="BY617" s="128">
        <f>VLOOKUP($E617,[2]Current!$A:$AC,14,FALSE)</f>
        <v>0</v>
      </c>
      <c r="BZ617" s="128">
        <f>BY617/$AS617</f>
        <v>0</v>
      </c>
      <c r="CA617" s="130">
        <f>IF(CB617&gt;0,1,0)</f>
        <v>0</v>
      </c>
      <c r="CB617" s="128">
        <f>VLOOKUP($E617,[2]Current!$A:$AC,15,FALSE)</f>
        <v>0</v>
      </c>
      <c r="CC617" s="128">
        <f>CB617/$AS617</f>
        <v>0</v>
      </c>
      <c r="CD617" s="174">
        <f>IF(CE617&gt;0,1,0)</f>
        <v>0</v>
      </c>
      <c r="CE617" s="128">
        <f>VLOOKUP($E617,[2]Current!$A:$AC,16,FALSE)</f>
        <v>0</v>
      </c>
      <c r="CF617" s="128">
        <f>CE617/$AS617</f>
        <v>0</v>
      </c>
      <c r="CG617" s="18"/>
      <c r="CH617" s="18"/>
      <c r="CI617" s="18"/>
      <c r="CJ617" s="130">
        <f>IF(CK617&gt;0,1,0)</f>
        <v>0</v>
      </c>
      <c r="CK617" s="128">
        <f>VLOOKUP($E617,[2]Current!$A:$AC,18,FALSE)</f>
        <v>0</v>
      </c>
      <c r="CL617" s="128">
        <f>CK617/$AS617</f>
        <v>0</v>
      </c>
      <c r="CS617" s="130">
        <f>IF(CU617&gt;0,1,0)</f>
        <v>0</v>
      </c>
      <c r="CU617" s="128">
        <f>VLOOKUP($E617,[2]Current!$A:$AC,17,FALSE)</f>
        <v>0</v>
      </c>
      <c r="CV617" s="128">
        <f>CU617/$AS617</f>
        <v>0</v>
      </c>
      <c r="CW617" s="18"/>
      <c r="CX617" s="18"/>
      <c r="CY617" s="18"/>
      <c r="DF617" s="16" t="e">
        <f>VLOOKUP(K617,'[3]RNA Seq summary tables'!$V$3:$V$99,1,FALSE)</f>
        <v>#N/A</v>
      </c>
      <c r="DG617" s="126" t="s">
        <v>116</v>
      </c>
    </row>
    <row r="618" spans="2:288" ht="16" x14ac:dyDescent="0.2">
      <c r="B618" s="16">
        <v>2018</v>
      </c>
      <c r="C618" s="124">
        <v>43283</v>
      </c>
      <c r="D618" t="s">
        <v>894</v>
      </c>
      <c r="E618" s="37" t="str">
        <f>CONCATENATE(T618,"-",U618,"-",C618)</f>
        <v>PO2-E7-43283</v>
      </c>
      <c r="F618" s="16" t="s">
        <v>227</v>
      </c>
      <c r="G618" s="126" t="s">
        <v>107</v>
      </c>
      <c r="H618" s="126"/>
      <c r="J618" s="126">
        <v>1475</v>
      </c>
      <c r="K618" s="126">
        <v>2531</v>
      </c>
      <c r="O618" s="126" t="s">
        <v>119</v>
      </c>
      <c r="P618" s="18" t="s">
        <v>119</v>
      </c>
      <c r="Q618" s="18">
        <v>0</v>
      </c>
      <c r="R618" s="18">
        <f>IF(J618=J617,C618-C617,"")</f>
        <v>17</v>
      </c>
      <c r="T618" s="126" t="s">
        <v>127</v>
      </c>
      <c r="U618" s="126" t="s">
        <v>135</v>
      </c>
      <c r="V618" s="126" t="s">
        <v>114</v>
      </c>
      <c r="X618" s="126" t="s">
        <v>121</v>
      </c>
      <c r="Y618" s="126" t="s">
        <v>110</v>
      </c>
      <c r="Z618" s="126">
        <v>3</v>
      </c>
      <c r="AA618" s="126" t="s">
        <v>119</v>
      </c>
      <c r="AB618" s="126" t="s">
        <v>116</v>
      </c>
      <c r="AC618" s="126" t="s">
        <v>123</v>
      </c>
      <c r="AD618" s="126"/>
      <c r="AE618" s="126"/>
      <c r="AG618" s="16">
        <f>AH618-AI618</f>
        <v>91</v>
      </c>
      <c r="AH618" s="126">
        <v>164</v>
      </c>
      <c r="AI618" s="126">
        <v>73</v>
      </c>
      <c r="AK618" s="126">
        <v>20</v>
      </c>
      <c r="AL618" s="126">
        <v>0</v>
      </c>
      <c r="AM618" s="126">
        <v>0</v>
      </c>
      <c r="AN618" s="126">
        <v>0</v>
      </c>
      <c r="AO618" s="16">
        <f>IF(SUM(AL618:AN618)&gt;0,1,0)</f>
        <v>0</v>
      </c>
      <c r="AP618" s="18">
        <f>SUM(AL618:AN618)</f>
        <v>0</v>
      </c>
      <c r="AR618" s="16">
        <v>4.9000000000000155E-2</v>
      </c>
      <c r="AS618" s="16">
        <f>VLOOKUP(E618,'[1]Feces weights'!$D$1:$H$459,5,FALSE)</f>
        <v>4.9000000000000155E-2</v>
      </c>
      <c r="AT618" s="16" t="str">
        <f>VLOOKUP(E618,[2]Current!$A$1:$W$435,7,FALSE)</f>
        <v>TE</v>
      </c>
      <c r="AU618" s="16" t="s">
        <v>1288</v>
      </c>
      <c r="AW618" s="128">
        <f>IF(AX618&gt;0,1,0)</f>
        <v>1</v>
      </c>
      <c r="AX618" s="128">
        <f>SUM(BA618,BM618,CU618)</f>
        <v>2</v>
      </c>
      <c r="AY618" s="128">
        <f>SUM(BB618,BN618,CV618)</f>
        <v>448.97959183673328</v>
      </c>
      <c r="AZ618" s="128">
        <f>IF(BA618&gt;0,1,0)</f>
        <v>1</v>
      </c>
      <c r="BA618" s="128">
        <f>SUM(BC618+BF618+BI618)</f>
        <v>2</v>
      </c>
      <c r="BB618" s="128">
        <f>SUM(BE618,BH618,BK618)</f>
        <v>448.97959183673328</v>
      </c>
      <c r="BC618" s="130">
        <f>IF(BD618&gt;0,1,0)</f>
        <v>1</v>
      </c>
      <c r="BD618" s="128">
        <f>VLOOKUP($E618,[2]Current!$A:$AC,26,FALSE)</f>
        <v>4</v>
      </c>
      <c r="BE618" s="128">
        <f>BD618/$AS618</f>
        <v>81.632653061224232</v>
      </c>
      <c r="BF618" s="130">
        <f>IF(BG618&gt;0,1,0)</f>
        <v>0</v>
      </c>
      <c r="BG618" s="137">
        <f>VLOOKUP($E618,[2]Current!$A:$AC,27,FALSE)</f>
        <v>0</v>
      </c>
      <c r="BH618" s="128">
        <f>BG618/$AS618</f>
        <v>0</v>
      </c>
      <c r="BI618" s="130">
        <f>IF(BJ618&gt;0,1,0)</f>
        <v>1</v>
      </c>
      <c r="BJ618" s="128">
        <f>VLOOKUP($E618,[2]Current!$A:$AC,28,FALSE)</f>
        <v>18</v>
      </c>
      <c r="BK618" s="128">
        <f>BJ618/$AS618</f>
        <v>367.34693877550905</v>
      </c>
      <c r="BL618" s="128">
        <f>IF(BM618&gt;0,1,0)</f>
        <v>0</v>
      </c>
      <c r="BM618" s="128">
        <f>SUM(BR618,BU618,BX618,CA618,CD618)</f>
        <v>0</v>
      </c>
      <c r="BN618" s="131">
        <f>SUM(BT618,BW618,BZ618,CC618,CF618)</f>
        <v>0</v>
      </c>
      <c r="BO618" s="128">
        <f>IF(BP618&gt;0,1,0)</f>
        <v>0</v>
      </c>
      <c r="BP618" s="128">
        <f>BM618+CJ618</f>
        <v>0</v>
      </c>
      <c r="BQ618" s="128">
        <f>BN618+CL618</f>
        <v>0</v>
      </c>
      <c r="BR618" s="130">
        <f>IF(BS618&gt;0,1,0)</f>
        <v>0</v>
      </c>
      <c r="BS618" s="128">
        <f>VLOOKUP($E618,[2]Current!$A:$AC,12,FALSE)</f>
        <v>0</v>
      </c>
      <c r="BT618" s="137">
        <f>BS618/$AS618</f>
        <v>0</v>
      </c>
      <c r="BU618" s="130">
        <f>IF(BV618&gt;0,1,0)</f>
        <v>0</v>
      </c>
      <c r="BV618" s="128">
        <f>VLOOKUP($E618,[2]Current!$A:$AC,13,FALSE)</f>
        <v>0</v>
      </c>
      <c r="BW618" s="128">
        <f>BV618/$AS618</f>
        <v>0</v>
      </c>
      <c r="BX618" s="130">
        <f>IF(BY618&gt;0,1,0)</f>
        <v>0</v>
      </c>
      <c r="BY618" s="128">
        <f>VLOOKUP($E618,[2]Current!$A:$AC,14,FALSE)</f>
        <v>0</v>
      </c>
      <c r="BZ618" s="128">
        <f>BY618/$AS618</f>
        <v>0</v>
      </c>
      <c r="CA618" s="130">
        <f>IF(CB618&gt;0,1,0)</f>
        <v>0</v>
      </c>
      <c r="CB618" s="128">
        <f>VLOOKUP($E618,[2]Current!$A:$AC,15,FALSE)</f>
        <v>0</v>
      </c>
      <c r="CC618" s="128">
        <f>CB618/$AS618</f>
        <v>0</v>
      </c>
      <c r="CD618" s="174">
        <f>IF(CE618&gt;0,1,0)</f>
        <v>0</v>
      </c>
      <c r="CE618" s="128">
        <f>VLOOKUP($E618,[2]Current!$A:$AC,16,FALSE)</f>
        <v>0</v>
      </c>
      <c r="CF618" s="128">
        <f>CE618/$AS618</f>
        <v>0</v>
      </c>
      <c r="CG618" s="18"/>
      <c r="CH618" s="18"/>
      <c r="CI618" s="18"/>
      <c r="CJ618" s="130">
        <f>IF(CK618&gt;0,1,0)</f>
        <v>0</v>
      </c>
      <c r="CK618" s="128">
        <f>VLOOKUP($E618,[2]Current!$A:$AC,18,FALSE)</f>
        <v>0</v>
      </c>
      <c r="CL618" s="128">
        <f>CK618/$AS618</f>
        <v>0</v>
      </c>
      <c r="CS618" s="130">
        <f>IF(CU618&gt;0,1,0)</f>
        <v>0</v>
      </c>
      <c r="CU618" s="128">
        <f>VLOOKUP($E618,[2]Current!$A:$AC,17,FALSE)</f>
        <v>0</v>
      </c>
      <c r="CV618" s="128">
        <f>CU618/$AS618</f>
        <v>0</v>
      </c>
      <c r="CW618" s="18"/>
      <c r="CX618" s="18"/>
      <c r="CY618" s="18"/>
      <c r="DF618" s="16" t="e">
        <f>VLOOKUP(K618,'[3]RNA Seq summary tables'!$V$3:$V$99,1,FALSE)</f>
        <v>#N/A</v>
      </c>
      <c r="DG618" s="126" t="s">
        <v>116</v>
      </c>
    </row>
    <row r="619" spans="2:288" ht="16" x14ac:dyDescent="0.2">
      <c r="B619" s="16">
        <v>2018</v>
      </c>
      <c r="C619" s="124">
        <v>43297</v>
      </c>
      <c r="D619" t="s">
        <v>1004</v>
      </c>
      <c r="E619" s="37" t="str">
        <f>CONCATENATE(T619,"-",U619,"-",C619)</f>
        <v>PO2-D8-43297</v>
      </c>
      <c r="F619" s="16" t="s">
        <v>227</v>
      </c>
      <c r="G619" s="126" t="s">
        <v>107</v>
      </c>
      <c r="H619" s="126"/>
      <c r="J619" s="126">
        <v>1475</v>
      </c>
      <c r="K619" s="126">
        <v>2643</v>
      </c>
      <c r="O619" s="126" t="s">
        <v>119</v>
      </c>
      <c r="P619" s="18" t="s">
        <v>119</v>
      </c>
      <c r="Q619" s="18">
        <v>0</v>
      </c>
      <c r="R619" s="18">
        <f>IF(J619=J618,C619-C618,"")</f>
        <v>14</v>
      </c>
      <c r="T619" s="126" t="s">
        <v>127</v>
      </c>
      <c r="U619" s="126" t="s">
        <v>178</v>
      </c>
      <c r="V619" s="126" t="s">
        <v>114</v>
      </c>
      <c r="X619" s="126" t="s">
        <v>121</v>
      </c>
      <c r="Y619" s="126" t="s">
        <v>110</v>
      </c>
      <c r="Z619" s="126">
        <v>3</v>
      </c>
      <c r="AA619" s="126" t="s">
        <v>119</v>
      </c>
      <c r="AB619" s="126" t="s">
        <v>123</v>
      </c>
      <c r="AC619" s="126" t="s">
        <v>116</v>
      </c>
      <c r="AD619" s="126"/>
      <c r="AE619" s="126"/>
      <c r="AG619" s="40">
        <f>AH619-AI619</f>
        <v>82</v>
      </c>
      <c r="AH619" s="126">
        <v>158</v>
      </c>
      <c r="AI619" s="126">
        <v>76</v>
      </c>
      <c r="AK619" s="126">
        <v>18</v>
      </c>
      <c r="AL619" s="126">
        <v>0</v>
      </c>
      <c r="AM619" s="126">
        <v>0</v>
      </c>
      <c r="AN619" s="126">
        <v>0</v>
      </c>
      <c r="AO619" s="16">
        <f>IF(SUM(AL619:AN619)&gt;0,1,0)</f>
        <v>0</v>
      </c>
      <c r="AP619" s="18">
        <f>SUM(AL619:AN619)</f>
        <v>0</v>
      </c>
      <c r="AR619" s="16">
        <v>0.16800000000000015</v>
      </c>
      <c r="AS619" s="16">
        <f>VLOOKUP(E619,'[1]Feces weights'!$D$1:$H$459,5,FALSE)</f>
        <v>0.16800000000000015</v>
      </c>
      <c r="AT619" s="16" t="str">
        <f>VLOOKUP(E619,[2]Current!$A$1:$W$435,7,FALSE)</f>
        <v>JY</v>
      </c>
      <c r="AU619" s="16" t="s">
        <v>1288</v>
      </c>
      <c r="AV619" s="23"/>
      <c r="AW619" s="128">
        <f>IF(AX619&gt;0,1,0)</f>
        <v>1</v>
      </c>
      <c r="AX619" s="128">
        <f>SUM(BA619,BM619,CU619)</f>
        <v>2</v>
      </c>
      <c r="AY619" s="128">
        <f>SUM(BB619,BN619,CV619)</f>
        <v>5547.6190476190432</v>
      </c>
      <c r="AZ619" s="128">
        <f>IF(BA619&gt;0,1,0)</f>
        <v>1</v>
      </c>
      <c r="BA619" s="128">
        <f>SUM(BC619+BF619+BI619)</f>
        <v>2</v>
      </c>
      <c r="BB619" s="128">
        <f>SUM(BE619,BH619,BK619)</f>
        <v>5547.6190476190432</v>
      </c>
      <c r="BC619" s="130">
        <f>IF(BD619&gt;0,1,0)</f>
        <v>1</v>
      </c>
      <c r="BD619" s="128">
        <f>VLOOKUP($E619,[2]Current!$A:$AC,26,FALSE)</f>
        <v>38</v>
      </c>
      <c r="BE619" s="128">
        <f>BD619/$AS619</f>
        <v>226.19047619047598</v>
      </c>
      <c r="BF619" s="130">
        <f>IF(BG619&gt;0,1,0)</f>
        <v>1</v>
      </c>
      <c r="BG619" s="137">
        <f>VLOOKUP($E619,[2]Current!$A:$AC,27,FALSE)</f>
        <v>894</v>
      </c>
      <c r="BH619" s="128">
        <f>BG619/$AS619</f>
        <v>5321.428571428567</v>
      </c>
      <c r="BI619" s="130">
        <f>IF(BJ619&gt;0,1,0)</f>
        <v>0</v>
      </c>
      <c r="BJ619" s="128">
        <f>VLOOKUP($E619,[2]Current!$A:$AC,28,FALSE)</f>
        <v>0</v>
      </c>
      <c r="BK619" s="128">
        <f>BJ619/$AS619</f>
        <v>0</v>
      </c>
      <c r="BL619" s="128">
        <f>IF(BM619&gt;0,1,0)</f>
        <v>0</v>
      </c>
      <c r="BM619" s="128">
        <f>SUM(BR619,BU619,BX619,CA619,CD619)</f>
        <v>0</v>
      </c>
      <c r="BN619" s="131">
        <f>SUM(BT619,BW619,BZ619,CC619,CF619)</f>
        <v>0</v>
      </c>
      <c r="BO619" s="128">
        <f>IF(BP619&gt;0,1,0)</f>
        <v>0</v>
      </c>
      <c r="BP619" s="128">
        <f>BM619+CJ619</f>
        <v>0</v>
      </c>
      <c r="BQ619" s="128">
        <f>BN619+CL619</f>
        <v>0</v>
      </c>
      <c r="BR619" s="130">
        <f>IF(BS619&gt;0,1,0)</f>
        <v>0</v>
      </c>
      <c r="BS619" s="128">
        <f>VLOOKUP($E619,[2]Current!$A:$AC,12,FALSE)</f>
        <v>0</v>
      </c>
      <c r="BT619" s="137">
        <f>BS619/$AS619</f>
        <v>0</v>
      </c>
      <c r="BU619" s="130">
        <f>IF(BV619&gt;0,1,0)</f>
        <v>0</v>
      </c>
      <c r="BV619" s="128">
        <f>VLOOKUP($E619,[2]Current!$A:$AC,13,FALSE)</f>
        <v>0</v>
      </c>
      <c r="BW619" s="128">
        <f>BV619/$AS619</f>
        <v>0</v>
      </c>
      <c r="BX619" s="130">
        <f>IF(BY619&gt;0,1,0)</f>
        <v>0</v>
      </c>
      <c r="BY619" s="128">
        <f>VLOOKUP($E619,[2]Current!$A:$AC,14,FALSE)</f>
        <v>0</v>
      </c>
      <c r="BZ619" s="128">
        <f>BY619/$AS619</f>
        <v>0</v>
      </c>
      <c r="CA619" s="130">
        <f>IF(CB619&gt;0,1,0)</f>
        <v>0</v>
      </c>
      <c r="CB619" s="128">
        <f>VLOOKUP($E619,[2]Current!$A:$AC,15,FALSE)</f>
        <v>0</v>
      </c>
      <c r="CC619" s="128">
        <f>CB619/$AS619</f>
        <v>0</v>
      </c>
      <c r="CD619" s="174">
        <f>IF(CE619&gt;0,1,0)</f>
        <v>0</v>
      </c>
      <c r="CE619" s="128">
        <f>VLOOKUP($E619,[2]Current!$A:$AC,16,FALSE)</f>
        <v>0</v>
      </c>
      <c r="CF619" s="128">
        <f>CE619/$AS619</f>
        <v>0</v>
      </c>
      <c r="CG619" s="18"/>
      <c r="CH619" s="18"/>
      <c r="CI619" s="18"/>
      <c r="CJ619" s="130">
        <f>IF(CK619&gt;0,1,0)</f>
        <v>0</v>
      </c>
      <c r="CK619" s="128">
        <f>VLOOKUP($E619,[2]Current!$A:$AC,18,FALSE)</f>
        <v>0</v>
      </c>
      <c r="CL619" s="128">
        <f>CK619/$AS619</f>
        <v>0</v>
      </c>
      <c r="CS619" s="130">
        <f>IF(CU619&gt;0,1,0)</f>
        <v>0</v>
      </c>
      <c r="CU619" s="128">
        <f>VLOOKUP($E619,[2]Current!$A:$AC,17,FALSE)</f>
        <v>0</v>
      </c>
      <c r="CV619" s="128">
        <f>CU619/$AS619</f>
        <v>0</v>
      </c>
      <c r="CW619" s="18"/>
      <c r="CX619" s="18"/>
      <c r="CY619" s="18"/>
      <c r="DF619" s="16" t="e">
        <f>VLOOKUP(K619,'[3]RNA Seq summary tables'!$V$3:$V$99,1,FALSE)</f>
        <v>#N/A</v>
      </c>
      <c r="DG619" s="126" t="s">
        <v>116</v>
      </c>
    </row>
    <row r="620" spans="2:288" ht="16" x14ac:dyDescent="0.2">
      <c r="B620" s="16">
        <v>2018</v>
      </c>
      <c r="C620" s="147">
        <v>43315</v>
      </c>
      <c r="D620" t="s">
        <v>1244</v>
      </c>
      <c r="E620" s="20" t="str">
        <f>CONCATENATE(T620,"-",U620,"-",C620)</f>
        <v>PO2-F8-43315</v>
      </c>
      <c r="F620" s="16" t="s">
        <v>227</v>
      </c>
      <c r="G620" s="145" t="s">
        <v>107</v>
      </c>
      <c r="H620" s="145"/>
      <c r="I620" s="145"/>
      <c r="J620" s="145">
        <v>1475</v>
      </c>
      <c r="K620" s="145">
        <v>2743</v>
      </c>
      <c r="M620" s="16"/>
      <c r="N620" s="16"/>
      <c r="O620" s="145" t="s">
        <v>119</v>
      </c>
      <c r="P620" s="18" t="s">
        <v>119</v>
      </c>
      <c r="Q620" s="18">
        <v>0</v>
      </c>
      <c r="R620" s="18">
        <f>IF(J620=J619,C620-C619,"")</f>
        <v>18</v>
      </c>
      <c r="S620" s="145"/>
      <c r="T620" s="145" t="s">
        <v>127</v>
      </c>
      <c r="U620" s="145" t="s">
        <v>138</v>
      </c>
      <c r="V620" s="145" t="s">
        <v>114</v>
      </c>
      <c r="W620" s="145"/>
      <c r="X620" s="145" t="s">
        <v>121</v>
      </c>
      <c r="Y620" s="145" t="s">
        <v>110</v>
      </c>
      <c r="Z620" s="145">
        <v>3</v>
      </c>
      <c r="AA620" s="145" t="s">
        <v>119</v>
      </c>
      <c r="AB620" s="145" t="s">
        <v>116</v>
      </c>
      <c r="AC620" s="145" t="s">
        <v>116</v>
      </c>
      <c r="AD620" s="145"/>
      <c r="AE620" s="145"/>
      <c r="AF620" s="145"/>
      <c r="AG620" s="145">
        <f>AH620-AI620</f>
        <v>81</v>
      </c>
      <c r="AH620" s="145">
        <v>157</v>
      </c>
      <c r="AI620" s="145">
        <v>76</v>
      </c>
      <c r="AJ620" s="145"/>
      <c r="AK620" s="145">
        <v>20.5</v>
      </c>
      <c r="AL620" s="145">
        <v>1</v>
      </c>
      <c r="AM620" s="145">
        <v>0</v>
      </c>
      <c r="AN620" s="145">
        <v>0</v>
      </c>
      <c r="AO620" s="16">
        <f>IF(SUM(AL620:AN620)&gt;0, 1,0)</f>
        <v>1</v>
      </c>
      <c r="AP620" s="16">
        <f>SUM(AL620:AN620)</f>
        <v>1</v>
      </c>
      <c r="AS620" s="16">
        <f>VLOOKUP(E620,'[1]Feces weights'!$D$1:$H$459,5,FALSE)</f>
        <v>0.83000000000000029</v>
      </c>
      <c r="AT620" s="16" t="e">
        <f>VLOOKUP(E620,[2]Current!$A$1:$W$435,7,FALSE)</f>
        <v>#N/A</v>
      </c>
      <c r="BG620" s="77"/>
      <c r="BT620" s="77"/>
      <c r="CD620" s="77"/>
      <c r="DG620" s="145" t="s">
        <v>123</v>
      </c>
      <c r="DT620" s="145" t="s">
        <v>116</v>
      </c>
      <c r="DU620" s="145"/>
      <c r="DX620" s="145"/>
      <c r="DY620" s="145"/>
      <c r="DZ620" s="16"/>
      <c r="EA620" s="16"/>
      <c r="EB620" s="16"/>
      <c r="EC620" s="16"/>
      <c r="ED620" s="16"/>
      <c r="EE620" s="16"/>
      <c r="EF620" s="16"/>
      <c r="JO620" s="18"/>
      <c r="JP620" s="18"/>
      <c r="JQ620" s="18"/>
      <c r="JR620" s="18"/>
      <c r="JS620" s="18"/>
      <c r="JT620" s="18"/>
      <c r="JU620" s="18"/>
      <c r="JV620" s="18"/>
      <c r="JW620" s="18"/>
      <c r="JX620" s="18"/>
      <c r="JY620" s="18"/>
      <c r="JZ620" s="18"/>
      <c r="KA620" s="18"/>
    </row>
    <row r="621" spans="2:288" ht="16" x14ac:dyDescent="0.2">
      <c r="B621" s="16">
        <v>2018</v>
      </c>
      <c r="C621" s="124">
        <v>43262</v>
      </c>
      <c r="D621" t="s">
        <v>795</v>
      </c>
      <c r="E621" s="37" t="str">
        <f>CONCATENATE(T621,"-",U621,"-",C621)</f>
        <v>HW1-E8-43262</v>
      </c>
      <c r="F621" s="16" t="s">
        <v>227</v>
      </c>
      <c r="G621" s="126" t="s">
        <v>107</v>
      </c>
      <c r="H621" s="126"/>
      <c r="J621" s="126">
        <v>1478</v>
      </c>
      <c r="K621" s="126">
        <v>2432</v>
      </c>
      <c r="O621" s="126" t="s">
        <v>119</v>
      </c>
      <c r="P621" s="18" t="s">
        <v>119</v>
      </c>
      <c r="Q621" s="18">
        <v>0</v>
      </c>
      <c r="R621" s="18" t="str">
        <f>IF(J621=J620,C621-C620,"")</f>
        <v/>
      </c>
      <c r="T621" s="126" t="s">
        <v>133</v>
      </c>
      <c r="U621" s="126" t="s">
        <v>181</v>
      </c>
      <c r="V621" s="126" t="s">
        <v>114</v>
      </c>
      <c r="X621" s="126" t="s">
        <v>121</v>
      </c>
      <c r="Y621" s="126" t="s">
        <v>110</v>
      </c>
      <c r="Z621" s="126">
        <v>3</v>
      </c>
      <c r="AA621" s="126" t="s">
        <v>119</v>
      </c>
      <c r="AB621" s="126" t="s">
        <v>116</v>
      </c>
      <c r="AC621" s="126" t="s">
        <v>123</v>
      </c>
      <c r="AD621" s="126"/>
      <c r="AE621" s="126"/>
      <c r="AG621" s="16">
        <f>AH621-AI621</f>
        <v>90</v>
      </c>
      <c r="AH621" s="126">
        <v>165</v>
      </c>
      <c r="AI621" s="126">
        <v>75</v>
      </c>
      <c r="AK621" s="126">
        <v>19.5</v>
      </c>
      <c r="AL621" s="126">
        <v>1</v>
      </c>
      <c r="AM621" s="126">
        <v>1</v>
      </c>
      <c r="AN621" s="126">
        <v>0</v>
      </c>
      <c r="AO621" s="16">
        <f>IF(SUM(AL621:AN621)&gt;0,1,0)</f>
        <v>1</v>
      </c>
      <c r="AP621" s="18">
        <f>SUM(AL621:AN621)</f>
        <v>2</v>
      </c>
      <c r="AR621" s="16">
        <v>0.18500000000000005</v>
      </c>
      <c r="AS621" s="16">
        <f>VLOOKUP(E621,'[1]Feces weights'!$D$1:$H$459,5,FALSE)</f>
        <v>0.18500000000000005</v>
      </c>
      <c r="AT621" s="16" t="str">
        <f>VLOOKUP(E621,[2]Current!$A$1:$W$435,7,FALSE)</f>
        <v>JB</v>
      </c>
      <c r="AU621" s="16" t="s">
        <v>1288</v>
      </c>
      <c r="AW621" s="128">
        <f>IF(AX621&gt;0,1,0)</f>
        <v>1</v>
      </c>
      <c r="AX621" s="128">
        <f>SUM(BA621,BM621,CU621)</f>
        <v>4</v>
      </c>
      <c r="AY621" s="128">
        <f>SUM(BB621,BN621,CV621)</f>
        <v>3908.108108108107</v>
      </c>
      <c r="AZ621" s="128">
        <f>IF(BA621&gt;0,1,0)</f>
        <v>1</v>
      </c>
      <c r="BA621" s="128">
        <f>SUM(BC621+BF621+BI621)</f>
        <v>2</v>
      </c>
      <c r="BB621" s="128">
        <f>SUM(BE621,BH621,BK621)</f>
        <v>3491.8918918918907</v>
      </c>
      <c r="BC621" s="130">
        <f>IF(BD621&gt;0,1,0)</f>
        <v>1</v>
      </c>
      <c r="BD621" s="128">
        <f>VLOOKUP($E621,[2]Current!$A:$AC,26,FALSE)</f>
        <v>58</v>
      </c>
      <c r="BE621" s="128">
        <f>BD621/$AS621</f>
        <v>313.51351351351343</v>
      </c>
      <c r="BF621" s="130">
        <f>IF(BG621&gt;0,1,0)</f>
        <v>1</v>
      </c>
      <c r="BG621" s="137">
        <f>VLOOKUP($E621,[2]Current!$A:$AC,27,FALSE)</f>
        <v>588</v>
      </c>
      <c r="BH621" s="128">
        <f>BG621/$AS621</f>
        <v>3178.3783783783774</v>
      </c>
      <c r="BI621" s="130">
        <f>IF(BJ621&gt;0,1,0)</f>
        <v>0</v>
      </c>
      <c r="BJ621" s="128">
        <f>VLOOKUP($E621,[2]Current!$A:$AC,28,FALSE)</f>
        <v>0</v>
      </c>
      <c r="BK621" s="128">
        <f>BJ621/$AS621</f>
        <v>0</v>
      </c>
      <c r="BL621" s="128">
        <f>IF(BM621&gt;0,1,0)</f>
        <v>1</v>
      </c>
      <c r="BM621" s="128">
        <f>SUM(BR621,BU621,BX621,CA621,CD621)</f>
        <v>2</v>
      </c>
      <c r="BN621" s="131">
        <f>SUM(BT621,BW621,BZ621,CC621,CF621)</f>
        <v>416.21621621621614</v>
      </c>
      <c r="BO621" s="128">
        <f>IF(BP621&gt;0,1,0)</f>
        <v>1</v>
      </c>
      <c r="BP621" s="128">
        <f>BM621+CJ621</f>
        <v>2</v>
      </c>
      <c r="BQ621" s="128">
        <f>BN621+CL621</f>
        <v>416.21621621621614</v>
      </c>
      <c r="BR621" s="130">
        <f>IF(BS621&gt;0,1,0)</f>
        <v>1</v>
      </c>
      <c r="BS621" s="128">
        <f>VLOOKUP($E621,[2]Current!$A:$AC,12,FALSE)</f>
        <v>42</v>
      </c>
      <c r="BT621" s="137">
        <f>BS621/$AS621</f>
        <v>227.02702702702697</v>
      </c>
      <c r="BU621" s="130">
        <f>IF(BV621&gt;0,1,0)</f>
        <v>1</v>
      </c>
      <c r="BV621" s="128">
        <f>VLOOKUP($E621,[2]Current!$A:$AC,13,FALSE)</f>
        <v>35</v>
      </c>
      <c r="BW621" s="128">
        <f>BV621/$AS621</f>
        <v>189.18918918918914</v>
      </c>
      <c r="BX621" s="130">
        <f>IF(BY621&gt;0,1,0)</f>
        <v>0</v>
      </c>
      <c r="BY621" s="128">
        <f>VLOOKUP($E621,[2]Current!$A:$AC,14,FALSE)</f>
        <v>0</v>
      </c>
      <c r="BZ621" s="128">
        <f>BY621/$AS621</f>
        <v>0</v>
      </c>
      <c r="CA621" s="130">
        <f>IF(CB621&gt;0,1,0)</f>
        <v>0</v>
      </c>
      <c r="CB621" s="128">
        <f>VLOOKUP($E621,[2]Current!$A:$AC,15,FALSE)</f>
        <v>0</v>
      </c>
      <c r="CC621" s="128">
        <f>CB621/$AS621</f>
        <v>0</v>
      </c>
      <c r="CD621" s="174">
        <f>IF(CE621&gt;0,1,0)</f>
        <v>0</v>
      </c>
      <c r="CE621" s="128">
        <f>VLOOKUP($E621,[2]Current!$A:$AC,16,FALSE)</f>
        <v>0</v>
      </c>
      <c r="CF621" s="128">
        <f>CE621/$AS621</f>
        <v>0</v>
      </c>
      <c r="CG621" s="18"/>
      <c r="CH621" s="18"/>
      <c r="CI621" s="18"/>
      <c r="CJ621" s="130">
        <f>IF(CK621&gt;0,1,0)</f>
        <v>0</v>
      </c>
      <c r="CK621" s="128">
        <f>VLOOKUP($E621,[2]Current!$A:$AC,18,FALSE)</f>
        <v>0</v>
      </c>
      <c r="CL621" s="128">
        <f>CK621/$AS621</f>
        <v>0</v>
      </c>
      <c r="CS621" s="130">
        <f>IF(CU621&gt;0,1,0)</f>
        <v>0</v>
      </c>
      <c r="CU621" s="128">
        <f>VLOOKUP($E621,[2]Current!$A:$AC,17,FALSE)</f>
        <v>0</v>
      </c>
      <c r="CV621" s="128">
        <f>CU621/$AS621</f>
        <v>0</v>
      </c>
      <c r="CW621" s="18"/>
      <c r="CX621" s="18"/>
      <c r="CY621" s="18"/>
      <c r="DF621" s="16" t="e">
        <f>VLOOKUP(K621,'[3]RNA Seq summary tables'!$V$3:$V$99,1,FALSE)</f>
        <v>#N/A</v>
      </c>
      <c r="DG621" s="125" t="s">
        <v>116</v>
      </c>
    </row>
    <row r="622" spans="2:288" ht="16" x14ac:dyDescent="0.2">
      <c r="B622" s="16">
        <v>2018</v>
      </c>
      <c r="C622" s="124">
        <v>43277</v>
      </c>
      <c r="D622" t="s">
        <v>1280</v>
      </c>
      <c r="E622" s="37" t="str">
        <f>CONCATENATE(T622,"-",U622,"-",C622)</f>
        <v>HW1-F3-43277</v>
      </c>
      <c r="F622" s="16" t="s">
        <v>227</v>
      </c>
      <c r="G622" s="126" t="s">
        <v>107</v>
      </c>
      <c r="H622" s="126"/>
      <c r="J622" s="126">
        <v>1478</v>
      </c>
      <c r="K622" s="126">
        <v>2514</v>
      </c>
      <c r="O622" s="126" t="s">
        <v>119</v>
      </c>
      <c r="P622" s="18" t="s">
        <v>119</v>
      </c>
      <c r="Q622" s="18">
        <v>0</v>
      </c>
      <c r="R622" s="18">
        <f>IF(J622=J621,C622-C621,"")</f>
        <v>15</v>
      </c>
      <c r="T622" s="126" t="s">
        <v>133</v>
      </c>
      <c r="U622" s="151" t="s">
        <v>182</v>
      </c>
      <c r="V622" s="126" t="s">
        <v>114</v>
      </c>
      <c r="X622" s="126" t="s">
        <v>121</v>
      </c>
      <c r="Y622" s="126" t="s">
        <v>110</v>
      </c>
      <c r="Z622" s="126">
        <v>3</v>
      </c>
      <c r="AA622" s="126" t="s">
        <v>119</v>
      </c>
      <c r="AB622" s="126" t="s">
        <v>116</v>
      </c>
      <c r="AC622" s="126" t="s">
        <v>116</v>
      </c>
      <c r="AD622" s="126"/>
      <c r="AE622" s="126"/>
      <c r="AG622" s="16">
        <f>AH622-AI622</f>
        <v>84</v>
      </c>
      <c r="AH622" s="126">
        <v>159</v>
      </c>
      <c r="AI622" s="126">
        <v>75</v>
      </c>
      <c r="AK622" s="126">
        <v>19.5</v>
      </c>
      <c r="AL622" s="126">
        <v>0</v>
      </c>
      <c r="AM622" s="126">
        <v>0</v>
      </c>
      <c r="AN622" s="126">
        <v>0</v>
      </c>
      <c r="AO622" s="16">
        <f>IF(SUM(AL622:AN622)&gt;0,1,0)</f>
        <v>0</v>
      </c>
      <c r="AP622" s="18">
        <f>SUM(AL622:AN622)</f>
        <v>0</v>
      </c>
      <c r="AR622" s="16">
        <v>0.3580000000000001</v>
      </c>
      <c r="AS622" s="16">
        <f>VLOOKUP(E622,'[1]Feces weights'!$D$1:$H$459,5,FALSE)</f>
        <v>0.3580000000000001</v>
      </c>
      <c r="AT622" s="16" t="str">
        <f>VLOOKUP(E622,[2]Current!$A$1:$W$435,7,FALSE)</f>
        <v>JB</v>
      </c>
      <c r="AU622" s="16" t="s">
        <v>1288</v>
      </c>
      <c r="AW622" s="128">
        <f>IF(AX622&gt;0,1,0)</f>
        <v>1</v>
      </c>
      <c r="AX622" s="128">
        <f>SUM(BA622,BM622,CU622)</f>
        <v>2</v>
      </c>
      <c r="AY622" s="128">
        <f>SUM(BB622,BN622,CV622)</f>
        <v>103.35195530726254</v>
      </c>
      <c r="AZ622" s="128">
        <f>IF(BA622&gt;0,1,0)</f>
        <v>1</v>
      </c>
      <c r="BA622" s="128">
        <f>SUM(BC622+BF622+BI622)</f>
        <v>1</v>
      </c>
      <c r="BB622" s="128">
        <f>SUM(BE622,BH622,BK622)</f>
        <v>83.798882681564223</v>
      </c>
      <c r="BC622" s="130">
        <f>IF(BD622&gt;0,1,0)</f>
        <v>0</v>
      </c>
      <c r="BD622" s="128">
        <f>VLOOKUP($E622,[2]Current!$A:$AC,26,FALSE)</f>
        <v>0</v>
      </c>
      <c r="BE622" s="128">
        <f>BD622/$AS622</f>
        <v>0</v>
      </c>
      <c r="BF622" s="130">
        <f>IF(BG622&gt;0,1,0)</f>
        <v>1</v>
      </c>
      <c r="BG622" s="137">
        <f>VLOOKUP($E622,[2]Current!$A:$AC,27,FALSE)</f>
        <v>30</v>
      </c>
      <c r="BH622" s="128">
        <f>BG622/$AS622</f>
        <v>83.798882681564223</v>
      </c>
      <c r="BI622" s="130">
        <f>IF(BJ622&gt;0,1,0)</f>
        <v>0</v>
      </c>
      <c r="BJ622" s="128">
        <f>VLOOKUP($E622,[2]Current!$A:$AC,28,FALSE)</f>
        <v>0</v>
      </c>
      <c r="BK622" s="128">
        <f>BJ622/$AS622</f>
        <v>0</v>
      </c>
      <c r="BL622" s="128">
        <f>IF(BM622&gt;0,1,0)</f>
        <v>1</v>
      </c>
      <c r="BM622" s="128">
        <f>SUM(BR622,BU622,BX622,CA622,CD622)</f>
        <v>1</v>
      </c>
      <c r="BN622" s="131">
        <f>SUM(BT622,BW622,BZ622,CC622,CF622)</f>
        <v>19.55307262569832</v>
      </c>
      <c r="BO622" s="128">
        <f>IF(BP622&gt;0,1,0)</f>
        <v>1</v>
      </c>
      <c r="BP622" s="128">
        <f>BM622+CJ622</f>
        <v>1</v>
      </c>
      <c r="BQ622" s="128">
        <f>BN622+CL622</f>
        <v>19.55307262569832</v>
      </c>
      <c r="BR622" s="130">
        <f>IF(BS622&gt;0,1,0)</f>
        <v>1</v>
      </c>
      <c r="BS622" s="128">
        <f>VLOOKUP($E622,[2]Current!$A:$AC,12,FALSE)</f>
        <v>7</v>
      </c>
      <c r="BT622" s="137">
        <f>BS622/$AS622</f>
        <v>19.55307262569832</v>
      </c>
      <c r="BU622" s="130">
        <f>IF(BV622&gt;0,1,0)</f>
        <v>0</v>
      </c>
      <c r="BV622" s="128">
        <f>VLOOKUP($E622,[2]Current!$A:$AC,13,FALSE)</f>
        <v>0</v>
      </c>
      <c r="BW622" s="128">
        <f>BV622/$AS622</f>
        <v>0</v>
      </c>
      <c r="BX622" s="130">
        <f>IF(BY622&gt;0,1,0)</f>
        <v>0</v>
      </c>
      <c r="BY622" s="128">
        <f>VLOOKUP($E622,[2]Current!$A:$AC,14,FALSE)</f>
        <v>0</v>
      </c>
      <c r="BZ622" s="128">
        <f>BY622/$AS622</f>
        <v>0</v>
      </c>
      <c r="CA622" s="130">
        <f>IF(CB622&gt;0,1,0)</f>
        <v>0</v>
      </c>
      <c r="CB622" s="128">
        <f>VLOOKUP($E622,[2]Current!$A:$AC,15,FALSE)</f>
        <v>0</v>
      </c>
      <c r="CC622" s="128">
        <f>CB622/$AS622</f>
        <v>0</v>
      </c>
      <c r="CD622" s="174">
        <f>IF(CE622&gt;0,1,0)</f>
        <v>0</v>
      </c>
      <c r="CE622" s="128">
        <f>VLOOKUP($E622,[2]Current!$A:$AC,16,FALSE)</f>
        <v>0</v>
      </c>
      <c r="CF622" s="128">
        <f>CE622/$AS622</f>
        <v>0</v>
      </c>
      <c r="CG622" s="18"/>
      <c r="CH622" s="18"/>
      <c r="CI622" s="18"/>
      <c r="CJ622" s="130">
        <f>IF(CK622&gt;0,1,0)</f>
        <v>0</v>
      </c>
      <c r="CK622" s="128">
        <f>VLOOKUP($E622,[2]Current!$A:$AC,18,FALSE)</f>
        <v>0</v>
      </c>
      <c r="CL622" s="128">
        <f>CK622/$AS622</f>
        <v>0</v>
      </c>
      <c r="CS622" s="130">
        <f>IF(CU622&gt;0,1,0)</f>
        <v>0</v>
      </c>
      <c r="CT622" s="18"/>
      <c r="CU622" s="128">
        <f>VLOOKUP($E622,[2]Current!$A:$AC,17,FALSE)</f>
        <v>0</v>
      </c>
      <c r="CV622" s="128">
        <f>CU622/$AS622</f>
        <v>0</v>
      </c>
      <c r="CW622" s="18"/>
      <c r="CX622" s="18"/>
      <c r="CY622" s="18"/>
      <c r="DF622" s="16" t="e">
        <f>VLOOKUP(K622,'[3]RNA Seq summary tables'!$V$3:$V$99,1,FALSE)</f>
        <v>#N/A</v>
      </c>
      <c r="DG622" s="126" t="s">
        <v>116</v>
      </c>
    </row>
    <row r="623" spans="2:288" ht="16" x14ac:dyDescent="0.2">
      <c r="B623" s="16">
        <v>2018</v>
      </c>
      <c r="C623" s="124">
        <v>43294</v>
      </c>
      <c r="D623" t="s">
        <v>953</v>
      </c>
      <c r="E623" s="37" t="str">
        <f>CONCATENATE(T623,"-",U623,"-",C623)</f>
        <v>HW1-H7-43294</v>
      </c>
      <c r="F623" s="16" t="s">
        <v>227</v>
      </c>
      <c r="G623" s="126" t="s">
        <v>107</v>
      </c>
      <c r="H623" s="126"/>
      <c r="J623" s="126">
        <v>1478</v>
      </c>
      <c r="K623" s="126">
        <v>2599</v>
      </c>
      <c r="O623" s="126" t="s">
        <v>119</v>
      </c>
      <c r="P623" s="18" t="s">
        <v>119</v>
      </c>
      <c r="Q623" s="18">
        <v>0</v>
      </c>
      <c r="R623" s="18">
        <f>IF(J623=J622,C623-C622,"")</f>
        <v>17</v>
      </c>
      <c r="T623" s="126" t="s">
        <v>133</v>
      </c>
      <c r="U623" s="126" t="s">
        <v>202</v>
      </c>
      <c r="V623" s="126" t="s">
        <v>114</v>
      </c>
      <c r="X623" s="126" t="s">
        <v>121</v>
      </c>
      <c r="Y623" s="126" t="s">
        <v>110</v>
      </c>
      <c r="Z623" s="126">
        <v>3</v>
      </c>
      <c r="AA623" s="126" t="s">
        <v>119</v>
      </c>
      <c r="AB623" s="126" t="s">
        <v>123</v>
      </c>
      <c r="AC623" s="126" t="s">
        <v>116</v>
      </c>
      <c r="AD623" s="126"/>
      <c r="AE623" s="126"/>
      <c r="AG623" s="16">
        <f>AH623-AI623</f>
        <v>81</v>
      </c>
      <c r="AH623" s="126">
        <v>155</v>
      </c>
      <c r="AI623" s="126">
        <v>74</v>
      </c>
      <c r="AK623" s="126">
        <v>19</v>
      </c>
      <c r="AL623" s="126">
        <v>0</v>
      </c>
      <c r="AM623" s="126">
        <v>0</v>
      </c>
      <c r="AN623" s="126">
        <v>0</v>
      </c>
      <c r="AO623" s="16">
        <f>IF(SUM(AL623:AN623)&gt;0,1,0)</f>
        <v>0</v>
      </c>
      <c r="AP623" s="18">
        <f>SUM(AL623:AN623)</f>
        <v>0</v>
      </c>
      <c r="AR623" s="16">
        <v>4.2000000000000037E-2</v>
      </c>
      <c r="AS623" s="16">
        <f>VLOOKUP(E623,'[1]Feces weights'!$D$1:$H$459,5,FALSE)</f>
        <v>4.2000000000000037E-2</v>
      </c>
      <c r="AT623" s="16" t="str">
        <f>VLOOKUP(E623,[2]Current!$A$1:$W$435,7,FALSE)</f>
        <v>TE</v>
      </c>
      <c r="AU623" s="16" t="s">
        <v>1288</v>
      </c>
      <c r="AW623" s="128">
        <f>IF(AX623&gt;0,1,0)</f>
        <v>1</v>
      </c>
      <c r="AX623" s="128">
        <f>SUM(BA623,BM623,CU623)</f>
        <v>2</v>
      </c>
      <c r="AY623" s="128">
        <f>SUM(BB623,BN623,CV623)</f>
        <v>166.66666666666652</v>
      </c>
      <c r="AZ623" s="128">
        <f>IF(BA623&gt;0,1,0)</f>
        <v>1</v>
      </c>
      <c r="BA623" s="128">
        <f>SUM(BC623+BF623+BI623)</f>
        <v>1</v>
      </c>
      <c r="BB623" s="128">
        <f>SUM(BE623,BH623,BK623)</f>
        <v>47.619047619047578</v>
      </c>
      <c r="BC623" s="130">
        <f>IF(BD623&gt;0,1,0)</f>
        <v>0</v>
      </c>
      <c r="BD623" s="128">
        <f>VLOOKUP($E623,[2]Current!$A:$AC,26,FALSE)</f>
        <v>0</v>
      </c>
      <c r="BE623" s="128">
        <f>BD623/$AS623</f>
        <v>0</v>
      </c>
      <c r="BF623" s="130">
        <f>IF(BG623&gt;0,1,0)</f>
        <v>0</v>
      </c>
      <c r="BG623" s="175">
        <f>VLOOKUP($E623,[2]Current!$A:$AC,27,FALSE)</f>
        <v>0</v>
      </c>
      <c r="BH623" s="128">
        <f>BG623/$AS623</f>
        <v>0</v>
      </c>
      <c r="BI623" s="130">
        <f>IF(BJ623&gt;0,1,0)</f>
        <v>1</v>
      </c>
      <c r="BJ623" s="128">
        <f>VLOOKUP($E623,[2]Current!$A:$AC,28,FALSE)</f>
        <v>2</v>
      </c>
      <c r="BK623" s="128">
        <f>BJ623/$AS623</f>
        <v>47.619047619047578</v>
      </c>
      <c r="BL623" s="128">
        <f>IF(BM623&gt;0,1,0)</f>
        <v>1</v>
      </c>
      <c r="BM623" s="128">
        <f>SUM(BR623,BU623,BX623,CA623,CD623)</f>
        <v>1</v>
      </c>
      <c r="BN623" s="131">
        <f>SUM(BT623,BW623,BZ623,CC623,CF623)</f>
        <v>119.04761904761894</v>
      </c>
      <c r="BO623" s="128">
        <f>IF(BP623&gt;0,1,0)</f>
        <v>1</v>
      </c>
      <c r="BP623" s="128">
        <f>BM623+CJ623</f>
        <v>1</v>
      </c>
      <c r="BQ623" s="128">
        <f>BN623+CL623</f>
        <v>119.04761904761894</v>
      </c>
      <c r="BR623" s="130">
        <f>IF(BS623&gt;0,1,0)</f>
        <v>0</v>
      </c>
      <c r="BS623" s="128">
        <f>VLOOKUP($E623,[2]Current!$A:$AC,12,FALSE)</f>
        <v>0</v>
      </c>
      <c r="BT623" s="137">
        <f>BS623/$AS623</f>
        <v>0</v>
      </c>
      <c r="BU623" s="130">
        <f>IF(BV623&gt;0,1,0)</f>
        <v>0</v>
      </c>
      <c r="BV623" s="128">
        <f>VLOOKUP($E623,[2]Current!$A:$AC,13,FALSE)</f>
        <v>0</v>
      </c>
      <c r="BW623" s="128">
        <f>BV623/$AS623</f>
        <v>0</v>
      </c>
      <c r="BX623" s="130">
        <f>IF(BY623&gt;0,1,0)</f>
        <v>1</v>
      </c>
      <c r="BY623" s="128">
        <f>VLOOKUP($E623,[2]Current!$A:$AC,14,FALSE)</f>
        <v>5</v>
      </c>
      <c r="BZ623" s="128">
        <f>BY623/$AS623</f>
        <v>119.04761904761894</v>
      </c>
      <c r="CA623" s="130">
        <f>IF(CB623&gt;0,1,0)</f>
        <v>0</v>
      </c>
      <c r="CB623" s="128">
        <f>VLOOKUP($E623,[2]Current!$A:$AC,15,FALSE)</f>
        <v>0</v>
      </c>
      <c r="CC623" s="128">
        <f>CB623/$AS623</f>
        <v>0</v>
      </c>
      <c r="CD623" s="174">
        <f>IF(CE623&gt;0,1,0)</f>
        <v>0</v>
      </c>
      <c r="CE623" s="128">
        <f>VLOOKUP($E623,[2]Current!$A:$AC,16,FALSE)</f>
        <v>0</v>
      </c>
      <c r="CF623" s="128">
        <f>CE623/$AS623</f>
        <v>0</v>
      </c>
      <c r="CG623" s="18"/>
      <c r="CH623" s="18"/>
      <c r="CI623" s="18"/>
      <c r="CJ623" s="130">
        <f>IF(CK623&gt;0,1,0)</f>
        <v>0</v>
      </c>
      <c r="CK623" s="128">
        <f>VLOOKUP($E623,[2]Current!$A:$AC,18,FALSE)</f>
        <v>0</v>
      </c>
      <c r="CL623" s="128">
        <f>CK623/$AS623</f>
        <v>0</v>
      </c>
      <c r="CS623" s="130">
        <f>IF(CU623&gt;0,1,0)</f>
        <v>0</v>
      </c>
      <c r="CU623" s="128">
        <f>VLOOKUP($E623,[2]Current!$A:$AC,17,FALSE)</f>
        <v>0</v>
      </c>
      <c r="CV623" s="128">
        <f>CU623/$AS623</f>
        <v>0</v>
      </c>
      <c r="CW623" s="18"/>
      <c r="CX623" s="18"/>
      <c r="CY623" s="18"/>
      <c r="DF623" s="16" t="e">
        <f>VLOOKUP(K623,'[3]RNA Seq summary tables'!$V$3:$V$99,1,FALSE)</f>
        <v>#N/A</v>
      </c>
      <c r="DG623" s="126" t="s">
        <v>116</v>
      </c>
    </row>
    <row r="624" spans="2:288" ht="16" x14ac:dyDescent="0.2">
      <c r="B624" s="26">
        <v>2018</v>
      </c>
      <c r="C624" s="189">
        <v>43305</v>
      </c>
      <c r="D624" s="107" t="s">
        <v>1060</v>
      </c>
      <c r="E624" s="44" t="str">
        <f>CONCATENATE(T624,"-",U624,"-",C624)</f>
        <v>HW1-H7-43305</v>
      </c>
      <c r="F624" s="26" t="s">
        <v>227</v>
      </c>
      <c r="G624" s="190" t="s">
        <v>107</v>
      </c>
      <c r="H624" s="190"/>
      <c r="I624" s="26"/>
      <c r="J624" s="190">
        <v>1478</v>
      </c>
      <c r="K624" s="190">
        <v>2693</v>
      </c>
      <c r="O624" s="126" t="s">
        <v>119</v>
      </c>
      <c r="P624" s="18" t="s">
        <v>119</v>
      </c>
      <c r="Q624" s="18">
        <v>0</v>
      </c>
      <c r="R624" s="18">
        <f>IF(J624=J623,C624-C623,"")</f>
        <v>11</v>
      </c>
      <c r="T624" s="126" t="s">
        <v>133</v>
      </c>
      <c r="U624" s="126" t="s">
        <v>202</v>
      </c>
      <c r="V624" s="126" t="s">
        <v>114</v>
      </c>
      <c r="X624" s="126" t="s">
        <v>121</v>
      </c>
      <c r="Y624" s="126" t="s">
        <v>110</v>
      </c>
      <c r="Z624" s="126">
        <v>3</v>
      </c>
      <c r="AA624" s="126" t="s">
        <v>161</v>
      </c>
      <c r="AB624" s="126" t="s">
        <v>123</v>
      </c>
      <c r="AC624" s="126" t="s">
        <v>116</v>
      </c>
      <c r="AD624" s="126"/>
      <c r="AE624" s="126"/>
      <c r="AG624" s="40">
        <f>AH624-AI624</f>
        <v>84</v>
      </c>
      <c r="AH624" s="126">
        <v>158</v>
      </c>
      <c r="AI624" s="126">
        <v>74</v>
      </c>
      <c r="AK624" s="126">
        <v>20.5</v>
      </c>
      <c r="AL624" s="126">
        <v>0</v>
      </c>
      <c r="AM624" s="126">
        <v>0</v>
      </c>
      <c r="AN624" s="126">
        <v>0</v>
      </c>
      <c r="AO624" s="16">
        <f>IF(SUM(AL624:AN624)&gt;0,1,0)</f>
        <v>0</v>
      </c>
      <c r="AP624" s="18">
        <f>SUM(AL624:AN624)</f>
        <v>0</v>
      </c>
      <c r="AR624" s="16">
        <v>0.51800000000000002</v>
      </c>
      <c r="AS624" s="16">
        <f>VLOOKUP(E624,'[1]Feces weights'!$D$1:$H$459,5,FALSE)</f>
        <v>0.51800000000000002</v>
      </c>
      <c r="AT624" s="16" t="str">
        <f>VLOOKUP(E624,[2]Current!$A$1:$W$435,7,FALSE)</f>
        <v>NB</v>
      </c>
      <c r="AU624" s="16" t="s">
        <v>1288</v>
      </c>
      <c r="AV624" s="23"/>
      <c r="AW624" s="128">
        <f>IF(AX624&gt;0,1,0)</f>
        <v>1</v>
      </c>
      <c r="AX624" s="128">
        <f>SUM(BA624,BM624,CU624)</f>
        <v>2</v>
      </c>
      <c r="AY624" s="128">
        <f>SUM(BB624,BN624,CV624)</f>
        <v>69.498069498069498</v>
      </c>
      <c r="AZ624" s="128">
        <f>IF(BA624&gt;0,1,0)</f>
        <v>1</v>
      </c>
      <c r="BA624" s="128">
        <f>SUM(BC624+BF624+BI624)</f>
        <v>2</v>
      </c>
      <c r="BB624" s="128">
        <f>SUM(BE624,BH624,BK624)</f>
        <v>69.498069498069498</v>
      </c>
      <c r="BC624" s="130">
        <f>IF(BD624&gt;0,1,0)</f>
        <v>1</v>
      </c>
      <c r="BD624" s="128">
        <f>VLOOKUP($E624,[2]Current!$A:$AC,26,FALSE)</f>
        <v>8</v>
      </c>
      <c r="BE624" s="128">
        <f>BD624/$AS624</f>
        <v>15.444015444015443</v>
      </c>
      <c r="BF624" s="130">
        <f>IF(BG624&gt;0,1,0)</f>
        <v>0</v>
      </c>
      <c r="BG624" s="175">
        <f>VLOOKUP($E624,[2]Current!$A:$AC,27,FALSE)</f>
        <v>0</v>
      </c>
      <c r="BH624" s="128">
        <f>BG624/$AS624</f>
        <v>0</v>
      </c>
      <c r="BI624" s="130">
        <f>IF(BJ624&gt;0,1,0)</f>
        <v>1</v>
      </c>
      <c r="BJ624" s="128">
        <f>VLOOKUP($E624,[2]Current!$A:$AC,28,FALSE)</f>
        <v>28</v>
      </c>
      <c r="BK624" s="128">
        <f>BJ624/$AS624</f>
        <v>54.054054054054049</v>
      </c>
      <c r="BL624" s="128">
        <f>IF(BM624&gt;0,1,0)</f>
        <v>0</v>
      </c>
      <c r="BM624" s="128">
        <f>SUM(BR624,BU624,BX624,CA624,CD624)</f>
        <v>0</v>
      </c>
      <c r="BN624" s="131">
        <f>SUM(BT624,BW624,BZ624,CC624,CF624)</f>
        <v>0</v>
      </c>
      <c r="BO624" s="128">
        <f>IF(BP624&gt;0,1,0)</f>
        <v>0</v>
      </c>
      <c r="BP624" s="128">
        <f>BM624+CJ624</f>
        <v>0</v>
      </c>
      <c r="BQ624" s="128">
        <f>BN624+CL624</f>
        <v>0</v>
      </c>
      <c r="BR624" s="130">
        <f>IF(BS624&gt;0,1,0)</f>
        <v>0</v>
      </c>
      <c r="BS624" s="128">
        <f>VLOOKUP($E624,[2]Current!$A:$AC,12,FALSE)</f>
        <v>0</v>
      </c>
      <c r="BT624" s="137">
        <f>BS624/$AS624</f>
        <v>0</v>
      </c>
      <c r="BU624" s="130">
        <f>IF(BV624&gt;0,1,0)</f>
        <v>0</v>
      </c>
      <c r="BV624" s="128">
        <f>VLOOKUP($E624,[2]Current!$A:$AC,13,FALSE)</f>
        <v>0</v>
      </c>
      <c r="BW624" s="128">
        <f>BV624/$AS624</f>
        <v>0</v>
      </c>
      <c r="BX624" s="130">
        <f>IF(BY624&gt;0,1,0)</f>
        <v>0</v>
      </c>
      <c r="BY624" s="128">
        <f>VLOOKUP($E624,[2]Current!$A:$AC,14,FALSE)</f>
        <v>0</v>
      </c>
      <c r="BZ624" s="128">
        <f>BY624/$AS624</f>
        <v>0</v>
      </c>
      <c r="CA624" s="130">
        <f>IF(CB624&gt;0,1,0)</f>
        <v>0</v>
      </c>
      <c r="CB624" s="128">
        <f>VLOOKUP($E624,[2]Current!$A:$AC,15,FALSE)</f>
        <v>0</v>
      </c>
      <c r="CC624" s="128">
        <f>CB624/$AS624</f>
        <v>0</v>
      </c>
      <c r="CD624" s="174">
        <f>IF(CE624&gt;0,1,0)</f>
        <v>0</v>
      </c>
      <c r="CE624" s="128">
        <f>VLOOKUP($E624,[2]Current!$A:$AC,16,FALSE)</f>
        <v>0</v>
      </c>
      <c r="CF624" s="128">
        <f>CE624/$AS624</f>
        <v>0</v>
      </c>
      <c r="CG624" s="18"/>
      <c r="CH624" s="18"/>
      <c r="CI624" s="18"/>
      <c r="CJ624" s="130">
        <f>IF(CK624&gt;0,1,0)</f>
        <v>0</v>
      </c>
      <c r="CK624" s="128">
        <f>VLOOKUP($E624,[2]Current!$A:$AC,18,FALSE)</f>
        <v>0</v>
      </c>
      <c r="CL624" s="128">
        <f>CK624/$AS624</f>
        <v>0</v>
      </c>
      <c r="CS624" s="130">
        <f>IF(CU624&gt;0,1,0)</f>
        <v>0</v>
      </c>
      <c r="CU624" s="128">
        <f>VLOOKUP($E624,[2]Current!$A:$AC,17,FALSE)</f>
        <v>0</v>
      </c>
      <c r="CV624" s="128">
        <f>CU624/$AS624</f>
        <v>0</v>
      </c>
      <c r="CW624" s="18"/>
      <c r="CX624" s="18"/>
      <c r="CY624" s="18"/>
      <c r="DF624" s="16" t="e">
        <f>VLOOKUP(K624,'[3]RNA Seq summary tables'!$V$3:$V$99,1,FALSE)</f>
        <v>#N/A</v>
      </c>
      <c r="DG624" s="126" t="s">
        <v>116</v>
      </c>
      <c r="JR624" s="29"/>
      <c r="JS624" s="29"/>
      <c r="JT624" s="29"/>
      <c r="JU624" s="29"/>
      <c r="JV624" s="29"/>
      <c r="JW624" s="29"/>
      <c r="JX624" s="29"/>
      <c r="JY624" s="29"/>
      <c r="JZ624" s="29"/>
      <c r="KA624" s="29"/>
      <c r="KB624" s="29"/>
    </row>
    <row r="625" spans="2:288" ht="16" x14ac:dyDescent="0.2">
      <c r="B625" s="26">
        <v>2018</v>
      </c>
      <c r="C625" s="191">
        <v>43305</v>
      </c>
      <c r="D625" s="107" t="s">
        <v>1173</v>
      </c>
      <c r="E625" s="44" t="str">
        <f>CONCATENATE(T625,"-",U625,"-",C625)</f>
        <v>HW1-H7-43305</v>
      </c>
      <c r="F625" s="26" t="s">
        <v>227</v>
      </c>
      <c r="G625" s="192" t="s">
        <v>107</v>
      </c>
      <c r="H625" s="192"/>
      <c r="I625" s="192"/>
      <c r="J625" s="192">
        <v>1478</v>
      </c>
      <c r="K625" s="192">
        <v>2693</v>
      </c>
      <c r="M625" s="16"/>
      <c r="N625" s="16"/>
      <c r="O625" s="145" t="s">
        <v>119</v>
      </c>
      <c r="P625" s="18" t="s">
        <v>119</v>
      </c>
      <c r="Q625" s="18">
        <v>0</v>
      </c>
      <c r="R625" s="18">
        <f>IF(J625=J624,C625-C624,"")</f>
        <v>0</v>
      </c>
      <c r="S625" s="145"/>
      <c r="T625" s="145" t="s">
        <v>133</v>
      </c>
      <c r="U625" s="145" t="s">
        <v>202</v>
      </c>
      <c r="V625" s="145" t="s">
        <v>114</v>
      </c>
      <c r="W625" s="145"/>
      <c r="X625" s="145" t="s">
        <v>121</v>
      </c>
      <c r="Y625" s="145" t="s">
        <v>110</v>
      </c>
      <c r="Z625" s="145">
        <v>3</v>
      </c>
      <c r="AA625" s="145" t="s">
        <v>161</v>
      </c>
      <c r="AB625" s="145" t="s">
        <v>123</v>
      </c>
      <c r="AC625" s="145" t="s">
        <v>116</v>
      </c>
      <c r="AD625" s="145" t="s">
        <v>116</v>
      </c>
      <c r="AE625" s="145"/>
      <c r="AF625" s="145"/>
      <c r="AG625" s="145">
        <f>AH625-AI625</f>
        <v>84</v>
      </c>
      <c r="AH625" s="145">
        <v>158</v>
      </c>
      <c r="AI625" s="145">
        <v>74</v>
      </c>
      <c r="AJ625" s="145"/>
      <c r="AK625" s="145">
        <v>20.5</v>
      </c>
      <c r="AL625" s="145">
        <v>0</v>
      </c>
      <c r="AM625" s="145">
        <v>0</v>
      </c>
      <c r="AN625" s="145">
        <v>0</v>
      </c>
      <c r="AO625" s="16">
        <f>IF(SUM(AL625:AN625)&gt;0, 1,0)</f>
        <v>0</v>
      </c>
      <c r="AP625" s="16">
        <f>SUM(AL625:AN625)</f>
        <v>0</v>
      </c>
      <c r="AS625" s="16">
        <f>VLOOKUP(E625,'[1]Feces weights'!$D$1:$H$459,5,FALSE)</f>
        <v>0.51800000000000002</v>
      </c>
      <c r="AT625" s="16" t="str">
        <f>VLOOKUP(E625,[2]Current!$A$1:$W$435,7,FALSE)</f>
        <v>NB</v>
      </c>
      <c r="AU625" s="16" t="s">
        <v>1288</v>
      </c>
      <c r="AV625" s="23"/>
      <c r="AW625" s="128">
        <f>IF(AX625&gt;0,1,0)</f>
        <v>1</v>
      </c>
      <c r="AX625" s="128">
        <f>SUM(BA625,BM625,CU625)</f>
        <v>2</v>
      </c>
      <c r="AY625" s="128">
        <f>SUM(BB625,BN625,CV625)</f>
        <v>69.498069498069498</v>
      </c>
      <c r="AZ625" s="128">
        <f>IF(BA625&gt;0,1,0)</f>
        <v>1</v>
      </c>
      <c r="BA625" s="128">
        <f>SUM(BC625+BF625+BI625)</f>
        <v>2</v>
      </c>
      <c r="BB625" s="128">
        <f>SUM(BE625,BH625,BK625)</f>
        <v>69.498069498069498</v>
      </c>
      <c r="BC625" s="130">
        <f>IF(BD625&gt;0,1,0)</f>
        <v>1</v>
      </c>
      <c r="BD625" s="128">
        <f>VLOOKUP($E625,[2]Current!$A:$AC,26,FALSE)</f>
        <v>8</v>
      </c>
      <c r="BE625" s="128">
        <f>BD625/$AS625</f>
        <v>15.444015444015443</v>
      </c>
      <c r="BF625" s="130">
        <f>IF(BG625&gt;0,1,0)</f>
        <v>0</v>
      </c>
      <c r="BG625" s="175">
        <f>VLOOKUP($E625,[2]Current!$A:$AC,27,FALSE)</f>
        <v>0</v>
      </c>
      <c r="BH625" s="128">
        <f>BG625/$AS625</f>
        <v>0</v>
      </c>
      <c r="BI625" s="130">
        <f>IF(BJ625&gt;0,1,0)</f>
        <v>1</v>
      </c>
      <c r="BJ625" s="128">
        <f>VLOOKUP($E625,[2]Current!$A:$AC,28,FALSE)</f>
        <v>28</v>
      </c>
      <c r="BK625" s="128">
        <f>BJ625/$AS625</f>
        <v>54.054054054054049</v>
      </c>
      <c r="BL625" s="128">
        <f>IF(BM625&gt;0,1,0)</f>
        <v>0</v>
      </c>
      <c r="BM625" s="128">
        <f>SUM(BR625,BU625,BX625,CA625,CD625)</f>
        <v>0</v>
      </c>
      <c r="BN625" s="131">
        <f>SUM(BT625,BW625,BZ625,CC625,CF625)</f>
        <v>0</v>
      </c>
      <c r="BO625" s="128">
        <f>IF(BP625&gt;0,1,0)</f>
        <v>0</v>
      </c>
      <c r="BP625" s="128">
        <f>BM625+CJ625</f>
        <v>0</v>
      </c>
      <c r="BQ625" s="128">
        <f>BN625+CL625</f>
        <v>0</v>
      </c>
      <c r="BR625" s="130">
        <f>IF(BS625&gt;0,1,0)</f>
        <v>0</v>
      </c>
      <c r="BS625" s="128">
        <f>VLOOKUP($E625,[2]Current!$A:$AC,12,FALSE)</f>
        <v>0</v>
      </c>
      <c r="BT625" s="137">
        <f>BS625/$AS625</f>
        <v>0</v>
      </c>
      <c r="BU625" s="130">
        <f>IF(BV625&gt;0,1,0)</f>
        <v>0</v>
      </c>
      <c r="BV625" s="128">
        <f>VLOOKUP($E625,[2]Current!$A:$AC,13,FALSE)</f>
        <v>0</v>
      </c>
      <c r="BW625" s="128">
        <f>BV625/$AS625</f>
        <v>0</v>
      </c>
      <c r="BX625" s="130">
        <f>IF(BY625&gt;0,1,0)</f>
        <v>0</v>
      </c>
      <c r="BY625" s="128">
        <f>VLOOKUP($E625,[2]Current!$A:$AC,14,FALSE)</f>
        <v>0</v>
      </c>
      <c r="BZ625" s="128">
        <f>BY625/$AS625</f>
        <v>0</v>
      </c>
      <c r="CA625" s="130">
        <f>IF(CB625&gt;0,1,0)</f>
        <v>0</v>
      </c>
      <c r="CB625" s="128">
        <f>VLOOKUP($E625,[2]Current!$A:$AC,15,FALSE)</f>
        <v>0</v>
      </c>
      <c r="CC625" s="128">
        <f>CB625/$AS625</f>
        <v>0</v>
      </c>
      <c r="CD625" s="174">
        <f>IF(CE625&gt;0,1,0)</f>
        <v>0</v>
      </c>
      <c r="CE625" s="128">
        <f>VLOOKUP($E625,[2]Current!$A:$AC,16,FALSE)</f>
        <v>0</v>
      </c>
      <c r="CF625" s="128">
        <f>CE625/$AS625</f>
        <v>0</v>
      </c>
      <c r="CG625" s="18"/>
      <c r="CH625" s="18"/>
      <c r="CI625" s="18"/>
      <c r="CJ625" s="130">
        <f>IF(CK625&gt;0,1,0)</f>
        <v>0</v>
      </c>
      <c r="CK625" s="128">
        <f>VLOOKUP($E625,[2]Current!$A:$AC,18,FALSE)</f>
        <v>0</v>
      </c>
      <c r="CL625" s="128">
        <f>CK625/$AS625</f>
        <v>0</v>
      </c>
      <c r="CS625" s="130">
        <f>IF(CU625&gt;0,1,0)</f>
        <v>0</v>
      </c>
      <c r="CU625" s="128">
        <f>VLOOKUP($E625,[2]Current!$A:$AC,17,FALSE)</f>
        <v>0</v>
      </c>
      <c r="CV625" s="128">
        <f>CU625/$AS625</f>
        <v>0</v>
      </c>
      <c r="CW625" s="18"/>
      <c r="CX625" s="18"/>
      <c r="CY625" s="18"/>
      <c r="DG625" s="145" t="s">
        <v>116</v>
      </c>
      <c r="DT625" s="145" t="s">
        <v>123</v>
      </c>
      <c r="DU625" s="145"/>
      <c r="DX625" s="145"/>
      <c r="DY625" s="145"/>
      <c r="DZ625" s="16"/>
      <c r="EA625" s="16"/>
      <c r="EB625" s="16"/>
      <c r="EC625" s="16"/>
      <c r="ED625" s="16"/>
      <c r="EE625" s="16"/>
      <c r="EF625" s="16"/>
      <c r="JO625" s="18"/>
      <c r="JP625" s="18"/>
      <c r="JQ625" s="18"/>
      <c r="JR625" s="18"/>
      <c r="JS625" s="18"/>
      <c r="JT625" s="18"/>
      <c r="JU625" s="18"/>
      <c r="JV625" s="18"/>
      <c r="JW625" s="18"/>
      <c r="JX625" s="18"/>
      <c r="JY625" s="18"/>
      <c r="JZ625" s="18"/>
      <c r="KA625" s="18"/>
    </row>
    <row r="626" spans="2:288" ht="16" x14ac:dyDescent="0.2">
      <c r="B626" s="16">
        <v>2018</v>
      </c>
      <c r="C626" s="124">
        <v>43262</v>
      </c>
      <c r="D626" t="s">
        <v>794</v>
      </c>
      <c r="E626" s="37" t="str">
        <f>CONCATENATE(T626,"-",U626,"-",C626)</f>
        <v>HW2-G8-43262</v>
      </c>
      <c r="F626" s="16" t="s">
        <v>227</v>
      </c>
      <c r="G626" s="126" t="s">
        <v>107</v>
      </c>
      <c r="H626" s="126" t="s">
        <v>1161</v>
      </c>
      <c r="J626" s="126">
        <v>1480</v>
      </c>
      <c r="K626" s="126">
        <v>2434</v>
      </c>
      <c r="O626" s="126" t="s">
        <v>119</v>
      </c>
      <c r="P626" s="18" t="s">
        <v>119</v>
      </c>
      <c r="Q626" s="18">
        <v>0</v>
      </c>
      <c r="R626" s="18" t="str">
        <f>IF(J626=J625,C626-C625,"")</f>
        <v/>
      </c>
      <c r="T626" s="126" t="s">
        <v>129</v>
      </c>
      <c r="U626" s="126" t="s">
        <v>216</v>
      </c>
      <c r="V626" s="126" t="s">
        <v>114</v>
      </c>
      <c r="X626" s="126" t="s">
        <v>121</v>
      </c>
      <c r="Y626" s="126" t="s">
        <v>145</v>
      </c>
      <c r="Z626" s="126">
        <v>1</v>
      </c>
      <c r="AA626" s="126" t="s">
        <v>123</v>
      </c>
      <c r="AB626" s="126" t="s">
        <v>123</v>
      </c>
      <c r="AC626" s="126" t="s">
        <v>123</v>
      </c>
      <c r="AD626" s="126"/>
      <c r="AE626" s="126"/>
      <c r="AG626" s="16">
        <f>AH626-AI626</f>
        <v>84</v>
      </c>
      <c r="AH626" s="126">
        <v>150</v>
      </c>
      <c r="AI626" s="126">
        <v>66</v>
      </c>
      <c r="AK626" s="126">
        <v>13</v>
      </c>
      <c r="AL626" s="126">
        <v>1</v>
      </c>
      <c r="AM626" s="126">
        <v>0</v>
      </c>
      <c r="AN626" s="126">
        <v>0</v>
      </c>
      <c r="AO626" s="16">
        <f>IF(SUM(AL626:AN626)&gt;0,1,0)</f>
        <v>1</v>
      </c>
      <c r="AP626" s="18">
        <f>SUM(AL626:AN626)</f>
        <v>1</v>
      </c>
      <c r="AR626" s="16">
        <v>0.13900000000000001</v>
      </c>
      <c r="AS626" s="16">
        <f>VLOOKUP(E626,'[1]Feces weights'!$D$1:$H$459,5,FALSE)</f>
        <v>0.13900000000000001</v>
      </c>
      <c r="AT626" s="16" t="str">
        <f>VLOOKUP(E626,[2]Current!$A$1:$W$435,7,FALSE)</f>
        <v>DP</v>
      </c>
      <c r="AU626" s="16" t="s">
        <v>1288</v>
      </c>
      <c r="AV626" s="23"/>
      <c r="AW626" s="128">
        <f>IF(AX626&gt;0,1,0)</f>
        <v>1</v>
      </c>
      <c r="AX626" s="128">
        <f>SUM(BA626,BM626,CU626)</f>
        <v>2</v>
      </c>
      <c r="AY626" s="128">
        <f>SUM(BB626,BN626,CV626)</f>
        <v>1021.5827338129495</v>
      </c>
      <c r="AZ626" s="128">
        <f>IF(BA626&gt;0,1,0)</f>
        <v>1</v>
      </c>
      <c r="BA626" s="128">
        <f>SUM(BC626+BF626+BI626)</f>
        <v>2</v>
      </c>
      <c r="BB626" s="128">
        <f>SUM(BE626,BH626,BK626)</f>
        <v>1021.5827338129495</v>
      </c>
      <c r="BC626" s="130">
        <f>IF(BD626&gt;0,1,0)</f>
        <v>1</v>
      </c>
      <c r="BD626" s="128">
        <f>VLOOKUP($E626,[2]Current!$A:$AC,26,FALSE)</f>
        <v>44</v>
      </c>
      <c r="BE626" s="128">
        <f>BD626/$AS626</f>
        <v>316.54676258992805</v>
      </c>
      <c r="BF626" s="130">
        <f>IF(BG626&gt;0,1,0)</f>
        <v>1</v>
      </c>
      <c r="BG626" s="175">
        <f>VLOOKUP($E626,[2]Current!$A:$AC,27,FALSE)</f>
        <v>98</v>
      </c>
      <c r="BH626" s="128">
        <f>BG626/$AS626</f>
        <v>705.03597122302153</v>
      </c>
      <c r="BI626" s="130">
        <f>IF(BJ626&gt;0,1,0)</f>
        <v>0</v>
      </c>
      <c r="BJ626" s="128">
        <f>VLOOKUP($E626,[2]Current!$A:$AC,28,FALSE)</f>
        <v>0</v>
      </c>
      <c r="BK626" s="128">
        <f>BJ626/$AS626</f>
        <v>0</v>
      </c>
      <c r="BL626" s="128">
        <f>IF(BM626&gt;0,1,0)</f>
        <v>0</v>
      </c>
      <c r="BM626" s="128">
        <f>SUM(BR626,BU626,BX626,CA626,CD626)</f>
        <v>0</v>
      </c>
      <c r="BN626" s="131">
        <f>SUM(BT626,BW626,BZ626,CC626,CF626)</f>
        <v>0</v>
      </c>
      <c r="BO626" s="128">
        <f>IF(BP626&gt;0,1,0)</f>
        <v>0</v>
      </c>
      <c r="BP626" s="128">
        <f>BM626+CJ626</f>
        <v>0</v>
      </c>
      <c r="BQ626" s="128">
        <f>BN626+CL626</f>
        <v>0</v>
      </c>
      <c r="BR626" s="130">
        <f>IF(BS626&gt;0,1,0)</f>
        <v>0</v>
      </c>
      <c r="BS626" s="128">
        <f>VLOOKUP($E626,[2]Current!$A:$AC,12,FALSE)</f>
        <v>0</v>
      </c>
      <c r="BT626" s="137">
        <f>BS626/$AS626</f>
        <v>0</v>
      </c>
      <c r="BU626" s="130">
        <f>IF(BV626&gt;0,1,0)</f>
        <v>0</v>
      </c>
      <c r="BV626" s="128">
        <f>VLOOKUP($E626,[2]Current!$A:$AC,13,FALSE)</f>
        <v>0</v>
      </c>
      <c r="BW626" s="128">
        <f>BV626/$AS626</f>
        <v>0</v>
      </c>
      <c r="BX626" s="130">
        <f>IF(BY626&gt;0,1,0)</f>
        <v>0</v>
      </c>
      <c r="BY626" s="128">
        <f>VLOOKUP($E626,[2]Current!$A:$AC,14,FALSE)</f>
        <v>0</v>
      </c>
      <c r="BZ626" s="128">
        <f>BY626/$AS626</f>
        <v>0</v>
      </c>
      <c r="CA626" s="130">
        <f>IF(CB626&gt;0,1,0)</f>
        <v>0</v>
      </c>
      <c r="CB626" s="128">
        <f>VLOOKUP($E626,[2]Current!$A:$AC,15,FALSE)</f>
        <v>0</v>
      </c>
      <c r="CC626" s="128">
        <f>CB626/$AS626</f>
        <v>0</v>
      </c>
      <c r="CD626" s="174">
        <f>IF(CE626&gt;0,1,0)</f>
        <v>0</v>
      </c>
      <c r="CE626" s="128">
        <f>VLOOKUP($E626,[2]Current!$A:$AC,16,FALSE)</f>
        <v>0</v>
      </c>
      <c r="CF626" s="128">
        <f>CE626/$AS626</f>
        <v>0</v>
      </c>
      <c r="CG626" s="18"/>
      <c r="CH626" s="18"/>
      <c r="CI626" s="18"/>
      <c r="CJ626" s="130">
        <f>IF(CK626&gt;0,1,0)</f>
        <v>0</v>
      </c>
      <c r="CK626" s="128">
        <f>VLOOKUP($E626,[2]Current!$A:$AC,18,FALSE)</f>
        <v>0</v>
      </c>
      <c r="CL626" s="128">
        <f>CK626/$AS626</f>
        <v>0</v>
      </c>
      <c r="CS626" s="130">
        <f>IF(CU626&gt;0,1,0)</f>
        <v>0</v>
      </c>
      <c r="CU626" s="128">
        <f>VLOOKUP($E626,[2]Current!$A:$AC,17,FALSE)</f>
        <v>0</v>
      </c>
      <c r="CV626" s="128">
        <f>CU626/$AS626</f>
        <v>0</v>
      </c>
      <c r="CW626" s="18"/>
      <c r="CX626" s="18"/>
      <c r="CY626" s="18"/>
      <c r="DF626" s="16" t="e">
        <f>VLOOKUP(K626,'[3]RNA Seq summary tables'!$V$3:$V$99,1,FALSE)</f>
        <v>#N/A</v>
      </c>
      <c r="DG626" s="125" t="s">
        <v>116</v>
      </c>
      <c r="JR626" s="26"/>
      <c r="JS626" s="26"/>
      <c r="JT626" s="26"/>
      <c r="JU626" s="26"/>
      <c r="JV626" s="26"/>
      <c r="JW626" s="26"/>
      <c r="JX626" s="26"/>
      <c r="JY626" s="26"/>
      <c r="JZ626" s="26"/>
      <c r="KA626" s="26"/>
      <c r="KB626" s="26"/>
    </row>
    <row r="627" spans="2:288" ht="16" x14ac:dyDescent="0.2">
      <c r="B627" s="16">
        <v>2018</v>
      </c>
      <c r="C627" s="124">
        <v>43266</v>
      </c>
      <c r="D627" t="s">
        <v>801</v>
      </c>
      <c r="E627" s="37" t="str">
        <f>CONCATENATE(T627,"-",U627,"-",C627)</f>
        <v>PO1-H7-43266</v>
      </c>
      <c r="F627" s="16" t="s">
        <v>227</v>
      </c>
      <c r="G627" s="126" t="s">
        <v>107</v>
      </c>
      <c r="H627" s="126"/>
      <c r="J627" s="126">
        <v>1482</v>
      </c>
      <c r="K627" s="126">
        <v>2445</v>
      </c>
      <c r="O627" s="126" t="s">
        <v>119</v>
      </c>
      <c r="P627" s="18" t="s">
        <v>119</v>
      </c>
      <c r="Q627" s="18">
        <v>0</v>
      </c>
      <c r="R627" s="18" t="str">
        <f>IF(J627=J626,C627-C626,"")</f>
        <v/>
      </c>
      <c r="T627" s="126" t="s">
        <v>112</v>
      </c>
      <c r="U627" s="126" t="s">
        <v>202</v>
      </c>
      <c r="V627" s="126" t="s">
        <v>114</v>
      </c>
      <c r="X627" s="126" t="s">
        <v>115</v>
      </c>
      <c r="Y627" s="126" t="s">
        <v>122</v>
      </c>
      <c r="Z627" s="126">
        <v>2.9</v>
      </c>
      <c r="AA627" s="126"/>
      <c r="AB627" s="126"/>
      <c r="AC627" s="126"/>
      <c r="AD627" s="126"/>
      <c r="AE627" s="126" t="s">
        <v>123</v>
      </c>
      <c r="AG627" s="16">
        <f>AH627-AI627</f>
        <v>80</v>
      </c>
      <c r="AH627" s="126">
        <v>153</v>
      </c>
      <c r="AI627" s="126">
        <v>73</v>
      </c>
      <c r="AK627" s="126">
        <v>11.5</v>
      </c>
      <c r="AL627" s="126">
        <v>0</v>
      </c>
      <c r="AM627" s="126">
        <v>0</v>
      </c>
      <c r="AN627" s="126">
        <v>0</v>
      </c>
      <c r="AO627" s="16">
        <f>IF(SUM(AL627:AN627)&gt;0,1,0)</f>
        <v>0</v>
      </c>
      <c r="AP627" s="18">
        <f>SUM(AL627:AN627)</f>
        <v>0</v>
      </c>
      <c r="AR627" s="16">
        <v>0.14900000000000002</v>
      </c>
      <c r="AS627" s="16">
        <f>VLOOKUP(E627,'[1]Feces weights'!$D$1:$H$459,5,FALSE)</f>
        <v>0.14900000000000002</v>
      </c>
      <c r="AT627" s="16" t="str">
        <f>VLOOKUP(E627,[2]Current!$A$1:$W$435,7,FALSE)</f>
        <v>LV</v>
      </c>
      <c r="AU627" s="16" t="s">
        <v>1288</v>
      </c>
      <c r="AV627" s="23">
        <v>1</v>
      </c>
      <c r="AW627" s="128">
        <f>IF(AX627&gt;0,1,0)</f>
        <v>0</v>
      </c>
      <c r="AX627" s="128">
        <f>SUM(BA627,BM627,CU627)</f>
        <v>0</v>
      </c>
      <c r="AY627" s="128">
        <f>SUM(BB627,BN627,CV627)</f>
        <v>0</v>
      </c>
      <c r="AZ627" s="128">
        <f>IF(BA627&gt;0,1,0)</f>
        <v>0</v>
      </c>
      <c r="BA627" s="128">
        <f>SUM(BC627+BF627+BI627)</f>
        <v>0</v>
      </c>
      <c r="BB627" s="128">
        <f>SUM(BE627,BH627,BK627)</f>
        <v>0</v>
      </c>
      <c r="BC627" s="130">
        <f>IF(BD627&gt;0,1,0)</f>
        <v>0</v>
      </c>
      <c r="BD627" s="128">
        <f>VLOOKUP($E627,[2]Current!$A:$AC,26,FALSE)</f>
        <v>0</v>
      </c>
      <c r="BE627" s="128">
        <f>BD627/$AS627</f>
        <v>0</v>
      </c>
      <c r="BF627" s="130">
        <f>IF(BG627&gt;0,1,0)</f>
        <v>0</v>
      </c>
      <c r="BG627" s="175">
        <f>VLOOKUP($E627,[2]Current!$A:$AC,27,FALSE)</f>
        <v>0</v>
      </c>
      <c r="BH627" s="128">
        <f>BG627/$AS627</f>
        <v>0</v>
      </c>
      <c r="BI627" s="130">
        <f>IF(BJ627&gt;0,1,0)</f>
        <v>0</v>
      </c>
      <c r="BJ627" s="128">
        <f>VLOOKUP($E627,[2]Current!$A:$AC,28,FALSE)</f>
        <v>0</v>
      </c>
      <c r="BK627" s="128">
        <f>BJ627/$AS627</f>
        <v>0</v>
      </c>
      <c r="BL627" s="128">
        <f>IF(BM627&gt;0,1,0)</f>
        <v>0</v>
      </c>
      <c r="BM627" s="128">
        <f>SUM(BR627,BU627,BX627,CA627,CD627)</f>
        <v>0</v>
      </c>
      <c r="BN627" s="131">
        <f>SUM(BT627,BW627,BZ627,CC627,CF627)</f>
        <v>0</v>
      </c>
      <c r="BO627" s="128">
        <f>IF(BP627&gt;0,1,0)</f>
        <v>0</v>
      </c>
      <c r="BP627" s="128">
        <f>BM627+CJ627</f>
        <v>0</v>
      </c>
      <c r="BQ627" s="128">
        <f>BN627+CL627</f>
        <v>0</v>
      </c>
      <c r="BR627" s="130">
        <f>IF(BS627&gt;0,1,0)</f>
        <v>0</v>
      </c>
      <c r="BS627" s="128">
        <f>VLOOKUP($E627,[2]Current!$A:$AC,12,FALSE)</f>
        <v>0</v>
      </c>
      <c r="BT627" s="137">
        <f>BS627/$AS627</f>
        <v>0</v>
      </c>
      <c r="BU627" s="130">
        <f>IF(BV627&gt;0,1,0)</f>
        <v>0</v>
      </c>
      <c r="BV627" s="128">
        <f>VLOOKUP($E627,[2]Current!$A:$AC,13,FALSE)</f>
        <v>0</v>
      </c>
      <c r="BW627" s="128">
        <f>BV627/$AS627</f>
        <v>0</v>
      </c>
      <c r="BX627" s="130">
        <f>IF(BY627&gt;0,1,0)</f>
        <v>0</v>
      </c>
      <c r="BY627" s="128">
        <f>VLOOKUP($E627,[2]Current!$A:$AC,14,FALSE)</f>
        <v>0</v>
      </c>
      <c r="BZ627" s="128">
        <f>BY627/$AS627</f>
        <v>0</v>
      </c>
      <c r="CA627" s="130">
        <f>IF(CB627&gt;0,1,0)</f>
        <v>0</v>
      </c>
      <c r="CB627" s="128">
        <f>VLOOKUP($E627,[2]Current!$A:$AC,15,FALSE)</f>
        <v>0</v>
      </c>
      <c r="CC627" s="128">
        <f>CB627/$AS627</f>
        <v>0</v>
      </c>
      <c r="CD627" s="174">
        <f>IF(CE627&gt;0,1,0)</f>
        <v>0</v>
      </c>
      <c r="CE627" s="128">
        <f>VLOOKUP($E627,[2]Current!$A:$AC,16,FALSE)</f>
        <v>0</v>
      </c>
      <c r="CF627" s="128">
        <f>CE627/$AS627</f>
        <v>0</v>
      </c>
      <c r="CG627" s="18"/>
      <c r="CH627" s="18"/>
      <c r="CI627" s="18"/>
      <c r="CJ627" s="130">
        <f>IF(CK627&gt;0,1,0)</f>
        <v>0</v>
      </c>
      <c r="CK627" s="128">
        <f>VLOOKUP($E627,[2]Current!$A:$AC,18,FALSE)</f>
        <v>0</v>
      </c>
      <c r="CL627" s="128">
        <f>CK627/$AS627</f>
        <v>0</v>
      </c>
      <c r="CS627" s="130">
        <f>IF(CU627&gt;0,1,0)</f>
        <v>0</v>
      </c>
      <c r="CU627" s="128">
        <f>VLOOKUP($E627,[2]Current!$A:$AC,17,FALSE)</f>
        <v>0</v>
      </c>
      <c r="CV627" s="128">
        <f>CU627/$AS627</f>
        <v>0</v>
      </c>
      <c r="CW627" s="18"/>
      <c r="CX627" s="18"/>
      <c r="CY627" s="18"/>
      <c r="DF627" s="16" t="e">
        <f>VLOOKUP(K627,'[3]RNA Seq summary tables'!$V$3:$V$99,1,FALSE)</f>
        <v>#N/A</v>
      </c>
      <c r="DG627" s="125"/>
    </row>
    <row r="628" spans="2:288" ht="16" x14ac:dyDescent="0.2">
      <c r="B628" s="16">
        <v>2018</v>
      </c>
      <c r="C628" s="124">
        <v>43267</v>
      </c>
      <c r="D628" t="s">
        <v>809</v>
      </c>
      <c r="E628" s="37" t="str">
        <f>CONCATENATE(T628,"-",U628,"-",C628)</f>
        <v>PO2-A2-43267</v>
      </c>
      <c r="F628" s="16" t="s">
        <v>227</v>
      </c>
      <c r="G628" s="126" t="s">
        <v>107</v>
      </c>
      <c r="H628" s="126"/>
      <c r="J628" s="126">
        <v>1484</v>
      </c>
      <c r="K628" s="126">
        <v>2447</v>
      </c>
      <c r="O628" s="126" t="s">
        <v>119</v>
      </c>
      <c r="P628" s="18" t="s">
        <v>119</v>
      </c>
      <c r="Q628" s="18">
        <v>0</v>
      </c>
      <c r="R628" s="18" t="str">
        <f>IF(J628=J627,C628-C627,"")</f>
        <v/>
      </c>
      <c r="T628" s="126" t="s">
        <v>127</v>
      </c>
      <c r="U628" s="126" t="s">
        <v>171</v>
      </c>
      <c r="V628" s="126" t="s">
        <v>114</v>
      </c>
      <c r="X628" s="126" t="s">
        <v>121</v>
      </c>
      <c r="Y628" s="126" t="s">
        <v>145</v>
      </c>
      <c r="Z628" s="126">
        <v>1</v>
      </c>
      <c r="AA628" s="126"/>
      <c r="AB628" s="126"/>
      <c r="AC628" s="126"/>
      <c r="AD628" s="126"/>
      <c r="AE628" s="126" t="s">
        <v>123</v>
      </c>
      <c r="AG628" s="16">
        <f>AH628-AI628</f>
        <v>73</v>
      </c>
      <c r="AH628" s="126">
        <v>132</v>
      </c>
      <c r="AI628" s="126">
        <v>59</v>
      </c>
      <c r="AK628" s="126">
        <v>9.5</v>
      </c>
      <c r="AL628" s="126">
        <v>0</v>
      </c>
      <c r="AM628" s="126">
        <v>0</v>
      </c>
      <c r="AN628" s="126">
        <v>0</v>
      </c>
      <c r="AO628" s="16">
        <f>IF(SUM(AL628:AN628)&gt;0,1,0)</f>
        <v>0</v>
      </c>
      <c r="AP628" s="18">
        <f>SUM(AL628:AN628)</f>
        <v>0</v>
      </c>
      <c r="AR628" s="16">
        <v>8.8000000000000078E-2</v>
      </c>
      <c r="AS628" s="16">
        <f>VLOOKUP(E628,'[1]Feces weights'!$D$1:$H$459,5,FALSE)</f>
        <v>8.8000000000000078E-2</v>
      </c>
      <c r="AT628" s="16" t="str">
        <f>VLOOKUP(E628,[2]Current!$A$1:$W$435,7,FALSE)</f>
        <v>LV</v>
      </c>
      <c r="AU628" s="16" t="s">
        <v>1288</v>
      </c>
      <c r="AW628" s="128">
        <f>IF(AX628&gt;0,1,0)</f>
        <v>1</v>
      </c>
      <c r="AX628" s="128">
        <f>SUM(BA628,BM628,CU628)</f>
        <v>1</v>
      </c>
      <c r="AY628" s="128">
        <f>SUM(BB628,BN628,CV628)</f>
        <v>1499.9999999999986</v>
      </c>
      <c r="AZ628" s="128">
        <f>IF(BA628&gt;0,1,0)</f>
        <v>1</v>
      </c>
      <c r="BA628" s="128">
        <f>SUM(BC628+BF628+BI628)</f>
        <v>1</v>
      </c>
      <c r="BB628" s="128">
        <f>SUM(BE628,BH628,BK628)</f>
        <v>1499.9999999999986</v>
      </c>
      <c r="BC628" s="130">
        <f>IF(BD628&gt;0,1,0)</f>
        <v>0</v>
      </c>
      <c r="BD628" s="128">
        <f>VLOOKUP($E628,[2]Current!$A:$AC,26,FALSE)</f>
        <v>0</v>
      </c>
      <c r="BE628" s="128">
        <f>BD628/$AS628</f>
        <v>0</v>
      </c>
      <c r="BF628" s="130">
        <f>IF(BG628&gt;0,1,0)</f>
        <v>1</v>
      </c>
      <c r="BG628" s="175">
        <f>VLOOKUP($E628,[2]Current!$A:$AC,27,FALSE)</f>
        <v>132</v>
      </c>
      <c r="BH628" s="128">
        <f>BG628/$AS628</f>
        <v>1499.9999999999986</v>
      </c>
      <c r="BI628" s="130">
        <f>IF(BJ628&gt;0,1,0)</f>
        <v>0</v>
      </c>
      <c r="BJ628" s="128">
        <f>VLOOKUP($E628,[2]Current!$A:$AC,28,FALSE)</f>
        <v>0</v>
      </c>
      <c r="BK628" s="128">
        <f>BJ628/$AS628</f>
        <v>0</v>
      </c>
      <c r="BL628" s="128">
        <f>IF(BM628&gt;0,1,0)</f>
        <v>0</v>
      </c>
      <c r="BM628" s="128">
        <f>SUM(BR628,BU628,BX628,CA628,CD628)</f>
        <v>0</v>
      </c>
      <c r="BN628" s="131">
        <f>SUM(BT628,BW628,BZ628,CC628,CF628)</f>
        <v>0</v>
      </c>
      <c r="BO628" s="128">
        <f>IF(BP628&gt;0,1,0)</f>
        <v>0</v>
      </c>
      <c r="BP628" s="128">
        <f>BM628+CJ628</f>
        <v>0</v>
      </c>
      <c r="BQ628" s="128">
        <f>BN628+CL628</f>
        <v>0</v>
      </c>
      <c r="BR628" s="130">
        <f>IF(BS628&gt;0,1,0)</f>
        <v>0</v>
      </c>
      <c r="BS628" s="128">
        <f>VLOOKUP($E628,[2]Current!$A:$AC,12,FALSE)</f>
        <v>0</v>
      </c>
      <c r="BT628" s="137">
        <f>BS628/$AS628</f>
        <v>0</v>
      </c>
      <c r="BU628" s="130">
        <f>IF(BV628&gt;0,1,0)</f>
        <v>0</v>
      </c>
      <c r="BV628" s="128">
        <f>VLOOKUP($E628,[2]Current!$A:$AC,13,FALSE)</f>
        <v>0</v>
      </c>
      <c r="BW628" s="128">
        <f>BV628/$AS628</f>
        <v>0</v>
      </c>
      <c r="BX628" s="130">
        <f>IF(BY628&gt;0,1,0)</f>
        <v>0</v>
      </c>
      <c r="BY628" s="128">
        <f>VLOOKUP($E628,[2]Current!$A:$AC,14,FALSE)</f>
        <v>0</v>
      </c>
      <c r="BZ628" s="128">
        <f>BY628/$AS628</f>
        <v>0</v>
      </c>
      <c r="CA628" s="130">
        <f>IF(CB628&gt;0,1,0)</f>
        <v>0</v>
      </c>
      <c r="CB628" s="128">
        <f>VLOOKUP($E628,[2]Current!$A:$AC,15,FALSE)</f>
        <v>0</v>
      </c>
      <c r="CC628" s="128">
        <f>CB628/$AS628</f>
        <v>0</v>
      </c>
      <c r="CD628" s="174">
        <f>IF(CE628&gt;0,1,0)</f>
        <v>0</v>
      </c>
      <c r="CE628" s="128">
        <f>VLOOKUP($E628,[2]Current!$A:$AC,16,FALSE)</f>
        <v>0</v>
      </c>
      <c r="CF628" s="128">
        <f>CE628/$AS628</f>
        <v>0</v>
      </c>
      <c r="CG628" s="18"/>
      <c r="CH628" s="18"/>
      <c r="CI628" s="18"/>
      <c r="CJ628" s="130">
        <f>IF(CK628&gt;0,1,0)</f>
        <v>0</v>
      </c>
      <c r="CK628" s="128">
        <f>VLOOKUP($E628,[2]Current!$A:$AC,18,FALSE)</f>
        <v>0</v>
      </c>
      <c r="CL628" s="128">
        <f>CK628/$AS628</f>
        <v>0</v>
      </c>
      <c r="CS628" s="130">
        <f>IF(CU628&gt;0,1,0)</f>
        <v>0</v>
      </c>
      <c r="CU628" s="128">
        <f>VLOOKUP($E628,[2]Current!$A:$AC,17,FALSE)</f>
        <v>0</v>
      </c>
      <c r="CV628" s="128">
        <f>CU628/$AS628</f>
        <v>0</v>
      </c>
      <c r="CW628" s="18"/>
      <c r="CX628" s="18"/>
      <c r="CY628" s="18"/>
      <c r="DF628" s="16" t="e">
        <f>VLOOKUP(K628,'[3]RNA Seq summary tables'!$V$3:$V$99,1,FALSE)</f>
        <v>#N/A</v>
      </c>
      <c r="DG628" s="126"/>
    </row>
    <row r="629" spans="2:288" ht="16" x14ac:dyDescent="0.2">
      <c r="B629" s="16">
        <v>2018</v>
      </c>
      <c r="C629" s="124">
        <v>43283</v>
      </c>
      <c r="D629" t="s">
        <v>899</v>
      </c>
      <c r="E629" s="37" t="str">
        <f>CONCATENATE(T629,"-",U629,"-",C629)</f>
        <v>PO2-A2-43283</v>
      </c>
      <c r="F629" s="16" t="s">
        <v>227</v>
      </c>
      <c r="G629" s="126" t="s">
        <v>107</v>
      </c>
      <c r="H629" s="126"/>
      <c r="J629" s="126">
        <v>1484</v>
      </c>
      <c r="K629" s="126">
        <v>2525</v>
      </c>
      <c r="O629" s="126" t="s">
        <v>119</v>
      </c>
      <c r="P629" s="18" t="s">
        <v>119</v>
      </c>
      <c r="Q629" s="18">
        <v>0</v>
      </c>
      <c r="R629" s="18">
        <f>IF(J629=J628,C629-C628,"")</f>
        <v>16</v>
      </c>
      <c r="T629" s="126" t="s">
        <v>127</v>
      </c>
      <c r="U629" s="126" t="s">
        <v>171</v>
      </c>
      <c r="V629" s="126" t="s">
        <v>114</v>
      </c>
      <c r="X629" s="126" t="s">
        <v>121</v>
      </c>
      <c r="Y629" s="126" t="s">
        <v>122</v>
      </c>
      <c r="Z629" s="126">
        <v>2.6</v>
      </c>
      <c r="AA629" s="126" t="s">
        <v>119</v>
      </c>
      <c r="AB629" s="126" t="s">
        <v>123</v>
      </c>
      <c r="AC629" s="126" t="s">
        <v>123</v>
      </c>
      <c r="AD629" s="126"/>
      <c r="AE629" s="126"/>
      <c r="AG629" s="16">
        <f>AH629-AI629</f>
        <v>77</v>
      </c>
      <c r="AH629" s="126">
        <v>143</v>
      </c>
      <c r="AI629" s="126">
        <v>66</v>
      </c>
      <c r="AK629" s="126">
        <v>13.5</v>
      </c>
      <c r="AL629" s="126">
        <v>0</v>
      </c>
      <c r="AM629" s="126">
        <v>0</v>
      </c>
      <c r="AN629" s="126">
        <v>0</v>
      </c>
      <c r="AO629" s="16">
        <f>IF(SUM(AL629:AN629)&gt;0,1,0)</f>
        <v>0</v>
      </c>
      <c r="AP629" s="18">
        <f>SUM(AL629:AN629)</f>
        <v>0</v>
      </c>
      <c r="AR629" s="16">
        <v>0.13400000000000012</v>
      </c>
      <c r="AS629" s="16">
        <f>VLOOKUP(E629,'[1]Feces weights'!$D$1:$H$459,5,FALSE)</f>
        <v>0.13400000000000012</v>
      </c>
      <c r="AT629" s="16" t="str">
        <f>VLOOKUP(E629,[2]Current!$A$1:$W$435,7,FALSE)</f>
        <v>DP</v>
      </c>
      <c r="AU629" s="16" t="s">
        <v>1288</v>
      </c>
      <c r="AV629" s="23">
        <v>1</v>
      </c>
      <c r="AW629" s="128">
        <f>IF(AX629&gt;0,1,0)</f>
        <v>0</v>
      </c>
      <c r="AX629" s="128">
        <f>SUM(BA629,BM629,CU629)</f>
        <v>0</v>
      </c>
      <c r="AY629" s="128">
        <f>SUM(BB629,BN629,CV629)</f>
        <v>0</v>
      </c>
      <c r="AZ629" s="128">
        <f>IF(BA629&gt;0,1,0)</f>
        <v>0</v>
      </c>
      <c r="BA629" s="128">
        <f>SUM(BC629+BF629+BI629)</f>
        <v>0</v>
      </c>
      <c r="BB629" s="128">
        <f>SUM(BE629,BH629,BK629)</f>
        <v>0</v>
      </c>
      <c r="BC629" s="130">
        <f>IF(BD629&gt;0,1,0)</f>
        <v>0</v>
      </c>
      <c r="BD629" s="128">
        <f>VLOOKUP($E629,[2]Current!$A:$AC,26,FALSE)</f>
        <v>0</v>
      </c>
      <c r="BE629" s="128">
        <f>BD629/$AS629</f>
        <v>0</v>
      </c>
      <c r="BF629" s="130">
        <f>IF(BG629&gt;0,1,0)</f>
        <v>0</v>
      </c>
      <c r="BG629" s="175">
        <f>VLOOKUP($E629,[2]Current!$A:$AC,27,FALSE)</f>
        <v>0</v>
      </c>
      <c r="BH629" s="128">
        <f>BG629/$AS629</f>
        <v>0</v>
      </c>
      <c r="BI629" s="130">
        <f>IF(BJ629&gt;0,1,0)</f>
        <v>0</v>
      </c>
      <c r="BJ629" s="128">
        <f>VLOOKUP($E629,[2]Current!$A:$AC,28,FALSE)</f>
        <v>0</v>
      </c>
      <c r="BK629" s="128">
        <f>BJ629/$AS629</f>
        <v>0</v>
      </c>
      <c r="BL629" s="128">
        <f>IF(BM629&gt;0,1,0)</f>
        <v>0</v>
      </c>
      <c r="BM629" s="128">
        <f>SUM(BR629,BU629,BX629,CA629,CD629)</f>
        <v>0</v>
      </c>
      <c r="BN629" s="131">
        <f>SUM(BT629,BW629,BZ629,CC629,CF629)</f>
        <v>0</v>
      </c>
      <c r="BO629" s="128">
        <f>IF(BP629&gt;0,1,0)</f>
        <v>0</v>
      </c>
      <c r="BP629" s="128">
        <f>BM629+CJ629</f>
        <v>0</v>
      </c>
      <c r="BQ629" s="128">
        <f>BN629+CL629</f>
        <v>0</v>
      </c>
      <c r="BR629" s="130">
        <f>IF(BS629&gt;0,1,0)</f>
        <v>0</v>
      </c>
      <c r="BS629" s="128">
        <f>VLOOKUP($E629,[2]Current!$A:$AC,12,FALSE)</f>
        <v>0</v>
      </c>
      <c r="BT629" s="137">
        <f>BS629/$AS629</f>
        <v>0</v>
      </c>
      <c r="BU629" s="130">
        <f>IF(BV629&gt;0,1,0)</f>
        <v>0</v>
      </c>
      <c r="BV629" s="128">
        <f>VLOOKUP($E629,[2]Current!$A:$AC,13,FALSE)</f>
        <v>0</v>
      </c>
      <c r="BW629" s="128">
        <f>BV629/$AS629</f>
        <v>0</v>
      </c>
      <c r="BX629" s="130">
        <f>IF(BY629&gt;0,1,0)</f>
        <v>0</v>
      </c>
      <c r="BY629" s="128">
        <f>VLOOKUP($E629,[2]Current!$A:$AC,14,FALSE)</f>
        <v>0</v>
      </c>
      <c r="BZ629" s="128">
        <f>BY629/$AS629</f>
        <v>0</v>
      </c>
      <c r="CA629" s="130">
        <f>IF(CB629&gt;0,1,0)</f>
        <v>0</v>
      </c>
      <c r="CB629" s="128">
        <f>VLOOKUP($E629,[2]Current!$A:$AC,15,FALSE)</f>
        <v>0</v>
      </c>
      <c r="CC629" s="128">
        <f>CB629/$AS629</f>
        <v>0</v>
      </c>
      <c r="CD629" s="174">
        <f>IF(CE629&gt;0,1,0)</f>
        <v>0</v>
      </c>
      <c r="CE629" s="128">
        <f>VLOOKUP($E629,[2]Current!$A:$AC,16,FALSE)</f>
        <v>0</v>
      </c>
      <c r="CF629" s="128">
        <f>CE629/$AS629</f>
        <v>0</v>
      </c>
      <c r="CG629" s="18"/>
      <c r="CH629" s="18"/>
      <c r="CI629" s="18"/>
      <c r="CJ629" s="130">
        <f>IF(CK629&gt;0,1,0)</f>
        <v>0</v>
      </c>
      <c r="CK629" s="128">
        <f>VLOOKUP($E629,[2]Current!$A:$AC,18,FALSE)</f>
        <v>0</v>
      </c>
      <c r="CL629" s="128">
        <f>CK629/$AS629</f>
        <v>0</v>
      </c>
      <c r="CS629" s="130">
        <f>IF(CU629&gt;0,1,0)</f>
        <v>0</v>
      </c>
      <c r="CU629" s="128">
        <f>VLOOKUP($E629,[2]Current!$A:$AC,17,FALSE)</f>
        <v>0</v>
      </c>
      <c r="CV629" s="128">
        <f>CU629/$AS629</f>
        <v>0</v>
      </c>
      <c r="CW629" s="18"/>
      <c r="CX629" s="18"/>
      <c r="CY629" s="18"/>
      <c r="DF629" s="16" t="e">
        <f>VLOOKUP(K629,'[3]RNA Seq summary tables'!$V$3:$V$99,1,FALSE)</f>
        <v>#N/A</v>
      </c>
      <c r="DG629" s="126" t="s">
        <v>123</v>
      </c>
      <c r="JR629" s="27"/>
      <c r="JS629" s="27"/>
      <c r="JT629" s="27"/>
      <c r="JU629" s="27"/>
      <c r="JV629" s="27"/>
      <c r="JW629" s="27"/>
      <c r="JX629" s="27"/>
      <c r="JY629" s="27"/>
      <c r="JZ629" s="27"/>
      <c r="KA629" s="27"/>
      <c r="KB629" s="27"/>
    </row>
    <row r="630" spans="2:288" ht="16" x14ac:dyDescent="0.2">
      <c r="B630" s="16">
        <v>2018</v>
      </c>
      <c r="C630" s="124">
        <v>43296</v>
      </c>
      <c r="D630" t="s">
        <v>994</v>
      </c>
      <c r="E630" s="37" t="str">
        <f>CONCATENATE(T630,"-",U630,"-",C630)</f>
        <v>PO2-A3-43296</v>
      </c>
      <c r="F630" s="16" t="s">
        <v>227</v>
      </c>
      <c r="G630" s="126" t="s">
        <v>107</v>
      </c>
      <c r="H630" s="126" t="s">
        <v>1143</v>
      </c>
      <c r="J630" s="126">
        <v>1484</v>
      </c>
      <c r="K630" s="126">
        <v>2619</v>
      </c>
      <c r="O630" s="126" t="s">
        <v>119</v>
      </c>
      <c r="P630" s="18" t="s">
        <v>119</v>
      </c>
      <c r="Q630" s="18">
        <v>0</v>
      </c>
      <c r="R630" s="18">
        <f>IF(J630=J629,C630-C629,"")</f>
        <v>13</v>
      </c>
      <c r="T630" s="126" t="s">
        <v>127</v>
      </c>
      <c r="U630" s="126" t="s">
        <v>201</v>
      </c>
      <c r="V630" s="126" t="s">
        <v>114</v>
      </c>
      <c r="X630" s="126" t="s">
        <v>121</v>
      </c>
      <c r="Y630" s="126" t="s">
        <v>110</v>
      </c>
      <c r="Z630" s="126">
        <v>3</v>
      </c>
      <c r="AA630" s="126" t="s">
        <v>119</v>
      </c>
      <c r="AB630" s="126" t="s">
        <v>123</v>
      </c>
      <c r="AC630" s="126" t="s">
        <v>116</v>
      </c>
      <c r="AD630" s="126"/>
      <c r="AE630" s="126"/>
      <c r="AG630" s="40">
        <f>AH630-AI630</f>
        <v>78</v>
      </c>
      <c r="AH630" s="126">
        <v>147</v>
      </c>
      <c r="AI630" s="126">
        <v>69</v>
      </c>
      <c r="AK630" s="126">
        <v>15.5</v>
      </c>
      <c r="AL630" s="126">
        <v>0</v>
      </c>
      <c r="AM630" s="126">
        <v>0</v>
      </c>
      <c r="AN630" s="126">
        <v>0</v>
      </c>
      <c r="AO630" s="16">
        <f>IF(SUM(AL630:AN630)&gt;0,1,0)</f>
        <v>0</v>
      </c>
      <c r="AP630" s="18">
        <f>SUM(AL630:AN630)</f>
        <v>0</v>
      </c>
      <c r="AR630" s="16">
        <v>0.17500000000000004</v>
      </c>
      <c r="AS630" s="16">
        <f>VLOOKUP(E630,'[1]Feces weights'!$D$1:$H$459,5,FALSE)</f>
        <v>0.17500000000000004</v>
      </c>
      <c r="AT630" s="16" t="str">
        <f>VLOOKUP(E630,[2]Current!$A$1:$W$435,7,FALSE)</f>
        <v>JB</v>
      </c>
      <c r="AU630" s="16" t="s">
        <v>1288</v>
      </c>
      <c r="AW630" s="128">
        <f>IF(AX630&gt;0,1,0)</f>
        <v>1</v>
      </c>
      <c r="AX630" s="128">
        <f>SUM(BA630,BM630,CU630)</f>
        <v>1</v>
      </c>
      <c r="AY630" s="128">
        <f>SUM(BB630,BN630,CV630)</f>
        <v>628.57142857142844</v>
      </c>
      <c r="AZ630" s="128">
        <f>IF(BA630&gt;0,1,0)</f>
        <v>1</v>
      </c>
      <c r="BA630" s="128">
        <f>SUM(BC630+BF630+BI630)</f>
        <v>1</v>
      </c>
      <c r="BB630" s="128">
        <f>SUM(BE630,BH630,BK630)</f>
        <v>628.57142857142844</v>
      </c>
      <c r="BC630" s="130">
        <f>IF(BD630&gt;0,1,0)</f>
        <v>0</v>
      </c>
      <c r="BD630" s="128">
        <f>VLOOKUP($E630,[2]Current!$A:$AC,26,FALSE)</f>
        <v>0</v>
      </c>
      <c r="BE630" s="128">
        <f>BD630/$AS630</f>
        <v>0</v>
      </c>
      <c r="BF630" s="130">
        <f>IF(BG630&gt;0,1,0)</f>
        <v>1</v>
      </c>
      <c r="BG630" s="175">
        <f>VLOOKUP($E630,[2]Current!$A:$AC,27,FALSE)</f>
        <v>110</v>
      </c>
      <c r="BH630" s="128">
        <f>BG630/$AS630</f>
        <v>628.57142857142844</v>
      </c>
      <c r="BI630" s="130">
        <f>IF(BJ630&gt;0,1,0)</f>
        <v>0</v>
      </c>
      <c r="BJ630" s="128">
        <f>VLOOKUP($E630,[2]Current!$A:$AC,28,FALSE)</f>
        <v>0</v>
      </c>
      <c r="BK630" s="128">
        <f>BJ630/$AS630</f>
        <v>0</v>
      </c>
      <c r="BL630" s="128">
        <f>IF(BM630&gt;0,1,0)</f>
        <v>0</v>
      </c>
      <c r="BM630" s="128">
        <f>SUM(BR630,BU630,BX630,CA630,CD630)</f>
        <v>0</v>
      </c>
      <c r="BN630" s="131">
        <f>SUM(BT630,BW630,BZ630,CC630,CF630)</f>
        <v>0</v>
      </c>
      <c r="BO630" s="128">
        <f>IF(BP630&gt;0,1,0)</f>
        <v>1</v>
      </c>
      <c r="BP630" s="128">
        <f>BM630+CJ630</f>
        <v>1</v>
      </c>
      <c r="BQ630" s="128">
        <f>BN630+CL630</f>
        <v>11.428571428571425</v>
      </c>
      <c r="BR630" s="130">
        <f>IF(BS630&gt;0,1,0)</f>
        <v>0</v>
      </c>
      <c r="BS630" s="128">
        <f>VLOOKUP($E630,[2]Current!$A:$AC,12,FALSE)</f>
        <v>0</v>
      </c>
      <c r="BT630" s="137">
        <f>BS630/$AS630</f>
        <v>0</v>
      </c>
      <c r="BU630" s="130">
        <f>IF(BV630&gt;0,1,0)</f>
        <v>0</v>
      </c>
      <c r="BV630" s="128">
        <f>VLOOKUP($E630,[2]Current!$A:$AC,13,FALSE)</f>
        <v>0</v>
      </c>
      <c r="BW630" s="128">
        <f>BV630/$AS630</f>
        <v>0</v>
      </c>
      <c r="BX630" s="130">
        <f>IF(BY630&gt;0,1,0)</f>
        <v>0</v>
      </c>
      <c r="BY630" s="128">
        <f>VLOOKUP($E630,[2]Current!$A:$AC,14,FALSE)</f>
        <v>0</v>
      </c>
      <c r="BZ630" s="128">
        <f>BY630/$AS630</f>
        <v>0</v>
      </c>
      <c r="CA630" s="130">
        <f>IF(CB630&gt;0,1,0)</f>
        <v>0</v>
      </c>
      <c r="CB630" s="128">
        <f>VLOOKUP($E630,[2]Current!$A:$AC,15,FALSE)</f>
        <v>0</v>
      </c>
      <c r="CC630" s="128">
        <f>CB630/$AS630</f>
        <v>0</v>
      </c>
      <c r="CD630" s="174">
        <f>IF(CE630&gt;0,1,0)</f>
        <v>0</v>
      </c>
      <c r="CE630" s="128">
        <f>VLOOKUP($E630,[2]Current!$A:$AC,16,FALSE)</f>
        <v>0</v>
      </c>
      <c r="CF630" s="128">
        <f>CE630/$AS630</f>
        <v>0</v>
      </c>
      <c r="CG630" s="18"/>
      <c r="CH630" s="18"/>
      <c r="CI630" s="18"/>
      <c r="CJ630" s="130">
        <f>IF(CK630&gt;0,1,0)</f>
        <v>1</v>
      </c>
      <c r="CK630" s="128">
        <f>VLOOKUP($E630,[2]Current!$A:$AC,18,FALSE)</f>
        <v>2</v>
      </c>
      <c r="CL630" s="128">
        <f>CK630/$AS630</f>
        <v>11.428571428571425</v>
      </c>
      <c r="CS630" s="130">
        <f>IF(CU630&gt;0,1,0)</f>
        <v>0</v>
      </c>
      <c r="CU630" s="128">
        <f>VLOOKUP($E630,[2]Current!$A:$AC,17,FALSE)</f>
        <v>0</v>
      </c>
      <c r="CV630" s="128">
        <f>CU630/$AS630</f>
        <v>0</v>
      </c>
      <c r="CW630" s="18"/>
      <c r="CX630" s="18"/>
      <c r="CY630" s="18"/>
      <c r="DF630" s="16" t="e">
        <f>VLOOKUP(K630,'[3]RNA Seq summary tables'!$V$3:$V$99,1,FALSE)</f>
        <v>#N/A</v>
      </c>
      <c r="DG630" s="126" t="s">
        <v>116</v>
      </c>
    </row>
    <row r="631" spans="2:288" ht="16" x14ac:dyDescent="0.2">
      <c r="B631" s="16">
        <v>2018</v>
      </c>
      <c r="C631" s="147">
        <v>43315</v>
      </c>
      <c r="D631" t="s">
        <v>1240</v>
      </c>
      <c r="E631" s="20" t="str">
        <f>CONCATENATE(T631,"-",U631,"-",C631)</f>
        <v>PO2-B3-43315</v>
      </c>
      <c r="F631" s="16" t="s">
        <v>227</v>
      </c>
      <c r="G631" s="145" t="s">
        <v>107</v>
      </c>
      <c r="H631" s="145"/>
      <c r="I631" s="145"/>
      <c r="J631" s="145">
        <v>1484</v>
      </c>
      <c r="K631" s="145">
        <v>2739</v>
      </c>
      <c r="M631" s="16"/>
      <c r="N631" s="16"/>
      <c r="O631" s="145" t="s">
        <v>119</v>
      </c>
      <c r="P631" s="18" t="s">
        <v>119</v>
      </c>
      <c r="Q631" s="18">
        <v>0</v>
      </c>
      <c r="R631" s="18">
        <f>IF(J631=J630,C631-C630,"")</f>
        <v>19</v>
      </c>
      <c r="S631" s="145"/>
      <c r="T631" s="145" t="s">
        <v>127</v>
      </c>
      <c r="U631" s="145" t="s">
        <v>131</v>
      </c>
      <c r="V631" s="145" t="s">
        <v>114</v>
      </c>
      <c r="W631" s="145"/>
      <c r="X631" s="145" t="s">
        <v>121</v>
      </c>
      <c r="Y631" s="145" t="s">
        <v>110</v>
      </c>
      <c r="Z631" s="145">
        <v>3</v>
      </c>
      <c r="AA631" s="145" t="s">
        <v>119</v>
      </c>
      <c r="AB631" s="145" t="s">
        <v>123</v>
      </c>
      <c r="AC631" s="145" t="s">
        <v>123</v>
      </c>
      <c r="AD631" s="145"/>
      <c r="AE631" s="145"/>
      <c r="AF631" s="145"/>
      <c r="AG631" s="145">
        <f>AH631-AI631</f>
        <v>78</v>
      </c>
      <c r="AH631" s="145">
        <v>147</v>
      </c>
      <c r="AI631" s="145">
        <v>69</v>
      </c>
      <c r="AJ631" s="145"/>
      <c r="AK631" s="145">
        <v>14</v>
      </c>
      <c r="AL631" s="145">
        <v>0</v>
      </c>
      <c r="AM631" s="145">
        <v>0</v>
      </c>
      <c r="AN631" s="145">
        <v>0</v>
      </c>
      <c r="AO631" s="16">
        <f>IF(SUM(AL631:AN631)&gt;0, 1,0)</f>
        <v>0</v>
      </c>
      <c r="AP631" s="16">
        <f>SUM(AL631:AN631)</f>
        <v>0</v>
      </c>
      <c r="AS631" s="16">
        <f>VLOOKUP(E631,'[1]Feces weights'!$D$1:$H$459,5,FALSE)</f>
        <v>0.53</v>
      </c>
      <c r="AT631" s="16" t="e">
        <f>VLOOKUP(E631,[2]Current!$A$1:$W$435,7,FALSE)</f>
        <v>#N/A</v>
      </c>
      <c r="BG631" s="23"/>
      <c r="BT631" s="77"/>
      <c r="CD631" s="77"/>
      <c r="DG631" s="145" t="s">
        <v>116</v>
      </c>
      <c r="DT631" s="145" t="s">
        <v>123</v>
      </c>
      <c r="DU631" s="145"/>
      <c r="DX631" s="145"/>
      <c r="DY631" s="145"/>
      <c r="DZ631" s="16"/>
      <c r="EA631" s="16"/>
      <c r="EB631" s="16"/>
      <c r="EC631" s="16"/>
      <c r="ED631" s="16"/>
      <c r="EE631" s="16"/>
      <c r="EF631" s="16"/>
      <c r="JO631" s="18"/>
      <c r="JP631" s="18"/>
      <c r="JQ631" s="18"/>
      <c r="JR631" s="18"/>
      <c r="JS631" s="18"/>
      <c r="JT631" s="18"/>
      <c r="JU631" s="18"/>
      <c r="JV631" s="18"/>
      <c r="JW631" s="18"/>
      <c r="JX631" s="18"/>
      <c r="JY631" s="18"/>
      <c r="JZ631" s="18"/>
      <c r="KA631" s="18"/>
    </row>
    <row r="632" spans="2:288" ht="16" x14ac:dyDescent="0.2">
      <c r="B632" s="16">
        <v>2018</v>
      </c>
      <c r="C632" s="124">
        <v>43267</v>
      </c>
      <c r="D632" t="s">
        <v>810</v>
      </c>
      <c r="E632" s="37" t="str">
        <f>CONCATENATE(T632,"-",U632,"-",C632)</f>
        <v>PO2-H4-43267</v>
      </c>
      <c r="F632" s="16" t="s">
        <v>227</v>
      </c>
      <c r="G632" s="126" t="s">
        <v>107</v>
      </c>
      <c r="H632" s="126"/>
      <c r="J632" s="126">
        <v>1486</v>
      </c>
      <c r="K632" s="126">
        <v>2451</v>
      </c>
      <c r="O632" s="126" t="s">
        <v>119</v>
      </c>
      <c r="P632" s="18" t="s">
        <v>119</v>
      </c>
      <c r="Q632" s="18">
        <v>0</v>
      </c>
      <c r="R632" s="18" t="str">
        <f>IF(J632=J631,C632-C631,"")</f>
        <v/>
      </c>
      <c r="T632" s="126" t="s">
        <v>127</v>
      </c>
      <c r="U632" s="126" t="s">
        <v>151</v>
      </c>
      <c r="V632" s="126" t="s">
        <v>114</v>
      </c>
      <c r="X632" s="126" t="s">
        <v>115</v>
      </c>
      <c r="Y632" s="126" t="s">
        <v>110</v>
      </c>
      <c r="Z632" s="126">
        <v>3</v>
      </c>
      <c r="AA632" s="126"/>
      <c r="AB632" s="126"/>
      <c r="AC632" s="126"/>
      <c r="AD632" s="126"/>
      <c r="AE632" s="126" t="s">
        <v>116</v>
      </c>
      <c r="AG632" s="16">
        <f>AH632-AI632</f>
        <v>84</v>
      </c>
      <c r="AH632" s="126">
        <v>163</v>
      </c>
      <c r="AI632" s="126">
        <v>79</v>
      </c>
      <c r="AK632" s="126">
        <v>21</v>
      </c>
      <c r="AL632" s="126">
        <v>0</v>
      </c>
      <c r="AM632" s="126">
        <v>0</v>
      </c>
      <c r="AN632" s="126">
        <v>0</v>
      </c>
      <c r="AO632" s="16">
        <f>IF(SUM(AL632:AN632)&gt;0,1,0)</f>
        <v>0</v>
      </c>
      <c r="AP632" s="18">
        <f>SUM(AL632:AN632)</f>
        <v>0</v>
      </c>
      <c r="AR632" s="16">
        <v>9.2000000000000082E-2</v>
      </c>
      <c r="AS632" s="16">
        <f>VLOOKUP(E632,'[1]Feces weights'!$D$1:$H$459,5,FALSE)</f>
        <v>9.2000000000000082E-2</v>
      </c>
      <c r="AT632" s="16" t="str">
        <f>VLOOKUP(E632,[2]Current!$A$1:$W$435,7,FALSE)</f>
        <v>JB</v>
      </c>
      <c r="AU632" s="16" t="s">
        <v>1288</v>
      </c>
      <c r="AV632" s="23">
        <v>1</v>
      </c>
      <c r="AW632" s="128">
        <f>IF(AX632&gt;0,1,0)</f>
        <v>0</v>
      </c>
      <c r="AX632" s="128">
        <f>SUM(BA632,BM632,CU632)</f>
        <v>0</v>
      </c>
      <c r="AY632" s="128">
        <f>SUM(BB632,BN632,CV632)</f>
        <v>0</v>
      </c>
      <c r="AZ632" s="128">
        <f>IF(BA632&gt;0,1,0)</f>
        <v>0</v>
      </c>
      <c r="BA632" s="128">
        <f>SUM(BC632+BF632+BI632)</f>
        <v>0</v>
      </c>
      <c r="BB632" s="128">
        <f>SUM(BE632,BH632,BK632)</f>
        <v>0</v>
      </c>
      <c r="BC632" s="130">
        <f>IF(BD632&gt;0,1,0)</f>
        <v>0</v>
      </c>
      <c r="BD632" s="128">
        <f>VLOOKUP($E632,[2]Current!$A:$AC,26,FALSE)</f>
        <v>0</v>
      </c>
      <c r="BE632" s="128">
        <f>BD632/$AS632</f>
        <v>0</v>
      </c>
      <c r="BF632" s="130">
        <f>IF(BG632&gt;0,1,0)</f>
        <v>0</v>
      </c>
      <c r="BG632" s="175">
        <f>VLOOKUP($E632,[2]Current!$A:$AC,27,FALSE)</f>
        <v>0</v>
      </c>
      <c r="BH632" s="128">
        <f>BG632/$AS632</f>
        <v>0</v>
      </c>
      <c r="BI632" s="130">
        <f>IF(BJ632&gt;0,1,0)</f>
        <v>0</v>
      </c>
      <c r="BJ632" s="128">
        <f>VLOOKUP($E632,[2]Current!$A:$AC,28,FALSE)</f>
        <v>0</v>
      </c>
      <c r="BK632" s="128">
        <f>BJ632/$AS632</f>
        <v>0</v>
      </c>
      <c r="BL632" s="128">
        <f>IF(BM632&gt;0,1,0)</f>
        <v>0</v>
      </c>
      <c r="BM632" s="128">
        <f>SUM(BR632,BU632,BX632,CA632,CD632)</f>
        <v>0</v>
      </c>
      <c r="BN632" s="131">
        <f>SUM(BT632,BW632,BZ632,CC632,CF632)</f>
        <v>0</v>
      </c>
      <c r="BO632" s="128">
        <f>IF(BP632&gt;0,1,0)</f>
        <v>0</v>
      </c>
      <c r="BP632" s="128">
        <f>BM632+CJ632</f>
        <v>0</v>
      </c>
      <c r="BQ632" s="128">
        <f>BN632+CL632</f>
        <v>0</v>
      </c>
      <c r="BR632" s="130">
        <f>IF(BS632&gt;0,1,0)</f>
        <v>0</v>
      </c>
      <c r="BS632" s="128">
        <f>VLOOKUP($E632,[2]Current!$A:$AC,12,FALSE)</f>
        <v>0</v>
      </c>
      <c r="BT632" s="137">
        <f>BS632/$AS632</f>
        <v>0</v>
      </c>
      <c r="BU632" s="130">
        <f>IF(BV632&gt;0,1,0)</f>
        <v>0</v>
      </c>
      <c r="BV632" s="128">
        <f>VLOOKUP($E632,[2]Current!$A:$AC,13,FALSE)</f>
        <v>0</v>
      </c>
      <c r="BW632" s="128">
        <f>BV632/$AS632</f>
        <v>0</v>
      </c>
      <c r="BX632" s="130">
        <f>IF(BY632&gt;0,1,0)</f>
        <v>0</v>
      </c>
      <c r="BY632" s="128">
        <f>VLOOKUP($E632,[2]Current!$A:$AC,14,FALSE)</f>
        <v>0</v>
      </c>
      <c r="BZ632" s="128">
        <f>BY632/$AS632</f>
        <v>0</v>
      </c>
      <c r="CA632" s="130">
        <f>IF(CB632&gt;0,1,0)</f>
        <v>0</v>
      </c>
      <c r="CB632" s="128">
        <f>VLOOKUP($E632,[2]Current!$A:$AC,15,FALSE)</f>
        <v>0</v>
      </c>
      <c r="CC632" s="128">
        <f>CB632/$AS632</f>
        <v>0</v>
      </c>
      <c r="CD632" s="174">
        <f>IF(CE632&gt;0,1,0)</f>
        <v>0</v>
      </c>
      <c r="CE632" s="128">
        <f>VLOOKUP($E632,[2]Current!$A:$AC,16,FALSE)</f>
        <v>0</v>
      </c>
      <c r="CF632" s="128">
        <f>CE632/$AS632</f>
        <v>0</v>
      </c>
      <c r="CG632" s="18"/>
      <c r="CH632" s="18"/>
      <c r="CI632" s="18"/>
      <c r="CJ632" s="130">
        <f>IF(CK632&gt;0,1,0)</f>
        <v>0</v>
      </c>
      <c r="CK632" s="128">
        <f>VLOOKUP($E632,[2]Current!$A:$AC,18,FALSE)</f>
        <v>0</v>
      </c>
      <c r="CL632" s="128">
        <f>CK632/$AS632</f>
        <v>0</v>
      </c>
      <c r="CS632" s="130">
        <f>IF(CU632&gt;0,1,0)</f>
        <v>0</v>
      </c>
      <c r="CU632" s="128">
        <f>VLOOKUP($E632,[2]Current!$A:$AC,17,FALSE)</f>
        <v>0</v>
      </c>
      <c r="CV632" s="128">
        <f>CU632/$AS632</f>
        <v>0</v>
      </c>
      <c r="CW632" s="18"/>
      <c r="CX632" s="18"/>
      <c r="CY632" s="18"/>
      <c r="DF632" s="16" t="e">
        <f>VLOOKUP(K632,'[3]RNA Seq summary tables'!$V$3:$V$99,1,FALSE)</f>
        <v>#N/A</v>
      </c>
      <c r="DG632" s="126" t="s">
        <v>116</v>
      </c>
    </row>
    <row r="633" spans="2:288" ht="16" x14ac:dyDescent="0.2">
      <c r="B633" s="16">
        <v>2018</v>
      </c>
      <c r="C633" s="124">
        <v>43283</v>
      </c>
      <c r="D633" t="s">
        <v>897</v>
      </c>
      <c r="E633" s="37" t="str">
        <f>CONCATENATE(T633,"-",U633,"-",C633)</f>
        <v>PO2-H3-43283</v>
      </c>
      <c r="F633" s="16" t="s">
        <v>227</v>
      </c>
      <c r="G633" s="126" t="s">
        <v>107</v>
      </c>
      <c r="H633" s="126"/>
      <c r="I633" s="23"/>
      <c r="J633" s="126">
        <v>1486</v>
      </c>
      <c r="K633" s="126">
        <v>2534</v>
      </c>
      <c r="L633" s="23"/>
      <c r="O633" s="126" t="s">
        <v>119</v>
      </c>
      <c r="P633" s="18" t="s">
        <v>119</v>
      </c>
      <c r="Q633" s="18">
        <v>0</v>
      </c>
      <c r="R633" s="18">
        <f>IF(J633=J632,C633-C632,"")</f>
        <v>16</v>
      </c>
      <c r="S633" s="23"/>
      <c r="T633" s="126" t="s">
        <v>127</v>
      </c>
      <c r="U633" s="126" t="s">
        <v>174</v>
      </c>
      <c r="V633" s="126" t="s">
        <v>114</v>
      </c>
      <c r="W633" s="23"/>
      <c r="X633" s="126" t="s">
        <v>115</v>
      </c>
      <c r="Y633" s="126" t="s">
        <v>110</v>
      </c>
      <c r="Z633" s="126">
        <v>3</v>
      </c>
      <c r="AA633" s="126"/>
      <c r="AB633" s="126"/>
      <c r="AC633" s="126"/>
      <c r="AD633" s="126"/>
      <c r="AE633" s="126" t="s">
        <v>116</v>
      </c>
      <c r="AF633" s="23"/>
      <c r="AG633" s="23">
        <f>AH633-AI633</f>
        <v>85</v>
      </c>
      <c r="AH633" s="126">
        <v>164</v>
      </c>
      <c r="AI633" s="126">
        <v>79</v>
      </c>
      <c r="AJ633" s="23"/>
      <c r="AK633" s="126">
        <v>22</v>
      </c>
      <c r="AL633" s="126">
        <v>0</v>
      </c>
      <c r="AM633" s="126">
        <v>0</v>
      </c>
      <c r="AN633" s="126">
        <v>0</v>
      </c>
      <c r="AO633" s="23">
        <f>IF(SUM(AL633:AN633)&gt;0,1,0)</f>
        <v>0</v>
      </c>
      <c r="AP633" s="25">
        <f>SUM(AL633:AN633)</f>
        <v>0</v>
      </c>
      <c r="AQ633" s="23"/>
      <c r="AR633" s="23">
        <v>0.10400000000000009</v>
      </c>
      <c r="AS633" s="16">
        <f>VLOOKUP(E633,'[1]Feces weights'!$D$1:$H$459,5,FALSE)</f>
        <v>0.10400000000000009</v>
      </c>
      <c r="AT633" s="16" t="str">
        <f>VLOOKUP(E633,[2]Current!$A$1:$W$435,7,FALSE)</f>
        <v>TE</v>
      </c>
      <c r="AU633" s="16" t="s">
        <v>1288</v>
      </c>
      <c r="AW633" s="128">
        <f>IF(AX633&gt;0,1,0)</f>
        <v>1</v>
      </c>
      <c r="AX633" s="128">
        <f>SUM(BA633,BM633,CU633)</f>
        <v>2</v>
      </c>
      <c r="AY633" s="128">
        <f>SUM(BB633,BN633,CV633)</f>
        <v>2999.9999999999973</v>
      </c>
      <c r="AZ633" s="128">
        <f>IF(BA633&gt;0,1,0)</f>
        <v>1</v>
      </c>
      <c r="BA633" s="128">
        <f>SUM(BC633+BF633+BI633)</f>
        <v>2</v>
      </c>
      <c r="BB633" s="128">
        <f>SUM(BE633,BH633,BK633)</f>
        <v>2999.9999999999973</v>
      </c>
      <c r="BC633" s="130">
        <f>IF(BD633&gt;0,1,0)</f>
        <v>1</v>
      </c>
      <c r="BD633" s="128">
        <f>VLOOKUP($E633,[2]Current!$A:$AC,26,FALSE)</f>
        <v>278</v>
      </c>
      <c r="BE633" s="128">
        <f>BD633/$AS633</f>
        <v>2673.0769230769206</v>
      </c>
      <c r="BF633" s="130">
        <f>IF(BG633&gt;0,1,0)</f>
        <v>0</v>
      </c>
      <c r="BG633" s="175">
        <f>VLOOKUP($E633,[2]Current!$A:$AC,27,FALSE)</f>
        <v>0</v>
      </c>
      <c r="BH633" s="128">
        <f>BG633/$AS633</f>
        <v>0</v>
      </c>
      <c r="BI633" s="130">
        <f>IF(BJ633&gt;0,1,0)</f>
        <v>1</v>
      </c>
      <c r="BJ633" s="128">
        <f>VLOOKUP($E633,[2]Current!$A:$AC,28,FALSE)</f>
        <v>34</v>
      </c>
      <c r="BK633" s="128">
        <f>BJ633/$AS633</f>
        <v>326.92307692307662</v>
      </c>
      <c r="BL633" s="128">
        <f>IF(BM633&gt;0,1,0)</f>
        <v>0</v>
      </c>
      <c r="BM633" s="128">
        <f>SUM(BR633,BU633,BX633,CA633,CD633)</f>
        <v>0</v>
      </c>
      <c r="BN633" s="131">
        <f>SUM(BT633,BW633,BZ633,CC633,CF633)</f>
        <v>0</v>
      </c>
      <c r="BO633" s="128">
        <f>IF(BP633&gt;0,1,0)</f>
        <v>1</v>
      </c>
      <c r="BP633" s="128">
        <f>BM633+CJ633</f>
        <v>1</v>
      </c>
      <c r="BQ633" s="128">
        <f>BN633+CL633</f>
        <v>9.6153846153846061</v>
      </c>
      <c r="BR633" s="130">
        <f>IF(BS633&gt;0,1,0)</f>
        <v>0</v>
      </c>
      <c r="BS633" s="128">
        <f>VLOOKUP($E633,[2]Current!$A:$AC,12,FALSE)</f>
        <v>0</v>
      </c>
      <c r="BT633" s="137">
        <f>BS633/$AS633</f>
        <v>0</v>
      </c>
      <c r="BU633" s="130">
        <f>IF(BV633&gt;0,1,0)</f>
        <v>0</v>
      </c>
      <c r="BV633" s="128">
        <f>VLOOKUP($E633,[2]Current!$A:$AC,13,FALSE)</f>
        <v>0</v>
      </c>
      <c r="BW633" s="128">
        <f>BV633/$AS633</f>
        <v>0</v>
      </c>
      <c r="BX633" s="130">
        <f>IF(BY633&gt;0,1,0)</f>
        <v>0</v>
      </c>
      <c r="BY633" s="128">
        <f>VLOOKUP($E633,[2]Current!$A:$AC,14,FALSE)</f>
        <v>0</v>
      </c>
      <c r="BZ633" s="128">
        <f>BY633/$AS633</f>
        <v>0</v>
      </c>
      <c r="CA633" s="130">
        <f>IF(CB633&gt;0,1,0)</f>
        <v>0</v>
      </c>
      <c r="CB633" s="128">
        <f>VLOOKUP($E633,[2]Current!$A:$AC,15,FALSE)</f>
        <v>0</v>
      </c>
      <c r="CC633" s="128">
        <f>CB633/$AS633</f>
        <v>0</v>
      </c>
      <c r="CD633" s="174">
        <f>IF(CE633&gt;0,1,0)</f>
        <v>0</v>
      </c>
      <c r="CE633" s="128">
        <f>VLOOKUP($E633,[2]Current!$A:$AC,16,FALSE)</f>
        <v>0</v>
      </c>
      <c r="CF633" s="128">
        <f>CE633/$AS633</f>
        <v>0</v>
      </c>
      <c r="CG633" s="18"/>
      <c r="CH633" s="18"/>
      <c r="CI633" s="18"/>
      <c r="CJ633" s="130">
        <f>IF(CK633&gt;0,1,0)</f>
        <v>1</v>
      </c>
      <c r="CK633" s="128">
        <f>VLOOKUP($E633,[2]Current!$A:$AC,18,FALSE)</f>
        <v>1</v>
      </c>
      <c r="CL633" s="128">
        <f>CK633/$AS633</f>
        <v>9.6153846153846061</v>
      </c>
      <c r="CS633" s="130">
        <f>IF(CU633&gt;0,1,0)</f>
        <v>0</v>
      </c>
      <c r="CU633" s="128">
        <f>VLOOKUP($E633,[2]Current!$A:$AC,17,FALSE)</f>
        <v>0</v>
      </c>
      <c r="CV633" s="128">
        <f>CU633/$AS633</f>
        <v>0</v>
      </c>
      <c r="CW633" s="18"/>
      <c r="CX633" s="18"/>
      <c r="CY633" s="18"/>
      <c r="DC633" s="23"/>
      <c r="DD633" s="23"/>
      <c r="DE633" s="23"/>
      <c r="DF633" s="16" t="e">
        <f>VLOOKUP(K633,'[3]RNA Seq summary tables'!$V$3:$V$99,1,FALSE)</f>
        <v>#N/A</v>
      </c>
      <c r="DG633" s="126" t="s">
        <v>116</v>
      </c>
      <c r="DH633" s="23"/>
      <c r="DI633" s="23"/>
      <c r="DJ633" s="23"/>
      <c r="DK633" s="23"/>
      <c r="DL633" s="23"/>
      <c r="DM633" s="23"/>
      <c r="DN633" s="23"/>
      <c r="DO633" s="23"/>
      <c r="DP633" s="23"/>
      <c r="DQ633" s="23"/>
      <c r="DR633" s="23"/>
      <c r="DS633" s="23"/>
      <c r="DT633" s="25"/>
      <c r="DU633" s="25"/>
      <c r="DV633" s="25"/>
      <c r="DW633" s="25"/>
      <c r="DX633" s="25"/>
      <c r="DY633" s="25"/>
      <c r="DZ633" s="25"/>
      <c r="EA633" s="25"/>
      <c r="EB633" s="25"/>
      <c r="EC633" s="25"/>
      <c r="ED633" s="25"/>
      <c r="EE633" s="25"/>
      <c r="EF633" s="25"/>
      <c r="EG633" s="25"/>
      <c r="EH633" s="25"/>
      <c r="EI633" s="25"/>
      <c r="EJ633" s="25"/>
      <c r="EK633" s="25"/>
      <c r="EL633" s="25"/>
      <c r="EM633" s="25"/>
      <c r="EN633" s="25"/>
      <c r="EO633" s="25"/>
      <c r="EP633" s="25"/>
      <c r="EQ633" s="25"/>
      <c r="ER633" s="25"/>
      <c r="ES633" s="25"/>
      <c r="ET633" s="25"/>
      <c r="EU633" s="25"/>
      <c r="EV633" s="25"/>
      <c r="EW633" s="25"/>
      <c r="EX633" s="25"/>
      <c r="EY633" s="25"/>
      <c r="EZ633" s="25"/>
      <c r="FA633" s="25"/>
      <c r="FB633" s="25"/>
      <c r="FC633" s="25"/>
      <c r="FD633" s="25"/>
      <c r="FE633" s="25"/>
      <c r="FF633" s="25"/>
      <c r="FG633" s="25"/>
      <c r="FH633" s="25"/>
      <c r="FI633" s="25"/>
      <c r="FJ633" s="25"/>
      <c r="FK633" s="25"/>
      <c r="FL633" s="25"/>
      <c r="FM633" s="25"/>
      <c r="FN633" s="25"/>
      <c r="FO633" s="25"/>
      <c r="FP633" s="25"/>
      <c r="FQ633" s="25"/>
      <c r="FR633" s="25"/>
      <c r="FS633" s="25"/>
      <c r="FT633" s="25"/>
      <c r="FU633" s="25"/>
      <c r="FV633" s="25"/>
      <c r="FW633" s="25"/>
      <c r="FX633" s="25"/>
      <c r="FY633" s="25"/>
      <c r="FZ633" s="25"/>
      <c r="GA633" s="25"/>
      <c r="GB633" s="25"/>
      <c r="GC633" s="25"/>
      <c r="GD633" s="25"/>
      <c r="GE633" s="25"/>
      <c r="GF633" s="25"/>
      <c r="GG633" s="25"/>
      <c r="GH633" s="25"/>
      <c r="GI633" s="25"/>
      <c r="GJ633" s="25"/>
      <c r="GK633" s="25"/>
      <c r="GL633" s="25"/>
      <c r="GM633" s="25"/>
      <c r="GN633" s="25"/>
      <c r="GO633" s="25"/>
      <c r="GP633" s="25"/>
      <c r="GQ633" s="25"/>
      <c r="GR633" s="25"/>
      <c r="GS633" s="25"/>
      <c r="GT633" s="25"/>
      <c r="GU633" s="25"/>
      <c r="GV633" s="25"/>
      <c r="GW633" s="25"/>
      <c r="GX633" s="25"/>
      <c r="GY633" s="25"/>
      <c r="GZ633" s="25"/>
      <c r="HA633" s="25"/>
      <c r="HB633" s="25"/>
      <c r="HC633" s="25"/>
      <c r="HD633" s="25"/>
      <c r="HE633" s="25"/>
      <c r="HF633" s="25"/>
      <c r="HG633" s="25"/>
      <c r="HH633" s="25"/>
      <c r="HI633" s="25"/>
      <c r="HJ633" s="25"/>
      <c r="HK633" s="25"/>
      <c r="HL633" s="25"/>
      <c r="HM633" s="25"/>
      <c r="HN633" s="25"/>
      <c r="HO633" s="25"/>
      <c r="HP633" s="25"/>
      <c r="HQ633" s="25"/>
      <c r="HR633" s="25"/>
      <c r="HS633" s="25"/>
      <c r="HT633" s="25"/>
      <c r="HU633" s="25"/>
      <c r="HV633" s="25"/>
      <c r="HW633" s="25"/>
      <c r="HX633" s="25"/>
      <c r="HY633" s="25"/>
      <c r="HZ633" s="25"/>
      <c r="IA633" s="25"/>
      <c r="IB633" s="25"/>
      <c r="IC633" s="25"/>
      <c r="ID633" s="25"/>
      <c r="IE633" s="25"/>
      <c r="IF633" s="25"/>
      <c r="IG633" s="25"/>
      <c r="IH633" s="25"/>
      <c r="II633" s="25"/>
      <c r="IJ633" s="25"/>
      <c r="IK633" s="25"/>
      <c r="IL633" s="25"/>
      <c r="IM633" s="25"/>
      <c r="IN633" s="25"/>
      <c r="IO633" s="25"/>
      <c r="IP633" s="25"/>
      <c r="IQ633" s="25"/>
      <c r="IR633" s="25"/>
      <c r="IS633" s="25"/>
      <c r="IT633" s="25"/>
      <c r="IU633" s="25"/>
      <c r="IV633" s="25"/>
      <c r="IW633" s="25"/>
      <c r="IX633" s="25"/>
      <c r="IY633" s="25"/>
      <c r="IZ633" s="25"/>
      <c r="JA633" s="25"/>
      <c r="JB633" s="25"/>
      <c r="JC633" s="25"/>
      <c r="JD633" s="25"/>
      <c r="JE633" s="25"/>
      <c r="JF633" s="25"/>
      <c r="JG633" s="25"/>
      <c r="JH633" s="25"/>
      <c r="JI633" s="25"/>
      <c r="JJ633" s="25"/>
      <c r="JK633" s="25"/>
      <c r="JL633" s="25"/>
      <c r="JM633" s="25"/>
      <c r="JN633" s="25"/>
      <c r="JO633" s="23"/>
      <c r="JP633" s="23"/>
      <c r="JQ633" s="23"/>
      <c r="JR633" s="23"/>
      <c r="JS633" s="23"/>
      <c r="JT633" s="23"/>
      <c r="JU633" s="23"/>
      <c r="JV633" s="23"/>
      <c r="JW633" s="23"/>
      <c r="JX633" s="23"/>
      <c r="JY633" s="23"/>
      <c r="JZ633" s="23"/>
      <c r="KA633" s="23"/>
      <c r="KB633" s="23"/>
    </row>
    <row r="634" spans="2:288" ht="16" x14ac:dyDescent="0.2">
      <c r="B634" s="16">
        <v>2018</v>
      </c>
      <c r="C634" s="124">
        <v>43296</v>
      </c>
      <c r="D634" t="s">
        <v>992</v>
      </c>
      <c r="E634" s="142" t="str">
        <f>CONCATENATE(T634,"-",U634,"-",C634)</f>
        <v>PO2-F2-43296</v>
      </c>
      <c r="F634" s="16" t="s">
        <v>227</v>
      </c>
      <c r="G634" s="126" t="s">
        <v>107</v>
      </c>
      <c r="H634" s="126"/>
      <c r="J634" s="126">
        <v>1486</v>
      </c>
      <c r="K634" s="126">
        <v>2627</v>
      </c>
      <c r="O634" s="126" t="s">
        <v>119</v>
      </c>
      <c r="P634" s="18" t="s">
        <v>119</v>
      </c>
      <c r="Q634" s="18">
        <v>0</v>
      </c>
      <c r="R634" s="18">
        <f>IF(J634=J633,C634-C633,"")</f>
        <v>13</v>
      </c>
      <c r="T634" s="126" t="s">
        <v>127</v>
      </c>
      <c r="U634" s="126" t="s">
        <v>187</v>
      </c>
      <c r="V634" s="126" t="s">
        <v>114</v>
      </c>
      <c r="X634" s="126" t="s">
        <v>115</v>
      </c>
      <c r="Y634" s="126" t="s">
        <v>110</v>
      </c>
      <c r="Z634" s="126">
        <v>3</v>
      </c>
      <c r="AA634" s="126"/>
      <c r="AB634" s="126"/>
      <c r="AC634" s="126"/>
      <c r="AD634" s="126" t="s">
        <v>116</v>
      </c>
      <c r="AE634" s="126" t="s">
        <v>116</v>
      </c>
      <c r="AG634" s="40">
        <f>AH634-AI634</f>
        <v>86</v>
      </c>
      <c r="AH634" s="126">
        <v>163</v>
      </c>
      <c r="AI634" s="126">
        <v>77</v>
      </c>
      <c r="AK634" s="126">
        <v>21.5</v>
      </c>
      <c r="AL634" s="126">
        <v>0</v>
      </c>
      <c r="AM634" s="126">
        <v>0</v>
      </c>
      <c r="AN634" s="126">
        <v>1</v>
      </c>
      <c r="AO634" s="16">
        <f>IF(SUM(AL634:AN634)&gt;0,1,0)</f>
        <v>1</v>
      </c>
      <c r="AP634" s="18">
        <f>SUM(AL634:AN634)</f>
        <v>1</v>
      </c>
      <c r="AR634" s="16">
        <v>0.16500000000000004</v>
      </c>
      <c r="AS634" s="16">
        <f>VLOOKUP(E634,'[1]Feces weights'!$D$1:$H$459,5,FALSE)</f>
        <v>0.16500000000000004</v>
      </c>
      <c r="AT634" s="16" t="e">
        <f>VLOOKUP(E634,[2]Current!$A$1:$W$435,7,FALSE)</f>
        <v>#N/A</v>
      </c>
      <c r="AU634" s="16">
        <v>0</v>
      </c>
      <c r="BG634" s="23"/>
      <c r="BN634" s="126"/>
      <c r="BT634" s="78"/>
      <c r="BU634" s="18"/>
      <c r="BV634" s="18"/>
      <c r="BW634" s="25"/>
      <c r="BX634" s="18"/>
      <c r="BY634" s="18"/>
      <c r="BZ634" s="25"/>
      <c r="CA634" s="18"/>
      <c r="CB634" s="18"/>
      <c r="CC634" s="25"/>
      <c r="CD634" s="78"/>
      <c r="CE634" s="18"/>
      <c r="CF634" s="25"/>
      <c r="CG634" s="18"/>
      <c r="CH634" s="18"/>
      <c r="CI634" s="18"/>
      <c r="CJ634" s="18"/>
      <c r="CK634" s="18"/>
      <c r="CL634" s="25"/>
      <c r="DF634" s="16" t="e">
        <f>VLOOKUP(K634,'[3]RNA Seq summary tables'!$V$3:$V$99,1,FALSE)</f>
        <v>#N/A</v>
      </c>
      <c r="DG634" s="126" t="s">
        <v>116</v>
      </c>
    </row>
    <row r="635" spans="2:288" ht="16" x14ac:dyDescent="0.2">
      <c r="B635" s="16">
        <v>2018</v>
      </c>
      <c r="C635" s="147">
        <v>43315</v>
      </c>
      <c r="D635" t="s">
        <v>1242</v>
      </c>
      <c r="E635" s="20" t="str">
        <f>CONCATENATE(T635,"-",U635,"-",C635)</f>
        <v>PO2-E4-43315</v>
      </c>
      <c r="F635" s="16" t="s">
        <v>227</v>
      </c>
      <c r="G635" s="145" t="s">
        <v>107</v>
      </c>
      <c r="H635" s="145"/>
      <c r="I635" s="145"/>
      <c r="J635" s="145">
        <v>1486</v>
      </c>
      <c r="K635" s="145">
        <v>2741</v>
      </c>
      <c r="M635" s="16"/>
      <c r="N635" s="16"/>
      <c r="O635" s="145" t="s">
        <v>119</v>
      </c>
      <c r="P635" s="18" t="s">
        <v>119</v>
      </c>
      <c r="Q635" s="18">
        <v>0</v>
      </c>
      <c r="R635" s="18">
        <f>IF(J635=J634,C635-C634,"")</f>
        <v>19</v>
      </c>
      <c r="S635" s="145"/>
      <c r="T635" s="145" t="s">
        <v>127</v>
      </c>
      <c r="U635" s="145" t="s">
        <v>206</v>
      </c>
      <c r="V635" s="145" t="s">
        <v>114</v>
      </c>
      <c r="W635" s="145"/>
      <c r="X635" s="145" t="s">
        <v>115</v>
      </c>
      <c r="Y635" s="145" t="s">
        <v>110</v>
      </c>
      <c r="Z635" s="145">
        <v>3</v>
      </c>
      <c r="AA635" s="145"/>
      <c r="AB635" s="145"/>
      <c r="AC635" s="145"/>
      <c r="AD635" s="145"/>
      <c r="AE635" s="145" t="s">
        <v>116</v>
      </c>
      <c r="AF635" s="145" t="s">
        <v>116</v>
      </c>
      <c r="AG635" s="145">
        <f>AH635-AI635</f>
        <v>88</v>
      </c>
      <c r="AH635" s="145">
        <v>166</v>
      </c>
      <c r="AI635" s="145">
        <v>78</v>
      </c>
      <c r="AJ635" s="145"/>
      <c r="AK635" s="145">
        <v>24</v>
      </c>
      <c r="AL635" s="145">
        <v>0</v>
      </c>
      <c r="AM635" s="145">
        <v>0</v>
      </c>
      <c r="AN635" s="145">
        <v>0</v>
      </c>
      <c r="AO635" s="16">
        <f>IF(SUM(AL635:AN635)&gt;0, 1,0)</f>
        <v>0</v>
      </c>
      <c r="AP635" s="16">
        <f>SUM(AL635:AN635)</f>
        <v>0</v>
      </c>
      <c r="AS635" s="16">
        <f>VLOOKUP(E635,'[1]Feces weights'!$D$1:$H$459,5,FALSE)</f>
        <v>0.67599999999999993</v>
      </c>
      <c r="AT635" s="16" t="e">
        <f>VLOOKUP(E635,[2]Current!$A$1:$W$435,7,FALSE)</f>
        <v>#N/A</v>
      </c>
      <c r="BG635" s="23"/>
      <c r="BT635" s="77"/>
      <c r="CD635" s="77"/>
      <c r="DG635" s="145" t="s">
        <v>123</v>
      </c>
      <c r="DT635" s="145" t="s">
        <v>123</v>
      </c>
      <c r="DU635" s="145"/>
      <c r="DX635" s="145"/>
      <c r="DY635" s="145"/>
      <c r="DZ635" s="16"/>
      <c r="EA635" s="16"/>
      <c r="EB635" s="16"/>
      <c r="EC635" s="16"/>
      <c r="ED635" s="16"/>
      <c r="EE635" s="16"/>
      <c r="EF635" s="16"/>
      <c r="JO635" s="18"/>
      <c r="JP635" s="18"/>
      <c r="JQ635" s="18"/>
      <c r="JR635" s="18"/>
      <c r="JS635" s="18"/>
      <c r="JT635" s="18"/>
      <c r="JU635" s="18"/>
      <c r="JV635" s="18"/>
      <c r="JW635" s="18"/>
      <c r="JX635" s="18"/>
      <c r="JY635" s="18"/>
      <c r="JZ635" s="18"/>
      <c r="KA635" s="18"/>
    </row>
    <row r="636" spans="2:288" ht="16" x14ac:dyDescent="0.2">
      <c r="B636" s="16">
        <v>2018</v>
      </c>
      <c r="C636" s="124">
        <v>43267</v>
      </c>
      <c r="D636" t="s">
        <v>815</v>
      </c>
      <c r="E636" s="37" t="str">
        <f>CONCATENATE(T636,"-",U636,"-",C636)</f>
        <v>PO1-A7-43267</v>
      </c>
      <c r="F636" s="16" t="s">
        <v>227</v>
      </c>
      <c r="G636" s="126" t="s">
        <v>107</v>
      </c>
      <c r="H636" s="126"/>
      <c r="J636" s="126">
        <v>1488</v>
      </c>
      <c r="K636" s="126">
        <v>2453</v>
      </c>
      <c r="O636" s="126" t="s">
        <v>119</v>
      </c>
      <c r="P636" s="18" t="s">
        <v>119</v>
      </c>
      <c r="Q636" s="18">
        <v>0</v>
      </c>
      <c r="R636" s="18" t="str">
        <f>IF(J636=J635,C636-C635,"")</f>
        <v/>
      </c>
      <c r="T636" s="126" t="s">
        <v>112</v>
      </c>
      <c r="U636" s="126" t="s">
        <v>120</v>
      </c>
      <c r="V636" s="126" t="s">
        <v>114</v>
      </c>
      <c r="X636" s="126" t="s">
        <v>121</v>
      </c>
      <c r="Y636" s="126" t="s">
        <v>110</v>
      </c>
      <c r="Z636" s="126">
        <v>3</v>
      </c>
      <c r="AA636" s="126" t="s">
        <v>119</v>
      </c>
      <c r="AB636" s="126" t="s">
        <v>116</v>
      </c>
      <c r="AC636" s="126" t="s">
        <v>123</v>
      </c>
      <c r="AD636" s="126"/>
      <c r="AE636" s="126"/>
      <c r="AG636" s="16">
        <f>AH636-AI636</f>
        <v>91</v>
      </c>
      <c r="AH636" s="126">
        <v>173</v>
      </c>
      <c r="AI636" s="126">
        <v>82</v>
      </c>
      <c r="AK636" s="126">
        <v>22</v>
      </c>
      <c r="AL636" s="126">
        <v>0</v>
      </c>
      <c r="AM636" s="126">
        <v>0</v>
      </c>
      <c r="AN636" s="126">
        <v>0</v>
      </c>
      <c r="AO636" s="16">
        <f>IF(SUM(AL636:AN636)&gt;0,1,0)</f>
        <v>0</v>
      </c>
      <c r="AP636" s="18">
        <f>SUM(AL636:AN636)</f>
        <v>0</v>
      </c>
      <c r="AR636" s="16">
        <v>0.41000000000000014</v>
      </c>
      <c r="AS636" s="16">
        <f>VLOOKUP(E636,'[1]Feces weights'!$D$1:$H$459,5,FALSE)</f>
        <v>0.41000000000000014</v>
      </c>
      <c r="AT636" s="16" t="str">
        <f>VLOOKUP(E636,[2]Current!$A$1:$W$435,7,FALSE)</f>
        <v>TE</v>
      </c>
      <c r="AU636" s="16" t="s">
        <v>1288</v>
      </c>
      <c r="AW636" s="128">
        <f>IF(AX636&gt;0,1,0)</f>
        <v>1</v>
      </c>
      <c r="AX636" s="128">
        <f>SUM(BA636,BM636,CU636)</f>
        <v>1</v>
      </c>
      <c r="AY636" s="128">
        <f>SUM(BB636,BN636,CV636)</f>
        <v>14.63414634146341</v>
      </c>
      <c r="AZ636" s="128">
        <f>IF(BA636&gt;0,1,0)</f>
        <v>1</v>
      </c>
      <c r="BA636" s="128">
        <f>SUM(BC636+BF636+BI636)</f>
        <v>1</v>
      </c>
      <c r="BB636" s="128">
        <f>SUM(BE636,BH636,BK636)</f>
        <v>14.63414634146341</v>
      </c>
      <c r="BC636" s="130">
        <f>IF(BD636&gt;0,1,0)</f>
        <v>0</v>
      </c>
      <c r="BD636" s="128">
        <f>VLOOKUP($E636,[2]Current!$A:$AC,26,FALSE)</f>
        <v>0</v>
      </c>
      <c r="BE636" s="128">
        <f>BD636/$AS636</f>
        <v>0</v>
      </c>
      <c r="BF636" s="130">
        <f>IF(BG636&gt;0,1,0)</f>
        <v>0</v>
      </c>
      <c r="BG636" s="175">
        <f>VLOOKUP($E636,[2]Current!$A:$AC,27,FALSE)</f>
        <v>0</v>
      </c>
      <c r="BH636" s="128">
        <f>BG636/$AS636</f>
        <v>0</v>
      </c>
      <c r="BI636" s="130">
        <f>IF(BJ636&gt;0,1,0)</f>
        <v>1</v>
      </c>
      <c r="BJ636" s="128">
        <f>VLOOKUP($E636,[2]Current!$A:$AC,28,FALSE)</f>
        <v>6</v>
      </c>
      <c r="BK636" s="128">
        <f>BJ636/$AS636</f>
        <v>14.63414634146341</v>
      </c>
      <c r="BL636" s="128">
        <f>IF(BM636&gt;0,1,0)</f>
        <v>0</v>
      </c>
      <c r="BM636" s="128">
        <f>SUM(BR636,BU636,BX636,CA636,CD636)</f>
        <v>0</v>
      </c>
      <c r="BN636" s="131">
        <f>SUM(BT636,BW636,BZ636,CC636,CF636)</f>
        <v>0</v>
      </c>
      <c r="BO636" s="128">
        <f>IF(BP636&gt;0,1,0)</f>
        <v>0</v>
      </c>
      <c r="BP636" s="128">
        <f>BM636+CJ636</f>
        <v>0</v>
      </c>
      <c r="BQ636" s="128">
        <f>BN636+CL636</f>
        <v>0</v>
      </c>
      <c r="BR636" s="130">
        <f>IF(BS636&gt;0,1,0)</f>
        <v>0</v>
      </c>
      <c r="BS636" s="128">
        <f>VLOOKUP($E636,[2]Current!$A:$AC,12,FALSE)</f>
        <v>0</v>
      </c>
      <c r="BT636" s="137">
        <f>BS636/$AS636</f>
        <v>0</v>
      </c>
      <c r="BU636" s="130">
        <f>IF(BV636&gt;0,1,0)</f>
        <v>0</v>
      </c>
      <c r="BV636" s="128">
        <f>VLOOKUP($E636,[2]Current!$A:$AC,13,FALSE)</f>
        <v>0</v>
      </c>
      <c r="BW636" s="128">
        <f>BV636/$AS636</f>
        <v>0</v>
      </c>
      <c r="BX636" s="130">
        <f>IF(BY636&gt;0,1,0)</f>
        <v>0</v>
      </c>
      <c r="BY636" s="128">
        <f>VLOOKUP($E636,[2]Current!$A:$AC,14,FALSE)</f>
        <v>0</v>
      </c>
      <c r="BZ636" s="128">
        <f>BY636/$AS636</f>
        <v>0</v>
      </c>
      <c r="CA636" s="130">
        <f>IF(CB636&gt;0,1,0)</f>
        <v>0</v>
      </c>
      <c r="CB636" s="128">
        <f>VLOOKUP($E636,[2]Current!$A:$AC,15,FALSE)</f>
        <v>0</v>
      </c>
      <c r="CC636" s="128">
        <f>CB636/$AS636</f>
        <v>0</v>
      </c>
      <c r="CD636" s="174">
        <f>IF(CE636&gt;0,1,0)</f>
        <v>0</v>
      </c>
      <c r="CE636" s="128">
        <f>VLOOKUP($E636,[2]Current!$A:$AC,16,FALSE)</f>
        <v>0</v>
      </c>
      <c r="CF636" s="128">
        <f>CE636/$AS636</f>
        <v>0</v>
      </c>
      <c r="CG636" s="18"/>
      <c r="CH636" s="18"/>
      <c r="CI636" s="18"/>
      <c r="CJ636" s="130">
        <f>IF(CK636&gt;0,1,0)</f>
        <v>0</v>
      </c>
      <c r="CK636" s="128">
        <f>VLOOKUP($E636,[2]Current!$A:$AC,18,FALSE)</f>
        <v>0</v>
      </c>
      <c r="CL636" s="128">
        <f>CK636/$AS636</f>
        <v>0</v>
      </c>
      <c r="CS636" s="130">
        <f>IF(CU636&gt;0,1,0)</f>
        <v>0</v>
      </c>
      <c r="CT636" s="18"/>
      <c r="CU636" s="128">
        <f>VLOOKUP($E636,[2]Current!$A:$AC,17,FALSE)</f>
        <v>0</v>
      </c>
      <c r="CV636" s="128">
        <f>CU636/$AS636</f>
        <v>0</v>
      </c>
      <c r="CW636" s="18"/>
      <c r="CX636" s="18"/>
      <c r="CY636" s="18"/>
      <c r="DF636" s="16" t="e">
        <f>VLOOKUP(K636,'[3]RNA Seq summary tables'!$V$3:$V$99,1,FALSE)</f>
        <v>#N/A</v>
      </c>
      <c r="DG636" s="126" t="s">
        <v>116</v>
      </c>
    </row>
    <row r="637" spans="2:288" ht="16" x14ac:dyDescent="0.2">
      <c r="B637" s="16">
        <v>2018</v>
      </c>
      <c r="C637" s="124">
        <v>43284</v>
      </c>
      <c r="D637" t="s">
        <v>904</v>
      </c>
      <c r="E637" s="37" t="str">
        <f>CONCATENATE(T637,"-",U637,"-",C637)</f>
        <v>PO1-B8-43284</v>
      </c>
      <c r="F637" s="16" t="s">
        <v>227</v>
      </c>
      <c r="G637" s="126" t="s">
        <v>107</v>
      </c>
      <c r="H637" s="126"/>
      <c r="J637" s="126">
        <v>1488</v>
      </c>
      <c r="K637" s="126">
        <v>2545</v>
      </c>
      <c r="O637" s="126" t="s">
        <v>119</v>
      </c>
      <c r="P637" s="18" t="s">
        <v>119</v>
      </c>
      <c r="Q637" s="18">
        <v>0</v>
      </c>
      <c r="R637" s="18">
        <f>IF(J637=J636,C637-C636,"")</f>
        <v>17</v>
      </c>
      <c r="T637" s="126" t="s">
        <v>112</v>
      </c>
      <c r="U637" s="126" t="s">
        <v>209</v>
      </c>
      <c r="V637" s="126" t="s">
        <v>114</v>
      </c>
      <c r="X637" s="126" t="s">
        <v>121</v>
      </c>
      <c r="Y637" s="126" t="s">
        <v>110</v>
      </c>
      <c r="Z637" s="126">
        <v>3</v>
      </c>
      <c r="AA637" s="126" t="s">
        <v>119</v>
      </c>
      <c r="AB637" s="126" t="s">
        <v>116</v>
      </c>
      <c r="AC637" s="126" t="s">
        <v>116</v>
      </c>
      <c r="AD637" s="126"/>
      <c r="AE637" s="126"/>
      <c r="AG637" s="16">
        <f>AH637-AI637</f>
        <v>88</v>
      </c>
      <c r="AH637" s="126">
        <v>170</v>
      </c>
      <c r="AI637" s="126">
        <v>82</v>
      </c>
      <c r="AK637" s="126">
        <v>24.5</v>
      </c>
      <c r="AL637" s="126">
        <v>0</v>
      </c>
      <c r="AM637" s="126">
        <v>0</v>
      </c>
      <c r="AN637" s="126">
        <v>0</v>
      </c>
      <c r="AO637" s="16">
        <f>IF(SUM(AL637:AN637)&gt;0,1,0)</f>
        <v>0</v>
      </c>
      <c r="AP637" s="18">
        <f>SUM(AL637:AN637)</f>
        <v>0</v>
      </c>
      <c r="AR637" s="16">
        <v>0.22500000000000009</v>
      </c>
      <c r="AS637" s="16">
        <f>VLOOKUP(E637,'[1]Feces weights'!$D$1:$H$459,5,FALSE)</f>
        <v>0.22500000000000009</v>
      </c>
      <c r="AT637" s="16" t="str">
        <f>VLOOKUP(E637,[2]Current!$A$1:$W$435,7,FALSE)</f>
        <v>TE</v>
      </c>
      <c r="AU637" s="16" t="s">
        <v>1288</v>
      </c>
      <c r="AV637" s="23">
        <v>1</v>
      </c>
      <c r="AW637" s="128">
        <f>IF(AX637&gt;0,1,0)</f>
        <v>0</v>
      </c>
      <c r="AX637" s="128">
        <f>SUM(BA637,BM637,CU637)</f>
        <v>0</v>
      </c>
      <c r="AY637" s="128">
        <f>SUM(BB637,BN637,CV637)</f>
        <v>0</v>
      </c>
      <c r="AZ637" s="128">
        <f>IF(BA637&gt;0,1,0)</f>
        <v>0</v>
      </c>
      <c r="BA637" s="128">
        <f>SUM(BC637+BF637+BI637)</f>
        <v>0</v>
      </c>
      <c r="BB637" s="128">
        <f>SUM(BE637,BH637,BK637)</f>
        <v>0</v>
      </c>
      <c r="BC637" s="130">
        <f>IF(BD637&gt;0,1,0)</f>
        <v>0</v>
      </c>
      <c r="BD637" s="128">
        <f>VLOOKUP($E637,[2]Current!$A:$AC,26,FALSE)</f>
        <v>0</v>
      </c>
      <c r="BE637" s="128">
        <f>BD637/$AS637</f>
        <v>0</v>
      </c>
      <c r="BF637" s="130">
        <f>IF(BG637&gt;0,1,0)</f>
        <v>0</v>
      </c>
      <c r="BG637" s="175">
        <f>VLOOKUP($E637,[2]Current!$A:$AC,27,FALSE)</f>
        <v>0</v>
      </c>
      <c r="BH637" s="128">
        <f>BG637/$AS637</f>
        <v>0</v>
      </c>
      <c r="BI637" s="130">
        <f>IF(BJ637&gt;0,1,0)</f>
        <v>0</v>
      </c>
      <c r="BJ637" s="128">
        <f>VLOOKUP($E637,[2]Current!$A:$AC,28,FALSE)</f>
        <v>0</v>
      </c>
      <c r="BK637" s="128">
        <f>BJ637/$AS637</f>
        <v>0</v>
      </c>
      <c r="BL637" s="128">
        <f>IF(BM637&gt;0,1,0)</f>
        <v>0</v>
      </c>
      <c r="BM637" s="128">
        <f>SUM(BR637,BU637,BX637,CA637,CD637)</f>
        <v>0</v>
      </c>
      <c r="BN637" s="131">
        <f>SUM(BT637,BW637,BZ637,CC637,CF637)</f>
        <v>0</v>
      </c>
      <c r="BO637" s="128">
        <f>IF(BP637&gt;0,1,0)</f>
        <v>1</v>
      </c>
      <c r="BP637" s="128">
        <f>BM637+CJ637</f>
        <v>1</v>
      </c>
      <c r="BQ637" s="128">
        <f>BN637+CL637</f>
        <v>4.4444444444444429</v>
      </c>
      <c r="BR637" s="130">
        <f>IF(BS637&gt;0,1,0)</f>
        <v>0</v>
      </c>
      <c r="BS637" s="128">
        <f>VLOOKUP($E637,[2]Current!$A:$AC,12,FALSE)</f>
        <v>0</v>
      </c>
      <c r="BT637" s="137">
        <f>BS637/$AS637</f>
        <v>0</v>
      </c>
      <c r="BU637" s="130">
        <f>IF(BV637&gt;0,1,0)</f>
        <v>0</v>
      </c>
      <c r="BV637" s="128">
        <f>VLOOKUP($E637,[2]Current!$A:$AC,13,FALSE)</f>
        <v>0</v>
      </c>
      <c r="BW637" s="128">
        <f>BV637/$AS637</f>
        <v>0</v>
      </c>
      <c r="BX637" s="130">
        <f>IF(BY637&gt;0,1,0)</f>
        <v>0</v>
      </c>
      <c r="BY637" s="128">
        <f>VLOOKUP($E637,[2]Current!$A:$AC,14,FALSE)</f>
        <v>0</v>
      </c>
      <c r="BZ637" s="128">
        <f>BY637/$AS637</f>
        <v>0</v>
      </c>
      <c r="CA637" s="130">
        <f>IF(CB637&gt;0,1,0)</f>
        <v>0</v>
      </c>
      <c r="CB637" s="128">
        <f>VLOOKUP($E637,[2]Current!$A:$AC,15,FALSE)</f>
        <v>0</v>
      </c>
      <c r="CC637" s="128">
        <f>CB637/$AS637</f>
        <v>0</v>
      </c>
      <c r="CD637" s="174">
        <f>IF(CE637&gt;0,1,0)</f>
        <v>0</v>
      </c>
      <c r="CE637" s="128">
        <f>VLOOKUP($E637,[2]Current!$A:$AC,16,FALSE)</f>
        <v>0</v>
      </c>
      <c r="CF637" s="128">
        <f>CE637/$AS637</f>
        <v>0</v>
      </c>
      <c r="CG637" s="18"/>
      <c r="CH637" s="18"/>
      <c r="CI637" s="18"/>
      <c r="CJ637" s="130">
        <f>IF(CK637&gt;0,1,0)</f>
        <v>1</v>
      </c>
      <c r="CK637" s="128">
        <f>VLOOKUP($E637,[2]Current!$A:$AC,18,FALSE)</f>
        <v>1</v>
      </c>
      <c r="CL637" s="128">
        <f>CK637/$AS637</f>
        <v>4.4444444444444429</v>
      </c>
      <c r="CS637" s="130">
        <f>IF(CU637&gt;0,1,0)</f>
        <v>0</v>
      </c>
      <c r="CU637" s="128">
        <f>VLOOKUP($E637,[2]Current!$A:$AC,17,FALSE)</f>
        <v>0</v>
      </c>
      <c r="CV637" s="128">
        <f>CU637/$AS637</f>
        <v>0</v>
      </c>
      <c r="CW637" s="18"/>
      <c r="CX637" s="18"/>
      <c r="CY637" s="18"/>
      <c r="DF637" s="16" t="e">
        <f>VLOOKUP(K637,'[3]RNA Seq summary tables'!$V$3:$V$99,1,FALSE)</f>
        <v>#N/A</v>
      </c>
      <c r="DG637" s="126" t="s">
        <v>116</v>
      </c>
    </row>
    <row r="638" spans="2:288" ht="16" x14ac:dyDescent="0.2">
      <c r="B638" s="16">
        <v>2018</v>
      </c>
      <c r="C638" s="147">
        <v>43316</v>
      </c>
      <c r="D638" t="s">
        <v>1260</v>
      </c>
      <c r="E638" s="20" t="str">
        <f>CONCATENATE(T638,"-",U638,"-",C638)</f>
        <v>PO1-A8-43316</v>
      </c>
      <c r="F638" s="16" t="s">
        <v>227</v>
      </c>
      <c r="G638" s="145" t="s">
        <v>107</v>
      </c>
      <c r="H638" s="145" t="s">
        <v>1166</v>
      </c>
      <c r="I638" s="145"/>
      <c r="J638" s="145">
        <v>1488</v>
      </c>
      <c r="K638" s="145">
        <v>2758</v>
      </c>
      <c r="M638" s="16"/>
      <c r="N638" s="16"/>
      <c r="O638" s="145" t="s">
        <v>119</v>
      </c>
      <c r="P638" s="18" t="s">
        <v>119</v>
      </c>
      <c r="Q638" s="18">
        <v>0</v>
      </c>
      <c r="R638" s="18">
        <f>IF(J638=J637,C638-C637,"")</f>
        <v>32</v>
      </c>
      <c r="S638" s="145"/>
      <c r="T638" s="145" t="s">
        <v>112</v>
      </c>
      <c r="U638" s="145" t="s">
        <v>194</v>
      </c>
      <c r="V638" s="145" t="s">
        <v>114</v>
      </c>
      <c r="W638" s="145"/>
      <c r="X638" s="145" t="s">
        <v>121</v>
      </c>
      <c r="Y638" s="145" t="s">
        <v>110</v>
      </c>
      <c r="Z638" s="145">
        <v>3</v>
      </c>
      <c r="AA638" s="145" t="s">
        <v>119</v>
      </c>
      <c r="AB638" s="145" t="s">
        <v>123</v>
      </c>
      <c r="AC638" s="145" t="s">
        <v>116</v>
      </c>
      <c r="AD638" s="145"/>
      <c r="AE638" s="145"/>
      <c r="AF638" s="145"/>
      <c r="AG638" s="145">
        <f>AH638-AI638</f>
        <v>84</v>
      </c>
      <c r="AH638" s="145">
        <v>168</v>
      </c>
      <c r="AI638" s="145">
        <v>84</v>
      </c>
      <c r="AJ638" s="145"/>
      <c r="AK638" s="145">
        <v>25.5</v>
      </c>
      <c r="AL638" s="145">
        <v>0</v>
      </c>
      <c r="AM638" s="145">
        <v>0</v>
      </c>
      <c r="AN638" s="145">
        <v>1</v>
      </c>
      <c r="AO638" s="16">
        <f>IF(SUM(AL638:AN638)&gt;0, 1,0)</f>
        <v>1</v>
      </c>
      <c r="AP638" s="16">
        <f>SUM(AL638:AN638)</f>
        <v>1</v>
      </c>
      <c r="AS638" s="16">
        <f>VLOOKUP(E638,'[1]Feces weights'!$D$1:$H$459,5,FALSE)</f>
        <v>0.4800000000000002</v>
      </c>
      <c r="AT638" s="16" t="e">
        <f>VLOOKUP(E638,[2]Current!$A$1:$W$435,7,FALSE)</f>
        <v>#N/A</v>
      </c>
      <c r="BG638" s="23"/>
      <c r="BT638" s="77"/>
      <c r="CD638" s="77"/>
      <c r="DG638" s="145" t="s">
        <v>123</v>
      </c>
      <c r="DT638" s="145" t="s">
        <v>123</v>
      </c>
      <c r="DU638" s="145"/>
      <c r="DX638" s="145"/>
      <c r="DY638" s="145"/>
      <c r="DZ638" s="16"/>
      <c r="EA638" s="16"/>
      <c r="EB638" s="16"/>
      <c r="EC638" s="16"/>
      <c r="ED638" s="16"/>
      <c r="EE638" s="16"/>
      <c r="EF638" s="16"/>
      <c r="JO638" s="18"/>
      <c r="JP638" s="18"/>
      <c r="JQ638" s="18"/>
      <c r="JR638" s="18"/>
      <c r="JS638" s="18"/>
      <c r="JT638" s="18"/>
      <c r="JU638" s="18"/>
      <c r="JV638" s="18"/>
      <c r="JW638" s="18"/>
      <c r="JX638" s="18"/>
      <c r="JY638" s="18"/>
      <c r="JZ638" s="18"/>
      <c r="KA638" s="18"/>
    </row>
    <row r="639" spans="2:288" ht="16" x14ac:dyDescent="0.2">
      <c r="B639" s="16">
        <v>2018</v>
      </c>
      <c r="C639" s="124">
        <v>43268</v>
      </c>
      <c r="D639" t="s">
        <v>816</v>
      </c>
      <c r="E639" s="37" t="str">
        <f>CONCATENATE(T639,"-",U639,"-",C639)</f>
        <v>PO2-A4-43268</v>
      </c>
      <c r="F639" s="16" t="s">
        <v>227</v>
      </c>
      <c r="G639" s="126" t="s">
        <v>107</v>
      </c>
      <c r="H639" s="126"/>
      <c r="J639" s="126">
        <v>1490</v>
      </c>
      <c r="K639" s="126">
        <v>2455</v>
      </c>
      <c r="O639" s="126" t="s">
        <v>119</v>
      </c>
      <c r="P639" s="18" t="s">
        <v>119</v>
      </c>
      <c r="Q639" s="18">
        <v>0</v>
      </c>
      <c r="R639" s="18" t="str">
        <f>IF(J639=J638,C639-C638,"")</f>
        <v/>
      </c>
      <c r="T639" s="126" t="s">
        <v>127</v>
      </c>
      <c r="U639" s="126" t="s">
        <v>134</v>
      </c>
      <c r="V639" s="126" t="s">
        <v>114</v>
      </c>
      <c r="X639" s="126" t="s">
        <v>115</v>
      </c>
      <c r="Y639" s="126" t="s">
        <v>145</v>
      </c>
      <c r="Z639" s="126">
        <v>1</v>
      </c>
      <c r="AA639" s="126"/>
      <c r="AB639" s="126"/>
      <c r="AC639" s="126"/>
      <c r="AD639" s="126"/>
      <c r="AE639" s="126" t="s">
        <v>123</v>
      </c>
      <c r="AG639" s="16">
        <f>AH639-AI639</f>
        <v>69</v>
      </c>
      <c r="AH639" s="126">
        <v>124</v>
      </c>
      <c r="AI639" s="126">
        <v>55</v>
      </c>
      <c r="AK639" s="126">
        <v>9.5</v>
      </c>
      <c r="AL639" s="126">
        <v>0</v>
      </c>
      <c r="AM639" s="126">
        <v>0</v>
      </c>
      <c r="AN639" s="126">
        <v>0</v>
      </c>
      <c r="AO639" s="16">
        <f>IF(SUM(AL639:AN639)&gt;0,1,0)</f>
        <v>0</v>
      </c>
      <c r="AP639" s="18">
        <f>SUM(AL639:AN639)</f>
        <v>0</v>
      </c>
      <c r="AR639" s="16">
        <v>2E-3</v>
      </c>
      <c r="AS639" s="16">
        <v>2E-3</v>
      </c>
      <c r="AT639" s="16" t="str">
        <f>VLOOKUP(E639,[2]Current!$A$1:$W$435,7,FALSE)</f>
        <v>JB</v>
      </c>
      <c r="AU639" s="16" t="s">
        <v>1288</v>
      </c>
      <c r="AV639" s="16">
        <v>1</v>
      </c>
      <c r="AW639" s="128">
        <f>IF(AX639&gt;0,1,0)</f>
        <v>0</v>
      </c>
      <c r="AX639" s="128">
        <f>SUM(BA639,BM639,CU639)</f>
        <v>0</v>
      </c>
      <c r="AY639" s="128">
        <f>SUM(BB639,BN639,CV639)</f>
        <v>0</v>
      </c>
      <c r="AZ639" s="128">
        <f>IF(BA639&gt;0,1,0)</f>
        <v>0</v>
      </c>
      <c r="BA639" s="128">
        <f>SUM(BC639+BF639+BI639)</f>
        <v>0</v>
      </c>
      <c r="BB639" s="128">
        <f>SUM(BE639,BH639,BK639)</f>
        <v>0</v>
      </c>
      <c r="BC639" s="130">
        <f>IF(BD639&gt;0,1,0)</f>
        <v>0</v>
      </c>
      <c r="BD639" s="128">
        <f>VLOOKUP($E639,[2]Current!$A:$AC,26,FALSE)</f>
        <v>0</v>
      </c>
      <c r="BE639" s="128">
        <f>BD639/$AS639</f>
        <v>0</v>
      </c>
      <c r="BF639" s="130">
        <f>IF(BG639&gt;0,1,0)</f>
        <v>0</v>
      </c>
      <c r="BG639" s="175">
        <f>VLOOKUP($E639,[2]Current!$A:$AC,27,FALSE)</f>
        <v>0</v>
      </c>
      <c r="BH639" s="128">
        <f>BG639/$AS639</f>
        <v>0</v>
      </c>
      <c r="BI639" s="130">
        <f>IF(BJ639&gt;0,1,0)</f>
        <v>0</v>
      </c>
      <c r="BJ639" s="128">
        <f>VLOOKUP($E639,[2]Current!$A:$AC,28,FALSE)</f>
        <v>0</v>
      </c>
      <c r="BK639" s="128">
        <f>BJ639/$AS639</f>
        <v>0</v>
      </c>
      <c r="BL639" s="128">
        <f>IF(BM639&gt;0,1,0)</f>
        <v>0</v>
      </c>
      <c r="BM639" s="128">
        <f>SUM(BR639,BU639,BX639,CA639,CD639)</f>
        <v>0</v>
      </c>
      <c r="BN639" s="131">
        <f>SUM(BT639,BW639,BZ639,CC639,CF639)</f>
        <v>0</v>
      </c>
      <c r="BO639" s="128">
        <f>IF(BP639&gt;0,1,0)</f>
        <v>0</v>
      </c>
      <c r="BP639" s="128">
        <f>BM639+CJ639</f>
        <v>0</v>
      </c>
      <c r="BQ639" s="128">
        <f>BN639+CL639</f>
        <v>0</v>
      </c>
      <c r="BR639" s="130">
        <f>IF(BS639&gt;0,1,0)</f>
        <v>0</v>
      </c>
      <c r="BS639" s="128">
        <f>VLOOKUP($E639,[2]Current!$A:$AC,12,FALSE)</f>
        <v>0</v>
      </c>
      <c r="BT639" s="137">
        <f>BS639/$AS639</f>
        <v>0</v>
      </c>
      <c r="BU639" s="130">
        <f>IF(BV639&gt;0,1,0)</f>
        <v>0</v>
      </c>
      <c r="BV639" s="128">
        <f>VLOOKUP($E639,[2]Current!$A:$AC,13,FALSE)</f>
        <v>0</v>
      </c>
      <c r="BW639" s="128">
        <f>BV639/$AS639</f>
        <v>0</v>
      </c>
      <c r="BX639" s="130">
        <f>IF(BY639&gt;0,1,0)</f>
        <v>0</v>
      </c>
      <c r="BY639" s="128">
        <f>VLOOKUP($E639,[2]Current!$A:$AC,14,FALSE)</f>
        <v>0</v>
      </c>
      <c r="BZ639" s="128">
        <f>BY639/$AS639</f>
        <v>0</v>
      </c>
      <c r="CA639" s="130">
        <f>IF(CB639&gt;0,1,0)</f>
        <v>0</v>
      </c>
      <c r="CB639" s="128">
        <f>VLOOKUP($E639,[2]Current!$A:$AC,15,FALSE)</f>
        <v>0</v>
      </c>
      <c r="CC639" s="128">
        <f>CB639/$AS639</f>
        <v>0</v>
      </c>
      <c r="CD639" s="174">
        <f>IF(CE639&gt;0,1,0)</f>
        <v>0</v>
      </c>
      <c r="CE639" s="128">
        <f>VLOOKUP($E639,[2]Current!$A:$AC,16,FALSE)</f>
        <v>0</v>
      </c>
      <c r="CF639" s="128">
        <f>CE639/$AS639</f>
        <v>0</v>
      </c>
      <c r="CG639" s="18"/>
      <c r="CH639" s="18"/>
      <c r="CI639" s="18"/>
      <c r="CJ639" s="130">
        <f>IF(CK639&gt;0,1,0)</f>
        <v>0</v>
      </c>
      <c r="CK639" s="128">
        <f>VLOOKUP($E639,[2]Current!$A:$AC,18,FALSE)</f>
        <v>0</v>
      </c>
      <c r="CL639" s="128">
        <f>CK639/$AS639</f>
        <v>0</v>
      </c>
      <c r="CS639" s="130">
        <f>IF(CU639&gt;0,1,0)</f>
        <v>0</v>
      </c>
      <c r="CT639" s="18"/>
      <c r="CU639" s="128">
        <f>VLOOKUP($E639,[2]Current!$A:$AC,17,FALSE)</f>
        <v>0</v>
      </c>
      <c r="CV639" s="128">
        <f>CU639/$AS639</f>
        <v>0</v>
      </c>
      <c r="CW639" s="18"/>
      <c r="CX639" s="18"/>
      <c r="CY639" s="18"/>
      <c r="DF639" s="16" t="e">
        <f>VLOOKUP(K639,'[3]RNA Seq summary tables'!$V$3:$V$99,1,FALSE)</f>
        <v>#N/A</v>
      </c>
      <c r="DG639" s="126"/>
    </row>
    <row r="640" spans="2:288" ht="16" x14ac:dyDescent="0.2">
      <c r="B640" s="16">
        <v>2018</v>
      </c>
      <c r="C640" s="124">
        <v>43269</v>
      </c>
      <c r="D640" t="s">
        <v>822</v>
      </c>
      <c r="E640" s="37" t="str">
        <f>CONCATENATE(T640,"-",U640,"-",C640)</f>
        <v>SP2-C8-43269</v>
      </c>
      <c r="F640" s="16" t="s">
        <v>227</v>
      </c>
      <c r="G640" s="126" t="s">
        <v>107</v>
      </c>
      <c r="H640" s="126"/>
      <c r="J640" s="126">
        <v>1492</v>
      </c>
      <c r="K640" s="126">
        <v>2460</v>
      </c>
      <c r="O640" s="126" t="s">
        <v>119</v>
      </c>
      <c r="P640" s="18" t="s">
        <v>119</v>
      </c>
      <c r="Q640" s="18">
        <v>0</v>
      </c>
      <c r="R640" s="18" t="str">
        <f>IF(J640=J639,C640-C639,"")</f>
        <v/>
      </c>
      <c r="T640" s="126" t="s">
        <v>137</v>
      </c>
      <c r="U640" s="126" t="s">
        <v>188</v>
      </c>
      <c r="V640" s="126" t="s">
        <v>114</v>
      </c>
      <c r="X640" s="126" t="s">
        <v>115</v>
      </c>
      <c r="Y640" s="126" t="s">
        <v>110</v>
      </c>
      <c r="Z640" s="126">
        <v>3</v>
      </c>
      <c r="AA640" s="126"/>
      <c r="AB640" s="126"/>
      <c r="AC640" s="126"/>
      <c r="AD640" s="126"/>
      <c r="AE640" s="126" t="s">
        <v>123</v>
      </c>
      <c r="AG640" s="16">
        <f>AH640-AI640</f>
        <v>79</v>
      </c>
      <c r="AH640" s="126">
        <v>151</v>
      </c>
      <c r="AI640" s="126">
        <v>72</v>
      </c>
      <c r="AK640" s="126">
        <v>17.5</v>
      </c>
      <c r="AL640" s="126">
        <v>0</v>
      </c>
      <c r="AM640" s="126">
        <v>0</v>
      </c>
      <c r="AN640" s="126">
        <v>0</v>
      </c>
      <c r="AO640" s="16">
        <f>IF(SUM(AL640:AN640)&gt;0,1,0)</f>
        <v>0</v>
      </c>
      <c r="AP640" s="18">
        <f>SUM(AL640:AN640)</f>
        <v>0</v>
      </c>
      <c r="AR640" s="16">
        <v>1.2000000000000011E-2</v>
      </c>
      <c r="AS640" s="16">
        <f>VLOOKUP(E640,'[1]Feces weights'!$D$1:$H$459,5,FALSE)</f>
        <v>1.2000000000000011E-2</v>
      </c>
      <c r="AT640" s="16" t="str">
        <f>VLOOKUP(E640,[2]Current!$A$1:$W$435,7,FALSE)</f>
        <v>IS</v>
      </c>
      <c r="AU640" s="16" t="s">
        <v>1288</v>
      </c>
      <c r="AW640" s="128">
        <f>IF(AX640&gt;0,1,0)</f>
        <v>1</v>
      </c>
      <c r="AX640" s="128">
        <f>SUM(BA640,BM640,CU640)</f>
        <v>2</v>
      </c>
      <c r="AY640" s="128">
        <f>SUM(BB640,BN640,CV640)</f>
        <v>666.66666666666606</v>
      </c>
      <c r="AZ640" s="128">
        <f>IF(BA640&gt;0,1,0)</f>
        <v>1</v>
      </c>
      <c r="BA640" s="128">
        <f>SUM(BC640+BF640+BI640)</f>
        <v>2</v>
      </c>
      <c r="BB640" s="128">
        <f>SUM(BE640,BH640,BK640)</f>
        <v>666.66666666666606</v>
      </c>
      <c r="BC640" s="130">
        <f>IF(BD640&gt;0,1,0)</f>
        <v>1</v>
      </c>
      <c r="BD640" s="128">
        <f>VLOOKUP($E640,[2]Current!$A:$AC,26,FALSE)</f>
        <v>2</v>
      </c>
      <c r="BE640" s="128">
        <f>BD640/$AS640</f>
        <v>166.66666666666652</v>
      </c>
      <c r="BF640" s="130">
        <f>IF(BG640&gt;0,1,0)</f>
        <v>1</v>
      </c>
      <c r="BG640" s="175">
        <f>VLOOKUP($E640,[2]Current!$A:$AC,27,FALSE)</f>
        <v>6</v>
      </c>
      <c r="BH640" s="128">
        <f>BG640/$AS640</f>
        <v>499.99999999999955</v>
      </c>
      <c r="BI640" s="130">
        <f>IF(BJ640&gt;0,1,0)</f>
        <v>0</v>
      </c>
      <c r="BJ640" s="128">
        <f>VLOOKUP($E640,[2]Current!$A:$AC,28,FALSE)</f>
        <v>0</v>
      </c>
      <c r="BK640" s="128">
        <f>BJ640/$AS640</f>
        <v>0</v>
      </c>
      <c r="BL640" s="128">
        <f>IF(BM640&gt;0,1,0)</f>
        <v>0</v>
      </c>
      <c r="BM640" s="128">
        <f>SUM(BR640,BU640,BX640,CA640,CD640)</f>
        <v>0</v>
      </c>
      <c r="BN640" s="131">
        <f>SUM(BT640,BW640,BZ640,CC640,CF640)</f>
        <v>0</v>
      </c>
      <c r="BO640" s="128">
        <f>IF(BP640&gt;0,1,0)</f>
        <v>0</v>
      </c>
      <c r="BP640" s="128">
        <f>BM640+CJ640</f>
        <v>0</v>
      </c>
      <c r="BQ640" s="128">
        <f>BN640+CL640</f>
        <v>0</v>
      </c>
      <c r="BR640" s="130">
        <f>IF(BS640&gt;0,1,0)</f>
        <v>0</v>
      </c>
      <c r="BS640" s="128">
        <f>VLOOKUP($E640,[2]Current!$A:$AC,12,FALSE)</f>
        <v>0</v>
      </c>
      <c r="BT640" s="137">
        <f>BS640/$AS640</f>
        <v>0</v>
      </c>
      <c r="BU640" s="130">
        <f>IF(BV640&gt;0,1,0)</f>
        <v>0</v>
      </c>
      <c r="BV640" s="128">
        <f>VLOOKUP($E640,[2]Current!$A:$AC,13,FALSE)</f>
        <v>0</v>
      </c>
      <c r="BW640" s="128">
        <f>BV640/$AS640</f>
        <v>0</v>
      </c>
      <c r="BX640" s="130">
        <f>IF(BY640&gt;0,1,0)</f>
        <v>0</v>
      </c>
      <c r="BY640" s="128">
        <f>VLOOKUP($E640,[2]Current!$A:$AC,14,FALSE)</f>
        <v>0</v>
      </c>
      <c r="BZ640" s="128">
        <f>BY640/$AS640</f>
        <v>0</v>
      </c>
      <c r="CA640" s="130">
        <f>IF(CB640&gt;0,1,0)</f>
        <v>0</v>
      </c>
      <c r="CB640" s="128">
        <f>VLOOKUP($E640,[2]Current!$A:$AC,15,FALSE)</f>
        <v>0</v>
      </c>
      <c r="CC640" s="128">
        <f>CB640/$AS640</f>
        <v>0</v>
      </c>
      <c r="CD640" s="174">
        <f>IF(CE640&gt;0,1,0)</f>
        <v>0</v>
      </c>
      <c r="CE640" s="128">
        <f>VLOOKUP($E640,[2]Current!$A:$AC,16,FALSE)</f>
        <v>0</v>
      </c>
      <c r="CF640" s="128">
        <f>CE640/$AS640</f>
        <v>0</v>
      </c>
      <c r="CG640" s="18"/>
      <c r="CH640" s="18"/>
      <c r="CI640" s="18"/>
      <c r="CJ640" s="130">
        <f>IF(CK640&gt;0,1,0)</f>
        <v>0</v>
      </c>
      <c r="CK640" s="128">
        <f>VLOOKUP($E640,[2]Current!$A:$AC,18,FALSE)</f>
        <v>0</v>
      </c>
      <c r="CL640" s="128">
        <f>CK640/$AS640</f>
        <v>0</v>
      </c>
      <c r="CS640" s="130">
        <f>IF(CU640&gt;0,1,0)</f>
        <v>0</v>
      </c>
      <c r="CT640" s="18"/>
      <c r="CU640" s="128">
        <f>VLOOKUP($E640,[2]Current!$A:$AC,17,FALSE)</f>
        <v>0</v>
      </c>
      <c r="CV640" s="128">
        <f>CU640/$AS640</f>
        <v>0</v>
      </c>
      <c r="CW640" s="18"/>
      <c r="CX640" s="18"/>
      <c r="CY640" s="18"/>
      <c r="DF640" s="16" t="e">
        <f>VLOOKUP(K640,'[3]RNA Seq summary tables'!$V$3:$V$99,1,FALSE)</f>
        <v>#N/A</v>
      </c>
      <c r="DG640" s="126" t="s">
        <v>116</v>
      </c>
    </row>
    <row r="641" spans="2:287" ht="16" x14ac:dyDescent="0.2">
      <c r="B641" s="16">
        <v>2018</v>
      </c>
      <c r="C641" s="124">
        <v>43269</v>
      </c>
      <c r="D641" t="s">
        <v>827</v>
      </c>
      <c r="E641" s="37" t="str">
        <f>CONCATENATE(T641,"-",U641,"-",C641)</f>
        <v>SP2-G7-43269</v>
      </c>
      <c r="F641" s="16" t="s">
        <v>227</v>
      </c>
      <c r="G641" s="126" t="s">
        <v>107</v>
      </c>
      <c r="H641" s="126"/>
      <c r="J641" s="126">
        <v>1494</v>
      </c>
      <c r="K641" s="126">
        <v>2462</v>
      </c>
      <c r="O641" s="126" t="s">
        <v>119</v>
      </c>
      <c r="P641" s="18" t="s">
        <v>119</v>
      </c>
      <c r="Q641" s="18">
        <v>0</v>
      </c>
      <c r="R641" s="18" t="str">
        <f>IF(J641=J640,C641-C640,"")</f>
        <v/>
      </c>
      <c r="T641" s="126" t="s">
        <v>137</v>
      </c>
      <c r="U641" s="126" t="s">
        <v>156</v>
      </c>
      <c r="V641" s="126" t="s">
        <v>114</v>
      </c>
      <c r="X641" s="126" t="s">
        <v>115</v>
      </c>
      <c r="Y641" s="126" t="s">
        <v>110</v>
      </c>
      <c r="Z641" s="126">
        <v>3</v>
      </c>
      <c r="AA641" s="126"/>
      <c r="AB641" s="126"/>
      <c r="AC641" s="126"/>
      <c r="AD641" s="126"/>
      <c r="AE641" s="126" t="s">
        <v>123</v>
      </c>
      <c r="AG641" s="16">
        <f>AH641-AI641</f>
        <v>82</v>
      </c>
      <c r="AH641" s="126">
        <v>158</v>
      </c>
      <c r="AI641" s="126">
        <v>76</v>
      </c>
      <c r="AK641" s="126">
        <v>18</v>
      </c>
      <c r="AL641" s="126">
        <v>0</v>
      </c>
      <c r="AM641" s="126">
        <v>0</v>
      </c>
      <c r="AN641" s="126">
        <v>0</v>
      </c>
      <c r="AO641" s="16">
        <f>IF(SUM(AL641:AN641)&gt;0,1,0)</f>
        <v>0</v>
      </c>
      <c r="AP641" s="18">
        <f>SUM(AL641:AN641)</f>
        <v>0</v>
      </c>
      <c r="AR641" s="16">
        <v>3.400000000000003E-2</v>
      </c>
      <c r="AS641" s="16">
        <f>VLOOKUP(E641,'[1]Feces weights'!$D$1:$H$459,5,FALSE)</f>
        <v>3.400000000000003E-2</v>
      </c>
      <c r="AT641" s="16" t="str">
        <f>VLOOKUP(E641,[2]Current!$A$1:$W$435,7,FALSE)</f>
        <v>LV</v>
      </c>
      <c r="AU641" s="16" t="s">
        <v>1288</v>
      </c>
      <c r="AV641" s="23">
        <v>1</v>
      </c>
      <c r="AW641" s="128">
        <f>IF(AX641&gt;0,1,0)</f>
        <v>0</v>
      </c>
      <c r="AX641" s="128">
        <f>SUM(BA641,BM641,CU641)</f>
        <v>0</v>
      </c>
      <c r="AY641" s="128">
        <f>SUM(BB641,BN641,CV641)</f>
        <v>0</v>
      </c>
      <c r="AZ641" s="128">
        <f>IF(BA641&gt;0,1,0)</f>
        <v>0</v>
      </c>
      <c r="BA641" s="128">
        <f>SUM(BC641+BF641+BI641)</f>
        <v>0</v>
      </c>
      <c r="BB641" s="128">
        <f>SUM(BE641,BH641,BK641)</f>
        <v>0</v>
      </c>
      <c r="BC641" s="130">
        <f>IF(BD641&gt;0,1,0)</f>
        <v>0</v>
      </c>
      <c r="BD641" s="128">
        <f>VLOOKUP($E641,[2]Current!$A:$AC,26,FALSE)</f>
        <v>0</v>
      </c>
      <c r="BE641" s="128">
        <f>BD641/$AS641</f>
        <v>0</v>
      </c>
      <c r="BF641" s="130">
        <f>IF(BG641&gt;0,1,0)</f>
        <v>0</v>
      </c>
      <c r="BG641" s="175">
        <f>VLOOKUP($E641,[2]Current!$A:$AC,27,FALSE)</f>
        <v>0</v>
      </c>
      <c r="BH641" s="128">
        <f>BG641/$AS641</f>
        <v>0</v>
      </c>
      <c r="BI641" s="130">
        <f>IF(BJ641&gt;0,1,0)</f>
        <v>0</v>
      </c>
      <c r="BJ641" s="128">
        <f>VLOOKUP($E641,[2]Current!$A:$AC,28,FALSE)</f>
        <v>0</v>
      </c>
      <c r="BK641" s="128">
        <f>BJ641/$AS641</f>
        <v>0</v>
      </c>
      <c r="BL641" s="128">
        <f>IF(BM641&gt;0,1,0)</f>
        <v>0</v>
      </c>
      <c r="BM641" s="128">
        <f>SUM(BR641,BU641,BX641,CA641,CD641)</f>
        <v>0</v>
      </c>
      <c r="BN641" s="131">
        <f>SUM(BT641,BW641,BZ641,CC641,CF641)</f>
        <v>0</v>
      </c>
      <c r="BO641" s="128">
        <f>IF(BP641&gt;0,1,0)</f>
        <v>0</v>
      </c>
      <c r="BP641" s="128">
        <f>BM641+CJ641</f>
        <v>0</v>
      </c>
      <c r="BQ641" s="128">
        <f>BN641+CL641</f>
        <v>0</v>
      </c>
      <c r="BR641" s="130">
        <f>IF(BS641&gt;0,1,0)</f>
        <v>0</v>
      </c>
      <c r="BS641" s="128">
        <f>VLOOKUP($E641,[2]Current!$A:$AC,12,FALSE)</f>
        <v>0</v>
      </c>
      <c r="BT641" s="137">
        <f>BS641/$AS641</f>
        <v>0</v>
      </c>
      <c r="BU641" s="130">
        <f>IF(BV641&gt;0,1,0)</f>
        <v>0</v>
      </c>
      <c r="BV641" s="128">
        <f>VLOOKUP($E641,[2]Current!$A:$AC,13,FALSE)</f>
        <v>0</v>
      </c>
      <c r="BW641" s="128">
        <f>BV641/$AS641</f>
        <v>0</v>
      </c>
      <c r="BX641" s="130">
        <f>IF(BY641&gt;0,1,0)</f>
        <v>0</v>
      </c>
      <c r="BY641" s="128">
        <f>VLOOKUP($E641,[2]Current!$A:$AC,14,FALSE)</f>
        <v>0</v>
      </c>
      <c r="BZ641" s="128">
        <f>BY641/$AS641</f>
        <v>0</v>
      </c>
      <c r="CA641" s="130">
        <f>IF(CB641&gt;0,1,0)</f>
        <v>0</v>
      </c>
      <c r="CB641" s="128">
        <f>VLOOKUP($E641,[2]Current!$A:$AC,15,FALSE)</f>
        <v>0</v>
      </c>
      <c r="CC641" s="128">
        <f>CB641/$AS641</f>
        <v>0</v>
      </c>
      <c r="CD641" s="174">
        <f>IF(CE641&gt;0,1,0)</f>
        <v>0</v>
      </c>
      <c r="CE641" s="128">
        <f>VLOOKUP($E641,[2]Current!$A:$AC,16,FALSE)</f>
        <v>0</v>
      </c>
      <c r="CF641" s="128">
        <f>CE641/$AS641</f>
        <v>0</v>
      </c>
      <c r="CG641" s="18"/>
      <c r="CH641" s="18"/>
      <c r="CI641" s="18"/>
      <c r="CJ641" s="130">
        <f>IF(CK641&gt;0,1,0)</f>
        <v>0</v>
      </c>
      <c r="CK641" s="128">
        <f>VLOOKUP($E641,[2]Current!$A:$AC,18,FALSE)</f>
        <v>0</v>
      </c>
      <c r="CL641" s="128">
        <f>CK641/$AS641</f>
        <v>0</v>
      </c>
      <c r="CS641" s="130">
        <f>IF(CU641&gt;0,1,0)</f>
        <v>0</v>
      </c>
      <c r="CT641" s="18"/>
      <c r="CU641" s="128">
        <f>VLOOKUP($E641,[2]Current!$A:$AC,17,FALSE)</f>
        <v>0</v>
      </c>
      <c r="CV641" s="128">
        <f>CU641/$AS641</f>
        <v>0</v>
      </c>
      <c r="CW641" s="18"/>
      <c r="CX641" s="18"/>
      <c r="CY641" s="18"/>
      <c r="DF641" s="16" t="e">
        <f>VLOOKUP(K641,'[3]RNA Seq summary tables'!$V$3:$V$99,1,FALSE)</f>
        <v>#N/A</v>
      </c>
      <c r="DG641" s="126" t="s">
        <v>116</v>
      </c>
    </row>
    <row r="642" spans="2:287" ht="16" x14ac:dyDescent="0.2">
      <c r="B642" s="16">
        <v>2018</v>
      </c>
      <c r="C642" s="124">
        <v>43286</v>
      </c>
      <c r="D642" t="s">
        <v>918</v>
      </c>
      <c r="E642" s="37" t="str">
        <f>CONCATENATE(T642,"-",U642,"-",C642)</f>
        <v>SP2-H7-43286</v>
      </c>
      <c r="F642" s="16" t="s">
        <v>227</v>
      </c>
      <c r="G642" s="126" t="s">
        <v>107</v>
      </c>
      <c r="H642" s="126"/>
      <c r="J642" s="126">
        <v>1494</v>
      </c>
      <c r="K642" s="126">
        <v>2561</v>
      </c>
      <c r="O642" s="126" t="s">
        <v>119</v>
      </c>
      <c r="P642" s="18" t="s">
        <v>119</v>
      </c>
      <c r="Q642" s="18">
        <v>0</v>
      </c>
      <c r="R642" s="18">
        <f>IF(J642=J641,C642-C641,"")</f>
        <v>17</v>
      </c>
      <c r="T642" s="126" t="s">
        <v>137</v>
      </c>
      <c r="U642" s="126" t="s">
        <v>202</v>
      </c>
      <c r="V642" s="126" t="s">
        <v>114</v>
      </c>
      <c r="X642" s="126" t="s">
        <v>115</v>
      </c>
      <c r="Y642" s="126" t="s">
        <v>110</v>
      </c>
      <c r="Z642" s="126">
        <v>3</v>
      </c>
      <c r="AA642" s="126"/>
      <c r="AB642" s="126"/>
      <c r="AC642" s="126"/>
      <c r="AD642" s="126"/>
      <c r="AE642" s="126" t="s">
        <v>116</v>
      </c>
      <c r="AG642" s="16">
        <f>AH642-AI642</f>
        <v>82</v>
      </c>
      <c r="AH642" s="126">
        <v>155</v>
      </c>
      <c r="AI642" s="126">
        <v>73</v>
      </c>
      <c r="AK642" s="126">
        <v>19</v>
      </c>
      <c r="AL642" s="126">
        <v>0</v>
      </c>
      <c r="AM642" s="126">
        <v>0</v>
      </c>
      <c r="AN642" s="126">
        <v>0</v>
      </c>
      <c r="AO642" s="16">
        <f>IF(SUM(AL642:AN642)&gt;0,1,0)</f>
        <v>0</v>
      </c>
      <c r="AP642" s="18">
        <f>SUM(AL642:AN642)</f>
        <v>0</v>
      </c>
      <c r="AR642" s="16">
        <v>7.0000000000001172E-3</v>
      </c>
      <c r="AS642" s="16">
        <f>VLOOKUP(E642,'[1]Feces weights'!$D$1:$H$459,5,FALSE)</f>
        <v>7.0000000000001172E-3</v>
      </c>
      <c r="AT642" s="16" t="str">
        <f>VLOOKUP(E642,[2]Current!$A$1:$W$435,7,FALSE)</f>
        <v>DP</v>
      </c>
      <c r="AU642" s="16" t="s">
        <v>1288</v>
      </c>
      <c r="AW642" s="128">
        <f>IF(AX642&gt;0,1,0)</f>
        <v>1</v>
      </c>
      <c r="AX642" s="128">
        <f>SUM(BA642,BM642,CU642)</f>
        <v>3</v>
      </c>
      <c r="AY642" s="128">
        <f>SUM(BB642,BN642,CV642)</f>
        <v>130285.71428571211</v>
      </c>
      <c r="AZ642" s="128">
        <f>IF(BA642&gt;0,1,0)</f>
        <v>1</v>
      </c>
      <c r="BA642" s="128">
        <f>SUM(BC642+BF642+BI642)</f>
        <v>3</v>
      </c>
      <c r="BB642" s="128">
        <f>SUM(BE642,BH642,BK642)</f>
        <v>130285.71428571211</v>
      </c>
      <c r="BC642" s="130">
        <f>IF(BD642&gt;0,1,0)</f>
        <v>1</v>
      </c>
      <c r="BD642" s="128">
        <f>VLOOKUP($E642,[2]Current!$A:$AC,26,FALSE)</f>
        <v>10</v>
      </c>
      <c r="BE642" s="128">
        <f>BD642/$AS642</f>
        <v>1428.5714285714046</v>
      </c>
      <c r="BF642" s="130">
        <f>IF(BG642&gt;0,1,0)</f>
        <v>1</v>
      </c>
      <c r="BG642" s="175">
        <f>VLOOKUP($E642,[2]Current!$A:$AC,27,FALSE)</f>
        <v>892</v>
      </c>
      <c r="BH642" s="128">
        <f>BG642/$AS642</f>
        <v>127428.5714285693</v>
      </c>
      <c r="BI642" s="130">
        <f>IF(BJ642&gt;0,1,0)</f>
        <v>1</v>
      </c>
      <c r="BJ642" s="128">
        <f>VLOOKUP($E642,[2]Current!$A:$AC,28,FALSE)</f>
        <v>10</v>
      </c>
      <c r="BK642" s="128">
        <f>BJ642/$AS642</f>
        <v>1428.5714285714046</v>
      </c>
      <c r="BL642" s="128">
        <f>IF(BM642&gt;0,1,0)</f>
        <v>0</v>
      </c>
      <c r="BM642" s="128">
        <f>SUM(BR642,BU642,BX642,CA642,CD642)</f>
        <v>0</v>
      </c>
      <c r="BN642" s="131">
        <f>SUM(BT642,BW642,BZ642,CC642,CF642)</f>
        <v>0</v>
      </c>
      <c r="BO642" s="128">
        <f>IF(BP642&gt;0,1,0)</f>
        <v>0</v>
      </c>
      <c r="BP642" s="128">
        <f>BM642+CJ642</f>
        <v>0</v>
      </c>
      <c r="BQ642" s="128">
        <f>BN642+CL642</f>
        <v>0</v>
      </c>
      <c r="BR642" s="130">
        <f>IF(BS642&gt;0,1,0)</f>
        <v>0</v>
      </c>
      <c r="BS642" s="128">
        <f>VLOOKUP($E642,[2]Current!$A:$AC,12,FALSE)</f>
        <v>0</v>
      </c>
      <c r="BT642" s="137">
        <f>BS642/$AS642</f>
        <v>0</v>
      </c>
      <c r="BU642" s="130">
        <f>IF(BV642&gt;0,1,0)</f>
        <v>0</v>
      </c>
      <c r="BV642" s="128">
        <f>VLOOKUP($E642,[2]Current!$A:$AC,13,FALSE)</f>
        <v>0</v>
      </c>
      <c r="BW642" s="128">
        <f>BV642/$AS642</f>
        <v>0</v>
      </c>
      <c r="BX642" s="130">
        <f>IF(BY642&gt;0,1,0)</f>
        <v>0</v>
      </c>
      <c r="BY642" s="128">
        <f>VLOOKUP($E642,[2]Current!$A:$AC,14,FALSE)</f>
        <v>0</v>
      </c>
      <c r="BZ642" s="128">
        <f>BY642/$AS642</f>
        <v>0</v>
      </c>
      <c r="CA642" s="130">
        <f>IF(CB642&gt;0,1,0)</f>
        <v>0</v>
      </c>
      <c r="CB642" s="128">
        <f>VLOOKUP($E642,[2]Current!$A:$AC,15,FALSE)</f>
        <v>0</v>
      </c>
      <c r="CC642" s="128">
        <f>CB642/$AS642</f>
        <v>0</v>
      </c>
      <c r="CD642" s="174">
        <f>IF(CE642&gt;0,1,0)</f>
        <v>0</v>
      </c>
      <c r="CE642" s="128">
        <f>VLOOKUP($E642,[2]Current!$A:$AC,16,FALSE)</f>
        <v>0</v>
      </c>
      <c r="CF642" s="128">
        <f>CE642/$AS642</f>
        <v>0</v>
      </c>
      <c r="CG642" s="18"/>
      <c r="CH642" s="18"/>
      <c r="CI642" s="18"/>
      <c r="CJ642" s="130">
        <f>IF(CK642&gt;0,1,0)</f>
        <v>0</v>
      </c>
      <c r="CK642" s="128">
        <f>VLOOKUP($E642,[2]Current!$A:$AC,18,FALSE)</f>
        <v>0</v>
      </c>
      <c r="CL642" s="128">
        <f>CK642/$AS642</f>
        <v>0</v>
      </c>
      <c r="CS642" s="130">
        <f>IF(CU642&gt;0,1,0)</f>
        <v>0</v>
      </c>
      <c r="CU642" s="128">
        <f>VLOOKUP($E642,[2]Current!$A:$AC,17,FALSE)</f>
        <v>0</v>
      </c>
      <c r="CV642" s="128">
        <f>CU642/$AS642</f>
        <v>0</v>
      </c>
      <c r="CW642" s="18"/>
      <c r="CX642" s="18"/>
      <c r="CY642" s="18"/>
      <c r="DF642" s="16" t="e">
        <f>VLOOKUP(K642,'[3]RNA Seq summary tables'!$V$3:$V$99,1,FALSE)</f>
        <v>#N/A</v>
      </c>
      <c r="DG642" s="126" t="s">
        <v>116</v>
      </c>
    </row>
    <row r="643" spans="2:287" ht="16" x14ac:dyDescent="0.2">
      <c r="B643" s="16">
        <v>2018</v>
      </c>
      <c r="C643" s="124">
        <v>43301</v>
      </c>
      <c r="D643" t="s">
        <v>1008</v>
      </c>
      <c r="E643" s="142" t="str">
        <f>CONCATENATE(T643,"-",U643,"-",C643)</f>
        <v>SP2-G8-43301</v>
      </c>
      <c r="F643" s="16" t="s">
        <v>227</v>
      </c>
      <c r="G643" s="126" t="s">
        <v>107</v>
      </c>
      <c r="H643" s="126"/>
      <c r="J643" s="126">
        <v>1494</v>
      </c>
      <c r="K643" s="126">
        <v>2652</v>
      </c>
      <c r="O643" s="126" t="s">
        <v>119</v>
      </c>
      <c r="P643" s="18" t="s">
        <v>119</v>
      </c>
      <c r="Q643" s="18">
        <v>0</v>
      </c>
      <c r="R643" s="18">
        <f>IF(J643=J642,C643-C642,"")</f>
        <v>15</v>
      </c>
      <c r="T643" s="126" t="s">
        <v>137</v>
      </c>
      <c r="U643" s="126" t="s">
        <v>216</v>
      </c>
      <c r="V643" s="126" t="s">
        <v>114</v>
      </c>
      <c r="X643" s="126" t="s">
        <v>115</v>
      </c>
      <c r="Y643" s="126" t="s">
        <v>110</v>
      </c>
      <c r="Z643" s="126">
        <v>3</v>
      </c>
      <c r="AA643" s="126"/>
      <c r="AB643" s="126"/>
      <c r="AC643" s="126"/>
      <c r="AD643" s="126" t="s">
        <v>116</v>
      </c>
      <c r="AE643" s="126" t="s">
        <v>116</v>
      </c>
      <c r="AG643" s="40">
        <f>AH643-AI643</f>
        <v>83</v>
      </c>
      <c r="AH643" s="126">
        <v>158</v>
      </c>
      <c r="AI643" s="126">
        <v>75</v>
      </c>
      <c r="AK643" s="126">
        <v>21</v>
      </c>
      <c r="AL643" s="126">
        <v>0</v>
      </c>
      <c r="AM643" s="126">
        <v>0</v>
      </c>
      <c r="AN643" s="126">
        <v>0</v>
      </c>
      <c r="AO643" s="16">
        <f>IF(SUM(AL643:AN643)&gt;0,1,0)</f>
        <v>0</v>
      </c>
      <c r="AP643" s="18">
        <f>SUM(AL643:AN643)</f>
        <v>0</v>
      </c>
      <c r="AR643" s="16">
        <v>9.8000000000000087E-2</v>
      </c>
      <c r="AS643" s="16">
        <f>VLOOKUP(E643,'[1]Feces weights'!$D$1:$H$459,5,FALSE)</f>
        <v>9.8000000000000087E-2</v>
      </c>
      <c r="AT643" s="16" t="e">
        <f>VLOOKUP(E643,[2]Current!$A$1:$W$435,7,FALSE)</f>
        <v>#N/A</v>
      </c>
      <c r="AU643" s="16">
        <v>0</v>
      </c>
      <c r="BG643" s="23"/>
      <c r="BN643" s="126"/>
      <c r="BT643" s="78"/>
      <c r="BU643" s="18"/>
      <c r="BV643" s="18"/>
      <c r="BW643" s="25"/>
      <c r="BX643" s="18"/>
      <c r="BY643" s="18"/>
      <c r="BZ643" s="25"/>
      <c r="CA643" s="18"/>
      <c r="CB643" s="18"/>
      <c r="CC643" s="25"/>
      <c r="CD643" s="78"/>
      <c r="CE643" s="18"/>
      <c r="CF643" s="25"/>
      <c r="CG643" s="18"/>
      <c r="CH643" s="18"/>
      <c r="CI643" s="18"/>
      <c r="CJ643" s="18"/>
      <c r="CK643" s="18"/>
      <c r="CL643" s="25"/>
      <c r="DF643" s="16" t="e">
        <f>VLOOKUP(K643,'[3]RNA Seq summary tables'!$V$3:$V$99,1,FALSE)</f>
        <v>#N/A</v>
      </c>
      <c r="DG643" s="126" t="s">
        <v>123</v>
      </c>
    </row>
    <row r="644" spans="2:287" ht="16" x14ac:dyDescent="0.2">
      <c r="B644" s="16">
        <v>2018</v>
      </c>
      <c r="C644" s="124">
        <v>43269</v>
      </c>
      <c r="D644" t="s">
        <v>823</v>
      </c>
      <c r="E644" s="37" t="str">
        <f>CONCATENATE(T644,"-",U644,"-",C644)</f>
        <v>SP1-B8-43269</v>
      </c>
      <c r="F644" s="16" t="s">
        <v>227</v>
      </c>
      <c r="G644" s="126" t="s">
        <v>107</v>
      </c>
      <c r="H644" s="126" t="s">
        <v>1094</v>
      </c>
      <c r="J644" s="126">
        <v>1496</v>
      </c>
      <c r="K644" s="126">
        <v>2467</v>
      </c>
      <c r="O644" s="126" t="s">
        <v>119</v>
      </c>
      <c r="P644" s="18" t="s">
        <v>119</v>
      </c>
      <c r="Q644" s="18">
        <v>0</v>
      </c>
      <c r="R644" s="18" t="str">
        <f>IF(J644=J643,C644-C643,"")</f>
        <v/>
      </c>
      <c r="T644" s="126" t="s">
        <v>140</v>
      </c>
      <c r="U644" s="126" t="s">
        <v>209</v>
      </c>
      <c r="V644" s="126" t="s">
        <v>114</v>
      </c>
      <c r="X644" s="126" t="s">
        <v>121</v>
      </c>
      <c r="Y644" s="126" t="s">
        <v>110</v>
      </c>
      <c r="Z644" s="126">
        <v>3</v>
      </c>
      <c r="AA644" s="126" t="s">
        <v>119</v>
      </c>
      <c r="AB644" s="126" t="s">
        <v>116</v>
      </c>
      <c r="AC644" s="126" t="s">
        <v>116</v>
      </c>
      <c r="AD644" s="126"/>
      <c r="AE644" s="126"/>
      <c r="AG644" s="16">
        <f>AH644-AI644</f>
        <v>103</v>
      </c>
      <c r="AH644" s="126">
        <v>179</v>
      </c>
      <c r="AI644" s="126">
        <v>76</v>
      </c>
      <c r="AK644" s="126">
        <v>24.5</v>
      </c>
      <c r="AL644" s="126">
        <v>0</v>
      </c>
      <c r="AM644" s="126">
        <v>0</v>
      </c>
      <c r="AN644" s="126">
        <v>0</v>
      </c>
      <c r="AO644" s="16">
        <f>IF(SUM(AL644:AN644)&gt;0,1,0)</f>
        <v>0</v>
      </c>
      <c r="AP644" s="18">
        <f>SUM(AL644:AN644)</f>
        <v>0</v>
      </c>
      <c r="AR644" s="16">
        <v>1.8000000000000016E-2</v>
      </c>
      <c r="AS644" s="16">
        <f>VLOOKUP(E644,'[1]Feces weights'!$D$1:$H$459,5,FALSE)</f>
        <v>1.8000000000000016E-2</v>
      </c>
      <c r="AT644" s="16" t="str">
        <f>VLOOKUP(E644,[2]Current!$A$1:$W$435,7,FALSE)</f>
        <v>DP</v>
      </c>
      <c r="AU644" s="16" t="s">
        <v>1288</v>
      </c>
      <c r="AW644" s="128">
        <f>IF(AX644&gt;0,1,0)</f>
        <v>1</v>
      </c>
      <c r="AX644" s="128">
        <f>SUM(BA644,BM644,CU644)</f>
        <v>2</v>
      </c>
      <c r="AY644" s="128">
        <f>SUM(BB644,BN644,CV644)</f>
        <v>1111.1111111111099</v>
      </c>
      <c r="AZ644" s="128">
        <f>IF(BA644&gt;0,1,0)</f>
        <v>0</v>
      </c>
      <c r="BA644" s="128">
        <f>SUM(BC644+BF644+BI644)</f>
        <v>0</v>
      </c>
      <c r="BB644" s="128">
        <f>SUM(BE644,BH644,BK644)</f>
        <v>0</v>
      </c>
      <c r="BC644" s="130">
        <f>IF(BD644&gt;0,1,0)</f>
        <v>0</v>
      </c>
      <c r="BD644" s="128">
        <f>VLOOKUP($E644,[2]Current!$A:$AC,26,FALSE)</f>
        <v>0</v>
      </c>
      <c r="BE644" s="128">
        <f>BD644/$AS644</f>
        <v>0</v>
      </c>
      <c r="BF644" s="130">
        <f>IF(BG644&gt;0,1,0)</f>
        <v>0</v>
      </c>
      <c r="BG644" s="175">
        <f>VLOOKUP($E644,[2]Current!$A:$AC,27,FALSE)</f>
        <v>0</v>
      </c>
      <c r="BH644" s="128">
        <f>BG644/$AS644</f>
        <v>0</v>
      </c>
      <c r="BI644" s="130">
        <f>IF(BJ644&gt;0,1,0)</f>
        <v>0</v>
      </c>
      <c r="BJ644" s="128">
        <f>VLOOKUP($E644,[2]Current!$A:$AC,28,FALSE)</f>
        <v>0</v>
      </c>
      <c r="BK644" s="128">
        <f>BJ644/$AS644</f>
        <v>0</v>
      </c>
      <c r="BL644" s="128">
        <f>IF(BM644&gt;0,1,0)</f>
        <v>1</v>
      </c>
      <c r="BM644" s="128">
        <f>SUM(BR644,BU644,BX644,CA644,CD644)</f>
        <v>2</v>
      </c>
      <c r="BN644" s="131">
        <f>SUM(BT644,BW644,BZ644,CC644,CF644)</f>
        <v>1111.1111111111099</v>
      </c>
      <c r="BO644" s="128">
        <f>IF(BP644&gt;0,1,0)</f>
        <v>1</v>
      </c>
      <c r="BP644" s="128">
        <f>BM644+CJ644</f>
        <v>2</v>
      </c>
      <c r="BQ644" s="128">
        <f>BN644+CL644</f>
        <v>1111.1111111111099</v>
      </c>
      <c r="BR644" s="130">
        <f>IF(BS644&gt;0,1,0)</f>
        <v>0</v>
      </c>
      <c r="BS644" s="128">
        <f>VLOOKUP($E644,[2]Current!$A:$AC,12,FALSE)</f>
        <v>0</v>
      </c>
      <c r="BT644" s="137">
        <f>BS644/$AS644</f>
        <v>0</v>
      </c>
      <c r="BU644" s="130">
        <f>IF(BV644&gt;0,1,0)</f>
        <v>1</v>
      </c>
      <c r="BV644" s="128">
        <f>VLOOKUP($E644,[2]Current!$A:$AC,13,FALSE)</f>
        <v>19</v>
      </c>
      <c r="BW644" s="128">
        <f>BV644/$AS644</f>
        <v>1055.5555555555545</v>
      </c>
      <c r="BX644" s="130">
        <f>IF(BY644&gt;0,1,0)</f>
        <v>1</v>
      </c>
      <c r="BY644" s="128">
        <f>VLOOKUP($E644,[2]Current!$A:$AC,14,FALSE)</f>
        <v>1</v>
      </c>
      <c r="BZ644" s="128">
        <f>BY644/$AS644</f>
        <v>55.555555555555507</v>
      </c>
      <c r="CA644" s="130">
        <f>IF(CB644&gt;0,1,0)</f>
        <v>0</v>
      </c>
      <c r="CB644" s="128">
        <f>VLOOKUP($E644,[2]Current!$A:$AC,15,FALSE)</f>
        <v>0</v>
      </c>
      <c r="CC644" s="128">
        <f>CB644/$AS644</f>
        <v>0</v>
      </c>
      <c r="CD644" s="174">
        <f>IF(CE644&gt;0,1,0)</f>
        <v>0</v>
      </c>
      <c r="CE644" s="128">
        <f>VLOOKUP($E644,[2]Current!$A:$AC,16,FALSE)</f>
        <v>0</v>
      </c>
      <c r="CF644" s="128">
        <f>CE644/$AS644</f>
        <v>0</v>
      </c>
      <c r="CG644" s="18"/>
      <c r="CH644" s="18"/>
      <c r="CI644" s="18"/>
      <c r="CJ644" s="130">
        <f>IF(CK644&gt;0,1,0)</f>
        <v>0</v>
      </c>
      <c r="CK644" s="128">
        <f>VLOOKUP($E644,[2]Current!$A:$AC,18,FALSE)</f>
        <v>0</v>
      </c>
      <c r="CL644" s="128">
        <f>CK644/$AS644</f>
        <v>0</v>
      </c>
      <c r="CS644" s="130">
        <f>IF(CU644&gt;0,1,0)</f>
        <v>0</v>
      </c>
      <c r="CU644" s="128">
        <f>VLOOKUP($E644,[2]Current!$A:$AC,17,FALSE)</f>
        <v>0</v>
      </c>
      <c r="CV644" s="128">
        <f>CU644/$AS644</f>
        <v>0</v>
      </c>
      <c r="CW644" s="18"/>
      <c r="CX644" s="18"/>
      <c r="CY644" s="18"/>
      <c r="DF644" s="16" t="e">
        <f>VLOOKUP(K644,'[3]RNA Seq summary tables'!$V$3:$V$99,1,FALSE)</f>
        <v>#N/A</v>
      </c>
      <c r="DG644" s="126" t="s">
        <v>116</v>
      </c>
    </row>
    <row r="645" spans="2:287" ht="16" x14ac:dyDescent="0.2">
      <c r="B645" s="16">
        <v>2018</v>
      </c>
      <c r="C645" s="124">
        <v>43286</v>
      </c>
      <c r="D645" t="s">
        <v>926</v>
      </c>
      <c r="E645" s="37" t="str">
        <f>CONCATENATE(T645,"-",U645,"-",C645)</f>
        <v>SP1-B8-43286</v>
      </c>
      <c r="F645" s="16" t="s">
        <v>227</v>
      </c>
      <c r="G645" s="126" t="s">
        <v>107</v>
      </c>
      <c r="H645" s="126"/>
      <c r="J645" s="126">
        <v>1496</v>
      </c>
      <c r="K645" s="126">
        <v>2565</v>
      </c>
      <c r="O645" s="126" t="s">
        <v>119</v>
      </c>
      <c r="P645" s="18" t="s">
        <v>119</v>
      </c>
      <c r="Q645" s="18">
        <v>0</v>
      </c>
      <c r="R645" s="18">
        <f>IF(J645=J644,C645-C644,"")</f>
        <v>17</v>
      </c>
      <c r="T645" s="126" t="s">
        <v>140</v>
      </c>
      <c r="U645" s="126" t="s">
        <v>209</v>
      </c>
      <c r="V645" s="126" t="s">
        <v>114</v>
      </c>
      <c r="X645" s="126" t="s">
        <v>121</v>
      </c>
      <c r="Y645" s="126" t="s">
        <v>110</v>
      </c>
      <c r="Z645" s="126">
        <v>3</v>
      </c>
      <c r="AA645" s="126" t="s">
        <v>119</v>
      </c>
      <c r="AB645" s="126" t="s">
        <v>116</v>
      </c>
      <c r="AC645" s="126" t="s">
        <v>123</v>
      </c>
      <c r="AD645" s="126"/>
      <c r="AE645" s="126"/>
      <c r="AG645" s="16">
        <f>AH645-AI645</f>
        <v>98</v>
      </c>
      <c r="AH645" s="126">
        <v>175</v>
      </c>
      <c r="AI645" s="126">
        <v>77</v>
      </c>
      <c r="AK645" s="126">
        <v>20.5</v>
      </c>
      <c r="AL645" s="126">
        <v>0</v>
      </c>
      <c r="AM645" s="126">
        <v>0</v>
      </c>
      <c r="AN645" s="126">
        <v>0</v>
      </c>
      <c r="AO645" s="16">
        <f>IF(SUM(AL645:AN645)&gt;0,1,0)</f>
        <v>0</v>
      </c>
      <c r="AP645" s="18">
        <f>SUM(AL645:AN645)</f>
        <v>0</v>
      </c>
      <c r="AR645" s="16">
        <v>8.900000000000019E-2</v>
      </c>
      <c r="AS645" s="16">
        <f>VLOOKUP(E645,'[1]Feces weights'!$D$1:$H$459,5,FALSE)</f>
        <v>8.900000000000019E-2</v>
      </c>
      <c r="AT645" s="16" t="str">
        <f>VLOOKUP(E645,[2]Current!$A$1:$W$435,7,FALSE)</f>
        <v>JB</v>
      </c>
      <c r="AU645" s="16" t="s">
        <v>1288</v>
      </c>
      <c r="AW645" s="128">
        <f>IF(AX645&gt;0,1,0)</f>
        <v>1</v>
      </c>
      <c r="AX645" s="128">
        <f>SUM(BA645,BM645,CU645)</f>
        <v>3</v>
      </c>
      <c r="AY645" s="128">
        <f>SUM(BB645,BN645,CV645)</f>
        <v>308022.47191011172</v>
      </c>
      <c r="AZ645" s="128">
        <f>IF(BA645&gt;0,1,0)</f>
        <v>1</v>
      </c>
      <c r="BA645" s="128">
        <f>SUM(BC645+BF645+BI645)</f>
        <v>2</v>
      </c>
      <c r="BB645" s="128">
        <f>SUM(BE645,BH645,BK645)</f>
        <v>303955.05617977463</v>
      </c>
      <c r="BC645" s="130">
        <f>IF(BD645&gt;0,1,0)</f>
        <v>1</v>
      </c>
      <c r="BD645" s="128">
        <f>VLOOKUP($E645,[2]Current!$A:$AC,26,FALSE)</f>
        <v>512</v>
      </c>
      <c r="BE645" s="128">
        <f>BD645/$AS645</f>
        <v>5752.8089887640326</v>
      </c>
      <c r="BF645" s="130">
        <f>IF(BG645&gt;0,1,0)</f>
        <v>1</v>
      </c>
      <c r="BG645" s="175">
        <f>VLOOKUP($E645,[2]Current!$A:$AC,27,FALSE)</f>
        <v>26540</v>
      </c>
      <c r="BH645" s="128">
        <f>BG645/$AS645</f>
        <v>298202.24719101063</v>
      </c>
      <c r="BI645" s="130">
        <f>IF(BJ645&gt;0,1,0)</f>
        <v>0</v>
      </c>
      <c r="BJ645" s="128">
        <f>VLOOKUP($E645,[2]Current!$A:$AC,28,FALSE)</f>
        <v>0</v>
      </c>
      <c r="BK645" s="128">
        <f>BJ645/$AS645</f>
        <v>0</v>
      </c>
      <c r="BL645" s="128">
        <f>IF(BM645&gt;0,1,0)</f>
        <v>1</v>
      </c>
      <c r="BM645" s="128">
        <f>SUM(BR645,BU645,BX645,CA645,CD645)</f>
        <v>1</v>
      </c>
      <c r="BN645" s="131">
        <f>SUM(BT645,BW645,BZ645,CC645,CF645)</f>
        <v>4067.4157303370698</v>
      </c>
      <c r="BO645" s="128">
        <f>IF(BP645&gt;0,1,0)</f>
        <v>1</v>
      </c>
      <c r="BP645" s="128">
        <f>BM645+CJ645</f>
        <v>2</v>
      </c>
      <c r="BQ645" s="128">
        <f>BN645+CL645</f>
        <v>4078.6516853932494</v>
      </c>
      <c r="BR645" s="130">
        <f>IF(BS645&gt;0,1,0)</f>
        <v>0</v>
      </c>
      <c r="BS645" s="128">
        <f>VLOOKUP($E645,[2]Current!$A:$AC,12,FALSE)</f>
        <v>0</v>
      </c>
      <c r="BT645" s="137">
        <f>BS645/$AS645</f>
        <v>0</v>
      </c>
      <c r="BU645" s="130">
        <f>IF(BV645&gt;0,1,0)</f>
        <v>0</v>
      </c>
      <c r="BV645" s="128">
        <f>VLOOKUP($E645,[2]Current!$A:$AC,13,FALSE)</f>
        <v>0</v>
      </c>
      <c r="BW645" s="128">
        <f>BV645/$AS645</f>
        <v>0</v>
      </c>
      <c r="BX645" s="130">
        <f>IF(BY645&gt;0,1,0)</f>
        <v>1</v>
      </c>
      <c r="BY645" s="128">
        <f>VLOOKUP($E645,[2]Current!$A:$AC,14,FALSE)</f>
        <v>362</v>
      </c>
      <c r="BZ645" s="128">
        <f>BY645/$AS645</f>
        <v>4067.4157303370698</v>
      </c>
      <c r="CA645" s="130">
        <f>IF(CB645&gt;0,1,0)</f>
        <v>0</v>
      </c>
      <c r="CB645" s="128">
        <f>VLOOKUP($E645,[2]Current!$A:$AC,15,FALSE)</f>
        <v>0</v>
      </c>
      <c r="CC645" s="128">
        <f>CB645/$AS645</f>
        <v>0</v>
      </c>
      <c r="CD645" s="174">
        <f>IF(CE645&gt;0,1,0)</f>
        <v>0</v>
      </c>
      <c r="CE645" s="128">
        <f>VLOOKUP($E645,[2]Current!$A:$AC,16,FALSE)</f>
        <v>0</v>
      </c>
      <c r="CF645" s="128">
        <f>CE645/$AS645</f>
        <v>0</v>
      </c>
      <c r="CG645" s="18"/>
      <c r="CH645" s="18"/>
      <c r="CI645" s="18"/>
      <c r="CJ645" s="130">
        <f>IF(CK645&gt;0,1,0)</f>
        <v>1</v>
      </c>
      <c r="CK645" s="128">
        <f>VLOOKUP($E645,[2]Current!$A:$AC,18,FALSE)</f>
        <v>1</v>
      </c>
      <c r="CL645" s="128">
        <f>CK645/$AS645</f>
        <v>11.235955056179751</v>
      </c>
      <c r="CS645" s="130">
        <f>IF(CU645&gt;0,1,0)</f>
        <v>0</v>
      </c>
      <c r="CU645" s="128">
        <f>VLOOKUP($E645,[2]Current!$A:$AC,17,FALSE)</f>
        <v>0</v>
      </c>
      <c r="CV645" s="128">
        <f>CU645/$AS645</f>
        <v>0</v>
      </c>
      <c r="CW645" s="18"/>
      <c r="CX645" s="18"/>
      <c r="CY645" s="18"/>
      <c r="DF645" s="16" t="e">
        <f>VLOOKUP(K645,'[3]RNA Seq summary tables'!$V$3:$V$99,1,FALSE)</f>
        <v>#N/A</v>
      </c>
      <c r="DG645" s="126" t="s">
        <v>116</v>
      </c>
    </row>
    <row r="646" spans="2:287" ht="16" x14ac:dyDescent="0.2">
      <c r="B646" s="16">
        <v>2018</v>
      </c>
      <c r="C646" s="147">
        <v>43313</v>
      </c>
      <c r="D646" t="s">
        <v>1214</v>
      </c>
      <c r="E646" s="20" t="str">
        <f>CONCATENATE(T646,"-",U646,"-",C646)</f>
        <v>SP1-F8-43313</v>
      </c>
      <c r="F646" s="16" t="s">
        <v>227</v>
      </c>
      <c r="G646" s="145" t="s">
        <v>107</v>
      </c>
      <c r="H646" s="145"/>
      <c r="I646" s="145"/>
      <c r="J646" s="145">
        <v>1496</v>
      </c>
      <c r="K646" s="145">
        <v>2729</v>
      </c>
      <c r="M646" s="16"/>
      <c r="N646" s="16"/>
      <c r="O646" s="145" t="s">
        <v>119</v>
      </c>
      <c r="P646" s="18" t="s">
        <v>119</v>
      </c>
      <c r="Q646" s="18">
        <v>0</v>
      </c>
      <c r="R646" s="18">
        <f>IF(J646=J645,C646-C645,"")</f>
        <v>27</v>
      </c>
      <c r="S646" s="145"/>
      <c r="T646" s="145" t="s">
        <v>140</v>
      </c>
      <c r="U646" s="145" t="s">
        <v>138</v>
      </c>
      <c r="V646" s="145" t="s">
        <v>114</v>
      </c>
      <c r="W646" s="145"/>
      <c r="X646" s="145" t="s">
        <v>121</v>
      </c>
      <c r="Y646" s="145" t="s">
        <v>110</v>
      </c>
      <c r="Z646" s="145">
        <v>3</v>
      </c>
      <c r="AA646" s="145" t="s">
        <v>119</v>
      </c>
      <c r="AB646" s="145" t="s">
        <v>116</v>
      </c>
      <c r="AC646" s="145" t="s">
        <v>123</v>
      </c>
      <c r="AD646" s="145" t="s">
        <v>116</v>
      </c>
      <c r="AE646" s="145"/>
      <c r="AF646" s="145"/>
      <c r="AG646" s="145">
        <f>AH646-AI646</f>
        <v>100</v>
      </c>
      <c r="AH646" s="145">
        <v>176</v>
      </c>
      <c r="AI646" s="145">
        <v>76</v>
      </c>
      <c r="AJ646" s="145"/>
      <c r="AK646" s="145">
        <v>22</v>
      </c>
      <c r="AL646" s="145">
        <v>0</v>
      </c>
      <c r="AM646" s="145">
        <v>0</v>
      </c>
      <c r="AN646" s="145">
        <v>0</v>
      </c>
      <c r="AO646" s="16">
        <f>IF(SUM(AL646:AN646)&gt;0, 1,0)</f>
        <v>0</v>
      </c>
      <c r="AP646" s="16">
        <f>SUM(AL646:AN646)</f>
        <v>0</v>
      </c>
      <c r="AS646" s="16">
        <f>VLOOKUP(E646,'[1]Feces weights'!$D$1:$H$459,5,FALSE)</f>
        <v>0.33100000000000018</v>
      </c>
      <c r="AT646" s="16" t="e">
        <f>VLOOKUP(E646,[2]Current!$A$1:$W$435,7,FALSE)</f>
        <v>#N/A</v>
      </c>
      <c r="BG646" s="23"/>
      <c r="BT646" s="77"/>
      <c r="CD646" s="77"/>
      <c r="DG646" s="145" t="s">
        <v>116</v>
      </c>
      <c r="DT646" s="145" t="s">
        <v>123</v>
      </c>
      <c r="DU646" s="145"/>
      <c r="DX646" s="145"/>
      <c r="DY646" s="145"/>
      <c r="DZ646" s="16"/>
      <c r="EA646" s="16"/>
      <c r="EB646" s="16"/>
      <c r="EC646" s="16"/>
      <c r="ED646" s="16"/>
      <c r="EE646" s="16"/>
      <c r="EF646" s="16"/>
      <c r="JO646" s="18"/>
      <c r="JP646" s="18"/>
      <c r="JQ646" s="18"/>
      <c r="JR646" s="18"/>
      <c r="JS646" s="18"/>
      <c r="JT646" s="18"/>
      <c r="JU646" s="18"/>
      <c r="JV646" s="18"/>
      <c r="JW646" s="18"/>
      <c r="JX646" s="18"/>
      <c r="JY646" s="18"/>
      <c r="JZ646" s="18"/>
      <c r="KA646" s="18"/>
    </row>
    <row r="647" spans="2:287" ht="16" x14ac:dyDescent="0.2">
      <c r="B647" s="16">
        <v>2018</v>
      </c>
      <c r="C647" s="124">
        <v>43270</v>
      </c>
      <c r="D647" t="s">
        <v>839</v>
      </c>
      <c r="E647" s="37" t="str">
        <f>CONCATENATE(T647,"-",U647,"-",C647)</f>
        <v>SP1-B1-43270</v>
      </c>
      <c r="F647" s="16" t="s">
        <v>227</v>
      </c>
      <c r="G647" s="126" t="s">
        <v>107</v>
      </c>
      <c r="H647" s="126"/>
      <c r="J647" s="126">
        <v>1501</v>
      </c>
      <c r="K647" s="126">
        <v>2475</v>
      </c>
      <c r="O647" s="126" t="s">
        <v>119</v>
      </c>
      <c r="P647" s="18" t="s">
        <v>119</v>
      </c>
      <c r="Q647" s="18">
        <v>0</v>
      </c>
      <c r="R647" s="18" t="str">
        <f>IF(J647=J646,C647-C646,"")</f>
        <v/>
      </c>
      <c r="T647" s="126" t="s">
        <v>140</v>
      </c>
      <c r="U647" s="126" t="s">
        <v>113</v>
      </c>
      <c r="V647" s="126" t="s">
        <v>114</v>
      </c>
      <c r="X647" s="126" t="s">
        <v>115</v>
      </c>
      <c r="Y647" s="126" t="s">
        <v>110</v>
      </c>
      <c r="Z647" s="126">
        <v>3</v>
      </c>
      <c r="AA647" s="126"/>
      <c r="AB647" s="126"/>
      <c r="AC647" s="126"/>
      <c r="AD647" s="126"/>
      <c r="AE647" s="126" t="s">
        <v>116</v>
      </c>
      <c r="AG647" s="16">
        <f>AH647-AI647</f>
        <v>87</v>
      </c>
      <c r="AH647" s="126">
        <v>163</v>
      </c>
      <c r="AI647" s="126">
        <v>76</v>
      </c>
      <c r="AK647" s="126">
        <v>22</v>
      </c>
      <c r="AL647" s="126">
        <v>1</v>
      </c>
      <c r="AM647" s="126">
        <v>0</v>
      </c>
      <c r="AN647" s="126">
        <v>0</v>
      </c>
      <c r="AO647" s="16">
        <f>IF(SUM(AL647:AN647)&gt;0,1,0)</f>
        <v>1</v>
      </c>
      <c r="AP647" s="18">
        <f>SUM(AL647:AN647)</f>
        <v>1</v>
      </c>
      <c r="AR647" s="16">
        <v>0.31500000000000017</v>
      </c>
      <c r="AS647" s="16">
        <f>VLOOKUP(E647,'[1]Feces weights'!$D$1:$H$459,5,FALSE)</f>
        <v>0.31500000000000017</v>
      </c>
      <c r="AT647" s="16" t="str">
        <f>VLOOKUP(E647,[2]Current!$A$1:$W$435,7,FALSE)</f>
        <v>JB</v>
      </c>
      <c r="AU647" s="16" t="s">
        <v>1288</v>
      </c>
      <c r="AV647" s="23">
        <v>1</v>
      </c>
      <c r="AW647" s="128">
        <f>IF(AX647&gt;0,1,0)</f>
        <v>0</v>
      </c>
      <c r="AX647" s="128">
        <f>SUM(BA647,BM647,CU647)</f>
        <v>0</v>
      </c>
      <c r="AY647" s="128">
        <f>SUM(BB647,BN647,CV647)</f>
        <v>0</v>
      </c>
      <c r="AZ647" s="128">
        <f>IF(BA647&gt;0,1,0)</f>
        <v>0</v>
      </c>
      <c r="BA647" s="128">
        <f>SUM(BC647+BF647+BI647)</f>
        <v>0</v>
      </c>
      <c r="BB647" s="128">
        <f>SUM(BE647,BH647,BK647)</f>
        <v>0</v>
      </c>
      <c r="BC647" s="130">
        <f>IF(BD647&gt;0,1,0)</f>
        <v>0</v>
      </c>
      <c r="BD647" s="128">
        <f>VLOOKUP($E647,[2]Current!$A:$AC,26,FALSE)</f>
        <v>0</v>
      </c>
      <c r="BE647" s="128">
        <f>BD647/$AS647</f>
        <v>0</v>
      </c>
      <c r="BF647" s="130">
        <f>IF(BG647&gt;0,1,0)</f>
        <v>0</v>
      </c>
      <c r="BG647" s="175">
        <f>VLOOKUP($E647,[2]Current!$A:$AC,27,FALSE)</f>
        <v>0</v>
      </c>
      <c r="BH647" s="128">
        <f>BG647/$AS647</f>
        <v>0</v>
      </c>
      <c r="BI647" s="130">
        <f>IF(BJ647&gt;0,1,0)</f>
        <v>0</v>
      </c>
      <c r="BJ647" s="128">
        <f>VLOOKUP($E647,[2]Current!$A:$AC,28,FALSE)</f>
        <v>0</v>
      </c>
      <c r="BK647" s="128">
        <f>BJ647/$AS647</f>
        <v>0</v>
      </c>
      <c r="BL647" s="128">
        <f>IF(BM647&gt;0,1,0)</f>
        <v>0</v>
      </c>
      <c r="BM647" s="128">
        <f>SUM(BR647,BU647,BX647,CA647,CD647)</f>
        <v>0</v>
      </c>
      <c r="BN647" s="131">
        <f>SUM(BT647,BW647,BZ647,CC647,CF647)</f>
        <v>0</v>
      </c>
      <c r="BO647" s="128">
        <f>IF(BP647&gt;0,1,0)</f>
        <v>0</v>
      </c>
      <c r="BP647" s="128">
        <f>BM647+CJ647</f>
        <v>0</v>
      </c>
      <c r="BQ647" s="128">
        <f>BN647+CL647</f>
        <v>0</v>
      </c>
      <c r="BR647" s="130">
        <f>IF(BS647&gt;0,1,0)</f>
        <v>0</v>
      </c>
      <c r="BS647" s="128">
        <f>VLOOKUP($E647,[2]Current!$A:$AC,12,FALSE)</f>
        <v>0</v>
      </c>
      <c r="BT647" s="137">
        <f>BS647/$AS647</f>
        <v>0</v>
      </c>
      <c r="BU647" s="130">
        <f>IF(BV647&gt;0,1,0)</f>
        <v>0</v>
      </c>
      <c r="BV647" s="128">
        <f>VLOOKUP($E647,[2]Current!$A:$AC,13,FALSE)</f>
        <v>0</v>
      </c>
      <c r="BW647" s="128">
        <f>BV647/$AS647</f>
        <v>0</v>
      </c>
      <c r="BX647" s="130">
        <f>IF(BY647&gt;0,1,0)</f>
        <v>0</v>
      </c>
      <c r="BY647" s="128">
        <f>VLOOKUP($E647,[2]Current!$A:$AC,14,FALSE)</f>
        <v>0</v>
      </c>
      <c r="BZ647" s="128">
        <f>BY647/$AS647</f>
        <v>0</v>
      </c>
      <c r="CA647" s="130">
        <f>IF(CB647&gt;0,1,0)</f>
        <v>0</v>
      </c>
      <c r="CB647" s="128">
        <f>VLOOKUP($E647,[2]Current!$A:$AC,15,FALSE)</f>
        <v>0</v>
      </c>
      <c r="CC647" s="128">
        <f>CB647/$AS647</f>
        <v>0</v>
      </c>
      <c r="CD647" s="174">
        <f>IF(CE647&gt;0,1,0)</f>
        <v>0</v>
      </c>
      <c r="CE647" s="128">
        <f>VLOOKUP($E647,[2]Current!$A:$AC,16,FALSE)</f>
        <v>0</v>
      </c>
      <c r="CF647" s="128">
        <f>CE647/$AS647</f>
        <v>0</v>
      </c>
      <c r="CG647" s="18"/>
      <c r="CH647" s="18"/>
      <c r="CI647" s="18"/>
      <c r="CJ647" s="130">
        <f>IF(CK647&gt;0,1,0)</f>
        <v>0</v>
      </c>
      <c r="CK647" s="128">
        <f>VLOOKUP($E647,[2]Current!$A:$AC,18,FALSE)</f>
        <v>0</v>
      </c>
      <c r="CL647" s="128">
        <f>CK647/$AS647</f>
        <v>0</v>
      </c>
      <c r="CS647" s="130">
        <f>IF(CU647&gt;0,1,0)</f>
        <v>0</v>
      </c>
      <c r="CU647" s="128">
        <f>VLOOKUP($E647,[2]Current!$A:$AC,17,FALSE)</f>
        <v>0</v>
      </c>
      <c r="CV647" s="128">
        <f>CU647/$AS647</f>
        <v>0</v>
      </c>
      <c r="CW647" s="18"/>
      <c r="CX647" s="18"/>
      <c r="CY647" s="18"/>
      <c r="DF647" s="16" t="e">
        <f>VLOOKUP(K647,'[3]RNA Seq summary tables'!$V$3:$V$99,1,FALSE)</f>
        <v>#N/A</v>
      </c>
      <c r="DG647" s="126" t="s">
        <v>116</v>
      </c>
    </row>
    <row r="648" spans="2:287" ht="16" x14ac:dyDescent="0.2">
      <c r="B648" s="16">
        <v>2018</v>
      </c>
      <c r="C648" s="124">
        <v>43288</v>
      </c>
      <c r="D648" t="s">
        <v>934</v>
      </c>
      <c r="E648" s="37" t="str">
        <f>CONCATENATE(T648,"-",U648,"-",C648)</f>
        <v>SP1-A2-43288</v>
      </c>
      <c r="F648" s="16" t="s">
        <v>227</v>
      </c>
      <c r="G648" s="126" t="s">
        <v>107</v>
      </c>
      <c r="H648" s="126"/>
      <c r="J648" s="126">
        <v>1501</v>
      </c>
      <c r="K648" s="126">
        <v>2593</v>
      </c>
      <c r="O648" s="126" t="s">
        <v>119</v>
      </c>
      <c r="P648" s="18" t="s">
        <v>119</v>
      </c>
      <c r="Q648" s="18">
        <v>0</v>
      </c>
      <c r="R648" s="18">
        <f>IF(J648=J647,C648-C647,"")</f>
        <v>18</v>
      </c>
      <c r="T648" s="126" t="s">
        <v>140</v>
      </c>
      <c r="U648" s="126" t="s">
        <v>171</v>
      </c>
      <c r="V648" s="126" t="s">
        <v>114</v>
      </c>
      <c r="X648" s="126" t="s">
        <v>115</v>
      </c>
      <c r="Y648" s="126" t="s">
        <v>110</v>
      </c>
      <c r="Z648" s="126">
        <v>3</v>
      </c>
      <c r="AA648" s="126"/>
      <c r="AB648" s="126"/>
      <c r="AC648" s="126"/>
      <c r="AD648" s="126" t="s">
        <v>116</v>
      </c>
      <c r="AE648" s="126" t="s">
        <v>116</v>
      </c>
      <c r="AG648" s="16">
        <f>AH648-AI648</f>
        <v>91</v>
      </c>
      <c r="AH648" s="126">
        <v>166</v>
      </c>
      <c r="AI648" s="126">
        <v>75</v>
      </c>
      <c r="AK648" s="126">
        <v>23</v>
      </c>
      <c r="AL648" s="126">
        <v>1</v>
      </c>
      <c r="AM648" s="126">
        <v>0</v>
      </c>
      <c r="AN648" s="126">
        <v>0</v>
      </c>
      <c r="AO648" s="16">
        <f>IF(SUM(AL648:AN648)&gt;0,1,0)</f>
        <v>1</v>
      </c>
      <c r="AP648" s="18">
        <f>SUM(AL648:AN648)</f>
        <v>1</v>
      </c>
      <c r="AR648" s="16">
        <v>0.46900000000000008</v>
      </c>
      <c r="AS648" s="16">
        <f>VLOOKUP(E648,'[1]Feces weights'!$D$1:$H$459,5,FALSE)</f>
        <v>0.46900000000000008</v>
      </c>
      <c r="AT648" s="16" t="str">
        <f>VLOOKUP(E648,[2]Current!$A$1:$W$435,7,FALSE)</f>
        <v>JB</v>
      </c>
      <c r="AU648" s="16" t="s">
        <v>1288</v>
      </c>
      <c r="AV648" s="23">
        <v>1</v>
      </c>
      <c r="AW648" s="128">
        <f>IF(AX648&gt;0,1,0)</f>
        <v>0</v>
      </c>
      <c r="AX648" s="128">
        <f>SUM(BA648,BM648,CU648)</f>
        <v>0</v>
      </c>
      <c r="AY648" s="128">
        <f>SUM(BB648,BN648,CV648)</f>
        <v>0</v>
      </c>
      <c r="AZ648" s="128">
        <f>IF(BA648&gt;0,1,0)</f>
        <v>0</v>
      </c>
      <c r="BA648" s="128">
        <f>SUM(BC648+BF648+BI648)</f>
        <v>0</v>
      </c>
      <c r="BB648" s="128">
        <f>SUM(BE648,BH648,BK648)</f>
        <v>0</v>
      </c>
      <c r="BC648" s="130">
        <f>IF(BD648&gt;0,1,0)</f>
        <v>0</v>
      </c>
      <c r="BD648" s="128">
        <f>VLOOKUP($E648,[2]Current!$A:$AC,26,FALSE)</f>
        <v>0</v>
      </c>
      <c r="BE648" s="128">
        <f>BD648/$AS648</f>
        <v>0</v>
      </c>
      <c r="BF648" s="130">
        <f>IF(BG648&gt;0,1,0)</f>
        <v>0</v>
      </c>
      <c r="BG648" s="175">
        <f>VLOOKUP($E648,[2]Current!$A:$AC,27,FALSE)</f>
        <v>0</v>
      </c>
      <c r="BH648" s="128">
        <f>BG648/$AS648</f>
        <v>0</v>
      </c>
      <c r="BI648" s="130">
        <f>IF(BJ648&gt;0,1,0)</f>
        <v>0</v>
      </c>
      <c r="BJ648" s="128">
        <f>VLOOKUP($E648,[2]Current!$A:$AC,28,FALSE)</f>
        <v>0</v>
      </c>
      <c r="BK648" s="128">
        <f>BJ648/$AS648</f>
        <v>0</v>
      </c>
      <c r="BL648" s="128">
        <f>IF(BM648&gt;0,1,0)</f>
        <v>0</v>
      </c>
      <c r="BM648" s="128">
        <f>SUM(BR648,BU648,BX648,CA648,CD648)</f>
        <v>0</v>
      </c>
      <c r="BN648" s="131">
        <f>SUM(BT648,BW648,BZ648,CC648,CF648)</f>
        <v>0</v>
      </c>
      <c r="BO648" s="128">
        <f>IF(BP648&gt;0,1,0)</f>
        <v>1</v>
      </c>
      <c r="BP648" s="128">
        <f>BM648+CJ648</f>
        <v>1</v>
      </c>
      <c r="BQ648" s="128">
        <f>BN648+CL648</f>
        <v>6.3965884861407236</v>
      </c>
      <c r="BR648" s="130">
        <f>IF(BS648&gt;0,1,0)</f>
        <v>0</v>
      </c>
      <c r="BS648" s="128">
        <f>VLOOKUP($E648,[2]Current!$A:$AC,12,FALSE)</f>
        <v>0</v>
      </c>
      <c r="BT648" s="137">
        <f>BS648/$AS648</f>
        <v>0</v>
      </c>
      <c r="BU648" s="130">
        <f>IF(BV648&gt;0,1,0)</f>
        <v>0</v>
      </c>
      <c r="BV648" s="128">
        <f>VLOOKUP($E648,[2]Current!$A:$AC,13,FALSE)</f>
        <v>0</v>
      </c>
      <c r="BW648" s="128">
        <f>BV648/$AS648</f>
        <v>0</v>
      </c>
      <c r="BX648" s="130">
        <f>IF(BY648&gt;0,1,0)</f>
        <v>0</v>
      </c>
      <c r="BY648" s="128">
        <f>VLOOKUP($E648,[2]Current!$A:$AC,14,FALSE)</f>
        <v>0</v>
      </c>
      <c r="BZ648" s="128">
        <f>BY648/$AS648</f>
        <v>0</v>
      </c>
      <c r="CA648" s="130">
        <f>IF(CB648&gt;0,1,0)</f>
        <v>0</v>
      </c>
      <c r="CB648" s="128">
        <f>VLOOKUP($E648,[2]Current!$A:$AC,15,FALSE)</f>
        <v>0</v>
      </c>
      <c r="CC648" s="128">
        <f>CB648/$AS648</f>
        <v>0</v>
      </c>
      <c r="CD648" s="174">
        <f>IF(CE648&gt;0,1,0)</f>
        <v>0</v>
      </c>
      <c r="CE648" s="128">
        <f>VLOOKUP($E648,[2]Current!$A:$AC,16,FALSE)</f>
        <v>0</v>
      </c>
      <c r="CF648" s="128">
        <f>CE648/$AS648</f>
        <v>0</v>
      </c>
      <c r="CG648" s="18"/>
      <c r="CH648" s="18"/>
      <c r="CI648" s="18"/>
      <c r="CJ648" s="130">
        <f>IF(CK648&gt;0,1,0)</f>
        <v>1</v>
      </c>
      <c r="CK648" s="128">
        <f>VLOOKUP($E648,[2]Current!$A:$AC,18,FALSE)</f>
        <v>3</v>
      </c>
      <c r="CL648" s="128">
        <f>CK648/$AS648</f>
        <v>6.3965884861407236</v>
      </c>
      <c r="CS648" s="130">
        <f>IF(CU648&gt;0,1,0)</f>
        <v>0</v>
      </c>
      <c r="CU648" s="128">
        <f>VLOOKUP($E648,[2]Current!$A:$AC,17,FALSE)</f>
        <v>0</v>
      </c>
      <c r="CV648" s="128">
        <f>CU648/$AS648</f>
        <v>0</v>
      </c>
      <c r="CW648" s="18"/>
      <c r="CX648" s="18"/>
      <c r="CY648" s="18"/>
      <c r="DF648" s="16" t="e">
        <f>VLOOKUP(K648,'[3]RNA Seq summary tables'!$V$3:$V$99,1,FALSE)</f>
        <v>#N/A</v>
      </c>
      <c r="DG648" s="126" t="s">
        <v>116</v>
      </c>
    </row>
    <row r="649" spans="2:287" ht="16" x14ac:dyDescent="0.2">
      <c r="B649" s="16">
        <v>2018</v>
      </c>
      <c r="C649" s="124">
        <v>43301</v>
      </c>
      <c r="D649" t="s">
        <v>1022</v>
      </c>
      <c r="E649" s="142" t="str">
        <f>CONCATENATE(T649,"-",U649,"-",C649)</f>
        <v>SP1-A2-43301</v>
      </c>
      <c r="F649" s="16" t="s">
        <v>227</v>
      </c>
      <c r="G649" s="126" t="s">
        <v>107</v>
      </c>
      <c r="H649" s="126"/>
      <c r="J649" s="126">
        <v>1501</v>
      </c>
      <c r="K649" s="126">
        <v>2655</v>
      </c>
      <c r="O649" s="126" t="s">
        <v>119</v>
      </c>
      <c r="P649" s="18" t="s">
        <v>119</v>
      </c>
      <c r="Q649" s="18">
        <v>0</v>
      </c>
      <c r="R649" s="18">
        <f>IF(J649=J648,C649-C648,"")</f>
        <v>13</v>
      </c>
      <c r="T649" s="126" t="s">
        <v>140</v>
      </c>
      <c r="U649" s="126" t="s">
        <v>171</v>
      </c>
      <c r="V649" s="126" t="s">
        <v>114</v>
      </c>
      <c r="X649" s="126" t="s">
        <v>115</v>
      </c>
      <c r="Y649" s="126" t="s">
        <v>110</v>
      </c>
      <c r="Z649" s="126">
        <v>3</v>
      </c>
      <c r="AA649" s="126"/>
      <c r="AB649" s="126"/>
      <c r="AC649" s="126"/>
      <c r="AD649" s="126" t="s">
        <v>116</v>
      </c>
      <c r="AE649" s="126" t="s">
        <v>116</v>
      </c>
      <c r="AG649" s="40">
        <f>AH649-AI649</f>
        <v>95</v>
      </c>
      <c r="AH649" s="126">
        <v>170</v>
      </c>
      <c r="AI649" s="126">
        <v>75</v>
      </c>
      <c r="AK649" s="126">
        <v>22.5</v>
      </c>
      <c r="AL649" s="126">
        <v>0</v>
      </c>
      <c r="AM649" s="126">
        <v>0</v>
      </c>
      <c r="AN649" s="126">
        <v>0</v>
      </c>
      <c r="AO649" s="16">
        <f>IF(SUM(AL649:AN649)&gt;0,1,0)</f>
        <v>0</v>
      </c>
      <c r="AP649" s="18">
        <f>SUM(AL649:AN649)</f>
        <v>0</v>
      </c>
      <c r="AR649" s="16">
        <v>0.47900000000000009</v>
      </c>
      <c r="AS649" s="16">
        <f>VLOOKUP(E649,'[1]Feces weights'!$D$1:$H$459,5,FALSE)</f>
        <v>0.47900000000000009</v>
      </c>
      <c r="AT649" s="16" t="e">
        <f>VLOOKUP(E649,[2]Current!$A$1:$W$435,7,FALSE)</f>
        <v>#N/A</v>
      </c>
      <c r="AU649" s="16">
        <v>0</v>
      </c>
      <c r="BG649" s="23"/>
      <c r="BN649" s="126"/>
      <c r="BT649" s="78"/>
      <c r="BU649" s="18"/>
      <c r="BV649" s="18"/>
      <c r="BW649" s="25"/>
      <c r="BX649" s="18"/>
      <c r="BY649" s="18"/>
      <c r="BZ649" s="25"/>
      <c r="CA649" s="18"/>
      <c r="CB649" s="18"/>
      <c r="CC649" s="25"/>
      <c r="CD649" s="78"/>
      <c r="CE649" s="18"/>
      <c r="CF649" s="25"/>
      <c r="CG649" s="18"/>
      <c r="CH649" s="18"/>
      <c r="CI649" s="18"/>
      <c r="CJ649" s="18"/>
      <c r="CK649" s="18"/>
      <c r="CL649" s="25"/>
      <c r="DF649" s="16" t="e">
        <f>VLOOKUP(K649,'[3]RNA Seq summary tables'!$V$3:$V$99,1,FALSE)</f>
        <v>#N/A</v>
      </c>
      <c r="DG649" s="126" t="s">
        <v>123</v>
      </c>
    </row>
    <row r="650" spans="2:287" ht="16" x14ac:dyDescent="0.2">
      <c r="B650" s="16">
        <v>2018</v>
      </c>
      <c r="C650" s="147">
        <v>43313</v>
      </c>
      <c r="D650" t="s">
        <v>1210</v>
      </c>
      <c r="E650" s="20" t="str">
        <f>CONCATENATE(T650,"-",U650,"-",C650)</f>
        <v>SP1-C1-43313</v>
      </c>
      <c r="F650" s="16" t="s">
        <v>227</v>
      </c>
      <c r="G650" s="145" t="s">
        <v>107</v>
      </c>
      <c r="H650" s="145"/>
      <c r="I650" s="145"/>
      <c r="J650" s="145">
        <v>1501</v>
      </c>
      <c r="K650" s="145">
        <v>2725</v>
      </c>
      <c r="M650" s="16"/>
      <c r="N650" s="16"/>
      <c r="O650" s="145" t="s">
        <v>119</v>
      </c>
      <c r="P650" s="18" t="s">
        <v>119</v>
      </c>
      <c r="Q650" s="18">
        <v>0</v>
      </c>
      <c r="R650" s="18">
        <f>IF(J650=J649,C650-C649,"")</f>
        <v>12</v>
      </c>
      <c r="S650" s="145"/>
      <c r="T650" s="145" t="s">
        <v>140</v>
      </c>
      <c r="U650" s="145" t="s">
        <v>150</v>
      </c>
      <c r="V650" s="145" t="s">
        <v>114</v>
      </c>
      <c r="W650" s="145"/>
      <c r="X650" s="145" t="s">
        <v>115</v>
      </c>
      <c r="Y650" s="145" t="s">
        <v>110</v>
      </c>
      <c r="Z650" s="145">
        <v>3</v>
      </c>
      <c r="AA650" s="145"/>
      <c r="AB650" s="145"/>
      <c r="AC650" s="145"/>
      <c r="AD650" s="145"/>
      <c r="AE650" s="145" t="s">
        <v>116</v>
      </c>
      <c r="AF650" s="145" t="s">
        <v>116</v>
      </c>
      <c r="AG650" s="145">
        <f>AH650-AI650</f>
        <v>87</v>
      </c>
      <c r="AH650" s="145">
        <v>161</v>
      </c>
      <c r="AI650" s="145">
        <v>74</v>
      </c>
      <c r="AJ650" s="145"/>
      <c r="AK650" s="145">
        <v>27</v>
      </c>
      <c r="AL650" s="145">
        <v>0</v>
      </c>
      <c r="AM650" s="145">
        <v>0</v>
      </c>
      <c r="AN650" s="145">
        <v>1</v>
      </c>
      <c r="AO650" s="16">
        <f>IF(SUM(AL650:AN650)&gt;0, 1,0)</f>
        <v>1</v>
      </c>
      <c r="AP650" s="16">
        <f>SUM(AL650:AN650)</f>
        <v>1</v>
      </c>
      <c r="AS650" s="16">
        <f>VLOOKUP(E650,'[1]Feces weights'!$D$1:$H$459,5,FALSE)</f>
        <v>0.31700000000000017</v>
      </c>
      <c r="AT650" s="16" t="e">
        <f>VLOOKUP(E650,[2]Current!$A$1:$W$435,7,FALSE)</f>
        <v>#N/A</v>
      </c>
      <c r="BG650" s="23"/>
      <c r="BT650" s="77"/>
      <c r="CD650" s="77"/>
      <c r="DG650" s="145" t="s">
        <v>116</v>
      </c>
      <c r="DT650" s="145" t="s">
        <v>123</v>
      </c>
      <c r="DU650" s="145"/>
      <c r="DX650" s="145"/>
      <c r="DY650" s="145"/>
      <c r="DZ650" s="16"/>
      <c r="EA650" s="16"/>
      <c r="EB650" s="16"/>
      <c r="EC650" s="16"/>
      <c r="ED650" s="16"/>
      <c r="EE650" s="16"/>
      <c r="EF650" s="16"/>
      <c r="JO650" s="18"/>
      <c r="JP650" s="18"/>
      <c r="JQ650" s="18"/>
      <c r="JR650" s="18"/>
      <c r="JS650" s="18"/>
      <c r="JT650" s="18"/>
      <c r="JU650" s="18"/>
      <c r="JV650" s="18"/>
      <c r="JW650" s="18"/>
      <c r="JX650" s="18"/>
      <c r="JY650" s="18"/>
      <c r="JZ650" s="18"/>
      <c r="KA650" s="18"/>
    </row>
    <row r="651" spans="2:287" ht="16" x14ac:dyDescent="0.2">
      <c r="B651" s="16">
        <v>2018</v>
      </c>
      <c r="C651" s="124">
        <v>43270</v>
      </c>
      <c r="D651" t="s">
        <v>835</v>
      </c>
      <c r="E651" s="37" t="str">
        <f>CONCATENATE(T651,"-",U651,"-",C651)</f>
        <v>SP1-F2-43270</v>
      </c>
      <c r="F651" s="16" t="s">
        <v>227</v>
      </c>
      <c r="G651" s="126" t="s">
        <v>107</v>
      </c>
      <c r="H651" s="126"/>
      <c r="J651" s="126">
        <v>1503</v>
      </c>
      <c r="K651" s="126">
        <v>2477</v>
      </c>
      <c r="O651" s="126" t="s">
        <v>119</v>
      </c>
      <c r="P651" s="18" t="s">
        <v>119</v>
      </c>
      <c r="Q651" s="18">
        <v>0</v>
      </c>
      <c r="R651" s="18" t="str">
        <f>IF(J651=J650,C651-C650,"")</f>
        <v/>
      </c>
      <c r="T651" s="126" t="s">
        <v>140</v>
      </c>
      <c r="U651" s="126" t="s">
        <v>187</v>
      </c>
      <c r="V651" s="126" t="s">
        <v>114</v>
      </c>
      <c r="X651" s="126" t="s">
        <v>121</v>
      </c>
      <c r="Y651" s="126" t="s">
        <v>110</v>
      </c>
      <c r="Z651" s="126">
        <v>3</v>
      </c>
      <c r="AA651" s="126" t="s">
        <v>119</v>
      </c>
      <c r="AB651" s="126" t="s">
        <v>123</v>
      </c>
      <c r="AC651" s="126" t="s">
        <v>116</v>
      </c>
      <c r="AD651" s="126"/>
      <c r="AE651" s="126"/>
      <c r="AG651" s="16">
        <f>AH651-AI651</f>
        <v>89</v>
      </c>
      <c r="AH651" s="126">
        <v>161</v>
      </c>
      <c r="AI651" s="126">
        <v>72</v>
      </c>
      <c r="AK651" s="126">
        <v>16</v>
      </c>
      <c r="AL651" s="126">
        <v>0</v>
      </c>
      <c r="AM651" s="126">
        <v>1</v>
      </c>
      <c r="AN651" s="126">
        <v>0</v>
      </c>
      <c r="AO651" s="16">
        <f>IF(SUM(AL651:AN651)&gt;0,1,0)</f>
        <v>1</v>
      </c>
      <c r="AP651" s="18">
        <f>SUM(AL651:AN651)</f>
        <v>1</v>
      </c>
      <c r="AR651" s="16">
        <v>7.2000000000000064E-2</v>
      </c>
      <c r="AS651" s="16">
        <f>VLOOKUP(E651,'[1]Feces weights'!$D$1:$H$459,5,FALSE)</f>
        <v>7.2000000000000064E-2</v>
      </c>
      <c r="AT651" s="16" t="str">
        <f>VLOOKUP(E651,[2]Current!$A$1:$W$435,7,FALSE)</f>
        <v>DP</v>
      </c>
      <c r="AU651" s="16" t="s">
        <v>1288</v>
      </c>
      <c r="AW651" s="128">
        <f>IF(AX651&gt;0,1,0)</f>
        <v>1</v>
      </c>
      <c r="AX651" s="128">
        <f>SUM(BA651,BM651,CU651)</f>
        <v>1</v>
      </c>
      <c r="AY651" s="128">
        <f>SUM(BB651,BN651,CV651)</f>
        <v>2305.5555555555534</v>
      </c>
      <c r="AZ651" s="128">
        <f>IF(BA651&gt;0,1,0)</f>
        <v>1</v>
      </c>
      <c r="BA651" s="128">
        <f>SUM(BC651+BF651+BI651)</f>
        <v>1</v>
      </c>
      <c r="BB651" s="128">
        <f>SUM(BE651,BH651,BK651)</f>
        <v>2305.5555555555534</v>
      </c>
      <c r="BC651" s="130">
        <f>IF(BD651&gt;0,1,0)</f>
        <v>0</v>
      </c>
      <c r="BD651" s="128">
        <f>VLOOKUP($E651,[2]Current!$A:$AC,26,FALSE)</f>
        <v>0</v>
      </c>
      <c r="BE651" s="128">
        <f>BD651/$AS651</f>
        <v>0</v>
      </c>
      <c r="BF651" s="130">
        <f>IF(BG651&gt;0,1,0)</f>
        <v>1</v>
      </c>
      <c r="BG651" s="175">
        <f>VLOOKUP($E651,[2]Current!$A:$AC,27,FALSE)</f>
        <v>166</v>
      </c>
      <c r="BH651" s="128">
        <f>BG651/$AS651</f>
        <v>2305.5555555555534</v>
      </c>
      <c r="BI651" s="130">
        <f>IF(BJ651&gt;0,1,0)</f>
        <v>0</v>
      </c>
      <c r="BJ651" s="128">
        <f>VLOOKUP($E651,[2]Current!$A:$AC,28,FALSE)</f>
        <v>0</v>
      </c>
      <c r="BK651" s="128">
        <f>BJ651/$AS651</f>
        <v>0</v>
      </c>
      <c r="BL651" s="128">
        <f>IF(BM651&gt;0,1,0)</f>
        <v>0</v>
      </c>
      <c r="BM651" s="128">
        <f>SUM(BR651,BU651,BX651,CA651,CD651)</f>
        <v>0</v>
      </c>
      <c r="BN651" s="131">
        <f>SUM(BT651,BW651,BZ651,CC651,CF651)</f>
        <v>0</v>
      </c>
      <c r="BO651" s="128">
        <f>IF(BP651&gt;0,1,0)</f>
        <v>0</v>
      </c>
      <c r="BP651" s="128">
        <f>BM651+CJ651</f>
        <v>0</v>
      </c>
      <c r="BQ651" s="128">
        <f>BN651+CL651</f>
        <v>0</v>
      </c>
      <c r="BR651" s="130">
        <f>IF(BS651&gt;0,1,0)</f>
        <v>0</v>
      </c>
      <c r="BS651" s="128">
        <f>VLOOKUP($E651,[2]Current!$A:$AC,12,FALSE)</f>
        <v>0</v>
      </c>
      <c r="BT651" s="137">
        <f>BS651/$AS651</f>
        <v>0</v>
      </c>
      <c r="BU651" s="130">
        <f>IF(BV651&gt;0,1,0)</f>
        <v>0</v>
      </c>
      <c r="BV651" s="128">
        <f>VLOOKUP($E651,[2]Current!$A:$AC,13,FALSE)</f>
        <v>0</v>
      </c>
      <c r="BW651" s="128">
        <f>BV651/$AS651</f>
        <v>0</v>
      </c>
      <c r="BX651" s="130">
        <f>IF(BY651&gt;0,1,0)</f>
        <v>0</v>
      </c>
      <c r="BY651" s="128">
        <f>VLOOKUP($E651,[2]Current!$A:$AC,14,FALSE)</f>
        <v>0</v>
      </c>
      <c r="BZ651" s="128">
        <f>BY651/$AS651</f>
        <v>0</v>
      </c>
      <c r="CA651" s="130">
        <f>IF(CB651&gt;0,1,0)</f>
        <v>0</v>
      </c>
      <c r="CB651" s="128">
        <f>VLOOKUP($E651,[2]Current!$A:$AC,15,FALSE)</f>
        <v>0</v>
      </c>
      <c r="CC651" s="128">
        <f>CB651/$AS651</f>
        <v>0</v>
      </c>
      <c r="CD651" s="174">
        <f>IF(CE651&gt;0,1,0)</f>
        <v>0</v>
      </c>
      <c r="CE651" s="128">
        <f>VLOOKUP($E651,[2]Current!$A:$AC,16,FALSE)</f>
        <v>0</v>
      </c>
      <c r="CF651" s="128">
        <f>CE651/$AS651</f>
        <v>0</v>
      </c>
      <c r="CG651" s="18"/>
      <c r="CH651" s="18"/>
      <c r="CI651" s="18"/>
      <c r="CJ651" s="130">
        <f>IF(CK651&gt;0,1,0)</f>
        <v>0</v>
      </c>
      <c r="CK651" s="128">
        <f>VLOOKUP($E651,[2]Current!$A:$AC,18,FALSE)</f>
        <v>0</v>
      </c>
      <c r="CL651" s="128">
        <f>CK651/$AS651</f>
        <v>0</v>
      </c>
      <c r="CS651" s="130">
        <f>IF(CU651&gt;0,1,0)</f>
        <v>0</v>
      </c>
      <c r="CU651" s="128">
        <f>VLOOKUP($E651,[2]Current!$A:$AC,17,FALSE)</f>
        <v>0</v>
      </c>
      <c r="CV651" s="128">
        <f>CU651/$AS651</f>
        <v>0</v>
      </c>
      <c r="CW651" s="18"/>
      <c r="CX651" s="18"/>
      <c r="CY651" s="18"/>
      <c r="DF651" s="16" t="e">
        <f>VLOOKUP(K651,'[3]RNA Seq summary tables'!$V$3:$V$99,1,FALSE)</f>
        <v>#N/A</v>
      </c>
      <c r="DG651" s="126" t="s">
        <v>116</v>
      </c>
    </row>
    <row r="652" spans="2:287" ht="16" x14ac:dyDescent="0.2">
      <c r="B652" s="16">
        <v>2018</v>
      </c>
      <c r="C652" s="124">
        <v>43271</v>
      </c>
      <c r="D652" t="s">
        <v>841</v>
      </c>
      <c r="E652" s="37" t="str">
        <f>CONCATENATE(T652,"-",U652,"-",C652)</f>
        <v>SP1-D3-43271</v>
      </c>
      <c r="F652" s="16" t="s">
        <v>227</v>
      </c>
      <c r="G652" s="126" t="s">
        <v>107</v>
      </c>
      <c r="H652" s="126"/>
      <c r="J652" s="126">
        <v>1505</v>
      </c>
      <c r="K652" s="126">
        <v>2479</v>
      </c>
      <c r="O652" s="126" t="s">
        <v>119</v>
      </c>
      <c r="P652" s="18" t="s">
        <v>119</v>
      </c>
      <c r="Q652" s="18">
        <v>0</v>
      </c>
      <c r="R652" s="18" t="str">
        <f>IF(J652=J651,C652-C651,"")</f>
        <v/>
      </c>
      <c r="T652" s="126" t="s">
        <v>140</v>
      </c>
      <c r="U652" s="126" t="s">
        <v>149</v>
      </c>
      <c r="V652" s="127" t="s">
        <v>142</v>
      </c>
      <c r="X652" s="126" t="s">
        <v>115</v>
      </c>
      <c r="Y652" s="126" t="s">
        <v>110</v>
      </c>
      <c r="Z652" s="126">
        <v>3</v>
      </c>
      <c r="AA652" s="126"/>
      <c r="AB652" s="126"/>
      <c r="AC652" s="126"/>
      <c r="AD652" s="126"/>
      <c r="AE652" s="126" t="s">
        <v>116</v>
      </c>
      <c r="AG652" s="16">
        <f>AH652-AI652</f>
        <v>94</v>
      </c>
      <c r="AH652" s="126">
        <v>181</v>
      </c>
      <c r="AI652" s="126">
        <v>87</v>
      </c>
      <c r="AK652" s="126">
        <v>19.5</v>
      </c>
      <c r="AL652" s="126">
        <v>0</v>
      </c>
      <c r="AM652" s="126">
        <v>0</v>
      </c>
      <c r="AN652" s="126">
        <v>0</v>
      </c>
      <c r="AO652" s="16">
        <f>IF(SUM(AL652:AN652)&gt;0,1,0)</f>
        <v>0</v>
      </c>
      <c r="AP652" s="18">
        <f>SUM(AL652:AN652)</f>
        <v>0</v>
      </c>
      <c r="AR652" s="16">
        <v>0.3510000000000002</v>
      </c>
      <c r="AS652" s="16">
        <f>VLOOKUP(E652,'[1]Feces weights'!$D$1:$H$459,5,FALSE)</f>
        <v>0.3510000000000002</v>
      </c>
      <c r="AT652" s="16" t="str">
        <f>VLOOKUP(E652,[2]Current!$A$1:$W$435,7,FALSE)</f>
        <v>TE</v>
      </c>
      <c r="AU652" s="16" t="s">
        <v>1288</v>
      </c>
      <c r="AW652" s="128">
        <f>IF(AX652&gt;0,1,0)</f>
        <v>1</v>
      </c>
      <c r="AX652" s="128">
        <f>SUM(BA652,BM652,CU652)</f>
        <v>2</v>
      </c>
      <c r="AY652" s="128">
        <f>SUM(BB652,BN652,CV652)</f>
        <v>2159.5441595441584</v>
      </c>
      <c r="AZ652" s="128">
        <f>IF(BA652&gt;0,1,0)</f>
        <v>1</v>
      </c>
      <c r="BA652" s="128">
        <f>SUM(BC652+BF652+BI652)</f>
        <v>2</v>
      </c>
      <c r="BB652" s="128">
        <f>SUM(BE652,BH652,BK652)</f>
        <v>2159.5441595441584</v>
      </c>
      <c r="BC652" s="130">
        <f>IF(BD652&gt;0,1,0)</f>
        <v>1</v>
      </c>
      <c r="BD652" s="128">
        <f>VLOOKUP($E652,[2]Current!$A:$AC,26,FALSE)</f>
        <v>42</v>
      </c>
      <c r="BE652" s="128">
        <f>BD652/$AS652</f>
        <v>119.65811965811959</v>
      </c>
      <c r="BF652" s="130">
        <f>IF(BG652&gt;0,1,0)</f>
        <v>0</v>
      </c>
      <c r="BG652" s="175">
        <f>VLOOKUP($E652,[2]Current!$A:$AC,27,FALSE)</f>
        <v>0</v>
      </c>
      <c r="BH652" s="128">
        <f>BG652/$AS652</f>
        <v>0</v>
      </c>
      <c r="BI652" s="130">
        <f>IF(BJ652&gt;0,1,0)</f>
        <v>1</v>
      </c>
      <c r="BJ652" s="128">
        <f>VLOOKUP($E652,[2]Current!$A:$AC,28,FALSE)</f>
        <v>716</v>
      </c>
      <c r="BK652" s="128">
        <f>BJ652/$AS652</f>
        <v>2039.8860398860388</v>
      </c>
      <c r="BL652" s="128">
        <f>IF(BM652&gt;0,1,0)</f>
        <v>0</v>
      </c>
      <c r="BM652" s="128">
        <f>SUM(BR652,BU652,BX652,CA652,CD652)</f>
        <v>0</v>
      </c>
      <c r="BN652" s="131">
        <f>SUM(BT652,BW652,BZ652,CC652,CF652)</f>
        <v>0</v>
      </c>
      <c r="BO652" s="128">
        <f>IF(BP652&gt;0,1,0)</f>
        <v>0</v>
      </c>
      <c r="BP652" s="128">
        <f>BM652+CJ652</f>
        <v>0</v>
      </c>
      <c r="BQ652" s="128">
        <f>BN652+CL652</f>
        <v>0</v>
      </c>
      <c r="BR652" s="130">
        <f>IF(BS652&gt;0,1,0)</f>
        <v>0</v>
      </c>
      <c r="BS652" s="128">
        <f>VLOOKUP($E652,[2]Current!$A:$AC,12,FALSE)</f>
        <v>0</v>
      </c>
      <c r="BT652" s="137">
        <f>BS652/$AS652</f>
        <v>0</v>
      </c>
      <c r="BU652" s="130">
        <f>IF(BV652&gt;0,1,0)</f>
        <v>0</v>
      </c>
      <c r="BV652" s="128">
        <f>VLOOKUP($E652,[2]Current!$A:$AC,13,FALSE)</f>
        <v>0</v>
      </c>
      <c r="BW652" s="128">
        <f>BV652/$AS652</f>
        <v>0</v>
      </c>
      <c r="BX652" s="130">
        <f>IF(BY652&gt;0,1,0)</f>
        <v>0</v>
      </c>
      <c r="BY652" s="128">
        <f>VLOOKUP($E652,[2]Current!$A:$AC,14,FALSE)</f>
        <v>0</v>
      </c>
      <c r="BZ652" s="128">
        <f>BY652/$AS652</f>
        <v>0</v>
      </c>
      <c r="CA652" s="130">
        <f>IF(CB652&gt;0,1,0)</f>
        <v>0</v>
      </c>
      <c r="CB652" s="128">
        <f>VLOOKUP($E652,[2]Current!$A:$AC,15,FALSE)</f>
        <v>0</v>
      </c>
      <c r="CC652" s="128">
        <f>CB652/$AS652</f>
        <v>0</v>
      </c>
      <c r="CD652" s="174">
        <f>IF(CE652&gt;0,1,0)</f>
        <v>0</v>
      </c>
      <c r="CE652" s="128">
        <f>VLOOKUP($E652,[2]Current!$A:$AC,16,FALSE)</f>
        <v>0</v>
      </c>
      <c r="CF652" s="128">
        <f>CE652/$AS652</f>
        <v>0</v>
      </c>
      <c r="CG652" s="18"/>
      <c r="CH652" s="18"/>
      <c r="CI652" s="18"/>
      <c r="CJ652" s="130">
        <f>IF(CK652&gt;0,1,0)</f>
        <v>0</v>
      </c>
      <c r="CK652" s="128">
        <f>VLOOKUP($E652,[2]Current!$A:$AC,18,FALSE)</f>
        <v>0</v>
      </c>
      <c r="CL652" s="128">
        <f>CK652/$AS652</f>
        <v>0</v>
      </c>
      <c r="CS652" s="130">
        <f>IF(CU652&gt;0,1,0)</f>
        <v>0</v>
      </c>
      <c r="CT652" s="18"/>
      <c r="CU652" s="128">
        <f>VLOOKUP($E652,[2]Current!$A:$AC,17,FALSE)</f>
        <v>0</v>
      </c>
      <c r="CV652" s="128">
        <f>CU652/$AS652</f>
        <v>0</v>
      </c>
      <c r="CW652" s="18"/>
      <c r="CX652" s="18"/>
      <c r="CY652" s="18"/>
      <c r="DF652" s="16" t="e">
        <f>VLOOKUP(K652,'[3]RNA Seq summary tables'!$V$3:$V$99,1,FALSE)</f>
        <v>#N/A</v>
      </c>
      <c r="DG652" s="126" t="s">
        <v>116</v>
      </c>
    </row>
    <row r="653" spans="2:287" ht="16" x14ac:dyDescent="0.2">
      <c r="B653" s="16">
        <v>2018</v>
      </c>
      <c r="C653" s="124">
        <v>43274</v>
      </c>
      <c r="D653" t="s">
        <v>848</v>
      </c>
      <c r="E653" s="37" t="str">
        <f>CONCATENATE(T653,"-",U653,"-",C653)</f>
        <v>BC1-H5-43274</v>
      </c>
      <c r="F653" s="16" t="s">
        <v>227</v>
      </c>
      <c r="G653" s="126" t="s">
        <v>107</v>
      </c>
      <c r="H653" s="126"/>
      <c r="J653" s="126">
        <v>1507</v>
      </c>
      <c r="K653" s="126">
        <v>2485</v>
      </c>
      <c r="O653" s="126" t="s">
        <v>119</v>
      </c>
      <c r="P653" s="18" t="s">
        <v>119</v>
      </c>
      <c r="Q653" s="18">
        <v>0</v>
      </c>
      <c r="R653" s="18" t="str">
        <f>IF(J653=J652,C653-C652,"")</f>
        <v/>
      </c>
      <c r="T653" s="126" t="s">
        <v>159</v>
      </c>
      <c r="U653" s="126" t="s">
        <v>180</v>
      </c>
      <c r="V653" s="126" t="s">
        <v>114</v>
      </c>
      <c r="X653" s="126" t="s">
        <v>115</v>
      </c>
      <c r="Y653" s="126" t="s">
        <v>110</v>
      </c>
      <c r="Z653" s="126">
        <v>3</v>
      </c>
      <c r="AA653" s="126"/>
      <c r="AB653" s="126"/>
      <c r="AC653" s="126"/>
      <c r="AD653" s="126"/>
      <c r="AE653" s="126" t="s">
        <v>116</v>
      </c>
      <c r="AG653" s="16">
        <f>AH653-AI653</f>
        <v>89</v>
      </c>
      <c r="AH653" s="126">
        <v>165</v>
      </c>
      <c r="AI653" s="126">
        <v>76</v>
      </c>
      <c r="AK653" s="126">
        <v>24.5</v>
      </c>
      <c r="AL653" s="126">
        <v>0</v>
      </c>
      <c r="AM653" s="126">
        <v>0</v>
      </c>
      <c r="AN653" s="126">
        <v>0</v>
      </c>
      <c r="AO653" s="16">
        <f>IF(SUM(AL653:AN653)&gt;0,1,0)</f>
        <v>0</v>
      </c>
      <c r="AP653" s="18">
        <f>SUM(AL653:AN653)</f>
        <v>0</v>
      </c>
      <c r="AR653" s="16">
        <v>0.41700000000000004</v>
      </c>
      <c r="AS653" s="16">
        <f>VLOOKUP(E653,'[1]Feces weights'!$D$1:$H$459,5,FALSE)</f>
        <v>0.41700000000000004</v>
      </c>
      <c r="AT653" s="16" t="str">
        <f>VLOOKUP(E653,[2]Current!$A$1:$W$435,7,FALSE)</f>
        <v>TE</v>
      </c>
      <c r="AU653" s="16" t="s">
        <v>1288</v>
      </c>
      <c r="AW653" s="128">
        <f>IF(AX653&gt;0,1,0)</f>
        <v>1</v>
      </c>
      <c r="AX653" s="128">
        <f>SUM(BA653,BM653,CU653)</f>
        <v>2</v>
      </c>
      <c r="AY653" s="128">
        <f>SUM(BB653,BN653,CV653)</f>
        <v>12815.347721822542</v>
      </c>
      <c r="AZ653" s="128">
        <f>IF(BA653&gt;0,1,0)</f>
        <v>1</v>
      </c>
      <c r="BA653" s="128">
        <f>SUM(BC653+BF653+BI653)</f>
        <v>2</v>
      </c>
      <c r="BB653" s="128">
        <f>SUM(BE653,BH653,BK653)</f>
        <v>12815.347721822542</v>
      </c>
      <c r="BC653" s="130">
        <f>IF(BD653&gt;0,1,0)</f>
        <v>1</v>
      </c>
      <c r="BD653" s="128">
        <f>VLOOKUP($E653,[2]Current!$A:$AC,26,FALSE)</f>
        <v>552</v>
      </c>
      <c r="BE653" s="128">
        <f>BD653/$AS653</f>
        <v>1323.7410071942445</v>
      </c>
      <c r="BF653" s="130">
        <f>IF(BG653&gt;0,1,0)</f>
        <v>0</v>
      </c>
      <c r="BG653" s="175">
        <f>VLOOKUP($E653,[2]Current!$A:$AC,27,FALSE)</f>
        <v>0</v>
      </c>
      <c r="BH653" s="128">
        <f>BG653/$AS653</f>
        <v>0</v>
      </c>
      <c r="BI653" s="130">
        <f>IF(BJ653&gt;0,1,0)</f>
        <v>1</v>
      </c>
      <c r="BJ653" s="128">
        <f>VLOOKUP($E653,[2]Current!$A:$AC,28,FALSE)</f>
        <v>4792</v>
      </c>
      <c r="BK653" s="128">
        <f>BJ653/$AS653</f>
        <v>11491.606714628297</v>
      </c>
      <c r="BL653" s="128">
        <f>IF(BM653&gt;0,1,0)</f>
        <v>0</v>
      </c>
      <c r="BM653" s="128">
        <f>SUM(BR653,BU653,BX653,CA653,CD653)</f>
        <v>0</v>
      </c>
      <c r="BN653" s="131">
        <f>SUM(BT653,BW653,BZ653,CC653,CF653)</f>
        <v>0</v>
      </c>
      <c r="BO653" s="128">
        <f>IF(BP653&gt;0,1,0)</f>
        <v>0</v>
      </c>
      <c r="BP653" s="128">
        <f>BM653+CJ653</f>
        <v>0</v>
      </c>
      <c r="BQ653" s="128">
        <f>BN653+CL653</f>
        <v>0</v>
      </c>
      <c r="BR653" s="130">
        <f>IF(BS653&gt;0,1,0)</f>
        <v>0</v>
      </c>
      <c r="BS653" s="128">
        <f>VLOOKUP($E653,[2]Current!$A:$AC,12,FALSE)</f>
        <v>0</v>
      </c>
      <c r="BT653" s="137">
        <f>BS653/$AS653</f>
        <v>0</v>
      </c>
      <c r="BU653" s="130">
        <f>IF(BV653&gt;0,1,0)</f>
        <v>0</v>
      </c>
      <c r="BV653" s="128">
        <f>VLOOKUP($E653,[2]Current!$A:$AC,13,FALSE)</f>
        <v>0</v>
      </c>
      <c r="BW653" s="128">
        <f>BV653/$AS653</f>
        <v>0</v>
      </c>
      <c r="BX653" s="130">
        <f>IF(BY653&gt;0,1,0)</f>
        <v>0</v>
      </c>
      <c r="BY653" s="128">
        <f>VLOOKUP($E653,[2]Current!$A:$AC,14,FALSE)</f>
        <v>0</v>
      </c>
      <c r="BZ653" s="128">
        <f>BY653/$AS653</f>
        <v>0</v>
      </c>
      <c r="CA653" s="130">
        <f>IF(CB653&gt;0,1,0)</f>
        <v>0</v>
      </c>
      <c r="CB653" s="128">
        <f>VLOOKUP($E653,[2]Current!$A:$AC,15,FALSE)</f>
        <v>0</v>
      </c>
      <c r="CC653" s="128">
        <f>CB653/$AS653</f>
        <v>0</v>
      </c>
      <c r="CD653" s="174">
        <f>IF(CE653&gt;0,1,0)</f>
        <v>0</v>
      </c>
      <c r="CE653" s="128">
        <f>VLOOKUP($E653,[2]Current!$A:$AC,16,FALSE)</f>
        <v>0</v>
      </c>
      <c r="CF653" s="128">
        <f>CE653/$AS653</f>
        <v>0</v>
      </c>
      <c r="CG653" s="18"/>
      <c r="CH653" s="18"/>
      <c r="CI653" s="18"/>
      <c r="CJ653" s="130">
        <f>IF(CK653&gt;0,1,0)</f>
        <v>0</v>
      </c>
      <c r="CK653" s="128">
        <f>VLOOKUP($E653,[2]Current!$A:$AC,18,FALSE)</f>
        <v>0</v>
      </c>
      <c r="CL653" s="128">
        <f>CK653/$AS653</f>
        <v>0</v>
      </c>
      <c r="CS653" s="130">
        <f>IF(CU653&gt;0,1,0)</f>
        <v>0</v>
      </c>
      <c r="CU653" s="128">
        <f>VLOOKUP($E653,[2]Current!$A:$AC,17,FALSE)</f>
        <v>0</v>
      </c>
      <c r="CV653" s="128">
        <f>CU653/$AS653</f>
        <v>0</v>
      </c>
      <c r="CW653" s="18"/>
      <c r="CX653" s="18"/>
      <c r="CY653" s="18"/>
      <c r="DF653" s="16" t="e">
        <f>VLOOKUP(K653,'[3]RNA Seq summary tables'!$V$3:$V$99,1,FALSE)</f>
        <v>#N/A</v>
      </c>
      <c r="DG653" s="126" t="s">
        <v>116</v>
      </c>
    </row>
    <row r="654" spans="2:287" ht="16" x14ac:dyDescent="0.2">
      <c r="B654" s="16">
        <v>2018</v>
      </c>
      <c r="C654" s="124">
        <v>43292</v>
      </c>
      <c r="D654" t="s">
        <v>946</v>
      </c>
      <c r="E654" s="37" t="str">
        <f>CONCATENATE(T654,"-",U654,"-",C654)</f>
        <v>BC1-G8-43292</v>
      </c>
      <c r="F654" s="16" t="s">
        <v>227</v>
      </c>
      <c r="G654" s="126" t="s">
        <v>107</v>
      </c>
      <c r="H654" s="126"/>
      <c r="J654" s="126">
        <v>1507</v>
      </c>
      <c r="K654" s="126">
        <v>2580</v>
      </c>
      <c r="O654" s="126" t="s">
        <v>119</v>
      </c>
      <c r="P654" s="18" t="s">
        <v>119</v>
      </c>
      <c r="Q654" s="18">
        <v>0</v>
      </c>
      <c r="R654" s="18">
        <f>IF(J654=J653,C654-C653,"")</f>
        <v>18</v>
      </c>
      <c r="T654" s="126" t="s">
        <v>159</v>
      </c>
      <c r="U654" s="126" t="s">
        <v>216</v>
      </c>
      <c r="V654" s="126" t="s">
        <v>114</v>
      </c>
      <c r="X654" s="126" t="s">
        <v>115</v>
      </c>
      <c r="Y654" s="126" t="s">
        <v>110</v>
      </c>
      <c r="Z654" s="126">
        <v>3</v>
      </c>
      <c r="AA654" s="126"/>
      <c r="AB654" s="126"/>
      <c r="AC654" s="126"/>
      <c r="AD654" s="126"/>
      <c r="AE654" s="126" t="s">
        <v>116</v>
      </c>
      <c r="AG654" s="16">
        <f>AH654-AI654</f>
        <v>89</v>
      </c>
      <c r="AH654" s="126">
        <v>166</v>
      </c>
      <c r="AI654" s="126">
        <v>77</v>
      </c>
      <c r="AK654" s="126">
        <v>22</v>
      </c>
      <c r="AL654" s="126">
        <v>0</v>
      </c>
      <c r="AM654" s="126">
        <v>0</v>
      </c>
      <c r="AN654" s="126">
        <v>0</v>
      </c>
      <c r="AO654" s="16">
        <f>IF(SUM(AL654:AN654)&gt;0,1,0)</f>
        <v>0</v>
      </c>
      <c r="AP654" s="18">
        <f>SUM(AL654:AN654)</f>
        <v>0</v>
      </c>
      <c r="AR654" s="16">
        <v>0.34600000000000009</v>
      </c>
      <c r="AS654" s="16">
        <f>VLOOKUP(E654,'[1]Feces weights'!$D$1:$H$459,5,FALSE)</f>
        <v>0.34600000000000009</v>
      </c>
      <c r="AT654" s="16" t="str">
        <f>VLOOKUP(E654,[2]Current!$A$1:$W$435,7,FALSE)</f>
        <v>DP</v>
      </c>
      <c r="AU654" s="16" t="s">
        <v>1288</v>
      </c>
      <c r="AW654" s="128">
        <f>IF(AX654&gt;0,1,0)</f>
        <v>1</v>
      </c>
      <c r="AX654" s="128">
        <f>SUM(BA654,BM654,CU654)</f>
        <v>3</v>
      </c>
      <c r="AY654" s="128">
        <f>SUM(BB654,BN654,CV654)</f>
        <v>1439.3063583815026</v>
      </c>
      <c r="AZ654" s="128">
        <f>IF(BA654&gt;0,1,0)</f>
        <v>1</v>
      </c>
      <c r="BA654" s="128">
        <f>SUM(BC654+BF654+BI654)</f>
        <v>3</v>
      </c>
      <c r="BB654" s="128">
        <f>SUM(BE654,BH654,BK654)</f>
        <v>1439.3063583815026</v>
      </c>
      <c r="BC654" s="130">
        <f>IF(BD654&gt;0,1,0)</f>
        <v>1</v>
      </c>
      <c r="BD654" s="128">
        <f>VLOOKUP($E654,[2]Current!$A:$AC,26,FALSE)</f>
        <v>6</v>
      </c>
      <c r="BE654" s="128">
        <f>BD654/$AS654</f>
        <v>17.341040462427742</v>
      </c>
      <c r="BF654" s="130">
        <f>IF(BG654&gt;0,1,0)</f>
        <v>1</v>
      </c>
      <c r="BG654" s="175">
        <f>VLOOKUP($E654,[2]Current!$A:$AC,27,FALSE)</f>
        <v>462</v>
      </c>
      <c r="BH654" s="128">
        <f>BG654/$AS654</f>
        <v>1335.2601156069361</v>
      </c>
      <c r="BI654" s="130">
        <f>IF(BJ654&gt;0,1,0)</f>
        <v>1</v>
      </c>
      <c r="BJ654" s="128">
        <f>VLOOKUP($E654,[2]Current!$A:$AC,28,FALSE)</f>
        <v>30</v>
      </c>
      <c r="BK654" s="128">
        <f>BJ654/$AS654</f>
        <v>86.705202312138709</v>
      </c>
      <c r="BL654" s="128">
        <f>IF(BM654&gt;0,1,0)</f>
        <v>0</v>
      </c>
      <c r="BM654" s="128">
        <f>SUM(BR654,BU654,BX654,CA654,CD654)</f>
        <v>0</v>
      </c>
      <c r="BN654" s="131">
        <f>SUM(BT654,BW654,BZ654,CC654,CF654)</f>
        <v>0</v>
      </c>
      <c r="BO654" s="128">
        <f>IF(BP654&gt;0,1,0)</f>
        <v>0</v>
      </c>
      <c r="BP654" s="128">
        <f>BM654+CJ654</f>
        <v>0</v>
      </c>
      <c r="BQ654" s="128">
        <f>BN654+CL654</f>
        <v>0</v>
      </c>
      <c r="BR654" s="130">
        <f>IF(BS654&gt;0,1,0)</f>
        <v>0</v>
      </c>
      <c r="BS654" s="128">
        <f>VLOOKUP($E654,[2]Current!$A:$AC,12,FALSE)</f>
        <v>0</v>
      </c>
      <c r="BT654" s="137">
        <f>BS654/$AS654</f>
        <v>0</v>
      </c>
      <c r="BU654" s="130">
        <f>IF(BV654&gt;0,1,0)</f>
        <v>0</v>
      </c>
      <c r="BV654" s="128">
        <f>VLOOKUP($E654,[2]Current!$A:$AC,13,FALSE)</f>
        <v>0</v>
      </c>
      <c r="BW654" s="128">
        <f>BV654/$AS654</f>
        <v>0</v>
      </c>
      <c r="BX654" s="130">
        <f>IF(BY654&gt;0,1,0)</f>
        <v>0</v>
      </c>
      <c r="BY654" s="128">
        <f>VLOOKUP($E654,[2]Current!$A:$AC,14,FALSE)</f>
        <v>0</v>
      </c>
      <c r="BZ654" s="128">
        <f>BY654/$AS654</f>
        <v>0</v>
      </c>
      <c r="CA654" s="130">
        <f>IF(CB654&gt;0,1,0)</f>
        <v>0</v>
      </c>
      <c r="CB654" s="128">
        <f>VLOOKUP($E654,[2]Current!$A:$AC,15,FALSE)</f>
        <v>0</v>
      </c>
      <c r="CC654" s="128">
        <f>CB654/$AS654</f>
        <v>0</v>
      </c>
      <c r="CD654" s="174">
        <f>IF(CE654&gt;0,1,0)</f>
        <v>0</v>
      </c>
      <c r="CE654" s="128">
        <f>VLOOKUP($E654,[2]Current!$A:$AC,16,FALSE)</f>
        <v>0</v>
      </c>
      <c r="CF654" s="128">
        <f>CE654/$AS654</f>
        <v>0</v>
      </c>
      <c r="CG654" s="18"/>
      <c r="CH654" s="18"/>
      <c r="CI654" s="18"/>
      <c r="CJ654" s="130">
        <f>IF(CK654&gt;0,1,0)</f>
        <v>0</v>
      </c>
      <c r="CK654" s="128">
        <f>VLOOKUP($E654,[2]Current!$A:$AC,18,FALSE)</f>
        <v>0</v>
      </c>
      <c r="CL654" s="128">
        <f>CK654/$AS654</f>
        <v>0</v>
      </c>
      <c r="CS654" s="130">
        <f>IF(CU654&gt;0,1,0)</f>
        <v>0</v>
      </c>
      <c r="CU654" s="128">
        <f>VLOOKUP($E654,[2]Current!$A:$AC,17,FALSE)</f>
        <v>0</v>
      </c>
      <c r="CV654" s="128">
        <f>CU654/$AS654</f>
        <v>0</v>
      </c>
      <c r="CW654" s="18"/>
      <c r="CX654" s="18"/>
      <c r="CY654" s="18"/>
      <c r="DF654" s="16" t="e">
        <f>VLOOKUP(K654,'[3]RNA Seq summary tables'!$V$3:$V$99,1,FALSE)</f>
        <v>#N/A</v>
      </c>
      <c r="DG654" s="126" t="s">
        <v>116</v>
      </c>
    </row>
    <row r="655" spans="2:287" ht="16" x14ac:dyDescent="0.2">
      <c r="B655" s="16">
        <v>2018</v>
      </c>
      <c r="C655" s="124">
        <v>43274</v>
      </c>
      <c r="D655" t="s">
        <v>844</v>
      </c>
      <c r="E655" s="37" t="str">
        <f>CONCATENATE(T655,"-",U655,"-",C655)</f>
        <v>BC2-A4-43274</v>
      </c>
      <c r="F655" s="16" t="s">
        <v>227</v>
      </c>
      <c r="G655" s="126" t="s">
        <v>107</v>
      </c>
      <c r="H655" s="126"/>
      <c r="J655" s="126">
        <v>1509</v>
      </c>
      <c r="K655" s="126">
        <v>2488</v>
      </c>
      <c r="O655" s="126" t="s">
        <v>119</v>
      </c>
      <c r="P655" s="18" t="s">
        <v>119</v>
      </c>
      <c r="Q655" s="18">
        <v>0</v>
      </c>
      <c r="R655" s="18" t="str">
        <f>IF(J655=J654,C655-C654,"")</f>
        <v/>
      </c>
      <c r="T655" s="126" t="s">
        <v>154</v>
      </c>
      <c r="U655" s="126" t="s">
        <v>134</v>
      </c>
      <c r="V655" s="126" t="s">
        <v>114</v>
      </c>
      <c r="X655" s="126" t="s">
        <v>115</v>
      </c>
      <c r="Y655" s="126" t="s">
        <v>110</v>
      </c>
      <c r="Z655" s="126">
        <v>3</v>
      </c>
      <c r="AA655" s="126"/>
      <c r="AB655" s="126"/>
      <c r="AC655" s="126"/>
      <c r="AD655" s="126"/>
      <c r="AE655" s="126" t="s">
        <v>123</v>
      </c>
      <c r="AG655" s="16">
        <f>AH655-AI655</f>
        <v>86</v>
      </c>
      <c r="AH655" s="126">
        <v>159</v>
      </c>
      <c r="AI655" s="126">
        <v>73</v>
      </c>
      <c r="AK655" s="126">
        <v>18</v>
      </c>
      <c r="AL655" s="126">
        <v>0</v>
      </c>
      <c r="AM655" s="126">
        <v>0</v>
      </c>
      <c r="AN655" s="126">
        <v>0</v>
      </c>
      <c r="AO655" s="16">
        <f>IF(SUM(AL655:AN655)&gt;0,1,0)</f>
        <v>0</v>
      </c>
      <c r="AP655" s="18">
        <f>SUM(AL655:AN655)</f>
        <v>0</v>
      </c>
      <c r="AR655" s="16">
        <v>0.17000000000000015</v>
      </c>
      <c r="AS655" s="16">
        <f>VLOOKUP(E655,'[1]Feces weights'!$D$1:$H$459,5,FALSE)</f>
        <v>0.17000000000000015</v>
      </c>
      <c r="AT655" s="16" t="str">
        <f>VLOOKUP(E655,[2]Current!$A$1:$W$435,7,FALSE)</f>
        <v>DP</v>
      </c>
      <c r="AU655" s="16" t="s">
        <v>1288</v>
      </c>
      <c r="AV655" s="23">
        <v>1</v>
      </c>
      <c r="AW655" s="128">
        <f>IF(AX655&gt;0,1,0)</f>
        <v>0</v>
      </c>
      <c r="AX655" s="128">
        <f>SUM(BA655,BM655,CU655)</f>
        <v>0</v>
      </c>
      <c r="AY655" s="128">
        <f>SUM(BB655,BN655,CV655)</f>
        <v>0</v>
      </c>
      <c r="AZ655" s="128">
        <f>IF(BA655&gt;0,1,0)</f>
        <v>0</v>
      </c>
      <c r="BA655" s="128">
        <f>SUM(BC655+BF655+BI655)</f>
        <v>0</v>
      </c>
      <c r="BB655" s="128">
        <f>SUM(BE655,BH655,BK655)</f>
        <v>0</v>
      </c>
      <c r="BC655" s="130">
        <f>IF(BD655&gt;0,1,0)</f>
        <v>0</v>
      </c>
      <c r="BD655" s="128">
        <f>VLOOKUP($E655,[2]Current!$A:$AC,26,FALSE)</f>
        <v>0</v>
      </c>
      <c r="BE655" s="128">
        <f>BD655/$AS655</f>
        <v>0</v>
      </c>
      <c r="BF655" s="130">
        <f>IF(BG655&gt;0,1,0)</f>
        <v>0</v>
      </c>
      <c r="BG655" s="175">
        <f>VLOOKUP($E655,[2]Current!$A:$AC,27,FALSE)</f>
        <v>0</v>
      </c>
      <c r="BH655" s="128">
        <f>BG655/$AS655</f>
        <v>0</v>
      </c>
      <c r="BI655" s="130">
        <f>IF(BJ655&gt;0,1,0)</f>
        <v>0</v>
      </c>
      <c r="BJ655" s="128">
        <f>VLOOKUP($E655,[2]Current!$A:$AC,28,FALSE)</f>
        <v>0</v>
      </c>
      <c r="BK655" s="128">
        <f>BJ655/$AS655</f>
        <v>0</v>
      </c>
      <c r="BL655" s="128">
        <f>IF(BM655&gt;0,1,0)</f>
        <v>0</v>
      </c>
      <c r="BM655" s="128">
        <f>SUM(BR655,BU655,BX655,CA655,CD655)</f>
        <v>0</v>
      </c>
      <c r="BN655" s="131">
        <f>SUM(BT655,BW655,BZ655,CC655,CF655)</f>
        <v>0</v>
      </c>
      <c r="BO655" s="128">
        <f>IF(BP655&gt;0,1,0)</f>
        <v>0</v>
      </c>
      <c r="BP655" s="128">
        <f>BM655+CJ655</f>
        <v>0</v>
      </c>
      <c r="BQ655" s="128">
        <f>BN655+CL655</f>
        <v>0</v>
      </c>
      <c r="BR655" s="130">
        <f>IF(BS655&gt;0,1,0)</f>
        <v>0</v>
      </c>
      <c r="BS655" s="128">
        <f>VLOOKUP($E655,[2]Current!$A:$AC,12,FALSE)</f>
        <v>0</v>
      </c>
      <c r="BT655" s="137">
        <f>BS655/$AS655</f>
        <v>0</v>
      </c>
      <c r="BU655" s="130">
        <f>IF(BV655&gt;0,1,0)</f>
        <v>0</v>
      </c>
      <c r="BV655" s="128">
        <f>VLOOKUP($E655,[2]Current!$A:$AC,13,FALSE)</f>
        <v>0</v>
      </c>
      <c r="BW655" s="128">
        <f>BV655/$AS655</f>
        <v>0</v>
      </c>
      <c r="BX655" s="130">
        <f>IF(BY655&gt;0,1,0)</f>
        <v>0</v>
      </c>
      <c r="BY655" s="128">
        <f>VLOOKUP($E655,[2]Current!$A:$AC,14,FALSE)</f>
        <v>0</v>
      </c>
      <c r="BZ655" s="128">
        <f>BY655/$AS655</f>
        <v>0</v>
      </c>
      <c r="CA655" s="130">
        <f>IF(CB655&gt;0,1,0)</f>
        <v>0</v>
      </c>
      <c r="CB655" s="128">
        <f>VLOOKUP($E655,[2]Current!$A:$AC,15,FALSE)</f>
        <v>0</v>
      </c>
      <c r="CC655" s="128">
        <f>CB655/$AS655</f>
        <v>0</v>
      </c>
      <c r="CD655" s="174">
        <f>IF(CE655&gt;0,1,0)</f>
        <v>0</v>
      </c>
      <c r="CE655" s="128">
        <f>VLOOKUP($E655,[2]Current!$A:$AC,16,FALSE)</f>
        <v>0</v>
      </c>
      <c r="CF655" s="128">
        <f>CE655/$AS655</f>
        <v>0</v>
      </c>
      <c r="CG655" s="18"/>
      <c r="CH655" s="18"/>
      <c r="CI655" s="18"/>
      <c r="CJ655" s="130">
        <f>IF(CK655&gt;0,1,0)</f>
        <v>0</v>
      </c>
      <c r="CK655" s="128">
        <f>VLOOKUP($E655,[2]Current!$A:$AC,18,FALSE)</f>
        <v>0</v>
      </c>
      <c r="CL655" s="128">
        <f>CK655/$AS655</f>
        <v>0</v>
      </c>
      <c r="CS655" s="130">
        <f>IF(CU655&gt;0,1,0)</f>
        <v>0</v>
      </c>
      <c r="CU655" s="128">
        <f>VLOOKUP($E655,[2]Current!$A:$AC,17,FALSE)</f>
        <v>0</v>
      </c>
      <c r="CV655" s="128">
        <f>CU655/$AS655</f>
        <v>0</v>
      </c>
      <c r="CW655" s="18"/>
      <c r="CX655" s="18"/>
      <c r="CY655" s="18"/>
      <c r="DF655" s="16" t="e">
        <f>VLOOKUP(K655,'[3]RNA Seq summary tables'!$V$3:$V$99,1,FALSE)</f>
        <v>#N/A</v>
      </c>
      <c r="DG655" s="126" t="s">
        <v>116</v>
      </c>
    </row>
    <row r="656" spans="2:287" ht="16" x14ac:dyDescent="0.2">
      <c r="B656" s="16">
        <v>2018</v>
      </c>
      <c r="C656" s="124">
        <v>43292</v>
      </c>
      <c r="D656" t="s">
        <v>945</v>
      </c>
      <c r="E656" s="37" t="str">
        <f>CONCATENATE(T656,"-",U656,"-",C656)</f>
        <v>BC2-B3-43292</v>
      </c>
      <c r="F656" s="16" t="s">
        <v>227</v>
      </c>
      <c r="G656" s="126" t="s">
        <v>107</v>
      </c>
      <c r="H656" s="126"/>
      <c r="I656" s="23"/>
      <c r="J656" s="126">
        <v>1509</v>
      </c>
      <c r="K656" s="126">
        <v>2582</v>
      </c>
      <c r="L656" s="23"/>
      <c r="O656" s="126" t="s">
        <v>119</v>
      </c>
      <c r="P656" s="18" t="s">
        <v>119</v>
      </c>
      <c r="Q656" s="18">
        <v>0</v>
      </c>
      <c r="R656" s="18">
        <f>IF(J656=J655,C656-C655,"")</f>
        <v>18</v>
      </c>
      <c r="S656" s="23"/>
      <c r="T656" s="126" t="s">
        <v>154</v>
      </c>
      <c r="U656" s="126" t="s">
        <v>131</v>
      </c>
      <c r="V656" s="126" t="s">
        <v>114</v>
      </c>
      <c r="W656" s="23"/>
      <c r="X656" s="126" t="s">
        <v>115</v>
      </c>
      <c r="Y656" s="126" t="s">
        <v>110</v>
      </c>
      <c r="Z656" s="126">
        <v>3</v>
      </c>
      <c r="AA656" s="126"/>
      <c r="AB656" s="126"/>
      <c r="AC656" s="126"/>
      <c r="AD656" s="126"/>
      <c r="AE656" s="126" t="s">
        <v>123</v>
      </c>
      <c r="AF656" s="23"/>
      <c r="AG656" s="23">
        <f>AH656-AI656</f>
        <v>84</v>
      </c>
      <c r="AH656" s="126">
        <v>159</v>
      </c>
      <c r="AI656" s="126">
        <v>75</v>
      </c>
      <c r="AJ656" s="23"/>
      <c r="AK656" s="126">
        <v>17</v>
      </c>
      <c r="AL656" s="126">
        <v>1</v>
      </c>
      <c r="AM656" s="126">
        <v>0</v>
      </c>
      <c r="AN656" s="126">
        <v>0</v>
      </c>
      <c r="AO656" s="23">
        <f>IF(SUM(AL656:AN656)&gt;0,1,0)</f>
        <v>1</v>
      </c>
      <c r="AP656" s="25">
        <f>SUM(AL656:AN656)</f>
        <v>1</v>
      </c>
      <c r="AQ656" s="23"/>
      <c r="AR656" s="23">
        <v>0.19500000000000006</v>
      </c>
      <c r="AS656" s="16">
        <f>VLOOKUP(E656,'[1]Feces weights'!$D$1:$H$459,5,FALSE)</f>
        <v>0.19500000000000006</v>
      </c>
      <c r="AT656" s="16" t="str">
        <f>VLOOKUP(E656,[2]Current!$A$1:$W$435,7,FALSE)</f>
        <v>TE</v>
      </c>
      <c r="AU656" s="16" t="s">
        <v>1288</v>
      </c>
      <c r="AW656" s="128">
        <f>IF(AX656&gt;0,1,0)</f>
        <v>1</v>
      </c>
      <c r="AX656" s="128">
        <f>SUM(BA656,BM656,CU656)</f>
        <v>1</v>
      </c>
      <c r="AY656" s="128">
        <f>SUM(BB656,BN656,CV656)</f>
        <v>56.410256410256395</v>
      </c>
      <c r="AZ656" s="128">
        <f>IF(BA656&gt;0,1,0)</f>
        <v>1</v>
      </c>
      <c r="BA656" s="128">
        <f>SUM(BC656+BF656+BI656)</f>
        <v>1</v>
      </c>
      <c r="BB656" s="128">
        <f>SUM(BE656,BH656,BK656)</f>
        <v>56.410256410256395</v>
      </c>
      <c r="BC656" s="130">
        <f>IF(BD656&gt;0,1,0)</f>
        <v>0</v>
      </c>
      <c r="BD656" s="128">
        <f>VLOOKUP($E656,[2]Current!$A:$AC,26,FALSE)</f>
        <v>0</v>
      </c>
      <c r="BE656" s="128">
        <f>BD656/$AS656</f>
        <v>0</v>
      </c>
      <c r="BF656" s="130">
        <f>IF(BG656&gt;0,1,0)</f>
        <v>0</v>
      </c>
      <c r="BG656" s="175">
        <f>VLOOKUP($E656,[2]Current!$A:$AC,27,FALSE)</f>
        <v>0</v>
      </c>
      <c r="BH656" s="128">
        <f>BG656/$AS656</f>
        <v>0</v>
      </c>
      <c r="BI656" s="130">
        <f>IF(BJ656&gt;0,1,0)</f>
        <v>1</v>
      </c>
      <c r="BJ656" s="128">
        <f>VLOOKUP($E656,[2]Current!$A:$AC,28,FALSE)</f>
        <v>11</v>
      </c>
      <c r="BK656" s="128">
        <f>BJ656/$AS656</f>
        <v>56.410256410256395</v>
      </c>
      <c r="BL656" s="128">
        <f>IF(BM656&gt;0,1,0)</f>
        <v>0</v>
      </c>
      <c r="BM656" s="128">
        <f>SUM(BR656,BU656,BX656,CA656,CD656)</f>
        <v>0</v>
      </c>
      <c r="BN656" s="131">
        <f>SUM(BT656,BW656,BZ656,CC656,CF656)</f>
        <v>0</v>
      </c>
      <c r="BO656" s="128">
        <f>IF(BP656&gt;0,1,0)</f>
        <v>0</v>
      </c>
      <c r="BP656" s="128">
        <f>BM656+CJ656</f>
        <v>0</v>
      </c>
      <c r="BQ656" s="128">
        <f>BN656+CL656</f>
        <v>0</v>
      </c>
      <c r="BR656" s="130">
        <f>IF(BS656&gt;0,1,0)</f>
        <v>0</v>
      </c>
      <c r="BS656" s="128">
        <f>VLOOKUP($E656,[2]Current!$A:$AC,12,FALSE)</f>
        <v>0</v>
      </c>
      <c r="BT656" s="137">
        <f>BS656/$AS656</f>
        <v>0</v>
      </c>
      <c r="BU656" s="130">
        <f>IF(BV656&gt;0,1,0)</f>
        <v>0</v>
      </c>
      <c r="BV656" s="128">
        <f>VLOOKUP($E656,[2]Current!$A:$AC,13,FALSE)</f>
        <v>0</v>
      </c>
      <c r="BW656" s="128">
        <f>BV656/$AS656</f>
        <v>0</v>
      </c>
      <c r="BX656" s="130">
        <f>IF(BY656&gt;0,1,0)</f>
        <v>0</v>
      </c>
      <c r="BY656" s="128">
        <f>VLOOKUP($E656,[2]Current!$A:$AC,14,FALSE)</f>
        <v>0</v>
      </c>
      <c r="BZ656" s="128">
        <f>BY656/$AS656</f>
        <v>0</v>
      </c>
      <c r="CA656" s="130">
        <f>IF(CB656&gt;0,1,0)</f>
        <v>0</v>
      </c>
      <c r="CB656" s="128">
        <f>VLOOKUP($E656,[2]Current!$A:$AC,15,FALSE)</f>
        <v>0</v>
      </c>
      <c r="CC656" s="128">
        <f>CB656/$AS656</f>
        <v>0</v>
      </c>
      <c r="CD656" s="174">
        <f>IF(CE656&gt;0,1,0)</f>
        <v>0</v>
      </c>
      <c r="CE656" s="128">
        <f>VLOOKUP($E656,[2]Current!$A:$AC,16,FALSE)</f>
        <v>0</v>
      </c>
      <c r="CF656" s="128">
        <f>CE656/$AS656</f>
        <v>0</v>
      </c>
      <c r="CG656" s="18"/>
      <c r="CH656" s="18"/>
      <c r="CI656" s="18"/>
      <c r="CJ656" s="130">
        <f>IF(CK656&gt;0,1,0)</f>
        <v>0</v>
      </c>
      <c r="CK656" s="128">
        <f>VLOOKUP($E656,[2]Current!$A:$AC,18,FALSE)</f>
        <v>0</v>
      </c>
      <c r="CL656" s="128">
        <f>CK656/$AS656</f>
        <v>0</v>
      </c>
      <c r="CS656" s="130">
        <f>IF(CU656&gt;0,1,0)</f>
        <v>0</v>
      </c>
      <c r="CU656" s="128">
        <f>VLOOKUP($E656,[2]Current!$A:$AC,17,FALSE)</f>
        <v>0</v>
      </c>
      <c r="CV656" s="128">
        <f>CU656/$AS656</f>
        <v>0</v>
      </c>
      <c r="CW656" s="18"/>
      <c r="CX656" s="18"/>
      <c r="CY656" s="18"/>
      <c r="DF656" s="16" t="e">
        <f>VLOOKUP(K656,'[3]RNA Seq summary tables'!$V$3:$V$99,1,FALSE)</f>
        <v>#N/A</v>
      </c>
      <c r="DG656" s="126" t="s">
        <v>116</v>
      </c>
      <c r="DH656" s="23"/>
      <c r="DI656" s="23"/>
      <c r="DJ656" s="23"/>
      <c r="DK656" s="23"/>
      <c r="DL656" s="23"/>
      <c r="DM656" s="23"/>
      <c r="DN656" s="23"/>
      <c r="DO656" s="23"/>
      <c r="DP656" s="23"/>
      <c r="DQ656" s="23"/>
      <c r="DR656" s="23"/>
      <c r="DS656" s="23"/>
      <c r="DT656" s="25"/>
      <c r="DU656" s="25"/>
      <c r="DV656" s="25"/>
      <c r="DW656" s="25"/>
      <c r="DX656" s="25"/>
      <c r="DY656" s="25"/>
      <c r="DZ656" s="25"/>
      <c r="EA656" s="25"/>
      <c r="EB656" s="25"/>
      <c r="EC656" s="25"/>
      <c r="ED656" s="25"/>
      <c r="EE656" s="25"/>
      <c r="EF656" s="25"/>
      <c r="EG656" s="25"/>
      <c r="EH656" s="25"/>
      <c r="EI656" s="25"/>
      <c r="EJ656" s="25"/>
      <c r="EK656" s="25"/>
      <c r="EL656" s="25"/>
      <c r="EM656" s="25"/>
      <c r="EN656" s="25"/>
      <c r="EO656" s="25"/>
      <c r="EP656" s="25"/>
      <c r="EQ656" s="25"/>
      <c r="ER656" s="25"/>
      <c r="ES656" s="25"/>
      <c r="ET656" s="25"/>
      <c r="EU656" s="25"/>
      <c r="EV656" s="25"/>
      <c r="EW656" s="25"/>
      <c r="EX656" s="25"/>
      <c r="EY656" s="25"/>
      <c r="EZ656" s="25"/>
      <c r="FA656" s="25"/>
      <c r="FB656" s="25"/>
      <c r="FC656" s="25"/>
      <c r="FD656" s="25"/>
      <c r="FE656" s="25"/>
      <c r="FF656" s="25"/>
      <c r="FG656" s="25"/>
      <c r="FH656" s="25"/>
      <c r="FI656" s="25"/>
      <c r="FJ656" s="25"/>
      <c r="FK656" s="25"/>
      <c r="FL656" s="25"/>
      <c r="FM656" s="25"/>
      <c r="FN656" s="25"/>
      <c r="FO656" s="25"/>
      <c r="FP656" s="25"/>
      <c r="FQ656" s="25"/>
      <c r="FR656" s="25"/>
      <c r="FS656" s="25"/>
      <c r="FT656" s="25"/>
      <c r="FU656" s="25"/>
      <c r="FV656" s="25"/>
      <c r="FW656" s="25"/>
      <c r="FX656" s="25"/>
      <c r="FY656" s="25"/>
      <c r="FZ656" s="25"/>
      <c r="GA656" s="25"/>
      <c r="GB656" s="25"/>
      <c r="GC656" s="25"/>
      <c r="GD656" s="25"/>
      <c r="GE656" s="25"/>
      <c r="GF656" s="25"/>
      <c r="GG656" s="25"/>
      <c r="GH656" s="25"/>
      <c r="GI656" s="25"/>
      <c r="GJ656" s="25"/>
      <c r="GK656" s="25"/>
      <c r="GL656" s="25"/>
      <c r="GM656" s="25"/>
      <c r="GN656" s="25"/>
      <c r="GO656" s="25"/>
      <c r="GP656" s="25"/>
      <c r="GQ656" s="25"/>
      <c r="GR656" s="25"/>
      <c r="GS656" s="25"/>
      <c r="GT656" s="25"/>
      <c r="GU656" s="25"/>
      <c r="GV656" s="25"/>
      <c r="GW656" s="25"/>
      <c r="GX656" s="25"/>
      <c r="GY656" s="25"/>
      <c r="GZ656" s="25"/>
      <c r="HA656" s="25"/>
      <c r="HB656" s="25"/>
      <c r="HC656" s="25"/>
      <c r="HD656" s="25"/>
      <c r="HE656" s="25"/>
      <c r="HF656" s="25"/>
      <c r="HG656" s="25"/>
      <c r="HH656" s="25"/>
      <c r="HI656" s="25"/>
      <c r="HJ656" s="25"/>
      <c r="HK656" s="25"/>
      <c r="HL656" s="25"/>
      <c r="HM656" s="25"/>
      <c r="HN656" s="25"/>
      <c r="HO656" s="25"/>
      <c r="HP656" s="25"/>
      <c r="HQ656" s="25"/>
      <c r="HR656" s="25"/>
      <c r="HS656" s="25"/>
      <c r="HT656" s="25"/>
      <c r="HU656" s="25"/>
      <c r="HV656" s="25"/>
      <c r="HW656" s="25"/>
      <c r="HX656" s="25"/>
      <c r="HY656" s="25"/>
      <c r="HZ656" s="25"/>
      <c r="IA656" s="25"/>
      <c r="IB656" s="25"/>
      <c r="IC656" s="25"/>
      <c r="ID656" s="25"/>
      <c r="IE656" s="25"/>
      <c r="IF656" s="25"/>
      <c r="IG656" s="25"/>
      <c r="IH656" s="25"/>
      <c r="II656" s="25"/>
      <c r="IJ656" s="25"/>
      <c r="IK656" s="25"/>
      <c r="IL656" s="25"/>
      <c r="IM656" s="25"/>
      <c r="IN656" s="25"/>
      <c r="IO656" s="25"/>
      <c r="IP656" s="25"/>
      <c r="IQ656" s="25"/>
      <c r="IR656" s="25"/>
      <c r="IS656" s="25"/>
      <c r="IT656" s="25"/>
      <c r="IU656" s="25"/>
      <c r="IV656" s="25"/>
      <c r="IW656" s="25"/>
      <c r="IX656" s="25"/>
      <c r="IY656" s="25"/>
      <c r="IZ656" s="25"/>
      <c r="JA656" s="25"/>
      <c r="JB656" s="25"/>
      <c r="JC656" s="25"/>
      <c r="JD656" s="25"/>
      <c r="JE656" s="25"/>
      <c r="JF656" s="25"/>
      <c r="JG656" s="25"/>
      <c r="JH656" s="25"/>
      <c r="JI656" s="25"/>
      <c r="JJ656" s="25"/>
      <c r="JK656" s="25"/>
      <c r="JL656" s="25"/>
      <c r="JM656" s="25"/>
      <c r="JN656" s="25"/>
      <c r="JO656" s="23"/>
      <c r="JP656" s="23"/>
      <c r="JQ656" s="23"/>
    </row>
    <row r="657" spans="1:288" ht="16" x14ac:dyDescent="0.2">
      <c r="B657" s="16">
        <v>2018</v>
      </c>
      <c r="C657" s="124">
        <v>43304</v>
      </c>
      <c r="D657" t="s">
        <v>1044</v>
      </c>
      <c r="E657" s="142" t="str">
        <f>CONCATENATE(T657,"-",U657,"-",C657)</f>
        <v>BC2-D1-43304</v>
      </c>
      <c r="F657" s="16" t="s">
        <v>227</v>
      </c>
      <c r="G657" s="126" t="s">
        <v>107</v>
      </c>
      <c r="H657" s="126" t="s">
        <v>1151</v>
      </c>
      <c r="J657" s="126">
        <v>1509</v>
      </c>
      <c r="K657" s="126">
        <v>2682</v>
      </c>
      <c r="O657" s="126" t="s">
        <v>119</v>
      </c>
      <c r="P657" s="18" t="s">
        <v>119</v>
      </c>
      <c r="Q657" s="18">
        <v>0</v>
      </c>
      <c r="R657" s="18">
        <f>IF(J657=J656,C657-C656,"")</f>
        <v>12</v>
      </c>
      <c r="T657" s="126" t="s">
        <v>154</v>
      </c>
      <c r="U657" s="126" t="s">
        <v>157</v>
      </c>
      <c r="V657" s="126" t="s">
        <v>114</v>
      </c>
      <c r="X657" s="126" t="s">
        <v>115</v>
      </c>
      <c r="Y657" s="126" t="s">
        <v>110</v>
      </c>
      <c r="Z657" s="126">
        <v>3</v>
      </c>
      <c r="AA657" s="126"/>
      <c r="AB657" s="126"/>
      <c r="AC657" s="126"/>
      <c r="AD657" s="126" t="s">
        <v>116</v>
      </c>
      <c r="AE657" s="126" t="s">
        <v>116</v>
      </c>
      <c r="AG657" s="40">
        <f>AH657-AI657</f>
        <v>84</v>
      </c>
      <c r="AH657" s="126">
        <v>161</v>
      </c>
      <c r="AI657" s="126">
        <v>77</v>
      </c>
      <c r="AK657" s="126">
        <v>19</v>
      </c>
      <c r="AL657" s="126">
        <v>0</v>
      </c>
      <c r="AM657" s="126">
        <v>1</v>
      </c>
      <c r="AN657" s="126">
        <v>0</v>
      </c>
      <c r="AO657" s="16">
        <f>IF(SUM(AL657:AN657)&gt;0,1,0)</f>
        <v>1</v>
      </c>
      <c r="AP657" s="18">
        <f>SUM(AL657:AN657)</f>
        <v>1</v>
      </c>
      <c r="AR657" s="16">
        <v>0.55099999999999993</v>
      </c>
      <c r="AS657" s="16">
        <f>VLOOKUP(E657,'[1]Feces weights'!$D$1:$H$459,5,FALSE)</f>
        <v>0.55099999999999993</v>
      </c>
      <c r="AT657" s="16" t="e">
        <f>VLOOKUP(E657,[2]Current!$A$1:$W$435,7,FALSE)</f>
        <v>#N/A</v>
      </c>
      <c r="AU657" s="16">
        <v>0</v>
      </c>
      <c r="BG657" s="23"/>
      <c r="BN657" s="126"/>
      <c r="BT657" s="78"/>
      <c r="BU657" s="18"/>
      <c r="BV657" s="18"/>
      <c r="BW657" s="25"/>
      <c r="BX657" s="18"/>
      <c r="BY657" s="18"/>
      <c r="BZ657" s="25"/>
      <c r="CA657" s="18"/>
      <c r="CB657" s="18"/>
      <c r="CC657" s="25"/>
      <c r="CD657" s="78"/>
      <c r="CE657" s="18"/>
      <c r="CF657" s="25"/>
      <c r="CG657" s="18"/>
      <c r="CH657" s="18"/>
      <c r="CI657" s="18"/>
      <c r="CJ657" s="18"/>
      <c r="CK657" s="18"/>
      <c r="CL657" s="25"/>
      <c r="DF657" s="16" t="e">
        <f>VLOOKUP(K657,'[3]RNA Seq summary tables'!$V$3:$V$99,1,FALSE)</f>
        <v>#N/A</v>
      </c>
      <c r="DG657" s="126" t="s">
        <v>123</v>
      </c>
    </row>
    <row r="658" spans="1:288" ht="16" x14ac:dyDescent="0.2">
      <c r="B658" s="16">
        <v>2018</v>
      </c>
      <c r="C658" s="124">
        <v>43275</v>
      </c>
      <c r="D658" t="s">
        <v>854</v>
      </c>
      <c r="E658" s="37" t="str">
        <f>CONCATENATE(T658,"-",U658,"-",C658)</f>
        <v>BC2-H2-43275</v>
      </c>
      <c r="F658" s="16" t="s">
        <v>227</v>
      </c>
      <c r="G658" s="126" t="s">
        <v>107</v>
      </c>
      <c r="H658" s="126"/>
      <c r="J658" s="127">
        <v>1511</v>
      </c>
      <c r="K658" s="126">
        <v>2493</v>
      </c>
      <c r="O658" s="126" t="s">
        <v>119</v>
      </c>
      <c r="P658" s="18" t="s">
        <v>119</v>
      </c>
      <c r="Q658" s="18">
        <v>0</v>
      </c>
      <c r="R658" s="18" t="str">
        <f>IF(J658=J657,C658-C657,"")</f>
        <v/>
      </c>
      <c r="T658" s="126" t="s">
        <v>154</v>
      </c>
      <c r="U658" s="126" t="s">
        <v>190</v>
      </c>
      <c r="V658" s="136" t="s">
        <v>114</v>
      </c>
      <c r="X658" s="126" t="s">
        <v>121</v>
      </c>
      <c r="Y658" s="126" t="s">
        <v>110</v>
      </c>
      <c r="Z658" s="126">
        <v>3</v>
      </c>
      <c r="AA658" s="126" t="s">
        <v>119</v>
      </c>
      <c r="AB658" s="126" t="s">
        <v>116</v>
      </c>
      <c r="AC658" s="126" t="s">
        <v>123</v>
      </c>
      <c r="AD658" s="126"/>
      <c r="AE658" s="126"/>
      <c r="AG658" s="16">
        <f>AH658-AI658</f>
        <v>88</v>
      </c>
      <c r="AH658" s="126">
        <v>172</v>
      </c>
      <c r="AI658" s="126">
        <v>84</v>
      </c>
      <c r="AK658" s="126">
        <v>22.5</v>
      </c>
      <c r="AL658" s="126">
        <v>1</v>
      </c>
      <c r="AM658" s="126">
        <v>0</v>
      </c>
      <c r="AN658" s="126">
        <v>0</v>
      </c>
      <c r="AO658" s="16">
        <f>IF(SUM(AL658:AN658)&gt;0,1,0)</f>
        <v>1</v>
      </c>
      <c r="AP658" s="18">
        <f>SUM(AL658:AN658)</f>
        <v>1</v>
      </c>
      <c r="AR658" s="16">
        <v>0.19400000000000017</v>
      </c>
      <c r="AS658" s="16">
        <f>VLOOKUP(E658,'[1]Feces weights'!$D$1:$H$459,5,FALSE)</f>
        <v>0.19400000000000017</v>
      </c>
      <c r="AT658" s="16" t="str">
        <f>VLOOKUP(E658,[2]Current!$A$1:$W$435,7,FALSE)</f>
        <v>JB</v>
      </c>
      <c r="AU658" s="16" t="s">
        <v>1288</v>
      </c>
      <c r="AW658" s="128">
        <f>IF(AX658&gt;0,1,0)</f>
        <v>1</v>
      </c>
      <c r="AX658" s="128">
        <f>SUM(BA658,BM658,CU658)</f>
        <v>4</v>
      </c>
      <c r="AY658" s="128">
        <f>SUM(BB658,BN658,CV658)</f>
        <v>20737.113402061837</v>
      </c>
      <c r="AZ658" s="128">
        <f>IF(BA658&gt;0,1,0)</f>
        <v>1</v>
      </c>
      <c r="BA658" s="128">
        <f>SUM(BC658+BF658+BI658)</f>
        <v>3</v>
      </c>
      <c r="BB658" s="128">
        <f>SUM(BE658,BH658,BK658)</f>
        <v>20731.958762886581</v>
      </c>
      <c r="BC658" s="130">
        <f>IF(BD658&gt;0,1,0)</f>
        <v>1</v>
      </c>
      <c r="BD658" s="128">
        <f>VLOOKUP($E658,[2]Current!$A:$AC,26,FALSE)</f>
        <v>1250</v>
      </c>
      <c r="BE658" s="128">
        <f>BD658/$AS658</f>
        <v>6443.2989690721588</v>
      </c>
      <c r="BF658" s="130">
        <f>IF(BG658&gt;0,1,0)</f>
        <v>1</v>
      </c>
      <c r="BG658" s="175">
        <f>VLOOKUP($E658,[2]Current!$A:$AC,27,FALSE)</f>
        <v>2718</v>
      </c>
      <c r="BH658" s="128">
        <f>BG658/$AS658</f>
        <v>14010.309278350504</v>
      </c>
      <c r="BI658" s="130">
        <f>IF(BJ658&gt;0,1,0)</f>
        <v>1</v>
      </c>
      <c r="BJ658" s="128">
        <f>VLOOKUP($E658,[2]Current!$A:$AC,28,FALSE)</f>
        <v>54</v>
      </c>
      <c r="BK658" s="128">
        <f>BJ658/$AS658</f>
        <v>278.3505154639173</v>
      </c>
      <c r="BL658" s="128">
        <f>IF(BM658&gt;0,1,0)</f>
        <v>1</v>
      </c>
      <c r="BM658" s="128">
        <f>SUM(BR658,BU658,BX658,CA658,CD658)</f>
        <v>1</v>
      </c>
      <c r="BN658" s="131">
        <f>SUM(BT658,BW658,BZ658,CC658,CF658)</f>
        <v>5.154639175257727</v>
      </c>
      <c r="BO658" s="128">
        <f>IF(BP658&gt;0,1,0)</f>
        <v>1</v>
      </c>
      <c r="BP658" s="128">
        <f>BM658+CJ658</f>
        <v>2</v>
      </c>
      <c r="BQ658" s="128">
        <f>BN658+CL658</f>
        <v>30.927835051546364</v>
      </c>
      <c r="BR658" s="130">
        <f>IF(BS658&gt;0,1,0)</f>
        <v>0</v>
      </c>
      <c r="BS658" s="128">
        <f>VLOOKUP($E658,[2]Current!$A:$AC,12,FALSE)</f>
        <v>0</v>
      </c>
      <c r="BT658" s="137">
        <f>BS658/$AS658</f>
        <v>0</v>
      </c>
      <c r="BU658" s="130">
        <f>IF(BV658&gt;0,1,0)</f>
        <v>0</v>
      </c>
      <c r="BV658" s="128">
        <f>VLOOKUP($E658,[2]Current!$A:$AC,13,FALSE)</f>
        <v>0</v>
      </c>
      <c r="BW658" s="128">
        <f>BV658/$AS658</f>
        <v>0</v>
      </c>
      <c r="BX658" s="130">
        <f>IF(BY658&gt;0,1,0)</f>
        <v>0</v>
      </c>
      <c r="BY658" s="128">
        <f>VLOOKUP($E658,[2]Current!$A:$AC,14,FALSE)</f>
        <v>0</v>
      </c>
      <c r="BZ658" s="128">
        <f>BY658/$AS658</f>
        <v>0</v>
      </c>
      <c r="CA658" s="130">
        <f>IF(CB658&gt;0,1,0)</f>
        <v>1</v>
      </c>
      <c r="CB658" s="128">
        <f>VLOOKUP($E658,[2]Current!$A:$AC,15,FALSE)</f>
        <v>1</v>
      </c>
      <c r="CC658" s="128">
        <f>CB658/$AS658</f>
        <v>5.154639175257727</v>
      </c>
      <c r="CD658" s="174">
        <f>IF(CE658&gt;0,1,0)</f>
        <v>0</v>
      </c>
      <c r="CE658" s="128">
        <f>VLOOKUP($E658,[2]Current!$A:$AC,16,FALSE)</f>
        <v>0</v>
      </c>
      <c r="CF658" s="128">
        <f>CE658/$AS658</f>
        <v>0</v>
      </c>
      <c r="CG658" s="18"/>
      <c r="CH658" s="18"/>
      <c r="CI658" s="18"/>
      <c r="CJ658" s="130">
        <f>IF(CK658&gt;0,1,0)</f>
        <v>1</v>
      </c>
      <c r="CK658" s="128">
        <f>VLOOKUP($E658,[2]Current!$A:$AC,18,FALSE)</f>
        <v>5</v>
      </c>
      <c r="CL658" s="128">
        <f>CK658/$AS658</f>
        <v>25.773195876288636</v>
      </c>
      <c r="CS658" s="130">
        <f>IF(CU658&gt;0,1,0)</f>
        <v>0</v>
      </c>
      <c r="CU658" s="128">
        <f>VLOOKUP($E658,[2]Current!$A:$AC,17,FALSE)</f>
        <v>0</v>
      </c>
      <c r="CV658" s="128">
        <f>CU658/$AS658</f>
        <v>0</v>
      </c>
      <c r="CW658" s="18"/>
      <c r="CX658" s="18"/>
      <c r="CY658" s="18"/>
      <c r="DF658" s="16" t="e">
        <f>VLOOKUP(K658,'[3]RNA Seq summary tables'!$V$3:$V$99,1,FALSE)</f>
        <v>#N/A</v>
      </c>
      <c r="DG658" s="126" t="s">
        <v>116</v>
      </c>
    </row>
    <row r="659" spans="1:288" s="30" customFormat="1" ht="16" x14ac:dyDescent="0.2">
      <c r="A659" s="18"/>
      <c r="B659" s="16">
        <v>2018</v>
      </c>
      <c r="C659" s="124">
        <v>43293</v>
      </c>
      <c r="D659" t="s">
        <v>952</v>
      </c>
      <c r="E659" s="37" t="str">
        <f>CONCATENATE(T659,"-",U659,"-",C659)</f>
        <v>BC2-H2-43293</v>
      </c>
      <c r="F659" s="16" t="s">
        <v>227</v>
      </c>
      <c r="G659" s="126" t="s">
        <v>107</v>
      </c>
      <c r="H659" s="126" t="s">
        <v>1136</v>
      </c>
      <c r="I659" s="16"/>
      <c r="J659" s="127">
        <v>1511</v>
      </c>
      <c r="K659" s="126">
        <v>2591</v>
      </c>
      <c r="L659" s="16"/>
      <c r="M659" s="21"/>
      <c r="N659" s="21"/>
      <c r="O659" s="126" t="s">
        <v>119</v>
      </c>
      <c r="P659" s="18" t="s">
        <v>119</v>
      </c>
      <c r="Q659" s="18">
        <v>0</v>
      </c>
      <c r="R659" s="18">
        <f>IF(J659=J658,C659-C658,"")</f>
        <v>18</v>
      </c>
      <c r="S659" s="16"/>
      <c r="T659" s="126" t="s">
        <v>154</v>
      </c>
      <c r="U659" s="126" t="s">
        <v>190</v>
      </c>
      <c r="V659" s="131" t="s">
        <v>142</v>
      </c>
      <c r="W659" s="16"/>
      <c r="X659" s="126" t="s">
        <v>121</v>
      </c>
      <c r="Y659" s="126" t="s">
        <v>110</v>
      </c>
      <c r="Z659" s="126">
        <v>3</v>
      </c>
      <c r="AA659" s="126" t="s">
        <v>119</v>
      </c>
      <c r="AB659" s="126" t="s">
        <v>123</v>
      </c>
      <c r="AC659" s="126" t="s">
        <v>116</v>
      </c>
      <c r="AD659" s="126"/>
      <c r="AE659" s="126"/>
      <c r="AF659" s="16"/>
      <c r="AG659" s="16">
        <f>AH659-AI659</f>
        <v>83</v>
      </c>
      <c r="AH659" s="126">
        <v>169</v>
      </c>
      <c r="AI659" s="126">
        <v>86</v>
      </c>
      <c r="AJ659" s="16"/>
      <c r="AK659" s="126">
        <v>21</v>
      </c>
      <c r="AL659" s="126">
        <v>0</v>
      </c>
      <c r="AM659" s="126">
        <v>0</v>
      </c>
      <c r="AN659" s="126">
        <v>0</v>
      </c>
      <c r="AO659" s="16">
        <f>IF(SUM(AL659:AN659)&gt;0,1,0)</f>
        <v>0</v>
      </c>
      <c r="AP659" s="18">
        <f>SUM(AL659:AN659)</f>
        <v>0</v>
      </c>
      <c r="AQ659" s="16"/>
      <c r="AR659" s="16"/>
      <c r="AS659" s="16">
        <f>VLOOKUP(E659,'[1]Feces weights'!$D$1:$H$459,5,FALSE)</f>
        <v>0.11700000000000021</v>
      </c>
      <c r="AT659" s="16" t="str">
        <f>VLOOKUP(E659,[2]Current!$A$1:$W$435,7,FALSE)</f>
        <v>JB</v>
      </c>
      <c r="AU659" s="16" t="s">
        <v>1288</v>
      </c>
      <c r="AV659" s="23"/>
      <c r="AW659" s="128">
        <f>IF(AX659&gt;0,1,0)</f>
        <v>1</v>
      </c>
      <c r="AX659" s="128">
        <f>SUM(BA659,BM659,CU659)</f>
        <v>3</v>
      </c>
      <c r="AY659" s="128">
        <f>SUM(BB659,BN659,CV659)</f>
        <v>1427.3504273504245</v>
      </c>
      <c r="AZ659" s="128">
        <f>IF(BA659&gt;0,1,0)</f>
        <v>1</v>
      </c>
      <c r="BA659" s="128">
        <f>SUM(BC659+BF659+BI659)</f>
        <v>2</v>
      </c>
      <c r="BB659" s="128">
        <f>SUM(BE659,BH659,BK659)</f>
        <v>358.97435897435832</v>
      </c>
      <c r="BC659" s="130">
        <f>IF(BD659&gt;0,1,0)</f>
        <v>1</v>
      </c>
      <c r="BD659" s="128">
        <f>VLOOKUP($E659,[2]Current!$A:$AC,26,FALSE)</f>
        <v>4</v>
      </c>
      <c r="BE659" s="128">
        <f>BD659/$AS659</f>
        <v>34.188034188034123</v>
      </c>
      <c r="BF659" s="130">
        <f>IF(BG659&gt;0,1,0)</f>
        <v>1</v>
      </c>
      <c r="BG659" s="175">
        <f>VLOOKUP($E659,[2]Current!$A:$AC,27,FALSE)</f>
        <v>38</v>
      </c>
      <c r="BH659" s="128">
        <f>BG659/$AS659</f>
        <v>324.7863247863242</v>
      </c>
      <c r="BI659" s="130">
        <f>IF(BJ659&gt;0,1,0)</f>
        <v>0</v>
      </c>
      <c r="BJ659" s="128">
        <f>VLOOKUP($E659,[2]Current!$A:$AC,28,FALSE)</f>
        <v>0</v>
      </c>
      <c r="BK659" s="128">
        <f>BJ659/$AS659</f>
        <v>0</v>
      </c>
      <c r="BL659" s="128">
        <f>IF(BM659&gt;0,1,0)</f>
        <v>1</v>
      </c>
      <c r="BM659" s="128">
        <f>SUM(BR659,BU659,BX659,CA659,CD659)</f>
        <v>1</v>
      </c>
      <c r="BN659" s="131">
        <f>SUM(BT659,BW659,BZ659,CC659,CF659)</f>
        <v>1068.3760683760663</v>
      </c>
      <c r="BO659" s="128">
        <f>IF(BP659&gt;0,1,0)</f>
        <v>1</v>
      </c>
      <c r="BP659" s="128">
        <f>BM659+CJ659</f>
        <v>1</v>
      </c>
      <c r="BQ659" s="128">
        <f>BN659+CL659</f>
        <v>1068.3760683760663</v>
      </c>
      <c r="BR659" s="130">
        <f>IF(BS659&gt;0,1,0)</f>
        <v>0</v>
      </c>
      <c r="BS659" s="128">
        <f>VLOOKUP($E659,[2]Current!$A:$AC,12,FALSE)</f>
        <v>0</v>
      </c>
      <c r="BT659" s="137">
        <f>BS659/$AS659</f>
        <v>0</v>
      </c>
      <c r="BU659" s="130">
        <f>IF(BV659&gt;0,1,0)</f>
        <v>0</v>
      </c>
      <c r="BV659" s="128">
        <f>VLOOKUP($E659,[2]Current!$A:$AC,13,FALSE)</f>
        <v>0</v>
      </c>
      <c r="BW659" s="128">
        <f>BV659/$AS659</f>
        <v>0</v>
      </c>
      <c r="BX659" s="130">
        <f>IF(BY659&gt;0,1,0)</f>
        <v>1</v>
      </c>
      <c r="BY659" s="128">
        <f>VLOOKUP($E659,[2]Current!$A:$AC,14,FALSE)</f>
        <v>125</v>
      </c>
      <c r="BZ659" s="128">
        <f>BY659/$AS659</f>
        <v>1068.3760683760663</v>
      </c>
      <c r="CA659" s="130">
        <f>IF(CB659&gt;0,1,0)</f>
        <v>0</v>
      </c>
      <c r="CB659" s="128">
        <f>VLOOKUP($E659,[2]Current!$A:$AC,15,FALSE)</f>
        <v>0</v>
      </c>
      <c r="CC659" s="128">
        <f>CB659/$AS659</f>
        <v>0</v>
      </c>
      <c r="CD659" s="174">
        <f>IF(CE659&gt;0,1,0)</f>
        <v>0</v>
      </c>
      <c r="CE659" s="128">
        <f>VLOOKUP($E659,[2]Current!$A:$AC,16,FALSE)</f>
        <v>0</v>
      </c>
      <c r="CF659" s="128">
        <f>CE659/$AS659</f>
        <v>0</v>
      </c>
      <c r="CG659" s="18"/>
      <c r="CH659" s="18"/>
      <c r="CI659" s="18"/>
      <c r="CJ659" s="130">
        <f>IF(CK659&gt;0,1,0)</f>
        <v>0</v>
      </c>
      <c r="CK659" s="128">
        <f>VLOOKUP($E659,[2]Current!$A:$AC,18,FALSE)</f>
        <v>0</v>
      </c>
      <c r="CL659" s="128">
        <f>CK659/$AS659</f>
        <v>0</v>
      </c>
      <c r="CM659" s="16"/>
      <c r="CN659" s="16"/>
      <c r="CO659" s="16"/>
      <c r="CP659" s="16"/>
      <c r="CQ659" s="16"/>
      <c r="CR659" s="16"/>
      <c r="CS659" s="130">
        <f>IF(CU659&gt;0,1,0)</f>
        <v>0</v>
      </c>
      <c r="CT659" s="16"/>
      <c r="CU659" s="128">
        <f>VLOOKUP($E659,[2]Current!$A:$AC,17,FALSE)</f>
        <v>0</v>
      </c>
      <c r="CV659" s="128">
        <f>CU659/$AS659</f>
        <v>0</v>
      </c>
      <c r="CW659" s="18"/>
      <c r="CX659" s="18"/>
      <c r="CY659" s="18"/>
      <c r="CZ659" s="16"/>
      <c r="DA659" s="16"/>
      <c r="DB659" s="16"/>
      <c r="DC659" s="16"/>
      <c r="DD659" s="16"/>
      <c r="DE659" s="16"/>
      <c r="DF659" s="16" t="e">
        <f>VLOOKUP(K659,'[3]RNA Seq summary tables'!$V$3:$V$99,1,FALSE)</f>
        <v>#N/A</v>
      </c>
      <c r="DG659" s="126" t="s">
        <v>116</v>
      </c>
      <c r="DH659" s="16"/>
      <c r="DI659" s="16"/>
      <c r="DJ659" s="16"/>
      <c r="DK659" s="16"/>
      <c r="DL659" s="16"/>
      <c r="DM659" s="16"/>
      <c r="DN659" s="16"/>
      <c r="DO659" s="16"/>
      <c r="DP659" s="16"/>
      <c r="DQ659" s="16"/>
      <c r="DR659" s="16"/>
      <c r="DS659" s="16"/>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18"/>
      <c r="EQ659" s="18"/>
      <c r="ER659" s="18"/>
      <c r="ES659" s="18"/>
      <c r="ET659" s="18"/>
      <c r="EU659" s="18"/>
      <c r="EV659" s="18"/>
      <c r="EW659" s="18"/>
      <c r="EX659" s="18"/>
      <c r="EY659" s="18"/>
      <c r="EZ659" s="18"/>
      <c r="FA659" s="18"/>
      <c r="FB659" s="18"/>
      <c r="FC659" s="18"/>
      <c r="FD659" s="18"/>
      <c r="FE659" s="18"/>
      <c r="FF659" s="18"/>
      <c r="FG659" s="18"/>
      <c r="FH659" s="18"/>
      <c r="FI659" s="18"/>
      <c r="FJ659" s="18"/>
      <c r="FK659" s="18"/>
      <c r="FL659" s="18"/>
      <c r="FM659" s="18"/>
      <c r="FN659" s="18"/>
      <c r="FO659" s="18"/>
      <c r="FP659" s="18"/>
      <c r="FQ659" s="18"/>
      <c r="FR659" s="18"/>
      <c r="FS659" s="18"/>
      <c r="FT659" s="18"/>
      <c r="FU659" s="18"/>
      <c r="FV659" s="18"/>
      <c r="FW659" s="18"/>
      <c r="FX659" s="18"/>
      <c r="FY659" s="18"/>
      <c r="FZ659" s="18"/>
      <c r="GA659" s="18"/>
      <c r="GB659" s="18"/>
      <c r="GC659" s="18"/>
      <c r="GD659" s="18"/>
      <c r="GE659" s="18"/>
      <c r="GF659" s="18"/>
      <c r="GG659" s="18"/>
      <c r="GH659" s="18"/>
      <c r="GI659" s="18"/>
      <c r="GJ659" s="18"/>
      <c r="GK659" s="18"/>
      <c r="GL659" s="18"/>
      <c r="GM659" s="18"/>
      <c r="GN659" s="18"/>
      <c r="GO659" s="18"/>
      <c r="GP659" s="18"/>
      <c r="GQ659" s="18"/>
      <c r="GR659" s="18"/>
      <c r="GS659" s="18"/>
      <c r="GT659" s="18"/>
      <c r="GU659" s="18"/>
      <c r="GV659" s="18"/>
      <c r="GW659" s="18"/>
      <c r="GX659" s="18"/>
      <c r="GY659" s="18"/>
      <c r="GZ659" s="18"/>
      <c r="HA659" s="18"/>
      <c r="HB659" s="18"/>
      <c r="HC659" s="18"/>
      <c r="HD659" s="18"/>
      <c r="HE659" s="18"/>
      <c r="HF659" s="18"/>
      <c r="HG659" s="18"/>
      <c r="HH659" s="18"/>
      <c r="HI659" s="18"/>
      <c r="HJ659" s="18"/>
      <c r="HK659" s="18"/>
      <c r="HL659" s="18"/>
      <c r="HM659" s="18"/>
      <c r="HN659" s="18"/>
      <c r="HO659" s="18"/>
      <c r="HP659" s="18"/>
      <c r="HQ659" s="18"/>
      <c r="HR659" s="18"/>
      <c r="HS659" s="18"/>
      <c r="HT659" s="18"/>
      <c r="HU659" s="18"/>
      <c r="HV659" s="18"/>
      <c r="HW659" s="18"/>
      <c r="HX659" s="18"/>
      <c r="HY659" s="18"/>
      <c r="HZ659" s="18"/>
      <c r="IA659" s="18"/>
      <c r="IB659" s="18"/>
      <c r="IC659" s="18"/>
      <c r="ID659" s="18"/>
      <c r="IE659" s="18"/>
      <c r="IF659" s="18"/>
      <c r="IG659" s="18"/>
      <c r="IH659" s="18"/>
      <c r="II659" s="18"/>
      <c r="IJ659" s="18"/>
      <c r="IK659" s="18"/>
      <c r="IL659" s="18"/>
      <c r="IM659" s="18"/>
      <c r="IN659" s="18"/>
      <c r="IO659" s="18"/>
      <c r="IP659" s="18"/>
      <c r="IQ659" s="18"/>
      <c r="IR659" s="18"/>
      <c r="IS659" s="18"/>
      <c r="IT659" s="18"/>
      <c r="IU659" s="18"/>
      <c r="IV659" s="18"/>
      <c r="IW659" s="18"/>
      <c r="IX659" s="18"/>
      <c r="IY659" s="18"/>
      <c r="IZ659" s="18"/>
      <c r="JA659" s="18"/>
      <c r="JB659" s="18"/>
      <c r="JC659" s="18"/>
      <c r="JD659" s="18"/>
      <c r="JE659" s="18"/>
      <c r="JF659" s="18"/>
      <c r="JG659" s="18"/>
      <c r="JH659" s="18"/>
      <c r="JI659" s="18"/>
      <c r="JJ659" s="18"/>
      <c r="JK659" s="18"/>
      <c r="JL659" s="18"/>
      <c r="JM659" s="18"/>
      <c r="JN659" s="18"/>
      <c r="JO659" s="16"/>
      <c r="JP659" s="16"/>
      <c r="JQ659" s="16"/>
      <c r="JR659" s="18"/>
      <c r="JS659" s="18"/>
      <c r="JT659" s="18"/>
      <c r="JU659" s="18"/>
      <c r="JV659" s="18"/>
      <c r="JW659" s="18"/>
      <c r="JX659" s="18"/>
      <c r="JY659" s="18"/>
      <c r="JZ659" s="18"/>
      <c r="KA659" s="18"/>
      <c r="KB659" s="18"/>
    </row>
    <row r="660" spans="1:288" s="30" customFormat="1" ht="16" x14ac:dyDescent="0.2">
      <c r="A660" s="18"/>
      <c r="B660" s="16">
        <v>2018</v>
      </c>
      <c r="C660" s="124">
        <v>43303</v>
      </c>
      <c r="D660" t="s">
        <v>1037</v>
      </c>
      <c r="E660" s="37" t="str">
        <f>CONCATENATE(T660,"-",U660,"-",C660)</f>
        <v>BC2-H2-43303</v>
      </c>
      <c r="F660" s="16" t="s">
        <v>227</v>
      </c>
      <c r="G660" s="126" t="s">
        <v>107</v>
      </c>
      <c r="H660" s="126" t="s">
        <v>1148</v>
      </c>
      <c r="I660" s="16"/>
      <c r="J660" s="126">
        <v>1511</v>
      </c>
      <c r="K660" s="126">
        <v>2680</v>
      </c>
      <c r="L660" s="16"/>
      <c r="M660" s="21"/>
      <c r="N660" s="21"/>
      <c r="O660" s="126" t="s">
        <v>119</v>
      </c>
      <c r="P660" s="18" t="s">
        <v>119</v>
      </c>
      <c r="Q660" s="18">
        <v>0</v>
      </c>
      <c r="R660" s="18">
        <f>IF(J660=J659,C660-C659,"")</f>
        <v>10</v>
      </c>
      <c r="S660" s="16"/>
      <c r="T660" s="126" t="s">
        <v>154</v>
      </c>
      <c r="U660" s="126" t="s">
        <v>190</v>
      </c>
      <c r="V660" s="126" t="s">
        <v>114</v>
      </c>
      <c r="W660" s="16"/>
      <c r="X660" s="126" t="s">
        <v>121</v>
      </c>
      <c r="Y660" s="126" t="s">
        <v>110</v>
      </c>
      <c r="Z660" s="126">
        <v>3</v>
      </c>
      <c r="AA660" s="126" t="s">
        <v>161</v>
      </c>
      <c r="AB660" s="126" t="s">
        <v>123</v>
      </c>
      <c r="AC660" s="126" t="s">
        <v>123</v>
      </c>
      <c r="AD660" s="126"/>
      <c r="AE660" s="126"/>
      <c r="AF660" s="16"/>
      <c r="AG660" s="40">
        <f>AH660-AI660</f>
        <v>84</v>
      </c>
      <c r="AH660" s="126">
        <v>166</v>
      </c>
      <c r="AI660" s="126">
        <v>82</v>
      </c>
      <c r="AJ660" s="16"/>
      <c r="AK660" s="126">
        <v>24.5</v>
      </c>
      <c r="AL660" s="126">
        <v>1</v>
      </c>
      <c r="AM660" s="126">
        <v>0</v>
      </c>
      <c r="AN660" s="126">
        <v>0</v>
      </c>
      <c r="AO660" s="16">
        <f>IF(SUM(AL660:AN660)&gt;0,1,0)</f>
        <v>1</v>
      </c>
      <c r="AP660" s="18">
        <f>SUM(AL660:AN660)</f>
        <v>1</v>
      </c>
      <c r="AQ660" s="16"/>
      <c r="AR660" s="16">
        <v>0.42400000000000015</v>
      </c>
      <c r="AS660" s="16">
        <f>VLOOKUP(E660,'[1]Feces weights'!$D$1:$H$459,5,FALSE)</f>
        <v>0.42400000000000015</v>
      </c>
      <c r="AT660" s="16" t="str">
        <f>VLOOKUP(E660,[2]Current!$A$1:$W$435,7,FALSE)</f>
        <v>LV</v>
      </c>
      <c r="AU660" s="16" t="s">
        <v>1288</v>
      </c>
      <c r="AV660" s="23"/>
      <c r="AW660" s="128">
        <f>IF(AX660&gt;0,1,0)</f>
        <v>1</v>
      </c>
      <c r="AX660" s="128">
        <f>SUM(BA660,BM660,CU660)</f>
        <v>3</v>
      </c>
      <c r="AY660" s="128">
        <f>SUM(BB660,BN660,CV660)</f>
        <v>9198.1132075471669</v>
      </c>
      <c r="AZ660" s="128">
        <f>IF(BA660&gt;0,1,0)</f>
        <v>1</v>
      </c>
      <c r="BA660" s="128">
        <f>SUM(BC660+BF660+BI660)</f>
        <v>3</v>
      </c>
      <c r="BB660" s="128">
        <f>SUM(BE660,BH660,BK660)</f>
        <v>9198.1132075471669</v>
      </c>
      <c r="BC660" s="130">
        <f>IF(BD660&gt;0,1,0)</f>
        <v>1</v>
      </c>
      <c r="BD660" s="128">
        <f>VLOOKUP($E660,[2]Current!$A:$AC,26,FALSE)</f>
        <v>68</v>
      </c>
      <c r="BE660" s="128">
        <f>BD660/$AS660</f>
        <v>160.37735849056597</v>
      </c>
      <c r="BF660" s="130">
        <f>IF(BG660&gt;0,1,0)</f>
        <v>1</v>
      </c>
      <c r="BG660" s="175">
        <f>VLOOKUP($E660,[2]Current!$A:$AC,27,FALSE)</f>
        <v>3822</v>
      </c>
      <c r="BH660" s="128">
        <f>BG660/$AS660</f>
        <v>9014.1509433962237</v>
      </c>
      <c r="BI660" s="130">
        <f>IF(BJ660&gt;0,1,0)</f>
        <v>1</v>
      </c>
      <c r="BJ660" s="128">
        <f>VLOOKUP($E660,[2]Current!$A:$AC,28,FALSE)</f>
        <v>10</v>
      </c>
      <c r="BK660" s="128">
        <f>BJ660/$AS660</f>
        <v>23.584905660377348</v>
      </c>
      <c r="BL660" s="128">
        <f>IF(BM660&gt;0,1,0)</f>
        <v>0</v>
      </c>
      <c r="BM660" s="128">
        <f>SUM(BR660,BU660,BX660,CA660,CD660)</f>
        <v>0</v>
      </c>
      <c r="BN660" s="131">
        <f>SUM(BT660,BW660,BZ660,CC660,CF660)</f>
        <v>0</v>
      </c>
      <c r="BO660" s="128">
        <f>IF(BP660&gt;0,1,0)</f>
        <v>0</v>
      </c>
      <c r="BP660" s="128">
        <f>BM660+CJ660</f>
        <v>0</v>
      </c>
      <c r="BQ660" s="128">
        <f>BN660+CL660</f>
        <v>0</v>
      </c>
      <c r="BR660" s="130">
        <f>IF(BS660&gt;0,1,0)</f>
        <v>0</v>
      </c>
      <c r="BS660" s="128">
        <f>VLOOKUP($E660,[2]Current!$A:$AC,12,FALSE)</f>
        <v>0</v>
      </c>
      <c r="BT660" s="137">
        <f>BS660/$AS660</f>
        <v>0</v>
      </c>
      <c r="BU660" s="130">
        <f>IF(BV660&gt;0,1,0)</f>
        <v>0</v>
      </c>
      <c r="BV660" s="128">
        <f>VLOOKUP($E660,[2]Current!$A:$AC,13,FALSE)</f>
        <v>0</v>
      </c>
      <c r="BW660" s="128">
        <f>BV660/$AS660</f>
        <v>0</v>
      </c>
      <c r="BX660" s="130">
        <f>IF(BY660&gt;0,1,0)</f>
        <v>0</v>
      </c>
      <c r="BY660" s="128">
        <f>VLOOKUP($E660,[2]Current!$A:$AC,14,FALSE)</f>
        <v>0</v>
      </c>
      <c r="BZ660" s="128">
        <f>BY660/$AS660</f>
        <v>0</v>
      </c>
      <c r="CA660" s="130">
        <f>IF(CB660&gt;0,1,0)</f>
        <v>0</v>
      </c>
      <c r="CB660" s="128">
        <f>VLOOKUP($E660,[2]Current!$A:$AC,15,FALSE)</f>
        <v>0</v>
      </c>
      <c r="CC660" s="128">
        <f>CB660/$AS660</f>
        <v>0</v>
      </c>
      <c r="CD660" s="174">
        <f>IF(CE660&gt;0,1,0)</f>
        <v>0</v>
      </c>
      <c r="CE660" s="128">
        <f>VLOOKUP($E660,[2]Current!$A:$AC,16,FALSE)</f>
        <v>0</v>
      </c>
      <c r="CF660" s="128">
        <f>CE660/$AS660</f>
        <v>0</v>
      </c>
      <c r="CG660" s="18"/>
      <c r="CH660" s="18"/>
      <c r="CI660" s="18"/>
      <c r="CJ660" s="130">
        <f>IF(CK660&gt;0,1,0)</f>
        <v>0</v>
      </c>
      <c r="CK660" s="128">
        <f>VLOOKUP($E660,[2]Current!$A:$AC,18,FALSE)</f>
        <v>0</v>
      </c>
      <c r="CL660" s="128">
        <f>CK660/$AS660</f>
        <v>0</v>
      </c>
      <c r="CM660" s="16"/>
      <c r="CN660" s="16"/>
      <c r="CO660" s="16"/>
      <c r="CP660" s="16"/>
      <c r="CQ660" s="16"/>
      <c r="CR660" s="16"/>
      <c r="CS660" s="130">
        <f>IF(CU660&gt;0,1,0)</f>
        <v>0</v>
      </c>
      <c r="CT660" s="16"/>
      <c r="CU660" s="128">
        <f>VLOOKUP($E660,[2]Current!$A:$AC,17,FALSE)</f>
        <v>0</v>
      </c>
      <c r="CV660" s="128">
        <f>CU660/$AS660</f>
        <v>0</v>
      </c>
      <c r="CW660" s="18"/>
      <c r="CX660" s="18"/>
      <c r="CY660" s="18"/>
      <c r="CZ660" s="16"/>
      <c r="DA660" s="16"/>
      <c r="DB660" s="16"/>
      <c r="DC660" s="16"/>
      <c r="DD660" s="16"/>
      <c r="DE660" s="16"/>
      <c r="DF660" s="16" t="e">
        <f>VLOOKUP(K660,'[3]RNA Seq summary tables'!$V$3:$V$99,1,FALSE)</f>
        <v>#N/A</v>
      </c>
      <c r="DG660" s="126" t="s">
        <v>116</v>
      </c>
      <c r="DH660" s="16"/>
      <c r="DI660" s="16"/>
      <c r="DJ660" s="16"/>
      <c r="DK660" s="16"/>
      <c r="DL660" s="16"/>
      <c r="DM660" s="16"/>
      <c r="DN660" s="16"/>
      <c r="DO660" s="16"/>
      <c r="DP660" s="16"/>
      <c r="DQ660" s="16"/>
      <c r="DR660" s="16"/>
      <c r="DS660" s="16"/>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18"/>
      <c r="EQ660" s="18"/>
      <c r="ER660" s="18"/>
      <c r="ES660" s="18"/>
      <c r="ET660" s="18"/>
      <c r="EU660" s="18"/>
      <c r="EV660" s="18"/>
      <c r="EW660" s="18"/>
      <c r="EX660" s="18"/>
      <c r="EY660" s="18"/>
      <c r="EZ660" s="18"/>
      <c r="FA660" s="18"/>
      <c r="FB660" s="18"/>
      <c r="FC660" s="18"/>
      <c r="FD660" s="18"/>
      <c r="FE660" s="18"/>
      <c r="FF660" s="18"/>
      <c r="FG660" s="18"/>
      <c r="FH660" s="18"/>
      <c r="FI660" s="18"/>
      <c r="FJ660" s="18"/>
      <c r="FK660" s="18"/>
      <c r="FL660" s="18"/>
      <c r="FM660" s="18"/>
      <c r="FN660" s="18"/>
      <c r="FO660" s="18"/>
      <c r="FP660" s="18"/>
      <c r="FQ660" s="18"/>
      <c r="FR660" s="18"/>
      <c r="FS660" s="18"/>
      <c r="FT660" s="18"/>
      <c r="FU660" s="18"/>
      <c r="FV660" s="18"/>
      <c r="FW660" s="18"/>
      <c r="FX660" s="18"/>
      <c r="FY660" s="18"/>
      <c r="FZ660" s="18"/>
      <c r="GA660" s="18"/>
      <c r="GB660" s="18"/>
      <c r="GC660" s="18"/>
      <c r="GD660" s="18"/>
      <c r="GE660" s="18"/>
      <c r="GF660" s="18"/>
      <c r="GG660" s="18"/>
      <c r="GH660" s="18"/>
      <c r="GI660" s="18"/>
      <c r="GJ660" s="18"/>
      <c r="GK660" s="18"/>
      <c r="GL660" s="18"/>
      <c r="GM660" s="18"/>
      <c r="GN660" s="18"/>
      <c r="GO660" s="18"/>
      <c r="GP660" s="18"/>
      <c r="GQ660" s="18"/>
      <c r="GR660" s="18"/>
      <c r="GS660" s="18"/>
      <c r="GT660" s="18"/>
      <c r="GU660" s="18"/>
      <c r="GV660" s="18"/>
      <c r="GW660" s="18"/>
      <c r="GX660" s="18"/>
      <c r="GY660" s="18"/>
      <c r="GZ660" s="18"/>
      <c r="HA660" s="18"/>
      <c r="HB660" s="18"/>
      <c r="HC660" s="18"/>
      <c r="HD660" s="18"/>
      <c r="HE660" s="18"/>
      <c r="HF660" s="18"/>
      <c r="HG660" s="18"/>
      <c r="HH660" s="18"/>
      <c r="HI660" s="18"/>
      <c r="HJ660" s="18"/>
      <c r="HK660" s="18"/>
      <c r="HL660" s="18"/>
      <c r="HM660" s="18"/>
      <c r="HN660" s="18"/>
      <c r="HO660" s="18"/>
      <c r="HP660" s="18"/>
      <c r="HQ660" s="18"/>
      <c r="HR660" s="18"/>
      <c r="HS660" s="18"/>
      <c r="HT660" s="18"/>
      <c r="HU660" s="18"/>
      <c r="HV660" s="18"/>
      <c r="HW660" s="18"/>
      <c r="HX660" s="18"/>
      <c r="HY660" s="18"/>
      <c r="HZ660" s="18"/>
      <c r="IA660" s="18"/>
      <c r="IB660" s="18"/>
      <c r="IC660" s="18"/>
      <c r="ID660" s="18"/>
      <c r="IE660" s="18"/>
      <c r="IF660" s="18"/>
      <c r="IG660" s="18"/>
      <c r="IH660" s="18"/>
      <c r="II660" s="18"/>
      <c r="IJ660" s="18"/>
      <c r="IK660" s="18"/>
      <c r="IL660" s="18"/>
      <c r="IM660" s="18"/>
      <c r="IN660" s="18"/>
      <c r="IO660" s="18"/>
      <c r="IP660" s="18"/>
      <c r="IQ660" s="18"/>
      <c r="IR660" s="18"/>
      <c r="IS660" s="18"/>
      <c r="IT660" s="18"/>
      <c r="IU660" s="18"/>
      <c r="IV660" s="18"/>
      <c r="IW660" s="18"/>
      <c r="IX660" s="18"/>
      <c r="IY660" s="18"/>
      <c r="IZ660" s="18"/>
      <c r="JA660" s="18"/>
      <c r="JB660" s="18"/>
      <c r="JC660" s="18"/>
      <c r="JD660" s="18"/>
      <c r="JE660" s="18"/>
      <c r="JF660" s="18"/>
      <c r="JG660" s="18"/>
      <c r="JH660" s="18"/>
      <c r="JI660" s="18"/>
      <c r="JJ660" s="18"/>
      <c r="JK660" s="18"/>
      <c r="JL660" s="18"/>
      <c r="JM660" s="18"/>
      <c r="JN660" s="18"/>
      <c r="JO660" s="16"/>
      <c r="JP660" s="16"/>
      <c r="JQ660" s="16"/>
      <c r="JR660" s="16"/>
      <c r="JS660" s="16"/>
      <c r="JT660" s="16"/>
      <c r="JU660" s="16"/>
      <c r="JV660" s="16"/>
      <c r="JW660" s="16"/>
      <c r="JX660" s="16"/>
      <c r="JY660" s="16"/>
      <c r="JZ660" s="16"/>
      <c r="KA660" s="16"/>
      <c r="KB660" s="16"/>
    </row>
    <row r="661" spans="1:288" s="30" customFormat="1" ht="16" x14ac:dyDescent="0.2">
      <c r="A661" s="18"/>
      <c r="B661" s="16">
        <v>2018</v>
      </c>
      <c r="C661" s="124">
        <v>43275</v>
      </c>
      <c r="D661" t="s">
        <v>857</v>
      </c>
      <c r="E661" s="37" t="str">
        <f>CONCATENATE(T661,"-",U661,"-",C661)</f>
        <v>BC2-H8-43275</v>
      </c>
      <c r="F661" s="16" t="s">
        <v>227</v>
      </c>
      <c r="G661" s="126" t="s">
        <v>107</v>
      </c>
      <c r="H661" s="126" t="s">
        <v>1114</v>
      </c>
      <c r="I661" s="23"/>
      <c r="J661" s="126">
        <v>1513</v>
      </c>
      <c r="K661" s="126">
        <v>2496</v>
      </c>
      <c r="L661" s="23"/>
      <c r="M661" s="21"/>
      <c r="N661" s="21"/>
      <c r="O661" s="126" t="s">
        <v>119</v>
      </c>
      <c r="P661" s="25" t="s">
        <v>119</v>
      </c>
      <c r="Q661" s="25">
        <v>0</v>
      </c>
      <c r="R661" s="25" t="str">
        <f>IF(J661=J660,C661-C660,"")</f>
        <v/>
      </c>
      <c r="S661" s="23"/>
      <c r="T661" s="126" t="s">
        <v>154</v>
      </c>
      <c r="U661" s="126" t="s">
        <v>152</v>
      </c>
      <c r="V661" s="196" t="s">
        <v>142</v>
      </c>
      <c r="W661" s="23"/>
      <c r="X661" s="126" t="s">
        <v>115</v>
      </c>
      <c r="Y661" s="126" t="s">
        <v>110</v>
      </c>
      <c r="Z661" s="126">
        <v>3</v>
      </c>
      <c r="AA661" s="126"/>
      <c r="AB661" s="126"/>
      <c r="AC661" s="126"/>
      <c r="AD661" s="126"/>
      <c r="AE661" s="126" t="s">
        <v>116</v>
      </c>
      <c r="AF661" s="23"/>
      <c r="AG661" s="23">
        <f>AH661-AI661</f>
        <v>78</v>
      </c>
      <c r="AH661" s="126">
        <v>165</v>
      </c>
      <c r="AI661" s="126">
        <v>87</v>
      </c>
      <c r="AJ661" s="23"/>
      <c r="AK661" s="126">
        <v>16</v>
      </c>
      <c r="AL661" s="126">
        <v>1</v>
      </c>
      <c r="AM661" s="126">
        <v>0</v>
      </c>
      <c r="AN661" s="126">
        <v>0</v>
      </c>
      <c r="AO661" s="23">
        <f>IF(SUM(AL661:AN661)&gt;0,1,0)</f>
        <v>1</v>
      </c>
      <c r="AP661" s="25">
        <f>SUM(AL661:AN661)</f>
        <v>1</v>
      </c>
      <c r="AQ661" s="23"/>
      <c r="AR661" s="23">
        <v>0.34000000000000008</v>
      </c>
      <c r="AS661" s="16">
        <f>VLOOKUP(E661,'[1]Feces weights'!$D$1:$H$459,5,FALSE)</f>
        <v>0.34000000000000008</v>
      </c>
      <c r="AT661" s="16" t="str">
        <f>VLOOKUP(E661,[2]Current!$A$1:$W$435,7,FALSE)</f>
        <v>JB</v>
      </c>
      <c r="AU661" s="16" t="s">
        <v>1288</v>
      </c>
      <c r="AV661" s="16"/>
      <c r="AW661" s="128">
        <f>IF(AX661&gt;0,1,0)</f>
        <v>1</v>
      </c>
      <c r="AX661" s="128">
        <f>SUM(BA661,BM661,CU661)</f>
        <v>1</v>
      </c>
      <c r="AY661" s="128">
        <f>SUM(BB661,BN661,CV661)</f>
        <v>17.647058823529406</v>
      </c>
      <c r="AZ661" s="128">
        <f>IF(BA661&gt;0,1,0)</f>
        <v>1</v>
      </c>
      <c r="BA661" s="128">
        <f>SUM(BC661+BF661+BI661)</f>
        <v>1</v>
      </c>
      <c r="BB661" s="128">
        <f>SUM(BE661,BH661,BK661)</f>
        <v>17.647058823529406</v>
      </c>
      <c r="BC661" s="130">
        <f>IF(BD661&gt;0,1,0)</f>
        <v>0</v>
      </c>
      <c r="BD661" s="128">
        <f>VLOOKUP($E661,[2]Current!$A:$AC,26,FALSE)</f>
        <v>0</v>
      </c>
      <c r="BE661" s="128">
        <f>BD661/$AS661</f>
        <v>0</v>
      </c>
      <c r="BF661" s="130">
        <f>IF(BG661&gt;0,1,0)</f>
        <v>1</v>
      </c>
      <c r="BG661" s="175">
        <f>VLOOKUP($E661,[2]Current!$A:$AC,27,FALSE)</f>
        <v>6</v>
      </c>
      <c r="BH661" s="128">
        <f>BG661/$AS661</f>
        <v>17.647058823529406</v>
      </c>
      <c r="BI661" s="130">
        <f>IF(BJ661&gt;0,1,0)</f>
        <v>0</v>
      </c>
      <c r="BJ661" s="128">
        <f>VLOOKUP($E661,[2]Current!$A:$AC,28,FALSE)</f>
        <v>0</v>
      </c>
      <c r="BK661" s="128">
        <f>BJ661/$AS661</f>
        <v>0</v>
      </c>
      <c r="BL661" s="128">
        <f>IF(BM661&gt;0,1,0)</f>
        <v>0</v>
      </c>
      <c r="BM661" s="128">
        <f>SUM(BR661,BU661,BX661,CA661,CD661)</f>
        <v>0</v>
      </c>
      <c r="BN661" s="131">
        <f>SUM(BT661,BW661,BZ661,CC661,CF661)</f>
        <v>0</v>
      </c>
      <c r="BO661" s="128">
        <f>IF(BP661&gt;0,1,0)</f>
        <v>0</v>
      </c>
      <c r="BP661" s="128">
        <f>BM661+CJ661</f>
        <v>0</v>
      </c>
      <c r="BQ661" s="128">
        <f>BN661+CL661</f>
        <v>0</v>
      </c>
      <c r="BR661" s="130">
        <f>IF(BS661&gt;0,1,0)</f>
        <v>0</v>
      </c>
      <c r="BS661" s="128">
        <f>VLOOKUP($E661,[2]Current!$A:$AC,12,FALSE)</f>
        <v>0</v>
      </c>
      <c r="BT661" s="137">
        <f>BS661/$AS661</f>
        <v>0</v>
      </c>
      <c r="BU661" s="130">
        <f>IF(BV661&gt;0,1,0)</f>
        <v>0</v>
      </c>
      <c r="BV661" s="128">
        <f>VLOOKUP($E661,[2]Current!$A:$AC,13,FALSE)</f>
        <v>0</v>
      </c>
      <c r="BW661" s="128">
        <f>BV661/$AS661</f>
        <v>0</v>
      </c>
      <c r="BX661" s="130">
        <f>IF(BY661&gt;0,1,0)</f>
        <v>0</v>
      </c>
      <c r="BY661" s="128">
        <f>VLOOKUP($E661,[2]Current!$A:$AC,14,FALSE)</f>
        <v>0</v>
      </c>
      <c r="BZ661" s="128">
        <f>BY661/$AS661</f>
        <v>0</v>
      </c>
      <c r="CA661" s="130">
        <f>IF(CB661&gt;0,1,0)</f>
        <v>0</v>
      </c>
      <c r="CB661" s="128">
        <f>VLOOKUP($E661,[2]Current!$A:$AC,15,FALSE)</f>
        <v>0</v>
      </c>
      <c r="CC661" s="128">
        <f>CB661/$AS661</f>
        <v>0</v>
      </c>
      <c r="CD661" s="174">
        <f>IF(CE661&gt;0,1,0)</f>
        <v>0</v>
      </c>
      <c r="CE661" s="128">
        <f>VLOOKUP($E661,[2]Current!$A:$AC,16,FALSE)</f>
        <v>0</v>
      </c>
      <c r="CF661" s="128">
        <f>CE661/$AS661</f>
        <v>0</v>
      </c>
      <c r="CG661" s="18"/>
      <c r="CH661" s="18"/>
      <c r="CI661" s="18"/>
      <c r="CJ661" s="130">
        <f>IF(CK661&gt;0,1,0)</f>
        <v>0</v>
      </c>
      <c r="CK661" s="128">
        <f>VLOOKUP($E661,[2]Current!$A:$AC,18,FALSE)</f>
        <v>0</v>
      </c>
      <c r="CL661" s="128">
        <f>CK661/$AS661</f>
        <v>0</v>
      </c>
      <c r="CM661" s="16"/>
      <c r="CN661" s="16"/>
      <c r="CO661" s="16"/>
      <c r="CP661" s="16"/>
      <c r="CQ661" s="16"/>
      <c r="CR661" s="16"/>
      <c r="CS661" s="130">
        <f>IF(CU661&gt;0,1,0)</f>
        <v>0</v>
      </c>
      <c r="CT661" s="16"/>
      <c r="CU661" s="128">
        <f>VLOOKUP($E661,[2]Current!$A:$AC,17,FALSE)</f>
        <v>0</v>
      </c>
      <c r="CV661" s="128">
        <f>CU661/$AS661</f>
        <v>0</v>
      </c>
      <c r="CW661" s="18"/>
      <c r="CX661" s="18"/>
      <c r="CY661" s="18"/>
      <c r="CZ661" s="16"/>
      <c r="DA661" s="16"/>
      <c r="DB661" s="16"/>
      <c r="DC661" s="23"/>
      <c r="DD661" s="23"/>
      <c r="DE661" s="23"/>
      <c r="DF661" s="16" t="e">
        <f>VLOOKUP(K661,'[3]RNA Seq summary tables'!$V$3:$V$99,1,FALSE)</f>
        <v>#N/A</v>
      </c>
      <c r="DG661" s="126" t="s">
        <v>116</v>
      </c>
      <c r="DH661" s="23"/>
      <c r="DI661" s="23"/>
      <c r="DJ661" s="23"/>
      <c r="DK661" s="23"/>
      <c r="DL661" s="23"/>
      <c r="DM661" s="23"/>
      <c r="DN661" s="23"/>
      <c r="DO661" s="23"/>
      <c r="DP661" s="23"/>
      <c r="DQ661" s="23"/>
      <c r="DR661" s="23"/>
      <c r="DS661" s="23"/>
      <c r="DT661" s="25"/>
      <c r="DU661" s="25"/>
      <c r="DV661" s="25"/>
      <c r="DW661" s="25"/>
      <c r="DX661" s="25"/>
      <c r="DY661" s="25"/>
      <c r="DZ661" s="25"/>
      <c r="EA661" s="25"/>
      <c r="EB661" s="25"/>
      <c r="EC661" s="25"/>
      <c r="ED661" s="25"/>
      <c r="EE661" s="25"/>
      <c r="EF661" s="25"/>
      <c r="EG661" s="25"/>
      <c r="EH661" s="25"/>
      <c r="EI661" s="25"/>
      <c r="EJ661" s="25"/>
      <c r="EK661" s="25"/>
      <c r="EL661" s="25"/>
      <c r="EM661" s="25"/>
      <c r="EN661" s="25"/>
      <c r="EO661" s="25"/>
      <c r="EP661" s="25"/>
      <c r="EQ661" s="25"/>
      <c r="ER661" s="25"/>
      <c r="ES661" s="25"/>
      <c r="ET661" s="25"/>
      <c r="EU661" s="25"/>
      <c r="EV661" s="25"/>
      <c r="EW661" s="25"/>
      <c r="EX661" s="25"/>
      <c r="EY661" s="25"/>
      <c r="EZ661" s="25"/>
      <c r="FA661" s="25"/>
      <c r="FB661" s="25"/>
      <c r="FC661" s="25"/>
      <c r="FD661" s="25"/>
      <c r="FE661" s="25"/>
      <c r="FF661" s="25"/>
      <c r="FG661" s="25"/>
      <c r="FH661" s="25"/>
      <c r="FI661" s="25"/>
      <c r="FJ661" s="25"/>
      <c r="FK661" s="25"/>
      <c r="FL661" s="25"/>
      <c r="FM661" s="25"/>
      <c r="FN661" s="25"/>
      <c r="FO661" s="25"/>
      <c r="FP661" s="25"/>
      <c r="FQ661" s="25"/>
      <c r="FR661" s="25"/>
      <c r="FS661" s="25"/>
      <c r="FT661" s="25"/>
      <c r="FU661" s="25"/>
      <c r="FV661" s="25"/>
      <c r="FW661" s="25"/>
      <c r="FX661" s="25"/>
      <c r="FY661" s="25"/>
      <c r="FZ661" s="25"/>
      <c r="GA661" s="25"/>
      <c r="GB661" s="25"/>
      <c r="GC661" s="25"/>
      <c r="GD661" s="25"/>
      <c r="GE661" s="25"/>
      <c r="GF661" s="25"/>
      <c r="GG661" s="25"/>
      <c r="GH661" s="25"/>
      <c r="GI661" s="25"/>
      <c r="GJ661" s="25"/>
      <c r="GK661" s="25"/>
      <c r="GL661" s="25"/>
      <c r="GM661" s="25"/>
      <c r="GN661" s="25"/>
      <c r="GO661" s="25"/>
      <c r="GP661" s="25"/>
      <c r="GQ661" s="25"/>
      <c r="GR661" s="25"/>
      <c r="GS661" s="25"/>
      <c r="GT661" s="25"/>
      <c r="GU661" s="25"/>
      <c r="GV661" s="25"/>
      <c r="GW661" s="25"/>
      <c r="GX661" s="25"/>
      <c r="GY661" s="25"/>
      <c r="GZ661" s="25"/>
      <c r="HA661" s="25"/>
      <c r="HB661" s="25"/>
      <c r="HC661" s="25"/>
      <c r="HD661" s="25"/>
      <c r="HE661" s="25"/>
      <c r="HF661" s="25"/>
      <c r="HG661" s="25"/>
      <c r="HH661" s="25"/>
      <c r="HI661" s="25"/>
      <c r="HJ661" s="25"/>
      <c r="HK661" s="25"/>
      <c r="HL661" s="25"/>
      <c r="HM661" s="25"/>
      <c r="HN661" s="25"/>
      <c r="HO661" s="25"/>
      <c r="HP661" s="25"/>
      <c r="HQ661" s="25"/>
      <c r="HR661" s="25"/>
      <c r="HS661" s="25"/>
      <c r="HT661" s="25"/>
      <c r="HU661" s="25"/>
      <c r="HV661" s="25"/>
      <c r="HW661" s="25"/>
      <c r="HX661" s="25"/>
      <c r="HY661" s="25"/>
      <c r="HZ661" s="25"/>
      <c r="IA661" s="25"/>
      <c r="IB661" s="25"/>
      <c r="IC661" s="25"/>
      <c r="ID661" s="25"/>
      <c r="IE661" s="25"/>
      <c r="IF661" s="25"/>
      <c r="IG661" s="25"/>
      <c r="IH661" s="25"/>
      <c r="II661" s="25"/>
      <c r="IJ661" s="25"/>
      <c r="IK661" s="25"/>
      <c r="IL661" s="25"/>
      <c r="IM661" s="25"/>
      <c r="IN661" s="25"/>
      <c r="IO661" s="25"/>
      <c r="IP661" s="25"/>
      <c r="IQ661" s="25"/>
      <c r="IR661" s="25"/>
      <c r="IS661" s="25"/>
      <c r="IT661" s="25"/>
      <c r="IU661" s="25"/>
      <c r="IV661" s="25"/>
      <c r="IW661" s="25"/>
      <c r="IX661" s="25"/>
      <c r="IY661" s="25"/>
      <c r="IZ661" s="25"/>
      <c r="JA661" s="25"/>
      <c r="JB661" s="25"/>
      <c r="JC661" s="25"/>
      <c r="JD661" s="25"/>
      <c r="JE661" s="25"/>
      <c r="JF661" s="25"/>
      <c r="JG661" s="25"/>
      <c r="JH661" s="25"/>
      <c r="JI661" s="25"/>
      <c r="JJ661" s="25"/>
      <c r="JK661" s="25"/>
      <c r="JL661" s="25"/>
      <c r="JM661" s="25"/>
      <c r="JN661" s="25"/>
      <c r="JO661" s="23"/>
      <c r="JP661" s="23"/>
      <c r="JQ661" s="23"/>
      <c r="JR661" s="23"/>
      <c r="JS661" s="23"/>
      <c r="JT661" s="23"/>
      <c r="JU661" s="23"/>
      <c r="JV661" s="23"/>
      <c r="JW661" s="23"/>
      <c r="JX661" s="23"/>
      <c r="JY661" s="23"/>
      <c r="JZ661" s="23"/>
      <c r="KA661" s="23"/>
      <c r="KB661" s="23"/>
    </row>
    <row r="662" spans="1:288" s="30" customFormat="1" ht="16" x14ac:dyDescent="0.2">
      <c r="A662" s="18"/>
      <c r="B662" s="16">
        <v>2018</v>
      </c>
      <c r="C662" s="124">
        <v>43276</v>
      </c>
      <c r="D662" t="s">
        <v>859</v>
      </c>
      <c r="E662" s="37" t="str">
        <f>CONCATENATE(T662,"-",U662,"-",C662)</f>
        <v>BC1-H5-43276</v>
      </c>
      <c r="F662" s="16" t="s">
        <v>227</v>
      </c>
      <c r="G662" s="126" t="s">
        <v>107</v>
      </c>
      <c r="H662" s="126"/>
      <c r="I662" s="16"/>
      <c r="J662" s="126">
        <v>1515</v>
      </c>
      <c r="K662" s="126">
        <v>2498</v>
      </c>
      <c r="L662" s="16"/>
      <c r="M662" s="21"/>
      <c r="N662" s="21"/>
      <c r="O662" s="126" t="s">
        <v>119</v>
      </c>
      <c r="P662" s="18" t="s">
        <v>119</v>
      </c>
      <c r="Q662" s="18">
        <v>0</v>
      </c>
      <c r="R662" s="18" t="str">
        <f>IF(J662=J661,C662-C661,"")</f>
        <v/>
      </c>
      <c r="S662" s="16"/>
      <c r="T662" s="126" t="s">
        <v>159</v>
      </c>
      <c r="U662" s="126" t="s">
        <v>180</v>
      </c>
      <c r="V662" s="126" t="s">
        <v>114</v>
      </c>
      <c r="W662" s="16"/>
      <c r="X662" s="126" t="s">
        <v>121</v>
      </c>
      <c r="Y662" s="126" t="s">
        <v>122</v>
      </c>
      <c r="Z662" s="126">
        <v>2.9</v>
      </c>
      <c r="AA662" s="126" t="s">
        <v>119</v>
      </c>
      <c r="AB662" s="126" t="s">
        <v>123</v>
      </c>
      <c r="AC662" s="126" t="s">
        <v>123</v>
      </c>
      <c r="AD662" s="126"/>
      <c r="AE662" s="126"/>
      <c r="AF662" s="16"/>
      <c r="AG662" s="16">
        <f>AH662-AI662</f>
        <v>81</v>
      </c>
      <c r="AH662" s="126">
        <v>154</v>
      </c>
      <c r="AI662" s="126">
        <v>73</v>
      </c>
      <c r="AJ662" s="16"/>
      <c r="AK662" s="126">
        <v>14.5</v>
      </c>
      <c r="AL662" s="126">
        <v>0</v>
      </c>
      <c r="AM662" s="126">
        <v>0</v>
      </c>
      <c r="AN662" s="126">
        <v>0</v>
      </c>
      <c r="AO662" s="16">
        <f>IF(SUM(AL662:AN662)&gt;0,1,0)</f>
        <v>0</v>
      </c>
      <c r="AP662" s="18">
        <f>SUM(AL662:AN662)</f>
        <v>0</v>
      </c>
      <c r="AQ662" s="16"/>
      <c r="AR662" s="16">
        <v>0.13300000000000001</v>
      </c>
      <c r="AS662" s="16">
        <f>VLOOKUP(E662,'[1]Feces weights'!$D$1:$H$459,5,FALSE)</f>
        <v>0.13300000000000001</v>
      </c>
      <c r="AT662" s="16" t="str">
        <f>VLOOKUP(E662,[2]Current!$A$1:$W$435,7,FALSE)</f>
        <v>DP</v>
      </c>
      <c r="AU662" s="16" t="s">
        <v>1288</v>
      </c>
      <c r="AV662" s="23">
        <v>1</v>
      </c>
      <c r="AW662" s="128">
        <f>IF(AX662&gt;0,1,0)</f>
        <v>0</v>
      </c>
      <c r="AX662" s="128">
        <f>SUM(BA662,BM662,CU662)</f>
        <v>0</v>
      </c>
      <c r="AY662" s="128">
        <f>SUM(BB662,BN662,CV662)</f>
        <v>0</v>
      </c>
      <c r="AZ662" s="128">
        <f>IF(BA662&gt;0,1,0)</f>
        <v>0</v>
      </c>
      <c r="BA662" s="128">
        <f>SUM(BC662+BF662+BI662)</f>
        <v>0</v>
      </c>
      <c r="BB662" s="128">
        <f>SUM(BE662,BH662,BK662)</f>
        <v>0</v>
      </c>
      <c r="BC662" s="130">
        <f>IF(BD662&gt;0,1,0)</f>
        <v>0</v>
      </c>
      <c r="BD662" s="128">
        <f>VLOOKUP($E662,[2]Current!$A:$AC,26,FALSE)</f>
        <v>0</v>
      </c>
      <c r="BE662" s="128">
        <f>BD662/$AS662</f>
        <v>0</v>
      </c>
      <c r="BF662" s="130">
        <f>IF(BG662&gt;0,1,0)</f>
        <v>0</v>
      </c>
      <c r="BG662" s="175">
        <f>VLOOKUP($E662,[2]Current!$A:$AC,27,FALSE)</f>
        <v>0</v>
      </c>
      <c r="BH662" s="128">
        <f>BG662/$AS662</f>
        <v>0</v>
      </c>
      <c r="BI662" s="130">
        <f>IF(BJ662&gt;0,1,0)</f>
        <v>0</v>
      </c>
      <c r="BJ662" s="128">
        <f>VLOOKUP($E662,[2]Current!$A:$AC,28,FALSE)</f>
        <v>0</v>
      </c>
      <c r="BK662" s="128">
        <f>BJ662/$AS662</f>
        <v>0</v>
      </c>
      <c r="BL662" s="128">
        <f>IF(BM662&gt;0,1,0)</f>
        <v>0</v>
      </c>
      <c r="BM662" s="128">
        <f>SUM(BR662,BU662,BX662,CA662,CD662)</f>
        <v>0</v>
      </c>
      <c r="BN662" s="131">
        <f>SUM(BT662,BW662,BZ662,CC662,CF662)</f>
        <v>0</v>
      </c>
      <c r="BO662" s="128">
        <f>IF(BP662&gt;0,1,0)</f>
        <v>0</v>
      </c>
      <c r="BP662" s="128">
        <f>BM662+CJ662</f>
        <v>0</v>
      </c>
      <c r="BQ662" s="128">
        <f>BN662+CL662</f>
        <v>0</v>
      </c>
      <c r="BR662" s="130">
        <f>IF(BS662&gt;0,1,0)</f>
        <v>0</v>
      </c>
      <c r="BS662" s="128">
        <f>VLOOKUP($E662,[2]Current!$A:$AC,12,FALSE)</f>
        <v>0</v>
      </c>
      <c r="BT662" s="137">
        <f>BS662/$AS662</f>
        <v>0</v>
      </c>
      <c r="BU662" s="130">
        <f>IF(BV662&gt;0,1,0)</f>
        <v>0</v>
      </c>
      <c r="BV662" s="128">
        <f>VLOOKUP($E662,[2]Current!$A:$AC,13,FALSE)</f>
        <v>0</v>
      </c>
      <c r="BW662" s="128">
        <f>BV662/$AS662</f>
        <v>0</v>
      </c>
      <c r="BX662" s="130">
        <f>IF(BY662&gt;0,1,0)</f>
        <v>0</v>
      </c>
      <c r="BY662" s="128">
        <f>VLOOKUP($E662,[2]Current!$A:$AC,14,FALSE)</f>
        <v>0</v>
      </c>
      <c r="BZ662" s="128">
        <f>BY662/$AS662</f>
        <v>0</v>
      </c>
      <c r="CA662" s="130">
        <f>IF(CB662&gt;0,1,0)</f>
        <v>0</v>
      </c>
      <c r="CB662" s="128">
        <f>VLOOKUP($E662,[2]Current!$A:$AC,15,FALSE)</f>
        <v>0</v>
      </c>
      <c r="CC662" s="128">
        <f>CB662/$AS662</f>
        <v>0</v>
      </c>
      <c r="CD662" s="174">
        <f>IF(CE662&gt;0,1,0)</f>
        <v>0</v>
      </c>
      <c r="CE662" s="128">
        <f>VLOOKUP($E662,[2]Current!$A:$AC,16,FALSE)</f>
        <v>0</v>
      </c>
      <c r="CF662" s="128">
        <f>CE662/$AS662</f>
        <v>0</v>
      </c>
      <c r="CG662" s="18"/>
      <c r="CH662" s="18"/>
      <c r="CI662" s="18"/>
      <c r="CJ662" s="130">
        <f>IF(CK662&gt;0,1,0)</f>
        <v>0</v>
      </c>
      <c r="CK662" s="128">
        <f>VLOOKUP($E662,[2]Current!$A:$AC,18,FALSE)</f>
        <v>0</v>
      </c>
      <c r="CL662" s="128">
        <f>CK662/$AS662</f>
        <v>0</v>
      </c>
      <c r="CM662" s="16"/>
      <c r="CN662" s="16"/>
      <c r="CO662" s="16"/>
      <c r="CP662" s="16"/>
      <c r="CQ662" s="16"/>
      <c r="CR662" s="16"/>
      <c r="CS662" s="130">
        <f>IF(CU662&gt;0,1,0)</f>
        <v>0</v>
      </c>
      <c r="CT662" s="16"/>
      <c r="CU662" s="128">
        <f>VLOOKUP($E662,[2]Current!$A:$AC,17,FALSE)</f>
        <v>0</v>
      </c>
      <c r="CV662" s="128">
        <f>CU662/$AS662</f>
        <v>0</v>
      </c>
      <c r="CW662" s="18"/>
      <c r="CX662" s="18"/>
      <c r="CY662" s="18"/>
      <c r="CZ662" s="16"/>
      <c r="DA662" s="16"/>
      <c r="DB662" s="16"/>
      <c r="DC662" s="16"/>
      <c r="DD662" s="16"/>
      <c r="DE662" s="16"/>
      <c r="DF662" s="16" t="e">
        <f>VLOOKUP(K662,'[3]RNA Seq summary tables'!$V$3:$V$99,1,FALSE)</f>
        <v>#N/A</v>
      </c>
      <c r="DG662" s="126" t="s">
        <v>123</v>
      </c>
      <c r="DH662" s="16"/>
      <c r="DI662" s="16"/>
      <c r="DJ662" s="16"/>
      <c r="DK662" s="16"/>
      <c r="DL662" s="16"/>
      <c r="DM662" s="16"/>
      <c r="DN662" s="16"/>
      <c r="DO662" s="16"/>
      <c r="DP662" s="16"/>
      <c r="DQ662" s="16"/>
      <c r="DR662" s="16"/>
      <c r="DS662" s="16"/>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18"/>
      <c r="EQ662" s="18"/>
      <c r="ER662" s="18"/>
      <c r="ES662" s="18"/>
      <c r="ET662" s="18"/>
      <c r="EU662" s="18"/>
      <c r="EV662" s="18"/>
      <c r="EW662" s="18"/>
      <c r="EX662" s="18"/>
      <c r="EY662" s="18"/>
      <c r="EZ662" s="18"/>
      <c r="FA662" s="18"/>
      <c r="FB662" s="18"/>
      <c r="FC662" s="18"/>
      <c r="FD662" s="18"/>
      <c r="FE662" s="18"/>
      <c r="FF662" s="18"/>
      <c r="FG662" s="18"/>
      <c r="FH662" s="18"/>
      <c r="FI662" s="18"/>
      <c r="FJ662" s="18"/>
      <c r="FK662" s="18"/>
      <c r="FL662" s="18"/>
      <c r="FM662" s="18"/>
      <c r="FN662" s="18"/>
      <c r="FO662" s="18"/>
      <c r="FP662" s="18"/>
      <c r="FQ662" s="18"/>
      <c r="FR662" s="18"/>
      <c r="FS662" s="18"/>
      <c r="FT662" s="18"/>
      <c r="FU662" s="18"/>
      <c r="FV662" s="18"/>
      <c r="FW662" s="18"/>
      <c r="FX662" s="18"/>
      <c r="FY662" s="18"/>
      <c r="FZ662" s="18"/>
      <c r="GA662" s="18"/>
      <c r="GB662" s="18"/>
      <c r="GC662" s="18"/>
      <c r="GD662" s="18"/>
      <c r="GE662" s="18"/>
      <c r="GF662" s="18"/>
      <c r="GG662" s="18"/>
      <c r="GH662" s="18"/>
      <c r="GI662" s="18"/>
      <c r="GJ662" s="18"/>
      <c r="GK662" s="18"/>
      <c r="GL662" s="18"/>
      <c r="GM662" s="18"/>
      <c r="GN662" s="18"/>
      <c r="GO662" s="18"/>
      <c r="GP662" s="18"/>
      <c r="GQ662" s="18"/>
      <c r="GR662" s="18"/>
      <c r="GS662" s="18"/>
      <c r="GT662" s="18"/>
      <c r="GU662" s="18"/>
      <c r="GV662" s="18"/>
      <c r="GW662" s="18"/>
      <c r="GX662" s="18"/>
      <c r="GY662" s="18"/>
      <c r="GZ662" s="18"/>
      <c r="HA662" s="18"/>
      <c r="HB662" s="18"/>
      <c r="HC662" s="18"/>
      <c r="HD662" s="18"/>
      <c r="HE662" s="18"/>
      <c r="HF662" s="18"/>
      <c r="HG662" s="18"/>
      <c r="HH662" s="18"/>
      <c r="HI662" s="18"/>
      <c r="HJ662" s="18"/>
      <c r="HK662" s="18"/>
      <c r="HL662" s="18"/>
      <c r="HM662" s="18"/>
      <c r="HN662" s="18"/>
      <c r="HO662" s="18"/>
      <c r="HP662" s="18"/>
      <c r="HQ662" s="18"/>
      <c r="HR662" s="18"/>
      <c r="HS662" s="18"/>
      <c r="HT662" s="18"/>
      <c r="HU662" s="18"/>
      <c r="HV662" s="18"/>
      <c r="HW662" s="18"/>
      <c r="HX662" s="18"/>
      <c r="HY662" s="18"/>
      <c r="HZ662" s="18"/>
      <c r="IA662" s="18"/>
      <c r="IB662" s="18"/>
      <c r="IC662" s="18"/>
      <c r="ID662" s="18"/>
      <c r="IE662" s="18"/>
      <c r="IF662" s="18"/>
      <c r="IG662" s="18"/>
      <c r="IH662" s="18"/>
      <c r="II662" s="18"/>
      <c r="IJ662" s="18"/>
      <c r="IK662" s="18"/>
      <c r="IL662" s="18"/>
      <c r="IM662" s="18"/>
      <c r="IN662" s="18"/>
      <c r="IO662" s="18"/>
      <c r="IP662" s="18"/>
      <c r="IQ662" s="18"/>
      <c r="IR662" s="18"/>
      <c r="IS662" s="18"/>
      <c r="IT662" s="18"/>
      <c r="IU662" s="18"/>
      <c r="IV662" s="18"/>
      <c r="IW662" s="18"/>
      <c r="IX662" s="18"/>
      <c r="IY662" s="18"/>
      <c r="IZ662" s="18"/>
      <c r="JA662" s="18"/>
      <c r="JB662" s="18"/>
      <c r="JC662" s="18"/>
      <c r="JD662" s="18"/>
      <c r="JE662" s="18"/>
      <c r="JF662" s="18"/>
      <c r="JG662" s="18"/>
      <c r="JH662" s="18"/>
      <c r="JI662" s="18"/>
      <c r="JJ662" s="18"/>
      <c r="JK662" s="18"/>
      <c r="JL662" s="18"/>
      <c r="JM662" s="18"/>
      <c r="JN662" s="18"/>
      <c r="JO662" s="16"/>
      <c r="JP662" s="16"/>
      <c r="JQ662" s="16"/>
      <c r="JR662" s="16"/>
      <c r="JS662" s="16"/>
      <c r="JT662" s="16"/>
      <c r="JU662" s="16"/>
      <c r="JV662" s="16"/>
      <c r="JW662" s="16"/>
      <c r="JX662" s="16"/>
      <c r="JY662" s="16"/>
      <c r="JZ662" s="16"/>
      <c r="KA662" s="16"/>
      <c r="KB662" s="16"/>
    </row>
    <row r="663" spans="1:288" ht="16" x14ac:dyDescent="0.2">
      <c r="B663" s="16">
        <v>2018</v>
      </c>
      <c r="C663" s="124">
        <v>43277</v>
      </c>
      <c r="D663" t="s">
        <v>862</v>
      </c>
      <c r="E663" s="37" t="str">
        <f>CONCATENATE(T663,"-",U663,"-",C663)</f>
        <v>HW1-H7-43277</v>
      </c>
      <c r="F663" s="16" t="s">
        <v>227</v>
      </c>
      <c r="G663" s="126" t="s">
        <v>107</v>
      </c>
      <c r="H663" s="126"/>
      <c r="J663" s="126">
        <v>1517</v>
      </c>
      <c r="K663" s="126">
        <v>2513</v>
      </c>
      <c r="O663" s="126" t="s">
        <v>119</v>
      </c>
      <c r="P663" s="18" t="s">
        <v>119</v>
      </c>
      <c r="Q663" s="18">
        <v>0</v>
      </c>
      <c r="R663" s="18" t="str">
        <f>IF(J663=J662,C663-C662,"")</f>
        <v/>
      </c>
      <c r="T663" s="126" t="s">
        <v>133</v>
      </c>
      <c r="U663" s="126" t="s">
        <v>202</v>
      </c>
      <c r="V663" s="126" t="s">
        <v>114</v>
      </c>
      <c r="X663" s="126" t="s">
        <v>115</v>
      </c>
      <c r="Y663" s="126" t="s">
        <v>145</v>
      </c>
      <c r="Z663" s="126">
        <v>1</v>
      </c>
      <c r="AA663" s="126"/>
      <c r="AB663" s="126"/>
      <c r="AC663" s="126"/>
      <c r="AD663" s="126"/>
      <c r="AE663" s="126" t="s">
        <v>123</v>
      </c>
      <c r="AG663" s="16">
        <f>AH663-AI663</f>
        <v>72</v>
      </c>
      <c r="AH663" s="126">
        <v>133</v>
      </c>
      <c r="AI663" s="126">
        <v>61</v>
      </c>
      <c r="AK663" s="126">
        <v>13</v>
      </c>
      <c r="AL663" s="126">
        <v>0</v>
      </c>
      <c r="AM663" s="126">
        <v>0</v>
      </c>
      <c r="AN663" s="126">
        <v>0</v>
      </c>
      <c r="AO663" s="16">
        <f>IF(SUM(AL663:AN663)&gt;0,1,0)</f>
        <v>0</v>
      </c>
      <c r="AP663" s="18">
        <f>SUM(AL663:AN663)</f>
        <v>0</v>
      </c>
      <c r="AR663" s="16">
        <v>0.16400000000000015</v>
      </c>
      <c r="AS663" s="16">
        <f>VLOOKUP(E663,'[1]Feces weights'!$D$1:$H$459,5,FALSE)</f>
        <v>0.16400000000000015</v>
      </c>
      <c r="AT663" s="16" t="str">
        <f>VLOOKUP(E663,[2]Current!$A$1:$W$435,7,FALSE)</f>
        <v>TE</v>
      </c>
      <c r="AU663" s="16" t="s">
        <v>1288</v>
      </c>
      <c r="AW663" s="128">
        <f>IF(AX663&gt;0,1,0)</f>
        <v>1</v>
      </c>
      <c r="AX663" s="128">
        <f>SUM(BA663,BM663,CU663)</f>
        <v>4</v>
      </c>
      <c r="AY663" s="128">
        <f>SUM(BB663,BN663,CV663)</f>
        <v>2585.365853658534</v>
      </c>
      <c r="AZ663" s="128">
        <f>IF(BA663&gt;0,1,0)</f>
        <v>1</v>
      </c>
      <c r="BA663" s="128">
        <f>SUM(BC663+BF663+BI663)</f>
        <v>2</v>
      </c>
      <c r="BB663" s="128">
        <f>SUM(BE663,BH663,BK663)</f>
        <v>2573.1707317073146</v>
      </c>
      <c r="BC663" s="130">
        <f>IF(BD663&gt;0,1,0)</f>
        <v>0</v>
      </c>
      <c r="BD663" s="128">
        <f>VLOOKUP($E663,[2]Current!$A:$AC,26,FALSE)</f>
        <v>0</v>
      </c>
      <c r="BE663" s="128">
        <f>BD663/$AS663</f>
        <v>0</v>
      </c>
      <c r="BF663" s="130">
        <f>IF(BG663&gt;0,1,0)</f>
        <v>1</v>
      </c>
      <c r="BG663" s="175">
        <f>VLOOKUP($E663,[2]Current!$A:$AC,27,FALSE)</f>
        <v>34</v>
      </c>
      <c r="BH663" s="128">
        <f>BG663/$AS663</f>
        <v>207.31707317073153</v>
      </c>
      <c r="BI663" s="130">
        <f>IF(BJ663&gt;0,1,0)</f>
        <v>1</v>
      </c>
      <c r="BJ663" s="128">
        <f>VLOOKUP($E663,[2]Current!$A:$AC,28,FALSE)</f>
        <v>388</v>
      </c>
      <c r="BK663" s="128">
        <f>BJ663/$AS663</f>
        <v>2365.8536585365832</v>
      </c>
      <c r="BL663" s="128">
        <f>IF(BM663&gt;0,1,0)</f>
        <v>1</v>
      </c>
      <c r="BM663" s="128">
        <f>SUM(BR663,BU663,BX663,CA663,CD663)</f>
        <v>2</v>
      </c>
      <c r="BN663" s="131">
        <f>SUM(BT663,BW663,BZ663,CC663,CF663)</f>
        <v>12.195121951219502</v>
      </c>
      <c r="BO663" s="128">
        <f>IF(BP663&gt;0,1,0)</f>
        <v>1</v>
      </c>
      <c r="BP663" s="128">
        <f>BM663+CJ663</f>
        <v>2</v>
      </c>
      <c r="BQ663" s="128">
        <f>BN663+CL663</f>
        <v>12.195121951219502</v>
      </c>
      <c r="BR663" s="130">
        <f>IF(BS663&gt;0,1,0)</f>
        <v>0</v>
      </c>
      <c r="BS663" s="128">
        <f>VLOOKUP($E663,[2]Current!$A:$AC,12,FALSE)</f>
        <v>0</v>
      </c>
      <c r="BT663" s="137">
        <f>BS663/$AS663</f>
        <v>0</v>
      </c>
      <c r="BU663" s="130">
        <f>IF(BV663&gt;0,1,0)</f>
        <v>0</v>
      </c>
      <c r="BV663" s="128">
        <f>VLOOKUP($E663,[2]Current!$A:$AC,13,FALSE)</f>
        <v>0</v>
      </c>
      <c r="BW663" s="128">
        <f>BV663/$AS663</f>
        <v>0</v>
      </c>
      <c r="BX663" s="130">
        <f>IF(BY663&gt;0,1,0)</f>
        <v>0</v>
      </c>
      <c r="BY663" s="128">
        <f>VLOOKUP($E663,[2]Current!$A:$AC,14,FALSE)</f>
        <v>0</v>
      </c>
      <c r="BZ663" s="128">
        <f>BY663/$AS663</f>
        <v>0</v>
      </c>
      <c r="CA663" s="130">
        <f>IF(CB663&gt;0,1,0)</f>
        <v>1</v>
      </c>
      <c r="CB663" s="128">
        <f>VLOOKUP($E663,[2]Current!$A:$AC,15,FALSE)</f>
        <v>1</v>
      </c>
      <c r="CC663" s="128">
        <f>CB663/$AS663</f>
        <v>6.0975609756097509</v>
      </c>
      <c r="CD663" s="174">
        <f>IF(CE663&gt;0,1,0)</f>
        <v>1</v>
      </c>
      <c r="CE663" s="128">
        <f>VLOOKUP($E663,[2]Current!$A:$AC,16,FALSE)</f>
        <v>1</v>
      </c>
      <c r="CF663" s="128">
        <f>CE663/$AS663</f>
        <v>6.0975609756097509</v>
      </c>
      <c r="CG663" s="18"/>
      <c r="CH663" s="18"/>
      <c r="CI663" s="18"/>
      <c r="CJ663" s="130">
        <f>IF(CK663&gt;0,1,0)</f>
        <v>0</v>
      </c>
      <c r="CK663" s="128">
        <f>VLOOKUP($E663,[2]Current!$A:$AC,18,FALSE)</f>
        <v>0</v>
      </c>
      <c r="CL663" s="128">
        <f>CK663/$AS663</f>
        <v>0</v>
      </c>
      <c r="CS663" s="130">
        <f>IF(CU663&gt;0,1,0)</f>
        <v>0</v>
      </c>
      <c r="CT663" s="30"/>
      <c r="CU663" s="128">
        <f>VLOOKUP($E663,[2]Current!$A:$AC,17,FALSE)</f>
        <v>0</v>
      </c>
      <c r="CV663" s="128">
        <f>CU663/$AS663</f>
        <v>0</v>
      </c>
      <c r="CW663" s="18"/>
      <c r="CX663" s="18"/>
      <c r="CY663" s="18"/>
      <c r="DF663" s="16" t="e">
        <f>VLOOKUP(K663,'[3]RNA Seq summary tables'!$V$3:$V$99,1,FALSE)</f>
        <v>#N/A</v>
      </c>
      <c r="DG663" s="126" t="s">
        <v>1080</v>
      </c>
    </row>
    <row r="664" spans="1:288" ht="16" x14ac:dyDescent="0.2">
      <c r="B664" s="16">
        <v>2018</v>
      </c>
      <c r="C664" s="124">
        <v>43277</v>
      </c>
      <c r="D664" t="s">
        <v>876</v>
      </c>
      <c r="E664" s="37" t="str">
        <f>CONCATENATE(T664,"-",U664,"-",C664)</f>
        <v>HW1-E6-43277</v>
      </c>
      <c r="F664" s="16" t="s">
        <v>227</v>
      </c>
      <c r="G664" s="126" t="s">
        <v>107</v>
      </c>
      <c r="H664" s="126" t="s">
        <v>1118</v>
      </c>
      <c r="J664" s="126">
        <v>1518</v>
      </c>
      <c r="K664" s="126">
        <v>2516</v>
      </c>
      <c r="O664" s="126" t="s">
        <v>119</v>
      </c>
      <c r="P664" s="18" t="s">
        <v>119</v>
      </c>
      <c r="Q664" s="18">
        <v>0</v>
      </c>
      <c r="R664" s="18" t="str">
        <f>IF(J664=J663,C664-C663,"")</f>
        <v/>
      </c>
      <c r="T664" s="126" t="s">
        <v>133</v>
      </c>
      <c r="U664" s="126" t="s">
        <v>232</v>
      </c>
      <c r="V664" s="126" t="s">
        <v>114</v>
      </c>
      <c r="X664" s="126" t="s">
        <v>121</v>
      </c>
      <c r="Y664" s="126" t="s">
        <v>110</v>
      </c>
      <c r="Z664" s="126">
        <v>3</v>
      </c>
      <c r="AA664" s="126" t="s">
        <v>161</v>
      </c>
      <c r="AB664" s="126" t="s">
        <v>116</v>
      </c>
      <c r="AC664" s="126" t="s">
        <v>123</v>
      </c>
      <c r="AD664" s="126"/>
      <c r="AE664" s="126"/>
      <c r="AG664" s="16">
        <f>AH664-AI664</f>
        <v>91</v>
      </c>
      <c r="AH664" s="126">
        <v>166</v>
      </c>
      <c r="AI664" s="126">
        <v>75</v>
      </c>
      <c r="AK664" s="126">
        <v>22</v>
      </c>
      <c r="AL664" s="126">
        <v>0</v>
      </c>
      <c r="AM664" s="126">
        <v>0</v>
      </c>
      <c r="AN664" s="126">
        <v>0</v>
      </c>
      <c r="AO664" s="16">
        <f>IF(SUM(AL664:AN664)&gt;0,1,0)</f>
        <v>0</v>
      </c>
      <c r="AP664" s="18">
        <f>SUM(AL664:AN664)</f>
        <v>0</v>
      </c>
      <c r="AR664" s="16">
        <v>0.72500000000000031</v>
      </c>
      <c r="AS664" s="16">
        <f>VLOOKUP(E664,'[1]Feces weights'!$D$1:$H$459,5,FALSE)</f>
        <v>0.72500000000000031</v>
      </c>
      <c r="AT664" s="16" t="str">
        <f>VLOOKUP(E664,[2]Current!$A$1:$W$435,7,FALSE)</f>
        <v>DP</v>
      </c>
      <c r="AU664" s="16" t="s">
        <v>1288</v>
      </c>
      <c r="AW664" s="128">
        <f>IF(AX664&gt;0,1,0)</f>
        <v>1</v>
      </c>
      <c r="AX664" s="128">
        <f>SUM(BA664,BM664,CU664)</f>
        <v>2</v>
      </c>
      <c r="AY664" s="128">
        <f>SUM(BB664,BN664,CV664)</f>
        <v>96.551724137930989</v>
      </c>
      <c r="AZ664" s="128">
        <f>IF(BA664&gt;0,1,0)</f>
        <v>1</v>
      </c>
      <c r="BA664" s="128">
        <f>SUM(BC664+BF664+BI664)</f>
        <v>2</v>
      </c>
      <c r="BB664" s="128">
        <f>SUM(BE664,BH664,BK664)</f>
        <v>96.551724137930989</v>
      </c>
      <c r="BC664" s="130">
        <f>IF(BD664&gt;0,1,0)</f>
        <v>1</v>
      </c>
      <c r="BD664" s="128">
        <f>VLOOKUP($E664,[2]Current!$A:$AC,26,FALSE)</f>
        <v>68</v>
      </c>
      <c r="BE664" s="128">
        <f>BD664/$AS664</f>
        <v>93.793103448275815</v>
      </c>
      <c r="BF664" s="130">
        <f>IF(BG664&gt;0,1,0)</f>
        <v>0</v>
      </c>
      <c r="BG664" s="175">
        <f>VLOOKUP($E664,[2]Current!$A:$AC,27,FALSE)</f>
        <v>0</v>
      </c>
      <c r="BH664" s="128">
        <f>BG664/$AS664</f>
        <v>0</v>
      </c>
      <c r="BI664" s="130">
        <f>IF(BJ664&gt;0,1,0)</f>
        <v>1</v>
      </c>
      <c r="BJ664" s="128">
        <f>VLOOKUP($E664,[2]Current!$A:$AC,28,FALSE)</f>
        <v>2</v>
      </c>
      <c r="BK664" s="128">
        <f>BJ664/$AS664</f>
        <v>2.7586206896551713</v>
      </c>
      <c r="BL664" s="128">
        <f>IF(BM664&gt;0,1,0)</f>
        <v>0</v>
      </c>
      <c r="BM664" s="128">
        <f>SUM(BR664,BU664,BX664,CA664,CD664)</f>
        <v>0</v>
      </c>
      <c r="BN664" s="131">
        <f>SUM(BT664,BW664,BZ664,CC664,CF664)</f>
        <v>0</v>
      </c>
      <c r="BO664" s="128">
        <f>IF(BP664&gt;0,1,0)</f>
        <v>0</v>
      </c>
      <c r="BP664" s="128">
        <f>BM664+CJ664</f>
        <v>0</v>
      </c>
      <c r="BQ664" s="128">
        <f>BN664+CL664</f>
        <v>0</v>
      </c>
      <c r="BR664" s="130">
        <f>IF(BS664&gt;0,1,0)</f>
        <v>0</v>
      </c>
      <c r="BS664" s="128">
        <f>VLOOKUP($E664,[2]Current!$A:$AC,12,FALSE)</f>
        <v>0</v>
      </c>
      <c r="BT664" s="137">
        <f>BS664/$AS664</f>
        <v>0</v>
      </c>
      <c r="BU664" s="130">
        <f>IF(BV664&gt;0,1,0)</f>
        <v>0</v>
      </c>
      <c r="BV664" s="128">
        <f>VLOOKUP($E664,[2]Current!$A:$AC,13,FALSE)</f>
        <v>0</v>
      </c>
      <c r="BW664" s="128">
        <f>BV664/$AS664</f>
        <v>0</v>
      </c>
      <c r="BX664" s="130">
        <f>IF(BY664&gt;0,1,0)</f>
        <v>0</v>
      </c>
      <c r="BY664" s="128">
        <f>VLOOKUP($E664,[2]Current!$A:$AC,14,FALSE)</f>
        <v>0</v>
      </c>
      <c r="BZ664" s="128">
        <f>BY664/$AS664</f>
        <v>0</v>
      </c>
      <c r="CA664" s="130">
        <f>IF(CB664&gt;0,1,0)</f>
        <v>0</v>
      </c>
      <c r="CB664" s="128">
        <f>VLOOKUP($E664,[2]Current!$A:$AC,15,FALSE)</f>
        <v>0</v>
      </c>
      <c r="CC664" s="128">
        <f>CB664/$AS664</f>
        <v>0</v>
      </c>
      <c r="CD664" s="174">
        <f>IF(CE664&gt;0,1,0)</f>
        <v>0</v>
      </c>
      <c r="CE664" s="128">
        <f>VLOOKUP($E664,[2]Current!$A:$AC,16,FALSE)</f>
        <v>0</v>
      </c>
      <c r="CF664" s="128">
        <f>CE664/$AS664</f>
        <v>0</v>
      </c>
      <c r="CG664" s="18"/>
      <c r="CH664" s="18"/>
      <c r="CI664" s="18"/>
      <c r="CJ664" s="130">
        <f>IF(CK664&gt;0,1,0)</f>
        <v>0</v>
      </c>
      <c r="CK664" s="128">
        <f>VLOOKUP($E664,[2]Current!$A:$AC,18,FALSE)</f>
        <v>0</v>
      </c>
      <c r="CL664" s="128">
        <f>CK664/$AS664</f>
        <v>0</v>
      </c>
      <c r="CS664" s="130">
        <f>IF(CU664&gt;0,1,0)</f>
        <v>0</v>
      </c>
      <c r="CU664" s="128">
        <f>VLOOKUP($E664,[2]Current!$A:$AC,17,FALSE)</f>
        <v>0</v>
      </c>
      <c r="CV664" s="128">
        <f>CU664/$AS664</f>
        <v>0</v>
      </c>
      <c r="CW664" s="18"/>
      <c r="CX664" s="18"/>
      <c r="CY664" s="18"/>
      <c r="DF664" s="16" t="e">
        <f>VLOOKUP(K664,'[3]RNA Seq summary tables'!$V$3:$V$99,1,FALSE)</f>
        <v>#N/A</v>
      </c>
      <c r="DG664" s="126" t="s">
        <v>116</v>
      </c>
    </row>
    <row r="665" spans="1:288" ht="16" x14ac:dyDescent="0.2">
      <c r="B665" s="16">
        <v>2018</v>
      </c>
      <c r="C665" s="124">
        <v>43277</v>
      </c>
      <c r="D665" t="s">
        <v>861</v>
      </c>
      <c r="E665" s="37" t="str">
        <f>CONCATENATE(T665,"-",U665,"-",C665)</f>
        <v>HW2-F6-43277</v>
      </c>
      <c r="F665" s="16" t="s">
        <v>227</v>
      </c>
      <c r="G665" s="126" t="s">
        <v>107</v>
      </c>
      <c r="H665" s="126"/>
      <c r="J665" s="126">
        <v>1520</v>
      </c>
      <c r="K665" s="126">
        <v>2499</v>
      </c>
      <c r="O665" s="126" t="s">
        <v>119</v>
      </c>
      <c r="P665" s="18" t="s">
        <v>119</v>
      </c>
      <c r="Q665" s="18">
        <v>0</v>
      </c>
      <c r="R665" s="18" t="str">
        <f>IF(J665=J664,C665-C664,"")</f>
        <v/>
      </c>
      <c r="T665" s="126" t="s">
        <v>129</v>
      </c>
      <c r="U665" s="126" t="s">
        <v>170</v>
      </c>
      <c r="V665" s="126" t="s">
        <v>114</v>
      </c>
      <c r="X665" s="126" t="s">
        <v>121</v>
      </c>
      <c r="Y665" s="126" t="s">
        <v>122</v>
      </c>
      <c r="Z665" s="126">
        <v>2.6</v>
      </c>
      <c r="AA665" s="126" t="s">
        <v>119</v>
      </c>
      <c r="AB665" s="126" t="s">
        <v>123</v>
      </c>
      <c r="AC665" s="126" t="s">
        <v>123</v>
      </c>
      <c r="AD665" s="126"/>
      <c r="AE665" s="126"/>
      <c r="AG665" s="16">
        <f>AH665-AI665</f>
        <v>70</v>
      </c>
      <c r="AH665" s="126">
        <v>136</v>
      </c>
      <c r="AI665" s="126">
        <v>66</v>
      </c>
      <c r="AK665" s="126">
        <v>11.5</v>
      </c>
      <c r="AL665" s="126">
        <v>0</v>
      </c>
      <c r="AM665" s="126">
        <v>0</v>
      </c>
      <c r="AN665" s="126">
        <v>0</v>
      </c>
      <c r="AO665" s="16">
        <f>IF(SUM(AL665:AN665)&gt;0,1,0)</f>
        <v>0</v>
      </c>
      <c r="AP665" s="18">
        <f>SUM(AL665:AN665)</f>
        <v>0</v>
      </c>
      <c r="AR665" s="16">
        <v>0.1030000000000002</v>
      </c>
      <c r="AS665" s="16">
        <f>VLOOKUP(E665,'[1]Feces weights'!$D$1:$H$459,5,FALSE)</f>
        <v>0.1030000000000002</v>
      </c>
      <c r="AT665" s="16" t="str">
        <f>VLOOKUP(E665,[2]Current!$A$1:$W$435,7,FALSE)</f>
        <v>LV</v>
      </c>
      <c r="AU665" s="16" t="s">
        <v>1288</v>
      </c>
      <c r="AV665" s="23">
        <v>1</v>
      </c>
      <c r="AW665" s="128">
        <f>IF(AX665&gt;0,1,0)</f>
        <v>0</v>
      </c>
      <c r="AX665" s="128">
        <f>SUM(BA665,BM665,CU665)</f>
        <v>0</v>
      </c>
      <c r="AY665" s="128">
        <f>SUM(BB665,BN665,CV665)</f>
        <v>0</v>
      </c>
      <c r="AZ665" s="128">
        <f>IF(BA665&gt;0,1,0)</f>
        <v>0</v>
      </c>
      <c r="BA665" s="128">
        <f>SUM(BC665+BF665+BI665)</f>
        <v>0</v>
      </c>
      <c r="BB665" s="128">
        <f>SUM(BE665,BH665,BK665)</f>
        <v>0</v>
      </c>
      <c r="BC665" s="130">
        <f>IF(BD665&gt;0,1,0)</f>
        <v>0</v>
      </c>
      <c r="BD665" s="128">
        <f>VLOOKUP($E665,[2]Current!$A:$AC,26,FALSE)</f>
        <v>0</v>
      </c>
      <c r="BE665" s="128">
        <f>BD665/$AS665</f>
        <v>0</v>
      </c>
      <c r="BF665" s="130">
        <f>IF(BG665&gt;0,1,0)</f>
        <v>0</v>
      </c>
      <c r="BG665" s="175">
        <f>VLOOKUP($E665,[2]Current!$A:$AC,27,FALSE)</f>
        <v>0</v>
      </c>
      <c r="BH665" s="128">
        <f>BG665/$AS665</f>
        <v>0</v>
      </c>
      <c r="BI665" s="130">
        <f>IF(BJ665&gt;0,1,0)</f>
        <v>0</v>
      </c>
      <c r="BJ665" s="128">
        <f>VLOOKUP($E665,[2]Current!$A:$AC,28,FALSE)</f>
        <v>0</v>
      </c>
      <c r="BK665" s="128">
        <f>BJ665/$AS665</f>
        <v>0</v>
      </c>
      <c r="BL665" s="128">
        <f>IF(BM665&gt;0,1,0)</f>
        <v>0</v>
      </c>
      <c r="BM665" s="128">
        <f>SUM(BR665,BU665,BX665,CA665,CD665)</f>
        <v>0</v>
      </c>
      <c r="BN665" s="131">
        <f>SUM(BT665,BW665,BZ665,CC665,CF665)</f>
        <v>0</v>
      </c>
      <c r="BO665" s="128">
        <f>IF(BP665&gt;0,1,0)</f>
        <v>0</v>
      </c>
      <c r="BP665" s="128">
        <f>BM665+CJ665</f>
        <v>0</v>
      </c>
      <c r="BQ665" s="128">
        <f>BN665+CL665</f>
        <v>0</v>
      </c>
      <c r="BR665" s="130">
        <f>IF(BS665&gt;0,1,0)</f>
        <v>0</v>
      </c>
      <c r="BS665" s="128">
        <f>VLOOKUP($E665,[2]Current!$A:$AC,12,FALSE)</f>
        <v>0</v>
      </c>
      <c r="BT665" s="137">
        <f>BS665/$AS665</f>
        <v>0</v>
      </c>
      <c r="BU665" s="130">
        <f>IF(BV665&gt;0,1,0)</f>
        <v>0</v>
      </c>
      <c r="BV665" s="128">
        <f>VLOOKUP($E665,[2]Current!$A:$AC,13,FALSE)</f>
        <v>0</v>
      </c>
      <c r="BW665" s="128">
        <f>BV665/$AS665</f>
        <v>0</v>
      </c>
      <c r="BX665" s="130">
        <f>IF(BY665&gt;0,1,0)</f>
        <v>0</v>
      </c>
      <c r="BY665" s="128">
        <f>VLOOKUP($E665,[2]Current!$A:$AC,14,FALSE)</f>
        <v>0</v>
      </c>
      <c r="BZ665" s="128">
        <f>BY665/$AS665</f>
        <v>0</v>
      </c>
      <c r="CA665" s="130">
        <f>IF(CB665&gt;0,1,0)</f>
        <v>0</v>
      </c>
      <c r="CB665" s="128">
        <f>VLOOKUP($E665,[2]Current!$A:$AC,15,FALSE)</f>
        <v>0</v>
      </c>
      <c r="CC665" s="128">
        <f>CB665/$AS665</f>
        <v>0</v>
      </c>
      <c r="CD665" s="174">
        <f>IF(CE665&gt;0,1,0)</f>
        <v>0</v>
      </c>
      <c r="CE665" s="128">
        <f>VLOOKUP($E665,[2]Current!$A:$AC,16,FALSE)</f>
        <v>0</v>
      </c>
      <c r="CF665" s="128">
        <f>CE665/$AS665</f>
        <v>0</v>
      </c>
      <c r="CG665" s="18"/>
      <c r="CH665" s="18"/>
      <c r="CI665" s="18"/>
      <c r="CJ665" s="130">
        <f>IF(CK665&gt;0,1,0)</f>
        <v>0</v>
      </c>
      <c r="CK665" s="128">
        <f>VLOOKUP($E665,[2]Current!$A:$AC,18,FALSE)</f>
        <v>0</v>
      </c>
      <c r="CL665" s="128">
        <f>CK665/$AS665</f>
        <v>0</v>
      </c>
      <c r="CS665" s="130">
        <f>IF(CU665&gt;0,1,0)</f>
        <v>0</v>
      </c>
      <c r="CT665" s="30"/>
      <c r="CU665" s="128">
        <f>VLOOKUP($E665,[2]Current!$A:$AC,17,FALSE)</f>
        <v>0</v>
      </c>
      <c r="CV665" s="128">
        <f>CU665/$AS665</f>
        <v>0</v>
      </c>
      <c r="CW665" s="18"/>
      <c r="CX665" s="18"/>
      <c r="CY665" s="18"/>
      <c r="DF665" s="16" t="e">
        <f>VLOOKUP(K665,'[3]RNA Seq summary tables'!$V$3:$V$99,1,FALSE)</f>
        <v>#N/A</v>
      </c>
      <c r="DG665" s="126" t="s">
        <v>123</v>
      </c>
    </row>
    <row r="666" spans="1:288" ht="16" x14ac:dyDescent="0.2">
      <c r="B666" s="16">
        <v>2018</v>
      </c>
      <c r="C666" s="124">
        <v>43295</v>
      </c>
      <c r="D666" t="s">
        <v>975</v>
      </c>
      <c r="E666" s="37" t="str">
        <f>CONCATENATE(T666,"-",U666,"-",C666)</f>
        <v>HW2-C7-43295</v>
      </c>
      <c r="F666" s="16" t="s">
        <v>227</v>
      </c>
      <c r="G666" s="126" t="s">
        <v>107</v>
      </c>
      <c r="H666" s="126"/>
      <c r="J666" s="126">
        <v>1520</v>
      </c>
      <c r="K666" s="126">
        <v>2612</v>
      </c>
      <c r="O666" s="126" t="s">
        <v>119</v>
      </c>
      <c r="P666" s="18" t="s">
        <v>119</v>
      </c>
      <c r="Q666" s="18">
        <v>0</v>
      </c>
      <c r="R666" s="18">
        <f>IF(J666=J665,C666-C665,"")</f>
        <v>18</v>
      </c>
      <c r="T666" s="126" t="s">
        <v>129</v>
      </c>
      <c r="U666" s="126" t="s">
        <v>207</v>
      </c>
      <c r="V666" s="126" t="s">
        <v>114</v>
      </c>
      <c r="X666" s="126" t="s">
        <v>121</v>
      </c>
      <c r="Y666" s="126" t="s">
        <v>110</v>
      </c>
      <c r="Z666" s="126">
        <v>3</v>
      </c>
      <c r="AA666" s="126" t="s">
        <v>119</v>
      </c>
      <c r="AB666" s="126" t="s">
        <v>123</v>
      </c>
      <c r="AC666" s="126" t="s">
        <v>116</v>
      </c>
      <c r="AD666" s="126"/>
      <c r="AE666" s="126"/>
      <c r="AG666" s="16">
        <f>AH666-AI666</f>
        <v>78</v>
      </c>
      <c r="AH666" s="126">
        <v>144</v>
      </c>
      <c r="AI666" s="126">
        <v>66</v>
      </c>
      <c r="AK666" s="126">
        <v>13.5</v>
      </c>
      <c r="AL666" s="126">
        <v>0</v>
      </c>
      <c r="AM666" s="126">
        <v>0</v>
      </c>
      <c r="AN666" s="126">
        <v>0</v>
      </c>
      <c r="AO666" s="16">
        <f>IF(SUM(AL666:AN666)&gt;0,1,0)</f>
        <v>0</v>
      </c>
      <c r="AP666" s="18">
        <f>SUM(AL666:AN666)</f>
        <v>0</v>
      </c>
      <c r="AR666" s="16">
        <v>0.1140000000000001</v>
      </c>
      <c r="AS666" s="16">
        <f>VLOOKUP(E666,'[1]Feces weights'!$D$1:$H$459,5,FALSE)</f>
        <v>0.1140000000000001</v>
      </c>
      <c r="AT666" s="16" t="str">
        <f>VLOOKUP(E666,[2]Current!$A$1:$W$435,7,FALSE)</f>
        <v>LV</v>
      </c>
      <c r="AU666" s="16" t="s">
        <v>1288</v>
      </c>
      <c r="AW666" s="128">
        <f>IF(AX666&gt;0,1,0)</f>
        <v>1</v>
      </c>
      <c r="AX666" s="128">
        <f>SUM(BA666,BM666,CU666)</f>
        <v>2</v>
      </c>
      <c r="AY666" s="128">
        <f>SUM(BB666,BN666,CV666)</f>
        <v>11877.19298245613</v>
      </c>
      <c r="AZ666" s="128">
        <f>IF(BA666&gt;0,1,0)</f>
        <v>1</v>
      </c>
      <c r="BA666" s="128">
        <f>SUM(BC666+BF666+BI666)</f>
        <v>2</v>
      </c>
      <c r="BB666" s="128">
        <f>SUM(BE666,BH666,BK666)</f>
        <v>11877.19298245613</v>
      </c>
      <c r="BC666" s="130">
        <f>IF(BD666&gt;0,1,0)</f>
        <v>1</v>
      </c>
      <c r="BD666" s="128">
        <f>VLOOKUP($E666,[2]Current!$A:$AC,26,FALSE)</f>
        <v>18</v>
      </c>
      <c r="BE666" s="128">
        <f>BD666/$AS666</f>
        <v>157.89473684210512</v>
      </c>
      <c r="BF666" s="130">
        <f>IF(BG666&gt;0,1,0)</f>
        <v>1</v>
      </c>
      <c r="BG666" s="175">
        <f>VLOOKUP($E666,[2]Current!$A:$AC,27,FALSE)</f>
        <v>1336</v>
      </c>
      <c r="BH666" s="128">
        <f>BG666/$AS666</f>
        <v>11719.298245614025</v>
      </c>
      <c r="BI666" s="130">
        <f>IF(BJ666&gt;0,1,0)</f>
        <v>0</v>
      </c>
      <c r="BJ666" s="128">
        <f>VLOOKUP($E666,[2]Current!$A:$AC,28,FALSE)</f>
        <v>0</v>
      </c>
      <c r="BK666" s="128">
        <f>BJ666/$AS666</f>
        <v>0</v>
      </c>
      <c r="BL666" s="128">
        <f>IF(BM666&gt;0,1,0)</f>
        <v>0</v>
      </c>
      <c r="BM666" s="128">
        <f>SUM(BR666,BU666,BX666,CA666,CD666)</f>
        <v>0</v>
      </c>
      <c r="BN666" s="131">
        <f>SUM(BT666,BW666,BZ666,CC666,CF666)</f>
        <v>0</v>
      </c>
      <c r="BO666" s="128">
        <f>IF(BP666&gt;0,1,0)</f>
        <v>0</v>
      </c>
      <c r="BP666" s="128">
        <f>BM666+CJ666</f>
        <v>0</v>
      </c>
      <c r="BQ666" s="128">
        <f>BN666+CL666</f>
        <v>0</v>
      </c>
      <c r="BR666" s="130">
        <f>IF(BS666&gt;0,1,0)</f>
        <v>0</v>
      </c>
      <c r="BS666" s="128">
        <f>VLOOKUP($E666,[2]Current!$A:$AC,12,FALSE)</f>
        <v>0</v>
      </c>
      <c r="BT666" s="137">
        <f>BS666/$AS666</f>
        <v>0</v>
      </c>
      <c r="BU666" s="130">
        <f>IF(BV666&gt;0,1,0)</f>
        <v>0</v>
      </c>
      <c r="BV666" s="128">
        <f>VLOOKUP($E666,[2]Current!$A:$AC,13,FALSE)</f>
        <v>0</v>
      </c>
      <c r="BW666" s="128">
        <f>BV666/$AS666</f>
        <v>0</v>
      </c>
      <c r="BX666" s="130">
        <f>IF(BY666&gt;0,1,0)</f>
        <v>0</v>
      </c>
      <c r="BY666" s="128">
        <f>VLOOKUP($E666,[2]Current!$A:$AC,14,FALSE)</f>
        <v>0</v>
      </c>
      <c r="BZ666" s="128">
        <f>BY666/$AS666</f>
        <v>0</v>
      </c>
      <c r="CA666" s="130">
        <f>IF(CB666&gt;0,1,0)</f>
        <v>0</v>
      </c>
      <c r="CB666" s="128">
        <f>VLOOKUP($E666,[2]Current!$A:$AC,15,FALSE)</f>
        <v>0</v>
      </c>
      <c r="CC666" s="128">
        <f>CB666/$AS666</f>
        <v>0</v>
      </c>
      <c r="CD666" s="174">
        <f>IF(CE666&gt;0,1,0)</f>
        <v>0</v>
      </c>
      <c r="CE666" s="128">
        <f>VLOOKUP($E666,[2]Current!$A:$AC,16,FALSE)</f>
        <v>0</v>
      </c>
      <c r="CF666" s="128">
        <f>CE666/$AS666</f>
        <v>0</v>
      </c>
      <c r="CG666" s="18"/>
      <c r="CH666" s="18"/>
      <c r="CI666" s="18"/>
      <c r="CJ666" s="130">
        <f>IF(CK666&gt;0,1,0)</f>
        <v>0</v>
      </c>
      <c r="CK666" s="128">
        <f>VLOOKUP($E666,[2]Current!$A:$AC,18,FALSE)</f>
        <v>0</v>
      </c>
      <c r="CL666" s="128">
        <f>CK666/$AS666</f>
        <v>0</v>
      </c>
      <c r="CS666" s="130">
        <f>IF(CU666&gt;0,1,0)</f>
        <v>0</v>
      </c>
      <c r="CU666" s="128">
        <f>VLOOKUP($E666,[2]Current!$A:$AC,17,FALSE)</f>
        <v>0</v>
      </c>
      <c r="CV666" s="128">
        <f>CU666/$AS666</f>
        <v>0</v>
      </c>
      <c r="CW666" s="18"/>
      <c r="CX666" s="18"/>
      <c r="CY666" s="18"/>
      <c r="DF666" s="16" t="e">
        <f>VLOOKUP(K666,'[3]RNA Seq summary tables'!$V$3:$V$99,1,FALSE)</f>
        <v>#N/A</v>
      </c>
      <c r="DG666" s="126" t="s">
        <v>116</v>
      </c>
      <c r="JR666" s="18"/>
      <c r="JS666" s="18"/>
      <c r="JT666" s="18"/>
      <c r="JU666" s="18"/>
      <c r="JV666" s="18"/>
      <c r="JW666" s="18"/>
      <c r="JX666" s="18"/>
      <c r="JY666" s="18"/>
      <c r="JZ666" s="18"/>
      <c r="KA666" s="18"/>
      <c r="KB666" s="18"/>
    </row>
    <row r="667" spans="1:288" ht="16" x14ac:dyDescent="0.2">
      <c r="B667" s="16">
        <v>2018</v>
      </c>
      <c r="C667" s="189">
        <v>43305</v>
      </c>
      <c r="D667" s="107" t="s">
        <v>1057</v>
      </c>
      <c r="E667" s="44" t="str">
        <f>CONCATENATE(T667,"-",U667,"-",C667)</f>
        <v>HW2-C8-43305</v>
      </c>
      <c r="F667" s="16" t="s">
        <v>227</v>
      </c>
      <c r="G667" s="126" t="s">
        <v>107</v>
      </c>
      <c r="H667" s="126"/>
      <c r="J667" s="126">
        <v>1520</v>
      </c>
      <c r="K667" s="126">
        <v>2699</v>
      </c>
      <c r="O667" s="126" t="s">
        <v>119</v>
      </c>
      <c r="P667" s="18" t="s">
        <v>119</v>
      </c>
      <c r="Q667" s="18">
        <v>0</v>
      </c>
      <c r="R667" s="18">
        <f>IF(J667=J666,C667-C666,"")</f>
        <v>10</v>
      </c>
      <c r="T667" s="126" t="s">
        <v>129</v>
      </c>
      <c r="U667" s="126" t="s">
        <v>188</v>
      </c>
      <c r="V667" s="126" t="s">
        <v>114</v>
      </c>
      <c r="X667" s="126" t="s">
        <v>121</v>
      </c>
      <c r="Y667" s="126" t="s">
        <v>110</v>
      </c>
      <c r="Z667" s="126">
        <v>3</v>
      </c>
      <c r="AA667" s="126" t="s">
        <v>119</v>
      </c>
      <c r="AB667" s="126" t="s">
        <v>123</v>
      </c>
      <c r="AC667" s="126" t="s">
        <v>116</v>
      </c>
      <c r="AD667" s="126"/>
      <c r="AE667" s="126"/>
      <c r="AG667" s="40">
        <f>AH667-AI667</f>
        <v>77</v>
      </c>
      <c r="AH667" s="126">
        <v>143</v>
      </c>
      <c r="AI667" s="126">
        <v>66</v>
      </c>
      <c r="AK667" s="126">
        <v>16</v>
      </c>
      <c r="AL667" s="126">
        <v>0</v>
      </c>
      <c r="AM667" s="126">
        <v>0</v>
      </c>
      <c r="AN667" s="126">
        <v>0</v>
      </c>
      <c r="AO667" s="16">
        <f>IF(SUM(AL667:AN667)&gt;0,1,0)</f>
        <v>0</v>
      </c>
      <c r="AP667" s="18">
        <f>SUM(AL667:AN667)</f>
        <v>0</v>
      </c>
      <c r="AR667" s="16">
        <v>0.38700000000000001</v>
      </c>
      <c r="AS667" s="16">
        <f>VLOOKUP(E667,'[1]Feces weights'!$D$1:$H$459,5,FALSE)</f>
        <v>0.38700000000000001</v>
      </c>
      <c r="AT667" s="16" t="str">
        <f>VLOOKUP(E667,[2]Current!$A$1:$W$435,7,FALSE)</f>
        <v>TE</v>
      </c>
      <c r="AU667" s="16" t="s">
        <v>1288</v>
      </c>
      <c r="AV667" s="23"/>
      <c r="AW667" s="128">
        <f>IF(AX667&gt;0,1,0)</f>
        <v>1</v>
      </c>
      <c r="AX667" s="128">
        <f>SUM(BA667,BM667,CU667)</f>
        <v>2</v>
      </c>
      <c r="AY667" s="128">
        <f>SUM(BB667,BN667,CV667)</f>
        <v>18.087855297157624</v>
      </c>
      <c r="AZ667" s="128">
        <f>IF(BA667&gt;0,1,0)</f>
        <v>1</v>
      </c>
      <c r="BA667" s="128">
        <f>SUM(BC667+BF667+BI667)</f>
        <v>1</v>
      </c>
      <c r="BB667" s="128">
        <f>SUM(BE667,BH667,BK667)</f>
        <v>10.335917312661499</v>
      </c>
      <c r="BC667" s="130">
        <f>IF(BD667&gt;0,1,0)</f>
        <v>0</v>
      </c>
      <c r="BD667" s="128">
        <f>VLOOKUP($E667,[2]Current!$A:$AC,26,FALSE)</f>
        <v>0</v>
      </c>
      <c r="BE667" s="128">
        <f>BD667/$AS667</f>
        <v>0</v>
      </c>
      <c r="BF667" s="130">
        <f>IF(BG667&gt;0,1,0)</f>
        <v>0</v>
      </c>
      <c r="BG667" s="175">
        <f>VLOOKUP($E667,[2]Current!$A:$AC,27,FALSE)</f>
        <v>0</v>
      </c>
      <c r="BH667" s="128">
        <f>BG667/$AS667</f>
        <v>0</v>
      </c>
      <c r="BI667" s="130">
        <f>IF(BJ667&gt;0,1,0)</f>
        <v>1</v>
      </c>
      <c r="BJ667" s="128">
        <f>VLOOKUP($E667,[2]Current!$A:$AC,28,FALSE)</f>
        <v>4</v>
      </c>
      <c r="BK667" s="128">
        <f>BJ667/$AS667</f>
        <v>10.335917312661499</v>
      </c>
      <c r="BL667" s="128">
        <f>IF(BM667&gt;0,1,0)</f>
        <v>1</v>
      </c>
      <c r="BM667" s="128">
        <f>SUM(BR667,BU667,BX667,CA667,CD667)</f>
        <v>1</v>
      </c>
      <c r="BN667" s="131">
        <f>SUM(BT667,BW667,BZ667,CC667,CF667)</f>
        <v>7.7519379844961236</v>
      </c>
      <c r="BO667" s="128">
        <f>IF(BP667&gt;0,1,0)</f>
        <v>1</v>
      </c>
      <c r="BP667" s="128">
        <f>BM667+CJ667</f>
        <v>1</v>
      </c>
      <c r="BQ667" s="128">
        <f>BN667+CL667</f>
        <v>7.7519379844961236</v>
      </c>
      <c r="BR667" s="130">
        <f>IF(BS667&gt;0,1,0)</f>
        <v>1</v>
      </c>
      <c r="BS667" s="128">
        <f>VLOOKUP($E667,[2]Current!$A:$AC,12,FALSE)</f>
        <v>3</v>
      </c>
      <c r="BT667" s="137">
        <f>BS667/$AS667</f>
        <v>7.7519379844961236</v>
      </c>
      <c r="BU667" s="130">
        <f>IF(BV667&gt;0,1,0)</f>
        <v>0</v>
      </c>
      <c r="BV667" s="128">
        <f>VLOOKUP($E667,[2]Current!$A:$AC,13,FALSE)</f>
        <v>0</v>
      </c>
      <c r="BW667" s="128">
        <f>BV667/$AS667</f>
        <v>0</v>
      </c>
      <c r="BX667" s="130">
        <f>IF(BY667&gt;0,1,0)</f>
        <v>0</v>
      </c>
      <c r="BY667" s="128">
        <f>VLOOKUP($E667,[2]Current!$A:$AC,14,FALSE)</f>
        <v>0</v>
      </c>
      <c r="BZ667" s="128">
        <f>BY667/$AS667</f>
        <v>0</v>
      </c>
      <c r="CA667" s="130">
        <f>IF(CB667&gt;0,1,0)</f>
        <v>0</v>
      </c>
      <c r="CB667" s="128">
        <f>VLOOKUP($E667,[2]Current!$A:$AC,15,FALSE)</f>
        <v>0</v>
      </c>
      <c r="CC667" s="128">
        <f>CB667/$AS667</f>
        <v>0</v>
      </c>
      <c r="CD667" s="174">
        <f>IF(CE667&gt;0,1,0)</f>
        <v>0</v>
      </c>
      <c r="CE667" s="128">
        <f>VLOOKUP($E667,[2]Current!$A:$AC,16,FALSE)</f>
        <v>0</v>
      </c>
      <c r="CF667" s="128">
        <f>CE667/$AS667</f>
        <v>0</v>
      </c>
      <c r="CG667" s="18"/>
      <c r="CH667" s="18"/>
      <c r="CI667" s="18"/>
      <c r="CJ667" s="130">
        <f>IF(CK667&gt;0,1,0)</f>
        <v>0</v>
      </c>
      <c r="CK667" s="128">
        <f>VLOOKUP($E667,[2]Current!$A:$AC,18,FALSE)</f>
        <v>0</v>
      </c>
      <c r="CL667" s="128">
        <f>CK667/$AS667</f>
        <v>0</v>
      </c>
      <c r="CS667" s="130">
        <f>IF(CU667&gt;0,1,0)</f>
        <v>0</v>
      </c>
      <c r="CU667" s="128">
        <f>VLOOKUP($E667,[2]Current!$A:$AC,17,FALSE)</f>
        <v>0</v>
      </c>
      <c r="CV667" s="128">
        <f>CU667/$AS667</f>
        <v>0</v>
      </c>
      <c r="CW667" s="18"/>
      <c r="CX667" s="18"/>
      <c r="CY667" s="18"/>
      <c r="DF667" s="16" t="e">
        <f>VLOOKUP(K667,'[3]RNA Seq summary tables'!$V$3:$V$99,1,FALSE)</f>
        <v>#N/A</v>
      </c>
      <c r="DG667" s="126" t="s">
        <v>116</v>
      </c>
      <c r="JR667" s="18"/>
      <c r="JS667" s="18"/>
      <c r="JT667" s="18"/>
      <c r="JU667" s="18"/>
      <c r="JV667" s="18"/>
      <c r="JW667" s="18"/>
      <c r="JX667" s="18"/>
      <c r="JY667" s="18"/>
      <c r="JZ667" s="18"/>
      <c r="KA667" s="18"/>
      <c r="KB667" s="18"/>
    </row>
    <row r="668" spans="1:288" ht="16" x14ac:dyDescent="0.2">
      <c r="B668" s="16">
        <v>2018</v>
      </c>
      <c r="C668" s="191">
        <v>43305</v>
      </c>
      <c r="D668" s="107" t="s">
        <v>1176</v>
      </c>
      <c r="E668" s="44" t="str">
        <f>CONCATENATE(T668,"-",U668,"-",C668)</f>
        <v>HW2-C8-43305</v>
      </c>
      <c r="F668" s="16" t="s">
        <v>227</v>
      </c>
      <c r="G668" s="145" t="s">
        <v>107</v>
      </c>
      <c r="H668" s="145"/>
      <c r="I668" s="145"/>
      <c r="J668" s="145">
        <v>1520</v>
      </c>
      <c r="K668" s="145">
        <v>2699</v>
      </c>
      <c r="M668" s="16"/>
      <c r="N668" s="16"/>
      <c r="O668" s="145" t="s">
        <v>119</v>
      </c>
      <c r="P668" s="18" t="s">
        <v>119</v>
      </c>
      <c r="Q668" s="18">
        <v>0</v>
      </c>
      <c r="R668" s="18">
        <f>IF(J668=J667,C668-C667,"")</f>
        <v>0</v>
      </c>
      <c r="S668" s="145"/>
      <c r="T668" s="145" t="s">
        <v>129</v>
      </c>
      <c r="U668" s="145" t="s">
        <v>188</v>
      </c>
      <c r="V668" s="145" t="s">
        <v>114</v>
      </c>
      <c r="W668" s="145"/>
      <c r="X668" s="145" t="s">
        <v>121</v>
      </c>
      <c r="Y668" s="145" t="s">
        <v>110</v>
      </c>
      <c r="Z668" s="145">
        <v>3</v>
      </c>
      <c r="AA668" s="145" t="s">
        <v>119</v>
      </c>
      <c r="AB668" s="145" t="s">
        <v>123</v>
      </c>
      <c r="AC668" s="145" t="s">
        <v>116</v>
      </c>
      <c r="AD668" s="145" t="s">
        <v>116</v>
      </c>
      <c r="AE668" s="145"/>
      <c r="AF668" s="145"/>
      <c r="AG668" s="145">
        <f>AH668-AI668</f>
        <v>77</v>
      </c>
      <c r="AH668" s="145">
        <v>143</v>
      </c>
      <c r="AI668" s="145">
        <v>66</v>
      </c>
      <c r="AJ668" s="145"/>
      <c r="AK668" s="145">
        <v>16</v>
      </c>
      <c r="AL668" s="145">
        <v>0</v>
      </c>
      <c r="AM668" s="145">
        <v>0</v>
      </c>
      <c r="AN668" s="145">
        <v>0</v>
      </c>
      <c r="AO668" s="16">
        <f>IF(SUM(AL668:AN668)&gt;0, 1,0)</f>
        <v>0</v>
      </c>
      <c r="AP668" s="16">
        <f>SUM(AL668:AN668)</f>
        <v>0</v>
      </c>
      <c r="AS668" s="16">
        <f>VLOOKUP(E668,'[1]Feces weights'!$D$1:$H$459,5,FALSE)</f>
        <v>0.38700000000000001</v>
      </c>
      <c r="AT668" s="16" t="str">
        <f>VLOOKUP(E668,[2]Current!$A$1:$W$435,7,FALSE)</f>
        <v>TE</v>
      </c>
      <c r="AU668" s="16" t="s">
        <v>1288</v>
      </c>
      <c r="AV668" s="23"/>
      <c r="AW668" s="128">
        <f>IF(AX668&gt;0,1,0)</f>
        <v>1</v>
      </c>
      <c r="AX668" s="128">
        <f>SUM(BA668,BM668,CU668)</f>
        <v>2</v>
      </c>
      <c r="AY668" s="128">
        <f>SUM(BB668,BN668,CV668)</f>
        <v>18.087855297157624</v>
      </c>
      <c r="AZ668" s="128">
        <f>IF(BA668&gt;0,1,0)</f>
        <v>1</v>
      </c>
      <c r="BA668" s="128">
        <f>SUM(BC668+BF668+BI668)</f>
        <v>1</v>
      </c>
      <c r="BB668" s="128">
        <f>SUM(BE668,BH668,BK668)</f>
        <v>10.335917312661499</v>
      </c>
      <c r="BC668" s="130">
        <f>IF(BD668&gt;0,1,0)</f>
        <v>0</v>
      </c>
      <c r="BD668" s="128">
        <f>VLOOKUP($E668,[2]Current!$A:$AC,26,FALSE)</f>
        <v>0</v>
      </c>
      <c r="BE668" s="128">
        <f>BD668/$AS668</f>
        <v>0</v>
      </c>
      <c r="BF668" s="130">
        <f>IF(BG668&gt;0,1,0)</f>
        <v>0</v>
      </c>
      <c r="BG668" s="175">
        <f>VLOOKUP($E668,[2]Current!$A:$AC,27,FALSE)</f>
        <v>0</v>
      </c>
      <c r="BH668" s="128">
        <f>BG668/$AS668</f>
        <v>0</v>
      </c>
      <c r="BI668" s="130">
        <f>IF(BJ668&gt;0,1,0)</f>
        <v>1</v>
      </c>
      <c r="BJ668" s="128">
        <f>VLOOKUP($E668,[2]Current!$A:$AC,28,FALSE)</f>
        <v>4</v>
      </c>
      <c r="BK668" s="128">
        <f>BJ668/$AS668</f>
        <v>10.335917312661499</v>
      </c>
      <c r="BL668" s="128">
        <f>IF(BM668&gt;0,1,0)</f>
        <v>1</v>
      </c>
      <c r="BM668" s="128">
        <f>SUM(BR668,BU668,BX668,CA668,CD668)</f>
        <v>1</v>
      </c>
      <c r="BN668" s="131">
        <f>SUM(BT668,BW668,BZ668,CC668,CF668)</f>
        <v>7.7519379844961236</v>
      </c>
      <c r="BO668" s="128">
        <f>IF(BP668&gt;0,1,0)</f>
        <v>1</v>
      </c>
      <c r="BP668" s="128">
        <f>BM668+CJ668</f>
        <v>1</v>
      </c>
      <c r="BQ668" s="128">
        <f>BN668+CL668</f>
        <v>7.7519379844961236</v>
      </c>
      <c r="BR668" s="130">
        <f>IF(BS668&gt;0,1,0)</f>
        <v>1</v>
      </c>
      <c r="BS668" s="128">
        <f>VLOOKUP($E668,[2]Current!$A:$AC,12,FALSE)</f>
        <v>3</v>
      </c>
      <c r="BT668" s="137">
        <f>BS668/$AS668</f>
        <v>7.7519379844961236</v>
      </c>
      <c r="BU668" s="130">
        <f>IF(BV668&gt;0,1,0)</f>
        <v>0</v>
      </c>
      <c r="BV668" s="128">
        <f>VLOOKUP($E668,[2]Current!$A:$AC,13,FALSE)</f>
        <v>0</v>
      </c>
      <c r="BW668" s="128">
        <f>BV668/$AS668</f>
        <v>0</v>
      </c>
      <c r="BX668" s="130">
        <f>IF(BY668&gt;0,1,0)</f>
        <v>0</v>
      </c>
      <c r="BY668" s="128">
        <f>VLOOKUP($E668,[2]Current!$A:$AC,14,FALSE)</f>
        <v>0</v>
      </c>
      <c r="BZ668" s="128">
        <f>BY668/$AS668</f>
        <v>0</v>
      </c>
      <c r="CA668" s="130">
        <f>IF(CB668&gt;0,1,0)</f>
        <v>0</v>
      </c>
      <c r="CB668" s="128">
        <f>VLOOKUP($E668,[2]Current!$A:$AC,15,FALSE)</f>
        <v>0</v>
      </c>
      <c r="CC668" s="128">
        <f>CB668/$AS668</f>
        <v>0</v>
      </c>
      <c r="CD668" s="174">
        <f>IF(CE668&gt;0,1,0)</f>
        <v>0</v>
      </c>
      <c r="CE668" s="128">
        <f>VLOOKUP($E668,[2]Current!$A:$AC,16,FALSE)</f>
        <v>0</v>
      </c>
      <c r="CF668" s="128">
        <f>CE668/$AS668</f>
        <v>0</v>
      </c>
      <c r="CG668" s="18"/>
      <c r="CH668" s="18"/>
      <c r="CI668" s="18"/>
      <c r="CJ668" s="130">
        <f>IF(CK668&gt;0,1,0)</f>
        <v>0</v>
      </c>
      <c r="CK668" s="128">
        <f>VLOOKUP($E668,[2]Current!$A:$AC,18,FALSE)</f>
        <v>0</v>
      </c>
      <c r="CL668" s="128">
        <f>CK668/$AS668</f>
        <v>0</v>
      </c>
      <c r="CS668" s="130">
        <f>IF(CU668&gt;0,1,0)</f>
        <v>0</v>
      </c>
      <c r="CU668" s="128">
        <f>VLOOKUP($E668,[2]Current!$A:$AC,17,FALSE)</f>
        <v>0</v>
      </c>
      <c r="CV668" s="128">
        <f>CU668/$AS668</f>
        <v>0</v>
      </c>
      <c r="CW668" s="18"/>
      <c r="CX668" s="18"/>
      <c r="CY668" s="18"/>
      <c r="DG668" s="145" t="s">
        <v>116</v>
      </c>
      <c r="DT668" s="145" t="s">
        <v>116</v>
      </c>
      <c r="DU668" s="145"/>
      <c r="DX668" s="145"/>
      <c r="DY668" s="145"/>
      <c r="DZ668" s="16"/>
      <c r="EA668" s="16"/>
      <c r="EB668" s="16"/>
      <c r="EC668" s="16"/>
      <c r="ED668" s="16"/>
      <c r="EE668" s="16"/>
      <c r="EF668" s="16"/>
      <c r="JO668" s="18"/>
      <c r="JP668" s="18"/>
      <c r="JQ668" s="18"/>
      <c r="JR668" s="18"/>
      <c r="JS668" s="18"/>
      <c r="JT668" s="18"/>
      <c r="JU668" s="18"/>
      <c r="JV668" s="18"/>
      <c r="JW668" s="18"/>
      <c r="JX668" s="18"/>
      <c r="JY668" s="18"/>
      <c r="JZ668" s="18"/>
      <c r="KA668" s="18"/>
    </row>
    <row r="669" spans="1:288" ht="16" x14ac:dyDescent="0.2">
      <c r="B669" s="16">
        <v>2018</v>
      </c>
      <c r="C669" s="124">
        <v>43279</v>
      </c>
      <c r="D669" t="s">
        <v>882</v>
      </c>
      <c r="E669" s="37" t="str">
        <f>CONCATENATE(T669,"-",U669,"-",C669)</f>
        <v>HW2-H2-43279</v>
      </c>
      <c r="F669" s="16" t="s">
        <v>227</v>
      </c>
      <c r="G669" s="126" t="s">
        <v>107</v>
      </c>
      <c r="H669" s="126" t="s">
        <v>1122</v>
      </c>
      <c r="J669" s="126">
        <v>1522</v>
      </c>
      <c r="K669" s="126">
        <v>2510</v>
      </c>
      <c r="O669" s="126" t="s">
        <v>119</v>
      </c>
      <c r="P669" s="18" t="s">
        <v>119</v>
      </c>
      <c r="Q669" s="18">
        <v>0</v>
      </c>
      <c r="R669" s="18" t="str">
        <f>IF(J669=J668,C669-C668,"")</f>
        <v/>
      </c>
      <c r="T669" s="126" t="s">
        <v>129</v>
      </c>
      <c r="U669" s="126" t="s">
        <v>190</v>
      </c>
      <c r="V669" s="133" t="s">
        <v>142</v>
      </c>
      <c r="X669" s="126" t="s">
        <v>115</v>
      </c>
      <c r="Y669" s="126" t="s">
        <v>110</v>
      </c>
      <c r="Z669" s="126">
        <v>3</v>
      </c>
      <c r="AA669" s="126"/>
      <c r="AB669" s="126"/>
      <c r="AC669" s="126"/>
      <c r="AD669" s="126"/>
      <c r="AE669" s="126" t="s">
        <v>123</v>
      </c>
      <c r="AG669" s="16">
        <f>AH669-AI669</f>
        <v>79</v>
      </c>
      <c r="AH669" s="126">
        <v>165</v>
      </c>
      <c r="AI669" s="126">
        <v>86</v>
      </c>
      <c r="AK669" s="126"/>
      <c r="AL669" s="126">
        <v>0</v>
      </c>
      <c r="AM669" s="126">
        <v>0</v>
      </c>
      <c r="AN669" s="126">
        <v>0</v>
      </c>
      <c r="AO669" s="16">
        <f>IF(SUM(AL669:AN669)&gt;0,1,0)</f>
        <v>0</v>
      </c>
      <c r="AP669" s="18">
        <f>SUM(AL669:AN669)</f>
        <v>0</v>
      </c>
      <c r="AR669" s="16">
        <v>9.5000000000000195E-2</v>
      </c>
      <c r="AS669" s="16">
        <f>VLOOKUP(E669,'[1]Feces weights'!$D$1:$H$459,5,FALSE)</f>
        <v>9.5000000000000195E-2</v>
      </c>
      <c r="AT669" s="16" t="str">
        <f>VLOOKUP(E669,[2]Current!$A$1:$W$435,7,FALSE)</f>
        <v>LV</v>
      </c>
      <c r="AU669" s="16" t="s">
        <v>1288</v>
      </c>
      <c r="AV669" s="23">
        <v>1</v>
      </c>
      <c r="AW669" s="128">
        <f>IF(AX669&gt;0,1,0)</f>
        <v>0</v>
      </c>
      <c r="AX669" s="128">
        <f>SUM(BA669,BM669,CU669)</f>
        <v>0</v>
      </c>
      <c r="AY669" s="128">
        <f>SUM(BB669,BN669,CV669)</f>
        <v>0</v>
      </c>
      <c r="AZ669" s="128">
        <f>IF(BA669&gt;0,1,0)</f>
        <v>0</v>
      </c>
      <c r="BA669" s="128">
        <f>SUM(BC669+BF669+BI669)</f>
        <v>0</v>
      </c>
      <c r="BB669" s="128">
        <f>SUM(BE669,BH669,BK669)</f>
        <v>0</v>
      </c>
      <c r="BC669" s="130">
        <f>IF(BD669&gt;0,1,0)</f>
        <v>0</v>
      </c>
      <c r="BD669" s="128">
        <f>VLOOKUP($E669,[2]Current!$A:$AC,26,FALSE)</f>
        <v>0</v>
      </c>
      <c r="BE669" s="128">
        <f>BD669/$AS669</f>
        <v>0</v>
      </c>
      <c r="BF669" s="130">
        <f>IF(BG669&gt;0,1,0)</f>
        <v>0</v>
      </c>
      <c r="BG669" s="175">
        <f>VLOOKUP($E669,[2]Current!$A:$AC,27,FALSE)</f>
        <v>0</v>
      </c>
      <c r="BH669" s="128">
        <f>BG669/$AS669</f>
        <v>0</v>
      </c>
      <c r="BI669" s="130">
        <f>IF(BJ669&gt;0,1,0)</f>
        <v>0</v>
      </c>
      <c r="BJ669" s="128">
        <f>VLOOKUP($E669,[2]Current!$A:$AC,28,FALSE)</f>
        <v>0</v>
      </c>
      <c r="BK669" s="128">
        <f>BJ669/$AS669</f>
        <v>0</v>
      </c>
      <c r="BL669" s="128">
        <f>IF(BM669&gt;0,1,0)</f>
        <v>0</v>
      </c>
      <c r="BM669" s="128">
        <f>SUM(BR669,BU669,BX669,CA669,CD669)</f>
        <v>0</v>
      </c>
      <c r="BN669" s="131">
        <f>SUM(BT669,BW669,BZ669,CC669,CF669)</f>
        <v>0</v>
      </c>
      <c r="BO669" s="128">
        <f>IF(BP669&gt;0,1,0)</f>
        <v>0</v>
      </c>
      <c r="BP669" s="128">
        <f>BM669+CJ669</f>
        <v>0</v>
      </c>
      <c r="BQ669" s="128">
        <f>BN669+CL669</f>
        <v>0</v>
      </c>
      <c r="BR669" s="130">
        <f>IF(BS669&gt;0,1,0)</f>
        <v>0</v>
      </c>
      <c r="BS669" s="128">
        <f>VLOOKUP($E669,[2]Current!$A:$AC,12,FALSE)</f>
        <v>0</v>
      </c>
      <c r="BT669" s="137">
        <f>BS669/$AS669</f>
        <v>0</v>
      </c>
      <c r="BU669" s="130">
        <f>IF(BV669&gt;0,1,0)</f>
        <v>0</v>
      </c>
      <c r="BV669" s="128">
        <f>VLOOKUP($E669,[2]Current!$A:$AC,13,FALSE)</f>
        <v>0</v>
      </c>
      <c r="BW669" s="128">
        <f>BV669/$AS669</f>
        <v>0</v>
      </c>
      <c r="BX669" s="130">
        <f>IF(BY669&gt;0,1,0)</f>
        <v>0</v>
      </c>
      <c r="BY669" s="128">
        <f>VLOOKUP($E669,[2]Current!$A:$AC,14,FALSE)</f>
        <v>0</v>
      </c>
      <c r="BZ669" s="128">
        <f>BY669/$AS669</f>
        <v>0</v>
      </c>
      <c r="CA669" s="130">
        <f>IF(CB669&gt;0,1,0)</f>
        <v>0</v>
      </c>
      <c r="CB669" s="128">
        <f>VLOOKUP($E669,[2]Current!$A:$AC,15,FALSE)</f>
        <v>0</v>
      </c>
      <c r="CC669" s="128">
        <f>CB669/$AS669</f>
        <v>0</v>
      </c>
      <c r="CD669" s="174">
        <f>IF(CE669&gt;0,1,0)</f>
        <v>0</v>
      </c>
      <c r="CE669" s="128">
        <f>VLOOKUP($E669,[2]Current!$A:$AC,16,FALSE)</f>
        <v>0</v>
      </c>
      <c r="CF669" s="128">
        <f>CE669/$AS669</f>
        <v>0</v>
      </c>
      <c r="CG669" s="18"/>
      <c r="CH669" s="18"/>
      <c r="CI669" s="18"/>
      <c r="CJ669" s="130">
        <f>IF(CK669&gt;0,1,0)</f>
        <v>0</v>
      </c>
      <c r="CK669" s="128">
        <f>VLOOKUP($E669,[2]Current!$A:$AC,18,FALSE)</f>
        <v>0</v>
      </c>
      <c r="CL669" s="128">
        <f>CK669/$AS669</f>
        <v>0</v>
      </c>
      <c r="CS669" s="130">
        <f>IF(CU669&gt;0,1,0)</f>
        <v>0</v>
      </c>
      <c r="CU669" s="128">
        <f>VLOOKUP($E669,[2]Current!$A:$AC,17,FALSE)</f>
        <v>0</v>
      </c>
      <c r="CV669" s="128">
        <f>CU669/$AS669</f>
        <v>0</v>
      </c>
      <c r="CW669" s="18"/>
      <c r="CX669" s="18"/>
      <c r="CY669" s="18"/>
      <c r="DF669" s="16" t="e">
        <f>VLOOKUP(K669,'[3]RNA Seq summary tables'!$V$3:$V$99,1,FALSE)</f>
        <v>#N/A</v>
      </c>
      <c r="DG669" s="126" t="s">
        <v>116</v>
      </c>
    </row>
    <row r="670" spans="1:288" ht="16" x14ac:dyDescent="0.2">
      <c r="B670" s="16">
        <v>2018</v>
      </c>
      <c r="C670" s="124">
        <v>43295</v>
      </c>
      <c r="D670" t="s">
        <v>974</v>
      </c>
      <c r="E670" s="142" t="str">
        <f>CONCATENATE(T670,"-",U670,"-",C670)</f>
        <v>HW2-F3-43295</v>
      </c>
      <c r="F670" s="16" t="s">
        <v>227</v>
      </c>
      <c r="G670" s="126" t="s">
        <v>107</v>
      </c>
      <c r="H670" s="126" t="s">
        <v>1085</v>
      </c>
      <c r="J670" s="126">
        <v>1522</v>
      </c>
      <c r="K670" s="126">
        <v>2613</v>
      </c>
      <c r="O670" s="126" t="s">
        <v>119</v>
      </c>
      <c r="P670" s="18" t="s">
        <v>119</v>
      </c>
      <c r="Q670" s="18">
        <v>0</v>
      </c>
      <c r="R670" s="18">
        <f>IF(J670=J669,C670-C669,"")</f>
        <v>16</v>
      </c>
      <c r="T670" s="126" t="s">
        <v>129</v>
      </c>
      <c r="U670" s="126" t="s">
        <v>182</v>
      </c>
      <c r="V670" s="126" t="s">
        <v>142</v>
      </c>
      <c r="X670" s="126" t="s">
        <v>115</v>
      </c>
      <c r="Y670" s="126" t="s">
        <v>110</v>
      </c>
      <c r="Z670" s="126">
        <v>3</v>
      </c>
      <c r="AA670" s="126"/>
      <c r="AB670" s="126"/>
      <c r="AC670" s="126"/>
      <c r="AD670" s="126" t="s">
        <v>123</v>
      </c>
      <c r="AE670" s="126" t="s">
        <v>123</v>
      </c>
      <c r="AG670" s="16">
        <f>AH670-AI670</f>
        <v>80</v>
      </c>
      <c r="AH670" s="126">
        <v>166</v>
      </c>
      <c r="AI670" s="126">
        <v>86</v>
      </c>
      <c r="AK670" s="126">
        <v>16.5</v>
      </c>
      <c r="AL670" s="126">
        <v>0</v>
      </c>
      <c r="AM670" s="126">
        <v>0</v>
      </c>
      <c r="AN670" s="126">
        <v>0</v>
      </c>
      <c r="AO670" s="16">
        <f>IF(SUM(AL670:AN670)&gt;0,1,0)</f>
        <v>0</v>
      </c>
      <c r="AP670" s="18">
        <f>SUM(AL670:AN670)</f>
        <v>0</v>
      </c>
      <c r="AR670" s="16">
        <v>0.11100000000000021</v>
      </c>
      <c r="AS670" s="16">
        <f>VLOOKUP(E670,'[1]Feces weights'!$D$1:$H$459,5,FALSE)</f>
        <v>0.11100000000000021</v>
      </c>
      <c r="AT670" s="16" t="e">
        <f>VLOOKUP(E670,[2]Current!$A$1:$W$435,7,FALSE)</f>
        <v>#N/A</v>
      </c>
      <c r="AU670" s="16">
        <v>0</v>
      </c>
      <c r="BG670" s="23"/>
      <c r="BN670" s="126"/>
      <c r="BT670" s="78"/>
      <c r="BU670" s="18"/>
      <c r="BV670" s="18"/>
      <c r="BW670" s="25"/>
      <c r="BX670" s="18"/>
      <c r="BY670" s="18"/>
      <c r="BZ670" s="25"/>
      <c r="CA670" s="18"/>
      <c r="CB670" s="18"/>
      <c r="CC670" s="25"/>
      <c r="CD670" s="78"/>
      <c r="CE670" s="18"/>
      <c r="CF670" s="25"/>
      <c r="CG670" s="18"/>
      <c r="CH670" s="18"/>
      <c r="CI670" s="18"/>
      <c r="CJ670" s="18"/>
      <c r="CK670" s="18"/>
      <c r="CL670" s="25"/>
      <c r="DF670" s="16" t="e">
        <f>VLOOKUP(K670,'[3]RNA Seq summary tables'!$V$3:$V$99,1,FALSE)</f>
        <v>#N/A</v>
      </c>
      <c r="DG670" s="126" t="s">
        <v>116</v>
      </c>
    </row>
    <row r="671" spans="1:288" ht="16" x14ac:dyDescent="0.2">
      <c r="B671" s="16">
        <v>2018</v>
      </c>
      <c r="C671" s="124">
        <v>43278</v>
      </c>
      <c r="D671" t="s">
        <v>552</v>
      </c>
      <c r="E671" s="37" t="str">
        <f>CONCATENATE(T671,"-",U671,"-",C671)</f>
        <v>HW2-G4-43278</v>
      </c>
      <c r="F671" s="16" t="s">
        <v>227</v>
      </c>
      <c r="G671" s="126" t="s">
        <v>107</v>
      </c>
      <c r="H671" s="126" t="s">
        <v>1119</v>
      </c>
      <c r="J671" s="126">
        <v>1524</v>
      </c>
      <c r="K671" s="126">
        <v>2507</v>
      </c>
      <c r="O671" s="126" t="s">
        <v>119</v>
      </c>
      <c r="P671" s="18" t="s">
        <v>119</v>
      </c>
      <c r="Q671" s="18">
        <v>0</v>
      </c>
      <c r="R671" s="18" t="str">
        <f>IF(J671=J670,C671-C670,"")</f>
        <v/>
      </c>
      <c r="T671" s="126" t="s">
        <v>129</v>
      </c>
      <c r="U671" s="126" t="s">
        <v>173</v>
      </c>
      <c r="V671" s="126" t="s">
        <v>114</v>
      </c>
      <c r="X671" s="126" t="s">
        <v>121</v>
      </c>
      <c r="Y671" s="126" t="s">
        <v>110</v>
      </c>
      <c r="Z671" s="126">
        <v>3</v>
      </c>
      <c r="AA671" s="126" t="s">
        <v>119</v>
      </c>
      <c r="AB671" s="126" t="s">
        <v>123</v>
      </c>
      <c r="AC671" s="126" t="s">
        <v>116</v>
      </c>
      <c r="AD671" s="126"/>
      <c r="AE671" s="126"/>
      <c r="AG671" s="16">
        <f>AH671-AI671</f>
        <v>71</v>
      </c>
      <c r="AH671" s="126">
        <v>140</v>
      </c>
      <c r="AI671" s="126">
        <v>69</v>
      </c>
      <c r="AK671" s="126">
        <v>13</v>
      </c>
      <c r="AL671" s="126">
        <v>0</v>
      </c>
      <c r="AM671" s="126">
        <v>0</v>
      </c>
      <c r="AN671" s="126">
        <v>0</v>
      </c>
      <c r="AO671" s="16">
        <f>IF(SUM(AL671:AN671)&gt;0,1,0)</f>
        <v>0</v>
      </c>
      <c r="AP671" s="18">
        <f>SUM(AL671:AN671)</f>
        <v>0</v>
      </c>
      <c r="AR671" s="16">
        <v>2.100000000000013E-2</v>
      </c>
      <c r="AS671" s="16">
        <f>VLOOKUP(E671,'[1]Feces weights'!$D$1:$H$459,5,FALSE)</f>
        <v>2.100000000000013E-2</v>
      </c>
      <c r="AT671" s="16" t="str">
        <f>VLOOKUP(E671,[2]Current!$A$1:$W$435,7,FALSE)</f>
        <v>LV</v>
      </c>
      <c r="AU671" s="16" t="s">
        <v>1288</v>
      </c>
      <c r="AW671" s="128">
        <f>IF(AX671&gt;0,1,0)</f>
        <v>1</v>
      </c>
      <c r="AX671" s="128">
        <f>SUM(BA671,BM671,CU671)</f>
        <v>1</v>
      </c>
      <c r="AY671" s="128">
        <f>SUM(BB671,BN671,CV671)</f>
        <v>1142.8571428571358</v>
      </c>
      <c r="AZ671" s="128">
        <f>IF(BA671&gt;0,1,0)</f>
        <v>1</v>
      </c>
      <c r="BA671" s="128">
        <f>SUM(BC671+BF671+BI671)</f>
        <v>1</v>
      </c>
      <c r="BB671" s="128">
        <f>SUM(BE671,BH671,BK671)</f>
        <v>1142.8571428571358</v>
      </c>
      <c r="BC671" s="130">
        <f>IF(BD671&gt;0,1,0)</f>
        <v>0</v>
      </c>
      <c r="BD671" s="128">
        <f>VLOOKUP($E671,[2]Current!$A:$AC,26,FALSE)</f>
        <v>0</v>
      </c>
      <c r="BE671" s="128">
        <f>BD671/$AS671</f>
        <v>0</v>
      </c>
      <c r="BF671" s="130">
        <f>IF(BG671&gt;0,1,0)</f>
        <v>1</v>
      </c>
      <c r="BG671" s="175">
        <f>VLOOKUP($E671,[2]Current!$A:$AC,27,FALSE)</f>
        <v>24</v>
      </c>
      <c r="BH671" s="128">
        <f>BG671/$AS671</f>
        <v>1142.8571428571358</v>
      </c>
      <c r="BI671" s="130">
        <f>IF(BJ671&gt;0,1,0)</f>
        <v>0</v>
      </c>
      <c r="BJ671" s="128">
        <f>VLOOKUP($E671,[2]Current!$A:$AC,28,FALSE)</f>
        <v>0</v>
      </c>
      <c r="BK671" s="128">
        <f>BJ671/$AS671</f>
        <v>0</v>
      </c>
      <c r="BL671" s="128">
        <f>IF(BM671&gt;0,1,0)</f>
        <v>0</v>
      </c>
      <c r="BM671" s="128">
        <f>SUM(BR671,BU671,BX671,CA671,CD671)</f>
        <v>0</v>
      </c>
      <c r="BN671" s="131">
        <f>SUM(BT671,BW671,BZ671,CC671,CF671)</f>
        <v>0</v>
      </c>
      <c r="BO671" s="128">
        <f>IF(BP671&gt;0,1,0)</f>
        <v>0</v>
      </c>
      <c r="BP671" s="128">
        <f>BM671+CJ671</f>
        <v>0</v>
      </c>
      <c r="BQ671" s="128">
        <f>BN671+CL671</f>
        <v>0</v>
      </c>
      <c r="BR671" s="130">
        <f>IF(BS671&gt;0,1,0)</f>
        <v>0</v>
      </c>
      <c r="BS671" s="128">
        <f>VLOOKUP($E671,[2]Current!$A:$AC,12,FALSE)</f>
        <v>0</v>
      </c>
      <c r="BT671" s="137">
        <f>BS671/$AS671</f>
        <v>0</v>
      </c>
      <c r="BU671" s="130">
        <f>IF(BV671&gt;0,1,0)</f>
        <v>0</v>
      </c>
      <c r="BV671" s="128">
        <f>VLOOKUP($E671,[2]Current!$A:$AC,13,FALSE)</f>
        <v>0</v>
      </c>
      <c r="BW671" s="128">
        <f>BV671/$AS671</f>
        <v>0</v>
      </c>
      <c r="BX671" s="130">
        <f>IF(BY671&gt;0,1,0)</f>
        <v>0</v>
      </c>
      <c r="BY671" s="128">
        <f>VLOOKUP($E671,[2]Current!$A:$AC,14,FALSE)</f>
        <v>0</v>
      </c>
      <c r="BZ671" s="128">
        <f>BY671/$AS671</f>
        <v>0</v>
      </c>
      <c r="CA671" s="130">
        <f>IF(CB671&gt;0,1,0)</f>
        <v>0</v>
      </c>
      <c r="CB671" s="128">
        <f>VLOOKUP($E671,[2]Current!$A:$AC,15,FALSE)</f>
        <v>0</v>
      </c>
      <c r="CC671" s="128">
        <f>CB671/$AS671</f>
        <v>0</v>
      </c>
      <c r="CD671" s="174">
        <f>IF(CE671&gt;0,1,0)</f>
        <v>0</v>
      </c>
      <c r="CE671" s="128">
        <f>VLOOKUP($E671,[2]Current!$A:$AC,16,FALSE)</f>
        <v>0</v>
      </c>
      <c r="CF671" s="128">
        <f>CE671/$AS671</f>
        <v>0</v>
      </c>
      <c r="CG671" s="18"/>
      <c r="CH671" s="18"/>
      <c r="CI671" s="18"/>
      <c r="CJ671" s="130">
        <f>IF(CK671&gt;0,1,0)</f>
        <v>0</v>
      </c>
      <c r="CK671" s="128">
        <f>VLOOKUP($E671,[2]Current!$A:$AC,18,FALSE)</f>
        <v>0</v>
      </c>
      <c r="CL671" s="128">
        <f>CK671/$AS671</f>
        <v>0</v>
      </c>
      <c r="CS671" s="130">
        <f>IF(CU671&gt;0,1,0)</f>
        <v>0</v>
      </c>
      <c r="CU671" s="128">
        <f>VLOOKUP($E671,[2]Current!$A:$AC,17,FALSE)</f>
        <v>0</v>
      </c>
      <c r="CV671" s="128">
        <f>CU671/$AS671</f>
        <v>0</v>
      </c>
      <c r="CW671" s="18"/>
      <c r="CX671" s="18"/>
      <c r="CY671" s="18"/>
      <c r="DF671" s="16" t="e">
        <f>VLOOKUP(K671,'[3]RNA Seq summary tables'!$V$3:$V$99,1,FALSE)</f>
        <v>#N/A</v>
      </c>
      <c r="DG671" s="126" t="s">
        <v>123</v>
      </c>
    </row>
    <row r="672" spans="1:288" ht="16" x14ac:dyDescent="0.2">
      <c r="B672" s="16">
        <v>2018</v>
      </c>
      <c r="C672" s="124">
        <v>43294</v>
      </c>
      <c r="D672" t="s">
        <v>964</v>
      </c>
      <c r="E672" s="37" t="str">
        <f>CONCATENATE(T672,"-",U672,"-",C672)</f>
        <v>HW2-D4-43294</v>
      </c>
      <c r="F672" s="16" t="s">
        <v>227</v>
      </c>
      <c r="G672" s="126" t="s">
        <v>107</v>
      </c>
      <c r="H672" s="126"/>
      <c r="J672" s="126">
        <v>1524</v>
      </c>
      <c r="K672" s="126">
        <v>2604</v>
      </c>
      <c r="O672" s="126" t="s">
        <v>119</v>
      </c>
      <c r="P672" s="18" t="s">
        <v>119</v>
      </c>
      <c r="Q672" s="18">
        <v>0</v>
      </c>
      <c r="R672" s="18">
        <f>IF(J672=J671,C672-C671,"")</f>
        <v>16</v>
      </c>
      <c r="T672" s="126" t="s">
        <v>129</v>
      </c>
      <c r="U672" s="126" t="s">
        <v>221</v>
      </c>
      <c r="V672" s="126" t="s">
        <v>114</v>
      </c>
      <c r="X672" s="126" t="s">
        <v>121</v>
      </c>
      <c r="Y672" s="126" t="s">
        <v>110</v>
      </c>
      <c r="Z672" s="126">
        <v>3</v>
      </c>
      <c r="AA672" s="126" t="s">
        <v>119</v>
      </c>
      <c r="AB672" s="126" t="s">
        <v>123</v>
      </c>
      <c r="AC672" s="126" t="s">
        <v>123</v>
      </c>
      <c r="AD672" s="126"/>
      <c r="AE672" s="126"/>
      <c r="AG672" s="16">
        <f>AH672-AI672</f>
        <v>77</v>
      </c>
      <c r="AH672" s="126">
        <v>145</v>
      </c>
      <c r="AI672" s="126">
        <v>68</v>
      </c>
      <c r="AK672" s="126">
        <v>14.5</v>
      </c>
      <c r="AL672" s="126">
        <v>0</v>
      </c>
      <c r="AM672" s="126">
        <v>0</v>
      </c>
      <c r="AN672" s="126">
        <v>0</v>
      </c>
      <c r="AO672" s="16">
        <f>IF(SUM(AL672:AN672)&gt;0,1,0)</f>
        <v>0</v>
      </c>
      <c r="AP672" s="18">
        <f>SUM(AL672:AN672)</f>
        <v>0</v>
      </c>
      <c r="AR672" s="16">
        <v>0.121</v>
      </c>
      <c r="AS672" s="16">
        <f>VLOOKUP(E672,'[1]Feces weights'!$D$1:$H$459,5,FALSE)</f>
        <v>0.121</v>
      </c>
      <c r="AT672" s="16" t="str">
        <f>VLOOKUP(E672,[2]Current!$A$1:$W$435,7,FALSE)</f>
        <v>JB</v>
      </c>
      <c r="AU672" s="16" t="s">
        <v>1288</v>
      </c>
      <c r="AW672" s="128">
        <f>IF(AX672&gt;0,1,0)</f>
        <v>1</v>
      </c>
      <c r="AX672" s="128">
        <f>SUM(BA672,BM672,CU672)</f>
        <v>1</v>
      </c>
      <c r="AY672" s="128">
        <f>SUM(BB672,BN672,CV672)</f>
        <v>25966.942148760332</v>
      </c>
      <c r="AZ672" s="128">
        <f>IF(BA672&gt;0,1,0)</f>
        <v>1</v>
      </c>
      <c r="BA672" s="128">
        <f>SUM(BC672+BF672+BI672)</f>
        <v>1</v>
      </c>
      <c r="BB672" s="128">
        <f>SUM(BE672,BH672,BK672)</f>
        <v>25966.942148760332</v>
      </c>
      <c r="BC672" s="130">
        <f>IF(BD672&gt;0,1,0)</f>
        <v>0</v>
      </c>
      <c r="BD672" s="128">
        <f>VLOOKUP($E672,[2]Current!$A:$AC,26,FALSE)</f>
        <v>0</v>
      </c>
      <c r="BE672" s="128">
        <f>BD672/$AS672</f>
        <v>0</v>
      </c>
      <c r="BF672" s="130">
        <f>IF(BG672&gt;0,1,0)</f>
        <v>1</v>
      </c>
      <c r="BG672" s="175">
        <f>VLOOKUP($E672,[2]Current!$A:$AC,27,FALSE)</f>
        <v>3142</v>
      </c>
      <c r="BH672" s="128">
        <f>BG672/$AS672</f>
        <v>25966.942148760332</v>
      </c>
      <c r="BI672" s="130">
        <f>IF(BJ672&gt;0,1,0)</f>
        <v>0</v>
      </c>
      <c r="BJ672" s="128">
        <f>VLOOKUP($E672,[2]Current!$A:$AC,28,FALSE)</f>
        <v>0</v>
      </c>
      <c r="BK672" s="128">
        <f>BJ672/$AS672</f>
        <v>0</v>
      </c>
      <c r="BL672" s="128">
        <f>IF(BM672&gt;0,1,0)</f>
        <v>0</v>
      </c>
      <c r="BM672" s="128">
        <f>SUM(BR672,BU672,BX672,CA672,CD672)</f>
        <v>0</v>
      </c>
      <c r="BN672" s="131">
        <f>SUM(BT672,BW672,BZ672,CC672,CF672)</f>
        <v>0</v>
      </c>
      <c r="BO672" s="128">
        <f>IF(BP672&gt;0,1,0)</f>
        <v>0</v>
      </c>
      <c r="BP672" s="128">
        <f>BM672+CJ672</f>
        <v>0</v>
      </c>
      <c r="BQ672" s="128">
        <f>BN672+CL672</f>
        <v>0</v>
      </c>
      <c r="BR672" s="130">
        <f>IF(BS672&gt;0,1,0)</f>
        <v>0</v>
      </c>
      <c r="BS672" s="128">
        <f>VLOOKUP($E672,[2]Current!$A:$AC,12,FALSE)</f>
        <v>0</v>
      </c>
      <c r="BT672" s="137">
        <f>BS672/$AS672</f>
        <v>0</v>
      </c>
      <c r="BU672" s="130">
        <f>IF(BV672&gt;0,1,0)</f>
        <v>0</v>
      </c>
      <c r="BV672" s="128">
        <f>VLOOKUP($E672,[2]Current!$A:$AC,13,FALSE)</f>
        <v>0</v>
      </c>
      <c r="BW672" s="128">
        <f>BV672/$AS672</f>
        <v>0</v>
      </c>
      <c r="BX672" s="130">
        <f>IF(BY672&gt;0,1,0)</f>
        <v>0</v>
      </c>
      <c r="BY672" s="128">
        <f>VLOOKUP($E672,[2]Current!$A:$AC,14,FALSE)</f>
        <v>0</v>
      </c>
      <c r="BZ672" s="128">
        <f>BY672/$AS672</f>
        <v>0</v>
      </c>
      <c r="CA672" s="130">
        <f>IF(CB672&gt;0,1,0)</f>
        <v>0</v>
      </c>
      <c r="CB672" s="128">
        <f>VLOOKUP($E672,[2]Current!$A:$AC,15,FALSE)</f>
        <v>0</v>
      </c>
      <c r="CC672" s="128">
        <f>CB672/$AS672</f>
        <v>0</v>
      </c>
      <c r="CD672" s="174">
        <f>IF(CE672&gt;0,1,0)</f>
        <v>0</v>
      </c>
      <c r="CE672" s="128">
        <f>VLOOKUP($E672,[2]Current!$A:$AC,16,FALSE)</f>
        <v>0</v>
      </c>
      <c r="CF672" s="128">
        <f>CE672/$AS672</f>
        <v>0</v>
      </c>
      <c r="CG672" s="18"/>
      <c r="CH672" s="18"/>
      <c r="CI672" s="18"/>
      <c r="CJ672" s="130">
        <f>IF(CK672&gt;0,1,0)</f>
        <v>0</v>
      </c>
      <c r="CK672" s="128">
        <f>VLOOKUP($E672,[2]Current!$A:$AC,18,FALSE)</f>
        <v>0</v>
      </c>
      <c r="CL672" s="128">
        <f>CK672/$AS672</f>
        <v>0</v>
      </c>
      <c r="CS672" s="130">
        <f>IF(CU672&gt;0,1,0)</f>
        <v>0</v>
      </c>
      <c r="CU672" s="128">
        <f>VLOOKUP($E672,[2]Current!$A:$AC,17,FALSE)</f>
        <v>0</v>
      </c>
      <c r="CV672" s="128">
        <f>CU672/$AS672</f>
        <v>0</v>
      </c>
      <c r="CW672" s="18"/>
      <c r="CX672" s="18"/>
      <c r="CY672" s="18"/>
      <c r="DF672" s="16" t="e">
        <f>VLOOKUP(K672,'[3]RNA Seq summary tables'!$V$3:$V$99,1,FALSE)</f>
        <v>#N/A</v>
      </c>
      <c r="DG672" s="126" t="s">
        <v>116</v>
      </c>
    </row>
    <row r="673" spans="2:288" ht="16" x14ac:dyDescent="0.2">
      <c r="B673" s="16">
        <v>2018</v>
      </c>
      <c r="C673" s="189">
        <v>43305</v>
      </c>
      <c r="D673" s="107" t="s">
        <v>1064</v>
      </c>
      <c r="E673" s="44" t="str">
        <f>CONCATENATE(T673,"-",U673,"-",C673)</f>
        <v>HW2-E4-43305</v>
      </c>
      <c r="F673" s="26" t="s">
        <v>227</v>
      </c>
      <c r="G673" s="190" t="s">
        <v>107</v>
      </c>
      <c r="H673" s="190"/>
      <c r="I673" s="26"/>
      <c r="J673" s="190">
        <v>1524</v>
      </c>
      <c r="K673" s="190">
        <v>2700</v>
      </c>
      <c r="O673" s="126" t="s">
        <v>119</v>
      </c>
      <c r="P673" s="18" t="s">
        <v>119</v>
      </c>
      <c r="Q673" s="18">
        <v>0</v>
      </c>
      <c r="R673" s="18">
        <f>IF(J673=J672,C673-C672,"")</f>
        <v>11</v>
      </c>
      <c r="T673" s="126" t="s">
        <v>129</v>
      </c>
      <c r="U673" s="126" t="s">
        <v>206</v>
      </c>
      <c r="V673" s="126" t="s">
        <v>114</v>
      </c>
      <c r="X673" s="126" t="s">
        <v>121</v>
      </c>
      <c r="Y673" s="126" t="s">
        <v>110</v>
      </c>
      <c r="Z673" s="126">
        <v>3</v>
      </c>
      <c r="AA673" s="126" t="s">
        <v>119</v>
      </c>
      <c r="AB673" s="126" t="s">
        <v>123</v>
      </c>
      <c r="AC673" s="126" t="s">
        <v>116</v>
      </c>
      <c r="AD673" s="126"/>
      <c r="AE673" s="126"/>
      <c r="AG673" s="40">
        <f>AH673-AI673</f>
        <v>75</v>
      </c>
      <c r="AH673" s="126">
        <v>142</v>
      </c>
      <c r="AI673" s="126">
        <v>67</v>
      </c>
      <c r="AK673" s="126">
        <v>17</v>
      </c>
      <c r="AL673" s="126">
        <v>0</v>
      </c>
      <c r="AM673" s="126">
        <v>0</v>
      </c>
      <c r="AN673" s="126">
        <v>0</v>
      </c>
      <c r="AO673" s="16">
        <f>IF(SUM(AL673:AN673)&gt;0,1,0)</f>
        <v>0</v>
      </c>
      <c r="AP673" s="18">
        <f>SUM(AL673:AN673)</f>
        <v>0</v>
      </c>
      <c r="AR673" s="16">
        <v>0.78300000000000014</v>
      </c>
      <c r="AS673" s="16">
        <f>VLOOKUP(E673,'[1]Feces weights'!$D$1:$H$459,5,FALSE)</f>
        <v>0.78300000000000014</v>
      </c>
      <c r="AT673" s="16" t="str">
        <f>VLOOKUP(E673,[2]Current!$A$1:$W$435,7,FALSE)</f>
        <v>TE</v>
      </c>
      <c r="AU673" s="16" t="s">
        <v>1288</v>
      </c>
      <c r="AV673" s="23"/>
      <c r="AW673" s="128">
        <f>IF(AX673&gt;0,1,0)</f>
        <v>1</v>
      </c>
      <c r="AX673" s="128">
        <f>SUM(BA673,BM673,CU673)</f>
        <v>2</v>
      </c>
      <c r="AY673" s="128">
        <f>SUM(BB673,BN673,CV673)</f>
        <v>3481.4814814814808</v>
      </c>
      <c r="AZ673" s="128">
        <f>IF(BA673&gt;0,1,0)</f>
        <v>1</v>
      </c>
      <c r="BA673" s="128">
        <f>SUM(BC673+BF673+BI673)</f>
        <v>2</v>
      </c>
      <c r="BB673" s="128">
        <f>SUM(BE673,BH673,BK673)</f>
        <v>3481.4814814814808</v>
      </c>
      <c r="BC673" s="130">
        <f>IF(BD673&gt;0,1,0)</f>
        <v>0</v>
      </c>
      <c r="BD673" s="128">
        <f>VLOOKUP($E673,[2]Current!$A:$AC,26,FALSE)</f>
        <v>0</v>
      </c>
      <c r="BE673" s="128">
        <f>BD673/$AS673</f>
        <v>0</v>
      </c>
      <c r="BF673" s="130">
        <f>IF(BG673&gt;0,1,0)</f>
        <v>1</v>
      </c>
      <c r="BG673" s="175">
        <f>VLOOKUP($E673,[2]Current!$A:$AC,27,FALSE)</f>
        <v>122</v>
      </c>
      <c r="BH673" s="128">
        <f>BG673/$AS673</f>
        <v>155.81098339719026</v>
      </c>
      <c r="BI673" s="130">
        <f>IF(BJ673&gt;0,1,0)</f>
        <v>1</v>
      </c>
      <c r="BJ673" s="128">
        <f>VLOOKUP($E673,[2]Current!$A:$AC,28,FALSE)</f>
        <v>2604</v>
      </c>
      <c r="BK673" s="128">
        <f>BJ673/$AS673</f>
        <v>3325.6704980842906</v>
      </c>
      <c r="BL673" s="128">
        <f>IF(BM673&gt;0,1,0)</f>
        <v>0</v>
      </c>
      <c r="BM673" s="128">
        <f>SUM(BR673,BU673,BX673,CA673,CD673)</f>
        <v>0</v>
      </c>
      <c r="BN673" s="131">
        <f>SUM(BT673,BW673,BZ673,CC673,CF673)</f>
        <v>0</v>
      </c>
      <c r="BO673" s="128">
        <f>IF(BP673&gt;0,1,0)</f>
        <v>0</v>
      </c>
      <c r="BP673" s="128">
        <f>BM673+CJ673</f>
        <v>0</v>
      </c>
      <c r="BQ673" s="128">
        <f>BN673+CL673</f>
        <v>0</v>
      </c>
      <c r="BR673" s="130">
        <f>IF(BS673&gt;0,1,0)</f>
        <v>0</v>
      </c>
      <c r="BS673" s="128">
        <f>VLOOKUP($E673,[2]Current!$A:$AC,12,FALSE)</f>
        <v>0</v>
      </c>
      <c r="BT673" s="137">
        <f>BS673/$AS673</f>
        <v>0</v>
      </c>
      <c r="BU673" s="130">
        <f>IF(BV673&gt;0,1,0)</f>
        <v>0</v>
      </c>
      <c r="BV673" s="128">
        <f>VLOOKUP($E673,[2]Current!$A:$AC,13,FALSE)</f>
        <v>0</v>
      </c>
      <c r="BW673" s="128">
        <f>BV673/$AS673</f>
        <v>0</v>
      </c>
      <c r="BX673" s="130">
        <f>IF(BY673&gt;0,1,0)</f>
        <v>0</v>
      </c>
      <c r="BY673" s="128">
        <f>VLOOKUP($E673,[2]Current!$A:$AC,14,FALSE)</f>
        <v>0</v>
      </c>
      <c r="BZ673" s="128">
        <f>BY673/$AS673</f>
        <v>0</v>
      </c>
      <c r="CA673" s="130">
        <f>IF(CB673&gt;0,1,0)</f>
        <v>0</v>
      </c>
      <c r="CB673" s="128">
        <f>VLOOKUP($E673,[2]Current!$A:$AC,15,FALSE)</f>
        <v>0</v>
      </c>
      <c r="CC673" s="128">
        <f>CB673/$AS673</f>
        <v>0</v>
      </c>
      <c r="CD673" s="174">
        <f>IF(CE673&gt;0,1,0)</f>
        <v>0</v>
      </c>
      <c r="CE673" s="128">
        <f>VLOOKUP($E673,[2]Current!$A:$AC,16,FALSE)</f>
        <v>0</v>
      </c>
      <c r="CF673" s="128">
        <f>CE673/$AS673</f>
        <v>0</v>
      </c>
      <c r="CG673" s="18"/>
      <c r="CH673" s="18"/>
      <c r="CI673" s="18"/>
      <c r="CJ673" s="130">
        <f>IF(CK673&gt;0,1,0)</f>
        <v>0</v>
      </c>
      <c r="CK673" s="128">
        <f>VLOOKUP($E673,[2]Current!$A:$AC,18,FALSE)</f>
        <v>0</v>
      </c>
      <c r="CL673" s="128">
        <f>CK673/$AS673</f>
        <v>0</v>
      </c>
      <c r="CS673" s="130">
        <f>IF(CU673&gt;0,1,0)</f>
        <v>0</v>
      </c>
      <c r="CU673" s="128">
        <f>VLOOKUP($E673,[2]Current!$A:$AC,17,FALSE)</f>
        <v>0</v>
      </c>
      <c r="CV673" s="128">
        <f>CU673/$AS673</f>
        <v>0</v>
      </c>
      <c r="CW673" s="18"/>
      <c r="CX673" s="18"/>
      <c r="CY673" s="18"/>
      <c r="DF673" s="16" t="e">
        <f>VLOOKUP(K673,'[3]RNA Seq summary tables'!$V$3:$V$99,1,FALSE)</f>
        <v>#N/A</v>
      </c>
      <c r="DG673" s="126" t="s">
        <v>116</v>
      </c>
    </row>
    <row r="674" spans="2:288" ht="16" x14ac:dyDescent="0.2">
      <c r="B674" s="16">
        <v>2018</v>
      </c>
      <c r="C674" s="191">
        <v>43305</v>
      </c>
      <c r="D674" s="107" t="s">
        <v>1177</v>
      </c>
      <c r="E674" s="44" t="str">
        <f>CONCATENATE(T674,"-",U674,"-",C674)</f>
        <v>HW2-E4-43305</v>
      </c>
      <c r="F674" s="26" t="s">
        <v>227</v>
      </c>
      <c r="G674" s="192" t="s">
        <v>107</v>
      </c>
      <c r="H674" s="192"/>
      <c r="I674" s="192"/>
      <c r="J674" s="192">
        <v>1524</v>
      </c>
      <c r="K674" s="192">
        <v>2700</v>
      </c>
      <c r="M674" s="16"/>
      <c r="N674" s="16"/>
      <c r="O674" s="145" t="s">
        <v>119</v>
      </c>
      <c r="P674" s="18" t="s">
        <v>119</v>
      </c>
      <c r="Q674" s="18">
        <v>0</v>
      </c>
      <c r="R674" s="18">
        <f>IF(J674=J673,C674-C673,"")</f>
        <v>0</v>
      </c>
      <c r="S674" s="145"/>
      <c r="T674" s="145" t="s">
        <v>129</v>
      </c>
      <c r="U674" s="145" t="s">
        <v>206</v>
      </c>
      <c r="V674" s="145" t="s">
        <v>114</v>
      </c>
      <c r="W674" s="145"/>
      <c r="X674" s="145" t="s">
        <v>121</v>
      </c>
      <c r="Y674" s="145" t="s">
        <v>110</v>
      </c>
      <c r="Z674" s="145">
        <v>3</v>
      </c>
      <c r="AA674" s="145" t="s">
        <v>119</v>
      </c>
      <c r="AB674" s="145" t="s">
        <v>123</v>
      </c>
      <c r="AC674" s="145" t="s">
        <v>116</v>
      </c>
      <c r="AD674" s="145" t="s">
        <v>116</v>
      </c>
      <c r="AE674" s="145"/>
      <c r="AF674" s="145"/>
      <c r="AG674" s="145">
        <f>AH674-AI674</f>
        <v>75</v>
      </c>
      <c r="AH674" s="145">
        <v>142</v>
      </c>
      <c r="AI674" s="145">
        <v>67</v>
      </c>
      <c r="AJ674" s="145"/>
      <c r="AK674" s="145">
        <v>17</v>
      </c>
      <c r="AL674" s="145">
        <v>0</v>
      </c>
      <c r="AM674" s="145">
        <v>0</v>
      </c>
      <c r="AN674" s="145">
        <v>0</v>
      </c>
      <c r="AO674" s="16">
        <f>IF(SUM(AL674:AN674)&gt;0, 1,0)</f>
        <v>0</v>
      </c>
      <c r="AP674" s="16">
        <f>SUM(AL674:AN674)</f>
        <v>0</v>
      </c>
      <c r="AS674" s="16">
        <f>VLOOKUP(E674,'[1]Feces weights'!$D$1:$H$459,5,FALSE)</f>
        <v>0.78300000000000014</v>
      </c>
      <c r="AT674" s="16" t="str">
        <f>VLOOKUP(E674,[2]Current!$A$1:$W$435,7,FALSE)</f>
        <v>TE</v>
      </c>
      <c r="AU674" s="16" t="s">
        <v>1288</v>
      </c>
      <c r="AV674" s="23"/>
      <c r="AW674" s="128">
        <f>IF(AX674&gt;0,1,0)</f>
        <v>1</v>
      </c>
      <c r="AX674" s="128">
        <f>SUM(BA674,BM674,CU674)</f>
        <v>2</v>
      </c>
      <c r="AY674" s="128">
        <f>SUM(BB674,BN674,CV674)</f>
        <v>3481.4814814814808</v>
      </c>
      <c r="AZ674" s="128">
        <f>IF(BA674&gt;0,1,0)</f>
        <v>1</v>
      </c>
      <c r="BA674" s="128">
        <f>SUM(BC674+BF674+BI674)</f>
        <v>2</v>
      </c>
      <c r="BB674" s="128">
        <f>SUM(BE674,BH674,BK674)</f>
        <v>3481.4814814814808</v>
      </c>
      <c r="BC674" s="130">
        <f>IF(BD674&gt;0,1,0)</f>
        <v>0</v>
      </c>
      <c r="BD674" s="128">
        <f>VLOOKUP($E674,[2]Current!$A:$AC,26,FALSE)</f>
        <v>0</v>
      </c>
      <c r="BE674" s="128">
        <f>BD674/$AS674</f>
        <v>0</v>
      </c>
      <c r="BF674" s="130">
        <f>IF(BG674&gt;0,1,0)</f>
        <v>1</v>
      </c>
      <c r="BG674" s="175">
        <f>VLOOKUP($E674,[2]Current!$A:$AC,27,FALSE)</f>
        <v>122</v>
      </c>
      <c r="BH674" s="128">
        <f>BG674/$AS674</f>
        <v>155.81098339719026</v>
      </c>
      <c r="BI674" s="130">
        <f>IF(BJ674&gt;0,1,0)</f>
        <v>1</v>
      </c>
      <c r="BJ674" s="128">
        <f>VLOOKUP($E674,[2]Current!$A:$AC,28,FALSE)</f>
        <v>2604</v>
      </c>
      <c r="BK674" s="128">
        <f>BJ674/$AS674</f>
        <v>3325.6704980842906</v>
      </c>
      <c r="BL674" s="128">
        <f>IF(BM674&gt;0,1,0)</f>
        <v>0</v>
      </c>
      <c r="BM674" s="128">
        <f>SUM(BR674,BU674,BX674,CA674,CD674)</f>
        <v>0</v>
      </c>
      <c r="BN674" s="131">
        <f>SUM(BT674,BW674,BZ674,CC674,CF674)</f>
        <v>0</v>
      </c>
      <c r="BO674" s="128">
        <f>IF(BP674&gt;0,1,0)</f>
        <v>0</v>
      </c>
      <c r="BP674" s="128">
        <f>BM674+CJ674</f>
        <v>0</v>
      </c>
      <c r="BQ674" s="128">
        <f>BN674+CL674</f>
        <v>0</v>
      </c>
      <c r="BR674" s="130">
        <f>IF(BS674&gt;0,1,0)</f>
        <v>0</v>
      </c>
      <c r="BS674" s="128">
        <f>VLOOKUP($E674,[2]Current!$A:$AC,12,FALSE)</f>
        <v>0</v>
      </c>
      <c r="BT674" s="137">
        <f>BS674/$AS674</f>
        <v>0</v>
      </c>
      <c r="BU674" s="130">
        <f>IF(BV674&gt;0,1,0)</f>
        <v>0</v>
      </c>
      <c r="BV674" s="128">
        <f>VLOOKUP($E674,[2]Current!$A:$AC,13,FALSE)</f>
        <v>0</v>
      </c>
      <c r="BW674" s="128">
        <f>BV674/$AS674</f>
        <v>0</v>
      </c>
      <c r="BX674" s="130">
        <f>IF(BY674&gt;0,1,0)</f>
        <v>0</v>
      </c>
      <c r="BY674" s="128">
        <f>VLOOKUP($E674,[2]Current!$A:$AC,14,FALSE)</f>
        <v>0</v>
      </c>
      <c r="BZ674" s="128">
        <f>BY674/$AS674</f>
        <v>0</v>
      </c>
      <c r="CA674" s="130">
        <f>IF(CB674&gt;0,1,0)</f>
        <v>0</v>
      </c>
      <c r="CB674" s="128">
        <f>VLOOKUP($E674,[2]Current!$A:$AC,15,FALSE)</f>
        <v>0</v>
      </c>
      <c r="CC674" s="128">
        <f>CB674/$AS674</f>
        <v>0</v>
      </c>
      <c r="CD674" s="174">
        <f>IF(CE674&gt;0,1,0)</f>
        <v>0</v>
      </c>
      <c r="CE674" s="128">
        <f>VLOOKUP($E674,[2]Current!$A:$AC,16,FALSE)</f>
        <v>0</v>
      </c>
      <c r="CF674" s="128">
        <f>CE674/$AS674</f>
        <v>0</v>
      </c>
      <c r="CG674" s="18"/>
      <c r="CH674" s="18"/>
      <c r="CI674" s="18"/>
      <c r="CJ674" s="130">
        <f>IF(CK674&gt;0,1,0)</f>
        <v>0</v>
      </c>
      <c r="CK674" s="128">
        <f>VLOOKUP($E674,[2]Current!$A:$AC,18,FALSE)</f>
        <v>0</v>
      </c>
      <c r="CL674" s="128">
        <f>CK674/$AS674</f>
        <v>0</v>
      </c>
      <c r="CS674" s="130">
        <f>IF(CU674&gt;0,1,0)</f>
        <v>0</v>
      </c>
      <c r="CU674" s="128">
        <f>VLOOKUP($E674,[2]Current!$A:$AC,17,FALSE)</f>
        <v>0</v>
      </c>
      <c r="CV674" s="128">
        <f>CU674/$AS674</f>
        <v>0</v>
      </c>
      <c r="CW674" s="18"/>
      <c r="CX674" s="18"/>
      <c r="CY674" s="18"/>
      <c r="DG674" s="145" t="s">
        <v>116</v>
      </c>
      <c r="DT674" s="145" t="s">
        <v>123</v>
      </c>
      <c r="DU674" s="145"/>
      <c r="DX674" s="145"/>
      <c r="DY674" s="145"/>
      <c r="DZ674" s="16"/>
      <c r="EA674" s="16"/>
      <c r="EB674" s="16"/>
      <c r="EC674" s="16"/>
      <c r="ED674" s="16"/>
      <c r="EE674" s="16"/>
      <c r="EF674" s="16"/>
      <c r="JO674" s="18"/>
      <c r="JP674" s="18"/>
      <c r="JQ674" s="18"/>
      <c r="JR674" s="18"/>
      <c r="JS674" s="18"/>
      <c r="JT674" s="18"/>
      <c r="JU674" s="18"/>
      <c r="JV674" s="18"/>
      <c r="JW674" s="18"/>
      <c r="JX674" s="18"/>
      <c r="JY674" s="18"/>
      <c r="JZ674" s="18"/>
      <c r="KA674" s="18"/>
    </row>
    <row r="675" spans="2:288" ht="16" x14ac:dyDescent="0.2">
      <c r="B675" s="16">
        <v>2018</v>
      </c>
      <c r="C675" s="124">
        <v>43284</v>
      </c>
      <c r="D675" t="s">
        <v>906</v>
      </c>
      <c r="E675" s="37" t="str">
        <f>CONCATENATE(T675,"-",U675,"-",C675)</f>
        <v>PO2-H2-43284</v>
      </c>
      <c r="F675" s="16" t="s">
        <v>227</v>
      </c>
      <c r="G675" s="126" t="s">
        <v>107</v>
      </c>
      <c r="H675" s="126" t="s">
        <v>1127</v>
      </c>
      <c r="J675" s="126">
        <v>1526</v>
      </c>
      <c r="K675" s="126">
        <v>2542</v>
      </c>
      <c r="O675" s="126" t="s">
        <v>119</v>
      </c>
      <c r="P675" s="18" t="s">
        <v>119</v>
      </c>
      <c r="Q675" s="18">
        <v>0</v>
      </c>
      <c r="R675" s="18" t="str">
        <f>IF(J675=J674,C675-C674,"")</f>
        <v/>
      </c>
      <c r="T675" s="126" t="s">
        <v>127</v>
      </c>
      <c r="U675" s="126" t="s">
        <v>190</v>
      </c>
      <c r="V675" s="134" t="s">
        <v>114</v>
      </c>
      <c r="X675" s="126" t="s">
        <v>115</v>
      </c>
      <c r="Y675" s="126" t="s">
        <v>110</v>
      </c>
      <c r="Z675" s="126">
        <v>3</v>
      </c>
      <c r="AA675" s="126"/>
      <c r="AB675" s="126"/>
      <c r="AC675" s="126"/>
      <c r="AD675" s="126"/>
      <c r="AE675" s="126" t="s">
        <v>123</v>
      </c>
      <c r="AG675" s="16">
        <f>AH675-AI675</f>
        <v>76</v>
      </c>
      <c r="AH675" s="126">
        <v>152</v>
      </c>
      <c r="AI675" s="126">
        <v>76</v>
      </c>
      <c r="AK675" s="126">
        <v>18</v>
      </c>
      <c r="AL675" s="126">
        <v>0</v>
      </c>
      <c r="AM675" s="126">
        <v>0</v>
      </c>
      <c r="AN675" s="126">
        <v>0</v>
      </c>
      <c r="AO675" s="16">
        <f>IF(SUM(AL675:AN675)&gt;0,1,0)</f>
        <v>0</v>
      </c>
      <c r="AP675" s="18">
        <f>SUM(AL675:AN675)</f>
        <v>0</v>
      </c>
      <c r="AR675" s="16">
        <v>0.32100000000000017</v>
      </c>
      <c r="AS675" s="16">
        <f>VLOOKUP(E675,'[1]Feces weights'!$D$1:$H$459,5,FALSE)</f>
        <v>0.32100000000000017</v>
      </c>
      <c r="AT675" s="16" t="str">
        <f>VLOOKUP(E675,[2]Current!$A$1:$W$435,7,FALSE)</f>
        <v>LV</v>
      </c>
      <c r="AU675" s="16" t="s">
        <v>1288</v>
      </c>
      <c r="AW675" s="128">
        <f>IF(AX675&gt;0,1,0)</f>
        <v>1</v>
      </c>
      <c r="AX675" s="128">
        <f>SUM(BA675,BM675,CU675)</f>
        <v>2</v>
      </c>
      <c r="AY675" s="128">
        <f>SUM(BB675,BN675,CV675)</f>
        <v>177.57009345794381</v>
      </c>
      <c r="AZ675" s="128">
        <f>IF(BA675&gt;0,1,0)</f>
        <v>1</v>
      </c>
      <c r="BA675" s="128">
        <f>SUM(BC675+BF675+BI675)</f>
        <v>1</v>
      </c>
      <c r="BB675" s="128">
        <f>SUM(BE675,BH675,BK675)</f>
        <v>149.53271028037375</v>
      </c>
      <c r="BC675" s="130">
        <f>IF(BD675&gt;0,1,0)</f>
        <v>0</v>
      </c>
      <c r="BD675" s="128">
        <f>VLOOKUP($E675,[2]Current!$A:$AC,26,FALSE)</f>
        <v>0</v>
      </c>
      <c r="BE675" s="128">
        <f>BD675/$AS675</f>
        <v>0</v>
      </c>
      <c r="BF675" s="130">
        <f>IF(BG675&gt;0,1,0)</f>
        <v>1</v>
      </c>
      <c r="BG675" s="175">
        <f>VLOOKUP($E675,[2]Current!$A:$AC,27,FALSE)</f>
        <v>48</v>
      </c>
      <c r="BH675" s="128">
        <f>BG675/$AS675</f>
        <v>149.53271028037375</v>
      </c>
      <c r="BI675" s="130">
        <f>IF(BJ675&gt;0,1,0)</f>
        <v>0</v>
      </c>
      <c r="BJ675" s="128">
        <f>VLOOKUP($E675,[2]Current!$A:$AC,28,FALSE)</f>
        <v>0</v>
      </c>
      <c r="BK675" s="128">
        <f>BJ675/$AS675</f>
        <v>0</v>
      </c>
      <c r="BL675" s="128">
        <f>IF(BM675&gt;0,1,0)</f>
        <v>1</v>
      </c>
      <c r="BM675" s="128">
        <f>SUM(BR675,BU675,BX675,CA675,CD675)</f>
        <v>1</v>
      </c>
      <c r="BN675" s="131">
        <f>SUM(BT675,BW675,BZ675,CC675,CF675)</f>
        <v>28.037383177570078</v>
      </c>
      <c r="BO675" s="128">
        <f>IF(BP675&gt;0,1,0)</f>
        <v>1</v>
      </c>
      <c r="BP675" s="128">
        <f>BM675+CJ675</f>
        <v>1</v>
      </c>
      <c r="BQ675" s="128">
        <f>BN675+CL675</f>
        <v>28.037383177570078</v>
      </c>
      <c r="BR675" s="130">
        <f>IF(BS675&gt;0,1,0)</f>
        <v>1</v>
      </c>
      <c r="BS675" s="128">
        <f>VLOOKUP($E675,[2]Current!$A:$AC,12,FALSE)</f>
        <v>9</v>
      </c>
      <c r="BT675" s="137">
        <f>BS675/$AS675</f>
        <v>28.037383177570078</v>
      </c>
      <c r="BU675" s="130">
        <f>IF(BV675&gt;0,1,0)</f>
        <v>0</v>
      </c>
      <c r="BV675" s="128">
        <f>VLOOKUP($E675,[2]Current!$A:$AC,13,FALSE)</f>
        <v>0</v>
      </c>
      <c r="BW675" s="128">
        <f>BV675/$AS675</f>
        <v>0</v>
      </c>
      <c r="BX675" s="130">
        <f>IF(BY675&gt;0,1,0)</f>
        <v>0</v>
      </c>
      <c r="BY675" s="128">
        <f>VLOOKUP($E675,[2]Current!$A:$AC,14,FALSE)</f>
        <v>0</v>
      </c>
      <c r="BZ675" s="128">
        <f>BY675/$AS675</f>
        <v>0</v>
      </c>
      <c r="CA675" s="130">
        <f>IF(CB675&gt;0,1,0)</f>
        <v>0</v>
      </c>
      <c r="CB675" s="128">
        <f>VLOOKUP($E675,[2]Current!$A:$AC,15,FALSE)</f>
        <v>0</v>
      </c>
      <c r="CC675" s="128">
        <f>CB675/$AS675</f>
        <v>0</v>
      </c>
      <c r="CD675" s="174">
        <f>IF(CE675&gt;0,1,0)</f>
        <v>0</v>
      </c>
      <c r="CE675" s="128">
        <f>VLOOKUP($E675,[2]Current!$A:$AC,16,FALSE)</f>
        <v>0</v>
      </c>
      <c r="CF675" s="128">
        <f>CE675/$AS675</f>
        <v>0</v>
      </c>
      <c r="CG675" s="18"/>
      <c r="CH675" s="18"/>
      <c r="CI675" s="18"/>
      <c r="CJ675" s="130">
        <f>IF(CK675&gt;0,1,0)</f>
        <v>0</v>
      </c>
      <c r="CK675" s="128">
        <f>VLOOKUP($E675,[2]Current!$A:$AC,18,FALSE)</f>
        <v>0</v>
      </c>
      <c r="CL675" s="128">
        <f>CK675/$AS675</f>
        <v>0</v>
      </c>
      <c r="CS675" s="130">
        <f>IF(CU675&gt;0,1,0)</f>
        <v>0</v>
      </c>
      <c r="CU675" s="128">
        <f>VLOOKUP($E675,[2]Current!$A:$AC,17,FALSE)</f>
        <v>0</v>
      </c>
      <c r="CV675" s="128">
        <f>CU675/$AS675</f>
        <v>0</v>
      </c>
      <c r="CW675" s="18"/>
      <c r="CX675" s="18"/>
      <c r="CY675" s="18"/>
      <c r="DF675" s="16" t="e">
        <f>VLOOKUP(K675,'[3]RNA Seq summary tables'!$V$3:$V$99,1,FALSE)</f>
        <v>#N/A</v>
      </c>
      <c r="DG675" s="126" t="s">
        <v>116</v>
      </c>
    </row>
    <row r="676" spans="2:288" ht="16" x14ac:dyDescent="0.2">
      <c r="B676" s="16">
        <v>2018</v>
      </c>
      <c r="C676" s="124">
        <v>43285</v>
      </c>
      <c r="D676" t="s">
        <v>908</v>
      </c>
      <c r="E676" s="37" t="str">
        <f>CONCATENATE(T676,"-",U676,"-",C676)</f>
        <v>PO2-A4-43285</v>
      </c>
      <c r="F676" s="16" t="s">
        <v>227</v>
      </c>
      <c r="G676" s="126" t="s">
        <v>107</v>
      </c>
      <c r="H676" s="126"/>
      <c r="J676" s="126">
        <v>1528</v>
      </c>
      <c r="K676" s="126">
        <v>2548</v>
      </c>
      <c r="O676" s="126" t="s">
        <v>119</v>
      </c>
      <c r="P676" s="18" t="s">
        <v>119</v>
      </c>
      <c r="Q676" s="18">
        <v>0</v>
      </c>
      <c r="R676" s="18" t="str">
        <f>IF(J676=J675,C676-C675,"")</f>
        <v/>
      </c>
      <c r="T676" s="126" t="s">
        <v>127</v>
      </c>
      <c r="U676" s="126" t="s">
        <v>134</v>
      </c>
      <c r="V676" s="136" t="s">
        <v>114</v>
      </c>
      <c r="X676" s="126" t="s">
        <v>115</v>
      </c>
      <c r="Y676" s="126" t="s">
        <v>110</v>
      </c>
      <c r="Z676" s="126">
        <v>3</v>
      </c>
      <c r="AA676" s="126"/>
      <c r="AB676" s="126"/>
      <c r="AC676" s="126"/>
      <c r="AD676" s="126"/>
      <c r="AE676" s="126" t="s">
        <v>116</v>
      </c>
      <c r="AG676" s="16">
        <f>AH676-AI676</f>
        <v>85</v>
      </c>
      <c r="AH676" s="126">
        <v>153</v>
      </c>
      <c r="AI676" s="126">
        <v>68</v>
      </c>
      <c r="AK676" s="126">
        <v>18.5</v>
      </c>
      <c r="AL676" s="126">
        <v>0</v>
      </c>
      <c r="AM676" s="126">
        <v>0</v>
      </c>
      <c r="AN676" s="126">
        <v>0</v>
      </c>
      <c r="AO676" s="16">
        <f>IF(SUM(AL676:AN676)&gt;0,1,0)</f>
        <v>0</v>
      </c>
      <c r="AP676" s="18">
        <f>SUM(AL676:AN676)</f>
        <v>0</v>
      </c>
      <c r="AR676" s="16">
        <v>1.1000000000000121E-2</v>
      </c>
      <c r="AS676" s="16">
        <f>VLOOKUP(E676,'[1]Feces weights'!$D$1:$H$459,5,FALSE)</f>
        <v>1.1000000000000121E-2</v>
      </c>
      <c r="AT676" s="16" t="str">
        <f>VLOOKUP(E676,[2]Current!$A$1:$W$435,7,FALSE)</f>
        <v>LV</v>
      </c>
      <c r="AU676" s="16" t="s">
        <v>1288</v>
      </c>
      <c r="AW676" s="128">
        <f>IF(AX676&gt;0,1,0)</f>
        <v>1</v>
      </c>
      <c r="AX676" s="128">
        <f>SUM(BA676,BM676,CU676)</f>
        <v>1</v>
      </c>
      <c r="AY676" s="128">
        <f>SUM(BB676,BN676,CV676)</f>
        <v>3999.9999999999559</v>
      </c>
      <c r="AZ676" s="128">
        <f>IF(BA676&gt;0,1,0)</f>
        <v>1</v>
      </c>
      <c r="BA676" s="128">
        <f>SUM(BC676+BF676+BI676)</f>
        <v>1</v>
      </c>
      <c r="BB676" s="128">
        <f>SUM(BE676,BH676,BK676)</f>
        <v>3999.9999999999559</v>
      </c>
      <c r="BC676" s="130">
        <f>IF(BD676&gt;0,1,0)</f>
        <v>0</v>
      </c>
      <c r="BD676" s="128">
        <f>VLOOKUP($E676,[2]Current!$A:$AC,26,FALSE)</f>
        <v>0</v>
      </c>
      <c r="BE676" s="128">
        <f>BD676/$AS676</f>
        <v>0</v>
      </c>
      <c r="BF676" s="130">
        <f>IF(BG676&gt;0,1,0)</f>
        <v>1</v>
      </c>
      <c r="BG676" s="175">
        <f>VLOOKUP($E676,[2]Current!$A:$AC,27,FALSE)</f>
        <v>44</v>
      </c>
      <c r="BH676" s="128">
        <f>BG676/$AS676</f>
        <v>3999.9999999999559</v>
      </c>
      <c r="BI676" s="130">
        <f>IF(BJ676&gt;0,1,0)</f>
        <v>0</v>
      </c>
      <c r="BJ676" s="128">
        <f>VLOOKUP($E676,[2]Current!$A:$AC,28,FALSE)</f>
        <v>0</v>
      </c>
      <c r="BK676" s="128">
        <f>BJ676/$AS676</f>
        <v>0</v>
      </c>
      <c r="BL676" s="128">
        <f>IF(BM676&gt;0,1,0)</f>
        <v>0</v>
      </c>
      <c r="BM676" s="128">
        <f>SUM(BR676,BU676,BX676,CA676,CD676)</f>
        <v>0</v>
      </c>
      <c r="BN676" s="131">
        <f>SUM(BT676,BW676,BZ676,CC676,CF676)</f>
        <v>0</v>
      </c>
      <c r="BO676" s="128">
        <f>IF(BP676&gt;0,1,0)</f>
        <v>0</v>
      </c>
      <c r="BP676" s="128">
        <f>BM676+CJ676</f>
        <v>0</v>
      </c>
      <c r="BQ676" s="128">
        <f>BN676+CL676</f>
        <v>0</v>
      </c>
      <c r="BR676" s="130">
        <f>IF(BS676&gt;0,1,0)</f>
        <v>0</v>
      </c>
      <c r="BS676" s="128">
        <f>VLOOKUP($E676,[2]Current!$A:$AC,12,FALSE)</f>
        <v>0</v>
      </c>
      <c r="BT676" s="137">
        <f>BS676/$AS676</f>
        <v>0</v>
      </c>
      <c r="BU676" s="130">
        <f>IF(BV676&gt;0,1,0)</f>
        <v>0</v>
      </c>
      <c r="BV676" s="128">
        <f>VLOOKUP($E676,[2]Current!$A:$AC,13,FALSE)</f>
        <v>0</v>
      </c>
      <c r="BW676" s="128">
        <f>BV676/$AS676</f>
        <v>0</v>
      </c>
      <c r="BX676" s="130">
        <f>IF(BY676&gt;0,1,0)</f>
        <v>0</v>
      </c>
      <c r="BY676" s="128">
        <f>VLOOKUP($E676,[2]Current!$A:$AC,14,FALSE)</f>
        <v>0</v>
      </c>
      <c r="BZ676" s="128">
        <f>BY676/$AS676</f>
        <v>0</v>
      </c>
      <c r="CA676" s="130">
        <f>IF(CB676&gt;0,1,0)</f>
        <v>0</v>
      </c>
      <c r="CB676" s="128">
        <f>VLOOKUP($E676,[2]Current!$A:$AC,15,FALSE)</f>
        <v>0</v>
      </c>
      <c r="CC676" s="128">
        <f>CB676/$AS676</f>
        <v>0</v>
      </c>
      <c r="CD676" s="174">
        <f>IF(CE676&gt;0,1,0)</f>
        <v>0</v>
      </c>
      <c r="CE676" s="128">
        <f>VLOOKUP($E676,[2]Current!$A:$AC,16,FALSE)</f>
        <v>0</v>
      </c>
      <c r="CF676" s="128">
        <f>CE676/$AS676</f>
        <v>0</v>
      </c>
      <c r="CG676" s="18"/>
      <c r="CH676" s="18"/>
      <c r="CI676" s="18"/>
      <c r="CJ676" s="130">
        <f>IF(CK676&gt;0,1,0)</f>
        <v>0</v>
      </c>
      <c r="CK676" s="128">
        <f>VLOOKUP($E676,[2]Current!$A:$AC,18,FALSE)</f>
        <v>0</v>
      </c>
      <c r="CL676" s="128">
        <f>CK676/$AS676</f>
        <v>0</v>
      </c>
      <c r="CS676" s="130">
        <f>IF(CU676&gt;0,1,0)</f>
        <v>0</v>
      </c>
      <c r="CU676" s="128">
        <f>VLOOKUP($E676,[2]Current!$A:$AC,17,FALSE)</f>
        <v>0</v>
      </c>
      <c r="CV676" s="128">
        <f>CU676/$AS676</f>
        <v>0</v>
      </c>
      <c r="CW676" s="18"/>
      <c r="CX676" s="18"/>
      <c r="CY676" s="18"/>
      <c r="DF676" s="16" t="e">
        <f>VLOOKUP(K676,'[3]RNA Seq summary tables'!$V$3:$V$99,1,FALSE)</f>
        <v>#N/A</v>
      </c>
      <c r="DG676" s="126" t="s">
        <v>116</v>
      </c>
    </row>
    <row r="677" spans="2:288" ht="16" x14ac:dyDescent="0.2">
      <c r="B677" s="16">
        <v>2018</v>
      </c>
      <c r="C677" s="124">
        <v>43286</v>
      </c>
      <c r="D677" t="s">
        <v>927</v>
      </c>
      <c r="E677" s="37" t="str">
        <f>CONCATENATE(T677,"-",U677,"-",C677)</f>
        <v>SP2-B5-43286</v>
      </c>
      <c r="F677" s="16" t="s">
        <v>227</v>
      </c>
      <c r="G677" s="126" t="s">
        <v>107</v>
      </c>
      <c r="H677" s="126"/>
      <c r="J677" s="126">
        <v>1530</v>
      </c>
      <c r="K677" s="126">
        <v>2553</v>
      </c>
      <c r="O677" s="126" t="s">
        <v>119</v>
      </c>
      <c r="P677" s="18" t="s">
        <v>119</v>
      </c>
      <c r="Q677" s="18">
        <v>0</v>
      </c>
      <c r="R677" s="18" t="str">
        <f>IF(J677=J676,C677-C676,"")</f>
        <v/>
      </c>
      <c r="T677" s="126" t="s">
        <v>137</v>
      </c>
      <c r="U677" s="126" t="s">
        <v>160</v>
      </c>
      <c r="V677" s="126" t="s">
        <v>114</v>
      </c>
      <c r="X677" s="126" t="s">
        <v>121</v>
      </c>
      <c r="Y677" s="126" t="s">
        <v>110</v>
      </c>
      <c r="Z677" s="126">
        <v>3</v>
      </c>
      <c r="AA677" s="126" t="s">
        <v>119</v>
      </c>
      <c r="AB677" s="126" t="s">
        <v>116</v>
      </c>
      <c r="AC677" s="126" t="s">
        <v>123</v>
      </c>
      <c r="AD677" s="126"/>
      <c r="AE677" s="126"/>
      <c r="AG677" s="16">
        <f>AH677-AI677</f>
        <v>84</v>
      </c>
      <c r="AH677" s="126">
        <v>162</v>
      </c>
      <c r="AI677" s="126">
        <v>78</v>
      </c>
      <c r="AK677" s="126">
        <v>20.5</v>
      </c>
      <c r="AL677" s="126">
        <v>1</v>
      </c>
      <c r="AM677" s="126">
        <v>0</v>
      </c>
      <c r="AN677" s="126">
        <v>0</v>
      </c>
      <c r="AO677" s="16">
        <f>IF(SUM(AL677:AN677)&gt;0,1,0)</f>
        <v>1</v>
      </c>
      <c r="AP677" s="18">
        <f>SUM(AL677:AN677)</f>
        <v>1</v>
      </c>
      <c r="AR677" s="16">
        <v>0.13400000000000012</v>
      </c>
      <c r="AS677" s="16">
        <f>VLOOKUP(E677,'[1]Feces weights'!$D$1:$H$459,5,FALSE)</f>
        <v>0.13400000000000012</v>
      </c>
      <c r="AT677" s="16" t="str">
        <f>VLOOKUP(E677,[2]Current!$A$1:$W$435,7,FALSE)</f>
        <v>DP</v>
      </c>
      <c r="AU677" s="16" t="s">
        <v>1288</v>
      </c>
      <c r="AW677" s="128">
        <f>IF(AX677&gt;0,1,0)</f>
        <v>1</v>
      </c>
      <c r="AX677" s="128">
        <f>SUM(BA677,BM677,CU677)</f>
        <v>20</v>
      </c>
      <c r="AY677" s="128">
        <f>SUM(BB677,BN677,CV677)</f>
        <v>21097.014925373114</v>
      </c>
      <c r="AZ677" s="128">
        <f>IF(BA677&gt;0,1,0)</f>
        <v>1</v>
      </c>
      <c r="BA677" s="128">
        <f>SUM(BC677+BF677+BI677)</f>
        <v>3</v>
      </c>
      <c r="BB677" s="128">
        <f>SUM(BE677,BH677,BK677)</f>
        <v>20970.149253731324</v>
      </c>
      <c r="BC677" s="130">
        <f>IF(BD677&gt;0,1,0)</f>
        <v>1</v>
      </c>
      <c r="BD677" s="128">
        <f>VLOOKUP($E677,[2]Current!$A:$AC,26,FALSE)</f>
        <v>30</v>
      </c>
      <c r="BE677" s="128">
        <f>BD677/$AS677</f>
        <v>223.88059701492517</v>
      </c>
      <c r="BF677" s="130">
        <f>IF(BG677&gt;0,1,0)</f>
        <v>1</v>
      </c>
      <c r="BG677" s="175">
        <f>VLOOKUP($E677,[2]Current!$A:$AC,27,FALSE)</f>
        <v>2758</v>
      </c>
      <c r="BH677" s="128">
        <f>BG677/$AS677</f>
        <v>20582.089552238787</v>
      </c>
      <c r="BI677" s="130">
        <f>IF(BJ677&gt;0,1,0)</f>
        <v>1</v>
      </c>
      <c r="BJ677" s="128">
        <f>VLOOKUP($E677,[2]Current!$A:$AC,28,FALSE)</f>
        <v>22</v>
      </c>
      <c r="BK677" s="128">
        <f>BJ677/$AS677</f>
        <v>164.17910447761179</v>
      </c>
      <c r="BL677" s="128">
        <f>IF(BM677&gt;0,1,0)</f>
        <v>0</v>
      </c>
      <c r="BM677" s="128">
        <f>SUM(BR677,BU677,BX677,CA677,CD677)</f>
        <v>0</v>
      </c>
      <c r="BN677" s="131">
        <f>SUM(BT677,BW677,BZ677,CC677,CF677)</f>
        <v>0</v>
      </c>
      <c r="BO677" s="128">
        <f>IF(BP677&gt;0,1,0)</f>
        <v>0</v>
      </c>
      <c r="BP677" s="128">
        <f>BM677+CJ677</f>
        <v>0</v>
      </c>
      <c r="BQ677" s="128">
        <f>BN677+CL677</f>
        <v>0</v>
      </c>
      <c r="BR677" s="130">
        <f>IF(BS677&gt;0,1,0)</f>
        <v>0</v>
      </c>
      <c r="BS677" s="128">
        <f>VLOOKUP($E677,[2]Current!$A:$AC,12,FALSE)</f>
        <v>0</v>
      </c>
      <c r="BT677" s="137">
        <f>BS677/$AS677</f>
        <v>0</v>
      </c>
      <c r="BU677" s="130">
        <f>IF(BV677&gt;0,1,0)</f>
        <v>0</v>
      </c>
      <c r="BV677" s="128">
        <f>VLOOKUP($E677,[2]Current!$A:$AC,13,FALSE)</f>
        <v>0</v>
      </c>
      <c r="BW677" s="128">
        <f>BV677/$AS677</f>
        <v>0</v>
      </c>
      <c r="BX677" s="130">
        <f>IF(BY677&gt;0,1,0)</f>
        <v>0</v>
      </c>
      <c r="BY677" s="128">
        <f>VLOOKUP($E677,[2]Current!$A:$AC,14,FALSE)</f>
        <v>0</v>
      </c>
      <c r="BZ677" s="128">
        <f>BY677/$AS677</f>
        <v>0</v>
      </c>
      <c r="CA677" s="130">
        <f>IF(CB677&gt;0,1,0)</f>
        <v>0</v>
      </c>
      <c r="CB677" s="128">
        <f>VLOOKUP($E677,[2]Current!$A:$AC,15,FALSE)</f>
        <v>0</v>
      </c>
      <c r="CC677" s="128">
        <f>CB677/$AS677</f>
        <v>0</v>
      </c>
      <c r="CD677" s="174">
        <f>IF(CE677&gt;0,1,0)</f>
        <v>0</v>
      </c>
      <c r="CE677" s="128">
        <f>VLOOKUP($E677,[2]Current!$A:$AC,16,FALSE)</f>
        <v>0</v>
      </c>
      <c r="CF677" s="128">
        <f>CE677/$AS677</f>
        <v>0</v>
      </c>
      <c r="CG677" s="18"/>
      <c r="CH677" s="18"/>
      <c r="CI677" s="18"/>
      <c r="CJ677" s="130">
        <f>IF(CK677&gt;0,1,0)</f>
        <v>0</v>
      </c>
      <c r="CK677" s="128">
        <f>VLOOKUP($E677,[2]Current!$A:$AC,18,FALSE)</f>
        <v>0</v>
      </c>
      <c r="CL677" s="128">
        <f>CK677/$AS677</f>
        <v>0</v>
      </c>
      <c r="CS677" s="130">
        <f>IF(CU677&gt;0,1,0)</f>
        <v>1</v>
      </c>
      <c r="CU677" s="128">
        <f>VLOOKUP($E677,[2]Current!$A:$AC,17,FALSE)</f>
        <v>17</v>
      </c>
      <c r="CV677" s="128">
        <f>CU677/$AS677</f>
        <v>126.86567164179093</v>
      </c>
      <c r="CW677" s="18"/>
      <c r="CX677" s="18"/>
      <c r="CY677" s="18"/>
      <c r="DF677" s="16" t="e">
        <f>VLOOKUP(K677,'[3]RNA Seq summary tables'!$V$3:$V$99,1,FALSE)</f>
        <v>#N/A</v>
      </c>
      <c r="DG677" s="126" t="s">
        <v>116</v>
      </c>
    </row>
    <row r="678" spans="2:288" ht="16" x14ac:dyDescent="0.2">
      <c r="B678" s="16">
        <v>2018</v>
      </c>
      <c r="C678" s="124">
        <v>43301</v>
      </c>
      <c r="D678" t="s">
        <v>1024</v>
      </c>
      <c r="E678" s="37" t="str">
        <f>CONCATENATE(T678,"-",U678,"-",C678)</f>
        <v>SP2-A4-43301</v>
      </c>
      <c r="F678" s="16" t="s">
        <v>227</v>
      </c>
      <c r="G678" s="126" t="s">
        <v>107</v>
      </c>
      <c r="H678" s="126"/>
      <c r="J678" s="126">
        <v>1530</v>
      </c>
      <c r="K678" s="126">
        <v>2646</v>
      </c>
      <c r="O678" s="126" t="s">
        <v>119</v>
      </c>
      <c r="P678" s="18" t="s">
        <v>119</v>
      </c>
      <c r="Q678" s="18">
        <v>0</v>
      </c>
      <c r="R678" s="18">
        <f>IF(J678=J677,C678-C677,"")</f>
        <v>15</v>
      </c>
      <c r="T678" s="126" t="s">
        <v>137</v>
      </c>
      <c r="U678" s="126" t="s">
        <v>134</v>
      </c>
      <c r="V678" s="126" t="s">
        <v>114</v>
      </c>
      <c r="X678" s="126" t="s">
        <v>121</v>
      </c>
      <c r="Y678" s="126" t="s">
        <v>110</v>
      </c>
      <c r="Z678" s="126">
        <v>3</v>
      </c>
      <c r="AA678" s="126" t="s">
        <v>161</v>
      </c>
      <c r="AB678" s="126" t="s">
        <v>116</v>
      </c>
      <c r="AC678" s="126" t="s">
        <v>123</v>
      </c>
      <c r="AD678" s="126"/>
      <c r="AE678" s="126"/>
      <c r="AG678" s="40">
        <f>AH678-AI678</f>
        <v>88</v>
      </c>
      <c r="AH678" s="126">
        <v>165</v>
      </c>
      <c r="AI678" s="126">
        <v>77</v>
      </c>
      <c r="AK678" s="126">
        <v>19.5</v>
      </c>
      <c r="AL678" s="126">
        <v>1</v>
      </c>
      <c r="AM678" s="126">
        <v>0</v>
      </c>
      <c r="AN678" s="126">
        <v>0</v>
      </c>
      <c r="AO678" s="16">
        <f>IF(SUM(AL678:AN678)&gt;0,1,0)</f>
        <v>1</v>
      </c>
      <c r="AP678" s="18">
        <f>SUM(AL678:AN678)</f>
        <v>1</v>
      </c>
      <c r="AR678" s="16">
        <v>0.6010000000000002</v>
      </c>
      <c r="AS678" s="16">
        <f>VLOOKUP(E678,'[1]Feces weights'!$D$1:$H$459,5,FALSE)</f>
        <v>0.6010000000000002</v>
      </c>
      <c r="AT678" s="16" t="str">
        <f>VLOOKUP(E678,[2]Current!$A$1:$W$435,7,FALSE)</f>
        <v>LV</v>
      </c>
      <c r="AU678" s="16" t="s">
        <v>1288</v>
      </c>
      <c r="AV678" s="23">
        <v>1</v>
      </c>
      <c r="AW678" s="128">
        <f>IF(AX678&gt;0,1,0)</f>
        <v>0</v>
      </c>
      <c r="AX678" s="128">
        <f>SUM(BA678,BM678,CU678)</f>
        <v>0</v>
      </c>
      <c r="AY678" s="128">
        <f>SUM(BB678,BN678,CV678)</f>
        <v>0</v>
      </c>
      <c r="AZ678" s="128">
        <f>IF(BA678&gt;0,1,0)</f>
        <v>0</v>
      </c>
      <c r="BA678" s="128">
        <f>SUM(BC678+BF678+BI678)</f>
        <v>0</v>
      </c>
      <c r="BB678" s="128">
        <f>SUM(BE678,BH678,BK678)</f>
        <v>0</v>
      </c>
      <c r="BC678" s="130">
        <f>IF(BD678&gt;0,1,0)</f>
        <v>0</v>
      </c>
      <c r="BD678" s="128">
        <f>VLOOKUP($E678,[2]Current!$A:$AC,26,FALSE)</f>
        <v>0</v>
      </c>
      <c r="BE678" s="128">
        <f>BD678/$AS678</f>
        <v>0</v>
      </c>
      <c r="BF678" s="130">
        <f>IF(BG678&gt;0,1,0)</f>
        <v>0</v>
      </c>
      <c r="BG678" s="175">
        <f>VLOOKUP($E678,[2]Current!$A:$AC,27,FALSE)</f>
        <v>0</v>
      </c>
      <c r="BH678" s="128">
        <f>BG678/$AS678</f>
        <v>0</v>
      </c>
      <c r="BI678" s="130">
        <f>IF(BJ678&gt;0,1,0)</f>
        <v>0</v>
      </c>
      <c r="BJ678" s="128">
        <f>VLOOKUP($E678,[2]Current!$A:$AC,28,FALSE)</f>
        <v>0</v>
      </c>
      <c r="BK678" s="128">
        <f>BJ678/$AS678</f>
        <v>0</v>
      </c>
      <c r="BL678" s="128">
        <f>IF(BM678&gt;0,1,0)</f>
        <v>0</v>
      </c>
      <c r="BM678" s="128">
        <f>SUM(BR678,BU678,BX678,CA678,CD678)</f>
        <v>0</v>
      </c>
      <c r="BN678" s="131">
        <f>SUM(BT678,BW678,BZ678,CC678,CF678)</f>
        <v>0</v>
      </c>
      <c r="BO678" s="128">
        <f>IF(BP678&gt;0,1,0)</f>
        <v>0</v>
      </c>
      <c r="BP678" s="128">
        <f>BM678+CJ678</f>
        <v>0</v>
      </c>
      <c r="BQ678" s="128">
        <f>BN678+CL678</f>
        <v>0</v>
      </c>
      <c r="BR678" s="130">
        <f>IF(BS678&gt;0,1,0)</f>
        <v>0</v>
      </c>
      <c r="BS678" s="128">
        <f>VLOOKUP($E678,[2]Current!$A:$AC,12,FALSE)</f>
        <v>0</v>
      </c>
      <c r="BT678" s="137">
        <f>BS678/$AS678</f>
        <v>0</v>
      </c>
      <c r="BU678" s="130">
        <f>IF(BV678&gt;0,1,0)</f>
        <v>0</v>
      </c>
      <c r="BV678" s="128">
        <f>VLOOKUP($E678,[2]Current!$A:$AC,13,FALSE)</f>
        <v>0</v>
      </c>
      <c r="BW678" s="128">
        <f>BV678/$AS678</f>
        <v>0</v>
      </c>
      <c r="BX678" s="130">
        <f>IF(BY678&gt;0,1,0)</f>
        <v>0</v>
      </c>
      <c r="BY678" s="128">
        <f>VLOOKUP($E678,[2]Current!$A:$AC,14,FALSE)</f>
        <v>0</v>
      </c>
      <c r="BZ678" s="128">
        <f>BY678/$AS678</f>
        <v>0</v>
      </c>
      <c r="CA678" s="130">
        <f>IF(CB678&gt;0,1,0)</f>
        <v>0</v>
      </c>
      <c r="CB678" s="128">
        <f>VLOOKUP($E678,[2]Current!$A:$AC,15,FALSE)</f>
        <v>0</v>
      </c>
      <c r="CC678" s="128">
        <f>CB678/$AS678</f>
        <v>0</v>
      </c>
      <c r="CD678" s="174">
        <f>IF(CE678&gt;0,1,0)</f>
        <v>0</v>
      </c>
      <c r="CE678" s="128">
        <f>VLOOKUP($E678,[2]Current!$A:$AC,16,FALSE)</f>
        <v>0</v>
      </c>
      <c r="CF678" s="128">
        <f>CE678/$AS678</f>
        <v>0</v>
      </c>
      <c r="CG678" s="18"/>
      <c r="CH678" s="18"/>
      <c r="CI678" s="18"/>
      <c r="CJ678" s="130">
        <f>IF(CK678&gt;0,1,0)</f>
        <v>0</v>
      </c>
      <c r="CK678" s="128">
        <f>VLOOKUP($E678,[2]Current!$A:$AC,18,FALSE)</f>
        <v>0</v>
      </c>
      <c r="CL678" s="128">
        <f>CK678/$AS678</f>
        <v>0</v>
      </c>
      <c r="CS678" s="130">
        <f>IF(CU678&gt;0,1,0)</f>
        <v>0</v>
      </c>
      <c r="CU678" s="128">
        <f>VLOOKUP($E678,[2]Current!$A:$AC,17,FALSE)</f>
        <v>0</v>
      </c>
      <c r="CV678" s="128">
        <f>CU678/$AS678</f>
        <v>0</v>
      </c>
      <c r="CW678" s="18"/>
      <c r="CX678" s="18"/>
      <c r="CY678" s="18"/>
      <c r="DF678" s="16" t="e">
        <f>VLOOKUP(K678,'[3]RNA Seq summary tables'!$V$3:$V$99,1,FALSE)</f>
        <v>#N/A</v>
      </c>
      <c r="DG678" s="126" t="s">
        <v>116</v>
      </c>
    </row>
    <row r="679" spans="2:288" ht="16" x14ac:dyDescent="0.2">
      <c r="B679" s="16">
        <v>2018</v>
      </c>
      <c r="C679" s="147">
        <v>43313</v>
      </c>
      <c r="D679" t="s">
        <v>1198</v>
      </c>
      <c r="E679" s="20" t="str">
        <f>CONCATENATE(T679,"-",U679,"-",C679)</f>
        <v>SP2-A5-43313</v>
      </c>
      <c r="F679" s="16" t="s">
        <v>227</v>
      </c>
      <c r="G679" s="145" t="s">
        <v>107</v>
      </c>
      <c r="H679" s="145"/>
      <c r="I679" s="145"/>
      <c r="J679" s="145">
        <v>1530</v>
      </c>
      <c r="K679" s="145">
        <v>2713</v>
      </c>
      <c r="M679" s="16"/>
      <c r="N679" s="16"/>
      <c r="O679" s="145" t="s">
        <v>119</v>
      </c>
      <c r="P679" s="18" t="s">
        <v>119</v>
      </c>
      <c r="Q679" s="18">
        <v>0</v>
      </c>
      <c r="R679" s="18">
        <f>IF(J679=J678,C679-C678,"")</f>
        <v>12</v>
      </c>
      <c r="S679" s="145"/>
      <c r="T679" s="145" t="s">
        <v>137</v>
      </c>
      <c r="U679" s="145" t="s">
        <v>167</v>
      </c>
      <c r="V679" s="145" t="s">
        <v>114</v>
      </c>
      <c r="W679" s="145"/>
      <c r="X679" s="145" t="s">
        <v>121</v>
      </c>
      <c r="Y679" s="145" t="s">
        <v>110</v>
      </c>
      <c r="Z679" s="145">
        <v>3</v>
      </c>
      <c r="AA679" s="145" t="s">
        <v>161</v>
      </c>
      <c r="AB679" s="145" t="s">
        <v>116</v>
      </c>
      <c r="AC679" s="145" t="s">
        <v>123</v>
      </c>
      <c r="AD679" s="145" t="s">
        <v>116</v>
      </c>
      <c r="AE679" s="145"/>
      <c r="AF679" s="145"/>
      <c r="AG679" s="145">
        <f>AH679-AI679</f>
        <v>82</v>
      </c>
      <c r="AH679" s="145">
        <v>160</v>
      </c>
      <c r="AI679" s="145">
        <v>78</v>
      </c>
      <c r="AJ679" s="145"/>
      <c r="AK679" s="145">
        <v>19.5</v>
      </c>
      <c r="AL679" s="145">
        <v>1</v>
      </c>
      <c r="AM679" s="145">
        <v>0</v>
      </c>
      <c r="AN679" s="145">
        <v>0</v>
      </c>
      <c r="AO679" s="16">
        <f>IF(SUM(AL679:AN679)&gt;0, 1,0)</f>
        <v>1</v>
      </c>
      <c r="AP679" s="16">
        <f>SUM(AL679:AN679)</f>
        <v>1</v>
      </c>
      <c r="AS679" s="16">
        <f>VLOOKUP(E679,'[1]Feces weights'!$D$1:$H$459,5,FALSE)</f>
        <v>0.3600000000000001</v>
      </c>
      <c r="AT679" s="16" t="e">
        <f>VLOOKUP(E679,[2]Current!$A$1:$W$435,7,FALSE)</f>
        <v>#N/A</v>
      </c>
      <c r="BG679" s="23"/>
      <c r="BT679" s="77"/>
      <c r="CD679" s="77"/>
      <c r="DG679" s="145" t="s">
        <v>116</v>
      </c>
      <c r="DT679" s="145" t="s">
        <v>116</v>
      </c>
      <c r="DU679" s="145"/>
      <c r="DX679" s="145"/>
      <c r="DY679" s="145"/>
      <c r="DZ679" s="16"/>
      <c r="EA679" s="16"/>
      <c r="EB679" s="16"/>
      <c r="EC679" s="16"/>
      <c r="ED679" s="16"/>
      <c r="EE679" s="16"/>
      <c r="EF679" s="16"/>
      <c r="JO679" s="18"/>
      <c r="JP679" s="18"/>
      <c r="JQ679" s="18"/>
      <c r="JR679" s="18"/>
      <c r="JS679" s="18"/>
      <c r="JT679" s="18"/>
      <c r="JU679" s="18"/>
      <c r="JV679" s="18"/>
      <c r="JW679" s="18"/>
      <c r="JX679" s="18"/>
      <c r="JY679" s="18"/>
      <c r="JZ679" s="18"/>
      <c r="KA679" s="18"/>
    </row>
    <row r="680" spans="2:288" ht="16" x14ac:dyDescent="0.2">
      <c r="B680" s="16">
        <v>2018</v>
      </c>
      <c r="C680" s="124">
        <v>43286</v>
      </c>
      <c r="D680" t="s">
        <v>914</v>
      </c>
      <c r="E680" s="37" t="str">
        <f>CONCATENATE(T680,"-",U680,"-",C680)</f>
        <v>SP2-E3-43286</v>
      </c>
      <c r="F680" s="16" t="s">
        <v>227</v>
      </c>
      <c r="G680" s="126" t="s">
        <v>107</v>
      </c>
      <c r="H680" s="126"/>
      <c r="J680" s="126">
        <v>1532</v>
      </c>
      <c r="K680" s="126">
        <v>2555</v>
      </c>
      <c r="O680" s="126" t="s">
        <v>119</v>
      </c>
      <c r="P680" s="18" t="s">
        <v>119</v>
      </c>
      <c r="Q680" s="18">
        <v>0</v>
      </c>
      <c r="R680" s="18" t="str">
        <f>IF(J680=J679,C680-C679,"")</f>
        <v/>
      </c>
      <c r="T680" s="126" t="s">
        <v>137</v>
      </c>
      <c r="U680" s="126" t="s">
        <v>225</v>
      </c>
      <c r="V680" s="126" t="s">
        <v>114</v>
      </c>
      <c r="X680" s="126" t="s">
        <v>115</v>
      </c>
      <c r="Y680" s="126" t="s">
        <v>110</v>
      </c>
      <c r="Z680" s="126">
        <v>3</v>
      </c>
      <c r="AA680" s="126"/>
      <c r="AB680" s="126"/>
      <c r="AC680" s="126"/>
      <c r="AD680" s="126"/>
      <c r="AE680" s="126" t="s">
        <v>123</v>
      </c>
      <c r="AG680" s="16">
        <f>AH680-AI680</f>
        <v>81</v>
      </c>
      <c r="AH680" s="126">
        <v>153</v>
      </c>
      <c r="AI680" s="126">
        <v>72</v>
      </c>
      <c r="AK680" s="126">
        <v>14.5</v>
      </c>
      <c r="AL680" s="126">
        <v>0</v>
      </c>
      <c r="AM680" s="126">
        <v>0</v>
      </c>
      <c r="AN680" s="126">
        <v>0</v>
      </c>
      <c r="AO680" s="16">
        <f>IF(SUM(AL680:AN680)&gt;0,1,0)</f>
        <v>0</v>
      </c>
      <c r="AP680" s="18">
        <f>SUM(AL680:AN680)</f>
        <v>0</v>
      </c>
      <c r="AQ680" s="16" t="s">
        <v>1284</v>
      </c>
      <c r="AR680" s="16">
        <v>-6.9999999999998952E-3</v>
      </c>
      <c r="AS680" s="152">
        <v>1E-3</v>
      </c>
      <c r="AT680" s="16" t="str">
        <f>VLOOKUP(E680,[2]Current!$A$1:$W$435,7,FALSE)</f>
        <v>JB</v>
      </c>
      <c r="AU680" s="16" t="s">
        <v>1288</v>
      </c>
      <c r="AV680" s="16">
        <v>1</v>
      </c>
      <c r="AW680" s="128">
        <f>IF(AX680&gt;0,1,0)</f>
        <v>0</v>
      </c>
      <c r="AX680" s="128">
        <f>SUM(BA680,BM680,CU680)</f>
        <v>0</v>
      </c>
      <c r="AY680" s="128">
        <f>SUM(BB680,BN680,CV680)</f>
        <v>0</v>
      </c>
      <c r="AZ680" s="128">
        <f>IF(BA680&gt;0,1,0)</f>
        <v>0</v>
      </c>
      <c r="BA680" s="128">
        <f>SUM(BC680+BF680+BI680)</f>
        <v>0</v>
      </c>
      <c r="BB680" s="128">
        <f>SUM(BE680,BH680,BK680)</f>
        <v>0</v>
      </c>
      <c r="BC680" s="130">
        <f>IF(BD680&gt;0,1,0)</f>
        <v>0</v>
      </c>
      <c r="BD680" s="128">
        <f>VLOOKUP($E680,[2]Current!$A:$AC,26,FALSE)</f>
        <v>0</v>
      </c>
      <c r="BE680" s="128">
        <f>BD680/$AS680</f>
        <v>0</v>
      </c>
      <c r="BF680" s="130">
        <f>IF(BG680&gt;0,1,0)</f>
        <v>0</v>
      </c>
      <c r="BG680" s="175">
        <f>VLOOKUP($E680,[2]Current!$A:$AC,27,FALSE)</f>
        <v>0</v>
      </c>
      <c r="BH680" s="128">
        <f>BG680/$AS680</f>
        <v>0</v>
      </c>
      <c r="BI680" s="130">
        <f>IF(BJ680&gt;0,1,0)</f>
        <v>0</v>
      </c>
      <c r="BJ680" s="128">
        <f>VLOOKUP($E680,[2]Current!$A:$AC,28,FALSE)</f>
        <v>0</v>
      </c>
      <c r="BK680" s="128">
        <f>BJ680/$AS680</f>
        <v>0</v>
      </c>
      <c r="BL680" s="128">
        <f>IF(BM680&gt;0,1,0)</f>
        <v>0</v>
      </c>
      <c r="BM680" s="128">
        <f>SUM(BR680,BU680,BX680,CA680,CD680)</f>
        <v>0</v>
      </c>
      <c r="BN680" s="131">
        <f>SUM(BT680,BW680,BZ680,CC680,CF680)</f>
        <v>0</v>
      </c>
      <c r="BO680" s="128">
        <f>IF(BP680&gt;0,1,0)</f>
        <v>0</v>
      </c>
      <c r="BP680" s="128">
        <f>BM680+CJ680</f>
        <v>0</v>
      </c>
      <c r="BQ680" s="128">
        <f>BN680+CL680</f>
        <v>0</v>
      </c>
      <c r="BR680" s="130">
        <f>IF(BS680&gt;0,1,0)</f>
        <v>0</v>
      </c>
      <c r="BS680" s="128">
        <f>VLOOKUP($E680,[2]Current!$A:$AC,12,FALSE)</f>
        <v>0</v>
      </c>
      <c r="BT680" s="137">
        <f>BS680/$AS680</f>
        <v>0</v>
      </c>
      <c r="BU680" s="130">
        <f>IF(BV680&gt;0,1,0)</f>
        <v>0</v>
      </c>
      <c r="BV680" s="128">
        <f>VLOOKUP($E680,[2]Current!$A:$AC,13,FALSE)</f>
        <v>0</v>
      </c>
      <c r="BW680" s="128">
        <f>BV680/$AS680</f>
        <v>0</v>
      </c>
      <c r="BX680" s="130">
        <f>IF(BY680&gt;0,1,0)</f>
        <v>0</v>
      </c>
      <c r="BY680" s="128">
        <f>VLOOKUP($E680,[2]Current!$A:$AC,14,FALSE)</f>
        <v>0</v>
      </c>
      <c r="BZ680" s="128">
        <f>BY680/$AS680</f>
        <v>0</v>
      </c>
      <c r="CA680" s="130">
        <f>IF(CB680&gt;0,1,0)</f>
        <v>0</v>
      </c>
      <c r="CB680" s="128">
        <f>VLOOKUP($E680,[2]Current!$A:$AC,15,FALSE)</f>
        <v>0</v>
      </c>
      <c r="CC680" s="128">
        <f>CB680/$AS680</f>
        <v>0</v>
      </c>
      <c r="CD680" s="174">
        <f>IF(CE680&gt;0,1,0)</f>
        <v>0</v>
      </c>
      <c r="CE680" s="128">
        <f>VLOOKUP($E680,[2]Current!$A:$AC,16,FALSE)</f>
        <v>0</v>
      </c>
      <c r="CF680" s="128">
        <f>CE680/$AS680</f>
        <v>0</v>
      </c>
      <c r="CG680" s="18"/>
      <c r="CH680" s="18"/>
      <c r="CI680" s="18"/>
      <c r="CJ680" s="130">
        <f>IF(CK680&gt;0,1,0)</f>
        <v>0</v>
      </c>
      <c r="CK680" s="128">
        <f>VLOOKUP($E680,[2]Current!$A:$AC,18,FALSE)</f>
        <v>0</v>
      </c>
      <c r="CL680" s="128">
        <f>CK680/$AS680</f>
        <v>0</v>
      </c>
      <c r="CS680" s="130">
        <f>IF(CU680&gt;0,1,0)</f>
        <v>0</v>
      </c>
      <c r="CU680" s="128">
        <f>VLOOKUP($E680,[2]Current!$A:$AC,17,FALSE)</f>
        <v>0</v>
      </c>
      <c r="CV680" s="128">
        <f>CU680/$AS680</f>
        <v>0</v>
      </c>
      <c r="CW680" s="18"/>
      <c r="CX680" s="18"/>
      <c r="CY680" s="18"/>
      <c r="DF680" s="16" t="e">
        <f>VLOOKUP(K680,'[3]RNA Seq summary tables'!$V$3:$V$99,1,FALSE)</f>
        <v>#N/A</v>
      </c>
      <c r="DG680" s="126" t="s">
        <v>116</v>
      </c>
      <c r="JR680" s="18"/>
      <c r="JS680" s="18"/>
      <c r="JT680" s="18"/>
      <c r="JU680" s="18"/>
      <c r="JV680" s="18"/>
      <c r="JW680" s="18"/>
      <c r="JX680" s="18"/>
      <c r="JY680" s="18"/>
      <c r="JZ680" s="18"/>
      <c r="KA680" s="18"/>
      <c r="KB680" s="18"/>
    </row>
    <row r="681" spans="2:288" ht="16" x14ac:dyDescent="0.2">
      <c r="B681" s="16">
        <v>2018</v>
      </c>
      <c r="C681" s="124">
        <v>43301</v>
      </c>
      <c r="D681" t="s">
        <v>1017</v>
      </c>
      <c r="E681" s="142" t="str">
        <f>CONCATENATE(T681,"-",U681,"-",C681)</f>
        <v>SP2-D4-43301</v>
      </c>
      <c r="F681" s="16" t="s">
        <v>227</v>
      </c>
      <c r="G681" s="126" t="s">
        <v>107</v>
      </c>
      <c r="H681" s="126"/>
      <c r="J681" s="126">
        <v>1532</v>
      </c>
      <c r="K681" s="126">
        <v>2650</v>
      </c>
      <c r="O681" s="126" t="s">
        <v>119</v>
      </c>
      <c r="P681" s="18" t="s">
        <v>119</v>
      </c>
      <c r="Q681" s="18">
        <v>0</v>
      </c>
      <c r="R681" s="18">
        <f>IF(J681=J680,C681-C680,"")</f>
        <v>15</v>
      </c>
      <c r="T681" s="126" t="s">
        <v>137</v>
      </c>
      <c r="U681" s="126" t="s">
        <v>221</v>
      </c>
      <c r="V681" s="126" t="s">
        <v>114</v>
      </c>
      <c r="X681" s="126" t="s">
        <v>115</v>
      </c>
      <c r="Y681" s="126" t="s">
        <v>110</v>
      </c>
      <c r="Z681" s="126">
        <v>3</v>
      </c>
      <c r="AA681" s="126"/>
      <c r="AB681" s="126"/>
      <c r="AC681" s="126"/>
      <c r="AD681" s="126" t="s">
        <v>123</v>
      </c>
      <c r="AE681" s="126" t="s">
        <v>123</v>
      </c>
      <c r="AG681" s="40">
        <f>AH681-AI681</f>
        <v>84</v>
      </c>
      <c r="AH681" s="126">
        <v>156</v>
      </c>
      <c r="AI681" s="126">
        <v>72</v>
      </c>
      <c r="AK681" s="126">
        <v>17.5</v>
      </c>
      <c r="AL681" s="126">
        <v>0</v>
      </c>
      <c r="AM681" s="126">
        <v>0</v>
      </c>
      <c r="AN681" s="126">
        <v>0</v>
      </c>
      <c r="AO681" s="16">
        <f>IF(SUM(AL681:AN681)&gt;0,1,0)</f>
        <v>0</v>
      </c>
      <c r="AP681" s="18">
        <f>SUM(AL681:AN681)</f>
        <v>0</v>
      </c>
      <c r="AR681" s="16">
        <v>0.21600000000000019</v>
      </c>
      <c r="AS681" s="16">
        <f>VLOOKUP(E681,'[1]Feces weights'!$D$1:$H$459,5,FALSE)</f>
        <v>0.21600000000000019</v>
      </c>
      <c r="AT681" s="16" t="e">
        <f>VLOOKUP(E681,[2]Current!$A$1:$W$435,7,FALSE)</f>
        <v>#N/A</v>
      </c>
      <c r="AU681" s="16">
        <v>0</v>
      </c>
      <c r="BG681" s="23"/>
      <c r="BN681" s="126"/>
      <c r="BT681" s="78"/>
      <c r="BU681" s="18"/>
      <c r="BV681" s="18"/>
      <c r="BW681" s="25"/>
      <c r="BX681" s="18"/>
      <c r="BY681" s="18"/>
      <c r="BZ681" s="25"/>
      <c r="CA681" s="18"/>
      <c r="CB681" s="18"/>
      <c r="CC681" s="25"/>
      <c r="CD681" s="78"/>
      <c r="CE681" s="18"/>
      <c r="CF681" s="25"/>
      <c r="CG681" s="18"/>
      <c r="CH681" s="18"/>
      <c r="CI681" s="18"/>
      <c r="CJ681" s="18"/>
      <c r="CK681" s="18"/>
      <c r="CL681" s="25"/>
      <c r="DF681" s="16" t="e">
        <f>VLOOKUP(K681,'[3]RNA Seq summary tables'!$V$3:$V$99,1,FALSE)</f>
        <v>#N/A</v>
      </c>
      <c r="DG681" s="126" t="s">
        <v>116</v>
      </c>
    </row>
    <row r="682" spans="2:288" ht="16" x14ac:dyDescent="0.2">
      <c r="B682" s="16">
        <v>2018</v>
      </c>
      <c r="C682" s="124">
        <v>43286</v>
      </c>
      <c r="D682" t="s">
        <v>912</v>
      </c>
      <c r="E682" s="37" t="str">
        <f>CONCATENATE(T682,"-",U682,"-",C682)</f>
        <v>SP1-B4-43286</v>
      </c>
      <c r="F682" s="16" t="s">
        <v>227</v>
      </c>
      <c r="G682" s="126" t="s">
        <v>107</v>
      </c>
      <c r="H682" s="126" t="s">
        <v>1086</v>
      </c>
      <c r="J682" s="126">
        <v>1536</v>
      </c>
      <c r="K682" s="126">
        <v>2564</v>
      </c>
      <c r="O682" s="126" t="s">
        <v>119</v>
      </c>
      <c r="P682" s="18" t="s">
        <v>119</v>
      </c>
      <c r="Q682" s="18">
        <v>0</v>
      </c>
      <c r="R682" s="18" t="str">
        <f>IF(J682=J681,C682-C681,"")</f>
        <v/>
      </c>
      <c r="T682" s="126" t="s">
        <v>140</v>
      </c>
      <c r="U682" s="126" t="s">
        <v>144</v>
      </c>
      <c r="V682" s="133" t="s">
        <v>142</v>
      </c>
      <c r="X682" s="126" t="s">
        <v>115</v>
      </c>
      <c r="Y682" s="126" t="s">
        <v>110</v>
      </c>
      <c r="Z682" s="126">
        <v>3</v>
      </c>
      <c r="AA682" s="126"/>
      <c r="AB682" s="126"/>
      <c r="AC682" s="126"/>
      <c r="AD682" s="126"/>
      <c r="AE682" s="126" t="s">
        <v>116</v>
      </c>
      <c r="AG682" s="16">
        <f>AH682-AI682</f>
        <v>76</v>
      </c>
      <c r="AH682" s="126">
        <v>161</v>
      </c>
      <c r="AI682" s="126">
        <v>85</v>
      </c>
      <c r="AK682" s="126">
        <v>15</v>
      </c>
      <c r="AL682" s="126">
        <v>0</v>
      </c>
      <c r="AM682" s="126">
        <v>0</v>
      </c>
      <c r="AN682" s="126">
        <v>0</v>
      </c>
      <c r="AO682" s="16">
        <f>IF(SUM(AL682:AN682)&gt;0,1,0)</f>
        <v>0</v>
      </c>
      <c r="AP682" s="18">
        <f>SUM(AL682:AN682)</f>
        <v>0</v>
      </c>
      <c r="AQ682" s="16" t="s">
        <v>1284</v>
      </c>
      <c r="AR682" s="16">
        <v>-1.399999999999979E-2</v>
      </c>
      <c r="AS682" s="152">
        <v>1E-3</v>
      </c>
      <c r="AT682" s="16" t="str">
        <f>VLOOKUP(E682,[2]Current!$A$1:$W$435,7,FALSE)</f>
        <v>DP</v>
      </c>
      <c r="AU682" s="16" t="s">
        <v>1288</v>
      </c>
      <c r="AV682" s="16">
        <v>1</v>
      </c>
      <c r="AW682" s="128">
        <f>IF(AX682&gt;0,1,0)</f>
        <v>0</v>
      </c>
      <c r="AX682" s="128">
        <f>SUM(BA682,BM682,CU682)</f>
        <v>0</v>
      </c>
      <c r="AY682" s="128">
        <f>SUM(BB682,BN682,CV682)</f>
        <v>0</v>
      </c>
      <c r="AZ682" s="128">
        <f>IF(BA682&gt;0,1,0)</f>
        <v>0</v>
      </c>
      <c r="BA682" s="128">
        <f>SUM(BC682+BF682+BI682)</f>
        <v>0</v>
      </c>
      <c r="BB682" s="128">
        <f>SUM(BE682,BH682,BK682)</f>
        <v>0</v>
      </c>
      <c r="BC682" s="130">
        <f>IF(BD682&gt;0,1,0)</f>
        <v>0</v>
      </c>
      <c r="BD682" s="128">
        <f>VLOOKUP($E682,[2]Current!$A:$AC,26,FALSE)</f>
        <v>0</v>
      </c>
      <c r="BE682" s="128">
        <f>BD682/$AS682</f>
        <v>0</v>
      </c>
      <c r="BF682" s="130">
        <f>IF(BG682&gt;0,1,0)</f>
        <v>0</v>
      </c>
      <c r="BG682" s="175">
        <f>VLOOKUP($E682,[2]Current!$A:$AC,27,FALSE)</f>
        <v>0</v>
      </c>
      <c r="BH682" s="128">
        <f>BG682/$AS682</f>
        <v>0</v>
      </c>
      <c r="BI682" s="130">
        <f>IF(BJ682&gt;0,1,0)</f>
        <v>0</v>
      </c>
      <c r="BJ682" s="128">
        <f>VLOOKUP($E682,[2]Current!$A:$AC,28,FALSE)</f>
        <v>0</v>
      </c>
      <c r="BK682" s="128">
        <f>BJ682/$AS682</f>
        <v>0</v>
      </c>
      <c r="BL682" s="128">
        <f>IF(BM682&gt;0,1,0)</f>
        <v>0</v>
      </c>
      <c r="BM682" s="128">
        <f>SUM(BR682,BU682,BX682,CA682,CD682)</f>
        <v>0</v>
      </c>
      <c r="BN682" s="131">
        <f>SUM(BT682,BW682,BZ682,CC682,CF682)</f>
        <v>0</v>
      </c>
      <c r="BO682" s="128">
        <f>IF(BP682&gt;0,1,0)</f>
        <v>0</v>
      </c>
      <c r="BP682" s="128">
        <f>BM682+CJ682</f>
        <v>0</v>
      </c>
      <c r="BQ682" s="128">
        <f>BN682+CL682</f>
        <v>0</v>
      </c>
      <c r="BR682" s="130">
        <f>IF(BS682&gt;0,1,0)</f>
        <v>0</v>
      </c>
      <c r="BS682" s="128">
        <f>VLOOKUP($E682,[2]Current!$A:$AC,12,FALSE)</f>
        <v>0</v>
      </c>
      <c r="BT682" s="137">
        <f>BS682/$AS682</f>
        <v>0</v>
      </c>
      <c r="BU682" s="130">
        <f>IF(BV682&gt;0,1,0)</f>
        <v>0</v>
      </c>
      <c r="BV682" s="128">
        <f>VLOOKUP($E682,[2]Current!$A:$AC,13,FALSE)</f>
        <v>0</v>
      </c>
      <c r="BW682" s="128">
        <f>BV682/$AS682</f>
        <v>0</v>
      </c>
      <c r="BX682" s="130">
        <f>IF(BY682&gt;0,1,0)</f>
        <v>0</v>
      </c>
      <c r="BY682" s="128">
        <f>VLOOKUP($E682,[2]Current!$A:$AC,14,FALSE)</f>
        <v>0</v>
      </c>
      <c r="BZ682" s="128">
        <f>BY682/$AS682</f>
        <v>0</v>
      </c>
      <c r="CA682" s="130">
        <f>IF(CB682&gt;0,1,0)</f>
        <v>0</v>
      </c>
      <c r="CB682" s="128">
        <f>VLOOKUP($E682,[2]Current!$A:$AC,15,FALSE)</f>
        <v>0</v>
      </c>
      <c r="CC682" s="128">
        <f>CB682/$AS682</f>
        <v>0</v>
      </c>
      <c r="CD682" s="174">
        <f>IF(CE682&gt;0,1,0)</f>
        <v>0</v>
      </c>
      <c r="CE682" s="128">
        <f>VLOOKUP($E682,[2]Current!$A:$AC,16,FALSE)</f>
        <v>0</v>
      </c>
      <c r="CF682" s="128">
        <f>CE682/$AS682</f>
        <v>0</v>
      </c>
      <c r="CG682" s="18"/>
      <c r="CH682" s="18"/>
      <c r="CI682" s="18"/>
      <c r="CJ682" s="130">
        <f>IF(CK682&gt;0,1,0)</f>
        <v>0</v>
      </c>
      <c r="CK682" s="128">
        <f>VLOOKUP($E682,[2]Current!$A:$AC,18,FALSE)</f>
        <v>0</v>
      </c>
      <c r="CL682" s="128">
        <f>CK682/$AS682</f>
        <v>0</v>
      </c>
      <c r="CS682" s="130">
        <f>IF(CU682&gt;0,1,0)</f>
        <v>0</v>
      </c>
      <c r="CU682" s="128">
        <f>VLOOKUP($E682,[2]Current!$A:$AC,17,FALSE)</f>
        <v>0</v>
      </c>
      <c r="CV682" s="128">
        <f>CU682/$AS682</f>
        <v>0</v>
      </c>
      <c r="CW682" s="18"/>
      <c r="CX682" s="18"/>
      <c r="CY682" s="18"/>
      <c r="DF682" s="16" t="e">
        <f>VLOOKUP(K682,'[3]RNA Seq summary tables'!$V$3:$V$99,1,FALSE)</f>
        <v>#N/A</v>
      </c>
      <c r="DG682" s="126" t="s">
        <v>116</v>
      </c>
    </row>
    <row r="683" spans="2:288" ht="16" x14ac:dyDescent="0.2">
      <c r="B683" s="16">
        <v>2018</v>
      </c>
      <c r="C683" s="124">
        <v>43301</v>
      </c>
      <c r="D683" t="s">
        <v>1009</v>
      </c>
      <c r="E683" s="142" t="str">
        <f>CONCATENATE(T683,"-",U683,"-",C683)</f>
        <v>SP1-C7-43301</v>
      </c>
      <c r="F683" s="16" t="s">
        <v>227</v>
      </c>
      <c r="G683" s="126" t="s">
        <v>107</v>
      </c>
      <c r="H683" s="126" t="s">
        <v>1086</v>
      </c>
      <c r="J683" s="126">
        <v>1536</v>
      </c>
      <c r="K683" s="126">
        <v>2659</v>
      </c>
      <c r="O683" s="126" t="s">
        <v>119</v>
      </c>
      <c r="P683" s="18" t="s">
        <v>119</v>
      </c>
      <c r="Q683" s="18">
        <v>0</v>
      </c>
      <c r="R683" s="18">
        <f>IF(J683=J682,C683-C682,"")</f>
        <v>15</v>
      </c>
      <c r="T683" s="126" t="s">
        <v>140</v>
      </c>
      <c r="U683" s="126" t="s">
        <v>207</v>
      </c>
      <c r="V683" s="126" t="s">
        <v>142</v>
      </c>
      <c r="X683" s="126" t="s">
        <v>115</v>
      </c>
      <c r="Y683" s="126" t="s">
        <v>110</v>
      </c>
      <c r="Z683" s="126">
        <v>3</v>
      </c>
      <c r="AA683" s="126"/>
      <c r="AB683" s="126"/>
      <c r="AC683" s="126"/>
      <c r="AD683" s="126" t="s">
        <v>123</v>
      </c>
      <c r="AE683" s="126" t="s">
        <v>123</v>
      </c>
      <c r="AG683" s="40">
        <f>AH683-AI683</f>
        <v>79</v>
      </c>
      <c r="AH683" s="126">
        <v>167</v>
      </c>
      <c r="AI683" s="126">
        <v>88</v>
      </c>
      <c r="AK683" s="126">
        <v>14</v>
      </c>
      <c r="AL683" s="126">
        <v>0</v>
      </c>
      <c r="AM683" s="126">
        <v>0</v>
      </c>
      <c r="AN683" s="126">
        <v>1</v>
      </c>
      <c r="AO683" s="16">
        <f>IF(SUM(AL683:AN683)&gt;0,1,0)</f>
        <v>1</v>
      </c>
      <c r="AP683" s="18">
        <f>SUM(AL683:AN683)</f>
        <v>1</v>
      </c>
      <c r="AR683" s="16">
        <v>0.1160000000000001</v>
      </c>
      <c r="AS683" s="16">
        <f>VLOOKUP(E683,'[1]Feces weights'!$D$1:$H$459,5,FALSE)</f>
        <v>0.1160000000000001</v>
      </c>
      <c r="AT683" s="16" t="e">
        <f>VLOOKUP(E683,[2]Current!$A$1:$W$435,7,FALSE)</f>
        <v>#N/A</v>
      </c>
      <c r="AU683" s="16">
        <v>0</v>
      </c>
      <c r="BG683" s="23"/>
      <c r="BN683" s="126"/>
      <c r="BT683" s="78"/>
      <c r="BU683" s="18"/>
      <c r="BV683" s="18"/>
      <c r="BW683" s="25"/>
      <c r="BX683" s="18"/>
      <c r="BY683" s="18"/>
      <c r="BZ683" s="25"/>
      <c r="CA683" s="18"/>
      <c r="CB683" s="18"/>
      <c r="CC683" s="25"/>
      <c r="CD683" s="78"/>
      <c r="CE683" s="18"/>
      <c r="CF683" s="25"/>
      <c r="CG683" s="18"/>
      <c r="CH683" s="18"/>
      <c r="CI683" s="18"/>
      <c r="CJ683" s="18"/>
      <c r="CK683" s="18"/>
      <c r="CL683" s="25"/>
      <c r="DF683" s="16" t="e">
        <f>VLOOKUP(K683,'[3]RNA Seq summary tables'!$V$3:$V$99,1,FALSE)</f>
        <v>#N/A</v>
      </c>
      <c r="DG683" s="126" t="s">
        <v>116</v>
      </c>
    </row>
    <row r="684" spans="2:288" ht="16" x14ac:dyDescent="0.2">
      <c r="B684" s="16">
        <v>2018</v>
      </c>
      <c r="C684" s="147">
        <v>43313</v>
      </c>
      <c r="D684" t="s">
        <v>1208</v>
      </c>
      <c r="E684" s="20" t="str">
        <f>CONCATENATE(T684,"-",U684,"-",C684)</f>
        <v>SP1-B4-43313</v>
      </c>
      <c r="F684" s="16" t="s">
        <v>227</v>
      </c>
      <c r="G684" s="145" t="s">
        <v>107</v>
      </c>
      <c r="H684" s="145" t="s">
        <v>1164</v>
      </c>
      <c r="I684" s="145"/>
      <c r="J684" s="145">
        <v>1536</v>
      </c>
      <c r="K684" s="145">
        <v>2723</v>
      </c>
      <c r="M684" s="16"/>
      <c r="N684" s="16"/>
      <c r="O684" s="145" t="s">
        <v>119</v>
      </c>
      <c r="P684" s="18" t="s">
        <v>119</v>
      </c>
      <c r="Q684" s="18">
        <v>0</v>
      </c>
      <c r="R684" s="18">
        <f>IF(J684=J683,C684-C683,"")</f>
        <v>12</v>
      </c>
      <c r="S684" s="145"/>
      <c r="T684" s="145" t="s">
        <v>140</v>
      </c>
      <c r="U684" s="145" t="s">
        <v>144</v>
      </c>
      <c r="V684" s="145" t="s">
        <v>142</v>
      </c>
      <c r="W684" s="145"/>
      <c r="X684" s="145" t="s">
        <v>115</v>
      </c>
      <c r="Y684" s="145" t="s">
        <v>110</v>
      </c>
      <c r="Z684" s="145">
        <v>3</v>
      </c>
      <c r="AA684" s="145"/>
      <c r="AB684" s="145"/>
      <c r="AC684" s="145"/>
      <c r="AD684" s="145"/>
      <c r="AE684" s="145" t="s">
        <v>116</v>
      </c>
      <c r="AF684" s="145" t="s">
        <v>116</v>
      </c>
      <c r="AG684" s="145">
        <f>AH684-AI684</f>
        <v>82</v>
      </c>
      <c r="AH684" s="145">
        <v>167</v>
      </c>
      <c r="AI684" s="145">
        <v>85</v>
      </c>
      <c r="AJ684" s="145"/>
      <c r="AK684" s="145">
        <v>15</v>
      </c>
      <c r="AL684" s="145">
        <v>0</v>
      </c>
      <c r="AM684" s="145">
        <v>0</v>
      </c>
      <c r="AN684" s="145">
        <v>0</v>
      </c>
      <c r="AO684" s="16">
        <f>IF(SUM(AL684:AN684)&gt;0, 1,0)</f>
        <v>0</v>
      </c>
      <c r="AP684" s="16">
        <f>SUM(AL684:AN684)</f>
        <v>0</v>
      </c>
      <c r="AS684" s="16">
        <f>VLOOKUP(E684,'[1]Feces weights'!$D$1:$H$459,5,FALSE)</f>
        <v>0.12600000000000011</v>
      </c>
      <c r="AT684" s="16" t="e">
        <f>VLOOKUP(E684,[2]Current!$A$1:$W$435,7,FALSE)</f>
        <v>#N/A</v>
      </c>
      <c r="BG684" s="23"/>
      <c r="BT684" s="77"/>
      <c r="CD684" s="77"/>
      <c r="DG684" s="145" t="s">
        <v>123</v>
      </c>
      <c r="DT684" s="145" t="s">
        <v>123</v>
      </c>
      <c r="DU684" s="145"/>
      <c r="DX684" s="145"/>
      <c r="DY684" s="145"/>
      <c r="DZ684" s="16"/>
      <c r="EA684" s="16"/>
      <c r="EB684" s="16"/>
      <c r="EC684" s="16"/>
      <c r="ED684" s="16"/>
      <c r="EE684" s="16"/>
      <c r="EF684" s="16"/>
      <c r="JO684" s="18"/>
      <c r="JP684" s="18"/>
      <c r="JQ684" s="18"/>
      <c r="JR684" s="18"/>
      <c r="JS684" s="18"/>
      <c r="JT684" s="18"/>
      <c r="JU684" s="18"/>
      <c r="JV684" s="18"/>
      <c r="JW684" s="18"/>
      <c r="JX684" s="18"/>
      <c r="JY684" s="18"/>
      <c r="JZ684" s="18"/>
      <c r="KA684" s="18"/>
    </row>
    <row r="685" spans="2:288" ht="16" x14ac:dyDescent="0.2">
      <c r="B685" s="16">
        <v>2018</v>
      </c>
      <c r="C685" s="124">
        <v>43286</v>
      </c>
      <c r="D685" t="s">
        <v>920</v>
      </c>
      <c r="E685" s="37" t="str">
        <f>CONCATENATE(T685,"-",U685,"-",C685)</f>
        <v>SP1-E1-43286</v>
      </c>
      <c r="F685" s="16" t="s">
        <v>227</v>
      </c>
      <c r="G685" s="126" t="s">
        <v>107</v>
      </c>
      <c r="H685" s="126"/>
      <c r="J685" s="126">
        <v>1538</v>
      </c>
      <c r="K685" s="126">
        <v>2567</v>
      </c>
      <c r="O685" s="126" t="s">
        <v>119</v>
      </c>
      <c r="P685" s="18" t="s">
        <v>119</v>
      </c>
      <c r="Q685" s="18">
        <v>0</v>
      </c>
      <c r="R685" s="18" t="str">
        <f>IF(J685=J684,C685-C684,"")</f>
        <v/>
      </c>
      <c r="T685" s="126" t="s">
        <v>140</v>
      </c>
      <c r="U685" s="126" t="s">
        <v>222</v>
      </c>
      <c r="V685" s="133" t="s">
        <v>142</v>
      </c>
      <c r="X685" s="126" t="s">
        <v>121</v>
      </c>
      <c r="Y685" s="126" t="s">
        <v>122</v>
      </c>
      <c r="Z685" s="126">
        <v>2.6</v>
      </c>
      <c r="AA685" s="126" t="s">
        <v>119</v>
      </c>
      <c r="AB685" s="126" t="s">
        <v>123</v>
      </c>
      <c r="AC685" s="126" t="s">
        <v>123</v>
      </c>
      <c r="AD685" s="126"/>
      <c r="AE685" s="126"/>
      <c r="AG685" s="16">
        <f>AH685-AI685</f>
        <v>75</v>
      </c>
      <c r="AH685" s="126">
        <v>159</v>
      </c>
      <c r="AI685" s="126">
        <v>84</v>
      </c>
      <c r="AK685" s="126">
        <v>14</v>
      </c>
      <c r="AL685" s="126">
        <v>0</v>
      </c>
      <c r="AM685" s="126">
        <v>0</v>
      </c>
      <c r="AN685" s="126">
        <v>0</v>
      </c>
      <c r="AO685" s="16">
        <f>IF(SUM(AL685:AN685)&gt;0,1,0)</f>
        <v>0</v>
      </c>
      <c r="AP685" s="18">
        <f>SUM(AL685:AN685)</f>
        <v>0</v>
      </c>
      <c r="AR685" s="16">
        <v>1.5000000000000124E-2</v>
      </c>
      <c r="AS685" s="16">
        <f>VLOOKUP(E685,'[1]Feces weights'!$D$1:$H$459,5,FALSE)</f>
        <v>1.5000000000000124E-2</v>
      </c>
      <c r="AT685" s="16" t="str">
        <f>VLOOKUP(E685,[2]Current!$A$1:$W$435,7,FALSE)</f>
        <v>TE</v>
      </c>
      <c r="AU685" s="16" t="s">
        <v>1288</v>
      </c>
      <c r="AV685" s="23">
        <v>1</v>
      </c>
      <c r="AW685" s="128">
        <f>IF(AX685&gt;0,1,0)</f>
        <v>0</v>
      </c>
      <c r="AX685" s="128">
        <f>SUM(BA685,BM685,CU685)</f>
        <v>0</v>
      </c>
      <c r="AY685" s="128">
        <f>SUM(BB685,BN685,CV685)</f>
        <v>0</v>
      </c>
      <c r="AZ685" s="128">
        <f>IF(BA685&gt;0,1,0)</f>
        <v>0</v>
      </c>
      <c r="BA685" s="128">
        <f>SUM(BC685+BF685+BI685)</f>
        <v>0</v>
      </c>
      <c r="BB685" s="128">
        <f>SUM(BE685,BH685,BK685)</f>
        <v>0</v>
      </c>
      <c r="BC685" s="130">
        <f>IF(BD685&gt;0,1,0)</f>
        <v>0</v>
      </c>
      <c r="BD685" s="128">
        <f>VLOOKUP($E685,[2]Current!$A:$AC,26,FALSE)</f>
        <v>0</v>
      </c>
      <c r="BE685" s="128">
        <f>BD685/$AS685</f>
        <v>0</v>
      </c>
      <c r="BF685" s="130">
        <f>IF(BG685&gt;0,1,0)</f>
        <v>0</v>
      </c>
      <c r="BG685" s="175">
        <f>VLOOKUP($E685,[2]Current!$A:$AC,27,FALSE)</f>
        <v>0</v>
      </c>
      <c r="BH685" s="128">
        <f>BG685/$AS685</f>
        <v>0</v>
      </c>
      <c r="BI685" s="130">
        <f>IF(BJ685&gt;0,1,0)</f>
        <v>0</v>
      </c>
      <c r="BJ685" s="128">
        <f>VLOOKUP($E685,[2]Current!$A:$AC,28,FALSE)</f>
        <v>0</v>
      </c>
      <c r="BK685" s="128">
        <f>BJ685/$AS685</f>
        <v>0</v>
      </c>
      <c r="BL685" s="128">
        <f>IF(BM685&gt;0,1,0)</f>
        <v>0</v>
      </c>
      <c r="BM685" s="128">
        <f>SUM(BR685,BU685,BX685,CA685,CD685)</f>
        <v>0</v>
      </c>
      <c r="BN685" s="131">
        <f>SUM(BT685,BW685,BZ685,CC685,CF685)</f>
        <v>0</v>
      </c>
      <c r="BO685" s="128">
        <f>IF(BP685&gt;0,1,0)</f>
        <v>0</v>
      </c>
      <c r="BP685" s="128">
        <f>BM685+CJ685</f>
        <v>0</v>
      </c>
      <c r="BQ685" s="128">
        <f>BN685+CL685</f>
        <v>0</v>
      </c>
      <c r="BR685" s="130">
        <f>IF(BS685&gt;0,1,0)</f>
        <v>0</v>
      </c>
      <c r="BS685" s="128">
        <f>VLOOKUP($E685,[2]Current!$A:$AC,12,FALSE)</f>
        <v>0</v>
      </c>
      <c r="BT685" s="137">
        <f>BS685/$AS685</f>
        <v>0</v>
      </c>
      <c r="BU685" s="130">
        <f>IF(BV685&gt;0,1,0)</f>
        <v>0</v>
      </c>
      <c r="BV685" s="128">
        <f>VLOOKUP($E685,[2]Current!$A:$AC,13,FALSE)</f>
        <v>0</v>
      </c>
      <c r="BW685" s="128">
        <f>BV685/$AS685</f>
        <v>0</v>
      </c>
      <c r="BX685" s="130">
        <f>IF(BY685&gt;0,1,0)</f>
        <v>0</v>
      </c>
      <c r="BY685" s="128">
        <f>VLOOKUP($E685,[2]Current!$A:$AC,14,FALSE)</f>
        <v>0</v>
      </c>
      <c r="BZ685" s="128">
        <f>BY685/$AS685</f>
        <v>0</v>
      </c>
      <c r="CA685" s="130">
        <f>IF(CB685&gt;0,1,0)</f>
        <v>0</v>
      </c>
      <c r="CB685" s="128">
        <f>VLOOKUP($E685,[2]Current!$A:$AC,15,FALSE)</f>
        <v>0</v>
      </c>
      <c r="CC685" s="128">
        <f>CB685/$AS685</f>
        <v>0</v>
      </c>
      <c r="CD685" s="174">
        <f>IF(CE685&gt;0,1,0)</f>
        <v>0</v>
      </c>
      <c r="CE685" s="128">
        <f>VLOOKUP($E685,[2]Current!$A:$AC,16,FALSE)</f>
        <v>0</v>
      </c>
      <c r="CF685" s="128">
        <f>CE685/$AS685</f>
        <v>0</v>
      </c>
      <c r="CG685" s="18"/>
      <c r="CH685" s="18"/>
      <c r="CI685" s="18"/>
      <c r="CJ685" s="130">
        <f>IF(CK685&gt;0,1,0)</f>
        <v>0</v>
      </c>
      <c r="CK685" s="128">
        <f>VLOOKUP($E685,[2]Current!$A:$AC,18,FALSE)</f>
        <v>0</v>
      </c>
      <c r="CL685" s="128">
        <f>CK685/$AS685</f>
        <v>0</v>
      </c>
      <c r="CS685" s="130">
        <f>IF(CU685&gt;0,1,0)</f>
        <v>0</v>
      </c>
      <c r="CU685" s="128">
        <f>VLOOKUP($E685,[2]Current!$A:$AC,17,FALSE)</f>
        <v>0</v>
      </c>
      <c r="CV685" s="128">
        <f>CU685/$AS685</f>
        <v>0</v>
      </c>
      <c r="CW685" s="18"/>
      <c r="CX685" s="18"/>
      <c r="CY685" s="18"/>
      <c r="DF685" s="16" t="e">
        <f>VLOOKUP(K685,'[3]RNA Seq summary tables'!$V$3:$V$99,1,FALSE)</f>
        <v>#N/A</v>
      </c>
      <c r="DG685" s="126" t="s">
        <v>123</v>
      </c>
    </row>
    <row r="686" spans="2:288" ht="16" x14ac:dyDescent="0.2">
      <c r="B686" s="16">
        <v>2018</v>
      </c>
      <c r="C686" s="124">
        <v>43301</v>
      </c>
      <c r="D686" t="s">
        <v>1010</v>
      </c>
      <c r="E686" s="37" t="str">
        <f>CONCATENATE(T686,"-",U686,"-",C686)</f>
        <v>SP1-A6-43301</v>
      </c>
      <c r="F686" s="16" t="s">
        <v>227</v>
      </c>
      <c r="G686" s="126" t="s">
        <v>107</v>
      </c>
      <c r="H686" s="126" t="s">
        <v>1086</v>
      </c>
      <c r="J686" s="126">
        <v>1538</v>
      </c>
      <c r="K686" s="126">
        <v>2657</v>
      </c>
      <c r="O686" s="126" t="s">
        <v>119</v>
      </c>
      <c r="P686" s="18" t="s">
        <v>119</v>
      </c>
      <c r="Q686" s="18">
        <v>0</v>
      </c>
      <c r="R686" s="18">
        <f>IF(J686=J685,C686-C685,"")</f>
        <v>15</v>
      </c>
      <c r="T686" s="126" t="s">
        <v>140</v>
      </c>
      <c r="U686" s="126" t="s">
        <v>147</v>
      </c>
      <c r="V686" s="126" t="s">
        <v>142</v>
      </c>
      <c r="X686" s="126" t="s">
        <v>121</v>
      </c>
      <c r="Y686" s="126" t="s">
        <v>122</v>
      </c>
      <c r="Z686" s="126">
        <v>2.9</v>
      </c>
      <c r="AA686" s="126" t="s">
        <v>119</v>
      </c>
      <c r="AB686" s="126" t="s">
        <v>123</v>
      </c>
      <c r="AC686" s="126" t="s">
        <v>123</v>
      </c>
      <c r="AD686" s="126"/>
      <c r="AE686" s="126"/>
      <c r="AG686" s="40">
        <f>AH686-AI686</f>
        <v>80</v>
      </c>
      <c r="AH686" s="126">
        <v>164</v>
      </c>
      <c r="AI686" s="126">
        <v>84</v>
      </c>
      <c r="AK686" s="126">
        <v>12.5</v>
      </c>
      <c r="AL686" s="126">
        <v>0</v>
      </c>
      <c r="AM686" s="126">
        <v>0</v>
      </c>
      <c r="AN686" s="126">
        <v>0</v>
      </c>
      <c r="AO686" s="16">
        <f>IF(SUM(AL686:AN686)&gt;0,1,0)</f>
        <v>0</v>
      </c>
      <c r="AP686" s="18">
        <f>SUM(AL686:AN686)</f>
        <v>0</v>
      </c>
      <c r="AR686" s="16">
        <v>0.13000000000000012</v>
      </c>
      <c r="AS686" s="16">
        <f>VLOOKUP(E686,'[1]Feces weights'!$D$1:$H$459,5,FALSE)</f>
        <v>0.13000000000000012</v>
      </c>
      <c r="AT686" s="16" t="str">
        <f>VLOOKUP(E686,[2]Current!$A$1:$W$435,7,FALSE)</f>
        <v>TE</v>
      </c>
      <c r="AU686" s="16" t="s">
        <v>1288</v>
      </c>
      <c r="AW686" s="128">
        <f>IF(AX686&gt;0,1,0)</f>
        <v>1</v>
      </c>
      <c r="AX686" s="128">
        <f>SUM(BA686,BM686,CU686)</f>
        <v>1</v>
      </c>
      <c r="AY686" s="128">
        <f>SUM(BB686,BN686,CV686)</f>
        <v>15.384615384615371</v>
      </c>
      <c r="AZ686" s="128">
        <f>IF(BA686&gt;0,1,0)</f>
        <v>1</v>
      </c>
      <c r="BA686" s="128">
        <f>SUM(BC686+BF686+BI686)</f>
        <v>1</v>
      </c>
      <c r="BB686" s="128">
        <f>SUM(BE686,BH686,BK686)</f>
        <v>15.384615384615371</v>
      </c>
      <c r="BC686" s="130">
        <f>IF(BD686&gt;0,1,0)</f>
        <v>0</v>
      </c>
      <c r="BD686" s="128">
        <f>VLOOKUP($E686,[2]Current!$A:$AC,26,FALSE)</f>
        <v>0</v>
      </c>
      <c r="BE686" s="128">
        <f>BD686/$AS686</f>
        <v>0</v>
      </c>
      <c r="BF686" s="130">
        <f>IF(BG686&gt;0,1,0)</f>
        <v>0</v>
      </c>
      <c r="BG686" s="175">
        <f>VLOOKUP($E686,[2]Current!$A:$AC,27,FALSE)</f>
        <v>0</v>
      </c>
      <c r="BH686" s="128">
        <f>BG686/$AS686</f>
        <v>0</v>
      </c>
      <c r="BI686" s="130">
        <f>IF(BJ686&gt;0,1,0)</f>
        <v>1</v>
      </c>
      <c r="BJ686" s="128">
        <f>VLOOKUP($E686,[2]Current!$A:$AC,28,FALSE)</f>
        <v>2</v>
      </c>
      <c r="BK686" s="128">
        <f>BJ686/$AS686</f>
        <v>15.384615384615371</v>
      </c>
      <c r="BL686" s="128">
        <f>IF(BM686&gt;0,1,0)</f>
        <v>0</v>
      </c>
      <c r="BM686" s="128">
        <f>SUM(BR686,BU686,BX686,CA686,CD686)</f>
        <v>0</v>
      </c>
      <c r="BN686" s="131">
        <f>SUM(BT686,BW686,BZ686,CC686,CF686)</f>
        <v>0</v>
      </c>
      <c r="BO686" s="128">
        <f>IF(BP686&gt;0,1,0)</f>
        <v>0</v>
      </c>
      <c r="BP686" s="128">
        <f>BM686+CJ686</f>
        <v>0</v>
      </c>
      <c r="BQ686" s="128">
        <f>BN686+CL686</f>
        <v>0</v>
      </c>
      <c r="BR686" s="130">
        <f>IF(BS686&gt;0,1,0)</f>
        <v>0</v>
      </c>
      <c r="BS686" s="128">
        <f>VLOOKUP($E686,[2]Current!$A:$AC,12,FALSE)</f>
        <v>0</v>
      </c>
      <c r="BT686" s="137">
        <f>BS686/$AS686</f>
        <v>0</v>
      </c>
      <c r="BU686" s="130">
        <f>IF(BV686&gt;0,1,0)</f>
        <v>0</v>
      </c>
      <c r="BV686" s="128">
        <f>VLOOKUP($E686,[2]Current!$A:$AC,13,FALSE)</f>
        <v>0</v>
      </c>
      <c r="BW686" s="128">
        <f>BV686/$AS686</f>
        <v>0</v>
      </c>
      <c r="BX686" s="130">
        <f>IF(BY686&gt;0,1,0)</f>
        <v>0</v>
      </c>
      <c r="BY686" s="128">
        <f>VLOOKUP($E686,[2]Current!$A:$AC,14,FALSE)</f>
        <v>0</v>
      </c>
      <c r="BZ686" s="128">
        <f>BY686/$AS686</f>
        <v>0</v>
      </c>
      <c r="CA686" s="130">
        <f>IF(CB686&gt;0,1,0)</f>
        <v>0</v>
      </c>
      <c r="CB686" s="128">
        <f>VLOOKUP($E686,[2]Current!$A:$AC,15,FALSE)</f>
        <v>0</v>
      </c>
      <c r="CC686" s="128">
        <f>CB686/$AS686</f>
        <v>0</v>
      </c>
      <c r="CD686" s="174">
        <f>IF(CE686&gt;0,1,0)</f>
        <v>0</v>
      </c>
      <c r="CE686" s="128">
        <f>VLOOKUP($E686,[2]Current!$A:$AC,16,FALSE)</f>
        <v>0</v>
      </c>
      <c r="CF686" s="128">
        <f>CE686/$AS686</f>
        <v>0</v>
      </c>
      <c r="CG686" s="18"/>
      <c r="CH686" s="18"/>
      <c r="CI686" s="18"/>
      <c r="CJ686" s="130">
        <f>IF(CK686&gt;0,1,0)</f>
        <v>0</v>
      </c>
      <c r="CK686" s="128">
        <f>VLOOKUP($E686,[2]Current!$A:$AC,18,FALSE)</f>
        <v>0</v>
      </c>
      <c r="CL686" s="128">
        <f>CK686/$AS686</f>
        <v>0</v>
      </c>
      <c r="CS686" s="130">
        <f>IF(CU686&gt;0,1,0)</f>
        <v>0</v>
      </c>
      <c r="CU686" s="128">
        <f>VLOOKUP($E686,[2]Current!$A:$AC,17,FALSE)</f>
        <v>0</v>
      </c>
      <c r="CV686" s="128">
        <f>CU686/$AS686</f>
        <v>0</v>
      </c>
      <c r="CW686" s="18"/>
      <c r="CX686" s="18"/>
      <c r="CY686" s="18"/>
      <c r="DF686" s="16" t="e">
        <f>VLOOKUP(K686,'[3]RNA Seq summary tables'!$V$3:$V$99,1,FALSE)</f>
        <v>#N/A</v>
      </c>
      <c r="DG686" s="126" t="s">
        <v>123</v>
      </c>
      <c r="JR686" s="18"/>
      <c r="JS686" s="18"/>
      <c r="JT686" s="18"/>
      <c r="JU686" s="18"/>
      <c r="JV686" s="18"/>
      <c r="JW686" s="18"/>
      <c r="JX686" s="18"/>
      <c r="JY686" s="18"/>
      <c r="JZ686" s="18"/>
      <c r="KA686" s="18"/>
      <c r="KB686" s="18"/>
    </row>
    <row r="687" spans="2:288" ht="16" x14ac:dyDescent="0.2">
      <c r="B687" s="16">
        <v>2018</v>
      </c>
      <c r="C687" s="147">
        <v>43313</v>
      </c>
      <c r="D687" t="s">
        <v>1207</v>
      </c>
      <c r="E687" s="20" t="str">
        <f>CONCATENATE(T687,"-",U687,"-",C687)</f>
        <v>SP1-A5-43313</v>
      </c>
      <c r="F687" s="16" t="s">
        <v>227</v>
      </c>
      <c r="G687" s="145" t="s">
        <v>107</v>
      </c>
      <c r="H687" s="145"/>
      <c r="I687" s="145"/>
      <c r="J687" s="145">
        <v>1538</v>
      </c>
      <c r="K687" s="145">
        <v>2722</v>
      </c>
      <c r="M687" s="16"/>
      <c r="N687" s="16"/>
      <c r="O687" s="145" t="s">
        <v>119</v>
      </c>
      <c r="P687" s="18" t="s">
        <v>119</v>
      </c>
      <c r="Q687" s="18">
        <v>0</v>
      </c>
      <c r="R687" s="18">
        <f>IF(J687=J686,C687-C686,"")</f>
        <v>12</v>
      </c>
      <c r="S687" s="145"/>
      <c r="T687" s="145" t="s">
        <v>140</v>
      </c>
      <c r="U687" s="145" t="s">
        <v>167</v>
      </c>
      <c r="V687" s="145" t="s">
        <v>142</v>
      </c>
      <c r="W687" s="145"/>
      <c r="X687" s="145" t="s">
        <v>121</v>
      </c>
      <c r="Y687" s="145" t="s">
        <v>110</v>
      </c>
      <c r="Z687" s="145">
        <v>3</v>
      </c>
      <c r="AA687" s="145" t="s">
        <v>119</v>
      </c>
      <c r="AB687" s="145" t="s">
        <v>123</v>
      </c>
      <c r="AC687" s="145" t="s">
        <v>123</v>
      </c>
      <c r="AD687" s="145" t="s">
        <v>123</v>
      </c>
      <c r="AE687" s="145"/>
      <c r="AF687" s="145"/>
      <c r="AG687" s="145">
        <f>AH687-AI687</f>
        <v>81</v>
      </c>
      <c r="AH687" s="145">
        <v>165</v>
      </c>
      <c r="AI687" s="145">
        <v>84</v>
      </c>
      <c r="AJ687" s="145"/>
      <c r="AK687" s="145">
        <v>14.5</v>
      </c>
      <c r="AL687" s="145">
        <v>0</v>
      </c>
      <c r="AM687" s="145">
        <v>0</v>
      </c>
      <c r="AN687" s="145">
        <v>0</v>
      </c>
      <c r="AO687" s="16">
        <f>IF(SUM(AL687:AN687)&gt;0, 1,0)</f>
        <v>0</v>
      </c>
      <c r="AP687" s="16">
        <f>SUM(AL687:AN687)</f>
        <v>0</v>
      </c>
      <c r="AS687" s="16">
        <f>VLOOKUP(E687,'[1]Feces weights'!$D$1:$H$459,5,FALSE)</f>
        <v>0.28200000000000003</v>
      </c>
      <c r="AT687" s="16" t="e">
        <f>VLOOKUP(E687,[2]Current!$A$1:$W$435,7,FALSE)</f>
        <v>#N/A</v>
      </c>
      <c r="BG687" s="23"/>
      <c r="BT687" s="77"/>
      <c r="CD687" s="77"/>
      <c r="DG687" s="145" t="s">
        <v>123</v>
      </c>
      <c r="DT687" s="145" t="s">
        <v>116</v>
      </c>
      <c r="DU687" s="145"/>
      <c r="DX687" s="145"/>
      <c r="DY687" s="145"/>
      <c r="DZ687" s="16"/>
      <c r="EA687" s="16"/>
      <c r="EB687" s="16"/>
      <c r="EC687" s="16"/>
      <c r="ED687" s="16"/>
      <c r="EE687" s="16"/>
      <c r="EF687" s="16"/>
      <c r="JO687" s="18"/>
      <c r="JP687" s="18"/>
      <c r="JQ687" s="18"/>
      <c r="JR687" s="18"/>
      <c r="JS687" s="18"/>
      <c r="JT687" s="18"/>
      <c r="JU687" s="18"/>
      <c r="JV687" s="18"/>
      <c r="JW687" s="18"/>
      <c r="JX687" s="18"/>
      <c r="JY687" s="18"/>
      <c r="JZ687" s="18"/>
      <c r="KA687" s="18"/>
    </row>
    <row r="688" spans="2:288" ht="16" x14ac:dyDescent="0.2">
      <c r="B688" s="16">
        <v>2018</v>
      </c>
      <c r="C688" s="124">
        <v>43288</v>
      </c>
      <c r="D688" t="s">
        <v>932</v>
      </c>
      <c r="E688" s="37" t="str">
        <f>CONCATENATE(T688,"-",U688,"-",C688)</f>
        <v>SP2-E3-43288</v>
      </c>
      <c r="F688" s="16" t="s">
        <v>227</v>
      </c>
      <c r="G688" s="126" t="s">
        <v>107</v>
      </c>
      <c r="H688" s="126"/>
      <c r="J688" s="126">
        <v>1540</v>
      </c>
      <c r="K688" s="126">
        <v>2571</v>
      </c>
      <c r="O688" s="126" t="s">
        <v>119</v>
      </c>
      <c r="P688" s="18" t="s">
        <v>119</v>
      </c>
      <c r="Q688" s="18">
        <v>0</v>
      </c>
      <c r="R688" s="18" t="str">
        <f>IF(J688=J687,C688-C687,"")</f>
        <v/>
      </c>
      <c r="T688" s="126" t="s">
        <v>137</v>
      </c>
      <c r="U688" s="126" t="s">
        <v>225</v>
      </c>
      <c r="V688" s="126" t="s">
        <v>114</v>
      </c>
      <c r="X688" s="126" t="s">
        <v>121</v>
      </c>
      <c r="Y688" s="126" t="s">
        <v>122</v>
      </c>
      <c r="Z688" s="126">
        <v>2.9</v>
      </c>
      <c r="AA688" s="126" t="s">
        <v>119</v>
      </c>
      <c r="AB688" s="126" t="s">
        <v>123</v>
      </c>
      <c r="AC688" s="126" t="s">
        <v>123</v>
      </c>
      <c r="AD688" s="126"/>
      <c r="AE688" s="126"/>
      <c r="AG688" s="16">
        <f>AH688-AI688</f>
        <v>76</v>
      </c>
      <c r="AH688" s="126">
        <v>149</v>
      </c>
      <c r="AI688" s="126">
        <v>73</v>
      </c>
      <c r="AK688" s="126">
        <v>15</v>
      </c>
      <c r="AL688" s="126">
        <v>0</v>
      </c>
      <c r="AM688" s="126">
        <v>0</v>
      </c>
      <c r="AN688" s="126">
        <v>0</v>
      </c>
      <c r="AO688" s="16">
        <f>IF(SUM(AL688:AN688)&gt;0,1,0)</f>
        <v>0</v>
      </c>
      <c r="AP688" s="18">
        <f>SUM(AL688:AN688)</f>
        <v>0</v>
      </c>
      <c r="AR688" s="16">
        <v>0.19900000000000007</v>
      </c>
      <c r="AS688" s="16">
        <f>VLOOKUP(E688,'[1]Feces weights'!$D$1:$H$459,5,FALSE)</f>
        <v>0.19900000000000007</v>
      </c>
      <c r="AT688" s="16" t="str">
        <f>VLOOKUP(E688,[2]Current!$A$1:$W$435,7,FALSE)</f>
        <v>TE</v>
      </c>
      <c r="AU688" s="16" t="s">
        <v>1288</v>
      </c>
      <c r="AW688" s="128">
        <f>IF(AX688&gt;0,1,0)</f>
        <v>1</v>
      </c>
      <c r="AX688" s="128">
        <f>SUM(BA688,BM688,CU688)</f>
        <v>2</v>
      </c>
      <c r="AY688" s="128">
        <f>SUM(BB688,BN688,CV688)</f>
        <v>122753.76884422106</v>
      </c>
      <c r="AZ688" s="128">
        <f>IF(BA688&gt;0,1,0)</f>
        <v>1</v>
      </c>
      <c r="BA688" s="128">
        <f>SUM(BC688+BF688+BI688)</f>
        <v>2</v>
      </c>
      <c r="BB688" s="128">
        <f>SUM(BE688,BH688,BK688)</f>
        <v>122753.76884422106</v>
      </c>
      <c r="BC688" s="130">
        <f>IF(BD688&gt;0,1,0)</f>
        <v>1</v>
      </c>
      <c r="BD688" s="128">
        <f>VLOOKUP($E688,[2]Current!$A:$AC,26,FALSE)</f>
        <v>732</v>
      </c>
      <c r="BE688" s="128">
        <f>BD688/$AS688</f>
        <v>3678.3919597989939</v>
      </c>
      <c r="BF688" s="130">
        <f>IF(BG688&gt;0,1,0)</f>
        <v>0</v>
      </c>
      <c r="BG688" s="175">
        <f>VLOOKUP($E688,[2]Current!$A:$AC,27,FALSE)</f>
        <v>0</v>
      </c>
      <c r="BH688" s="128">
        <f>BG688/$AS688</f>
        <v>0</v>
      </c>
      <c r="BI688" s="130">
        <f>IF(BJ688&gt;0,1,0)</f>
        <v>1</v>
      </c>
      <c r="BJ688" s="128">
        <f>VLOOKUP($E688,[2]Current!$A:$AC,28,FALSE)</f>
        <v>23696</v>
      </c>
      <c r="BK688" s="128">
        <f>BJ688/$AS688</f>
        <v>119075.37688442208</v>
      </c>
      <c r="BL688" s="128">
        <f>IF(BM688&gt;0,1,0)</f>
        <v>0</v>
      </c>
      <c r="BM688" s="128">
        <f>SUM(BR688,BU688,BX688,CA688,CD688)</f>
        <v>0</v>
      </c>
      <c r="BN688" s="131">
        <f>SUM(BT688,BW688,BZ688,CC688,CF688)</f>
        <v>0</v>
      </c>
      <c r="BO688" s="128">
        <f>IF(BP688&gt;0,1,0)</f>
        <v>0</v>
      </c>
      <c r="BP688" s="128">
        <f>BM688+CJ688</f>
        <v>0</v>
      </c>
      <c r="BQ688" s="128">
        <f>BN688+CL688</f>
        <v>0</v>
      </c>
      <c r="BR688" s="130">
        <f>IF(BS688&gt;0,1,0)</f>
        <v>0</v>
      </c>
      <c r="BS688" s="128">
        <f>VLOOKUP($E688,[2]Current!$A:$AC,12,FALSE)</f>
        <v>0</v>
      </c>
      <c r="BT688" s="137">
        <f>BS688/$AS688</f>
        <v>0</v>
      </c>
      <c r="BU688" s="130">
        <f>IF(BV688&gt;0,1,0)</f>
        <v>0</v>
      </c>
      <c r="BV688" s="128">
        <f>VLOOKUP($E688,[2]Current!$A:$AC,13,FALSE)</f>
        <v>0</v>
      </c>
      <c r="BW688" s="128">
        <f>BV688/$AS688</f>
        <v>0</v>
      </c>
      <c r="BX688" s="130">
        <f>IF(BY688&gt;0,1,0)</f>
        <v>0</v>
      </c>
      <c r="BY688" s="128">
        <f>VLOOKUP($E688,[2]Current!$A:$AC,14,FALSE)</f>
        <v>0</v>
      </c>
      <c r="BZ688" s="128">
        <f>BY688/$AS688</f>
        <v>0</v>
      </c>
      <c r="CA688" s="130">
        <f>IF(CB688&gt;0,1,0)</f>
        <v>0</v>
      </c>
      <c r="CB688" s="128">
        <f>VLOOKUP($E688,[2]Current!$A:$AC,15,FALSE)</f>
        <v>0</v>
      </c>
      <c r="CC688" s="128">
        <f>CB688/$AS688</f>
        <v>0</v>
      </c>
      <c r="CD688" s="174">
        <f>IF(CE688&gt;0,1,0)</f>
        <v>0</v>
      </c>
      <c r="CE688" s="128">
        <f>VLOOKUP($E688,[2]Current!$A:$AC,16,FALSE)</f>
        <v>0</v>
      </c>
      <c r="CF688" s="128">
        <f>CE688/$AS688</f>
        <v>0</v>
      </c>
      <c r="CG688" s="18"/>
      <c r="CH688" s="18"/>
      <c r="CI688" s="18"/>
      <c r="CJ688" s="130">
        <f>IF(CK688&gt;0,1,0)</f>
        <v>0</v>
      </c>
      <c r="CK688" s="128">
        <f>VLOOKUP($E688,[2]Current!$A:$AC,18,FALSE)</f>
        <v>0</v>
      </c>
      <c r="CL688" s="128">
        <f>CK688/$AS688</f>
        <v>0</v>
      </c>
      <c r="CS688" s="130">
        <f>IF(CU688&gt;0,1,0)</f>
        <v>0</v>
      </c>
      <c r="CU688" s="128">
        <f>VLOOKUP($E688,[2]Current!$A:$AC,17,FALSE)</f>
        <v>0</v>
      </c>
      <c r="CV688" s="128">
        <f>CU688/$AS688</f>
        <v>0</v>
      </c>
      <c r="CW688" s="18"/>
      <c r="CX688" s="18"/>
      <c r="CY688" s="18"/>
      <c r="DF688" s="16" t="e">
        <f>VLOOKUP(K688,'[3]RNA Seq summary tables'!$V$3:$V$99,1,FALSE)</f>
        <v>#N/A</v>
      </c>
      <c r="DG688" s="126" t="s">
        <v>123</v>
      </c>
    </row>
    <row r="689" spans="1:288" s="18" customFormat="1" ht="16" x14ac:dyDescent="0.2">
      <c r="B689" s="16">
        <v>2018</v>
      </c>
      <c r="C689" s="124">
        <v>43288</v>
      </c>
      <c r="D689" t="s">
        <v>933</v>
      </c>
      <c r="E689" s="37" t="str">
        <f>CONCATENATE(T689,"-",U689,"-",C689)</f>
        <v>SP1-A7-43288</v>
      </c>
      <c r="F689" s="16" t="s">
        <v>227</v>
      </c>
      <c r="G689" s="126" t="s">
        <v>107</v>
      </c>
      <c r="H689" s="126" t="s">
        <v>1129</v>
      </c>
      <c r="I689" s="16"/>
      <c r="J689" s="126">
        <v>1542</v>
      </c>
      <c r="K689" s="126">
        <v>2573</v>
      </c>
      <c r="L689" s="16"/>
      <c r="M689" s="21"/>
      <c r="N689" s="21"/>
      <c r="O689" s="126" t="s">
        <v>119</v>
      </c>
      <c r="P689" s="18" t="s">
        <v>119</v>
      </c>
      <c r="Q689" s="18">
        <v>0</v>
      </c>
      <c r="R689" s="18" t="str">
        <f>IF(J689=J688,C689-C688,"")</f>
        <v/>
      </c>
      <c r="S689" s="16"/>
      <c r="T689" s="126" t="s">
        <v>140</v>
      </c>
      <c r="U689" s="126" t="s">
        <v>120</v>
      </c>
      <c r="V689" s="126" t="s">
        <v>114</v>
      </c>
      <c r="W689" s="16"/>
      <c r="X689" s="126" t="s">
        <v>121</v>
      </c>
      <c r="Y689" s="126" t="s">
        <v>122</v>
      </c>
      <c r="Z689" s="126">
        <v>2.9</v>
      </c>
      <c r="AA689" s="126" t="s">
        <v>119</v>
      </c>
      <c r="AB689" s="126" t="s">
        <v>123</v>
      </c>
      <c r="AC689" s="126" t="s">
        <v>123</v>
      </c>
      <c r="AD689" s="126"/>
      <c r="AE689" s="126"/>
      <c r="AF689" s="16"/>
      <c r="AG689" s="16">
        <f>AH689-AI689</f>
        <v>70</v>
      </c>
      <c r="AH689" s="126">
        <v>139</v>
      </c>
      <c r="AI689" s="126">
        <v>69</v>
      </c>
      <c r="AJ689" s="16"/>
      <c r="AK689" s="126">
        <v>12</v>
      </c>
      <c r="AL689" s="126">
        <v>0</v>
      </c>
      <c r="AM689" s="126">
        <v>0</v>
      </c>
      <c r="AN689" s="126">
        <v>0</v>
      </c>
      <c r="AO689" s="16">
        <f>IF(SUM(AL689:AN689)&gt;0,1,0)</f>
        <v>0</v>
      </c>
      <c r="AP689" s="18">
        <f>SUM(AL689:AN689)</f>
        <v>0</v>
      </c>
      <c r="AQ689" s="16"/>
      <c r="AR689" s="16">
        <v>0.21900000000000008</v>
      </c>
      <c r="AS689" s="16">
        <f>VLOOKUP(E689,'[1]Feces weights'!$D$1:$H$459,5,FALSE)</f>
        <v>0.21900000000000008</v>
      </c>
      <c r="AT689" s="16" t="e">
        <f>VLOOKUP(E689,[2]Current!$A$1:$W$435,7,FALSE)</f>
        <v>#N/A</v>
      </c>
      <c r="AU689" s="16">
        <v>0</v>
      </c>
      <c r="AV689" s="16"/>
      <c r="AW689" s="16"/>
      <c r="AX689" s="16"/>
      <c r="AY689" s="16"/>
      <c r="AZ689" s="16"/>
      <c r="BA689" s="16"/>
      <c r="BB689" s="16"/>
      <c r="BC689" s="16"/>
      <c r="BD689" s="16"/>
      <c r="BE689" s="16"/>
      <c r="BF689" s="16"/>
      <c r="BG689" s="23"/>
      <c r="BH689" s="16"/>
      <c r="BI689" s="16"/>
      <c r="BJ689" s="16"/>
      <c r="BK689" s="16"/>
      <c r="BL689" s="16"/>
      <c r="BM689" s="16"/>
      <c r="BN689" s="126"/>
      <c r="BO689" s="16"/>
      <c r="BP689" s="16"/>
      <c r="BQ689" s="16"/>
      <c r="BR689" s="16"/>
      <c r="BS689" s="16"/>
      <c r="BT689" s="78"/>
      <c r="BW689" s="25"/>
      <c r="BZ689" s="25"/>
      <c r="CC689" s="25"/>
      <c r="CD689" s="78"/>
      <c r="CF689" s="25"/>
      <c r="CL689" s="25"/>
      <c r="CM689" s="16"/>
      <c r="CN689" s="16"/>
      <c r="CO689" s="16"/>
      <c r="CP689" s="16"/>
      <c r="CQ689" s="16"/>
      <c r="CR689" s="16"/>
      <c r="CS689" s="16"/>
      <c r="CT689" s="16"/>
      <c r="CU689" s="16"/>
      <c r="CV689" s="16"/>
      <c r="CW689" s="16"/>
      <c r="CX689" s="16"/>
      <c r="CY689" s="16"/>
      <c r="CZ689" s="16"/>
      <c r="DA689" s="16"/>
      <c r="DB689" s="16"/>
      <c r="DC689" s="16"/>
      <c r="DD689" s="16"/>
      <c r="DE689" s="16"/>
      <c r="DF689" s="16" t="e">
        <f>VLOOKUP(K689,'[3]RNA Seq summary tables'!$V$3:$V$99,1,FALSE)</f>
        <v>#N/A</v>
      </c>
      <c r="DG689" s="126" t="s">
        <v>123</v>
      </c>
      <c r="DH689" s="16"/>
      <c r="DI689" s="16"/>
      <c r="DJ689" s="16"/>
      <c r="DK689" s="16"/>
      <c r="DL689" s="16"/>
      <c r="DM689" s="16"/>
      <c r="DN689" s="16"/>
      <c r="DO689" s="16"/>
      <c r="DP689" s="16"/>
      <c r="DQ689" s="16"/>
      <c r="DR689" s="16"/>
      <c r="DS689" s="16"/>
      <c r="JO689" s="16"/>
      <c r="JP689" s="16"/>
      <c r="JQ689" s="16"/>
      <c r="JR689" s="16"/>
      <c r="JS689" s="16"/>
      <c r="JT689" s="16"/>
      <c r="JU689" s="16"/>
      <c r="JV689" s="16"/>
      <c r="JW689" s="16"/>
      <c r="JX689" s="16"/>
      <c r="JY689" s="16"/>
      <c r="JZ689" s="16"/>
      <c r="KA689" s="16"/>
      <c r="KB689" s="16"/>
    </row>
    <row r="690" spans="1:288" ht="16" x14ac:dyDescent="0.2">
      <c r="B690" s="16">
        <v>2018</v>
      </c>
      <c r="C690" s="147">
        <v>43313</v>
      </c>
      <c r="D690" t="s">
        <v>1206</v>
      </c>
      <c r="E690" s="20" t="str">
        <f>CONCATENATE(T690,"-",U690,"-",C690)</f>
        <v>SP1-A1-43313</v>
      </c>
      <c r="F690" s="16" t="s">
        <v>227</v>
      </c>
      <c r="G690" s="145" t="s">
        <v>107</v>
      </c>
      <c r="H690" s="145"/>
      <c r="I690" s="145"/>
      <c r="J690" s="145">
        <v>1542</v>
      </c>
      <c r="K690" s="145">
        <v>2721</v>
      </c>
      <c r="M690" s="16"/>
      <c r="N690" s="16"/>
      <c r="O690" s="145" t="s">
        <v>119</v>
      </c>
      <c r="P690" s="18" t="s">
        <v>119</v>
      </c>
      <c r="Q690" s="18">
        <v>0</v>
      </c>
      <c r="R690" s="18">
        <f>IF(J690=J689,C690-C689,"")</f>
        <v>25</v>
      </c>
      <c r="S690" s="145"/>
      <c r="T690" s="145" t="s">
        <v>140</v>
      </c>
      <c r="U690" s="145" t="s">
        <v>210</v>
      </c>
      <c r="V690" s="145" t="s">
        <v>114</v>
      </c>
      <c r="W690" s="145"/>
      <c r="X690" s="145" t="s">
        <v>121</v>
      </c>
      <c r="Y690" s="145" t="s">
        <v>110</v>
      </c>
      <c r="Z690" s="145">
        <v>3</v>
      </c>
      <c r="AA690" s="145" t="s">
        <v>119</v>
      </c>
      <c r="AB690" s="145" t="s">
        <v>123</v>
      </c>
      <c r="AC690" s="145" t="s">
        <v>116</v>
      </c>
      <c r="AD690" s="145" t="s">
        <v>116</v>
      </c>
      <c r="AE690" s="145"/>
      <c r="AF690" s="145"/>
      <c r="AG690" s="145">
        <f>AH690-AI690</f>
        <v>78</v>
      </c>
      <c r="AH690" s="145">
        <v>152</v>
      </c>
      <c r="AI690" s="145">
        <v>74</v>
      </c>
      <c r="AJ690" s="145"/>
      <c r="AK690" s="145">
        <v>16.5</v>
      </c>
      <c r="AL690" s="145">
        <v>1</v>
      </c>
      <c r="AM690" s="145">
        <v>0</v>
      </c>
      <c r="AN690" s="145">
        <v>0</v>
      </c>
      <c r="AO690" s="16">
        <f>IF(SUM(AL690:AN690)&gt;0, 1,0)</f>
        <v>1</v>
      </c>
      <c r="AP690" s="16">
        <f>SUM(AL690:AN690)</f>
        <v>1</v>
      </c>
      <c r="AS690" s="16">
        <f>VLOOKUP(E690,'[1]Feces weights'!$D$1:$H$459,5,FALSE)</f>
        <v>0.17500000000000004</v>
      </c>
      <c r="AT690" s="16" t="e">
        <f>VLOOKUP(E690,[2]Current!$A$1:$W$435,7,FALSE)</f>
        <v>#N/A</v>
      </c>
      <c r="BG690" s="23"/>
      <c r="BT690" s="77"/>
      <c r="CD690" s="77"/>
      <c r="DG690" s="145" t="s">
        <v>123</v>
      </c>
      <c r="DT690" s="145" t="s">
        <v>123</v>
      </c>
      <c r="DU690" s="145"/>
      <c r="DX690" s="145"/>
      <c r="DY690" s="145"/>
      <c r="DZ690" s="16"/>
      <c r="EA690" s="16"/>
      <c r="EB690" s="16"/>
      <c r="EC690" s="16"/>
      <c r="ED690" s="16"/>
      <c r="EE690" s="16"/>
      <c r="EF690" s="16"/>
      <c r="JO690" s="18"/>
      <c r="JP690" s="18"/>
      <c r="JQ690" s="18"/>
      <c r="JR690" s="18"/>
      <c r="JS690" s="18"/>
      <c r="JT690" s="18"/>
      <c r="JU690" s="18"/>
      <c r="JV690" s="18"/>
      <c r="JW690" s="18"/>
      <c r="JX690" s="18"/>
      <c r="JY690" s="18"/>
      <c r="JZ690" s="18"/>
      <c r="KA690" s="18"/>
    </row>
    <row r="691" spans="1:288" s="87" customFormat="1" ht="16" x14ac:dyDescent="0.2">
      <c r="A691" s="89"/>
      <c r="B691" s="87">
        <v>2018</v>
      </c>
      <c r="C691" s="171">
        <v>43292</v>
      </c>
      <c r="D691" s="182" t="s">
        <v>948</v>
      </c>
      <c r="E691" s="184" t="str">
        <f>CONCATENATE(T691,"-",U691,"-",C691)</f>
        <v>BC1-C7-43292</v>
      </c>
      <c r="F691" s="87" t="s">
        <v>227</v>
      </c>
      <c r="G691" s="172" t="s">
        <v>107</v>
      </c>
      <c r="H691" s="172" t="s">
        <v>1133</v>
      </c>
      <c r="J691" s="172">
        <v>1544</v>
      </c>
      <c r="K691" s="172">
        <v>2576</v>
      </c>
      <c r="M691" s="88"/>
      <c r="N691" s="88"/>
      <c r="O691" s="172" t="s">
        <v>119</v>
      </c>
      <c r="P691" s="18" t="s">
        <v>119</v>
      </c>
      <c r="Q691" s="18">
        <v>0</v>
      </c>
      <c r="R691" s="18" t="str">
        <f>IF(J691=J690,C691-C690,"")</f>
        <v/>
      </c>
      <c r="T691" s="172" t="s">
        <v>159</v>
      </c>
      <c r="U691" s="172" t="s">
        <v>207</v>
      </c>
      <c r="V691" s="172" t="s">
        <v>114</v>
      </c>
      <c r="X691" s="172" t="s">
        <v>121</v>
      </c>
      <c r="Y691" s="172" t="s">
        <v>145</v>
      </c>
      <c r="Z691" s="172">
        <v>1</v>
      </c>
      <c r="AA691" s="172" t="s">
        <v>123</v>
      </c>
      <c r="AB691" s="172" t="s">
        <v>123</v>
      </c>
      <c r="AC691" s="172" t="s">
        <v>123</v>
      </c>
      <c r="AD691" s="172"/>
      <c r="AE691" s="172"/>
      <c r="AG691" s="87">
        <f>AH691-AI691</f>
        <v>72</v>
      </c>
      <c r="AH691" s="172">
        <v>135</v>
      </c>
      <c r="AI691" s="172">
        <v>63</v>
      </c>
      <c r="AK691" s="172">
        <v>10.5</v>
      </c>
      <c r="AL691" s="172">
        <v>1</v>
      </c>
      <c r="AM691" s="172">
        <v>0</v>
      </c>
      <c r="AN691" s="172">
        <v>0</v>
      </c>
      <c r="AO691" s="87">
        <f>IF(SUM(AL691:AN691)&gt;0,1,0)</f>
        <v>1</v>
      </c>
      <c r="AP691" s="89">
        <f>SUM(AL691:AN691)</f>
        <v>1</v>
      </c>
      <c r="AQ691" s="87" t="s">
        <v>1278</v>
      </c>
      <c r="AT691" s="87" t="e">
        <f>VLOOKUP(E691,[2]Current!$A$1:$W$435,7,FALSE)</f>
        <v>#N/A</v>
      </c>
      <c r="AU691" s="87">
        <v>0</v>
      </c>
      <c r="AW691" s="16"/>
      <c r="AX691" s="16"/>
      <c r="AY691" s="16"/>
      <c r="AZ691" s="16"/>
      <c r="BA691" s="16"/>
      <c r="BB691" s="16"/>
      <c r="BC691" s="16"/>
      <c r="BD691" s="16"/>
      <c r="BE691" s="16"/>
      <c r="BF691" s="16"/>
      <c r="BG691" s="23"/>
      <c r="BH691" s="16"/>
      <c r="BI691" s="16"/>
      <c r="BJ691" s="16"/>
      <c r="BK691" s="16"/>
      <c r="BL691" s="16"/>
      <c r="BM691" s="16"/>
      <c r="BN691" s="126"/>
      <c r="BO691" s="16"/>
      <c r="BP691" s="16"/>
      <c r="BQ691" s="16"/>
      <c r="BR691" s="16"/>
      <c r="BS691" s="16"/>
      <c r="BT691" s="78"/>
      <c r="BU691" s="18"/>
      <c r="BV691" s="18"/>
      <c r="BW691" s="25"/>
      <c r="BX691" s="18"/>
      <c r="BY691" s="18"/>
      <c r="BZ691" s="25"/>
      <c r="CA691" s="18"/>
      <c r="CB691" s="18"/>
      <c r="CC691" s="25"/>
      <c r="CD691" s="78"/>
      <c r="CE691" s="18"/>
      <c r="CF691" s="25"/>
      <c r="CG691" s="18"/>
      <c r="CH691" s="18"/>
      <c r="CI691" s="18"/>
      <c r="CJ691" s="18"/>
      <c r="CK691" s="18"/>
      <c r="CL691" s="25"/>
      <c r="CM691" s="16"/>
      <c r="CN691" s="16"/>
      <c r="CO691" s="16"/>
      <c r="CP691" s="16"/>
      <c r="CQ691" s="16"/>
      <c r="CR691" s="16"/>
      <c r="CS691" s="16"/>
      <c r="CT691" s="16"/>
      <c r="CU691" s="16"/>
      <c r="CV691" s="16"/>
      <c r="DF691" s="87" t="e">
        <f>VLOOKUP(K691,'[3]RNA Seq summary tables'!$V$3:$V$99,1,FALSE)</f>
        <v>#N/A</v>
      </c>
      <c r="DG691" s="172" t="s">
        <v>123</v>
      </c>
      <c r="DT691" s="89"/>
      <c r="DU691" s="89"/>
      <c r="DV691" s="89"/>
      <c r="DW691" s="89"/>
      <c r="DX691" s="89"/>
      <c r="DY691" s="89"/>
      <c r="DZ691" s="89"/>
      <c r="EA691" s="89"/>
      <c r="EB691" s="89"/>
      <c r="EC691" s="89"/>
      <c r="ED691" s="89"/>
      <c r="EE691" s="89"/>
      <c r="EF691" s="89"/>
      <c r="EG691" s="89"/>
      <c r="EH691" s="89"/>
      <c r="EI691" s="89"/>
      <c r="EJ691" s="89"/>
      <c r="EK691" s="89"/>
      <c r="EL691" s="89"/>
      <c r="EM691" s="89"/>
      <c r="EN691" s="89"/>
      <c r="EO691" s="89"/>
      <c r="EP691" s="89"/>
      <c r="EQ691" s="89"/>
      <c r="ER691" s="89"/>
      <c r="ES691" s="89"/>
      <c r="ET691" s="89"/>
      <c r="EU691" s="89"/>
      <c r="EV691" s="89"/>
      <c r="EW691" s="89"/>
      <c r="EX691" s="89"/>
      <c r="EY691" s="89"/>
      <c r="EZ691" s="89"/>
      <c r="FA691" s="89"/>
      <c r="FB691" s="89"/>
      <c r="FC691" s="89"/>
      <c r="FD691" s="89"/>
      <c r="FE691" s="89"/>
      <c r="FF691" s="89"/>
      <c r="FG691" s="89"/>
      <c r="FH691" s="89"/>
      <c r="FI691" s="89"/>
      <c r="FJ691" s="89"/>
      <c r="FK691" s="89"/>
      <c r="FL691" s="89"/>
      <c r="FM691" s="89"/>
      <c r="FN691" s="89"/>
      <c r="FO691" s="89"/>
      <c r="FP691" s="89"/>
      <c r="FQ691" s="89"/>
      <c r="FR691" s="89"/>
      <c r="FS691" s="89"/>
      <c r="FT691" s="89"/>
      <c r="FU691" s="89"/>
      <c r="FV691" s="89"/>
      <c r="FW691" s="89"/>
      <c r="FX691" s="89"/>
      <c r="FY691" s="89"/>
      <c r="FZ691" s="89"/>
      <c r="GA691" s="89"/>
      <c r="GB691" s="89"/>
      <c r="GC691" s="89"/>
      <c r="GD691" s="89"/>
      <c r="GE691" s="89"/>
      <c r="GF691" s="89"/>
      <c r="GG691" s="89"/>
      <c r="GH691" s="89"/>
      <c r="GI691" s="89"/>
      <c r="GJ691" s="89"/>
      <c r="GK691" s="89"/>
      <c r="GL691" s="89"/>
      <c r="GM691" s="89"/>
      <c r="GN691" s="89"/>
      <c r="GO691" s="89"/>
      <c r="GP691" s="89"/>
      <c r="GQ691" s="89"/>
      <c r="GR691" s="89"/>
      <c r="GS691" s="89"/>
      <c r="GT691" s="89"/>
      <c r="GU691" s="89"/>
      <c r="GV691" s="89"/>
      <c r="GW691" s="89"/>
      <c r="GX691" s="89"/>
      <c r="GY691" s="89"/>
      <c r="GZ691" s="89"/>
      <c r="HA691" s="89"/>
      <c r="HB691" s="89"/>
      <c r="HC691" s="89"/>
      <c r="HD691" s="89"/>
      <c r="HE691" s="89"/>
      <c r="HF691" s="89"/>
      <c r="HG691" s="89"/>
      <c r="HH691" s="89"/>
      <c r="HI691" s="89"/>
      <c r="HJ691" s="89"/>
      <c r="HK691" s="89"/>
      <c r="HL691" s="89"/>
      <c r="HM691" s="89"/>
      <c r="HN691" s="89"/>
      <c r="HO691" s="89"/>
      <c r="HP691" s="89"/>
      <c r="HQ691" s="89"/>
      <c r="HR691" s="89"/>
      <c r="HS691" s="89"/>
      <c r="HT691" s="89"/>
      <c r="HU691" s="89"/>
      <c r="HV691" s="89"/>
      <c r="HW691" s="89"/>
      <c r="HX691" s="89"/>
      <c r="HY691" s="89"/>
      <c r="HZ691" s="89"/>
      <c r="IA691" s="89"/>
      <c r="IB691" s="89"/>
      <c r="IC691" s="89"/>
      <c r="ID691" s="89"/>
      <c r="IE691" s="89"/>
      <c r="IF691" s="89"/>
      <c r="IG691" s="89"/>
      <c r="IH691" s="89"/>
      <c r="II691" s="89"/>
      <c r="IJ691" s="89"/>
      <c r="IK691" s="89"/>
      <c r="IL691" s="89"/>
      <c r="IM691" s="89"/>
      <c r="IN691" s="89"/>
      <c r="IO691" s="89"/>
      <c r="IP691" s="89"/>
      <c r="IQ691" s="89"/>
      <c r="IR691" s="89"/>
      <c r="IS691" s="89"/>
      <c r="IT691" s="89"/>
      <c r="IU691" s="89"/>
      <c r="IV691" s="89"/>
      <c r="IW691" s="89"/>
      <c r="IX691" s="89"/>
      <c r="IY691" s="89"/>
      <c r="IZ691" s="89"/>
      <c r="JA691" s="89"/>
      <c r="JB691" s="89"/>
      <c r="JC691" s="89"/>
      <c r="JD691" s="89"/>
      <c r="JE691" s="89"/>
      <c r="JF691" s="89"/>
      <c r="JG691" s="89"/>
      <c r="JH691" s="89"/>
      <c r="JI691" s="89"/>
      <c r="JJ691" s="89"/>
      <c r="JK691" s="89"/>
      <c r="JL691" s="89"/>
      <c r="JM691" s="89"/>
      <c r="JN691" s="89"/>
    </row>
    <row r="692" spans="1:288" ht="16" x14ac:dyDescent="0.2">
      <c r="B692" s="16">
        <v>2018</v>
      </c>
      <c r="C692" s="124">
        <v>43304</v>
      </c>
      <c r="D692" t="s">
        <v>1042</v>
      </c>
      <c r="E692" s="37" t="str">
        <f>CONCATENATE(T692,"-",U692,"-",C692)</f>
        <v>BC1-D2-43304</v>
      </c>
      <c r="F692" s="16" t="s">
        <v>227</v>
      </c>
      <c r="G692" s="126" t="s">
        <v>107</v>
      </c>
      <c r="H692" s="126"/>
      <c r="J692" s="126">
        <v>1544</v>
      </c>
      <c r="K692" s="126">
        <v>2681</v>
      </c>
      <c r="O692" s="126" t="s">
        <v>119</v>
      </c>
      <c r="P692" s="18" t="s">
        <v>119</v>
      </c>
      <c r="Q692" s="18">
        <v>0</v>
      </c>
      <c r="R692" s="18">
        <f>IF(J692=J691,C692-C691,"")</f>
        <v>12</v>
      </c>
      <c r="T692" s="126" t="s">
        <v>159</v>
      </c>
      <c r="U692" s="126" t="s">
        <v>198</v>
      </c>
      <c r="V692" s="126" t="s">
        <v>114</v>
      </c>
      <c r="X692" s="126" t="s">
        <v>121</v>
      </c>
      <c r="Y692" s="126" t="s">
        <v>122</v>
      </c>
      <c r="Z692" s="126">
        <v>2.2999999999999998</v>
      </c>
      <c r="AA692" s="126" t="s">
        <v>119</v>
      </c>
      <c r="AB692" s="126" t="s">
        <v>123</v>
      </c>
      <c r="AC692" s="126" t="s">
        <v>123</v>
      </c>
      <c r="AD692" s="126"/>
      <c r="AE692" s="126"/>
      <c r="AG692" s="40">
        <f>AH692-AI692</f>
        <v>78</v>
      </c>
      <c r="AH692" s="126">
        <v>146</v>
      </c>
      <c r="AI692" s="126">
        <v>68</v>
      </c>
      <c r="AK692" s="126">
        <v>15</v>
      </c>
      <c r="AL692" s="126">
        <v>0</v>
      </c>
      <c r="AM692" s="126">
        <v>0</v>
      </c>
      <c r="AN692" s="126">
        <v>0</v>
      </c>
      <c r="AO692" s="16">
        <f>IF(SUM(AL692:AN692)&gt;0,1,0)</f>
        <v>0</v>
      </c>
      <c r="AP692" s="18">
        <f>SUM(AL692:AN692)</f>
        <v>0</v>
      </c>
      <c r="AR692" s="16">
        <v>0.27200000000000002</v>
      </c>
      <c r="AS692" s="16">
        <f>VLOOKUP(E692,'[1]Feces weights'!$D$1:$H$459,5,FALSE)</f>
        <v>0.27200000000000002</v>
      </c>
      <c r="AT692" s="16" t="str">
        <f>VLOOKUP(E692,[2]Current!$A$1:$W$435,7,FALSE)</f>
        <v>DP</v>
      </c>
      <c r="AU692" s="16" t="s">
        <v>1288</v>
      </c>
      <c r="AW692" s="128">
        <f>IF(AX692&gt;0,1,0)</f>
        <v>1</v>
      </c>
      <c r="AX692" s="128">
        <f>SUM(BA692,BM692,CU692)</f>
        <v>3</v>
      </c>
      <c r="AY692" s="128">
        <f>SUM(BB692,BN692,CV692)</f>
        <v>88823.529411764699</v>
      </c>
      <c r="AZ692" s="128">
        <f>IF(BA692&gt;0,1,0)</f>
        <v>1</v>
      </c>
      <c r="BA692" s="128">
        <f>SUM(BC692+BF692+BI692)</f>
        <v>3</v>
      </c>
      <c r="BB692" s="128">
        <f>SUM(BE692,BH692,BK692)</f>
        <v>88823.529411764699</v>
      </c>
      <c r="BC692" s="130">
        <f>IF(BD692&gt;0,1,0)</f>
        <v>1</v>
      </c>
      <c r="BD692" s="128">
        <f>VLOOKUP($E692,[2]Current!$A:$AC,26,FALSE)</f>
        <v>180</v>
      </c>
      <c r="BE692" s="128">
        <f>BD692/$AS692</f>
        <v>661.76470588235293</v>
      </c>
      <c r="BF692" s="130">
        <f>IF(BG692&gt;0,1,0)</f>
        <v>1</v>
      </c>
      <c r="BG692" s="175">
        <f>VLOOKUP($E692,[2]Current!$A:$AC,27,FALSE)</f>
        <v>22708</v>
      </c>
      <c r="BH692" s="128">
        <f>BG692/$AS692</f>
        <v>83485.294117647049</v>
      </c>
      <c r="BI692" s="130">
        <f>IF(BJ692&gt;0,1,0)</f>
        <v>1</v>
      </c>
      <c r="BJ692" s="128">
        <f>VLOOKUP($E692,[2]Current!$A:$AC,28,FALSE)</f>
        <v>1272</v>
      </c>
      <c r="BK692" s="128">
        <f>BJ692/$AS692</f>
        <v>4676.4705882352937</v>
      </c>
      <c r="BL692" s="128">
        <f>IF(BM692&gt;0,1,0)</f>
        <v>0</v>
      </c>
      <c r="BM692" s="128">
        <f>SUM(BR692,BU692,BX692,CA692,CD692)</f>
        <v>0</v>
      </c>
      <c r="BN692" s="131">
        <f>SUM(BT692,BW692,BZ692,CC692,CF692)</f>
        <v>0</v>
      </c>
      <c r="BO692" s="128">
        <f>IF(BP692&gt;0,1,0)</f>
        <v>0</v>
      </c>
      <c r="BP692" s="128">
        <f>BM692+CJ692</f>
        <v>0</v>
      </c>
      <c r="BQ692" s="128">
        <f>BN692+CL692</f>
        <v>0</v>
      </c>
      <c r="BR692" s="130">
        <f>IF(BS692&gt;0,1,0)</f>
        <v>0</v>
      </c>
      <c r="BS692" s="128">
        <f>VLOOKUP($E692,[2]Current!$A:$AC,12,FALSE)</f>
        <v>0</v>
      </c>
      <c r="BT692" s="175">
        <f>BS692/$AS692</f>
        <v>0</v>
      </c>
      <c r="BU692" s="130">
        <f>IF(BV692&gt;0,1,0)</f>
        <v>0</v>
      </c>
      <c r="BV692" s="128">
        <f>VLOOKUP($E692,[2]Current!$A:$AC,13,FALSE)</f>
        <v>0</v>
      </c>
      <c r="BW692" s="128">
        <f>BV692/$AS692</f>
        <v>0</v>
      </c>
      <c r="BX692" s="130">
        <f>IF(BY692&gt;0,1,0)</f>
        <v>0</v>
      </c>
      <c r="BY692" s="128">
        <f>VLOOKUP($E692,[2]Current!$A:$AC,14,FALSE)</f>
        <v>0</v>
      </c>
      <c r="BZ692" s="128">
        <f>BY692/$AS692</f>
        <v>0</v>
      </c>
      <c r="CA692" s="130">
        <f>IF(CB692&gt;0,1,0)</f>
        <v>0</v>
      </c>
      <c r="CB692" s="128">
        <f>VLOOKUP($E692,[2]Current!$A:$AC,15,FALSE)</f>
        <v>0</v>
      </c>
      <c r="CC692" s="128">
        <f>CB692/$AS692</f>
        <v>0</v>
      </c>
      <c r="CD692" s="176">
        <f>IF(CE692&gt;0,1,0)</f>
        <v>0</v>
      </c>
      <c r="CE692" s="128">
        <f>VLOOKUP($E692,[2]Current!$A:$AC,16,FALSE)</f>
        <v>0</v>
      </c>
      <c r="CF692" s="128">
        <f>CE692/$AS692</f>
        <v>0</v>
      </c>
      <c r="CG692" s="18"/>
      <c r="CH692" s="18"/>
      <c r="CI692" s="18"/>
      <c r="CJ692" s="130">
        <f>IF(CK692&gt;0,1,0)</f>
        <v>0</v>
      </c>
      <c r="CK692" s="128">
        <f>VLOOKUP($E692,[2]Current!$A:$AC,18,FALSE)</f>
        <v>0</v>
      </c>
      <c r="CL692" s="128">
        <f>CK692/$AS692</f>
        <v>0</v>
      </c>
      <c r="CS692" s="130">
        <f>IF(CU692&gt;0,1,0)</f>
        <v>0</v>
      </c>
      <c r="CU692" s="128">
        <f>VLOOKUP($E692,[2]Current!$A:$AC,17,FALSE)</f>
        <v>0</v>
      </c>
      <c r="CV692" s="128">
        <f>CU692/$AS692</f>
        <v>0</v>
      </c>
      <c r="CW692" s="18"/>
      <c r="CX692" s="18"/>
      <c r="CY692" s="18"/>
      <c r="DF692" s="16" t="e">
        <f>VLOOKUP(K692,'[3]RNA Seq summary tables'!$V$3:$V$99,1,FALSE)</f>
        <v>#N/A</v>
      </c>
      <c r="DG692" s="126" t="s">
        <v>123</v>
      </c>
    </row>
    <row r="693" spans="1:288" ht="16" x14ac:dyDescent="0.2">
      <c r="B693" s="16">
        <v>2018</v>
      </c>
      <c r="C693" s="124">
        <v>43292</v>
      </c>
      <c r="D693" t="s">
        <v>936</v>
      </c>
      <c r="E693" s="37" t="str">
        <f>CONCATENATE(T693,"-",U693,"-",C693)</f>
        <v>BC2-B6-43292</v>
      </c>
      <c r="F693" s="16" t="s">
        <v>227</v>
      </c>
      <c r="G693" s="126" t="s">
        <v>107</v>
      </c>
      <c r="H693" s="126"/>
      <c r="J693" s="126">
        <v>1547</v>
      </c>
      <c r="K693" s="126">
        <v>2583</v>
      </c>
      <c r="O693" s="126" t="s">
        <v>119</v>
      </c>
      <c r="P693" s="18" t="s">
        <v>119</v>
      </c>
      <c r="Q693" s="18">
        <v>0</v>
      </c>
      <c r="R693" s="18" t="str">
        <f>IF(J693=J692,C693-C692,"")</f>
        <v/>
      </c>
      <c r="T693" s="126" t="s">
        <v>154</v>
      </c>
      <c r="U693" s="126" t="s">
        <v>132</v>
      </c>
      <c r="V693" s="133" t="s">
        <v>142</v>
      </c>
      <c r="X693" s="126" t="s">
        <v>121</v>
      </c>
      <c r="Y693" s="126" t="s">
        <v>145</v>
      </c>
      <c r="Z693" s="126">
        <v>1</v>
      </c>
      <c r="AA693" s="126" t="s">
        <v>119</v>
      </c>
      <c r="AB693" s="126" t="s">
        <v>123</v>
      </c>
      <c r="AC693" s="126" t="s">
        <v>123</v>
      </c>
      <c r="AD693" s="126"/>
      <c r="AE693" s="126"/>
      <c r="AG693" s="16">
        <f>AH693-AI693</f>
        <v>69</v>
      </c>
      <c r="AH693" s="126">
        <v>139</v>
      </c>
      <c r="AI693" s="126">
        <v>70</v>
      </c>
      <c r="AK693" s="126">
        <v>9.5</v>
      </c>
      <c r="AL693" s="126">
        <v>0</v>
      </c>
      <c r="AM693" s="126">
        <v>0</v>
      </c>
      <c r="AN693" s="126">
        <v>0</v>
      </c>
      <c r="AO693" s="16">
        <f>IF(SUM(AL693:AN693)&gt;0,1,0)</f>
        <v>0</v>
      </c>
      <c r="AP693" s="18">
        <f>SUM(AL693:AN693)</f>
        <v>0</v>
      </c>
      <c r="AR693" s="16">
        <v>3.1000000000000139E-2</v>
      </c>
      <c r="AS693" s="16">
        <f>VLOOKUP(E693,'[1]Feces weights'!$D$1:$H$459,5,FALSE)</f>
        <v>3.1000000000000139E-2</v>
      </c>
      <c r="AT693" s="16" t="str">
        <f>VLOOKUP(E693,[2]Current!$A$1:$W$435,7,FALSE)</f>
        <v>TE</v>
      </c>
      <c r="AU693" s="16" t="s">
        <v>1288</v>
      </c>
      <c r="AV693" s="23">
        <v>1</v>
      </c>
      <c r="AW693" s="128">
        <f>IF(AX693&gt;0,1,0)</f>
        <v>0</v>
      </c>
      <c r="AX693" s="128">
        <f>SUM(BA693,BM693,CU693)</f>
        <v>0</v>
      </c>
      <c r="AY693" s="128">
        <f>SUM(BB693,BN693,CV693)</f>
        <v>0</v>
      </c>
      <c r="AZ693" s="128">
        <f>IF(BA693&gt;0,1,0)</f>
        <v>0</v>
      </c>
      <c r="BA693" s="128">
        <f>SUM(BC693+BF693+BI693)</f>
        <v>0</v>
      </c>
      <c r="BB693" s="128">
        <f>SUM(BE693,BH693,BK693)</f>
        <v>0</v>
      </c>
      <c r="BC693" s="130">
        <f>IF(BD693&gt;0,1,0)</f>
        <v>0</v>
      </c>
      <c r="BD693" s="128">
        <f>VLOOKUP($E693,[2]Current!$A:$AC,26,FALSE)</f>
        <v>0</v>
      </c>
      <c r="BE693" s="128">
        <f>BD693/$AS693</f>
        <v>0</v>
      </c>
      <c r="BF693" s="130">
        <f>IF(BG693&gt;0,1,0)</f>
        <v>0</v>
      </c>
      <c r="BG693" s="175">
        <f>VLOOKUP($E693,[2]Current!$A:$AC,27,FALSE)</f>
        <v>0</v>
      </c>
      <c r="BH693" s="128">
        <f>BG693/$AS693</f>
        <v>0</v>
      </c>
      <c r="BI693" s="130">
        <f>IF(BJ693&gt;0,1,0)</f>
        <v>0</v>
      </c>
      <c r="BJ693" s="128">
        <f>VLOOKUP($E693,[2]Current!$A:$AC,28,FALSE)</f>
        <v>0</v>
      </c>
      <c r="BK693" s="128">
        <f>BJ693/$AS693</f>
        <v>0</v>
      </c>
      <c r="BL693" s="128">
        <f>IF(BM693&gt;0,1,0)</f>
        <v>0</v>
      </c>
      <c r="BM693" s="128">
        <f>SUM(BR693,BU693,BX693,CA693,CD693)</f>
        <v>0</v>
      </c>
      <c r="BN693" s="131">
        <f>SUM(BT693,BW693,BZ693,CC693,CF693)</f>
        <v>0</v>
      </c>
      <c r="BO693" s="128">
        <f>IF(BP693&gt;0,1,0)</f>
        <v>0</v>
      </c>
      <c r="BP693" s="128">
        <f>BM693+CJ693</f>
        <v>0</v>
      </c>
      <c r="BQ693" s="128">
        <f>BN693+CL693</f>
        <v>0</v>
      </c>
      <c r="BR693" s="130">
        <f>IF(BS693&gt;0,1,0)</f>
        <v>0</v>
      </c>
      <c r="BS693" s="128">
        <f>VLOOKUP($E693,[2]Current!$A:$AC,12,FALSE)</f>
        <v>0</v>
      </c>
      <c r="BT693" s="175">
        <f>BS693/$AS693</f>
        <v>0</v>
      </c>
      <c r="BU693" s="130">
        <f>IF(BV693&gt;0,1,0)</f>
        <v>0</v>
      </c>
      <c r="BV693" s="128">
        <f>VLOOKUP($E693,[2]Current!$A:$AC,13,FALSE)</f>
        <v>0</v>
      </c>
      <c r="BW693" s="128">
        <f>BV693/$AS693</f>
        <v>0</v>
      </c>
      <c r="BX693" s="130">
        <f>IF(BY693&gt;0,1,0)</f>
        <v>0</v>
      </c>
      <c r="BY693" s="128">
        <f>VLOOKUP($E693,[2]Current!$A:$AC,14,FALSE)</f>
        <v>0</v>
      </c>
      <c r="BZ693" s="128">
        <f>BY693/$AS693</f>
        <v>0</v>
      </c>
      <c r="CA693" s="130">
        <f>IF(CB693&gt;0,1,0)</f>
        <v>0</v>
      </c>
      <c r="CB693" s="128">
        <f>VLOOKUP($E693,[2]Current!$A:$AC,15,FALSE)</f>
        <v>0</v>
      </c>
      <c r="CC693" s="128">
        <f>CB693/$AS693</f>
        <v>0</v>
      </c>
      <c r="CD693" s="176">
        <f>IF(CE693&gt;0,1,0)</f>
        <v>0</v>
      </c>
      <c r="CE693" s="128">
        <f>VLOOKUP($E693,[2]Current!$A:$AC,16,FALSE)</f>
        <v>0</v>
      </c>
      <c r="CF693" s="128">
        <f>CE693/$AS693</f>
        <v>0</v>
      </c>
      <c r="CG693" s="18"/>
      <c r="CH693" s="18"/>
      <c r="CI693" s="18"/>
      <c r="CJ693" s="130">
        <f>IF(CK693&gt;0,1,0)</f>
        <v>0</v>
      </c>
      <c r="CK693" s="128">
        <f>VLOOKUP($E693,[2]Current!$A:$AC,18,FALSE)</f>
        <v>0</v>
      </c>
      <c r="CL693" s="128">
        <f>CK693/$AS693</f>
        <v>0</v>
      </c>
      <c r="CS693" s="130">
        <f>IF(CU693&gt;0,1,0)</f>
        <v>0</v>
      </c>
      <c r="CU693" s="128">
        <f>VLOOKUP($E693,[2]Current!$A:$AC,17,FALSE)</f>
        <v>0</v>
      </c>
      <c r="CV693" s="128">
        <f>CU693/$AS693</f>
        <v>0</v>
      </c>
      <c r="CW693" s="18"/>
      <c r="CX693" s="18"/>
      <c r="CY693" s="18"/>
      <c r="DF693" s="16" t="e">
        <f>VLOOKUP(K693,'[3]RNA Seq summary tables'!$V$3:$V$99,1,FALSE)</f>
        <v>#N/A</v>
      </c>
      <c r="DG693" s="126" t="s">
        <v>123</v>
      </c>
    </row>
    <row r="694" spans="1:288" ht="16" x14ac:dyDescent="0.2">
      <c r="B694" s="16">
        <v>2018</v>
      </c>
      <c r="C694" s="124">
        <v>43293</v>
      </c>
      <c r="D694" t="s">
        <v>949</v>
      </c>
      <c r="E694" s="37" t="str">
        <f>CONCATENATE(T694,"-",U694,"-",C694)</f>
        <v>BC1-G7-43293</v>
      </c>
      <c r="F694" s="16" t="s">
        <v>227</v>
      </c>
      <c r="G694" s="126" t="s">
        <v>107</v>
      </c>
      <c r="H694" s="126"/>
      <c r="J694" s="126">
        <v>1549</v>
      </c>
      <c r="K694" s="126">
        <v>2588</v>
      </c>
      <c r="O694" s="126" t="s">
        <v>119</v>
      </c>
      <c r="P694" s="18" t="s">
        <v>119</v>
      </c>
      <c r="Q694" s="18">
        <v>0</v>
      </c>
      <c r="R694" s="18" t="str">
        <f>IF(J694=J693,C694-C693,"")</f>
        <v/>
      </c>
      <c r="T694" s="126" t="s">
        <v>159</v>
      </c>
      <c r="U694" s="126" t="s">
        <v>156</v>
      </c>
      <c r="V694" s="133" t="s">
        <v>142</v>
      </c>
      <c r="X694" s="126" t="s">
        <v>115</v>
      </c>
      <c r="Y694" s="126" t="s">
        <v>110</v>
      </c>
      <c r="Z694" s="126">
        <v>3</v>
      </c>
      <c r="AA694" s="126"/>
      <c r="AB694" s="126"/>
      <c r="AC694" s="126"/>
      <c r="AD694" s="126"/>
      <c r="AE694" s="126" t="s">
        <v>116</v>
      </c>
      <c r="AG694" s="16">
        <f>AH694-AI694</f>
        <v>88</v>
      </c>
      <c r="AH694" s="126">
        <v>183</v>
      </c>
      <c r="AI694" s="126">
        <v>95</v>
      </c>
      <c r="AK694" s="126">
        <v>17</v>
      </c>
      <c r="AL694" s="126">
        <v>0</v>
      </c>
      <c r="AM694" s="126">
        <v>0</v>
      </c>
      <c r="AN694" s="126">
        <v>0</v>
      </c>
      <c r="AO694" s="16">
        <f>IF(SUM(AL694:AN694)&gt;0,1,0)</f>
        <v>0</v>
      </c>
      <c r="AP694" s="18">
        <f>SUM(AL694:AN694)</f>
        <v>0</v>
      </c>
      <c r="AQ694" s="16" t="s">
        <v>1284</v>
      </c>
      <c r="AR694" s="16">
        <v>-2.3999999999999799E-2</v>
      </c>
      <c r="AS694" s="16">
        <v>1E-3</v>
      </c>
      <c r="AT694" s="16" t="str">
        <f>VLOOKUP(E694,[2]Current!$A$1:$W$435,7,FALSE)</f>
        <v>TE</v>
      </c>
      <c r="AU694" s="16" t="s">
        <v>1288</v>
      </c>
      <c r="AV694" s="16">
        <v>1</v>
      </c>
      <c r="AW694" s="128">
        <f>IF(AX694&gt;0,1,0)</f>
        <v>0</v>
      </c>
      <c r="AX694" s="128">
        <f>SUM(BA694,BM694,CU694)</f>
        <v>0</v>
      </c>
      <c r="AY694" s="128">
        <f>SUM(BB694,BN694,CV694)</f>
        <v>0</v>
      </c>
      <c r="AZ694" s="128">
        <f>IF(BA694&gt;0,1,0)</f>
        <v>0</v>
      </c>
      <c r="BA694" s="128">
        <f>SUM(BC694+BF694+BI694)</f>
        <v>0</v>
      </c>
      <c r="BB694" s="128">
        <f>SUM(BE694,BH694,BK694)</f>
        <v>0</v>
      </c>
      <c r="BC694" s="130">
        <f>IF(BD694&gt;0,1,0)</f>
        <v>0</v>
      </c>
      <c r="BD694" s="128">
        <f>VLOOKUP($E694,[2]Current!$A:$AC,26,FALSE)</f>
        <v>0</v>
      </c>
      <c r="BE694" s="128">
        <f>BD694/$AS694</f>
        <v>0</v>
      </c>
      <c r="BF694" s="130">
        <f>IF(BG694&gt;0,1,0)</f>
        <v>0</v>
      </c>
      <c r="BG694" s="175">
        <f>VLOOKUP($E694,[2]Current!$A:$AC,27,FALSE)</f>
        <v>0</v>
      </c>
      <c r="BH694" s="128">
        <f>BG694/$AS694</f>
        <v>0</v>
      </c>
      <c r="BI694" s="130">
        <f>IF(BJ694&gt;0,1,0)</f>
        <v>0</v>
      </c>
      <c r="BJ694" s="128">
        <f>VLOOKUP($E694,[2]Current!$A:$AC,28,FALSE)</f>
        <v>0</v>
      </c>
      <c r="BK694" s="128">
        <f>BJ694/$AS694</f>
        <v>0</v>
      </c>
      <c r="BL694" s="128">
        <f>IF(BM694&gt;0,1,0)</f>
        <v>0</v>
      </c>
      <c r="BM694" s="128">
        <f>SUM(BR694,BU694,BX694,CA694,CD694)</f>
        <v>0</v>
      </c>
      <c r="BN694" s="131">
        <f>SUM(BT694,BW694,BZ694,CC694,CF694)</f>
        <v>0</v>
      </c>
      <c r="BO694" s="128">
        <f>IF(BP694&gt;0,1,0)</f>
        <v>0</v>
      </c>
      <c r="BP694" s="128">
        <f>BM694+CJ694</f>
        <v>0</v>
      </c>
      <c r="BQ694" s="128">
        <f>BN694+CL694</f>
        <v>0</v>
      </c>
      <c r="BR694" s="130">
        <f>IF(BS694&gt;0,1,0)</f>
        <v>0</v>
      </c>
      <c r="BS694" s="128">
        <f>VLOOKUP($E694,[2]Current!$A:$AC,12,FALSE)</f>
        <v>0</v>
      </c>
      <c r="BT694" s="175">
        <f>BS694/$AS694</f>
        <v>0</v>
      </c>
      <c r="BU694" s="130">
        <f>IF(BV694&gt;0,1,0)</f>
        <v>0</v>
      </c>
      <c r="BV694" s="128">
        <f>VLOOKUP($E694,[2]Current!$A:$AC,13,FALSE)</f>
        <v>0</v>
      </c>
      <c r="BW694" s="128">
        <f>BV694/$AS694</f>
        <v>0</v>
      </c>
      <c r="BX694" s="130">
        <f>IF(BY694&gt;0,1,0)</f>
        <v>0</v>
      </c>
      <c r="BY694" s="128">
        <f>VLOOKUP($E694,[2]Current!$A:$AC,14,FALSE)</f>
        <v>0</v>
      </c>
      <c r="BZ694" s="128">
        <f>BY694/$AS694</f>
        <v>0</v>
      </c>
      <c r="CA694" s="130">
        <f>IF(CB694&gt;0,1,0)</f>
        <v>0</v>
      </c>
      <c r="CB694" s="128">
        <f>VLOOKUP($E694,[2]Current!$A:$AC,15,FALSE)</f>
        <v>0</v>
      </c>
      <c r="CC694" s="128">
        <f>CB694/$AS694</f>
        <v>0</v>
      </c>
      <c r="CD694" s="176">
        <f>IF(CE694&gt;0,1,0)</f>
        <v>0</v>
      </c>
      <c r="CE694" s="128">
        <f>VLOOKUP($E694,[2]Current!$A:$AC,16,FALSE)</f>
        <v>0</v>
      </c>
      <c r="CF694" s="128">
        <f>CE694/$AS694</f>
        <v>0</v>
      </c>
      <c r="CG694" s="18"/>
      <c r="CH694" s="18"/>
      <c r="CI694" s="18"/>
      <c r="CJ694" s="130">
        <f>IF(CK694&gt;0,1,0)</f>
        <v>0</v>
      </c>
      <c r="CK694" s="128">
        <f>VLOOKUP($E694,[2]Current!$A:$AC,18,FALSE)</f>
        <v>0</v>
      </c>
      <c r="CL694" s="128">
        <f>CK694/$AS694</f>
        <v>0</v>
      </c>
      <c r="CS694" s="130">
        <f>IF(CU694&gt;0,1,0)</f>
        <v>0</v>
      </c>
      <c r="CU694" s="128">
        <f>VLOOKUP($E694,[2]Current!$A:$AC,17,FALSE)</f>
        <v>0</v>
      </c>
      <c r="CV694" s="128">
        <f>CU694/$AS694</f>
        <v>0</v>
      </c>
      <c r="CW694" s="18"/>
      <c r="CX694" s="18"/>
      <c r="CY694" s="18"/>
      <c r="DF694" s="16" t="e">
        <f>VLOOKUP(K694,'[3]RNA Seq summary tables'!$V$3:$V$99,1,FALSE)</f>
        <v>#N/A</v>
      </c>
      <c r="DG694" s="126" t="s">
        <v>116</v>
      </c>
    </row>
    <row r="695" spans="1:288" ht="16" x14ac:dyDescent="0.2">
      <c r="B695" s="16">
        <v>2018</v>
      </c>
      <c r="C695" s="124">
        <v>43303</v>
      </c>
      <c r="D695" t="s">
        <v>1040</v>
      </c>
      <c r="E695" s="142" t="str">
        <f>CONCATENATE(T695,"-",U695,"-",C695)</f>
        <v>BC1-H8-43303</v>
      </c>
      <c r="F695" s="16" t="s">
        <v>227</v>
      </c>
      <c r="G695" s="126" t="s">
        <v>107</v>
      </c>
      <c r="H695" s="126" t="s">
        <v>1086</v>
      </c>
      <c r="J695" s="126">
        <v>1549</v>
      </c>
      <c r="K695" s="126">
        <v>2675</v>
      </c>
      <c r="O695" s="126" t="s">
        <v>119</v>
      </c>
      <c r="P695" s="18" t="s">
        <v>119</v>
      </c>
      <c r="Q695" s="18">
        <v>0</v>
      </c>
      <c r="R695" s="18">
        <f>IF(J695=J694,C695-C694,"")</f>
        <v>10</v>
      </c>
      <c r="T695" s="126" t="s">
        <v>159</v>
      </c>
      <c r="U695" s="126" t="s">
        <v>152</v>
      </c>
      <c r="V695" s="126" t="s">
        <v>142</v>
      </c>
      <c r="X695" s="126" t="s">
        <v>115</v>
      </c>
      <c r="Y695" s="126" t="s">
        <v>110</v>
      </c>
      <c r="Z695" s="126">
        <v>3</v>
      </c>
      <c r="AA695" s="126"/>
      <c r="AB695" s="126"/>
      <c r="AC695" s="126"/>
      <c r="AD695" s="126" t="s">
        <v>116</v>
      </c>
      <c r="AE695" s="126" t="s">
        <v>116</v>
      </c>
      <c r="AG695" s="40">
        <f>AH695-AI695</f>
        <v>85</v>
      </c>
      <c r="AH695" s="126">
        <v>179</v>
      </c>
      <c r="AI695" s="126">
        <v>94</v>
      </c>
      <c r="AK695" s="126">
        <v>17.5</v>
      </c>
      <c r="AL695" s="126">
        <v>1</v>
      </c>
      <c r="AM695" s="126">
        <v>0</v>
      </c>
      <c r="AN695" s="126">
        <v>0</v>
      </c>
      <c r="AO695" s="16">
        <f>IF(SUM(AL695:AN695)&gt;0,1,0)</f>
        <v>1</v>
      </c>
      <c r="AP695" s="18">
        <f>SUM(AL695:AN695)</f>
        <v>1</v>
      </c>
      <c r="AR695" s="16">
        <v>0.58000000000000029</v>
      </c>
      <c r="AS695" s="16">
        <f>VLOOKUP(E695,'[1]Feces weights'!$D$1:$H$459,5,FALSE)</f>
        <v>0.58000000000000029</v>
      </c>
      <c r="AT695" s="16" t="e">
        <f>VLOOKUP(E695,[2]Current!$A$1:$W$435,7,FALSE)</f>
        <v>#N/A</v>
      </c>
      <c r="AU695" s="16">
        <v>0</v>
      </c>
      <c r="BG695" s="23"/>
      <c r="BN695" s="126"/>
      <c r="BT695" s="25"/>
      <c r="BU695" s="18"/>
      <c r="BV695" s="18"/>
      <c r="BW695" s="25"/>
      <c r="BX695" s="18"/>
      <c r="BY695" s="18"/>
      <c r="BZ695" s="25"/>
      <c r="CA695" s="18"/>
      <c r="CB695" s="18"/>
      <c r="CC695" s="25"/>
      <c r="CD695" s="25"/>
      <c r="CE695" s="18"/>
      <c r="CF695" s="25"/>
      <c r="CG695" s="18"/>
      <c r="CH695" s="18"/>
      <c r="CI695" s="18"/>
      <c r="CJ695" s="18"/>
      <c r="CK695" s="18"/>
      <c r="CL695" s="25"/>
      <c r="DF695" s="16" t="e">
        <f>VLOOKUP(K695,'[3]RNA Seq summary tables'!$V$3:$V$99,1,FALSE)</f>
        <v>#N/A</v>
      </c>
      <c r="DG695" s="126" t="s">
        <v>116</v>
      </c>
    </row>
    <row r="696" spans="1:288" ht="16" x14ac:dyDescent="0.2">
      <c r="B696" s="16">
        <v>2018</v>
      </c>
      <c r="C696" s="124">
        <v>43294</v>
      </c>
      <c r="D696" t="s">
        <v>959</v>
      </c>
      <c r="E696" s="142" t="str">
        <f>CONCATENATE(T696,"-",U696,"-",C696)</f>
        <v>HW1-A1-43294</v>
      </c>
      <c r="F696" s="16" t="s">
        <v>227</v>
      </c>
      <c r="G696" s="126" t="s">
        <v>107</v>
      </c>
      <c r="H696" s="126"/>
      <c r="J696" s="126">
        <v>1551</v>
      </c>
      <c r="K696" s="126">
        <v>2592</v>
      </c>
      <c r="O696" s="126" t="s">
        <v>119</v>
      </c>
      <c r="P696" s="18" t="s">
        <v>119</v>
      </c>
      <c r="Q696" s="18">
        <v>0</v>
      </c>
      <c r="R696" s="18" t="str">
        <f>IF(J696=J695,C696-C695,"")</f>
        <v/>
      </c>
      <c r="T696" s="126" t="s">
        <v>133</v>
      </c>
      <c r="U696" s="126" t="s">
        <v>210</v>
      </c>
      <c r="V696" s="126" t="s">
        <v>114</v>
      </c>
      <c r="X696" s="126" t="s">
        <v>115</v>
      </c>
      <c r="Y696" s="126" t="s">
        <v>110</v>
      </c>
      <c r="Z696" s="126">
        <v>3</v>
      </c>
      <c r="AA696" s="126"/>
      <c r="AB696" s="126"/>
      <c r="AC696" s="126"/>
      <c r="AD696" s="126" t="s">
        <v>123</v>
      </c>
      <c r="AE696" s="126" t="s">
        <v>123</v>
      </c>
      <c r="AG696" s="16">
        <f>AH696-AI696</f>
        <v>82</v>
      </c>
      <c r="AH696" s="126">
        <v>152</v>
      </c>
      <c r="AI696" s="126">
        <v>70</v>
      </c>
      <c r="AK696" s="126">
        <v>18</v>
      </c>
      <c r="AL696" s="126">
        <v>0</v>
      </c>
      <c r="AM696" s="126">
        <v>0</v>
      </c>
      <c r="AN696" s="126">
        <v>0</v>
      </c>
      <c r="AO696" s="16">
        <f>IF(SUM(AL696:AN696)&gt;0,1,0)</f>
        <v>0</v>
      </c>
      <c r="AP696" s="18">
        <f>SUM(AL696:AN696)</f>
        <v>0</v>
      </c>
      <c r="AR696" s="16">
        <v>0.21300000000000008</v>
      </c>
      <c r="AS696" s="16">
        <f>VLOOKUP(E696,'[1]Feces weights'!$D$1:$H$459,5,FALSE)</f>
        <v>0.21300000000000008</v>
      </c>
      <c r="AT696" s="16" t="e">
        <f>VLOOKUP(E696,[2]Current!$A$1:$W$435,7,FALSE)</f>
        <v>#N/A</v>
      </c>
      <c r="AU696" s="16">
        <v>0</v>
      </c>
      <c r="BG696" s="23"/>
      <c r="BN696" s="126"/>
      <c r="BT696" s="25"/>
      <c r="BU696" s="18"/>
      <c r="BV696" s="18"/>
      <c r="BW696" s="25"/>
      <c r="BX696" s="18"/>
      <c r="BY696" s="18"/>
      <c r="BZ696" s="25"/>
      <c r="CA696" s="18"/>
      <c r="CB696" s="18"/>
      <c r="CC696" s="25"/>
      <c r="CD696" s="25"/>
      <c r="CE696" s="18"/>
      <c r="CF696" s="25"/>
      <c r="CG696" s="18"/>
      <c r="CH696" s="18"/>
      <c r="CI696" s="18"/>
      <c r="CJ696" s="18"/>
      <c r="CK696" s="18"/>
      <c r="CL696" s="25"/>
      <c r="DF696" s="16" t="e">
        <f>VLOOKUP(K696,'[3]RNA Seq summary tables'!$V$3:$V$99,1,FALSE)</f>
        <v>#N/A</v>
      </c>
      <c r="DG696" s="126" t="s">
        <v>116</v>
      </c>
    </row>
    <row r="697" spans="1:288" ht="16" x14ac:dyDescent="0.2">
      <c r="B697" s="16">
        <v>2018</v>
      </c>
      <c r="C697" s="189">
        <v>43305</v>
      </c>
      <c r="D697" s="107" t="s">
        <v>1045</v>
      </c>
      <c r="E697" s="44" t="str">
        <f>CONCATENATE(T697,"-",U697,"-",C697)</f>
        <v>HW1-B2-43305</v>
      </c>
      <c r="F697" s="16" t="s">
        <v>227</v>
      </c>
      <c r="G697" s="126" t="s">
        <v>107</v>
      </c>
      <c r="H697" s="126"/>
      <c r="J697" s="126">
        <v>1551</v>
      </c>
      <c r="K697" s="126">
        <v>2684</v>
      </c>
      <c r="O697" s="126" t="s">
        <v>119</v>
      </c>
      <c r="P697" s="18" t="s">
        <v>119</v>
      </c>
      <c r="Q697" s="18">
        <v>0</v>
      </c>
      <c r="R697" s="18">
        <f>IF(J697=J696,C697-C696,"")</f>
        <v>11</v>
      </c>
      <c r="T697" s="126" t="s">
        <v>133</v>
      </c>
      <c r="U697" s="126" t="s">
        <v>130</v>
      </c>
      <c r="V697" s="126" t="s">
        <v>114</v>
      </c>
      <c r="X697" s="126" t="s">
        <v>115</v>
      </c>
      <c r="Y697" s="126" t="s">
        <v>110</v>
      </c>
      <c r="Z697" s="126">
        <v>3</v>
      </c>
      <c r="AA697" s="126"/>
      <c r="AB697" s="126"/>
      <c r="AC697" s="126"/>
      <c r="AD697" s="126" t="s">
        <v>116</v>
      </c>
      <c r="AE697" s="126" t="s">
        <v>116</v>
      </c>
      <c r="AG697" s="40">
        <f>AH697-AI697</f>
        <v>83</v>
      </c>
      <c r="AH697" s="126">
        <v>154</v>
      </c>
      <c r="AI697" s="126">
        <v>71</v>
      </c>
      <c r="AK697" s="126">
        <v>18</v>
      </c>
      <c r="AL697" s="126">
        <v>0</v>
      </c>
      <c r="AM697" s="126">
        <v>0</v>
      </c>
      <c r="AN697" s="126">
        <v>0</v>
      </c>
      <c r="AO697" s="16">
        <f>IF(SUM(AL697:AN697)&gt;0,1,0)</f>
        <v>0</v>
      </c>
      <c r="AP697" s="18">
        <f>SUM(AL697:AN697)</f>
        <v>0</v>
      </c>
      <c r="AR697" s="16">
        <v>0.17300000000000004</v>
      </c>
      <c r="AS697" s="16">
        <f>VLOOKUP(E697,'[1]Feces weights'!$D$1:$H$459,5,FALSE)</f>
        <v>0.17300000000000004</v>
      </c>
      <c r="AT697" s="16" t="e">
        <f>VLOOKUP(E697,[2]Current!$A$1:$W$435,7,FALSE)</f>
        <v>#N/A</v>
      </c>
      <c r="AU697" s="16">
        <v>0</v>
      </c>
      <c r="BG697" s="23"/>
      <c r="BN697" s="126"/>
      <c r="BT697" s="25"/>
      <c r="BU697" s="18"/>
      <c r="BV697" s="18"/>
      <c r="BW697" s="25"/>
      <c r="BX697" s="18"/>
      <c r="BY697" s="18"/>
      <c r="BZ697" s="25"/>
      <c r="CA697" s="18"/>
      <c r="CB697" s="18"/>
      <c r="CC697" s="25"/>
      <c r="CD697" s="25"/>
      <c r="CE697" s="18"/>
      <c r="CF697" s="25"/>
      <c r="CG697" s="18"/>
      <c r="CH697" s="18"/>
      <c r="CI697" s="18"/>
      <c r="CJ697" s="18"/>
      <c r="CK697" s="18"/>
      <c r="CL697" s="25"/>
      <c r="DF697" s="16" t="e">
        <f>VLOOKUP(K697,'[3]RNA Seq summary tables'!$V$3:$V$99,1,FALSE)</f>
        <v>#N/A</v>
      </c>
      <c r="DG697" s="126" t="s">
        <v>116</v>
      </c>
    </row>
    <row r="698" spans="1:288" ht="16" x14ac:dyDescent="0.2">
      <c r="B698" s="16">
        <v>2018</v>
      </c>
      <c r="C698" s="191">
        <v>43305</v>
      </c>
      <c r="D698" s="107" t="s">
        <v>1169</v>
      </c>
      <c r="E698" s="44" t="str">
        <f>CONCATENATE(T698,"-",U698,"-",C698)</f>
        <v>HW1-B2-43305</v>
      </c>
      <c r="F698" s="16" t="s">
        <v>227</v>
      </c>
      <c r="G698" s="145" t="s">
        <v>107</v>
      </c>
      <c r="H698" s="145"/>
      <c r="I698" s="145"/>
      <c r="J698" s="145">
        <v>1551</v>
      </c>
      <c r="K698" s="145">
        <v>2684</v>
      </c>
      <c r="M698" s="16"/>
      <c r="N698" s="16"/>
      <c r="O698" s="145" t="s">
        <v>119</v>
      </c>
      <c r="P698" s="18" t="s">
        <v>119</v>
      </c>
      <c r="Q698" s="18">
        <v>0</v>
      </c>
      <c r="R698" s="18">
        <f>IF(J698=J697,C698-C697,"")</f>
        <v>0</v>
      </c>
      <c r="S698" s="145"/>
      <c r="T698" s="145" t="s">
        <v>133</v>
      </c>
      <c r="U698" s="145" t="s">
        <v>130</v>
      </c>
      <c r="V698" s="145" t="s">
        <v>114</v>
      </c>
      <c r="W698" s="145"/>
      <c r="X698" s="145" t="s">
        <v>115</v>
      </c>
      <c r="Y698" s="145" t="s">
        <v>110</v>
      </c>
      <c r="Z698" s="145">
        <v>3</v>
      </c>
      <c r="AA698" s="145"/>
      <c r="AB698" s="145"/>
      <c r="AC698" s="145"/>
      <c r="AD698" s="145"/>
      <c r="AE698" s="145" t="s">
        <v>116</v>
      </c>
      <c r="AF698" s="145" t="s">
        <v>116</v>
      </c>
      <c r="AG698" s="145">
        <f>AH698-AI698</f>
        <v>83</v>
      </c>
      <c r="AH698" s="145">
        <v>154</v>
      </c>
      <c r="AI698" s="145">
        <v>71</v>
      </c>
      <c r="AJ698" s="145"/>
      <c r="AK698" s="145">
        <v>18</v>
      </c>
      <c r="AL698" s="145">
        <v>0</v>
      </c>
      <c r="AM698" s="145">
        <v>0</v>
      </c>
      <c r="AN698" s="145">
        <v>0</v>
      </c>
      <c r="AO698" s="16">
        <f>IF(SUM(AL698:AN698)&gt;0, 1,0)</f>
        <v>0</v>
      </c>
      <c r="AP698" s="16">
        <f>SUM(AL698:AN698)</f>
        <v>0</v>
      </c>
      <c r="AS698" s="16">
        <f>VLOOKUP(E698,'[1]Feces weights'!$D$1:$H$459,5,FALSE)</f>
        <v>0.17300000000000004</v>
      </c>
      <c r="AT698" s="16" t="e">
        <f>VLOOKUP(E698,[2]Current!$A$1:$W$435,7,FALSE)</f>
        <v>#N/A</v>
      </c>
      <c r="BG698" s="23"/>
      <c r="BT698" s="23"/>
      <c r="CD698" s="23"/>
      <c r="DG698" s="145" t="s">
        <v>116</v>
      </c>
      <c r="DT698" s="145" t="s">
        <v>123</v>
      </c>
      <c r="DU698" s="145"/>
      <c r="DX698" s="145"/>
      <c r="DY698" s="145"/>
      <c r="DZ698" s="16"/>
      <c r="EA698" s="16"/>
      <c r="EB698" s="16"/>
      <c r="EC698" s="16"/>
      <c r="ED698" s="16"/>
      <c r="EE698" s="16"/>
      <c r="EF698" s="16"/>
      <c r="JO698" s="18"/>
      <c r="JP698" s="18"/>
      <c r="JQ698" s="18"/>
      <c r="JR698" s="18"/>
      <c r="JS698" s="18"/>
      <c r="JT698" s="18"/>
      <c r="JU698" s="18"/>
      <c r="JV698" s="18"/>
      <c r="JW698" s="18"/>
      <c r="JX698" s="18"/>
      <c r="JY698" s="18"/>
      <c r="JZ698" s="18"/>
      <c r="KA698" s="18"/>
    </row>
    <row r="699" spans="1:288" ht="16" x14ac:dyDescent="0.2">
      <c r="B699" s="16">
        <v>2018</v>
      </c>
      <c r="C699" s="124">
        <v>43294</v>
      </c>
      <c r="D699" t="s">
        <v>954</v>
      </c>
      <c r="E699" s="37" t="str">
        <f>CONCATENATE(T699,"-",U699,"-",C699)</f>
        <v>HW1-A6-43294</v>
      </c>
      <c r="F699" s="16" t="s">
        <v>227</v>
      </c>
      <c r="G699" s="126" t="s">
        <v>107</v>
      </c>
      <c r="H699" s="126"/>
      <c r="J699" s="126">
        <v>1553</v>
      </c>
      <c r="K699" s="126">
        <v>2595</v>
      </c>
      <c r="O699" s="126" t="s">
        <v>119</v>
      </c>
      <c r="P699" s="18" t="s">
        <v>119</v>
      </c>
      <c r="Q699" s="18">
        <v>0</v>
      </c>
      <c r="R699" s="18" t="str">
        <f>IF(J699=J698,C699-C698,"")</f>
        <v/>
      </c>
      <c r="T699" s="126" t="s">
        <v>133</v>
      </c>
      <c r="U699" s="126" t="s">
        <v>147</v>
      </c>
      <c r="V699" s="126" t="s">
        <v>114</v>
      </c>
      <c r="X699" s="126" t="s">
        <v>115</v>
      </c>
      <c r="Y699" s="126" t="s">
        <v>145</v>
      </c>
      <c r="Z699" s="126">
        <v>1</v>
      </c>
      <c r="AA699" s="126"/>
      <c r="AB699" s="126"/>
      <c r="AC699" s="126"/>
      <c r="AD699" s="126"/>
      <c r="AE699" s="126" t="s">
        <v>123</v>
      </c>
      <c r="AG699" s="16">
        <f>AH699-AI699</f>
        <v>70</v>
      </c>
      <c r="AH699" s="126">
        <v>130</v>
      </c>
      <c r="AI699" s="126">
        <v>60</v>
      </c>
      <c r="AK699" s="126">
        <v>11.5</v>
      </c>
      <c r="AL699" s="126">
        <v>0</v>
      </c>
      <c r="AM699" s="126">
        <v>0</v>
      </c>
      <c r="AN699" s="126">
        <v>0</v>
      </c>
      <c r="AO699" s="16">
        <f>IF(SUM(AL699:AN699)&gt;0,1,0)</f>
        <v>0</v>
      </c>
      <c r="AP699" s="18">
        <f>SUM(AL699:AN699)</f>
        <v>0</v>
      </c>
      <c r="AR699" s="16">
        <v>5.2000000000000046E-2</v>
      </c>
      <c r="AS699" s="16">
        <f>VLOOKUP(E699,'[1]Feces weights'!$D$1:$H$459,5,FALSE)</f>
        <v>5.2000000000000046E-2</v>
      </c>
      <c r="AT699" s="16" t="str">
        <f>VLOOKUP(E699,[2]Current!$A$1:$W$435,7,FALSE)</f>
        <v>JB</v>
      </c>
      <c r="AU699" s="16" t="s">
        <v>1288</v>
      </c>
      <c r="AW699" s="128">
        <f>IF(AX699&gt;0,1,0)</f>
        <v>1</v>
      </c>
      <c r="AX699" s="128">
        <f>SUM(BA699,BM699,CU699)</f>
        <v>1</v>
      </c>
      <c r="AY699" s="128">
        <f>SUM(BB699,BN699,CV699)</f>
        <v>11576.923076923067</v>
      </c>
      <c r="AZ699" s="128">
        <f>IF(BA699&gt;0,1,0)</f>
        <v>1</v>
      </c>
      <c r="BA699" s="128">
        <f>SUM(BC699+BF699+BI699)</f>
        <v>1</v>
      </c>
      <c r="BB699" s="128">
        <f>SUM(BE699,BH699,BK699)</f>
        <v>11576.923076923067</v>
      </c>
      <c r="BC699" s="130">
        <f>IF(BD699&gt;0,1,0)</f>
        <v>0</v>
      </c>
      <c r="BD699" s="128">
        <f>VLOOKUP($E699,[2]Current!$A:$AC,26,FALSE)</f>
        <v>0</v>
      </c>
      <c r="BE699" s="128">
        <f>BD699/$AS699</f>
        <v>0</v>
      </c>
      <c r="BF699" s="130">
        <f>IF(BG699&gt;0,1,0)</f>
        <v>1</v>
      </c>
      <c r="BG699" s="175">
        <f>VLOOKUP($E699,[2]Current!$A:$AC,27,FALSE)</f>
        <v>602</v>
      </c>
      <c r="BH699" s="128">
        <f>BG699/$AS699</f>
        <v>11576.923076923067</v>
      </c>
      <c r="BI699" s="130">
        <f>IF(BJ699&gt;0,1,0)</f>
        <v>0</v>
      </c>
      <c r="BJ699" s="128">
        <f>VLOOKUP($E699,[2]Current!$A:$AC,28,FALSE)</f>
        <v>0</v>
      </c>
      <c r="BK699" s="128">
        <f>BJ699/$AS699</f>
        <v>0</v>
      </c>
      <c r="BL699" s="128">
        <f>IF(BM699&gt;0,1,0)</f>
        <v>0</v>
      </c>
      <c r="BM699" s="128">
        <f>SUM(BR699,BU699,BX699,CA699,CD699)</f>
        <v>0</v>
      </c>
      <c r="BN699" s="131">
        <f>SUM(BT699,BW699,BZ699,CC699,CF699)</f>
        <v>0</v>
      </c>
      <c r="BO699" s="128">
        <f>IF(BP699&gt;0,1,0)</f>
        <v>0</v>
      </c>
      <c r="BP699" s="128">
        <f>BM699+CJ699</f>
        <v>0</v>
      </c>
      <c r="BQ699" s="128">
        <f>BN699+CL699</f>
        <v>0</v>
      </c>
      <c r="BR699" s="130">
        <f>IF(BS699&gt;0,1,0)</f>
        <v>0</v>
      </c>
      <c r="BS699" s="128">
        <f>VLOOKUP($E699,[2]Current!$A:$AC,12,FALSE)</f>
        <v>0</v>
      </c>
      <c r="BT699" s="175">
        <f>BS699/$AS699</f>
        <v>0</v>
      </c>
      <c r="BU699" s="130">
        <f>IF(BV699&gt;0,1,0)</f>
        <v>0</v>
      </c>
      <c r="BV699" s="128">
        <f>VLOOKUP($E699,[2]Current!$A:$AC,13,FALSE)</f>
        <v>0</v>
      </c>
      <c r="BW699" s="128">
        <f>BV699/$AS699</f>
        <v>0</v>
      </c>
      <c r="BX699" s="130">
        <f>IF(BY699&gt;0,1,0)</f>
        <v>0</v>
      </c>
      <c r="BY699" s="128">
        <f>VLOOKUP($E699,[2]Current!$A:$AC,14,FALSE)</f>
        <v>0</v>
      </c>
      <c r="BZ699" s="128">
        <f>BY699/$AS699</f>
        <v>0</v>
      </c>
      <c r="CA699" s="130">
        <f>IF(CB699&gt;0,1,0)</f>
        <v>0</v>
      </c>
      <c r="CB699" s="128">
        <f>VLOOKUP($E699,[2]Current!$A:$AC,15,FALSE)</f>
        <v>0</v>
      </c>
      <c r="CC699" s="128">
        <f>CB699/$AS699</f>
        <v>0</v>
      </c>
      <c r="CD699" s="176">
        <f>IF(CE699&gt;0,1,0)</f>
        <v>0</v>
      </c>
      <c r="CE699" s="128">
        <f>VLOOKUP($E699,[2]Current!$A:$AC,16,FALSE)</f>
        <v>0</v>
      </c>
      <c r="CF699" s="128">
        <f>CE699/$AS699</f>
        <v>0</v>
      </c>
      <c r="CG699" s="18"/>
      <c r="CH699" s="18"/>
      <c r="CI699" s="18"/>
      <c r="CJ699" s="130">
        <f>IF(CK699&gt;0,1,0)</f>
        <v>0</v>
      </c>
      <c r="CK699" s="128">
        <f>VLOOKUP($E699,[2]Current!$A:$AC,18,FALSE)</f>
        <v>0</v>
      </c>
      <c r="CL699" s="128">
        <f>CK699/$AS699</f>
        <v>0</v>
      </c>
      <c r="CS699" s="130">
        <f>IF(CU699&gt;0,1,0)</f>
        <v>0</v>
      </c>
      <c r="CU699" s="128">
        <f>VLOOKUP($E699,[2]Current!$A:$AC,17,FALSE)</f>
        <v>0</v>
      </c>
      <c r="CV699" s="128">
        <f>CU699/$AS699</f>
        <v>0</v>
      </c>
      <c r="CW699" s="18"/>
      <c r="CX699" s="18"/>
      <c r="CY699" s="18"/>
      <c r="DF699" s="16" t="e">
        <f>VLOOKUP(K699,'[3]RNA Seq summary tables'!$V$3:$V$99,1,FALSE)</f>
        <v>#N/A</v>
      </c>
      <c r="DG699" s="126" t="s">
        <v>123</v>
      </c>
    </row>
    <row r="700" spans="1:288" ht="16" x14ac:dyDescent="0.2">
      <c r="B700" s="16">
        <v>2018</v>
      </c>
      <c r="C700" s="124">
        <v>43294</v>
      </c>
      <c r="D700" t="s">
        <v>965</v>
      </c>
      <c r="E700" s="37" t="str">
        <f>CONCATENATE(T700,"-",U700,"-",C700)</f>
        <v>HW2-C5-43294</v>
      </c>
      <c r="F700" s="16" t="s">
        <v>227</v>
      </c>
      <c r="G700" s="126" t="s">
        <v>107</v>
      </c>
      <c r="H700" s="126" t="s">
        <v>1085</v>
      </c>
      <c r="J700" s="126">
        <v>1555</v>
      </c>
      <c r="K700" s="126">
        <v>2602</v>
      </c>
      <c r="O700" s="126" t="s">
        <v>119</v>
      </c>
      <c r="P700" s="18" t="s">
        <v>119</v>
      </c>
      <c r="Q700" s="18">
        <v>0</v>
      </c>
      <c r="R700" s="18" t="str">
        <f>IF(J700=J699,C700-C699,"")</f>
        <v/>
      </c>
      <c r="T700" s="126" t="s">
        <v>129</v>
      </c>
      <c r="U700" s="126" t="s">
        <v>172</v>
      </c>
      <c r="V700" s="133" t="s">
        <v>142</v>
      </c>
      <c r="X700" s="126" t="s">
        <v>121</v>
      </c>
      <c r="Y700" s="126" t="s">
        <v>110</v>
      </c>
      <c r="Z700" s="126">
        <v>3</v>
      </c>
      <c r="AA700" s="126" t="s">
        <v>161</v>
      </c>
      <c r="AB700" s="126" t="s">
        <v>123</v>
      </c>
      <c r="AC700" s="126" t="s">
        <v>123</v>
      </c>
      <c r="AD700" s="126"/>
      <c r="AE700" s="126"/>
      <c r="AG700" s="16">
        <f>AH700-AI700</f>
        <v>77</v>
      </c>
      <c r="AH700" s="126">
        <v>163</v>
      </c>
      <c r="AI700" s="126">
        <v>86</v>
      </c>
      <c r="AK700" s="126">
        <v>13.5</v>
      </c>
      <c r="AL700" s="126">
        <v>0</v>
      </c>
      <c r="AM700" s="126">
        <v>0</v>
      </c>
      <c r="AN700" s="126">
        <v>0</v>
      </c>
      <c r="AO700" s="16">
        <f>IF(SUM(AL700:AN700)&gt;0,1,0)</f>
        <v>0</v>
      </c>
      <c r="AP700" s="18">
        <f>SUM(AL700:AN700)</f>
        <v>0</v>
      </c>
      <c r="AR700" s="16">
        <v>0.16300000000000003</v>
      </c>
      <c r="AS700" s="16">
        <f>VLOOKUP(E700,'[1]Feces weights'!$D$1:$H$459,5,FALSE)</f>
        <v>0.16300000000000003</v>
      </c>
      <c r="AT700" s="16" t="str">
        <f>VLOOKUP(E700,[2]Current!$A$1:$W$435,7,FALSE)</f>
        <v>JY</v>
      </c>
      <c r="AU700" s="16" t="s">
        <v>1288</v>
      </c>
      <c r="AV700" s="23"/>
      <c r="AW700" s="128">
        <f>IF(AX700&gt;0,1,0)</f>
        <v>1</v>
      </c>
      <c r="AX700" s="128">
        <f>SUM(BA700,BM700,CU700)</f>
        <v>2</v>
      </c>
      <c r="AY700" s="128">
        <f>SUM(BB700,BN700,CV700)</f>
        <v>1546.01226993865</v>
      </c>
      <c r="AZ700" s="128">
        <f>IF(BA700&gt;0,1,0)</f>
        <v>1</v>
      </c>
      <c r="BA700" s="128">
        <f>SUM(BC700+BF700+BI700)</f>
        <v>2</v>
      </c>
      <c r="BB700" s="128">
        <f>SUM(BE700,BH700,BK700)</f>
        <v>1546.01226993865</v>
      </c>
      <c r="BC700" s="130">
        <f>IF(BD700&gt;0,1,0)</f>
        <v>1</v>
      </c>
      <c r="BD700" s="128">
        <f>VLOOKUP($E700,[2]Current!$A:$AC,26,FALSE)</f>
        <v>4</v>
      </c>
      <c r="BE700" s="128">
        <f>BD700/$AS700</f>
        <v>24.53987730061349</v>
      </c>
      <c r="BF700" s="130">
        <f>IF(BG700&gt;0,1,0)</f>
        <v>1</v>
      </c>
      <c r="BG700" s="175">
        <f>VLOOKUP($E700,[2]Current!$A:$AC,27,FALSE)</f>
        <v>248</v>
      </c>
      <c r="BH700" s="128">
        <f>BG700/$AS700</f>
        <v>1521.4723926380366</v>
      </c>
      <c r="BI700" s="130">
        <f>IF(BJ700&gt;0,1,0)</f>
        <v>0</v>
      </c>
      <c r="BJ700" s="128">
        <f>VLOOKUP($E700,[2]Current!$A:$AC,28,FALSE)</f>
        <v>0</v>
      </c>
      <c r="BK700" s="128">
        <f>BJ700/$AS700</f>
        <v>0</v>
      </c>
      <c r="BL700" s="128">
        <f>IF(BM700&gt;0,1,0)</f>
        <v>0</v>
      </c>
      <c r="BM700" s="128">
        <f>SUM(BR700,BU700,BX700,CA700,CD700)</f>
        <v>0</v>
      </c>
      <c r="BN700" s="131">
        <f>SUM(BT700,BW700,BZ700,CC700,CF700)</f>
        <v>0</v>
      </c>
      <c r="BO700" s="128">
        <f>IF(BP700&gt;0,1,0)</f>
        <v>0</v>
      </c>
      <c r="BP700" s="128">
        <f>BM700+CJ700</f>
        <v>0</v>
      </c>
      <c r="BQ700" s="128">
        <f>BN700+CL700</f>
        <v>0</v>
      </c>
      <c r="BR700" s="130">
        <f>IF(BS700&gt;0,1,0)</f>
        <v>0</v>
      </c>
      <c r="BS700" s="128">
        <f>VLOOKUP($E700,[2]Current!$A:$AC,12,FALSE)</f>
        <v>0</v>
      </c>
      <c r="BT700" s="175">
        <f>BS700/$AS700</f>
        <v>0</v>
      </c>
      <c r="BU700" s="130">
        <f>IF(BV700&gt;0,1,0)</f>
        <v>0</v>
      </c>
      <c r="BV700" s="128">
        <f>VLOOKUP($E700,[2]Current!$A:$AC,13,FALSE)</f>
        <v>0</v>
      </c>
      <c r="BW700" s="128">
        <f>BV700/$AS700</f>
        <v>0</v>
      </c>
      <c r="BX700" s="130">
        <f>IF(BY700&gt;0,1,0)</f>
        <v>0</v>
      </c>
      <c r="BY700" s="128">
        <f>VLOOKUP($E700,[2]Current!$A:$AC,14,FALSE)</f>
        <v>0</v>
      </c>
      <c r="BZ700" s="128">
        <f>BY700/$AS700</f>
        <v>0</v>
      </c>
      <c r="CA700" s="130">
        <f>IF(CB700&gt;0,1,0)</f>
        <v>0</v>
      </c>
      <c r="CB700" s="128">
        <f>VLOOKUP($E700,[2]Current!$A:$AC,15,FALSE)</f>
        <v>0</v>
      </c>
      <c r="CC700" s="128">
        <f>CB700/$AS700</f>
        <v>0</v>
      </c>
      <c r="CD700" s="176">
        <f>IF(CE700&gt;0,1,0)</f>
        <v>0</v>
      </c>
      <c r="CE700" s="128">
        <f>VLOOKUP($E700,[2]Current!$A:$AC,16,FALSE)</f>
        <v>0</v>
      </c>
      <c r="CF700" s="128">
        <f>CE700/$AS700</f>
        <v>0</v>
      </c>
      <c r="CG700" s="18"/>
      <c r="CH700" s="18"/>
      <c r="CI700" s="18"/>
      <c r="CJ700" s="130">
        <f>IF(CK700&gt;0,1,0)</f>
        <v>0</v>
      </c>
      <c r="CK700" s="128">
        <f>VLOOKUP($E700,[2]Current!$A:$AC,18,FALSE)</f>
        <v>0</v>
      </c>
      <c r="CL700" s="128">
        <f>CK700/$AS700</f>
        <v>0</v>
      </c>
      <c r="CS700" s="130">
        <f>IF(CU700&gt;0,1,0)</f>
        <v>0</v>
      </c>
      <c r="CU700" s="128">
        <f>VLOOKUP($E700,[2]Current!$A:$AC,17,FALSE)</f>
        <v>0</v>
      </c>
      <c r="CV700" s="128">
        <f>CU700/$AS700</f>
        <v>0</v>
      </c>
      <c r="CW700" s="18"/>
      <c r="CX700" s="18"/>
      <c r="CY700" s="18"/>
      <c r="DF700" s="16" t="e">
        <f>VLOOKUP(K700,'[3]RNA Seq summary tables'!$V$3:$V$99,1,FALSE)</f>
        <v>#N/A</v>
      </c>
      <c r="DG700" s="126" t="s">
        <v>116</v>
      </c>
    </row>
    <row r="701" spans="1:288" ht="16" x14ac:dyDescent="0.2">
      <c r="B701" s="16">
        <v>2018</v>
      </c>
      <c r="C701" s="124">
        <v>43305</v>
      </c>
      <c r="D701" t="s">
        <v>1063</v>
      </c>
      <c r="E701" s="37" t="str">
        <f>CONCATENATE(T701,"-",U701,"-",C701)</f>
        <v>HW2-A7-43305</v>
      </c>
      <c r="F701" s="16" t="s">
        <v>227</v>
      </c>
      <c r="G701" s="126" t="s">
        <v>107</v>
      </c>
      <c r="H701" s="126" t="s">
        <v>1086</v>
      </c>
      <c r="J701" s="126">
        <v>1555</v>
      </c>
      <c r="K701" s="126">
        <v>2695</v>
      </c>
      <c r="O701" s="126" t="s">
        <v>119</v>
      </c>
      <c r="P701" s="18" t="s">
        <v>119</v>
      </c>
      <c r="Q701" s="18">
        <v>0</v>
      </c>
      <c r="R701" s="18">
        <f>IF(J701=J700,C701-C700,"")</f>
        <v>11</v>
      </c>
      <c r="T701" s="126" t="s">
        <v>129</v>
      </c>
      <c r="U701" s="126" t="s">
        <v>120</v>
      </c>
      <c r="V701" s="126" t="s">
        <v>142</v>
      </c>
      <c r="X701" s="126" t="s">
        <v>121</v>
      </c>
      <c r="Y701" s="126" t="s">
        <v>110</v>
      </c>
      <c r="Z701" s="126">
        <v>3</v>
      </c>
      <c r="AA701" s="126" t="s">
        <v>119</v>
      </c>
      <c r="AB701" s="126" t="s">
        <v>123</v>
      </c>
      <c r="AC701" s="126" t="s">
        <v>116</v>
      </c>
      <c r="AD701" s="126"/>
      <c r="AE701" s="126"/>
      <c r="AG701" s="40">
        <f>AH701-AI701</f>
        <v>81</v>
      </c>
      <c r="AH701" s="126">
        <v>162</v>
      </c>
      <c r="AI701" s="126">
        <v>81</v>
      </c>
      <c r="AK701" s="126">
        <v>15.5</v>
      </c>
      <c r="AL701" s="126">
        <v>0</v>
      </c>
      <c r="AM701" s="126">
        <v>0</v>
      </c>
      <c r="AN701" s="126">
        <v>1</v>
      </c>
      <c r="AO701" s="16">
        <f>IF(SUM(AL701:AN701)&gt;0,1,0)</f>
        <v>1</v>
      </c>
      <c r="AP701" s="18">
        <f>SUM(AL701:AN701)</f>
        <v>1</v>
      </c>
      <c r="AR701" s="16">
        <v>0.62600000000000011</v>
      </c>
      <c r="AS701" s="16">
        <f>VLOOKUP(E701,'[1]Feces weights'!$D$1:$H$459,5,FALSE)</f>
        <v>0.62600000000000011</v>
      </c>
      <c r="AT701" s="16" t="str">
        <f>VLOOKUP(E701,[2]Current!$A$1:$W$435,7,FALSE)</f>
        <v>NB</v>
      </c>
      <c r="AU701" s="16" t="s">
        <v>1288</v>
      </c>
      <c r="AV701" s="23"/>
      <c r="AW701" s="128">
        <f>IF(AX701&gt;0,1,0)</f>
        <v>1</v>
      </c>
      <c r="AX701" s="128">
        <f>SUM(BA701,BM701,CU701)</f>
        <v>1</v>
      </c>
      <c r="AY701" s="128">
        <f>SUM(BB701,BN701,CV701)</f>
        <v>274.7603833865814</v>
      </c>
      <c r="AZ701" s="128">
        <f>IF(BA701&gt;0,1,0)</f>
        <v>1</v>
      </c>
      <c r="BA701" s="128">
        <f>SUM(BC701+BF701+BI701)</f>
        <v>1</v>
      </c>
      <c r="BB701" s="128">
        <f>SUM(BE701,BH701,BK701)</f>
        <v>274.7603833865814</v>
      </c>
      <c r="BC701" s="130">
        <f>IF(BD701&gt;0,1,0)</f>
        <v>1</v>
      </c>
      <c r="BD701" s="128">
        <f>VLOOKUP($E701,[2]Current!$A:$AC,26,FALSE)</f>
        <v>172</v>
      </c>
      <c r="BE701" s="128">
        <f>BD701/$AS701</f>
        <v>274.7603833865814</v>
      </c>
      <c r="BF701" s="130">
        <f>IF(BG701&gt;0,1,0)</f>
        <v>0</v>
      </c>
      <c r="BG701" s="175">
        <f>VLOOKUP($E701,[2]Current!$A:$AC,27,FALSE)</f>
        <v>0</v>
      </c>
      <c r="BH701" s="128">
        <f>BG701/$AS701</f>
        <v>0</v>
      </c>
      <c r="BI701" s="130">
        <f>IF(BJ701&gt;0,1,0)</f>
        <v>0</v>
      </c>
      <c r="BJ701" s="128">
        <f>VLOOKUP($E701,[2]Current!$A:$AC,28,FALSE)</f>
        <v>0</v>
      </c>
      <c r="BK701" s="128">
        <f>BJ701/$AS701</f>
        <v>0</v>
      </c>
      <c r="BL701" s="128">
        <f>IF(BM701&gt;0,1,0)</f>
        <v>0</v>
      </c>
      <c r="BM701" s="128">
        <f>SUM(BR701,BU701,BX701,CA701,CD701)</f>
        <v>0</v>
      </c>
      <c r="BN701" s="131">
        <f>SUM(BT701,BW701,BZ701,CC701,CF701)</f>
        <v>0</v>
      </c>
      <c r="BO701" s="128">
        <f>IF(BP701&gt;0,1,0)</f>
        <v>0</v>
      </c>
      <c r="BP701" s="128">
        <f>BM701+CJ701</f>
        <v>0</v>
      </c>
      <c r="BQ701" s="128">
        <f>BN701+CL701</f>
        <v>0</v>
      </c>
      <c r="BR701" s="130">
        <f>IF(BS701&gt;0,1,0)</f>
        <v>0</v>
      </c>
      <c r="BS701" s="128">
        <f>VLOOKUP($E701,[2]Current!$A:$AC,12,FALSE)</f>
        <v>0</v>
      </c>
      <c r="BT701" s="175">
        <f>BS701/$AS701</f>
        <v>0</v>
      </c>
      <c r="BU701" s="130">
        <f>IF(BV701&gt;0,1,0)</f>
        <v>0</v>
      </c>
      <c r="BV701" s="128">
        <f>VLOOKUP($E701,[2]Current!$A:$AC,13,FALSE)</f>
        <v>0</v>
      </c>
      <c r="BW701" s="128">
        <f>BV701/$AS701</f>
        <v>0</v>
      </c>
      <c r="BX701" s="130">
        <f>IF(BY701&gt;0,1,0)</f>
        <v>0</v>
      </c>
      <c r="BY701" s="128">
        <f>VLOOKUP($E701,[2]Current!$A:$AC,14,FALSE)</f>
        <v>0</v>
      </c>
      <c r="BZ701" s="128">
        <f>BY701/$AS701</f>
        <v>0</v>
      </c>
      <c r="CA701" s="130">
        <f>IF(CB701&gt;0,1,0)</f>
        <v>0</v>
      </c>
      <c r="CB701" s="128">
        <f>VLOOKUP($E701,[2]Current!$A:$AC,15,FALSE)</f>
        <v>0</v>
      </c>
      <c r="CC701" s="128">
        <f>CB701/$AS701</f>
        <v>0</v>
      </c>
      <c r="CD701" s="176">
        <f>IF(CE701&gt;0,1,0)</f>
        <v>0</v>
      </c>
      <c r="CE701" s="128">
        <f>VLOOKUP($E701,[2]Current!$A:$AC,16,FALSE)</f>
        <v>0</v>
      </c>
      <c r="CF701" s="128">
        <f>CE701/$AS701</f>
        <v>0</v>
      </c>
      <c r="CG701" s="18"/>
      <c r="CH701" s="18"/>
      <c r="CI701" s="18"/>
      <c r="CJ701" s="130">
        <f>IF(CK701&gt;0,1,0)</f>
        <v>0</v>
      </c>
      <c r="CK701" s="128">
        <f>VLOOKUP($E701,[2]Current!$A:$AC,18,FALSE)</f>
        <v>0</v>
      </c>
      <c r="CL701" s="128">
        <f>CK701/$AS701</f>
        <v>0</v>
      </c>
      <c r="CS701" s="130">
        <f>IF(CU701&gt;0,1,0)</f>
        <v>0</v>
      </c>
      <c r="CU701" s="128">
        <f>VLOOKUP($E701,[2]Current!$A:$AC,17,FALSE)</f>
        <v>0</v>
      </c>
      <c r="CV701" s="128">
        <f>CU701/$AS701</f>
        <v>0</v>
      </c>
      <c r="CW701" s="18"/>
      <c r="CX701" s="18"/>
      <c r="CY701" s="18"/>
      <c r="DF701" s="16" t="e">
        <f>VLOOKUP(K701,'[3]RNA Seq summary tables'!$V$3:$V$99,1,FALSE)</f>
        <v>#N/A</v>
      </c>
      <c r="DG701" s="126" t="s">
        <v>116</v>
      </c>
      <c r="JR701" s="18"/>
      <c r="JS701" s="18"/>
      <c r="JT701" s="18"/>
      <c r="JU701" s="18"/>
      <c r="JV701" s="18"/>
      <c r="JW701" s="18"/>
      <c r="JX701" s="18"/>
      <c r="JY701" s="18"/>
      <c r="JZ701" s="18"/>
      <c r="KA701" s="18"/>
      <c r="KB701" s="18"/>
    </row>
    <row r="702" spans="1:288" ht="16" x14ac:dyDescent="0.2">
      <c r="B702" s="16">
        <v>2018</v>
      </c>
      <c r="C702" s="147">
        <v>43305</v>
      </c>
      <c r="D702" t="s">
        <v>1175</v>
      </c>
      <c r="E702" s="37" t="str">
        <f>CONCATENATE(T702,"-",U702,"-",C702)</f>
        <v>HW2-A7-43305</v>
      </c>
      <c r="F702" s="16" t="s">
        <v>227</v>
      </c>
      <c r="G702" s="145" t="s">
        <v>107</v>
      </c>
      <c r="H702" s="145" t="s">
        <v>1086</v>
      </c>
      <c r="I702" s="145"/>
      <c r="J702" s="145">
        <v>1555</v>
      </c>
      <c r="K702" s="145">
        <v>2695</v>
      </c>
      <c r="M702" s="16"/>
      <c r="N702" s="16"/>
      <c r="O702" s="145" t="s">
        <v>119</v>
      </c>
      <c r="P702" s="18" t="s">
        <v>119</v>
      </c>
      <c r="Q702" s="18">
        <v>0</v>
      </c>
      <c r="R702" s="18">
        <f>IF(J702=J701,C702-C701,"")</f>
        <v>0</v>
      </c>
      <c r="S702" s="145"/>
      <c r="T702" s="145" t="s">
        <v>129</v>
      </c>
      <c r="U702" s="145" t="s">
        <v>120</v>
      </c>
      <c r="V702" s="145" t="s">
        <v>142</v>
      </c>
      <c r="W702" s="145"/>
      <c r="X702" s="145" t="s">
        <v>121</v>
      </c>
      <c r="Y702" s="145" t="s">
        <v>110</v>
      </c>
      <c r="Z702" s="145">
        <v>3</v>
      </c>
      <c r="AA702" s="145" t="s">
        <v>119</v>
      </c>
      <c r="AB702" s="145" t="s">
        <v>123</v>
      </c>
      <c r="AC702" s="145" t="s">
        <v>116</v>
      </c>
      <c r="AD702" s="145" t="s">
        <v>116</v>
      </c>
      <c r="AE702" s="145"/>
      <c r="AF702" s="145"/>
      <c r="AG702" s="145">
        <f>AH702-AI702</f>
        <v>81</v>
      </c>
      <c r="AH702" s="145">
        <v>162</v>
      </c>
      <c r="AI702" s="145">
        <v>81</v>
      </c>
      <c r="AJ702" s="145"/>
      <c r="AK702" s="145">
        <v>15.5</v>
      </c>
      <c r="AL702" s="145">
        <v>0</v>
      </c>
      <c r="AM702" s="145">
        <v>0</v>
      </c>
      <c r="AN702" s="145">
        <v>1</v>
      </c>
      <c r="AO702" s="16">
        <f>IF(SUM(AL702:AN702)&gt;0, 1,0)</f>
        <v>1</v>
      </c>
      <c r="AP702" s="16">
        <f>SUM(AL702:AN702)</f>
        <v>1</v>
      </c>
      <c r="AS702" s="16">
        <f>VLOOKUP(E702,'[1]Feces weights'!$D$1:$H$459,5,FALSE)</f>
        <v>0.62600000000000011</v>
      </c>
      <c r="AT702" s="16" t="str">
        <f>VLOOKUP(E702,[2]Current!$A$1:$W$435,7,FALSE)</f>
        <v>NB</v>
      </c>
      <c r="AU702" s="16" t="s">
        <v>1288</v>
      </c>
      <c r="AV702" s="23"/>
      <c r="AW702" s="128">
        <f>IF(AX702&gt;0,1,0)</f>
        <v>1</v>
      </c>
      <c r="AX702" s="128">
        <f>SUM(BA702,BM702,CU702)</f>
        <v>1</v>
      </c>
      <c r="AY702" s="128">
        <f>SUM(BB702,BN702,CV702)</f>
        <v>274.7603833865814</v>
      </c>
      <c r="AZ702" s="128">
        <f>IF(BA702&gt;0,1,0)</f>
        <v>1</v>
      </c>
      <c r="BA702" s="128">
        <f>SUM(BC702+BF702+BI702)</f>
        <v>1</v>
      </c>
      <c r="BB702" s="128">
        <f>SUM(BE702,BH702,BK702)</f>
        <v>274.7603833865814</v>
      </c>
      <c r="BC702" s="130">
        <f>IF(BD702&gt;0,1,0)</f>
        <v>1</v>
      </c>
      <c r="BD702" s="128">
        <f>VLOOKUP($E702,[2]Current!$A:$AC,26,FALSE)</f>
        <v>172</v>
      </c>
      <c r="BE702" s="128">
        <f>BD702/$AS702</f>
        <v>274.7603833865814</v>
      </c>
      <c r="BF702" s="130">
        <f>IF(BG702&gt;0,1,0)</f>
        <v>0</v>
      </c>
      <c r="BG702" s="175">
        <f>VLOOKUP($E702,[2]Current!$A:$AC,27,FALSE)</f>
        <v>0</v>
      </c>
      <c r="BH702" s="128">
        <f>BG702/$AS702</f>
        <v>0</v>
      </c>
      <c r="BI702" s="130">
        <f>IF(BJ702&gt;0,1,0)</f>
        <v>0</v>
      </c>
      <c r="BJ702" s="128">
        <f>VLOOKUP($E702,[2]Current!$A:$AC,28,FALSE)</f>
        <v>0</v>
      </c>
      <c r="BK702" s="128">
        <f>BJ702/$AS702</f>
        <v>0</v>
      </c>
      <c r="BL702" s="128">
        <f>IF(BM702&gt;0,1,0)</f>
        <v>0</v>
      </c>
      <c r="BM702" s="128">
        <f>SUM(BR702,BU702,BX702,CA702,CD702)</f>
        <v>0</v>
      </c>
      <c r="BN702" s="131">
        <f>SUM(BT702,BW702,BZ702,CC702,CF702)</f>
        <v>0</v>
      </c>
      <c r="BO702" s="128">
        <f>IF(BP702&gt;0,1,0)</f>
        <v>0</v>
      </c>
      <c r="BP702" s="128">
        <f>BM702+CJ702</f>
        <v>0</v>
      </c>
      <c r="BQ702" s="128">
        <f>BN702+CL702</f>
        <v>0</v>
      </c>
      <c r="BR702" s="130">
        <f>IF(BS702&gt;0,1,0)</f>
        <v>0</v>
      </c>
      <c r="BS702" s="128">
        <f>VLOOKUP($E702,[2]Current!$A:$AC,12,FALSE)</f>
        <v>0</v>
      </c>
      <c r="BT702" s="175">
        <f>BS702/$AS702</f>
        <v>0</v>
      </c>
      <c r="BU702" s="130">
        <f>IF(BV702&gt;0,1,0)</f>
        <v>0</v>
      </c>
      <c r="BV702" s="128">
        <f>VLOOKUP($E702,[2]Current!$A:$AC,13,FALSE)</f>
        <v>0</v>
      </c>
      <c r="BW702" s="128">
        <f>BV702/$AS702</f>
        <v>0</v>
      </c>
      <c r="BX702" s="130">
        <f>IF(BY702&gt;0,1,0)</f>
        <v>0</v>
      </c>
      <c r="BY702" s="128">
        <f>VLOOKUP($E702,[2]Current!$A:$AC,14,FALSE)</f>
        <v>0</v>
      </c>
      <c r="BZ702" s="128">
        <f>BY702/$AS702</f>
        <v>0</v>
      </c>
      <c r="CA702" s="130">
        <f>IF(CB702&gt;0,1,0)</f>
        <v>0</v>
      </c>
      <c r="CB702" s="128">
        <f>VLOOKUP($E702,[2]Current!$A:$AC,15,FALSE)</f>
        <v>0</v>
      </c>
      <c r="CC702" s="128">
        <f>CB702/$AS702</f>
        <v>0</v>
      </c>
      <c r="CD702" s="176">
        <f>IF(CE702&gt;0,1,0)</f>
        <v>0</v>
      </c>
      <c r="CE702" s="128">
        <f>VLOOKUP($E702,[2]Current!$A:$AC,16,FALSE)</f>
        <v>0</v>
      </c>
      <c r="CF702" s="128">
        <f>CE702/$AS702</f>
        <v>0</v>
      </c>
      <c r="CG702" s="18"/>
      <c r="CH702" s="18"/>
      <c r="CI702" s="18"/>
      <c r="CJ702" s="130">
        <f>IF(CK702&gt;0,1,0)</f>
        <v>0</v>
      </c>
      <c r="CK702" s="128">
        <f>VLOOKUP($E702,[2]Current!$A:$AC,18,FALSE)</f>
        <v>0</v>
      </c>
      <c r="CL702" s="128">
        <f>CK702/$AS702</f>
        <v>0</v>
      </c>
      <c r="CS702" s="130">
        <f>IF(CU702&gt;0,1,0)</f>
        <v>0</v>
      </c>
      <c r="CU702" s="128">
        <f>VLOOKUP($E702,[2]Current!$A:$AC,17,FALSE)</f>
        <v>0</v>
      </c>
      <c r="CV702" s="128">
        <f>CU702/$AS702</f>
        <v>0</v>
      </c>
      <c r="CW702" s="18"/>
      <c r="CX702" s="18"/>
      <c r="CY702" s="18"/>
      <c r="DG702" s="145" t="s">
        <v>116</v>
      </c>
      <c r="DT702" s="145" t="s">
        <v>123</v>
      </c>
      <c r="DU702" s="145"/>
      <c r="DX702" s="145"/>
      <c r="DY702" s="145"/>
      <c r="DZ702" s="16"/>
      <c r="EA702" s="16"/>
      <c r="EB702" s="16"/>
      <c r="EC702" s="16"/>
      <c r="ED702" s="16"/>
      <c r="EE702" s="16"/>
      <c r="EF702" s="16"/>
      <c r="JO702" s="18"/>
      <c r="JP702" s="18"/>
      <c r="JQ702" s="18"/>
      <c r="JR702" s="18"/>
      <c r="JS702" s="18"/>
      <c r="JT702" s="18"/>
      <c r="JU702" s="18"/>
      <c r="JV702" s="18"/>
      <c r="JW702" s="18"/>
      <c r="JX702" s="18"/>
      <c r="JY702" s="18"/>
      <c r="JZ702" s="18"/>
      <c r="KA702" s="18"/>
    </row>
    <row r="703" spans="1:288" ht="16" x14ac:dyDescent="0.2">
      <c r="B703" s="16">
        <v>2018</v>
      </c>
      <c r="C703" s="124">
        <v>43294</v>
      </c>
      <c r="D703" t="s">
        <v>963</v>
      </c>
      <c r="E703" s="37" t="str">
        <f>CONCATENATE(T703,"-",U703,"-",C703)</f>
        <v>HW2-E1-43294</v>
      </c>
      <c r="F703" s="16" t="s">
        <v>227</v>
      </c>
      <c r="G703" s="126" t="s">
        <v>107</v>
      </c>
      <c r="H703" s="126" t="s">
        <v>1122</v>
      </c>
      <c r="J703" s="126">
        <v>1557</v>
      </c>
      <c r="K703" s="126">
        <v>2606</v>
      </c>
      <c r="O703" s="126" t="s">
        <v>119</v>
      </c>
      <c r="P703" s="18" t="s">
        <v>119</v>
      </c>
      <c r="Q703" s="18">
        <v>0</v>
      </c>
      <c r="R703" s="18" t="str">
        <f>IF(J703=J702,C703-C702,"")</f>
        <v/>
      </c>
      <c r="T703" s="126" t="s">
        <v>129</v>
      </c>
      <c r="U703" s="126" t="s">
        <v>222</v>
      </c>
      <c r="V703" s="133" t="s">
        <v>142</v>
      </c>
      <c r="X703" s="126" t="s">
        <v>115</v>
      </c>
      <c r="Y703" s="126" t="s">
        <v>110</v>
      </c>
      <c r="Z703" s="126">
        <v>3</v>
      </c>
      <c r="AA703" s="126"/>
      <c r="AB703" s="126"/>
      <c r="AC703" s="126"/>
      <c r="AD703" s="126" t="s">
        <v>116</v>
      </c>
      <c r="AE703" s="126" t="s">
        <v>116</v>
      </c>
      <c r="AG703" s="16">
        <f>AH703-AI703</f>
        <v>80</v>
      </c>
      <c r="AH703" s="126">
        <v>155</v>
      </c>
      <c r="AI703" s="126">
        <v>75</v>
      </c>
      <c r="AK703" s="126">
        <v>11</v>
      </c>
      <c r="AL703" s="126">
        <v>0</v>
      </c>
      <c r="AM703" s="126">
        <v>0</v>
      </c>
      <c r="AN703" s="126">
        <v>0</v>
      </c>
      <c r="AO703" s="16">
        <f>IF(SUM(AL703:AN703)&gt;0,1,0)</f>
        <v>0</v>
      </c>
      <c r="AP703" s="18">
        <f>SUM(AL703:AN703)</f>
        <v>0</v>
      </c>
      <c r="AR703" s="16">
        <v>0.10700000000000021</v>
      </c>
      <c r="AS703" s="16">
        <f>VLOOKUP(E703,'[1]Feces weights'!$D$1:$H$459,5,FALSE)</f>
        <v>0.10700000000000021</v>
      </c>
      <c r="AT703" s="16" t="str">
        <f>VLOOKUP(E703,[2]Current!$A$1:$W$435,7,FALSE)</f>
        <v>JY</v>
      </c>
      <c r="AU703" s="16" t="s">
        <v>1288</v>
      </c>
      <c r="AV703" s="23"/>
      <c r="AW703" s="128">
        <f>IF(AX703&gt;0,1,0)</f>
        <v>1</v>
      </c>
      <c r="AX703" s="128">
        <f>SUM(BA703,BM703,CU703)</f>
        <v>1</v>
      </c>
      <c r="AY703" s="128">
        <f>SUM(BB703,BN703,CV703)</f>
        <v>18.691588785046694</v>
      </c>
      <c r="AZ703" s="128">
        <f>IF(BA703&gt;0,1,0)</f>
        <v>1</v>
      </c>
      <c r="BA703" s="128">
        <f>SUM(BC703+BF703+BI703)</f>
        <v>1</v>
      </c>
      <c r="BB703" s="128">
        <f>SUM(BE703,BH703,BK703)</f>
        <v>18.691588785046694</v>
      </c>
      <c r="BC703" s="130">
        <f>IF(BD703&gt;0,1,0)</f>
        <v>0</v>
      </c>
      <c r="BD703" s="128">
        <f>VLOOKUP($E703,[2]Current!$A:$AC,26,FALSE)</f>
        <v>0</v>
      </c>
      <c r="BE703" s="128">
        <f>BD703/$AS703</f>
        <v>0</v>
      </c>
      <c r="BF703" s="130">
        <f>IF(BG703&gt;0,1,0)</f>
        <v>1</v>
      </c>
      <c r="BG703" s="175">
        <f>VLOOKUP($E703,[2]Current!$A:$AC,27,FALSE)</f>
        <v>2</v>
      </c>
      <c r="BH703" s="128">
        <f>BG703/$AS703</f>
        <v>18.691588785046694</v>
      </c>
      <c r="BI703" s="130">
        <f>IF(BJ703&gt;0,1,0)</f>
        <v>0</v>
      </c>
      <c r="BJ703" s="128">
        <f>VLOOKUP($E703,[2]Current!$A:$AC,28,FALSE)</f>
        <v>0</v>
      </c>
      <c r="BK703" s="128">
        <f>BJ703/$AS703</f>
        <v>0</v>
      </c>
      <c r="BL703" s="128">
        <f>IF(BM703&gt;0,1,0)</f>
        <v>0</v>
      </c>
      <c r="BM703" s="128">
        <f>SUM(BR703,BU703,BX703,CA703,CD703)</f>
        <v>0</v>
      </c>
      <c r="BN703" s="131">
        <f>SUM(BT703,BW703,BZ703,CC703,CF703)</f>
        <v>0</v>
      </c>
      <c r="BO703" s="128">
        <f>IF(BP703&gt;0,1,0)</f>
        <v>0</v>
      </c>
      <c r="BP703" s="128">
        <f>BM703+CJ703</f>
        <v>0</v>
      </c>
      <c r="BQ703" s="128">
        <f>BN703+CL703</f>
        <v>0</v>
      </c>
      <c r="BR703" s="130">
        <f>IF(BS703&gt;0,1,0)</f>
        <v>0</v>
      </c>
      <c r="BS703" s="128">
        <f>VLOOKUP($E703,[2]Current!$A:$AC,12,FALSE)</f>
        <v>0</v>
      </c>
      <c r="BT703" s="175">
        <f>BS703/$AS703</f>
        <v>0</v>
      </c>
      <c r="BU703" s="130">
        <f>IF(BV703&gt;0,1,0)</f>
        <v>0</v>
      </c>
      <c r="BV703" s="128">
        <f>VLOOKUP($E703,[2]Current!$A:$AC,13,FALSE)</f>
        <v>0</v>
      </c>
      <c r="BW703" s="128">
        <f>BV703/$AS703</f>
        <v>0</v>
      </c>
      <c r="BX703" s="130">
        <f>IF(BY703&gt;0,1,0)</f>
        <v>0</v>
      </c>
      <c r="BY703" s="128">
        <f>VLOOKUP($E703,[2]Current!$A:$AC,14,FALSE)</f>
        <v>0</v>
      </c>
      <c r="BZ703" s="128">
        <f>BY703/$AS703</f>
        <v>0</v>
      </c>
      <c r="CA703" s="130">
        <f>IF(CB703&gt;0,1,0)</f>
        <v>0</v>
      </c>
      <c r="CB703" s="128">
        <f>VLOOKUP($E703,[2]Current!$A:$AC,15,FALSE)</f>
        <v>0</v>
      </c>
      <c r="CC703" s="128">
        <f>CB703/$AS703</f>
        <v>0</v>
      </c>
      <c r="CD703" s="176">
        <f>IF(CE703&gt;0,1,0)</f>
        <v>0</v>
      </c>
      <c r="CE703" s="128">
        <f>VLOOKUP($E703,[2]Current!$A:$AC,16,FALSE)</f>
        <v>0</v>
      </c>
      <c r="CF703" s="128">
        <f>CE703/$AS703</f>
        <v>0</v>
      </c>
      <c r="CG703" s="18"/>
      <c r="CH703" s="18"/>
      <c r="CI703" s="18"/>
      <c r="CJ703" s="130">
        <f>IF(CK703&gt;0,1,0)</f>
        <v>0</v>
      </c>
      <c r="CK703" s="128">
        <f>VLOOKUP($E703,[2]Current!$A:$AC,18,FALSE)</f>
        <v>0</v>
      </c>
      <c r="CL703" s="128">
        <f>CK703/$AS703</f>
        <v>0</v>
      </c>
      <c r="CS703" s="130">
        <f>IF(CU703&gt;0,1,0)</f>
        <v>0</v>
      </c>
      <c r="CU703" s="128">
        <f>VLOOKUP($E703,[2]Current!$A:$AC,17,FALSE)</f>
        <v>0</v>
      </c>
      <c r="CV703" s="128">
        <f>CU703/$AS703</f>
        <v>0</v>
      </c>
      <c r="CW703" s="18"/>
      <c r="CX703" s="18"/>
      <c r="CY703" s="18"/>
      <c r="DF703" s="16" t="e">
        <f>VLOOKUP(K703,'[3]RNA Seq summary tables'!$V$3:$V$99,1,FALSE)</f>
        <v>#N/A</v>
      </c>
      <c r="DG703" s="126" t="s">
        <v>116</v>
      </c>
    </row>
    <row r="704" spans="1:288" ht="16" x14ac:dyDescent="0.2">
      <c r="B704" s="16">
        <v>2018</v>
      </c>
      <c r="C704" s="124">
        <v>43295</v>
      </c>
      <c r="D704" t="s">
        <v>973</v>
      </c>
      <c r="E704" s="37" t="str">
        <f>CONCATENATE(T704,"-",U704,"-",C704)</f>
        <v>HW1-A2-43295</v>
      </c>
      <c r="F704" s="16" t="s">
        <v>227</v>
      </c>
      <c r="G704" s="126" t="s">
        <v>107</v>
      </c>
      <c r="H704" s="126"/>
      <c r="J704" s="126">
        <v>1560</v>
      </c>
      <c r="K704" s="126">
        <v>2616</v>
      </c>
      <c r="O704" s="126" t="s">
        <v>119</v>
      </c>
      <c r="P704" s="18" t="s">
        <v>119</v>
      </c>
      <c r="Q704" s="18">
        <v>0</v>
      </c>
      <c r="R704" s="18" t="str">
        <f>IF(J704=J703,C704-C703,"")</f>
        <v/>
      </c>
      <c r="T704" s="126" t="s">
        <v>133</v>
      </c>
      <c r="U704" s="126" t="s">
        <v>171</v>
      </c>
      <c r="V704" s="126" t="s">
        <v>114</v>
      </c>
      <c r="X704" s="126" t="s">
        <v>121</v>
      </c>
      <c r="Y704" s="126" t="s">
        <v>145</v>
      </c>
      <c r="Z704" s="126">
        <v>1</v>
      </c>
      <c r="AA704" s="126" t="s">
        <v>119</v>
      </c>
      <c r="AB704" s="126" t="s">
        <v>123</v>
      </c>
      <c r="AC704" s="126" t="s">
        <v>123</v>
      </c>
      <c r="AD704" s="126"/>
      <c r="AE704" s="126"/>
      <c r="AG704" s="16">
        <f>AH704-AI704</f>
        <v>75</v>
      </c>
      <c r="AH704" s="126">
        <v>135</v>
      </c>
      <c r="AI704" s="126">
        <v>60</v>
      </c>
      <c r="AK704" s="126">
        <v>14</v>
      </c>
      <c r="AL704" s="126">
        <v>0</v>
      </c>
      <c r="AM704" s="126">
        <v>0</v>
      </c>
      <c r="AN704" s="126">
        <v>0</v>
      </c>
      <c r="AO704" s="16">
        <f>IF(SUM(AL704:AN704)&gt;0,1,0)</f>
        <v>0</v>
      </c>
      <c r="AP704" s="18">
        <f>SUM(AL704:AN704)</f>
        <v>0</v>
      </c>
      <c r="AR704" s="16">
        <v>7.0000000000000062E-2</v>
      </c>
      <c r="AS704" s="16">
        <f>VLOOKUP(E704,'[1]Feces weights'!$D$1:$H$459,5,FALSE)</f>
        <v>7.0000000000000062E-2</v>
      </c>
      <c r="AT704" s="16" t="str">
        <f>VLOOKUP(E704,[2]Current!$A$1:$W$435,7,FALSE)</f>
        <v>LV</v>
      </c>
      <c r="AU704" s="16" t="s">
        <v>1288</v>
      </c>
      <c r="AW704" s="128">
        <f>IF(AX704&gt;0,1,0)</f>
        <v>1</v>
      </c>
      <c r="AX704" s="128">
        <f>SUM(BA704,BM704,CU704)</f>
        <v>1</v>
      </c>
      <c r="AY704" s="128">
        <f>SUM(BB704,BN704,CV704)</f>
        <v>28.571428571428545</v>
      </c>
      <c r="AZ704" s="128">
        <f>IF(BA704&gt;0,1,0)</f>
        <v>1</v>
      </c>
      <c r="BA704" s="128">
        <f>SUM(BC704+BF704+BI704)</f>
        <v>1</v>
      </c>
      <c r="BB704" s="128">
        <f>SUM(BE704,BH704,BK704)</f>
        <v>28.571428571428545</v>
      </c>
      <c r="BC704" s="130">
        <f>IF(BD704&gt;0,1,0)</f>
        <v>0</v>
      </c>
      <c r="BD704" s="128">
        <f>VLOOKUP($E704,[2]Current!$A:$AC,26,FALSE)</f>
        <v>0</v>
      </c>
      <c r="BE704" s="128">
        <f>BD704/$AS704</f>
        <v>0</v>
      </c>
      <c r="BF704" s="130">
        <f>IF(BG704&gt;0,1,0)</f>
        <v>1</v>
      </c>
      <c r="BG704" s="175">
        <f>VLOOKUP($E704,[2]Current!$A:$AC,27,FALSE)</f>
        <v>2</v>
      </c>
      <c r="BH704" s="128">
        <f>BG704/$AS704</f>
        <v>28.571428571428545</v>
      </c>
      <c r="BI704" s="130">
        <f>IF(BJ704&gt;0,1,0)</f>
        <v>0</v>
      </c>
      <c r="BJ704" s="128">
        <f>VLOOKUP($E704,[2]Current!$A:$AC,28,FALSE)</f>
        <v>0</v>
      </c>
      <c r="BK704" s="128">
        <f>BJ704/$AS704</f>
        <v>0</v>
      </c>
      <c r="BL704" s="128">
        <f>IF(BM704&gt;0,1,0)</f>
        <v>0</v>
      </c>
      <c r="BM704" s="128">
        <f>SUM(BR704,BU704,BX704,CA704,CD704)</f>
        <v>0</v>
      </c>
      <c r="BN704" s="131">
        <f>SUM(BT704,BW704,BZ704,CC704,CF704)</f>
        <v>0</v>
      </c>
      <c r="BO704" s="128">
        <f>IF(BP704&gt;0,1,0)</f>
        <v>0</v>
      </c>
      <c r="BP704" s="128">
        <f>BM704+CJ704</f>
        <v>0</v>
      </c>
      <c r="BQ704" s="128">
        <f>BN704+CL704</f>
        <v>0</v>
      </c>
      <c r="BR704" s="130">
        <f>IF(BS704&gt;0,1,0)</f>
        <v>0</v>
      </c>
      <c r="BS704" s="128">
        <f>VLOOKUP($E704,[2]Current!$A:$AC,12,FALSE)</f>
        <v>0</v>
      </c>
      <c r="BT704" s="175">
        <f>BS704/$AS704</f>
        <v>0</v>
      </c>
      <c r="BU704" s="130">
        <f>IF(BV704&gt;0,1,0)</f>
        <v>0</v>
      </c>
      <c r="BV704" s="128">
        <f>VLOOKUP($E704,[2]Current!$A:$AC,13,FALSE)</f>
        <v>0</v>
      </c>
      <c r="BW704" s="128">
        <f>BV704/$AS704</f>
        <v>0</v>
      </c>
      <c r="BX704" s="130">
        <f>IF(BY704&gt;0,1,0)</f>
        <v>0</v>
      </c>
      <c r="BY704" s="128">
        <f>VLOOKUP($E704,[2]Current!$A:$AC,14,FALSE)</f>
        <v>0</v>
      </c>
      <c r="BZ704" s="128">
        <f>BY704/$AS704</f>
        <v>0</v>
      </c>
      <c r="CA704" s="130">
        <f>IF(CB704&gt;0,1,0)</f>
        <v>0</v>
      </c>
      <c r="CB704" s="128">
        <f>VLOOKUP($E704,[2]Current!$A:$AC,15,FALSE)</f>
        <v>0</v>
      </c>
      <c r="CC704" s="128">
        <f>CB704/$AS704</f>
        <v>0</v>
      </c>
      <c r="CD704" s="176">
        <f>IF(CE704&gt;0,1,0)</f>
        <v>0</v>
      </c>
      <c r="CE704" s="128">
        <f>VLOOKUP($E704,[2]Current!$A:$AC,16,FALSE)</f>
        <v>0</v>
      </c>
      <c r="CF704" s="128">
        <f>CE704/$AS704</f>
        <v>0</v>
      </c>
      <c r="CG704" s="18"/>
      <c r="CH704" s="18"/>
      <c r="CI704" s="18"/>
      <c r="CJ704" s="130">
        <f>IF(CK704&gt;0,1,0)</f>
        <v>0</v>
      </c>
      <c r="CK704" s="128">
        <f>VLOOKUP($E704,[2]Current!$A:$AC,18,FALSE)</f>
        <v>0</v>
      </c>
      <c r="CL704" s="128">
        <f>CK704/$AS704</f>
        <v>0</v>
      </c>
      <c r="CS704" s="130">
        <f>IF(CU704&gt;0,1,0)</f>
        <v>0</v>
      </c>
      <c r="CU704" s="128">
        <f>VLOOKUP($E704,[2]Current!$A:$AC,17,FALSE)</f>
        <v>0</v>
      </c>
      <c r="CV704" s="128">
        <f>CU704/$AS704</f>
        <v>0</v>
      </c>
      <c r="CW704" s="18"/>
      <c r="CX704" s="18"/>
      <c r="CY704" s="18"/>
      <c r="DF704" s="16" t="e">
        <f>VLOOKUP(K704,'[3]RNA Seq summary tables'!$V$3:$V$99,1,FALSE)</f>
        <v>#N/A</v>
      </c>
      <c r="DG704" s="126"/>
      <c r="JR704" s="18"/>
      <c r="JS704" s="18"/>
      <c r="JT704" s="18"/>
      <c r="JU704" s="18"/>
      <c r="JV704" s="18"/>
      <c r="JW704" s="18"/>
      <c r="JX704" s="18"/>
      <c r="JY704" s="18"/>
      <c r="JZ704" s="18"/>
      <c r="KA704" s="18"/>
      <c r="KB704" s="18"/>
    </row>
    <row r="705" spans="2:288" ht="16" x14ac:dyDescent="0.2">
      <c r="B705" s="16">
        <v>2018</v>
      </c>
      <c r="C705" s="124">
        <v>43305</v>
      </c>
      <c r="D705" t="s">
        <v>1062</v>
      </c>
      <c r="E705" s="37" t="str">
        <f>CONCATENATE(T705,"-",U705,"-",C705)</f>
        <v>HW1-C1-43305</v>
      </c>
      <c r="F705" s="16" t="s">
        <v>227</v>
      </c>
      <c r="G705" s="126" t="s">
        <v>107</v>
      </c>
      <c r="H705" s="126"/>
      <c r="J705" s="126">
        <v>1560</v>
      </c>
      <c r="K705" s="126">
        <v>2686</v>
      </c>
      <c r="O705" s="126" t="s">
        <v>119</v>
      </c>
      <c r="P705" s="18" t="s">
        <v>119</v>
      </c>
      <c r="Q705" s="18">
        <v>0</v>
      </c>
      <c r="R705" s="18">
        <f>IF(J705=J704,C705-C704,"")</f>
        <v>10</v>
      </c>
      <c r="T705" s="126" t="s">
        <v>133</v>
      </c>
      <c r="U705" s="126" t="s">
        <v>150</v>
      </c>
      <c r="V705" s="126" t="s">
        <v>114</v>
      </c>
      <c r="X705" s="126" t="s">
        <v>121</v>
      </c>
      <c r="Y705" s="126" t="s">
        <v>110</v>
      </c>
      <c r="Z705" s="126">
        <v>3</v>
      </c>
      <c r="AA705" s="126" t="s">
        <v>119</v>
      </c>
      <c r="AB705" s="126" t="s">
        <v>123</v>
      </c>
      <c r="AC705" s="126" t="s">
        <v>116</v>
      </c>
      <c r="AD705" s="126"/>
      <c r="AE705" s="126"/>
      <c r="AG705" s="40">
        <f>AH705-AI705</f>
        <v>78</v>
      </c>
      <c r="AH705" s="126">
        <v>141</v>
      </c>
      <c r="AI705" s="126">
        <v>63</v>
      </c>
      <c r="AK705" s="126">
        <v>16.5</v>
      </c>
      <c r="AL705" s="126">
        <v>0</v>
      </c>
      <c r="AM705" s="126">
        <v>0</v>
      </c>
      <c r="AN705" s="126">
        <v>0</v>
      </c>
      <c r="AO705" s="16">
        <f>IF(SUM(AL705:AN705)&gt;0,1,0)</f>
        <v>0</v>
      </c>
      <c r="AP705" s="18">
        <f>SUM(AL705:AN705)</f>
        <v>0</v>
      </c>
      <c r="AR705" s="16">
        <v>0.59400000000000008</v>
      </c>
      <c r="AS705" s="16">
        <f>VLOOKUP(E705,'[1]Feces weights'!$D$1:$H$459,5,FALSE)</f>
        <v>0.59400000000000008</v>
      </c>
      <c r="AT705" s="16" t="str">
        <f>VLOOKUP(E705,[2]Current!$A$1:$W$435,7,FALSE)</f>
        <v>JY</v>
      </c>
      <c r="AU705" s="16" t="s">
        <v>1288</v>
      </c>
      <c r="AV705" s="23"/>
      <c r="AW705" s="128">
        <f>IF(AX705&gt;0,1,0)</f>
        <v>1</v>
      </c>
      <c r="AX705" s="128">
        <f>SUM(BA705,BM705,CU705)</f>
        <v>3</v>
      </c>
      <c r="AY705" s="128">
        <f>SUM(BB705,BN705,CV705)</f>
        <v>2663.2996632996633</v>
      </c>
      <c r="AZ705" s="128">
        <f>IF(BA705&gt;0,1,0)</f>
        <v>1</v>
      </c>
      <c r="BA705" s="128">
        <f>SUM(BC705+BF705+BI705)</f>
        <v>3</v>
      </c>
      <c r="BB705" s="128">
        <f>SUM(BE705,BH705,BK705)</f>
        <v>2663.2996632996633</v>
      </c>
      <c r="BC705" s="130">
        <f>IF(BD705&gt;0,1,0)</f>
        <v>1</v>
      </c>
      <c r="BD705" s="128">
        <f>VLOOKUP($E705,[2]Current!$A:$AC,26,FALSE)</f>
        <v>4</v>
      </c>
      <c r="BE705" s="128">
        <f>BD705/$AS705</f>
        <v>6.7340067340067327</v>
      </c>
      <c r="BF705" s="130">
        <f>IF(BG705&gt;0,1,0)</f>
        <v>1</v>
      </c>
      <c r="BG705" s="175">
        <f>VLOOKUP($E705,[2]Current!$A:$AC,27,FALSE)</f>
        <v>1550</v>
      </c>
      <c r="BH705" s="128">
        <f>BG705/$AS705</f>
        <v>2609.4276094276092</v>
      </c>
      <c r="BI705" s="130">
        <f>IF(BJ705&gt;0,1,0)</f>
        <v>1</v>
      </c>
      <c r="BJ705" s="128">
        <f>VLOOKUP($E705,[2]Current!$A:$AC,28,FALSE)</f>
        <v>28</v>
      </c>
      <c r="BK705" s="128">
        <f>BJ705/$AS705</f>
        <v>47.138047138047135</v>
      </c>
      <c r="BL705" s="128">
        <f>IF(BM705&gt;0,1,0)</f>
        <v>0</v>
      </c>
      <c r="BM705" s="128">
        <f>SUM(BR705,BU705,BX705,CA705,CD705)</f>
        <v>0</v>
      </c>
      <c r="BN705" s="131">
        <f>SUM(BT705,BW705,BZ705,CC705,CF705)</f>
        <v>0</v>
      </c>
      <c r="BO705" s="128">
        <f>IF(BP705&gt;0,1,0)</f>
        <v>0</v>
      </c>
      <c r="BP705" s="128">
        <f>BM705+CJ705</f>
        <v>0</v>
      </c>
      <c r="BQ705" s="128">
        <f>BN705+CL705</f>
        <v>0</v>
      </c>
      <c r="BR705" s="130">
        <f>IF(BS705&gt;0,1,0)</f>
        <v>0</v>
      </c>
      <c r="BS705" s="128">
        <f>VLOOKUP($E705,[2]Current!$A:$AC,12,FALSE)</f>
        <v>0</v>
      </c>
      <c r="BT705" s="175">
        <f>BS705/$AS705</f>
        <v>0</v>
      </c>
      <c r="BU705" s="130">
        <f>IF(BV705&gt;0,1,0)</f>
        <v>0</v>
      </c>
      <c r="BV705" s="128">
        <f>VLOOKUP($E705,[2]Current!$A:$AC,13,FALSE)</f>
        <v>0</v>
      </c>
      <c r="BW705" s="128">
        <f>BV705/$AS705</f>
        <v>0</v>
      </c>
      <c r="BX705" s="130">
        <f>IF(BY705&gt;0,1,0)</f>
        <v>0</v>
      </c>
      <c r="BY705" s="128">
        <f>VLOOKUP($E705,[2]Current!$A:$AC,14,FALSE)</f>
        <v>0</v>
      </c>
      <c r="BZ705" s="128">
        <f>BY705/$AS705</f>
        <v>0</v>
      </c>
      <c r="CA705" s="130">
        <f>IF(CB705&gt;0,1,0)</f>
        <v>0</v>
      </c>
      <c r="CB705" s="128">
        <f>VLOOKUP($E705,[2]Current!$A:$AC,15,FALSE)</f>
        <v>0</v>
      </c>
      <c r="CC705" s="128">
        <f>CB705/$AS705</f>
        <v>0</v>
      </c>
      <c r="CD705" s="176">
        <f>IF(CE705&gt;0,1,0)</f>
        <v>0</v>
      </c>
      <c r="CE705" s="128">
        <f>VLOOKUP($E705,[2]Current!$A:$AC,16,FALSE)</f>
        <v>0</v>
      </c>
      <c r="CF705" s="128">
        <f>CE705/$AS705</f>
        <v>0</v>
      </c>
      <c r="CG705" s="18"/>
      <c r="CH705" s="18"/>
      <c r="CI705" s="18"/>
      <c r="CJ705" s="130">
        <f>IF(CK705&gt;0,1,0)</f>
        <v>0</v>
      </c>
      <c r="CK705" s="128">
        <f>VLOOKUP($E705,[2]Current!$A:$AC,18,FALSE)</f>
        <v>0</v>
      </c>
      <c r="CL705" s="128">
        <f>CK705/$AS705</f>
        <v>0</v>
      </c>
      <c r="CS705" s="130">
        <f>IF(CU705&gt;0,1,0)</f>
        <v>0</v>
      </c>
      <c r="CU705" s="128">
        <f>VLOOKUP($E705,[2]Current!$A:$AC,17,FALSE)</f>
        <v>0</v>
      </c>
      <c r="CV705" s="128">
        <f>CU705/$AS705</f>
        <v>0</v>
      </c>
      <c r="CW705" s="18"/>
      <c r="CX705" s="18"/>
      <c r="CY705" s="18"/>
      <c r="DF705" s="16" t="e">
        <f>VLOOKUP(K705,'[3]RNA Seq summary tables'!$V$3:$V$99,1,FALSE)</f>
        <v>#N/A</v>
      </c>
      <c r="DG705" s="126" t="s">
        <v>123</v>
      </c>
      <c r="JR705" s="18"/>
      <c r="JS705" s="18"/>
      <c r="JT705" s="18"/>
      <c r="JU705" s="18"/>
      <c r="JV705" s="18"/>
      <c r="JW705" s="18"/>
      <c r="JX705" s="18"/>
      <c r="JY705" s="18"/>
      <c r="JZ705" s="18"/>
      <c r="KA705" s="18"/>
      <c r="KB705" s="18"/>
    </row>
    <row r="706" spans="2:288" ht="16" x14ac:dyDescent="0.2">
      <c r="B706" s="16">
        <v>2018</v>
      </c>
      <c r="C706" s="147">
        <v>43305</v>
      </c>
      <c r="D706" t="s">
        <v>1170</v>
      </c>
      <c r="E706" s="37" t="str">
        <f>CONCATENATE(T706,"-",U706,"-",C706)</f>
        <v>HW1-C1-43305</v>
      </c>
      <c r="F706" s="16" t="s">
        <v>227</v>
      </c>
      <c r="G706" s="145" t="s">
        <v>107</v>
      </c>
      <c r="H706" s="145"/>
      <c r="I706" s="145"/>
      <c r="J706" s="145">
        <v>1560</v>
      </c>
      <c r="K706" s="145">
        <v>2686</v>
      </c>
      <c r="M706" s="16"/>
      <c r="N706" s="16"/>
      <c r="O706" s="145" t="s">
        <v>119</v>
      </c>
      <c r="P706" s="18" t="s">
        <v>119</v>
      </c>
      <c r="Q706" s="18">
        <v>0</v>
      </c>
      <c r="R706" s="18">
        <f>IF(J706=J705,C706-C705,"")</f>
        <v>0</v>
      </c>
      <c r="S706" s="145"/>
      <c r="T706" s="145" t="s">
        <v>133</v>
      </c>
      <c r="U706" s="145" t="s">
        <v>150</v>
      </c>
      <c r="V706" s="145" t="s">
        <v>114</v>
      </c>
      <c r="W706" s="145"/>
      <c r="X706" s="145" t="s">
        <v>121</v>
      </c>
      <c r="Y706" s="145" t="s">
        <v>110</v>
      </c>
      <c r="Z706" s="145">
        <v>3</v>
      </c>
      <c r="AA706" s="145" t="s">
        <v>119</v>
      </c>
      <c r="AB706" s="145" t="s">
        <v>123</v>
      </c>
      <c r="AC706" s="145" t="s">
        <v>116</v>
      </c>
      <c r="AD706" s="145" t="s">
        <v>116</v>
      </c>
      <c r="AE706" s="145"/>
      <c r="AF706" s="145"/>
      <c r="AG706" s="145">
        <f>AH706-AI706</f>
        <v>78</v>
      </c>
      <c r="AH706" s="145">
        <v>141</v>
      </c>
      <c r="AI706" s="145">
        <v>63</v>
      </c>
      <c r="AJ706" s="145"/>
      <c r="AK706" s="145">
        <v>16.5</v>
      </c>
      <c r="AL706" s="145">
        <v>0</v>
      </c>
      <c r="AM706" s="145">
        <v>0</v>
      </c>
      <c r="AN706" s="145">
        <v>0</v>
      </c>
      <c r="AO706" s="16">
        <f>IF(SUM(AL706:AN706)&gt;0, 1,0)</f>
        <v>0</v>
      </c>
      <c r="AP706" s="16">
        <f>SUM(AL706:AN706)</f>
        <v>0</v>
      </c>
      <c r="AS706" s="16">
        <f>VLOOKUP(E706,'[1]Feces weights'!$D$1:$H$459,5,FALSE)</f>
        <v>0.59400000000000008</v>
      </c>
      <c r="AT706" s="16" t="str">
        <f>VLOOKUP(E706,[2]Current!$A$1:$W$435,7,FALSE)</f>
        <v>JY</v>
      </c>
      <c r="AU706" s="16" t="s">
        <v>1288</v>
      </c>
      <c r="AV706" s="23"/>
      <c r="AW706" s="128">
        <f>IF(AX706&gt;0,1,0)</f>
        <v>1</v>
      </c>
      <c r="AX706" s="128">
        <f>SUM(BA706,BM706,CU706)</f>
        <v>3</v>
      </c>
      <c r="AY706" s="128">
        <f>SUM(BB706,BN706,CV706)</f>
        <v>2663.2996632996633</v>
      </c>
      <c r="AZ706" s="128">
        <f>IF(BA706&gt;0,1,0)</f>
        <v>1</v>
      </c>
      <c r="BA706" s="128">
        <f>SUM(BC706+BF706+BI706)</f>
        <v>3</v>
      </c>
      <c r="BB706" s="128">
        <f>SUM(BE706,BH706,BK706)</f>
        <v>2663.2996632996633</v>
      </c>
      <c r="BC706" s="130">
        <f>IF(BD706&gt;0,1,0)</f>
        <v>1</v>
      </c>
      <c r="BD706" s="128">
        <f>VLOOKUP($E706,[2]Current!$A:$AC,26,FALSE)</f>
        <v>4</v>
      </c>
      <c r="BE706" s="128">
        <f>BD706/$AS706</f>
        <v>6.7340067340067327</v>
      </c>
      <c r="BF706" s="130">
        <f>IF(BG706&gt;0,1,0)</f>
        <v>1</v>
      </c>
      <c r="BG706" s="175">
        <f>VLOOKUP($E706,[2]Current!$A:$AC,27,FALSE)</f>
        <v>1550</v>
      </c>
      <c r="BH706" s="128">
        <f>BG706/$AS706</f>
        <v>2609.4276094276092</v>
      </c>
      <c r="BI706" s="130">
        <f>IF(BJ706&gt;0,1,0)</f>
        <v>1</v>
      </c>
      <c r="BJ706" s="128">
        <f>VLOOKUP($E706,[2]Current!$A:$AC,28,FALSE)</f>
        <v>28</v>
      </c>
      <c r="BK706" s="128">
        <f>BJ706/$AS706</f>
        <v>47.138047138047135</v>
      </c>
      <c r="BL706" s="128">
        <f>IF(BM706&gt;0,1,0)</f>
        <v>0</v>
      </c>
      <c r="BM706" s="128">
        <f>SUM(BR706,BU706,BX706,CA706,CD706)</f>
        <v>0</v>
      </c>
      <c r="BN706" s="131">
        <f>SUM(BT706,BW706,BZ706,CC706,CF706)</f>
        <v>0</v>
      </c>
      <c r="BO706" s="128">
        <f>IF(BP706&gt;0,1,0)</f>
        <v>0</v>
      </c>
      <c r="BP706" s="128">
        <f>BM706+CJ706</f>
        <v>0</v>
      </c>
      <c r="BQ706" s="128">
        <f>BN706+CL706</f>
        <v>0</v>
      </c>
      <c r="BR706" s="130">
        <f>IF(BS706&gt;0,1,0)</f>
        <v>0</v>
      </c>
      <c r="BS706" s="128">
        <f>VLOOKUP($E706,[2]Current!$A:$AC,12,FALSE)</f>
        <v>0</v>
      </c>
      <c r="BT706" s="175">
        <f>BS706/$AS706</f>
        <v>0</v>
      </c>
      <c r="BU706" s="130">
        <f>IF(BV706&gt;0,1,0)</f>
        <v>0</v>
      </c>
      <c r="BV706" s="128">
        <f>VLOOKUP($E706,[2]Current!$A:$AC,13,FALSE)</f>
        <v>0</v>
      </c>
      <c r="BW706" s="128">
        <f>BV706/$AS706</f>
        <v>0</v>
      </c>
      <c r="BX706" s="130">
        <f>IF(BY706&gt;0,1,0)</f>
        <v>0</v>
      </c>
      <c r="BY706" s="128">
        <f>VLOOKUP($E706,[2]Current!$A:$AC,14,FALSE)</f>
        <v>0</v>
      </c>
      <c r="BZ706" s="128">
        <f>BY706/$AS706</f>
        <v>0</v>
      </c>
      <c r="CA706" s="130">
        <f>IF(CB706&gt;0,1,0)</f>
        <v>0</v>
      </c>
      <c r="CB706" s="128">
        <f>VLOOKUP($E706,[2]Current!$A:$AC,15,FALSE)</f>
        <v>0</v>
      </c>
      <c r="CC706" s="128">
        <f>CB706/$AS706</f>
        <v>0</v>
      </c>
      <c r="CD706" s="176">
        <f>IF(CE706&gt;0,1,0)</f>
        <v>0</v>
      </c>
      <c r="CE706" s="128">
        <f>VLOOKUP($E706,[2]Current!$A:$AC,16,FALSE)</f>
        <v>0</v>
      </c>
      <c r="CF706" s="128">
        <f>CE706/$AS706</f>
        <v>0</v>
      </c>
      <c r="CG706" s="18"/>
      <c r="CH706" s="18"/>
      <c r="CI706" s="18"/>
      <c r="CJ706" s="130">
        <f>IF(CK706&gt;0,1,0)</f>
        <v>0</v>
      </c>
      <c r="CK706" s="128">
        <f>VLOOKUP($E706,[2]Current!$A:$AC,18,FALSE)</f>
        <v>0</v>
      </c>
      <c r="CL706" s="128">
        <f>CK706/$AS706</f>
        <v>0</v>
      </c>
      <c r="CS706" s="130">
        <f>IF(CU706&gt;0,1,0)</f>
        <v>0</v>
      </c>
      <c r="CU706" s="128">
        <f>VLOOKUP($E706,[2]Current!$A:$AC,17,FALSE)</f>
        <v>0</v>
      </c>
      <c r="CV706" s="128">
        <f>CU706/$AS706</f>
        <v>0</v>
      </c>
      <c r="CW706" s="18"/>
      <c r="CX706" s="18"/>
      <c r="CY706" s="18"/>
      <c r="DG706" s="145" t="s">
        <v>123</v>
      </c>
      <c r="DT706" s="145" t="s">
        <v>123</v>
      </c>
      <c r="DU706" s="145"/>
      <c r="DX706" s="145"/>
      <c r="DY706" s="145"/>
      <c r="DZ706" s="16"/>
      <c r="EA706" s="16"/>
      <c r="EB706" s="16"/>
      <c r="EC706" s="16"/>
      <c r="ED706" s="16"/>
      <c r="EE706" s="16"/>
      <c r="EF706" s="16"/>
      <c r="JO706" s="18"/>
      <c r="JP706" s="18"/>
      <c r="JQ706" s="18"/>
      <c r="JR706" s="18"/>
      <c r="JS706" s="18"/>
      <c r="JT706" s="18"/>
      <c r="JU706" s="18"/>
      <c r="JV706" s="18"/>
      <c r="JW706" s="18"/>
      <c r="JX706" s="18"/>
      <c r="JY706" s="18"/>
      <c r="JZ706" s="18"/>
      <c r="KA706" s="18"/>
    </row>
    <row r="707" spans="2:288" ht="16" x14ac:dyDescent="0.2">
      <c r="B707" s="16">
        <v>2018</v>
      </c>
      <c r="C707" s="124">
        <v>43296</v>
      </c>
      <c r="D707" t="s">
        <v>983</v>
      </c>
      <c r="E707" s="37" t="str">
        <f>CONCATENATE(T707,"-",U707,"-",C707)</f>
        <v>PO2-B2-43296</v>
      </c>
      <c r="F707" s="16" t="s">
        <v>227</v>
      </c>
      <c r="G707" s="126" t="s">
        <v>107</v>
      </c>
      <c r="H707" s="126" t="s">
        <v>1085</v>
      </c>
      <c r="J707" s="126">
        <v>1563</v>
      </c>
      <c r="K707" s="126">
        <v>2622</v>
      </c>
      <c r="O707" s="126" t="s">
        <v>119</v>
      </c>
      <c r="P707" s="18" t="s">
        <v>119</v>
      </c>
      <c r="Q707" s="18">
        <v>0</v>
      </c>
      <c r="R707" s="18" t="str">
        <f>IF(J707=J706,C707-C706,"")</f>
        <v/>
      </c>
      <c r="T707" s="126" t="s">
        <v>127</v>
      </c>
      <c r="U707" s="126" t="s">
        <v>130</v>
      </c>
      <c r="V707" s="126" t="s">
        <v>142</v>
      </c>
      <c r="X707" s="126" t="s">
        <v>121</v>
      </c>
      <c r="Y707" s="126" t="s">
        <v>122</v>
      </c>
      <c r="Z707" s="126">
        <v>2.6</v>
      </c>
      <c r="AA707" s="126" t="s">
        <v>119</v>
      </c>
      <c r="AB707" s="126" t="s">
        <v>123</v>
      </c>
      <c r="AC707" s="126" t="s">
        <v>123</v>
      </c>
      <c r="AD707" s="126"/>
      <c r="AE707" s="126"/>
      <c r="AG707" s="40">
        <f>AH707-AI707</f>
        <v>78</v>
      </c>
      <c r="AH707" s="126">
        <v>164</v>
      </c>
      <c r="AI707" s="126">
        <v>86</v>
      </c>
      <c r="AK707" s="126">
        <v>12</v>
      </c>
      <c r="AL707" s="126">
        <v>0</v>
      </c>
      <c r="AM707" s="126">
        <v>0</v>
      </c>
      <c r="AN707" s="126">
        <v>0</v>
      </c>
      <c r="AO707" s="16">
        <f>IF(SUM(AL707:AN707)&gt;0,1,0)</f>
        <v>0</v>
      </c>
      <c r="AP707" s="18">
        <f>SUM(AL707:AN707)</f>
        <v>0</v>
      </c>
      <c r="AR707" s="16">
        <v>0.1030000000000002</v>
      </c>
      <c r="AS707" s="16">
        <f>VLOOKUP(E707,'[1]Feces weights'!$D$1:$H$459,5,FALSE)</f>
        <v>0.1030000000000002</v>
      </c>
      <c r="AT707" s="16" t="str">
        <f>VLOOKUP(E707,[2]Current!$A$1:$W$435,7,FALSE)</f>
        <v>IS</v>
      </c>
      <c r="AU707" s="16" t="s">
        <v>1288</v>
      </c>
      <c r="AV707" s="23">
        <v>1</v>
      </c>
      <c r="AW707" s="128">
        <f>IF(AX707&gt;0,1,0)</f>
        <v>0</v>
      </c>
      <c r="AX707" s="128">
        <f>SUM(BA707,BM707,CU707)</f>
        <v>0</v>
      </c>
      <c r="AY707" s="128">
        <f>SUM(BB707,BN707,CV707)</f>
        <v>0</v>
      </c>
      <c r="AZ707" s="128">
        <f>IF(BA707&gt;0,1,0)</f>
        <v>0</v>
      </c>
      <c r="BA707" s="128">
        <f>SUM(BC707+BF707+BI707)</f>
        <v>0</v>
      </c>
      <c r="BB707" s="128">
        <f>SUM(BE707,BH707,BK707)</f>
        <v>0</v>
      </c>
      <c r="BC707" s="130">
        <f>IF(BD707&gt;0,1,0)</f>
        <v>0</v>
      </c>
      <c r="BD707" s="128">
        <f>VLOOKUP($E707,[2]Current!$A:$AC,26,FALSE)</f>
        <v>0</v>
      </c>
      <c r="BE707" s="128">
        <f>BD707/$AS707</f>
        <v>0</v>
      </c>
      <c r="BF707" s="130">
        <f>IF(BG707&gt;0,1,0)</f>
        <v>0</v>
      </c>
      <c r="BG707" s="175">
        <f>VLOOKUP($E707,[2]Current!$A:$AC,27,FALSE)</f>
        <v>0</v>
      </c>
      <c r="BH707" s="128">
        <f>BG707/$AS707</f>
        <v>0</v>
      </c>
      <c r="BI707" s="130">
        <f>IF(BJ707&gt;0,1,0)</f>
        <v>0</v>
      </c>
      <c r="BJ707" s="128">
        <f>VLOOKUP($E707,[2]Current!$A:$AC,28,FALSE)</f>
        <v>0</v>
      </c>
      <c r="BK707" s="128">
        <f>BJ707/$AS707</f>
        <v>0</v>
      </c>
      <c r="BL707" s="128">
        <f>IF(BM707&gt;0,1,0)</f>
        <v>0</v>
      </c>
      <c r="BM707" s="128">
        <f>SUM(BR707,BU707,BX707,CA707,CD707)</f>
        <v>0</v>
      </c>
      <c r="BN707" s="131">
        <f>SUM(BT707,BW707,BZ707,CC707,CF707)</f>
        <v>0</v>
      </c>
      <c r="BO707" s="128">
        <f>IF(BP707&gt;0,1,0)</f>
        <v>0</v>
      </c>
      <c r="BP707" s="128">
        <f>BM707+CJ707</f>
        <v>0</v>
      </c>
      <c r="BQ707" s="128">
        <f>BN707+CL707</f>
        <v>0</v>
      </c>
      <c r="BR707" s="130">
        <f>IF(BS707&gt;0,1,0)</f>
        <v>0</v>
      </c>
      <c r="BS707" s="128">
        <f>VLOOKUP($E707,[2]Current!$A:$AC,12,FALSE)</f>
        <v>0</v>
      </c>
      <c r="BT707" s="175">
        <f>BS707/$AS707</f>
        <v>0</v>
      </c>
      <c r="BU707" s="130">
        <f>IF(BV707&gt;0,1,0)</f>
        <v>0</v>
      </c>
      <c r="BV707" s="128">
        <f>VLOOKUP($E707,[2]Current!$A:$AC,13,FALSE)</f>
        <v>0</v>
      </c>
      <c r="BW707" s="128">
        <f>BV707/$AS707</f>
        <v>0</v>
      </c>
      <c r="BX707" s="130">
        <f>IF(BY707&gt;0,1,0)</f>
        <v>0</v>
      </c>
      <c r="BY707" s="128">
        <f>VLOOKUP($E707,[2]Current!$A:$AC,14,FALSE)</f>
        <v>0</v>
      </c>
      <c r="BZ707" s="128">
        <f>BY707/$AS707</f>
        <v>0</v>
      </c>
      <c r="CA707" s="130">
        <f>IF(CB707&gt;0,1,0)</f>
        <v>0</v>
      </c>
      <c r="CB707" s="128">
        <f>VLOOKUP($E707,[2]Current!$A:$AC,15,FALSE)</f>
        <v>0</v>
      </c>
      <c r="CC707" s="128">
        <f>CB707/$AS707</f>
        <v>0</v>
      </c>
      <c r="CD707" s="176">
        <f>IF(CE707&gt;0,1,0)</f>
        <v>0</v>
      </c>
      <c r="CE707" s="128">
        <f>VLOOKUP($E707,[2]Current!$A:$AC,16,FALSE)</f>
        <v>0</v>
      </c>
      <c r="CF707" s="128">
        <f>CE707/$AS707</f>
        <v>0</v>
      </c>
      <c r="CG707" s="18"/>
      <c r="CH707" s="18"/>
      <c r="CI707" s="18"/>
      <c r="CJ707" s="130">
        <f>IF(CK707&gt;0,1,0)</f>
        <v>0</v>
      </c>
      <c r="CK707" s="128">
        <f>VLOOKUP($E707,[2]Current!$A:$AC,18,FALSE)</f>
        <v>0</v>
      </c>
      <c r="CL707" s="128">
        <f>CK707/$AS707</f>
        <v>0</v>
      </c>
      <c r="CS707" s="130">
        <f>IF(CU707&gt;0,1,0)</f>
        <v>0</v>
      </c>
      <c r="CU707" s="128">
        <f>VLOOKUP($E707,[2]Current!$A:$AC,17,FALSE)</f>
        <v>0</v>
      </c>
      <c r="CV707" s="128">
        <f>CU707/$AS707</f>
        <v>0</v>
      </c>
      <c r="CW707" s="18"/>
      <c r="CX707" s="18"/>
      <c r="CY707" s="18"/>
      <c r="DF707" s="16" t="e">
        <f>VLOOKUP(K707,'[3]RNA Seq summary tables'!$V$3:$V$99,1,FALSE)</f>
        <v>#N/A</v>
      </c>
      <c r="DG707" s="126" t="s">
        <v>123</v>
      </c>
    </row>
    <row r="708" spans="2:288" ht="16" x14ac:dyDescent="0.2">
      <c r="B708" s="16">
        <v>2018</v>
      </c>
      <c r="C708" s="124">
        <v>43296</v>
      </c>
      <c r="D708" t="s">
        <v>1002</v>
      </c>
      <c r="E708" s="37" t="str">
        <f>CONCATENATE(T708,"-",U708,"-",C708)</f>
        <v>PO1-E3-43296</v>
      </c>
      <c r="F708" s="16" t="s">
        <v>227</v>
      </c>
      <c r="G708" s="126" t="s">
        <v>107</v>
      </c>
      <c r="H708" s="126" t="s">
        <v>1086</v>
      </c>
      <c r="J708" s="126">
        <v>1565</v>
      </c>
      <c r="K708" s="126">
        <v>2633</v>
      </c>
      <c r="O708" s="126" t="s">
        <v>119</v>
      </c>
      <c r="P708" s="18" t="s">
        <v>119</v>
      </c>
      <c r="Q708" s="18">
        <v>0</v>
      </c>
      <c r="R708" s="18" t="str">
        <f>IF(J708=J707,C708-C707,"")</f>
        <v/>
      </c>
      <c r="T708" s="126" t="s">
        <v>112</v>
      </c>
      <c r="U708" s="126" t="s">
        <v>225</v>
      </c>
      <c r="V708" s="126" t="s">
        <v>142</v>
      </c>
      <c r="X708" s="126" t="s">
        <v>121</v>
      </c>
      <c r="Y708" s="126" t="s">
        <v>110</v>
      </c>
      <c r="Z708" s="126">
        <v>3</v>
      </c>
      <c r="AA708" s="126" t="s">
        <v>119</v>
      </c>
      <c r="AB708" s="126" t="s">
        <v>123</v>
      </c>
      <c r="AC708" s="126" t="s">
        <v>123</v>
      </c>
      <c r="AD708" s="126"/>
      <c r="AE708" s="126"/>
      <c r="AG708" s="40">
        <f>AH708-AI708</f>
        <v>78</v>
      </c>
      <c r="AH708" s="126">
        <v>156</v>
      </c>
      <c r="AI708" s="126">
        <v>78</v>
      </c>
      <c r="AK708" s="126">
        <v>12.5</v>
      </c>
      <c r="AL708" s="126">
        <v>0</v>
      </c>
      <c r="AM708" s="126">
        <v>0</v>
      </c>
      <c r="AN708" s="126">
        <v>0</v>
      </c>
      <c r="AO708" s="16">
        <f>IF(SUM(AL708:AN708)&gt;0,1,0)</f>
        <v>0</v>
      </c>
      <c r="AP708" s="18">
        <f>SUM(AL708:AN708)</f>
        <v>0</v>
      </c>
      <c r="AQ708" s="16" t="s">
        <v>1278</v>
      </c>
      <c r="AT708" s="16" t="str">
        <f>VLOOKUP(E708,[2]Current!$A$1:$W$435,7,FALSE)</f>
        <v>TE</v>
      </c>
      <c r="AU708" s="16" t="s">
        <v>1288</v>
      </c>
      <c r="AV708" s="23">
        <v>1</v>
      </c>
      <c r="AW708" s="128">
        <f>IF(AX708&gt;0,1,0)</f>
        <v>0</v>
      </c>
      <c r="AX708" s="128">
        <f>SUM(BA708,BM708,CU708)</f>
        <v>0</v>
      </c>
      <c r="AY708" s="128"/>
      <c r="AZ708" s="128">
        <f>IF(BA708&gt;0,1,0)</f>
        <v>0</v>
      </c>
      <c r="BA708" s="128">
        <f>SUM(BC708+BF708+BI708)</f>
        <v>0</v>
      </c>
      <c r="BB708" s="128"/>
      <c r="BC708" s="130">
        <f>IF(BD708&gt;0,1,0)</f>
        <v>0</v>
      </c>
      <c r="BD708" s="128">
        <f>VLOOKUP($E708,[2]Current!$A:$AC,26,FALSE)</f>
        <v>0</v>
      </c>
      <c r="BE708" s="128"/>
      <c r="BF708" s="130">
        <f>IF(BG708&gt;0,1,0)</f>
        <v>0</v>
      </c>
      <c r="BG708" s="175">
        <f>VLOOKUP($E708,[2]Current!$A:$AC,27,FALSE)</f>
        <v>0</v>
      </c>
      <c r="BH708" s="128"/>
      <c r="BI708" s="130">
        <f>IF(BJ708&gt;0,1,0)</f>
        <v>0</v>
      </c>
      <c r="BJ708" s="128">
        <f>VLOOKUP($E708,[2]Current!$A:$AC,28,FALSE)</f>
        <v>0</v>
      </c>
      <c r="BK708" s="128"/>
      <c r="BL708" s="128">
        <f>IF(BM708&gt;0,1,0)</f>
        <v>0</v>
      </c>
      <c r="BM708" s="128">
        <f>SUM(BR708,BU708,BX708,CA708,CD708)</f>
        <v>0</v>
      </c>
      <c r="BN708" s="131"/>
      <c r="BO708" s="128">
        <f>IF(BP708&gt;0,1,0)</f>
        <v>0</v>
      </c>
      <c r="BP708" s="128">
        <f>BM708+CJ708</f>
        <v>0</v>
      </c>
      <c r="BQ708" s="128"/>
      <c r="BR708" s="130">
        <f>IF(BS708&gt;0,1,0)</f>
        <v>0</v>
      </c>
      <c r="BS708" s="128">
        <f>VLOOKUP($E708,[2]Current!$A:$AC,12,FALSE)</f>
        <v>0</v>
      </c>
      <c r="BT708" s="175"/>
      <c r="BU708" s="130">
        <f>IF(BV708&gt;0,1,0)</f>
        <v>0</v>
      </c>
      <c r="BV708" s="128">
        <f>VLOOKUP($E708,[2]Current!$A:$AC,13,FALSE)</f>
        <v>0</v>
      </c>
      <c r="BW708" s="128"/>
      <c r="BX708" s="130">
        <f>IF(BY708&gt;0,1,0)</f>
        <v>0</v>
      </c>
      <c r="BY708" s="128">
        <f>VLOOKUP($E708,[2]Current!$A:$AC,14,FALSE)</f>
        <v>0</v>
      </c>
      <c r="BZ708" s="128"/>
      <c r="CA708" s="130">
        <f>IF(CB708&gt;0,1,0)</f>
        <v>0</v>
      </c>
      <c r="CB708" s="128">
        <f>VLOOKUP($E708,[2]Current!$A:$AC,15,FALSE)</f>
        <v>0</v>
      </c>
      <c r="CC708" s="128"/>
      <c r="CD708" s="176">
        <f>IF(CE708&gt;0,1,0)</f>
        <v>0</v>
      </c>
      <c r="CE708" s="128">
        <f>VLOOKUP($E708,[2]Current!$A:$AC,16,FALSE)</f>
        <v>0</v>
      </c>
      <c r="CF708" s="128"/>
      <c r="CG708" s="18"/>
      <c r="CH708" s="18"/>
      <c r="CI708" s="18"/>
      <c r="CJ708" s="130">
        <f>IF(CK708&gt;0,1,0)</f>
        <v>0</v>
      </c>
      <c r="CK708" s="128">
        <f>VLOOKUP($E708,[2]Current!$A:$AC,18,FALSE)</f>
        <v>0</v>
      </c>
      <c r="CL708" s="128"/>
      <c r="CS708" s="130">
        <f>IF(CU708&gt;0,1,0)</f>
        <v>0</v>
      </c>
      <c r="CT708" s="18"/>
      <c r="CU708" s="128">
        <f>VLOOKUP($E708,[2]Current!$A:$AC,17,FALSE)</f>
        <v>0</v>
      </c>
      <c r="CV708" s="128"/>
      <c r="CW708" s="18"/>
      <c r="CX708" s="18"/>
      <c r="CY708" s="18"/>
      <c r="DF708" s="16" t="e">
        <f>VLOOKUP(K708,'[3]RNA Seq summary tables'!$V$3:$V$99,1,FALSE)</f>
        <v>#N/A</v>
      </c>
      <c r="DG708" s="126" t="s">
        <v>116</v>
      </c>
    </row>
    <row r="709" spans="2:288" ht="16" x14ac:dyDescent="0.2">
      <c r="B709" s="16">
        <v>2018</v>
      </c>
      <c r="C709" s="147">
        <v>43315</v>
      </c>
      <c r="D709" t="s">
        <v>1253</v>
      </c>
      <c r="E709" s="20" t="str">
        <f>CONCATENATE(T709,"-",U709,"-",C709)</f>
        <v>PO1-F4-43315</v>
      </c>
      <c r="F709" s="16" t="s">
        <v>227</v>
      </c>
      <c r="G709" s="145" t="s">
        <v>107</v>
      </c>
      <c r="H709" s="145"/>
      <c r="I709" s="145"/>
      <c r="J709" s="145">
        <v>1565</v>
      </c>
      <c r="K709" s="145">
        <v>2752</v>
      </c>
      <c r="M709" s="16"/>
      <c r="N709" s="16"/>
      <c r="O709" s="145" t="s">
        <v>119</v>
      </c>
      <c r="P709" s="18" t="s">
        <v>119</v>
      </c>
      <c r="Q709" s="18">
        <v>0</v>
      </c>
      <c r="R709" s="18">
        <f>IF(J709=J708,C709-C708,"")</f>
        <v>19</v>
      </c>
      <c r="S709" s="145"/>
      <c r="T709" s="145" t="s">
        <v>112</v>
      </c>
      <c r="U709" s="145" t="s">
        <v>184</v>
      </c>
      <c r="V709" s="145" t="s">
        <v>114</v>
      </c>
      <c r="W709" s="145"/>
      <c r="X709" s="145" t="s">
        <v>121</v>
      </c>
      <c r="Y709" s="145" t="s">
        <v>110</v>
      </c>
      <c r="Z709" s="145">
        <v>3</v>
      </c>
      <c r="AA709" s="145" t="s">
        <v>119</v>
      </c>
      <c r="AB709" s="145" t="s">
        <v>123</v>
      </c>
      <c r="AC709" s="145" t="s">
        <v>116</v>
      </c>
      <c r="AD709" s="145"/>
      <c r="AE709" s="145"/>
      <c r="AF709" s="145"/>
      <c r="AG709" s="145">
        <f>AH709-AI709</f>
        <v>82</v>
      </c>
      <c r="AH709" s="145">
        <v>160</v>
      </c>
      <c r="AI709" s="145">
        <v>78</v>
      </c>
      <c r="AJ709" s="145"/>
      <c r="AK709" s="145">
        <v>14.5</v>
      </c>
      <c r="AL709" s="145">
        <v>1</v>
      </c>
      <c r="AM709" s="145">
        <v>0</v>
      </c>
      <c r="AN709" s="145">
        <v>0</v>
      </c>
      <c r="AO709" s="16">
        <f>IF(SUM(AL709:AN709)&gt;0, 1,0)</f>
        <v>1</v>
      </c>
      <c r="AP709" s="16">
        <f>SUM(AL709:AN709)</f>
        <v>1</v>
      </c>
      <c r="AS709" s="16">
        <f>VLOOKUP(E709,'[1]Feces weights'!$D$1:$H$459,5,FALSE)</f>
        <v>0.37800000000000011</v>
      </c>
      <c r="AT709" s="16" t="e">
        <f>VLOOKUP(E709,[2]Current!$A$1:$W$435,7,FALSE)</f>
        <v>#N/A</v>
      </c>
      <c r="BG709" s="23"/>
      <c r="BT709" s="23"/>
      <c r="CD709" s="23"/>
      <c r="DG709" s="145" t="s">
        <v>116</v>
      </c>
      <c r="DT709" s="145" t="s">
        <v>116</v>
      </c>
      <c r="DU709" s="145"/>
      <c r="DX709" s="145"/>
      <c r="DY709" s="145"/>
      <c r="DZ709" s="16"/>
      <c r="EA709" s="16"/>
      <c r="EB709" s="16"/>
      <c r="EC709" s="16"/>
      <c r="ED709" s="16"/>
      <c r="EE709" s="16"/>
      <c r="EF709" s="16"/>
      <c r="JO709" s="18"/>
      <c r="JP709" s="18"/>
      <c r="JQ709" s="18"/>
      <c r="JR709" s="18"/>
      <c r="JS709" s="18"/>
      <c r="JT709" s="18"/>
      <c r="JU709" s="18"/>
      <c r="JV709" s="18"/>
      <c r="JW709" s="18"/>
      <c r="JX709" s="18"/>
      <c r="JY709" s="18"/>
      <c r="JZ709" s="18"/>
      <c r="KA709" s="18"/>
    </row>
    <row r="710" spans="2:288" ht="16" x14ac:dyDescent="0.2">
      <c r="B710" s="16">
        <v>2018</v>
      </c>
      <c r="C710" s="124">
        <v>43297</v>
      </c>
      <c r="D710" t="s">
        <v>1006</v>
      </c>
      <c r="E710" s="37" t="str">
        <f>CONCATENATE(T710,"-",U710,"-",C710)</f>
        <v>PO2-F1-43297</v>
      </c>
      <c r="F710" s="16" t="s">
        <v>227</v>
      </c>
      <c r="G710" s="126" t="s">
        <v>107</v>
      </c>
      <c r="H710" s="126"/>
      <c r="J710" s="126">
        <v>1567</v>
      </c>
      <c r="K710" s="126">
        <v>2642</v>
      </c>
      <c r="O710" s="126" t="s">
        <v>119</v>
      </c>
      <c r="P710" s="18" t="s">
        <v>119</v>
      </c>
      <c r="Q710" s="18">
        <v>0</v>
      </c>
      <c r="R710" s="18" t="str">
        <f>IF(J710=J709,C710-C709,"")</f>
        <v/>
      </c>
      <c r="T710" s="126" t="s">
        <v>127</v>
      </c>
      <c r="U710" s="126" t="s">
        <v>217</v>
      </c>
      <c r="V710" s="126" t="s">
        <v>114</v>
      </c>
      <c r="X710" s="126" t="s">
        <v>121</v>
      </c>
      <c r="Y710" s="126" t="s">
        <v>145</v>
      </c>
      <c r="Z710" s="126">
        <v>1</v>
      </c>
      <c r="AA710" s="126" t="s">
        <v>119</v>
      </c>
      <c r="AB710" s="126" t="s">
        <v>123</v>
      </c>
      <c r="AC710" s="126" t="s">
        <v>123</v>
      </c>
      <c r="AD710" s="126"/>
      <c r="AE710" s="126"/>
      <c r="AG710" s="40">
        <f>AH710-AI710</f>
        <v>74</v>
      </c>
      <c r="AH710" s="126">
        <v>138</v>
      </c>
      <c r="AI710" s="126">
        <v>64</v>
      </c>
      <c r="AK710" s="126">
        <v>12.5</v>
      </c>
      <c r="AL710" s="126">
        <v>1</v>
      </c>
      <c r="AM710" s="126">
        <v>0</v>
      </c>
      <c r="AN710" s="126">
        <v>1</v>
      </c>
      <c r="AO710" s="16">
        <f>IF(SUM(AL710:AN710)&gt;0,1,0)</f>
        <v>1</v>
      </c>
      <c r="AP710" s="18">
        <f>SUM(AL710:AN710)</f>
        <v>2</v>
      </c>
      <c r="AR710" s="16">
        <v>0.19000000000000017</v>
      </c>
      <c r="AS710" s="16">
        <f>VLOOKUP(E710,'[1]Feces weights'!$D$1:$H$459,5,FALSE)</f>
        <v>0.19000000000000017</v>
      </c>
      <c r="AT710" s="16" t="str">
        <f>VLOOKUP(E710,[2]Current!$A$1:$W$435,7,FALSE)</f>
        <v>JB</v>
      </c>
      <c r="AU710" s="16" t="s">
        <v>1288</v>
      </c>
      <c r="AW710" s="128">
        <f>IF(AX710&gt;0,1,0)</f>
        <v>1</v>
      </c>
      <c r="AX710" s="128">
        <f>SUM(BA710,BM710,CU710)</f>
        <v>4</v>
      </c>
      <c r="AY710" s="128">
        <f>SUM(BB710,BN710,CV710)</f>
        <v>18915.789473684195</v>
      </c>
      <c r="AZ710" s="128">
        <f>IF(BA710&gt;0,1,0)</f>
        <v>1</v>
      </c>
      <c r="BA710" s="128">
        <f>SUM(BC710+BF710+BI710)</f>
        <v>3</v>
      </c>
      <c r="BB710" s="128">
        <f>SUM(BE710,BH710,BK710)</f>
        <v>18894.736842105249</v>
      </c>
      <c r="BC710" s="130">
        <f>IF(BD710&gt;0,1,0)</f>
        <v>1</v>
      </c>
      <c r="BD710" s="128">
        <f>VLOOKUP($E710,[2]Current!$A:$AC,26,FALSE)</f>
        <v>414</v>
      </c>
      <c r="BE710" s="128">
        <f>BD710/$AS710</f>
        <v>2178.9473684210507</v>
      </c>
      <c r="BF710" s="130">
        <f>IF(BG710&gt;0,1,0)</f>
        <v>1</v>
      </c>
      <c r="BG710" s="175">
        <f>VLOOKUP($E710,[2]Current!$A:$AC,27,FALSE)</f>
        <v>3084</v>
      </c>
      <c r="BH710" s="128">
        <f>BG710/$AS710</f>
        <v>16231.578947368407</v>
      </c>
      <c r="BI710" s="130">
        <f>IF(BJ710&gt;0,1,0)</f>
        <v>1</v>
      </c>
      <c r="BJ710" s="128">
        <f>VLOOKUP($E710,[2]Current!$A:$AC,28,FALSE)</f>
        <v>92</v>
      </c>
      <c r="BK710" s="128">
        <f>BJ710/$AS710</f>
        <v>484.21052631578902</v>
      </c>
      <c r="BL710" s="128">
        <f>IF(BM710&gt;0,1,0)</f>
        <v>1</v>
      </c>
      <c r="BM710" s="128">
        <f>SUM(BR710,BU710,BX710,CA710,CD710)</f>
        <v>1</v>
      </c>
      <c r="BN710" s="131">
        <f>SUM(BT710,BW710,BZ710,CC710,CF710)</f>
        <v>21.052631578947349</v>
      </c>
      <c r="BO710" s="128">
        <f>IF(BP710&gt;0,1,0)</f>
        <v>1</v>
      </c>
      <c r="BP710" s="128">
        <f>BM710+CJ710</f>
        <v>1</v>
      </c>
      <c r="BQ710" s="128">
        <f>BN710+CL710</f>
        <v>21.052631578947349</v>
      </c>
      <c r="BR710" s="130">
        <f>IF(BS710&gt;0,1,0)</f>
        <v>0</v>
      </c>
      <c r="BS710" s="128">
        <f>VLOOKUP($E710,[2]Current!$A:$AC,12,FALSE)</f>
        <v>0</v>
      </c>
      <c r="BT710" s="175">
        <f>BS710/$AS710</f>
        <v>0</v>
      </c>
      <c r="BU710" s="130">
        <f>IF(BV710&gt;0,1,0)</f>
        <v>0</v>
      </c>
      <c r="BV710" s="128">
        <f>VLOOKUP($E710,[2]Current!$A:$AC,13,FALSE)</f>
        <v>0</v>
      </c>
      <c r="BW710" s="128">
        <f>BV710/$AS710</f>
        <v>0</v>
      </c>
      <c r="BX710" s="130">
        <f>IF(BY710&gt;0,1,0)</f>
        <v>0</v>
      </c>
      <c r="BY710" s="128">
        <f>VLOOKUP($E710,[2]Current!$A:$AC,14,FALSE)</f>
        <v>0</v>
      </c>
      <c r="BZ710" s="128">
        <f>BY710/$AS710</f>
        <v>0</v>
      </c>
      <c r="CA710" s="130">
        <f>IF(CB710&gt;0,1,0)</f>
        <v>0</v>
      </c>
      <c r="CB710" s="128">
        <f>VLOOKUP($E710,[2]Current!$A:$AC,15,FALSE)</f>
        <v>0</v>
      </c>
      <c r="CC710" s="128">
        <f>CB710/$AS710</f>
        <v>0</v>
      </c>
      <c r="CD710" s="176">
        <f>IF(CE710&gt;0,1,0)</f>
        <v>1</v>
      </c>
      <c r="CE710" s="128">
        <f>VLOOKUP($E710,[2]Current!$A:$AC,16,FALSE)</f>
        <v>4</v>
      </c>
      <c r="CF710" s="128">
        <f>CE710/$AS710</f>
        <v>21.052631578947349</v>
      </c>
      <c r="CG710" s="18"/>
      <c r="CH710" s="18"/>
      <c r="CI710" s="18"/>
      <c r="CJ710" s="130">
        <f>IF(CK710&gt;0,1,0)</f>
        <v>0</v>
      </c>
      <c r="CK710" s="128">
        <f>VLOOKUP($E710,[2]Current!$A:$AC,18,FALSE)</f>
        <v>0</v>
      </c>
      <c r="CL710" s="128">
        <f>CK710/$AS710</f>
        <v>0</v>
      </c>
      <c r="CS710" s="130">
        <f>IF(CU710&gt;0,1,0)</f>
        <v>0</v>
      </c>
      <c r="CU710" s="128">
        <f>VLOOKUP($E710,[2]Current!$A:$AC,17,FALSE)</f>
        <v>0</v>
      </c>
      <c r="CV710" s="128">
        <f>CU710/$AS710</f>
        <v>0</v>
      </c>
      <c r="CW710" s="18"/>
      <c r="CX710" s="18"/>
      <c r="CY710" s="18"/>
      <c r="DF710" s="16" t="e">
        <f>VLOOKUP(K710,'[3]RNA Seq summary tables'!$V$3:$V$99,1,FALSE)</f>
        <v>#N/A</v>
      </c>
      <c r="DG710" s="126" t="s">
        <v>123</v>
      </c>
    </row>
    <row r="711" spans="2:288" ht="16" x14ac:dyDescent="0.2">
      <c r="B711" s="16">
        <v>2018</v>
      </c>
      <c r="C711" s="124">
        <v>43301</v>
      </c>
      <c r="D711" t="s">
        <v>1279</v>
      </c>
      <c r="E711" s="142" t="str">
        <f>CONCATENATE(T711,"-",U711,"-",C711)</f>
        <v>SP2-D5-43301</v>
      </c>
      <c r="F711" s="16" t="s">
        <v>227</v>
      </c>
      <c r="G711" s="126" t="s">
        <v>107</v>
      </c>
      <c r="H711" s="126"/>
      <c r="J711" s="126">
        <v>1569</v>
      </c>
      <c r="K711" s="126">
        <v>2649</v>
      </c>
      <c r="O711" s="126" t="s">
        <v>119</v>
      </c>
      <c r="P711" s="18" t="s">
        <v>119</v>
      </c>
      <c r="Q711" s="18">
        <v>0</v>
      </c>
      <c r="R711" s="18" t="str">
        <f>IF(J711=J710,C711-C710,"")</f>
        <v/>
      </c>
      <c r="T711" s="126" t="s">
        <v>137</v>
      </c>
      <c r="U711" s="126" t="s">
        <v>183</v>
      </c>
      <c r="V711" s="126" t="s">
        <v>114</v>
      </c>
      <c r="X711" s="126" t="s">
        <v>115</v>
      </c>
      <c r="Y711" s="126" t="s">
        <v>122</v>
      </c>
      <c r="Z711" s="126">
        <v>2.9</v>
      </c>
      <c r="AA711" s="126"/>
      <c r="AB711" s="126"/>
      <c r="AC711" s="126"/>
      <c r="AD711" s="126" t="s">
        <v>123</v>
      </c>
      <c r="AE711" s="126" t="s">
        <v>123</v>
      </c>
      <c r="AG711" s="40">
        <f>AH711-AI711</f>
        <v>79</v>
      </c>
      <c r="AH711" s="126">
        <v>149</v>
      </c>
      <c r="AI711" s="126">
        <v>70</v>
      </c>
      <c r="AK711" s="126">
        <v>17.5</v>
      </c>
      <c r="AL711" s="126">
        <v>1</v>
      </c>
      <c r="AM711" s="126">
        <v>0</v>
      </c>
      <c r="AN711" s="126">
        <v>1</v>
      </c>
      <c r="AO711" s="16">
        <f>IF(SUM(AL711:AN711)&gt;0,1,0)</f>
        <v>1</v>
      </c>
      <c r="AP711" s="18">
        <f>SUM(AL711:AN711)</f>
        <v>2</v>
      </c>
      <c r="AR711" s="16">
        <v>6.6000000000000059E-2</v>
      </c>
      <c r="AS711" s="16">
        <f>VLOOKUP(E711,'[1]Feces weights'!$D$1:$H$459,5,FALSE)</f>
        <v>6.6000000000000059E-2</v>
      </c>
      <c r="AT711" s="16" t="e">
        <f>VLOOKUP(E711,[2]Current!$A$1:$W$435,7,FALSE)</f>
        <v>#N/A</v>
      </c>
      <c r="AU711" s="16">
        <v>0</v>
      </c>
      <c r="BG711" s="23"/>
      <c r="BN711" s="126"/>
      <c r="BT711" s="25"/>
      <c r="BU711" s="18"/>
      <c r="BV711" s="18"/>
      <c r="BW711" s="25"/>
      <c r="BX711" s="18"/>
      <c r="BY711" s="18"/>
      <c r="BZ711" s="25"/>
      <c r="CA711" s="18"/>
      <c r="CB711" s="18"/>
      <c r="CC711" s="25"/>
      <c r="CD711" s="25"/>
      <c r="CE711" s="18"/>
      <c r="CF711" s="25"/>
      <c r="CG711" s="18"/>
      <c r="CH711" s="18"/>
      <c r="CI711" s="18"/>
      <c r="CJ711" s="18"/>
      <c r="CK711" s="18"/>
      <c r="CL711" s="25"/>
      <c r="DF711" s="16" t="e">
        <f>VLOOKUP(K711,'[3]RNA Seq summary tables'!$V$3:$V$99,1,FALSE)</f>
        <v>#N/A</v>
      </c>
      <c r="DG711" s="126" t="s">
        <v>123</v>
      </c>
    </row>
    <row r="712" spans="2:288" ht="16" x14ac:dyDescent="0.2">
      <c r="B712" s="16">
        <v>2018</v>
      </c>
      <c r="C712" s="124">
        <v>43302</v>
      </c>
      <c r="D712" t="s">
        <v>1030</v>
      </c>
      <c r="E712" s="142" t="str">
        <f>CONCATENATE(T712,"-",U712,"-",C712)</f>
        <v>SP2-A8-43302</v>
      </c>
      <c r="F712" s="16" t="s">
        <v>227</v>
      </c>
      <c r="G712" s="126" t="s">
        <v>107</v>
      </c>
      <c r="H712" s="126"/>
      <c r="J712" s="126">
        <v>1571</v>
      </c>
      <c r="K712" s="126">
        <v>2665</v>
      </c>
      <c r="O712" s="126" t="s">
        <v>119</v>
      </c>
      <c r="P712" s="18" t="s">
        <v>119</v>
      </c>
      <c r="Q712" s="18">
        <v>0</v>
      </c>
      <c r="R712" s="18" t="str">
        <f>IF(J712=J711,C712-C711,"")</f>
        <v/>
      </c>
      <c r="T712" s="126" t="s">
        <v>137</v>
      </c>
      <c r="U712" s="126" t="s">
        <v>194</v>
      </c>
      <c r="V712" s="126" t="s">
        <v>114</v>
      </c>
      <c r="X712" s="126" t="s">
        <v>115</v>
      </c>
      <c r="Y712" s="126" t="s">
        <v>110</v>
      </c>
      <c r="Z712" s="126">
        <v>3</v>
      </c>
      <c r="AA712" s="126"/>
      <c r="AB712" s="126"/>
      <c r="AC712" s="126"/>
      <c r="AD712" s="126" t="s">
        <v>123</v>
      </c>
      <c r="AE712" s="126" t="s">
        <v>123</v>
      </c>
      <c r="AG712" s="40">
        <f>AH712-AI712</f>
        <v>79</v>
      </c>
      <c r="AH712" s="126">
        <v>153</v>
      </c>
      <c r="AI712" s="126">
        <v>74</v>
      </c>
      <c r="AK712" s="126">
        <v>15</v>
      </c>
      <c r="AL712" s="126">
        <v>0</v>
      </c>
      <c r="AM712" s="126">
        <v>0</v>
      </c>
      <c r="AN712" s="126">
        <v>0</v>
      </c>
      <c r="AO712" s="16">
        <f>IF(SUM(AL712:AN712)&gt;0,1,0)</f>
        <v>0</v>
      </c>
      <c r="AP712" s="18">
        <f>SUM(AL712:AN712)</f>
        <v>0</v>
      </c>
      <c r="AR712" s="16">
        <v>0.34200000000000008</v>
      </c>
      <c r="AS712" s="16">
        <f>VLOOKUP(E712,'[1]Feces weights'!$D$1:$H$459,5,FALSE)</f>
        <v>0.34200000000000008</v>
      </c>
      <c r="AT712" s="16" t="e">
        <f>VLOOKUP(E712,[2]Current!$A$1:$W$435,7,FALSE)</f>
        <v>#N/A</v>
      </c>
      <c r="AU712" s="16">
        <v>0</v>
      </c>
      <c r="BG712" s="23"/>
      <c r="BN712" s="126"/>
      <c r="BT712" s="25"/>
      <c r="BU712" s="18"/>
      <c r="BV712" s="18"/>
      <c r="BW712" s="25"/>
      <c r="BX712" s="18"/>
      <c r="BY712" s="18"/>
      <c r="BZ712" s="25"/>
      <c r="CA712" s="18"/>
      <c r="CB712" s="18"/>
      <c r="CC712" s="25"/>
      <c r="CD712" s="25"/>
      <c r="CE712" s="18"/>
      <c r="CF712" s="25"/>
      <c r="CG712" s="18"/>
      <c r="CH712" s="18"/>
      <c r="CI712" s="18"/>
      <c r="CJ712" s="18"/>
      <c r="CK712" s="18"/>
      <c r="CL712" s="25"/>
      <c r="DF712" s="16" t="e">
        <f>VLOOKUP(K712,'[3]RNA Seq summary tables'!$V$3:$V$99,1,FALSE)</f>
        <v>#N/A</v>
      </c>
      <c r="DG712" s="126" t="s">
        <v>123</v>
      </c>
    </row>
    <row r="713" spans="2:288" ht="16" x14ac:dyDescent="0.2">
      <c r="B713" s="16">
        <v>2018</v>
      </c>
      <c r="C713" s="147">
        <v>43313</v>
      </c>
      <c r="D713" t="s">
        <v>1199</v>
      </c>
      <c r="E713" s="20" t="str">
        <f>CONCATENATE(T713,"-",U713,"-",C713)</f>
        <v>SP2-A7-43313</v>
      </c>
      <c r="F713" s="16" t="s">
        <v>227</v>
      </c>
      <c r="G713" s="145" t="s">
        <v>107</v>
      </c>
      <c r="H713" s="145"/>
      <c r="I713" s="145"/>
      <c r="J713" s="145">
        <v>1571</v>
      </c>
      <c r="K713" s="145">
        <v>2714</v>
      </c>
      <c r="M713" s="16"/>
      <c r="N713" s="16"/>
      <c r="O713" s="145" t="s">
        <v>119</v>
      </c>
      <c r="P713" s="18" t="s">
        <v>119</v>
      </c>
      <c r="Q713" s="18">
        <v>0</v>
      </c>
      <c r="R713" s="18">
        <f>IF(J713=J712,C713-C712,"")</f>
        <v>11</v>
      </c>
      <c r="S713" s="145"/>
      <c r="T713" s="145" t="s">
        <v>137</v>
      </c>
      <c r="U713" s="145" t="s">
        <v>120</v>
      </c>
      <c r="V713" s="145" t="s">
        <v>114</v>
      </c>
      <c r="W713" s="145"/>
      <c r="X713" s="145" t="s">
        <v>115</v>
      </c>
      <c r="Y713" s="145" t="s">
        <v>110</v>
      </c>
      <c r="Z713" s="145">
        <v>3</v>
      </c>
      <c r="AA713" s="145"/>
      <c r="AB713" s="145"/>
      <c r="AC713" s="145"/>
      <c r="AD713" s="145"/>
      <c r="AE713" s="145" t="s">
        <v>116</v>
      </c>
      <c r="AF713" s="145" t="s">
        <v>116</v>
      </c>
      <c r="AG713" s="145">
        <f>AH713-AI713</f>
        <v>83</v>
      </c>
      <c r="AH713" s="145">
        <v>159</v>
      </c>
      <c r="AI713" s="145">
        <v>76</v>
      </c>
      <c r="AJ713" s="145"/>
      <c r="AK713" s="145">
        <v>18.5</v>
      </c>
      <c r="AL713" s="145">
        <v>0</v>
      </c>
      <c r="AM713" s="145">
        <v>0</v>
      </c>
      <c r="AN713" s="145">
        <v>0</v>
      </c>
      <c r="AO713" s="16">
        <f>IF(SUM(AL713:AN713)&gt;0, 1,0)</f>
        <v>0</v>
      </c>
      <c r="AP713" s="16">
        <f>SUM(AL713:AN713)</f>
        <v>0</v>
      </c>
      <c r="AS713" s="16">
        <f>VLOOKUP(E713,'[1]Feces weights'!$D$1:$H$459,5,FALSE)</f>
        <v>0.41700000000000004</v>
      </c>
      <c r="AT713" s="16" t="e">
        <f>VLOOKUP(E713,[2]Current!$A$1:$W$435,7,FALSE)</f>
        <v>#N/A</v>
      </c>
      <c r="BG713" s="23"/>
      <c r="BT713" s="23"/>
      <c r="CD713" s="23"/>
      <c r="DG713" s="145" t="s">
        <v>123</v>
      </c>
      <c r="DT713" s="145" t="s">
        <v>123</v>
      </c>
      <c r="DU713" s="145"/>
      <c r="DX713" s="145"/>
      <c r="DY713" s="145"/>
      <c r="DZ713" s="16"/>
      <c r="EA713" s="16"/>
      <c r="EB713" s="16"/>
      <c r="EC713" s="16"/>
      <c r="ED713" s="16"/>
      <c r="EE713" s="16"/>
      <c r="EF713" s="16"/>
      <c r="JO713" s="18"/>
      <c r="JP713" s="18"/>
      <c r="JQ713" s="18"/>
      <c r="JR713" s="18"/>
      <c r="JS713" s="18"/>
      <c r="JT713" s="18"/>
      <c r="JU713" s="18"/>
      <c r="JV713" s="18"/>
      <c r="JW713" s="18"/>
      <c r="JX713" s="18"/>
      <c r="JY713" s="18"/>
      <c r="JZ713" s="18"/>
      <c r="KA713" s="18"/>
    </row>
    <row r="714" spans="2:288" ht="16" x14ac:dyDescent="0.2">
      <c r="B714" s="16">
        <v>2018</v>
      </c>
      <c r="C714" s="124">
        <v>43302</v>
      </c>
      <c r="D714" t="s">
        <v>1029</v>
      </c>
      <c r="E714" s="142" t="str">
        <f>CONCATENATE(T714,"-",U714,"-",C714)</f>
        <v>SP2-H2-43302</v>
      </c>
      <c r="F714" s="16" t="s">
        <v>227</v>
      </c>
      <c r="G714" s="126" t="s">
        <v>107</v>
      </c>
      <c r="H714" s="126"/>
      <c r="J714" s="126">
        <v>1573</v>
      </c>
      <c r="K714" s="126">
        <v>2669</v>
      </c>
      <c r="O714" s="126" t="s">
        <v>119</v>
      </c>
      <c r="P714" s="18" t="s">
        <v>119</v>
      </c>
      <c r="Q714" s="18">
        <v>0</v>
      </c>
      <c r="R714" s="18" t="str">
        <f>IF(J714=J713,C714-C713,"")</f>
        <v/>
      </c>
      <c r="T714" s="126" t="s">
        <v>137</v>
      </c>
      <c r="U714" s="126" t="s">
        <v>190</v>
      </c>
      <c r="V714" s="126" t="s">
        <v>114</v>
      </c>
      <c r="X714" s="126" t="s">
        <v>115</v>
      </c>
      <c r="Y714" s="126" t="s">
        <v>110</v>
      </c>
      <c r="Z714" s="126">
        <v>3</v>
      </c>
      <c r="AA714" s="126"/>
      <c r="AB714" s="126"/>
      <c r="AC714" s="126"/>
      <c r="AD714" s="126" t="s">
        <v>123</v>
      </c>
      <c r="AE714" s="126" t="s">
        <v>123</v>
      </c>
      <c r="AG714" s="40">
        <f>AH714-AI714</f>
        <v>76</v>
      </c>
      <c r="AH714" s="126">
        <v>147</v>
      </c>
      <c r="AI714" s="126">
        <v>71</v>
      </c>
      <c r="AK714" s="126">
        <v>19</v>
      </c>
      <c r="AL714" s="126">
        <v>0</v>
      </c>
      <c r="AM714" s="126">
        <v>0</v>
      </c>
      <c r="AN714" s="126">
        <v>0</v>
      </c>
      <c r="AO714" s="16">
        <f>IF(SUM(AL714:AN714)&gt;0,1,0)</f>
        <v>0</v>
      </c>
      <c r="AP714" s="18">
        <f>SUM(AL714:AN714)</f>
        <v>0</v>
      </c>
      <c r="AR714" s="16">
        <v>0.32000000000000006</v>
      </c>
      <c r="AS714" s="16">
        <f>VLOOKUP(E714,'[1]Feces weights'!$D$1:$H$459,5,FALSE)</f>
        <v>0.32000000000000006</v>
      </c>
      <c r="AT714" s="16" t="e">
        <f>VLOOKUP(E714,[2]Current!$A$1:$W$435,7,FALSE)</f>
        <v>#N/A</v>
      </c>
      <c r="AU714" s="16">
        <v>0</v>
      </c>
      <c r="BG714" s="77"/>
      <c r="BN714" s="126"/>
      <c r="BT714" s="78"/>
      <c r="BU714" s="18"/>
      <c r="BV714" s="18"/>
      <c r="BW714" s="25"/>
      <c r="BX714" s="18"/>
      <c r="BY714" s="18"/>
      <c r="BZ714" s="25"/>
      <c r="CA714" s="18"/>
      <c r="CB714" s="18"/>
      <c r="CC714" s="25"/>
      <c r="CD714" s="78"/>
      <c r="CE714" s="18"/>
      <c r="CF714" s="25"/>
      <c r="CG714" s="18"/>
      <c r="CH714" s="18"/>
      <c r="CI714" s="18"/>
      <c r="CJ714" s="18"/>
      <c r="CK714" s="18"/>
      <c r="CL714" s="25"/>
      <c r="DF714" s="16" t="e">
        <f>VLOOKUP(K714,'[3]RNA Seq summary tables'!$V$3:$V$99,1,FALSE)</f>
        <v>#N/A</v>
      </c>
      <c r="DG714" s="126" t="s">
        <v>123</v>
      </c>
    </row>
    <row r="715" spans="2:288" ht="16" x14ac:dyDescent="0.2">
      <c r="B715" s="16">
        <v>2018</v>
      </c>
      <c r="C715" s="147">
        <v>43313</v>
      </c>
      <c r="D715" t="s">
        <v>1205</v>
      </c>
      <c r="E715" s="20" t="str">
        <f>CONCATENATE(T715,"-",U715,"-",C715)</f>
        <v>SP2-G4-43313</v>
      </c>
      <c r="F715" s="16" t="s">
        <v>227</v>
      </c>
      <c r="G715" s="145" t="s">
        <v>107</v>
      </c>
      <c r="H715" s="145"/>
      <c r="I715" s="145"/>
      <c r="J715" s="145">
        <v>1573</v>
      </c>
      <c r="K715" s="145">
        <v>2720</v>
      </c>
      <c r="M715" s="16"/>
      <c r="N715" s="16"/>
      <c r="O715" s="145" t="s">
        <v>119</v>
      </c>
      <c r="P715" s="18" t="s">
        <v>119</v>
      </c>
      <c r="Q715" s="18">
        <v>0</v>
      </c>
      <c r="R715" s="18">
        <f>IF(J715=J714,C715-C714,"")</f>
        <v>11</v>
      </c>
      <c r="S715" s="145"/>
      <c r="T715" s="145" t="s">
        <v>137</v>
      </c>
      <c r="U715" s="145" t="s">
        <v>173</v>
      </c>
      <c r="V715" s="145" t="s">
        <v>114</v>
      </c>
      <c r="W715" s="145"/>
      <c r="X715" s="145" t="s">
        <v>115</v>
      </c>
      <c r="Y715" s="145" t="s">
        <v>110</v>
      </c>
      <c r="Z715" s="145">
        <v>3</v>
      </c>
      <c r="AA715" s="145"/>
      <c r="AB715" s="145"/>
      <c r="AC715" s="145"/>
      <c r="AD715" s="145"/>
      <c r="AE715" s="145" t="s">
        <v>116</v>
      </c>
      <c r="AF715" s="145" t="s">
        <v>116</v>
      </c>
      <c r="AG715" s="145">
        <f>AH715-AI715</f>
        <v>86</v>
      </c>
      <c r="AH715" s="145">
        <v>158</v>
      </c>
      <c r="AI715" s="145">
        <v>72</v>
      </c>
      <c r="AJ715" s="145"/>
      <c r="AK715" s="145">
        <v>18</v>
      </c>
      <c r="AL715" s="145">
        <v>0</v>
      </c>
      <c r="AM715" s="145">
        <v>0</v>
      </c>
      <c r="AN715" s="145">
        <v>0</v>
      </c>
      <c r="AO715" s="16">
        <f>IF(SUM(AL715:AN715)&gt;0, 1,0)</f>
        <v>0</v>
      </c>
      <c r="AP715" s="16">
        <f>SUM(AL715:AN715)</f>
        <v>0</v>
      </c>
      <c r="AS715" s="16">
        <f>VLOOKUP(E715,'[1]Feces weights'!$D$1:$H$459,5,FALSE)</f>
        <v>0.2350000000000001</v>
      </c>
      <c r="AT715" s="16" t="e">
        <f>VLOOKUP(E715,[2]Current!$A$1:$W$435,7,FALSE)</f>
        <v>#N/A</v>
      </c>
      <c r="BG715" s="23"/>
      <c r="BT715" s="77"/>
      <c r="CD715" s="77"/>
      <c r="CW715" s="87"/>
      <c r="CX715" s="87"/>
      <c r="CY715" s="87"/>
      <c r="CZ715" s="87"/>
      <c r="DA715" s="87"/>
      <c r="DB715" s="87"/>
      <c r="DC715" s="87"/>
      <c r="DD715" s="87"/>
      <c r="DE715" s="87"/>
      <c r="DG715" s="145" t="s">
        <v>123</v>
      </c>
      <c r="DT715" s="145" t="s">
        <v>116</v>
      </c>
      <c r="DU715" s="145"/>
      <c r="DX715" s="145"/>
      <c r="DY715" s="145"/>
      <c r="DZ715" s="16"/>
      <c r="EA715" s="16"/>
      <c r="EB715" s="16"/>
      <c r="EC715" s="16"/>
      <c r="ED715" s="16"/>
      <c r="EE715" s="16"/>
      <c r="EF715" s="16"/>
      <c r="JO715" s="18"/>
      <c r="JP715" s="18"/>
      <c r="JQ715" s="18"/>
      <c r="JR715" s="18"/>
      <c r="JS715" s="18"/>
      <c r="JT715" s="18"/>
      <c r="JU715" s="18"/>
      <c r="JV715" s="18"/>
      <c r="JW715" s="18"/>
      <c r="JX715" s="18"/>
      <c r="JY715" s="18"/>
      <c r="JZ715" s="18"/>
      <c r="KA715" s="18"/>
    </row>
    <row r="716" spans="2:288" ht="16" x14ac:dyDescent="0.2">
      <c r="B716" s="16">
        <v>2018</v>
      </c>
      <c r="C716" s="124">
        <v>43303</v>
      </c>
      <c r="D716" t="s">
        <v>1036</v>
      </c>
      <c r="E716" s="37" t="str">
        <f>CONCATENATE(T716,"-",U716,"-",C716)</f>
        <v>BC1-C1-43303</v>
      </c>
      <c r="F716" s="16" t="s">
        <v>227</v>
      </c>
      <c r="G716" s="126" t="s">
        <v>107</v>
      </c>
      <c r="H716" s="126" t="s">
        <v>1086</v>
      </c>
      <c r="J716" s="126">
        <v>1575</v>
      </c>
      <c r="K716" s="126">
        <v>2673</v>
      </c>
      <c r="O716" s="126" t="s">
        <v>119</v>
      </c>
      <c r="P716" s="18" t="s">
        <v>119</v>
      </c>
      <c r="Q716" s="18">
        <v>0</v>
      </c>
      <c r="R716" s="18" t="str">
        <f>IF(J716=J715,C716-C715,"")</f>
        <v/>
      </c>
      <c r="T716" s="126" t="s">
        <v>159</v>
      </c>
      <c r="U716" s="126" t="s">
        <v>150</v>
      </c>
      <c r="V716" s="126" t="s">
        <v>142</v>
      </c>
      <c r="X716" s="126" t="s">
        <v>115</v>
      </c>
      <c r="Y716" s="126" t="s">
        <v>145</v>
      </c>
      <c r="Z716" s="126">
        <v>1</v>
      </c>
      <c r="AA716" s="126"/>
      <c r="AB716" s="126"/>
      <c r="AC716" s="126"/>
      <c r="AD716" s="126"/>
      <c r="AE716" s="126" t="s">
        <v>123</v>
      </c>
      <c r="AG716" s="40">
        <f>AH716-AI716</f>
        <v>73</v>
      </c>
      <c r="AH716" s="126">
        <v>148</v>
      </c>
      <c r="AI716" s="126">
        <v>75</v>
      </c>
      <c r="AK716" s="126">
        <v>11.5</v>
      </c>
      <c r="AL716" s="126">
        <v>1</v>
      </c>
      <c r="AM716" s="126">
        <v>0</v>
      </c>
      <c r="AN716" s="126">
        <v>0</v>
      </c>
      <c r="AO716" s="16">
        <f>IF(SUM(AL716:AN716)&gt;0,1,0)</f>
        <v>1</v>
      </c>
      <c r="AP716" s="18">
        <f>SUM(AL716:AN716)</f>
        <v>1</v>
      </c>
      <c r="AR716" s="16">
        <v>0.41000000000000014</v>
      </c>
      <c r="AS716" s="16">
        <f>VLOOKUP(E716,'[1]Feces weights'!$D$1:$H$459,5,FALSE)</f>
        <v>0.41000000000000014</v>
      </c>
      <c r="AT716" s="16" t="str">
        <f>VLOOKUP(E716,[2]Current!$A$1:$W$435,7,FALSE)</f>
        <v>JB</v>
      </c>
      <c r="AU716" s="16" t="s">
        <v>1288</v>
      </c>
      <c r="AV716" s="23">
        <v>1</v>
      </c>
      <c r="AW716" s="128">
        <f>IF(AX716&gt;0,1,0)</f>
        <v>0</v>
      </c>
      <c r="AX716" s="128">
        <f>SUM(BA716,BM716,CU716)</f>
        <v>0</v>
      </c>
      <c r="AY716" s="128">
        <f>SUM(BB716,BN716,CV716)</f>
        <v>0</v>
      </c>
      <c r="AZ716" s="128">
        <f>IF(BA716&gt;0,1,0)</f>
        <v>0</v>
      </c>
      <c r="BA716" s="128">
        <f>SUM(BC716+BF716+BI716)</f>
        <v>0</v>
      </c>
      <c r="BB716" s="128">
        <f>SUM(BE716,BH716,BK716)</f>
        <v>0</v>
      </c>
      <c r="BC716" s="130">
        <f>IF(BD716&gt;0,1,0)</f>
        <v>0</v>
      </c>
      <c r="BD716" s="128">
        <f>VLOOKUP($E716,[2]Current!$A:$AC,26,FALSE)</f>
        <v>0</v>
      </c>
      <c r="BE716" s="128">
        <f>BD716/$AS716</f>
        <v>0</v>
      </c>
      <c r="BF716" s="130">
        <f>IF(BG716&gt;0,1,0)</f>
        <v>0</v>
      </c>
      <c r="BG716" s="175">
        <f>VLOOKUP($E716,[2]Current!$A:$AC,27,FALSE)</f>
        <v>0</v>
      </c>
      <c r="BH716" s="128">
        <f>BG716/$AS716</f>
        <v>0</v>
      </c>
      <c r="BI716" s="130">
        <f>IF(BJ716&gt;0,1,0)</f>
        <v>0</v>
      </c>
      <c r="BJ716" s="128">
        <f>VLOOKUP($E716,[2]Current!$A:$AC,28,FALSE)</f>
        <v>0</v>
      </c>
      <c r="BK716" s="128">
        <f>BJ716/$AS716</f>
        <v>0</v>
      </c>
      <c r="BL716" s="128">
        <f>IF(BM716&gt;0,1,0)</f>
        <v>0</v>
      </c>
      <c r="BM716" s="128">
        <f>SUM(BR716,BU716,BX716,CA716,CD716)</f>
        <v>0</v>
      </c>
      <c r="BN716" s="131">
        <f>SUM(BT716,BW716,BZ716,CC716,CF716)</f>
        <v>0</v>
      </c>
      <c r="BO716" s="128">
        <f>IF(BP716&gt;0,1,0)</f>
        <v>0</v>
      </c>
      <c r="BP716" s="128">
        <f>BM716+CJ716</f>
        <v>0</v>
      </c>
      <c r="BQ716" s="128">
        <f>BN716+CL716</f>
        <v>0</v>
      </c>
      <c r="BR716" s="130">
        <f>IF(BS716&gt;0,1,0)</f>
        <v>0</v>
      </c>
      <c r="BS716" s="128">
        <f>VLOOKUP($E716,[2]Current!$A:$AC,12,FALSE)</f>
        <v>0</v>
      </c>
      <c r="BT716" s="137">
        <f>BS716/$AS716</f>
        <v>0</v>
      </c>
      <c r="BU716" s="130">
        <f>IF(BV716&gt;0,1,0)</f>
        <v>0</v>
      </c>
      <c r="BV716" s="128">
        <f>VLOOKUP($E716,[2]Current!$A:$AC,13,FALSE)</f>
        <v>0</v>
      </c>
      <c r="BW716" s="128">
        <f>BV716/$AS716</f>
        <v>0</v>
      </c>
      <c r="BX716" s="130">
        <f>IF(BY716&gt;0,1,0)</f>
        <v>0</v>
      </c>
      <c r="BY716" s="128">
        <f>VLOOKUP($E716,[2]Current!$A:$AC,14,FALSE)</f>
        <v>0</v>
      </c>
      <c r="BZ716" s="128">
        <f>BY716/$AS716</f>
        <v>0</v>
      </c>
      <c r="CA716" s="130">
        <f>IF(CB716&gt;0,1,0)</f>
        <v>0</v>
      </c>
      <c r="CB716" s="128">
        <f>VLOOKUP($E716,[2]Current!$A:$AC,15,FALSE)</f>
        <v>0</v>
      </c>
      <c r="CC716" s="128">
        <f>CB716/$AS716</f>
        <v>0</v>
      </c>
      <c r="CD716" s="174">
        <f>IF(CE716&gt;0,1,0)</f>
        <v>0</v>
      </c>
      <c r="CE716" s="128">
        <f>VLOOKUP($E716,[2]Current!$A:$AC,16,FALSE)</f>
        <v>0</v>
      </c>
      <c r="CF716" s="128">
        <f>CE716/$AS716</f>
        <v>0</v>
      </c>
      <c r="CG716" s="18"/>
      <c r="CH716" s="18"/>
      <c r="CI716" s="18"/>
      <c r="CJ716" s="130">
        <f>IF(CK716&gt;0,1,0)</f>
        <v>0</v>
      </c>
      <c r="CK716" s="128">
        <f>VLOOKUP($E716,[2]Current!$A:$AC,18,FALSE)</f>
        <v>0</v>
      </c>
      <c r="CL716" s="128">
        <f>CK716/$AS716</f>
        <v>0</v>
      </c>
      <c r="CS716" s="130">
        <f>IF(CU716&gt;0,1,0)</f>
        <v>0</v>
      </c>
      <c r="CU716" s="128">
        <f>VLOOKUP($E716,[2]Current!$A:$AC,17,FALSE)</f>
        <v>0</v>
      </c>
      <c r="CV716" s="128">
        <f>CU716/$AS716</f>
        <v>0</v>
      </c>
      <c r="CW716" s="89"/>
      <c r="CX716" s="89"/>
      <c r="CY716" s="89"/>
      <c r="CZ716" s="87"/>
      <c r="DF716" s="16" t="e">
        <f>VLOOKUP(K716,'[3]RNA Seq summary tables'!$V$3:$V$99,1,FALSE)</f>
        <v>#N/A</v>
      </c>
      <c r="DG716" s="126" t="s">
        <v>123</v>
      </c>
      <c r="JR716" s="18"/>
      <c r="JS716" s="18"/>
      <c r="JT716" s="18"/>
      <c r="JU716" s="18"/>
      <c r="JV716" s="18"/>
      <c r="JW716" s="18"/>
      <c r="JX716" s="18"/>
      <c r="JY716" s="18"/>
      <c r="JZ716" s="18"/>
      <c r="KA716" s="18"/>
      <c r="KB716" s="18"/>
    </row>
    <row r="717" spans="2:288" ht="16" x14ac:dyDescent="0.2">
      <c r="B717" s="16">
        <v>2018</v>
      </c>
      <c r="C717" s="124">
        <v>43305</v>
      </c>
      <c r="D717" t="s">
        <v>1049</v>
      </c>
      <c r="E717" s="142" t="str">
        <f>CONCATENATE(T717,"-",U717,"-",C717)</f>
        <v>HW1-F5-43305</v>
      </c>
      <c r="F717" s="16" t="s">
        <v>227</v>
      </c>
      <c r="G717" s="126" t="s">
        <v>107</v>
      </c>
      <c r="H717" s="126" t="s">
        <v>1152</v>
      </c>
      <c r="J717" s="126">
        <v>1577</v>
      </c>
      <c r="K717" s="126">
        <v>2688</v>
      </c>
      <c r="O717" s="126" t="s">
        <v>119</v>
      </c>
      <c r="P717" s="18" t="s">
        <v>119</v>
      </c>
      <c r="Q717" s="18">
        <v>0</v>
      </c>
      <c r="R717" s="18" t="str">
        <f>IF(J717=J716,C717-C716,"")</f>
        <v/>
      </c>
      <c r="T717" s="126" t="s">
        <v>133</v>
      </c>
      <c r="U717" s="126" t="s">
        <v>185</v>
      </c>
      <c r="V717" s="126" t="s">
        <v>114</v>
      </c>
      <c r="X717" s="126" t="s">
        <v>115</v>
      </c>
      <c r="Y717" s="126" t="s">
        <v>110</v>
      </c>
      <c r="Z717" s="126">
        <v>3</v>
      </c>
      <c r="AA717" s="126"/>
      <c r="AB717" s="126"/>
      <c r="AC717" s="126"/>
      <c r="AD717" s="126" t="s">
        <v>123</v>
      </c>
      <c r="AE717" s="126" t="s">
        <v>123</v>
      </c>
      <c r="AG717" s="40">
        <f>AH717-AI717</f>
        <v>78</v>
      </c>
      <c r="AH717" s="126">
        <v>139</v>
      </c>
      <c r="AI717" s="126">
        <v>61</v>
      </c>
      <c r="AK717" s="126">
        <v>16.5</v>
      </c>
      <c r="AL717" s="126">
        <v>0</v>
      </c>
      <c r="AM717" s="126">
        <v>0</v>
      </c>
      <c r="AN717" s="126">
        <v>1</v>
      </c>
      <c r="AO717" s="16">
        <f>IF(SUM(AL717:AN717)&gt;0,1,0)</f>
        <v>1</v>
      </c>
      <c r="AP717" s="18">
        <f>SUM(AL717:AN717)</f>
        <v>1</v>
      </c>
      <c r="AR717" s="16">
        <v>0.252</v>
      </c>
      <c r="AS717" s="16">
        <f>VLOOKUP(E717,'[1]Feces weights'!$D$1:$H$459,5,FALSE)</f>
        <v>0.252</v>
      </c>
      <c r="AT717" s="16" t="e">
        <f>VLOOKUP(E717,[2]Current!$A$1:$W$435,7,FALSE)</f>
        <v>#N/A</v>
      </c>
      <c r="AU717" s="18">
        <v>0</v>
      </c>
      <c r="AV717" s="18"/>
      <c r="AW717" s="18"/>
      <c r="AX717" s="18"/>
      <c r="AY717" s="18"/>
      <c r="AZ717" s="18"/>
      <c r="BA717" s="18"/>
      <c r="BB717" s="18"/>
      <c r="BC717" s="149"/>
      <c r="BD717" s="18"/>
      <c r="BE717" s="18"/>
      <c r="BF717" s="149"/>
      <c r="BG717" s="25"/>
      <c r="BH717" s="18"/>
      <c r="BI717" s="149"/>
      <c r="BJ717" s="18"/>
      <c r="BK717" s="18"/>
      <c r="BL717" s="18"/>
      <c r="BM717" s="18"/>
      <c r="BN717" s="125"/>
      <c r="BO717" s="18"/>
      <c r="BP717" s="18"/>
      <c r="BQ717" s="18"/>
      <c r="BR717" s="149"/>
      <c r="BS717" s="18"/>
      <c r="BT717" s="78"/>
      <c r="BU717" s="149"/>
      <c r="BV717" s="18"/>
      <c r="BW717" s="18"/>
      <c r="BX717" s="149"/>
      <c r="BY717" s="18"/>
      <c r="BZ717" s="18"/>
      <c r="CA717" s="149"/>
      <c r="CB717" s="18"/>
      <c r="CC717" s="18"/>
      <c r="CD717" s="187"/>
      <c r="CE717" s="18"/>
      <c r="CF717" s="18"/>
      <c r="CG717" s="18"/>
      <c r="CH717" s="18"/>
      <c r="CI717" s="18"/>
      <c r="CJ717" s="149"/>
      <c r="CK717" s="18"/>
      <c r="CL717" s="18"/>
      <c r="CM717" s="18"/>
      <c r="CN717" s="18"/>
      <c r="CO717" s="18"/>
      <c r="CP717" s="18"/>
      <c r="CQ717" s="18"/>
      <c r="CR717" s="18"/>
      <c r="CS717" s="149"/>
      <c r="CT717" s="18"/>
      <c r="CU717" s="18"/>
      <c r="CV717" s="18"/>
      <c r="CW717" s="89"/>
      <c r="CX717" s="89"/>
      <c r="CY717" s="89"/>
      <c r="CZ717" s="89"/>
      <c r="DA717" s="18"/>
      <c r="DB717" s="18"/>
      <c r="DF717" s="16" t="e">
        <f>VLOOKUP(K717,'[3]RNA Seq summary tables'!$V$3:$V$99,1,FALSE)</f>
        <v>#N/A</v>
      </c>
      <c r="DG717" s="126" t="s">
        <v>123</v>
      </c>
    </row>
    <row r="718" spans="2:288" ht="16" x14ac:dyDescent="0.2">
      <c r="B718" s="16">
        <v>2018</v>
      </c>
      <c r="C718" s="189">
        <v>43305</v>
      </c>
      <c r="D718" s="107" t="s">
        <v>1051</v>
      </c>
      <c r="E718" s="44" t="str">
        <f>CONCATENATE(T718,"-",U718,"-",C718)</f>
        <v>HW2-G2-43305</v>
      </c>
      <c r="F718" s="26" t="s">
        <v>227</v>
      </c>
      <c r="G718" s="190" t="s">
        <v>107</v>
      </c>
      <c r="H718" s="190" t="s">
        <v>1154</v>
      </c>
      <c r="I718" s="26"/>
      <c r="J718" s="190">
        <v>1579</v>
      </c>
      <c r="K718" s="190">
        <v>2702</v>
      </c>
      <c r="L718" s="26"/>
      <c r="M718" s="45"/>
      <c r="N718" s="45"/>
      <c r="O718" s="190" t="s">
        <v>119</v>
      </c>
      <c r="P718" s="26" t="s">
        <v>119</v>
      </c>
      <c r="Q718" s="26">
        <v>0</v>
      </c>
      <c r="R718" s="26" t="str">
        <f>IF(J718=J717,C718-C717,"")</f>
        <v/>
      </c>
      <c r="S718" s="26"/>
      <c r="T718" s="190" t="s">
        <v>129</v>
      </c>
      <c r="U718" s="190" t="s">
        <v>128</v>
      </c>
      <c r="V718" s="126" t="s">
        <v>142</v>
      </c>
      <c r="X718" s="126" t="s">
        <v>121</v>
      </c>
      <c r="Y718" s="126" t="s">
        <v>145</v>
      </c>
      <c r="Z718" s="126">
        <v>1</v>
      </c>
      <c r="AA718" s="126" t="s">
        <v>119</v>
      </c>
      <c r="AB718" s="126" t="s">
        <v>123</v>
      </c>
      <c r="AC718" s="126" t="s">
        <v>123</v>
      </c>
      <c r="AD718" s="126"/>
      <c r="AE718" s="126"/>
      <c r="AG718" s="40">
        <f>AH718-AI718</f>
        <v>65</v>
      </c>
      <c r="AH718" s="126">
        <v>136</v>
      </c>
      <c r="AI718" s="126">
        <v>71</v>
      </c>
      <c r="AK718" s="126">
        <v>10</v>
      </c>
      <c r="AL718" s="126">
        <v>1</v>
      </c>
      <c r="AM718" s="126">
        <v>0</v>
      </c>
      <c r="AN718" s="126">
        <v>0</v>
      </c>
      <c r="AO718" s="16">
        <f>IF(SUM(AL718:AN718)&gt;0,1,0)</f>
        <v>1</v>
      </c>
      <c r="AP718" s="18">
        <f>SUM(AL718:AN718)</f>
        <v>1</v>
      </c>
      <c r="AR718" s="16">
        <v>0.26900000000000013</v>
      </c>
      <c r="AS718" s="16">
        <f>VLOOKUP(E718,'[1]Feces weights'!$D$1:$H$459,5,FALSE)</f>
        <v>0.26900000000000013</v>
      </c>
      <c r="AT718" s="16" t="e">
        <f>VLOOKUP(E718,[2]Current!$A$1:$W$435,7,FALSE)</f>
        <v>#N/A</v>
      </c>
      <c r="AU718" s="16">
        <v>0</v>
      </c>
      <c r="BG718" s="77"/>
      <c r="BN718" s="126"/>
      <c r="BT718" s="78"/>
      <c r="BU718" s="18"/>
      <c r="BV718" s="18"/>
      <c r="BW718" s="25"/>
      <c r="BX718" s="18"/>
      <c r="BY718" s="18"/>
      <c r="BZ718" s="25"/>
      <c r="CA718" s="18"/>
      <c r="CB718" s="18"/>
      <c r="CC718" s="25"/>
      <c r="CD718" s="78"/>
      <c r="CE718" s="18"/>
      <c r="CF718" s="25"/>
      <c r="CG718" s="18"/>
      <c r="CH718" s="18"/>
      <c r="CI718" s="18"/>
      <c r="CJ718" s="18"/>
      <c r="CK718" s="18"/>
      <c r="CL718" s="25"/>
      <c r="DF718" s="16" t="e">
        <f>VLOOKUP(K718,'[3]RNA Seq summary tables'!$V$3:$V$99,1,FALSE)</f>
        <v>#N/A</v>
      </c>
      <c r="DG718" s="126" t="s">
        <v>123</v>
      </c>
    </row>
    <row r="719" spans="2:288" ht="16" x14ac:dyDescent="0.2">
      <c r="B719" s="16">
        <v>2018</v>
      </c>
      <c r="C719" s="191">
        <v>43305</v>
      </c>
      <c r="D719" s="107" t="s">
        <v>1178</v>
      </c>
      <c r="E719" s="44" t="str">
        <f>CONCATENATE(T719,"-",U719,"-",C719)</f>
        <v>HW2-G2-43305</v>
      </c>
      <c r="F719" s="26" t="s">
        <v>227</v>
      </c>
      <c r="G719" s="192" t="s">
        <v>107</v>
      </c>
      <c r="H719" s="192" t="s">
        <v>1154</v>
      </c>
      <c r="I719" s="192"/>
      <c r="J719" s="192">
        <v>1579</v>
      </c>
      <c r="K719" s="192">
        <v>2702</v>
      </c>
      <c r="L719" s="26"/>
      <c r="M719" s="26"/>
      <c r="N719" s="26"/>
      <c r="O719" s="192" t="s">
        <v>119</v>
      </c>
      <c r="P719" s="26" t="s">
        <v>119</v>
      </c>
      <c r="Q719" s="26">
        <v>0</v>
      </c>
      <c r="R719" s="26">
        <f>IF(J719=J718,C719-C718,"")</f>
        <v>0</v>
      </c>
      <c r="S719" s="192"/>
      <c r="T719" s="192" t="s">
        <v>129</v>
      </c>
      <c r="U719" s="192" t="s">
        <v>128</v>
      </c>
      <c r="V719" s="145" t="s">
        <v>142</v>
      </c>
      <c r="W719" s="145"/>
      <c r="X719" s="145" t="s">
        <v>121</v>
      </c>
      <c r="Y719" s="145" t="s">
        <v>145</v>
      </c>
      <c r="Z719" s="145">
        <v>1</v>
      </c>
      <c r="AA719" s="145" t="s">
        <v>119</v>
      </c>
      <c r="AB719" s="145" t="s">
        <v>123</v>
      </c>
      <c r="AC719" s="145" t="s">
        <v>123</v>
      </c>
      <c r="AD719" s="145" t="s">
        <v>123</v>
      </c>
      <c r="AE719" s="145"/>
      <c r="AF719" s="145"/>
      <c r="AG719" s="145">
        <f>AH719-AI719</f>
        <v>65</v>
      </c>
      <c r="AH719" s="145">
        <v>136</v>
      </c>
      <c r="AI719" s="145">
        <v>71</v>
      </c>
      <c r="AJ719" s="145"/>
      <c r="AK719" s="145">
        <v>10</v>
      </c>
      <c r="AL719" s="145">
        <v>1</v>
      </c>
      <c r="AM719" s="145">
        <v>0</v>
      </c>
      <c r="AN719" s="145">
        <v>0</v>
      </c>
      <c r="AO719" s="16">
        <f>IF(SUM(AL719:AN719)&gt;0, 1,0)</f>
        <v>1</v>
      </c>
      <c r="AP719" s="16">
        <f>SUM(AL719:AN719)</f>
        <v>1</v>
      </c>
      <c r="AS719" s="16">
        <f>VLOOKUP(E719,'[1]Feces weights'!$D$1:$H$459,5,FALSE)</f>
        <v>0.26900000000000013</v>
      </c>
      <c r="AT719" s="16" t="e">
        <f>VLOOKUP(E719,[2]Current!$A$1:$W$435,7,FALSE)</f>
        <v>#N/A</v>
      </c>
      <c r="BG719" s="77"/>
      <c r="BT719" s="77"/>
      <c r="CD719" s="77"/>
      <c r="DG719" s="145" t="s">
        <v>123</v>
      </c>
      <c r="DT719" s="145" t="s">
        <v>123</v>
      </c>
      <c r="DU719" s="145"/>
      <c r="DX719" s="145"/>
      <c r="DY719" s="145"/>
      <c r="DZ719" s="16"/>
      <c r="EA719" s="16"/>
      <c r="EB719" s="16"/>
      <c r="EC719" s="16"/>
      <c r="ED719" s="16"/>
      <c r="EE719" s="16"/>
      <c r="EF719" s="16"/>
      <c r="JO719" s="18"/>
      <c r="JP719" s="18"/>
      <c r="JQ719" s="18"/>
      <c r="JR719" s="18"/>
      <c r="JS719" s="18"/>
      <c r="JT719" s="18"/>
      <c r="JU719" s="18"/>
      <c r="JV719" s="18"/>
      <c r="JW719" s="18"/>
      <c r="JX719" s="18"/>
      <c r="JY719" s="18"/>
      <c r="JZ719" s="18"/>
      <c r="KA719" s="18"/>
    </row>
    <row r="720" spans="2:288" ht="16" x14ac:dyDescent="0.2">
      <c r="B720" s="16">
        <v>2018</v>
      </c>
      <c r="C720" s="147">
        <v>43306</v>
      </c>
      <c r="D720" t="s">
        <v>1188</v>
      </c>
      <c r="E720" s="20" t="str">
        <f>CONCATENATE(T720,"-",U720,"-",C720)</f>
        <v>HW2-H6-43306</v>
      </c>
      <c r="F720" s="16" t="s">
        <v>227</v>
      </c>
      <c r="G720" s="145" t="s">
        <v>107</v>
      </c>
      <c r="H720" s="145"/>
      <c r="I720" s="145"/>
      <c r="J720" s="145">
        <v>1581</v>
      </c>
      <c r="K720" s="145">
        <v>2710</v>
      </c>
      <c r="M720" s="16"/>
      <c r="N720" s="16"/>
      <c r="O720" s="145" t="s">
        <v>119</v>
      </c>
      <c r="P720" s="18" t="s">
        <v>119</v>
      </c>
      <c r="Q720" s="18">
        <v>0</v>
      </c>
      <c r="R720" s="18" t="str">
        <f>IF(J720=J719,C720-C719,"")</f>
        <v/>
      </c>
      <c r="S720" s="145"/>
      <c r="T720" s="145" t="s">
        <v>129</v>
      </c>
      <c r="U720" s="145" t="s">
        <v>141</v>
      </c>
      <c r="V720" s="145" t="s">
        <v>114</v>
      </c>
      <c r="W720" s="145"/>
      <c r="X720" s="145" t="s">
        <v>115</v>
      </c>
      <c r="Y720" s="145" t="s">
        <v>110</v>
      </c>
      <c r="Z720" s="145">
        <v>3</v>
      </c>
      <c r="AA720" s="145"/>
      <c r="AB720" s="145"/>
      <c r="AC720" s="145"/>
      <c r="AD720" s="145"/>
      <c r="AE720" s="145" t="s">
        <v>123</v>
      </c>
      <c r="AF720" s="145" t="s">
        <v>123</v>
      </c>
      <c r="AG720" s="145">
        <f>AH720-AI720</f>
        <v>79</v>
      </c>
      <c r="AH720" s="145">
        <v>140</v>
      </c>
      <c r="AI720" s="145">
        <v>61</v>
      </c>
      <c r="AJ720" s="145"/>
      <c r="AK720" s="145">
        <v>14.5</v>
      </c>
      <c r="AL720" s="145">
        <v>0</v>
      </c>
      <c r="AM720" s="145">
        <v>0</v>
      </c>
      <c r="AN720" s="145">
        <v>0</v>
      </c>
      <c r="AO720" s="16">
        <f>IF(SUM(AL720:AN720)&gt;0, 1,0)</f>
        <v>0</v>
      </c>
      <c r="AP720" s="16">
        <f>SUM(AL720:AN720)</f>
        <v>0</v>
      </c>
      <c r="AS720" s="16">
        <f>VLOOKUP(E720,'[1]Feces weights'!$D$1:$H$459,5,FALSE)</f>
        <v>0.1030000000000002</v>
      </c>
      <c r="AT720" s="16" t="e">
        <f>VLOOKUP(E720,[2]Current!$A$1:$W$435,7,FALSE)</f>
        <v>#N/A</v>
      </c>
      <c r="BG720" s="77"/>
      <c r="BT720" s="77"/>
      <c r="CD720" s="77"/>
      <c r="DG720" s="145" t="s">
        <v>123</v>
      </c>
      <c r="DT720" s="145" t="s">
        <v>123</v>
      </c>
      <c r="DU720" s="145"/>
      <c r="DX720" s="145"/>
      <c r="DY720" s="145"/>
      <c r="DZ720" s="16"/>
      <c r="EA720" s="16"/>
      <c r="EB720" s="16"/>
      <c r="EC720" s="16"/>
      <c r="ED720" s="16"/>
      <c r="EE720" s="16"/>
      <c r="EF720" s="16"/>
      <c r="JO720" s="18"/>
      <c r="JP720" s="18"/>
      <c r="JQ720" s="18"/>
      <c r="JR720" s="18"/>
      <c r="JS720" s="18"/>
      <c r="JT720" s="18"/>
      <c r="JU720" s="18"/>
      <c r="JV720" s="18"/>
      <c r="JW720" s="18"/>
      <c r="JX720" s="18"/>
      <c r="JY720" s="18"/>
      <c r="JZ720" s="18"/>
      <c r="KA720" s="18"/>
    </row>
    <row r="721" spans="1:288" s="87" customFormat="1" ht="16" x14ac:dyDescent="0.2">
      <c r="A721" s="18"/>
      <c r="B721" s="16">
        <v>2018</v>
      </c>
      <c r="C721" s="171">
        <v>43313</v>
      </c>
      <c r="D721" t="s">
        <v>1197</v>
      </c>
      <c r="E721" s="20" t="str">
        <f>CONCATENATE(T721,"-",U721,"-",C721)</f>
        <v>SP2-A2-43313</v>
      </c>
      <c r="F721" s="16" t="s">
        <v>227</v>
      </c>
      <c r="G721" s="172" t="s">
        <v>107</v>
      </c>
      <c r="H721" s="172"/>
      <c r="I721" s="145"/>
      <c r="J721" s="172">
        <v>1583</v>
      </c>
      <c r="K721" s="172">
        <v>2712</v>
      </c>
      <c r="L721" s="16"/>
      <c r="M721" s="16"/>
      <c r="N721" s="16"/>
      <c r="O721" s="145" t="s">
        <v>119</v>
      </c>
      <c r="P721" s="18" t="s">
        <v>119</v>
      </c>
      <c r="Q721" s="18">
        <v>0</v>
      </c>
      <c r="R721" s="18" t="str">
        <f>IF(J721=J720,C721-C720,"")</f>
        <v/>
      </c>
      <c r="S721" s="172"/>
      <c r="T721" s="172" t="s">
        <v>137</v>
      </c>
      <c r="U721" s="172" t="s">
        <v>171</v>
      </c>
      <c r="V721" s="172" t="s">
        <v>114</v>
      </c>
      <c r="W721" s="145"/>
      <c r="X721" s="172" t="s">
        <v>115</v>
      </c>
      <c r="Y721" s="172" t="s">
        <v>110</v>
      </c>
      <c r="Z721" s="172">
        <v>3</v>
      </c>
      <c r="AA721" s="172"/>
      <c r="AB721" s="172"/>
      <c r="AC721" s="172"/>
      <c r="AD721" s="172"/>
      <c r="AE721" s="172" t="s">
        <v>123</v>
      </c>
      <c r="AF721" s="172" t="s">
        <v>123</v>
      </c>
      <c r="AG721" s="172">
        <f>AH721-AI721</f>
        <v>83</v>
      </c>
      <c r="AH721" s="172">
        <v>154</v>
      </c>
      <c r="AI721" s="172">
        <v>71</v>
      </c>
      <c r="AJ721" s="172"/>
      <c r="AK721" s="172">
        <v>18.5</v>
      </c>
      <c r="AL721" s="172">
        <v>0</v>
      </c>
      <c r="AM721" s="172">
        <v>0</v>
      </c>
      <c r="AN721" s="172">
        <v>1</v>
      </c>
      <c r="AO721" s="87">
        <f>IF(SUM(AL721:AN721)&gt;0, 1,0)</f>
        <v>1</v>
      </c>
      <c r="AP721" s="87">
        <f>SUM(AL721:AN721)</f>
        <v>1</v>
      </c>
      <c r="AS721" s="87">
        <f>VLOOKUP(E721,'[1]Feces weights'!$D$1:$H$459,5,FALSE)</f>
        <v>0.28600000000000003</v>
      </c>
      <c r="AT721" s="87" t="e">
        <f>VLOOKUP(E721,[2]Current!$A$1:$W$435,7,FALSE)</f>
        <v>#N/A</v>
      </c>
      <c r="AZ721" s="16"/>
      <c r="BC721" s="16"/>
      <c r="BF721" s="16"/>
      <c r="BG721" s="116"/>
      <c r="BI721" s="16"/>
      <c r="BL721" s="16"/>
      <c r="BM721" s="16"/>
      <c r="BN721" s="16"/>
      <c r="BO721" s="16"/>
      <c r="BP721" s="16"/>
      <c r="BQ721" s="16"/>
      <c r="BR721" s="16"/>
      <c r="BT721" s="77"/>
      <c r="BU721" s="16"/>
      <c r="BW721" s="16"/>
      <c r="BX721" s="16"/>
      <c r="BZ721" s="16"/>
      <c r="CA721" s="16"/>
      <c r="CD721" s="77"/>
      <c r="CS721" s="16"/>
      <c r="CT721" s="16"/>
      <c r="CU721" s="16"/>
      <c r="CW721" s="16"/>
      <c r="DF721" s="16"/>
      <c r="DG721" s="145" t="s">
        <v>123</v>
      </c>
      <c r="DH721" s="16"/>
      <c r="DT721" s="172" t="s">
        <v>123</v>
      </c>
      <c r="DU721" s="172"/>
      <c r="DV721" s="89"/>
      <c r="DW721" s="89"/>
      <c r="DX721" s="172"/>
      <c r="DY721" s="172"/>
      <c r="EG721" s="89"/>
      <c r="EH721" s="89"/>
      <c r="EI721" s="89"/>
      <c r="EJ721" s="89"/>
      <c r="EK721" s="89"/>
      <c r="EL721" s="89"/>
      <c r="EM721" s="89"/>
      <c r="EN721" s="89"/>
      <c r="EO721" s="89"/>
      <c r="EP721" s="89"/>
      <c r="EQ721" s="89"/>
      <c r="ER721" s="89"/>
      <c r="ES721" s="89"/>
      <c r="ET721" s="89"/>
      <c r="EU721" s="89"/>
      <c r="EV721" s="89"/>
      <c r="EW721" s="89"/>
      <c r="EX721" s="89"/>
      <c r="EY721" s="89"/>
      <c r="EZ721" s="89"/>
      <c r="FA721" s="89"/>
      <c r="FB721" s="89"/>
      <c r="FC721" s="89"/>
      <c r="FD721" s="89"/>
      <c r="FE721" s="89"/>
      <c r="FF721" s="89"/>
      <c r="FG721" s="89"/>
      <c r="FH721" s="89"/>
      <c r="FI721" s="89"/>
      <c r="FJ721" s="89"/>
      <c r="FK721" s="89"/>
      <c r="FL721" s="89"/>
      <c r="FM721" s="89"/>
      <c r="FN721" s="89"/>
      <c r="FO721" s="89"/>
      <c r="FP721" s="89"/>
      <c r="FQ721" s="89"/>
      <c r="FR721" s="89"/>
      <c r="FS721" s="89"/>
      <c r="FT721" s="89"/>
      <c r="FU721" s="89"/>
      <c r="FV721" s="89"/>
      <c r="FW721" s="89"/>
      <c r="FX721" s="89"/>
      <c r="FY721" s="89"/>
      <c r="FZ721" s="89"/>
      <c r="GA721" s="89"/>
      <c r="GB721" s="89"/>
      <c r="GC721" s="89"/>
      <c r="GD721" s="89"/>
      <c r="GE721" s="89"/>
      <c r="GF721" s="89"/>
      <c r="GG721" s="89"/>
      <c r="GH721" s="89"/>
      <c r="GI721" s="89"/>
      <c r="GJ721" s="89"/>
      <c r="GK721" s="89"/>
      <c r="GL721" s="89"/>
      <c r="GM721" s="89"/>
      <c r="GN721" s="89"/>
      <c r="GO721" s="89"/>
      <c r="GP721" s="89"/>
      <c r="GQ721" s="89"/>
      <c r="GR721" s="89"/>
      <c r="GS721" s="89"/>
      <c r="GT721" s="89"/>
      <c r="GU721" s="89"/>
      <c r="GV721" s="89"/>
      <c r="GW721" s="89"/>
      <c r="GX721" s="89"/>
      <c r="GY721" s="89"/>
      <c r="GZ721" s="89"/>
      <c r="HA721" s="89"/>
      <c r="HB721" s="89"/>
      <c r="HC721" s="89"/>
      <c r="HD721" s="89"/>
      <c r="HE721" s="89"/>
      <c r="HF721" s="89"/>
      <c r="HG721" s="89"/>
      <c r="HH721" s="89"/>
      <c r="HI721" s="89"/>
      <c r="HJ721" s="89"/>
      <c r="HK721" s="89"/>
      <c r="HL721" s="89"/>
      <c r="HM721" s="89"/>
      <c r="HN721" s="89"/>
      <c r="HO721" s="89"/>
      <c r="HP721" s="89"/>
      <c r="HQ721" s="89"/>
      <c r="HR721" s="89"/>
      <c r="HS721" s="89"/>
      <c r="HT721" s="89"/>
      <c r="HU721" s="89"/>
      <c r="HV721" s="89"/>
      <c r="HW721" s="89"/>
      <c r="HX721" s="89"/>
      <c r="HY721" s="89"/>
      <c r="HZ721" s="89"/>
      <c r="IA721" s="89"/>
      <c r="IB721" s="89"/>
      <c r="IC721" s="89"/>
      <c r="ID721" s="89"/>
      <c r="IE721" s="89"/>
      <c r="IF721" s="89"/>
      <c r="IG721" s="89"/>
      <c r="IH721" s="89"/>
      <c r="II721" s="89"/>
      <c r="IJ721" s="89"/>
      <c r="IK721" s="89"/>
      <c r="IL721" s="89"/>
      <c r="IM721" s="89"/>
      <c r="IN721" s="89"/>
      <c r="IO721" s="89"/>
      <c r="IP721" s="89"/>
      <c r="IQ721" s="89"/>
      <c r="IR721" s="89"/>
      <c r="IS721" s="89"/>
      <c r="IT721" s="89"/>
      <c r="IU721" s="89"/>
      <c r="IV721" s="89"/>
      <c r="IW721" s="89"/>
      <c r="IX721" s="89"/>
      <c r="IY721" s="89"/>
      <c r="IZ721" s="89"/>
      <c r="JA721" s="89"/>
      <c r="JB721" s="89"/>
      <c r="JC721" s="89"/>
      <c r="JD721" s="89"/>
      <c r="JE721" s="89"/>
      <c r="JF721" s="89"/>
      <c r="JG721" s="89"/>
      <c r="JH721" s="89"/>
      <c r="JI721" s="89"/>
      <c r="JJ721" s="89"/>
      <c r="JK721" s="89"/>
      <c r="JL721" s="89"/>
      <c r="JM721" s="89"/>
      <c r="JN721" s="89"/>
      <c r="JO721" s="89"/>
      <c r="JP721" s="89"/>
      <c r="JQ721" s="89"/>
      <c r="JR721" s="89"/>
      <c r="JS721" s="89"/>
      <c r="JT721" s="89"/>
      <c r="JU721" s="89"/>
      <c r="JV721" s="89"/>
      <c r="JW721" s="89"/>
      <c r="JX721" s="89"/>
      <c r="JY721" s="89"/>
      <c r="JZ721" s="89"/>
      <c r="KA721" s="89"/>
    </row>
    <row r="722" spans="1:288" ht="16" x14ac:dyDescent="0.2">
      <c r="B722" s="16">
        <v>2018</v>
      </c>
      <c r="C722" s="147">
        <v>43313</v>
      </c>
      <c r="D722" t="s">
        <v>1201</v>
      </c>
      <c r="E722" s="20" t="str">
        <f>CONCATENATE(T722,"-",U722,"-",C722)</f>
        <v>SP2-B5-43313</v>
      </c>
      <c r="F722" s="16" t="s">
        <v>227</v>
      </c>
      <c r="G722" s="145" t="s">
        <v>107</v>
      </c>
      <c r="H722" s="145" t="s">
        <v>1163</v>
      </c>
      <c r="I722" s="145"/>
      <c r="J722" s="145">
        <v>1584</v>
      </c>
      <c r="K722" s="145">
        <v>2716</v>
      </c>
      <c r="M722" s="16"/>
      <c r="N722" s="16"/>
      <c r="O722" s="145" t="s">
        <v>119</v>
      </c>
      <c r="P722" s="18" t="s">
        <v>119</v>
      </c>
      <c r="Q722" s="18">
        <v>0</v>
      </c>
      <c r="R722" s="18" t="str">
        <f>IF(J722=J721,C722-C721,"")</f>
        <v/>
      </c>
      <c r="S722" s="145"/>
      <c r="T722" s="145" t="s">
        <v>137</v>
      </c>
      <c r="U722" s="145" t="s">
        <v>160</v>
      </c>
      <c r="V722" s="145" t="s">
        <v>114</v>
      </c>
      <c r="W722" s="145"/>
      <c r="X722" s="145" t="s">
        <v>115</v>
      </c>
      <c r="Y722" s="145" t="s">
        <v>110</v>
      </c>
      <c r="Z722" s="145">
        <v>3</v>
      </c>
      <c r="AA722" s="145"/>
      <c r="AB722" s="145"/>
      <c r="AC722" s="145"/>
      <c r="AD722" s="145"/>
      <c r="AE722" s="145" t="s">
        <v>116</v>
      </c>
      <c r="AF722" s="145" t="s">
        <v>116</v>
      </c>
      <c r="AG722" s="145">
        <f>AH722-AI722</f>
        <v>80</v>
      </c>
      <c r="AH722" s="145">
        <v>151</v>
      </c>
      <c r="AI722" s="145">
        <v>71</v>
      </c>
      <c r="AJ722" s="145"/>
      <c r="AK722" s="145">
        <v>17.55</v>
      </c>
      <c r="AL722" s="145">
        <v>0</v>
      </c>
      <c r="AM722" s="145">
        <v>0</v>
      </c>
      <c r="AN722" s="145">
        <v>0</v>
      </c>
      <c r="AO722" s="16">
        <f>IF(SUM(AL722:AN722)&gt;0, 1,0)</f>
        <v>0</v>
      </c>
      <c r="AP722" s="16">
        <f>SUM(AL722:AN722)</f>
        <v>0</v>
      </c>
      <c r="AS722" s="16">
        <f>VLOOKUP(E722,'[1]Feces weights'!$D$1:$H$459,5,FALSE)</f>
        <v>0.28600000000000003</v>
      </c>
      <c r="AT722" s="16" t="e">
        <f>VLOOKUP(E722,[2]Current!$A$1:$W$435,7,FALSE)</f>
        <v>#N/A</v>
      </c>
      <c r="BG722" s="77"/>
      <c r="BT722" s="77"/>
      <c r="CD722" s="77"/>
      <c r="DG722" s="145" t="s">
        <v>123</v>
      </c>
      <c r="DT722" s="145" t="s">
        <v>123</v>
      </c>
      <c r="DU722" s="145"/>
      <c r="DX722" s="145"/>
      <c r="DY722" s="145"/>
      <c r="DZ722" s="16"/>
      <c r="EA722" s="16"/>
      <c r="EB722" s="16"/>
      <c r="EC722" s="16"/>
      <c r="ED722" s="16"/>
      <c r="EE722" s="16"/>
      <c r="EF722" s="16"/>
      <c r="JO722" s="18"/>
      <c r="JP722" s="18"/>
      <c r="JQ722" s="18"/>
      <c r="JR722" s="18"/>
      <c r="JS722" s="18"/>
      <c r="JT722" s="18"/>
      <c r="JU722" s="18"/>
      <c r="JV722" s="18"/>
      <c r="JW722" s="18"/>
      <c r="JX722" s="18"/>
      <c r="JY722" s="18"/>
      <c r="JZ722" s="18"/>
      <c r="KA722" s="18"/>
    </row>
    <row r="723" spans="1:288" ht="16" x14ac:dyDescent="0.2">
      <c r="B723" s="16">
        <v>2018</v>
      </c>
      <c r="C723" s="147">
        <v>43313</v>
      </c>
      <c r="D723" t="s">
        <v>1215</v>
      </c>
      <c r="E723" s="20" t="str">
        <f>CONCATENATE(T723,"-",U723,"-",C723)</f>
        <v>SP1-G1-43313</v>
      </c>
      <c r="F723" s="16" t="s">
        <v>227</v>
      </c>
      <c r="G723" s="145" t="s">
        <v>107</v>
      </c>
      <c r="H723" s="145"/>
      <c r="I723" s="145"/>
      <c r="J723" s="145">
        <v>1586</v>
      </c>
      <c r="K723" s="145">
        <v>2730</v>
      </c>
      <c r="M723" s="16"/>
      <c r="N723" s="16"/>
      <c r="O723" s="145" t="s">
        <v>119</v>
      </c>
      <c r="P723" s="18" t="s">
        <v>119</v>
      </c>
      <c r="Q723" s="18">
        <v>0</v>
      </c>
      <c r="R723" s="18" t="str">
        <f>IF(J723=J722,C723-C722,"")</f>
        <v/>
      </c>
      <c r="S723" s="145"/>
      <c r="T723" s="145" t="s">
        <v>140</v>
      </c>
      <c r="U723" s="145" t="s">
        <v>155</v>
      </c>
      <c r="V723" s="145" t="s">
        <v>142</v>
      </c>
      <c r="W723" s="145"/>
      <c r="X723" s="145" t="s">
        <v>115</v>
      </c>
      <c r="Y723" s="145" t="s">
        <v>110</v>
      </c>
      <c r="Z723" s="145">
        <v>3</v>
      </c>
      <c r="AA723" s="145"/>
      <c r="AB723" s="145"/>
      <c r="AC723" s="145"/>
      <c r="AD723" s="145"/>
      <c r="AE723" s="145" t="s">
        <v>116</v>
      </c>
      <c r="AF723" s="145" t="s">
        <v>116</v>
      </c>
      <c r="AG723" s="145">
        <f>AH723-AI723</f>
        <v>84</v>
      </c>
      <c r="AH723" s="145">
        <v>169</v>
      </c>
      <c r="AI723" s="145">
        <v>85</v>
      </c>
      <c r="AJ723" s="145"/>
      <c r="AK723" s="145">
        <v>15</v>
      </c>
      <c r="AL723" s="145">
        <v>0</v>
      </c>
      <c r="AM723" s="145">
        <v>0</v>
      </c>
      <c r="AN723" s="145">
        <v>0</v>
      </c>
      <c r="AO723" s="16">
        <f>IF(SUM(AL723:AN723)&gt;0, 1,0)</f>
        <v>0</v>
      </c>
      <c r="AP723" s="16">
        <f>SUM(AL723:AN723)</f>
        <v>0</v>
      </c>
      <c r="AQ723" s="16" t="s">
        <v>1278</v>
      </c>
      <c r="AT723" s="16" t="e">
        <f>VLOOKUP(E723,[2]Current!$A$1:$W$435,7,FALSE)</f>
        <v>#N/A</v>
      </c>
      <c r="BG723" s="77"/>
      <c r="BT723" s="77"/>
      <c r="CD723" s="77"/>
      <c r="DG723" s="145" t="s">
        <v>123</v>
      </c>
      <c r="DT723" s="145" t="s">
        <v>123</v>
      </c>
      <c r="DU723" s="145"/>
      <c r="DX723" s="145"/>
      <c r="DY723" s="145"/>
      <c r="DZ723" s="16"/>
      <c r="EA723" s="16"/>
      <c r="EB723" s="16"/>
      <c r="EC723" s="16"/>
      <c r="ED723" s="16"/>
      <c r="EE723" s="16"/>
      <c r="EF723" s="16"/>
      <c r="JO723" s="18"/>
      <c r="JP723" s="18"/>
      <c r="JQ723" s="18"/>
      <c r="JR723" s="18"/>
      <c r="JS723" s="18"/>
      <c r="JT723" s="18"/>
      <c r="JU723" s="18"/>
      <c r="JV723" s="18"/>
      <c r="JW723" s="18"/>
      <c r="JX723" s="18"/>
      <c r="JY723" s="18"/>
      <c r="JZ723" s="18"/>
      <c r="KA723" s="18"/>
    </row>
    <row r="724" spans="1:288" ht="16" x14ac:dyDescent="0.2">
      <c r="B724" s="16">
        <v>2018</v>
      </c>
      <c r="C724" s="147">
        <v>43314</v>
      </c>
      <c r="D724" t="s">
        <v>1222</v>
      </c>
      <c r="E724" s="20" t="str">
        <f>CONCATENATE(T724,"-",U724,"-",C724)</f>
        <v>SP2-B8-43314</v>
      </c>
      <c r="F724" s="16" t="s">
        <v>227</v>
      </c>
      <c r="G724" s="145" t="s">
        <v>107</v>
      </c>
      <c r="H724" s="145"/>
      <c r="I724" s="145"/>
      <c r="J724" s="145">
        <v>1588</v>
      </c>
      <c r="K724" s="145">
        <v>2733</v>
      </c>
      <c r="M724" s="16"/>
      <c r="N724" s="16"/>
      <c r="O724" s="145" t="s">
        <v>119</v>
      </c>
      <c r="P724" s="18" t="s">
        <v>119</v>
      </c>
      <c r="Q724" s="18">
        <v>0</v>
      </c>
      <c r="R724" s="18" t="str">
        <f>IF(J724=J723,C724-C723,"")</f>
        <v/>
      </c>
      <c r="S724" s="145"/>
      <c r="T724" s="145" t="s">
        <v>137</v>
      </c>
      <c r="U724" s="145" t="s">
        <v>209</v>
      </c>
      <c r="V724" s="145" t="s">
        <v>114</v>
      </c>
      <c r="W724" s="145"/>
      <c r="X724" s="145" t="s">
        <v>115</v>
      </c>
      <c r="Y724" s="145" t="s">
        <v>110</v>
      </c>
      <c r="Z724" s="145">
        <v>3</v>
      </c>
      <c r="AA724" s="145"/>
      <c r="AB724" s="145"/>
      <c r="AC724" s="145"/>
      <c r="AD724" s="145"/>
      <c r="AE724" s="145" t="s">
        <v>123</v>
      </c>
      <c r="AF724" s="145" t="s">
        <v>123</v>
      </c>
      <c r="AG724" s="145">
        <f>AH724-AI724</f>
        <v>81</v>
      </c>
      <c r="AH724" s="145">
        <v>145</v>
      </c>
      <c r="AI724" s="145">
        <v>64</v>
      </c>
      <c r="AJ724" s="145"/>
      <c r="AK724" s="145">
        <v>14</v>
      </c>
      <c r="AL724" s="145">
        <v>0</v>
      </c>
      <c r="AM724" s="145">
        <v>0</v>
      </c>
      <c r="AN724" s="145">
        <v>0</v>
      </c>
      <c r="AO724" s="16">
        <f>IF(SUM(AL724:AN724)&gt;0, 1,0)</f>
        <v>0</v>
      </c>
      <c r="AP724" s="16">
        <f>SUM(AL724:AN724)</f>
        <v>0</v>
      </c>
      <c r="AS724" s="16">
        <f>VLOOKUP(E724,'[1]Feces weights'!$D$1:$H$459,5,FALSE)</f>
        <v>0.45200000000000018</v>
      </c>
      <c r="AT724" s="16" t="e">
        <f>VLOOKUP(E724,[2]Current!$A$1:$W$435,7,FALSE)</f>
        <v>#N/A</v>
      </c>
      <c r="BG724" s="77"/>
      <c r="BT724" s="77"/>
      <c r="CD724" s="77"/>
      <c r="DG724" s="145" t="s">
        <v>123</v>
      </c>
      <c r="DT724" s="145" t="s">
        <v>123</v>
      </c>
      <c r="DU724" s="145"/>
      <c r="DX724" s="145"/>
      <c r="DY724" s="145"/>
      <c r="DZ724" s="16"/>
      <c r="EA724" s="16"/>
      <c r="EB724" s="16"/>
      <c r="EC724" s="16"/>
      <c r="ED724" s="16"/>
      <c r="EE724" s="16"/>
      <c r="EF724" s="16"/>
      <c r="JO724" s="18"/>
      <c r="JP724" s="18"/>
      <c r="JQ724" s="18"/>
      <c r="JR724" s="18"/>
      <c r="JS724" s="18"/>
      <c r="JT724" s="18"/>
      <c r="JU724" s="18"/>
      <c r="JV724" s="18"/>
      <c r="JW724" s="18"/>
      <c r="JX724" s="18"/>
      <c r="JY724" s="18"/>
      <c r="JZ724" s="18"/>
      <c r="KA724" s="18"/>
    </row>
    <row r="725" spans="1:288" ht="16" x14ac:dyDescent="0.2">
      <c r="B725" s="16">
        <v>2018</v>
      </c>
      <c r="C725" s="147">
        <v>43314</v>
      </c>
      <c r="D725" t="s">
        <v>1230</v>
      </c>
      <c r="E725" s="20" t="str">
        <f>CONCATENATE(T725,"-",U725,"-",C725)</f>
        <v>SP1-A7-43314</v>
      </c>
      <c r="F725" s="16" t="s">
        <v>227</v>
      </c>
      <c r="G725" s="145" t="s">
        <v>107</v>
      </c>
      <c r="H725" s="145" t="s">
        <v>1142</v>
      </c>
      <c r="I725" s="145"/>
      <c r="J725" s="145">
        <v>1591</v>
      </c>
      <c r="K725" s="145">
        <v>2735</v>
      </c>
      <c r="M725" s="16"/>
      <c r="N725" s="16"/>
      <c r="O725" s="145" t="s">
        <v>119</v>
      </c>
      <c r="P725" s="18" t="s">
        <v>119</v>
      </c>
      <c r="Q725" s="18">
        <v>0</v>
      </c>
      <c r="R725" s="18" t="str">
        <f>IF(J725=J724,C725-C724,"")</f>
        <v/>
      </c>
      <c r="S725" s="145"/>
      <c r="T725" s="145" t="s">
        <v>140</v>
      </c>
      <c r="U725" s="145" t="s">
        <v>120</v>
      </c>
      <c r="V725" s="145" t="s">
        <v>142</v>
      </c>
      <c r="W725" s="145"/>
      <c r="X725" s="145" t="s">
        <v>110</v>
      </c>
      <c r="Y725" s="145">
        <v>3</v>
      </c>
      <c r="Z725" s="145"/>
      <c r="AA725" s="145"/>
      <c r="AB725" s="145"/>
      <c r="AC725" s="145"/>
      <c r="AD725" s="145"/>
      <c r="AE725" s="145" t="s">
        <v>116</v>
      </c>
      <c r="AF725" s="145" t="s">
        <v>116</v>
      </c>
      <c r="AG725" s="145">
        <f>AH725-AI725</f>
        <v>83</v>
      </c>
      <c r="AH725" s="145">
        <v>173</v>
      </c>
      <c r="AI725" s="145">
        <v>90</v>
      </c>
      <c r="AJ725" s="145"/>
      <c r="AK725" s="145">
        <v>15</v>
      </c>
      <c r="AL725" s="145">
        <v>0</v>
      </c>
      <c r="AM725" s="145">
        <v>0</v>
      </c>
      <c r="AN725" s="145">
        <v>0</v>
      </c>
      <c r="AO725" s="16">
        <f>IF(SUM(AL725:AN725)&gt;0, 1,0)</f>
        <v>0</v>
      </c>
      <c r="AP725" s="16">
        <f>SUM(AL725:AN725)</f>
        <v>0</v>
      </c>
      <c r="AS725" s="16">
        <f>VLOOKUP(E725,'[1]Feces weights'!$D$1:$H$459,5,FALSE)</f>
        <v>0.379</v>
      </c>
      <c r="AT725" s="16" t="e">
        <f>VLOOKUP(E725,[2]Current!$A$1:$W$435,7,FALSE)</f>
        <v>#N/A</v>
      </c>
      <c r="BG725" s="77"/>
      <c r="BT725" s="77"/>
      <c r="CD725" s="77"/>
      <c r="DG725" s="145" t="s">
        <v>123</v>
      </c>
      <c r="DT725" s="145" t="s">
        <v>123</v>
      </c>
      <c r="DU725" s="145"/>
      <c r="DX725" s="145"/>
      <c r="DY725" s="145"/>
      <c r="DZ725" s="16"/>
      <c r="EA725" s="16"/>
      <c r="EB725" s="16"/>
      <c r="EC725" s="16"/>
      <c r="ED725" s="16"/>
      <c r="EE725" s="16"/>
      <c r="EF725" s="16"/>
      <c r="JO725" s="18"/>
      <c r="JP725" s="18"/>
      <c r="JQ725" s="18"/>
      <c r="JR725" s="18"/>
      <c r="JS725" s="18"/>
      <c r="JT725" s="18"/>
      <c r="JU725" s="18"/>
      <c r="JV725" s="18"/>
      <c r="JW725" s="18"/>
      <c r="JX725" s="18"/>
      <c r="JY725" s="18"/>
      <c r="JZ725" s="18"/>
      <c r="KA725" s="18"/>
    </row>
    <row r="726" spans="1:288" ht="16" x14ac:dyDescent="0.2">
      <c r="A726" s="18">
        <v>1</v>
      </c>
      <c r="B726" s="18">
        <v>2018</v>
      </c>
      <c r="C726" s="148">
        <v>43315</v>
      </c>
      <c r="D726" s="149" t="s">
        <v>1250</v>
      </c>
      <c r="E726" s="37" t="str">
        <f>CONCATENATE(T726,"-",U726,"-",C726)</f>
        <v>PO1-B4-43315</v>
      </c>
      <c r="F726" s="18" t="s">
        <v>227</v>
      </c>
      <c r="G726" s="150" t="s">
        <v>107</v>
      </c>
      <c r="H726" s="150"/>
      <c r="I726" s="150"/>
      <c r="J726" s="150">
        <v>1593</v>
      </c>
      <c r="K726" s="150">
        <v>2749</v>
      </c>
      <c r="L726" s="18"/>
      <c r="M726" s="18"/>
      <c r="N726" s="18"/>
      <c r="O726" s="150" t="s">
        <v>119</v>
      </c>
      <c r="P726" s="18" t="s">
        <v>119</v>
      </c>
      <c r="Q726" s="18">
        <v>0</v>
      </c>
      <c r="R726" s="18" t="str">
        <f>IF(J726=J725,C726-C725,"")</f>
        <v/>
      </c>
      <c r="S726" s="150"/>
      <c r="T726" s="150" t="s">
        <v>112</v>
      </c>
      <c r="U726" s="150" t="s">
        <v>144</v>
      </c>
      <c r="V726" s="150" t="s">
        <v>114</v>
      </c>
      <c r="W726" s="150"/>
      <c r="X726" s="150" t="s">
        <v>115</v>
      </c>
      <c r="Y726" s="150" t="s">
        <v>110</v>
      </c>
      <c r="Z726" s="150">
        <v>3</v>
      </c>
      <c r="AA726" s="150"/>
      <c r="AB726" s="150"/>
      <c r="AC726" s="150"/>
      <c r="AD726" s="150"/>
      <c r="AE726" s="150" t="s">
        <v>123</v>
      </c>
      <c r="AF726" s="150" t="s">
        <v>123</v>
      </c>
      <c r="AG726" s="150">
        <f>AH726-AI726</f>
        <v>80</v>
      </c>
      <c r="AH726" s="150">
        <v>147</v>
      </c>
      <c r="AI726" s="150">
        <v>67</v>
      </c>
      <c r="AJ726" s="150"/>
      <c r="AK726" s="150">
        <v>11.5</v>
      </c>
      <c r="AL726" s="145">
        <v>1</v>
      </c>
      <c r="AM726" s="145">
        <v>0</v>
      </c>
      <c r="AN726" s="145">
        <v>0</v>
      </c>
      <c r="AO726" s="16">
        <f>IF(SUM(AL726:AN726)&gt;0, 1,0)</f>
        <v>1</v>
      </c>
      <c r="AP726" s="16">
        <f>SUM(AL726:AN726)</f>
        <v>1</v>
      </c>
      <c r="AQ726" s="18"/>
      <c r="AR726" s="18"/>
      <c r="AS726" s="18">
        <f>VLOOKUP(E726,'[1]Feces weights'!$D$1:$H$459,5,FALSE)</f>
        <v>0.51800000000000002</v>
      </c>
      <c r="AT726" s="18" t="e">
        <f>VLOOKUP(E726,[2]Current!$A$1:$W$435,7,FALSE)</f>
        <v>#N/A</v>
      </c>
      <c r="AU726" s="18"/>
      <c r="AV726" s="18"/>
      <c r="AW726" s="18"/>
      <c r="AX726" s="18"/>
      <c r="AY726" s="18"/>
      <c r="AZ726" s="18"/>
      <c r="BA726" s="18"/>
      <c r="BB726" s="18"/>
      <c r="BC726" s="18"/>
      <c r="BD726" s="18"/>
      <c r="BE726" s="18"/>
      <c r="BF726" s="18"/>
      <c r="BG726" s="78"/>
      <c r="BH726" s="18"/>
      <c r="BI726" s="18"/>
      <c r="BJ726" s="18"/>
      <c r="BK726" s="18"/>
      <c r="BL726" s="18"/>
      <c r="BM726" s="18"/>
      <c r="BN726" s="18"/>
      <c r="BO726" s="18"/>
      <c r="BP726" s="18"/>
      <c r="BQ726" s="18"/>
      <c r="BR726" s="18"/>
      <c r="BS726" s="18"/>
      <c r="BT726" s="78"/>
      <c r="BU726" s="18"/>
      <c r="BV726" s="18"/>
      <c r="BW726" s="18"/>
      <c r="BX726" s="18"/>
      <c r="BY726" s="18"/>
      <c r="BZ726" s="18"/>
      <c r="CA726" s="18"/>
      <c r="CB726" s="18"/>
      <c r="CC726" s="18"/>
      <c r="CD726" s="7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50" t="s">
        <v>123</v>
      </c>
      <c r="DH726" s="18"/>
      <c r="DI726" s="18"/>
      <c r="DJ726" s="18"/>
      <c r="DK726" s="18"/>
      <c r="DL726" s="18"/>
      <c r="DM726" s="18"/>
      <c r="DN726" s="18"/>
      <c r="DO726" s="18"/>
      <c r="DP726" s="18"/>
      <c r="DQ726" s="18"/>
      <c r="DR726" s="18"/>
      <c r="DS726" s="18"/>
      <c r="DT726" s="150" t="s">
        <v>123</v>
      </c>
      <c r="DU726" s="150"/>
      <c r="DX726" s="150"/>
      <c r="DY726" s="150"/>
      <c r="JO726" s="18"/>
      <c r="JP726" s="18"/>
      <c r="JQ726" s="18"/>
      <c r="JR726" s="18"/>
      <c r="JS726" s="18"/>
      <c r="JT726" s="18"/>
      <c r="JU726" s="18"/>
      <c r="JV726" s="18"/>
      <c r="JW726" s="18"/>
      <c r="JX726" s="18"/>
      <c r="JY726" s="18"/>
      <c r="JZ726" s="18"/>
      <c r="KA726" s="18"/>
      <c r="KB726" s="18"/>
    </row>
    <row r="727" spans="1:288" ht="16" x14ac:dyDescent="0.2">
      <c r="B727" s="16">
        <v>2018</v>
      </c>
      <c r="C727" s="147">
        <v>43316</v>
      </c>
      <c r="D727" t="s">
        <v>1263</v>
      </c>
      <c r="E727" s="20" t="str">
        <f>CONCATENATE(T727,"-",U727,"-",C727)</f>
        <v>PO1-C1-43316</v>
      </c>
      <c r="F727" s="16" t="s">
        <v>227</v>
      </c>
      <c r="G727" s="145" t="s">
        <v>107</v>
      </c>
      <c r="H727" s="145" t="s">
        <v>1142</v>
      </c>
      <c r="I727" s="145"/>
      <c r="J727" s="145">
        <v>1595</v>
      </c>
      <c r="K727" s="145">
        <v>2759</v>
      </c>
      <c r="M727" s="16"/>
      <c r="N727" s="16"/>
      <c r="O727" s="145" t="s">
        <v>119</v>
      </c>
      <c r="P727" s="18" t="s">
        <v>119</v>
      </c>
      <c r="Q727" s="18">
        <v>0</v>
      </c>
      <c r="R727" s="18" t="str">
        <f>IF(J727=J726,C727-C726,"")</f>
        <v/>
      </c>
      <c r="S727" s="145"/>
      <c r="T727" s="145" t="s">
        <v>112</v>
      </c>
      <c r="U727" s="145" t="s">
        <v>150</v>
      </c>
      <c r="V727" s="145" t="s">
        <v>142</v>
      </c>
      <c r="W727" s="145"/>
      <c r="X727" s="145" t="s">
        <v>121</v>
      </c>
      <c r="Y727" s="145" t="s">
        <v>110</v>
      </c>
      <c r="Z727" s="145">
        <v>3</v>
      </c>
      <c r="AA727" s="145" t="s">
        <v>161</v>
      </c>
      <c r="AB727" s="145" t="s">
        <v>116</v>
      </c>
      <c r="AC727" s="145" t="s">
        <v>116</v>
      </c>
      <c r="AD727" s="145"/>
      <c r="AE727" s="145"/>
      <c r="AF727" s="145"/>
      <c r="AG727" s="145">
        <f>AH727-AI727</f>
        <v>79</v>
      </c>
      <c r="AH727" s="145">
        <v>167</v>
      </c>
      <c r="AI727" s="145">
        <v>88</v>
      </c>
      <c r="AJ727" s="145"/>
      <c r="AK727" s="145">
        <v>19</v>
      </c>
      <c r="AL727" s="145">
        <v>0</v>
      </c>
      <c r="AM727" s="145">
        <v>0</v>
      </c>
      <c r="AN727" s="145">
        <v>0</v>
      </c>
      <c r="AO727" s="16">
        <f>IF(SUM(AL727:AN727)&gt;0, 1,0)</f>
        <v>0</v>
      </c>
      <c r="AP727" s="16">
        <f>SUM(AL727:AN727)</f>
        <v>0</v>
      </c>
      <c r="AS727" s="16">
        <f>VLOOKUP(E727,'[1]Feces weights'!$D$1:$H$459,5,FALSE)</f>
        <v>0.30900000000000016</v>
      </c>
      <c r="AT727" s="16" t="e">
        <f>VLOOKUP(E727,[2]Current!$A$1:$W$435,7,FALSE)</f>
        <v>#N/A</v>
      </c>
      <c r="BG727" s="77"/>
      <c r="BT727" s="77"/>
      <c r="CD727" s="77"/>
      <c r="DG727" s="145" t="s">
        <v>123</v>
      </c>
      <c r="DT727" s="145" t="s">
        <v>123</v>
      </c>
      <c r="DU727" s="145"/>
      <c r="DX727" s="145"/>
      <c r="DY727" s="145"/>
      <c r="DZ727" s="16"/>
      <c r="EA727" s="16"/>
      <c r="EB727" s="16"/>
      <c r="EC727" s="16"/>
      <c r="ED727" s="16"/>
      <c r="EE727" s="16"/>
      <c r="EF727" s="16"/>
      <c r="JO727" s="18"/>
      <c r="JP727" s="18"/>
      <c r="JQ727" s="18"/>
      <c r="JR727" s="18"/>
      <c r="JS727" s="18"/>
      <c r="JT727" s="18"/>
      <c r="JU727" s="18"/>
      <c r="JV727" s="18"/>
      <c r="JW727" s="18"/>
      <c r="JX727" s="18"/>
      <c r="JY727" s="18"/>
      <c r="JZ727" s="18"/>
      <c r="KA727" s="18"/>
    </row>
    <row r="728" spans="1:288" ht="16" x14ac:dyDescent="0.2">
      <c r="B728" s="16">
        <v>2018</v>
      </c>
      <c r="C728" s="124">
        <v>43269</v>
      </c>
      <c r="D728" t="s">
        <v>821</v>
      </c>
      <c r="E728" s="37" t="str">
        <f>CONCATENATE(T728,"-",U728,"-",C728)</f>
        <v>SP1-G1-43269</v>
      </c>
      <c r="F728" s="16" t="s">
        <v>227</v>
      </c>
      <c r="G728" s="126" t="s">
        <v>107</v>
      </c>
      <c r="H728" s="126" t="s">
        <v>1107</v>
      </c>
      <c r="J728" s="126" t="s">
        <v>1071</v>
      </c>
      <c r="K728" s="126">
        <v>2470</v>
      </c>
      <c r="O728" s="126" t="s">
        <v>119</v>
      </c>
      <c r="P728" s="18" t="s">
        <v>119</v>
      </c>
      <c r="Q728" s="18">
        <v>0</v>
      </c>
      <c r="R728" s="18" t="str">
        <f>IF(J728=J727,C728-C727,"")</f>
        <v/>
      </c>
      <c r="T728" s="126" t="s">
        <v>140</v>
      </c>
      <c r="U728" s="126" t="s">
        <v>155</v>
      </c>
      <c r="V728" s="126" t="s">
        <v>114</v>
      </c>
      <c r="X728" s="126" t="s">
        <v>115</v>
      </c>
      <c r="Y728" s="126" t="s">
        <v>110</v>
      </c>
      <c r="Z728" s="126">
        <v>3</v>
      </c>
      <c r="AA728" s="126"/>
      <c r="AB728" s="126"/>
      <c r="AC728" s="126"/>
      <c r="AD728" s="126"/>
      <c r="AE728" s="126" t="s">
        <v>123</v>
      </c>
      <c r="AG728" s="16">
        <f>AH728-AI728</f>
        <v>81</v>
      </c>
      <c r="AH728" s="126">
        <v>151</v>
      </c>
      <c r="AI728" s="126">
        <v>70</v>
      </c>
      <c r="AK728" s="126">
        <v>16.5</v>
      </c>
      <c r="AL728" s="126">
        <v>0</v>
      </c>
      <c r="AM728" s="126">
        <v>0</v>
      </c>
      <c r="AN728" s="126">
        <v>0</v>
      </c>
      <c r="AO728" s="16">
        <f>IF(SUM(AL728:AN728)&gt;0,1,0)</f>
        <v>0</v>
      </c>
      <c r="AP728" s="18">
        <f>SUM(AL728:AN728)</f>
        <v>0</v>
      </c>
      <c r="AR728" s="16">
        <v>2E-3</v>
      </c>
      <c r="AS728" s="16">
        <v>2E-3</v>
      </c>
      <c r="AT728" s="16" t="str">
        <f>VLOOKUP(E728,[2]Current!$A$1:$W$435,7,FALSE)</f>
        <v>LV</v>
      </c>
      <c r="AU728" s="16" t="s">
        <v>1288</v>
      </c>
      <c r="AW728" s="128">
        <f>IF(AX728&gt;0,1,0)</f>
        <v>1</v>
      </c>
      <c r="AX728" s="128">
        <f>SUM(BA728,BM728,CU728)</f>
        <v>1</v>
      </c>
      <c r="AY728" s="128">
        <f>SUM(BB728,BN728,CV728)</f>
        <v>221000</v>
      </c>
      <c r="AZ728" s="128">
        <f>IF(BA728&gt;0,1,0)</f>
        <v>1</v>
      </c>
      <c r="BA728" s="128">
        <f>SUM(BC728+BF728+BI728)</f>
        <v>1</v>
      </c>
      <c r="BB728" s="128">
        <f>SUM(BE728,BH728,BK728)</f>
        <v>221000</v>
      </c>
      <c r="BC728" s="130">
        <f>IF(BD728&gt;0,1,0)</f>
        <v>0</v>
      </c>
      <c r="BD728" s="128">
        <f>VLOOKUP($E728,[2]Current!$A:$AC,26,FALSE)</f>
        <v>0</v>
      </c>
      <c r="BE728" s="128">
        <f>BD728/$AS728</f>
        <v>0</v>
      </c>
      <c r="BF728" s="130">
        <f>IF(BG728&gt;0,1,0)</f>
        <v>1</v>
      </c>
      <c r="BG728" s="137">
        <f>VLOOKUP($E728,[2]Current!$A:$AC,27,FALSE)</f>
        <v>442</v>
      </c>
      <c r="BH728" s="128">
        <f>BG728/$AS728</f>
        <v>221000</v>
      </c>
      <c r="BI728" s="130">
        <f>IF(BJ728&gt;0,1,0)</f>
        <v>0</v>
      </c>
      <c r="BJ728" s="128">
        <f>VLOOKUP($E728,[2]Current!$A:$AC,28,FALSE)</f>
        <v>0</v>
      </c>
      <c r="BK728" s="128">
        <f>BJ728/$AS728</f>
        <v>0</v>
      </c>
      <c r="BL728" s="128">
        <f>IF(BM728&gt;0,1,0)</f>
        <v>0</v>
      </c>
      <c r="BM728" s="128">
        <f>SUM(BR728,BU728,BX728,CA728,CD728)</f>
        <v>0</v>
      </c>
      <c r="BN728" s="131">
        <f>SUM(BT728,BW728,BZ728,CC728,CF728)</f>
        <v>0</v>
      </c>
      <c r="BO728" s="128">
        <f>IF(BP728&gt;0,1,0)</f>
        <v>0</v>
      </c>
      <c r="BP728" s="128">
        <f>BM728+CJ728</f>
        <v>0</v>
      </c>
      <c r="BQ728" s="128">
        <f>BN728+CL728</f>
        <v>0</v>
      </c>
      <c r="BR728" s="130">
        <f>IF(BS728&gt;0,1,0)</f>
        <v>0</v>
      </c>
      <c r="BS728" s="128">
        <f>VLOOKUP($E728,[2]Current!$A:$AC,12,FALSE)</f>
        <v>0</v>
      </c>
      <c r="BT728" s="137">
        <f>BS728/$AS728</f>
        <v>0</v>
      </c>
      <c r="BU728" s="130">
        <f>IF(BV728&gt;0,1,0)</f>
        <v>0</v>
      </c>
      <c r="BV728" s="128">
        <f>VLOOKUP($E728,[2]Current!$A:$AC,13,FALSE)</f>
        <v>0</v>
      </c>
      <c r="BW728" s="128">
        <f>BV728/$AS728</f>
        <v>0</v>
      </c>
      <c r="BX728" s="130">
        <f>IF(BY728&gt;0,1,0)</f>
        <v>0</v>
      </c>
      <c r="BY728" s="128">
        <f>VLOOKUP($E728,[2]Current!$A:$AC,14,FALSE)</f>
        <v>0</v>
      </c>
      <c r="BZ728" s="128">
        <f>BY728/$AS728</f>
        <v>0</v>
      </c>
      <c r="CA728" s="130">
        <f>IF(CB728&gt;0,1,0)</f>
        <v>0</v>
      </c>
      <c r="CB728" s="128">
        <f>VLOOKUP($E728,[2]Current!$A:$AC,15,FALSE)</f>
        <v>0</v>
      </c>
      <c r="CC728" s="128">
        <f>CB728/$AS728</f>
        <v>0</v>
      </c>
      <c r="CD728" s="174">
        <f>IF(CE728&gt;0,1,0)</f>
        <v>0</v>
      </c>
      <c r="CE728" s="128">
        <f>VLOOKUP($E728,[2]Current!$A:$AC,16,FALSE)</f>
        <v>0</v>
      </c>
      <c r="CF728" s="128">
        <f>CE728/$AS728</f>
        <v>0</v>
      </c>
      <c r="CG728" s="18"/>
      <c r="CH728" s="18"/>
      <c r="CI728" s="18"/>
      <c r="CJ728" s="130">
        <f>IF(CK728&gt;0,1,0)</f>
        <v>0</v>
      </c>
      <c r="CK728" s="128">
        <f>VLOOKUP($E728,[2]Current!$A:$AC,18,FALSE)</f>
        <v>0</v>
      </c>
      <c r="CL728" s="128">
        <f>CK728/$AS728</f>
        <v>0</v>
      </c>
      <c r="CS728" s="130">
        <f>IF(CU728&gt;0,1,0)</f>
        <v>0</v>
      </c>
      <c r="CU728" s="128">
        <f>VLOOKUP($E728,[2]Current!$A:$AC,17,FALSE)</f>
        <v>0</v>
      </c>
      <c r="CV728" s="128">
        <f>CU728/$AS728</f>
        <v>0</v>
      </c>
      <c r="CW728" s="18"/>
      <c r="CX728" s="18"/>
      <c r="CY728" s="18"/>
      <c r="DF728" s="16" t="e">
        <f>VLOOKUP(K728,'[3]RNA Seq summary tables'!$V$3:$V$99,1,FALSE)</f>
        <v>#N/A</v>
      </c>
      <c r="DG728" s="126" t="s">
        <v>116</v>
      </c>
    </row>
    <row r="729" spans="1:288" ht="16" x14ac:dyDescent="0.2">
      <c r="B729" s="16">
        <v>2018</v>
      </c>
      <c r="C729" s="124">
        <v>43286</v>
      </c>
      <c r="D729" t="s">
        <v>915</v>
      </c>
      <c r="E729" s="37" t="str">
        <f>CONCATENATE(T729,"-",U729,"-",C729)</f>
        <v>SP1-G4-43286</v>
      </c>
      <c r="F729" s="16" t="s">
        <v>227</v>
      </c>
      <c r="G729" s="126" t="s">
        <v>107</v>
      </c>
      <c r="H729" s="126"/>
      <c r="J729" s="126" t="s">
        <v>1071</v>
      </c>
      <c r="K729" s="126">
        <v>2569</v>
      </c>
      <c r="O729" s="126" t="s">
        <v>119</v>
      </c>
      <c r="P729" s="18" t="s">
        <v>119</v>
      </c>
      <c r="Q729" s="18">
        <v>0</v>
      </c>
      <c r="R729" s="18">
        <f>IF(J729=J728,C729-C728,"")</f>
        <v>17</v>
      </c>
      <c r="T729" s="126" t="s">
        <v>140</v>
      </c>
      <c r="U729" s="126" t="s">
        <v>173</v>
      </c>
      <c r="V729" s="126" t="s">
        <v>114</v>
      </c>
      <c r="X729" s="126" t="s">
        <v>115</v>
      </c>
      <c r="Y729" s="126" t="s">
        <v>110</v>
      </c>
      <c r="Z729" s="126">
        <v>3</v>
      </c>
      <c r="AA729" s="126"/>
      <c r="AB729" s="126"/>
      <c r="AC729" s="126"/>
      <c r="AD729" s="126"/>
      <c r="AE729" s="126" t="s">
        <v>116</v>
      </c>
      <c r="AG729" s="16">
        <f>AH729-AI729</f>
        <v>77</v>
      </c>
      <c r="AH729" s="126">
        <v>150</v>
      </c>
      <c r="AI729" s="126">
        <v>73</v>
      </c>
      <c r="AK729" s="126">
        <v>17.5</v>
      </c>
      <c r="AL729" s="126">
        <v>0</v>
      </c>
      <c r="AM729" s="126">
        <v>0</v>
      </c>
      <c r="AN729" s="126">
        <v>0</v>
      </c>
      <c r="AO729" s="16">
        <f>IF(SUM(AL729:AN729)&gt;0,1,0)</f>
        <v>0</v>
      </c>
      <c r="AP729" s="18">
        <f>SUM(AL729:AN729)</f>
        <v>0</v>
      </c>
      <c r="AQ729" s="16" t="s">
        <v>1284</v>
      </c>
      <c r="AR729" s="16">
        <v>-2.9999999999998916E-3</v>
      </c>
      <c r="AS729" s="152">
        <v>1E-3</v>
      </c>
      <c r="AT729" s="16" t="str">
        <f>VLOOKUP(E729,[2]Current!$A$1:$W$435,7,FALSE)</f>
        <v>TE</v>
      </c>
      <c r="AU729" s="16" t="s">
        <v>1288</v>
      </c>
      <c r="AV729" s="16">
        <v>1</v>
      </c>
      <c r="AW729" s="128">
        <f>IF(AX729&gt;0,1,0)</f>
        <v>0</v>
      </c>
      <c r="AX729" s="128">
        <f>SUM(BA729,BM729,CU729)</f>
        <v>0</v>
      </c>
      <c r="AY729" s="128">
        <f>SUM(BB729,BN729,CV729)</f>
        <v>0</v>
      </c>
      <c r="AZ729" s="128">
        <f>IF(BA729&gt;0,1,0)</f>
        <v>0</v>
      </c>
      <c r="BA729" s="128">
        <f>SUM(BC729+BF729+BI729)</f>
        <v>0</v>
      </c>
      <c r="BB729" s="128">
        <f>SUM(BE729,BH729,BK729)</f>
        <v>0</v>
      </c>
      <c r="BC729" s="130">
        <f>IF(BD729&gt;0,1,0)</f>
        <v>0</v>
      </c>
      <c r="BD729" s="128">
        <f>VLOOKUP($E729,[2]Current!$A:$AC,26,FALSE)</f>
        <v>0</v>
      </c>
      <c r="BE729" s="128">
        <f>BD729/$AS729</f>
        <v>0</v>
      </c>
      <c r="BF729" s="130">
        <f>IF(BG729&gt;0,1,0)</f>
        <v>0</v>
      </c>
      <c r="BG729" s="137">
        <f>VLOOKUP($E729,[2]Current!$A:$AC,27,FALSE)</f>
        <v>0</v>
      </c>
      <c r="BH729" s="128">
        <f>BG729/$AS729</f>
        <v>0</v>
      </c>
      <c r="BI729" s="130">
        <f>IF(BJ729&gt;0,1,0)</f>
        <v>0</v>
      </c>
      <c r="BJ729" s="128">
        <f>VLOOKUP($E729,[2]Current!$A:$AC,28,FALSE)</f>
        <v>0</v>
      </c>
      <c r="BK729" s="128">
        <f>BJ729/$AS729</f>
        <v>0</v>
      </c>
      <c r="BL729" s="128">
        <f>IF(BM729&gt;0,1,0)</f>
        <v>0</v>
      </c>
      <c r="BM729" s="128">
        <f>SUM(BR729,BU729,BX729,CA729,CD729)</f>
        <v>0</v>
      </c>
      <c r="BN729" s="131">
        <f>SUM(BT729,BW729,BZ729,CC729,CF729)</f>
        <v>0</v>
      </c>
      <c r="BO729" s="128">
        <f>IF(BP729&gt;0,1,0)</f>
        <v>0</v>
      </c>
      <c r="BP729" s="128">
        <f>BM729+CJ729</f>
        <v>0</v>
      </c>
      <c r="BQ729" s="128">
        <f>BN729+CL729</f>
        <v>0</v>
      </c>
      <c r="BR729" s="130">
        <f>IF(BS729&gt;0,1,0)</f>
        <v>0</v>
      </c>
      <c r="BS729" s="128">
        <f>VLOOKUP($E729,[2]Current!$A:$AC,12,FALSE)</f>
        <v>0</v>
      </c>
      <c r="BT729" s="137">
        <f>BS729/$AS729</f>
        <v>0</v>
      </c>
      <c r="BU729" s="130">
        <f>IF(BV729&gt;0,1,0)</f>
        <v>0</v>
      </c>
      <c r="BV729" s="128">
        <f>VLOOKUP($E729,[2]Current!$A:$AC,13,FALSE)</f>
        <v>0</v>
      </c>
      <c r="BW729" s="128">
        <f>BV729/$AS729</f>
        <v>0</v>
      </c>
      <c r="BX729" s="130">
        <f>IF(BY729&gt;0,1,0)</f>
        <v>0</v>
      </c>
      <c r="BY729" s="128">
        <f>VLOOKUP($E729,[2]Current!$A:$AC,14,FALSE)</f>
        <v>0</v>
      </c>
      <c r="BZ729" s="128">
        <f>BY729/$AS729</f>
        <v>0</v>
      </c>
      <c r="CA729" s="130">
        <f>IF(CB729&gt;0,1,0)</f>
        <v>0</v>
      </c>
      <c r="CB729" s="128">
        <f>VLOOKUP($E729,[2]Current!$A:$AC,15,FALSE)</f>
        <v>0</v>
      </c>
      <c r="CC729" s="128">
        <f>CB729/$AS729</f>
        <v>0</v>
      </c>
      <c r="CD729" s="174">
        <f>IF(CE729&gt;0,1,0)</f>
        <v>0</v>
      </c>
      <c r="CE729" s="128">
        <f>VLOOKUP($E729,[2]Current!$A:$AC,16,FALSE)</f>
        <v>0</v>
      </c>
      <c r="CF729" s="128">
        <f>CE729/$AS729</f>
        <v>0</v>
      </c>
      <c r="CG729" s="18"/>
      <c r="CH729" s="18"/>
      <c r="CI729" s="18"/>
      <c r="CJ729" s="130">
        <f>IF(CK729&gt;0,1,0)</f>
        <v>0</v>
      </c>
      <c r="CK729" s="128">
        <f>VLOOKUP($E729,[2]Current!$A:$AC,18,FALSE)</f>
        <v>0</v>
      </c>
      <c r="CL729" s="128">
        <f>CK729/$AS729</f>
        <v>0</v>
      </c>
      <c r="CS729" s="130">
        <f>IF(CU729&gt;0,1,0)</f>
        <v>0</v>
      </c>
      <c r="CT729" s="18"/>
      <c r="CU729" s="128">
        <f>VLOOKUP($E729,[2]Current!$A:$AC,17,FALSE)</f>
        <v>0</v>
      </c>
      <c r="CV729" s="128">
        <f>CU729/$AS729</f>
        <v>0</v>
      </c>
      <c r="CW729" s="18"/>
      <c r="CX729" s="18"/>
      <c r="CY729" s="18"/>
      <c r="DF729" s="16" t="e">
        <f>VLOOKUP(K729,'[3]RNA Seq summary tables'!$V$3:$V$99,1,FALSE)</f>
        <v>#N/A</v>
      </c>
      <c r="DG729" s="126" t="s">
        <v>116</v>
      </c>
    </row>
    <row r="730" spans="1:288" ht="16" x14ac:dyDescent="0.2">
      <c r="B730" s="16">
        <v>2018</v>
      </c>
      <c r="C730" s="124">
        <v>43301</v>
      </c>
      <c r="D730" t="s">
        <v>1016</v>
      </c>
      <c r="E730" s="142" t="str">
        <f>CONCATENATE(T730,"-",U730,"-",C730)</f>
        <v>SP1-H2-43301</v>
      </c>
      <c r="F730" s="16" t="s">
        <v>227</v>
      </c>
      <c r="G730" s="126" t="s">
        <v>107</v>
      </c>
      <c r="H730" s="126" t="s">
        <v>1146</v>
      </c>
      <c r="J730" s="126" t="s">
        <v>1071</v>
      </c>
      <c r="K730" s="126">
        <v>2664</v>
      </c>
      <c r="O730" s="126" t="s">
        <v>119</v>
      </c>
      <c r="P730" s="18" t="s">
        <v>119</v>
      </c>
      <c r="Q730" s="18">
        <v>0</v>
      </c>
      <c r="R730" s="18">
        <f>IF(J730=J729,C730-C729,"")</f>
        <v>15</v>
      </c>
      <c r="T730" s="126" t="s">
        <v>140</v>
      </c>
      <c r="U730" s="126" t="s">
        <v>190</v>
      </c>
      <c r="V730" s="126" t="s">
        <v>114</v>
      </c>
      <c r="X730" s="126" t="s">
        <v>115</v>
      </c>
      <c r="Y730" s="126" t="s">
        <v>110</v>
      </c>
      <c r="Z730" s="126">
        <v>3</v>
      </c>
      <c r="AA730" s="126"/>
      <c r="AB730" s="126"/>
      <c r="AC730" s="126"/>
      <c r="AD730" s="126" t="s">
        <v>1079</v>
      </c>
      <c r="AE730" s="126" t="s">
        <v>1079</v>
      </c>
      <c r="AG730" s="40">
        <f>AH730-AI730</f>
        <v>82</v>
      </c>
      <c r="AH730" s="126">
        <v>155</v>
      </c>
      <c r="AI730" s="126">
        <v>73</v>
      </c>
      <c r="AK730" s="126">
        <v>21</v>
      </c>
      <c r="AL730" s="126">
        <v>0</v>
      </c>
      <c r="AM730" s="126">
        <v>0</v>
      </c>
      <c r="AN730" s="126">
        <v>1</v>
      </c>
      <c r="AO730" s="16">
        <f>IF(SUM(AL730:AN730)&gt;0,1,0)</f>
        <v>1</v>
      </c>
      <c r="AP730" s="18">
        <f>SUM(AL730:AN730)</f>
        <v>1</v>
      </c>
      <c r="AR730" s="16">
        <v>0.20100000000000007</v>
      </c>
      <c r="AS730" s="16">
        <f>VLOOKUP(E730,'[1]Feces weights'!$D$1:$H$459,5,FALSE)</f>
        <v>0.20100000000000007</v>
      </c>
      <c r="AT730" s="16" t="e">
        <f>VLOOKUP(E730,[2]Current!$A$1:$W$435,7,FALSE)</f>
        <v>#N/A</v>
      </c>
      <c r="AU730" s="16">
        <v>0</v>
      </c>
      <c r="BG730" s="77"/>
      <c r="BN730" s="126"/>
      <c r="BT730" s="78"/>
      <c r="BU730" s="18"/>
      <c r="BV730" s="18"/>
      <c r="BW730" s="25"/>
      <c r="BX730" s="18"/>
      <c r="BY730" s="18"/>
      <c r="BZ730" s="25"/>
      <c r="CA730" s="18"/>
      <c r="CB730" s="18"/>
      <c r="CC730" s="25"/>
      <c r="CD730" s="78"/>
      <c r="CE730" s="18"/>
      <c r="CF730" s="25"/>
      <c r="CG730" s="18"/>
      <c r="CH730" s="18"/>
      <c r="CI730" s="18"/>
      <c r="CJ730" s="18"/>
      <c r="CK730" s="18"/>
      <c r="CL730" s="25"/>
      <c r="DF730" s="16" t="e">
        <f>VLOOKUP(K730,'[3]RNA Seq summary tables'!$V$3:$V$99,1,FALSE)</f>
        <v>#N/A</v>
      </c>
      <c r="DG730" s="126" t="s">
        <v>123</v>
      </c>
    </row>
    <row r="731" spans="1:288" ht="16" x14ac:dyDescent="0.2">
      <c r="B731" s="16">
        <v>2018</v>
      </c>
      <c r="C731" s="147">
        <v>43313</v>
      </c>
      <c r="D731" t="s">
        <v>1213</v>
      </c>
      <c r="E731" s="20" t="str">
        <f>CONCATENATE(T731,"-",U731,"-",C731)</f>
        <v>SP1-F2-43313</v>
      </c>
      <c r="F731" s="16" t="s">
        <v>227</v>
      </c>
      <c r="G731" s="145" t="s">
        <v>107</v>
      </c>
      <c r="H731" s="145"/>
      <c r="I731" s="145"/>
      <c r="J731" s="145" t="s">
        <v>1071</v>
      </c>
      <c r="K731" s="145">
        <v>2728</v>
      </c>
      <c r="M731" s="16"/>
      <c r="N731" s="16"/>
      <c r="O731" s="145" t="s">
        <v>119</v>
      </c>
      <c r="P731" s="18" t="s">
        <v>119</v>
      </c>
      <c r="Q731" s="18">
        <v>0</v>
      </c>
      <c r="R731" s="18">
        <f>IF(J731=J730,C731-C730,"")</f>
        <v>12</v>
      </c>
      <c r="S731" s="145"/>
      <c r="T731" s="145" t="s">
        <v>140</v>
      </c>
      <c r="U731" s="145" t="s">
        <v>187</v>
      </c>
      <c r="V731" s="145" t="s">
        <v>114</v>
      </c>
      <c r="W731" s="145"/>
      <c r="X731" s="145" t="s">
        <v>115</v>
      </c>
      <c r="Y731" s="145" t="s">
        <v>110</v>
      </c>
      <c r="Z731" s="145">
        <v>3</v>
      </c>
      <c r="AA731" s="145"/>
      <c r="AB731" s="145"/>
      <c r="AC731" s="145"/>
      <c r="AD731" s="145"/>
      <c r="AE731" s="145" t="s">
        <v>123</v>
      </c>
      <c r="AF731" s="145" t="s">
        <v>123</v>
      </c>
      <c r="AG731" s="145">
        <f>AH731-AI731</f>
        <v>83</v>
      </c>
      <c r="AH731" s="145">
        <v>155</v>
      </c>
      <c r="AI731" s="145">
        <v>72</v>
      </c>
      <c r="AJ731" s="145"/>
      <c r="AK731" s="145">
        <v>20.5</v>
      </c>
      <c r="AL731" s="145">
        <v>1</v>
      </c>
      <c r="AM731" s="145">
        <v>0</v>
      </c>
      <c r="AN731" s="145">
        <v>0</v>
      </c>
      <c r="AO731" s="16">
        <f>IF(SUM(AL731:AN731)&gt;0, 1,0)</f>
        <v>1</v>
      </c>
      <c r="AP731" s="16">
        <f>SUM(AL731:AN731)</f>
        <v>1</v>
      </c>
      <c r="AS731" s="16">
        <f>VLOOKUP(E731,'[1]Feces weights'!$D$1:$H$459,5,FALSE)</f>
        <v>0.127</v>
      </c>
      <c r="AT731" s="16" t="e">
        <f>VLOOKUP(E731,[2]Current!$A$1:$W$435,7,FALSE)</f>
        <v>#N/A</v>
      </c>
      <c r="BG731" s="77"/>
      <c r="BT731" s="77"/>
      <c r="CD731" s="77"/>
      <c r="DG731" s="145" t="s">
        <v>116</v>
      </c>
      <c r="DT731" s="145" t="s">
        <v>123</v>
      </c>
      <c r="DU731" s="145"/>
      <c r="DX731" s="145"/>
      <c r="DY731" s="145"/>
      <c r="DZ731" s="16"/>
      <c r="EA731" s="16"/>
      <c r="EB731" s="16"/>
      <c r="EC731" s="16"/>
      <c r="ED731" s="16"/>
      <c r="EE731" s="16"/>
      <c r="EF731" s="16"/>
      <c r="JO731" s="18"/>
      <c r="JP731" s="18"/>
      <c r="JQ731" s="18"/>
      <c r="JR731" s="18"/>
      <c r="JS731" s="18"/>
      <c r="JT731" s="18"/>
      <c r="JU731" s="18"/>
      <c r="JV731" s="18"/>
      <c r="JW731" s="18"/>
      <c r="JX731" s="18"/>
      <c r="JY731" s="18"/>
      <c r="JZ731" s="18"/>
      <c r="KA731" s="18"/>
    </row>
    <row r="732" spans="1:288" ht="16" x14ac:dyDescent="0.2">
      <c r="B732" s="16">
        <v>2018</v>
      </c>
      <c r="C732" s="124">
        <v>43286</v>
      </c>
      <c r="D732" t="s">
        <v>928</v>
      </c>
      <c r="E732" s="37" t="str">
        <f>CONCATENATE(T732,"-",U732,"-",C732)</f>
        <v>SP2-H8-43286</v>
      </c>
      <c r="F732" s="16" t="s">
        <v>227</v>
      </c>
      <c r="G732" s="126" t="s">
        <v>107</v>
      </c>
      <c r="H732" s="127" t="s">
        <v>1131</v>
      </c>
      <c r="J732" s="126" t="s">
        <v>1069</v>
      </c>
      <c r="K732" s="126">
        <v>2562</v>
      </c>
      <c r="O732" s="126" t="s">
        <v>119</v>
      </c>
      <c r="P732" s="18" t="s">
        <v>119</v>
      </c>
      <c r="Q732" s="18">
        <v>0</v>
      </c>
      <c r="R732" s="18" t="str">
        <f>IF(J732=J731,C732-C731,"")</f>
        <v/>
      </c>
      <c r="T732" s="126" t="s">
        <v>137</v>
      </c>
      <c r="U732" s="126" t="s">
        <v>152</v>
      </c>
      <c r="V732" s="126" t="s">
        <v>114</v>
      </c>
      <c r="X732" s="126" t="s">
        <v>121</v>
      </c>
      <c r="Y732" s="126" t="s">
        <v>122</v>
      </c>
      <c r="Z732" s="126">
        <v>2.6</v>
      </c>
      <c r="AA732" s="126" t="s">
        <v>119</v>
      </c>
      <c r="AB732" s="126" t="s">
        <v>123</v>
      </c>
      <c r="AC732" s="126" t="s">
        <v>123</v>
      </c>
      <c r="AD732" s="126"/>
      <c r="AE732" s="126"/>
      <c r="AG732" s="16">
        <f>AH732-AI732</f>
        <v>78</v>
      </c>
      <c r="AH732" s="126">
        <v>143</v>
      </c>
      <c r="AI732" s="126">
        <v>65</v>
      </c>
      <c r="AK732" s="126">
        <v>14.5</v>
      </c>
      <c r="AL732" s="126">
        <v>0</v>
      </c>
      <c r="AM732" s="126">
        <v>0</v>
      </c>
      <c r="AN732" s="126">
        <v>0</v>
      </c>
      <c r="AO732" s="16">
        <f>IF(SUM(AL732:AN732)&gt;0,1,0)</f>
        <v>0</v>
      </c>
      <c r="AP732" s="18">
        <f>SUM(AL732:AN732)</f>
        <v>0</v>
      </c>
      <c r="AR732" s="16">
        <v>0.18100000000000005</v>
      </c>
      <c r="AS732" s="16">
        <f>VLOOKUP(E732,'[1]Feces weights'!$D$1:$H$459,5,FALSE)</f>
        <v>0.18100000000000005</v>
      </c>
      <c r="AT732" s="16" t="str">
        <f>VLOOKUP(E732,[2]Current!$A$1:$W$435,7,FALSE)</f>
        <v>TE</v>
      </c>
      <c r="AU732" s="16" t="s">
        <v>1288</v>
      </c>
      <c r="AW732" s="128">
        <f>IF(AX732&gt;0,1,0)</f>
        <v>1</v>
      </c>
      <c r="AX732" s="128">
        <f>SUM(BA732,BM732,CU732)</f>
        <v>3</v>
      </c>
      <c r="AY732" s="128">
        <f>SUM(BB732,BN732,CV732)</f>
        <v>4077.3480662983416</v>
      </c>
      <c r="AZ732" s="128">
        <f>IF(BA732&gt;0,1,0)</f>
        <v>1</v>
      </c>
      <c r="BA732" s="128">
        <f>SUM(BC732+BF732+BI732)</f>
        <v>3</v>
      </c>
      <c r="BB732" s="128">
        <f>SUM(BE732,BH732,BK732)</f>
        <v>4077.3480662983416</v>
      </c>
      <c r="BC732" s="130">
        <f>IF(BD732&gt;0,1,0)</f>
        <v>1</v>
      </c>
      <c r="BD732" s="128">
        <f>VLOOKUP($E732,[2]Current!$A:$AC,26,FALSE)</f>
        <v>108</v>
      </c>
      <c r="BE732" s="128">
        <f>BD732/$AS732</f>
        <v>596.68508287292798</v>
      </c>
      <c r="BF732" s="130">
        <f>IF(BG732&gt;0,1,0)</f>
        <v>1</v>
      </c>
      <c r="BG732" s="137">
        <f>VLOOKUP($E732,[2]Current!$A:$AC,27,FALSE)</f>
        <v>32</v>
      </c>
      <c r="BH732" s="128">
        <f>BG732/$AS732</f>
        <v>176.79558011049718</v>
      </c>
      <c r="BI732" s="130">
        <f>IF(BJ732&gt;0,1,0)</f>
        <v>1</v>
      </c>
      <c r="BJ732" s="128">
        <f>VLOOKUP($E732,[2]Current!$A:$AC,28,FALSE)</f>
        <v>598</v>
      </c>
      <c r="BK732" s="128">
        <f>BJ732/$AS732</f>
        <v>3303.8674033149164</v>
      </c>
      <c r="BL732" s="128">
        <f>IF(BM732&gt;0,1,0)</f>
        <v>0</v>
      </c>
      <c r="BM732" s="128">
        <f>SUM(BR732,BU732,BX732,CA732,CD732)</f>
        <v>0</v>
      </c>
      <c r="BN732" s="131">
        <f>SUM(BT732,BW732,BZ732,CC732,CF732)</f>
        <v>0</v>
      </c>
      <c r="BO732" s="128">
        <f>IF(BP732&gt;0,1,0)</f>
        <v>1</v>
      </c>
      <c r="BP732" s="128">
        <f>BM732+CJ732</f>
        <v>1</v>
      </c>
      <c r="BQ732" s="128">
        <f>BN732+CL732</f>
        <v>5.524861878453037</v>
      </c>
      <c r="BR732" s="130">
        <f>IF(BS732&gt;0,1,0)</f>
        <v>0</v>
      </c>
      <c r="BS732" s="128">
        <f>VLOOKUP($E732,[2]Current!$A:$AC,12,FALSE)</f>
        <v>0</v>
      </c>
      <c r="BT732" s="137">
        <f>BS732/$AS732</f>
        <v>0</v>
      </c>
      <c r="BU732" s="130">
        <f>IF(BV732&gt;0,1,0)</f>
        <v>0</v>
      </c>
      <c r="BV732" s="128">
        <f>VLOOKUP($E732,[2]Current!$A:$AC,13,FALSE)</f>
        <v>0</v>
      </c>
      <c r="BW732" s="128">
        <f>BV732/$AS732</f>
        <v>0</v>
      </c>
      <c r="BX732" s="130">
        <f>IF(BY732&gt;0,1,0)</f>
        <v>0</v>
      </c>
      <c r="BY732" s="128">
        <f>VLOOKUP($E732,[2]Current!$A:$AC,14,FALSE)</f>
        <v>0</v>
      </c>
      <c r="BZ732" s="128">
        <f>BY732/$AS732</f>
        <v>0</v>
      </c>
      <c r="CA732" s="130">
        <f>IF(CB732&gt;0,1,0)</f>
        <v>0</v>
      </c>
      <c r="CB732" s="128">
        <f>VLOOKUP($E732,[2]Current!$A:$AC,15,FALSE)</f>
        <v>0</v>
      </c>
      <c r="CC732" s="128">
        <f>CB732/$AS732</f>
        <v>0</v>
      </c>
      <c r="CD732" s="174">
        <f>IF(CE732&gt;0,1,0)</f>
        <v>0</v>
      </c>
      <c r="CE732" s="128">
        <f>VLOOKUP($E732,[2]Current!$A:$AC,16,FALSE)</f>
        <v>0</v>
      </c>
      <c r="CF732" s="128">
        <f>CE732/$AS732</f>
        <v>0</v>
      </c>
      <c r="CG732" s="18"/>
      <c r="CH732" s="18"/>
      <c r="CI732" s="18"/>
      <c r="CJ732" s="130">
        <f>IF(CK732&gt;0,1,0)</f>
        <v>1</v>
      </c>
      <c r="CK732" s="128">
        <f>VLOOKUP($E732,[2]Current!$A:$AC,18,FALSE)</f>
        <v>1</v>
      </c>
      <c r="CL732" s="128">
        <f>CK732/$AS732</f>
        <v>5.524861878453037</v>
      </c>
      <c r="CS732" s="130">
        <f>IF(CU732&gt;0,1,0)</f>
        <v>0</v>
      </c>
      <c r="CU732" s="128">
        <f>VLOOKUP($E732,[2]Current!$A:$AC,17,FALSE)</f>
        <v>0</v>
      </c>
      <c r="CV732" s="128">
        <f>CU732/$AS732</f>
        <v>0</v>
      </c>
      <c r="CW732" s="18"/>
      <c r="CX732" s="18"/>
      <c r="CY732" s="18"/>
      <c r="DF732" s="16" t="e">
        <f>VLOOKUP(K732,'[3]RNA Seq summary tables'!$V$3:$V$99,1,FALSE)</f>
        <v>#N/A</v>
      </c>
      <c r="DG732" s="126" t="s">
        <v>123</v>
      </c>
    </row>
    <row r="733" spans="1:288" ht="16" x14ac:dyDescent="0.2">
      <c r="B733" s="16">
        <v>2018</v>
      </c>
      <c r="C733" s="124">
        <v>43278</v>
      </c>
      <c r="D733" t="s">
        <v>880</v>
      </c>
      <c r="E733" s="37" t="str">
        <f>CONCATENATE(T733,"-",U733,"-",C733)</f>
        <v>HW2-G8-43278</v>
      </c>
      <c r="F733" s="16" t="s">
        <v>227</v>
      </c>
      <c r="G733" s="126" t="s">
        <v>107</v>
      </c>
      <c r="H733" s="126" t="s">
        <v>1121</v>
      </c>
      <c r="J733" s="126" t="s">
        <v>1072</v>
      </c>
      <c r="K733" s="126">
        <v>2508</v>
      </c>
      <c r="O733" s="126" t="s">
        <v>119</v>
      </c>
      <c r="P733" s="18" t="s">
        <v>119</v>
      </c>
      <c r="Q733" s="18">
        <v>0</v>
      </c>
      <c r="R733" s="18" t="str">
        <f>IF(J733=J732,C733-C732,"")</f>
        <v/>
      </c>
      <c r="T733" s="126" t="s">
        <v>129</v>
      </c>
      <c r="U733" s="126" t="s">
        <v>216</v>
      </c>
      <c r="V733" s="126" t="s">
        <v>114</v>
      </c>
      <c r="X733" s="126" t="s">
        <v>115</v>
      </c>
      <c r="Y733" s="126" t="s">
        <v>110</v>
      </c>
      <c r="Z733" s="126">
        <v>3</v>
      </c>
      <c r="AA733" s="126"/>
      <c r="AB733" s="126"/>
      <c r="AC733" s="126"/>
      <c r="AD733" s="126"/>
      <c r="AE733" s="126" t="s">
        <v>116</v>
      </c>
      <c r="AG733" s="16">
        <f>AH733-AI733</f>
        <v>89</v>
      </c>
      <c r="AH733" s="126">
        <v>165</v>
      </c>
      <c r="AI733" s="126">
        <v>76</v>
      </c>
      <c r="AK733" s="126">
        <v>25</v>
      </c>
      <c r="AL733" s="126">
        <v>0</v>
      </c>
      <c r="AM733" s="126">
        <v>0</v>
      </c>
      <c r="AN733" s="126">
        <v>0</v>
      </c>
      <c r="AO733" s="16">
        <f>IF(SUM(AL733:AN733)&gt;0,1,0)</f>
        <v>0</v>
      </c>
      <c r="AP733" s="18">
        <f>SUM(AL733:AN733)</f>
        <v>0</v>
      </c>
      <c r="AR733" s="16">
        <v>0.17100000000000004</v>
      </c>
      <c r="AS733" s="16">
        <f>VLOOKUP(E733,'[1]Feces weights'!$D$1:$H$459,5,FALSE)</f>
        <v>0.17100000000000004</v>
      </c>
      <c r="AT733" s="16" t="str">
        <f>VLOOKUP(E733,[2]Current!$A$1:$W$435,7,FALSE)</f>
        <v>IS</v>
      </c>
      <c r="AU733" s="16" t="s">
        <v>1288</v>
      </c>
      <c r="AW733" s="128">
        <f>IF(AX733&gt;0,1,0)</f>
        <v>1</v>
      </c>
      <c r="AX733" s="128">
        <f>SUM(BA733,BM733,CU733)</f>
        <v>4</v>
      </c>
      <c r="AY733" s="128">
        <f>SUM(BB733,BN733,CV733)</f>
        <v>152.04678362573094</v>
      </c>
      <c r="AZ733" s="128">
        <f>IF(BA733&gt;0,1,0)</f>
        <v>1</v>
      </c>
      <c r="BA733" s="128">
        <f>SUM(BC733+BF733+BI733)</f>
        <v>3</v>
      </c>
      <c r="BB733" s="128">
        <f>SUM(BE733,BH733,BK733)</f>
        <v>140.35087719298241</v>
      </c>
      <c r="BC733" s="130">
        <f>IF(BD733&gt;0,1,0)</f>
        <v>1</v>
      </c>
      <c r="BD733" s="128">
        <f>VLOOKUP($E733,[2]Current!$A:$AC,26,FALSE)</f>
        <v>6</v>
      </c>
      <c r="BE733" s="128">
        <f>BD733/$AS733</f>
        <v>35.087719298245602</v>
      </c>
      <c r="BF733" s="130">
        <f>IF(BG733&gt;0,1,0)</f>
        <v>1</v>
      </c>
      <c r="BG733" s="137">
        <f>VLOOKUP($E733,[2]Current!$A:$AC,27,FALSE)</f>
        <v>14</v>
      </c>
      <c r="BH733" s="128">
        <f>BG733/$AS733</f>
        <v>81.871345029239748</v>
      </c>
      <c r="BI733" s="130">
        <f>IF(BJ733&gt;0,1,0)</f>
        <v>1</v>
      </c>
      <c r="BJ733" s="128">
        <f>VLOOKUP($E733,[2]Current!$A:$AC,28,FALSE)</f>
        <v>4</v>
      </c>
      <c r="BK733" s="128">
        <f>BJ733/$AS733</f>
        <v>23.391812865497069</v>
      </c>
      <c r="BL733" s="128">
        <f>IF(BM733&gt;0,1,0)</f>
        <v>1</v>
      </c>
      <c r="BM733" s="128">
        <f>SUM(BR733,BU733,BX733,CA733,CD733)</f>
        <v>1</v>
      </c>
      <c r="BN733" s="131">
        <f>SUM(BT733,BW733,BZ733,CC733,CF733)</f>
        <v>11.695906432748535</v>
      </c>
      <c r="BO733" s="128">
        <f>IF(BP733&gt;0,1,0)</f>
        <v>1</v>
      </c>
      <c r="BP733" s="128">
        <f>BM733+CJ733</f>
        <v>2</v>
      </c>
      <c r="BQ733" s="128">
        <f>BN733+CL733</f>
        <v>17.543859649122801</v>
      </c>
      <c r="BR733" s="130">
        <f>IF(BS733&gt;0,1,0)</f>
        <v>0</v>
      </c>
      <c r="BS733" s="128">
        <f>VLOOKUP($E733,[2]Current!$A:$AC,12,FALSE)</f>
        <v>0</v>
      </c>
      <c r="BT733" s="137">
        <f>BS733/$AS733</f>
        <v>0</v>
      </c>
      <c r="BU733" s="130">
        <f>IF(BV733&gt;0,1,0)</f>
        <v>0</v>
      </c>
      <c r="BV733" s="128">
        <f>VLOOKUP($E733,[2]Current!$A:$AC,13,FALSE)</f>
        <v>0</v>
      </c>
      <c r="BW733" s="128">
        <f>BV733/$AS733</f>
        <v>0</v>
      </c>
      <c r="BX733" s="130">
        <f>IF(BY733&gt;0,1,0)</f>
        <v>1</v>
      </c>
      <c r="BY733" s="128">
        <f>VLOOKUP($E733,[2]Current!$A:$AC,14,FALSE)</f>
        <v>2</v>
      </c>
      <c r="BZ733" s="128">
        <f>BY733/$AS733</f>
        <v>11.695906432748535</v>
      </c>
      <c r="CA733" s="130">
        <f>IF(CB733&gt;0,1,0)</f>
        <v>0</v>
      </c>
      <c r="CB733" s="128">
        <f>VLOOKUP($E733,[2]Current!$A:$AC,15,FALSE)</f>
        <v>0</v>
      </c>
      <c r="CC733" s="128">
        <f>CB733/$AS733</f>
        <v>0</v>
      </c>
      <c r="CD733" s="174">
        <f>IF(CE733&gt;0,1,0)</f>
        <v>0</v>
      </c>
      <c r="CE733" s="128">
        <f>VLOOKUP($E733,[2]Current!$A:$AC,16,FALSE)</f>
        <v>0</v>
      </c>
      <c r="CF733" s="128">
        <f>CE733/$AS733</f>
        <v>0</v>
      </c>
      <c r="CG733" s="18"/>
      <c r="CH733" s="18"/>
      <c r="CI733" s="18"/>
      <c r="CJ733" s="130">
        <f>IF(CK733&gt;0,1,0)</f>
        <v>1</v>
      </c>
      <c r="CK733" s="128">
        <f>VLOOKUP($E733,[2]Current!$A:$AC,18,FALSE)</f>
        <v>1</v>
      </c>
      <c r="CL733" s="128">
        <f>CK733/$AS733</f>
        <v>5.8479532163742673</v>
      </c>
      <c r="CS733" s="130">
        <f>IF(CU733&gt;0,1,0)</f>
        <v>0</v>
      </c>
      <c r="CU733" s="128">
        <f>VLOOKUP($E733,[2]Current!$A:$AC,17,FALSE)</f>
        <v>0</v>
      </c>
      <c r="CV733" s="128">
        <f>CU733/$AS733</f>
        <v>0</v>
      </c>
      <c r="CW733" s="18"/>
      <c r="CX733" s="18"/>
      <c r="CY733" s="18"/>
      <c r="DF733" s="16" t="e">
        <f>VLOOKUP(K733,'[3]RNA Seq summary tables'!$V$3:$V$99,1,FALSE)</f>
        <v>#N/A</v>
      </c>
      <c r="DG733" s="126" t="s">
        <v>116</v>
      </c>
    </row>
    <row r="734" spans="1:288" x14ac:dyDescent="0.2">
      <c r="B734" s="16">
        <v>2016</v>
      </c>
      <c r="C734" s="20">
        <v>42528</v>
      </c>
      <c r="D734" s="20" t="str">
        <f>CONCATENATE(J734,"-",C734)</f>
        <v>937-B-42528</v>
      </c>
      <c r="E734" s="20" t="str">
        <f>CONCATENATE(T734,"-",U734,"-",C734)</f>
        <v>BC1-H6-42528</v>
      </c>
      <c r="F734" s="20" t="s">
        <v>106</v>
      </c>
      <c r="G734" s="20" t="s">
        <v>107</v>
      </c>
      <c r="I734" s="16">
        <v>0</v>
      </c>
      <c r="J734" s="21" t="s">
        <v>163</v>
      </c>
      <c r="K734" s="21">
        <v>1410</v>
      </c>
      <c r="L734" s="16">
        <v>0</v>
      </c>
      <c r="M734" s="15">
        <f>VLOOKUP(K734,'[7]MLBS 2016 SNV-nem Coinfection d'!$C$1:$G$238,4,FALSE)</f>
        <v>0</v>
      </c>
      <c r="N734" s="15">
        <v>0</v>
      </c>
      <c r="O734" s="15" t="s">
        <v>119</v>
      </c>
      <c r="P734" s="16" t="s">
        <v>119</v>
      </c>
      <c r="Q734" s="16">
        <v>0</v>
      </c>
      <c r="R734" s="16" t="s">
        <v>111</v>
      </c>
      <c r="T734" s="16" t="s">
        <v>159</v>
      </c>
      <c r="U734" s="16" t="s">
        <v>141</v>
      </c>
      <c r="V734" s="16" t="s">
        <v>114</v>
      </c>
      <c r="W734" s="16">
        <f>AI734/AG734</f>
        <v>0.87341772151898733</v>
      </c>
      <c r="X734" s="16" t="s">
        <v>115</v>
      </c>
      <c r="Y734" s="16" t="s">
        <v>122</v>
      </c>
      <c r="Z734" s="16">
        <v>2.6</v>
      </c>
      <c r="AE734" s="16" t="s">
        <v>123</v>
      </c>
      <c r="AF734" s="16" t="s">
        <v>123</v>
      </c>
      <c r="AG734" s="16">
        <f>148-69</f>
        <v>79</v>
      </c>
      <c r="AH734" s="16">
        <v>148</v>
      </c>
      <c r="AI734" s="16">
        <v>69</v>
      </c>
      <c r="AK734" s="16">
        <v>14</v>
      </c>
      <c r="AL734" s="16">
        <v>1</v>
      </c>
      <c r="AM734" s="16">
        <v>1</v>
      </c>
      <c r="AN734" s="16">
        <v>0</v>
      </c>
      <c r="AO734" s="16">
        <f>IF(SUM(AL734:AN734)&gt;0,1,0)</f>
        <v>1</v>
      </c>
      <c r="AP734" s="16">
        <f>SUM(AL734:AN734)</f>
        <v>2</v>
      </c>
      <c r="AR734" s="16">
        <v>0.29099999999999998</v>
      </c>
      <c r="AS734" s="16">
        <v>0.29099999999999998</v>
      </c>
      <c r="AT734" s="16" t="s">
        <v>164</v>
      </c>
      <c r="AW734" s="22">
        <v>1</v>
      </c>
      <c r="AY734" s="16">
        <f>5/0.291</f>
        <v>17.182130584192439</v>
      </c>
      <c r="AZ734" s="18">
        <v>1</v>
      </c>
      <c r="BB734" s="16">
        <f>5/0.291</f>
        <v>17.182130584192439</v>
      </c>
      <c r="BC734" s="18">
        <v>0</v>
      </c>
      <c r="BD734" s="16">
        <v>0</v>
      </c>
      <c r="BE734" s="16">
        <v>0</v>
      </c>
      <c r="BF734" s="18">
        <v>1</v>
      </c>
      <c r="BG734" s="77">
        <v>5</v>
      </c>
      <c r="BH734" s="16">
        <f>5/0.291</f>
        <v>17.182130584192439</v>
      </c>
      <c r="BI734" s="18">
        <v>0</v>
      </c>
      <c r="BJ734" s="16">
        <v>0</v>
      </c>
      <c r="BK734" s="16">
        <v>0</v>
      </c>
      <c r="BL734" s="16">
        <f>IF(BM734&gt;0,1,0)</f>
        <v>0</v>
      </c>
      <c r="BM734" s="16">
        <f>SUM(BR734,BU734,BX734,CA734,CD734,CG734,CJ734,CM734,CP734)</f>
        <v>0</v>
      </c>
      <c r="BN734" s="16">
        <f>SUM(BW734,BZ734,CC734,CF734,CI734,CL734,CO734,CR734,BT734)</f>
        <v>0</v>
      </c>
      <c r="BO734" s="16">
        <f>IF(BP734&gt;0,1,0)</f>
        <v>0</v>
      </c>
      <c r="BP734" s="16">
        <f>SUM(BU734,BX734,CA734,CD734,BR734)</f>
        <v>0</v>
      </c>
      <c r="BQ734" s="16">
        <f>SUM(BZ734,CC734,CF734,BT734,BW734)</f>
        <v>0</v>
      </c>
      <c r="BR734" s="18">
        <v>0</v>
      </c>
      <c r="BS734" s="16">
        <v>0</v>
      </c>
      <c r="BT734" s="77">
        <f>BS734/AS734</f>
        <v>0</v>
      </c>
      <c r="BU734" s="18">
        <v>0</v>
      </c>
      <c r="BV734" s="16">
        <v>0</v>
      </c>
      <c r="BW734" s="18">
        <f>BV734/AS734</f>
        <v>0</v>
      </c>
      <c r="BX734" s="18">
        <v>0</v>
      </c>
      <c r="BY734" s="16">
        <v>0</v>
      </c>
      <c r="BZ734" s="16">
        <f>BY734/AS734</f>
        <v>0</v>
      </c>
      <c r="CA734" s="24">
        <v>0</v>
      </c>
      <c r="CB734" s="16">
        <v>0</v>
      </c>
      <c r="CC734" s="16">
        <v>0</v>
      </c>
      <c r="CD734" s="78">
        <v>0</v>
      </c>
      <c r="CE734" s="16">
        <v>0</v>
      </c>
      <c r="CF734" s="16">
        <v>0</v>
      </c>
      <c r="CP734" s="16" t="s">
        <v>123</v>
      </c>
      <c r="CQ734" s="16">
        <v>0</v>
      </c>
      <c r="CR734" s="16">
        <v>0</v>
      </c>
      <c r="CS734" s="18">
        <f>IF(CT734&gt;0,1,0)</f>
        <v>0</v>
      </c>
      <c r="CT734" s="25">
        <f>SUM(CW734,CZ734,DC734)</f>
        <v>0</v>
      </c>
      <c r="CU734" s="25"/>
      <c r="CV734" s="16">
        <v>0</v>
      </c>
      <c r="CW734" s="25">
        <v>0</v>
      </c>
      <c r="CX734" s="16">
        <v>0</v>
      </c>
      <c r="CY734" s="16">
        <v>0</v>
      </c>
      <c r="CZ734" s="18">
        <v>0</v>
      </c>
      <c r="DA734" s="16">
        <v>0</v>
      </c>
      <c r="DB734" s="16">
        <v>0</v>
      </c>
      <c r="DC734" s="18">
        <v>0</v>
      </c>
      <c r="DD734" s="16">
        <v>0</v>
      </c>
      <c r="DE734" s="16">
        <v>0</v>
      </c>
      <c r="DF734" s="16" t="e">
        <f>VLOOKUP(K734,'[3]RNA Seq summary tables'!$V$3:$V$99,1,FALSE)</f>
        <v>#N/A</v>
      </c>
      <c r="JO734" s="26"/>
    </row>
    <row r="735" spans="1:288" x14ac:dyDescent="0.2">
      <c r="A735" s="12"/>
      <c r="B735" s="12">
        <v>2016</v>
      </c>
      <c r="C735" s="13">
        <v>42530</v>
      </c>
      <c r="D735" s="13" t="str">
        <f>CONCATENATE(J735,"-",C735)</f>
        <v>937-P-42530</v>
      </c>
      <c r="E735" s="20" t="str">
        <f>CONCATENATE(T735,"-",U735,"-",C735)</f>
        <v>PO1-B2-42530</v>
      </c>
      <c r="F735" s="31" t="s">
        <v>106</v>
      </c>
      <c r="G735" s="13" t="s">
        <v>107</v>
      </c>
      <c r="H735" s="12" t="s">
        <v>175</v>
      </c>
      <c r="I735" s="12">
        <v>1</v>
      </c>
      <c r="J735" s="14" t="s">
        <v>109</v>
      </c>
      <c r="K735" s="14">
        <v>1350</v>
      </c>
      <c r="L735" s="12">
        <v>0</v>
      </c>
      <c r="M735" s="35">
        <f>VLOOKUP(K735,'[7]MLBS 2016 SNV-nem Coinfection d'!$C$1:$G$238,4,FALSE)</f>
        <v>0</v>
      </c>
      <c r="N735" s="35">
        <v>0</v>
      </c>
      <c r="O735" s="35" t="s">
        <v>119</v>
      </c>
      <c r="P735" s="12" t="s">
        <v>119</v>
      </c>
      <c r="Q735" s="30">
        <v>0</v>
      </c>
      <c r="R735" s="12" t="s">
        <v>111</v>
      </c>
      <c r="S735" s="12"/>
      <c r="T735" s="12" t="s">
        <v>112</v>
      </c>
      <c r="U735" s="12" t="s">
        <v>130</v>
      </c>
      <c r="V735" s="12" t="s">
        <v>114</v>
      </c>
      <c r="W735" s="30">
        <f>AI735/AG735</f>
        <v>0.8441558441558441</v>
      </c>
      <c r="X735" s="12" t="s">
        <v>121</v>
      </c>
      <c r="Y735" s="12" t="s">
        <v>122</v>
      </c>
      <c r="Z735" s="12">
        <v>2.2999999999999998</v>
      </c>
      <c r="AA735" s="12" t="s">
        <v>119</v>
      </c>
      <c r="AB735" s="12" t="s">
        <v>123</v>
      </c>
      <c r="AC735" s="12" t="s">
        <v>123</v>
      </c>
      <c r="AD735" s="12" t="s">
        <v>123</v>
      </c>
      <c r="AE735" s="12"/>
      <c r="AF735" s="12"/>
      <c r="AG735" s="30">
        <f>AH735-AI735</f>
        <v>77</v>
      </c>
      <c r="AH735" s="12">
        <v>142</v>
      </c>
      <c r="AI735" s="12">
        <v>65</v>
      </c>
      <c r="AJ735" s="12"/>
      <c r="AK735" s="12">
        <v>17</v>
      </c>
      <c r="AL735" s="12">
        <v>0</v>
      </c>
      <c r="AM735" s="12">
        <v>0</v>
      </c>
      <c r="AN735" s="12">
        <v>0</v>
      </c>
      <c r="AO735" s="12">
        <f>IF(SUM(AL735:AN735)&gt;0,1,0)</f>
        <v>0</v>
      </c>
      <c r="AP735" s="12">
        <f>SUM(AL735:AN735)</f>
        <v>0</v>
      </c>
      <c r="AQ735" s="12">
        <f>1.477+AS735</f>
        <v>1.653</v>
      </c>
      <c r="AR735" s="12">
        <v>0.17599999999999999</v>
      </c>
      <c r="AS735" s="12">
        <v>0.17599999999999999</v>
      </c>
      <c r="AT735" s="12" t="s">
        <v>124</v>
      </c>
      <c r="AU735" s="12"/>
      <c r="AV735" s="12"/>
      <c r="AW735" s="12">
        <v>1</v>
      </c>
      <c r="AX735" s="12"/>
      <c r="AY735" s="12">
        <f>(137+22)/AS735</f>
        <v>903.40909090909099</v>
      </c>
      <c r="AZ735" s="12">
        <v>0</v>
      </c>
      <c r="BA735" s="12"/>
      <c r="BB735" s="12">
        <v>0</v>
      </c>
      <c r="BC735" s="12">
        <v>0</v>
      </c>
      <c r="BD735" s="12">
        <v>0</v>
      </c>
      <c r="BE735" s="12">
        <v>0</v>
      </c>
      <c r="BF735" s="12">
        <v>0</v>
      </c>
      <c r="BG735" s="168">
        <v>0</v>
      </c>
      <c r="BH735" s="12">
        <v>0</v>
      </c>
      <c r="BI735" s="12">
        <v>0</v>
      </c>
      <c r="BJ735" s="12">
        <v>0</v>
      </c>
      <c r="BK735" s="12">
        <v>0</v>
      </c>
      <c r="BL735" s="12">
        <f>IF(BM735&gt;0,1,0)</f>
        <v>0</v>
      </c>
      <c r="BM735" s="12">
        <f>SUM(BR735,BU735,BX735,CA735,CD735,CG735,CJ735,CM735,CP735)</f>
        <v>0</v>
      </c>
      <c r="BN735" s="12">
        <f>SUM(BW735,BZ735,CC735,CF735,CI735,CL735,CO735,CR735,BT735)</f>
        <v>0</v>
      </c>
      <c r="BO735" s="12">
        <f>IF(BP735&gt;0,1,0)</f>
        <v>0</v>
      </c>
      <c r="BP735" s="12">
        <f>SUM(BU735,BX735,CA735,CD735,BR735)</f>
        <v>0</v>
      </c>
      <c r="BQ735" s="12">
        <f>SUM(BZ735,CC735,CF735,BT735,BW735)</f>
        <v>0</v>
      </c>
      <c r="BR735" s="12">
        <v>0</v>
      </c>
      <c r="BS735" s="12">
        <v>0</v>
      </c>
      <c r="BT735" s="168">
        <f>BS735/AS735</f>
        <v>0</v>
      </c>
      <c r="BU735" s="12">
        <v>0</v>
      </c>
      <c r="BV735" s="12">
        <v>0</v>
      </c>
      <c r="BW735" s="12">
        <f>BV735/AS735</f>
        <v>0</v>
      </c>
      <c r="BX735" s="12">
        <v>0</v>
      </c>
      <c r="BY735" s="12">
        <v>0</v>
      </c>
      <c r="BZ735" s="12">
        <f>BY735/AS735</f>
        <v>0</v>
      </c>
      <c r="CA735" s="12">
        <v>0</v>
      </c>
      <c r="CB735" s="12">
        <v>0</v>
      </c>
      <c r="CC735" s="12">
        <v>0</v>
      </c>
      <c r="CD735" s="168">
        <v>0</v>
      </c>
      <c r="CE735" s="12">
        <v>0</v>
      </c>
      <c r="CF735" s="12">
        <v>0</v>
      </c>
      <c r="CG735" s="12"/>
      <c r="CH735" s="12"/>
      <c r="CI735" s="12"/>
      <c r="CJ735" s="12"/>
      <c r="CK735" s="12"/>
      <c r="CL735" s="12"/>
      <c r="CM735" s="12"/>
      <c r="CN735" s="12"/>
      <c r="CO735" s="12"/>
      <c r="CP735" s="12" t="s">
        <v>123</v>
      </c>
      <c r="CQ735" s="12">
        <v>0</v>
      </c>
      <c r="CR735" s="12">
        <v>0</v>
      </c>
      <c r="CS735" s="12">
        <f>IF(CT735&gt;0,1,0)</f>
        <v>1</v>
      </c>
      <c r="CT735" s="17">
        <f>SUM(CW735,CZ735,DC735)</f>
        <v>2</v>
      </c>
      <c r="CU735" s="17"/>
      <c r="CV735" s="12">
        <f>(137+22)/AS735</f>
        <v>903.40909090909099</v>
      </c>
      <c r="CW735" s="12">
        <v>1</v>
      </c>
      <c r="CX735" s="12">
        <v>137</v>
      </c>
      <c r="CY735" s="12">
        <f>137/AS735</f>
        <v>778.40909090909099</v>
      </c>
      <c r="CZ735" s="12">
        <v>1</v>
      </c>
      <c r="DA735" s="12">
        <v>22</v>
      </c>
      <c r="DB735" s="12">
        <f>22/AS735</f>
        <v>125.00000000000001</v>
      </c>
      <c r="DC735" s="12">
        <v>0</v>
      </c>
      <c r="DD735" s="12">
        <v>0</v>
      </c>
      <c r="DE735" s="12">
        <v>0</v>
      </c>
      <c r="DF735" s="16" t="e">
        <f>VLOOKUP(K735,'[3]RNA Seq summary tables'!$V$3:$V$99,1,FALSE)</f>
        <v>#N/A</v>
      </c>
      <c r="DI735" s="12"/>
      <c r="DJ735" s="12"/>
      <c r="DK735" s="12"/>
      <c r="DL735" s="12"/>
      <c r="DM735" s="12"/>
      <c r="DN735" s="12"/>
      <c r="DO735" s="12"/>
      <c r="DP735" s="12"/>
      <c r="DQ735" s="12"/>
      <c r="DR735" s="12"/>
      <c r="DS735" s="12"/>
    </row>
    <row r="736" spans="1:288" x14ac:dyDescent="0.2">
      <c r="B736" s="16">
        <v>2016</v>
      </c>
      <c r="C736" s="20">
        <v>42529</v>
      </c>
      <c r="D736" s="20" t="str">
        <f>CONCATENATE(J736,"-",C736)</f>
        <v>938-B-42529</v>
      </c>
      <c r="E736" s="20" t="str">
        <f>CONCATENATE(T736,"-",U736,"-",C736)</f>
        <v>BC1-A5-42529</v>
      </c>
      <c r="F736" s="20" t="s">
        <v>106</v>
      </c>
      <c r="G736" s="20" t="s">
        <v>107</v>
      </c>
      <c r="H736" s="40" t="s">
        <v>165</v>
      </c>
      <c r="I736" s="16">
        <v>0</v>
      </c>
      <c r="J736" s="21" t="s">
        <v>166</v>
      </c>
      <c r="K736" s="21">
        <v>1349</v>
      </c>
      <c r="L736" s="16">
        <v>0</v>
      </c>
      <c r="M736" s="15">
        <f>VLOOKUP(K736,'[7]MLBS 2016 SNV-nem Coinfection d'!$C$1:$G$238,4,FALSE)</f>
        <v>0</v>
      </c>
      <c r="N736" s="15">
        <v>0</v>
      </c>
      <c r="O736" s="15" t="s">
        <v>119</v>
      </c>
      <c r="P736" s="16" t="s">
        <v>119</v>
      </c>
      <c r="Q736" s="16">
        <v>0</v>
      </c>
      <c r="R736" s="16" t="s">
        <v>111</v>
      </c>
      <c r="T736" s="16" t="s">
        <v>159</v>
      </c>
      <c r="U736" s="16" t="s">
        <v>167</v>
      </c>
      <c r="V736" s="16" t="s">
        <v>142</v>
      </c>
      <c r="W736" s="16">
        <f>AI736/AG736</f>
        <v>0.54545454545454541</v>
      </c>
      <c r="X736" s="16" t="s">
        <v>115</v>
      </c>
      <c r="Y736" s="16" t="s">
        <v>110</v>
      </c>
      <c r="Z736" s="16">
        <v>3</v>
      </c>
      <c r="AE736" s="16" t="s">
        <v>123</v>
      </c>
      <c r="AF736" s="16" t="s">
        <v>123</v>
      </c>
      <c r="AG736" s="16">
        <f>AH736-AI736</f>
        <v>77</v>
      </c>
      <c r="AH736" s="16">
        <v>119</v>
      </c>
      <c r="AI736" s="18">
        <v>42</v>
      </c>
      <c r="AJ736" s="40" t="s">
        <v>320</v>
      </c>
      <c r="AK736" s="16">
        <v>14</v>
      </c>
      <c r="AL736" s="16">
        <v>1</v>
      </c>
      <c r="AM736" s="16">
        <v>0</v>
      </c>
      <c r="AN736" s="16">
        <v>0</v>
      </c>
      <c r="AO736" s="16">
        <f>IF(SUM(AL736:AN736)&gt;0,1,0)</f>
        <v>1</v>
      </c>
      <c r="AP736" s="16">
        <f>SUM(AL736:AN736)</f>
        <v>1</v>
      </c>
      <c r="AQ736" s="16">
        <f>AS736+1.477</f>
        <v>1.806</v>
      </c>
      <c r="AR736" s="16">
        <v>0.32900000000000001</v>
      </c>
      <c r="AS736" s="16">
        <v>0.32900000000000001</v>
      </c>
      <c r="AT736" s="16" t="s">
        <v>124</v>
      </c>
      <c r="AW736" s="22">
        <v>1</v>
      </c>
      <c r="AY736" s="16">
        <f>1/AS736</f>
        <v>3.0395136778115499</v>
      </c>
      <c r="AZ736" s="18">
        <v>1</v>
      </c>
      <c r="BB736" s="16">
        <f>1/AS736</f>
        <v>3.0395136778115499</v>
      </c>
      <c r="BC736" s="18">
        <v>0</v>
      </c>
      <c r="BD736" s="16">
        <v>0</v>
      </c>
      <c r="BE736" s="16">
        <v>0</v>
      </c>
      <c r="BF736" s="18">
        <v>0</v>
      </c>
      <c r="BG736" s="77">
        <v>0</v>
      </c>
      <c r="BH736" s="16">
        <v>0</v>
      </c>
      <c r="BI736" s="16">
        <v>1</v>
      </c>
      <c r="BJ736" s="16">
        <v>1</v>
      </c>
      <c r="BK736" s="16">
        <f>1/AS736</f>
        <v>3.0395136778115499</v>
      </c>
      <c r="BL736" s="16">
        <f>IF(BM736&gt;0,1,0)</f>
        <v>0</v>
      </c>
      <c r="BM736" s="16">
        <f>SUM(BR736,BU736,BX736,CA736,CD736,CG736,CJ736,CM736,CP736)</f>
        <v>0</v>
      </c>
      <c r="BN736" s="16">
        <f>SUM(BW736,BZ736,CC736,CF736,CI736,CL736,CO736,CR736,BT736)</f>
        <v>0</v>
      </c>
      <c r="BO736" s="16">
        <f>IF(BP736&gt;0,1,0)</f>
        <v>0</v>
      </c>
      <c r="BP736" s="16">
        <f>SUM(BU736,BX736,CA736,CD736,BR736)</f>
        <v>0</v>
      </c>
      <c r="BQ736" s="16">
        <f>SUM(BZ736,CC736,CF736,BT736,BW736)</f>
        <v>0</v>
      </c>
      <c r="BR736" s="18">
        <v>0</v>
      </c>
      <c r="BS736" s="16">
        <v>0</v>
      </c>
      <c r="BT736" s="77">
        <f>BS736/AS736</f>
        <v>0</v>
      </c>
      <c r="BU736" s="18">
        <v>0</v>
      </c>
      <c r="BV736" s="16">
        <v>0</v>
      </c>
      <c r="BW736" s="18">
        <f>BV736/AS736</f>
        <v>0</v>
      </c>
      <c r="BX736" s="18">
        <v>0</v>
      </c>
      <c r="BY736" s="16">
        <v>0</v>
      </c>
      <c r="BZ736" s="16">
        <f>BY736/AS736</f>
        <v>0</v>
      </c>
      <c r="CA736" s="24">
        <v>0</v>
      </c>
      <c r="CB736" s="16">
        <v>0</v>
      </c>
      <c r="CC736" s="16">
        <v>0</v>
      </c>
      <c r="CD736" s="78">
        <v>0</v>
      </c>
      <c r="CE736" s="16">
        <v>0</v>
      </c>
      <c r="CF736" s="16">
        <v>0</v>
      </c>
      <c r="CP736" s="16" t="s">
        <v>123</v>
      </c>
      <c r="CQ736" s="16">
        <v>0</v>
      </c>
      <c r="CR736" s="16">
        <v>0</v>
      </c>
      <c r="CS736" s="18">
        <f>IF(CT736&gt;0,1,0)</f>
        <v>0</v>
      </c>
      <c r="CT736" s="25">
        <f>SUM(CW736,CZ736,DC736)</f>
        <v>0</v>
      </c>
      <c r="CU736" s="25"/>
      <c r="CV736" s="16">
        <v>0</v>
      </c>
      <c r="CW736" s="25">
        <v>0</v>
      </c>
      <c r="CX736" s="16">
        <v>0</v>
      </c>
      <c r="CY736" s="16">
        <v>0</v>
      </c>
      <c r="CZ736" s="18">
        <v>0</v>
      </c>
      <c r="DA736" s="16">
        <v>0</v>
      </c>
      <c r="DB736" s="16">
        <v>0</v>
      </c>
      <c r="DC736" s="18">
        <v>0</v>
      </c>
      <c r="DD736" s="16">
        <v>0</v>
      </c>
      <c r="DE736" s="16">
        <v>0</v>
      </c>
      <c r="DF736" s="16" t="e">
        <f>VLOOKUP(K736,'[3]RNA Seq summary tables'!$V$3:$V$99,1,FALSE)</f>
        <v>#N/A</v>
      </c>
      <c r="JO736" s="26"/>
    </row>
    <row r="737" spans="1:288" x14ac:dyDescent="0.2">
      <c r="B737" s="16">
        <v>2016</v>
      </c>
      <c r="C737" s="20">
        <v>42542</v>
      </c>
      <c r="D737" s="20" t="str">
        <f>CONCATENATE(J737,"-",C737)</f>
        <v>938-B-42542</v>
      </c>
      <c r="E737" s="20" t="str">
        <f>CONCATENATE(T737,"-",U737,"-",C737)</f>
        <v>BC1-A6-42542</v>
      </c>
      <c r="F737" s="20" t="s">
        <v>106</v>
      </c>
      <c r="G737" s="20" t="s">
        <v>107</v>
      </c>
      <c r="H737" s="40" t="s">
        <v>165</v>
      </c>
      <c r="I737" s="16">
        <v>0</v>
      </c>
      <c r="J737" s="21" t="s">
        <v>166</v>
      </c>
      <c r="K737" s="21">
        <v>1401</v>
      </c>
      <c r="L737" s="18">
        <v>0</v>
      </c>
      <c r="M737" s="15">
        <f>VLOOKUP(K737,'[7]MLBS 2016 SNV-nem Coinfection d'!$C$1:$G$238,4,FALSE)</f>
        <v>0</v>
      </c>
      <c r="N737" s="15">
        <v>0</v>
      </c>
      <c r="O737" s="15" t="s">
        <v>119</v>
      </c>
      <c r="P737" s="16" t="s">
        <v>119</v>
      </c>
      <c r="Q737" s="16">
        <v>0</v>
      </c>
      <c r="R737" s="16">
        <v>13</v>
      </c>
      <c r="T737" s="16" t="s">
        <v>159</v>
      </c>
      <c r="U737" s="16" t="s">
        <v>147</v>
      </c>
      <c r="V737" s="16" t="s">
        <v>142</v>
      </c>
      <c r="W737" s="16">
        <f>AI737/AG737</f>
        <v>0.48809523809523808</v>
      </c>
      <c r="X737" s="16" t="s">
        <v>115</v>
      </c>
      <c r="Y737" s="16" t="s">
        <v>110</v>
      </c>
      <c r="Z737" s="16">
        <v>3</v>
      </c>
      <c r="AE737" s="16" t="s">
        <v>123</v>
      </c>
      <c r="AF737" s="16" t="s">
        <v>123</v>
      </c>
      <c r="AG737" s="16">
        <f>AH737-AI737</f>
        <v>84</v>
      </c>
      <c r="AH737" s="18">
        <v>125</v>
      </c>
      <c r="AI737" s="18">
        <v>41</v>
      </c>
      <c r="AJ737" s="40" t="s">
        <v>320</v>
      </c>
      <c r="AK737" s="16">
        <v>16.5</v>
      </c>
      <c r="AL737" s="16">
        <v>0</v>
      </c>
      <c r="AM737" s="16">
        <v>0</v>
      </c>
      <c r="AN737" s="16">
        <v>0</v>
      </c>
      <c r="AO737" s="16">
        <f>IF(SUM(AL737:AN737)&gt;0,1,0)</f>
        <v>0</v>
      </c>
      <c r="AP737" s="16">
        <f>SUM(AL737:AN737)</f>
        <v>0</v>
      </c>
      <c r="AQ737" s="16">
        <f>0.146+1.477</f>
        <v>1.623</v>
      </c>
      <c r="AR737" s="16">
        <v>0.14599999999999999</v>
      </c>
      <c r="AS737" s="16">
        <v>0.14599999999999999</v>
      </c>
      <c r="AT737" s="16" t="s">
        <v>124</v>
      </c>
      <c r="AW737" s="22">
        <v>1</v>
      </c>
      <c r="AY737" s="16">
        <f>(3+1)/AS737</f>
        <v>27.397260273972606</v>
      </c>
      <c r="AZ737" s="18">
        <v>1</v>
      </c>
      <c r="BB737" s="16">
        <f>3/AS737</f>
        <v>20.547945205479454</v>
      </c>
      <c r="BC737" s="16">
        <v>1</v>
      </c>
      <c r="BD737" s="16">
        <v>3</v>
      </c>
      <c r="BE737" s="16">
        <f>3/AS737</f>
        <v>20.547945205479454</v>
      </c>
      <c r="BF737" s="18">
        <v>0</v>
      </c>
      <c r="BG737" s="77">
        <v>0</v>
      </c>
      <c r="BH737" s="16">
        <v>0</v>
      </c>
      <c r="BI737" s="18">
        <v>0</v>
      </c>
      <c r="BJ737" s="16">
        <v>0</v>
      </c>
      <c r="BK737" s="16">
        <v>0</v>
      </c>
      <c r="BL737" s="16">
        <f>IF(BM737&gt;0,1,0)</f>
        <v>1</v>
      </c>
      <c r="BM737" s="16">
        <f>SUM(BR737,BU737,BX737,CA737,CD737,CG737,CJ737,CM737,CP737)</f>
        <v>1</v>
      </c>
      <c r="BN737" s="16">
        <f>SUM(BW737,BZ737,CC737,CF737,CI737,CL737,CO737,CR737,BT737)</f>
        <v>6.8493150684931514</v>
      </c>
      <c r="BO737" s="16">
        <f>IF(BP737&gt;0,1,0)</f>
        <v>1</v>
      </c>
      <c r="BP737" s="16">
        <f>SUM(BU737,BX737,CA737,CD737,BR737)</f>
        <v>1</v>
      </c>
      <c r="BQ737" s="16">
        <f>SUM(BZ737,CC737,CF737,BT737,BW737)</f>
        <v>6.8493150684931514</v>
      </c>
      <c r="BR737" s="18">
        <v>0</v>
      </c>
      <c r="BS737" s="16">
        <v>0</v>
      </c>
      <c r="BT737" s="77">
        <f>BS737/AS737</f>
        <v>0</v>
      </c>
      <c r="BU737" s="18">
        <v>0</v>
      </c>
      <c r="BV737" s="16">
        <v>0</v>
      </c>
      <c r="BW737" s="18">
        <f>BV737/AS737</f>
        <v>0</v>
      </c>
      <c r="BX737" s="24">
        <v>1</v>
      </c>
      <c r="BY737" s="16">
        <v>1</v>
      </c>
      <c r="BZ737" s="16">
        <f>BY737/AS737</f>
        <v>6.8493150684931514</v>
      </c>
      <c r="CA737" s="24">
        <v>0</v>
      </c>
      <c r="CB737" s="16">
        <v>0</v>
      </c>
      <c r="CC737" s="16">
        <v>0</v>
      </c>
      <c r="CD737" s="78">
        <v>0</v>
      </c>
      <c r="CE737" s="16">
        <v>0</v>
      </c>
      <c r="CF737" s="16">
        <v>0</v>
      </c>
      <c r="CP737" s="16" t="s">
        <v>123</v>
      </c>
      <c r="CQ737" s="16">
        <v>0</v>
      </c>
      <c r="CR737" s="16">
        <v>0</v>
      </c>
      <c r="CS737" s="18">
        <f>IF(CT737&gt;0,1,0)</f>
        <v>0</v>
      </c>
      <c r="CT737" s="25">
        <f>SUM(CW737,CZ737,DC737)</f>
        <v>0</v>
      </c>
      <c r="CU737" s="25"/>
      <c r="CV737" s="16">
        <v>0</v>
      </c>
      <c r="CW737" s="25">
        <v>0</v>
      </c>
      <c r="CX737" s="16">
        <v>0</v>
      </c>
      <c r="CY737" s="16">
        <v>0</v>
      </c>
      <c r="CZ737" s="18">
        <v>0</v>
      </c>
      <c r="DA737" s="16">
        <v>0</v>
      </c>
      <c r="DB737" s="16">
        <v>0</v>
      </c>
      <c r="DC737" s="18">
        <v>0</v>
      </c>
      <c r="DD737" s="16">
        <v>0</v>
      </c>
      <c r="DE737" s="16">
        <v>0</v>
      </c>
      <c r="DF737" s="16" t="e">
        <f>VLOOKUP(K737,'[3]RNA Seq summary tables'!$V$3:$V$99,1,FALSE)</f>
        <v>#N/A</v>
      </c>
      <c r="JR737" s="38"/>
      <c r="JS737" s="38"/>
      <c r="JT737" s="38"/>
      <c r="JU737" s="38"/>
      <c r="JV737" s="38"/>
      <c r="JW737" s="38"/>
      <c r="JX737" s="38"/>
      <c r="JY737" s="38"/>
      <c r="JZ737" s="38"/>
      <c r="KA737" s="38"/>
      <c r="KB737" s="38"/>
    </row>
    <row r="738" spans="1:288" x14ac:dyDescent="0.2">
      <c r="B738" s="16">
        <v>2016</v>
      </c>
      <c r="C738" s="20">
        <v>42517</v>
      </c>
      <c r="D738" s="20" t="str">
        <f>CONCATENATE(J738,"-",C738)</f>
        <v>938-P-42517</v>
      </c>
      <c r="E738" s="20" t="str">
        <f>CONCATENATE(T738,"-",U738,"-",C738)</f>
        <v>PO1-A7-42517</v>
      </c>
      <c r="F738" s="20" t="s">
        <v>106</v>
      </c>
      <c r="G738" s="20" t="s">
        <v>107</v>
      </c>
      <c r="I738" s="16">
        <v>0</v>
      </c>
      <c r="J738" s="21" t="s">
        <v>118</v>
      </c>
      <c r="K738" s="21">
        <v>1341</v>
      </c>
      <c r="L738" s="16">
        <v>0</v>
      </c>
      <c r="M738" s="15">
        <f>VLOOKUP(K738,'[7]MLBS 2016 SNV-nem Coinfection d'!$C$1:$G$238,4,FALSE)</f>
        <v>0</v>
      </c>
      <c r="N738" s="15">
        <v>0</v>
      </c>
      <c r="O738" s="15" t="s">
        <v>119</v>
      </c>
      <c r="P738" s="16" t="s">
        <v>119</v>
      </c>
      <c r="Q738" s="16">
        <v>0</v>
      </c>
      <c r="R738" s="16" t="s">
        <v>111</v>
      </c>
      <c r="T738" s="16" t="s">
        <v>112</v>
      </c>
      <c r="U738" s="16" t="s">
        <v>120</v>
      </c>
      <c r="V738" s="16" t="s">
        <v>114</v>
      </c>
      <c r="W738" s="16">
        <f>AI738/AG738</f>
        <v>0.85915492957746475</v>
      </c>
      <c r="X738" s="16" t="s">
        <v>121</v>
      </c>
      <c r="Y738" s="16" t="s">
        <v>122</v>
      </c>
      <c r="Z738" s="16">
        <v>2.2999999999999998</v>
      </c>
      <c r="AA738" s="16" t="s">
        <v>123</v>
      </c>
      <c r="AB738" s="16" t="s">
        <v>123</v>
      </c>
      <c r="AC738" s="16" t="s">
        <v>123</v>
      </c>
      <c r="AD738" s="16" t="s">
        <v>123</v>
      </c>
      <c r="AG738" s="16">
        <f>AH738-AI738</f>
        <v>71</v>
      </c>
      <c r="AH738" s="16">
        <v>132</v>
      </c>
      <c r="AI738" s="18">
        <v>61</v>
      </c>
      <c r="AK738" s="16">
        <v>14</v>
      </c>
      <c r="AL738" s="16">
        <v>0</v>
      </c>
      <c r="AM738" s="16">
        <v>0</v>
      </c>
      <c r="AN738" s="16">
        <v>0</v>
      </c>
      <c r="AO738" s="16">
        <f>IF(SUM(AL738:AN738)&gt;0,1,0)</f>
        <v>0</v>
      </c>
      <c r="AP738" s="16">
        <f>SUM(AL738:AN738)</f>
        <v>0</v>
      </c>
      <c r="AQ738" s="16">
        <f>1.477+AS738</f>
        <v>1.5920000000000001</v>
      </c>
      <c r="AR738" s="16">
        <v>0.115</v>
      </c>
      <c r="AS738" s="16">
        <v>0.115</v>
      </c>
      <c r="AT738" s="16" t="s">
        <v>124</v>
      </c>
      <c r="AW738" s="22">
        <v>1</v>
      </c>
      <c r="AY738" s="16">
        <f>3/0.115</f>
        <v>26.086956521739129</v>
      </c>
      <c r="AZ738" s="18">
        <v>1</v>
      </c>
      <c r="BB738" s="16">
        <v>26.087</v>
      </c>
      <c r="BC738" s="18">
        <v>0</v>
      </c>
      <c r="BF738" s="18">
        <v>1</v>
      </c>
      <c r="BG738" s="77">
        <v>3</v>
      </c>
      <c r="BH738" s="16">
        <f>3/0.115</f>
        <v>26.086956521739129</v>
      </c>
      <c r="BI738" s="18">
        <v>0</v>
      </c>
      <c r="BJ738" s="16">
        <v>0</v>
      </c>
      <c r="BK738" s="16">
        <v>0</v>
      </c>
      <c r="BL738" s="16">
        <f>IF(BM738&gt;0,1,0)</f>
        <v>0</v>
      </c>
      <c r="BM738" s="16">
        <f>SUM(BR738,BU738,BX738,CA738,CD738,CG738,CJ738,CM738,CP738)</f>
        <v>0</v>
      </c>
      <c r="BN738" s="16">
        <f>SUM(BW738,BZ738,CC738,CF738,CI738,CL738,CO738,CR738,BT738)</f>
        <v>0</v>
      </c>
      <c r="BO738" s="16">
        <f>IF(BP738&gt;0,1,0)</f>
        <v>0</v>
      </c>
      <c r="BP738" s="16">
        <f>SUM(BU738,BX738,CA738,CD738,BR738)</f>
        <v>0</v>
      </c>
      <c r="BQ738" s="16">
        <f>SUM(BZ738,CC738,CF738,BT738,BW738)</f>
        <v>0</v>
      </c>
      <c r="BR738" s="18">
        <v>0</v>
      </c>
      <c r="BS738" s="16">
        <v>0</v>
      </c>
      <c r="BT738" s="77">
        <f>BS738/AS738</f>
        <v>0</v>
      </c>
      <c r="BU738" s="18">
        <v>0</v>
      </c>
      <c r="BV738" s="16">
        <v>0</v>
      </c>
      <c r="BW738" s="18">
        <f>BV738/AS738</f>
        <v>0</v>
      </c>
      <c r="BX738" s="18">
        <v>0</v>
      </c>
      <c r="BY738" s="16">
        <v>0</v>
      </c>
      <c r="BZ738" s="16">
        <f>BY738/AS738</f>
        <v>0</v>
      </c>
      <c r="CA738" s="24">
        <v>0</v>
      </c>
      <c r="CB738" s="16">
        <v>0</v>
      </c>
      <c r="CC738" s="16">
        <v>0</v>
      </c>
      <c r="CD738" s="78">
        <v>0</v>
      </c>
      <c r="CE738" s="16">
        <v>0</v>
      </c>
      <c r="CF738" s="16">
        <v>0</v>
      </c>
      <c r="CP738" s="16" t="s">
        <v>123</v>
      </c>
      <c r="CQ738" s="16">
        <v>0</v>
      </c>
      <c r="CR738" s="16">
        <v>0</v>
      </c>
      <c r="CS738" s="18">
        <f>IF(CT738&gt;0,1,0)</f>
        <v>0</v>
      </c>
      <c r="CT738" s="25">
        <f>SUM(CW738,CZ738,DC738)</f>
        <v>0</v>
      </c>
      <c r="CU738" s="25"/>
      <c r="CV738" s="16">
        <v>0</v>
      </c>
      <c r="CW738" s="25">
        <v>0</v>
      </c>
      <c r="CX738" s="16">
        <v>0</v>
      </c>
      <c r="CY738" s="16">
        <v>0</v>
      </c>
      <c r="CZ738" s="18">
        <v>0</v>
      </c>
      <c r="DA738" s="16">
        <v>0</v>
      </c>
      <c r="DB738" s="16">
        <v>0</v>
      </c>
      <c r="DC738" s="18">
        <v>0</v>
      </c>
      <c r="DD738" s="16">
        <v>0</v>
      </c>
      <c r="DE738" s="16">
        <v>0</v>
      </c>
      <c r="DF738" s="16" t="e">
        <f>VLOOKUP(K738,'[3]RNA Seq summary tables'!$V$3:$V$99,1,FALSE)</f>
        <v>#N/A</v>
      </c>
      <c r="JO738" s="26"/>
    </row>
    <row r="739" spans="1:288" x14ac:dyDescent="0.2">
      <c r="B739" s="16">
        <v>2016</v>
      </c>
      <c r="C739" s="20">
        <v>42531</v>
      </c>
      <c r="D739" s="20" t="str">
        <f>CONCATENATE(J739,"-",C739)</f>
        <v>938-P-42531</v>
      </c>
      <c r="E739" s="20" t="str">
        <f>CONCATENATE(T739,"-",U739,"-",C739)</f>
        <v>PO1-B2-42531</v>
      </c>
      <c r="F739" s="20" t="s">
        <v>106</v>
      </c>
      <c r="G739" s="20" t="s">
        <v>107</v>
      </c>
      <c r="I739" s="16">
        <v>0</v>
      </c>
      <c r="J739" s="21" t="s">
        <v>118</v>
      </c>
      <c r="K739" s="21">
        <v>1363</v>
      </c>
      <c r="L739" s="16">
        <v>1</v>
      </c>
      <c r="M739" s="15">
        <f>VLOOKUP(K739,'[7]MLBS 2016 SNV-nem Coinfection d'!$C$1:$G$238,4,FALSE)</f>
        <v>0</v>
      </c>
      <c r="N739" s="15">
        <v>0</v>
      </c>
      <c r="O739" s="15" t="s">
        <v>119</v>
      </c>
      <c r="P739" s="16" t="s">
        <v>119</v>
      </c>
      <c r="Q739" s="16">
        <v>0</v>
      </c>
      <c r="R739" s="16">
        <v>14</v>
      </c>
      <c r="T739" s="16" t="s">
        <v>112</v>
      </c>
      <c r="U739" s="16" t="s">
        <v>130</v>
      </c>
      <c r="V739" s="16" t="s">
        <v>114</v>
      </c>
      <c r="W739" s="16">
        <f>AI739/AG739</f>
        <v>0.79012345679012341</v>
      </c>
      <c r="X739" s="16" t="s">
        <v>121</v>
      </c>
      <c r="Y739" s="16" t="s">
        <v>122</v>
      </c>
      <c r="Z739" s="16">
        <v>2.2999999999999998</v>
      </c>
      <c r="AA739" s="16" t="s">
        <v>119</v>
      </c>
      <c r="AB739" s="16" t="s">
        <v>123</v>
      </c>
      <c r="AC739" s="16" t="s">
        <v>123</v>
      </c>
      <c r="AD739" s="16" t="s">
        <v>123</v>
      </c>
      <c r="AG739" s="16">
        <f>AH739-AI739</f>
        <v>81</v>
      </c>
      <c r="AH739" s="16">
        <v>145</v>
      </c>
      <c r="AI739" s="18">
        <v>64</v>
      </c>
      <c r="AK739" s="16">
        <v>17</v>
      </c>
      <c r="AL739" s="16">
        <v>0</v>
      </c>
      <c r="AM739" s="16">
        <v>0</v>
      </c>
      <c r="AN739" s="16">
        <v>0</v>
      </c>
      <c r="AO739" s="16">
        <f>IF(SUM(AL739:AN739)&gt;0,1,0)</f>
        <v>0</v>
      </c>
      <c r="AP739" s="16">
        <f>SUM(AL739:AN739)</f>
        <v>0</v>
      </c>
      <c r="AR739" s="16">
        <v>0.20499999999999999</v>
      </c>
      <c r="AS739" s="16">
        <v>0.20499999999999999</v>
      </c>
      <c r="AT739" s="16" t="s">
        <v>164</v>
      </c>
      <c r="AW739" s="22">
        <v>1</v>
      </c>
      <c r="AY739" s="16">
        <f>176/0.205</f>
        <v>858.53658536585374</v>
      </c>
      <c r="AZ739" s="18">
        <v>1</v>
      </c>
      <c r="BB739" s="16">
        <f>91/0.205</f>
        <v>443.90243902439028</v>
      </c>
      <c r="BC739" s="16">
        <v>1</v>
      </c>
      <c r="BD739" s="16">
        <v>7</v>
      </c>
      <c r="BE739" s="16">
        <f>7/0.205</f>
        <v>34.146341463414636</v>
      </c>
      <c r="BF739" s="18">
        <v>1</v>
      </c>
      <c r="BG739" s="77">
        <v>79</v>
      </c>
      <c r="BH739" s="16">
        <f>79/0.205</f>
        <v>385.36585365853659</v>
      </c>
      <c r="BI739" s="16">
        <v>1</v>
      </c>
      <c r="BJ739" s="16">
        <v>5</v>
      </c>
      <c r="BK739" s="16">
        <f>5/0.205</f>
        <v>24.390243902439025</v>
      </c>
      <c r="BL739" s="16">
        <f>IF(BM739&gt;0,1,0)</f>
        <v>0</v>
      </c>
      <c r="BM739" s="16">
        <f>SUM(BR739,BU739,BX739,CA739,CD739,CG739,CJ739,CM739,CP739)</f>
        <v>0</v>
      </c>
      <c r="BN739" s="16">
        <f>SUM(BW739,BZ739,CC739,CF739,CI739,CL739,CO739,CR739,BT739)</f>
        <v>0</v>
      </c>
      <c r="BO739" s="16">
        <f>IF(BP739&gt;0,1,0)</f>
        <v>0</v>
      </c>
      <c r="BP739" s="16">
        <f>SUM(BU739,BX739,CA739,CD739,BR739)</f>
        <v>0</v>
      </c>
      <c r="BQ739" s="16">
        <f>SUM(BZ739,CC739,CF739,BT739,BW739)</f>
        <v>0</v>
      </c>
      <c r="BR739" s="18">
        <v>0</v>
      </c>
      <c r="BS739" s="16">
        <v>0</v>
      </c>
      <c r="BT739" s="77">
        <f>BS739/AS739</f>
        <v>0</v>
      </c>
      <c r="BU739" s="18">
        <v>0</v>
      </c>
      <c r="BV739" s="16">
        <v>0</v>
      </c>
      <c r="BW739" s="18">
        <f>BV739/AS739</f>
        <v>0</v>
      </c>
      <c r="BX739" s="18">
        <v>0</v>
      </c>
      <c r="BY739" s="16">
        <v>0</v>
      </c>
      <c r="BZ739" s="16">
        <f>BY739/AS739</f>
        <v>0</v>
      </c>
      <c r="CA739" s="24">
        <v>0</v>
      </c>
      <c r="CB739" s="16">
        <v>0</v>
      </c>
      <c r="CC739" s="16">
        <v>0</v>
      </c>
      <c r="CD739" s="78">
        <v>0</v>
      </c>
      <c r="CE739" s="16">
        <v>0</v>
      </c>
      <c r="CF739" s="16">
        <v>0</v>
      </c>
      <c r="CP739" s="16" t="s">
        <v>123</v>
      </c>
      <c r="CQ739" s="16">
        <v>0</v>
      </c>
      <c r="CR739" s="16">
        <v>0</v>
      </c>
      <c r="CS739" s="18">
        <f>IF(CT739&gt;0,1,0)</f>
        <v>0</v>
      </c>
      <c r="CT739" s="25">
        <f>SUM(CW739,CZ739,DC739)</f>
        <v>0</v>
      </c>
      <c r="CU739" s="25"/>
      <c r="CV739" s="16">
        <v>0</v>
      </c>
      <c r="CW739" s="25">
        <v>0</v>
      </c>
      <c r="CX739" s="16">
        <v>0</v>
      </c>
      <c r="CY739" s="16">
        <v>0</v>
      </c>
      <c r="CZ739" s="18">
        <v>0</v>
      </c>
      <c r="DA739" s="16">
        <v>0</v>
      </c>
      <c r="DB739" s="16">
        <v>0</v>
      </c>
      <c r="DC739" s="18">
        <v>0</v>
      </c>
      <c r="DD739" s="16">
        <v>0</v>
      </c>
      <c r="DE739" s="16">
        <v>0</v>
      </c>
      <c r="DF739" s="16">
        <f>VLOOKUP(K739,'[3]RNA Seq summary tables'!$V$3:$V$99,1,FALSE)</f>
        <v>1363</v>
      </c>
      <c r="JP739" s="26"/>
      <c r="JQ739" s="26"/>
    </row>
    <row r="740" spans="1:288" x14ac:dyDescent="0.2">
      <c r="B740" s="16">
        <v>2016</v>
      </c>
      <c r="C740" s="20">
        <v>42530</v>
      </c>
      <c r="D740" s="20" t="str">
        <f>CONCATENATE(J740,"-",C740)</f>
        <v>939-1-42530</v>
      </c>
      <c r="E740" s="20" t="str">
        <f>CONCATENATE(T740,"-",U740,"-",C740)</f>
        <v>PO1-B1-42530</v>
      </c>
      <c r="F740" s="20" t="s">
        <v>106</v>
      </c>
      <c r="G740" s="20" t="s">
        <v>107</v>
      </c>
      <c r="I740" s="16">
        <v>0</v>
      </c>
      <c r="J740" s="21" t="s">
        <v>176</v>
      </c>
      <c r="K740" s="21">
        <v>1356</v>
      </c>
      <c r="L740" s="16">
        <v>0</v>
      </c>
      <c r="M740" s="15">
        <f>VLOOKUP(K740,'[7]MLBS 2016 SNV-nem Coinfection d'!$C$1:$G$238,4,FALSE)</f>
        <v>0</v>
      </c>
      <c r="N740" s="15">
        <v>0</v>
      </c>
      <c r="O740" s="15" t="s">
        <v>119</v>
      </c>
      <c r="P740" s="16" t="s">
        <v>119</v>
      </c>
      <c r="Q740" s="16">
        <v>0</v>
      </c>
      <c r="R740" s="16" t="s">
        <v>111</v>
      </c>
      <c r="T740" s="16" t="s">
        <v>112</v>
      </c>
      <c r="U740" s="16" t="s">
        <v>113</v>
      </c>
      <c r="V740" s="16" t="s">
        <v>114</v>
      </c>
      <c r="W740" s="16">
        <f>AI740/AG740</f>
        <v>0.80246913580246915</v>
      </c>
      <c r="X740" s="16" t="s">
        <v>115</v>
      </c>
      <c r="Y740" s="16" t="s">
        <v>110</v>
      </c>
      <c r="Z740" s="16">
        <v>3</v>
      </c>
      <c r="AE740" s="16" t="s">
        <v>123</v>
      </c>
      <c r="AF740" s="16" t="s">
        <v>123</v>
      </c>
      <c r="AG740" s="16">
        <f>AH740-AI740</f>
        <v>81</v>
      </c>
      <c r="AH740" s="16">
        <v>146</v>
      </c>
      <c r="AI740" s="16">
        <v>65</v>
      </c>
      <c r="AJ740" s="16" t="s">
        <v>247</v>
      </c>
      <c r="AK740" s="16">
        <v>15</v>
      </c>
      <c r="AL740" s="16">
        <v>0</v>
      </c>
      <c r="AM740" s="16">
        <v>0</v>
      </c>
      <c r="AN740" s="16">
        <v>0</v>
      </c>
      <c r="AO740" s="16">
        <f>IF(SUM(AL740:AN740)&gt;0,1,0)</f>
        <v>0</v>
      </c>
      <c r="AP740" s="16">
        <f>SUM(AL740:AN740)</f>
        <v>0</v>
      </c>
      <c r="AR740" s="16">
        <v>0.26700000000000002</v>
      </c>
      <c r="AS740" s="16">
        <v>0.26700000000000002</v>
      </c>
      <c r="AT740" s="16" t="s">
        <v>164</v>
      </c>
      <c r="AW740" s="22">
        <v>1</v>
      </c>
      <c r="AY740" s="16">
        <f>1148/0.267</f>
        <v>4299.6254681647933</v>
      </c>
      <c r="AZ740" s="18">
        <v>1</v>
      </c>
      <c r="BB740" s="16">
        <f>1141/0.267</f>
        <v>4273.408239700374</v>
      </c>
      <c r="BC740" s="16">
        <v>1</v>
      </c>
      <c r="BD740" s="16">
        <v>16</v>
      </c>
      <c r="BE740" s="16">
        <f>16/0.267</f>
        <v>59.925093632958799</v>
      </c>
      <c r="BF740" s="18">
        <v>1</v>
      </c>
      <c r="BG740" s="77">
        <v>1125</v>
      </c>
      <c r="BH740" s="16">
        <f>1125/0.267</f>
        <v>4213.4831460674159</v>
      </c>
      <c r="BI740" s="18">
        <v>0</v>
      </c>
      <c r="BJ740" s="16">
        <v>0</v>
      </c>
      <c r="BK740" s="16">
        <v>0</v>
      </c>
      <c r="BL740" s="16">
        <f>IF(BM740&gt;0,1,0)</f>
        <v>0</v>
      </c>
      <c r="BM740" s="16">
        <f>SUM(BR740,BU740,BX740,CA740,CD740,CG740,CJ740,CM740,CP740)</f>
        <v>0</v>
      </c>
      <c r="BN740" s="16">
        <f>SUM(BW740,BZ740,CC740,CF740,CI740,CL740,CO740,CR740,BT740)</f>
        <v>0</v>
      </c>
      <c r="BO740" s="16">
        <f>IF(BP740&gt;0,1,0)</f>
        <v>0</v>
      </c>
      <c r="BP740" s="16">
        <f>SUM(BU740,BX740,CA740,CD740,BR740)</f>
        <v>0</v>
      </c>
      <c r="BQ740" s="16">
        <f>SUM(BZ740,CC740,CF740,BT740,BW740)</f>
        <v>0</v>
      </c>
      <c r="BR740" s="18">
        <v>0</v>
      </c>
      <c r="BS740" s="16">
        <v>0</v>
      </c>
      <c r="BT740" s="77">
        <f>BS740/AS740</f>
        <v>0</v>
      </c>
      <c r="BU740" s="18">
        <v>0</v>
      </c>
      <c r="BV740" s="16">
        <v>0</v>
      </c>
      <c r="BW740" s="18">
        <f>BV740/AS740</f>
        <v>0</v>
      </c>
      <c r="BX740" s="18">
        <v>0</v>
      </c>
      <c r="BY740" s="16">
        <v>0</v>
      </c>
      <c r="BZ740" s="16">
        <f>BY740/AS740</f>
        <v>0</v>
      </c>
      <c r="CA740" s="24">
        <v>0</v>
      </c>
      <c r="CB740" s="16">
        <v>0</v>
      </c>
      <c r="CC740" s="16">
        <v>0</v>
      </c>
      <c r="CD740" s="78">
        <v>0</v>
      </c>
      <c r="CE740" s="16">
        <v>0</v>
      </c>
      <c r="CF740" s="16">
        <v>0</v>
      </c>
      <c r="CP740" s="16" t="s">
        <v>123</v>
      </c>
      <c r="CQ740" s="16">
        <v>0</v>
      </c>
      <c r="CR740" s="16">
        <v>0</v>
      </c>
      <c r="CS740" s="18">
        <f>IF(CT740&gt;0,1,0)</f>
        <v>1</v>
      </c>
      <c r="CT740" s="25">
        <f>SUM(CW740,CZ740,DC740)</f>
        <v>2</v>
      </c>
      <c r="CU740" s="25"/>
      <c r="CV740" s="16">
        <f>7/0.267</f>
        <v>26.217228464419474</v>
      </c>
      <c r="CW740" s="22">
        <v>1</v>
      </c>
      <c r="CX740" s="16">
        <v>6</v>
      </c>
      <c r="CY740" s="16">
        <f>6/0.267</f>
        <v>22.471910112359549</v>
      </c>
      <c r="CZ740" s="16">
        <v>1</v>
      </c>
      <c r="DA740" s="16">
        <v>1</v>
      </c>
      <c r="DB740" s="16">
        <f>1/0.267</f>
        <v>3.7453183520599249</v>
      </c>
      <c r="DC740" s="18">
        <v>0</v>
      </c>
      <c r="DD740" s="16">
        <v>0</v>
      </c>
      <c r="DE740" s="16">
        <v>0</v>
      </c>
      <c r="DF740" s="16" t="e">
        <f>VLOOKUP(K740,'[3]RNA Seq summary tables'!$V$3:$V$99,1,FALSE)</f>
        <v>#N/A</v>
      </c>
    </row>
    <row r="741" spans="1:288" x14ac:dyDescent="0.2">
      <c r="B741" s="16">
        <v>2016</v>
      </c>
      <c r="C741" s="20">
        <v>42544</v>
      </c>
      <c r="D741" s="20" t="str">
        <f>CONCATENATE(J741,"-",C741)</f>
        <v>939-1-42544</v>
      </c>
      <c r="E741" s="20" t="str">
        <f>CONCATENATE(T741,"-",U741,"-",C741)</f>
        <v>PO1-C1-42544</v>
      </c>
      <c r="F741" s="20" t="s">
        <v>106</v>
      </c>
      <c r="G741" s="20" t="s">
        <v>107</v>
      </c>
      <c r="I741" s="16">
        <v>0</v>
      </c>
      <c r="J741" s="21" t="s">
        <v>176</v>
      </c>
      <c r="K741" s="21">
        <v>1404</v>
      </c>
      <c r="L741" s="18">
        <v>0</v>
      </c>
      <c r="M741" s="15">
        <f>VLOOKUP(K741,'[7]MLBS 2016 SNV-nem Coinfection d'!$C$1:$G$238,4,FALSE)</f>
        <v>0</v>
      </c>
      <c r="N741" s="15">
        <v>0</v>
      </c>
      <c r="O741" s="15" t="s">
        <v>119</v>
      </c>
      <c r="P741" s="16" t="s">
        <v>119</v>
      </c>
      <c r="Q741" s="16">
        <v>0</v>
      </c>
      <c r="R741" s="16">
        <v>14</v>
      </c>
      <c r="T741" s="16" t="s">
        <v>112</v>
      </c>
      <c r="U741" s="16" t="s">
        <v>150</v>
      </c>
      <c r="V741" s="16" t="s">
        <v>114</v>
      </c>
      <c r="W741" s="16">
        <f>AI741/AG741</f>
        <v>0.83950617283950613</v>
      </c>
      <c r="X741" s="16" t="s">
        <v>115</v>
      </c>
      <c r="Y741" s="16" t="s">
        <v>110</v>
      </c>
      <c r="Z741" s="16">
        <v>3</v>
      </c>
      <c r="AE741" s="16" t="s">
        <v>116</v>
      </c>
      <c r="AF741" s="16" t="s">
        <v>116</v>
      </c>
      <c r="AG741" s="16">
        <f>AH741-AI741</f>
        <v>81</v>
      </c>
      <c r="AH741" s="16">
        <v>149</v>
      </c>
      <c r="AI741" s="16">
        <v>68</v>
      </c>
      <c r="AK741" s="16">
        <v>19</v>
      </c>
      <c r="AL741" s="16">
        <v>0</v>
      </c>
      <c r="AM741" s="16">
        <v>0</v>
      </c>
      <c r="AN741" s="16">
        <v>0</v>
      </c>
      <c r="AO741" s="16">
        <f>IF(SUM(AL741:AN741)&gt;0,1,0)</f>
        <v>0</v>
      </c>
      <c r="AP741" s="16">
        <f>SUM(AL741:AN741)</f>
        <v>0</v>
      </c>
      <c r="AQ741" s="16">
        <f>0.257+1.477</f>
        <v>1.734</v>
      </c>
      <c r="AR741" s="16">
        <v>0.25700000000000001</v>
      </c>
      <c r="AS741" s="16">
        <v>0.25700000000000001</v>
      </c>
      <c r="AT741" s="16" t="s">
        <v>124</v>
      </c>
      <c r="AW741" s="24">
        <v>1</v>
      </c>
      <c r="AX741" s="18"/>
      <c r="AY741" s="18">
        <f>5/AS741</f>
        <v>19.455252918287936</v>
      </c>
      <c r="AZ741" s="18">
        <v>1</v>
      </c>
      <c r="BA741" s="18"/>
      <c r="BB741" s="18">
        <f>AY741</f>
        <v>19.455252918287936</v>
      </c>
      <c r="BC741" s="18">
        <v>1</v>
      </c>
      <c r="BD741" s="18">
        <v>4</v>
      </c>
      <c r="BE741" s="18">
        <f>4/AS741</f>
        <v>15.56420233463035</v>
      </c>
      <c r="BF741" s="18">
        <v>1</v>
      </c>
      <c r="BG741" s="77">
        <v>1</v>
      </c>
      <c r="BH741" s="16">
        <f>1/AS741</f>
        <v>3.8910505836575875</v>
      </c>
      <c r="BI741" s="18">
        <v>0</v>
      </c>
      <c r="BJ741" s="16">
        <v>0</v>
      </c>
      <c r="BK741" s="16">
        <v>0</v>
      </c>
      <c r="BL741" s="16">
        <f>IF(BM741&gt;0,1,0)</f>
        <v>0</v>
      </c>
      <c r="BM741" s="16">
        <f>SUM(BR741,BU741,BX741,CA741,CD741,CG741,CJ741,CM741,CP741)</f>
        <v>0</v>
      </c>
      <c r="BN741" s="16">
        <f>SUM(BW741,BZ741,CC741,CF741,CI741,CL741,CO741,CR741,BT741)</f>
        <v>0</v>
      </c>
      <c r="BO741" s="16">
        <f>IF(BP741&gt;0,1,0)</f>
        <v>0</v>
      </c>
      <c r="BP741" s="16">
        <f>SUM(BU741,BX741,CA741,CD741,BR741)</f>
        <v>0</v>
      </c>
      <c r="BQ741" s="16">
        <f>SUM(BZ741,CC741,CF741,BT741,BW741)</f>
        <v>0</v>
      </c>
      <c r="BR741" s="18">
        <v>0</v>
      </c>
      <c r="BS741" s="16">
        <v>0</v>
      </c>
      <c r="BT741" s="77">
        <f>BS741/AS741</f>
        <v>0</v>
      </c>
      <c r="BU741" s="18">
        <v>0</v>
      </c>
      <c r="BV741" s="16">
        <v>0</v>
      </c>
      <c r="BW741" s="18">
        <f>BV741/AS741</f>
        <v>0</v>
      </c>
      <c r="BX741" s="18">
        <v>0</v>
      </c>
      <c r="BY741" s="16">
        <v>0</v>
      </c>
      <c r="BZ741" s="16">
        <f>BY741/AS741</f>
        <v>0</v>
      </c>
      <c r="CA741" s="24">
        <v>0</v>
      </c>
      <c r="CB741" s="16">
        <v>0</v>
      </c>
      <c r="CC741" s="16">
        <v>0</v>
      </c>
      <c r="CD741" s="78">
        <v>0</v>
      </c>
      <c r="CE741" s="16">
        <v>0</v>
      </c>
      <c r="CF741" s="16">
        <v>0</v>
      </c>
      <c r="CP741" s="16" t="s">
        <v>123</v>
      </c>
      <c r="CQ741" s="16">
        <v>0</v>
      </c>
      <c r="CR741" s="16">
        <v>0</v>
      </c>
      <c r="CS741" s="18">
        <f>IF(CT741&gt;0,1,0)</f>
        <v>0</v>
      </c>
      <c r="CT741" s="25">
        <f>SUM(CW741,CZ741,DC741)</f>
        <v>0</v>
      </c>
      <c r="CU741" s="25"/>
      <c r="CV741" s="16">
        <v>0</v>
      </c>
      <c r="CW741" s="25">
        <v>0</v>
      </c>
      <c r="CX741" s="16">
        <v>0</v>
      </c>
      <c r="CY741" s="16">
        <v>0</v>
      </c>
      <c r="CZ741" s="18">
        <v>0</v>
      </c>
      <c r="DA741" s="16">
        <v>0</v>
      </c>
      <c r="DB741" s="16">
        <v>0</v>
      </c>
      <c r="DC741" s="18">
        <v>0</v>
      </c>
      <c r="DD741" s="16">
        <v>0</v>
      </c>
      <c r="DE741" s="16">
        <v>0</v>
      </c>
      <c r="DF741" s="16" t="e">
        <f>VLOOKUP(K741,'[3]RNA Seq summary tables'!$V$3:$V$99,1,FALSE)</f>
        <v>#N/A</v>
      </c>
    </row>
    <row r="742" spans="1:288" x14ac:dyDescent="0.2">
      <c r="B742" s="16">
        <v>2016</v>
      </c>
      <c r="C742" s="20">
        <v>42560</v>
      </c>
      <c r="D742" s="20" t="str">
        <f>CONCATENATE(J742,"-",C742)</f>
        <v>939-1-42560</v>
      </c>
      <c r="E742" s="20" t="str">
        <f>CONCATENATE(T742,"-",U742,"-",C742)</f>
        <v>PO1-B7-42560</v>
      </c>
      <c r="F742" s="20" t="s">
        <v>106</v>
      </c>
      <c r="G742" s="20" t="s">
        <v>107</v>
      </c>
      <c r="I742" s="16">
        <v>0</v>
      </c>
      <c r="J742" s="21" t="s">
        <v>176</v>
      </c>
      <c r="K742" s="21">
        <v>1472</v>
      </c>
      <c r="L742" s="18">
        <v>0</v>
      </c>
      <c r="M742" s="15">
        <f>VLOOKUP(K742,'[7]MLBS 2016 SNV-nem Coinfection d'!$C$1:$G$238,4,FALSE)</f>
        <v>0</v>
      </c>
      <c r="N742" s="15">
        <v>0</v>
      </c>
      <c r="O742" s="15" t="s">
        <v>119</v>
      </c>
      <c r="P742" s="16" t="s">
        <v>119</v>
      </c>
      <c r="Q742" s="16">
        <v>0</v>
      </c>
      <c r="R742" s="16">
        <v>16</v>
      </c>
      <c r="T742" s="16" t="s">
        <v>112</v>
      </c>
      <c r="U742" s="16" t="s">
        <v>168</v>
      </c>
      <c r="V742" s="16" t="s">
        <v>114</v>
      </c>
      <c r="W742" s="16">
        <f>AI742/AG742</f>
        <v>0.80681818181818177</v>
      </c>
      <c r="X742" s="16" t="s">
        <v>115</v>
      </c>
      <c r="Y742" s="16" t="s">
        <v>110</v>
      </c>
      <c r="Z742" s="16">
        <v>3</v>
      </c>
      <c r="AE742" s="16" t="s">
        <v>116</v>
      </c>
      <c r="AF742" s="16" t="s">
        <v>116</v>
      </c>
      <c r="AG742" s="16">
        <f>AH742-AI742</f>
        <v>88</v>
      </c>
      <c r="AH742" s="16">
        <v>159</v>
      </c>
      <c r="AI742" s="16">
        <v>71</v>
      </c>
      <c r="AK742" s="16">
        <v>20.5</v>
      </c>
      <c r="AQ742" s="16">
        <v>1.9319999999999999</v>
      </c>
      <c r="AR742" s="16">
        <v>0.45500000000000002</v>
      </c>
      <c r="AS742" s="16">
        <v>0.45500000000000002</v>
      </c>
      <c r="AT742" s="16" t="s">
        <v>204</v>
      </c>
      <c r="AW742" s="18"/>
      <c r="AZ742" s="18"/>
      <c r="BC742" s="18"/>
      <c r="BF742" s="18"/>
      <c r="BG742" s="77"/>
      <c r="BI742" s="18"/>
      <c r="BR742" s="18"/>
      <c r="BT742" s="77"/>
      <c r="BU742" s="18"/>
      <c r="BW742" s="18"/>
      <c r="BX742" s="18"/>
      <c r="CA742" s="24"/>
      <c r="CD742" s="78"/>
      <c r="CS742" s="18"/>
      <c r="CT742" s="25"/>
      <c r="CU742" s="25"/>
      <c r="CW742" s="25"/>
      <c r="CZ742" s="18"/>
      <c r="DC742" s="18"/>
      <c r="DF742" s="16" t="e">
        <f>VLOOKUP(K742,'[3]RNA Seq summary tables'!$V$3:$V$99,1,FALSE)</f>
        <v>#N/A</v>
      </c>
      <c r="JO742" s="62"/>
    </row>
    <row r="743" spans="1:288" x14ac:dyDescent="0.2">
      <c r="B743" s="16">
        <v>2016</v>
      </c>
      <c r="C743" s="43">
        <v>42572</v>
      </c>
      <c r="D743" s="43" t="str">
        <f>CONCATENATE(J743,"-",C743)</f>
        <v>939-1-42572</v>
      </c>
      <c r="E743" s="20" t="str">
        <f>CONCATENATE(T743,"-",U743,"-",C743)</f>
        <v>PO1-A3-42572</v>
      </c>
      <c r="F743" s="20" t="s">
        <v>106</v>
      </c>
      <c r="G743" s="43" t="s">
        <v>107</v>
      </c>
      <c r="H743" s="23"/>
      <c r="I743" s="16">
        <v>0</v>
      </c>
      <c r="J743" s="15" t="s">
        <v>176</v>
      </c>
      <c r="K743" s="15">
        <v>1496</v>
      </c>
      <c r="L743" s="18">
        <v>0</v>
      </c>
      <c r="M743" s="15">
        <f>VLOOKUP(K743,'[7]MLBS 2016 SNV-nem Coinfection d'!$C$1:$G$238,4,FALSE)</f>
        <v>0</v>
      </c>
      <c r="N743" s="15">
        <v>0</v>
      </c>
      <c r="O743" s="15" t="s">
        <v>119</v>
      </c>
      <c r="P743" s="23" t="s">
        <v>119</v>
      </c>
      <c r="Q743" s="16">
        <v>0</v>
      </c>
      <c r="R743" s="23">
        <v>12</v>
      </c>
      <c r="S743" s="23"/>
      <c r="T743" s="23" t="s">
        <v>112</v>
      </c>
      <c r="U743" s="23" t="s">
        <v>201</v>
      </c>
      <c r="V743" s="23" t="s">
        <v>114</v>
      </c>
      <c r="W743" s="16">
        <f>AI743/AG743</f>
        <v>0.82558139534883723</v>
      </c>
      <c r="X743" s="23" t="s">
        <v>115</v>
      </c>
      <c r="Y743" s="23" t="s">
        <v>110</v>
      </c>
      <c r="Z743" s="23">
        <v>3</v>
      </c>
      <c r="AA743" s="23"/>
      <c r="AB743" s="23"/>
      <c r="AC743" s="23"/>
      <c r="AD743" s="23"/>
      <c r="AE743" s="23" t="s">
        <v>123</v>
      </c>
      <c r="AF743" s="23" t="s">
        <v>123</v>
      </c>
      <c r="AG743" s="23">
        <f>AH743-AI743</f>
        <v>86</v>
      </c>
      <c r="AH743" s="23">
        <v>157</v>
      </c>
      <c r="AI743" s="23">
        <v>71</v>
      </c>
      <c r="AJ743" s="23"/>
      <c r="AK743" s="23">
        <v>17.5</v>
      </c>
      <c r="AL743" s="23">
        <v>0</v>
      </c>
      <c r="AM743" s="23">
        <v>1</v>
      </c>
      <c r="AN743" s="23">
        <v>0</v>
      </c>
      <c r="AO743" s="23">
        <f>IF(SUM(AL743:AN743)&gt;0,1,0)</f>
        <v>1</v>
      </c>
      <c r="AP743" s="23">
        <f>SUM(AL743:AN743)</f>
        <v>1</v>
      </c>
      <c r="AQ743" s="23">
        <v>1.702</v>
      </c>
      <c r="AR743" s="23">
        <v>0.22600000000000001</v>
      </c>
      <c r="AS743" s="23">
        <v>0.22600000000000001</v>
      </c>
      <c r="AT743" s="23" t="s">
        <v>124</v>
      </c>
      <c r="AU743" s="23"/>
      <c r="AV743" s="23"/>
      <c r="AW743" s="50">
        <v>1</v>
      </c>
      <c r="AX743" s="23">
        <v>1</v>
      </c>
      <c r="AY743" s="23">
        <f>1/AS743</f>
        <v>4.4247787610619467</v>
      </c>
      <c r="AZ743" s="18">
        <v>1</v>
      </c>
      <c r="BA743" s="23">
        <v>1</v>
      </c>
      <c r="BB743" s="23">
        <f>AY743</f>
        <v>4.4247787610619467</v>
      </c>
      <c r="BC743" s="18">
        <v>0</v>
      </c>
      <c r="BD743" s="23">
        <v>0</v>
      </c>
      <c r="BE743" s="23">
        <v>0</v>
      </c>
      <c r="BF743" s="18">
        <v>0</v>
      </c>
      <c r="BG743" s="77">
        <v>0</v>
      </c>
      <c r="BH743" s="23">
        <v>0</v>
      </c>
      <c r="BI743" s="16">
        <v>1</v>
      </c>
      <c r="BJ743" s="23">
        <v>1</v>
      </c>
      <c r="BK743" s="23">
        <f>1/AS743</f>
        <v>4.4247787610619467</v>
      </c>
      <c r="BL743" s="16">
        <f>IF(BM743&gt;0,1,0)</f>
        <v>0</v>
      </c>
      <c r="BM743" s="16">
        <f>SUM(BR743,BU743,BX743,CA743,CD743,CG743,CJ743,CM743,CP743)</f>
        <v>0</v>
      </c>
      <c r="BN743" s="16">
        <f>SUM(BW743,BZ743,CC743,CF743,CI743,CL743,CO743,CR743,BT743)</f>
        <v>0</v>
      </c>
      <c r="BO743" s="16">
        <f>IF(BP743&gt;0,1,0)</f>
        <v>0</v>
      </c>
      <c r="BP743" s="16">
        <f>SUM(BU743,BX743,CA743,CD743,BR743)</f>
        <v>0</v>
      </c>
      <c r="BQ743" s="16">
        <f>SUM(BZ743,CC743,CF743,BT743,BW743)</f>
        <v>0</v>
      </c>
      <c r="BR743" s="18">
        <v>0</v>
      </c>
      <c r="BS743" s="23">
        <v>0</v>
      </c>
      <c r="BT743" s="77">
        <f>BS743/AS743</f>
        <v>0</v>
      </c>
      <c r="BU743" s="18">
        <v>0</v>
      </c>
      <c r="BV743" s="23">
        <v>0</v>
      </c>
      <c r="BW743" s="18">
        <f>BV743/AS743</f>
        <v>0</v>
      </c>
      <c r="BX743" s="18">
        <v>0</v>
      </c>
      <c r="BY743" s="23">
        <v>0</v>
      </c>
      <c r="BZ743" s="16">
        <f>BY743/AS743</f>
        <v>0</v>
      </c>
      <c r="CA743" s="24">
        <v>0</v>
      </c>
      <c r="CB743" s="23">
        <v>0</v>
      </c>
      <c r="CC743" s="23">
        <v>0</v>
      </c>
      <c r="CD743" s="78">
        <v>0</v>
      </c>
      <c r="CE743" s="23">
        <v>0</v>
      </c>
      <c r="CF743" s="23">
        <v>0</v>
      </c>
      <c r="CG743" s="23"/>
      <c r="CH743" s="23"/>
      <c r="CI743" s="23"/>
      <c r="CJ743" s="23"/>
      <c r="CK743" s="23"/>
      <c r="CL743" s="23"/>
      <c r="CM743" s="23"/>
      <c r="CN743" s="23"/>
      <c r="CO743" s="23"/>
      <c r="CP743" s="23" t="s">
        <v>123</v>
      </c>
      <c r="CQ743" s="23">
        <v>0</v>
      </c>
      <c r="CR743" s="23">
        <v>0</v>
      </c>
      <c r="CS743" s="18">
        <f>IF(CT743&gt;0,1,0)</f>
        <v>0</v>
      </c>
      <c r="CT743" s="25">
        <f>SUM(CW743,CZ743,DC743)</f>
        <v>0</v>
      </c>
      <c r="CU743" s="25"/>
      <c r="CV743" s="23">
        <v>0</v>
      </c>
      <c r="CW743" s="25">
        <v>0</v>
      </c>
      <c r="CX743" s="23">
        <v>0</v>
      </c>
      <c r="CY743" s="23">
        <v>0</v>
      </c>
      <c r="CZ743" s="25">
        <v>0</v>
      </c>
      <c r="DA743" s="23">
        <v>0</v>
      </c>
      <c r="DB743" s="23">
        <v>0</v>
      </c>
      <c r="DC743" s="25">
        <v>0</v>
      </c>
      <c r="DD743" s="23">
        <v>0</v>
      </c>
      <c r="DE743" s="23">
        <v>0</v>
      </c>
      <c r="DF743" s="16" t="e">
        <f>VLOOKUP(K743,'[3]RNA Seq summary tables'!$V$3:$V$99,1,FALSE)</f>
        <v>#N/A</v>
      </c>
      <c r="DG743" s="16">
        <v>1</v>
      </c>
      <c r="DH743" s="16" t="str">
        <f>VLOOKUP(D743,'[8]Data with duplicates'!$B$1:$J$70,9,FALSE)</f>
        <v>sample.23</v>
      </c>
      <c r="DI743" s="23"/>
      <c r="DJ743" s="23"/>
      <c r="DK743" s="23"/>
      <c r="DL743" s="23"/>
      <c r="DM743" s="23"/>
      <c r="DN743" s="23"/>
      <c r="DO743" s="23"/>
      <c r="DP743" s="23"/>
      <c r="DQ743" s="23"/>
      <c r="DR743" s="23"/>
      <c r="DS743" s="23"/>
      <c r="DT743" s="25"/>
      <c r="DU743" s="25"/>
      <c r="DV743" s="25"/>
      <c r="DW743" s="25"/>
      <c r="DX743" s="25"/>
      <c r="DY743" s="25"/>
      <c r="DZ743" s="25"/>
      <c r="EA743" s="25"/>
      <c r="EB743" s="25"/>
      <c r="EC743" s="25"/>
      <c r="ED743" s="25"/>
      <c r="EE743" s="25"/>
      <c r="EF743" s="25"/>
      <c r="EG743" s="25"/>
      <c r="EH743" s="25"/>
      <c r="EI743" s="25"/>
      <c r="EJ743" s="25"/>
      <c r="EK743" s="25"/>
      <c r="EL743" s="25"/>
      <c r="EM743" s="25"/>
      <c r="EN743" s="25"/>
      <c r="EO743" s="25"/>
      <c r="EP743" s="25"/>
      <c r="EQ743" s="25"/>
      <c r="ER743" s="25"/>
      <c r="ES743" s="25"/>
      <c r="ET743" s="25"/>
      <c r="EU743" s="25"/>
      <c r="EV743" s="25"/>
      <c r="EW743" s="25"/>
      <c r="EX743" s="25"/>
      <c r="EY743" s="25"/>
      <c r="EZ743" s="25"/>
      <c r="FA743" s="25"/>
      <c r="FB743" s="25"/>
      <c r="FC743" s="25"/>
      <c r="FD743" s="25"/>
      <c r="FE743" s="25"/>
      <c r="FF743" s="25"/>
      <c r="FG743" s="25"/>
      <c r="FH743" s="25"/>
      <c r="FI743" s="25"/>
      <c r="FJ743" s="25"/>
      <c r="FK743" s="25"/>
      <c r="FL743" s="25"/>
      <c r="FM743" s="25"/>
      <c r="FN743" s="25"/>
      <c r="FO743" s="25"/>
      <c r="FP743" s="25"/>
      <c r="FQ743" s="25"/>
      <c r="FR743" s="25"/>
      <c r="FS743" s="25"/>
      <c r="FT743" s="25"/>
      <c r="FU743" s="25"/>
      <c r="FV743" s="25"/>
      <c r="FW743" s="25"/>
      <c r="FX743" s="25"/>
      <c r="FY743" s="25"/>
      <c r="FZ743" s="25"/>
      <c r="GA743" s="25"/>
      <c r="GB743" s="25"/>
      <c r="GC743" s="25"/>
      <c r="GD743" s="25"/>
      <c r="GE743" s="25"/>
      <c r="GF743" s="25"/>
      <c r="GG743" s="25"/>
      <c r="GH743" s="25"/>
      <c r="GI743" s="25"/>
      <c r="GJ743" s="25"/>
      <c r="GK743" s="25"/>
      <c r="GL743" s="25"/>
      <c r="GM743" s="25"/>
      <c r="GN743" s="25"/>
      <c r="GO743" s="25"/>
      <c r="GP743" s="25"/>
      <c r="GQ743" s="25"/>
      <c r="GR743" s="25"/>
      <c r="GS743" s="25"/>
      <c r="GT743" s="25"/>
      <c r="GU743" s="25"/>
      <c r="GV743" s="25"/>
      <c r="GW743" s="25"/>
      <c r="GX743" s="25"/>
      <c r="GY743" s="25"/>
      <c r="GZ743" s="25"/>
      <c r="HA743" s="25"/>
      <c r="HB743" s="25"/>
      <c r="HC743" s="25"/>
      <c r="HD743" s="25"/>
      <c r="HE743" s="25"/>
      <c r="HF743" s="25"/>
      <c r="HG743" s="25"/>
      <c r="HH743" s="25"/>
      <c r="HI743" s="25"/>
      <c r="HJ743" s="25"/>
      <c r="HK743" s="25"/>
      <c r="HL743" s="25"/>
      <c r="HM743" s="25"/>
      <c r="HN743" s="25"/>
      <c r="HO743" s="25"/>
      <c r="HP743" s="25"/>
      <c r="HQ743" s="25"/>
      <c r="HR743" s="25"/>
      <c r="HS743" s="25"/>
      <c r="HT743" s="25"/>
      <c r="HU743" s="25"/>
      <c r="HV743" s="25"/>
      <c r="HW743" s="25"/>
      <c r="HX743" s="25"/>
      <c r="HY743" s="25"/>
      <c r="HZ743" s="25"/>
      <c r="IA743" s="25"/>
      <c r="IB743" s="25"/>
      <c r="IC743" s="25"/>
      <c r="ID743" s="25"/>
      <c r="IE743" s="25"/>
      <c r="IF743" s="25"/>
      <c r="IG743" s="25"/>
      <c r="IH743" s="25"/>
      <c r="II743" s="25"/>
      <c r="IJ743" s="25"/>
      <c r="IK743" s="25"/>
      <c r="IL743" s="25"/>
      <c r="IM743" s="25"/>
      <c r="IN743" s="25"/>
      <c r="IO743" s="25"/>
      <c r="IP743" s="25"/>
      <c r="IQ743" s="25"/>
      <c r="IR743" s="25"/>
      <c r="IS743" s="25"/>
      <c r="IT743" s="25"/>
      <c r="IU743" s="25"/>
      <c r="IV743" s="25"/>
      <c r="IW743" s="25"/>
      <c r="IX743" s="25"/>
      <c r="IY743" s="25"/>
      <c r="IZ743" s="25"/>
      <c r="JA743" s="25"/>
      <c r="JB743" s="25"/>
      <c r="JC743" s="25"/>
      <c r="JD743" s="25"/>
      <c r="JE743" s="25"/>
      <c r="JF743" s="25"/>
      <c r="JG743" s="25"/>
      <c r="JH743" s="25"/>
      <c r="JI743" s="25"/>
      <c r="JJ743" s="25"/>
      <c r="JK743" s="25"/>
      <c r="JL743" s="25"/>
      <c r="JM743" s="25"/>
      <c r="JN743" s="25"/>
      <c r="JR743" s="26"/>
      <c r="JS743" s="26"/>
      <c r="JT743" s="26"/>
      <c r="JU743" s="26"/>
      <c r="JV743" s="26"/>
      <c r="JW743" s="26"/>
      <c r="JX743" s="26"/>
      <c r="JY743" s="26"/>
      <c r="JZ743" s="26"/>
      <c r="KA743" s="26"/>
      <c r="KB743" s="26"/>
    </row>
    <row r="744" spans="1:288" ht="16" x14ac:dyDescent="0.2">
      <c r="B744" s="16">
        <v>2017</v>
      </c>
      <c r="C744" s="20">
        <v>42973</v>
      </c>
      <c r="D744" s="20" t="str">
        <f>CONCATENATE(J744,"-",C744)</f>
        <v>83-42973</v>
      </c>
      <c r="E744" s="37" t="str">
        <f>CONCATENATE(T744,"-",U744,"-",C744)</f>
        <v>SP2-D7-42973</v>
      </c>
      <c r="F744" s="37" t="s">
        <v>224</v>
      </c>
      <c r="G744" s="20" t="s">
        <v>107</v>
      </c>
      <c r="I744" s="16">
        <v>0</v>
      </c>
      <c r="J744" s="36">
        <v>83</v>
      </c>
      <c r="K744" s="36">
        <v>2265</v>
      </c>
      <c r="L744" s="18">
        <v>0</v>
      </c>
      <c r="M744" s="36">
        <f>VLOOKUP($K744,'[4]blood tubes 2017'!$D$1:$L$947,8,FALSE)</f>
        <v>0</v>
      </c>
      <c r="N744" s="36">
        <v>0</v>
      </c>
      <c r="O744" s="15" t="s">
        <v>214</v>
      </c>
      <c r="P744" s="18" t="s">
        <v>110</v>
      </c>
      <c r="Q744" s="18">
        <v>0</v>
      </c>
      <c r="R744" s="18" t="s">
        <v>111</v>
      </c>
      <c r="S744" s="18"/>
      <c r="T744" s="18" t="s">
        <v>137</v>
      </c>
      <c r="U744" s="18" t="s">
        <v>177</v>
      </c>
      <c r="V744" s="18" t="s">
        <v>114</v>
      </c>
      <c r="W744" s="16">
        <f>AI744/AG744</f>
        <v>0.8</v>
      </c>
      <c r="X744" s="16" t="s">
        <v>121</v>
      </c>
      <c r="Y744" s="16" t="s">
        <v>110</v>
      </c>
      <c r="Z744" s="16">
        <v>3</v>
      </c>
      <c r="AA744" s="16" t="s">
        <v>161</v>
      </c>
      <c r="AB744" s="16" t="s">
        <v>240</v>
      </c>
      <c r="AC744" s="16" t="s">
        <v>123</v>
      </c>
      <c r="AD744" s="16" t="s">
        <v>116</v>
      </c>
      <c r="AG744" s="16">
        <v>90</v>
      </c>
      <c r="AH744" s="16">
        <v>162</v>
      </c>
      <c r="AI744" s="16">
        <v>72</v>
      </c>
      <c r="AK744" s="16">
        <v>27.5</v>
      </c>
      <c r="AL744" s="16">
        <v>0</v>
      </c>
      <c r="AM744" s="16">
        <v>0</v>
      </c>
      <c r="AN744" s="16">
        <v>0</v>
      </c>
      <c r="AO744" s="16">
        <v>0</v>
      </c>
      <c r="AP744" s="16">
        <f>SUM(AL744:AN744)</f>
        <v>0</v>
      </c>
      <c r="AQ744" s="16">
        <v>1.8779999999999999</v>
      </c>
      <c r="AR744" s="16">
        <f>AP744-1.472</f>
        <v>-1.472</v>
      </c>
      <c r="AS744" s="16">
        <f>AQ744-1.472</f>
        <v>0.40599999999999992</v>
      </c>
      <c r="AT744" s="16" t="str">
        <f>VLOOKUP(E744,[2]Current!$A$1:$W$435,7,FALSE)</f>
        <v>TE</v>
      </c>
      <c r="AU744" s="16" t="s">
        <v>1288</v>
      </c>
      <c r="AV744" s="23">
        <v>1</v>
      </c>
      <c r="AW744" s="128">
        <f>IF(AX744&gt;0,1,0)</f>
        <v>0</v>
      </c>
      <c r="AX744" s="128">
        <f>SUM(BA744,BM744,CU744)</f>
        <v>0</v>
      </c>
      <c r="AY744" s="128">
        <f>SUM(BB744,BN744,CV744)</f>
        <v>0</v>
      </c>
      <c r="AZ744" s="128">
        <f>IF(BA744&gt;0,1,0)</f>
        <v>0</v>
      </c>
      <c r="BA744" s="128">
        <f>SUM(BC744+BF744+BI744)</f>
        <v>0</v>
      </c>
      <c r="BB744" s="128">
        <f>SUM(BE744,BH744,BK744)</f>
        <v>0</v>
      </c>
      <c r="BC744" s="130">
        <f>IF(BD744&gt;0,1,0)</f>
        <v>0</v>
      </c>
      <c r="BD744" s="128">
        <f>VLOOKUP($E744,[2]Current!$A:$AC,26,FALSE)</f>
        <v>0</v>
      </c>
      <c r="BE744" s="128">
        <f>BD744/$AS744</f>
        <v>0</v>
      </c>
      <c r="BF744" s="130">
        <f>IF(BG744&gt;0,1,0)</f>
        <v>0</v>
      </c>
      <c r="BG744" s="137">
        <f>VLOOKUP($E744,[2]Current!$A:$AC,27,FALSE)</f>
        <v>0</v>
      </c>
      <c r="BH744" s="128">
        <f>BG744/$AS744</f>
        <v>0</v>
      </c>
      <c r="BI744" s="130">
        <f>IF(BJ744&gt;0,1,0)</f>
        <v>0</v>
      </c>
      <c r="BJ744" s="128">
        <f>VLOOKUP($E744,[2]Current!$A:$AC,28,FALSE)</f>
        <v>0</v>
      </c>
      <c r="BK744" s="128">
        <f>BJ744/$AS744</f>
        <v>0</v>
      </c>
      <c r="BL744" s="128">
        <f>IF(BM744&gt;0,1,0)</f>
        <v>0</v>
      </c>
      <c r="BM744" s="128">
        <f>SUM(BR744,BU744,BX744,CA744,CD744)</f>
        <v>0</v>
      </c>
      <c r="BN744" s="131">
        <f>SUM(BT744,BW744,BZ744,CC744,CF744)</f>
        <v>0</v>
      </c>
      <c r="BO744" s="128">
        <f>IF(BP744&gt;0,1,0)</f>
        <v>0</v>
      </c>
      <c r="BP744" s="128">
        <f>BM744+CJ744</f>
        <v>0</v>
      </c>
      <c r="BQ744" s="128">
        <f>BN744+CL744</f>
        <v>0</v>
      </c>
      <c r="BR744" s="130">
        <f>IF(BS744&gt;0,1,0)</f>
        <v>0</v>
      </c>
      <c r="BS744" s="128">
        <f>VLOOKUP($E744,[2]Current!$A:$AC,12,FALSE)</f>
        <v>0</v>
      </c>
      <c r="BT744" s="137">
        <f>BS744/$AS744</f>
        <v>0</v>
      </c>
      <c r="BU744" s="130">
        <f>IF(BV744&gt;0,1,0)</f>
        <v>0</v>
      </c>
      <c r="BV744" s="128">
        <f>VLOOKUP($E744,[2]Current!$A:$AC,13,FALSE)</f>
        <v>0</v>
      </c>
      <c r="BW744" s="128">
        <f>BV744/$AS744</f>
        <v>0</v>
      </c>
      <c r="BX744" s="130">
        <f>IF(BY744&gt;0,1,0)</f>
        <v>0</v>
      </c>
      <c r="BY744" s="128">
        <f>VLOOKUP($E744,[2]Current!$A:$AC,14,FALSE)</f>
        <v>0</v>
      </c>
      <c r="BZ744" s="128">
        <f>BY744/$AS744</f>
        <v>0</v>
      </c>
      <c r="CA744" s="130">
        <f>IF(CB744&gt;0,1,0)</f>
        <v>0</v>
      </c>
      <c r="CB744" s="128">
        <f>VLOOKUP($E744,[2]Current!$A:$AC,15,FALSE)</f>
        <v>0</v>
      </c>
      <c r="CC744" s="128">
        <f>CB744/$AS744</f>
        <v>0</v>
      </c>
      <c r="CD744" s="174">
        <f>IF(CE744&gt;0,1,0)</f>
        <v>0</v>
      </c>
      <c r="CE744" s="128">
        <f>VLOOKUP($E744,[2]Current!$A:$AC,16,FALSE)</f>
        <v>0</v>
      </c>
      <c r="CF744" s="128">
        <f>CE744/$AS744</f>
        <v>0</v>
      </c>
      <c r="CG744" s="18"/>
      <c r="CH744" s="18"/>
      <c r="CI744" s="18"/>
      <c r="CJ744" s="130">
        <f>IF(CK744&gt;0,1,0)</f>
        <v>0</v>
      </c>
      <c r="CK744" s="128">
        <f>VLOOKUP($E744,[2]Current!$A:$AC,18,FALSE)</f>
        <v>0</v>
      </c>
      <c r="CL744" s="128">
        <f>CK744/$AS744</f>
        <v>0</v>
      </c>
      <c r="CS744" s="130">
        <f>IF(CU744&gt;0,1,0)</f>
        <v>0</v>
      </c>
      <c r="CU744" s="128">
        <f>VLOOKUP($E744,[2]Current!$A:$AC,17,FALSE)</f>
        <v>0</v>
      </c>
      <c r="CV744" s="128">
        <f>CU744/$AS744</f>
        <v>0</v>
      </c>
      <c r="CW744" s="18"/>
      <c r="CX744" s="18"/>
      <c r="CY744" s="18"/>
      <c r="DF744" s="16" t="e">
        <f>VLOOKUP(K744,'[3]RNA Seq summary tables'!$V$3:$V$99,1,FALSE)</f>
        <v>#N/A</v>
      </c>
    </row>
    <row r="745" spans="1:288" s="18" customFormat="1" x14ac:dyDescent="0.2">
      <c r="A745" s="30"/>
      <c r="B745" s="30">
        <v>2016</v>
      </c>
      <c r="C745" s="31">
        <v>42524</v>
      </c>
      <c r="D745" s="31" t="str">
        <f>CONCATENATE(J745,"-",C745)</f>
        <v>925-42524</v>
      </c>
      <c r="E745" s="20" t="str">
        <f>CONCATENATE(T745,"-",U745,"-",C745)</f>
        <v>SP2-B4-42524</v>
      </c>
      <c r="F745" s="31" t="s">
        <v>106</v>
      </c>
      <c r="G745" s="31" t="s">
        <v>107</v>
      </c>
      <c r="H745" s="30" t="s">
        <v>143</v>
      </c>
      <c r="I745" s="30">
        <v>1</v>
      </c>
      <c r="J745" s="32">
        <v>925</v>
      </c>
      <c r="K745" s="32">
        <v>1352</v>
      </c>
      <c r="L745" s="30">
        <v>0</v>
      </c>
      <c r="M745" s="35">
        <f>VLOOKUP(K745,'[7]MLBS 2016 SNV-nem Coinfection d'!$C$1:$G$238,4,FALSE)</f>
        <v>0</v>
      </c>
      <c r="N745" s="35">
        <v>0</v>
      </c>
      <c r="O745" s="35" t="s">
        <v>214</v>
      </c>
      <c r="P745" s="30" t="s">
        <v>110</v>
      </c>
      <c r="Q745" s="30">
        <v>0</v>
      </c>
      <c r="R745" s="30" t="s">
        <v>111</v>
      </c>
      <c r="S745" s="30"/>
      <c r="T745" s="30" t="s">
        <v>137</v>
      </c>
      <c r="U745" s="30" t="s">
        <v>144</v>
      </c>
      <c r="V745" s="30" t="s">
        <v>114</v>
      </c>
      <c r="W745" s="30">
        <f>AI745/AG745</f>
        <v>0.8666666666666667</v>
      </c>
      <c r="X745" s="30" t="s">
        <v>121</v>
      </c>
      <c r="Y745" s="30" t="s">
        <v>145</v>
      </c>
      <c r="Z745" s="30">
        <v>1</v>
      </c>
      <c r="AA745" s="30" t="s">
        <v>119</v>
      </c>
      <c r="AB745" s="30" t="s">
        <v>123</v>
      </c>
      <c r="AC745" s="30" t="s">
        <v>123</v>
      </c>
      <c r="AD745" s="30" t="s">
        <v>123</v>
      </c>
      <c r="AE745" s="30"/>
      <c r="AF745" s="30"/>
      <c r="AG745" s="30">
        <f>AH745-AI745</f>
        <v>75</v>
      </c>
      <c r="AH745" s="30">
        <v>140</v>
      </c>
      <c r="AI745" s="30">
        <v>65</v>
      </c>
      <c r="AJ745" s="30"/>
      <c r="AK745" s="30">
        <v>15</v>
      </c>
      <c r="AL745" s="30">
        <v>0</v>
      </c>
      <c r="AM745" s="30">
        <v>0</v>
      </c>
      <c r="AN745" s="30">
        <v>0</v>
      </c>
      <c r="AO745" s="30">
        <f>IF(SUM(AL745:AN745)&gt;0,1,0)</f>
        <v>0</v>
      </c>
      <c r="AP745" s="30">
        <f>SUM(AL745:AN745)</f>
        <v>0</v>
      </c>
      <c r="AQ745" s="30">
        <f>1.477+AS745</f>
        <v>1.62</v>
      </c>
      <c r="AR745" s="30">
        <v>0.14299999999999999</v>
      </c>
      <c r="AS745" s="30">
        <v>0.14299999999999999</v>
      </c>
      <c r="AT745" s="30" t="s">
        <v>124</v>
      </c>
      <c r="AU745" s="30"/>
      <c r="AV745" s="30"/>
      <c r="AW745" s="33">
        <v>1</v>
      </c>
      <c r="AX745" s="30"/>
      <c r="AY745" s="30">
        <f>47/0.143</f>
        <v>328.67132867132869</v>
      </c>
      <c r="AZ745" s="30">
        <v>1</v>
      </c>
      <c r="BA745" s="30"/>
      <c r="BB745" s="30">
        <f>AY745</f>
        <v>328.67132867132869</v>
      </c>
      <c r="BC745" s="30">
        <v>0</v>
      </c>
      <c r="BD745" s="30">
        <v>0</v>
      </c>
      <c r="BE745" s="30">
        <v>0</v>
      </c>
      <c r="BF745" s="30">
        <v>1</v>
      </c>
      <c r="BG745" s="86">
        <v>43</v>
      </c>
      <c r="BH745" s="30">
        <f>43/0.143</f>
        <v>300.69930069930075</v>
      </c>
      <c r="BI745" s="30">
        <v>1</v>
      </c>
      <c r="BJ745" s="30">
        <v>4</v>
      </c>
      <c r="BK745" s="30">
        <f>4/0.143</f>
        <v>27.972027972027973</v>
      </c>
      <c r="BL745" s="30">
        <f>IF(BM745&gt;0,1,0)</f>
        <v>0</v>
      </c>
      <c r="BM745" s="30">
        <f>SUM(BR745,BU745,BX745,CA745,CD745,CG745,CJ745,CM745,CP745)</f>
        <v>0</v>
      </c>
      <c r="BN745" s="30">
        <f>SUM(BW745,BZ745,CC745,CF745,CI745,CL745,CO745,CR745,BT745)</f>
        <v>0</v>
      </c>
      <c r="BO745" s="30">
        <f>IF(BP745&gt;0,1,0)</f>
        <v>0</v>
      </c>
      <c r="BP745" s="30">
        <f>SUM(BU745,BX745,CA745,CD745,BR745)</f>
        <v>0</v>
      </c>
      <c r="BQ745" s="30">
        <f>SUM(BZ745,CC745,CF745,BT745,BW745)</f>
        <v>0</v>
      </c>
      <c r="BR745" s="30">
        <v>0</v>
      </c>
      <c r="BS745" s="30">
        <v>0</v>
      </c>
      <c r="BT745" s="86">
        <f>BS745/AS745</f>
        <v>0</v>
      </c>
      <c r="BU745" s="30">
        <v>0</v>
      </c>
      <c r="BV745" s="30">
        <v>0</v>
      </c>
      <c r="BW745" s="30">
        <f>BV745/AS745</f>
        <v>0</v>
      </c>
      <c r="BX745" s="30">
        <v>0</v>
      </c>
      <c r="BY745" s="30">
        <v>0</v>
      </c>
      <c r="BZ745" s="30">
        <f>BY745/AS745</f>
        <v>0</v>
      </c>
      <c r="CA745" s="33">
        <v>0</v>
      </c>
      <c r="CB745" s="30">
        <v>0</v>
      </c>
      <c r="CC745" s="30">
        <v>0</v>
      </c>
      <c r="CD745" s="86">
        <v>0</v>
      </c>
      <c r="CE745" s="30">
        <v>0</v>
      </c>
      <c r="CF745" s="30">
        <v>0</v>
      </c>
      <c r="CG745" s="30"/>
      <c r="CH745" s="30"/>
      <c r="CI745" s="30"/>
      <c r="CJ745" s="30"/>
      <c r="CK745" s="30"/>
      <c r="CL745" s="30"/>
      <c r="CM745" s="30"/>
      <c r="CN745" s="30"/>
      <c r="CO745" s="30"/>
      <c r="CP745" s="30" t="s">
        <v>123</v>
      </c>
      <c r="CQ745" s="30">
        <v>0</v>
      </c>
      <c r="CR745" s="30">
        <v>0</v>
      </c>
      <c r="CS745" s="30">
        <f>IF(CT745&gt;0,1,0)</f>
        <v>0</v>
      </c>
      <c r="CT745" s="34">
        <f>SUM(CW745,CZ745,DC745)</f>
        <v>0</v>
      </c>
      <c r="CU745" s="34"/>
      <c r="CV745" s="30">
        <v>0</v>
      </c>
      <c r="CW745" s="34">
        <v>0</v>
      </c>
      <c r="CX745" s="30">
        <v>0</v>
      </c>
      <c r="CY745" s="30">
        <v>0</v>
      </c>
      <c r="CZ745" s="30">
        <v>0</v>
      </c>
      <c r="DA745" s="30">
        <v>0</v>
      </c>
      <c r="DB745" s="30">
        <v>0</v>
      </c>
      <c r="DC745" s="30">
        <v>0</v>
      </c>
      <c r="DD745" s="30">
        <v>0</v>
      </c>
      <c r="DE745" s="30">
        <v>0</v>
      </c>
      <c r="DF745" s="16" t="e">
        <f>VLOOKUP(K745,'[3]RNA Seq summary tables'!$V$3:$V$99,1,FALSE)</f>
        <v>#N/A</v>
      </c>
      <c r="DG745" s="16"/>
      <c r="DH745" s="16"/>
      <c r="DI745" s="30"/>
      <c r="DJ745" s="30"/>
      <c r="DK745" s="30"/>
      <c r="DL745" s="30"/>
      <c r="DM745" s="30"/>
      <c r="DN745" s="30"/>
      <c r="DO745" s="30"/>
      <c r="DP745" s="30"/>
      <c r="DQ745" s="30"/>
      <c r="DR745" s="30"/>
      <c r="DS745" s="30"/>
      <c r="JO745" s="19"/>
      <c r="JP745" s="16"/>
      <c r="JQ745" s="16"/>
      <c r="JR745" s="16"/>
      <c r="JS745" s="16"/>
      <c r="JT745" s="16"/>
      <c r="JU745" s="16"/>
      <c r="JV745" s="16"/>
      <c r="JW745" s="16"/>
      <c r="JX745" s="16"/>
      <c r="JY745" s="16"/>
      <c r="JZ745" s="16"/>
      <c r="KA745" s="16"/>
      <c r="KB745" s="16"/>
    </row>
    <row r="746" spans="1:288" x14ac:dyDescent="0.2">
      <c r="B746" s="16">
        <v>2016</v>
      </c>
      <c r="C746" s="20">
        <v>42537</v>
      </c>
      <c r="D746" s="20" t="str">
        <f>CONCATENATE(J746,"-",C746)</f>
        <v>925-42537</v>
      </c>
      <c r="E746" s="20" t="str">
        <f>CONCATENATE(T746,"-",U746,"-",C746)</f>
        <v>SP2-A5-42537</v>
      </c>
      <c r="F746" s="20" t="s">
        <v>106</v>
      </c>
      <c r="G746" s="20" t="s">
        <v>107</v>
      </c>
      <c r="H746" s="16" t="s">
        <v>125</v>
      </c>
      <c r="I746" s="16">
        <v>0</v>
      </c>
      <c r="J746" s="21">
        <v>925</v>
      </c>
      <c r="K746" s="21">
        <v>1381</v>
      </c>
      <c r="L746" s="16">
        <v>0</v>
      </c>
      <c r="M746" s="15">
        <f>VLOOKUP(K746,'[7]MLBS 2016 SNV-nem Coinfection d'!$C$1:$G$238,4,FALSE)</f>
        <v>0</v>
      </c>
      <c r="N746" s="15">
        <v>0</v>
      </c>
      <c r="O746" s="15" t="s">
        <v>214</v>
      </c>
      <c r="P746" s="16" t="s">
        <v>308</v>
      </c>
      <c r="Q746" s="16">
        <v>1</v>
      </c>
      <c r="R746" s="16">
        <v>13</v>
      </c>
      <c r="T746" s="16" t="s">
        <v>137</v>
      </c>
      <c r="U746" s="16" t="s">
        <v>167</v>
      </c>
      <c r="V746" s="16" t="s">
        <v>114</v>
      </c>
      <c r="W746" s="16">
        <f>AI746/AG746</f>
        <v>0.88749999999999996</v>
      </c>
      <c r="X746" s="16" t="s">
        <v>115</v>
      </c>
      <c r="Y746" s="16" t="s">
        <v>110</v>
      </c>
      <c r="Z746" s="16">
        <v>3</v>
      </c>
      <c r="AE746" s="16" t="s">
        <v>123</v>
      </c>
      <c r="AF746" s="16" t="s">
        <v>123</v>
      </c>
      <c r="AG746" s="16">
        <f>AH746-AI746</f>
        <v>80</v>
      </c>
      <c r="AH746" s="16">
        <v>151</v>
      </c>
      <c r="AI746" s="16">
        <v>71</v>
      </c>
      <c r="AK746" s="16">
        <v>17.5</v>
      </c>
      <c r="AL746" s="16">
        <v>0</v>
      </c>
      <c r="AM746" s="16">
        <v>0</v>
      </c>
      <c r="AN746" s="16">
        <v>0</v>
      </c>
      <c r="AO746" s="16">
        <f>IF(SUM(AL746:AN746)&gt;0,1,0)</f>
        <v>0</v>
      </c>
      <c r="AP746" s="16">
        <f>SUM(AL746:AN746)</f>
        <v>0</v>
      </c>
      <c r="AQ746" s="16">
        <f>1.477+AS746</f>
        <v>1.7770000000000001</v>
      </c>
      <c r="AR746" s="16">
        <v>0.3</v>
      </c>
      <c r="AS746" s="16">
        <v>0.3</v>
      </c>
      <c r="AT746" s="16" t="s">
        <v>124</v>
      </c>
      <c r="AW746" s="22">
        <v>1</v>
      </c>
      <c r="AY746" s="16">
        <f>(19+267+16+327+19)/AS746</f>
        <v>2160</v>
      </c>
      <c r="AZ746" s="18">
        <v>1</v>
      </c>
      <c r="BB746" s="16">
        <f>(19+267+16)/AS746</f>
        <v>1006.6666666666667</v>
      </c>
      <c r="BC746" s="16">
        <v>1</v>
      </c>
      <c r="BD746" s="16">
        <v>19</v>
      </c>
      <c r="BE746" s="16">
        <f>19/AS746</f>
        <v>63.333333333333336</v>
      </c>
      <c r="BF746" s="18">
        <v>1</v>
      </c>
      <c r="BG746" s="77">
        <v>267</v>
      </c>
      <c r="BH746" s="16">
        <f>267/AS746</f>
        <v>890</v>
      </c>
      <c r="BI746" s="16">
        <v>1</v>
      </c>
      <c r="BJ746" s="16">
        <v>16</v>
      </c>
      <c r="BK746" s="16">
        <f>16/AS746</f>
        <v>53.333333333333336</v>
      </c>
      <c r="BL746" s="16">
        <f>IF(BM746&gt;0,1,0)</f>
        <v>0</v>
      </c>
      <c r="BM746" s="16">
        <f>SUM(BR746,BU746,BX746,CA746,CD746,CG746,CJ746,CM746,CP746)</f>
        <v>0</v>
      </c>
      <c r="BN746" s="16">
        <f>SUM(BW746,BZ746,CC746,CF746,CI746,CL746,CO746,CR746,BT746)</f>
        <v>0</v>
      </c>
      <c r="BO746" s="16">
        <f>IF(BP746&gt;0,1,0)</f>
        <v>0</v>
      </c>
      <c r="BP746" s="16">
        <f>SUM(BU746,BX746,CA746,CD746,BR746)</f>
        <v>0</v>
      </c>
      <c r="BQ746" s="16">
        <f>SUM(BZ746,CC746,CF746,BT746,BW746)</f>
        <v>0</v>
      </c>
      <c r="BR746" s="18">
        <v>0</v>
      </c>
      <c r="BS746" s="16">
        <v>0</v>
      </c>
      <c r="BT746" s="77">
        <f>BS746/AS746</f>
        <v>0</v>
      </c>
      <c r="BU746" s="18">
        <v>0</v>
      </c>
      <c r="BV746" s="16">
        <v>0</v>
      </c>
      <c r="BW746" s="18">
        <f>BV746/AS746</f>
        <v>0</v>
      </c>
      <c r="BX746" s="18">
        <v>0</v>
      </c>
      <c r="BY746" s="16">
        <v>0</v>
      </c>
      <c r="BZ746" s="16">
        <f>BY746/AS746</f>
        <v>0</v>
      </c>
      <c r="CA746" s="24">
        <v>0</v>
      </c>
      <c r="CB746" s="16">
        <v>0</v>
      </c>
      <c r="CC746" s="16">
        <v>0</v>
      </c>
      <c r="CD746" s="78">
        <v>0</v>
      </c>
      <c r="CE746" s="16">
        <v>0</v>
      </c>
      <c r="CF746" s="16">
        <v>0</v>
      </c>
      <c r="CP746" s="16" t="s">
        <v>123</v>
      </c>
      <c r="CQ746" s="16">
        <v>0</v>
      </c>
      <c r="CR746" s="16">
        <v>0</v>
      </c>
      <c r="CS746" s="18">
        <f>IF(CT746&gt;0,1,0)</f>
        <v>1</v>
      </c>
      <c r="CT746" s="25">
        <f>SUM(CW746,CZ746,DC746)</f>
        <v>2</v>
      </c>
      <c r="CU746" s="25"/>
      <c r="CV746" s="16">
        <f>(327+19)/AS746</f>
        <v>1153.3333333333335</v>
      </c>
      <c r="CW746" s="22">
        <v>1</v>
      </c>
      <c r="CX746" s="16">
        <v>327</v>
      </c>
      <c r="CY746" s="16">
        <f>327/AS746</f>
        <v>1090</v>
      </c>
      <c r="CZ746" s="16">
        <v>1</v>
      </c>
      <c r="DA746" s="16">
        <v>19</v>
      </c>
      <c r="DB746" s="16">
        <f>19/AS746</f>
        <v>63.333333333333336</v>
      </c>
      <c r="DC746" s="18">
        <v>0</v>
      </c>
      <c r="DD746" s="16">
        <v>0</v>
      </c>
      <c r="DE746" s="16">
        <v>0</v>
      </c>
      <c r="DF746" s="16" t="e">
        <f>VLOOKUP(K746,'[3]RNA Seq summary tables'!$V$3:$V$99,1,FALSE)</f>
        <v>#N/A</v>
      </c>
    </row>
    <row r="747" spans="1:288" x14ac:dyDescent="0.2">
      <c r="B747" s="16">
        <v>2016</v>
      </c>
      <c r="C747" s="20">
        <v>42551</v>
      </c>
      <c r="D747" s="20" t="str">
        <f>CONCATENATE(J747,"-",C747)</f>
        <v>925-42551</v>
      </c>
      <c r="E747" s="20" t="str">
        <f>CONCATENATE(T747,"-",U747,"-",C747)</f>
        <v>SP2-A8-42551</v>
      </c>
      <c r="F747" s="20" t="s">
        <v>106</v>
      </c>
      <c r="G747" s="20" t="s">
        <v>107</v>
      </c>
      <c r="I747" s="16">
        <v>0</v>
      </c>
      <c r="J747" s="21">
        <v>925</v>
      </c>
      <c r="K747" s="21">
        <v>1443</v>
      </c>
      <c r="L747" s="18">
        <v>0</v>
      </c>
      <c r="M747" s="15">
        <f>VLOOKUP(K747,'[7]MLBS 2016 SNV-nem Coinfection d'!$C$1:$G$238,4,FALSE)</f>
        <v>0</v>
      </c>
      <c r="N747" s="15">
        <v>0</v>
      </c>
      <c r="O747" s="15" t="s">
        <v>214</v>
      </c>
      <c r="P747" s="16" t="s">
        <v>110</v>
      </c>
      <c r="Q747" s="16">
        <v>1</v>
      </c>
      <c r="R747" s="16">
        <v>14</v>
      </c>
      <c r="T747" s="16" t="s">
        <v>137</v>
      </c>
      <c r="U747" s="16" t="s">
        <v>194</v>
      </c>
      <c r="V747" s="16" t="s">
        <v>114</v>
      </c>
      <c r="W747" s="16">
        <f>AI747/AG747</f>
        <v>0.86585365853658536</v>
      </c>
      <c r="X747" s="16" t="s">
        <v>115</v>
      </c>
      <c r="Y747" s="16" t="s">
        <v>110</v>
      </c>
      <c r="Z747" s="16">
        <v>3</v>
      </c>
      <c r="AE747" s="16" t="s">
        <v>116</v>
      </c>
      <c r="AF747" s="16" t="s">
        <v>116</v>
      </c>
      <c r="AG747" s="16">
        <f>AH747-AI747</f>
        <v>82</v>
      </c>
      <c r="AH747" s="16">
        <v>153</v>
      </c>
      <c r="AI747" s="16">
        <v>71</v>
      </c>
      <c r="AK747" s="16">
        <v>19.5</v>
      </c>
      <c r="AL747" s="16">
        <v>0</v>
      </c>
      <c r="AM747" s="16">
        <v>0</v>
      </c>
      <c r="AN747" s="16">
        <v>0</v>
      </c>
      <c r="AO747" s="16">
        <f>IF(SUM(AL747:AN747)&gt;0,1,0)</f>
        <v>0</v>
      </c>
      <c r="AP747" s="16">
        <f>SUM(AL747:AN747)</f>
        <v>0</v>
      </c>
      <c r="AQ747" s="16">
        <f>0.254+1.477</f>
        <v>1.7310000000000001</v>
      </c>
      <c r="AR747" s="16">
        <v>0.254</v>
      </c>
      <c r="AS747" s="16">
        <v>0.254</v>
      </c>
      <c r="AT747" s="16" t="s">
        <v>124</v>
      </c>
      <c r="AW747" s="22">
        <v>1</v>
      </c>
      <c r="AY747" s="16">
        <f>(79+764+33+50+16)/AS747</f>
        <v>3708.6614173228345</v>
      </c>
      <c r="AZ747" s="18">
        <v>1</v>
      </c>
      <c r="BB747" s="16">
        <f>(79+764+33)/AS747</f>
        <v>3448.8188976377951</v>
      </c>
      <c r="BC747" s="16">
        <v>1</v>
      </c>
      <c r="BD747" s="16">
        <v>79</v>
      </c>
      <c r="BE747" s="16">
        <f>79/AS747</f>
        <v>311.02362204724409</v>
      </c>
      <c r="BF747" s="18">
        <v>1</v>
      </c>
      <c r="BG747" s="77">
        <v>764</v>
      </c>
      <c r="BH747" s="16">
        <f>764/AS747</f>
        <v>3007.8740157480315</v>
      </c>
      <c r="BI747" s="16">
        <v>1</v>
      </c>
      <c r="BJ747" s="16">
        <v>33</v>
      </c>
      <c r="BK747" s="16">
        <f>33/AS747</f>
        <v>129.92125984251967</v>
      </c>
      <c r="BL747" s="16">
        <f>IF(BM747&gt;0,1,0)</f>
        <v>0</v>
      </c>
      <c r="BM747" s="16">
        <f>SUM(BR747,BU747,BX747,CA747,CD747,CG747,CJ747,CM747,CP747)</f>
        <v>0</v>
      </c>
      <c r="BN747" s="16">
        <f>SUM(BW747,BZ747,CC747,CF747,CI747,CL747,CO747,CR747,BT747)</f>
        <v>0</v>
      </c>
      <c r="BO747" s="16">
        <f>IF(BP747&gt;0,1,0)</f>
        <v>0</v>
      </c>
      <c r="BP747" s="16">
        <f>SUM(BU747,BX747,CA747,CD747,BR747)</f>
        <v>0</v>
      </c>
      <c r="BQ747" s="16">
        <f>SUM(BZ747,CC747,CF747,BT747,BW747)</f>
        <v>0</v>
      </c>
      <c r="BR747" s="18">
        <v>0</v>
      </c>
      <c r="BS747" s="16">
        <v>0</v>
      </c>
      <c r="BT747" s="77">
        <f>BS747/AS747</f>
        <v>0</v>
      </c>
      <c r="BU747" s="18">
        <v>0</v>
      </c>
      <c r="BV747" s="16">
        <v>0</v>
      </c>
      <c r="BW747" s="18">
        <f>BV747/AS747</f>
        <v>0</v>
      </c>
      <c r="BX747" s="18">
        <v>0</v>
      </c>
      <c r="BY747" s="16">
        <v>0</v>
      </c>
      <c r="BZ747" s="16">
        <f>BY747/AS747</f>
        <v>0</v>
      </c>
      <c r="CA747" s="24">
        <v>0</v>
      </c>
      <c r="CB747" s="16">
        <v>0</v>
      </c>
      <c r="CC747" s="16">
        <v>0</v>
      </c>
      <c r="CD747" s="78">
        <v>0</v>
      </c>
      <c r="CE747" s="16">
        <v>0</v>
      </c>
      <c r="CF747" s="16">
        <v>0</v>
      </c>
      <c r="CP747" s="16" t="s">
        <v>123</v>
      </c>
      <c r="CQ747" s="16">
        <v>0</v>
      </c>
      <c r="CR747" s="16">
        <v>0</v>
      </c>
      <c r="CS747" s="18">
        <f>IF(CT747&gt;0,1,0)</f>
        <v>1</v>
      </c>
      <c r="CT747" s="25">
        <f>SUM(CW747,CZ747,DC747)</f>
        <v>2</v>
      </c>
      <c r="CU747" s="25"/>
      <c r="CV747" s="16">
        <f>(50+16)/AS747</f>
        <v>259.84251968503935</v>
      </c>
      <c r="CW747" s="22">
        <v>1</v>
      </c>
      <c r="CX747" s="16">
        <v>50</v>
      </c>
      <c r="CY747" s="16">
        <f>50/AS747</f>
        <v>196.85039370078741</v>
      </c>
      <c r="CZ747" s="16">
        <v>1</v>
      </c>
      <c r="DA747" s="16">
        <v>16</v>
      </c>
      <c r="DB747" s="16">
        <f>16/AS747</f>
        <v>62.99212598425197</v>
      </c>
      <c r="DC747" s="18">
        <v>0</v>
      </c>
      <c r="DD747" s="16">
        <v>0</v>
      </c>
      <c r="DE747" s="16">
        <v>0</v>
      </c>
      <c r="DF747" s="16" t="e">
        <f>VLOOKUP(K747,'[3]RNA Seq summary tables'!$V$3:$V$99,1,FALSE)</f>
        <v>#N/A</v>
      </c>
    </row>
    <row r="748" spans="1:288" x14ac:dyDescent="0.2">
      <c r="B748" s="16">
        <v>2016</v>
      </c>
      <c r="C748" s="20">
        <v>42565</v>
      </c>
      <c r="D748" s="20" t="str">
        <f>CONCATENATE(J748,"-",C748)</f>
        <v>925-42565</v>
      </c>
      <c r="E748" s="20" t="str">
        <f>CONCATENATE(T748,"-",U748,"-",C748)</f>
        <v>SP2-C8-42565</v>
      </c>
      <c r="F748" s="20" t="s">
        <v>106</v>
      </c>
      <c r="G748" s="20" t="s">
        <v>107</v>
      </c>
      <c r="I748" s="16">
        <v>0</v>
      </c>
      <c r="J748" s="21">
        <v>925</v>
      </c>
      <c r="K748" s="21">
        <v>1486</v>
      </c>
      <c r="L748" s="18">
        <v>0</v>
      </c>
      <c r="M748" s="15">
        <f>VLOOKUP(K748,'[7]MLBS 2016 SNV-nem Coinfection d'!$C$1:$G$238,4,FALSE)</f>
        <v>0</v>
      </c>
      <c r="N748" s="15">
        <v>0</v>
      </c>
      <c r="O748" s="15" t="s">
        <v>214</v>
      </c>
      <c r="P748" s="16" t="s">
        <v>110</v>
      </c>
      <c r="Q748" s="16">
        <v>1</v>
      </c>
      <c r="R748" s="16">
        <v>14</v>
      </c>
      <c r="T748" s="16" t="s">
        <v>137</v>
      </c>
      <c r="U748" s="16" t="s">
        <v>188</v>
      </c>
      <c r="V748" s="16" t="s">
        <v>114</v>
      </c>
      <c r="W748" s="16">
        <f>AI748/AG748</f>
        <v>0.86904761904761907</v>
      </c>
      <c r="X748" s="16" t="s">
        <v>115</v>
      </c>
      <c r="Y748" s="16" t="s">
        <v>110</v>
      </c>
      <c r="Z748" s="16">
        <v>3</v>
      </c>
      <c r="AE748" s="16" t="s">
        <v>116</v>
      </c>
      <c r="AF748" s="16" t="s">
        <v>116</v>
      </c>
      <c r="AG748" s="16">
        <v>84</v>
      </c>
      <c r="AH748" s="16">
        <v>157</v>
      </c>
      <c r="AI748" s="16">
        <v>73</v>
      </c>
      <c r="AK748" s="16">
        <v>19</v>
      </c>
      <c r="AL748" s="16">
        <v>0</v>
      </c>
      <c r="AM748" s="16">
        <v>0</v>
      </c>
      <c r="AN748" s="16">
        <v>0</v>
      </c>
      <c r="AO748" s="16">
        <f>IF(SUM(AL748:AN748)&gt;0,1,0)</f>
        <v>0</v>
      </c>
      <c r="AP748" s="16">
        <f>SUM(AL748:AN748)</f>
        <v>0</v>
      </c>
      <c r="AQ748" s="16">
        <f>AS748+1.477</f>
        <v>1.7190000000000001</v>
      </c>
      <c r="AR748" s="16">
        <v>0.24199999999999999</v>
      </c>
      <c r="AS748" s="16">
        <v>0.24199999999999999</v>
      </c>
      <c r="AT748" s="16" t="s">
        <v>205</v>
      </c>
      <c r="AW748" s="22">
        <v>1</v>
      </c>
      <c r="AX748" s="16">
        <v>4</v>
      </c>
      <c r="AY748" s="16">
        <f>(209+2760+22+2)/AS748</f>
        <v>12367.768595041323</v>
      </c>
      <c r="AZ748" s="18">
        <v>1</v>
      </c>
      <c r="BA748" s="16">
        <v>3</v>
      </c>
      <c r="BB748" s="16">
        <f>(209+2760+22)/AS748</f>
        <v>12359.504132231405</v>
      </c>
      <c r="BC748" s="16">
        <v>1</v>
      </c>
      <c r="BD748" s="16">
        <v>209</v>
      </c>
      <c r="BE748" s="16">
        <f>BD748/AS748</f>
        <v>863.63636363636363</v>
      </c>
      <c r="BF748" s="18">
        <v>1</v>
      </c>
      <c r="BG748" s="77">
        <v>2760</v>
      </c>
      <c r="BH748" s="16">
        <f>2760/AS748</f>
        <v>11404.958677685951</v>
      </c>
      <c r="BI748" s="16">
        <v>1</v>
      </c>
      <c r="BJ748" s="16">
        <v>22</v>
      </c>
      <c r="BK748" s="16">
        <f>22/AS748</f>
        <v>90.909090909090907</v>
      </c>
      <c r="BL748" s="16">
        <f>IF(BM748&gt;0,1,0)</f>
        <v>0</v>
      </c>
      <c r="BM748" s="16">
        <f>SUM(BR748,BU748,BX748,CA748,CD748,CG748,CJ748,CM748,CP748)</f>
        <v>0</v>
      </c>
      <c r="BN748" s="16">
        <f>SUM(BW748,BZ748,CC748,CF748,CI748,CL748,CO748,CR748,BT748)</f>
        <v>0</v>
      </c>
      <c r="BO748" s="16">
        <f>IF(BP748&gt;0,1,0)</f>
        <v>0</v>
      </c>
      <c r="BP748" s="16">
        <f>SUM(BU748,BX748,CA748,CD748,BR748)</f>
        <v>0</v>
      </c>
      <c r="BQ748" s="16">
        <f>SUM(BZ748,CC748,CF748,BT748,BW748)</f>
        <v>0</v>
      </c>
      <c r="BR748" s="18">
        <v>0</v>
      </c>
      <c r="BS748" s="16">
        <v>0</v>
      </c>
      <c r="BT748" s="77">
        <f>BS748/AS748</f>
        <v>0</v>
      </c>
      <c r="BU748" s="18">
        <v>0</v>
      </c>
      <c r="BV748" s="16">
        <v>0</v>
      </c>
      <c r="BW748" s="18">
        <f>BV748/AS748</f>
        <v>0</v>
      </c>
      <c r="BX748" s="24">
        <v>0</v>
      </c>
      <c r="BY748" s="16">
        <v>0</v>
      </c>
      <c r="BZ748" s="16">
        <f>BY748/AS748</f>
        <v>0</v>
      </c>
      <c r="CA748" s="24">
        <v>0</v>
      </c>
      <c r="CB748" s="16">
        <v>0</v>
      </c>
      <c r="CC748" s="16">
        <v>0</v>
      </c>
      <c r="CD748" s="77">
        <v>0</v>
      </c>
      <c r="CE748" s="16">
        <v>0</v>
      </c>
      <c r="CF748" s="16">
        <v>0</v>
      </c>
      <c r="CP748" s="16" t="s">
        <v>123</v>
      </c>
      <c r="CQ748" s="16">
        <v>0</v>
      </c>
      <c r="CR748" s="16">
        <v>0</v>
      </c>
      <c r="CS748" s="18">
        <f>IF(CT748&gt;0,1,0)</f>
        <v>0</v>
      </c>
      <c r="CT748" s="25">
        <f>SUM(CW748,CZ748,DC748)</f>
        <v>0</v>
      </c>
      <c r="CU748" s="25"/>
      <c r="CV748" s="16">
        <v>0</v>
      </c>
      <c r="CW748" s="25">
        <v>0</v>
      </c>
      <c r="CX748" s="16">
        <v>0</v>
      </c>
      <c r="CY748" s="16">
        <v>0</v>
      </c>
      <c r="CZ748" s="18">
        <v>0</v>
      </c>
      <c r="DA748" s="16">
        <v>0</v>
      </c>
      <c r="DB748" s="16">
        <v>0</v>
      </c>
      <c r="DC748" s="18">
        <v>0</v>
      </c>
      <c r="DD748" s="16">
        <v>0</v>
      </c>
      <c r="DE748" s="16">
        <v>0</v>
      </c>
      <c r="DF748" s="16" t="e">
        <f>VLOOKUP(K748,'[3]RNA Seq summary tables'!$V$3:$V$99,1,FALSE)</f>
        <v>#N/A</v>
      </c>
    </row>
    <row r="749" spans="1:288" x14ac:dyDescent="0.2">
      <c r="B749" s="16">
        <v>2016</v>
      </c>
      <c r="C749" s="37">
        <v>42579</v>
      </c>
      <c r="D749" s="37" t="str">
        <f>CONCATENATE(J749,"-",C749)</f>
        <v>925-42579</v>
      </c>
      <c r="E749" s="20" t="str">
        <f>CONCATENATE(T749,"-",U749,"-",C749)</f>
        <v>SP2-D6-42579</v>
      </c>
      <c r="F749" s="20" t="s">
        <v>106</v>
      </c>
      <c r="G749" s="20" t="s">
        <v>107</v>
      </c>
      <c r="H749" s="18"/>
      <c r="I749" s="16">
        <v>0</v>
      </c>
      <c r="J749" s="36">
        <v>925</v>
      </c>
      <c r="K749" s="36">
        <v>1517</v>
      </c>
      <c r="L749" s="18">
        <v>0</v>
      </c>
      <c r="M749" s="15">
        <f>VLOOKUP(K749,'[7]MLBS 2016 SNV-nem Coinfection d'!$C$1:$G$238,4,FALSE)</f>
        <v>0</v>
      </c>
      <c r="N749" s="15">
        <v>0</v>
      </c>
      <c r="O749" s="15" t="s">
        <v>214</v>
      </c>
      <c r="P749" s="18" t="s">
        <v>110</v>
      </c>
      <c r="Q749" s="16">
        <v>1</v>
      </c>
      <c r="R749" s="18">
        <v>14</v>
      </c>
      <c r="S749" s="18"/>
      <c r="T749" s="18" t="s">
        <v>137</v>
      </c>
      <c r="U749" s="18" t="s">
        <v>186</v>
      </c>
      <c r="V749" s="18" t="s">
        <v>114</v>
      </c>
      <c r="W749" s="16">
        <f>AI749/AG749</f>
        <v>0.89411764705882357</v>
      </c>
      <c r="X749" s="18" t="s">
        <v>115</v>
      </c>
      <c r="Y749" s="18" t="s">
        <v>110</v>
      </c>
      <c r="Z749" s="18">
        <v>3</v>
      </c>
      <c r="AA749" s="18"/>
      <c r="AB749" s="18"/>
      <c r="AC749" s="18"/>
      <c r="AD749" s="18"/>
      <c r="AE749" s="18" t="s">
        <v>116</v>
      </c>
      <c r="AF749" s="18" t="s">
        <v>116</v>
      </c>
      <c r="AG749" s="18">
        <f>AH749-AI749</f>
        <v>85</v>
      </c>
      <c r="AH749" s="18">
        <v>161</v>
      </c>
      <c r="AI749" s="18">
        <v>76</v>
      </c>
      <c r="AJ749" s="18"/>
      <c r="AK749" s="18">
        <v>22</v>
      </c>
      <c r="AL749" s="16">
        <v>0</v>
      </c>
      <c r="AM749" s="16">
        <v>0</v>
      </c>
      <c r="AN749" s="16">
        <v>0</v>
      </c>
      <c r="AO749" s="16">
        <f>IF(SUM(AL749:AN749)&gt;0,1,0)</f>
        <v>0</v>
      </c>
      <c r="AP749" s="16">
        <f>SUM(AL749:AN749)</f>
        <v>0</v>
      </c>
      <c r="AQ749" s="18"/>
      <c r="AR749" s="18">
        <v>7.5999999999999998E-2</v>
      </c>
      <c r="AS749" s="18">
        <v>7.5999999999999998E-2</v>
      </c>
      <c r="AT749" s="18" t="s">
        <v>212</v>
      </c>
      <c r="AU749" s="18"/>
      <c r="AV749" s="18"/>
      <c r="AW749" s="22">
        <v>1</v>
      </c>
      <c r="AX749" s="18">
        <v>1</v>
      </c>
      <c r="AY749" s="18">
        <f>3/0.076</f>
        <v>39.473684210526315</v>
      </c>
      <c r="AZ749" s="18">
        <v>1</v>
      </c>
      <c r="BA749" s="18">
        <v>1</v>
      </c>
      <c r="BB749" s="18">
        <f>3/0.076</f>
        <v>39.473684210526315</v>
      </c>
      <c r="BC749" s="18">
        <v>0</v>
      </c>
      <c r="BD749" s="18">
        <v>0</v>
      </c>
      <c r="BE749" s="18">
        <v>0</v>
      </c>
      <c r="BF749" s="18">
        <v>1</v>
      </c>
      <c r="BG749" s="78">
        <v>3</v>
      </c>
      <c r="BH749" s="18">
        <f>3/0.076</f>
        <v>39.473684210526315</v>
      </c>
      <c r="BI749" s="18">
        <v>0</v>
      </c>
      <c r="BJ749" s="18">
        <v>0</v>
      </c>
      <c r="BK749" s="18">
        <v>0</v>
      </c>
      <c r="BL749" s="16">
        <f>IF(BM749&gt;0,1,0)</f>
        <v>0</v>
      </c>
      <c r="BM749" s="16">
        <f>SUM(BR749,BU749,BX749,CA749,CD749,CG749,CJ749,CM749,CP749)</f>
        <v>0</v>
      </c>
      <c r="BN749" s="16">
        <f>SUM(BW749,BZ749,CC749,CF749,CI749,CL749,CO749,CR749,BT749)</f>
        <v>0</v>
      </c>
      <c r="BO749" s="16">
        <f>IF(BP749&gt;0,1,0)</f>
        <v>0</v>
      </c>
      <c r="BP749" s="16">
        <f>SUM(BU749,BX749,CA749,CD749,BR749)</f>
        <v>0</v>
      </c>
      <c r="BQ749" s="16">
        <f>SUM(BZ749,CC749,CF749,BT749,BW749)</f>
        <v>0</v>
      </c>
      <c r="BR749" s="18">
        <v>0</v>
      </c>
      <c r="BS749" s="18">
        <v>0</v>
      </c>
      <c r="BT749" s="77">
        <f>BS749/AS749</f>
        <v>0</v>
      </c>
      <c r="BU749" s="18">
        <v>0</v>
      </c>
      <c r="BV749" s="18">
        <v>0</v>
      </c>
      <c r="BW749" s="18">
        <f>BV749/AS749</f>
        <v>0</v>
      </c>
      <c r="BX749" s="18">
        <v>0</v>
      </c>
      <c r="BY749" s="18">
        <v>0</v>
      </c>
      <c r="BZ749" s="16">
        <f>BY749/AS749</f>
        <v>0</v>
      </c>
      <c r="CA749" s="24">
        <v>0</v>
      </c>
      <c r="CB749" s="18">
        <v>0</v>
      </c>
      <c r="CC749" s="18">
        <v>0</v>
      </c>
      <c r="CD749" s="78">
        <v>0</v>
      </c>
      <c r="CE749" s="18">
        <v>0</v>
      </c>
      <c r="CF749" s="18">
        <v>0</v>
      </c>
      <c r="CG749" s="18"/>
      <c r="CH749" s="18"/>
      <c r="CI749" s="18"/>
      <c r="CJ749" s="18"/>
      <c r="CK749" s="18"/>
      <c r="CL749" s="18"/>
      <c r="CM749" s="18"/>
      <c r="CN749" s="18"/>
      <c r="CO749" s="18"/>
      <c r="CP749" s="18" t="s">
        <v>123</v>
      </c>
      <c r="CQ749" s="18">
        <v>0</v>
      </c>
      <c r="CR749" s="18">
        <v>0</v>
      </c>
      <c r="CS749" s="18">
        <f>IF(CT749&gt;0,1,0)</f>
        <v>0</v>
      </c>
      <c r="CT749" s="25">
        <f>SUM(CW749,CZ749,DC749)</f>
        <v>0</v>
      </c>
      <c r="CU749" s="25"/>
      <c r="CV749" s="18">
        <v>0</v>
      </c>
      <c r="CW749" s="25">
        <v>0</v>
      </c>
      <c r="CX749" s="18">
        <v>0</v>
      </c>
      <c r="CY749" s="18">
        <v>0</v>
      </c>
      <c r="CZ749" s="18">
        <v>0</v>
      </c>
      <c r="DA749" s="18">
        <v>0</v>
      </c>
      <c r="DB749" s="18">
        <v>0</v>
      </c>
      <c r="DC749" s="18">
        <v>0</v>
      </c>
      <c r="DD749" s="18">
        <v>0</v>
      </c>
      <c r="DE749" s="18">
        <v>0</v>
      </c>
      <c r="DF749" s="16" t="e">
        <f>VLOOKUP(K749,'[3]RNA Seq summary tables'!$V$3:$V$99,1,FALSE)</f>
        <v>#N/A</v>
      </c>
      <c r="DI749" s="18"/>
      <c r="DJ749" s="18"/>
      <c r="DK749" s="18"/>
      <c r="DL749" s="18"/>
      <c r="DM749" s="18"/>
      <c r="DN749" s="18"/>
      <c r="DO749" s="18"/>
      <c r="DP749" s="18"/>
      <c r="DQ749" s="18"/>
      <c r="DR749" s="18"/>
      <c r="DS749" s="18"/>
    </row>
    <row r="750" spans="1:288" x14ac:dyDescent="0.2">
      <c r="B750" s="16">
        <v>2016</v>
      </c>
      <c r="C750" s="20">
        <v>42525</v>
      </c>
      <c r="D750" s="20" t="str">
        <f>CONCATENATE(J750,"-",C750)</f>
        <v>927-42525</v>
      </c>
      <c r="E750" s="20" t="str">
        <f>CONCATENATE(T750,"-",U750,"-",C750)</f>
        <v>SP1-H4-42525</v>
      </c>
      <c r="F750" s="20" t="s">
        <v>106</v>
      </c>
      <c r="G750" s="20" t="s">
        <v>107</v>
      </c>
      <c r="H750" s="16" t="s">
        <v>125</v>
      </c>
      <c r="I750" s="16">
        <v>0</v>
      </c>
      <c r="J750" s="36">
        <v>927</v>
      </c>
      <c r="K750" s="36">
        <v>1425</v>
      </c>
      <c r="L750" s="16">
        <v>0</v>
      </c>
      <c r="M750" s="15">
        <f>VLOOKUP(K750,'[7]MLBS 2016 SNV-nem Coinfection d'!$C$1:$G$238,4,FALSE)</f>
        <v>0</v>
      </c>
      <c r="N750" s="15">
        <v>0</v>
      </c>
      <c r="O750" s="15" t="s">
        <v>214</v>
      </c>
      <c r="P750" s="16" t="s">
        <v>308</v>
      </c>
      <c r="Q750" s="16">
        <v>0</v>
      </c>
      <c r="R750" s="18" t="s">
        <v>111</v>
      </c>
      <c r="S750" s="18"/>
      <c r="T750" s="18" t="s">
        <v>140</v>
      </c>
      <c r="U750" s="18" t="s">
        <v>151</v>
      </c>
      <c r="V750" s="18" t="s">
        <v>114</v>
      </c>
      <c r="W750" s="16">
        <f>AI750/AG750</f>
        <v>0.83333333333333337</v>
      </c>
      <c r="X750" s="16" t="s">
        <v>115</v>
      </c>
      <c r="Y750" s="16" t="s">
        <v>110</v>
      </c>
      <c r="Z750" s="16">
        <v>3</v>
      </c>
      <c r="AE750" s="16" t="s">
        <v>123</v>
      </c>
      <c r="AF750" s="16" t="s">
        <v>123</v>
      </c>
      <c r="AG750" s="16">
        <f>AH750-AI750</f>
        <v>90</v>
      </c>
      <c r="AH750" s="16">
        <v>165</v>
      </c>
      <c r="AI750" s="16">
        <v>75</v>
      </c>
      <c r="AK750" s="16">
        <v>18</v>
      </c>
      <c r="AL750" s="16">
        <v>0</v>
      </c>
      <c r="AM750" s="16">
        <v>0</v>
      </c>
      <c r="AN750" s="16">
        <v>0</v>
      </c>
      <c r="AO750" s="16">
        <f>IF(SUM(AL750:AN750)&gt;0,1,0)</f>
        <v>0</v>
      </c>
      <c r="AP750" s="16">
        <f>SUM(AL750:AN750)</f>
        <v>0</v>
      </c>
      <c r="AQ750" s="16">
        <f>AS750+1.477</f>
        <v>1.7370000000000001</v>
      </c>
      <c r="AR750" s="16">
        <v>0.26</v>
      </c>
      <c r="AS750" s="16">
        <v>0.26</v>
      </c>
      <c r="AT750" s="16" t="s">
        <v>124</v>
      </c>
      <c r="AW750" s="22">
        <v>1</v>
      </c>
      <c r="AY750" s="16">
        <f>(490+2958+137)/AS750</f>
        <v>13788.461538461537</v>
      </c>
      <c r="AZ750" s="18">
        <v>1</v>
      </c>
      <c r="BB750" s="16">
        <f>(490+2958+137)/AS750</f>
        <v>13788.461538461537</v>
      </c>
      <c r="BC750" s="16">
        <v>1</v>
      </c>
      <c r="BD750" s="16">
        <v>490</v>
      </c>
      <c r="BE750" s="16">
        <f>490/AS750</f>
        <v>1884.6153846153845</v>
      </c>
      <c r="BF750" s="18">
        <v>1</v>
      </c>
      <c r="BG750" s="77">
        <v>2958</v>
      </c>
      <c r="BH750" s="16">
        <f>BG750/AS750</f>
        <v>11376.923076923076</v>
      </c>
      <c r="BI750" s="16">
        <v>1</v>
      </c>
      <c r="BJ750" s="16">
        <v>137</v>
      </c>
      <c r="BK750" s="16">
        <f>137/AS750</f>
        <v>526.92307692307691</v>
      </c>
      <c r="BL750" s="16">
        <f>IF(BM750&gt;0,1,0)</f>
        <v>0</v>
      </c>
      <c r="BM750" s="16">
        <f>SUM(BR750,BU750,BX750,CA750,CD750,CG750,CJ750,CM750,CP750)</f>
        <v>0</v>
      </c>
      <c r="BN750" s="16">
        <f>SUM(BW750,BZ750,CC750,CF750,CI750,CL750,CO750,CR750,BT750)</f>
        <v>0</v>
      </c>
      <c r="BO750" s="16">
        <f>IF(BP750&gt;0,1,0)</f>
        <v>0</v>
      </c>
      <c r="BP750" s="16">
        <f>SUM(BU750,BX750,CA750,CD750,BR750)</f>
        <v>0</v>
      </c>
      <c r="BQ750" s="16">
        <f>SUM(BZ750,CC750,CF750,BT750,BW750)</f>
        <v>0</v>
      </c>
      <c r="BR750" s="18">
        <v>0</v>
      </c>
      <c r="BS750" s="16">
        <v>0</v>
      </c>
      <c r="BT750" s="77">
        <f>BS750/AS750</f>
        <v>0</v>
      </c>
      <c r="BU750" s="18">
        <v>0</v>
      </c>
      <c r="BV750" s="16">
        <v>0</v>
      </c>
      <c r="BW750" s="18">
        <f>BV750/AS750</f>
        <v>0</v>
      </c>
      <c r="BX750" s="18">
        <v>0</v>
      </c>
      <c r="BY750" s="16">
        <v>0</v>
      </c>
      <c r="BZ750" s="16">
        <f>BY750/AS750</f>
        <v>0</v>
      </c>
      <c r="CA750" s="24">
        <v>0</v>
      </c>
      <c r="CB750" s="16">
        <v>0</v>
      </c>
      <c r="CC750" s="16">
        <v>0</v>
      </c>
      <c r="CD750" s="78">
        <v>0</v>
      </c>
      <c r="CE750" s="16">
        <v>0</v>
      </c>
      <c r="CF750" s="16">
        <v>0</v>
      </c>
      <c r="CP750" s="16" t="s">
        <v>123</v>
      </c>
      <c r="CQ750" s="16">
        <v>0</v>
      </c>
      <c r="CR750" s="16">
        <v>0</v>
      </c>
      <c r="CS750" s="18">
        <f>IF(CT750&gt;0,1,0)</f>
        <v>0</v>
      </c>
      <c r="CT750" s="25">
        <f>SUM(CW750,CZ750,DC750)</f>
        <v>0</v>
      </c>
      <c r="CU750" s="25"/>
      <c r="CV750" s="16">
        <v>0</v>
      </c>
      <c r="CW750" s="25">
        <v>0</v>
      </c>
      <c r="CX750" s="16">
        <v>0</v>
      </c>
      <c r="CY750" s="16">
        <v>0</v>
      </c>
      <c r="CZ750" s="18">
        <v>0</v>
      </c>
      <c r="DA750" s="16">
        <v>0</v>
      </c>
      <c r="DB750" s="16">
        <v>0</v>
      </c>
      <c r="DC750" s="18">
        <v>0</v>
      </c>
      <c r="DD750" s="16">
        <v>0</v>
      </c>
      <c r="DE750" s="16">
        <v>0</v>
      </c>
      <c r="DF750" s="16" t="e">
        <f>VLOOKUP(K750,'[3]RNA Seq summary tables'!$V$3:$V$99,1,FALSE)</f>
        <v>#N/A</v>
      </c>
      <c r="JO750" s="26"/>
    </row>
    <row r="751" spans="1:288" x14ac:dyDescent="0.2">
      <c r="B751" s="16">
        <v>2016</v>
      </c>
      <c r="C751" s="20">
        <v>42537</v>
      </c>
      <c r="D751" s="20" t="str">
        <f>CONCATENATE(J751,"-",C751)</f>
        <v>927-42537</v>
      </c>
      <c r="E751" s="20" t="str">
        <f>CONCATENATE(T751,"-",U751,"-",C751)</f>
        <v>SP1-F3-42537</v>
      </c>
      <c r="F751" s="20" t="s">
        <v>106</v>
      </c>
      <c r="G751" s="20" t="s">
        <v>107</v>
      </c>
      <c r="H751" s="16" t="s">
        <v>125</v>
      </c>
      <c r="I751" s="16">
        <v>0</v>
      </c>
      <c r="J751" s="21">
        <v>927</v>
      </c>
      <c r="K751" s="21">
        <v>1378</v>
      </c>
      <c r="L751" s="16">
        <v>0</v>
      </c>
      <c r="M751" s="15">
        <f>VLOOKUP(K751,'[7]MLBS 2016 SNV-nem Coinfection d'!$C$1:$G$238,4,FALSE)</f>
        <v>0</v>
      </c>
      <c r="N751" s="15">
        <v>0</v>
      </c>
      <c r="O751" s="15" t="s">
        <v>214</v>
      </c>
      <c r="P751" s="16" t="s">
        <v>308</v>
      </c>
      <c r="Q751" s="16">
        <v>1</v>
      </c>
      <c r="R751" s="16">
        <v>12</v>
      </c>
      <c r="T751" s="16" t="s">
        <v>140</v>
      </c>
      <c r="U751" s="16" t="s">
        <v>182</v>
      </c>
      <c r="V751" s="16" t="s">
        <v>114</v>
      </c>
      <c r="W751" s="16">
        <f>AI751/AG751</f>
        <v>0.95294117647058818</v>
      </c>
      <c r="X751" s="16" t="s">
        <v>115</v>
      </c>
      <c r="Y751" s="16" t="s">
        <v>110</v>
      </c>
      <c r="Z751" s="16">
        <v>3</v>
      </c>
      <c r="AE751" s="16" t="s">
        <v>123</v>
      </c>
      <c r="AF751" s="16" t="s">
        <v>123</v>
      </c>
      <c r="AG751" s="16">
        <f>AH751-AI751</f>
        <v>85</v>
      </c>
      <c r="AH751" s="16">
        <v>166</v>
      </c>
      <c r="AI751" s="16">
        <v>81</v>
      </c>
      <c r="AK751" s="16">
        <v>20.5</v>
      </c>
      <c r="AQ751" s="16">
        <f>0.505+1.477</f>
        <v>1.9820000000000002</v>
      </c>
      <c r="AR751" s="16">
        <v>0.505</v>
      </c>
      <c r="AS751" s="16">
        <v>0.505</v>
      </c>
      <c r="AT751" s="16" t="s">
        <v>124</v>
      </c>
      <c r="AW751" s="22">
        <v>1</v>
      </c>
      <c r="AY751" s="16">
        <f>(976+8881+350+1+82+29)/AS751</f>
        <v>20433.663366336634</v>
      </c>
      <c r="AZ751" s="18">
        <v>1</v>
      </c>
      <c r="BB751" s="16">
        <f>(976+8881+350)/AS751</f>
        <v>20211.881188118812</v>
      </c>
      <c r="BC751" s="16">
        <v>1</v>
      </c>
      <c r="BD751" s="16">
        <v>976</v>
      </c>
      <c r="BE751" s="16">
        <f>976/AS751</f>
        <v>1932.6732673267327</v>
      </c>
      <c r="BF751" s="18">
        <v>1</v>
      </c>
      <c r="BG751" s="77">
        <v>8881</v>
      </c>
      <c r="BH751" s="16">
        <f>8881/AS751</f>
        <v>17586.138613861385</v>
      </c>
      <c r="BI751" s="16">
        <v>1</v>
      </c>
      <c r="BJ751" s="16">
        <v>350</v>
      </c>
      <c r="BK751" s="16">
        <f>350/AS751</f>
        <v>693.06930693069307</v>
      </c>
      <c r="BL751" s="16">
        <f>IF(BM751&gt;0,1,0)</f>
        <v>1</v>
      </c>
      <c r="BM751" s="16">
        <f>SUM(BR751,BU751,BX751,CA751,CD751,CG751,CJ751,CM751,CP751)</f>
        <v>1</v>
      </c>
      <c r="BN751" s="16">
        <f>SUM(BW751,BZ751,CC751,CF751,CI751,CL751,CO751,CR751,BT751)</f>
        <v>1.9801980198019802</v>
      </c>
      <c r="BO751" s="16">
        <f>IF(BP751&gt;0,1,0)</f>
        <v>1</v>
      </c>
      <c r="BP751" s="16">
        <f>SUM(BU751,BX751,CA751,CD751,BR751)</f>
        <v>1</v>
      </c>
      <c r="BQ751" s="16">
        <f>SUM(BZ751,CC751,CF751,BT751,BW751)</f>
        <v>1.9801980198019802</v>
      </c>
      <c r="BR751" s="18">
        <v>0</v>
      </c>
      <c r="BS751" s="16">
        <v>0</v>
      </c>
      <c r="BT751" s="77">
        <f>BS751/AS751</f>
        <v>0</v>
      </c>
      <c r="BU751" s="18">
        <v>0</v>
      </c>
      <c r="BV751" s="16">
        <v>0</v>
      </c>
      <c r="BW751" s="18">
        <f>BV751/AS751</f>
        <v>0</v>
      </c>
      <c r="BX751" s="24">
        <v>1</v>
      </c>
      <c r="BY751" s="16">
        <v>1</v>
      </c>
      <c r="BZ751" s="16">
        <f>BY751/AS751</f>
        <v>1.9801980198019802</v>
      </c>
      <c r="CA751" s="24">
        <v>0</v>
      </c>
      <c r="CB751" s="16">
        <v>0</v>
      </c>
      <c r="CC751" s="16">
        <v>0</v>
      </c>
      <c r="CD751" s="77">
        <v>0</v>
      </c>
      <c r="CE751" s="16">
        <v>0</v>
      </c>
      <c r="CF751" s="16">
        <v>0</v>
      </c>
      <c r="CP751" s="16" t="s">
        <v>123</v>
      </c>
      <c r="CQ751" s="16">
        <v>0</v>
      </c>
      <c r="CR751" s="16">
        <v>0</v>
      </c>
      <c r="CS751" s="18">
        <f>IF(CT751&gt;0,1,0)</f>
        <v>1</v>
      </c>
      <c r="CT751" s="25">
        <f>SUM(CW751,CZ751,DC751)</f>
        <v>2</v>
      </c>
      <c r="CU751" s="25"/>
      <c r="CV751" s="16">
        <f>(82+29)/AS751</f>
        <v>219.80198019801981</v>
      </c>
      <c r="CW751" s="22">
        <v>1</v>
      </c>
      <c r="CX751" s="16">
        <v>82</v>
      </c>
      <c r="CY751" s="16">
        <f>82/AS751</f>
        <v>162.37623762376236</v>
      </c>
      <c r="CZ751" s="16">
        <v>1</v>
      </c>
      <c r="DA751" s="16">
        <v>29</v>
      </c>
      <c r="DB751" s="16">
        <f>29/AS751</f>
        <v>57.425742574257427</v>
      </c>
      <c r="DC751" s="18">
        <v>0</v>
      </c>
      <c r="DD751" s="16">
        <v>0</v>
      </c>
      <c r="DE751" s="16">
        <v>0</v>
      </c>
      <c r="DF751" s="16" t="e">
        <f>VLOOKUP(K751,'[3]RNA Seq summary tables'!$V$3:$V$99,1,FALSE)</f>
        <v>#N/A</v>
      </c>
      <c r="JR751" s="18"/>
      <c r="JS751" s="18"/>
      <c r="JT751" s="18"/>
      <c r="JU751" s="18"/>
      <c r="JV751" s="18"/>
      <c r="JW751" s="18"/>
      <c r="JX751" s="18"/>
      <c r="JY751" s="18"/>
      <c r="JZ751" s="18"/>
      <c r="KA751" s="18"/>
      <c r="KB751" s="18"/>
    </row>
    <row r="752" spans="1:288" x14ac:dyDescent="0.2">
      <c r="B752" s="16">
        <v>2016</v>
      </c>
      <c r="C752" s="20">
        <v>42525</v>
      </c>
      <c r="D752" s="20" t="str">
        <f>CONCATENATE(J752,"-",C752)</f>
        <v>929-42525</v>
      </c>
      <c r="E752" s="20" t="str">
        <f>CONCATENATE(T752,"-",U752,"-",C752)</f>
        <v>SP1-B2-42525</v>
      </c>
      <c r="F752" s="20" t="s">
        <v>106</v>
      </c>
      <c r="G752" s="37" t="s">
        <v>107</v>
      </c>
      <c r="H752" s="16" t="s">
        <v>125</v>
      </c>
      <c r="I752" s="16">
        <v>0</v>
      </c>
      <c r="J752" s="21">
        <v>929</v>
      </c>
      <c r="K752" s="21" t="s">
        <v>153</v>
      </c>
      <c r="L752" s="16">
        <v>0</v>
      </c>
      <c r="M752" s="15"/>
      <c r="N752" s="15"/>
      <c r="O752" s="15" t="s">
        <v>214</v>
      </c>
      <c r="P752" s="16" t="s">
        <v>308</v>
      </c>
      <c r="Q752" s="16">
        <v>0</v>
      </c>
      <c r="R752" s="16" t="s">
        <v>111</v>
      </c>
      <c r="T752" s="16" t="s">
        <v>140</v>
      </c>
      <c r="U752" s="16" t="s">
        <v>130</v>
      </c>
      <c r="V752" s="16" t="s">
        <v>142</v>
      </c>
      <c r="W752" s="16">
        <f>AI752/AG752</f>
        <v>1</v>
      </c>
      <c r="X752" s="16" t="s">
        <v>121</v>
      </c>
      <c r="Y752" s="16" t="s">
        <v>145</v>
      </c>
      <c r="Z752" s="16">
        <v>1</v>
      </c>
      <c r="AA752" s="16" t="s">
        <v>119</v>
      </c>
      <c r="AB752" s="16" t="s">
        <v>123</v>
      </c>
      <c r="AC752" s="16" t="s">
        <v>123</v>
      </c>
      <c r="AD752" s="16" t="s">
        <v>123</v>
      </c>
      <c r="AG752" s="16">
        <f>AH752-AI752</f>
        <v>80</v>
      </c>
      <c r="AH752" s="16">
        <v>160</v>
      </c>
      <c r="AI752" s="16">
        <v>80</v>
      </c>
      <c r="AK752" s="16">
        <v>13.5</v>
      </c>
      <c r="AL752" s="16">
        <v>0</v>
      </c>
      <c r="AM752" s="16">
        <v>0</v>
      </c>
      <c r="AN752" s="16">
        <v>0</v>
      </c>
      <c r="AO752" s="16">
        <f>IF(SUM(AL752:AN752)&gt;0,1,0)</f>
        <v>0</v>
      </c>
      <c r="AP752" s="16">
        <f>SUM(AL752:AN752)</f>
        <v>0</v>
      </c>
      <c r="AR752" s="16">
        <v>0.214</v>
      </c>
      <c r="AS752" s="16">
        <v>0.214</v>
      </c>
      <c r="AT752" s="18" t="s">
        <v>117</v>
      </c>
      <c r="AU752" s="18"/>
      <c r="AW752" s="22">
        <v>1</v>
      </c>
      <c r="AY752" s="16">
        <v>4.6728899999999998</v>
      </c>
      <c r="AZ752" s="18">
        <v>1</v>
      </c>
      <c r="BB752" s="16">
        <v>4.6728899999999998</v>
      </c>
      <c r="BC752" s="18">
        <v>0</v>
      </c>
      <c r="BD752" s="16">
        <v>0</v>
      </c>
      <c r="BE752" s="16">
        <v>0</v>
      </c>
      <c r="BF752" s="18">
        <v>1</v>
      </c>
      <c r="BG752" s="77">
        <v>1</v>
      </c>
      <c r="BH752" s="16">
        <v>4.6728899999999998</v>
      </c>
      <c r="BI752" s="18">
        <v>0</v>
      </c>
      <c r="BJ752" s="16">
        <v>0</v>
      </c>
      <c r="BK752" s="16">
        <v>0</v>
      </c>
      <c r="BL752" s="16">
        <f>IF(BM752&gt;0,1,0)</f>
        <v>0</v>
      </c>
      <c r="BM752" s="16">
        <f>SUM(BR752,BU752,BX752,CA752,CD752,CG752,CJ752,CM752,CP752)</f>
        <v>0</v>
      </c>
      <c r="BN752" s="16">
        <f>SUM(BW752,BZ752,CC752,CF752,CI752,CL752,CO752,CR752,BT752)</f>
        <v>0</v>
      </c>
      <c r="BO752" s="16">
        <f>IF(BP752&gt;0,1,0)</f>
        <v>0</v>
      </c>
      <c r="BP752" s="16">
        <f>SUM(BU752,BX752,CA752,CD752,BR752)</f>
        <v>0</v>
      </c>
      <c r="BQ752" s="16">
        <f>SUM(BZ752,CC752,CF752,BT752,BW752)</f>
        <v>0</v>
      </c>
      <c r="BR752" s="18">
        <v>0</v>
      </c>
      <c r="BS752" s="16">
        <v>0</v>
      </c>
      <c r="BT752" s="77">
        <f>BS752/AS752</f>
        <v>0</v>
      </c>
      <c r="BU752" s="18">
        <v>0</v>
      </c>
      <c r="BV752" s="16">
        <v>0</v>
      </c>
      <c r="BW752" s="18">
        <f>BV752/AS752</f>
        <v>0</v>
      </c>
      <c r="BX752" s="18">
        <v>0</v>
      </c>
      <c r="BY752" s="16">
        <v>0</v>
      </c>
      <c r="BZ752" s="16">
        <f>BY752/AS752</f>
        <v>0</v>
      </c>
      <c r="CA752" s="24">
        <v>0</v>
      </c>
      <c r="CB752" s="16">
        <v>0</v>
      </c>
      <c r="CC752" s="16">
        <v>0</v>
      </c>
      <c r="CD752" s="78">
        <v>0</v>
      </c>
      <c r="CE752" s="16">
        <v>0</v>
      </c>
      <c r="CF752" s="16">
        <v>0</v>
      </c>
      <c r="CP752" s="16" t="s">
        <v>123</v>
      </c>
      <c r="CQ752" s="16">
        <v>0</v>
      </c>
      <c r="CR752" s="16">
        <v>0</v>
      </c>
      <c r="CS752" s="18">
        <f>IF(CT752&gt;0,1,0)</f>
        <v>0</v>
      </c>
      <c r="CT752" s="25">
        <f>SUM(CW752,CZ752,DC752)</f>
        <v>0</v>
      </c>
      <c r="CU752" s="25"/>
      <c r="CV752" s="16">
        <v>0</v>
      </c>
      <c r="CW752" s="25">
        <v>0</v>
      </c>
      <c r="CX752" s="16">
        <v>0</v>
      </c>
      <c r="CY752" s="16">
        <v>0</v>
      </c>
      <c r="CZ752" s="18">
        <v>0</v>
      </c>
      <c r="DA752" s="16">
        <v>0</v>
      </c>
      <c r="DB752" s="16">
        <v>0</v>
      </c>
      <c r="DC752" s="18">
        <v>0</v>
      </c>
      <c r="DD752" s="16">
        <v>0</v>
      </c>
      <c r="DE752" s="16">
        <v>0</v>
      </c>
      <c r="DF752" s="16" t="e">
        <f>VLOOKUP(K752,'[3]RNA Seq summary tables'!$V$3:$V$99,1,FALSE)</f>
        <v>#N/A</v>
      </c>
      <c r="JO752" s="26"/>
    </row>
    <row r="753" spans="2:288" x14ac:dyDescent="0.2">
      <c r="B753" s="16">
        <v>2016</v>
      </c>
      <c r="C753" s="20">
        <v>42537</v>
      </c>
      <c r="D753" s="20" t="str">
        <f>CONCATENATE(J753,"-",C753)</f>
        <v>929-42537</v>
      </c>
      <c r="E753" s="20" t="str">
        <f>CONCATENATE(T753,"-",U753,"-",C753)</f>
        <v>SP1-D5-42537</v>
      </c>
      <c r="F753" s="20" t="s">
        <v>106</v>
      </c>
      <c r="G753" s="20" t="s">
        <v>107</v>
      </c>
      <c r="H753" s="16" t="s">
        <v>125</v>
      </c>
      <c r="I753" s="16">
        <v>0</v>
      </c>
      <c r="J753" s="21">
        <v>929</v>
      </c>
      <c r="K753" s="21">
        <v>1376</v>
      </c>
      <c r="L753" s="16">
        <v>0</v>
      </c>
      <c r="M753" s="15">
        <f>VLOOKUP(K753,'[7]MLBS 2016 SNV-nem Coinfection d'!$C$1:$G$238,4,FALSE)</f>
        <v>0</v>
      </c>
      <c r="N753" s="15">
        <v>0</v>
      </c>
      <c r="O753" s="15" t="s">
        <v>214</v>
      </c>
      <c r="P753" s="16" t="s">
        <v>308</v>
      </c>
      <c r="Q753" s="16">
        <v>1</v>
      </c>
      <c r="R753" s="16">
        <v>12</v>
      </c>
      <c r="T753" s="16" t="s">
        <v>140</v>
      </c>
      <c r="U753" s="16" t="s">
        <v>183</v>
      </c>
      <c r="V753" s="16" t="s">
        <v>142</v>
      </c>
      <c r="W753" s="16">
        <f>AI753/AG753</f>
        <v>1.139240506329114</v>
      </c>
      <c r="X753" s="16" t="s">
        <v>121</v>
      </c>
      <c r="Y753" s="16" t="s">
        <v>122</v>
      </c>
      <c r="Z753" s="16">
        <v>2.6</v>
      </c>
      <c r="AA753" s="16" t="s">
        <v>161</v>
      </c>
      <c r="AB753" s="16" t="s">
        <v>123</v>
      </c>
      <c r="AC753" s="16" t="s">
        <v>123</v>
      </c>
      <c r="AD753" s="16" t="s">
        <v>116</v>
      </c>
      <c r="AG753" s="16">
        <f>AH753-AI753</f>
        <v>79</v>
      </c>
      <c r="AH753" s="16">
        <v>169</v>
      </c>
      <c r="AI753" s="16">
        <v>90</v>
      </c>
      <c r="AK753" s="16">
        <v>15.5</v>
      </c>
      <c r="AL753" s="16">
        <v>0</v>
      </c>
      <c r="AM753" s="16">
        <v>0</v>
      </c>
      <c r="AN753" s="16">
        <v>0</v>
      </c>
      <c r="AO753" s="16">
        <f>IF(SUM(AL753:AN753)&gt;0,1,0)</f>
        <v>0</v>
      </c>
      <c r="AP753" s="16">
        <f>SUM(AL753:AN753)</f>
        <v>0</v>
      </c>
      <c r="AQ753" s="16">
        <f>1.477+AS753</f>
        <v>1.996</v>
      </c>
      <c r="AR753" s="16">
        <v>0.51900000000000002</v>
      </c>
      <c r="AS753" s="16">
        <v>0.51900000000000002</v>
      </c>
      <c r="AT753" s="16" t="s">
        <v>124</v>
      </c>
      <c r="AW753" s="22">
        <v>1</v>
      </c>
      <c r="AY753" s="16">
        <f>(94+325+13)/AS753</f>
        <v>832.36994219653172</v>
      </c>
      <c r="AZ753" s="18">
        <v>1</v>
      </c>
      <c r="BB753" s="16">
        <f>AY753</f>
        <v>832.36994219653172</v>
      </c>
      <c r="BC753" s="16">
        <v>1</v>
      </c>
      <c r="BD753" s="16">
        <v>94</v>
      </c>
      <c r="BE753" s="16">
        <f>94/AS753</f>
        <v>181.11753371868977</v>
      </c>
      <c r="BF753" s="18">
        <v>1</v>
      </c>
      <c r="BG753" s="77">
        <v>325</v>
      </c>
      <c r="BH753" s="16">
        <f>325/AS753</f>
        <v>626.20423892100189</v>
      </c>
      <c r="BI753" s="16">
        <v>1</v>
      </c>
      <c r="BJ753" s="16">
        <v>13</v>
      </c>
      <c r="BK753" s="16">
        <f>13/AS753</f>
        <v>25.048169556840076</v>
      </c>
      <c r="BL753" s="16">
        <f>IF(BM753&gt;0,1,0)</f>
        <v>0</v>
      </c>
      <c r="BM753" s="16">
        <f>SUM(BR753,BU753,BX753,CA753,CD753,CG753,CJ753,CM753,CP753)</f>
        <v>0</v>
      </c>
      <c r="BN753" s="16">
        <f>SUM(BW753,BZ753,CC753,CF753,CI753,CL753,CO753,CR753,BT753)</f>
        <v>0</v>
      </c>
      <c r="BO753" s="16">
        <f>IF(BP753&gt;0,1,0)</f>
        <v>0</v>
      </c>
      <c r="BP753" s="16">
        <f>SUM(BU753,BX753,CA753,CD753,BR753)</f>
        <v>0</v>
      </c>
      <c r="BQ753" s="16">
        <f>SUM(BZ753,CC753,CF753,BT753,BW753)</f>
        <v>0</v>
      </c>
      <c r="BR753" s="18">
        <v>0</v>
      </c>
      <c r="BS753" s="16">
        <v>0</v>
      </c>
      <c r="BT753" s="77">
        <f>BS753/AS753</f>
        <v>0</v>
      </c>
      <c r="BU753" s="18">
        <v>0</v>
      </c>
      <c r="BV753" s="16">
        <v>0</v>
      </c>
      <c r="BW753" s="18">
        <f>BV753/AS753</f>
        <v>0</v>
      </c>
      <c r="BX753" s="18">
        <v>0</v>
      </c>
      <c r="BY753" s="16">
        <v>0</v>
      </c>
      <c r="BZ753" s="16">
        <f>BY753/AS753</f>
        <v>0</v>
      </c>
      <c r="CA753" s="24">
        <v>0</v>
      </c>
      <c r="CB753" s="16">
        <v>0</v>
      </c>
      <c r="CC753" s="16">
        <v>0</v>
      </c>
      <c r="CD753" s="78">
        <v>0</v>
      </c>
      <c r="CE753" s="16">
        <v>0</v>
      </c>
      <c r="CF753" s="16">
        <v>0</v>
      </c>
      <c r="CP753" s="16" t="s">
        <v>123</v>
      </c>
      <c r="CQ753" s="16">
        <v>0</v>
      </c>
      <c r="CR753" s="16">
        <v>0</v>
      </c>
      <c r="CS753" s="18">
        <f>IF(CT753&gt;0,1,0)</f>
        <v>0</v>
      </c>
      <c r="CT753" s="25">
        <f>SUM(CW753,CZ753,DC753)</f>
        <v>0</v>
      </c>
      <c r="CU753" s="25"/>
      <c r="CV753" s="16">
        <v>0</v>
      </c>
      <c r="CW753" s="25">
        <v>0</v>
      </c>
      <c r="CX753" s="16">
        <v>0</v>
      </c>
      <c r="CY753" s="16">
        <v>0</v>
      </c>
      <c r="CZ753" s="18">
        <v>0</v>
      </c>
      <c r="DA753" s="16">
        <v>0</v>
      </c>
      <c r="DB753" s="16">
        <v>0</v>
      </c>
      <c r="DC753" s="18">
        <v>0</v>
      </c>
      <c r="DD753" s="16">
        <v>0</v>
      </c>
      <c r="DE753" s="16">
        <v>0</v>
      </c>
      <c r="DF753" s="16" t="e">
        <f>VLOOKUP(K753,'[3]RNA Seq summary tables'!$V$3:$V$99,1,FALSE)</f>
        <v>#N/A</v>
      </c>
    </row>
    <row r="754" spans="2:288" x14ac:dyDescent="0.2">
      <c r="B754" s="16">
        <v>2016</v>
      </c>
      <c r="C754" s="20">
        <v>42551</v>
      </c>
      <c r="D754" s="20" t="str">
        <f>CONCATENATE(J754,"-",C754)</f>
        <v>929-42551</v>
      </c>
      <c r="E754" s="20" t="str">
        <f>CONCATENATE(T754,"-",U754,"-",C754)</f>
        <v>SP1-D7-42551</v>
      </c>
      <c r="F754" s="20" t="s">
        <v>106</v>
      </c>
      <c r="G754" s="20" t="s">
        <v>107</v>
      </c>
      <c r="I754" s="16">
        <v>0</v>
      </c>
      <c r="J754" s="21">
        <v>929</v>
      </c>
      <c r="K754" s="21">
        <v>1439</v>
      </c>
      <c r="L754" s="18">
        <v>0</v>
      </c>
      <c r="M754" s="15">
        <f>VLOOKUP(K754,'[7]MLBS 2016 SNV-nem Coinfection d'!$C$1:$G$238,4,FALSE)</f>
        <v>0</v>
      </c>
      <c r="N754" s="15">
        <v>0</v>
      </c>
      <c r="O754" s="15" t="s">
        <v>214</v>
      </c>
      <c r="P754" s="16" t="s">
        <v>110</v>
      </c>
      <c r="Q754" s="16">
        <v>1</v>
      </c>
      <c r="R754" s="16">
        <v>14</v>
      </c>
      <c r="T754" s="16" t="s">
        <v>140</v>
      </c>
      <c r="U754" s="16" t="s">
        <v>177</v>
      </c>
      <c r="V754" s="16" t="s">
        <v>142</v>
      </c>
      <c r="W754" s="16">
        <f>AI754/AG754</f>
        <v>1.0232558139534884</v>
      </c>
      <c r="X754" s="16" t="s">
        <v>121</v>
      </c>
      <c r="Y754" s="16" t="s">
        <v>110</v>
      </c>
      <c r="Z754" s="16">
        <v>3</v>
      </c>
      <c r="AA754" s="16" t="s">
        <v>119</v>
      </c>
      <c r="AB754" s="16" t="s">
        <v>123</v>
      </c>
      <c r="AC754" s="16" t="s">
        <v>123</v>
      </c>
      <c r="AD754" s="16" t="s">
        <v>123</v>
      </c>
      <c r="AG754" s="16">
        <f>AH754-AI754</f>
        <v>86</v>
      </c>
      <c r="AH754" s="16">
        <v>174</v>
      </c>
      <c r="AI754" s="16">
        <v>88</v>
      </c>
      <c r="AK754" s="16">
        <v>16</v>
      </c>
      <c r="AL754" s="16">
        <v>1</v>
      </c>
      <c r="AM754" s="16">
        <v>0</v>
      </c>
      <c r="AN754" s="16">
        <v>0</v>
      </c>
      <c r="AO754" s="16">
        <f>IF(SUM(AL754:AN754)&gt;0,1,0)</f>
        <v>1</v>
      </c>
      <c r="AP754" s="16">
        <f>SUM(AL754:AN754)</f>
        <v>1</v>
      </c>
      <c r="AQ754" s="16">
        <f>1.623</f>
        <v>1.623</v>
      </c>
      <c r="AR754" s="16">
        <v>0.14599999999999999</v>
      </c>
      <c r="AS754" s="16">
        <v>0.14599999999999999</v>
      </c>
      <c r="AT754" s="16" t="s">
        <v>124</v>
      </c>
      <c r="AW754" s="22">
        <v>1</v>
      </c>
      <c r="AY754" s="16">
        <f>(118+97+18+1)/AS754</f>
        <v>1602.7397260273974</v>
      </c>
      <c r="AZ754" s="18">
        <v>1</v>
      </c>
      <c r="BB754" s="16">
        <f>(118+97+18)/AS754</f>
        <v>1595.8904109589041</v>
      </c>
      <c r="BC754" s="16">
        <v>1</v>
      </c>
      <c r="BD754" s="16">
        <v>118</v>
      </c>
      <c r="BE754" s="16">
        <f>118/AS754</f>
        <v>808.21917808219177</v>
      </c>
      <c r="BF754" s="18">
        <v>1</v>
      </c>
      <c r="BG754" s="77">
        <v>97</v>
      </c>
      <c r="BH754" s="16">
        <f>97/AS754</f>
        <v>664.38356164383561</v>
      </c>
      <c r="BI754" s="16">
        <v>1</v>
      </c>
      <c r="BJ754" s="16">
        <v>18</v>
      </c>
      <c r="BK754" s="16">
        <f>18/AS754</f>
        <v>123.28767123287672</v>
      </c>
      <c r="BL754" s="16">
        <f>IF(BM754&gt;0,1,0)</f>
        <v>1</v>
      </c>
      <c r="BM754" s="16">
        <f>SUM(BR754,BU754,BX754,CA754,CD754,CG754,CJ754,CM754,CP754)</f>
        <v>1</v>
      </c>
      <c r="BN754" s="16">
        <f>SUM(BW754,BZ754,CC754,CF754,CI754,CL754,CO754,CR754,BT754)</f>
        <v>6.8493150684931514</v>
      </c>
      <c r="BO754" s="16">
        <f>IF(BP754&gt;0,1,0)</f>
        <v>1</v>
      </c>
      <c r="BP754" s="16">
        <f>SUM(BU754,BX754,CA754,CD754,BR754)</f>
        <v>1</v>
      </c>
      <c r="BQ754" s="16">
        <f>SUM(BZ754,CC754,CF754,BT754,BW754)</f>
        <v>6.8493150684931514</v>
      </c>
      <c r="BR754" s="18">
        <v>0</v>
      </c>
      <c r="BS754" s="16">
        <v>0</v>
      </c>
      <c r="BT754" s="77">
        <f>BS754/AS754</f>
        <v>0</v>
      </c>
      <c r="BU754" s="18">
        <v>1</v>
      </c>
      <c r="BV754" s="16">
        <v>1</v>
      </c>
      <c r="BW754" s="18">
        <f>BV754/AS754</f>
        <v>6.8493150684931514</v>
      </c>
      <c r="BX754" s="24">
        <v>0</v>
      </c>
      <c r="BY754" s="16">
        <v>0</v>
      </c>
      <c r="BZ754" s="16">
        <f>BY754/AS754</f>
        <v>0</v>
      </c>
      <c r="CA754" s="24">
        <v>0</v>
      </c>
      <c r="CB754" s="16">
        <v>0</v>
      </c>
      <c r="CC754" s="16">
        <v>0</v>
      </c>
      <c r="CD754" s="77">
        <v>0</v>
      </c>
      <c r="CE754" s="16">
        <v>0</v>
      </c>
      <c r="CF754" s="16">
        <v>0</v>
      </c>
      <c r="CP754" s="16" t="s">
        <v>123</v>
      </c>
      <c r="CQ754" s="16">
        <v>0</v>
      </c>
      <c r="CR754" s="16">
        <v>0</v>
      </c>
      <c r="CS754" s="18">
        <f>IF(CT754&gt;0,1,0)</f>
        <v>0</v>
      </c>
      <c r="CT754" s="25">
        <f>SUM(CW754,CZ754,DC754)</f>
        <v>0</v>
      </c>
      <c r="CU754" s="25"/>
      <c r="CV754" s="16">
        <v>0</v>
      </c>
      <c r="CW754" s="25">
        <v>0</v>
      </c>
      <c r="CX754" s="16">
        <v>0</v>
      </c>
      <c r="CY754" s="16">
        <v>0</v>
      </c>
      <c r="CZ754" s="18">
        <v>0</v>
      </c>
      <c r="DA754" s="16">
        <v>0</v>
      </c>
      <c r="DB754" s="16">
        <v>0</v>
      </c>
      <c r="DC754" s="18">
        <v>0</v>
      </c>
      <c r="DD754" s="16">
        <v>0</v>
      </c>
      <c r="DE754" s="16">
        <v>0</v>
      </c>
      <c r="DF754" s="16" t="e">
        <f>VLOOKUP(K754,'[3]RNA Seq summary tables'!$V$3:$V$99,1,FALSE)</f>
        <v>#N/A</v>
      </c>
    </row>
    <row r="755" spans="2:288" x14ac:dyDescent="0.2">
      <c r="B755" s="16">
        <v>2016</v>
      </c>
      <c r="C755" s="20">
        <v>42565</v>
      </c>
      <c r="D755" s="20" t="str">
        <f>CONCATENATE(J755,"-",C755)</f>
        <v>929-42565</v>
      </c>
      <c r="E755" s="20" t="str">
        <f>CONCATENATE(T755,"-",U755,"-",C755)</f>
        <v>SP1-E8-42565</v>
      </c>
      <c r="F755" s="20" t="s">
        <v>106</v>
      </c>
      <c r="G755" s="20" t="s">
        <v>107</v>
      </c>
      <c r="I755" s="16">
        <v>0</v>
      </c>
      <c r="J755" s="21">
        <v>929</v>
      </c>
      <c r="K755" s="21">
        <v>1481</v>
      </c>
      <c r="L755" s="18">
        <v>0</v>
      </c>
      <c r="M755" s="15">
        <f>VLOOKUP(K755,'[7]MLBS 2016 SNV-nem Coinfection d'!$C$1:$G$238,4,FALSE)</f>
        <v>0</v>
      </c>
      <c r="N755" s="15">
        <v>0</v>
      </c>
      <c r="O755" s="15" t="s">
        <v>214</v>
      </c>
      <c r="P755" s="16" t="s">
        <v>110</v>
      </c>
      <c r="Q755" s="16">
        <v>1</v>
      </c>
      <c r="R755" s="16">
        <v>14</v>
      </c>
      <c r="T755" s="16" t="s">
        <v>140</v>
      </c>
      <c r="U755" s="16" t="s">
        <v>181</v>
      </c>
      <c r="V755" s="16" t="s">
        <v>142</v>
      </c>
      <c r="W755" s="16">
        <f>AI755/AG755</f>
        <v>1</v>
      </c>
      <c r="X755" s="16" t="s">
        <v>121</v>
      </c>
      <c r="Y755" s="16" t="s">
        <v>110</v>
      </c>
      <c r="Z755" s="16">
        <v>3</v>
      </c>
      <c r="AA755" s="16" t="s">
        <v>161</v>
      </c>
      <c r="AB755" s="16" t="s">
        <v>123</v>
      </c>
      <c r="AC755" s="16" t="s">
        <v>123</v>
      </c>
      <c r="AD755" s="16" t="s">
        <v>116</v>
      </c>
      <c r="AG755" s="16">
        <v>88</v>
      </c>
      <c r="AH755" s="16">
        <v>176</v>
      </c>
      <c r="AI755" s="16">
        <v>88</v>
      </c>
      <c r="AK755" s="16">
        <v>19</v>
      </c>
      <c r="AL755" s="16">
        <v>0</v>
      </c>
      <c r="AM755" s="16">
        <v>0</v>
      </c>
      <c r="AN755" s="16">
        <v>0</v>
      </c>
      <c r="AO755" s="16">
        <f>IF(SUM(AL755:AN755)&gt;0,1,0)</f>
        <v>0</v>
      </c>
      <c r="AP755" s="16">
        <f>SUM(AL755:AN755)</f>
        <v>0</v>
      </c>
      <c r="AR755" s="16">
        <v>0.28699999999999998</v>
      </c>
      <c r="AS755" s="16">
        <v>0.28699999999999998</v>
      </c>
      <c r="AT755" s="18" t="s">
        <v>117</v>
      </c>
      <c r="AU755" s="18"/>
      <c r="AV755" s="16">
        <v>1</v>
      </c>
      <c r="AW755" s="18">
        <v>0</v>
      </c>
      <c r="AX755" s="16">
        <v>0</v>
      </c>
      <c r="AY755" s="16">
        <v>0</v>
      </c>
      <c r="AZ755" s="18">
        <v>0</v>
      </c>
      <c r="BA755" s="16">
        <v>0</v>
      </c>
      <c r="BB755" s="16">
        <v>0</v>
      </c>
      <c r="BC755" s="18">
        <v>0</v>
      </c>
      <c r="BD755" s="16">
        <v>0</v>
      </c>
      <c r="BE755" s="16">
        <v>0</v>
      </c>
      <c r="BF755" s="18">
        <v>0</v>
      </c>
      <c r="BG755" s="77">
        <v>0</v>
      </c>
      <c r="BH755" s="16">
        <v>0</v>
      </c>
      <c r="BI755" s="18">
        <v>0</v>
      </c>
      <c r="BJ755" s="16">
        <v>0</v>
      </c>
      <c r="BK755" s="16">
        <v>0</v>
      </c>
      <c r="BL755" s="16">
        <f>IF(BM755&gt;0,1,0)</f>
        <v>0</v>
      </c>
      <c r="BM755" s="16">
        <f>SUM(BR755,BU755,BX755,CA755,CD755,CG755,CJ755,CM755,CP755)</f>
        <v>0</v>
      </c>
      <c r="BN755" s="16">
        <f>SUM(BW755,BZ755,CC755,CF755,CI755,CL755,CO755,CR755,BT755)</f>
        <v>0</v>
      </c>
      <c r="BO755" s="16">
        <f>IF(BP755&gt;0,1,0)</f>
        <v>0</v>
      </c>
      <c r="BP755" s="16">
        <f>SUM(BU755,BX755,CA755,CD755,BR755)</f>
        <v>0</v>
      </c>
      <c r="BQ755" s="16">
        <f>SUM(BZ755,CC755,CF755,BT755,BW755)</f>
        <v>0</v>
      </c>
      <c r="BR755" s="18">
        <v>0</v>
      </c>
      <c r="BS755" s="16">
        <v>0</v>
      </c>
      <c r="BT755" s="77">
        <f>BS755/AS755</f>
        <v>0</v>
      </c>
      <c r="BU755" s="18">
        <v>0</v>
      </c>
      <c r="BV755" s="16">
        <v>0</v>
      </c>
      <c r="BW755" s="18">
        <f>BV755/AS755</f>
        <v>0</v>
      </c>
      <c r="BX755" s="18">
        <v>0</v>
      </c>
      <c r="BY755" s="16">
        <v>0</v>
      </c>
      <c r="BZ755" s="16">
        <f>BY755/AS755</f>
        <v>0</v>
      </c>
      <c r="CA755" s="24">
        <v>0</v>
      </c>
      <c r="CB755" s="16">
        <v>0</v>
      </c>
      <c r="CC755" s="16">
        <v>0</v>
      </c>
      <c r="CD755" s="78">
        <v>0</v>
      </c>
      <c r="CE755" s="16">
        <v>0</v>
      </c>
      <c r="CF755" s="16">
        <v>0</v>
      </c>
      <c r="CP755" s="16" t="s">
        <v>123</v>
      </c>
      <c r="CQ755" s="16">
        <v>0</v>
      </c>
      <c r="CR755" s="16">
        <v>0</v>
      </c>
      <c r="CS755" s="18">
        <f>IF(CT755&gt;0,1,0)</f>
        <v>0</v>
      </c>
      <c r="CT755" s="25">
        <f>SUM(CW755,CZ755,DC755)</f>
        <v>0</v>
      </c>
      <c r="CU755" s="25"/>
      <c r="CV755" s="16">
        <v>0</v>
      </c>
      <c r="CW755" s="25">
        <v>0</v>
      </c>
      <c r="CX755" s="16">
        <v>0</v>
      </c>
      <c r="CY755" s="16">
        <v>0</v>
      </c>
      <c r="CZ755" s="18">
        <v>0</v>
      </c>
      <c r="DA755" s="16">
        <v>0</v>
      </c>
      <c r="DB755" s="16">
        <v>0</v>
      </c>
      <c r="DC755" s="18">
        <v>0</v>
      </c>
      <c r="DD755" s="16">
        <v>0</v>
      </c>
      <c r="DE755" s="16">
        <v>0</v>
      </c>
      <c r="DF755" s="16" t="e">
        <f>VLOOKUP(K755,'[3]RNA Seq summary tables'!$V$3:$V$99,1,FALSE)</f>
        <v>#N/A</v>
      </c>
    </row>
    <row r="756" spans="2:288" x14ac:dyDescent="0.2">
      <c r="B756" s="16">
        <v>2016</v>
      </c>
      <c r="C756" s="20">
        <v>42579</v>
      </c>
      <c r="D756" s="20" t="str">
        <f>CONCATENATE(J756,"-",C756)</f>
        <v>929-42579</v>
      </c>
      <c r="E756" s="20" t="str">
        <f>CONCATENATE(T756,"-",U756,"-",C756)</f>
        <v>SP1-E8-42579</v>
      </c>
      <c r="F756" s="20" t="s">
        <v>106</v>
      </c>
      <c r="G756" s="20" t="s">
        <v>107</v>
      </c>
      <c r="I756" s="16">
        <v>0</v>
      </c>
      <c r="J756" s="21">
        <v>929</v>
      </c>
      <c r="K756" s="21">
        <v>1514</v>
      </c>
      <c r="L756" s="18">
        <v>0</v>
      </c>
      <c r="M756" s="15">
        <f>VLOOKUP(K756,'[7]MLBS 2016 SNV-nem Coinfection d'!$C$1:$G$238,4,FALSE)</f>
        <v>0</v>
      </c>
      <c r="N756" s="15">
        <v>0</v>
      </c>
      <c r="O756" s="15" t="s">
        <v>214</v>
      </c>
      <c r="P756" s="16" t="s">
        <v>110</v>
      </c>
      <c r="Q756" s="16">
        <v>1</v>
      </c>
      <c r="R756" s="16">
        <v>14</v>
      </c>
      <c r="T756" s="16" t="s">
        <v>140</v>
      </c>
      <c r="U756" s="16" t="s">
        <v>181</v>
      </c>
      <c r="V756" s="16" t="s">
        <v>142</v>
      </c>
      <c r="W756" s="16">
        <f>AI756/AG756</f>
        <v>1.0689655172413792</v>
      </c>
      <c r="X756" s="16" t="s">
        <v>121</v>
      </c>
      <c r="Y756" s="16" t="s">
        <v>110</v>
      </c>
      <c r="Z756" s="16">
        <v>3</v>
      </c>
      <c r="AA756" s="16" t="s">
        <v>161</v>
      </c>
      <c r="AB756" s="16" t="s">
        <v>123</v>
      </c>
      <c r="AC756" s="16" t="s">
        <v>123</v>
      </c>
      <c r="AD756" s="16" t="s">
        <v>116</v>
      </c>
      <c r="AG756" s="16">
        <f>AH756-AI756</f>
        <v>87</v>
      </c>
      <c r="AH756" s="16">
        <v>180</v>
      </c>
      <c r="AI756" s="16">
        <v>93</v>
      </c>
      <c r="AK756" s="16">
        <v>22.5</v>
      </c>
      <c r="AQ756" s="16">
        <v>1.6619999999999999</v>
      </c>
      <c r="AR756" s="16">
        <v>0.251</v>
      </c>
      <c r="AS756" s="16">
        <v>0.251</v>
      </c>
      <c r="AT756" s="16" t="s">
        <v>205</v>
      </c>
      <c r="AW756" s="22">
        <v>1</v>
      </c>
      <c r="AX756" s="16">
        <v>2</v>
      </c>
      <c r="AY756" s="16">
        <f>(3+16)/AS756</f>
        <v>75.697211155378483</v>
      </c>
      <c r="AZ756" s="18">
        <v>1</v>
      </c>
      <c r="BA756" s="16">
        <v>2</v>
      </c>
      <c r="BB756" s="16">
        <f>AY756</f>
        <v>75.697211155378483</v>
      </c>
      <c r="BC756" s="16">
        <v>1</v>
      </c>
      <c r="BD756" s="16">
        <v>3</v>
      </c>
      <c r="BE756" s="16">
        <f>3/AS756</f>
        <v>11.952191235059761</v>
      </c>
      <c r="BF756" s="18">
        <v>1</v>
      </c>
      <c r="BG756" s="77">
        <v>16</v>
      </c>
      <c r="BH756" s="16">
        <f>16/AS756</f>
        <v>63.745019920318725</v>
      </c>
      <c r="BI756" s="18">
        <v>0</v>
      </c>
      <c r="BJ756" s="16">
        <v>0</v>
      </c>
      <c r="BK756" s="16">
        <v>0</v>
      </c>
      <c r="BL756" s="16">
        <f>IF(BM756&gt;0,1,0)</f>
        <v>0</v>
      </c>
      <c r="BM756" s="16">
        <f>SUM(BR756,BU756,BX756,CA756,CD756,CG756,CJ756,CM756,CP756)</f>
        <v>0</v>
      </c>
      <c r="BN756" s="16">
        <f>SUM(BW756,BZ756,CC756,CF756,CI756,CL756,CO756,CR756,BT756)</f>
        <v>0</v>
      </c>
      <c r="BO756" s="16">
        <f>IF(BP756&gt;0,1,0)</f>
        <v>0</v>
      </c>
      <c r="BP756" s="16">
        <f>SUM(BU756,BX756,CA756,CD756,BR756)</f>
        <v>0</v>
      </c>
      <c r="BQ756" s="16">
        <f>SUM(BZ756,CC756,CF756,BT756,BW756)</f>
        <v>0</v>
      </c>
      <c r="BR756" s="18">
        <v>0</v>
      </c>
      <c r="BS756" s="16">
        <v>0</v>
      </c>
      <c r="BT756" s="77">
        <f>BS756/AS756</f>
        <v>0</v>
      </c>
      <c r="BU756" s="18">
        <v>0</v>
      </c>
      <c r="BV756" s="16">
        <v>0</v>
      </c>
      <c r="BW756" s="18">
        <f>BV756/AS756</f>
        <v>0</v>
      </c>
      <c r="BX756" s="18">
        <v>0</v>
      </c>
      <c r="BY756" s="16">
        <v>0</v>
      </c>
      <c r="BZ756" s="16">
        <f>BY756/AS756</f>
        <v>0</v>
      </c>
      <c r="CA756" s="24">
        <v>0</v>
      </c>
      <c r="CB756" s="16">
        <v>0</v>
      </c>
      <c r="CC756" s="16">
        <v>0</v>
      </c>
      <c r="CD756" s="78">
        <v>0</v>
      </c>
      <c r="CE756" s="16">
        <v>0</v>
      </c>
      <c r="CF756" s="16">
        <v>0</v>
      </c>
      <c r="CP756" s="16" t="s">
        <v>123</v>
      </c>
      <c r="CQ756" s="16">
        <v>0</v>
      </c>
      <c r="CR756" s="16">
        <v>0</v>
      </c>
      <c r="CS756" s="18">
        <f>IF(CT756&gt;0,1,0)</f>
        <v>0</v>
      </c>
      <c r="CT756" s="25">
        <f>SUM(CW756,CZ756,DC756)</f>
        <v>0</v>
      </c>
      <c r="CU756" s="25"/>
      <c r="CV756" s="16">
        <v>0</v>
      </c>
      <c r="CW756" s="25">
        <v>0</v>
      </c>
      <c r="CX756" s="16">
        <v>0</v>
      </c>
      <c r="CY756" s="16">
        <v>0</v>
      </c>
      <c r="CZ756" s="18">
        <v>0</v>
      </c>
      <c r="DA756" s="16">
        <v>0</v>
      </c>
      <c r="DB756" s="16">
        <v>0</v>
      </c>
      <c r="DC756" s="18">
        <v>0</v>
      </c>
      <c r="DD756" s="16">
        <v>0</v>
      </c>
      <c r="DE756" s="16">
        <v>0</v>
      </c>
      <c r="DF756" s="16" t="e">
        <f>VLOOKUP(K756,'[3]RNA Seq summary tables'!$V$3:$V$99,1,FALSE)</f>
        <v>#N/A</v>
      </c>
    </row>
    <row r="757" spans="2:288" x14ac:dyDescent="0.2">
      <c r="B757" s="16">
        <v>2016</v>
      </c>
      <c r="C757" s="37">
        <v>42593</v>
      </c>
      <c r="D757" s="37" t="str">
        <f>CONCATENATE(J757,"-",C757)</f>
        <v>929-42593</v>
      </c>
      <c r="E757" s="20" t="str">
        <f>CONCATENATE(T757,"-",U757,"-",C757)</f>
        <v>SP1-B6-42593</v>
      </c>
      <c r="F757" s="20" t="s">
        <v>227</v>
      </c>
      <c r="G757" s="20" t="s">
        <v>107</v>
      </c>
      <c r="H757" s="18"/>
      <c r="I757" s="16">
        <v>0</v>
      </c>
      <c r="J757" s="36">
        <v>929</v>
      </c>
      <c r="K757" s="36">
        <v>1543</v>
      </c>
      <c r="L757" s="18">
        <v>0</v>
      </c>
      <c r="M757" s="15">
        <f>VLOOKUP(K757,'[7]MLBS 2016 SNV-nem Coinfection d'!$C$1:$G$238,4,FALSE)</f>
        <v>0</v>
      </c>
      <c r="N757" s="15">
        <v>0</v>
      </c>
      <c r="O757" s="15" t="s">
        <v>214</v>
      </c>
      <c r="P757" s="18" t="s">
        <v>110</v>
      </c>
      <c r="Q757" s="16">
        <v>1</v>
      </c>
      <c r="R757" s="18">
        <v>14</v>
      </c>
      <c r="S757" s="18"/>
      <c r="T757" s="18" t="s">
        <v>140</v>
      </c>
      <c r="U757" s="18" t="s">
        <v>132</v>
      </c>
      <c r="V757" s="18" t="s">
        <v>142</v>
      </c>
      <c r="W757" s="16">
        <f>AI757/AG757</f>
        <v>1.1084337349397591</v>
      </c>
      <c r="X757" s="18" t="s">
        <v>121</v>
      </c>
      <c r="Y757" s="18" t="s">
        <v>110</v>
      </c>
      <c r="Z757" s="18">
        <v>3</v>
      </c>
      <c r="AA757" s="18" t="s">
        <v>161</v>
      </c>
      <c r="AB757" s="18" t="s">
        <v>116</v>
      </c>
      <c r="AC757" s="18" t="s">
        <v>123</v>
      </c>
      <c r="AD757" s="18" t="s">
        <v>116</v>
      </c>
      <c r="AE757" s="18"/>
      <c r="AF757" s="18"/>
      <c r="AG757" s="18">
        <f>AH757-AI757</f>
        <v>83</v>
      </c>
      <c r="AH757" s="18">
        <v>175</v>
      </c>
      <c r="AI757" s="18">
        <v>92</v>
      </c>
      <c r="AJ757" s="18"/>
      <c r="AK757" s="18">
        <v>20</v>
      </c>
      <c r="AL757" s="16">
        <v>0</v>
      </c>
      <c r="AM757" s="16">
        <v>0</v>
      </c>
      <c r="AN757" s="16">
        <v>0</v>
      </c>
      <c r="AO757" s="16">
        <f>IF(SUM(AL757:AN757)&gt;0,1,0)</f>
        <v>0</v>
      </c>
      <c r="AP757" s="16">
        <f>SUM(AL757:AN757)</f>
        <v>0</v>
      </c>
      <c r="AQ757" s="18"/>
      <c r="AR757" s="18">
        <v>0.48099999999999998</v>
      </c>
      <c r="AS757" s="18">
        <v>0.48099999999999998</v>
      </c>
      <c r="AT757" s="18" t="s">
        <v>212</v>
      </c>
      <c r="AU757" s="18"/>
      <c r="AV757" s="18"/>
      <c r="AW757" s="22">
        <v>1</v>
      </c>
      <c r="AX757" s="24">
        <v>3</v>
      </c>
      <c r="AY757" s="24">
        <f>57/0.481</f>
        <v>118.5031185031185</v>
      </c>
      <c r="AZ757" s="18">
        <v>1</v>
      </c>
      <c r="BA757" s="24">
        <v>3</v>
      </c>
      <c r="BB757" s="24">
        <f>57/0.481</f>
        <v>118.5031185031185</v>
      </c>
      <c r="BC757" s="16">
        <v>1</v>
      </c>
      <c r="BD757" s="24">
        <v>3</v>
      </c>
      <c r="BE757" s="24">
        <f>3/0.481</f>
        <v>6.2370062370062369</v>
      </c>
      <c r="BF757" s="18">
        <v>1</v>
      </c>
      <c r="BG757" s="92">
        <v>53</v>
      </c>
      <c r="BH757" s="24">
        <f>53/0.481</f>
        <v>110.18711018711019</v>
      </c>
      <c r="BI757" s="16">
        <v>1</v>
      </c>
      <c r="BJ757" s="24">
        <v>1</v>
      </c>
      <c r="BK757" s="24">
        <f>1/0.481</f>
        <v>2.0790020790020791</v>
      </c>
      <c r="BL757" s="16">
        <f>IF(BM757&gt;0,1,0)</f>
        <v>0</v>
      </c>
      <c r="BM757" s="16">
        <f>SUM(BR757,BU757,BX757,CA757,CD757,CG757,CJ757,CM757,CP757)</f>
        <v>0</v>
      </c>
      <c r="BN757" s="16">
        <f>SUM(BW757,BZ757,CC757,CF757,CI757,CL757,CO757,CR757,BT757)</f>
        <v>0</v>
      </c>
      <c r="BO757" s="16">
        <f>IF(BP757&gt;0,1,0)</f>
        <v>0</v>
      </c>
      <c r="BP757" s="16">
        <f>SUM(BU757,BX757,CA757,CD757,BR757)</f>
        <v>0</v>
      </c>
      <c r="BQ757" s="16">
        <f>SUM(BZ757,CC757,CF757,BT757,BW757)</f>
        <v>0</v>
      </c>
      <c r="BR757" s="18">
        <v>0</v>
      </c>
      <c r="BS757" s="24">
        <v>0</v>
      </c>
      <c r="BT757" s="77">
        <f>BS757/AS757</f>
        <v>0</v>
      </c>
      <c r="BU757" s="18">
        <v>0</v>
      </c>
      <c r="BV757" s="24">
        <v>0</v>
      </c>
      <c r="BW757" s="18">
        <f>BV757/AS757</f>
        <v>0</v>
      </c>
      <c r="BX757" s="18">
        <v>0</v>
      </c>
      <c r="BY757" s="24">
        <v>0</v>
      </c>
      <c r="BZ757" s="16">
        <f>BY757/AS757</f>
        <v>0</v>
      </c>
      <c r="CA757" s="24">
        <v>0</v>
      </c>
      <c r="CB757" s="24">
        <v>0</v>
      </c>
      <c r="CC757" s="24">
        <v>0</v>
      </c>
      <c r="CD757" s="78">
        <v>0</v>
      </c>
      <c r="CE757" s="24">
        <v>0</v>
      </c>
      <c r="CF757" s="24">
        <v>0</v>
      </c>
      <c r="CG757" s="24"/>
      <c r="CH757" s="24"/>
      <c r="CI757" s="24"/>
      <c r="CJ757" s="24"/>
      <c r="CK757" s="24"/>
      <c r="CL757" s="24"/>
      <c r="CM757" s="24"/>
      <c r="CN757" s="24"/>
      <c r="CO757" s="24"/>
      <c r="CP757" s="24" t="s">
        <v>123</v>
      </c>
      <c r="CQ757" s="24">
        <v>0</v>
      </c>
      <c r="CR757" s="24">
        <v>0</v>
      </c>
      <c r="CS757" s="18">
        <f>IF(CT757&gt;0,1,0)</f>
        <v>0</v>
      </c>
      <c r="CT757" s="25">
        <f>SUM(CW757,CZ757,DC757)</f>
        <v>0</v>
      </c>
      <c r="CU757" s="25"/>
      <c r="CV757" s="24">
        <v>0</v>
      </c>
      <c r="CW757" s="25">
        <v>0</v>
      </c>
      <c r="CX757" s="24">
        <v>0</v>
      </c>
      <c r="CY757" s="24">
        <v>0</v>
      </c>
      <c r="CZ757" s="18">
        <v>0</v>
      </c>
      <c r="DA757" s="24">
        <v>0</v>
      </c>
      <c r="DB757" s="24">
        <v>0</v>
      </c>
      <c r="DC757" s="18">
        <v>0</v>
      </c>
      <c r="DD757" s="24">
        <v>0</v>
      </c>
      <c r="DE757" s="24">
        <v>0</v>
      </c>
      <c r="DF757" s="16" t="e">
        <f>VLOOKUP(K757,'[3]RNA Seq summary tables'!$V$3:$V$99,1,FALSE)</f>
        <v>#N/A</v>
      </c>
      <c r="DI757" s="18"/>
      <c r="DJ757" s="18"/>
      <c r="DK757" s="18"/>
      <c r="DL757" s="18"/>
      <c r="DM757" s="18"/>
      <c r="DN757" s="18"/>
      <c r="DO757" s="18"/>
      <c r="DP757" s="18"/>
      <c r="DQ757" s="18"/>
      <c r="DR757" s="18"/>
      <c r="DS757" s="18"/>
    </row>
    <row r="758" spans="2:288" x14ac:dyDescent="0.2">
      <c r="B758" s="16">
        <v>2016</v>
      </c>
      <c r="C758" s="37">
        <v>42607</v>
      </c>
      <c r="D758" s="37" t="str">
        <f>CONCATENATE(J758,"-",C758)</f>
        <v>929-42607</v>
      </c>
      <c r="E758" s="20" t="str">
        <f>CONCATENATE(T758,"-",U758,"-",C758)</f>
        <v>SP1-E7-42607</v>
      </c>
      <c r="F758" s="20" t="s">
        <v>227</v>
      </c>
      <c r="G758" s="20" t="s">
        <v>107</v>
      </c>
      <c r="H758" s="18"/>
      <c r="I758" s="16">
        <v>0</v>
      </c>
      <c r="J758" s="36">
        <v>929</v>
      </c>
      <c r="K758" s="36">
        <v>1564</v>
      </c>
      <c r="L758" s="18">
        <v>0</v>
      </c>
      <c r="M758" s="15">
        <f>VLOOKUP(K758,'[7]MLBS 2016 SNV-nem Coinfection d'!$C$1:$G$238,4,FALSE)</f>
        <v>0</v>
      </c>
      <c r="N758" s="15">
        <v>0</v>
      </c>
      <c r="O758" s="15" t="s">
        <v>214</v>
      </c>
      <c r="P758" s="18" t="s">
        <v>110</v>
      </c>
      <c r="Q758" s="16">
        <v>1</v>
      </c>
      <c r="R758" s="18">
        <v>14</v>
      </c>
      <c r="S758" s="18"/>
      <c r="T758" s="18" t="s">
        <v>140</v>
      </c>
      <c r="U758" s="18" t="s">
        <v>135</v>
      </c>
      <c r="V758" s="18" t="s">
        <v>142</v>
      </c>
      <c r="W758" s="16">
        <f>AI758/AG758</f>
        <v>1.0337078651685394</v>
      </c>
      <c r="X758" s="18" t="s">
        <v>121</v>
      </c>
      <c r="Y758" s="18" t="s">
        <v>110</v>
      </c>
      <c r="Z758" s="18">
        <v>3</v>
      </c>
      <c r="AA758" s="18" t="s">
        <v>161</v>
      </c>
      <c r="AB758" s="18" t="s">
        <v>116</v>
      </c>
      <c r="AC758" s="18" t="s">
        <v>123</v>
      </c>
      <c r="AD758" s="18" t="s">
        <v>116</v>
      </c>
      <c r="AE758" s="18"/>
      <c r="AF758" s="18"/>
      <c r="AG758" s="18">
        <f>AH758-AI758</f>
        <v>89</v>
      </c>
      <c r="AH758" s="18">
        <v>181</v>
      </c>
      <c r="AI758" s="18">
        <v>92</v>
      </c>
      <c r="AJ758" s="18"/>
      <c r="AK758" s="18">
        <v>19.5</v>
      </c>
      <c r="AL758" s="16">
        <v>0</v>
      </c>
      <c r="AM758" s="16">
        <v>0</v>
      </c>
      <c r="AN758" s="16">
        <v>0</v>
      </c>
      <c r="AO758" s="16">
        <f>IF(SUM(AL758:AN758)&gt;0,1,0)</f>
        <v>0</v>
      </c>
      <c r="AP758" s="16">
        <f>SUM(AL758:AN758)</f>
        <v>0</v>
      </c>
      <c r="AQ758" s="18"/>
      <c r="AR758" s="18">
        <v>0.38100000000000001</v>
      </c>
      <c r="AS758" s="18">
        <v>0.38100000000000001</v>
      </c>
      <c r="AT758" s="18" t="s">
        <v>212</v>
      </c>
      <c r="AU758" s="18"/>
      <c r="AV758" s="18">
        <v>1</v>
      </c>
      <c r="AW758" s="18">
        <v>0</v>
      </c>
      <c r="AX758" s="24">
        <v>0</v>
      </c>
      <c r="AY758" s="24">
        <v>0</v>
      </c>
      <c r="AZ758" s="18">
        <v>0</v>
      </c>
      <c r="BA758" s="24">
        <v>0</v>
      </c>
      <c r="BB758" s="24">
        <v>0</v>
      </c>
      <c r="BC758" s="18">
        <v>0</v>
      </c>
      <c r="BD758" s="24">
        <v>0</v>
      </c>
      <c r="BE758" s="24">
        <v>0</v>
      </c>
      <c r="BF758" s="18">
        <v>0</v>
      </c>
      <c r="BG758" s="92">
        <v>0</v>
      </c>
      <c r="BH758" s="24">
        <v>0</v>
      </c>
      <c r="BI758" s="18">
        <v>0</v>
      </c>
      <c r="BJ758" s="24">
        <v>0</v>
      </c>
      <c r="BK758" s="24">
        <v>0</v>
      </c>
      <c r="BL758" s="16">
        <f>IF(BM758&gt;0,1,0)</f>
        <v>0</v>
      </c>
      <c r="BM758" s="16">
        <f>SUM(BR758,BU758,BX758,CA758,CD758,CG758,CJ758,CM758,CP758)</f>
        <v>0</v>
      </c>
      <c r="BN758" s="16">
        <f>SUM(BW758,BZ758,CC758,CF758,CI758,CL758,CO758,CR758,BT758)</f>
        <v>0</v>
      </c>
      <c r="BO758" s="16">
        <f>IF(BP758&gt;0,1,0)</f>
        <v>0</v>
      </c>
      <c r="BP758" s="16">
        <f>SUM(BU758,BX758,CA758,CD758,BR758)</f>
        <v>0</v>
      </c>
      <c r="BQ758" s="16">
        <f>SUM(BZ758,CC758,CF758,BT758,BW758)</f>
        <v>0</v>
      </c>
      <c r="BR758" s="18">
        <v>0</v>
      </c>
      <c r="BS758" s="24">
        <v>0</v>
      </c>
      <c r="BT758" s="77">
        <f>BS758/AS758</f>
        <v>0</v>
      </c>
      <c r="BU758" s="18">
        <v>0</v>
      </c>
      <c r="BV758" s="24">
        <v>0</v>
      </c>
      <c r="BW758" s="18">
        <f>BV758/AS758</f>
        <v>0</v>
      </c>
      <c r="BX758" s="18">
        <v>0</v>
      </c>
      <c r="BY758" s="24">
        <v>0</v>
      </c>
      <c r="BZ758" s="16">
        <f>BY758/AS758</f>
        <v>0</v>
      </c>
      <c r="CA758" s="24">
        <v>0</v>
      </c>
      <c r="CB758" s="24">
        <v>0</v>
      </c>
      <c r="CC758" s="24">
        <v>0</v>
      </c>
      <c r="CD758" s="78">
        <v>0</v>
      </c>
      <c r="CE758" s="24">
        <v>0</v>
      </c>
      <c r="CF758" s="24">
        <v>0</v>
      </c>
      <c r="CG758" s="24"/>
      <c r="CH758" s="24"/>
      <c r="CI758" s="24"/>
      <c r="CJ758" s="24"/>
      <c r="CK758" s="24"/>
      <c r="CL758" s="24"/>
      <c r="CM758" s="24"/>
      <c r="CN758" s="24"/>
      <c r="CO758" s="24"/>
      <c r="CP758" s="24" t="s">
        <v>123</v>
      </c>
      <c r="CQ758" s="24">
        <v>0</v>
      </c>
      <c r="CR758" s="24">
        <v>0</v>
      </c>
      <c r="CS758" s="18">
        <f>IF(CT758&gt;0,1,0)</f>
        <v>0</v>
      </c>
      <c r="CT758" s="25">
        <f>SUM(CW758,CZ758,DC758)</f>
        <v>0</v>
      </c>
      <c r="CU758" s="25"/>
      <c r="CV758" s="24">
        <v>0</v>
      </c>
      <c r="CW758" s="25">
        <v>0</v>
      </c>
      <c r="CX758" s="24">
        <v>0</v>
      </c>
      <c r="CY758" s="24">
        <v>0</v>
      </c>
      <c r="CZ758" s="18">
        <v>0</v>
      </c>
      <c r="DA758" s="24">
        <v>0</v>
      </c>
      <c r="DB758" s="24">
        <v>0</v>
      </c>
      <c r="DC758" s="18">
        <v>0</v>
      </c>
      <c r="DD758" s="24">
        <v>0</v>
      </c>
      <c r="DE758" s="24">
        <v>0</v>
      </c>
      <c r="DF758" s="16" t="e">
        <f>VLOOKUP(K758,'[3]RNA Seq summary tables'!$V$3:$V$99,1,FALSE)</f>
        <v>#N/A</v>
      </c>
      <c r="DG758" s="16">
        <v>1</v>
      </c>
      <c r="DH758" s="16" t="str">
        <f>VLOOKUP(D758,'[8]Data with duplicates'!$B$1:$J$70,9,FALSE)</f>
        <v>sample.22</v>
      </c>
      <c r="DI758" s="18"/>
      <c r="DJ758" s="18"/>
      <c r="DK758" s="18"/>
      <c r="DL758" s="18"/>
      <c r="DM758" s="18"/>
      <c r="DN758" s="18"/>
      <c r="DO758" s="18"/>
      <c r="DP758" s="18"/>
      <c r="DQ758" s="18"/>
      <c r="DR758" s="18"/>
      <c r="DS758" s="18"/>
    </row>
    <row r="759" spans="2:288" x14ac:dyDescent="0.2">
      <c r="B759" s="16">
        <v>2016</v>
      </c>
      <c r="C759" s="20">
        <v>42528</v>
      </c>
      <c r="D759" s="20" t="str">
        <f>CONCATENATE(J759,"-",C759)</f>
        <v>931-42528</v>
      </c>
      <c r="E759" s="20" t="str">
        <f>CONCATENATE(T759,"-",U759,"-",C759)</f>
        <v>BC2-G7-42528</v>
      </c>
      <c r="F759" s="20" t="s">
        <v>106</v>
      </c>
      <c r="G759" s="20" t="s">
        <v>107</v>
      </c>
      <c r="H759" s="16" t="s">
        <v>125</v>
      </c>
      <c r="I759" s="16">
        <v>0</v>
      </c>
      <c r="J759" s="15">
        <v>931</v>
      </c>
      <c r="K759" s="15">
        <v>1416</v>
      </c>
      <c r="L759" s="16">
        <v>0</v>
      </c>
      <c r="M759" s="15">
        <f>VLOOKUP(K759,'[7]MLBS 2016 SNV-nem Coinfection d'!$C$1:$G$238,4,FALSE)</f>
        <v>0</v>
      </c>
      <c r="N759" s="15">
        <v>0</v>
      </c>
      <c r="O759" s="15" t="s">
        <v>214</v>
      </c>
      <c r="P759" s="16" t="s">
        <v>308</v>
      </c>
      <c r="Q759" s="16">
        <v>0</v>
      </c>
      <c r="R759" s="23" t="s">
        <v>111</v>
      </c>
      <c r="S759" s="23"/>
      <c r="T759" s="23" t="s">
        <v>154</v>
      </c>
      <c r="U759" s="23" t="s">
        <v>156</v>
      </c>
      <c r="V759" s="23" t="s">
        <v>114</v>
      </c>
      <c r="W759" s="16">
        <f>AI759/AG759</f>
        <v>1</v>
      </c>
      <c r="X759" s="23" t="s">
        <v>121</v>
      </c>
      <c r="Y759" s="23" t="s">
        <v>145</v>
      </c>
      <c r="Z759" s="16">
        <v>1</v>
      </c>
      <c r="AA759" s="16" t="s">
        <v>119</v>
      </c>
      <c r="AB759" s="16" t="s">
        <v>123</v>
      </c>
      <c r="AC759" s="16" t="s">
        <v>123</v>
      </c>
      <c r="AD759" s="16" t="s">
        <v>123</v>
      </c>
      <c r="AG759" s="16">
        <f>146-73</f>
        <v>73</v>
      </c>
      <c r="AH759" s="16">
        <v>146</v>
      </c>
      <c r="AI759" s="16">
        <v>73</v>
      </c>
      <c r="AK759" s="16">
        <v>11</v>
      </c>
      <c r="AL759" s="16">
        <v>0</v>
      </c>
      <c r="AM759" s="16">
        <v>0</v>
      </c>
      <c r="AN759" s="16">
        <v>0</v>
      </c>
      <c r="AO759" s="16">
        <f>IF(SUM(AL759:AN759)&gt;0,1,0)</f>
        <v>0</v>
      </c>
      <c r="AP759" s="16">
        <f>SUM(AL759:AN759)</f>
        <v>0</v>
      </c>
      <c r="AR759" s="16">
        <v>0.26900000000000002</v>
      </c>
      <c r="AS759" s="16">
        <v>0.26900000000000002</v>
      </c>
      <c r="AT759" s="18" t="s">
        <v>117</v>
      </c>
      <c r="AU759" s="18"/>
      <c r="AW759" s="22">
        <v>1</v>
      </c>
      <c r="AY759" s="16">
        <f>1692/0.269</f>
        <v>6289.9628252788098</v>
      </c>
      <c r="AZ759" s="18">
        <v>1</v>
      </c>
      <c r="BB759" s="16">
        <f>1692/0.269</f>
        <v>6289.9628252788098</v>
      </c>
      <c r="BC759" s="16">
        <v>1</v>
      </c>
      <c r="BD759" s="16">
        <v>29</v>
      </c>
      <c r="BE759" s="16">
        <f>29/0.269</f>
        <v>107.80669144981412</v>
      </c>
      <c r="BF759" s="18">
        <v>1</v>
      </c>
      <c r="BG759" s="77">
        <v>1658</v>
      </c>
      <c r="BH759" s="16">
        <f>1658/0.269</f>
        <v>6163.5687732342003</v>
      </c>
      <c r="BI759" s="16">
        <v>1</v>
      </c>
      <c r="BJ759" s="16">
        <v>5</v>
      </c>
      <c r="BK759" s="16">
        <f>5/0.269</f>
        <v>18.587360594795538</v>
      </c>
      <c r="BL759" s="16">
        <f>IF(BM759&gt;0,1,0)</f>
        <v>0</v>
      </c>
      <c r="BM759" s="16">
        <f>SUM(BR759,BU759,BX759,CA759,CD759,CG759,CJ759,CM759,CP759)</f>
        <v>0</v>
      </c>
      <c r="BN759" s="16">
        <f>SUM(BW759,BZ759,CC759,CF759,CI759,CL759,CO759,CR759,BT759)</f>
        <v>0</v>
      </c>
      <c r="BO759" s="16">
        <f>IF(BP759&gt;0,1,0)</f>
        <v>0</v>
      </c>
      <c r="BP759" s="16">
        <f>SUM(BU759,BX759,CA759,CD759,BR759)</f>
        <v>0</v>
      </c>
      <c r="BQ759" s="16">
        <f>SUM(BZ759,CC759,CF759,BT759,BW759)</f>
        <v>0</v>
      </c>
      <c r="BR759" s="18">
        <v>0</v>
      </c>
      <c r="BS759" s="16">
        <v>0</v>
      </c>
      <c r="BT759" s="77">
        <f>BS759/AS759</f>
        <v>0</v>
      </c>
      <c r="BU759" s="18">
        <v>0</v>
      </c>
      <c r="BV759" s="16">
        <v>0</v>
      </c>
      <c r="BW759" s="18">
        <f>BV759/AS759</f>
        <v>0</v>
      </c>
      <c r="BX759" s="18">
        <v>0</v>
      </c>
      <c r="BY759" s="16">
        <v>0</v>
      </c>
      <c r="BZ759" s="16">
        <f>BY759/AS759</f>
        <v>0</v>
      </c>
      <c r="CA759" s="24">
        <v>0</v>
      </c>
      <c r="CB759" s="16">
        <v>0</v>
      </c>
      <c r="CC759" s="16">
        <v>0</v>
      </c>
      <c r="CD759" s="78">
        <v>0</v>
      </c>
      <c r="CE759" s="16">
        <v>0</v>
      </c>
      <c r="CF759" s="16">
        <v>0</v>
      </c>
      <c r="CP759" s="16" t="s">
        <v>123</v>
      </c>
      <c r="CQ759" s="16">
        <v>0</v>
      </c>
      <c r="CR759" s="16">
        <v>0</v>
      </c>
      <c r="CS759" s="18">
        <f>IF(CT759&gt;0,1,0)</f>
        <v>0</v>
      </c>
      <c r="CT759" s="25">
        <f>SUM(CW759,CZ759,DC759)</f>
        <v>0</v>
      </c>
      <c r="CU759" s="25"/>
      <c r="CV759" s="16">
        <v>0</v>
      </c>
      <c r="CW759" s="25">
        <v>0</v>
      </c>
      <c r="CX759" s="16">
        <v>0</v>
      </c>
      <c r="CY759" s="16">
        <v>0</v>
      </c>
      <c r="CZ759" s="18">
        <v>0</v>
      </c>
      <c r="DA759" s="16">
        <v>0</v>
      </c>
      <c r="DB759" s="16">
        <v>0</v>
      </c>
      <c r="DC759" s="18">
        <v>0</v>
      </c>
      <c r="DD759" s="16">
        <v>0</v>
      </c>
      <c r="DE759" s="16">
        <v>0</v>
      </c>
      <c r="DF759" s="16" t="e">
        <f>VLOOKUP(K759,'[3]RNA Seq summary tables'!$V$3:$V$99,1,FALSE)</f>
        <v>#N/A</v>
      </c>
      <c r="JO759" s="19"/>
    </row>
    <row r="760" spans="2:288" x14ac:dyDescent="0.2">
      <c r="B760" s="16">
        <v>2016</v>
      </c>
      <c r="C760" s="20">
        <v>42541</v>
      </c>
      <c r="D760" s="20" t="str">
        <f>CONCATENATE(J760,"-",C760)</f>
        <v>931-42541</v>
      </c>
      <c r="E760" s="20" t="str">
        <f>CONCATENATE(T760,"-",U760,"-",C760)</f>
        <v>BC2-H2-42541</v>
      </c>
      <c r="F760" s="20" t="s">
        <v>106</v>
      </c>
      <c r="G760" s="20" t="s">
        <v>107</v>
      </c>
      <c r="H760" s="16" t="s">
        <v>125</v>
      </c>
      <c r="I760" s="16">
        <v>0</v>
      </c>
      <c r="J760" s="15">
        <v>931</v>
      </c>
      <c r="K760" s="15">
        <v>1395</v>
      </c>
      <c r="L760" s="16">
        <v>0</v>
      </c>
      <c r="M760" s="15">
        <f>VLOOKUP(K760,'[7]MLBS 2016 SNV-nem Coinfection d'!$C$1:$G$238,4,FALSE)</f>
        <v>0</v>
      </c>
      <c r="N760" s="15">
        <v>0</v>
      </c>
      <c r="O760" s="15" t="s">
        <v>214</v>
      </c>
      <c r="P760" s="16" t="s">
        <v>308</v>
      </c>
      <c r="Q760" s="16">
        <v>1</v>
      </c>
      <c r="R760" s="23">
        <v>13</v>
      </c>
      <c r="S760" s="23"/>
      <c r="T760" s="23" t="s">
        <v>154</v>
      </c>
      <c r="U760" s="23" t="s">
        <v>190</v>
      </c>
      <c r="V760" s="23" t="s">
        <v>114</v>
      </c>
      <c r="W760" s="16">
        <f>AI760/AG760</f>
        <v>0.90361445783132532</v>
      </c>
      <c r="X760" s="23" t="s">
        <v>121</v>
      </c>
      <c r="Y760" s="23" t="s">
        <v>122</v>
      </c>
      <c r="Z760" s="16">
        <v>2.2999999999999998</v>
      </c>
      <c r="AA760" s="16" t="s">
        <v>119</v>
      </c>
      <c r="AB760" s="16" t="s">
        <v>123</v>
      </c>
      <c r="AC760" s="16" t="s">
        <v>123</v>
      </c>
      <c r="AD760" s="16" t="s">
        <v>123</v>
      </c>
      <c r="AG760" s="16">
        <f>AH760-AI760</f>
        <v>83</v>
      </c>
      <c r="AH760" s="16">
        <v>158</v>
      </c>
      <c r="AI760" s="16">
        <v>75</v>
      </c>
      <c r="AK760" s="16">
        <v>14</v>
      </c>
      <c r="AL760" s="16">
        <v>1</v>
      </c>
      <c r="AM760" s="16">
        <v>0</v>
      </c>
      <c r="AN760" s="16">
        <v>0</v>
      </c>
      <c r="AO760" s="16">
        <f>IF(SUM(AL760:AN760)&gt;0,1,0)</f>
        <v>1</v>
      </c>
      <c r="AP760" s="16">
        <f>SUM(AL760:AN760)</f>
        <v>1</v>
      </c>
      <c r="AQ760" s="16">
        <f>1.477+0.137</f>
        <v>1.6140000000000001</v>
      </c>
      <c r="AR760" s="16">
        <v>0.13700000000000001</v>
      </c>
      <c r="AS760" s="16">
        <v>0.13700000000000001</v>
      </c>
      <c r="AT760" s="16" t="s">
        <v>124</v>
      </c>
      <c r="AW760" s="22">
        <v>1</v>
      </c>
      <c r="AY760" s="16">
        <f>(57+158+6)/AS760</f>
        <v>1613.1386861313867</v>
      </c>
      <c r="AZ760" s="18">
        <v>1</v>
      </c>
      <c r="BB760" s="16">
        <f>AY760</f>
        <v>1613.1386861313867</v>
      </c>
      <c r="BC760" s="16">
        <v>1</v>
      </c>
      <c r="BD760" s="16">
        <v>57</v>
      </c>
      <c r="BE760" s="16">
        <f>57/AS760</f>
        <v>416.05839416058393</v>
      </c>
      <c r="BF760" s="18">
        <v>1</v>
      </c>
      <c r="BG760" s="77">
        <v>158</v>
      </c>
      <c r="BH760" s="16">
        <f>158/AS760</f>
        <v>1153.2846715328467</v>
      </c>
      <c r="BI760" s="16">
        <v>1</v>
      </c>
      <c r="BJ760" s="16">
        <v>6</v>
      </c>
      <c r="BK760" s="16">
        <f>6/AS760</f>
        <v>43.795620437956202</v>
      </c>
      <c r="BL760" s="16">
        <f>IF(BM760&gt;0,1,0)</f>
        <v>0</v>
      </c>
      <c r="BM760" s="16">
        <f>SUM(BR760,BU760,BX760,CA760,CD760,CG760,CJ760,CM760,CP760)</f>
        <v>0</v>
      </c>
      <c r="BN760" s="16">
        <f>SUM(BW760,BZ760,CC760,CF760,CI760,CL760,CO760,CR760,BT760)</f>
        <v>0</v>
      </c>
      <c r="BO760" s="16">
        <f>IF(BP760&gt;0,1,0)</f>
        <v>0</v>
      </c>
      <c r="BP760" s="16">
        <f>SUM(BU760,BX760,CA760,CD760,BR760)</f>
        <v>0</v>
      </c>
      <c r="BQ760" s="16">
        <f>SUM(BZ760,CC760,CF760,BT760,BW760)</f>
        <v>0</v>
      </c>
      <c r="BR760" s="18">
        <v>0</v>
      </c>
      <c r="BS760" s="16">
        <v>0</v>
      </c>
      <c r="BT760" s="77">
        <f>BS760/AS760</f>
        <v>0</v>
      </c>
      <c r="BU760" s="18">
        <v>0</v>
      </c>
      <c r="BV760" s="16">
        <v>0</v>
      </c>
      <c r="BW760" s="18">
        <f>BV760/AS760</f>
        <v>0</v>
      </c>
      <c r="BX760" s="18">
        <v>0</v>
      </c>
      <c r="BY760" s="16">
        <v>0</v>
      </c>
      <c r="BZ760" s="16">
        <f>BY760/AS760</f>
        <v>0</v>
      </c>
      <c r="CA760" s="24">
        <v>0</v>
      </c>
      <c r="CB760" s="16">
        <v>0</v>
      </c>
      <c r="CC760" s="16">
        <v>0</v>
      </c>
      <c r="CD760" s="78">
        <v>0</v>
      </c>
      <c r="CE760" s="16">
        <v>0</v>
      </c>
      <c r="CF760" s="16">
        <v>0</v>
      </c>
      <c r="CP760" s="16" t="s">
        <v>123</v>
      </c>
      <c r="CQ760" s="16">
        <v>0</v>
      </c>
      <c r="CR760" s="16">
        <v>0</v>
      </c>
      <c r="CS760" s="18">
        <f>IF(CT760&gt;0,1,0)</f>
        <v>0</v>
      </c>
      <c r="CT760" s="25">
        <f>SUM(CW760,CZ760,DC760)</f>
        <v>0</v>
      </c>
      <c r="CU760" s="25"/>
      <c r="CV760" s="16">
        <v>0</v>
      </c>
      <c r="CW760" s="25">
        <v>0</v>
      </c>
      <c r="CX760" s="16">
        <v>0</v>
      </c>
      <c r="CY760" s="16">
        <v>0</v>
      </c>
      <c r="CZ760" s="18">
        <v>0</v>
      </c>
      <c r="DA760" s="16">
        <v>0</v>
      </c>
      <c r="DB760" s="16">
        <v>0</v>
      </c>
      <c r="DC760" s="18">
        <v>0</v>
      </c>
      <c r="DD760" s="16">
        <v>0</v>
      </c>
      <c r="DE760" s="16">
        <v>0</v>
      </c>
      <c r="DF760" s="16" t="e">
        <f>VLOOKUP(K760,'[3]RNA Seq summary tables'!$V$3:$V$99,1,FALSE)</f>
        <v>#N/A</v>
      </c>
      <c r="JR760" s="38"/>
      <c r="JS760" s="38"/>
      <c r="JT760" s="38"/>
      <c r="JU760" s="38"/>
      <c r="JV760" s="38"/>
      <c r="JW760" s="38"/>
      <c r="JX760" s="38"/>
      <c r="JY760" s="38"/>
      <c r="JZ760" s="38"/>
      <c r="KA760" s="38"/>
      <c r="KB760" s="38"/>
    </row>
    <row r="761" spans="2:288" x14ac:dyDescent="0.2">
      <c r="B761" s="16">
        <v>2016</v>
      </c>
      <c r="C761" s="20">
        <v>42558</v>
      </c>
      <c r="D761" s="20" t="str">
        <f>CONCATENATE(J761,"-",C761)</f>
        <v>931-42558</v>
      </c>
      <c r="E761" s="20" t="str">
        <f>CONCATENATE(T761,"-",U761,"-",C761)</f>
        <v>BC2-G5-42558</v>
      </c>
      <c r="F761" s="20" t="s">
        <v>106</v>
      </c>
      <c r="G761" s="20" t="s">
        <v>107</v>
      </c>
      <c r="I761" s="16">
        <v>0</v>
      </c>
      <c r="J761" s="15">
        <v>931</v>
      </c>
      <c r="K761" s="15">
        <v>1455</v>
      </c>
      <c r="L761" s="18">
        <v>0</v>
      </c>
      <c r="M761" s="15">
        <f>VLOOKUP(K761,'[7]MLBS 2016 SNV-nem Coinfection d'!$C$1:$G$238,4,FALSE)</f>
        <v>0</v>
      </c>
      <c r="N761" s="15">
        <v>0</v>
      </c>
      <c r="O761" s="15" t="s">
        <v>214</v>
      </c>
      <c r="P761" s="23" t="s">
        <v>110</v>
      </c>
      <c r="Q761" s="16">
        <v>1</v>
      </c>
      <c r="R761" s="23">
        <v>17</v>
      </c>
      <c r="S761" s="23"/>
      <c r="T761" s="23" t="s">
        <v>154</v>
      </c>
      <c r="U761" s="23" t="s">
        <v>200</v>
      </c>
      <c r="V761" s="23" t="s">
        <v>114</v>
      </c>
      <c r="W761" s="16">
        <f>AI761/AG761</f>
        <v>0.84782608695652173</v>
      </c>
      <c r="X761" s="23" t="s">
        <v>121</v>
      </c>
      <c r="Y761" s="23" t="s">
        <v>110</v>
      </c>
      <c r="Z761" s="16">
        <v>3</v>
      </c>
      <c r="AA761" s="16" t="s">
        <v>119</v>
      </c>
      <c r="AB761" s="16" t="s">
        <v>123</v>
      </c>
      <c r="AC761" s="16" t="s">
        <v>123</v>
      </c>
      <c r="AD761" s="16" t="s">
        <v>123</v>
      </c>
      <c r="AG761" s="16">
        <f>AH761-AI761</f>
        <v>92</v>
      </c>
      <c r="AH761" s="16">
        <v>170</v>
      </c>
      <c r="AI761" s="16">
        <v>78</v>
      </c>
      <c r="AK761" s="16">
        <v>16.5</v>
      </c>
      <c r="AL761" s="16">
        <v>0</v>
      </c>
      <c r="AM761" s="16">
        <v>0</v>
      </c>
      <c r="AN761" s="16">
        <v>0</v>
      </c>
      <c r="AO761" s="16">
        <f>IF(SUM(AL761:AN761)&gt;0,1,0)</f>
        <v>0</v>
      </c>
      <c r="AP761" s="16">
        <f>SUM(AL761:AN761)</f>
        <v>0</v>
      </c>
      <c r="AR761" s="16">
        <v>0.28999999999999998</v>
      </c>
      <c r="AS761" s="16">
        <v>0.28999999999999998</v>
      </c>
      <c r="AT761" s="18" t="s">
        <v>117</v>
      </c>
      <c r="AU761" s="18"/>
      <c r="AV761" s="16">
        <v>1</v>
      </c>
      <c r="AW761" s="18">
        <v>0</v>
      </c>
      <c r="AX761" s="16">
        <v>0</v>
      </c>
      <c r="AY761" s="16">
        <v>0</v>
      </c>
      <c r="AZ761" s="18">
        <v>0</v>
      </c>
      <c r="BA761" s="16">
        <v>0</v>
      </c>
      <c r="BB761" s="16">
        <v>0</v>
      </c>
      <c r="BC761" s="18">
        <v>0</v>
      </c>
      <c r="BD761" s="16">
        <v>0</v>
      </c>
      <c r="BE761" s="16">
        <v>0</v>
      </c>
      <c r="BF761" s="18">
        <v>0</v>
      </c>
      <c r="BG761" s="77">
        <v>0</v>
      </c>
      <c r="BH761" s="16">
        <v>0</v>
      </c>
      <c r="BI761" s="18">
        <v>0</v>
      </c>
      <c r="BJ761" s="16">
        <v>0</v>
      </c>
      <c r="BK761" s="16">
        <v>0</v>
      </c>
      <c r="BL761" s="16">
        <f>IF(BM761&gt;0,1,0)</f>
        <v>0</v>
      </c>
      <c r="BM761" s="16">
        <f>SUM(BR761,BU761,BX761,CA761,CD761,CG761,CJ761,CM761,CP761)</f>
        <v>0</v>
      </c>
      <c r="BN761" s="16">
        <f>SUM(BW761,BZ761,CC761,CF761,CI761,CL761,CO761,CR761,BT761)</f>
        <v>0</v>
      </c>
      <c r="BO761" s="16">
        <f>IF(BP761&gt;0,1,0)</f>
        <v>0</v>
      </c>
      <c r="BP761" s="16">
        <f>SUM(BU761,BX761,CA761,CD761,BR761)</f>
        <v>0</v>
      </c>
      <c r="BQ761" s="16">
        <f>SUM(BZ761,CC761,CF761,BT761,BW761)</f>
        <v>0</v>
      </c>
      <c r="BR761" s="18">
        <v>0</v>
      </c>
      <c r="BS761" s="16">
        <v>0</v>
      </c>
      <c r="BT761" s="77">
        <f>BS761/AS761</f>
        <v>0</v>
      </c>
      <c r="BU761" s="18">
        <v>0</v>
      </c>
      <c r="BV761" s="16">
        <v>0</v>
      </c>
      <c r="BW761" s="18">
        <f>BV761/AS761</f>
        <v>0</v>
      </c>
      <c r="BX761" s="18">
        <v>0</v>
      </c>
      <c r="BY761" s="16">
        <v>0</v>
      </c>
      <c r="BZ761" s="16">
        <f>BY761/AS761</f>
        <v>0</v>
      </c>
      <c r="CA761" s="24">
        <v>0</v>
      </c>
      <c r="CB761" s="16">
        <v>0</v>
      </c>
      <c r="CC761" s="16">
        <v>0</v>
      </c>
      <c r="CD761" s="78">
        <v>0</v>
      </c>
      <c r="CE761" s="16">
        <v>0</v>
      </c>
      <c r="CF761" s="16">
        <v>0</v>
      </c>
      <c r="CP761" s="16" t="s">
        <v>123</v>
      </c>
      <c r="CQ761" s="16">
        <v>0</v>
      </c>
      <c r="CR761" s="16">
        <v>0</v>
      </c>
      <c r="CS761" s="18">
        <f>IF(CT761&gt;0,1,0)</f>
        <v>0</v>
      </c>
      <c r="CT761" s="25">
        <f>SUM(CW761,CZ761,DC761)</f>
        <v>0</v>
      </c>
      <c r="CU761" s="25"/>
      <c r="CV761" s="16">
        <v>0</v>
      </c>
      <c r="CW761" s="25">
        <v>0</v>
      </c>
      <c r="CX761" s="16">
        <v>0</v>
      </c>
      <c r="CY761" s="16">
        <v>0</v>
      </c>
      <c r="CZ761" s="18">
        <v>0</v>
      </c>
      <c r="DA761" s="16">
        <v>0</v>
      </c>
      <c r="DB761" s="16">
        <v>0</v>
      </c>
      <c r="DC761" s="18">
        <v>0</v>
      </c>
      <c r="DD761" s="16">
        <v>0</v>
      </c>
      <c r="DE761" s="16">
        <v>0</v>
      </c>
      <c r="DF761" s="16" t="e">
        <f>VLOOKUP(K761,'[3]RNA Seq summary tables'!$V$3:$V$99,1,FALSE)</f>
        <v>#N/A</v>
      </c>
    </row>
    <row r="762" spans="2:288" x14ac:dyDescent="0.2">
      <c r="B762" s="16">
        <v>2016</v>
      </c>
      <c r="C762" s="20">
        <v>42569</v>
      </c>
      <c r="D762" s="20" t="str">
        <f>CONCATENATE(J762,"-",C762)</f>
        <v>931-42569</v>
      </c>
      <c r="E762" s="20" t="str">
        <f>CONCATENATE(T762,"-",U762,"-",C762)</f>
        <v>BC2-E8-42569</v>
      </c>
      <c r="F762" s="20" t="s">
        <v>106</v>
      </c>
      <c r="G762" s="20" t="s">
        <v>107</v>
      </c>
      <c r="I762" s="16">
        <v>0</v>
      </c>
      <c r="J762" s="15">
        <v>931</v>
      </c>
      <c r="K762" s="15">
        <v>1490</v>
      </c>
      <c r="L762" s="18">
        <v>0</v>
      </c>
      <c r="M762" s="15">
        <f>VLOOKUP(K762,'[7]MLBS 2016 SNV-nem Coinfection d'!$C$1:$G$238,4,FALSE)</f>
        <v>0</v>
      </c>
      <c r="N762" s="15">
        <v>0</v>
      </c>
      <c r="O762" s="15" t="s">
        <v>214</v>
      </c>
      <c r="P762" s="23" t="s">
        <v>110</v>
      </c>
      <c r="Q762" s="16">
        <v>1</v>
      </c>
      <c r="R762" s="23">
        <v>11</v>
      </c>
      <c r="S762" s="23"/>
      <c r="T762" s="23" t="s">
        <v>154</v>
      </c>
      <c r="U762" s="23" t="s">
        <v>181</v>
      </c>
      <c r="V762" s="23" t="s">
        <v>114</v>
      </c>
      <c r="W762" s="16">
        <f>AI762/AG762</f>
        <v>0.87912087912087911</v>
      </c>
      <c r="X762" s="23" t="s">
        <v>121</v>
      </c>
      <c r="Y762" s="23" t="s">
        <v>110</v>
      </c>
      <c r="Z762" s="16">
        <v>3</v>
      </c>
      <c r="AA762" s="16" t="s">
        <v>119</v>
      </c>
      <c r="AB762" s="16" t="s">
        <v>116</v>
      </c>
      <c r="AC762" s="16" t="s">
        <v>116</v>
      </c>
      <c r="AD762" s="16" t="s">
        <v>116</v>
      </c>
      <c r="AG762" s="16">
        <f>AH762-AI762</f>
        <v>91</v>
      </c>
      <c r="AH762" s="16">
        <v>171</v>
      </c>
      <c r="AI762" s="16">
        <v>80</v>
      </c>
      <c r="AK762" s="16">
        <v>22.5</v>
      </c>
      <c r="AL762" s="16">
        <v>1</v>
      </c>
      <c r="AM762" s="16">
        <v>0</v>
      </c>
      <c r="AN762" s="16">
        <v>0</v>
      </c>
      <c r="AO762" s="16">
        <f>IF(SUM(AL762:AN762)&gt;0,1,0)</f>
        <v>1</v>
      </c>
      <c r="AP762" s="16">
        <f>SUM(AL762:AN762)</f>
        <v>1</v>
      </c>
      <c r="AQ762" s="63">
        <v>1.637</v>
      </c>
      <c r="AR762" s="16">
        <v>0.16</v>
      </c>
      <c r="AS762" s="16">
        <v>0.16</v>
      </c>
      <c r="AT762" s="16" t="s">
        <v>205</v>
      </c>
      <c r="AW762" s="22">
        <v>1</v>
      </c>
      <c r="AX762" s="16">
        <v>4</v>
      </c>
      <c r="AY762" s="16">
        <f>(2 + 17+ 454 + 172)/AS762</f>
        <v>4031.25</v>
      </c>
      <c r="AZ762" s="18">
        <v>1</v>
      </c>
      <c r="BA762" s="16">
        <v>2</v>
      </c>
      <c r="BB762" s="16">
        <f>(2 + 17)/AS762</f>
        <v>118.75</v>
      </c>
      <c r="BC762" s="16">
        <v>1</v>
      </c>
      <c r="BD762" s="16">
        <v>2</v>
      </c>
      <c r="BE762" s="16">
        <f>2/AS762</f>
        <v>12.5</v>
      </c>
      <c r="BF762" s="18">
        <v>1</v>
      </c>
      <c r="BG762" s="77">
        <v>17</v>
      </c>
      <c r="BH762" s="16">
        <f xml:space="preserve"> 17/AS762</f>
        <v>106.25</v>
      </c>
      <c r="BI762" s="18">
        <v>0</v>
      </c>
      <c r="BJ762" s="16">
        <v>0</v>
      </c>
      <c r="BK762" s="16">
        <v>0</v>
      </c>
      <c r="BL762" s="16">
        <f>IF(BM762&gt;0,1,0)</f>
        <v>0</v>
      </c>
      <c r="BM762" s="16">
        <f>SUM(BR762,BU762,BX762,CA762,CD762,CG762,CJ762,CM762,CP762)</f>
        <v>0</v>
      </c>
      <c r="BN762" s="16">
        <f>SUM(BW762,BZ762,CC762,CF762,CI762,CL762,CO762,CR762,BT762)</f>
        <v>0</v>
      </c>
      <c r="BO762" s="16">
        <f>IF(BP762&gt;0,1,0)</f>
        <v>0</v>
      </c>
      <c r="BP762" s="16">
        <f>SUM(BU762,BX762,CA762,CD762,BR762)</f>
        <v>0</v>
      </c>
      <c r="BQ762" s="16">
        <f>SUM(BZ762,CC762,CF762,BT762,BW762)</f>
        <v>0</v>
      </c>
      <c r="BR762" s="18">
        <v>0</v>
      </c>
      <c r="BS762" s="16">
        <v>0</v>
      </c>
      <c r="BT762" s="77">
        <f>BS762/AS762</f>
        <v>0</v>
      </c>
      <c r="BU762" s="18">
        <v>0</v>
      </c>
      <c r="BV762" s="16">
        <v>0</v>
      </c>
      <c r="BW762" s="18">
        <f>BV762/AS762</f>
        <v>0</v>
      </c>
      <c r="BX762" s="18">
        <v>0</v>
      </c>
      <c r="BY762" s="16">
        <v>0</v>
      </c>
      <c r="BZ762" s="16">
        <f>BY762/AS762</f>
        <v>0</v>
      </c>
      <c r="CA762" s="24">
        <v>0</v>
      </c>
      <c r="CB762" s="16">
        <v>0</v>
      </c>
      <c r="CC762" s="16">
        <v>0</v>
      </c>
      <c r="CD762" s="78">
        <v>0</v>
      </c>
      <c r="CE762" s="16">
        <v>0</v>
      </c>
      <c r="CF762" s="16">
        <v>0</v>
      </c>
      <c r="CP762" s="16" t="s">
        <v>123</v>
      </c>
      <c r="CQ762" s="16">
        <v>0</v>
      </c>
      <c r="CR762" s="16">
        <v>0</v>
      </c>
      <c r="CS762" s="18">
        <f>IF(CT762&gt;0,1,0)</f>
        <v>1</v>
      </c>
      <c r="CT762" s="25">
        <f>SUM(CW762,CZ762,DC762)</f>
        <v>2</v>
      </c>
      <c r="CU762" s="25"/>
      <c r="CV762" s="16">
        <f xml:space="preserve"> (454 + 172)/AS762</f>
        <v>3912.5</v>
      </c>
      <c r="CW762" s="22">
        <v>1</v>
      </c>
      <c r="CX762" s="16">
        <v>454</v>
      </c>
      <c r="CY762" s="16">
        <f>454/AS762</f>
        <v>2837.5</v>
      </c>
      <c r="CZ762" s="16">
        <v>1</v>
      </c>
      <c r="DA762" s="16">
        <v>172</v>
      </c>
      <c r="DB762" s="16">
        <f>172/AS762</f>
        <v>1075</v>
      </c>
      <c r="DC762" s="18">
        <v>0</v>
      </c>
      <c r="DD762" s="16">
        <v>0</v>
      </c>
      <c r="DE762" s="16">
        <v>0</v>
      </c>
      <c r="DF762" s="16" t="e">
        <f>VLOOKUP(K762,'[3]RNA Seq summary tables'!$V$3:$V$99,1,FALSE)</f>
        <v>#N/A</v>
      </c>
      <c r="JP762" s="18"/>
      <c r="JQ762" s="18"/>
      <c r="JR762" s="18"/>
      <c r="JS762" s="18"/>
      <c r="JT762" s="18"/>
      <c r="JU762" s="18"/>
      <c r="JV762" s="18"/>
      <c r="JW762" s="18"/>
      <c r="JX762" s="18"/>
      <c r="JY762" s="18"/>
      <c r="JZ762" s="18"/>
      <c r="KA762" s="18"/>
      <c r="KB762" s="18"/>
    </row>
    <row r="763" spans="2:288" x14ac:dyDescent="0.2">
      <c r="B763" s="16">
        <v>2016</v>
      </c>
      <c r="C763" s="20">
        <v>42584</v>
      </c>
      <c r="D763" s="20" t="str">
        <f>CONCATENATE(J763,"-",C763)</f>
        <v>931-42584</v>
      </c>
      <c r="E763" s="20" t="str">
        <f>CONCATENATE(T763,"-",U763,"-",C763)</f>
        <v>BC2-H2-42584</v>
      </c>
      <c r="F763" s="20" t="s">
        <v>106</v>
      </c>
      <c r="G763" s="20" t="s">
        <v>107</v>
      </c>
      <c r="I763" s="16">
        <v>0</v>
      </c>
      <c r="J763" s="15">
        <v>931</v>
      </c>
      <c r="K763" s="15">
        <v>1525</v>
      </c>
      <c r="L763" s="18">
        <v>0</v>
      </c>
      <c r="M763" s="15">
        <f>VLOOKUP(K763,'[7]MLBS 2016 SNV-nem Coinfection d'!$C$1:$G$238,4,FALSE)</f>
        <v>0</v>
      </c>
      <c r="N763" s="15">
        <v>0</v>
      </c>
      <c r="O763" s="15" t="s">
        <v>214</v>
      </c>
      <c r="P763" s="23" t="s">
        <v>110</v>
      </c>
      <c r="Q763" s="16">
        <v>1</v>
      </c>
      <c r="R763" s="23">
        <v>15</v>
      </c>
      <c r="S763" s="23"/>
      <c r="T763" s="23" t="s">
        <v>154</v>
      </c>
      <c r="U763" s="23" t="s">
        <v>190</v>
      </c>
      <c r="V763" s="23" t="s">
        <v>114</v>
      </c>
      <c r="W763" s="16">
        <f>AI763/AG763</f>
        <v>0.92045454545454541</v>
      </c>
      <c r="X763" s="23" t="s">
        <v>121</v>
      </c>
      <c r="Y763" s="23" t="s">
        <v>110</v>
      </c>
      <c r="Z763" s="16">
        <v>3</v>
      </c>
      <c r="AA763" s="16" t="s">
        <v>119</v>
      </c>
      <c r="AB763" s="16" t="s">
        <v>116</v>
      </c>
      <c r="AC763" s="16" t="s">
        <v>123</v>
      </c>
      <c r="AD763" s="16" t="s">
        <v>116</v>
      </c>
      <c r="AG763" s="16">
        <f>AH763-AI763</f>
        <v>88</v>
      </c>
      <c r="AH763" s="16">
        <v>169</v>
      </c>
      <c r="AI763" s="16">
        <v>81</v>
      </c>
      <c r="AK763" s="16">
        <v>17</v>
      </c>
      <c r="AL763" s="16">
        <v>0</v>
      </c>
      <c r="AM763" s="16">
        <v>0</v>
      </c>
      <c r="AN763" s="16">
        <v>1</v>
      </c>
      <c r="AO763" s="16">
        <f>IF(SUM(AL763:AN763)&gt;0,1,0)</f>
        <v>1</v>
      </c>
      <c r="AP763" s="16">
        <f>SUM(AL763:AN763)</f>
        <v>1</v>
      </c>
      <c r="AQ763" s="16">
        <v>1.768</v>
      </c>
      <c r="AR763" s="16">
        <v>0.29099999999999998</v>
      </c>
      <c r="AS763" s="16">
        <v>0.29099999999999998</v>
      </c>
      <c r="AT763" s="16" t="s">
        <v>205</v>
      </c>
      <c r="AW763" s="22">
        <v>1</v>
      </c>
      <c r="AX763" s="16">
        <v>5</v>
      </c>
      <c r="AY763" s="16">
        <f>(51+97+3+877+313)/AS763</f>
        <v>4608.2474226804125</v>
      </c>
      <c r="AZ763" s="18">
        <v>1</v>
      </c>
      <c r="BA763" s="16">
        <v>3</v>
      </c>
      <c r="BB763" s="16">
        <f>(51+97+3)/AS763</f>
        <v>518.90034364261169</v>
      </c>
      <c r="BC763" s="16">
        <v>1</v>
      </c>
      <c r="BD763" s="16">
        <v>51</v>
      </c>
      <c r="BE763" s="16">
        <f>51/AS763</f>
        <v>175.25773195876289</v>
      </c>
      <c r="BF763" s="18">
        <v>1</v>
      </c>
      <c r="BG763" s="77">
        <v>97</v>
      </c>
      <c r="BH763" s="16">
        <f>97/AS763</f>
        <v>333.33333333333337</v>
      </c>
      <c r="BI763" s="16">
        <v>1</v>
      </c>
      <c r="BJ763" s="16">
        <v>3</v>
      </c>
      <c r="BK763" s="16">
        <f>3/AS763</f>
        <v>10.309278350515465</v>
      </c>
      <c r="BL763" s="16">
        <f>IF(BM763&gt;0,1,0)</f>
        <v>0</v>
      </c>
      <c r="BM763" s="16">
        <f>SUM(BR763,BU763,BX763,CA763,CD763,CG763,CJ763,CM763,CP763)</f>
        <v>0</v>
      </c>
      <c r="BN763" s="16">
        <f>SUM(BW763,BZ763,CC763,CF763,CI763,CL763,CO763,CR763,BT763)</f>
        <v>0</v>
      </c>
      <c r="BO763" s="16">
        <f>IF(BP763&gt;0,1,0)</f>
        <v>0</v>
      </c>
      <c r="BP763" s="16">
        <f>SUM(BU763,BX763,CA763,CD763,BR763)</f>
        <v>0</v>
      </c>
      <c r="BQ763" s="16">
        <f>SUM(BZ763,CC763,CF763,BT763,BW763)</f>
        <v>0</v>
      </c>
      <c r="BR763" s="18">
        <v>0</v>
      </c>
      <c r="BS763" s="16">
        <v>0</v>
      </c>
      <c r="BT763" s="77">
        <f>BS763/AS763</f>
        <v>0</v>
      </c>
      <c r="BU763" s="18">
        <v>0</v>
      </c>
      <c r="BV763" s="16">
        <v>0</v>
      </c>
      <c r="BW763" s="18">
        <f>BV763/AS763</f>
        <v>0</v>
      </c>
      <c r="BX763" s="18">
        <v>0</v>
      </c>
      <c r="BY763" s="16">
        <v>0</v>
      </c>
      <c r="BZ763" s="16">
        <f>BY763/AS763</f>
        <v>0</v>
      </c>
      <c r="CA763" s="24">
        <v>0</v>
      </c>
      <c r="CB763" s="16">
        <v>0</v>
      </c>
      <c r="CC763" s="16">
        <v>0</v>
      </c>
      <c r="CD763" s="78">
        <v>0</v>
      </c>
      <c r="CE763" s="16">
        <v>0</v>
      </c>
      <c r="CF763" s="16">
        <v>0</v>
      </c>
      <c r="CP763" s="16" t="s">
        <v>123</v>
      </c>
      <c r="CQ763" s="16">
        <v>0</v>
      </c>
      <c r="CR763" s="16">
        <v>0</v>
      </c>
      <c r="CS763" s="18">
        <f>IF(CT763&gt;0,1,0)</f>
        <v>1</v>
      </c>
      <c r="CT763" s="25">
        <f>SUM(CW763,CZ763,DC763)</f>
        <v>2</v>
      </c>
      <c r="CU763" s="25"/>
      <c r="CV763" s="16">
        <f>(877+313)/AS763</f>
        <v>4089.347079037801</v>
      </c>
      <c r="CW763" s="22">
        <v>1</v>
      </c>
      <c r="CX763" s="16">
        <v>877</v>
      </c>
      <c r="CY763" s="16">
        <f>877/AS763</f>
        <v>3013.7457044673542</v>
      </c>
      <c r="CZ763" s="16">
        <v>1</v>
      </c>
      <c r="DA763" s="16">
        <v>313</v>
      </c>
      <c r="DB763" s="16">
        <f>313/AS763</f>
        <v>1075.6013745704468</v>
      </c>
      <c r="DC763" s="18">
        <v>0</v>
      </c>
      <c r="DD763" s="16">
        <v>0</v>
      </c>
      <c r="DE763" s="16">
        <v>0</v>
      </c>
      <c r="DF763" s="16" t="e">
        <f>VLOOKUP(K763,'[3]RNA Seq summary tables'!$V$3:$V$99,1,FALSE)</f>
        <v>#N/A</v>
      </c>
    </row>
    <row r="764" spans="2:288" x14ac:dyDescent="0.2">
      <c r="B764" s="16">
        <v>2016</v>
      </c>
      <c r="C764" s="20">
        <v>42528</v>
      </c>
      <c r="D764" s="20" t="str">
        <f>CONCATENATE(J764,"-",C764)</f>
        <v>933-42528</v>
      </c>
      <c r="E764" s="20" t="str">
        <f>CONCATENATE(T764,"-",U764,"-",C764)</f>
        <v>BC2-E5-42528</v>
      </c>
      <c r="F764" s="20" t="s">
        <v>106</v>
      </c>
      <c r="G764" s="20" t="s">
        <v>107</v>
      </c>
      <c r="H764" s="16" t="s">
        <v>125</v>
      </c>
      <c r="I764" s="16">
        <v>0</v>
      </c>
      <c r="J764" s="15">
        <v>933</v>
      </c>
      <c r="K764" s="15">
        <v>1417</v>
      </c>
      <c r="L764" s="16">
        <v>0</v>
      </c>
      <c r="M764" s="15">
        <f>VLOOKUP(K764,'[7]MLBS 2016 SNV-nem Coinfection d'!$C$1:$G$238,4,FALSE)</f>
        <v>0</v>
      </c>
      <c r="N764" s="15">
        <v>0</v>
      </c>
      <c r="O764" s="15" t="s">
        <v>214</v>
      </c>
      <c r="P764" s="16" t="s">
        <v>308</v>
      </c>
      <c r="Q764" s="16">
        <v>0</v>
      </c>
      <c r="R764" s="23" t="s">
        <v>111</v>
      </c>
      <c r="S764" s="23"/>
      <c r="T764" s="23" t="s">
        <v>154</v>
      </c>
      <c r="U764" s="23" t="s">
        <v>158</v>
      </c>
      <c r="V764" s="23" t="s">
        <v>114</v>
      </c>
      <c r="W764" s="16">
        <f>AI764/AG764</f>
        <v>0.9</v>
      </c>
      <c r="X764" s="23" t="s">
        <v>115</v>
      </c>
      <c r="Y764" s="23" t="s">
        <v>110</v>
      </c>
      <c r="Z764" s="16">
        <v>3</v>
      </c>
      <c r="AE764" s="16" t="s">
        <v>123</v>
      </c>
      <c r="AF764" s="16" t="s">
        <v>123</v>
      </c>
      <c r="AG764" s="16">
        <f>171-81</f>
        <v>90</v>
      </c>
      <c r="AH764" s="16">
        <v>171</v>
      </c>
      <c r="AI764" s="16">
        <v>81</v>
      </c>
      <c r="AK764" s="16">
        <v>25</v>
      </c>
      <c r="AL764" s="16">
        <v>1</v>
      </c>
      <c r="AM764" s="16">
        <v>0</v>
      </c>
      <c r="AN764" s="16">
        <v>0</v>
      </c>
      <c r="AO764" s="16">
        <f>IF(SUM(AL764:AN764)&gt;0,1,0)</f>
        <v>1</v>
      </c>
      <c r="AP764" s="16">
        <f>SUM(AL764:AN764)</f>
        <v>1</v>
      </c>
      <c r="AQ764" s="16">
        <f>AS764+1.477</f>
        <v>1.7750000000000001</v>
      </c>
      <c r="AR764" s="16">
        <v>0.29799999999999999</v>
      </c>
      <c r="AS764" s="16">
        <v>0.29799999999999999</v>
      </c>
      <c r="AT764" s="16" t="s">
        <v>124</v>
      </c>
      <c r="AW764" s="22">
        <v>1</v>
      </c>
      <c r="AY764" s="16">
        <f>(189+1414+50)/AS764</f>
        <v>5546.979865771812</v>
      </c>
      <c r="AZ764" s="18">
        <v>1</v>
      </c>
      <c r="BB764" s="16">
        <f>(189+1414+50)/AS764</f>
        <v>5546.979865771812</v>
      </c>
      <c r="BC764" s="16">
        <v>1</v>
      </c>
      <c r="BD764" s="16">
        <v>189</v>
      </c>
      <c r="BE764" s="16">
        <f>189/AS764</f>
        <v>634.22818791946315</v>
      </c>
      <c r="BF764" s="18">
        <v>1</v>
      </c>
      <c r="BG764" s="77">
        <v>1414</v>
      </c>
      <c r="BH764" s="16">
        <f>1414/AS764</f>
        <v>4744.9664429530203</v>
      </c>
      <c r="BI764" s="16">
        <v>1</v>
      </c>
      <c r="BJ764" s="16">
        <v>50</v>
      </c>
      <c r="BK764" s="16">
        <f>50/AS764</f>
        <v>167.78523489932886</v>
      </c>
      <c r="BL764" s="16">
        <f>IF(BM764&gt;0,1,0)</f>
        <v>0</v>
      </c>
      <c r="BM764" s="16">
        <f>SUM(BR764,BU764,BX764,CA764,CD764,CG764,CJ764,CM764,CP764)</f>
        <v>0</v>
      </c>
      <c r="BN764" s="16">
        <f>SUM(BW764,BZ764,CC764,CF764,CI764,CL764,CO764,CR764,BT764)</f>
        <v>0</v>
      </c>
      <c r="BO764" s="16">
        <f>IF(BP764&gt;0,1,0)</f>
        <v>0</v>
      </c>
      <c r="BP764" s="16">
        <f>SUM(BU764,BX764,CA764,CD764,BR764)</f>
        <v>0</v>
      </c>
      <c r="BQ764" s="16">
        <f>SUM(BZ764,CC764,CF764,BT764,BW764)</f>
        <v>0</v>
      </c>
      <c r="BR764" s="18">
        <v>0</v>
      </c>
      <c r="BS764" s="16">
        <v>0</v>
      </c>
      <c r="BT764" s="77">
        <f>BS764/AS764</f>
        <v>0</v>
      </c>
      <c r="BU764" s="18">
        <v>0</v>
      </c>
      <c r="BV764" s="16">
        <v>0</v>
      </c>
      <c r="BW764" s="18">
        <f>BV764/AS764</f>
        <v>0</v>
      </c>
      <c r="BX764" s="18">
        <v>0</v>
      </c>
      <c r="BY764" s="16">
        <v>0</v>
      </c>
      <c r="BZ764" s="16">
        <f>BY764/AS764</f>
        <v>0</v>
      </c>
      <c r="CA764" s="24">
        <v>0</v>
      </c>
      <c r="CB764" s="16">
        <v>0</v>
      </c>
      <c r="CC764" s="16">
        <v>0</v>
      </c>
      <c r="CD764" s="78">
        <v>0</v>
      </c>
      <c r="CE764" s="16">
        <v>0</v>
      </c>
      <c r="CF764" s="16">
        <v>0</v>
      </c>
      <c r="CP764" s="16" t="s">
        <v>123</v>
      </c>
      <c r="CQ764" s="16">
        <v>0</v>
      </c>
      <c r="CR764" s="16">
        <v>0</v>
      </c>
      <c r="CS764" s="18">
        <f>IF(CT764&gt;0,1,0)</f>
        <v>0</v>
      </c>
      <c r="CT764" s="25">
        <f>SUM(CW764,CZ764,DC764)</f>
        <v>0</v>
      </c>
      <c r="CU764" s="25"/>
      <c r="CV764" s="16">
        <v>0</v>
      </c>
      <c r="CW764" s="25">
        <v>0</v>
      </c>
      <c r="CX764" s="16">
        <v>0</v>
      </c>
      <c r="CY764" s="16">
        <v>0</v>
      </c>
      <c r="CZ764" s="18">
        <v>0</v>
      </c>
      <c r="DA764" s="16">
        <v>0</v>
      </c>
      <c r="DB764" s="16">
        <v>0</v>
      </c>
      <c r="DC764" s="18">
        <v>0</v>
      </c>
      <c r="DD764" s="16">
        <v>0</v>
      </c>
      <c r="DE764" s="16">
        <v>0</v>
      </c>
      <c r="DF764" s="16" t="e">
        <f>VLOOKUP(K764,'[3]RNA Seq summary tables'!$V$3:$V$99,1,FALSE)</f>
        <v>#N/A</v>
      </c>
      <c r="JO764" s="19"/>
    </row>
    <row r="765" spans="2:288" x14ac:dyDescent="0.2">
      <c r="B765" s="16">
        <v>2016</v>
      </c>
      <c r="C765" s="20">
        <v>42557</v>
      </c>
      <c r="D765" s="20" t="str">
        <f>CONCATENATE(J765,"-",C765)</f>
        <v>933-42557</v>
      </c>
      <c r="E765" s="20" t="str">
        <f>CONCATENATE(T765,"-",U765,"-",C765)</f>
        <v>BC2-D1-42557</v>
      </c>
      <c r="F765" s="20" t="s">
        <v>106</v>
      </c>
      <c r="G765" s="20" t="s">
        <v>107</v>
      </c>
      <c r="I765" s="16">
        <v>0</v>
      </c>
      <c r="J765" s="21">
        <v>933</v>
      </c>
      <c r="K765" s="21">
        <v>1451</v>
      </c>
      <c r="L765" s="18">
        <v>0</v>
      </c>
      <c r="M765" s="15">
        <f>VLOOKUP(K765,'[7]MLBS 2016 SNV-nem Coinfection d'!$C$1:$G$238,4,FALSE)</f>
        <v>0</v>
      </c>
      <c r="N765" s="15">
        <v>0</v>
      </c>
      <c r="O765" s="15" t="s">
        <v>214</v>
      </c>
      <c r="P765" s="16" t="s">
        <v>110</v>
      </c>
      <c r="Q765" s="16">
        <v>1</v>
      </c>
      <c r="R765" s="16">
        <v>29</v>
      </c>
      <c r="T765" s="16" t="s">
        <v>154</v>
      </c>
      <c r="U765" s="16" t="s">
        <v>157</v>
      </c>
      <c r="V765" s="16" t="s">
        <v>114</v>
      </c>
      <c r="W765" s="16">
        <f>AI765/AG765</f>
        <v>0.85416666666666663</v>
      </c>
      <c r="X765" s="16" t="s">
        <v>115</v>
      </c>
      <c r="Y765" s="16" t="s">
        <v>110</v>
      </c>
      <c r="Z765" s="16">
        <v>3</v>
      </c>
      <c r="AE765" s="16" t="s">
        <v>116</v>
      </c>
      <c r="AF765" s="16" t="s">
        <v>116</v>
      </c>
      <c r="AG765" s="16">
        <f>AH765-AI765</f>
        <v>96</v>
      </c>
      <c r="AH765" s="16">
        <v>178</v>
      </c>
      <c r="AI765" s="16">
        <v>82</v>
      </c>
      <c r="AK765" s="16">
        <v>27.5</v>
      </c>
      <c r="AL765" s="16">
        <v>0</v>
      </c>
      <c r="AM765" s="16">
        <v>0</v>
      </c>
      <c r="AN765" s="16">
        <v>0</v>
      </c>
      <c r="AO765" s="16">
        <f>IF(SUM(AL765:AN765)&gt;0,1,0)</f>
        <v>0</v>
      </c>
      <c r="AP765" s="16">
        <f>SUM(AL765:AN765)</f>
        <v>0</v>
      </c>
      <c r="AQ765" s="16">
        <v>1.859</v>
      </c>
      <c r="AR765" s="16">
        <v>0.38200000000000001</v>
      </c>
      <c r="AS765" s="16">
        <v>0.38200000000000001</v>
      </c>
      <c r="AT765" s="16" t="s">
        <v>205</v>
      </c>
      <c r="AV765" s="16">
        <v>1</v>
      </c>
      <c r="AW765" s="22">
        <v>1</v>
      </c>
      <c r="AX765" s="16">
        <v>1</v>
      </c>
      <c r="AY765" s="16">
        <f>6/AS765</f>
        <v>15.706806282722512</v>
      </c>
      <c r="AZ765" s="18">
        <v>0</v>
      </c>
      <c r="BA765" s="16">
        <v>0</v>
      </c>
      <c r="BB765" s="16">
        <v>0</v>
      </c>
      <c r="BC765" s="18">
        <v>0</v>
      </c>
      <c r="BD765" s="16">
        <v>0</v>
      </c>
      <c r="BE765" s="16">
        <v>0</v>
      </c>
      <c r="BF765" s="18">
        <v>0</v>
      </c>
      <c r="BG765" s="77">
        <v>0</v>
      </c>
      <c r="BH765" s="16">
        <v>0</v>
      </c>
      <c r="BI765" s="18">
        <v>0</v>
      </c>
      <c r="BJ765" s="16">
        <v>0</v>
      </c>
      <c r="BK765" s="16">
        <v>0</v>
      </c>
      <c r="BL765" s="16">
        <f>IF(BM765&gt;0,1,0)</f>
        <v>1</v>
      </c>
      <c r="BM765" s="16">
        <f>SUM(BR765,BU765,BX765,CA765,CD765,CG765,CJ765,CM765,CP765)</f>
        <v>1</v>
      </c>
      <c r="BN765" s="16">
        <f>SUM(BW765,BZ765,CC765,CF765,CI765,CL765,CO765,CR765,BT765)</f>
        <v>15.706806282722512</v>
      </c>
      <c r="BO765" s="16">
        <f>IF(BP765&gt;0,1,0)</f>
        <v>1</v>
      </c>
      <c r="BP765" s="16">
        <f>SUM(BU765,BX765,CA765,CD765,BR765)</f>
        <v>1</v>
      </c>
      <c r="BQ765" s="16">
        <f>SUM(BZ765,CC765,CF765,BT765,BW765)</f>
        <v>15.706806282722512</v>
      </c>
      <c r="BR765" s="18">
        <v>0</v>
      </c>
      <c r="BS765" s="16">
        <v>0</v>
      </c>
      <c r="BT765" s="77">
        <f>BS765/AS765</f>
        <v>0</v>
      </c>
      <c r="BU765" s="18">
        <v>0</v>
      </c>
      <c r="BV765" s="16">
        <v>0</v>
      </c>
      <c r="BW765" s="18">
        <f>BV765/AS765</f>
        <v>0</v>
      </c>
      <c r="BX765" s="24">
        <v>1</v>
      </c>
      <c r="BY765" s="16">
        <v>6</v>
      </c>
      <c r="BZ765" s="16">
        <f>BY765/AS765</f>
        <v>15.706806282722512</v>
      </c>
      <c r="CA765" s="24">
        <v>0</v>
      </c>
      <c r="CB765" s="16">
        <v>0</v>
      </c>
      <c r="CC765" s="16">
        <v>0</v>
      </c>
      <c r="CD765" s="78">
        <v>0</v>
      </c>
      <c r="CE765" s="16">
        <v>0</v>
      </c>
      <c r="CF765" s="16">
        <v>0</v>
      </c>
      <c r="CP765" s="16" t="s">
        <v>123</v>
      </c>
      <c r="CQ765" s="16">
        <v>0</v>
      </c>
      <c r="CR765" s="16">
        <v>0</v>
      </c>
      <c r="CS765" s="18">
        <f>IF(CT765&gt;0,1,0)</f>
        <v>0</v>
      </c>
      <c r="CT765" s="25">
        <f>SUM(CW765,CZ765,DC765)</f>
        <v>0</v>
      </c>
      <c r="CU765" s="25"/>
      <c r="CV765" s="16">
        <v>0</v>
      </c>
      <c r="CW765" s="25">
        <v>0</v>
      </c>
      <c r="CX765" s="16">
        <v>0</v>
      </c>
      <c r="CY765" s="16">
        <v>0</v>
      </c>
      <c r="CZ765" s="18">
        <v>0</v>
      </c>
      <c r="DA765" s="16">
        <v>0</v>
      </c>
      <c r="DB765" s="16">
        <v>0</v>
      </c>
      <c r="DC765" s="18">
        <v>0</v>
      </c>
      <c r="DD765" s="16">
        <v>0</v>
      </c>
      <c r="DE765" s="16">
        <v>0</v>
      </c>
      <c r="DF765" s="16" t="e">
        <f>VLOOKUP(K765,'[3]RNA Seq summary tables'!$V$3:$V$99,1,FALSE)</f>
        <v>#N/A</v>
      </c>
      <c r="DG765" s="16">
        <v>1</v>
      </c>
      <c r="DH765" s="16" t="str">
        <f>VLOOKUP(D765,'[8]Data with duplicates'!$B$1:$J$70,9,FALSE)</f>
        <v>sample.24</v>
      </c>
    </row>
    <row r="766" spans="2:288" x14ac:dyDescent="0.2">
      <c r="B766" s="16">
        <v>2016</v>
      </c>
      <c r="C766" s="20">
        <v>42570</v>
      </c>
      <c r="D766" s="20" t="str">
        <f>CONCATENATE(J766,"-",C766)</f>
        <v>933-42570</v>
      </c>
      <c r="E766" s="20" t="str">
        <f>CONCATENATE(T766,"-",U766,"-",C766)</f>
        <v>BC2-A4-42570</v>
      </c>
      <c r="F766" s="20" t="s">
        <v>106</v>
      </c>
      <c r="G766" s="20" t="s">
        <v>107</v>
      </c>
      <c r="I766" s="16">
        <v>0</v>
      </c>
      <c r="J766" s="21">
        <v>933</v>
      </c>
      <c r="K766" s="21">
        <v>1491</v>
      </c>
      <c r="L766" s="18">
        <v>0</v>
      </c>
      <c r="M766" s="15">
        <f>VLOOKUP(K766,'[7]MLBS 2016 SNV-nem Coinfection d'!$C$1:$G$238,4,FALSE)</f>
        <v>0</v>
      </c>
      <c r="N766" s="15">
        <v>0</v>
      </c>
      <c r="O766" s="15" t="s">
        <v>214</v>
      </c>
      <c r="P766" s="16" t="s">
        <v>110</v>
      </c>
      <c r="Q766" s="16">
        <v>1</v>
      </c>
      <c r="R766" s="16">
        <v>13</v>
      </c>
      <c r="T766" s="16" t="s">
        <v>154</v>
      </c>
      <c r="U766" s="16" t="s">
        <v>134</v>
      </c>
      <c r="V766" s="16" t="s">
        <v>114</v>
      </c>
      <c r="W766" s="16">
        <f>AI766/AG766</f>
        <v>0.85416666666666663</v>
      </c>
      <c r="X766" s="16" t="s">
        <v>115</v>
      </c>
      <c r="Y766" s="16" t="s">
        <v>110</v>
      </c>
      <c r="Z766" s="16">
        <v>3</v>
      </c>
      <c r="AE766" s="16" t="s">
        <v>116</v>
      </c>
      <c r="AF766" s="16" t="s">
        <v>116</v>
      </c>
      <c r="AG766" s="16">
        <f>AH766-AI766</f>
        <v>96</v>
      </c>
      <c r="AH766" s="16">
        <v>178</v>
      </c>
      <c r="AI766" s="16">
        <v>82</v>
      </c>
      <c r="AK766" s="16">
        <v>26</v>
      </c>
      <c r="AQ766" s="16">
        <v>1.675</v>
      </c>
      <c r="AR766" s="16">
        <v>0.19800000000000001</v>
      </c>
      <c r="AS766" s="16">
        <v>0.19800000000000001</v>
      </c>
      <c r="AT766" s="16" t="s">
        <v>205</v>
      </c>
      <c r="AV766" s="16">
        <v>1</v>
      </c>
      <c r="AW766" s="18">
        <v>0</v>
      </c>
      <c r="AX766" s="16">
        <v>0</v>
      </c>
      <c r="AY766" s="16">
        <v>0</v>
      </c>
      <c r="AZ766" s="18">
        <v>0</v>
      </c>
      <c r="BA766" s="16">
        <v>0</v>
      </c>
      <c r="BB766" s="16">
        <v>0</v>
      </c>
      <c r="BC766" s="18">
        <v>0</v>
      </c>
      <c r="BD766" s="16">
        <v>0</v>
      </c>
      <c r="BE766" s="16">
        <v>0</v>
      </c>
      <c r="BF766" s="18">
        <v>0</v>
      </c>
      <c r="BG766" s="77">
        <v>0</v>
      </c>
      <c r="BH766" s="16">
        <v>0</v>
      </c>
      <c r="BI766" s="18">
        <v>0</v>
      </c>
      <c r="BJ766" s="16">
        <v>0</v>
      </c>
      <c r="BK766" s="16">
        <v>0</v>
      </c>
      <c r="BL766" s="16">
        <f>IF(BM766&gt;0,1,0)</f>
        <v>0</v>
      </c>
      <c r="BM766" s="16">
        <f>SUM(BR766,BU766,BX766,CA766,CD766,CG766,CJ766,CM766,CP766)</f>
        <v>0</v>
      </c>
      <c r="BN766" s="16">
        <f>SUM(BW766,BZ766,CC766,CF766,CI766,CL766,CO766,CR766,BT766)</f>
        <v>0</v>
      </c>
      <c r="BO766" s="16">
        <f>IF(BP766&gt;0,1,0)</f>
        <v>0</v>
      </c>
      <c r="BP766" s="16">
        <f>SUM(BU766,BX766,CA766,CD766,BR766)</f>
        <v>0</v>
      </c>
      <c r="BQ766" s="16">
        <f>SUM(BZ766,CC766,CF766,BT766,BW766)</f>
        <v>0</v>
      </c>
      <c r="BR766" s="18">
        <v>0</v>
      </c>
      <c r="BS766" s="16">
        <v>0</v>
      </c>
      <c r="BT766" s="77">
        <f>BS766/AS766</f>
        <v>0</v>
      </c>
      <c r="BU766" s="18">
        <v>0</v>
      </c>
      <c r="BV766" s="16">
        <v>0</v>
      </c>
      <c r="BW766" s="18">
        <f>BV766/AS766</f>
        <v>0</v>
      </c>
      <c r="BX766" s="18">
        <v>0</v>
      </c>
      <c r="BY766" s="16">
        <v>0</v>
      </c>
      <c r="BZ766" s="16">
        <f>BY766/AS766</f>
        <v>0</v>
      </c>
      <c r="CA766" s="24">
        <v>0</v>
      </c>
      <c r="CB766" s="16">
        <v>0</v>
      </c>
      <c r="CC766" s="16">
        <v>0</v>
      </c>
      <c r="CD766" s="78">
        <v>0</v>
      </c>
      <c r="CE766" s="16">
        <v>0</v>
      </c>
      <c r="CF766" s="16">
        <v>0</v>
      </c>
      <c r="CP766" s="16" t="s">
        <v>123</v>
      </c>
      <c r="CQ766" s="16">
        <v>0</v>
      </c>
      <c r="CR766" s="16">
        <v>0</v>
      </c>
      <c r="CS766" s="18">
        <f>IF(CT766&gt;0,1,0)</f>
        <v>0</v>
      </c>
      <c r="CT766" s="25">
        <f>SUM(CW766,CZ766,DC766)</f>
        <v>0</v>
      </c>
      <c r="CU766" s="25"/>
      <c r="CV766" s="16">
        <v>0</v>
      </c>
      <c r="CW766" s="25">
        <v>0</v>
      </c>
      <c r="CX766" s="16">
        <v>0</v>
      </c>
      <c r="CY766" s="16">
        <v>0</v>
      </c>
      <c r="CZ766" s="18">
        <v>0</v>
      </c>
      <c r="DA766" s="16">
        <v>0</v>
      </c>
      <c r="DB766" s="16">
        <v>0</v>
      </c>
      <c r="DC766" s="18">
        <v>0</v>
      </c>
      <c r="DD766" s="16">
        <v>0</v>
      </c>
      <c r="DE766" s="16">
        <v>0</v>
      </c>
      <c r="DF766" s="16" t="e">
        <f>VLOOKUP(K766,'[3]RNA Seq summary tables'!$V$3:$V$99,1,FALSE)</f>
        <v>#N/A</v>
      </c>
    </row>
    <row r="767" spans="2:288" x14ac:dyDescent="0.2">
      <c r="B767" s="16">
        <v>2016</v>
      </c>
      <c r="C767" s="20">
        <v>42520</v>
      </c>
      <c r="D767" s="20" t="str">
        <f>CONCATENATE(J767,"-",C767)</f>
        <v>941-42520</v>
      </c>
      <c r="E767" s="20" t="str">
        <f>CONCATENATE(T767,"-",U767,"-",C767)</f>
        <v>HW2-B3-42520</v>
      </c>
      <c r="F767" s="20" t="s">
        <v>106</v>
      </c>
      <c r="G767" s="20" t="s">
        <v>107</v>
      </c>
      <c r="H767" s="16" t="s">
        <v>125</v>
      </c>
      <c r="I767" s="16">
        <v>0</v>
      </c>
      <c r="J767" s="21">
        <v>941</v>
      </c>
      <c r="K767" s="21">
        <v>1344</v>
      </c>
      <c r="L767" s="16">
        <v>0</v>
      </c>
      <c r="M767" s="15">
        <f>VLOOKUP(K767,'[7]MLBS 2016 SNV-nem Coinfection d'!$C$1:$G$238,4,FALSE)</f>
        <v>0</v>
      </c>
      <c r="N767" s="15">
        <v>0</v>
      </c>
      <c r="O767" s="15" t="s">
        <v>214</v>
      </c>
      <c r="P767" s="16" t="s">
        <v>308</v>
      </c>
      <c r="Q767" s="16">
        <v>0</v>
      </c>
      <c r="R767" s="16" t="s">
        <v>111</v>
      </c>
      <c r="T767" s="16" t="s">
        <v>129</v>
      </c>
      <c r="U767" s="16" t="s">
        <v>131</v>
      </c>
      <c r="V767" s="16" t="s">
        <v>114</v>
      </c>
      <c r="W767" s="16">
        <f>AI767/AG767</f>
        <v>0.80681818181818177</v>
      </c>
      <c r="X767" s="16" t="s">
        <v>121</v>
      </c>
      <c r="Y767" s="16" t="s">
        <v>110</v>
      </c>
      <c r="Z767" s="16">
        <v>3</v>
      </c>
      <c r="AA767" s="16" t="s">
        <v>123</v>
      </c>
      <c r="AB767" s="16" t="s">
        <v>116</v>
      </c>
      <c r="AC767" s="16" t="s">
        <v>123</v>
      </c>
      <c r="AD767" s="16" t="s">
        <v>116</v>
      </c>
      <c r="AG767" s="16">
        <f>AH767-AI767</f>
        <v>88</v>
      </c>
      <c r="AH767" s="16">
        <v>159</v>
      </c>
      <c r="AI767" s="16">
        <v>71</v>
      </c>
      <c r="AK767" s="16">
        <v>21</v>
      </c>
      <c r="AL767" s="16">
        <v>0</v>
      </c>
      <c r="AM767" s="16">
        <v>0</v>
      </c>
      <c r="AN767" s="16">
        <v>0</v>
      </c>
      <c r="AO767" s="16">
        <f>IF(SUM(AL767:AN767)&gt;0,1,0)</f>
        <v>0</v>
      </c>
      <c r="AP767" s="16">
        <f>SUM(AL767:AN767)</f>
        <v>0</v>
      </c>
      <c r="AQ767" s="16">
        <f>1.477+AS767</f>
        <v>2.121</v>
      </c>
      <c r="AR767" s="16">
        <v>0.64400000000000002</v>
      </c>
      <c r="AS767" s="16">
        <v>0.64400000000000002</v>
      </c>
      <c r="AT767" s="16" t="s">
        <v>124</v>
      </c>
      <c r="AW767" s="22">
        <v>1</v>
      </c>
      <c r="AY767" s="16">
        <f>67/0.644</f>
        <v>104.03726708074534</v>
      </c>
      <c r="AZ767" s="18">
        <v>1</v>
      </c>
      <c r="BB767" s="16">
        <v>104.04</v>
      </c>
      <c r="BC767" s="18">
        <v>0</v>
      </c>
      <c r="BD767" s="16">
        <v>0</v>
      </c>
      <c r="BE767" s="16">
        <v>0</v>
      </c>
      <c r="BF767" s="18">
        <v>1</v>
      </c>
      <c r="BG767" s="77">
        <v>64</v>
      </c>
      <c r="BH767" s="16">
        <f>64/0.644</f>
        <v>99.378881987577643</v>
      </c>
      <c r="BI767" s="16">
        <v>1</v>
      </c>
      <c r="BJ767" s="16">
        <v>3</v>
      </c>
      <c r="BK767" s="16">
        <f>3/0.644</f>
        <v>4.658385093167702</v>
      </c>
      <c r="BL767" s="16">
        <f>IF(BM767&gt;0,1,0)</f>
        <v>0</v>
      </c>
      <c r="BM767" s="16">
        <f>SUM(BR767,BU767,BX767,CA767,CD767,CG767,CJ767,CM767,CP767)</f>
        <v>0</v>
      </c>
      <c r="BN767" s="16">
        <f>SUM(BW767,BZ767,CC767,CF767,CI767,CL767,CO767,CR767,BT767)</f>
        <v>0</v>
      </c>
      <c r="BO767" s="16">
        <f>IF(BP767&gt;0,1,0)</f>
        <v>0</v>
      </c>
      <c r="BP767" s="16">
        <f>SUM(BU767,BX767,CA767,CD767,BR767)</f>
        <v>0</v>
      </c>
      <c r="BQ767" s="16">
        <f>SUM(BZ767,CC767,CF767,BT767,BW767)</f>
        <v>0</v>
      </c>
      <c r="BR767" s="18">
        <v>0</v>
      </c>
      <c r="BS767" s="16">
        <v>0</v>
      </c>
      <c r="BT767" s="77">
        <f>BS767/AS767</f>
        <v>0</v>
      </c>
      <c r="BU767" s="18">
        <v>0</v>
      </c>
      <c r="BV767" s="16">
        <v>0</v>
      </c>
      <c r="BW767" s="18">
        <f>BV767/AS767</f>
        <v>0</v>
      </c>
      <c r="BX767" s="18">
        <v>0</v>
      </c>
      <c r="BY767" s="16">
        <v>0</v>
      </c>
      <c r="BZ767" s="16">
        <f>BY767/AS767</f>
        <v>0</v>
      </c>
      <c r="CA767" s="24">
        <v>0</v>
      </c>
      <c r="CB767" s="16">
        <v>0</v>
      </c>
      <c r="CC767" s="16">
        <v>0</v>
      </c>
      <c r="CD767" s="78">
        <v>0</v>
      </c>
      <c r="CE767" s="16">
        <v>0</v>
      </c>
      <c r="CF767" s="16">
        <v>0</v>
      </c>
      <c r="CP767" s="16" t="s">
        <v>123</v>
      </c>
      <c r="CQ767" s="16">
        <v>0</v>
      </c>
      <c r="CR767" s="16">
        <v>0</v>
      </c>
      <c r="CS767" s="18">
        <f>IF(CT767&gt;0,1,0)</f>
        <v>0</v>
      </c>
      <c r="CT767" s="25">
        <f>SUM(CW767,CZ767,DC767)</f>
        <v>0</v>
      </c>
      <c r="CU767" s="25"/>
      <c r="CV767" s="16">
        <v>0</v>
      </c>
      <c r="CW767" s="25">
        <v>0</v>
      </c>
      <c r="CX767" s="16">
        <v>0</v>
      </c>
      <c r="CY767" s="16">
        <v>0</v>
      </c>
      <c r="CZ767" s="18">
        <v>0</v>
      </c>
      <c r="DA767" s="16">
        <v>0</v>
      </c>
      <c r="DB767" s="16">
        <v>0</v>
      </c>
      <c r="DC767" s="18">
        <v>0</v>
      </c>
      <c r="DD767" s="16">
        <v>0</v>
      </c>
      <c r="DE767" s="16">
        <v>0</v>
      </c>
      <c r="DF767" s="16" t="e">
        <f>VLOOKUP(K767,'[3]RNA Seq summary tables'!$V$3:$V$99,1,FALSE)</f>
        <v>#N/A</v>
      </c>
      <c r="JO767" s="26"/>
    </row>
    <row r="768" spans="2:288" x14ac:dyDescent="0.2">
      <c r="B768" s="16">
        <v>2016</v>
      </c>
      <c r="C768" s="20">
        <v>42534</v>
      </c>
      <c r="D768" s="20" t="str">
        <f>CONCATENATE(J768,"-",C768)</f>
        <v>941-42534</v>
      </c>
      <c r="E768" s="20" t="str">
        <f>CONCATENATE(T768,"-",U768,"-",C768)</f>
        <v>HW2-G3-42534</v>
      </c>
      <c r="F768" s="20" t="s">
        <v>106</v>
      </c>
      <c r="G768" s="20" t="s">
        <v>107</v>
      </c>
      <c r="H768" s="16" t="s">
        <v>125</v>
      </c>
      <c r="I768" s="16">
        <v>0</v>
      </c>
      <c r="J768" s="21">
        <v>941</v>
      </c>
      <c r="K768" s="21">
        <v>1371</v>
      </c>
      <c r="L768" s="16">
        <v>0</v>
      </c>
      <c r="M768" s="15">
        <f>VLOOKUP(K768,'[7]MLBS 2016 SNV-nem Coinfection d'!$C$1:$G$238,4,FALSE)</f>
        <v>0</v>
      </c>
      <c r="N768" s="15">
        <v>0</v>
      </c>
      <c r="O768" s="15" t="s">
        <v>214</v>
      </c>
      <c r="P768" s="16" t="s">
        <v>308</v>
      </c>
      <c r="Q768" s="16">
        <v>1</v>
      </c>
      <c r="R768" s="16">
        <v>14</v>
      </c>
      <c r="T768" s="16" t="s">
        <v>129</v>
      </c>
      <c r="U768" s="16" t="s">
        <v>179</v>
      </c>
      <c r="V768" s="16" t="s">
        <v>114</v>
      </c>
      <c r="W768" s="16">
        <f>AI768/AG768</f>
        <v>0.81609195402298851</v>
      </c>
      <c r="X768" s="16" t="s">
        <v>121</v>
      </c>
      <c r="Y768" s="16" t="s">
        <v>110</v>
      </c>
      <c r="Z768" s="16">
        <v>3</v>
      </c>
      <c r="AA768" s="16" t="s">
        <v>119</v>
      </c>
      <c r="AB768" s="16" t="s">
        <v>123</v>
      </c>
      <c r="AC768" s="16" t="s">
        <v>123</v>
      </c>
      <c r="AD768" s="16" t="s">
        <v>123</v>
      </c>
      <c r="AG768" s="16">
        <f>AH768-AI768</f>
        <v>87</v>
      </c>
      <c r="AH768" s="16">
        <v>158</v>
      </c>
      <c r="AI768" s="16">
        <v>71</v>
      </c>
      <c r="AK768" s="16">
        <v>21.5</v>
      </c>
      <c r="AL768" s="16">
        <v>0</v>
      </c>
      <c r="AM768" s="16">
        <v>0</v>
      </c>
      <c r="AN768" s="16">
        <v>0</v>
      </c>
      <c r="AO768" s="16">
        <f>IF(SUM(AL768:AN768)&gt;0,1,0)</f>
        <v>0</v>
      </c>
      <c r="AP768" s="16">
        <f>SUM(AL768:AN768)</f>
        <v>0</v>
      </c>
      <c r="AQ768" s="16">
        <f>1.477+0.157</f>
        <v>1.6340000000000001</v>
      </c>
      <c r="AR768" s="16">
        <v>0.157</v>
      </c>
      <c r="AS768" s="16">
        <v>0.157</v>
      </c>
      <c r="AT768" s="16" t="s">
        <v>124</v>
      </c>
      <c r="AW768" s="22">
        <v>1</v>
      </c>
      <c r="AY768" s="16">
        <f>(5+1+6)/AS768</f>
        <v>76.433121019108285</v>
      </c>
      <c r="AZ768" s="18">
        <v>1</v>
      </c>
      <c r="BB768" s="16">
        <f>AY768</f>
        <v>76.433121019108285</v>
      </c>
      <c r="BC768" s="16">
        <v>1</v>
      </c>
      <c r="BD768" s="16">
        <v>5</v>
      </c>
      <c r="BE768" s="16">
        <f>5/AS768</f>
        <v>31.847133757961782</v>
      </c>
      <c r="BF768" s="18">
        <v>1</v>
      </c>
      <c r="BG768" s="77">
        <v>6</v>
      </c>
      <c r="BH768" s="16">
        <f>6/AS768</f>
        <v>38.216560509554142</v>
      </c>
      <c r="BI768" s="16">
        <v>1</v>
      </c>
      <c r="BJ768" s="16">
        <v>1</v>
      </c>
      <c r="BK768" s="16">
        <f>1/AS768</f>
        <v>6.369426751592357</v>
      </c>
      <c r="BL768" s="16">
        <f>IF(BM768&gt;0,1,0)</f>
        <v>0</v>
      </c>
      <c r="BM768" s="16">
        <f>SUM(BR768,BU768,BX768,CA768,CD768,CG768,CJ768,CM768,CP768)</f>
        <v>0</v>
      </c>
      <c r="BN768" s="16">
        <f>SUM(BW768,BZ768,CC768,CF768,CI768,CL768,CO768,CR768,BT768)</f>
        <v>0</v>
      </c>
      <c r="BO768" s="16">
        <f>IF(BP768&gt;0,1,0)</f>
        <v>0</v>
      </c>
      <c r="BP768" s="16">
        <f>SUM(BU768,BX768,CA768,CD768,BR768)</f>
        <v>0</v>
      </c>
      <c r="BQ768" s="16">
        <f>SUM(BZ768,CC768,CF768,BT768,BW768)</f>
        <v>0</v>
      </c>
      <c r="BR768" s="18">
        <v>0</v>
      </c>
      <c r="BS768" s="16">
        <v>0</v>
      </c>
      <c r="BT768" s="77">
        <f>BS768/AS768</f>
        <v>0</v>
      </c>
      <c r="BU768" s="18">
        <v>0</v>
      </c>
      <c r="BV768" s="16">
        <v>0</v>
      </c>
      <c r="BW768" s="18">
        <f>BV768/AS768</f>
        <v>0</v>
      </c>
      <c r="BX768" s="18">
        <v>0</v>
      </c>
      <c r="BY768" s="16">
        <v>0</v>
      </c>
      <c r="BZ768" s="16">
        <f>BY768/AS768</f>
        <v>0</v>
      </c>
      <c r="CA768" s="24">
        <v>0</v>
      </c>
      <c r="CB768" s="16">
        <v>0</v>
      </c>
      <c r="CC768" s="16">
        <v>0</v>
      </c>
      <c r="CD768" s="78">
        <v>0</v>
      </c>
      <c r="CE768" s="16">
        <v>0</v>
      </c>
      <c r="CF768" s="16">
        <v>0</v>
      </c>
      <c r="CP768" s="16" t="s">
        <v>123</v>
      </c>
      <c r="CQ768" s="16">
        <v>0</v>
      </c>
      <c r="CR768" s="16">
        <v>0</v>
      </c>
      <c r="CS768" s="18">
        <f>IF(CT768&gt;0,1,0)</f>
        <v>0</v>
      </c>
      <c r="CT768" s="25">
        <f>SUM(CW768,CZ768,DC768)</f>
        <v>0</v>
      </c>
      <c r="CU768" s="25"/>
      <c r="CV768" s="16">
        <v>0</v>
      </c>
      <c r="CW768" s="25">
        <v>0</v>
      </c>
      <c r="CX768" s="16">
        <v>0</v>
      </c>
      <c r="CY768" s="16">
        <v>0</v>
      </c>
      <c r="CZ768" s="18">
        <v>0</v>
      </c>
      <c r="DA768" s="16">
        <v>0</v>
      </c>
      <c r="DB768" s="16">
        <v>0</v>
      </c>
      <c r="DC768" s="18">
        <v>0</v>
      </c>
      <c r="DD768" s="16">
        <v>0</v>
      </c>
      <c r="DE768" s="16">
        <v>0</v>
      </c>
      <c r="DF768" s="16" t="e">
        <f>VLOOKUP(K768,'[3]RNA Seq summary tables'!$V$3:$V$99,1,FALSE)</f>
        <v>#N/A</v>
      </c>
    </row>
    <row r="769" spans="1:288" x14ac:dyDescent="0.2">
      <c r="B769" s="16">
        <v>2016</v>
      </c>
      <c r="C769" s="20">
        <v>42550</v>
      </c>
      <c r="D769" s="20" t="str">
        <f>CONCATENATE(J769,"-",C769)</f>
        <v>941-42550</v>
      </c>
      <c r="E769" s="20" t="str">
        <f>CONCATENATE(T769,"-",U769,"-",C769)</f>
        <v>HW2-F3-42550</v>
      </c>
      <c r="F769" s="20" t="s">
        <v>106</v>
      </c>
      <c r="G769" s="20" t="s">
        <v>107</v>
      </c>
      <c r="I769" s="16">
        <v>0</v>
      </c>
      <c r="J769" s="21">
        <v>941</v>
      </c>
      <c r="K769" s="21">
        <v>1435</v>
      </c>
      <c r="L769" s="18">
        <v>0</v>
      </c>
      <c r="M769" s="15">
        <f>VLOOKUP(K769,'[7]MLBS 2016 SNV-nem Coinfection d'!$C$1:$G$238,4,FALSE)</f>
        <v>0</v>
      </c>
      <c r="N769" s="15">
        <v>0</v>
      </c>
      <c r="O769" s="15" t="s">
        <v>214</v>
      </c>
      <c r="P769" s="16" t="s">
        <v>110</v>
      </c>
      <c r="Q769" s="16">
        <v>1</v>
      </c>
      <c r="R769" s="16">
        <v>16</v>
      </c>
      <c r="T769" s="16" t="s">
        <v>129</v>
      </c>
      <c r="U769" s="16" t="s">
        <v>182</v>
      </c>
      <c r="V769" s="16" t="s">
        <v>114</v>
      </c>
      <c r="W769" s="16">
        <f>AI769/AG769</f>
        <v>0.81176470588235294</v>
      </c>
      <c r="X769" s="16" t="s">
        <v>121</v>
      </c>
      <c r="Y769" s="16" t="s">
        <v>110</v>
      </c>
      <c r="Z769" s="16">
        <v>3</v>
      </c>
      <c r="AA769" s="16" t="s">
        <v>119</v>
      </c>
      <c r="AB769" s="16" t="s">
        <v>116</v>
      </c>
      <c r="AC769" s="16" t="s">
        <v>123</v>
      </c>
      <c r="AD769" s="16" t="s">
        <v>116</v>
      </c>
      <c r="AG769" s="16">
        <f>AH769-AI769</f>
        <v>85</v>
      </c>
      <c r="AH769" s="16">
        <v>154</v>
      </c>
      <c r="AI769" s="16">
        <v>69</v>
      </c>
      <c r="AK769" s="16">
        <v>24.5</v>
      </c>
      <c r="AL769" s="16">
        <v>0</v>
      </c>
      <c r="AM769" s="16">
        <v>0</v>
      </c>
      <c r="AN769" s="16">
        <v>0</v>
      </c>
      <c r="AO769" s="16">
        <f>IF(SUM(AL769:AN769)&gt;0,1,0)</f>
        <v>0</v>
      </c>
      <c r="AP769" s="16">
        <f>SUM(AL769:AN769)</f>
        <v>0</v>
      </c>
      <c r="AR769" s="16">
        <v>0.3</v>
      </c>
      <c r="AS769" s="16">
        <v>0.3</v>
      </c>
      <c r="AT769" s="18" t="s">
        <v>117</v>
      </c>
      <c r="AU769" s="18"/>
      <c r="AW769" s="22">
        <v>1</v>
      </c>
      <c r="AX769" s="16">
        <v>3</v>
      </c>
      <c r="AY769" s="16">
        <f>(18+97+2)/0.3</f>
        <v>390</v>
      </c>
      <c r="AZ769" s="18">
        <v>1</v>
      </c>
      <c r="BA769" s="16">
        <v>3</v>
      </c>
      <c r="BB769" s="16">
        <f>(18+97+2)/0.3</f>
        <v>390</v>
      </c>
      <c r="BC769" s="16">
        <v>1</v>
      </c>
      <c r="BD769" s="16">
        <v>18</v>
      </c>
      <c r="BE769" s="16">
        <f>18/0.3</f>
        <v>60</v>
      </c>
      <c r="BF769" s="18">
        <v>1</v>
      </c>
      <c r="BG769" s="77">
        <v>97</v>
      </c>
      <c r="BH769" s="16">
        <f>97/0.3</f>
        <v>323.33333333333337</v>
      </c>
      <c r="BI769" s="16">
        <v>1</v>
      </c>
      <c r="BJ769" s="16">
        <v>2</v>
      </c>
      <c r="BK769" s="16">
        <f>2/0.3</f>
        <v>6.666666666666667</v>
      </c>
      <c r="BL769" s="16">
        <f>IF(BM769&gt;0,1,0)</f>
        <v>0</v>
      </c>
      <c r="BM769" s="16">
        <f>SUM(BR769,BU769,BX769,CA769,CD769,CG769,CJ769,CM769,CP769)</f>
        <v>0</v>
      </c>
      <c r="BN769" s="16">
        <f>SUM(BW769,BZ769,CC769,CF769,CI769,CL769,CO769,CR769,BT769)</f>
        <v>0</v>
      </c>
      <c r="BO769" s="16">
        <f>IF(BP769&gt;0,1,0)</f>
        <v>0</v>
      </c>
      <c r="BP769" s="16">
        <f>SUM(BU769,BX769,CA769,CD769,BR769)</f>
        <v>0</v>
      </c>
      <c r="BQ769" s="16">
        <f>SUM(BZ769,CC769,CF769,BT769,BW769)</f>
        <v>0</v>
      </c>
      <c r="BR769" s="18">
        <v>0</v>
      </c>
      <c r="BS769" s="16">
        <v>0</v>
      </c>
      <c r="BT769" s="77">
        <f>BS769/AS769</f>
        <v>0</v>
      </c>
      <c r="BU769" s="18">
        <v>0</v>
      </c>
      <c r="BV769" s="16">
        <v>0</v>
      </c>
      <c r="BW769" s="18">
        <f>BV769/AS769</f>
        <v>0</v>
      </c>
      <c r="BX769" s="18">
        <v>0</v>
      </c>
      <c r="BY769" s="16">
        <v>0</v>
      </c>
      <c r="BZ769" s="16">
        <f>BY769/AS769</f>
        <v>0</v>
      </c>
      <c r="CA769" s="24">
        <v>0</v>
      </c>
      <c r="CB769" s="16">
        <v>0</v>
      </c>
      <c r="CC769" s="16">
        <v>0</v>
      </c>
      <c r="CD769" s="78">
        <v>0</v>
      </c>
      <c r="CE769" s="16">
        <v>0</v>
      </c>
      <c r="CF769" s="16">
        <v>0</v>
      </c>
      <c r="CP769" s="16" t="s">
        <v>123</v>
      </c>
      <c r="CQ769" s="16">
        <v>0</v>
      </c>
      <c r="CR769" s="16">
        <v>0</v>
      </c>
      <c r="CS769" s="18">
        <f>IF(CT769&gt;0,1,0)</f>
        <v>0</v>
      </c>
      <c r="CT769" s="25">
        <f>SUM(CW769,CZ769,DC769)</f>
        <v>0</v>
      </c>
      <c r="CU769" s="25"/>
      <c r="CV769" s="16">
        <v>0</v>
      </c>
      <c r="CW769" s="25">
        <v>0</v>
      </c>
      <c r="CX769" s="16">
        <v>0</v>
      </c>
      <c r="CY769" s="16">
        <v>0</v>
      </c>
      <c r="CZ769" s="18">
        <v>0</v>
      </c>
      <c r="DA769" s="16">
        <v>0</v>
      </c>
      <c r="DB769" s="16">
        <v>0</v>
      </c>
      <c r="DC769" s="18">
        <v>0</v>
      </c>
      <c r="DD769" s="16">
        <v>0</v>
      </c>
      <c r="DE769" s="16">
        <v>0</v>
      </c>
      <c r="DF769" s="16" t="e">
        <f>VLOOKUP(K769,'[3]RNA Seq summary tables'!$V$3:$V$99,1,FALSE)</f>
        <v>#N/A</v>
      </c>
    </row>
    <row r="770" spans="1:288" x14ac:dyDescent="0.2">
      <c r="B770" s="16">
        <v>2016</v>
      </c>
      <c r="C770" s="20">
        <v>42520</v>
      </c>
      <c r="D770" s="20" t="str">
        <f>CONCATENATE(J770,"-",C770)</f>
        <v>943-42520</v>
      </c>
      <c r="E770" s="20" t="str">
        <f>CONCATENATE(T770,"-",U770,"-",C770)</f>
        <v>HW1-A4-42520</v>
      </c>
      <c r="F770" s="20" t="s">
        <v>106</v>
      </c>
      <c r="G770" s="20" t="s">
        <v>107</v>
      </c>
      <c r="H770" s="16" t="s">
        <v>125</v>
      </c>
      <c r="I770" s="16">
        <v>0</v>
      </c>
      <c r="J770" s="21">
        <v>943</v>
      </c>
      <c r="K770" s="21">
        <v>1346</v>
      </c>
      <c r="L770" s="16">
        <v>0</v>
      </c>
      <c r="M770" s="15">
        <f>VLOOKUP(K770,'[7]MLBS 2016 SNV-nem Coinfection d'!$C$1:$G$238,4,FALSE)</f>
        <v>0</v>
      </c>
      <c r="N770" s="15">
        <v>0</v>
      </c>
      <c r="O770" s="15" t="s">
        <v>214</v>
      </c>
      <c r="P770" s="16" t="s">
        <v>308</v>
      </c>
      <c r="Q770" s="16">
        <v>0</v>
      </c>
      <c r="R770" s="16" t="s">
        <v>111</v>
      </c>
      <c r="T770" s="16" t="s">
        <v>133</v>
      </c>
      <c r="U770" s="16" t="s">
        <v>134</v>
      </c>
      <c r="V770" s="16" t="s">
        <v>114</v>
      </c>
      <c r="W770" s="16">
        <f>AI770/AG770</f>
        <v>0.83720930232558144</v>
      </c>
      <c r="X770" s="16" t="s">
        <v>115</v>
      </c>
      <c r="Y770" s="16" t="s">
        <v>110</v>
      </c>
      <c r="Z770" s="16">
        <v>3</v>
      </c>
      <c r="AE770" s="16" t="s">
        <v>123</v>
      </c>
      <c r="AF770" s="16" t="s">
        <v>123</v>
      </c>
      <c r="AG770" s="16">
        <f>AH770-AI770</f>
        <v>86</v>
      </c>
      <c r="AH770" s="16">
        <v>158</v>
      </c>
      <c r="AI770" s="16">
        <v>72</v>
      </c>
      <c r="AK770" s="16">
        <v>19.5</v>
      </c>
      <c r="AL770" s="16">
        <v>0</v>
      </c>
      <c r="AM770" s="16">
        <v>1</v>
      </c>
      <c r="AN770" s="16">
        <v>0</v>
      </c>
      <c r="AO770" s="16">
        <f>IF(SUM(AL770:AN770)&gt;0,1,0)</f>
        <v>1</v>
      </c>
      <c r="AP770" s="16">
        <f>SUM(AL770:AN770)</f>
        <v>1</v>
      </c>
      <c r="AQ770" s="16">
        <f>AS770+1.477</f>
        <v>2.0590000000000002</v>
      </c>
      <c r="AR770" s="16">
        <v>0.58199999999999996</v>
      </c>
      <c r="AS770" s="16">
        <v>0.58199999999999996</v>
      </c>
      <c r="AT770" s="16" t="s">
        <v>124</v>
      </c>
      <c r="AW770" s="22">
        <v>1</v>
      </c>
      <c r="AY770" s="16">
        <f>1/0.582</f>
        <v>1.7182130584192441</v>
      </c>
      <c r="AZ770" s="18">
        <v>0</v>
      </c>
      <c r="BB770" s="16">
        <v>0</v>
      </c>
      <c r="BC770" s="18">
        <v>0</v>
      </c>
      <c r="BD770" s="16">
        <v>0</v>
      </c>
      <c r="BE770" s="16">
        <v>0</v>
      </c>
      <c r="BF770" s="18">
        <v>0</v>
      </c>
      <c r="BG770" s="77">
        <v>0</v>
      </c>
      <c r="BH770" s="16">
        <v>0</v>
      </c>
      <c r="BI770" s="18">
        <v>0</v>
      </c>
      <c r="BJ770" s="16">
        <v>0</v>
      </c>
      <c r="BK770" s="16">
        <v>0</v>
      </c>
      <c r="BL770" s="16">
        <f>IF(BM770&gt;0,1,0)</f>
        <v>1</v>
      </c>
      <c r="BM770" s="16">
        <f>SUM(BR770,BU770,BX770,CA770,CD770,CG770,CJ770,CM770,CP770)</f>
        <v>1</v>
      </c>
      <c r="BN770" s="16">
        <f>SUM(BW770,BZ770,CC770,CF770,CI770,CL770,CO770,CR770,BT770)</f>
        <v>1.7182130584192441</v>
      </c>
      <c r="BO770" s="16">
        <f>IF(BP770&gt;0,1,0)</f>
        <v>1</v>
      </c>
      <c r="BP770" s="16">
        <f>SUM(BU770,BX770,CA770,CD770,BR770)</f>
        <v>1</v>
      </c>
      <c r="BQ770" s="16">
        <f>SUM(BZ770,CC770,CF770,BT770,BW770)</f>
        <v>1.7182130584192441</v>
      </c>
      <c r="BR770" s="18">
        <v>0</v>
      </c>
      <c r="BS770" s="16">
        <v>0</v>
      </c>
      <c r="BT770" s="77">
        <f>BS770/AS770</f>
        <v>0</v>
      </c>
      <c r="BU770" s="18">
        <v>0</v>
      </c>
      <c r="BV770" s="16">
        <v>0</v>
      </c>
      <c r="BW770" s="18">
        <f>BV770/AS770</f>
        <v>0</v>
      </c>
      <c r="BX770" s="24">
        <v>1</v>
      </c>
      <c r="BY770" s="16">
        <v>1</v>
      </c>
      <c r="BZ770" s="16">
        <f>BY770/AS770</f>
        <v>1.7182130584192441</v>
      </c>
      <c r="CA770" s="24">
        <v>0</v>
      </c>
      <c r="CB770" s="16">
        <v>0</v>
      </c>
      <c r="CC770" s="16">
        <v>0</v>
      </c>
      <c r="CD770" s="78">
        <v>0</v>
      </c>
      <c r="CE770" s="16">
        <v>0</v>
      </c>
      <c r="CF770" s="16">
        <v>0</v>
      </c>
      <c r="CP770" s="16" t="s">
        <v>123</v>
      </c>
      <c r="CQ770" s="16">
        <v>0</v>
      </c>
      <c r="CR770" s="16">
        <v>0</v>
      </c>
      <c r="CS770" s="18">
        <f>IF(CT770&gt;0,1,0)</f>
        <v>0</v>
      </c>
      <c r="CT770" s="25">
        <f>SUM(CW770,CZ770,DC770)</f>
        <v>0</v>
      </c>
      <c r="CU770" s="25"/>
      <c r="CV770" s="16">
        <v>0</v>
      </c>
      <c r="CW770" s="25">
        <v>0</v>
      </c>
      <c r="CX770" s="16">
        <v>0</v>
      </c>
      <c r="CY770" s="16">
        <v>0</v>
      </c>
      <c r="CZ770" s="18">
        <v>0</v>
      </c>
      <c r="DA770" s="16">
        <v>0</v>
      </c>
      <c r="DB770" s="16">
        <v>0</v>
      </c>
      <c r="DC770" s="18">
        <v>0</v>
      </c>
      <c r="DD770" s="16">
        <v>0</v>
      </c>
      <c r="DE770" s="16">
        <v>0</v>
      </c>
      <c r="DF770" s="16" t="e">
        <f>VLOOKUP(K770,'[3]RNA Seq summary tables'!$V$3:$V$99,1,FALSE)</f>
        <v>#N/A</v>
      </c>
      <c r="JO770" s="26"/>
      <c r="JP770" s="26"/>
      <c r="JQ770" s="26"/>
    </row>
    <row r="771" spans="1:288" x14ac:dyDescent="0.2">
      <c r="B771" s="16">
        <v>2016</v>
      </c>
      <c r="C771" s="20">
        <v>42521</v>
      </c>
      <c r="D771" s="20" t="str">
        <f>CONCATENATE(J771,"-",C771)</f>
        <v>945-42521</v>
      </c>
      <c r="E771" s="20" t="str">
        <f>CONCATENATE(T771,"-",U771,"-",C771)</f>
        <v>HW2-E2-42521</v>
      </c>
      <c r="F771" s="20" t="s">
        <v>106</v>
      </c>
      <c r="G771" s="20" t="s">
        <v>107</v>
      </c>
      <c r="H771" s="16" t="s">
        <v>125</v>
      </c>
      <c r="I771" s="16">
        <v>0</v>
      </c>
      <c r="J771" s="21">
        <v>945</v>
      </c>
      <c r="K771" s="21">
        <v>1348</v>
      </c>
      <c r="L771" s="16">
        <v>0</v>
      </c>
      <c r="M771" s="15">
        <f>VLOOKUP(K771,'[7]MLBS 2016 SNV-nem Coinfection d'!$C$1:$G$238,4,FALSE)</f>
        <v>0</v>
      </c>
      <c r="N771" s="15">
        <v>0</v>
      </c>
      <c r="O771" s="15" t="s">
        <v>214</v>
      </c>
      <c r="P771" s="16" t="s">
        <v>308</v>
      </c>
      <c r="Q771" s="16">
        <v>0</v>
      </c>
      <c r="R771" s="16" t="s">
        <v>111</v>
      </c>
      <c r="T771" s="16" t="s">
        <v>129</v>
      </c>
      <c r="U771" s="16" t="s">
        <v>136</v>
      </c>
      <c r="V771" s="16" t="s">
        <v>114</v>
      </c>
      <c r="X771" s="16" t="s">
        <v>121</v>
      </c>
      <c r="Y771" s="16" t="s">
        <v>110</v>
      </c>
      <c r="Z771" s="16">
        <v>3</v>
      </c>
      <c r="AA771" s="16" t="s">
        <v>119</v>
      </c>
      <c r="AB771" s="16" t="s">
        <v>116</v>
      </c>
      <c r="AC771" s="16" t="s">
        <v>123</v>
      </c>
      <c r="AD771" s="16" t="s">
        <v>116</v>
      </c>
      <c r="AH771" s="16">
        <v>182</v>
      </c>
      <c r="AI771" s="16">
        <v>84</v>
      </c>
      <c r="AK771" s="16">
        <v>24.5</v>
      </c>
      <c r="AL771" s="16">
        <v>0</v>
      </c>
      <c r="AM771" s="16">
        <v>0</v>
      </c>
      <c r="AN771" s="16">
        <v>0</v>
      </c>
      <c r="AO771" s="16">
        <f>IF(SUM(AL771:AN771)&gt;0,1,0)</f>
        <v>0</v>
      </c>
      <c r="AP771" s="16">
        <f>SUM(AL771:AN771)</f>
        <v>0</v>
      </c>
      <c r="AQ771" s="16">
        <f>AS771+1.477</f>
        <v>1.7790000000000001</v>
      </c>
      <c r="AR771" s="16">
        <v>0.30199999999999999</v>
      </c>
      <c r="AS771" s="16">
        <v>0.30199999999999999</v>
      </c>
      <c r="AT771" s="16" t="s">
        <v>124</v>
      </c>
      <c r="AW771" s="22">
        <v>1</v>
      </c>
      <c r="AY771" s="16">
        <f>17/AS771</f>
        <v>56.29139072847682</v>
      </c>
      <c r="AZ771" s="18">
        <v>0</v>
      </c>
      <c r="BB771" s="16">
        <v>0</v>
      </c>
      <c r="BC771" s="18">
        <v>0</v>
      </c>
      <c r="BD771" s="16">
        <v>0</v>
      </c>
      <c r="BE771" s="16">
        <v>0</v>
      </c>
      <c r="BF771" s="18">
        <v>0</v>
      </c>
      <c r="BG771" s="77">
        <v>0</v>
      </c>
      <c r="BH771" s="16">
        <v>0</v>
      </c>
      <c r="BI771" s="18">
        <v>0</v>
      </c>
      <c r="BJ771" s="16">
        <v>0</v>
      </c>
      <c r="BK771" s="16">
        <v>0</v>
      </c>
      <c r="BL771" s="16">
        <f>IF(BM771&gt;0,1,0)</f>
        <v>1</v>
      </c>
      <c r="BM771" s="16">
        <f>SUM(BR771,BU771,BX771,CA771,CD771,CG771,CJ771,CM771,CP771)</f>
        <v>1</v>
      </c>
      <c r="BN771" s="16">
        <f>SUM(BW771,BZ771,CC771,CF771,CI771,CL771,CO771,CR771,BT771)</f>
        <v>56.29139072847682</v>
      </c>
      <c r="BO771" s="16">
        <f>IF(BP771&gt;0,1,0)</f>
        <v>1</v>
      </c>
      <c r="BP771" s="16">
        <f>SUM(BU771,BX771,CA771,CD771,BR771)</f>
        <v>1</v>
      </c>
      <c r="BQ771" s="16">
        <f>SUM(BZ771,CC771,CF771,BT771,BW771)</f>
        <v>56.29139072847682</v>
      </c>
      <c r="BR771" s="18">
        <v>0</v>
      </c>
      <c r="BS771" s="16">
        <v>0</v>
      </c>
      <c r="BT771" s="77">
        <f>BS771/AS771</f>
        <v>0</v>
      </c>
      <c r="BU771" s="18">
        <v>0</v>
      </c>
      <c r="BV771" s="16">
        <v>0</v>
      </c>
      <c r="BW771" s="18">
        <f>BV771/AS771</f>
        <v>0</v>
      </c>
      <c r="BX771" s="18">
        <v>1</v>
      </c>
      <c r="BY771" s="16">
        <v>17</v>
      </c>
      <c r="BZ771" s="16">
        <f>BY771/AS771</f>
        <v>56.29139072847682</v>
      </c>
      <c r="CA771" s="24">
        <v>0</v>
      </c>
      <c r="CB771" s="16">
        <v>0</v>
      </c>
      <c r="CC771" s="16">
        <v>0</v>
      </c>
      <c r="CD771" s="78">
        <v>0</v>
      </c>
      <c r="CE771" s="16">
        <v>0</v>
      </c>
      <c r="CF771" s="16">
        <v>0</v>
      </c>
      <c r="CP771" s="16" t="s">
        <v>123</v>
      </c>
      <c r="CQ771" s="16">
        <v>0</v>
      </c>
      <c r="CR771" s="16">
        <v>0</v>
      </c>
      <c r="CS771" s="18">
        <f>IF(CT771&gt;0,1,0)</f>
        <v>0</v>
      </c>
      <c r="CT771" s="25">
        <f>SUM(CW771,CZ771,DC771)</f>
        <v>0</v>
      </c>
      <c r="CU771" s="25"/>
      <c r="CV771" s="16">
        <v>0</v>
      </c>
      <c r="CW771" s="25">
        <v>0</v>
      </c>
      <c r="CX771" s="16">
        <v>0</v>
      </c>
      <c r="CY771" s="16">
        <v>0</v>
      </c>
      <c r="CZ771" s="18">
        <v>0</v>
      </c>
      <c r="DA771" s="16">
        <v>0</v>
      </c>
      <c r="DB771" s="16">
        <v>0</v>
      </c>
      <c r="DC771" s="18">
        <v>0</v>
      </c>
      <c r="DD771" s="16">
        <v>0</v>
      </c>
      <c r="DE771" s="16">
        <v>0</v>
      </c>
      <c r="DF771" s="16" t="e">
        <f>VLOOKUP(K771,'[3]RNA Seq summary tables'!$V$3:$V$99,1,FALSE)</f>
        <v>#N/A</v>
      </c>
      <c r="JO771" s="19"/>
    </row>
    <row r="772" spans="1:288" x14ac:dyDescent="0.2">
      <c r="B772" s="16">
        <v>2016</v>
      </c>
      <c r="C772" s="20">
        <v>42534</v>
      </c>
      <c r="D772" s="20" t="str">
        <f>CONCATENATE(J772,"-",C772)</f>
        <v>945-42534</v>
      </c>
      <c r="E772" s="20" t="str">
        <f>CONCATENATE(T772,"-",U772,"-",C772)</f>
        <v>HW2-A2-42534</v>
      </c>
      <c r="F772" s="20" t="s">
        <v>106</v>
      </c>
      <c r="G772" s="20" t="s">
        <v>107</v>
      </c>
      <c r="H772" s="16" t="s">
        <v>125</v>
      </c>
      <c r="I772" s="16">
        <v>0</v>
      </c>
      <c r="J772" s="21">
        <v>945</v>
      </c>
      <c r="K772" s="21">
        <v>1367</v>
      </c>
      <c r="L772" s="16">
        <v>0</v>
      </c>
      <c r="M772" s="15">
        <f>VLOOKUP(K772,'[7]MLBS 2016 SNV-nem Coinfection d'!$C$1:$G$238,4,FALSE)</f>
        <v>0</v>
      </c>
      <c r="N772" s="15">
        <v>0</v>
      </c>
      <c r="O772" s="15" t="s">
        <v>214</v>
      </c>
      <c r="P772" s="16" t="s">
        <v>308</v>
      </c>
      <c r="Q772" s="16">
        <v>1</v>
      </c>
      <c r="R772" s="16">
        <v>13</v>
      </c>
      <c r="T772" s="16" t="s">
        <v>129</v>
      </c>
      <c r="U772" s="16" t="s">
        <v>171</v>
      </c>
      <c r="V772" s="16" t="s">
        <v>114</v>
      </c>
      <c r="W772" s="16">
        <f>AI772/AG772</f>
        <v>0.875</v>
      </c>
      <c r="X772" s="16" t="s">
        <v>121</v>
      </c>
      <c r="Y772" s="16" t="s">
        <v>110</v>
      </c>
      <c r="Z772" s="16">
        <v>3</v>
      </c>
      <c r="AA772" s="16" t="s">
        <v>119</v>
      </c>
      <c r="AB772" s="16" t="s">
        <v>123</v>
      </c>
      <c r="AC772" s="16" t="s">
        <v>123</v>
      </c>
      <c r="AD772" s="16" t="s">
        <v>123</v>
      </c>
      <c r="AG772" s="16">
        <f>AH772-AI772</f>
        <v>96</v>
      </c>
      <c r="AH772" s="16">
        <v>180</v>
      </c>
      <c r="AI772" s="16">
        <v>84</v>
      </c>
      <c r="AK772" s="16">
        <v>24.5</v>
      </c>
      <c r="AL772" s="16">
        <v>0</v>
      </c>
      <c r="AM772" s="16">
        <v>1</v>
      </c>
      <c r="AN772" s="16">
        <v>0</v>
      </c>
      <c r="AO772" s="16">
        <f>IF(SUM(AL772:AN772)&gt;0,1,0)</f>
        <v>1</v>
      </c>
      <c r="AP772" s="16">
        <f>SUM(AL772:AN772)</f>
        <v>1</v>
      </c>
      <c r="AQ772" s="16">
        <f>AS772+1.477</f>
        <v>1.6890000000000001</v>
      </c>
      <c r="AR772" s="16">
        <v>0.21199999999999999</v>
      </c>
      <c r="AS772" s="16">
        <v>0.21199999999999999</v>
      </c>
      <c r="AT772" s="16" t="s">
        <v>124</v>
      </c>
      <c r="AW772" s="22">
        <v>1</v>
      </c>
      <c r="AY772" s="16">
        <f>1/0.212</f>
        <v>4.716981132075472</v>
      </c>
      <c r="AZ772" s="18">
        <v>1</v>
      </c>
      <c r="BB772" s="16">
        <f>1/AS772</f>
        <v>4.716981132075472</v>
      </c>
      <c r="BC772" s="18">
        <v>0</v>
      </c>
      <c r="BD772" s="16">
        <v>0</v>
      </c>
      <c r="BE772" s="16">
        <v>0</v>
      </c>
      <c r="BF772" s="18">
        <v>1</v>
      </c>
      <c r="BG772" s="77">
        <v>1</v>
      </c>
      <c r="BH772" s="16">
        <f>1/AS772</f>
        <v>4.716981132075472</v>
      </c>
      <c r="BI772" s="18">
        <v>0</v>
      </c>
      <c r="BJ772" s="16">
        <v>0</v>
      </c>
      <c r="BK772" s="16">
        <v>0</v>
      </c>
      <c r="BL772" s="16">
        <f>IF(BM772&gt;0,1,0)</f>
        <v>0</v>
      </c>
      <c r="BM772" s="16">
        <f>SUM(BR772,BU772,BX772,CA772,CD772,CG772,CJ772,CM772,CP772)</f>
        <v>0</v>
      </c>
      <c r="BN772" s="16">
        <f>SUM(BW772,BZ772,CC772,CF772,CI772,CL772,CO772,CR772,BT772)</f>
        <v>0</v>
      </c>
      <c r="BO772" s="16">
        <f>IF(BP772&gt;0,1,0)</f>
        <v>0</v>
      </c>
      <c r="BP772" s="16">
        <f>SUM(BU772,BX772,CA772,CD772,BR772)</f>
        <v>0</v>
      </c>
      <c r="BQ772" s="16">
        <f>SUM(BZ772,CC772,CF772,BT772,BW772)</f>
        <v>0</v>
      </c>
      <c r="BR772" s="18">
        <v>0</v>
      </c>
      <c r="BS772" s="16">
        <v>0</v>
      </c>
      <c r="BT772" s="77">
        <f>BS772/AS772</f>
        <v>0</v>
      </c>
      <c r="BU772" s="18">
        <v>0</v>
      </c>
      <c r="BV772" s="16">
        <v>0</v>
      </c>
      <c r="BW772" s="18">
        <f>BV772/AS772</f>
        <v>0</v>
      </c>
      <c r="BX772" s="18">
        <v>0</v>
      </c>
      <c r="BY772" s="16">
        <v>0</v>
      </c>
      <c r="BZ772" s="16">
        <f>BY772/AS772</f>
        <v>0</v>
      </c>
      <c r="CA772" s="24">
        <v>0</v>
      </c>
      <c r="CB772" s="16">
        <v>0</v>
      </c>
      <c r="CC772" s="16">
        <v>0</v>
      </c>
      <c r="CD772" s="78">
        <v>0</v>
      </c>
      <c r="CE772" s="16">
        <v>0</v>
      </c>
      <c r="CF772" s="16">
        <v>0</v>
      </c>
      <c r="CP772" s="16" t="s">
        <v>123</v>
      </c>
      <c r="CQ772" s="16">
        <v>0</v>
      </c>
      <c r="CR772" s="16">
        <v>0</v>
      </c>
      <c r="CS772" s="18">
        <f>IF(CT772&gt;0,1,0)</f>
        <v>0</v>
      </c>
      <c r="CT772" s="25">
        <f>SUM(CW772,CZ772,DC772)</f>
        <v>0</v>
      </c>
      <c r="CU772" s="25"/>
      <c r="CV772" s="16">
        <v>0</v>
      </c>
      <c r="CW772" s="25">
        <v>0</v>
      </c>
      <c r="CX772" s="16">
        <v>0</v>
      </c>
      <c r="CY772" s="16">
        <v>0</v>
      </c>
      <c r="CZ772" s="18">
        <v>0</v>
      </c>
      <c r="DA772" s="16">
        <v>0</v>
      </c>
      <c r="DB772" s="16">
        <v>0</v>
      </c>
      <c r="DC772" s="18">
        <v>0</v>
      </c>
      <c r="DD772" s="16">
        <v>0</v>
      </c>
      <c r="DE772" s="16">
        <v>0</v>
      </c>
      <c r="DF772" s="16" t="e">
        <f>VLOOKUP(K772,'[3]RNA Seq summary tables'!$V$3:$V$99,1,FALSE)</f>
        <v>#N/A</v>
      </c>
    </row>
    <row r="773" spans="1:288" x14ac:dyDescent="0.2">
      <c r="B773" s="16">
        <v>2016</v>
      </c>
      <c r="C773" s="20">
        <v>42548</v>
      </c>
      <c r="D773" s="20" t="str">
        <f>CONCATENATE(J773,"-",C773)</f>
        <v>945-42548</v>
      </c>
      <c r="E773" s="20" t="str">
        <f>CONCATENATE(T773,"-",U773,"-",C773)</f>
        <v>HW2-C1-42548</v>
      </c>
      <c r="F773" s="20" t="s">
        <v>106</v>
      </c>
      <c r="G773" s="20" t="s">
        <v>107</v>
      </c>
      <c r="I773" s="16">
        <v>0</v>
      </c>
      <c r="J773" s="21">
        <v>945</v>
      </c>
      <c r="K773" s="21">
        <v>1424</v>
      </c>
      <c r="L773" s="18">
        <v>0</v>
      </c>
      <c r="M773" s="15">
        <f>VLOOKUP(K773,'[7]MLBS 2016 SNV-nem Coinfection d'!$C$1:$G$238,4,FALSE)</f>
        <v>0</v>
      </c>
      <c r="N773" s="15">
        <v>0</v>
      </c>
      <c r="O773" s="15" t="s">
        <v>214</v>
      </c>
      <c r="P773" s="16" t="s">
        <v>110</v>
      </c>
      <c r="Q773" s="16">
        <v>1</v>
      </c>
      <c r="R773" s="16">
        <v>14</v>
      </c>
      <c r="T773" s="16" t="s">
        <v>129</v>
      </c>
      <c r="U773" s="16" t="s">
        <v>150</v>
      </c>
      <c r="V773" s="16" t="s">
        <v>114</v>
      </c>
      <c r="W773" s="16">
        <f>AI773/AG773</f>
        <v>0.8571428571428571</v>
      </c>
      <c r="X773" s="16" t="s">
        <v>121</v>
      </c>
      <c r="Y773" s="16" t="s">
        <v>110</v>
      </c>
      <c r="Z773" s="16">
        <v>3</v>
      </c>
      <c r="AA773" s="16" t="s">
        <v>119</v>
      </c>
      <c r="AB773" s="16" t="s">
        <v>123</v>
      </c>
      <c r="AC773" s="16" t="s">
        <v>123</v>
      </c>
      <c r="AD773" s="16" t="s">
        <v>123</v>
      </c>
      <c r="AG773" s="16">
        <f>AH773-AI773</f>
        <v>98</v>
      </c>
      <c r="AH773" s="16">
        <v>182</v>
      </c>
      <c r="AI773" s="16">
        <v>84</v>
      </c>
      <c r="AK773" s="16">
        <v>24.5</v>
      </c>
      <c r="AL773" s="16">
        <v>0</v>
      </c>
      <c r="AM773" s="16">
        <v>0</v>
      </c>
      <c r="AN773" s="16">
        <v>0</v>
      </c>
      <c r="AO773" s="16">
        <f>IF(SUM(AL773:AN773)&gt;0,1,0)</f>
        <v>0</v>
      </c>
      <c r="AP773" s="16">
        <f>SUM(AL773:AN773)</f>
        <v>0</v>
      </c>
      <c r="AQ773" s="16">
        <v>1.6759999999999999</v>
      </c>
      <c r="AR773" s="16">
        <v>0.19900000000000001</v>
      </c>
      <c r="AS773" s="16">
        <v>0.19900000000000001</v>
      </c>
      <c r="AT773" s="16" t="s">
        <v>124</v>
      </c>
      <c r="AW773" s="24">
        <v>1</v>
      </c>
      <c r="AX773" s="18"/>
      <c r="AY773" s="18">
        <f>(12+3)/AS773</f>
        <v>75.37688442211055</v>
      </c>
      <c r="AZ773" s="18">
        <v>1</v>
      </c>
      <c r="BA773" s="18"/>
      <c r="BB773" s="18">
        <f>AS773</f>
        <v>0.19900000000000001</v>
      </c>
      <c r="BC773" s="18">
        <v>1</v>
      </c>
      <c r="BD773" s="18">
        <v>12</v>
      </c>
      <c r="BE773" s="18">
        <f>12/AS773</f>
        <v>60.301507537688437</v>
      </c>
      <c r="BF773" s="18">
        <v>1</v>
      </c>
      <c r="BG773" s="77">
        <v>3</v>
      </c>
      <c r="BH773" s="16">
        <f>3/AS773</f>
        <v>15.075376884422109</v>
      </c>
      <c r="BI773" s="18">
        <v>0</v>
      </c>
      <c r="BJ773" s="16">
        <v>0</v>
      </c>
      <c r="BK773" s="16">
        <v>0</v>
      </c>
      <c r="BL773" s="16">
        <f>IF(BM773&gt;0,1,0)</f>
        <v>0</v>
      </c>
      <c r="BM773" s="16">
        <f>SUM(BR773,BU773,BX773,CA773,CD773,CG773,CJ773,CM773,CP773)</f>
        <v>0</v>
      </c>
      <c r="BN773" s="16">
        <f>SUM(BW773,BZ773,CC773,CF773,CI773,CL773,CO773,CR773,BT773)</f>
        <v>0</v>
      </c>
      <c r="BO773" s="16">
        <f>IF(BP773&gt;0,1,0)</f>
        <v>0</v>
      </c>
      <c r="BP773" s="16">
        <f>SUM(BU773,BX773,CA773,CD773,BR773)</f>
        <v>0</v>
      </c>
      <c r="BQ773" s="16">
        <f>SUM(BZ773,CC773,CF773,BT773,BW773)</f>
        <v>0</v>
      </c>
      <c r="BR773" s="18">
        <v>0</v>
      </c>
      <c r="BS773" s="16">
        <v>0</v>
      </c>
      <c r="BT773" s="77">
        <f>BS773/AS773</f>
        <v>0</v>
      </c>
      <c r="BU773" s="18">
        <v>0</v>
      </c>
      <c r="BV773" s="16">
        <v>0</v>
      </c>
      <c r="BW773" s="18">
        <f>BV773/AS773</f>
        <v>0</v>
      </c>
      <c r="BX773" s="18">
        <v>0</v>
      </c>
      <c r="BY773" s="16">
        <v>0</v>
      </c>
      <c r="BZ773" s="16">
        <f>BY773/AS773</f>
        <v>0</v>
      </c>
      <c r="CA773" s="24">
        <v>0</v>
      </c>
      <c r="CB773" s="16">
        <v>0</v>
      </c>
      <c r="CC773" s="16">
        <v>0</v>
      </c>
      <c r="CD773" s="78">
        <v>0</v>
      </c>
      <c r="CE773" s="16">
        <v>0</v>
      </c>
      <c r="CF773" s="16">
        <v>0</v>
      </c>
      <c r="CP773" s="16" t="s">
        <v>123</v>
      </c>
      <c r="CQ773" s="16">
        <v>0</v>
      </c>
      <c r="CR773" s="16">
        <v>0</v>
      </c>
      <c r="CS773" s="18">
        <f>IF(CT773&gt;0,1,0)</f>
        <v>0</v>
      </c>
      <c r="CT773" s="25">
        <f>SUM(CW773,CZ773,DC773)</f>
        <v>0</v>
      </c>
      <c r="CU773" s="25"/>
      <c r="CV773" s="16">
        <v>0</v>
      </c>
      <c r="CW773" s="25">
        <v>0</v>
      </c>
      <c r="CX773" s="16">
        <v>0</v>
      </c>
      <c r="CY773" s="16">
        <v>0</v>
      </c>
      <c r="CZ773" s="18">
        <v>0</v>
      </c>
      <c r="DA773" s="16">
        <v>0</v>
      </c>
      <c r="DB773" s="16">
        <v>0</v>
      </c>
      <c r="DC773" s="18">
        <v>0</v>
      </c>
      <c r="DD773" s="16">
        <v>0</v>
      </c>
      <c r="DE773" s="16">
        <v>0</v>
      </c>
      <c r="DF773" s="16" t="e">
        <f>VLOOKUP(K773,'[3]RNA Seq summary tables'!$V$3:$V$99,1,FALSE)</f>
        <v>#N/A</v>
      </c>
    </row>
    <row r="774" spans="1:288" x14ac:dyDescent="0.2">
      <c r="B774" s="16">
        <v>2016</v>
      </c>
      <c r="C774" s="20">
        <v>42562</v>
      </c>
      <c r="D774" s="20" t="str">
        <f>CONCATENATE(J774,"-",C774)</f>
        <v>945-42562</v>
      </c>
      <c r="E774" s="20" t="str">
        <f>CONCATENATE(T774,"-",U774,"-",C774)</f>
        <v>HW2-B1-42562</v>
      </c>
      <c r="F774" s="20" t="s">
        <v>106</v>
      </c>
      <c r="G774" s="20" t="s">
        <v>107</v>
      </c>
      <c r="I774" s="16">
        <v>0</v>
      </c>
      <c r="J774" s="21">
        <v>945</v>
      </c>
      <c r="K774" s="21">
        <v>1474</v>
      </c>
      <c r="L774" s="18">
        <v>0</v>
      </c>
      <c r="M774" s="15">
        <f>VLOOKUP(K774,'[7]MLBS 2016 SNV-nem Coinfection d'!$C$1:$G$238,4,FALSE)</f>
        <v>0</v>
      </c>
      <c r="N774" s="15">
        <v>0</v>
      </c>
      <c r="O774" s="15" t="s">
        <v>214</v>
      </c>
      <c r="P774" s="16" t="s">
        <v>110</v>
      </c>
      <c r="Q774" s="16">
        <v>1</v>
      </c>
      <c r="R774" s="16">
        <v>14</v>
      </c>
      <c r="T774" s="16" t="s">
        <v>129</v>
      </c>
      <c r="U774" s="16" t="s">
        <v>113</v>
      </c>
      <c r="V774" s="16" t="s">
        <v>114</v>
      </c>
      <c r="W774" s="16">
        <f>AI774/AG774</f>
        <v>0.84848484848484851</v>
      </c>
      <c r="X774" s="16" t="s">
        <v>121</v>
      </c>
      <c r="Y774" s="16" t="s">
        <v>110</v>
      </c>
      <c r="Z774" s="16">
        <v>3</v>
      </c>
      <c r="AA774" s="16" t="s">
        <v>161</v>
      </c>
      <c r="AB774" s="16" t="s">
        <v>123</v>
      </c>
      <c r="AC774" s="16" t="s">
        <v>123</v>
      </c>
      <c r="AD774" s="16" t="s">
        <v>116</v>
      </c>
      <c r="AG774" s="16">
        <f>AH774-AI774</f>
        <v>99</v>
      </c>
      <c r="AH774" s="16">
        <v>183</v>
      </c>
      <c r="AI774" s="16">
        <v>84</v>
      </c>
      <c r="AK774" s="16">
        <v>28.5</v>
      </c>
      <c r="AL774" s="16">
        <v>0</v>
      </c>
      <c r="AM774" s="16">
        <v>1</v>
      </c>
      <c r="AN774" s="16">
        <v>0</v>
      </c>
      <c r="AO774" s="16">
        <f>IF(SUM(AL774:AN774)&gt;0,1,0)</f>
        <v>1</v>
      </c>
      <c r="AP774" s="16">
        <f>SUM(AL774:AN774)</f>
        <v>1</v>
      </c>
      <c r="AQ774" s="16">
        <f>AS774+1.477</f>
        <v>2.1100000000000003</v>
      </c>
      <c r="AR774" s="16">
        <v>0.63300000000000001</v>
      </c>
      <c r="AS774" s="16">
        <v>0.63300000000000001</v>
      </c>
      <c r="AT774" s="16" t="s">
        <v>205</v>
      </c>
      <c r="AW774" s="22">
        <v>1</v>
      </c>
      <c r="AX774" s="16">
        <v>4</v>
      </c>
      <c r="AY774" s="16">
        <f>(54+843+2760)/AS774</f>
        <v>5777.2511848341228</v>
      </c>
      <c r="AZ774" s="18">
        <v>1</v>
      </c>
      <c r="BA774" s="16">
        <v>3</v>
      </c>
      <c r="BB774" s="16">
        <f>(54+843+4)/AS774</f>
        <v>1423.3807266982622</v>
      </c>
      <c r="BC774" s="16">
        <v>1</v>
      </c>
      <c r="BD774" s="16">
        <v>54</v>
      </c>
      <c r="BE774" s="16">
        <f>54/AS774</f>
        <v>85.308056872037909</v>
      </c>
      <c r="BF774" s="18">
        <v>1</v>
      </c>
      <c r="BG774" s="77">
        <v>843</v>
      </c>
      <c r="BH774" s="16">
        <f>843/AS774</f>
        <v>1331.7535545023698</v>
      </c>
      <c r="BI774" s="16">
        <v>1</v>
      </c>
      <c r="BJ774" s="16">
        <v>4</v>
      </c>
      <c r="BK774" s="16">
        <f>4/AS774</f>
        <v>6.3191153238546605</v>
      </c>
      <c r="BL774" s="16">
        <f>IF(BM774&gt;0,1,0)</f>
        <v>1</v>
      </c>
      <c r="BM774" s="16">
        <f>SUM(BR774,BU774,BX774,CA774,CD774,CG774,CJ774,CM774,CP774)</f>
        <v>1</v>
      </c>
      <c r="BN774" s="16">
        <f>SUM(BW774,BZ774,CC774,CF774,CI774,CL774,CO774,CR774,BT774)</f>
        <v>1.5797788309636651</v>
      </c>
      <c r="BO774" s="16">
        <f>IF(BP774&gt;0,1,0)</f>
        <v>1</v>
      </c>
      <c r="BP774" s="16">
        <f>SUM(BU774,BX774,CA774,CD774,BR774)</f>
        <v>1</v>
      </c>
      <c r="BQ774" s="16">
        <f>SUM(BZ774,CC774,CF774,BT774,BW774)</f>
        <v>1.5797788309636651</v>
      </c>
      <c r="BR774" s="18">
        <v>0</v>
      </c>
      <c r="BS774" s="16">
        <v>0</v>
      </c>
      <c r="BT774" s="77">
        <f>BS774/AS774</f>
        <v>0</v>
      </c>
      <c r="BU774" s="18">
        <v>0</v>
      </c>
      <c r="BV774" s="16">
        <v>0</v>
      </c>
      <c r="BW774" s="18">
        <f>BV774/AS774</f>
        <v>0</v>
      </c>
      <c r="BX774" s="24">
        <v>1</v>
      </c>
      <c r="BY774" s="16">
        <v>1</v>
      </c>
      <c r="BZ774" s="16">
        <f>BY774/AS774</f>
        <v>1.5797788309636651</v>
      </c>
      <c r="CA774" s="24">
        <v>0</v>
      </c>
      <c r="CB774" s="16">
        <v>0</v>
      </c>
      <c r="CC774" s="16">
        <v>0</v>
      </c>
      <c r="CD774" s="77">
        <v>0</v>
      </c>
      <c r="CE774" s="16">
        <v>0</v>
      </c>
      <c r="CF774" s="16">
        <v>0</v>
      </c>
      <c r="CP774" s="16" t="s">
        <v>123</v>
      </c>
      <c r="CQ774" s="16">
        <v>0</v>
      </c>
      <c r="CS774" s="16">
        <v>0</v>
      </c>
      <c r="CT774" s="16">
        <v>0</v>
      </c>
      <c r="CV774" s="16">
        <v>0</v>
      </c>
      <c r="CW774" s="16">
        <v>0</v>
      </c>
      <c r="CX774" s="16">
        <v>0</v>
      </c>
      <c r="CY774" s="16">
        <v>0</v>
      </c>
      <c r="CZ774" s="16">
        <v>0</v>
      </c>
      <c r="DA774" s="16">
        <v>0</v>
      </c>
      <c r="DB774" s="16">
        <v>0</v>
      </c>
      <c r="DC774" s="16">
        <v>0</v>
      </c>
      <c r="DD774" s="16">
        <v>0</v>
      </c>
      <c r="DE774" s="16">
        <v>0</v>
      </c>
      <c r="DF774" s="16" t="e">
        <f>VLOOKUP(K774,'[3]RNA Seq summary tables'!$V$3:$V$99,1,FALSE)</f>
        <v>#N/A</v>
      </c>
    </row>
    <row r="775" spans="1:288" x14ac:dyDescent="0.2">
      <c r="B775" s="16">
        <v>2016</v>
      </c>
      <c r="C775" s="20">
        <v>42576</v>
      </c>
      <c r="D775" s="20" t="str">
        <f>CONCATENATE(J775,"-",C775)</f>
        <v>945-42576</v>
      </c>
      <c r="E775" s="20" t="str">
        <f>CONCATENATE(T775,"-",U775,"-",C775)</f>
        <v>HW2-A4-42576</v>
      </c>
      <c r="F775" s="20" t="s">
        <v>106</v>
      </c>
      <c r="G775" s="20" t="s">
        <v>107</v>
      </c>
      <c r="I775" s="16">
        <v>0</v>
      </c>
      <c r="J775" s="21">
        <v>945</v>
      </c>
      <c r="K775" s="21">
        <v>1506</v>
      </c>
      <c r="L775" s="18">
        <v>0</v>
      </c>
      <c r="M775" s="15">
        <f>VLOOKUP(K775,'[7]MLBS 2016 SNV-nem Coinfection d'!$C$1:$G$238,4,FALSE)</f>
        <v>0</v>
      </c>
      <c r="N775" s="15">
        <v>0</v>
      </c>
      <c r="O775" s="15" t="s">
        <v>214</v>
      </c>
      <c r="P775" s="16" t="s">
        <v>110</v>
      </c>
      <c r="Q775" s="16">
        <v>1</v>
      </c>
      <c r="R775" s="16">
        <v>14</v>
      </c>
      <c r="T775" s="16" t="s">
        <v>129</v>
      </c>
      <c r="U775" s="16" t="s">
        <v>134</v>
      </c>
      <c r="V775" s="16" t="s">
        <v>114</v>
      </c>
      <c r="W775" s="16">
        <f>AI775/AG775</f>
        <v>0.9042553191489362</v>
      </c>
      <c r="X775" s="16" t="s">
        <v>121</v>
      </c>
      <c r="Y775" s="16" t="s">
        <v>110</v>
      </c>
      <c r="Z775" s="16">
        <v>3</v>
      </c>
      <c r="AA775" s="16" t="s">
        <v>161</v>
      </c>
      <c r="AB775" s="16" t="s">
        <v>123</v>
      </c>
      <c r="AC775" s="16" t="s">
        <v>123</v>
      </c>
      <c r="AD775" s="16" t="s">
        <v>116</v>
      </c>
      <c r="AG775" s="16">
        <f>AH775-AI775</f>
        <v>94</v>
      </c>
      <c r="AH775" s="16">
        <v>179</v>
      </c>
      <c r="AI775" s="16">
        <v>85</v>
      </c>
      <c r="AK775" s="16">
        <v>25.5</v>
      </c>
      <c r="AL775" s="16">
        <v>0</v>
      </c>
      <c r="AM775" s="16">
        <v>0</v>
      </c>
      <c r="AN775" s="16">
        <v>0</v>
      </c>
      <c r="AO775" s="16">
        <f>IF(SUM(AL775:AN775)&gt;0,1,0)</f>
        <v>0</v>
      </c>
      <c r="AP775" s="16">
        <f>SUM(AL775:AN775)</f>
        <v>0</v>
      </c>
      <c r="AQ775" s="16">
        <v>2.0790000000000002</v>
      </c>
      <c r="AR775" s="16">
        <v>0.60199999999999998</v>
      </c>
      <c r="AS775" s="16">
        <v>0.60199999999999998</v>
      </c>
      <c r="AT775" s="16" t="s">
        <v>205</v>
      </c>
      <c r="AW775" s="22">
        <v>1</v>
      </c>
      <c r="AX775" s="16">
        <v>2</v>
      </c>
      <c r="AY775" s="16">
        <f>(3+9)/AS775</f>
        <v>19.933554817275748</v>
      </c>
      <c r="AZ775" s="18">
        <v>1</v>
      </c>
      <c r="BA775" s="16">
        <v>2</v>
      </c>
      <c r="BB775" s="16">
        <f>(3+9)/AS775</f>
        <v>19.933554817275748</v>
      </c>
      <c r="BC775" s="16">
        <v>1</v>
      </c>
      <c r="BD775" s="16">
        <v>3</v>
      </c>
      <c r="BE775" s="16">
        <f>3/AS775</f>
        <v>4.9833887043189371</v>
      </c>
      <c r="BF775" s="18">
        <v>1</v>
      </c>
      <c r="BG775" s="77">
        <v>9</v>
      </c>
      <c r="BH775" s="16">
        <f>9/AS775</f>
        <v>14.950166112956811</v>
      </c>
      <c r="BI775" s="18">
        <v>0</v>
      </c>
      <c r="BJ775" s="16">
        <v>0</v>
      </c>
      <c r="BK775" s="16">
        <v>0</v>
      </c>
      <c r="BL775" s="16">
        <f>IF(BM775&gt;0,1,0)</f>
        <v>0</v>
      </c>
      <c r="BM775" s="16">
        <f>SUM(BR775,BU775,BX775,CA775,CD775,CG775,CJ775,CM775,CP775)</f>
        <v>0</v>
      </c>
      <c r="BN775" s="16">
        <f>SUM(BW775,BZ775,CC775,CF775,CI775,CL775,CO775,CR775,BT775)</f>
        <v>0</v>
      </c>
      <c r="BO775" s="16">
        <f>IF(BP775&gt;0,1,0)</f>
        <v>0</v>
      </c>
      <c r="BP775" s="16">
        <f>SUM(BU775,BX775,CA775,CD775,BR775)</f>
        <v>0</v>
      </c>
      <c r="BQ775" s="16">
        <f>SUM(BZ775,CC775,CF775,BT775,BW775)</f>
        <v>0</v>
      </c>
      <c r="BR775" s="18">
        <v>0</v>
      </c>
      <c r="BS775" s="16">
        <v>0</v>
      </c>
      <c r="BT775" s="77">
        <f>BS775/AS775</f>
        <v>0</v>
      </c>
      <c r="BU775" s="18">
        <v>0</v>
      </c>
      <c r="BV775" s="16">
        <v>0</v>
      </c>
      <c r="BW775" s="18">
        <f>BV775/AS775</f>
        <v>0</v>
      </c>
      <c r="BX775" s="18">
        <v>0</v>
      </c>
      <c r="BY775" s="16">
        <v>0</v>
      </c>
      <c r="BZ775" s="16">
        <f>BY775/AS775</f>
        <v>0</v>
      </c>
      <c r="CA775" s="24">
        <v>0</v>
      </c>
      <c r="CB775" s="16">
        <v>0</v>
      </c>
      <c r="CC775" s="16">
        <v>0</v>
      </c>
      <c r="CD775" s="78">
        <v>0</v>
      </c>
      <c r="CE775" s="16">
        <v>0</v>
      </c>
      <c r="CF775" s="16">
        <v>0</v>
      </c>
      <c r="CP775" s="16" t="s">
        <v>123</v>
      </c>
      <c r="CQ775" s="16">
        <v>0</v>
      </c>
      <c r="CR775" s="16">
        <v>0</v>
      </c>
      <c r="CS775" s="18">
        <f>IF(CT775&gt;0,1,0)</f>
        <v>0</v>
      </c>
      <c r="CT775" s="25">
        <f>SUM(CW775,CZ775,DC775)</f>
        <v>0</v>
      </c>
      <c r="CU775" s="25"/>
      <c r="CV775" s="16">
        <v>0</v>
      </c>
      <c r="CW775" s="25">
        <v>0</v>
      </c>
      <c r="CX775" s="16">
        <v>0</v>
      </c>
      <c r="CY775" s="16">
        <v>0</v>
      </c>
      <c r="CZ775" s="18">
        <v>0</v>
      </c>
      <c r="DA775" s="16">
        <v>0</v>
      </c>
      <c r="DB775" s="16">
        <v>0</v>
      </c>
      <c r="DC775" s="18">
        <v>0</v>
      </c>
      <c r="DD775" s="16">
        <v>0</v>
      </c>
      <c r="DE775" s="16">
        <v>0</v>
      </c>
      <c r="DF775" s="16" t="e">
        <f>VLOOKUP(K775,'[3]RNA Seq summary tables'!$V$3:$V$99,1,FALSE)</f>
        <v>#N/A</v>
      </c>
    </row>
    <row r="776" spans="1:288" x14ac:dyDescent="0.2">
      <c r="B776" s="16">
        <v>2016</v>
      </c>
      <c r="C776" s="37">
        <v>42591</v>
      </c>
      <c r="D776" s="37" t="str">
        <f>CONCATENATE(J776,"-",C776)</f>
        <v>945-42591</v>
      </c>
      <c r="E776" s="20" t="str">
        <f>CONCATENATE(T776,"-",U776,"-",C776)</f>
        <v>HW2-A7-42591</v>
      </c>
      <c r="F776" s="20" t="s">
        <v>224</v>
      </c>
      <c r="G776" s="20" t="s">
        <v>107</v>
      </c>
      <c r="H776" s="18"/>
      <c r="I776" s="16">
        <v>0</v>
      </c>
      <c r="J776" s="36">
        <v>945</v>
      </c>
      <c r="K776" s="36">
        <v>1539</v>
      </c>
      <c r="L776" s="18">
        <v>0</v>
      </c>
      <c r="M776" s="15">
        <f>VLOOKUP(K776,'[7]MLBS 2016 SNV-nem Coinfection d'!$C$1:$G$238,4,FALSE)</f>
        <v>0</v>
      </c>
      <c r="N776" s="15">
        <v>0</v>
      </c>
      <c r="O776" s="15" t="s">
        <v>214</v>
      </c>
      <c r="P776" s="18" t="s">
        <v>110</v>
      </c>
      <c r="Q776" s="16">
        <v>1</v>
      </c>
      <c r="R776" s="18">
        <v>15</v>
      </c>
      <c r="S776" s="18"/>
      <c r="T776" s="18" t="s">
        <v>129</v>
      </c>
      <c r="U776" s="18" t="s">
        <v>120</v>
      </c>
      <c r="V776" s="18" t="s">
        <v>114</v>
      </c>
      <c r="W776" s="16">
        <f>AI776/AG776</f>
        <v>0.96739130434782605</v>
      </c>
      <c r="X776" s="18" t="s">
        <v>121</v>
      </c>
      <c r="Y776" s="18" t="s">
        <v>110</v>
      </c>
      <c r="Z776" s="18">
        <v>3</v>
      </c>
      <c r="AA776" s="18" t="s">
        <v>161</v>
      </c>
      <c r="AB776" s="18" t="s">
        <v>123</v>
      </c>
      <c r="AC776" s="18" t="s">
        <v>123</v>
      </c>
      <c r="AD776" s="18" t="s">
        <v>116</v>
      </c>
      <c r="AE776" s="18"/>
      <c r="AF776" s="18"/>
      <c r="AG776" s="18">
        <f>AH776-AI776</f>
        <v>92</v>
      </c>
      <c r="AH776" s="18">
        <v>181</v>
      </c>
      <c r="AI776" s="18">
        <v>89</v>
      </c>
      <c r="AJ776" s="18"/>
      <c r="AK776" s="18">
        <v>29.5</v>
      </c>
      <c r="AL776" s="16">
        <v>0</v>
      </c>
      <c r="AM776" s="16">
        <v>0</v>
      </c>
      <c r="AN776" s="16">
        <v>0</v>
      </c>
      <c r="AO776" s="16">
        <f>IF(SUM(AL776:AN776)&gt;0,1,0)</f>
        <v>0</v>
      </c>
      <c r="AP776" s="16">
        <f>SUM(AL776:AN776)</f>
        <v>0</v>
      </c>
      <c r="AQ776" s="18"/>
      <c r="AR776" s="18">
        <v>0.71199999999999997</v>
      </c>
      <c r="AS776" s="18">
        <v>0.71199999999999997</v>
      </c>
      <c r="AT776" s="18" t="s">
        <v>212</v>
      </c>
      <c r="AU776" s="18"/>
      <c r="AV776" s="18"/>
      <c r="AW776" s="22">
        <v>1</v>
      </c>
      <c r="AX776" s="18">
        <v>3</v>
      </c>
      <c r="AY776" s="18">
        <f>(308+4338+70)/0.712</f>
        <v>6623.5955056179782</v>
      </c>
      <c r="AZ776" s="18">
        <v>1</v>
      </c>
      <c r="BA776" s="18">
        <v>3</v>
      </c>
      <c r="BB776" s="18">
        <f>(308+4338+70)/0.712</f>
        <v>6623.5955056179782</v>
      </c>
      <c r="BC776" s="16">
        <v>1</v>
      </c>
      <c r="BD776" s="18">
        <v>308</v>
      </c>
      <c r="BE776" s="18">
        <f>308/0.712</f>
        <v>432.58426966292137</v>
      </c>
      <c r="BF776" s="18">
        <v>1</v>
      </c>
      <c r="BG776" s="78">
        <v>4338</v>
      </c>
      <c r="BH776" s="18">
        <f>4338/0.712</f>
        <v>6092.696629213483</v>
      </c>
      <c r="BI776" s="16">
        <v>1</v>
      </c>
      <c r="BJ776" s="18">
        <v>70</v>
      </c>
      <c r="BK776" s="18">
        <f>70/0.712</f>
        <v>98.314606741573044</v>
      </c>
      <c r="BL776" s="16">
        <f>IF(BM776&gt;0,1,0)</f>
        <v>0</v>
      </c>
      <c r="BM776" s="16">
        <f>SUM(BR776,BU776,BX776,CA776,CD776,CG776,CJ776,CM776,CP776)</f>
        <v>0</v>
      </c>
      <c r="BN776" s="16">
        <f>SUM(BW776,BZ776,CC776,CF776,CI776,CL776,CO776,CR776,BT776)</f>
        <v>0</v>
      </c>
      <c r="BO776" s="16">
        <f>IF(BP776&gt;0,1,0)</f>
        <v>0</v>
      </c>
      <c r="BP776" s="16">
        <f>SUM(BU776,BX776,CA776,CD776,BR776)</f>
        <v>0</v>
      </c>
      <c r="BQ776" s="16">
        <f>SUM(BZ776,CC776,CF776,BT776,BW776)</f>
        <v>0</v>
      </c>
      <c r="BR776" s="18">
        <v>0</v>
      </c>
      <c r="BS776" s="18">
        <v>0</v>
      </c>
      <c r="BT776" s="77">
        <f>BS776/AS776</f>
        <v>0</v>
      </c>
      <c r="BU776" s="18">
        <v>0</v>
      </c>
      <c r="BV776" s="18">
        <v>0</v>
      </c>
      <c r="BW776" s="18">
        <f>BV776/AS776</f>
        <v>0</v>
      </c>
      <c r="BX776" s="18">
        <v>0</v>
      </c>
      <c r="BY776" s="18">
        <v>0</v>
      </c>
      <c r="BZ776" s="16">
        <f>BY776/AS776</f>
        <v>0</v>
      </c>
      <c r="CA776" s="24">
        <v>0</v>
      </c>
      <c r="CB776" s="18">
        <v>0</v>
      </c>
      <c r="CC776" s="18">
        <v>0</v>
      </c>
      <c r="CD776" s="78">
        <v>0</v>
      </c>
      <c r="CE776" s="18">
        <v>0</v>
      </c>
      <c r="CF776" s="18">
        <v>0</v>
      </c>
      <c r="CG776" s="18"/>
      <c r="CH776" s="18"/>
      <c r="CI776" s="18"/>
      <c r="CJ776" s="18"/>
      <c r="CK776" s="18"/>
      <c r="CL776" s="18"/>
      <c r="CM776" s="18"/>
      <c r="CN776" s="18"/>
      <c r="CO776" s="18"/>
      <c r="CP776" s="18" t="s">
        <v>123</v>
      </c>
      <c r="CQ776" s="18">
        <v>0</v>
      </c>
      <c r="CR776" s="18">
        <v>0</v>
      </c>
      <c r="CS776" s="18">
        <f>IF(CT776&gt;0,1,0)</f>
        <v>0</v>
      </c>
      <c r="CT776" s="25">
        <f>SUM(CW776,CZ776,DC776)</f>
        <v>0</v>
      </c>
      <c r="CU776" s="25"/>
      <c r="CV776" s="18">
        <v>0</v>
      </c>
      <c r="CW776" s="25">
        <v>0</v>
      </c>
      <c r="CX776" s="18">
        <v>0</v>
      </c>
      <c r="CY776" s="18">
        <v>0</v>
      </c>
      <c r="CZ776" s="18">
        <v>0</v>
      </c>
      <c r="DA776" s="18">
        <v>0</v>
      </c>
      <c r="DB776" s="18">
        <v>0</v>
      </c>
      <c r="DC776" s="18">
        <v>0</v>
      </c>
      <c r="DD776" s="18">
        <v>0</v>
      </c>
      <c r="DE776" s="18">
        <v>0</v>
      </c>
      <c r="DF776" s="16" t="e">
        <f>VLOOKUP(K776,'[3]RNA Seq summary tables'!$V$3:$V$99,1,FALSE)</f>
        <v>#N/A</v>
      </c>
      <c r="DI776" s="18"/>
      <c r="DJ776" s="18"/>
      <c r="DK776" s="18"/>
      <c r="DL776" s="18"/>
      <c r="DM776" s="18"/>
      <c r="DN776" s="18"/>
      <c r="DO776" s="18"/>
      <c r="DP776" s="18"/>
      <c r="DQ776" s="18"/>
      <c r="DR776" s="18"/>
      <c r="DS776" s="18"/>
    </row>
    <row r="777" spans="1:288" x14ac:dyDescent="0.2">
      <c r="B777" s="16">
        <v>2016</v>
      </c>
      <c r="C777" s="43">
        <v>42524</v>
      </c>
      <c r="D777" s="20" t="str">
        <f>CONCATENATE(J777,"-",C777)</f>
        <v>948-42524</v>
      </c>
      <c r="E777" s="20" t="str">
        <f>CONCATENATE(T777,"-",U777,"-",C777)</f>
        <v>SP1-C1-42524</v>
      </c>
      <c r="F777" s="20" t="s">
        <v>106</v>
      </c>
      <c r="G777" s="43" t="s">
        <v>107</v>
      </c>
      <c r="H777" s="23" t="s">
        <v>125</v>
      </c>
      <c r="I777" s="16">
        <v>0</v>
      </c>
      <c r="J777" s="15">
        <v>948</v>
      </c>
      <c r="K777" s="15">
        <v>1354</v>
      </c>
      <c r="L777" s="16">
        <v>0</v>
      </c>
      <c r="M777" s="15">
        <f>VLOOKUP(K777,'[7]MLBS 2016 SNV-nem Coinfection d'!$C$1:$G$238,4,FALSE)</f>
        <v>0</v>
      </c>
      <c r="N777" s="15">
        <v>0</v>
      </c>
      <c r="O777" s="15" t="s">
        <v>214</v>
      </c>
      <c r="P777" s="23" t="s">
        <v>308</v>
      </c>
      <c r="Q777" s="16">
        <v>0</v>
      </c>
      <c r="R777" s="23" t="s">
        <v>111</v>
      </c>
      <c r="S777" s="23"/>
      <c r="T777" s="23" t="s">
        <v>140</v>
      </c>
      <c r="U777" s="23" t="s">
        <v>150</v>
      </c>
      <c r="V777" s="23" t="s">
        <v>114</v>
      </c>
      <c r="W777" s="16">
        <f>AI777/AG777</f>
        <v>1</v>
      </c>
      <c r="X777" s="23" t="s">
        <v>121</v>
      </c>
      <c r="Y777" s="23" t="s">
        <v>122</v>
      </c>
      <c r="Z777" s="23">
        <v>2.2999999999999998</v>
      </c>
      <c r="AA777" s="23" t="s">
        <v>119</v>
      </c>
      <c r="AB777" s="23" t="s">
        <v>123</v>
      </c>
      <c r="AC777" s="23" t="s">
        <v>123</v>
      </c>
      <c r="AD777" s="23" t="s">
        <v>123</v>
      </c>
      <c r="AE777" s="23"/>
      <c r="AF777" s="23"/>
      <c r="AG777" s="23">
        <f>AH777-AI777</f>
        <v>75</v>
      </c>
      <c r="AH777" s="23">
        <v>150</v>
      </c>
      <c r="AI777" s="23">
        <v>75</v>
      </c>
      <c r="AJ777" s="23"/>
      <c r="AK777" s="23">
        <v>13</v>
      </c>
      <c r="AL777" s="23">
        <v>0</v>
      </c>
      <c r="AM777" s="23">
        <v>0</v>
      </c>
      <c r="AN777" s="23">
        <v>0</v>
      </c>
      <c r="AO777" s="23">
        <f>IF(SUM(AL777:AN777)&gt;0,1,0)</f>
        <v>0</v>
      </c>
      <c r="AP777" s="23">
        <f>SUM(AL777:AN777)</f>
        <v>0</v>
      </c>
      <c r="AQ777" s="23"/>
      <c r="AR777" s="23">
        <f>0.082+0.192</f>
        <v>0.27400000000000002</v>
      </c>
      <c r="AS777" s="23">
        <f>0.082+0.192</f>
        <v>0.27400000000000002</v>
      </c>
      <c r="AT777" s="25" t="s">
        <v>117</v>
      </c>
      <c r="AU777" s="25"/>
      <c r="AV777" s="23">
        <v>1</v>
      </c>
      <c r="AW777" s="25">
        <v>0</v>
      </c>
      <c r="AX777" s="23"/>
      <c r="AY777" s="23">
        <v>0</v>
      </c>
      <c r="AZ777" s="18">
        <v>0</v>
      </c>
      <c r="BA777" s="23"/>
      <c r="BB777" s="23">
        <v>0</v>
      </c>
      <c r="BC777" s="18">
        <v>0</v>
      </c>
      <c r="BD777" s="23">
        <v>0</v>
      </c>
      <c r="BE777" s="23">
        <v>0</v>
      </c>
      <c r="BF777" s="18">
        <v>0</v>
      </c>
      <c r="BG777" s="77">
        <v>0</v>
      </c>
      <c r="BH777" s="23">
        <v>0</v>
      </c>
      <c r="BI777" s="18">
        <v>0</v>
      </c>
      <c r="BJ777" s="23">
        <v>0</v>
      </c>
      <c r="BK777" s="23">
        <v>0</v>
      </c>
      <c r="BL777" s="16">
        <f>IF(BM777&gt;0,1,0)</f>
        <v>0</v>
      </c>
      <c r="BM777" s="16">
        <f>SUM(BR777,BU777,BX777,CA777,CD777,CG777,CJ777,CM777,CP777)</f>
        <v>0</v>
      </c>
      <c r="BN777" s="16">
        <f>SUM(BW777,BZ777,CC777,CF777,CI777,CL777,CO777,CR777,BT777)</f>
        <v>0</v>
      </c>
      <c r="BO777" s="16">
        <f>IF(BP777&gt;0,1,0)</f>
        <v>0</v>
      </c>
      <c r="BP777" s="16">
        <f>SUM(BU777,BX777,CA777,CD777,BR777)</f>
        <v>0</v>
      </c>
      <c r="BQ777" s="16">
        <f>SUM(BZ777,CC777,CF777,BT777,BW777)</f>
        <v>0</v>
      </c>
      <c r="BR777" s="18">
        <v>0</v>
      </c>
      <c r="BS777" s="23">
        <v>0</v>
      </c>
      <c r="BT777" s="77">
        <f>BS777/AS777</f>
        <v>0</v>
      </c>
      <c r="BU777" s="18">
        <v>0</v>
      </c>
      <c r="BV777" s="23">
        <v>0</v>
      </c>
      <c r="BW777" s="18">
        <f>BV777/AS777</f>
        <v>0</v>
      </c>
      <c r="BX777" s="18">
        <v>0</v>
      </c>
      <c r="BY777" s="23">
        <v>0</v>
      </c>
      <c r="BZ777" s="16">
        <f>BY777/AS777</f>
        <v>0</v>
      </c>
      <c r="CA777" s="24">
        <v>0</v>
      </c>
      <c r="CB777" s="23">
        <v>0</v>
      </c>
      <c r="CC777" s="23">
        <v>0</v>
      </c>
      <c r="CD777" s="78">
        <v>0</v>
      </c>
      <c r="CE777" s="23">
        <v>0</v>
      </c>
      <c r="CF777" s="23">
        <v>0</v>
      </c>
      <c r="CG777" s="23"/>
      <c r="CH777" s="23"/>
      <c r="CI777" s="23"/>
      <c r="CJ777" s="23"/>
      <c r="CK777" s="23"/>
      <c r="CL777" s="23"/>
      <c r="CM777" s="23"/>
      <c r="CN777" s="23"/>
      <c r="CO777" s="23"/>
      <c r="CP777" s="23" t="s">
        <v>123</v>
      </c>
      <c r="CQ777" s="23">
        <v>0</v>
      </c>
      <c r="CR777" s="23">
        <v>0</v>
      </c>
      <c r="CS777" s="18">
        <f>IF(CT777&gt;0,1,0)</f>
        <v>0</v>
      </c>
      <c r="CT777" s="25">
        <f>SUM(CW777,CZ777,DC777)</f>
        <v>0</v>
      </c>
      <c r="CU777" s="25"/>
      <c r="CV777" s="23">
        <v>0</v>
      </c>
      <c r="CW777" s="25">
        <v>0</v>
      </c>
      <c r="CX777" s="23">
        <v>0</v>
      </c>
      <c r="CY777" s="23">
        <v>0</v>
      </c>
      <c r="CZ777" s="25">
        <v>0</v>
      </c>
      <c r="DA777" s="23">
        <v>0</v>
      </c>
      <c r="DB777" s="23">
        <v>0</v>
      </c>
      <c r="DC777" s="25">
        <v>0</v>
      </c>
      <c r="DD777" s="23">
        <v>0</v>
      </c>
      <c r="DE777" s="23">
        <v>0</v>
      </c>
      <c r="DF777" s="16" t="e">
        <f>VLOOKUP(K777,'[3]RNA Seq summary tables'!$V$3:$V$99,1,FALSE)</f>
        <v>#N/A</v>
      </c>
      <c r="DI777" s="23"/>
      <c r="DJ777" s="23"/>
      <c r="DK777" s="23"/>
      <c r="DL777" s="23"/>
      <c r="DM777" s="23"/>
      <c r="DN777" s="23"/>
      <c r="DO777" s="23"/>
      <c r="DP777" s="23"/>
      <c r="DQ777" s="23"/>
      <c r="DR777" s="23"/>
      <c r="DS777" s="23"/>
      <c r="DT777" s="25"/>
      <c r="DU777" s="25"/>
      <c r="DV777" s="25"/>
      <c r="DW777" s="25"/>
      <c r="DX777" s="25"/>
      <c r="DY777" s="25"/>
      <c r="DZ777" s="25"/>
      <c r="EA777" s="25"/>
      <c r="EB777" s="25"/>
      <c r="EC777" s="25"/>
      <c r="ED777" s="25"/>
      <c r="EE777" s="25"/>
      <c r="EF777" s="25"/>
      <c r="EG777" s="25"/>
      <c r="EH777" s="25"/>
      <c r="EI777" s="25"/>
      <c r="EJ777" s="25"/>
      <c r="EK777" s="25"/>
      <c r="EL777" s="25"/>
      <c r="EM777" s="25"/>
      <c r="EN777" s="25"/>
      <c r="EO777" s="25"/>
      <c r="EP777" s="25"/>
      <c r="EQ777" s="25"/>
      <c r="ER777" s="25"/>
      <c r="ES777" s="25"/>
      <c r="ET777" s="25"/>
      <c r="EU777" s="25"/>
      <c r="EV777" s="25"/>
      <c r="EW777" s="25"/>
      <c r="EX777" s="25"/>
      <c r="EY777" s="25"/>
      <c r="EZ777" s="25"/>
      <c r="FA777" s="25"/>
      <c r="FB777" s="25"/>
      <c r="FC777" s="25"/>
      <c r="FD777" s="25"/>
      <c r="FE777" s="25"/>
      <c r="FF777" s="25"/>
      <c r="FG777" s="25"/>
      <c r="FH777" s="25"/>
      <c r="FI777" s="25"/>
      <c r="FJ777" s="25"/>
      <c r="FK777" s="25"/>
      <c r="FL777" s="25"/>
      <c r="FM777" s="25"/>
      <c r="FN777" s="25"/>
      <c r="FO777" s="25"/>
      <c r="FP777" s="25"/>
      <c r="FQ777" s="25"/>
      <c r="FR777" s="25"/>
      <c r="FS777" s="25"/>
      <c r="FT777" s="25"/>
      <c r="FU777" s="25"/>
      <c r="FV777" s="25"/>
      <c r="FW777" s="25"/>
      <c r="FX777" s="25"/>
      <c r="FY777" s="25"/>
      <c r="FZ777" s="25"/>
      <c r="GA777" s="25"/>
      <c r="GB777" s="25"/>
      <c r="GC777" s="25"/>
      <c r="GD777" s="25"/>
      <c r="GE777" s="25"/>
      <c r="GF777" s="25"/>
      <c r="GG777" s="25"/>
      <c r="GH777" s="25"/>
      <c r="GI777" s="25"/>
      <c r="GJ777" s="25"/>
      <c r="GK777" s="25"/>
      <c r="GL777" s="25"/>
      <c r="GM777" s="25"/>
      <c r="GN777" s="25"/>
      <c r="GO777" s="25"/>
      <c r="GP777" s="25"/>
      <c r="GQ777" s="25"/>
      <c r="GR777" s="25"/>
      <c r="GS777" s="25"/>
      <c r="GT777" s="25"/>
      <c r="GU777" s="25"/>
      <c r="GV777" s="25"/>
      <c r="GW777" s="25"/>
      <c r="GX777" s="25"/>
      <c r="GY777" s="25"/>
      <c r="GZ777" s="25"/>
      <c r="HA777" s="25"/>
      <c r="HB777" s="25"/>
      <c r="HC777" s="25"/>
      <c r="HD777" s="25"/>
      <c r="HE777" s="25"/>
      <c r="HF777" s="25"/>
      <c r="HG777" s="25"/>
      <c r="HH777" s="25"/>
      <c r="HI777" s="25"/>
      <c r="HJ777" s="25"/>
      <c r="HK777" s="25"/>
      <c r="HL777" s="25"/>
      <c r="HM777" s="25"/>
      <c r="HN777" s="25"/>
      <c r="HO777" s="25"/>
      <c r="HP777" s="25"/>
      <c r="HQ777" s="25"/>
      <c r="HR777" s="25"/>
      <c r="HS777" s="25"/>
      <c r="HT777" s="25"/>
      <c r="HU777" s="25"/>
      <c r="HV777" s="25"/>
      <c r="HW777" s="25"/>
      <c r="HX777" s="25"/>
      <c r="HY777" s="25"/>
      <c r="HZ777" s="25"/>
      <c r="IA777" s="25"/>
      <c r="IB777" s="25"/>
      <c r="IC777" s="25"/>
      <c r="ID777" s="25"/>
      <c r="IE777" s="25"/>
      <c r="IF777" s="25"/>
      <c r="IG777" s="25"/>
      <c r="IH777" s="25"/>
      <c r="II777" s="25"/>
      <c r="IJ777" s="25"/>
      <c r="IK777" s="25"/>
      <c r="IL777" s="25"/>
      <c r="IM777" s="25"/>
      <c r="IN777" s="25"/>
      <c r="IO777" s="25"/>
      <c r="IP777" s="25"/>
      <c r="IQ777" s="25"/>
      <c r="IR777" s="25"/>
      <c r="IS777" s="25"/>
      <c r="IT777" s="25"/>
      <c r="IU777" s="25"/>
      <c r="IV777" s="25"/>
      <c r="IW777" s="25"/>
      <c r="IX777" s="25"/>
      <c r="IY777" s="25"/>
      <c r="IZ777" s="25"/>
      <c r="JA777" s="25"/>
      <c r="JB777" s="25"/>
      <c r="JC777" s="25"/>
      <c r="JD777" s="25"/>
      <c r="JE777" s="25"/>
      <c r="JF777" s="25"/>
      <c r="JG777" s="25"/>
      <c r="JH777" s="25"/>
      <c r="JI777" s="25"/>
      <c r="JJ777" s="25"/>
      <c r="JK777" s="25"/>
      <c r="JL777" s="25"/>
      <c r="JM777" s="25"/>
      <c r="JN777" s="25"/>
      <c r="JO777" s="48"/>
      <c r="JP777" s="23"/>
      <c r="JQ777" s="23"/>
      <c r="JR777" s="23"/>
      <c r="JS777" s="23"/>
      <c r="JT777" s="23"/>
      <c r="JU777" s="23"/>
      <c r="JV777" s="23"/>
      <c r="JW777" s="23"/>
      <c r="JX777" s="23"/>
      <c r="JY777" s="23"/>
      <c r="JZ777" s="23"/>
      <c r="KA777" s="23"/>
      <c r="KB777" s="23"/>
    </row>
    <row r="778" spans="1:288" s="49" customFormat="1" x14ac:dyDescent="0.2">
      <c r="A778" s="18"/>
      <c r="B778" s="16">
        <v>2016</v>
      </c>
      <c r="C778" s="20">
        <v>42523</v>
      </c>
      <c r="D778" s="20" t="str">
        <f>CONCATENATE(J778,"-",C778)</f>
        <v>949-42523</v>
      </c>
      <c r="E778" s="20" t="str">
        <f>CONCATENATE(T778,"-",U778,"-",C778)</f>
        <v>SP1-H6-42523</v>
      </c>
      <c r="F778" s="20" t="s">
        <v>106</v>
      </c>
      <c r="G778" s="20" t="s">
        <v>107</v>
      </c>
      <c r="H778" s="16" t="s">
        <v>139</v>
      </c>
      <c r="I778" s="16">
        <v>0</v>
      </c>
      <c r="J778" s="15">
        <v>949</v>
      </c>
      <c r="K778" s="15">
        <v>1355</v>
      </c>
      <c r="L778" s="16">
        <v>0</v>
      </c>
      <c r="M778" s="15">
        <f>VLOOKUP(K778,'[7]MLBS 2016 SNV-nem Coinfection d'!$C$1:$G$238,4,FALSE)</f>
        <v>0</v>
      </c>
      <c r="N778" s="15">
        <v>0</v>
      </c>
      <c r="O778" s="15" t="s">
        <v>214</v>
      </c>
      <c r="P778" s="16" t="s">
        <v>110</v>
      </c>
      <c r="Q778" s="16">
        <v>0</v>
      </c>
      <c r="R778" s="23" t="s">
        <v>111</v>
      </c>
      <c r="S778" s="23"/>
      <c r="T778" s="25" t="s">
        <v>140</v>
      </c>
      <c r="U778" s="97" t="s">
        <v>141</v>
      </c>
      <c r="V778" s="25" t="s">
        <v>142</v>
      </c>
      <c r="W778" s="18">
        <f>AI778/AG778</f>
        <v>0.88888888888888884</v>
      </c>
      <c r="X778" s="23" t="s">
        <v>115</v>
      </c>
      <c r="Y778" s="23" t="s">
        <v>122</v>
      </c>
      <c r="Z778" s="23">
        <v>2.6</v>
      </c>
      <c r="AA778" s="23"/>
      <c r="AB778" s="23"/>
      <c r="AC778" s="16"/>
      <c r="AD778" s="16"/>
      <c r="AE778" s="16" t="s">
        <v>123</v>
      </c>
      <c r="AF778" s="16" t="s">
        <v>123</v>
      </c>
      <c r="AG778" s="16">
        <f>AH778-AI778</f>
        <v>90</v>
      </c>
      <c r="AH778" s="16">
        <v>170</v>
      </c>
      <c r="AI778" s="16">
        <v>80</v>
      </c>
      <c r="AJ778" s="16"/>
      <c r="AK778" s="16">
        <v>15</v>
      </c>
      <c r="AL778" s="16">
        <v>0</v>
      </c>
      <c r="AM778" s="16">
        <v>0</v>
      </c>
      <c r="AN778" s="16">
        <v>0</v>
      </c>
      <c r="AO778" s="16">
        <f>IF(SUM(AL778:AN778)&gt;0,1,0)</f>
        <v>0</v>
      </c>
      <c r="AP778" s="16">
        <f>SUM(AL778:AN778)</f>
        <v>0</v>
      </c>
      <c r="AQ778" s="16">
        <f>AS778+1.477</f>
        <v>1.554</v>
      </c>
      <c r="AR778" s="16">
        <v>7.6999999999999999E-2</v>
      </c>
      <c r="AS778" s="16">
        <v>7.6999999999999999E-2</v>
      </c>
      <c r="AT778" s="16" t="s">
        <v>124</v>
      </c>
      <c r="AU778" s="16"/>
      <c r="AV778" s="16">
        <v>1</v>
      </c>
      <c r="AW778" s="18">
        <v>0</v>
      </c>
      <c r="AX778" s="16"/>
      <c r="AY778" s="16">
        <v>0</v>
      </c>
      <c r="AZ778" s="18">
        <v>0</v>
      </c>
      <c r="BA778" s="16"/>
      <c r="BB778" s="16">
        <v>0</v>
      </c>
      <c r="BC778" s="18">
        <v>0</v>
      </c>
      <c r="BD778" s="16">
        <v>0</v>
      </c>
      <c r="BE778" s="16">
        <v>0</v>
      </c>
      <c r="BF778" s="18">
        <v>0</v>
      </c>
      <c r="BG778" s="77">
        <v>0</v>
      </c>
      <c r="BH778" s="16">
        <v>0</v>
      </c>
      <c r="BI778" s="18">
        <v>0</v>
      </c>
      <c r="BJ778" s="16">
        <v>0</v>
      </c>
      <c r="BK778" s="16">
        <v>0</v>
      </c>
      <c r="BL778" s="16">
        <f>IF(BM778&gt;0,1,0)</f>
        <v>0</v>
      </c>
      <c r="BM778" s="16">
        <f>SUM(BR778,BU778,BX778,CA778,CD778,CG778,CJ778,CM778,CP778)</f>
        <v>0</v>
      </c>
      <c r="BN778" s="16">
        <f>SUM(BW778,BZ778,CC778,CF778,CI778,CL778,CO778,CR778,BT778)</f>
        <v>0</v>
      </c>
      <c r="BO778" s="16">
        <f>IF(BP778&gt;0,1,0)</f>
        <v>0</v>
      </c>
      <c r="BP778" s="16">
        <f>SUM(BU778,BX778,CA778,CD778,BR778)</f>
        <v>0</v>
      </c>
      <c r="BQ778" s="16">
        <f>SUM(BZ778,CC778,CF778,BT778,BW778)</f>
        <v>0</v>
      </c>
      <c r="BR778" s="18">
        <v>0</v>
      </c>
      <c r="BS778" s="16">
        <v>0</v>
      </c>
      <c r="BT778" s="77">
        <f>BS778/AS778</f>
        <v>0</v>
      </c>
      <c r="BU778" s="18">
        <v>0</v>
      </c>
      <c r="BV778" s="16">
        <v>0</v>
      </c>
      <c r="BW778" s="18">
        <f>BV778/AS778</f>
        <v>0</v>
      </c>
      <c r="BX778" s="18">
        <v>0</v>
      </c>
      <c r="BY778" s="16">
        <v>0</v>
      </c>
      <c r="BZ778" s="16">
        <f>BY778/AS778</f>
        <v>0</v>
      </c>
      <c r="CA778" s="24">
        <v>0</v>
      </c>
      <c r="CB778" s="16">
        <v>0</v>
      </c>
      <c r="CC778" s="16">
        <v>0</v>
      </c>
      <c r="CD778" s="78">
        <v>0</v>
      </c>
      <c r="CE778" s="16">
        <v>0</v>
      </c>
      <c r="CF778" s="16">
        <v>0</v>
      </c>
      <c r="CG778" s="16"/>
      <c r="CH778" s="16"/>
      <c r="CI778" s="16"/>
      <c r="CJ778" s="16"/>
      <c r="CK778" s="16"/>
      <c r="CL778" s="16"/>
      <c r="CM778" s="16"/>
      <c r="CN778" s="16"/>
      <c r="CO778" s="16"/>
      <c r="CP778" s="16" t="s">
        <v>123</v>
      </c>
      <c r="CQ778" s="16">
        <v>0</v>
      </c>
      <c r="CR778" s="16">
        <v>0</v>
      </c>
      <c r="CS778" s="18">
        <f>IF(CT778&gt;0,1,0)</f>
        <v>0</v>
      </c>
      <c r="CT778" s="25">
        <f>SUM(CW778,CZ778,DC778)</f>
        <v>0</v>
      </c>
      <c r="CU778" s="25"/>
      <c r="CV778" s="16">
        <v>0</v>
      </c>
      <c r="CW778" s="25">
        <v>0</v>
      </c>
      <c r="CX778" s="16">
        <v>0</v>
      </c>
      <c r="CY778" s="16">
        <v>0</v>
      </c>
      <c r="CZ778" s="18">
        <v>0</v>
      </c>
      <c r="DA778" s="16">
        <v>0</v>
      </c>
      <c r="DB778" s="16">
        <v>0</v>
      </c>
      <c r="DC778" s="18">
        <v>0</v>
      </c>
      <c r="DD778" s="16">
        <v>0</v>
      </c>
      <c r="DE778" s="16">
        <v>0</v>
      </c>
      <c r="DF778" s="16" t="e">
        <f>VLOOKUP(K778,'[3]RNA Seq summary tables'!$V$3:$V$99,1,FALSE)</f>
        <v>#N/A</v>
      </c>
      <c r="DG778" s="16"/>
      <c r="DH778" s="16"/>
      <c r="DI778" s="16"/>
      <c r="DJ778" s="16"/>
      <c r="DK778" s="16"/>
      <c r="DL778" s="16"/>
      <c r="DM778" s="16"/>
      <c r="DN778" s="16"/>
      <c r="DO778" s="16"/>
      <c r="DP778" s="16"/>
      <c r="DQ778" s="16"/>
      <c r="DR778" s="16"/>
      <c r="DS778" s="16"/>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18"/>
      <c r="EQ778" s="18"/>
      <c r="ER778" s="18"/>
      <c r="ES778" s="18"/>
      <c r="ET778" s="18"/>
      <c r="EU778" s="18"/>
      <c r="EV778" s="18"/>
      <c r="EW778" s="18"/>
      <c r="EX778" s="18"/>
      <c r="EY778" s="18"/>
      <c r="EZ778" s="18"/>
      <c r="FA778" s="18"/>
      <c r="FB778" s="18"/>
      <c r="FC778" s="18"/>
      <c r="FD778" s="18"/>
      <c r="FE778" s="18"/>
      <c r="FF778" s="18"/>
      <c r="FG778" s="18"/>
      <c r="FH778" s="18"/>
      <c r="FI778" s="18"/>
      <c r="FJ778" s="18"/>
      <c r="FK778" s="18"/>
      <c r="FL778" s="18"/>
      <c r="FM778" s="18"/>
      <c r="FN778" s="18"/>
      <c r="FO778" s="18"/>
      <c r="FP778" s="18"/>
      <c r="FQ778" s="18"/>
      <c r="FR778" s="18"/>
      <c r="FS778" s="18"/>
      <c r="FT778" s="18"/>
      <c r="FU778" s="18"/>
      <c r="FV778" s="18"/>
      <c r="FW778" s="18"/>
      <c r="FX778" s="18"/>
      <c r="FY778" s="18"/>
      <c r="FZ778" s="18"/>
      <c r="GA778" s="18"/>
      <c r="GB778" s="18"/>
      <c r="GC778" s="18"/>
      <c r="GD778" s="18"/>
      <c r="GE778" s="18"/>
      <c r="GF778" s="18"/>
      <c r="GG778" s="18"/>
      <c r="GH778" s="18"/>
      <c r="GI778" s="18"/>
      <c r="GJ778" s="18"/>
      <c r="GK778" s="18"/>
      <c r="GL778" s="18"/>
      <c r="GM778" s="18"/>
      <c r="GN778" s="18"/>
      <c r="GO778" s="18"/>
      <c r="GP778" s="18"/>
      <c r="GQ778" s="18"/>
      <c r="GR778" s="18"/>
      <c r="GS778" s="18"/>
      <c r="GT778" s="18"/>
      <c r="GU778" s="18"/>
      <c r="GV778" s="18"/>
      <c r="GW778" s="18"/>
      <c r="GX778" s="18"/>
      <c r="GY778" s="18"/>
      <c r="GZ778" s="18"/>
      <c r="HA778" s="18"/>
      <c r="HB778" s="18"/>
      <c r="HC778" s="18"/>
      <c r="HD778" s="18"/>
      <c r="HE778" s="18"/>
      <c r="HF778" s="18"/>
      <c r="HG778" s="18"/>
      <c r="HH778" s="18"/>
      <c r="HI778" s="18"/>
      <c r="HJ778" s="18"/>
      <c r="HK778" s="18"/>
      <c r="HL778" s="18"/>
      <c r="HM778" s="18"/>
      <c r="HN778" s="18"/>
      <c r="HO778" s="18"/>
      <c r="HP778" s="18"/>
      <c r="HQ778" s="18"/>
      <c r="HR778" s="18"/>
      <c r="HS778" s="18"/>
      <c r="HT778" s="18"/>
      <c r="HU778" s="18"/>
      <c r="HV778" s="18"/>
      <c r="HW778" s="18"/>
      <c r="HX778" s="18"/>
      <c r="HY778" s="18"/>
      <c r="HZ778" s="18"/>
      <c r="IA778" s="18"/>
      <c r="IB778" s="18"/>
      <c r="IC778" s="18"/>
      <c r="ID778" s="18"/>
      <c r="IE778" s="18"/>
      <c r="IF778" s="18"/>
      <c r="IG778" s="18"/>
      <c r="IH778" s="18"/>
      <c r="II778" s="18"/>
      <c r="IJ778" s="18"/>
      <c r="IK778" s="18"/>
      <c r="IL778" s="18"/>
      <c r="IM778" s="18"/>
      <c r="IN778" s="18"/>
      <c r="IO778" s="18"/>
      <c r="IP778" s="18"/>
      <c r="IQ778" s="18"/>
      <c r="IR778" s="18"/>
      <c r="IS778" s="18"/>
      <c r="IT778" s="18"/>
      <c r="IU778" s="18"/>
      <c r="IV778" s="18"/>
      <c r="IW778" s="18"/>
      <c r="IX778" s="18"/>
      <c r="IY778" s="18"/>
      <c r="IZ778" s="18"/>
      <c r="JA778" s="18"/>
      <c r="JB778" s="18"/>
      <c r="JC778" s="18"/>
      <c r="JD778" s="18"/>
      <c r="JE778" s="18"/>
      <c r="JF778" s="18"/>
      <c r="JG778" s="18"/>
      <c r="JH778" s="18"/>
      <c r="JI778" s="18"/>
      <c r="JJ778" s="18"/>
      <c r="JK778" s="18"/>
      <c r="JL778" s="18"/>
      <c r="JM778" s="18"/>
      <c r="JN778" s="18"/>
      <c r="JO778" s="26"/>
      <c r="JP778" s="16"/>
      <c r="JQ778" s="16"/>
      <c r="JR778" s="16"/>
      <c r="JS778" s="16"/>
      <c r="JT778" s="16"/>
      <c r="JU778" s="16"/>
      <c r="JV778" s="16"/>
      <c r="JW778" s="16"/>
      <c r="JX778" s="16"/>
      <c r="JY778" s="16"/>
      <c r="JZ778" s="16"/>
      <c r="KA778" s="16"/>
      <c r="KB778" s="16"/>
    </row>
    <row r="779" spans="1:288" x14ac:dyDescent="0.2">
      <c r="B779" s="16">
        <v>2016</v>
      </c>
      <c r="C779" s="20">
        <v>42551</v>
      </c>
      <c r="D779" s="20" t="str">
        <f>CONCATENATE(J779,"-",C779)</f>
        <v>949-42551</v>
      </c>
      <c r="E779" s="20" t="str">
        <f>CONCATENATE(T779,"-",U779,"-",C779)</f>
        <v>SP1-F3-42551</v>
      </c>
      <c r="F779" s="20" t="s">
        <v>106</v>
      </c>
      <c r="G779" s="20" t="s">
        <v>107</v>
      </c>
      <c r="H779" s="16" t="s">
        <v>169</v>
      </c>
      <c r="I779" s="16">
        <v>0</v>
      </c>
      <c r="J779" s="15">
        <v>949</v>
      </c>
      <c r="K779" s="15">
        <v>1440</v>
      </c>
      <c r="L779" s="18">
        <v>0</v>
      </c>
      <c r="M779" s="15">
        <f>VLOOKUP(K779,'[7]MLBS 2016 SNV-nem Coinfection d'!$C$1:$G$238,4,FALSE)</f>
        <v>0</v>
      </c>
      <c r="N779" s="15">
        <v>0</v>
      </c>
      <c r="O779" s="15" t="s">
        <v>214</v>
      </c>
      <c r="P779" s="23" t="s">
        <v>110</v>
      </c>
      <c r="Q779" s="16">
        <v>1</v>
      </c>
      <c r="R779" s="23">
        <v>28</v>
      </c>
      <c r="S779" s="23"/>
      <c r="T779" s="25" t="s">
        <v>140</v>
      </c>
      <c r="U779" s="25" t="s">
        <v>182</v>
      </c>
      <c r="V779" s="25" t="s">
        <v>142</v>
      </c>
      <c r="W779" s="18">
        <f>AI779/AG779</f>
        <v>1.0240963855421688</v>
      </c>
      <c r="X779" s="23" t="s">
        <v>115</v>
      </c>
      <c r="Y779" s="23" t="s">
        <v>110</v>
      </c>
      <c r="Z779" s="23">
        <v>3</v>
      </c>
      <c r="AA779" s="23"/>
      <c r="AB779" s="23"/>
      <c r="AE779" s="16" t="s">
        <v>116</v>
      </c>
      <c r="AF779" s="16" t="s">
        <v>116</v>
      </c>
      <c r="AG779" s="16">
        <f>AH779-AI779</f>
        <v>83</v>
      </c>
      <c r="AH779" s="16">
        <v>168</v>
      </c>
      <c r="AI779" s="16">
        <v>85</v>
      </c>
      <c r="AK779" s="16">
        <v>17</v>
      </c>
      <c r="AL779" s="16">
        <v>0</v>
      </c>
      <c r="AM779" s="16">
        <v>0</v>
      </c>
      <c r="AN779" s="16">
        <v>0</v>
      </c>
      <c r="AO779" s="16">
        <f>IF(SUM(AL779:AN779)&gt;0,1,0)</f>
        <v>0</v>
      </c>
      <c r="AP779" s="16">
        <f>SUM(AL779:AN779)</f>
        <v>0</v>
      </c>
      <c r="AQ779" s="16">
        <f>1.777</f>
        <v>1.7769999999999999</v>
      </c>
      <c r="AR779" s="16">
        <v>0.3</v>
      </c>
      <c r="AS779" s="16">
        <v>0.3</v>
      </c>
      <c r="AT779" s="16" t="s">
        <v>124</v>
      </c>
      <c r="AV779" s="16">
        <v>1</v>
      </c>
      <c r="AW779" s="18">
        <v>0</v>
      </c>
      <c r="AY779" s="16">
        <v>0</v>
      </c>
      <c r="AZ779" s="18">
        <v>0</v>
      </c>
      <c r="BB779" s="16">
        <v>0</v>
      </c>
      <c r="BC779" s="18">
        <v>0</v>
      </c>
      <c r="BD779" s="16">
        <v>0</v>
      </c>
      <c r="BE779" s="16">
        <v>0</v>
      </c>
      <c r="BF779" s="18">
        <v>0</v>
      </c>
      <c r="BG779" s="77">
        <v>0</v>
      </c>
      <c r="BH779" s="16">
        <v>0</v>
      </c>
      <c r="BI779" s="18">
        <v>0</v>
      </c>
      <c r="BJ779" s="16">
        <v>0</v>
      </c>
      <c r="BK779" s="16">
        <v>0</v>
      </c>
      <c r="BL779" s="16">
        <f>IF(BM779&gt;0,1,0)</f>
        <v>0</v>
      </c>
      <c r="BM779" s="16">
        <f>SUM(BR779,BU779,BX779,CA779,CD779,CG779,CJ779,CM779,CP779)</f>
        <v>0</v>
      </c>
      <c r="BN779" s="16">
        <f>SUM(BW779,BZ779,CC779,CF779,CI779,CL779,CO779,CR779,BT779)</f>
        <v>0</v>
      </c>
      <c r="BO779" s="16">
        <f>IF(BP779&gt;0,1,0)</f>
        <v>0</v>
      </c>
      <c r="BP779" s="16">
        <f>SUM(BU779,BX779,CA779,CD779,BR779)</f>
        <v>0</v>
      </c>
      <c r="BQ779" s="16">
        <f>SUM(BZ779,CC779,CF779,BT779,BW779)</f>
        <v>0</v>
      </c>
      <c r="BR779" s="18">
        <v>0</v>
      </c>
      <c r="BS779" s="16">
        <v>0</v>
      </c>
      <c r="BT779" s="77">
        <f>BS779/AS779</f>
        <v>0</v>
      </c>
      <c r="BU779" s="18">
        <v>0</v>
      </c>
      <c r="BV779" s="16">
        <v>0</v>
      </c>
      <c r="BW779" s="18">
        <f>BV779/AS779</f>
        <v>0</v>
      </c>
      <c r="BX779" s="18">
        <v>0</v>
      </c>
      <c r="BY779" s="16">
        <v>0</v>
      </c>
      <c r="BZ779" s="16">
        <f>BY779/AS779</f>
        <v>0</v>
      </c>
      <c r="CA779" s="24">
        <v>0</v>
      </c>
      <c r="CB779" s="16">
        <v>0</v>
      </c>
      <c r="CC779" s="16">
        <v>0</v>
      </c>
      <c r="CD779" s="78">
        <v>0</v>
      </c>
      <c r="CE779" s="16">
        <v>0</v>
      </c>
      <c r="CF779" s="16">
        <v>0</v>
      </c>
      <c r="CP779" s="16" t="s">
        <v>123</v>
      </c>
      <c r="CQ779" s="16">
        <v>0</v>
      </c>
      <c r="CR779" s="16">
        <v>0</v>
      </c>
      <c r="CS779" s="18">
        <f>IF(CT779&gt;0,1,0)</f>
        <v>0</v>
      </c>
      <c r="CT779" s="25">
        <f>SUM(CW779,CZ779,DC779)</f>
        <v>0</v>
      </c>
      <c r="CU779" s="25"/>
      <c r="CV779" s="16">
        <v>0</v>
      </c>
      <c r="CW779" s="25">
        <v>0</v>
      </c>
      <c r="CX779" s="16">
        <v>0</v>
      </c>
      <c r="CY779" s="16">
        <v>0</v>
      </c>
      <c r="CZ779" s="18">
        <v>0</v>
      </c>
      <c r="DA779" s="16">
        <v>0</v>
      </c>
      <c r="DB779" s="16">
        <v>0</v>
      </c>
      <c r="DC779" s="18">
        <v>0</v>
      </c>
      <c r="DD779" s="16">
        <v>0</v>
      </c>
      <c r="DE779" s="16">
        <v>0</v>
      </c>
      <c r="DF779" s="16" t="e">
        <f>VLOOKUP(K779,'[3]RNA Seq summary tables'!$V$3:$V$99,1,FALSE)</f>
        <v>#N/A</v>
      </c>
    </row>
    <row r="780" spans="1:288" x14ac:dyDescent="0.2">
      <c r="B780" s="16">
        <v>2016</v>
      </c>
      <c r="C780" s="20">
        <v>42565</v>
      </c>
      <c r="D780" s="20" t="str">
        <f>CONCATENATE(J780,"-",C780)</f>
        <v>949-42565</v>
      </c>
      <c r="E780" s="20" t="str">
        <f>CONCATENATE(T780,"-",U780,"-",C780)</f>
        <v>SP1-G5-42565</v>
      </c>
      <c r="F780" s="20" t="s">
        <v>106</v>
      </c>
      <c r="G780" s="20" t="s">
        <v>107</v>
      </c>
      <c r="H780" s="16" t="s">
        <v>169</v>
      </c>
      <c r="I780" s="16">
        <v>0</v>
      </c>
      <c r="J780" s="15">
        <v>949</v>
      </c>
      <c r="K780" s="15">
        <v>1483</v>
      </c>
      <c r="L780" s="18">
        <v>0</v>
      </c>
      <c r="M780" s="15">
        <f>VLOOKUP(K780,'[7]MLBS 2016 SNV-nem Coinfection d'!$C$1:$G$238,4,FALSE)</f>
        <v>0</v>
      </c>
      <c r="N780" s="15">
        <v>0</v>
      </c>
      <c r="O780" s="15" t="s">
        <v>214</v>
      </c>
      <c r="P780" s="23" t="s">
        <v>110</v>
      </c>
      <c r="Q780" s="16">
        <v>1</v>
      </c>
      <c r="R780" s="23">
        <v>14</v>
      </c>
      <c r="S780" s="23"/>
      <c r="T780" s="25" t="s">
        <v>140</v>
      </c>
      <c r="U780" s="25" t="s">
        <v>200</v>
      </c>
      <c r="V780" s="25" t="s">
        <v>142</v>
      </c>
      <c r="W780" s="18">
        <f>AI780/AG780</f>
        <v>1.0116279069767442</v>
      </c>
      <c r="X780" s="23" t="s">
        <v>115</v>
      </c>
      <c r="Y780" s="23" t="s">
        <v>110</v>
      </c>
      <c r="Z780" s="23">
        <v>3</v>
      </c>
      <c r="AA780" s="23"/>
      <c r="AB780" s="23"/>
      <c r="AE780" s="16" t="s">
        <v>116</v>
      </c>
      <c r="AF780" s="16" t="s">
        <v>116</v>
      </c>
      <c r="AG780" s="16">
        <v>86</v>
      </c>
      <c r="AH780" s="16">
        <v>173</v>
      </c>
      <c r="AI780" s="16">
        <v>87</v>
      </c>
      <c r="AK780" s="16">
        <v>18</v>
      </c>
      <c r="AL780" s="16">
        <v>1</v>
      </c>
      <c r="AM780" s="16">
        <v>0</v>
      </c>
      <c r="AN780" s="16">
        <v>0</v>
      </c>
      <c r="AO780" s="16">
        <f>IF(SUM(AL780:AN780)&gt;0,1,0)</f>
        <v>1</v>
      </c>
      <c r="AP780" s="16">
        <f>SUM(AL780:AN780)</f>
        <v>1</v>
      </c>
      <c r="AQ780" s="16">
        <v>1.837</v>
      </c>
      <c r="AR780" s="16">
        <v>0.36</v>
      </c>
      <c r="AS780" s="16">
        <v>0.36</v>
      </c>
      <c r="AT780" s="16" t="s">
        <v>212</v>
      </c>
      <c r="AW780" s="22">
        <v>1</v>
      </c>
      <c r="AX780" s="16">
        <v>2</v>
      </c>
      <c r="AY780" s="16">
        <f>(13+74+72+17)/AS780</f>
        <v>488.88888888888891</v>
      </c>
      <c r="AZ780" s="18">
        <v>1</v>
      </c>
      <c r="BA780" s="16">
        <v>2</v>
      </c>
      <c r="BB780" s="16">
        <f>(BD780+BG780+BJ780)/AS780</f>
        <v>13.888888888888889</v>
      </c>
      <c r="BC780" s="16">
        <v>1</v>
      </c>
      <c r="BD780" s="16">
        <v>2</v>
      </c>
      <c r="BE780" s="16">
        <f>BD780/AS780</f>
        <v>5.5555555555555554</v>
      </c>
      <c r="BF780" s="18">
        <v>1</v>
      </c>
      <c r="BG780" s="77">
        <v>3</v>
      </c>
      <c r="BH780" s="16">
        <f>BG780/AS780</f>
        <v>8.3333333333333339</v>
      </c>
      <c r="BI780" s="18">
        <v>0</v>
      </c>
      <c r="BJ780" s="16">
        <v>0</v>
      </c>
      <c r="BK780" s="16">
        <v>0</v>
      </c>
      <c r="BL780" s="16">
        <f>IF(BM780&gt;0,1,0)</f>
        <v>0</v>
      </c>
      <c r="BM780" s="16">
        <f>SUM(BR780,BU780,BX780,CA780,CD780,CG780,CJ780,CM780,CP780)</f>
        <v>0</v>
      </c>
      <c r="BN780" s="16">
        <f>SUM(BW780,BZ780,CC780,CF780,CI780,CL780,CO780,CR780,BT780)</f>
        <v>0</v>
      </c>
      <c r="BO780" s="16">
        <f>IF(BP780&gt;0,1,0)</f>
        <v>0</v>
      </c>
      <c r="BP780" s="16">
        <f>SUM(BU780,BX780,CA780,CD780,BR780)</f>
        <v>0</v>
      </c>
      <c r="BQ780" s="16">
        <f>SUM(BZ780,CC780,CF780,BT780,BW780)</f>
        <v>0</v>
      </c>
      <c r="BR780" s="18">
        <v>0</v>
      </c>
      <c r="BS780" s="16">
        <v>0</v>
      </c>
      <c r="BT780" s="77">
        <f>BS780/AS780</f>
        <v>0</v>
      </c>
      <c r="BU780" s="18">
        <v>0</v>
      </c>
      <c r="BV780" s="16">
        <v>0</v>
      </c>
      <c r="BW780" s="18">
        <f>BV780/AS780</f>
        <v>0</v>
      </c>
      <c r="BX780" s="18">
        <v>0</v>
      </c>
      <c r="BY780" s="16">
        <v>0</v>
      </c>
      <c r="BZ780" s="16">
        <f>BY780/AS780</f>
        <v>0</v>
      </c>
      <c r="CA780" s="24">
        <v>0</v>
      </c>
      <c r="CB780" s="16">
        <v>0</v>
      </c>
      <c r="CC780" s="16">
        <v>0</v>
      </c>
      <c r="CD780" s="78">
        <v>0</v>
      </c>
      <c r="CE780" s="16">
        <v>0</v>
      </c>
      <c r="CF780" s="16">
        <v>0</v>
      </c>
      <c r="CP780" s="16" t="s">
        <v>123</v>
      </c>
      <c r="CQ780" s="16">
        <v>0</v>
      </c>
      <c r="CR780" s="16">
        <v>0</v>
      </c>
      <c r="CS780" s="18">
        <f>IF(CT780&gt;0,1,0)</f>
        <v>0</v>
      </c>
      <c r="CT780" s="25">
        <f>SUM(CW780,CZ780,DC780)</f>
        <v>0</v>
      </c>
      <c r="CU780" s="25"/>
      <c r="CV780" s="16">
        <v>0</v>
      </c>
      <c r="CW780" s="25">
        <v>0</v>
      </c>
      <c r="CX780" s="16">
        <v>0</v>
      </c>
      <c r="CY780" s="16">
        <v>0</v>
      </c>
      <c r="CZ780" s="18">
        <v>0</v>
      </c>
      <c r="DA780" s="16">
        <v>0</v>
      </c>
      <c r="DB780" s="16">
        <v>0</v>
      </c>
      <c r="DC780" s="18">
        <v>0</v>
      </c>
      <c r="DD780" s="16">
        <v>0</v>
      </c>
      <c r="DE780" s="16">
        <v>0</v>
      </c>
      <c r="DF780" s="16" t="e">
        <f>VLOOKUP(K780,'[3]RNA Seq summary tables'!$V$3:$V$99,1,FALSE)</f>
        <v>#N/A</v>
      </c>
      <c r="JP780" s="18"/>
      <c r="JQ780" s="18"/>
    </row>
    <row r="781" spans="1:288" x14ac:dyDescent="0.2">
      <c r="B781" s="16">
        <v>2016</v>
      </c>
      <c r="C781" s="37">
        <v>42593</v>
      </c>
      <c r="D781" s="37" t="str">
        <f>CONCATENATE(J781,"-",C781)</f>
        <v>949-42593</v>
      </c>
      <c r="E781" s="20" t="str">
        <f>CONCATENATE(T781,"-",U781,"-",C781)</f>
        <v>SP1-H4-42593</v>
      </c>
      <c r="F781" s="20" t="s">
        <v>227</v>
      </c>
      <c r="G781" s="20" t="s">
        <v>107</v>
      </c>
      <c r="H781" s="16" t="s">
        <v>230</v>
      </c>
      <c r="I781" s="16">
        <v>0</v>
      </c>
      <c r="J781" s="42">
        <v>949</v>
      </c>
      <c r="K781" s="42">
        <v>1544</v>
      </c>
      <c r="L781" s="18">
        <v>0</v>
      </c>
      <c r="M781" s="15">
        <f>VLOOKUP(K781,'[7]MLBS 2016 SNV-nem Coinfection d'!$C$1:$G$238,4,FALSE)</f>
        <v>0</v>
      </c>
      <c r="N781" s="15">
        <v>0</v>
      </c>
      <c r="O781" s="15" t="s">
        <v>214</v>
      </c>
      <c r="P781" s="25" t="s">
        <v>110</v>
      </c>
      <c r="Q781" s="16">
        <v>1</v>
      </c>
      <c r="R781" s="25">
        <v>28</v>
      </c>
      <c r="S781" s="25"/>
      <c r="T781" s="25" t="s">
        <v>140</v>
      </c>
      <c r="U781" s="25" t="s">
        <v>151</v>
      </c>
      <c r="V781" s="25" t="s">
        <v>142</v>
      </c>
      <c r="W781" s="18">
        <f>AI781/AG781</f>
        <v>1.0595238095238095</v>
      </c>
      <c r="X781" s="25" t="s">
        <v>115</v>
      </c>
      <c r="Y781" s="25" t="s">
        <v>110</v>
      </c>
      <c r="Z781" s="25">
        <v>3</v>
      </c>
      <c r="AA781" s="25"/>
      <c r="AB781" s="25"/>
      <c r="AC781" s="18"/>
      <c r="AD781" s="18"/>
      <c r="AE781" s="18" t="s">
        <v>116</v>
      </c>
      <c r="AF781" s="18" t="s">
        <v>116</v>
      </c>
      <c r="AG781" s="18">
        <f>AH781-AI781</f>
        <v>84</v>
      </c>
      <c r="AH781" s="18">
        <v>173</v>
      </c>
      <c r="AI781" s="18">
        <v>89</v>
      </c>
      <c r="AJ781" s="18"/>
      <c r="AK781" s="18">
        <v>17</v>
      </c>
      <c r="AL781" s="16">
        <v>0</v>
      </c>
      <c r="AM781" s="16">
        <v>0</v>
      </c>
      <c r="AN781" s="16">
        <v>0</v>
      </c>
      <c r="AO781" s="16">
        <f>IF(SUM(AL781:AN781)&gt;0,1,0)</f>
        <v>0</v>
      </c>
      <c r="AP781" s="16">
        <f>SUM(AL781:AN781)</f>
        <v>0</v>
      </c>
      <c r="AQ781" s="18"/>
      <c r="AR781" s="18">
        <v>0.378</v>
      </c>
      <c r="AS781" s="18">
        <v>0.378</v>
      </c>
      <c r="AT781" s="18" t="s">
        <v>212</v>
      </c>
      <c r="AU781" s="18"/>
      <c r="AV781" s="18"/>
      <c r="AW781" s="22">
        <v>1</v>
      </c>
      <c r="AX781" s="24">
        <v>1</v>
      </c>
      <c r="AY781" s="24">
        <f>263/0.378</f>
        <v>695.76719576719574</v>
      </c>
      <c r="AZ781" s="18">
        <v>0</v>
      </c>
      <c r="BA781" s="24">
        <v>0</v>
      </c>
      <c r="BB781" s="24">
        <v>0</v>
      </c>
      <c r="BC781" s="18">
        <v>0</v>
      </c>
      <c r="BD781" s="24">
        <v>0</v>
      </c>
      <c r="BE781" s="24">
        <v>0</v>
      </c>
      <c r="BF781" s="18">
        <v>0</v>
      </c>
      <c r="BG781" s="92">
        <v>0</v>
      </c>
      <c r="BH781" s="24">
        <v>0</v>
      </c>
      <c r="BI781" s="18">
        <v>0</v>
      </c>
      <c r="BJ781" s="24">
        <v>0</v>
      </c>
      <c r="BK781" s="24">
        <v>0</v>
      </c>
      <c r="BL781" s="16">
        <f>IF(BM781&gt;0,1,0)</f>
        <v>1</v>
      </c>
      <c r="BM781" s="16">
        <f>SUM(BR781,BU781,BX781,CA781,CD781,CG781,CJ781,CM781,CP781)</f>
        <v>1</v>
      </c>
      <c r="BN781" s="16">
        <f>SUM(BW781,BZ781,CC781,CF781,CI781,CL781,CO781,CR781,BT781)</f>
        <v>695.76719576719574</v>
      </c>
      <c r="BO781" s="16">
        <f>IF(BP781&gt;0,1,0)</f>
        <v>1</v>
      </c>
      <c r="BP781" s="16">
        <f>SUM(BU781,BX781,CA781,CD781,BR781)</f>
        <v>1</v>
      </c>
      <c r="BQ781" s="16">
        <f>SUM(BZ781,CC781,CF781,BT781,BW781)</f>
        <v>695.76719576719574</v>
      </c>
      <c r="BR781" s="18">
        <v>0</v>
      </c>
      <c r="BS781" s="24">
        <v>0</v>
      </c>
      <c r="BT781" s="77">
        <f>BS781/AS781</f>
        <v>0</v>
      </c>
      <c r="BU781" s="18">
        <v>0</v>
      </c>
      <c r="BV781" s="24">
        <v>0</v>
      </c>
      <c r="BW781" s="18">
        <f>BV781/AS781</f>
        <v>0</v>
      </c>
      <c r="BX781" s="24">
        <v>1</v>
      </c>
      <c r="BY781" s="24">
        <v>263</v>
      </c>
      <c r="BZ781" s="16">
        <f>BY781/AS781</f>
        <v>695.76719576719574</v>
      </c>
      <c r="CA781" s="24">
        <v>0</v>
      </c>
      <c r="CB781" s="24">
        <v>0</v>
      </c>
      <c r="CC781" s="24">
        <v>0</v>
      </c>
      <c r="CD781" s="78">
        <v>0</v>
      </c>
      <c r="CE781" s="24">
        <v>0</v>
      </c>
      <c r="CF781" s="24">
        <v>0</v>
      </c>
      <c r="CG781" s="24"/>
      <c r="CH781" s="24"/>
      <c r="CI781" s="24"/>
      <c r="CJ781" s="24"/>
      <c r="CK781" s="24"/>
      <c r="CL781" s="24"/>
      <c r="CM781" s="24"/>
      <c r="CN781" s="24"/>
      <c r="CO781" s="24"/>
      <c r="CP781" s="24" t="s">
        <v>123</v>
      </c>
      <c r="CQ781" s="24">
        <v>0</v>
      </c>
      <c r="CR781" s="24">
        <v>0</v>
      </c>
      <c r="CS781" s="18">
        <f>IF(CT781&gt;0,1,0)</f>
        <v>0</v>
      </c>
      <c r="CT781" s="25">
        <f>SUM(CW781,CZ781,DC781)</f>
        <v>0</v>
      </c>
      <c r="CU781" s="25"/>
      <c r="CV781" s="24">
        <v>0</v>
      </c>
      <c r="CW781" s="25">
        <v>0</v>
      </c>
      <c r="CX781" s="24">
        <v>0</v>
      </c>
      <c r="CY781" s="24">
        <v>0</v>
      </c>
      <c r="CZ781" s="18">
        <v>0</v>
      </c>
      <c r="DA781" s="24">
        <v>0</v>
      </c>
      <c r="DB781" s="24">
        <v>0</v>
      </c>
      <c r="DC781" s="18">
        <v>0</v>
      </c>
      <c r="DD781" s="24">
        <v>0</v>
      </c>
      <c r="DE781" s="24">
        <v>0</v>
      </c>
      <c r="DF781" s="16" t="e">
        <f>VLOOKUP(K781,'[3]RNA Seq summary tables'!$V$3:$V$99,1,FALSE)</f>
        <v>#N/A</v>
      </c>
      <c r="DI781" s="18"/>
      <c r="DJ781" s="18"/>
      <c r="DK781" s="18"/>
      <c r="DL781" s="18"/>
      <c r="DM781" s="18"/>
      <c r="DN781" s="18"/>
      <c r="DO781" s="18"/>
      <c r="DP781" s="18"/>
      <c r="DQ781" s="18"/>
      <c r="DR781" s="18"/>
      <c r="DS781" s="18"/>
    </row>
    <row r="782" spans="1:288" x14ac:dyDescent="0.2">
      <c r="B782" s="16">
        <v>2017</v>
      </c>
      <c r="C782" s="20">
        <v>42939</v>
      </c>
      <c r="D782" s="20" t="str">
        <f>CONCATENATE(J782,"-",C782)</f>
        <v>949-42939</v>
      </c>
      <c r="E782" s="20" t="str">
        <f>CONCATENATE(T782,"-",U782,"-",C782)</f>
        <v>SP1-E6-42939</v>
      </c>
      <c r="F782" s="20" t="s">
        <v>106</v>
      </c>
      <c r="G782" s="20" t="s">
        <v>107</v>
      </c>
      <c r="H782" s="16" t="s">
        <v>256</v>
      </c>
      <c r="I782" s="16">
        <v>0</v>
      </c>
      <c r="J782" s="15">
        <v>949</v>
      </c>
      <c r="K782" s="15">
        <v>1957</v>
      </c>
      <c r="L782" s="18">
        <v>0</v>
      </c>
      <c r="M782" s="21">
        <f>VLOOKUP($K782,'[4]blood tubes 2017'!$D$1:$L$647,8,FALSE)</f>
        <v>0</v>
      </c>
      <c r="N782" s="15">
        <v>0</v>
      </c>
      <c r="O782" s="15" t="s">
        <v>214</v>
      </c>
      <c r="P782" s="23" t="s">
        <v>110</v>
      </c>
      <c r="Q782" s="28"/>
      <c r="R782" s="23">
        <v>346</v>
      </c>
      <c r="S782" s="23"/>
      <c r="T782" s="25" t="s">
        <v>140</v>
      </c>
      <c r="U782" s="25" t="s">
        <v>232</v>
      </c>
      <c r="V782" s="25" t="s">
        <v>142</v>
      </c>
      <c r="W782" s="18">
        <f>AI782/AG782</f>
        <v>1.0588235294117647</v>
      </c>
      <c r="X782" s="23" t="s">
        <v>115</v>
      </c>
      <c r="Y782" s="23" t="s">
        <v>110</v>
      </c>
      <c r="Z782" s="23">
        <v>3</v>
      </c>
      <c r="AA782" s="23"/>
      <c r="AB782" s="23"/>
      <c r="AE782" s="16" t="s">
        <v>123</v>
      </c>
      <c r="AF782" s="16" t="s">
        <v>123</v>
      </c>
      <c r="AG782" s="16">
        <f>AH782-AI782</f>
        <v>85</v>
      </c>
      <c r="AH782" s="16">
        <v>175</v>
      </c>
      <c r="AI782" s="16">
        <v>90</v>
      </c>
      <c r="AK782" s="16">
        <v>18</v>
      </c>
      <c r="AL782" s="16">
        <v>1</v>
      </c>
      <c r="AM782" s="16">
        <v>0</v>
      </c>
      <c r="AN782" s="16">
        <v>0</v>
      </c>
      <c r="AO782" s="16">
        <v>1</v>
      </c>
      <c r="AP782" s="16">
        <f>SUM(AL782:AN782)</f>
        <v>1</v>
      </c>
      <c r="AQ782" s="16">
        <v>1.774</v>
      </c>
      <c r="AR782" s="16">
        <f>AP782-1.472</f>
        <v>-0.47199999999999998</v>
      </c>
      <c r="AS782" s="16">
        <f>AQ782-1.472</f>
        <v>0.30200000000000005</v>
      </c>
      <c r="AT782" s="16" t="str">
        <f>VLOOKUP(K782,'[5]FECs - good data'!$C$1:$P$575,13,FALSE)</f>
        <v>NB</v>
      </c>
      <c r="AW782" s="18">
        <f>IF(AX782&gt;0,1,0)</f>
        <v>1</v>
      </c>
      <c r="AX782" s="18">
        <f>SUM(BA782,BM782,CT782)</f>
        <v>1</v>
      </c>
      <c r="AY782" s="18">
        <f>SUM(BB782,BN782,CV782)</f>
        <v>33.11258278145695</v>
      </c>
      <c r="AZ782" s="18">
        <f>IF(BA782&gt;0,1,0)</f>
        <v>1</v>
      </c>
      <c r="BA782" s="18">
        <f>SUM(BC782,BF782,BI782)</f>
        <v>1</v>
      </c>
      <c r="BB782" s="18">
        <f>SUM(BE782,BH782,BK782)</f>
        <v>33.11258278145695</v>
      </c>
      <c r="BC782" s="18">
        <f>IF(BD782&gt;0,1,0)</f>
        <v>0</v>
      </c>
      <c r="BD782" s="18">
        <f>VLOOKUP($K782,'[5]FECs - good data'!$C$1:$Z$574,14,FALSE)</f>
        <v>0</v>
      </c>
      <c r="BE782" s="16">
        <f>BD782/AS782</f>
        <v>0</v>
      </c>
      <c r="BF782" s="16">
        <f>IF(BG782&gt;0,1,0)</f>
        <v>1</v>
      </c>
      <c r="BG782" s="77">
        <f>VLOOKUP($K782,'[5]FECs - good data'!$C$1:$Z$574,15,FALSE)</f>
        <v>10</v>
      </c>
      <c r="BH782" s="16">
        <f>BG782/AS782</f>
        <v>33.11258278145695</v>
      </c>
      <c r="BI782" s="16">
        <f>IF(BJ782&gt;0,1,0)</f>
        <v>0</v>
      </c>
      <c r="BJ782" s="16">
        <f>VLOOKUP($K782,'[5]FECs - good data'!$C$1:$Z$574,16,FALSE)</f>
        <v>0</v>
      </c>
      <c r="BK782" s="16">
        <f>BJ782/AS782</f>
        <v>0</v>
      </c>
      <c r="BL782" s="16">
        <f>IF(BM782&gt;0,1,0)</f>
        <v>0</v>
      </c>
      <c r="BM782" s="16">
        <f>SUM(BR782,BU782,BX782,CA782,CD782,CG782,CJ782,CM782,CP782)</f>
        <v>0</v>
      </c>
      <c r="BN782" s="16">
        <f>SUM(BW782,BZ782,CC782,CF782,CI782,CL782,CO782,CR782,BT782)</f>
        <v>0</v>
      </c>
      <c r="BO782" s="16">
        <f>IF(BP782&gt;0,1,0)</f>
        <v>0</v>
      </c>
      <c r="BP782" s="16">
        <f>SUM(BU782,BX782,CA782,CD782,BR782)</f>
        <v>0</v>
      </c>
      <c r="BQ782" s="16">
        <f>SUM(BZ782,CC782,CF782,BT782,BW782)</f>
        <v>0</v>
      </c>
      <c r="BR782" s="16">
        <f>IF(BS782&gt;0,1,0)</f>
        <v>0</v>
      </c>
      <c r="BS782" s="16">
        <f>VLOOKUP($K782,'[5]FECs - good data'!$C$1:$Z$574,17,FALSE)</f>
        <v>0</v>
      </c>
      <c r="BT782" s="77">
        <f>BS782/AS782</f>
        <v>0</v>
      </c>
      <c r="BU782" s="16">
        <f>IF(BV782&gt;0,1,0)</f>
        <v>0</v>
      </c>
      <c r="BV782" s="16">
        <f>VLOOKUP($K782,'[5]FECs - good data'!$C$1:$Z$574,18,FALSE)</f>
        <v>0</v>
      </c>
      <c r="BW782" s="16">
        <f>BV782/AS782</f>
        <v>0</v>
      </c>
      <c r="BX782" s="16">
        <f>IF(BY782&gt;0,1,0)</f>
        <v>0</v>
      </c>
      <c r="BY782" s="16">
        <f>VLOOKUP($K782,'[5]FECs - good data'!$C$1:$Z$574,19,FALSE)</f>
        <v>0</v>
      </c>
      <c r="BZ782" s="16">
        <f>BY782/AS782</f>
        <v>0</v>
      </c>
      <c r="CA782" s="16">
        <f>IF(CB782&gt;0,1,0)</f>
        <v>0</v>
      </c>
      <c r="CB782" s="16">
        <f>VLOOKUP($K782,'[5]FECs - good data'!$C$1:$Z$574,20,FALSE)</f>
        <v>0</v>
      </c>
      <c r="CC782" s="16">
        <f>CB782/AS782</f>
        <v>0</v>
      </c>
      <c r="CD782" s="77">
        <f>IF(CE782&gt;0,1,0)</f>
        <v>0</v>
      </c>
      <c r="CE782" s="16">
        <f>VLOOKUP($K782,'[5]FECs - good data'!$C$1:$Z$574,21,FALSE)</f>
        <v>0</v>
      </c>
      <c r="CF782" s="16">
        <f>CE782/AS782</f>
        <v>0</v>
      </c>
      <c r="CG782" s="16">
        <f>IF(CH782&gt;0,1,0)</f>
        <v>0</v>
      </c>
      <c r="CH782" s="16">
        <f>VLOOKUP($K782,'[5]FECs - good data'!$C$1:$Z$574,22,FALSE)</f>
        <v>0</v>
      </c>
      <c r="CI782" s="16">
        <f>CH782/AS782</f>
        <v>0</v>
      </c>
      <c r="CJ782" s="16">
        <f>IF(CK782&gt;0,1,0)</f>
        <v>0</v>
      </c>
      <c r="CK782" s="16">
        <f>VLOOKUP($K782,'[5]FECs - good data'!$C$1:$Z$674,24,FALSE)</f>
        <v>0</v>
      </c>
      <c r="CL782" s="16">
        <f>CK782/AS782</f>
        <v>0</v>
      </c>
      <c r="CS782" s="16">
        <f>IF(CT782&gt;0,1,0)</f>
        <v>0</v>
      </c>
      <c r="CT782" s="16">
        <f>SUM(CW782+CZ782,DC782)</f>
        <v>0</v>
      </c>
      <c r="CV782" s="16">
        <f>SUM(CY782,DB782,DE782)</f>
        <v>0</v>
      </c>
      <c r="CW782" s="16">
        <f>IF(CX782&gt;0,1,0)</f>
        <v>0</v>
      </c>
      <c r="CX782" s="16">
        <f>VLOOKUP($K782,'[5]FECs - good data'!$C$1:$Z$574,22,FALSE)</f>
        <v>0</v>
      </c>
      <c r="CY782" s="16">
        <f>CX782/AS782</f>
        <v>0</v>
      </c>
      <c r="CZ782" s="16">
        <f>IF(DA782&gt;0,1,0)</f>
        <v>0</v>
      </c>
      <c r="DA782" s="16">
        <f>VLOOKUP($K782,'[5]FECs - good data'!$C$1:$Z$5982,23,FALSE)</f>
        <v>0</v>
      </c>
      <c r="DB782" s="16">
        <f>DA782/AS782</f>
        <v>0</v>
      </c>
      <c r="DF782" s="16" t="e">
        <f>VLOOKUP(K782,'[3]RNA Seq summary tables'!$V$3:$V$99,1,FALSE)</f>
        <v>#N/A</v>
      </c>
      <c r="DG782" s="16">
        <v>1</v>
      </c>
      <c r="DH782" s="16" t="str">
        <f>VLOOKUP(D782,'[6]workflow 3.2018'!$A$1:$S$237,2,FALSE)</f>
        <v>2017MLBS_59</v>
      </c>
    </row>
    <row r="783" spans="1:288" x14ac:dyDescent="0.2">
      <c r="B783" s="16">
        <v>2016</v>
      </c>
      <c r="C783" s="20">
        <v>42530</v>
      </c>
      <c r="D783" s="20" t="str">
        <f>CONCATENATE(J783,"-",C783)</f>
        <v>956-42530</v>
      </c>
      <c r="E783" s="20" t="str">
        <f>CONCATENATE(T783,"-",U783,"-",C783)</f>
        <v>PO2-C2-42530</v>
      </c>
      <c r="F783" s="20" t="s">
        <v>106</v>
      </c>
      <c r="G783" s="20" t="s">
        <v>107</v>
      </c>
      <c r="H783" s="16" t="s">
        <v>125</v>
      </c>
      <c r="I783" s="16">
        <v>0</v>
      </c>
      <c r="J783" s="36">
        <v>956</v>
      </c>
      <c r="K783" s="36">
        <v>1421</v>
      </c>
      <c r="L783" s="16">
        <v>0</v>
      </c>
      <c r="M783" s="42">
        <f>VLOOKUP(K783,'[7]MLBS 2016 SNV-nem Coinfection d'!$C$1:$G$238,4,FALSE)</f>
        <v>0</v>
      </c>
      <c r="N783" s="42">
        <v>0</v>
      </c>
      <c r="O783" s="15" t="s">
        <v>214</v>
      </c>
      <c r="P783" s="16" t="s">
        <v>308</v>
      </c>
      <c r="Q783" s="18">
        <v>0</v>
      </c>
      <c r="R783" s="18" t="s">
        <v>111</v>
      </c>
      <c r="S783" s="18"/>
      <c r="T783" s="18" t="s">
        <v>127</v>
      </c>
      <c r="U783" s="18" t="s">
        <v>162</v>
      </c>
      <c r="V783" s="18" t="s">
        <v>114</v>
      </c>
      <c r="W783" s="16">
        <f>AI783/AG783</f>
        <v>0.88607594936708856</v>
      </c>
      <c r="X783" s="16" t="s">
        <v>115</v>
      </c>
      <c r="Y783" s="16" t="s">
        <v>110</v>
      </c>
      <c r="Z783" s="16">
        <v>3</v>
      </c>
      <c r="AE783" s="16" t="s">
        <v>123</v>
      </c>
      <c r="AF783" s="16" t="s">
        <v>123</v>
      </c>
      <c r="AG783" s="16">
        <f>AH783-AI783</f>
        <v>79</v>
      </c>
      <c r="AH783" s="16">
        <v>149</v>
      </c>
      <c r="AI783" s="16">
        <v>70</v>
      </c>
      <c r="AK783" s="16">
        <v>16</v>
      </c>
      <c r="AL783" s="16">
        <v>0</v>
      </c>
      <c r="AM783" s="16">
        <v>0</v>
      </c>
      <c r="AN783" s="16">
        <v>0</v>
      </c>
      <c r="AO783" s="16">
        <f>IF(SUM(AL783:AN783)&gt;0,1,0)</f>
        <v>0</v>
      </c>
      <c r="AP783" s="16">
        <f>SUM(AL783:AN783)</f>
        <v>0</v>
      </c>
      <c r="AQ783" s="16">
        <f>1.477+0.138</f>
        <v>1.6150000000000002</v>
      </c>
      <c r="AR783" s="16">
        <v>0.13800000000000001</v>
      </c>
      <c r="AS783" s="16">
        <v>0.13800000000000001</v>
      </c>
      <c r="AT783" s="16" t="s">
        <v>124</v>
      </c>
      <c r="AW783" s="22">
        <v>1</v>
      </c>
      <c r="AY783" s="16">
        <f>20/AS783</f>
        <v>144.92753623188403</v>
      </c>
      <c r="AZ783" s="18">
        <v>1</v>
      </c>
      <c r="BB783" s="16">
        <f>AY783</f>
        <v>144.92753623188403</v>
      </c>
      <c r="BC783" s="16">
        <v>1</v>
      </c>
      <c r="BD783" s="16">
        <v>9</v>
      </c>
      <c r="BE783" s="16">
        <f>9/AS783</f>
        <v>65.217391304347814</v>
      </c>
      <c r="BF783" s="18">
        <v>1</v>
      </c>
      <c r="BG783" s="77">
        <v>9</v>
      </c>
      <c r="BH783" s="16">
        <f>9/AS783</f>
        <v>65.217391304347814</v>
      </c>
      <c r="BI783" s="16">
        <v>1</v>
      </c>
      <c r="BJ783" s="16">
        <v>2</v>
      </c>
      <c r="BK783" s="16">
        <f>2/AS783</f>
        <v>14.492753623188404</v>
      </c>
      <c r="BL783" s="16">
        <f>IF(BM783&gt;0,1,0)</f>
        <v>0</v>
      </c>
      <c r="BM783" s="16">
        <f>SUM(BR783,BU783,BX783,CA783,CD783,CG783,CJ783,CM783,CP783)</f>
        <v>0</v>
      </c>
      <c r="BN783" s="16">
        <f>SUM(BW783,BZ783,CC783,CF783,CI783,CL783,CO783,CR783,BT783)</f>
        <v>0</v>
      </c>
      <c r="BO783" s="16">
        <f>IF(BP783&gt;0,1,0)</f>
        <v>0</v>
      </c>
      <c r="BP783" s="16">
        <f>SUM(BU783,BX783,CA783,CD783,BR783)</f>
        <v>0</v>
      </c>
      <c r="BQ783" s="16">
        <f>SUM(BZ783,CC783,CF783,BT783,BW783)</f>
        <v>0</v>
      </c>
      <c r="BR783" s="18">
        <v>0</v>
      </c>
      <c r="BS783" s="16">
        <v>0</v>
      </c>
      <c r="BT783" s="77">
        <f>BS783/AS783</f>
        <v>0</v>
      </c>
      <c r="BU783" s="18">
        <v>0</v>
      </c>
      <c r="BV783" s="16">
        <v>0</v>
      </c>
      <c r="BW783" s="18">
        <f>BV783/AS783</f>
        <v>0</v>
      </c>
      <c r="BX783" s="18">
        <v>0</v>
      </c>
      <c r="BY783" s="16">
        <v>0</v>
      </c>
      <c r="BZ783" s="16">
        <f>BY783/AS783</f>
        <v>0</v>
      </c>
      <c r="CA783" s="24">
        <v>0</v>
      </c>
      <c r="CB783" s="16">
        <v>0</v>
      </c>
      <c r="CC783" s="16">
        <v>0</v>
      </c>
      <c r="CD783" s="78">
        <v>0</v>
      </c>
      <c r="CE783" s="16">
        <v>0</v>
      </c>
      <c r="CF783" s="16">
        <v>0</v>
      </c>
      <c r="CP783" s="16" t="s">
        <v>123</v>
      </c>
      <c r="CQ783" s="16">
        <v>0</v>
      </c>
      <c r="CR783" s="16">
        <v>0</v>
      </c>
      <c r="CS783" s="18">
        <f>IF(CT783&gt;0,1,0)</f>
        <v>0</v>
      </c>
      <c r="CT783" s="25">
        <f>SUM(CW783,CZ783,DC783)</f>
        <v>0</v>
      </c>
      <c r="CU783" s="25"/>
      <c r="CV783" s="16">
        <v>0</v>
      </c>
      <c r="CW783" s="25">
        <v>0</v>
      </c>
      <c r="CX783" s="16">
        <v>0</v>
      </c>
      <c r="CY783" s="16">
        <v>0</v>
      </c>
      <c r="CZ783" s="18">
        <v>0</v>
      </c>
      <c r="DA783" s="16">
        <v>0</v>
      </c>
      <c r="DB783" s="16">
        <v>0</v>
      </c>
      <c r="DC783" s="18">
        <v>0</v>
      </c>
      <c r="DD783" s="16">
        <v>0</v>
      </c>
      <c r="DE783" s="16">
        <v>0</v>
      </c>
      <c r="DF783" s="16" t="e">
        <f>VLOOKUP(K783,'[3]RNA Seq summary tables'!$V$3:$V$99,1,FALSE)</f>
        <v>#N/A</v>
      </c>
      <c r="JO783" s="18"/>
    </row>
    <row r="784" spans="1:288" x14ac:dyDescent="0.2">
      <c r="B784" s="16">
        <v>2016</v>
      </c>
      <c r="C784" s="20">
        <v>42546</v>
      </c>
      <c r="D784" s="20" t="str">
        <f>CONCATENATE(J784,"-",C784)</f>
        <v>956-42546</v>
      </c>
      <c r="E784" s="20" t="str">
        <f>CONCATENATE(T784,"-",U784,"-",C784)</f>
        <v>PO2-D2-42546</v>
      </c>
      <c r="F784" s="20" t="s">
        <v>106</v>
      </c>
      <c r="G784" s="20" t="s">
        <v>107</v>
      </c>
      <c r="I784" s="16">
        <v>0</v>
      </c>
      <c r="J784" s="21">
        <v>956</v>
      </c>
      <c r="K784" s="21">
        <v>1414</v>
      </c>
      <c r="L784" s="18">
        <v>0</v>
      </c>
      <c r="M784" s="15">
        <f>VLOOKUP(K784,'[7]MLBS 2016 SNV-nem Coinfection d'!$C$1:$G$238,4,FALSE)</f>
        <v>0</v>
      </c>
      <c r="N784" s="15">
        <v>0</v>
      </c>
      <c r="O784" s="15" t="s">
        <v>214</v>
      </c>
      <c r="P784" s="16" t="s">
        <v>110</v>
      </c>
      <c r="Q784" s="16">
        <v>1</v>
      </c>
      <c r="R784" s="16">
        <v>16</v>
      </c>
      <c r="T784" s="18" t="s">
        <v>127</v>
      </c>
      <c r="U784" s="18" t="s">
        <v>198</v>
      </c>
      <c r="V784" s="18" t="s">
        <v>114</v>
      </c>
      <c r="W784" s="18">
        <f>AI784/AG784</f>
        <v>0.91249999999999998</v>
      </c>
      <c r="X784" s="16" t="s">
        <v>115</v>
      </c>
      <c r="Y784" s="16" t="s">
        <v>110</v>
      </c>
      <c r="Z784" s="16">
        <v>3</v>
      </c>
      <c r="AE784" s="16" t="s">
        <v>123</v>
      </c>
      <c r="AF784" s="16" t="s">
        <v>123</v>
      </c>
      <c r="AG784" s="16">
        <f>AH784-AI784</f>
        <v>80</v>
      </c>
      <c r="AH784" s="16">
        <v>153</v>
      </c>
      <c r="AI784" s="16">
        <v>73</v>
      </c>
      <c r="AK784" s="16">
        <v>17.5</v>
      </c>
      <c r="AL784" s="16">
        <v>0</v>
      </c>
      <c r="AM784" s="16">
        <v>0</v>
      </c>
      <c r="AN784" s="16">
        <v>0</v>
      </c>
      <c r="AO784" s="16">
        <f>IF(SUM(AL784:AN784)&gt;0,1,0)</f>
        <v>0</v>
      </c>
      <c r="AP784" s="16">
        <f>SUM(AL784:AN784)</f>
        <v>0</v>
      </c>
      <c r="AQ784" s="16">
        <v>1.6120000000000001</v>
      </c>
      <c r="AR784" s="16">
        <v>0.13500000000000001</v>
      </c>
      <c r="AS784" s="16">
        <v>0.13500000000000001</v>
      </c>
      <c r="AT784" s="16" t="s">
        <v>124</v>
      </c>
      <c r="AW784" s="24">
        <v>1</v>
      </c>
      <c r="AX784" s="18"/>
      <c r="AY784" s="18">
        <f>(101+31+7+2)/AS784</f>
        <v>1044.4444444444443</v>
      </c>
      <c r="AZ784" s="18">
        <v>1</v>
      </c>
      <c r="BA784" s="18"/>
      <c r="BB784" s="18">
        <f>(101+31+7)/AS784</f>
        <v>1029.6296296296296</v>
      </c>
      <c r="BC784" s="18">
        <v>1</v>
      </c>
      <c r="BD784" s="18">
        <v>101</v>
      </c>
      <c r="BE784" s="18">
        <f>101/AS784</f>
        <v>748.14814814814815</v>
      </c>
      <c r="BF784" s="18">
        <v>1</v>
      </c>
      <c r="BG784" s="77">
        <v>31</v>
      </c>
      <c r="BH784" s="18">
        <f>31/AS784</f>
        <v>229.62962962962962</v>
      </c>
      <c r="BI784" s="18">
        <v>1</v>
      </c>
      <c r="BJ784" s="18">
        <v>7</v>
      </c>
      <c r="BK784" s="18">
        <f>7/AS784</f>
        <v>51.851851851851848</v>
      </c>
      <c r="BL784" s="16">
        <f>IF(BM784&gt;0,1,0)</f>
        <v>1</v>
      </c>
      <c r="BM784" s="16">
        <f>SUM(BR784,BU784,BX784,CA784,CD784,CG784,CJ784,CM784,CP784)</f>
        <v>1</v>
      </c>
      <c r="BN784" s="18">
        <f>SUM(BW784,BZ784,CC784,CF784,CI784,CL784,CO784,CR784,BT784)</f>
        <v>7.4074074074074066</v>
      </c>
      <c r="BO784" s="16">
        <f>IF(BP784&gt;0,1,0)</f>
        <v>1</v>
      </c>
      <c r="BP784" s="16">
        <f>SUM(BU784,BX784,CA784,CD784,BR784)</f>
        <v>1</v>
      </c>
      <c r="BQ784" s="16">
        <f>SUM(BZ784,CC784,CF784,BT784,BW784)</f>
        <v>7.4074074074074066</v>
      </c>
      <c r="BR784" s="18">
        <v>0</v>
      </c>
      <c r="BS784" s="18">
        <v>0</v>
      </c>
      <c r="BT784" s="78">
        <f>BS784/AS784</f>
        <v>0</v>
      </c>
      <c r="BU784" s="18">
        <v>0</v>
      </c>
      <c r="BV784" s="18">
        <v>0</v>
      </c>
      <c r="BW784" s="18">
        <f>BV784/AS784</f>
        <v>0</v>
      </c>
      <c r="BX784" s="24">
        <v>0</v>
      </c>
      <c r="BY784" s="18">
        <v>0</v>
      </c>
      <c r="BZ784" s="18">
        <f>BY784/AS784</f>
        <v>0</v>
      </c>
      <c r="CA784" s="24">
        <v>1</v>
      </c>
      <c r="CB784" s="18">
        <v>1</v>
      </c>
      <c r="CC784" s="18">
        <f>1/AS784</f>
        <v>7.4074074074074066</v>
      </c>
      <c r="CD784" s="78">
        <v>0</v>
      </c>
      <c r="CE784" s="18">
        <v>0</v>
      </c>
      <c r="CF784" s="18">
        <v>0</v>
      </c>
      <c r="CG784" s="18"/>
      <c r="CH784" s="18"/>
      <c r="CI784" s="18"/>
      <c r="CJ784" s="18"/>
      <c r="CK784" s="18"/>
      <c r="CL784" s="18"/>
      <c r="CM784" s="18"/>
      <c r="CN784" s="18"/>
      <c r="CO784" s="18"/>
      <c r="CP784" s="18" t="s">
        <v>123</v>
      </c>
      <c r="CQ784" s="18">
        <v>0</v>
      </c>
      <c r="CR784" s="18">
        <v>0</v>
      </c>
      <c r="CS784" s="18">
        <f>IF(CT784&gt;0,1,0)</f>
        <v>1</v>
      </c>
      <c r="CT784" s="25">
        <f>SUM(CW784,CZ784,DC784)</f>
        <v>1</v>
      </c>
      <c r="CU784" s="25"/>
      <c r="CV784" s="18">
        <f>1/AS784</f>
        <v>7.4074074074074066</v>
      </c>
      <c r="CW784" s="24">
        <v>1</v>
      </c>
      <c r="CX784" s="18">
        <v>1</v>
      </c>
      <c r="CY784" s="18">
        <f>1/AS784</f>
        <v>7.4074074074074066</v>
      </c>
      <c r="CZ784" s="18">
        <v>0</v>
      </c>
      <c r="DA784" s="18">
        <v>0</v>
      </c>
      <c r="DB784" s="18">
        <v>0</v>
      </c>
      <c r="DC784" s="18">
        <v>0</v>
      </c>
      <c r="DD784" s="18">
        <v>0</v>
      </c>
      <c r="DE784" s="18">
        <v>0</v>
      </c>
      <c r="DF784" s="16" t="e">
        <f>VLOOKUP(K784,'[3]RNA Seq summary tables'!$V$3:$V$99,1,FALSE)</f>
        <v>#N/A</v>
      </c>
      <c r="DI784" s="18"/>
      <c r="DJ784" s="18"/>
      <c r="DK784" s="18"/>
      <c r="DL784" s="18"/>
      <c r="DM784" s="18"/>
      <c r="DN784" s="18"/>
      <c r="DO784" s="18"/>
      <c r="DP784" s="18"/>
      <c r="DQ784" s="18"/>
      <c r="DR784" s="18"/>
      <c r="DS784" s="18"/>
    </row>
    <row r="785" spans="1:288" x14ac:dyDescent="0.2">
      <c r="B785" s="16">
        <v>2016</v>
      </c>
      <c r="C785" s="43">
        <v>42559</v>
      </c>
      <c r="D785" s="43" t="str">
        <f>CONCATENATE(J785,"-",C785)</f>
        <v>956-42559</v>
      </c>
      <c r="E785" s="20" t="str">
        <f>CONCATENATE(T785,"-",U785,"-",C785)</f>
        <v>PO2-G2-42559</v>
      </c>
      <c r="F785" s="20" t="s">
        <v>106</v>
      </c>
      <c r="G785" s="43" t="s">
        <v>107</v>
      </c>
      <c r="H785" s="23"/>
      <c r="I785" s="16">
        <v>0</v>
      </c>
      <c r="J785" s="15">
        <v>956</v>
      </c>
      <c r="K785" s="15">
        <v>1470</v>
      </c>
      <c r="L785" s="18">
        <v>0</v>
      </c>
      <c r="M785" s="15">
        <f>VLOOKUP(K785,'[7]MLBS 2016 SNV-nem Coinfection d'!$C$1:$G$238,4,FALSE)</f>
        <v>0</v>
      </c>
      <c r="N785" s="15">
        <v>0</v>
      </c>
      <c r="O785" s="15" t="s">
        <v>214</v>
      </c>
      <c r="P785" s="23" t="s">
        <v>110</v>
      </c>
      <c r="Q785" s="16">
        <v>1</v>
      </c>
      <c r="R785" s="23">
        <v>13</v>
      </c>
      <c r="S785" s="23"/>
      <c r="T785" s="23" t="s">
        <v>127</v>
      </c>
      <c r="U785" s="23" t="s">
        <v>128</v>
      </c>
      <c r="V785" s="23" t="s">
        <v>114</v>
      </c>
      <c r="W785" s="16">
        <f>AI785/AG785</f>
        <v>0.85057471264367812</v>
      </c>
      <c r="X785" s="23" t="s">
        <v>115</v>
      </c>
      <c r="Y785" s="23" t="s">
        <v>110</v>
      </c>
      <c r="Z785" s="23">
        <v>5</v>
      </c>
      <c r="AA785" s="23"/>
      <c r="AB785" s="23"/>
      <c r="AC785" s="23"/>
      <c r="AD785" s="23"/>
      <c r="AE785" s="23" t="s">
        <v>116</v>
      </c>
      <c r="AF785" s="23" t="s">
        <v>116</v>
      </c>
      <c r="AG785" s="23">
        <f>AH785-AI785</f>
        <v>87</v>
      </c>
      <c r="AH785" s="23">
        <v>161</v>
      </c>
      <c r="AI785" s="23">
        <v>74</v>
      </c>
      <c r="AJ785" s="23"/>
      <c r="AK785" s="23">
        <v>19.5</v>
      </c>
      <c r="AL785" s="23">
        <v>0</v>
      </c>
      <c r="AM785" s="23">
        <v>0</v>
      </c>
      <c r="AN785" s="23">
        <v>0</v>
      </c>
      <c r="AO785" s="23">
        <f>IF(SUM(AL785:AN785)&gt;0,1,0)</f>
        <v>0</v>
      </c>
      <c r="AP785" s="23">
        <f>SUM(AL785:AN785)</f>
        <v>0</v>
      </c>
      <c r="AQ785" s="23">
        <v>1.8540000000000001</v>
      </c>
      <c r="AR785" s="23">
        <v>0.33700000000000002</v>
      </c>
      <c r="AS785" s="23">
        <v>0.33700000000000002</v>
      </c>
      <c r="AT785" s="23" t="s">
        <v>124</v>
      </c>
      <c r="AU785" s="23"/>
      <c r="AV785" s="23"/>
      <c r="AW785" s="50">
        <v>1</v>
      </c>
      <c r="AX785" s="23">
        <v>3</v>
      </c>
      <c r="AY785" s="23">
        <f>(104+306+12)/AS785</f>
        <v>1252.2255192878338</v>
      </c>
      <c r="AZ785" s="18">
        <v>1</v>
      </c>
      <c r="BA785" s="23">
        <v>2</v>
      </c>
      <c r="BB785" s="23">
        <f>AY785</f>
        <v>1252.2255192878338</v>
      </c>
      <c r="BC785" s="16">
        <v>1</v>
      </c>
      <c r="BD785" s="23">
        <v>104</v>
      </c>
      <c r="BE785" s="23">
        <f>104/AS785</f>
        <v>308.60534124629078</v>
      </c>
      <c r="BF785" s="18">
        <v>1</v>
      </c>
      <c r="BG785" s="77">
        <v>306</v>
      </c>
      <c r="BH785" s="23">
        <f>306/AS785</f>
        <v>908.01186943620178</v>
      </c>
      <c r="BI785" s="16">
        <v>1</v>
      </c>
      <c r="BJ785" s="23">
        <v>12</v>
      </c>
      <c r="BK785" s="23">
        <f>12/AS785</f>
        <v>35.608308605341243</v>
      </c>
      <c r="BL785" s="16">
        <f>IF(BM785&gt;0,1,0)</f>
        <v>0</v>
      </c>
      <c r="BM785" s="16">
        <f>SUM(BR785,BU785,BX785,CA785,CD785,CG785,CJ785,CM785,CP785)</f>
        <v>0</v>
      </c>
      <c r="BN785" s="16">
        <f>SUM(BW785,BZ785,CC785,CF785,CI785,CL785,CO785,CR785,BT785)</f>
        <v>0</v>
      </c>
      <c r="BO785" s="16">
        <f>IF(BP785&gt;0,1,0)</f>
        <v>0</v>
      </c>
      <c r="BP785" s="16">
        <f>SUM(BU785,BX785,CA785,CD785,BR785)</f>
        <v>0</v>
      </c>
      <c r="BQ785" s="16">
        <f>SUM(BZ785,CC785,CF785,BT785,BW785)</f>
        <v>0</v>
      </c>
      <c r="BR785" s="18">
        <v>0</v>
      </c>
      <c r="BS785" s="23">
        <v>0</v>
      </c>
      <c r="BT785" s="77">
        <f>BS785/AS785</f>
        <v>0</v>
      </c>
      <c r="BU785" s="18">
        <v>0</v>
      </c>
      <c r="BV785" s="23">
        <v>0</v>
      </c>
      <c r="BW785" s="18">
        <f>BV785/AS785</f>
        <v>0</v>
      </c>
      <c r="BX785" s="18">
        <v>0</v>
      </c>
      <c r="BY785" s="23">
        <v>0</v>
      </c>
      <c r="BZ785" s="16">
        <f>BY785/AS785</f>
        <v>0</v>
      </c>
      <c r="CA785" s="24">
        <v>0</v>
      </c>
      <c r="CB785" s="23">
        <v>0</v>
      </c>
      <c r="CC785" s="23">
        <v>0</v>
      </c>
      <c r="CD785" s="78">
        <v>0</v>
      </c>
      <c r="CE785" s="23">
        <v>0</v>
      </c>
      <c r="CF785" s="23">
        <v>0</v>
      </c>
      <c r="CG785" s="23"/>
      <c r="CH785" s="23"/>
      <c r="CI785" s="23"/>
      <c r="CJ785" s="23"/>
      <c r="CK785" s="23"/>
      <c r="CL785" s="23"/>
      <c r="CM785" s="23"/>
      <c r="CN785" s="23"/>
      <c r="CO785" s="23"/>
      <c r="CP785" s="23" t="s">
        <v>123</v>
      </c>
      <c r="CQ785" s="23">
        <v>0</v>
      </c>
      <c r="CR785" s="23">
        <v>0</v>
      </c>
      <c r="CS785" s="18">
        <f>IF(CT785&gt;0,1,0)</f>
        <v>0</v>
      </c>
      <c r="CT785" s="25">
        <f>SUM(CW785,CZ785,DC785)</f>
        <v>0</v>
      </c>
      <c r="CU785" s="25"/>
      <c r="CV785" s="23">
        <v>0</v>
      </c>
      <c r="CW785" s="25">
        <v>0</v>
      </c>
      <c r="CX785" s="23">
        <v>0</v>
      </c>
      <c r="CY785" s="23">
        <v>0</v>
      </c>
      <c r="CZ785" s="25">
        <v>0</v>
      </c>
      <c r="DA785" s="23">
        <v>0</v>
      </c>
      <c r="DB785" s="23">
        <v>0</v>
      </c>
      <c r="DC785" s="25">
        <v>0</v>
      </c>
      <c r="DD785" s="23">
        <v>0</v>
      </c>
      <c r="DE785" s="23">
        <v>0</v>
      </c>
      <c r="DF785" s="16" t="e">
        <f>VLOOKUP(K785,'[3]RNA Seq summary tables'!$V$3:$V$99,1,FALSE)</f>
        <v>#N/A</v>
      </c>
      <c r="DI785" s="23"/>
      <c r="DJ785" s="23"/>
      <c r="DK785" s="23"/>
      <c r="DL785" s="23"/>
      <c r="DM785" s="23"/>
      <c r="DN785" s="23"/>
      <c r="DO785" s="23"/>
      <c r="DP785" s="23"/>
      <c r="DQ785" s="23"/>
      <c r="DR785" s="23"/>
      <c r="DS785" s="23"/>
      <c r="DT785" s="25"/>
      <c r="DU785" s="25"/>
      <c r="DV785" s="25"/>
      <c r="DW785" s="25"/>
      <c r="DX785" s="25"/>
      <c r="DY785" s="25"/>
      <c r="DZ785" s="25"/>
      <c r="EA785" s="25"/>
      <c r="EB785" s="25"/>
      <c r="EC785" s="25"/>
      <c r="ED785" s="25"/>
      <c r="EE785" s="25"/>
    </row>
    <row r="786" spans="1:288" x14ac:dyDescent="0.2">
      <c r="B786" s="18">
        <v>2016</v>
      </c>
      <c r="C786" s="37">
        <v>42601</v>
      </c>
      <c r="D786" s="37" t="str">
        <f>CONCATENATE(J786,"-",C786)</f>
        <v>956-42601</v>
      </c>
      <c r="E786" s="20" t="str">
        <f>CONCATENATE(T786,"-",U786,"-",C786)</f>
        <v>PO2-F2-42601</v>
      </c>
      <c r="F786" s="20" t="s">
        <v>227</v>
      </c>
      <c r="G786" s="37" t="s">
        <v>107</v>
      </c>
      <c r="H786" s="18"/>
      <c r="I786" s="16">
        <v>0</v>
      </c>
      <c r="J786" s="36">
        <v>956</v>
      </c>
      <c r="K786" s="36">
        <v>1557</v>
      </c>
      <c r="L786" s="18">
        <v>0</v>
      </c>
      <c r="M786" s="15">
        <f>VLOOKUP(K786,'[7]MLBS 2016 SNV-nem Coinfection d'!$C$1:$G$238,4,FALSE)</f>
        <v>0</v>
      </c>
      <c r="N786" s="15">
        <v>0</v>
      </c>
      <c r="O786" s="15" t="s">
        <v>214</v>
      </c>
      <c r="P786" s="18" t="s">
        <v>110</v>
      </c>
      <c r="Q786" s="16">
        <v>1</v>
      </c>
      <c r="R786" s="18">
        <v>42</v>
      </c>
      <c r="S786" s="18"/>
      <c r="T786" s="18" t="s">
        <v>127</v>
      </c>
      <c r="U786" s="18" t="s">
        <v>187</v>
      </c>
      <c r="V786" s="18" t="s">
        <v>114</v>
      </c>
      <c r="W786" s="16">
        <f>AI786/AG786</f>
        <v>0.89411764705882357</v>
      </c>
      <c r="X786" s="18" t="s">
        <v>115</v>
      </c>
      <c r="Y786" s="18" t="s">
        <v>110</v>
      </c>
      <c r="Z786" s="18">
        <v>3</v>
      </c>
      <c r="AA786" s="18"/>
      <c r="AB786" s="18"/>
      <c r="AC786" s="18"/>
      <c r="AD786" s="18"/>
      <c r="AE786" s="18" t="s">
        <v>116</v>
      </c>
      <c r="AF786" s="18" t="s">
        <v>116</v>
      </c>
      <c r="AG786" s="18">
        <f>AH786-AI786</f>
        <v>85</v>
      </c>
      <c r="AH786" s="18">
        <v>161</v>
      </c>
      <c r="AI786" s="18">
        <v>76</v>
      </c>
      <c r="AJ786" s="18"/>
      <c r="AK786" s="18">
        <v>25</v>
      </c>
      <c r="AL786" s="18">
        <v>0</v>
      </c>
      <c r="AM786" s="18">
        <v>0</v>
      </c>
      <c r="AN786" s="18">
        <v>1</v>
      </c>
      <c r="AO786" s="18">
        <f>IF(SUM(AL786:AN786)&gt;0,1,0)</f>
        <v>1</v>
      </c>
      <c r="AP786" s="18">
        <f>SUM(AL786:AN786)</f>
        <v>1</v>
      </c>
      <c r="AQ786" s="18">
        <v>1.986</v>
      </c>
      <c r="AR786" s="18">
        <f>AP786-1.477</f>
        <v>-0.47700000000000009</v>
      </c>
      <c r="AS786" s="18">
        <f>AQ786-1.477</f>
        <v>0.5089999999999999</v>
      </c>
      <c r="AT786" s="16" t="s">
        <v>205</v>
      </c>
      <c r="AW786" s="22">
        <v>1</v>
      </c>
      <c r="AX786" s="24">
        <v>1</v>
      </c>
      <c r="AY786" s="16">
        <f>78/AS786</f>
        <v>153.24165029469552</v>
      </c>
      <c r="AZ786" s="18">
        <v>0</v>
      </c>
      <c r="BA786" s="24">
        <v>0</v>
      </c>
      <c r="BB786" s="16">
        <v>0</v>
      </c>
      <c r="BC786" s="18">
        <v>0</v>
      </c>
      <c r="BD786" s="24">
        <v>0</v>
      </c>
      <c r="BE786" s="24">
        <v>0</v>
      </c>
      <c r="BF786" s="18">
        <v>0</v>
      </c>
      <c r="BG786" s="92">
        <v>0</v>
      </c>
      <c r="BH786" s="24">
        <v>0</v>
      </c>
      <c r="BI786" s="18">
        <v>0</v>
      </c>
      <c r="BJ786" s="24">
        <v>0</v>
      </c>
      <c r="BK786" s="24">
        <v>0</v>
      </c>
      <c r="BL786" s="16">
        <f>IF(BM786&gt;0,1,0)</f>
        <v>1</v>
      </c>
      <c r="BM786" s="16">
        <f>SUM(BR786,BU786,BX786,CA786,CD786,CG786,CJ786,CM786,CP786)</f>
        <v>1</v>
      </c>
      <c r="BN786" s="16">
        <f>SUM(BW786,BZ786,CC786,CF786,CI786,CL786,CO786,CR786,BT786)</f>
        <v>153.24165029469552</v>
      </c>
      <c r="BO786" s="16">
        <f>IF(BP786&gt;0,1,0)</f>
        <v>1</v>
      </c>
      <c r="BP786" s="16">
        <f>SUM(BU786,BX786,CA786,CD786,BR786)</f>
        <v>1</v>
      </c>
      <c r="BQ786" s="16">
        <f>SUM(BZ786,CC786,CF786,BT786,BW786)</f>
        <v>153.24165029469552</v>
      </c>
      <c r="BR786" s="18">
        <v>0</v>
      </c>
      <c r="BS786" s="24">
        <v>0</v>
      </c>
      <c r="BT786" s="77">
        <f>BS786/AS786</f>
        <v>0</v>
      </c>
      <c r="BU786" s="18">
        <v>0</v>
      </c>
      <c r="BV786" s="24">
        <v>0</v>
      </c>
      <c r="BW786" s="18">
        <f>BV786/AS786</f>
        <v>0</v>
      </c>
      <c r="BX786" s="24">
        <v>1</v>
      </c>
      <c r="BY786" s="24">
        <v>78</v>
      </c>
      <c r="BZ786" s="16">
        <f>BY786/AS786</f>
        <v>153.24165029469552</v>
      </c>
      <c r="CA786" s="24">
        <v>0</v>
      </c>
      <c r="CB786" s="24">
        <v>0</v>
      </c>
      <c r="CC786" s="24">
        <v>0</v>
      </c>
      <c r="CD786" s="78">
        <v>0</v>
      </c>
      <c r="CE786" s="24">
        <v>0</v>
      </c>
      <c r="CF786" s="24">
        <v>0</v>
      </c>
      <c r="CG786" s="24"/>
      <c r="CH786" s="24"/>
      <c r="CI786" s="24"/>
      <c r="CJ786" s="24"/>
      <c r="CK786" s="24"/>
      <c r="CL786" s="24"/>
      <c r="CM786" s="24"/>
      <c r="CN786" s="24"/>
      <c r="CO786" s="24"/>
      <c r="CP786" s="24" t="s">
        <v>123</v>
      </c>
      <c r="CQ786" s="24">
        <v>0</v>
      </c>
      <c r="CR786" s="24">
        <v>0</v>
      </c>
      <c r="CS786" s="18">
        <f>IF(CT786&gt;0,1,0)</f>
        <v>0</v>
      </c>
      <c r="CT786" s="25">
        <f>SUM(CW786,CZ786,DC786)</f>
        <v>0</v>
      </c>
      <c r="CU786" s="25"/>
      <c r="CV786" s="24">
        <v>0</v>
      </c>
      <c r="CW786" s="25">
        <v>0</v>
      </c>
      <c r="CX786" s="24">
        <v>0</v>
      </c>
      <c r="CY786" s="24">
        <v>0</v>
      </c>
      <c r="CZ786" s="18">
        <v>0</v>
      </c>
      <c r="DA786" s="24">
        <v>0</v>
      </c>
      <c r="DB786" s="24">
        <v>0</v>
      </c>
      <c r="DC786" s="18">
        <v>0</v>
      </c>
      <c r="DD786" s="24">
        <v>0</v>
      </c>
      <c r="DE786" s="24">
        <v>0</v>
      </c>
      <c r="DF786" s="16" t="e">
        <f>VLOOKUP(K786,'[3]RNA Seq summary tables'!$V$3:$V$99,1,FALSE)</f>
        <v>#N/A</v>
      </c>
      <c r="DG786" s="16">
        <v>1</v>
      </c>
      <c r="DH786" s="16" t="str">
        <f>VLOOKUP(D786,'[8]Data with duplicates'!$B$1:$J$70,9,FALSE)</f>
        <v>sample.34</v>
      </c>
    </row>
    <row r="787" spans="1:288" s="18" customFormat="1" x14ac:dyDescent="0.2">
      <c r="A787" s="41">
        <v>1</v>
      </c>
      <c r="B787" s="16">
        <v>2016</v>
      </c>
      <c r="C787" s="20">
        <v>42613</v>
      </c>
      <c r="D787" s="20" t="str">
        <f>CONCATENATE(J787,"-",C787)</f>
        <v>956-42613</v>
      </c>
      <c r="E787" s="20" t="str">
        <f>CONCATENATE(T787,"-",U787,"-",C787)</f>
        <v>PO2-D1-42613</v>
      </c>
      <c r="F787" s="20" t="s">
        <v>227</v>
      </c>
      <c r="G787" s="20" t="s">
        <v>107</v>
      </c>
      <c r="H787" s="41" t="s">
        <v>377</v>
      </c>
      <c r="I787" s="16">
        <v>0</v>
      </c>
      <c r="J787" s="21">
        <v>956</v>
      </c>
      <c r="K787" s="21">
        <v>1570</v>
      </c>
      <c r="L787" s="18">
        <v>0</v>
      </c>
      <c r="M787" s="15">
        <f>VLOOKUP(K787,'[7]MLBS 2016 SNV-nem Coinfection d'!$C$1:$G$238,4,FALSE)</f>
        <v>0</v>
      </c>
      <c r="N787" s="15">
        <v>0</v>
      </c>
      <c r="O787" s="15" t="s">
        <v>214</v>
      </c>
      <c r="P787" s="16" t="s">
        <v>110</v>
      </c>
      <c r="Q787" s="16">
        <v>1</v>
      </c>
      <c r="R787" s="16">
        <v>12</v>
      </c>
      <c r="S787" s="16"/>
      <c r="T787" s="16" t="s">
        <v>127</v>
      </c>
      <c r="U787" s="16" t="s">
        <v>157</v>
      </c>
      <c r="V787" s="16" t="s">
        <v>114</v>
      </c>
      <c r="W787" s="16">
        <f>AI787/AG787</f>
        <v>0.84782608695652173</v>
      </c>
      <c r="X787" s="16" t="s">
        <v>115</v>
      </c>
      <c r="Y787" s="16" t="s">
        <v>110</v>
      </c>
      <c r="Z787" s="16">
        <v>3</v>
      </c>
      <c r="AA787" s="16"/>
      <c r="AB787" s="16"/>
      <c r="AC787" s="16"/>
      <c r="AD787" s="16"/>
      <c r="AE787" s="16" t="s">
        <v>116</v>
      </c>
      <c r="AF787" s="16" t="s">
        <v>116</v>
      </c>
      <c r="AG787" s="16">
        <v>92</v>
      </c>
      <c r="AH787" s="16">
        <v>170</v>
      </c>
      <c r="AI787" s="16">
        <v>78</v>
      </c>
      <c r="AJ787" s="16"/>
      <c r="AK787" s="16">
        <v>23</v>
      </c>
      <c r="AL787" s="16">
        <v>0</v>
      </c>
      <c r="AM787" s="16">
        <v>0</v>
      </c>
      <c r="AN787" s="16">
        <v>0</v>
      </c>
      <c r="AO787" s="16">
        <f>IF(SUM(AL787:AN787)&gt;0,1,0)</f>
        <v>0</v>
      </c>
      <c r="AP787" s="16">
        <f>SUM(AL787:AN787)</f>
        <v>0</v>
      </c>
      <c r="AQ787" s="16"/>
      <c r="AR787" s="41">
        <v>5.0000000000000001E-3</v>
      </c>
      <c r="AS787" s="41">
        <v>5.0000000000000001E-3</v>
      </c>
      <c r="AT787" s="16" t="s">
        <v>212</v>
      </c>
      <c r="AU787" s="16"/>
      <c r="AV787" s="16"/>
      <c r="AW787" s="22">
        <v>1</v>
      </c>
      <c r="AX787" s="22">
        <v>1</v>
      </c>
      <c r="AY787" s="22">
        <f>67/0.005</f>
        <v>13400</v>
      </c>
      <c r="AZ787" s="18">
        <v>0</v>
      </c>
      <c r="BA787" s="22">
        <v>0</v>
      </c>
      <c r="BB787" s="22">
        <v>0</v>
      </c>
      <c r="BC787" s="18">
        <v>0</v>
      </c>
      <c r="BD787" s="22">
        <v>0</v>
      </c>
      <c r="BE787" s="22">
        <v>0</v>
      </c>
      <c r="BF787" s="18">
        <v>0</v>
      </c>
      <c r="BG787" s="166">
        <v>0</v>
      </c>
      <c r="BH787" s="22">
        <v>0</v>
      </c>
      <c r="BI787" s="18">
        <v>0</v>
      </c>
      <c r="BJ787" s="22">
        <v>0</v>
      </c>
      <c r="BK787" s="22">
        <v>0</v>
      </c>
      <c r="BL787" s="16">
        <f>IF(BM787&gt;0,1,0)</f>
        <v>0</v>
      </c>
      <c r="BM787" s="16">
        <f>SUM(BR787,BU787,BX787,CA787,CD787,CG787,CJ787,CM787,CP787)</f>
        <v>0</v>
      </c>
      <c r="BN787" s="16">
        <f>SUM(BW787,BZ787,CC787,CF787,CI787,CL787,CO787,CR787,BT787)</f>
        <v>0</v>
      </c>
      <c r="BO787" s="16">
        <f>IF(BP787&gt;0,1,0)</f>
        <v>0</v>
      </c>
      <c r="BP787" s="16">
        <f>SUM(BU787,BX787,CA787,CD787,BR787)</f>
        <v>0</v>
      </c>
      <c r="BQ787" s="16">
        <f>SUM(BZ787,CC787,CF787,BT787,BW787)</f>
        <v>0</v>
      </c>
      <c r="BR787" s="18">
        <v>0</v>
      </c>
      <c r="BS787" s="22">
        <v>0</v>
      </c>
      <c r="BT787" s="77">
        <f>BS787/AS787</f>
        <v>0</v>
      </c>
      <c r="BU787" s="18">
        <v>0</v>
      </c>
      <c r="BV787" s="22">
        <v>0</v>
      </c>
      <c r="BW787" s="18">
        <f>BV787/AS787</f>
        <v>0</v>
      </c>
      <c r="BX787" s="18">
        <v>0</v>
      </c>
      <c r="BY787" s="22">
        <v>0</v>
      </c>
      <c r="BZ787" s="16">
        <f>BY787/AS787</f>
        <v>0</v>
      </c>
      <c r="CA787" s="24">
        <v>0</v>
      </c>
      <c r="CB787" s="22">
        <v>0</v>
      </c>
      <c r="CC787" s="22">
        <v>0</v>
      </c>
      <c r="CD787" s="78">
        <v>0</v>
      </c>
      <c r="CE787" s="22">
        <v>0</v>
      </c>
      <c r="CF787" s="22">
        <v>0</v>
      </c>
      <c r="CG787" s="22"/>
      <c r="CH787" s="22"/>
      <c r="CI787" s="22"/>
      <c r="CJ787" s="22"/>
      <c r="CK787" s="22"/>
      <c r="CL787" s="22"/>
      <c r="CM787" s="22"/>
      <c r="CN787" s="22"/>
      <c r="CO787" s="22"/>
      <c r="CP787" s="22" t="s">
        <v>123</v>
      </c>
      <c r="CQ787" s="22">
        <v>0</v>
      </c>
      <c r="CR787" s="22">
        <v>0</v>
      </c>
      <c r="CS787" s="18">
        <f>IF(CT787&gt;0,1,0)</f>
        <v>1</v>
      </c>
      <c r="CT787" s="25">
        <f>SUM(CW787,CZ787,DC787)</f>
        <v>1</v>
      </c>
      <c r="CU787" s="25"/>
      <c r="CV787" s="22">
        <f>67/0.005</f>
        <v>13400</v>
      </c>
      <c r="CW787" s="50">
        <v>1</v>
      </c>
      <c r="CX787" s="22">
        <v>67</v>
      </c>
      <c r="CY787" s="22">
        <f>67/0.005</f>
        <v>13400</v>
      </c>
      <c r="CZ787" s="18">
        <v>0</v>
      </c>
      <c r="DA787" s="22">
        <v>0</v>
      </c>
      <c r="DB787" s="22">
        <v>0</v>
      </c>
      <c r="DC787" s="18">
        <v>0</v>
      </c>
      <c r="DD787" s="22">
        <v>0</v>
      </c>
      <c r="DE787" s="22">
        <v>0</v>
      </c>
      <c r="DF787" s="16" t="e">
        <f>VLOOKUP(K787,'[3]RNA Seq summary tables'!$V$3:$V$99,1,FALSE)</f>
        <v>#N/A</v>
      </c>
      <c r="DG787" s="16">
        <v>1</v>
      </c>
      <c r="DH787" s="16" t="str">
        <f>VLOOKUP(D787,'[8]Data with duplicates'!$B$1:$J$70,9,FALSE)</f>
        <v>sample.35</v>
      </c>
      <c r="DI787" s="16"/>
      <c r="DJ787" s="16"/>
      <c r="DK787" s="16"/>
      <c r="DL787" s="16"/>
      <c r="DM787" s="16"/>
      <c r="DN787" s="16"/>
      <c r="DO787" s="16"/>
      <c r="DP787" s="16"/>
      <c r="DQ787" s="16"/>
      <c r="DR787" s="16"/>
      <c r="DS787" s="16"/>
      <c r="JO787" s="16"/>
      <c r="JP787" s="16"/>
      <c r="JQ787" s="16"/>
      <c r="JR787" s="16"/>
      <c r="JS787" s="16"/>
      <c r="JT787" s="16"/>
      <c r="JU787" s="16"/>
      <c r="JV787" s="16"/>
      <c r="JW787" s="16"/>
      <c r="JX787" s="16"/>
      <c r="JY787" s="16"/>
      <c r="JZ787" s="16"/>
      <c r="KA787" s="16"/>
      <c r="KB787" s="16"/>
    </row>
    <row r="788" spans="1:288" x14ac:dyDescent="0.2">
      <c r="B788" s="16">
        <v>2016</v>
      </c>
      <c r="C788" s="20">
        <v>42530</v>
      </c>
      <c r="D788" s="20" t="str">
        <f>CONCATENATE(J788,"-",C788)</f>
        <v>959-42530</v>
      </c>
      <c r="E788" s="20" t="str">
        <f>CONCATENATE(T788,"-",U788,"-",C788)</f>
        <v>PO2-H3-42530</v>
      </c>
      <c r="F788" s="20" t="s">
        <v>106</v>
      </c>
      <c r="G788" s="20" t="s">
        <v>107</v>
      </c>
      <c r="H788" s="16" t="s">
        <v>125</v>
      </c>
      <c r="I788" s="16">
        <v>0</v>
      </c>
      <c r="J788" s="21">
        <v>959</v>
      </c>
      <c r="K788" s="21">
        <v>1362</v>
      </c>
      <c r="L788" s="16">
        <v>1</v>
      </c>
      <c r="M788" s="15">
        <f>VLOOKUP(K788,'[7]MLBS 2016 SNV-nem Coinfection d'!$C$1:$G$238,4,FALSE)</f>
        <v>0</v>
      </c>
      <c r="N788" s="15">
        <v>0</v>
      </c>
      <c r="O788" s="15" t="s">
        <v>214</v>
      </c>
      <c r="P788" s="16" t="s">
        <v>308</v>
      </c>
      <c r="Q788" s="16">
        <v>0</v>
      </c>
      <c r="R788" s="16" t="s">
        <v>111</v>
      </c>
      <c r="T788" s="16" t="s">
        <v>127</v>
      </c>
      <c r="U788" s="16" t="s">
        <v>174</v>
      </c>
      <c r="V788" s="16" t="s">
        <v>114</v>
      </c>
      <c r="W788" s="16">
        <f>AI788/AG788</f>
        <v>0.80373831775700932</v>
      </c>
      <c r="X788" s="16" t="s">
        <v>121</v>
      </c>
      <c r="Y788" s="16" t="s">
        <v>110</v>
      </c>
      <c r="Z788" s="16">
        <v>3</v>
      </c>
      <c r="AA788" s="16" t="s">
        <v>119</v>
      </c>
      <c r="AB788" s="16" t="s">
        <v>116</v>
      </c>
      <c r="AC788" s="16" t="s">
        <v>123</v>
      </c>
      <c r="AD788" s="16" t="s">
        <v>116</v>
      </c>
      <c r="AG788" s="18">
        <f>AH788-AI788</f>
        <v>107</v>
      </c>
      <c r="AH788" s="18">
        <v>193</v>
      </c>
      <c r="AI788" s="18">
        <v>86</v>
      </c>
      <c r="AJ788" s="18"/>
      <c r="AK788" s="16">
        <v>30</v>
      </c>
      <c r="AL788" s="16">
        <v>0</v>
      </c>
      <c r="AM788" s="16">
        <v>1</v>
      </c>
      <c r="AN788" s="16">
        <v>0</v>
      </c>
      <c r="AO788" s="16">
        <f>IF(SUM(AL788:AN788)&gt;0,1,0)</f>
        <v>1</v>
      </c>
      <c r="AP788" s="16">
        <f>SUM(AL788:AN788)</f>
        <v>1</v>
      </c>
      <c r="AQ788" s="16">
        <f>0.268+1.477</f>
        <v>1.7450000000000001</v>
      </c>
      <c r="AR788" s="16">
        <v>0.26800000000000002</v>
      </c>
      <c r="AS788" s="16">
        <v>0.26800000000000002</v>
      </c>
      <c r="AT788" s="16" t="s">
        <v>124</v>
      </c>
      <c r="AW788" s="22">
        <v>1</v>
      </c>
      <c r="AY788" s="16">
        <f>(10+9+7+9+67)/AS788</f>
        <v>380.59701492537312</v>
      </c>
      <c r="AZ788" s="18">
        <v>1</v>
      </c>
      <c r="BB788" s="16">
        <f>(10+9+7)/AS788</f>
        <v>97.014925373134318</v>
      </c>
      <c r="BC788" s="16">
        <v>1</v>
      </c>
      <c r="BD788" s="16">
        <v>10</v>
      </c>
      <c r="BE788" s="16">
        <f>10/AS788</f>
        <v>37.31343283582089</v>
      </c>
      <c r="BF788" s="18">
        <v>1</v>
      </c>
      <c r="BG788" s="77">
        <v>9</v>
      </c>
      <c r="BH788" s="16">
        <f>9/AS788</f>
        <v>33.582089552238806</v>
      </c>
      <c r="BI788" s="16">
        <v>1</v>
      </c>
      <c r="BJ788" s="16">
        <v>7</v>
      </c>
      <c r="BK788" s="16">
        <f>7/AS788</f>
        <v>26.119402985074625</v>
      </c>
      <c r="BL788" s="16">
        <f>IF(BM788&gt;0,1,0)</f>
        <v>1</v>
      </c>
      <c r="BM788" s="16">
        <f>SUM(BR788,BU788,BX788,CA788,CD788,CG788,CJ788,CM788,CP788)</f>
        <v>2</v>
      </c>
      <c r="BN788" s="16">
        <f>SUM(BW788,BZ788,CC788,CF788,CI788,CL788,CO788,CR788,BT788)</f>
        <v>283.58208955223876</v>
      </c>
      <c r="BO788" s="16">
        <f>IF(BP788&gt;0,1,0)</f>
        <v>1</v>
      </c>
      <c r="BP788" s="16">
        <f>SUM(BU788,BX788,CA788,CD788,BR788)</f>
        <v>2</v>
      </c>
      <c r="BQ788" s="16">
        <f>SUM(BZ788,CC788,CF788,BT788,BW788)</f>
        <v>283.58208955223876</v>
      </c>
      <c r="BR788" s="18">
        <v>1</v>
      </c>
      <c r="BS788" s="16">
        <v>9</v>
      </c>
      <c r="BT788" s="77">
        <f>BS788/AS788</f>
        <v>33.582089552238806</v>
      </c>
      <c r="BU788" s="16">
        <v>0</v>
      </c>
      <c r="BV788" s="16">
        <v>0</v>
      </c>
      <c r="BW788" s="18">
        <f>BV788/AS788</f>
        <v>0</v>
      </c>
      <c r="BX788" s="24">
        <v>1</v>
      </c>
      <c r="BY788" s="16">
        <v>67</v>
      </c>
      <c r="BZ788" s="16">
        <f>BY788/AS788</f>
        <v>249.99999999999997</v>
      </c>
      <c r="CA788" s="24">
        <v>0</v>
      </c>
      <c r="CB788" s="16">
        <v>0</v>
      </c>
      <c r="CC788" s="16">
        <v>0</v>
      </c>
      <c r="CD788" s="77">
        <v>0</v>
      </c>
      <c r="CE788" s="16">
        <v>0</v>
      </c>
      <c r="CF788" s="16">
        <v>0</v>
      </c>
      <c r="CP788" s="16" t="s">
        <v>123</v>
      </c>
      <c r="CQ788" s="16">
        <v>0</v>
      </c>
      <c r="CR788" s="16">
        <v>0</v>
      </c>
      <c r="CS788" s="18">
        <f>IF(CT788&gt;0,1,0)</f>
        <v>0</v>
      </c>
      <c r="CT788" s="25">
        <f>SUM(CW788,CZ788,DC788)</f>
        <v>0</v>
      </c>
      <c r="CU788" s="25"/>
      <c r="CV788" s="16">
        <v>0</v>
      </c>
      <c r="CW788" s="25">
        <v>0</v>
      </c>
      <c r="CX788" s="16">
        <v>0</v>
      </c>
      <c r="CY788" s="16">
        <v>0</v>
      </c>
      <c r="CZ788" s="18">
        <v>0</v>
      </c>
      <c r="DA788" s="16">
        <v>0</v>
      </c>
      <c r="DB788" s="16">
        <v>0</v>
      </c>
      <c r="DC788" s="18">
        <v>0</v>
      </c>
      <c r="DD788" s="16">
        <v>0</v>
      </c>
      <c r="DE788" s="16">
        <v>0</v>
      </c>
      <c r="DF788" s="16">
        <f>VLOOKUP(K788,'[3]RNA Seq summary tables'!$V$3:$V$99,1,FALSE)</f>
        <v>1362</v>
      </c>
      <c r="JP788" s="19"/>
      <c r="JQ788" s="19"/>
    </row>
    <row r="789" spans="1:288" x14ac:dyDescent="0.2">
      <c r="B789" s="16">
        <v>2016</v>
      </c>
      <c r="C789" s="20">
        <v>42545</v>
      </c>
      <c r="D789" s="20" t="str">
        <f>CONCATENATE(J789,"-",C789)</f>
        <v>959-42545</v>
      </c>
      <c r="E789" s="20" t="str">
        <f>CONCATENATE(T789,"-",U789,"-",C789)</f>
        <v>PO2-F5-42545</v>
      </c>
      <c r="F789" s="20" t="s">
        <v>106</v>
      </c>
      <c r="G789" s="20" t="s">
        <v>107</v>
      </c>
      <c r="I789" s="16">
        <v>0</v>
      </c>
      <c r="J789" s="21">
        <v>959</v>
      </c>
      <c r="K789" s="21">
        <v>1411</v>
      </c>
      <c r="L789" s="18">
        <v>0</v>
      </c>
      <c r="M789" s="15">
        <f>VLOOKUP(K789,'[7]MLBS 2016 SNV-nem Coinfection d'!$C$1:$G$238,4,FALSE)</f>
        <v>0</v>
      </c>
      <c r="N789" s="15">
        <v>0</v>
      </c>
      <c r="O789" s="15" t="s">
        <v>214</v>
      </c>
      <c r="P789" s="16" t="s">
        <v>110</v>
      </c>
      <c r="Q789" s="16">
        <v>1</v>
      </c>
      <c r="R789" s="16">
        <v>15</v>
      </c>
      <c r="T789" s="18" t="s">
        <v>127</v>
      </c>
      <c r="U789" s="18" t="s">
        <v>185</v>
      </c>
      <c r="V789" s="18" t="s">
        <v>114</v>
      </c>
      <c r="W789" s="18">
        <f>AI789/AG789</f>
        <v>0.82524271844660191</v>
      </c>
      <c r="X789" s="16" t="s">
        <v>121</v>
      </c>
      <c r="Y789" s="16" t="s">
        <v>110</v>
      </c>
      <c r="Z789" s="16">
        <v>3</v>
      </c>
      <c r="AA789" s="16" t="s">
        <v>119</v>
      </c>
      <c r="AB789" s="16" t="s">
        <v>116</v>
      </c>
      <c r="AC789" s="16" t="s">
        <v>196</v>
      </c>
      <c r="AD789" s="16" t="s">
        <v>116</v>
      </c>
      <c r="AG789" s="16">
        <f>AH789-AI789</f>
        <v>103</v>
      </c>
      <c r="AH789" s="16">
        <v>188</v>
      </c>
      <c r="AI789" s="16">
        <v>85</v>
      </c>
      <c r="AK789" s="16">
        <v>37</v>
      </c>
      <c r="AL789" s="16">
        <v>0</v>
      </c>
      <c r="AM789" s="16">
        <v>0</v>
      </c>
      <c r="AN789" s="16">
        <v>0</v>
      </c>
      <c r="AO789" s="16">
        <f>IF(SUM(AL789:AN789)&gt;0,1,0)</f>
        <v>0</v>
      </c>
      <c r="AP789" s="16">
        <f>SUM(AL789:AN789)</f>
        <v>0</v>
      </c>
      <c r="AQ789" s="16">
        <f>0.815+1.477</f>
        <v>2.2919999999999998</v>
      </c>
      <c r="AR789" s="16">
        <v>0.81499999999999995</v>
      </c>
      <c r="AS789" s="16">
        <v>0.81499999999999995</v>
      </c>
      <c r="AT789" s="16" t="s">
        <v>124</v>
      </c>
      <c r="AW789" s="24">
        <v>1</v>
      </c>
      <c r="AX789" s="18"/>
      <c r="AY789" s="18">
        <f>(17+53+3)/AS789</f>
        <v>89.570552147239269</v>
      </c>
      <c r="AZ789" s="18">
        <v>1</v>
      </c>
      <c r="BA789" s="18"/>
      <c r="BB789" s="18">
        <f>AY789</f>
        <v>89.570552147239269</v>
      </c>
      <c r="BC789" s="18">
        <v>1</v>
      </c>
      <c r="BD789" s="18">
        <v>17</v>
      </c>
      <c r="BE789" s="18">
        <f>17/AS789</f>
        <v>20.858895705521473</v>
      </c>
      <c r="BF789" s="18">
        <v>1</v>
      </c>
      <c r="BG789" s="77">
        <f>53</f>
        <v>53</v>
      </c>
      <c r="BH789" s="18">
        <f>53/AS789</f>
        <v>65.030674846625772</v>
      </c>
      <c r="BI789" s="18">
        <v>1</v>
      </c>
      <c r="BJ789" s="18">
        <v>3</v>
      </c>
      <c r="BK789" s="18">
        <f>3/AS789</f>
        <v>3.6809815950920246</v>
      </c>
      <c r="BL789" s="16">
        <f>IF(BM789&gt;0,1,0)</f>
        <v>0</v>
      </c>
      <c r="BM789" s="16">
        <f>SUM(BR789,BU789,BX789,CA789,CD789,CG789,CJ789,CM789,CP789)</f>
        <v>0</v>
      </c>
      <c r="BN789" s="18">
        <f>SUM(BW789,BZ789,CC789,CF789,CI789,CL789,CO789,CR789,BT789)</f>
        <v>0</v>
      </c>
      <c r="BO789" s="18">
        <f>IF(BP789&gt;0,1,0)</f>
        <v>0</v>
      </c>
      <c r="BP789" s="18">
        <f>SUM(BU789,BX789,CA789,CD789,BR789)</f>
        <v>0</v>
      </c>
      <c r="BQ789" s="18">
        <f>SUM(BZ789,CC789,CF789,BT789,BW789)</f>
        <v>0</v>
      </c>
      <c r="BR789" s="18">
        <v>0</v>
      </c>
      <c r="BS789" s="18">
        <v>0</v>
      </c>
      <c r="BT789" s="78">
        <f>BS789/AS789</f>
        <v>0</v>
      </c>
      <c r="BU789" s="18">
        <v>0</v>
      </c>
      <c r="BV789" s="18">
        <v>0</v>
      </c>
      <c r="BW789" s="18">
        <f>BV789/AS789</f>
        <v>0</v>
      </c>
      <c r="BX789" s="18">
        <v>0</v>
      </c>
      <c r="BY789" s="18">
        <v>0</v>
      </c>
      <c r="BZ789" s="18">
        <f>BY789/AS789</f>
        <v>0</v>
      </c>
      <c r="CA789" s="24">
        <v>0</v>
      </c>
      <c r="CB789" s="18">
        <v>0</v>
      </c>
      <c r="CC789" s="18">
        <v>0</v>
      </c>
      <c r="CD789" s="78">
        <v>0</v>
      </c>
      <c r="CE789" s="18">
        <v>0</v>
      </c>
      <c r="CF789" s="18">
        <v>0</v>
      </c>
      <c r="CG789" s="18"/>
      <c r="CH789" s="18"/>
      <c r="CI789" s="18"/>
      <c r="CJ789" s="18"/>
      <c r="CK789" s="18"/>
      <c r="CL789" s="18"/>
      <c r="CM789" s="18"/>
      <c r="CN789" s="18"/>
      <c r="CO789" s="18"/>
      <c r="CP789" s="18" t="s">
        <v>123</v>
      </c>
      <c r="CQ789" s="18">
        <v>0</v>
      </c>
      <c r="CR789" s="18">
        <v>0</v>
      </c>
      <c r="CS789" s="18">
        <f>IF(CT789&gt;0,1,0)</f>
        <v>0</v>
      </c>
      <c r="CT789" s="25">
        <f>SUM(CW789,CZ789,DC789)</f>
        <v>0</v>
      </c>
      <c r="CU789" s="25"/>
      <c r="CV789" s="18">
        <v>0</v>
      </c>
      <c r="CW789" s="25">
        <v>0</v>
      </c>
      <c r="CX789" s="18">
        <v>0</v>
      </c>
      <c r="CY789" s="18">
        <v>0</v>
      </c>
      <c r="CZ789" s="18">
        <v>0</v>
      </c>
      <c r="DA789" s="18">
        <v>0</v>
      </c>
      <c r="DB789" s="18">
        <v>0</v>
      </c>
      <c r="DC789" s="18">
        <v>0</v>
      </c>
      <c r="DD789" s="18">
        <v>0</v>
      </c>
      <c r="DE789" s="18">
        <v>0</v>
      </c>
      <c r="DF789" s="16" t="e">
        <f>VLOOKUP(K789,'[3]RNA Seq summary tables'!$V$3:$V$99,1,FALSE)</f>
        <v>#N/A</v>
      </c>
      <c r="DI789" s="18"/>
      <c r="DJ789" s="18"/>
      <c r="DK789" s="18"/>
      <c r="DL789" s="18"/>
      <c r="DM789" s="18"/>
      <c r="DN789" s="18"/>
      <c r="DO789" s="18"/>
      <c r="DP789" s="18"/>
      <c r="DQ789" s="18"/>
      <c r="DR789" s="18"/>
      <c r="DS789" s="18"/>
    </row>
    <row r="790" spans="1:288" x14ac:dyDescent="0.2">
      <c r="B790" s="16">
        <v>2016</v>
      </c>
      <c r="C790" s="20">
        <v>42559</v>
      </c>
      <c r="D790" s="20" t="str">
        <f>CONCATENATE(J790,"-",C790)</f>
        <v>959-42559</v>
      </c>
      <c r="E790" s="20" t="str">
        <f>CONCATENATE(T790,"-",U790,"-",C790)</f>
        <v>PO2-H4-42559</v>
      </c>
      <c r="F790" s="20" t="s">
        <v>106</v>
      </c>
      <c r="G790" s="20" t="s">
        <v>107</v>
      </c>
      <c r="I790" s="16">
        <v>0</v>
      </c>
      <c r="J790" s="21">
        <v>959</v>
      </c>
      <c r="K790" s="21">
        <v>1471</v>
      </c>
      <c r="L790" s="16">
        <v>1</v>
      </c>
      <c r="M790" s="15">
        <f>VLOOKUP(K790,'[7]MLBS 2016 SNV-nem Coinfection d'!$C$1:$G$238,4,FALSE)</f>
        <v>0</v>
      </c>
      <c r="N790" s="15">
        <v>0</v>
      </c>
      <c r="O790" s="15" t="s">
        <v>214</v>
      </c>
      <c r="P790" s="16" t="s">
        <v>110</v>
      </c>
      <c r="Q790" s="16">
        <v>1</v>
      </c>
      <c r="R790" s="16">
        <v>14</v>
      </c>
      <c r="T790" s="16" t="s">
        <v>127</v>
      </c>
      <c r="U790" s="16" t="s">
        <v>151</v>
      </c>
      <c r="V790" s="16" t="s">
        <v>114</v>
      </c>
      <c r="W790" s="16">
        <f>AI790/AG790</f>
        <v>0.80373831775700932</v>
      </c>
      <c r="X790" s="16" t="s">
        <v>121</v>
      </c>
      <c r="Y790" s="16" t="s">
        <v>110</v>
      </c>
      <c r="Z790" s="16">
        <v>3</v>
      </c>
      <c r="AA790" s="16" t="s">
        <v>119</v>
      </c>
      <c r="AB790" s="16" t="s">
        <v>116</v>
      </c>
      <c r="AC790" s="16" t="s">
        <v>123</v>
      </c>
      <c r="AD790" s="16" t="s">
        <v>116</v>
      </c>
      <c r="AG790" s="16">
        <f>AH790-AI790</f>
        <v>107</v>
      </c>
      <c r="AH790" s="16">
        <v>193</v>
      </c>
      <c r="AI790" s="16">
        <v>86</v>
      </c>
      <c r="AK790" s="16">
        <v>32</v>
      </c>
      <c r="AL790" s="16">
        <v>1</v>
      </c>
      <c r="AM790" s="16">
        <v>0</v>
      </c>
      <c r="AN790" s="16">
        <v>0</v>
      </c>
      <c r="AO790" s="16">
        <f>IF(SUM(AL790:AN790)&gt;0,1,0)</f>
        <v>1</v>
      </c>
      <c r="AP790" s="16">
        <f>SUM(AL790:AN790)</f>
        <v>1</v>
      </c>
      <c r="AQ790" s="16">
        <v>1.643</v>
      </c>
      <c r="AR790" s="16">
        <v>0.16600000000000001</v>
      </c>
      <c r="AS790" s="16">
        <v>0.16600000000000001</v>
      </c>
      <c r="AT790" s="16" t="s">
        <v>124</v>
      </c>
      <c r="AW790" s="22">
        <v>1</v>
      </c>
      <c r="AX790" s="16">
        <v>1</v>
      </c>
      <c r="AY790" s="16">
        <f>1/AS790</f>
        <v>6.0240963855421681</v>
      </c>
      <c r="AZ790" s="18">
        <v>1</v>
      </c>
      <c r="BA790" s="16">
        <v>1</v>
      </c>
      <c r="BB790" s="16">
        <f>AY790</f>
        <v>6.0240963855421681</v>
      </c>
      <c r="BC790" s="16">
        <v>1</v>
      </c>
      <c r="BD790" s="16">
        <v>1</v>
      </c>
      <c r="BE790" s="16">
        <f>1/AS790</f>
        <v>6.0240963855421681</v>
      </c>
      <c r="BF790" s="18">
        <v>0</v>
      </c>
      <c r="BG790" s="77">
        <v>0</v>
      </c>
      <c r="BH790" s="16">
        <v>0</v>
      </c>
      <c r="BI790" s="18">
        <v>0</v>
      </c>
      <c r="BJ790" s="16">
        <v>0</v>
      </c>
      <c r="BK790" s="16">
        <v>0</v>
      </c>
      <c r="BL790" s="16">
        <f>IF(BM790&gt;0,1,0)</f>
        <v>0</v>
      </c>
      <c r="BM790" s="16">
        <f>SUM(BR790,BU790,BX790,CA790,CD790,CG790,CJ790,CM790,CP790)</f>
        <v>0</v>
      </c>
      <c r="BN790" s="16">
        <f>SUM(BW790,BZ790,CC790,CF790,CI790,CL790,CO790,CR790,BT790)</f>
        <v>0</v>
      </c>
      <c r="BO790" s="16">
        <f>IF(BP790&gt;0,1,0)</f>
        <v>0</v>
      </c>
      <c r="BP790" s="16">
        <f>SUM(BU790,BX790,CA790,CD790,BR790)</f>
        <v>0</v>
      </c>
      <c r="BQ790" s="16">
        <f>SUM(BZ790,CC790,CF790,BT790,BW790)</f>
        <v>0</v>
      </c>
      <c r="BR790" s="18">
        <v>0</v>
      </c>
      <c r="BS790" s="16">
        <v>0</v>
      </c>
      <c r="BT790" s="77">
        <f>BS790/AS790</f>
        <v>0</v>
      </c>
      <c r="BU790" s="18">
        <v>0</v>
      </c>
      <c r="BV790" s="16">
        <v>0</v>
      </c>
      <c r="BW790" s="18">
        <f>BV790/AS790</f>
        <v>0</v>
      </c>
      <c r="BX790" s="18">
        <v>0</v>
      </c>
      <c r="BY790" s="16">
        <v>0</v>
      </c>
      <c r="BZ790" s="16">
        <f>BY790/AS790</f>
        <v>0</v>
      </c>
      <c r="CA790" s="24">
        <v>0</v>
      </c>
      <c r="CB790" s="16">
        <v>0</v>
      </c>
      <c r="CC790" s="16">
        <v>0</v>
      </c>
      <c r="CD790" s="78">
        <v>0</v>
      </c>
      <c r="CE790" s="16">
        <v>0</v>
      </c>
      <c r="CF790" s="16">
        <v>0</v>
      </c>
      <c r="CP790" s="16" t="s">
        <v>123</v>
      </c>
      <c r="CQ790" s="16">
        <v>0</v>
      </c>
      <c r="CR790" s="16">
        <v>0</v>
      </c>
      <c r="CS790" s="18">
        <f>IF(CT790&gt;0,1,0)</f>
        <v>0</v>
      </c>
      <c r="CT790" s="25">
        <f>SUM(CW790,CZ790,DC790)</f>
        <v>0</v>
      </c>
      <c r="CU790" s="25"/>
      <c r="CV790" s="16">
        <v>0</v>
      </c>
      <c r="CW790" s="25">
        <v>0</v>
      </c>
      <c r="CX790" s="16">
        <v>0</v>
      </c>
      <c r="CY790" s="16">
        <v>0</v>
      </c>
      <c r="CZ790" s="18">
        <v>0</v>
      </c>
      <c r="DA790" s="16">
        <v>0</v>
      </c>
      <c r="DB790" s="16">
        <v>0</v>
      </c>
      <c r="DC790" s="18">
        <v>0</v>
      </c>
      <c r="DD790" s="16">
        <v>0</v>
      </c>
      <c r="DE790" s="16">
        <v>0</v>
      </c>
      <c r="DF790" s="16">
        <f>VLOOKUP(K790,'[3]RNA Seq summary tables'!$V$3:$V$99,1,FALSE)</f>
        <v>1471</v>
      </c>
      <c r="JP790" s="26"/>
      <c r="JQ790" s="26"/>
    </row>
    <row r="791" spans="1:288" x14ac:dyDescent="0.2">
      <c r="B791" s="16">
        <v>2016</v>
      </c>
      <c r="C791" s="20">
        <v>42572</v>
      </c>
      <c r="D791" s="20" t="str">
        <f>CONCATENATE(J791,"-",C791)</f>
        <v>959-42572</v>
      </c>
      <c r="E791" s="20" t="str">
        <f>CONCATENATE(T791,"-",U791,"-",C791)</f>
        <v>PO2-H3-42572</v>
      </c>
      <c r="F791" s="20" t="s">
        <v>106</v>
      </c>
      <c r="G791" s="20" t="s">
        <v>107</v>
      </c>
      <c r="I791" s="16">
        <v>0</v>
      </c>
      <c r="J791" s="21">
        <v>959</v>
      </c>
      <c r="K791" s="21">
        <v>1502</v>
      </c>
      <c r="L791" s="18">
        <v>0</v>
      </c>
      <c r="M791" s="15">
        <f>VLOOKUP(K791,'[7]MLBS 2016 SNV-nem Coinfection d'!$C$1:$G$238,4,FALSE)</f>
        <v>0</v>
      </c>
      <c r="N791" s="15">
        <v>0</v>
      </c>
      <c r="O791" s="15" t="s">
        <v>214</v>
      </c>
      <c r="P791" s="16" t="s">
        <v>110</v>
      </c>
      <c r="Q791" s="16">
        <v>1</v>
      </c>
      <c r="R791" s="16">
        <v>13</v>
      </c>
      <c r="T791" s="16" t="s">
        <v>127</v>
      </c>
      <c r="U791" s="16" t="s">
        <v>174</v>
      </c>
      <c r="V791" s="16" t="s">
        <v>114</v>
      </c>
      <c r="W791" s="16">
        <f>AI791/AG791</f>
        <v>0.83333333333333337</v>
      </c>
      <c r="X791" s="16" t="s">
        <v>121</v>
      </c>
      <c r="Y791" s="16" t="s">
        <v>110</v>
      </c>
      <c r="Z791" s="16">
        <v>3</v>
      </c>
      <c r="AA791" s="16" t="s">
        <v>161</v>
      </c>
      <c r="AB791" s="16" t="s">
        <v>116</v>
      </c>
      <c r="AC791" s="16" t="s">
        <v>116</v>
      </c>
      <c r="AD791" s="16" t="s">
        <v>116</v>
      </c>
      <c r="AG791" s="16">
        <f>AH791-AI791</f>
        <v>102</v>
      </c>
      <c r="AH791" s="16">
        <v>187</v>
      </c>
      <c r="AI791" s="16">
        <v>85</v>
      </c>
      <c r="AK791" s="16">
        <v>31</v>
      </c>
      <c r="AL791" s="16">
        <v>1</v>
      </c>
      <c r="AM791" s="16">
        <v>0</v>
      </c>
      <c r="AN791" s="16">
        <v>0</v>
      </c>
      <c r="AO791" s="16">
        <f>IF(SUM(AL791:AN791)&gt;0,1,0)</f>
        <v>1</v>
      </c>
      <c r="AP791" s="16">
        <f>SUM(AL791:AN791)</f>
        <v>1</v>
      </c>
      <c r="AQ791" s="16">
        <v>1.7749999999999999</v>
      </c>
      <c r="AR791" s="16">
        <v>0.29799999999999999</v>
      </c>
      <c r="AS791" s="16">
        <v>0.29799999999999999</v>
      </c>
      <c r="AT791" s="16" t="s">
        <v>205</v>
      </c>
      <c r="AV791" s="16">
        <v>1</v>
      </c>
      <c r="AW791" s="18">
        <v>0</v>
      </c>
      <c r="AX791" s="16">
        <v>0</v>
      </c>
      <c r="AY791" s="16">
        <v>0</v>
      </c>
      <c r="AZ791" s="18">
        <v>0</v>
      </c>
      <c r="BA791" s="16">
        <v>0</v>
      </c>
      <c r="BB791" s="16">
        <v>0</v>
      </c>
      <c r="BC791" s="18">
        <v>0</v>
      </c>
      <c r="BD791" s="16">
        <v>0</v>
      </c>
      <c r="BE791" s="16">
        <v>0</v>
      </c>
      <c r="BF791" s="18">
        <v>0</v>
      </c>
      <c r="BG791" s="77">
        <v>0</v>
      </c>
      <c r="BH791" s="16">
        <v>0</v>
      </c>
      <c r="BI791" s="18">
        <v>0</v>
      </c>
      <c r="BJ791" s="16">
        <v>0</v>
      </c>
      <c r="BK791" s="16">
        <v>0</v>
      </c>
      <c r="BL791" s="16">
        <f>IF(BM791&gt;0,1,0)</f>
        <v>0</v>
      </c>
      <c r="BM791" s="16">
        <f>SUM(BR791,BU791,BX791,CA791,CD791,CG791,CJ791,CM791,CP791)</f>
        <v>0</v>
      </c>
      <c r="BN791" s="16">
        <f>SUM(BW791,BZ791,CC791,CF791,CI791,CL791,CO791,CR791,BT791)</f>
        <v>0</v>
      </c>
      <c r="BO791" s="16">
        <f>IF(BP791&gt;0,1,0)</f>
        <v>0</v>
      </c>
      <c r="BP791" s="16">
        <f>SUM(BU791,BX791,CA791,CD791,BR791)</f>
        <v>0</v>
      </c>
      <c r="BQ791" s="16">
        <f>SUM(BZ791,CC791,CF791,BT791,BW791)</f>
        <v>0</v>
      </c>
      <c r="BR791" s="18">
        <v>0</v>
      </c>
      <c r="BS791" s="16">
        <v>0</v>
      </c>
      <c r="BT791" s="77">
        <f>BS791/AS791</f>
        <v>0</v>
      </c>
      <c r="BU791" s="18">
        <v>0</v>
      </c>
      <c r="BV791" s="16">
        <v>0</v>
      </c>
      <c r="BW791" s="18">
        <f>BV791/AS791</f>
        <v>0</v>
      </c>
      <c r="BX791" s="18">
        <v>0</v>
      </c>
      <c r="BY791" s="16">
        <v>0</v>
      </c>
      <c r="BZ791" s="16">
        <f>BY791/AS791</f>
        <v>0</v>
      </c>
      <c r="CA791" s="24">
        <v>0</v>
      </c>
      <c r="CB791" s="16">
        <v>0</v>
      </c>
      <c r="CC791" s="16">
        <v>0</v>
      </c>
      <c r="CD791" s="78">
        <v>0</v>
      </c>
      <c r="CE791" s="16">
        <v>0</v>
      </c>
      <c r="CF791" s="16">
        <v>0</v>
      </c>
      <c r="CP791" s="16" t="s">
        <v>123</v>
      </c>
      <c r="CQ791" s="16">
        <v>0</v>
      </c>
      <c r="CR791" s="16">
        <v>0</v>
      </c>
      <c r="CS791" s="18">
        <f>IF(CT791&gt;0,1,0)</f>
        <v>0</v>
      </c>
      <c r="CT791" s="25">
        <f>SUM(CW791,CZ791,DC791)</f>
        <v>0</v>
      </c>
      <c r="CU791" s="25"/>
      <c r="CV791" s="16">
        <v>0</v>
      </c>
      <c r="CW791" s="25">
        <v>0</v>
      </c>
      <c r="CX791" s="16">
        <v>0</v>
      </c>
      <c r="CY791" s="16">
        <v>0</v>
      </c>
      <c r="CZ791" s="18">
        <v>0</v>
      </c>
      <c r="DA791" s="16">
        <v>0</v>
      </c>
      <c r="DB791" s="16">
        <v>0</v>
      </c>
      <c r="DC791" s="18">
        <v>0</v>
      </c>
      <c r="DD791" s="16">
        <v>0</v>
      </c>
      <c r="DE791" s="16">
        <v>0</v>
      </c>
      <c r="DF791" s="16" t="e">
        <f>VLOOKUP(K791,'[3]RNA Seq summary tables'!$V$3:$V$99,1,FALSE)</f>
        <v>#N/A</v>
      </c>
      <c r="JR791" s="26"/>
      <c r="JS791" s="26"/>
      <c r="JT791" s="26"/>
      <c r="JU791" s="26"/>
      <c r="JV791" s="26"/>
      <c r="JW791" s="26"/>
      <c r="JX791" s="26"/>
      <c r="JY791" s="26"/>
      <c r="JZ791" s="26"/>
      <c r="KA791" s="26"/>
      <c r="KB791" s="26"/>
    </row>
    <row r="792" spans="1:288" x14ac:dyDescent="0.2">
      <c r="B792" s="16">
        <v>2016</v>
      </c>
      <c r="C792" s="65">
        <v>42586</v>
      </c>
      <c r="D792" s="65" t="str">
        <f>CONCATENATE(J792,"-",C792)</f>
        <v>959-42586</v>
      </c>
      <c r="E792" s="20" t="str">
        <f>CONCATENATE(T792,"-",U792,"-",C792)</f>
        <v>PO2-F7-42586</v>
      </c>
      <c r="F792" s="37" t="s">
        <v>106</v>
      </c>
      <c r="G792" s="65" t="s">
        <v>107</v>
      </c>
      <c r="H792" s="25" t="s">
        <v>223</v>
      </c>
      <c r="I792" s="16">
        <v>0</v>
      </c>
      <c r="J792" s="15">
        <v>959</v>
      </c>
      <c r="K792" s="15">
        <v>1531</v>
      </c>
      <c r="L792" s="16">
        <v>1</v>
      </c>
      <c r="M792" s="15">
        <f>VLOOKUP(K792,'[7]MLBS 2016 SNV-nem Coinfection d'!$C$1:$G$238,4,FALSE)</f>
        <v>0</v>
      </c>
      <c r="N792" s="15">
        <v>0</v>
      </c>
      <c r="O792" s="15" t="s">
        <v>214</v>
      </c>
      <c r="P792" s="23" t="s">
        <v>110</v>
      </c>
      <c r="Q792" s="16">
        <v>1</v>
      </c>
      <c r="R792" s="23">
        <v>14</v>
      </c>
      <c r="S792" s="23"/>
      <c r="T792" s="23" t="s">
        <v>127</v>
      </c>
      <c r="U792" s="23" t="s">
        <v>189</v>
      </c>
      <c r="V792" s="23" t="s">
        <v>114</v>
      </c>
      <c r="W792" s="16">
        <f>AI792/AG792</f>
        <v>0.8529411764705882</v>
      </c>
      <c r="X792" s="23" t="s">
        <v>121</v>
      </c>
      <c r="Y792" s="23" t="s">
        <v>110</v>
      </c>
      <c r="Z792" s="23">
        <v>3</v>
      </c>
      <c r="AA792" s="23" t="s">
        <v>161</v>
      </c>
      <c r="AB792" s="23" t="s">
        <v>116</v>
      </c>
      <c r="AC792" s="23" t="s">
        <v>123</v>
      </c>
      <c r="AD792" s="23" t="s">
        <v>116</v>
      </c>
      <c r="AE792" s="23"/>
      <c r="AF792" s="23"/>
      <c r="AG792" s="23">
        <f>AH792-AI792</f>
        <v>102</v>
      </c>
      <c r="AH792" s="23">
        <v>189</v>
      </c>
      <c r="AI792" s="23">
        <v>87</v>
      </c>
      <c r="AJ792" s="18"/>
      <c r="AK792" s="23">
        <v>34</v>
      </c>
      <c r="AL792" s="23">
        <v>1</v>
      </c>
      <c r="AM792" s="23">
        <v>0</v>
      </c>
      <c r="AN792" s="23">
        <v>0</v>
      </c>
      <c r="AO792" s="23">
        <f>IF(SUM(AL792:AN792)&gt;0,1,0)</f>
        <v>1</v>
      </c>
      <c r="AP792" s="23">
        <f>SUM(AL792:AN792)</f>
        <v>1</v>
      </c>
      <c r="AQ792" s="23">
        <v>1.657</v>
      </c>
      <c r="AR792" s="23">
        <v>0.18</v>
      </c>
      <c r="AS792" s="23">
        <v>0.18</v>
      </c>
      <c r="AT792" s="16" t="s">
        <v>205</v>
      </c>
      <c r="AW792" s="22">
        <v>1</v>
      </c>
      <c r="AX792" s="16">
        <v>3</v>
      </c>
      <c r="AY792" s="16">
        <f>(4+13+5)/AS792</f>
        <v>122.22222222222223</v>
      </c>
      <c r="AZ792" s="18">
        <v>1</v>
      </c>
      <c r="BA792" s="16">
        <v>2</v>
      </c>
      <c r="BB792" s="16">
        <f>(4+13)/AS792</f>
        <v>94.444444444444443</v>
      </c>
      <c r="BC792" s="16">
        <v>1</v>
      </c>
      <c r="BD792" s="16">
        <v>4</v>
      </c>
      <c r="BE792" s="16">
        <f>4/AS792</f>
        <v>22.222222222222221</v>
      </c>
      <c r="BF792" s="18">
        <v>1</v>
      </c>
      <c r="BG792" s="77">
        <v>13</v>
      </c>
      <c r="BH792" s="16">
        <f>13/AS792</f>
        <v>72.222222222222229</v>
      </c>
      <c r="BI792" s="18">
        <v>0</v>
      </c>
      <c r="BJ792" s="16">
        <v>0</v>
      </c>
      <c r="BK792" s="16">
        <v>0</v>
      </c>
      <c r="BL792" s="16">
        <f>IF(BM792&gt;0,1,0)</f>
        <v>0</v>
      </c>
      <c r="BM792" s="16">
        <f>SUM(BR792,BU792,BX792,CA792,CD792,CG792,CJ792,CM792,CP792)</f>
        <v>0</v>
      </c>
      <c r="BN792" s="16">
        <f>SUM(BW792,BZ792,CC792,CF792,CI792,CL792,CO792,CR792,BT792)</f>
        <v>0</v>
      </c>
      <c r="BO792" s="16">
        <f>IF(BP792&gt;0,1,0)</f>
        <v>0</v>
      </c>
      <c r="BP792" s="16">
        <f>SUM(BU792,BX792,CA792,CD792,BR792)</f>
        <v>0</v>
      </c>
      <c r="BQ792" s="16">
        <f>SUM(BZ792,CC792,CF792,BT792,BW792)</f>
        <v>0</v>
      </c>
      <c r="BR792" s="18">
        <v>0</v>
      </c>
      <c r="BS792" s="16">
        <v>0</v>
      </c>
      <c r="BT792" s="77">
        <f>BS792/AS792</f>
        <v>0</v>
      </c>
      <c r="BU792" s="18">
        <v>0</v>
      </c>
      <c r="BV792" s="16">
        <v>0</v>
      </c>
      <c r="BW792" s="18">
        <f>BV792/AS792</f>
        <v>0</v>
      </c>
      <c r="BX792" s="18">
        <v>0</v>
      </c>
      <c r="BY792" s="16">
        <v>0</v>
      </c>
      <c r="BZ792" s="16">
        <f>BY792/AS792</f>
        <v>0</v>
      </c>
      <c r="CA792" s="24">
        <v>0</v>
      </c>
      <c r="CB792" s="16">
        <v>0</v>
      </c>
      <c r="CC792" s="16">
        <v>0</v>
      </c>
      <c r="CD792" s="78">
        <v>0</v>
      </c>
      <c r="CE792" s="16">
        <v>0</v>
      </c>
      <c r="CF792" s="16">
        <v>0</v>
      </c>
      <c r="CP792" s="16" t="s">
        <v>123</v>
      </c>
      <c r="CQ792" s="16">
        <v>0</v>
      </c>
      <c r="CR792" s="16">
        <v>0</v>
      </c>
      <c r="CS792" s="18">
        <f>IF(CT792&gt;0,1,0)</f>
        <v>1</v>
      </c>
      <c r="CT792" s="25">
        <f>SUM(CW792,CZ792,DC792)</f>
        <v>1</v>
      </c>
      <c r="CU792" s="25"/>
      <c r="CV792" s="16">
        <f>5/AS792</f>
        <v>27.777777777777779</v>
      </c>
      <c r="CW792" s="22">
        <v>1</v>
      </c>
      <c r="CX792" s="16">
        <v>5</v>
      </c>
      <c r="CY792" s="16">
        <f>5/AS792</f>
        <v>27.777777777777779</v>
      </c>
      <c r="CZ792" s="18">
        <v>0</v>
      </c>
      <c r="DA792" s="16">
        <v>0</v>
      </c>
      <c r="DB792" s="16">
        <v>0</v>
      </c>
      <c r="DC792" s="18">
        <v>0</v>
      </c>
      <c r="DD792" s="23">
        <v>0</v>
      </c>
      <c r="DE792" s="23">
        <v>0</v>
      </c>
      <c r="DF792" s="16">
        <f>VLOOKUP(K792,'[3]RNA Seq summary tables'!$V$3:$V$99,1,FALSE)</f>
        <v>1531</v>
      </c>
      <c r="DI792" s="23"/>
      <c r="DJ792" s="23"/>
      <c r="DK792" s="23"/>
      <c r="DL792" s="23"/>
      <c r="DM792" s="23"/>
      <c r="DN792" s="23"/>
      <c r="DO792" s="23"/>
      <c r="DP792" s="23"/>
      <c r="DQ792" s="23"/>
      <c r="DR792" s="23"/>
      <c r="DS792" s="23"/>
      <c r="JP792" s="26"/>
      <c r="JQ792" s="26"/>
    </row>
    <row r="793" spans="1:288" s="18" customFormat="1" x14ac:dyDescent="0.2">
      <c r="B793" s="16">
        <v>2016</v>
      </c>
      <c r="C793" s="20">
        <v>42534</v>
      </c>
      <c r="D793" s="20" t="str">
        <f>CONCATENATE(J793,"-",C793)</f>
        <v>962-42534</v>
      </c>
      <c r="E793" s="20" t="str">
        <f>CONCATENATE(T793,"-",U793,"-",C793)</f>
        <v>HW2-F8-42534</v>
      </c>
      <c r="F793" s="20" t="s">
        <v>106</v>
      </c>
      <c r="G793" s="20" t="s">
        <v>107</v>
      </c>
      <c r="H793" s="16" t="s">
        <v>125</v>
      </c>
      <c r="I793" s="16">
        <v>0</v>
      </c>
      <c r="J793" s="21">
        <v>962</v>
      </c>
      <c r="K793" s="21">
        <v>1370</v>
      </c>
      <c r="L793" s="16">
        <v>0</v>
      </c>
      <c r="M793" s="15">
        <f>VLOOKUP(K793,'[7]MLBS 2016 SNV-nem Coinfection d'!$C$1:$G$238,4,FALSE)</f>
        <v>0</v>
      </c>
      <c r="N793" s="15">
        <v>0</v>
      </c>
      <c r="O793" s="15" t="s">
        <v>214</v>
      </c>
      <c r="P793" s="16" t="s">
        <v>308</v>
      </c>
      <c r="Q793" s="16">
        <v>0</v>
      </c>
      <c r="R793" s="16" t="s">
        <v>111</v>
      </c>
      <c r="S793" s="16"/>
      <c r="T793" s="16" t="s">
        <v>129</v>
      </c>
      <c r="U793" s="16" t="s">
        <v>138</v>
      </c>
      <c r="V793" s="16" t="s">
        <v>114</v>
      </c>
      <c r="W793" s="16">
        <f>AI793/AG793</f>
        <v>0.8</v>
      </c>
      <c r="X793" s="16" t="s">
        <v>115</v>
      </c>
      <c r="Y793" s="16" t="s">
        <v>122</v>
      </c>
      <c r="Z793" s="16">
        <v>2.9</v>
      </c>
      <c r="AA793" s="16"/>
      <c r="AB793" s="16"/>
      <c r="AC793" s="16"/>
      <c r="AD793" s="16"/>
      <c r="AE793" s="16" t="s">
        <v>123</v>
      </c>
      <c r="AF793" s="16" t="s">
        <v>123</v>
      </c>
      <c r="AG793" s="16">
        <f>AH793-AI793</f>
        <v>80</v>
      </c>
      <c r="AH793" s="16">
        <v>144</v>
      </c>
      <c r="AI793" s="16">
        <v>64</v>
      </c>
      <c r="AJ793" s="16"/>
      <c r="AK793" s="16">
        <v>13.5</v>
      </c>
      <c r="AL793" s="16">
        <v>0</v>
      </c>
      <c r="AM793" s="16">
        <v>1</v>
      </c>
      <c r="AN793" s="16">
        <v>0</v>
      </c>
      <c r="AO793" s="16">
        <f>IF(SUM(AL793:AN793)&gt;0,1,0)</f>
        <v>1</v>
      </c>
      <c r="AP793" s="16">
        <f>SUM(AL793:AN793)</f>
        <v>1</v>
      </c>
      <c r="AQ793" s="16">
        <f>0.051+1.477</f>
        <v>1.528</v>
      </c>
      <c r="AR793" s="16">
        <v>5.0999999999999997E-2</v>
      </c>
      <c r="AS793" s="16">
        <v>5.0999999999999997E-2</v>
      </c>
      <c r="AT793" s="16" t="s">
        <v>124</v>
      </c>
      <c r="AU793" s="16"/>
      <c r="AV793" s="16"/>
      <c r="AW793" s="22">
        <v>1</v>
      </c>
      <c r="AX793" s="16"/>
      <c r="AY793" s="16">
        <f>(392+1835+41)/AS793</f>
        <v>44470.588235294119</v>
      </c>
      <c r="AZ793" s="18">
        <v>1</v>
      </c>
      <c r="BA793" s="16"/>
      <c r="BB793" s="16">
        <f>AY793</f>
        <v>44470.588235294119</v>
      </c>
      <c r="BC793" s="16">
        <v>1</v>
      </c>
      <c r="BD793" s="16">
        <v>392</v>
      </c>
      <c r="BE793" s="16">
        <f>392/AS793</f>
        <v>7686.2745098039222</v>
      </c>
      <c r="BF793" s="18">
        <v>1</v>
      </c>
      <c r="BG793" s="77">
        <v>1835</v>
      </c>
      <c r="BH793" s="16">
        <f>1835/AS793</f>
        <v>35980.392156862748</v>
      </c>
      <c r="BI793" s="16">
        <v>1</v>
      </c>
      <c r="BJ793" s="16">
        <v>41</v>
      </c>
      <c r="BK793" s="16">
        <f>41/AS793</f>
        <v>803.92156862745105</v>
      </c>
      <c r="BL793" s="16">
        <f>IF(BM793&gt;0,1,0)</f>
        <v>0</v>
      </c>
      <c r="BM793" s="16">
        <f>SUM(BR793,BU793,BX793,CA793,CD793,CG793,CJ793,CM793,CP793)</f>
        <v>0</v>
      </c>
      <c r="BN793" s="16">
        <f>SUM(BW793,BZ793,CC793,CF793,CI793,CL793,CO793,CR793,BT793)</f>
        <v>0</v>
      </c>
      <c r="BO793" s="16">
        <f>IF(BP793&gt;0,1,0)</f>
        <v>0</v>
      </c>
      <c r="BP793" s="16">
        <f>SUM(BU793,BX793,CA793,CD793,BR793)</f>
        <v>0</v>
      </c>
      <c r="BQ793" s="16">
        <f>SUM(BZ793,CC793,CF793,BT793,BW793)</f>
        <v>0</v>
      </c>
      <c r="BR793" s="18">
        <v>0</v>
      </c>
      <c r="BS793" s="16">
        <v>0</v>
      </c>
      <c r="BT793" s="77">
        <f>BS793/AS793</f>
        <v>0</v>
      </c>
      <c r="BU793" s="18">
        <v>0</v>
      </c>
      <c r="BV793" s="16">
        <v>0</v>
      </c>
      <c r="BW793" s="18">
        <f>BV793/AS793</f>
        <v>0</v>
      </c>
      <c r="BX793" s="18">
        <v>0</v>
      </c>
      <c r="BY793" s="16">
        <v>0</v>
      </c>
      <c r="BZ793" s="16">
        <f>BY793/AS793</f>
        <v>0</v>
      </c>
      <c r="CA793" s="24">
        <v>0</v>
      </c>
      <c r="CB793" s="16">
        <v>0</v>
      </c>
      <c r="CC793" s="16">
        <v>0</v>
      </c>
      <c r="CD793" s="78">
        <v>0</v>
      </c>
      <c r="CE793" s="16">
        <v>0</v>
      </c>
      <c r="CF793" s="16">
        <v>0</v>
      </c>
      <c r="CG793" s="16"/>
      <c r="CH793" s="16"/>
      <c r="CI793" s="16"/>
      <c r="CJ793" s="16"/>
      <c r="CK793" s="16"/>
      <c r="CL793" s="16"/>
      <c r="CM793" s="16"/>
      <c r="CN793" s="16"/>
      <c r="CO793" s="16"/>
      <c r="CP793" s="16" t="s">
        <v>123</v>
      </c>
      <c r="CQ793" s="16">
        <v>0</v>
      </c>
      <c r="CR793" s="16">
        <v>0</v>
      </c>
      <c r="CS793" s="18">
        <f>IF(CT793&gt;0,1,0)</f>
        <v>0</v>
      </c>
      <c r="CT793" s="25">
        <f>SUM(CW793,CZ793,DC793)</f>
        <v>0</v>
      </c>
      <c r="CU793" s="25"/>
      <c r="CV793" s="16">
        <v>0</v>
      </c>
      <c r="CW793" s="25">
        <v>0</v>
      </c>
      <c r="CX793" s="16">
        <v>0</v>
      </c>
      <c r="CY793" s="16">
        <v>0</v>
      </c>
      <c r="CZ793" s="18">
        <v>0</v>
      </c>
      <c r="DA793" s="16">
        <v>0</v>
      </c>
      <c r="DB793" s="16">
        <v>0</v>
      </c>
      <c r="DC793" s="18">
        <v>0</v>
      </c>
      <c r="DD793" s="16">
        <v>0</v>
      </c>
      <c r="DE793" s="16">
        <v>0</v>
      </c>
      <c r="DF793" s="16" t="e">
        <f>VLOOKUP(K793,'[3]RNA Seq summary tables'!$V$3:$V$99,1,FALSE)</f>
        <v>#N/A</v>
      </c>
      <c r="DG793" s="16"/>
      <c r="DH793" s="16"/>
      <c r="DI793" s="16"/>
      <c r="DJ793" s="16"/>
      <c r="DK793" s="16"/>
      <c r="DL793" s="16"/>
      <c r="DM793" s="16"/>
      <c r="DN793" s="16"/>
      <c r="DO793" s="16"/>
      <c r="DP793" s="16"/>
      <c r="DQ793" s="16"/>
      <c r="DR793" s="16"/>
      <c r="DS793" s="16"/>
      <c r="JO793" s="16"/>
      <c r="JP793" s="16"/>
      <c r="JQ793" s="16"/>
      <c r="JR793" s="16"/>
      <c r="JS793" s="16"/>
      <c r="JT793" s="16"/>
      <c r="JU793" s="16"/>
      <c r="JV793" s="16"/>
      <c r="JW793" s="16"/>
      <c r="JX793" s="16"/>
      <c r="JY793" s="16"/>
      <c r="JZ793" s="16"/>
      <c r="KA793" s="16"/>
      <c r="KB793" s="16"/>
    </row>
    <row r="794" spans="1:288" x14ac:dyDescent="0.2">
      <c r="B794" s="16">
        <v>2016</v>
      </c>
      <c r="C794" s="20">
        <v>42534</v>
      </c>
      <c r="D794" s="20" t="str">
        <f>CONCATENATE(J794,"-",C794)</f>
        <v>964-42534</v>
      </c>
      <c r="E794" s="20" t="str">
        <f>CONCATENATE(T794,"-",U794,"-",C794)</f>
        <v>HW1-H5-42534</v>
      </c>
      <c r="F794" s="20" t="s">
        <v>106</v>
      </c>
      <c r="G794" s="20" t="s">
        <v>107</v>
      </c>
      <c r="H794" s="16" t="s">
        <v>125</v>
      </c>
      <c r="I794" s="16">
        <v>0</v>
      </c>
      <c r="J794" s="21">
        <v>964</v>
      </c>
      <c r="K794" s="21">
        <v>1373</v>
      </c>
      <c r="L794" s="16">
        <v>0</v>
      </c>
      <c r="M794" s="15">
        <f>VLOOKUP(K794,'[7]MLBS 2016 SNV-nem Coinfection d'!$C$1:$G$238,4,FALSE)</f>
        <v>0</v>
      </c>
      <c r="N794" s="15">
        <v>0</v>
      </c>
      <c r="O794" s="15" t="s">
        <v>214</v>
      </c>
      <c r="P794" s="16" t="s">
        <v>308</v>
      </c>
      <c r="Q794" s="16">
        <v>0</v>
      </c>
      <c r="R794" s="16" t="s">
        <v>111</v>
      </c>
      <c r="T794" s="16" t="s">
        <v>133</v>
      </c>
      <c r="U794" s="16" t="s">
        <v>180</v>
      </c>
      <c r="V794" s="16" t="s">
        <v>114</v>
      </c>
      <c r="W794" s="16">
        <f>AI794/AG794</f>
        <v>0.88461538461538458</v>
      </c>
      <c r="X794" s="16" t="s">
        <v>121</v>
      </c>
      <c r="Y794" s="16" t="s">
        <v>110</v>
      </c>
      <c r="Z794" s="16">
        <v>3</v>
      </c>
      <c r="AA794" s="16" t="s">
        <v>119</v>
      </c>
      <c r="AB794" s="16" t="s">
        <v>123</v>
      </c>
      <c r="AC794" s="16" t="s">
        <v>123</v>
      </c>
      <c r="AD794" s="16" t="s">
        <v>123</v>
      </c>
      <c r="AG794" s="16">
        <f>AH794-AI794</f>
        <v>78</v>
      </c>
      <c r="AH794" s="16">
        <v>147</v>
      </c>
      <c r="AI794" s="16">
        <v>69</v>
      </c>
      <c r="AK794" s="16">
        <v>14</v>
      </c>
      <c r="AL794" s="16">
        <v>0</v>
      </c>
      <c r="AM794" s="16">
        <v>0</v>
      </c>
      <c r="AN794" s="16">
        <v>0</v>
      </c>
      <c r="AO794" s="16">
        <f>IF(SUM(AL794:AN794)&gt;0,1,0)</f>
        <v>0</v>
      </c>
      <c r="AP794" s="16">
        <f>SUM(AL794:AN794)</f>
        <v>0</v>
      </c>
      <c r="AR794" s="16">
        <v>0.11</v>
      </c>
      <c r="AS794" s="16">
        <v>0.11</v>
      </c>
      <c r="AT794" s="18" t="s">
        <v>117</v>
      </c>
      <c r="AU794" s="18"/>
      <c r="AW794" s="22">
        <v>1</v>
      </c>
      <c r="AY794" s="16">
        <f>377/0.11</f>
        <v>3427.2727272727275</v>
      </c>
      <c r="AZ794" s="18">
        <v>1</v>
      </c>
      <c r="BB794" s="16">
        <f>377/0.11</f>
        <v>3427.2727272727275</v>
      </c>
      <c r="BC794" s="16">
        <v>1</v>
      </c>
      <c r="BD794" s="16">
        <v>1</v>
      </c>
      <c r="BE794" s="16">
        <f>1/0.11</f>
        <v>9.0909090909090917</v>
      </c>
      <c r="BF794" s="18">
        <v>1</v>
      </c>
      <c r="BG794" s="77">
        <v>374</v>
      </c>
      <c r="BH794" s="16">
        <f>374/0.11</f>
        <v>3400</v>
      </c>
      <c r="BI794" s="16">
        <v>1</v>
      </c>
      <c r="BJ794" s="16">
        <v>2</v>
      </c>
      <c r="BK794" s="16">
        <f>2/0.11</f>
        <v>18.181818181818183</v>
      </c>
      <c r="BL794" s="16">
        <f>IF(BM794&gt;0,1,0)</f>
        <v>0</v>
      </c>
      <c r="BM794" s="16">
        <f>SUM(BR794,BU794,BX794,CA794,CD794,CG794,CJ794,CM794,CP794)</f>
        <v>0</v>
      </c>
      <c r="BN794" s="16">
        <f>SUM(BW794,BZ794,CC794,CF794,CI794,CL794,CO794,CR794,BT794)</f>
        <v>0</v>
      </c>
      <c r="BO794" s="16">
        <f>IF(BP794&gt;0,1,0)</f>
        <v>0</v>
      </c>
      <c r="BP794" s="16">
        <f>SUM(BU794,BX794,CA794,CD794,BR794)</f>
        <v>0</v>
      </c>
      <c r="BQ794" s="16">
        <f>SUM(BZ794,CC794,CF794,BT794,BW794)</f>
        <v>0</v>
      </c>
      <c r="BR794" s="18">
        <v>0</v>
      </c>
      <c r="BS794" s="16">
        <v>0</v>
      </c>
      <c r="BT794" s="77">
        <f>BS794/AS794</f>
        <v>0</v>
      </c>
      <c r="BU794" s="18">
        <v>0</v>
      </c>
      <c r="BV794" s="16">
        <v>0</v>
      </c>
      <c r="BW794" s="18">
        <f>BV794/AS794</f>
        <v>0</v>
      </c>
      <c r="BX794" s="18">
        <v>0</v>
      </c>
      <c r="BY794" s="16">
        <v>0</v>
      </c>
      <c r="BZ794" s="16">
        <f>BY794/AS794</f>
        <v>0</v>
      </c>
      <c r="CA794" s="24">
        <v>0</v>
      </c>
      <c r="CB794" s="16">
        <v>0</v>
      </c>
      <c r="CC794" s="16">
        <v>0</v>
      </c>
      <c r="CD794" s="78">
        <v>0</v>
      </c>
      <c r="CE794" s="16">
        <v>0</v>
      </c>
      <c r="CF794" s="16">
        <v>0</v>
      </c>
      <c r="CP794" s="16" t="s">
        <v>123</v>
      </c>
      <c r="CQ794" s="16">
        <v>0</v>
      </c>
      <c r="CR794" s="16">
        <v>0</v>
      </c>
      <c r="CS794" s="18">
        <f>IF(CT794&gt;0,1,0)</f>
        <v>0</v>
      </c>
      <c r="CT794" s="25">
        <f>SUM(CW794,CZ794,DC794)</f>
        <v>0</v>
      </c>
      <c r="CU794" s="25"/>
      <c r="CV794" s="16">
        <v>0</v>
      </c>
      <c r="CW794" s="25">
        <v>0</v>
      </c>
      <c r="CX794" s="16">
        <v>0</v>
      </c>
      <c r="CY794" s="16">
        <v>0</v>
      </c>
      <c r="CZ794" s="18">
        <v>0</v>
      </c>
      <c r="DA794" s="16">
        <v>0</v>
      </c>
      <c r="DB794" s="16">
        <v>0</v>
      </c>
      <c r="DC794" s="18">
        <v>0</v>
      </c>
      <c r="DD794" s="16">
        <v>0</v>
      </c>
      <c r="DE794" s="16">
        <v>0</v>
      </c>
      <c r="DF794" s="16" t="e">
        <f>VLOOKUP(K794,'[3]RNA Seq summary tables'!$V$3:$V$99,1,FALSE)</f>
        <v>#N/A</v>
      </c>
    </row>
    <row r="795" spans="1:288" x14ac:dyDescent="0.2">
      <c r="B795" s="16">
        <v>2016</v>
      </c>
      <c r="C795" s="20">
        <v>42549</v>
      </c>
      <c r="D795" s="20" t="str">
        <f>CONCATENATE(J795,"-",C795)</f>
        <v>964-42549</v>
      </c>
      <c r="E795" s="20" t="str">
        <f>CONCATENATE(T795,"-",U795,"-",C795)</f>
        <v>HW1-G4-42549</v>
      </c>
      <c r="F795" s="20" t="s">
        <v>106</v>
      </c>
      <c r="G795" s="20" t="s">
        <v>107</v>
      </c>
      <c r="I795" s="16">
        <v>0</v>
      </c>
      <c r="J795" s="21">
        <v>964</v>
      </c>
      <c r="K795" s="21">
        <v>1433</v>
      </c>
      <c r="L795" s="18">
        <v>0</v>
      </c>
      <c r="M795" s="15">
        <f>VLOOKUP(K795,'[7]MLBS 2016 SNV-nem Coinfection d'!$C$1:$G$238,4,FALSE)</f>
        <v>0</v>
      </c>
      <c r="N795" s="15">
        <v>0</v>
      </c>
      <c r="O795" s="15" t="s">
        <v>214</v>
      </c>
      <c r="P795" s="16" t="s">
        <v>110</v>
      </c>
      <c r="Q795" s="16">
        <v>1</v>
      </c>
      <c r="R795" s="16">
        <v>15</v>
      </c>
      <c r="T795" s="16" t="s">
        <v>133</v>
      </c>
      <c r="U795" s="16" t="s">
        <v>173</v>
      </c>
      <c r="V795" s="16" t="s">
        <v>114</v>
      </c>
      <c r="W795" s="16">
        <f>AI795/AG795</f>
        <v>0.83950617283950613</v>
      </c>
      <c r="X795" s="16" t="s">
        <v>121</v>
      </c>
      <c r="Y795" s="16" t="s">
        <v>110</v>
      </c>
      <c r="Z795" s="16">
        <v>3</v>
      </c>
      <c r="AA795" s="16" t="s">
        <v>161</v>
      </c>
      <c r="AB795" s="16" t="s">
        <v>123</v>
      </c>
      <c r="AC795" s="16" t="s">
        <v>123</v>
      </c>
      <c r="AD795" s="16" t="s">
        <v>116</v>
      </c>
      <c r="AG795" s="16">
        <f>AH795-AI795</f>
        <v>81</v>
      </c>
      <c r="AH795" s="16">
        <v>149</v>
      </c>
      <c r="AI795" s="16">
        <v>68</v>
      </c>
      <c r="AK795" s="16">
        <v>17.5</v>
      </c>
      <c r="AL795" s="16">
        <v>0</v>
      </c>
      <c r="AM795" s="16">
        <v>0</v>
      </c>
      <c r="AN795" s="16">
        <v>0</v>
      </c>
      <c r="AO795" s="16">
        <f>IF(SUM(AL795:AN795)&gt;0,1,0)</f>
        <v>0</v>
      </c>
      <c r="AP795" s="16">
        <f>SUM(AL795:AN795)</f>
        <v>0</v>
      </c>
      <c r="AQ795" s="16">
        <v>1.917</v>
      </c>
      <c r="AR795" s="16">
        <v>0.44</v>
      </c>
      <c r="AS795" s="16">
        <v>0.44</v>
      </c>
      <c r="AT795" s="16" t="s">
        <v>124</v>
      </c>
      <c r="AW795" s="22">
        <v>1</v>
      </c>
      <c r="AY795" s="16">
        <f>(49+62+16)/AS795</f>
        <v>288.63636363636363</v>
      </c>
      <c r="AZ795" s="18">
        <v>1</v>
      </c>
      <c r="BB795" s="16">
        <f>AY795</f>
        <v>288.63636363636363</v>
      </c>
      <c r="BC795" s="16">
        <v>1</v>
      </c>
      <c r="BD795" s="16">
        <v>49</v>
      </c>
      <c r="BE795" s="16">
        <f>49/AS795</f>
        <v>111.36363636363636</v>
      </c>
      <c r="BF795" s="18">
        <v>1</v>
      </c>
      <c r="BG795" s="77">
        <v>62</v>
      </c>
      <c r="BH795" s="16">
        <f>62/AS795</f>
        <v>140.90909090909091</v>
      </c>
      <c r="BI795" s="16">
        <v>1</v>
      </c>
      <c r="BJ795" s="16">
        <v>16</v>
      </c>
      <c r="BK795" s="16">
        <f>16/AS795</f>
        <v>36.363636363636367</v>
      </c>
      <c r="BL795" s="16">
        <f>IF(BM795&gt;0,1,0)</f>
        <v>0</v>
      </c>
      <c r="BM795" s="16">
        <f>SUM(BR795,BU795,BX795,CA795,CD795,CG795,CJ795,CM795,CP795)</f>
        <v>0</v>
      </c>
      <c r="BN795" s="16">
        <f>SUM(BW795,BZ795,CC795,CF795,CI795,CL795,CO795,CR795,BT795)</f>
        <v>0</v>
      </c>
      <c r="BO795" s="16">
        <f>IF(BP795&gt;0,1,0)</f>
        <v>0</v>
      </c>
      <c r="BP795" s="16">
        <f>SUM(BU795,BX795,CA795,CD795,BR795)</f>
        <v>0</v>
      </c>
      <c r="BQ795" s="16">
        <f>SUM(BZ795,CC795,CF795,BT795,BW795)</f>
        <v>0</v>
      </c>
      <c r="BR795" s="18">
        <v>0</v>
      </c>
      <c r="BS795" s="16">
        <v>0</v>
      </c>
      <c r="BT795" s="77">
        <f>BS795/AS795</f>
        <v>0</v>
      </c>
      <c r="BU795" s="18">
        <v>0</v>
      </c>
      <c r="BV795" s="16">
        <v>0</v>
      </c>
      <c r="BW795" s="18">
        <f>BV795/AS795</f>
        <v>0</v>
      </c>
      <c r="BX795" s="18">
        <v>0</v>
      </c>
      <c r="BY795" s="16">
        <v>0</v>
      </c>
      <c r="BZ795" s="16">
        <f>BY795/AS795</f>
        <v>0</v>
      </c>
      <c r="CA795" s="24">
        <v>0</v>
      </c>
      <c r="CB795" s="16">
        <v>0</v>
      </c>
      <c r="CC795" s="16">
        <v>0</v>
      </c>
      <c r="CD795" s="78">
        <v>0</v>
      </c>
      <c r="CE795" s="16">
        <v>0</v>
      </c>
      <c r="CF795" s="16">
        <v>0</v>
      </c>
      <c r="CP795" s="16" t="s">
        <v>123</v>
      </c>
      <c r="CQ795" s="16">
        <v>0</v>
      </c>
      <c r="CR795" s="16">
        <v>0</v>
      </c>
      <c r="CS795" s="18">
        <f>IF(CT795&gt;0,1,0)</f>
        <v>0</v>
      </c>
      <c r="CT795" s="25">
        <f>SUM(CW795,CZ795,DC795)</f>
        <v>0</v>
      </c>
      <c r="CU795" s="25"/>
      <c r="CV795" s="16">
        <v>0</v>
      </c>
      <c r="CW795" s="25">
        <v>0</v>
      </c>
      <c r="CX795" s="16">
        <v>0</v>
      </c>
      <c r="CY795" s="16">
        <v>0</v>
      </c>
      <c r="CZ795" s="18">
        <v>0</v>
      </c>
      <c r="DA795" s="16">
        <v>0</v>
      </c>
      <c r="DB795" s="16">
        <v>0</v>
      </c>
      <c r="DC795" s="18">
        <v>0</v>
      </c>
      <c r="DD795" s="16">
        <v>0</v>
      </c>
      <c r="DE795" s="16">
        <v>0</v>
      </c>
      <c r="DF795" s="16" t="e">
        <f>VLOOKUP(K795,'[3]RNA Seq summary tables'!$V$3:$V$99,1,FALSE)</f>
        <v>#N/A</v>
      </c>
    </row>
    <row r="796" spans="1:288" x14ac:dyDescent="0.2">
      <c r="B796" s="16">
        <v>2016</v>
      </c>
      <c r="C796" s="20">
        <v>42536</v>
      </c>
      <c r="D796" s="20" t="str">
        <f>CONCATENATE(J796,"-",C796)</f>
        <v>966-42536</v>
      </c>
      <c r="E796" s="20" t="str">
        <f>CONCATENATE(T796,"-",U796,"-",C796)</f>
        <v>HW1-F6-42536</v>
      </c>
      <c r="F796" s="20" t="s">
        <v>106</v>
      </c>
      <c r="G796" s="20" t="s">
        <v>107</v>
      </c>
      <c r="H796" s="16" t="s">
        <v>125</v>
      </c>
      <c r="I796" s="16">
        <v>0</v>
      </c>
      <c r="J796" s="21">
        <v>966</v>
      </c>
      <c r="K796" s="21">
        <v>1375</v>
      </c>
      <c r="L796" s="16">
        <v>0</v>
      </c>
      <c r="M796" s="15">
        <f>VLOOKUP(K796,'[7]MLBS 2016 SNV-nem Coinfection d'!$C$1:$G$238,4,FALSE)</f>
        <v>0</v>
      </c>
      <c r="N796" s="15">
        <v>0</v>
      </c>
      <c r="O796" s="15" t="s">
        <v>214</v>
      </c>
      <c r="P796" s="16" t="s">
        <v>308</v>
      </c>
      <c r="Q796" s="16">
        <v>0</v>
      </c>
      <c r="R796" s="16" t="s">
        <v>111</v>
      </c>
      <c r="T796" s="16" t="s">
        <v>133</v>
      </c>
      <c r="U796" s="16" t="s">
        <v>170</v>
      </c>
      <c r="V796" s="16" t="s">
        <v>114</v>
      </c>
      <c r="W796" s="16">
        <f>AI796/AG796</f>
        <v>0.81052631578947365</v>
      </c>
      <c r="X796" s="16" t="s">
        <v>115</v>
      </c>
      <c r="Y796" s="16" t="s">
        <v>110</v>
      </c>
      <c r="Z796" s="16">
        <v>3</v>
      </c>
      <c r="AE796" s="16" t="s">
        <v>123</v>
      </c>
      <c r="AF796" s="16" t="s">
        <v>123</v>
      </c>
      <c r="AG796" s="16">
        <f>AH796-AI796</f>
        <v>95</v>
      </c>
      <c r="AH796" s="16">
        <v>172</v>
      </c>
      <c r="AI796" s="16">
        <v>77</v>
      </c>
      <c r="AK796" s="16">
        <v>22</v>
      </c>
      <c r="AL796" s="16">
        <v>0</v>
      </c>
      <c r="AM796" s="16">
        <v>0</v>
      </c>
      <c r="AN796" s="16">
        <v>0</v>
      </c>
      <c r="AO796" s="16">
        <f>IF(SUM(AL796:AN796)&gt;0,1,0)</f>
        <v>0</v>
      </c>
      <c r="AP796" s="16">
        <f>SUM(AL796:AN796)</f>
        <v>0</v>
      </c>
      <c r="AQ796" s="16">
        <f>0.24+1.477</f>
        <v>1.7170000000000001</v>
      </c>
      <c r="AR796" s="16">
        <v>0.24</v>
      </c>
      <c r="AS796" s="16">
        <v>0.24</v>
      </c>
      <c r="AT796" s="16" t="s">
        <v>124</v>
      </c>
      <c r="AW796" s="22">
        <v>1</v>
      </c>
      <c r="AY796" s="16">
        <f>(12+134+2+24)/AS796</f>
        <v>716.66666666666674</v>
      </c>
      <c r="AZ796" s="18">
        <v>1</v>
      </c>
      <c r="BB796" s="16">
        <f>(12+134+2)/AS796</f>
        <v>616.66666666666674</v>
      </c>
      <c r="BC796" s="16">
        <v>1</v>
      </c>
      <c r="BD796" s="16">
        <v>12</v>
      </c>
      <c r="BE796" s="16">
        <f>12/AS796</f>
        <v>50</v>
      </c>
      <c r="BF796" s="18">
        <v>1</v>
      </c>
      <c r="BG796" s="77">
        <v>134</v>
      </c>
      <c r="BH796" s="16">
        <f>134/AS796</f>
        <v>558.33333333333337</v>
      </c>
      <c r="BI796" s="16">
        <v>1</v>
      </c>
      <c r="BJ796" s="16">
        <v>2</v>
      </c>
      <c r="BK796" s="16">
        <f>2/AS796</f>
        <v>8.3333333333333339</v>
      </c>
      <c r="BL796" s="16">
        <f>IF(BM796&gt;0,1,0)</f>
        <v>1</v>
      </c>
      <c r="BM796" s="16">
        <f>SUM(BR796,BU796,BX796,CA796,CD796,CG796,CJ796,CM796,CP796)</f>
        <v>1</v>
      </c>
      <c r="BN796" s="16">
        <f>SUM(BW796,BZ796,CC796,CF796,CI796,CL796,CO796,CR796,BT796)</f>
        <v>100</v>
      </c>
      <c r="BO796" s="16">
        <f>IF(BP796&gt;0,1,0)</f>
        <v>1</v>
      </c>
      <c r="BP796" s="16">
        <f>SUM(BU796,BX796,CA796,CD796,BR796)</f>
        <v>1</v>
      </c>
      <c r="BQ796" s="16">
        <f>SUM(BZ796,CC796,CF796,BT796,BW796)</f>
        <v>100</v>
      </c>
      <c r="BR796" s="18">
        <v>0</v>
      </c>
      <c r="BS796" s="16">
        <v>0</v>
      </c>
      <c r="BT796" s="77">
        <f>BS796/AS796</f>
        <v>0</v>
      </c>
      <c r="BU796" s="18">
        <v>0</v>
      </c>
      <c r="BV796" s="16">
        <v>0</v>
      </c>
      <c r="BW796" s="18">
        <f>BV796/AS796</f>
        <v>0</v>
      </c>
      <c r="BX796" s="24">
        <v>1</v>
      </c>
      <c r="BY796" s="16">
        <v>24</v>
      </c>
      <c r="BZ796" s="16">
        <f>BY796/AS796</f>
        <v>100</v>
      </c>
      <c r="CA796" s="24">
        <v>0</v>
      </c>
      <c r="CB796" s="16">
        <v>0</v>
      </c>
      <c r="CC796" s="16">
        <v>0</v>
      </c>
      <c r="CD796" s="77">
        <v>0</v>
      </c>
      <c r="CE796" s="16">
        <v>0</v>
      </c>
      <c r="CF796" s="16">
        <v>0</v>
      </c>
      <c r="CP796" s="16" t="s">
        <v>123</v>
      </c>
      <c r="CQ796" s="16">
        <v>0</v>
      </c>
      <c r="CR796" s="16">
        <v>0</v>
      </c>
      <c r="CS796" s="18">
        <f>IF(CT796&gt;0,1,0)</f>
        <v>0</v>
      </c>
      <c r="CT796" s="25">
        <f>SUM(CW796,CZ796,DC796)</f>
        <v>0</v>
      </c>
      <c r="CU796" s="25"/>
      <c r="CV796" s="16">
        <v>0</v>
      </c>
      <c r="CW796" s="25">
        <v>0</v>
      </c>
      <c r="CX796" s="16">
        <v>0</v>
      </c>
      <c r="CY796" s="16">
        <v>0</v>
      </c>
      <c r="CZ796" s="18">
        <v>0</v>
      </c>
      <c r="DA796" s="16">
        <v>0</v>
      </c>
      <c r="DB796" s="16">
        <v>0</v>
      </c>
      <c r="DC796" s="18">
        <v>0</v>
      </c>
      <c r="DD796" s="16">
        <v>0</v>
      </c>
      <c r="DE796" s="16">
        <v>0</v>
      </c>
      <c r="DF796" s="16" t="e">
        <f>VLOOKUP(K796,'[3]RNA Seq summary tables'!$V$3:$V$99,1,FALSE)</f>
        <v>#N/A</v>
      </c>
    </row>
    <row r="797" spans="1:288" x14ac:dyDescent="0.2">
      <c r="B797" s="16">
        <v>2016</v>
      </c>
      <c r="C797" s="20">
        <v>42550</v>
      </c>
      <c r="D797" s="20" t="str">
        <f>CONCATENATE(J797,"-",C797)</f>
        <v>966-42550</v>
      </c>
      <c r="E797" s="20" t="str">
        <f>CONCATENATE(T797,"-",U797,"-",C797)</f>
        <v>HW1-G5-42550</v>
      </c>
      <c r="F797" s="20" t="s">
        <v>106</v>
      </c>
      <c r="G797" s="20" t="s">
        <v>107</v>
      </c>
      <c r="I797" s="16">
        <v>0</v>
      </c>
      <c r="J797" s="21">
        <v>966</v>
      </c>
      <c r="K797" s="21">
        <v>1432</v>
      </c>
      <c r="L797" s="18">
        <v>0</v>
      </c>
      <c r="M797" s="15">
        <f>VLOOKUP(K797,'[7]MLBS 2016 SNV-nem Coinfection d'!$C$1:$G$238,4,FALSE)</f>
        <v>0</v>
      </c>
      <c r="N797" s="15">
        <v>0</v>
      </c>
      <c r="O797" s="15" t="s">
        <v>214</v>
      </c>
      <c r="P797" s="16" t="s">
        <v>110</v>
      </c>
      <c r="Q797" s="16">
        <v>1</v>
      </c>
      <c r="R797" s="16">
        <v>14</v>
      </c>
      <c r="T797" s="16" t="s">
        <v>133</v>
      </c>
      <c r="U797" s="16" t="s">
        <v>200</v>
      </c>
      <c r="V797" s="16" t="s">
        <v>114</v>
      </c>
      <c r="W797" s="16">
        <f>AI797/AG797</f>
        <v>0.85106382978723405</v>
      </c>
      <c r="X797" s="16" t="s">
        <v>115</v>
      </c>
      <c r="Y797" s="16" t="s">
        <v>110</v>
      </c>
      <c r="Z797" s="16">
        <v>3</v>
      </c>
      <c r="AE797" s="16" t="s">
        <v>116</v>
      </c>
      <c r="AF797" s="16" t="s">
        <v>116</v>
      </c>
      <c r="AG797" s="16">
        <f>AH797-AI797</f>
        <v>94</v>
      </c>
      <c r="AH797" s="16">
        <v>174</v>
      </c>
      <c r="AI797" s="16">
        <v>80</v>
      </c>
      <c r="AK797" s="16">
        <v>25.5</v>
      </c>
      <c r="AL797" s="16">
        <v>0</v>
      </c>
      <c r="AM797" s="16">
        <v>0</v>
      </c>
      <c r="AN797" s="16">
        <v>0</v>
      </c>
      <c r="AO797" s="16">
        <f>IF(SUM(AL797:AN797)&gt;0,1,0)</f>
        <v>0</v>
      </c>
      <c r="AP797" s="16">
        <f>SUM(AL797:AN797)</f>
        <v>0</v>
      </c>
      <c r="AR797" s="16">
        <v>0.27900000000000003</v>
      </c>
      <c r="AS797" s="16">
        <v>0.27900000000000003</v>
      </c>
      <c r="AT797" s="18" t="s">
        <v>117</v>
      </c>
      <c r="AU797" s="18"/>
      <c r="AW797" s="22">
        <v>1</v>
      </c>
      <c r="AX797" s="16">
        <v>1</v>
      </c>
      <c r="AY797" s="16">
        <f>7/0.279</f>
        <v>25.089605734767023</v>
      </c>
      <c r="AZ797" s="18">
        <v>1</v>
      </c>
      <c r="BA797" s="16">
        <v>1</v>
      </c>
      <c r="BB797" s="16">
        <f>7/0.279</f>
        <v>25.089605734767023</v>
      </c>
      <c r="BC797" s="18">
        <v>0</v>
      </c>
      <c r="BD797" s="16">
        <v>0</v>
      </c>
      <c r="BE797" s="16">
        <v>0</v>
      </c>
      <c r="BF797" s="18">
        <v>1</v>
      </c>
      <c r="BG797" s="77">
        <v>7</v>
      </c>
      <c r="BH797" s="16">
        <f>7/0.279</f>
        <v>25.089605734767023</v>
      </c>
      <c r="BI797" s="18">
        <v>0</v>
      </c>
      <c r="BJ797" s="16">
        <v>0</v>
      </c>
      <c r="BK797" s="16">
        <v>0</v>
      </c>
      <c r="BL797" s="16">
        <f>IF(BM797&gt;0,1,0)</f>
        <v>0</v>
      </c>
      <c r="BM797" s="16">
        <f>SUM(BR797,BU797,BX797,CA797,CD797,CG797,CJ797,CM797,CP797)</f>
        <v>0</v>
      </c>
      <c r="BN797" s="16">
        <f>SUM(BW797,BZ797,CC797,CF797,CI797,CL797,CO797,CR797,BT797)</f>
        <v>0</v>
      </c>
      <c r="BO797" s="16">
        <f>IF(BP797&gt;0,1,0)</f>
        <v>0</v>
      </c>
      <c r="BP797" s="16">
        <f>SUM(BU797,BX797,CA797,CD797,BR797)</f>
        <v>0</v>
      </c>
      <c r="BQ797" s="16">
        <f>SUM(BZ797,CC797,CF797,BT797,BW797)</f>
        <v>0</v>
      </c>
      <c r="BR797" s="18">
        <v>0</v>
      </c>
      <c r="BS797" s="16">
        <v>0</v>
      </c>
      <c r="BT797" s="77">
        <f>BS797/AS797</f>
        <v>0</v>
      </c>
      <c r="BU797" s="18">
        <v>0</v>
      </c>
      <c r="BV797" s="16">
        <v>0</v>
      </c>
      <c r="BW797" s="18">
        <f>BV797/AS797</f>
        <v>0</v>
      </c>
      <c r="BX797" s="18">
        <v>0</v>
      </c>
      <c r="BY797" s="16">
        <v>0</v>
      </c>
      <c r="BZ797" s="16">
        <f>BY797/AS797</f>
        <v>0</v>
      </c>
      <c r="CA797" s="24">
        <v>0</v>
      </c>
      <c r="CB797" s="16">
        <v>0</v>
      </c>
      <c r="CC797" s="16">
        <v>0</v>
      </c>
      <c r="CD797" s="78">
        <v>0</v>
      </c>
      <c r="CE797" s="16">
        <v>0</v>
      </c>
      <c r="CF797" s="16">
        <v>0</v>
      </c>
      <c r="CP797" s="16" t="s">
        <v>123</v>
      </c>
      <c r="CQ797" s="16">
        <v>0</v>
      </c>
      <c r="CR797" s="16">
        <v>0</v>
      </c>
      <c r="CS797" s="18">
        <f>IF(CT797&gt;0,1,0)</f>
        <v>0</v>
      </c>
      <c r="CT797" s="25">
        <f>SUM(CW797,CZ797,DC797)</f>
        <v>0</v>
      </c>
      <c r="CU797" s="25"/>
      <c r="CV797" s="16">
        <v>0</v>
      </c>
      <c r="CW797" s="25">
        <v>0</v>
      </c>
      <c r="CX797" s="16">
        <v>0</v>
      </c>
      <c r="CY797" s="16">
        <v>0</v>
      </c>
      <c r="CZ797" s="18">
        <v>0</v>
      </c>
      <c r="DA797" s="16">
        <v>0</v>
      </c>
      <c r="DB797" s="16">
        <v>0</v>
      </c>
      <c r="DC797" s="18">
        <v>0</v>
      </c>
      <c r="DD797" s="16">
        <v>0</v>
      </c>
      <c r="DE797" s="16">
        <v>0</v>
      </c>
      <c r="DF797" s="16" t="e">
        <f>VLOOKUP(K797,'[3]RNA Seq summary tables'!$V$3:$V$99,1,FALSE)</f>
        <v>#N/A</v>
      </c>
    </row>
    <row r="798" spans="1:288" x14ac:dyDescent="0.2">
      <c r="B798" s="16">
        <v>2016</v>
      </c>
      <c r="C798" s="20">
        <v>42537</v>
      </c>
      <c r="D798" s="20" t="str">
        <f>CONCATENATE(J798,"-",C798)</f>
        <v>968-42537</v>
      </c>
      <c r="E798" s="20" t="str">
        <f>CONCATENATE(T798,"-",U798,"-",C798)</f>
        <v>SP1-F5-42537</v>
      </c>
      <c r="F798" s="20" t="s">
        <v>106</v>
      </c>
      <c r="G798" s="20" t="s">
        <v>107</v>
      </c>
      <c r="H798" s="16" t="s">
        <v>125</v>
      </c>
      <c r="I798" s="16">
        <v>0</v>
      </c>
      <c r="J798" s="21">
        <v>968</v>
      </c>
      <c r="K798" s="21">
        <v>1379</v>
      </c>
      <c r="L798" s="16">
        <v>0</v>
      </c>
      <c r="M798" s="15">
        <f>VLOOKUP(K798,'[7]MLBS 2016 SNV-nem Coinfection d'!$C$1:$G$238,4,FALSE)</f>
        <v>0</v>
      </c>
      <c r="N798" s="15">
        <v>0</v>
      </c>
      <c r="O798" s="15" t="s">
        <v>214</v>
      </c>
      <c r="P798" s="16" t="s">
        <v>308</v>
      </c>
      <c r="Q798" s="16">
        <v>0</v>
      </c>
      <c r="R798" s="16" t="s">
        <v>111</v>
      </c>
      <c r="T798" s="16" t="s">
        <v>140</v>
      </c>
      <c r="U798" s="16" t="s">
        <v>185</v>
      </c>
      <c r="V798" s="16" t="s">
        <v>142</v>
      </c>
      <c r="W798" s="16">
        <f>AI798/AG798</f>
        <v>1</v>
      </c>
      <c r="X798" s="16" t="s">
        <v>115</v>
      </c>
      <c r="Y798" s="18" t="s">
        <v>110</v>
      </c>
      <c r="Z798" s="18">
        <v>3</v>
      </c>
      <c r="AE798" s="16" t="s">
        <v>116</v>
      </c>
      <c r="AF798" s="16" t="s">
        <v>116</v>
      </c>
      <c r="AG798" s="16">
        <f>AH798-AI798</f>
        <v>80</v>
      </c>
      <c r="AH798" s="16">
        <v>160</v>
      </c>
      <c r="AI798" s="16">
        <v>80</v>
      </c>
      <c r="AK798" s="16">
        <v>15.5</v>
      </c>
      <c r="AL798" s="16">
        <v>0</v>
      </c>
      <c r="AM798" s="16">
        <v>0</v>
      </c>
      <c r="AN798" s="16">
        <v>0</v>
      </c>
      <c r="AO798" s="16">
        <f>IF(SUM(AL798:AN798)&gt;0,1,0)</f>
        <v>0</v>
      </c>
      <c r="AP798" s="16">
        <f>SUM(AL798:AN798)</f>
        <v>0</v>
      </c>
      <c r="AQ798" s="16">
        <v>1.79</v>
      </c>
      <c r="AR798" s="16">
        <v>0.32</v>
      </c>
      <c r="AS798" s="16">
        <v>0.32</v>
      </c>
      <c r="AT798" s="16" t="s">
        <v>124</v>
      </c>
      <c r="AV798" s="16">
        <v>1</v>
      </c>
      <c r="AW798" s="18">
        <v>0</v>
      </c>
      <c r="AY798" s="16">
        <v>0</v>
      </c>
      <c r="AZ798" s="18">
        <v>0</v>
      </c>
      <c r="BB798" s="16">
        <v>0</v>
      </c>
      <c r="BC798" s="18">
        <v>0</v>
      </c>
      <c r="BD798" s="16">
        <v>0</v>
      </c>
      <c r="BE798" s="16">
        <v>0</v>
      </c>
      <c r="BF798" s="18">
        <v>0</v>
      </c>
      <c r="BG798" s="77">
        <v>0</v>
      </c>
      <c r="BH798" s="16">
        <v>0</v>
      </c>
      <c r="BI798" s="18">
        <v>0</v>
      </c>
      <c r="BJ798" s="16">
        <v>0</v>
      </c>
      <c r="BK798" s="16">
        <v>0</v>
      </c>
      <c r="BL798" s="16">
        <f>IF(BM798&gt;0,1,0)</f>
        <v>0</v>
      </c>
      <c r="BM798" s="16">
        <f>SUM(BR798,BU798,BX798,CA798,CD798,CG798,CJ798,CM798,CP798)</f>
        <v>0</v>
      </c>
      <c r="BN798" s="16">
        <f>SUM(BW798,BZ798,CC798,CF798,CI798,CL798,CO798,CR798,BT798)</f>
        <v>0</v>
      </c>
      <c r="BO798" s="16">
        <f>IF(BP798&gt;0,1,0)</f>
        <v>0</v>
      </c>
      <c r="BP798" s="16">
        <f>SUM(BU798,BX798,CA798,CD798,BR798)</f>
        <v>0</v>
      </c>
      <c r="BQ798" s="16">
        <f>SUM(BZ798,CC798,CF798,BT798,BW798)</f>
        <v>0</v>
      </c>
      <c r="BR798" s="18">
        <v>0</v>
      </c>
      <c r="BS798" s="16">
        <v>0</v>
      </c>
      <c r="BT798" s="77">
        <f>BS798/AS798</f>
        <v>0</v>
      </c>
      <c r="BU798" s="18">
        <v>0</v>
      </c>
      <c r="BV798" s="16">
        <v>0</v>
      </c>
      <c r="BW798" s="18">
        <f>BV798/AS798</f>
        <v>0</v>
      </c>
      <c r="BX798" s="18">
        <v>0</v>
      </c>
      <c r="BY798" s="16">
        <v>0</v>
      </c>
      <c r="BZ798" s="16">
        <f>BY798/AS798</f>
        <v>0</v>
      </c>
      <c r="CA798" s="24">
        <v>0</v>
      </c>
      <c r="CB798" s="16">
        <v>0</v>
      </c>
      <c r="CC798" s="16">
        <v>0</v>
      </c>
      <c r="CD798" s="78">
        <v>0</v>
      </c>
      <c r="CE798" s="16">
        <v>0</v>
      </c>
      <c r="CF798" s="16">
        <v>0</v>
      </c>
      <c r="CP798" s="16" t="s">
        <v>123</v>
      </c>
      <c r="CQ798" s="16">
        <v>0</v>
      </c>
      <c r="CR798" s="16">
        <v>0</v>
      </c>
      <c r="CS798" s="18">
        <f>IF(CT798&gt;0,1,0)</f>
        <v>0</v>
      </c>
      <c r="CT798" s="25">
        <f>SUM(CW798,CZ798,DC798)</f>
        <v>0</v>
      </c>
      <c r="CU798" s="25"/>
      <c r="CV798" s="16">
        <v>0</v>
      </c>
      <c r="CW798" s="25">
        <v>0</v>
      </c>
      <c r="CX798" s="16">
        <v>0</v>
      </c>
      <c r="CY798" s="16">
        <v>0</v>
      </c>
      <c r="CZ798" s="18">
        <v>0</v>
      </c>
      <c r="DA798" s="16">
        <v>0</v>
      </c>
      <c r="DB798" s="16">
        <v>0</v>
      </c>
      <c r="DC798" s="18">
        <v>0</v>
      </c>
      <c r="DD798" s="16">
        <v>0</v>
      </c>
      <c r="DE798" s="16">
        <v>0</v>
      </c>
      <c r="DF798" s="16" t="e">
        <f>VLOOKUP(K798,'[3]RNA Seq summary tables'!$V$3:$V$99,1,FALSE)</f>
        <v>#N/A</v>
      </c>
    </row>
    <row r="799" spans="1:288" x14ac:dyDescent="0.2">
      <c r="A799" s="118">
        <v>1</v>
      </c>
      <c r="B799" s="118">
        <v>2016</v>
      </c>
      <c r="C799" s="119">
        <v>42551</v>
      </c>
      <c r="D799" s="119" t="str">
        <f>CONCATENATE(J799,"-",C799)</f>
        <v>968-42551</v>
      </c>
      <c r="E799" s="20" t="str">
        <f>CONCATENATE(T799,"-",U799,"-",C799)</f>
        <v>SP1-D1-42551</v>
      </c>
      <c r="F799" s="119" t="s">
        <v>106</v>
      </c>
      <c r="G799" s="119" t="s">
        <v>107</v>
      </c>
      <c r="H799" s="118" t="s">
        <v>387</v>
      </c>
      <c r="I799" s="118">
        <v>0</v>
      </c>
      <c r="J799" s="120">
        <v>968</v>
      </c>
      <c r="K799" s="120">
        <v>1438</v>
      </c>
      <c r="L799" s="118">
        <v>0</v>
      </c>
      <c r="M799" s="121">
        <f>VLOOKUP(K799,'[7]MLBS 2016 SNV-nem Coinfection d'!$C$1:$G$238,4,FALSE)</f>
        <v>0</v>
      </c>
      <c r="N799" s="121">
        <v>0</v>
      </c>
      <c r="O799" s="121" t="s">
        <v>214</v>
      </c>
      <c r="P799" s="118" t="s">
        <v>110</v>
      </c>
      <c r="Q799" s="118">
        <v>1</v>
      </c>
      <c r="R799" s="118">
        <v>14</v>
      </c>
      <c r="S799" s="118"/>
      <c r="T799" s="118" t="s">
        <v>140</v>
      </c>
      <c r="U799" s="118" t="s">
        <v>157</v>
      </c>
      <c r="V799" s="118" t="s">
        <v>142</v>
      </c>
      <c r="W799" s="118">
        <f>AI799/AG799</f>
        <v>1.0657894736842106</v>
      </c>
      <c r="X799" s="118" t="s">
        <v>115</v>
      </c>
      <c r="Y799" s="118" t="s">
        <v>122</v>
      </c>
      <c r="Z799" s="118">
        <v>2.2999999999999998</v>
      </c>
      <c r="AA799" s="118"/>
      <c r="AB799" s="118"/>
      <c r="AC799" s="118"/>
      <c r="AD799" s="118"/>
      <c r="AE799" s="118" t="s">
        <v>116</v>
      </c>
      <c r="AF799" s="118" t="s">
        <v>116</v>
      </c>
      <c r="AG799" s="118">
        <f>AH799-AI799</f>
        <v>76</v>
      </c>
      <c r="AH799" s="118">
        <v>157</v>
      </c>
      <c r="AI799" s="118">
        <v>81</v>
      </c>
      <c r="AJ799" s="118"/>
      <c r="AK799" s="118">
        <v>14.5</v>
      </c>
      <c r="AL799" s="118">
        <v>1</v>
      </c>
      <c r="AM799" s="118">
        <v>0</v>
      </c>
      <c r="AN799" s="118">
        <v>0</v>
      </c>
      <c r="AO799" s="118">
        <f>IF(SUM(AL799:AN799)&gt;0,1,0)</f>
        <v>1</v>
      </c>
      <c r="AP799" s="118">
        <f>SUM(AL799:AN799)</f>
        <v>1</v>
      </c>
      <c r="AQ799" s="118">
        <f>1.579</f>
        <v>1.579</v>
      </c>
      <c r="AR799" s="118">
        <v>0.10299999999999999</v>
      </c>
      <c r="AS799" s="118">
        <v>0.10299999999999999</v>
      </c>
      <c r="AT799" s="118" t="s">
        <v>124</v>
      </c>
      <c r="AU799" s="118"/>
      <c r="AV799" s="118">
        <v>1</v>
      </c>
      <c r="AW799" s="118">
        <v>0</v>
      </c>
      <c r="AX799" s="118"/>
      <c r="AY799" s="118">
        <v>0</v>
      </c>
      <c r="AZ799" s="118">
        <v>0</v>
      </c>
      <c r="BA799" s="118"/>
      <c r="BB799" s="118">
        <v>0</v>
      </c>
      <c r="BC799" s="118">
        <v>0</v>
      </c>
      <c r="BD799" s="118">
        <v>0</v>
      </c>
      <c r="BE799" s="118">
        <v>0</v>
      </c>
      <c r="BF799" s="118">
        <v>0</v>
      </c>
      <c r="BG799" s="167">
        <v>0</v>
      </c>
      <c r="BH799" s="118">
        <v>0</v>
      </c>
      <c r="BI799" s="118">
        <v>0</v>
      </c>
      <c r="BJ799" s="118">
        <v>0</v>
      </c>
      <c r="BK799" s="118">
        <v>0</v>
      </c>
      <c r="BL799" s="118">
        <f>IF(BM799&gt;0,1,0)</f>
        <v>0</v>
      </c>
      <c r="BM799" s="118">
        <f>SUM(BR799,BU799,BX799,CA799,CD799,CG799,CJ799,CM799,CP799)</f>
        <v>0</v>
      </c>
      <c r="BN799" s="118">
        <f>SUM(BW799,BZ799,CC799,CF799,CI799,CL799,CO799,CR799,BT799)</f>
        <v>0</v>
      </c>
      <c r="BO799" s="118">
        <f>IF(BP799&gt;0,1,0)</f>
        <v>0</v>
      </c>
      <c r="BP799" s="118">
        <f>SUM(BU799,BX799,CA799,CD799,BR799)</f>
        <v>0</v>
      </c>
      <c r="BQ799" s="118">
        <f>SUM(BZ799,CC799,CF799,BT799,BW799)</f>
        <v>0</v>
      </c>
      <c r="BR799" s="118">
        <v>0</v>
      </c>
      <c r="BS799" s="118">
        <v>0</v>
      </c>
      <c r="BT799" s="167">
        <f>BS799/AS799</f>
        <v>0</v>
      </c>
      <c r="BU799" s="118">
        <v>0</v>
      </c>
      <c r="BV799" s="118">
        <v>0</v>
      </c>
      <c r="BW799" s="118">
        <f>BV799/AS799</f>
        <v>0</v>
      </c>
      <c r="BX799" s="118">
        <v>0</v>
      </c>
      <c r="BY799" s="118">
        <v>0</v>
      </c>
      <c r="BZ799" s="118">
        <f>BY799/AS799</f>
        <v>0</v>
      </c>
      <c r="CA799" s="123">
        <v>0</v>
      </c>
      <c r="CB799" s="118">
        <v>0</v>
      </c>
      <c r="CC799" s="118">
        <v>0</v>
      </c>
      <c r="CD799" s="167">
        <v>0</v>
      </c>
      <c r="CE799" s="118">
        <v>0</v>
      </c>
      <c r="CF799" s="118">
        <v>0</v>
      </c>
      <c r="CG799" s="118"/>
      <c r="CH799" s="118"/>
      <c r="CI799" s="118"/>
      <c r="CJ799" s="118"/>
      <c r="CK799" s="118"/>
      <c r="CL799" s="118"/>
      <c r="CM799" s="118"/>
      <c r="CN799" s="118"/>
      <c r="CO799" s="118"/>
      <c r="CP799" s="118" t="s">
        <v>123</v>
      </c>
      <c r="CQ799" s="118">
        <v>0</v>
      </c>
      <c r="CR799" s="118">
        <v>0</v>
      </c>
      <c r="CS799" s="118">
        <f>IF(CT799&gt;0,1,0)</f>
        <v>0</v>
      </c>
      <c r="CT799" s="122">
        <f>SUM(CW799,CZ799,DC799)</f>
        <v>0</v>
      </c>
      <c r="CU799" s="122"/>
      <c r="CV799" s="118">
        <v>0</v>
      </c>
      <c r="CW799" s="122">
        <v>0</v>
      </c>
      <c r="CX799" s="118">
        <v>0</v>
      </c>
      <c r="CY799" s="118">
        <v>0</v>
      </c>
      <c r="CZ799" s="118">
        <v>0</v>
      </c>
      <c r="DA799" s="118">
        <v>0</v>
      </c>
      <c r="DB799" s="118">
        <v>0</v>
      </c>
      <c r="DC799" s="118">
        <v>0</v>
      </c>
      <c r="DD799" s="118">
        <v>0</v>
      </c>
      <c r="DE799" s="118">
        <v>0</v>
      </c>
      <c r="DF799" s="16" t="e">
        <f>VLOOKUP(K799,'[3]RNA Seq summary tables'!$V$3:$V$99,1,FALSE)</f>
        <v>#N/A</v>
      </c>
      <c r="DG799" s="118"/>
      <c r="DH799" s="118"/>
      <c r="DI799" s="118"/>
      <c r="DJ799" s="118"/>
      <c r="DK799" s="118"/>
      <c r="DL799" s="118"/>
      <c r="DM799" s="118"/>
      <c r="DN799" s="118"/>
      <c r="DO799" s="118"/>
      <c r="DP799" s="118"/>
      <c r="DQ799" s="118"/>
      <c r="DR799" s="118"/>
      <c r="DS799" s="118"/>
      <c r="DT799" s="118"/>
      <c r="DU799" s="118"/>
      <c r="DV799" s="118"/>
      <c r="DW799" s="118"/>
      <c r="DX799" s="118"/>
      <c r="DY799" s="118"/>
      <c r="DZ799" s="118"/>
      <c r="EA799" s="118"/>
      <c r="EB799" s="118"/>
      <c r="EC799" s="118"/>
      <c r="ED799" s="118"/>
      <c r="EE799" s="118"/>
      <c r="EF799" s="118"/>
      <c r="EG799" s="118"/>
      <c r="EH799" s="118"/>
      <c r="EI799" s="118"/>
      <c r="EJ799" s="118"/>
      <c r="EK799" s="118"/>
      <c r="EL799" s="118"/>
      <c r="EM799" s="118"/>
      <c r="EN799" s="118"/>
      <c r="EO799" s="118"/>
      <c r="EP799" s="118"/>
      <c r="EQ799" s="118"/>
      <c r="ER799" s="118"/>
      <c r="ES799" s="118"/>
      <c r="ET799" s="118"/>
      <c r="EU799" s="118"/>
      <c r="EV799" s="118"/>
      <c r="EW799" s="118"/>
      <c r="EX799" s="118"/>
      <c r="EY799" s="118"/>
      <c r="EZ799" s="118"/>
      <c r="FA799" s="118"/>
      <c r="FB799" s="118"/>
      <c r="FC799" s="118"/>
      <c r="FD799" s="118"/>
      <c r="FE799" s="118"/>
      <c r="FF799" s="118"/>
      <c r="FG799" s="118"/>
      <c r="FH799" s="118"/>
      <c r="FI799" s="118"/>
      <c r="FJ799" s="118"/>
      <c r="FK799" s="118"/>
      <c r="FL799" s="118"/>
      <c r="FM799" s="118"/>
      <c r="FN799" s="118"/>
      <c r="FO799" s="118"/>
      <c r="FP799" s="118"/>
      <c r="FQ799" s="118"/>
      <c r="FR799" s="118"/>
      <c r="FS799" s="118"/>
      <c r="FT799" s="118"/>
      <c r="FU799" s="118"/>
      <c r="FV799" s="118"/>
      <c r="FW799" s="118"/>
      <c r="FX799" s="118"/>
      <c r="FY799" s="118"/>
      <c r="FZ799" s="118"/>
      <c r="GA799" s="118"/>
      <c r="GB799" s="118"/>
      <c r="GC799" s="118"/>
      <c r="GD799" s="118"/>
      <c r="GE799" s="118"/>
      <c r="GF799" s="118"/>
      <c r="GG799" s="118"/>
      <c r="GH799" s="118"/>
      <c r="GI799" s="118"/>
      <c r="GJ799" s="118"/>
      <c r="GK799" s="118"/>
      <c r="GL799" s="118"/>
      <c r="GM799" s="118"/>
      <c r="GN799" s="118"/>
      <c r="GO799" s="118"/>
      <c r="GP799" s="118"/>
      <c r="GQ799" s="118"/>
      <c r="GR799" s="118"/>
      <c r="GS799" s="118"/>
      <c r="GT799" s="118"/>
      <c r="GU799" s="118"/>
      <c r="GV799" s="118"/>
      <c r="GW799" s="118"/>
      <c r="GX799" s="118"/>
      <c r="GY799" s="118"/>
      <c r="GZ799" s="118"/>
      <c r="HA799" s="118"/>
      <c r="HB799" s="118"/>
      <c r="HC799" s="118"/>
      <c r="HD799" s="118"/>
      <c r="HE799" s="118"/>
      <c r="HF799" s="118"/>
      <c r="HG799" s="118"/>
      <c r="HH799" s="118"/>
      <c r="HI799" s="118"/>
      <c r="HJ799" s="118"/>
      <c r="HK799" s="118"/>
      <c r="HL799" s="118"/>
      <c r="HM799" s="118"/>
      <c r="HN799" s="118"/>
      <c r="HO799" s="118"/>
      <c r="HP799" s="118"/>
      <c r="HQ799" s="118"/>
      <c r="HR799" s="118"/>
      <c r="HS799" s="118"/>
      <c r="HT799" s="118"/>
      <c r="HU799" s="118"/>
      <c r="HV799" s="118"/>
      <c r="HW799" s="118"/>
      <c r="HX799" s="118"/>
      <c r="HY799" s="118"/>
      <c r="HZ799" s="118"/>
      <c r="IA799" s="118"/>
      <c r="IB799" s="118"/>
      <c r="IC799" s="118"/>
      <c r="ID799" s="118"/>
      <c r="IE799" s="118"/>
      <c r="IF799" s="118"/>
      <c r="IG799" s="118"/>
      <c r="IH799" s="118"/>
      <c r="II799" s="118"/>
      <c r="IJ799" s="118"/>
      <c r="IK799" s="118"/>
      <c r="IL799" s="118"/>
      <c r="IM799" s="118"/>
      <c r="IN799" s="118"/>
      <c r="IO799" s="118"/>
      <c r="IP799" s="118"/>
      <c r="IQ799" s="118"/>
      <c r="IR799" s="118"/>
      <c r="IS799" s="118"/>
      <c r="IT799" s="118"/>
      <c r="IU799" s="118"/>
      <c r="IV799" s="118"/>
      <c r="IW799" s="118"/>
      <c r="IX799" s="118"/>
      <c r="IY799" s="118"/>
      <c r="IZ799" s="118"/>
      <c r="JA799" s="118"/>
      <c r="JB799" s="118"/>
      <c r="JC799" s="118"/>
      <c r="JD799" s="118"/>
      <c r="JE799" s="118"/>
      <c r="JF799" s="118"/>
      <c r="JG799" s="118"/>
      <c r="JH799" s="118"/>
      <c r="JI799" s="118"/>
      <c r="JJ799" s="118"/>
      <c r="JK799" s="118"/>
      <c r="JL799" s="118"/>
      <c r="JM799" s="118"/>
      <c r="JN799" s="118"/>
      <c r="JO799" s="118"/>
      <c r="JP799" s="118"/>
      <c r="JQ799" s="118"/>
    </row>
    <row r="800" spans="1:288" x14ac:dyDescent="0.2">
      <c r="B800" s="16">
        <v>2016</v>
      </c>
      <c r="C800" s="20">
        <v>42538</v>
      </c>
      <c r="D800" s="20" t="str">
        <f>CONCATENATE(J800,"-",C800)</f>
        <v>970-42538</v>
      </c>
      <c r="E800" s="20" t="str">
        <f>CONCATENATE(T800,"-",U800,"-",C800)</f>
        <v>SP1-C1-42538</v>
      </c>
      <c r="F800" s="20" t="s">
        <v>106</v>
      </c>
      <c r="G800" s="20" t="s">
        <v>107</v>
      </c>
      <c r="H800" s="16" t="s">
        <v>125</v>
      </c>
      <c r="I800" s="16">
        <v>0</v>
      </c>
      <c r="J800" s="21">
        <v>970</v>
      </c>
      <c r="K800" s="21">
        <v>1384</v>
      </c>
      <c r="L800" s="16">
        <v>0</v>
      </c>
      <c r="M800" s="15">
        <f>VLOOKUP(K800,'[7]MLBS 2016 SNV-nem Coinfection d'!$C$1:$G$238,4,FALSE)</f>
        <v>0</v>
      </c>
      <c r="N800" s="15">
        <v>0</v>
      </c>
      <c r="O800" s="15" t="s">
        <v>214</v>
      </c>
      <c r="P800" s="16" t="s">
        <v>308</v>
      </c>
      <c r="Q800" s="16">
        <v>0</v>
      </c>
      <c r="R800" s="16" t="s">
        <v>111</v>
      </c>
      <c r="T800" s="16" t="s">
        <v>140</v>
      </c>
      <c r="U800" s="16" t="s">
        <v>150</v>
      </c>
      <c r="V800" s="16" t="s">
        <v>142</v>
      </c>
      <c r="W800" s="16">
        <f>AI800/AG800</f>
        <v>1.0348837209302326</v>
      </c>
      <c r="X800" s="16" t="s">
        <v>121</v>
      </c>
      <c r="Y800" s="16" t="s">
        <v>122</v>
      </c>
      <c r="Z800" s="16">
        <v>2.2999999999999998</v>
      </c>
      <c r="AA800" s="16" t="s">
        <v>119</v>
      </c>
      <c r="AB800" s="16" t="s">
        <v>123</v>
      </c>
      <c r="AC800" s="16" t="s">
        <v>123</v>
      </c>
      <c r="AD800" s="16" t="s">
        <v>123</v>
      </c>
      <c r="AG800" s="16">
        <f>AH800-AI800</f>
        <v>86</v>
      </c>
      <c r="AH800" s="16">
        <v>175</v>
      </c>
      <c r="AI800" s="16">
        <v>89</v>
      </c>
      <c r="AK800" s="16">
        <v>15.5</v>
      </c>
      <c r="AL800" s="16">
        <v>0</v>
      </c>
      <c r="AM800" s="16">
        <v>0</v>
      </c>
      <c r="AN800" s="16">
        <v>0</v>
      </c>
      <c r="AO800" s="16">
        <f>IF(SUM(AL800:AN800)&gt;0,1,0)</f>
        <v>0</v>
      </c>
      <c r="AP800" s="16">
        <f>SUM(AL800:AN800)</f>
        <v>0</v>
      </c>
      <c r="AQ800" s="16">
        <f>1.477+AS800</f>
        <v>2.2120000000000002</v>
      </c>
      <c r="AR800" s="16">
        <v>0.73499999999999999</v>
      </c>
      <c r="AS800" s="16">
        <v>0.73499999999999999</v>
      </c>
      <c r="AT800" s="16" t="s">
        <v>124</v>
      </c>
      <c r="AW800" s="22">
        <v>1</v>
      </c>
      <c r="AY800" s="16">
        <f>(289+2574+31)/AS800</f>
        <v>3937.4149659863947</v>
      </c>
      <c r="AZ800" s="18">
        <v>1</v>
      </c>
      <c r="BB800" s="16">
        <f>AY800</f>
        <v>3937.4149659863947</v>
      </c>
      <c r="BC800" s="16">
        <v>1</v>
      </c>
      <c r="BD800" s="16">
        <v>289</v>
      </c>
      <c r="BE800" s="16">
        <f>289/AS800</f>
        <v>393.19727891156464</v>
      </c>
      <c r="BF800" s="18">
        <v>1</v>
      </c>
      <c r="BG800" s="77">
        <v>2574</v>
      </c>
      <c r="BH800" s="16">
        <f>2574/AS800</f>
        <v>3502.0408163265306</v>
      </c>
      <c r="BI800" s="16">
        <v>1</v>
      </c>
      <c r="BJ800" s="16">
        <v>31</v>
      </c>
      <c r="BK800" s="16">
        <f>31/AS800</f>
        <v>42.176870748299322</v>
      </c>
      <c r="BL800" s="16">
        <f>IF(BM800&gt;0,1,0)</f>
        <v>0</v>
      </c>
      <c r="BM800" s="16">
        <f>SUM(BR800,BU800,BX800,CA800,CD800,CG800,CJ800,CM800,CP800)</f>
        <v>0</v>
      </c>
      <c r="BN800" s="16">
        <f>SUM(BW800,BZ800,CC800,CF800,CI800,CL800,CO800,CR800,BT800)</f>
        <v>0</v>
      </c>
      <c r="BO800" s="16">
        <f>IF(BP800&gt;0,1,0)</f>
        <v>0</v>
      </c>
      <c r="BP800" s="16">
        <f>SUM(BU800,BX800,CA800,CD800,BR800)</f>
        <v>0</v>
      </c>
      <c r="BQ800" s="16">
        <f>SUM(BZ800,CC800,CF800,BT800,BW800)</f>
        <v>0</v>
      </c>
      <c r="BR800" s="18">
        <v>0</v>
      </c>
      <c r="BS800" s="16">
        <v>0</v>
      </c>
      <c r="BT800" s="77">
        <f>BS800/AS800</f>
        <v>0</v>
      </c>
      <c r="BU800" s="18">
        <v>0</v>
      </c>
      <c r="BV800" s="16">
        <v>0</v>
      </c>
      <c r="BW800" s="18">
        <f>BV800/AS800</f>
        <v>0</v>
      </c>
      <c r="BX800" s="18">
        <v>0</v>
      </c>
      <c r="BY800" s="16">
        <v>0</v>
      </c>
      <c r="BZ800" s="16">
        <f>BY800/AS800</f>
        <v>0</v>
      </c>
      <c r="CA800" s="24">
        <v>0</v>
      </c>
      <c r="CB800" s="16">
        <v>0</v>
      </c>
      <c r="CC800" s="16">
        <v>0</v>
      </c>
      <c r="CD800" s="78">
        <v>0</v>
      </c>
      <c r="CE800" s="16">
        <v>0</v>
      </c>
      <c r="CF800" s="16">
        <v>0</v>
      </c>
      <c r="CP800" s="16" t="s">
        <v>123</v>
      </c>
      <c r="CQ800" s="16">
        <v>0</v>
      </c>
      <c r="CR800" s="16">
        <v>0</v>
      </c>
      <c r="CS800" s="18">
        <f>IF(CT800&gt;0,1,0)</f>
        <v>0</v>
      </c>
      <c r="CT800" s="25">
        <f>SUM(CW800,CZ800,DC800)</f>
        <v>0</v>
      </c>
      <c r="CU800" s="25"/>
      <c r="CV800" s="16">
        <v>0</v>
      </c>
      <c r="CW800" s="25">
        <v>0</v>
      </c>
      <c r="CX800" s="16">
        <v>0</v>
      </c>
      <c r="CY800" s="16">
        <v>0</v>
      </c>
      <c r="CZ800" s="18">
        <v>0</v>
      </c>
      <c r="DA800" s="16">
        <v>0</v>
      </c>
      <c r="DB800" s="16">
        <v>0</v>
      </c>
      <c r="DC800" s="18">
        <v>0</v>
      </c>
      <c r="DD800" s="16">
        <v>0</v>
      </c>
      <c r="DE800" s="16">
        <v>0</v>
      </c>
      <c r="DF800" s="16" t="e">
        <f>VLOOKUP(K800,'[3]RNA Seq summary tables'!$V$3:$V$99,1,FALSE)</f>
        <v>#N/A</v>
      </c>
    </row>
    <row r="801" spans="1:288" x14ac:dyDescent="0.2">
      <c r="B801" s="16">
        <v>2016</v>
      </c>
      <c r="C801" s="20">
        <v>42551</v>
      </c>
      <c r="D801" s="20" t="str">
        <f>CONCATENATE(J801,"-",C801)</f>
        <v>970-42551</v>
      </c>
      <c r="E801" s="20" t="str">
        <f>CONCATENATE(T801,"-",U801,"-",C801)</f>
        <v>SP1-B1-42551</v>
      </c>
      <c r="F801" s="20" t="s">
        <v>106</v>
      </c>
      <c r="G801" s="20" t="s">
        <v>107</v>
      </c>
      <c r="I801" s="16">
        <v>0</v>
      </c>
      <c r="J801" s="21">
        <v>970</v>
      </c>
      <c r="K801" s="21">
        <v>1437</v>
      </c>
      <c r="L801" s="18">
        <v>0</v>
      </c>
      <c r="M801" s="15">
        <f>VLOOKUP(K801,'[7]MLBS 2016 SNV-nem Coinfection d'!$C$1:$G$238,4,FALSE)</f>
        <v>0</v>
      </c>
      <c r="N801" s="15">
        <v>0</v>
      </c>
      <c r="O801" s="15" t="s">
        <v>214</v>
      </c>
      <c r="P801" s="16" t="s">
        <v>110</v>
      </c>
      <c r="Q801" s="16">
        <v>1</v>
      </c>
      <c r="R801" s="16">
        <v>13</v>
      </c>
      <c r="T801" s="16" t="s">
        <v>140</v>
      </c>
      <c r="U801" s="16" t="s">
        <v>113</v>
      </c>
      <c r="V801" s="16" t="s">
        <v>142</v>
      </c>
      <c r="W801" s="16">
        <f>AI801/AG801</f>
        <v>1.0227272727272727</v>
      </c>
      <c r="X801" s="16" t="s">
        <v>121</v>
      </c>
      <c r="Y801" s="16" t="s">
        <v>110</v>
      </c>
      <c r="Z801" s="16">
        <v>3</v>
      </c>
      <c r="AA801" s="16" t="s">
        <v>119</v>
      </c>
      <c r="AB801" s="16" t="s">
        <v>116</v>
      </c>
      <c r="AC801" s="16" t="s">
        <v>116</v>
      </c>
      <c r="AD801" s="16" t="s">
        <v>116</v>
      </c>
      <c r="AG801" s="16">
        <f>AH801-AI801</f>
        <v>88</v>
      </c>
      <c r="AH801" s="16">
        <v>178</v>
      </c>
      <c r="AI801" s="16">
        <v>90</v>
      </c>
      <c r="AK801" s="16">
        <v>23</v>
      </c>
      <c r="AL801" s="16">
        <v>0</v>
      </c>
      <c r="AM801" s="16">
        <v>0</v>
      </c>
      <c r="AN801" s="16">
        <v>0</v>
      </c>
      <c r="AO801" s="16">
        <f>IF(SUM(AL801:AN801)&gt;0,1,0)</f>
        <v>0</v>
      </c>
      <c r="AP801" s="16">
        <f>SUM(AL801:AN801)</f>
        <v>0</v>
      </c>
      <c r="AR801" s="16">
        <v>0.21199999999999999</v>
      </c>
      <c r="AS801" s="16">
        <v>0.21199999999999999</v>
      </c>
      <c r="AT801" s="18" t="s">
        <v>117</v>
      </c>
      <c r="AU801" s="18"/>
      <c r="AW801" s="22">
        <v>1</v>
      </c>
      <c r="AX801" s="16">
        <v>3</v>
      </c>
      <c r="AY801" s="16">
        <f>(118+409+40)/0.212</f>
        <v>2674.5283018867926</v>
      </c>
      <c r="AZ801" s="18">
        <v>1</v>
      </c>
      <c r="BA801" s="16">
        <v>3</v>
      </c>
      <c r="BB801" s="16">
        <f>(118+409+40)/0.212</f>
        <v>2674.5283018867926</v>
      </c>
      <c r="BC801" s="16">
        <v>1</v>
      </c>
      <c r="BD801" s="16">
        <v>118</v>
      </c>
      <c r="BE801" s="16">
        <f>118/0.212</f>
        <v>556.60377358490564</v>
      </c>
      <c r="BF801" s="18">
        <v>1</v>
      </c>
      <c r="BG801" s="77">
        <v>409</v>
      </c>
      <c r="BH801" s="16">
        <f>409/0.212</f>
        <v>1929.2452830188679</v>
      </c>
      <c r="BI801" s="16">
        <v>1</v>
      </c>
      <c r="BJ801" s="16">
        <v>40</v>
      </c>
      <c r="BK801" s="16">
        <f>40/0.212</f>
        <v>188.67924528301887</v>
      </c>
      <c r="BL801" s="16">
        <f>IF(BM801&gt;0,1,0)</f>
        <v>0</v>
      </c>
      <c r="BM801" s="16">
        <f>SUM(BR801,BU801,BX801,CA801,CD801,CG801,CJ801,CM801,CP801)</f>
        <v>0</v>
      </c>
      <c r="BN801" s="16">
        <f>SUM(BW801,BZ801,CC801,CF801,CI801,CL801,CO801,CR801,BT801)</f>
        <v>0</v>
      </c>
      <c r="BO801" s="16">
        <f>IF(BP801&gt;0,1,0)</f>
        <v>0</v>
      </c>
      <c r="BP801" s="16">
        <f>SUM(BU801,BX801,CA801,CD801,BR801)</f>
        <v>0</v>
      </c>
      <c r="BQ801" s="16">
        <f>SUM(BZ801,CC801,CF801,BT801,BW801)</f>
        <v>0</v>
      </c>
      <c r="BR801" s="18">
        <v>0</v>
      </c>
      <c r="BS801" s="16">
        <v>0</v>
      </c>
      <c r="BT801" s="77">
        <f>BS801/AS801</f>
        <v>0</v>
      </c>
      <c r="BU801" s="18">
        <v>0</v>
      </c>
      <c r="BV801" s="16">
        <v>0</v>
      </c>
      <c r="BW801" s="18">
        <f>BV801/AS801</f>
        <v>0</v>
      </c>
      <c r="BX801" s="18">
        <v>0</v>
      </c>
      <c r="BY801" s="16">
        <v>0</v>
      </c>
      <c r="BZ801" s="16">
        <f>BY801/AS801</f>
        <v>0</v>
      </c>
      <c r="CA801" s="24">
        <v>0</v>
      </c>
      <c r="CB801" s="16">
        <v>0</v>
      </c>
      <c r="CC801" s="16">
        <v>0</v>
      </c>
      <c r="CD801" s="78">
        <v>0</v>
      </c>
      <c r="CE801" s="16">
        <v>0</v>
      </c>
      <c r="CF801" s="16">
        <v>0</v>
      </c>
      <c r="CP801" s="16" t="s">
        <v>123</v>
      </c>
      <c r="CQ801" s="16">
        <v>0</v>
      </c>
      <c r="CR801" s="16">
        <v>0</v>
      </c>
      <c r="CS801" s="18">
        <f>IF(CT801&gt;0,1,0)</f>
        <v>0</v>
      </c>
      <c r="CT801" s="25">
        <f>SUM(CW801,CZ801,DC801)</f>
        <v>0</v>
      </c>
      <c r="CU801" s="25"/>
      <c r="CV801" s="16">
        <v>0</v>
      </c>
      <c r="CW801" s="25">
        <v>0</v>
      </c>
      <c r="CX801" s="16">
        <v>0</v>
      </c>
      <c r="CY801" s="16">
        <v>0</v>
      </c>
      <c r="CZ801" s="18">
        <v>0</v>
      </c>
      <c r="DA801" s="16">
        <v>0</v>
      </c>
      <c r="DB801" s="16">
        <v>0</v>
      </c>
      <c r="DC801" s="18">
        <v>0</v>
      </c>
      <c r="DD801" s="16">
        <v>0</v>
      </c>
      <c r="DE801" s="16">
        <v>0</v>
      </c>
      <c r="DF801" s="16" t="e">
        <f>VLOOKUP(K801,'[3]RNA Seq summary tables'!$V$3:$V$99,1,FALSE)</f>
        <v>#N/A</v>
      </c>
    </row>
    <row r="802" spans="1:288" x14ac:dyDescent="0.2">
      <c r="B802" s="16">
        <v>2016</v>
      </c>
      <c r="C802" s="20">
        <v>42565</v>
      </c>
      <c r="D802" s="20" t="str">
        <f>CONCATENATE(J802,"-",C802)</f>
        <v>970-42565</v>
      </c>
      <c r="E802" s="20" t="str">
        <f>CONCATENATE(T802,"-",U802,"-",C802)</f>
        <v>SP1-D1-42565</v>
      </c>
      <c r="F802" s="20" t="s">
        <v>106</v>
      </c>
      <c r="G802" s="20" t="s">
        <v>107</v>
      </c>
      <c r="I802" s="16">
        <v>0</v>
      </c>
      <c r="J802" s="21">
        <v>970</v>
      </c>
      <c r="K802" s="21">
        <v>1480</v>
      </c>
      <c r="L802" s="18">
        <v>0</v>
      </c>
      <c r="M802" s="15">
        <f>VLOOKUP(K802,'[7]MLBS 2016 SNV-nem Coinfection d'!$C$1:$G$238,4,FALSE)</f>
        <v>0</v>
      </c>
      <c r="N802" s="15">
        <v>0</v>
      </c>
      <c r="O802" s="15" t="s">
        <v>214</v>
      </c>
      <c r="P802" s="16" t="s">
        <v>110</v>
      </c>
      <c r="Q802" s="16">
        <v>1</v>
      </c>
      <c r="R802" s="16">
        <v>14</v>
      </c>
      <c r="T802" s="16" t="s">
        <v>140</v>
      </c>
      <c r="U802" s="16" t="s">
        <v>157</v>
      </c>
      <c r="V802" s="16" t="s">
        <v>142</v>
      </c>
      <c r="W802" s="16">
        <f>AI802/AG802</f>
        <v>1.0222222222222221</v>
      </c>
      <c r="X802" s="16" t="s">
        <v>121</v>
      </c>
      <c r="Y802" s="16" t="s">
        <v>110</v>
      </c>
      <c r="Z802" s="16">
        <v>3</v>
      </c>
      <c r="AA802" s="16" t="s">
        <v>161</v>
      </c>
      <c r="AB802" s="16" t="s">
        <v>123</v>
      </c>
      <c r="AC802" s="16" t="s">
        <v>123</v>
      </c>
      <c r="AD802" s="16" t="s">
        <v>116</v>
      </c>
      <c r="AG802" s="16">
        <v>90</v>
      </c>
      <c r="AH802" s="16">
        <v>182</v>
      </c>
      <c r="AI802" s="16">
        <v>92</v>
      </c>
      <c r="AK802" s="16">
        <v>17.5</v>
      </c>
      <c r="AL802" s="16">
        <v>1</v>
      </c>
      <c r="AM802" s="16">
        <v>0</v>
      </c>
      <c r="AN802" s="16">
        <v>0</v>
      </c>
      <c r="AO802" s="16">
        <f>IF(SUM(AL802:AN802)&gt;0,1,0)</f>
        <v>1</v>
      </c>
      <c r="AP802" s="16">
        <f>SUM(AL802:AN802)</f>
        <v>1</v>
      </c>
      <c r="AQ802" s="16">
        <v>2.117</v>
      </c>
      <c r="AR802" s="16">
        <v>0.64</v>
      </c>
      <c r="AS802" s="16">
        <v>0.64</v>
      </c>
      <c r="AT802" s="16" t="s">
        <v>124</v>
      </c>
      <c r="AV802" s="16">
        <v>1</v>
      </c>
      <c r="AW802" s="18">
        <v>0</v>
      </c>
      <c r="AX802" s="16">
        <v>0</v>
      </c>
      <c r="AY802" s="16">
        <v>0</v>
      </c>
      <c r="AZ802" s="18">
        <v>0</v>
      </c>
      <c r="BA802" s="16">
        <v>0</v>
      </c>
      <c r="BB802" s="16">
        <v>0</v>
      </c>
      <c r="BC802" s="18">
        <v>0</v>
      </c>
      <c r="BD802" s="16">
        <v>0</v>
      </c>
      <c r="BE802" s="16">
        <v>0</v>
      </c>
      <c r="BF802" s="18">
        <v>0</v>
      </c>
      <c r="BG802" s="77">
        <v>0</v>
      </c>
      <c r="BH802" s="16">
        <v>0</v>
      </c>
      <c r="BI802" s="18">
        <v>0</v>
      </c>
      <c r="BJ802" s="16">
        <v>0</v>
      </c>
      <c r="BK802" s="16">
        <v>0</v>
      </c>
      <c r="BL802" s="16">
        <f>IF(BM802&gt;0,1,0)</f>
        <v>0</v>
      </c>
      <c r="BM802" s="16">
        <f>SUM(BR802,BU802,BX802,CA802,CD802,CG802,CJ802,CM802,CP802)</f>
        <v>0</v>
      </c>
      <c r="BN802" s="16">
        <f>SUM(BW802,BZ802,CC802,CF802,CI802,CL802,CO802,CR802,BT802)</f>
        <v>0</v>
      </c>
      <c r="BO802" s="16">
        <f>IF(BP802&gt;0,1,0)</f>
        <v>0</v>
      </c>
      <c r="BP802" s="16">
        <f>SUM(BU802,BX802,CA802,CD802,BR802)</f>
        <v>0</v>
      </c>
      <c r="BQ802" s="16">
        <f>SUM(BZ802,CC802,CF802,BT802,BW802)</f>
        <v>0</v>
      </c>
      <c r="BR802" s="18">
        <v>0</v>
      </c>
      <c r="BS802" s="16">
        <v>0</v>
      </c>
      <c r="BT802" s="77">
        <f>BS802/AS802</f>
        <v>0</v>
      </c>
      <c r="BU802" s="18">
        <v>0</v>
      </c>
      <c r="BV802" s="16">
        <v>0</v>
      </c>
      <c r="BW802" s="18">
        <f>BV802/AS802</f>
        <v>0</v>
      </c>
      <c r="BX802" s="18">
        <v>0</v>
      </c>
      <c r="BY802" s="16">
        <v>0</v>
      </c>
      <c r="BZ802" s="16">
        <f>BY802/AS802</f>
        <v>0</v>
      </c>
      <c r="CA802" s="24">
        <v>0</v>
      </c>
      <c r="CB802" s="16">
        <v>0</v>
      </c>
      <c r="CC802" s="16">
        <v>0</v>
      </c>
      <c r="CD802" s="78">
        <v>0</v>
      </c>
      <c r="CE802" s="16">
        <v>0</v>
      </c>
      <c r="CF802" s="16">
        <v>0</v>
      </c>
      <c r="CP802" s="16" t="s">
        <v>123</v>
      </c>
      <c r="CQ802" s="16">
        <v>0</v>
      </c>
      <c r="CR802" s="16">
        <v>0</v>
      </c>
      <c r="CS802" s="18">
        <f>IF(CT802&gt;0,1,0)</f>
        <v>0</v>
      </c>
      <c r="CT802" s="25">
        <f>SUM(CW802,CZ802,DC802)</f>
        <v>0</v>
      </c>
      <c r="CU802" s="25"/>
      <c r="CV802" s="16">
        <v>0</v>
      </c>
      <c r="CW802" s="25">
        <v>0</v>
      </c>
      <c r="CX802" s="16">
        <v>0</v>
      </c>
      <c r="CY802" s="16">
        <v>0</v>
      </c>
      <c r="CZ802" s="18">
        <v>0</v>
      </c>
      <c r="DA802" s="16">
        <v>0</v>
      </c>
      <c r="DB802" s="16">
        <v>0</v>
      </c>
      <c r="DC802" s="18">
        <v>0</v>
      </c>
      <c r="DD802" s="16">
        <v>0</v>
      </c>
      <c r="DE802" s="16">
        <v>0</v>
      </c>
      <c r="DF802" s="16" t="e">
        <f>VLOOKUP(K802,'[3]RNA Seq summary tables'!$V$3:$V$99,1,FALSE)</f>
        <v>#N/A</v>
      </c>
    </row>
    <row r="803" spans="1:288" x14ac:dyDescent="0.2">
      <c r="B803" s="16">
        <v>2016</v>
      </c>
      <c r="C803" s="37">
        <v>42580</v>
      </c>
      <c r="D803" s="37" t="str">
        <f>CONCATENATE(J803,"-",C803)</f>
        <v>970-42580</v>
      </c>
      <c r="E803" s="20" t="str">
        <f>CONCATENATE(T803,"-",U803,"-",C803)</f>
        <v>SP1-E1-42580</v>
      </c>
      <c r="F803" s="20" t="s">
        <v>106</v>
      </c>
      <c r="G803" s="20" t="s">
        <v>107</v>
      </c>
      <c r="H803" s="18"/>
      <c r="I803" s="16">
        <v>0</v>
      </c>
      <c r="J803" s="36">
        <v>970</v>
      </c>
      <c r="K803" s="36">
        <v>1520</v>
      </c>
      <c r="L803" s="18">
        <v>0</v>
      </c>
      <c r="M803" s="15">
        <f>VLOOKUP(K803,'[7]MLBS 2016 SNV-nem Coinfection d'!$C$1:$G$238,4,FALSE)</f>
        <v>0</v>
      </c>
      <c r="N803" s="15">
        <v>0</v>
      </c>
      <c r="O803" s="15" t="s">
        <v>214</v>
      </c>
      <c r="P803" s="18" t="s">
        <v>110</v>
      </c>
      <c r="Q803" s="16">
        <v>1</v>
      </c>
      <c r="R803" s="18">
        <v>15</v>
      </c>
      <c r="S803" s="18"/>
      <c r="T803" s="18" t="s">
        <v>140</v>
      </c>
      <c r="U803" s="18" t="s">
        <v>222</v>
      </c>
      <c r="V803" s="18" t="s">
        <v>142</v>
      </c>
      <c r="W803" s="16">
        <f>AI803/AG803</f>
        <v>1.0329670329670331</v>
      </c>
      <c r="X803" s="18" t="s">
        <v>121</v>
      </c>
      <c r="Y803" s="18" t="s">
        <v>110</v>
      </c>
      <c r="Z803" s="18">
        <v>3</v>
      </c>
      <c r="AA803" s="18" t="s">
        <v>161</v>
      </c>
      <c r="AB803" s="18" t="s">
        <v>123</v>
      </c>
      <c r="AC803" s="18" t="s">
        <v>123</v>
      </c>
      <c r="AD803" s="18" t="s">
        <v>116</v>
      </c>
      <c r="AE803" s="18"/>
      <c r="AF803" s="18"/>
      <c r="AG803" s="18">
        <f>AH803-AI803</f>
        <v>91</v>
      </c>
      <c r="AH803" s="18">
        <v>185</v>
      </c>
      <c r="AI803" s="18">
        <v>94</v>
      </c>
      <c r="AJ803" s="18"/>
      <c r="AK803" s="18">
        <v>19.5</v>
      </c>
      <c r="AL803" s="16">
        <v>0</v>
      </c>
      <c r="AM803" s="16">
        <v>0</v>
      </c>
      <c r="AN803" s="16">
        <v>1</v>
      </c>
      <c r="AO803" s="16">
        <f>IF(SUM(AL803:AN803)&gt;0,1,0)</f>
        <v>1</v>
      </c>
      <c r="AP803" s="16">
        <f>SUM(AL803:AN803)</f>
        <v>1</v>
      </c>
      <c r="AQ803" s="18"/>
      <c r="AR803" s="18">
        <v>0.40200000000000002</v>
      </c>
      <c r="AS803" s="18">
        <v>0.40200000000000002</v>
      </c>
      <c r="AT803" s="18" t="s">
        <v>212</v>
      </c>
      <c r="AU803" s="18"/>
      <c r="AV803" s="18"/>
      <c r="AW803" s="22">
        <v>1</v>
      </c>
      <c r="AX803" s="18">
        <v>2</v>
      </c>
      <c r="AY803" s="18">
        <f>204/0.402</f>
        <v>507.46268656716416</v>
      </c>
      <c r="AZ803" s="18">
        <v>1</v>
      </c>
      <c r="BA803" s="18">
        <v>2</v>
      </c>
      <c r="BB803" s="18">
        <f>204/0.402</f>
        <v>507.46268656716416</v>
      </c>
      <c r="BC803" s="16">
        <v>1</v>
      </c>
      <c r="BD803" s="18">
        <v>9</v>
      </c>
      <c r="BE803" s="18">
        <f>9/0.402</f>
        <v>22.388059701492537</v>
      </c>
      <c r="BF803" s="18">
        <v>1</v>
      </c>
      <c r="BG803" s="78">
        <v>195</v>
      </c>
      <c r="BH803" s="18">
        <f>195/0.402</f>
        <v>485.07462686567163</v>
      </c>
      <c r="BI803" s="18">
        <v>0</v>
      </c>
      <c r="BJ803" s="18">
        <v>0</v>
      </c>
      <c r="BK803" s="18">
        <v>0</v>
      </c>
      <c r="BL803" s="16">
        <f>IF(BM803&gt;0,1,0)</f>
        <v>0</v>
      </c>
      <c r="BM803" s="16">
        <f>SUM(BR803,BU803,BX803,CA803,CD803,CG803,CJ803,CM803,CP803)</f>
        <v>0</v>
      </c>
      <c r="BN803" s="16">
        <f>SUM(BW803,BZ803,CC803,CF803,CI803,CL803,CO803,CR803,BT803)</f>
        <v>0</v>
      </c>
      <c r="BO803" s="16">
        <f>IF(BP803&gt;0,1,0)</f>
        <v>0</v>
      </c>
      <c r="BP803" s="16">
        <f>SUM(BU803,BX803,CA803,CD803,BR803)</f>
        <v>0</v>
      </c>
      <c r="BQ803" s="16">
        <f>SUM(BZ803,CC803,CF803,BT803,BW803)</f>
        <v>0</v>
      </c>
      <c r="BR803" s="18">
        <v>0</v>
      </c>
      <c r="BS803" s="18">
        <v>0</v>
      </c>
      <c r="BT803" s="77">
        <f>BS803/AS803</f>
        <v>0</v>
      </c>
      <c r="BU803" s="18">
        <v>0</v>
      </c>
      <c r="BV803" s="18">
        <v>0</v>
      </c>
      <c r="BW803" s="18">
        <f>BV803/AS803</f>
        <v>0</v>
      </c>
      <c r="BX803" s="18">
        <v>0</v>
      </c>
      <c r="BY803" s="18">
        <v>0</v>
      </c>
      <c r="BZ803" s="16">
        <f>BY803/AS803</f>
        <v>0</v>
      </c>
      <c r="CA803" s="24">
        <v>0</v>
      </c>
      <c r="CB803" s="18">
        <v>0</v>
      </c>
      <c r="CC803" s="18">
        <v>0</v>
      </c>
      <c r="CD803" s="78">
        <v>0</v>
      </c>
      <c r="CE803" s="18">
        <v>0</v>
      </c>
      <c r="CF803" s="18">
        <v>0</v>
      </c>
      <c r="CG803" s="18"/>
      <c r="CH803" s="18"/>
      <c r="CI803" s="18"/>
      <c r="CJ803" s="18"/>
      <c r="CK803" s="18"/>
      <c r="CL803" s="18"/>
      <c r="CM803" s="18"/>
      <c r="CN803" s="18"/>
      <c r="CO803" s="18"/>
      <c r="CP803" s="18" t="s">
        <v>123</v>
      </c>
      <c r="CQ803" s="18">
        <v>0</v>
      </c>
      <c r="CR803" s="18">
        <v>0</v>
      </c>
      <c r="CS803" s="18">
        <f>IF(CT803&gt;0,1,0)</f>
        <v>0</v>
      </c>
      <c r="CT803" s="25">
        <f>SUM(CW803,CZ803,DC803)</f>
        <v>0</v>
      </c>
      <c r="CU803" s="25"/>
      <c r="CV803" s="18">
        <v>0</v>
      </c>
      <c r="CW803" s="25">
        <v>0</v>
      </c>
      <c r="CX803" s="18">
        <v>0</v>
      </c>
      <c r="CY803" s="18">
        <v>0</v>
      </c>
      <c r="CZ803" s="18">
        <v>0</v>
      </c>
      <c r="DA803" s="18">
        <v>0</v>
      </c>
      <c r="DB803" s="18">
        <v>0</v>
      </c>
      <c r="DC803" s="18">
        <v>0</v>
      </c>
      <c r="DD803" s="18">
        <v>0</v>
      </c>
      <c r="DE803" s="18">
        <v>0</v>
      </c>
      <c r="DF803" s="16" t="e">
        <f>VLOOKUP(K803,'[3]RNA Seq summary tables'!$V$3:$V$99,1,FALSE)</f>
        <v>#N/A</v>
      </c>
      <c r="DI803" s="18"/>
      <c r="DJ803" s="18"/>
      <c r="DK803" s="18"/>
      <c r="DL803" s="18"/>
      <c r="DM803" s="18"/>
      <c r="DN803" s="18"/>
      <c r="DO803" s="18"/>
      <c r="DP803" s="18"/>
      <c r="DQ803" s="18"/>
      <c r="DR803" s="18"/>
      <c r="DS803" s="18"/>
    </row>
    <row r="804" spans="1:288" s="38" customFormat="1" x14ac:dyDescent="0.2">
      <c r="A804" s="18"/>
      <c r="B804" s="16">
        <v>2016</v>
      </c>
      <c r="C804" s="20">
        <v>42593</v>
      </c>
      <c r="D804" s="20" t="str">
        <f>CONCATENATE(J804,"-",C804)</f>
        <v>970-42593</v>
      </c>
      <c r="E804" s="20" t="str">
        <f>CONCATENATE(T804,"-",U804,"-",C804)</f>
        <v>SP1-B4-42593</v>
      </c>
      <c r="F804" s="20" t="s">
        <v>227</v>
      </c>
      <c r="G804" s="20" t="s">
        <v>107</v>
      </c>
      <c r="H804" s="23" t="s">
        <v>223</v>
      </c>
      <c r="I804" s="16">
        <v>0</v>
      </c>
      <c r="J804" s="21">
        <v>970</v>
      </c>
      <c r="K804" s="21">
        <v>1542</v>
      </c>
      <c r="L804" s="18">
        <v>0</v>
      </c>
      <c r="M804" s="15">
        <f>VLOOKUP(K804,'[7]MLBS 2016 SNV-nem Coinfection d'!$C$1:$G$238,4,FALSE)</f>
        <v>0</v>
      </c>
      <c r="N804" s="15">
        <v>0</v>
      </c>
      <c r="O804" s="15" t="s">
        <v>214</v>
      </c>
      <c r="P804" s="16" t="s">
        <v>110</v>
      </c>
      <c r="Q804" s="16">
        <v>1</v>
      </c>
      <c r="R804" s="16">
        <v>13</v>
      </c>
      <c r="S804" s="16"/>
      <c r="T804" s="16" t="s">
        <v>140</v>
      </c>
      <c r="U804" s="16" t="s">
        <v>144</v>
      </c>
      <c r="V804" s="16" t="s">
        <v>142</v>
      </c>
      <c r="W804" s="16">
        <f>AI804/AG804</f>
        <v>1.0804597701149425</v>
      </c>
      <c r="X804" s="16" t="s">
        <v>121</v>
      </c>
      <c r="Y804" s="18" t="s">
        <v>110</v>
      </c>
      <c r="Z804" s="18">
        <v>3</v>
      </c>
      <c r="AA804" s="16" t="s">
        <v>161</v>
      </c>
      <c r="AB804" s="16" t="s">
        <v>123</v>
      </c>
      <c r="AC804" s="16" t="s">
        <v>123</v>
      </c>
      <c r="AD804" s="16" t="s">
        <v>116</v>
      </c>
      <c r="AE804" s="16"/>
      <c r="AF804" s="16"/>
      <c r="AG804" s="16">
        <f>AH804-AI804</f>
        <v>87</v>
      </c>
      <c r="AH804" s="16">
        <v>181</v>
      </c>
      <c r="AI804" s="16">
        <v>94</v>
      </c>
      <c r="AJ804" s="16"/>
      <c r="AK804" s="16">
        <v>18</v>
      </c>
      <c r="AL804" s="16">
        <v>0</v>
      </c>
      <c r="AM804" s="16">
        <v>0</v>
      </c>
      <c r="AN804" s="16">
        <v>0</v>
      </c>
      <c r="AO804" s="16">
        <f>IF(SUM(AL804:AN804)&gt;0,1,0)</f>
        <v>0</v>
      </c>
      <c r="AP804" s="16">
        <f>SUM(AL804:AN804)</f>
        <v>0</v>
      </c>
      <c r="AQ804" s="16">
        <v>1.8</v>
      </c>
      <c r="AR804" s="16">
        <v>0.32300000000000001</v>
      </c>
      <c r="AS804" s="16">
        <v>0.32300000000000001</v>
      </c>
      <c r="AT804" s="16" t="s">
        <v>205</v>
      </c>
      <c r="AU804" s="16"/>
      <c r="AV804" s="16"/>
      <c r="AW804" s="22">
        <v>1</v>
      </c>
      <c r="AX804" s="16">
        <v>2</v>
      </c>
      <c r="AY804" s="16">
        <f>(2+9)/AS804</f>
        <v>34.055727554179569</v>
      </c>
      <c r="AZ804" s="18">
        <v>1</v>
      </c>
      <c r="BA804" s="16">
        <v>2</v>
      </c>
      <c r="BB804" s="16">
        <f>(2+9)/AS804</f>
        <v>34.055727554179569</v>
      </c>
      <c r="BC804" s="16">
        <v>1</v>
      </c>
      <c r="BD804" s="16">
        <v>2</v>
      </c>
      <c r="BE804" s="16">
        <f>2/AS804</f>
        <v>6.1919504643962844</v>
      </c>
      <c r="BF804" s="18">
        <v>1</v>
      </c>
      <c r="BG804" s="77">
        <v>9</v>
      </c>
      <c r="BH804" s="16">
        <f>9/AS804</f>
        <v>27.86377708978328</v>
      </c>
      <c r="BI804" s="18">
        <v>0</v>
      </c>
      <c r="BJ804" s="16">
        <v>0</v>
      </c>
      <c r="BK804" s="16">
        <v>0</v>
      </c>
      <c r="BL804" s="16">
        <f>IF(BM804&gt;0,1,0)</f>
        <v>0</v>
      </c>
      <c r="BM804" s="16">
        <f>SUM(BR804,BU804,BX804,CA804,CD804,CG804,CJ804,CM804,CP804)</f>
        <v>0</v>
      </c>
      <c r="BN804" s="16">
        <f>SUM(BW804,BZ804,CC804,CF804,CI804,CL804,CO804,CR804,BT804)</f>
        <v>0</v>
      </c>
      <c r="BO804" s="16">
        <f>IF(BP804&gt;0,1,0)</f>
        <v>0</v>
      </c>
      <c r="BP804" s="16">
        <f>SUM(BU804,BX804,CA804,CD804,BR804)</f>
        <v>0</v>
      </c>
      <c r="BQ804" s="16">
        <f>SUM(BZ804,CC804,CF804,BT804,BW804)</f>
        <v>0</v>
      </c>
      <c r="BR804" s="18">
        <v>0</v>
      </c>
      <c r="BS804" s="16">
        <v>0</v>
      </c>
      <c r="BT804" s="77">
        <f>BS804/AS804</f>
        <v>0</v>
      </c>
      <c r="BU804" s="18">
        <v>0</v>
      </c>
      <c r="BV804" s="16">
        <v>0</v>
      </c>
      <c r="BW804" s="18">
        <f>BV804/AS804</f>
        <v>0</v>
      </c>
      <c r="BX804" s="18">
        <v>0</v>
      </c>
      <c r="BY804" s="16">
        <v>0</v>
      </c>
      <c r="BZ804" s="16">
        <f>BY804/AS804</f>
        <v>0</v>
      </c>
      <c r="CA804" s="24">
        <v>0</v>
      </c>
      <c r="CB804" s="16">
        <v>0</v>
      </c>
      <c r="CC804" s="16">
        <v>0</v>
      </c>
      <c r="CD804" s="78">
        <v>0</v>
      </c>
      <c r="CE804" s="16">
        <v>0</v>
      </c>
      <c r="CF804" s="16">
        <v>0</v>
      </c>
      <c r="CG804" s="16"/>
      <c r="CH804" s="16"/>
      <c r="CI804" s="16"/>
      <c r="CJ804" s="16"/>
      <c r="CK804" s="16"/>
      <c r="CL804" s="16"/>
      <c r="CM804" s="16"/>
      <c r="CN804" s="16"/>
      <c r="CO804" s="16"/>
      <c r="CP804" s="16" t="s">
        <v>123</v>
      </c>
      <c r="CQ804" s="16">
        <v>0</v>
      </c>
      <c r="CR804" s="16">
        <v>0</v>
      </c>
      <c r="CS804" s="18">
        <f>IF(CT804&gt;0,1,0)</f>
        <v>0</v>
      </c>
      <c r="CT804" s="25">
        <f>SUM(CW804,CZ804,DC804)</f>
        <v>0</v>
      </c>
      <c r="CU804" s="25"/>
      <c r="CV804" s="16">
        <v>0</v>
      </c>
      <c r="CW804" s="25">
        <v>0</v>
      </c>
      <c r="CX804" s="16">
        <v>0</v>
      </c>
      <c r="CY804" s="16">
        <v>0</v>
      </c>
      <c r="CZ804" s="18">
        <v>0</v>
      </c>
      <c r="DA804" s="16">
        <v>0</v>
      </c>
      <c r="DB804" s="16">
        <v>0</v>
      </c>
      <c r="DC804" s="18">
        <v>0</v>
      </c>
      <c r="DD804" s="16">
        <v>0</v>
      </c>
      <c r="DE804" s="16">
        <v>0</v>
      </c>
      <c r="DF804" s="16" t="e">
        <f>VLOOKUP(K804,'[3]RNA Seq summary tables'!$V$3:$V$99,1,FALSE)</f>
        <v>#N/A</v>
      </c>
      <c r="DG804" s="16"/>
      <c r="DH804" s="16"/>
      <c r="DI804" s="16"/>
      <c r="DJ804" s="16"/>
      <c r="DK804" s="16"/>
      <c r="DL804" s="16"/>
      <c r="DM804" s="16"/>
      <c r="DN804" s="16"/>
      <c r="DO804" s="16"/>
      <c r="DP804" s="16"/>
      <c r="DQ804" s="16"/>
      <c r="DR804" s="16"/>
      <c r="DS804" s="16"/>
      <c r="DT804" s="25"/>
      <c r="DU804" s="25"/>
      <c r="DV804" s="25"/>
      <c r="DW804" s="25"/>
      <c r="DX804" s="25"/>
      <c r="DY804" s="25"/>
      <c r="DZ804" s="25"/>
      <c r="EA804" s="25"/>
      <c r="EB804" s="25"/>
      <c r="EC804" s="25"/>
      <c r="ED804" s="25"/>
      <c r="EE804" s="18"/>
      <c r="EF804" s="18"/>
      <c r="EG804" s="18"/>
      <c r="EH804" s="18"/>
      <c r="EI804" s="18"/>
      <c r="EJ804" s="18"/>
      <c r="EK804" s="18"/>
      <c r="EL804" s="18"/>
      <c r="EM804" s="18"/>
      <c r="EN804" s="18"/>
      <c r="EO804" s="18"/>
      <c r="EP804" s="18"/>
      <c r="EQ804" s="18"/>
      <c r="ER804" s="18"/>
      <c r="ES804" s="18"/>
      <c r="ET804" s="18"/>
      <c r="EU804" s="18"/>
      <c r="EV804" s="18"/>
      <c r="EW804" s="18"/>
      <c r="EX804" s="18"/>
      <c r="EY804" s="18"/>
      <c r="EZ804" s="18"/>
      <c r="FA804" s="18"/>
      <c r="FB804" s="18"/>
      <c r="FC804" s="18"/>
      <c r="FD804" s="18"/>
      <c r="FE804" s="18"/>
      <c r="FF804" s="18"/>
      <c r="FG804" s="18"/>
      <c r="FH804" s="18"/>
      <c r="FI804" s="18"/>
      <c r="FJ804" s="18"/>
      <c r="FK804" s="18"/>
      <c r="FL804" s="18"/>
      <c r="FM804" s="18"/>
      <c r="FN804" s="18"/>
      <c r="FO804" s="18"/>
      <c r="FP804" s="18"/>
      <c r="FQ804" s="18"/>
      <c r="FR804" s="18"/>
      <c r="FS804" s="18"/>
      <c r="FT804" s="18"/>
      <c r="FU804" s="18"/>
      <c r="FV804" s="18"/>
      <c r="FW804" s="18"/>
      <c r="FX804" s="18"/>
      <c r="FY804" s="18"/>
      <c r="FZ804" s="18"/>
      <c r="GA804" s="18"/>
      <c r="GB804" s="18"/>
      <c r="GC804" s="18"/>
      <c r="GD804" s="18"/>
      <c r="GE804" s="18"/>
      <c r="GF804" s="18"/>
      <c r="GG804" s="18"/>
      <c r="GH804" s="18"/>
      <c r="GI804" s="18"/>
      <c r="GJ804" s="18"/>
      <c r="GK804" s="18"/>
      <c r="GL804" s="18"/>
      <c r="GM804" s="18"/>
      <c r="GN804" s="18"/>
      <c r="GO804" s="18"/>
      <c r="GP804" s="18"/>
      <c r="GQ804" s="18"/>
      <c r="GR804" s="18"/>
      <c r="GS804" s="18"/>
      <c r="GT804" s="18"/>
      <c r="GU804" s="18"/>
      <c r="GV804" s="18"/>
      <c r="GW804" s="18"/>
      <c r="GX804" s="18"/>
      <c r="GY804" s="18"/>
      <c r="GZ804" s="18"/>
      <c r="HA804" s="18"/>
      <c r="HB804" s="18"/>
      <c r="HC804" s="18"/>
      <c r="HD804" s="18"/>
      <c r="HE804" s="18"/>
      <c r="HF804" s="18"/>
      <c r="HG804" s="18"/>
      <c r="HH804" s="18"/>
      <c r="HI804" s="18"/>
      <c r="HJ804" s="18"/>
      <c r="HK804" s="18"/>
      <c r="HL804" s="18"/>
      <c r="HM804" s="18"/>
      <c r="HN804" s="18"/>
      <c r="HO804" s="18"/>
      <c r="HP804" s="18"/>
      <c r="HQ804" s="18"/>
      <c r="HR804" s="18"/>
      <c r="HS804" s="18"/>
      <c r="HT804" s="18"/>
      <c r="HU804" s="18"/>
      <c r="HV804" s="18"/>
      <c r="HW804" s="18"/>
      <c r="HX804" s="18"/>
      <c r="HY804" s="18"/>
      <c r="HZ804" s="18"/>
      <c r="IA804" s="18"/>
      <c r="IB804" s="18"/>
      <c r="IC804" s="18"/>
      <c r="ID804" s="18"/>
      <c r="IE804" s="18"/>
      <c r="IF804" s="18"/>
      <c r="IG804" s="18"/>
      <c r="IH804" s="18"/>
      <c r="II804" s="18"/>
      <c r="IJ804" s="18"/>
      <c r="IK804" s="18"/>
      <c r="IL804" s="18"/>
      <c r="IM804" s="18"/>
      <c r="IN804" s="18"/>
      <c r="IO804" s="18"/>
      <c r="IP804" s="18"/>
      <c r="IQ804" s="18"/>
      <c r="IR804" s="18"/>
      <c r="IS804" s="18"/>
      <c r="IT804" s="18"/>
      <c r="IU804" s="18"/>
      <c r="IV804" s="18"/>
      <c r="IW804" s="18"/>
      <c r="IX804" s="18"/>
      <c r="IY804" s="18"/>
      <c r="IZ804" s="18"/>
      <c r="JA804" s="18"/>
      <c r="JB804" s="18"/>
      <c r="JC804" s="18"/>
      <c r="JD804" s="18"/>
      <c r="JE804" s="18"/>
      <c r="JF804" s="18"/>
      <c r="JG804" s="18"/>
      <c r="JH804" s="18"/>
      <c r="JI804" s="18"/>
      <c r="JJ804" s="18"/>
      <c r="JK804" s="18"/>
      <c r="JL804" s="18"/>
      <c r="JM804" s="18"/>
      <c r="JN804" s="18"/>
      <c r="JO804" s="16"/>
      <c r="JP804" s="16"/>
      <c r="JQ804" s="16"/>
      <c r="JR804" s="16"/>
      <c r="JS804" s="16"/>
      <c r="JT804" s="16"/>
      <c r="JU804" s="16"/>
      <c r="JV804" s="16"/>
      <c r="JW804" s="16"/>
      <c r="JX804" s="16"/>
      <c r="JY804" s="16"/>
      <c r="JZ804" s="16"/>
      <c r="KA804" s="16"/>
      <c r="KB804" s="16"/>
    </row>
    <row r="805" spans="1:288" s="38" customFormat="1" x14ac:dyDescent="0.2">
      <c r="A805" s="18"/>
      <c r="B805" s="16">
        <v>2016</v>
      </c>
      <c r="C805" s="37">
        <v>42607</v>
      </c>
      <c r="D805" s="37" t="str">
        <f>CONCATENATE(J805,"-",C805)</f>
        <v>970-42607</v>
      </c>
      <c r="E805" s="20" t="str">
        <f>CONCATENATE(T805,"-",U805,"-",C805)</f>
        <v>SP1-E3-42607</v>
      </c>
      <c r="F805" s="37" t="s">
        <v>227</v>
      </c>
      <c r="G805" s="37" t="s">
        <v>107</v>
      </c>
      <c r="H805" s="18" t="s">
        <v>231</v>
      </c>
      <c r="I805" s="16">
        <v>0</v>
      </c>
      <c r="J805" s="21">
        <v>970</v>
      </c>
      <c r="K805" s="21">
        <v>1563</v>
      </c>
      <c r="L805" s="18">
        <v>0</v>
      </c>
      <c r="M805" s="15">
        <f>VLOOKUP(K805,'[7]MLBS 2016 SNV-nem Coinfection d'!$C$1:$G$238,4,FALSE)</f>
        <v>0</v>
      </c>
      <c r="N805" s="15">
        <v>0</v>
      </c>
      <c r="O805" s="15" t="s">
        <v>214</v>
      </c>
      <c r="P805" s="16" t="s">
        <v>110</v>
      </c>
      <c r="Q805" s="16">
        <v>1</v>
      </c>
      <c r="R805" s="16">
        <v>14</v>
      </c>
      <c r="S805" s="16"/>
      <c r="T805" s="16" t="s">
        <v>140</v>
      </c>
      <c r="U805" s="16" t="s">
        <v>225</v>
      </c>
      <c r="V805" s="16" t="s">
        <v>142</v>
      </c>
      <c r="W805" s="16">
        <f>AI805/AG805</f>
        <v>0.90909090909090906</v>
      </c>
      <c r="X805" s="16" t="s">
        <v>121</v>
      </c>
      <c r="Y805" s="18" t="s">
        <v>110</v>
      </c>
      <c r="Z805" s="18">
        <v>3</v>
      </c>
      <c r="AA805" s="16" t="s">
        <v>119</v>
      </c>
      <c r="AB805" s="16" t="s">
        <v>123</v>
      </c>
      <c r="AC805" s="16" t="s">
        <v>123</v>
      </c>
      <c r="AD805" s="16" t="s">
        <v>123</v>
      </c>
      <c r="AE805" s="16"/>
      <c r="AF805" s="16"/>
      <c r="AG805" s="16">
        <f>AH805-AI805</f>
        <v>99</v>
      </c>
      <c r="AH805" s="16">
        <v>189</v>
      </c>
      <c r="AI805" s="16">
        <v>90</v>
      </c>
      <c r="AJ805" s="16"/>
      <c r="AK805" s="16">
        <v>19.5</v>
      </c>
      <c r="AL805" s="16">
        <v>0</v>
      </c>
      <c r="AM805" s="16">
        <v>0</v>
      </c>
      <c r="AN805" s="16">
        <v>0</v>
      </c>
      <c r="AO805" s="16">
        <f>IF(SUM(AL805:AN805)&gt;0,1,0)</f>
        <v>0</v>
      </c>
      <c r="AP805" s="16">
        <f>SUM(AL805:AN805)</f>
        <v>0</v>
      </c>
      <c r="AQ805" s="16">
        <f>AS805+1.477</f>
        <v>1.8580000000000001</v>
      </c>
      <c r="AR805" s="16">
        <v>0.38100000000000001</v>
      </c>
      <c r="AS805" s="16">
        <v>0.38100000000000001</v>
      </c>
      <c r="AT805" s="16" t="s">
        <v>205</v>
      </c>
      <c r="AU805" s="16"/>
      <c r="AV805" s="16"/>
      <c r="AW805" s="22">
        <v>1</v>
      </c>
      <c r="AX805" s="16">
        <v>2</v>
      </c>
      <c r="AY805" s="16">
        <f>(3+16)/AS805</f>
        <v>49.868766404199476</v>
      </c>
      <c r="AZ805" s="18">
        <v>1</v>
      </c>
      <c r="BA805" s="16">
        <v>2</v>
      </c>
      <c r="BB805" s="16">
        <f>AY805</f>
        <v>49.868766404199476</v>
      </c>
      <c r="BC805" s="16">
        <v>1</v>
      </c>
      <c r="BD805" s="16">
        <v>3</v>
      </c>
      <c r="BE805" s="16">
        <f>3/AS805</f>
        <v>7.8740157480314963</v>
      </c>
      <c r="BF805" s="18">
        <v>1</v>
      </c>
      <c r="BG805" s="77">
        <v>16</v>
      </c>
      <c r="BH805" s="16">
        <f>16/AS805</f>
        <v>41.99475065616798</v>
      </c>
      <c r="BI805" s="18">
        <v>0</v>
      </c>
      <c r="BJ805" s="16">
        <v>0</v>
      </c>
      <c r="BK805" s="16">
        <v>0</v>
      </c>
      <c r="BL805" s="16">
        <f>IF(BM805&gt;0,1,0)</f>
        <v>0</v>
      </c>
      <c r="BM805" s="16">
        <f>SUM(BR805,BU805,BX805,CA805,CD805,CG805,CJ805,CM805,CP805)</f>
        <v>0</v>
      </c>
      <c r="BN805" s="16">
        <f>SUM(BW805,BZ805,CC805,CF805,CI805,CL805,CO805,CR805,BT805)</f>
        <v>0</v>
      </c>
      <c r="BO805" s="16">
        <f>IF(BP805&gt;0,1,0)</f>
        <v>0</v>
      </c>
      <c r="BP805" s="16">
        <f>SUM(BU805,BX805,CA805,CD805,BR805)</f>
        <v>0</v>
      </c>
      <c r="BQ805" s="16">
        <f>SUM(BZ805,CC805,CF805,BT805,BW805)</f>
        <v>0</v>
      </c>
      <c r="BR805" s="18">
        <v>0</v>
      </c>
      <c r="BS805" s="16">
        <v>0</v>
      </c>
      <c r="BT805" s="77">
        <f>BS805/AS805</f>
        <v>0</v>
      </c>
      <c r="BU805" s="18">
        <v>0</v>
      </c>
      <c r="BV805" s="16">
        <v>0</v>
      </c>
      <c r="BW805" s="18">
        <f>BV805/AS805</f>
        <v>0</v>
      </c>
      <c r="BX805" s="18">
        <v>0</v>
      </c>
      <c r="BY805" s="16">
        <v>0</v>
      </c>
      <c r="BZ805" s="16">
        <f>BY805/AS805</f>
        <v>0</v>
      </c>
      <c r="CA805" s="24">
        <v>0</v>
      </c>
      <c r="CB805" s="16">
        <v>0</v>
      </c>
      <c r="CC805" s="16">
        <v>0</v>
      </c>
      <c r="CD805" s="78">
        <v>0</v>
      </c>
      <c r="CE805" s="16">
        <v>0</v>
      </c>
      <c r="CF805" s="16">
        <v>0</v>
      </c>
      <c r="CG805" s="16"/>
      <c r="CH805" s="16"/>
      <c r="CI805" s="16"/>
      <c r="CJ805" s="16"/>
      <c r="CK805" s="16"/>
      <c r="CL805" s="16"/>
      <c r="CM805" s="16"/>
      <c r="CN805" s="16"/>
      <c r="CO805" s="16"/>
      <c r="CP805" s="16" t="s">
        <v>123</v>
      </c>
      <c r="CQ805" s="16">
        <v>0</v>
      </c>
      <c r="CR805" s="16">
        <v>0</v>
      </c>
      <c r="CS805" s="18">
        <f>IF(CT805&gt;0,1,0)</f>
        <v>0</v>
      </c>
      <c r="CT805" s="25">
        <f>SUM(CW805,CZ805,DC805)</f>
        <v>0</v>
      </c>
      <c r="CU805" s="25"/>
      <c r="CV805" s="16">
        <v>0</v>
      </c>
      <c r="CW805" s="25">
        <v>0</v>
      </c>
      <c r="CX805" s="16">
        <v>0</v>
      </c>
      <c r="CY805" s="16">
        <v>0</v>
      </c>
      <c r="CZ805" s="18">
        <v>0</v>
      </c>
      <c r="DA805" s="16">
        <v>0</v>
      </c>
      <c r="DB805" s="16">
        <v>0</v>
      </c>
      <c r="DC805" s="18">
        <v>0</v>
      </c>
      <c r="DD805" s="16">
        <v>0</v>
      </c>
      <c r="DE805" s="16">
        <v>0</v>
      </c>
      <c r="DF805" s="16" t="e">
        <f>VLOOKUP(K805,'[3]RNA Seq summary tables'!$V$3:$V$99,1,FALSE)</f>
        <v>#N/A</v>
      </c>
      <c r="DG805" s="16">
        <v>1</v>
      </c>
      <c r="DH805" s="16" t="str">
        <f>VLOOKUP(D805,'[8]Data with duplicates'!$B$1:$J$70,9,FALSE)</f>
        <v>sample.39</v>
      </c>
      <c r="DI805" s="16"/>
      <c r="DJ805" s="16"/>
      <c r="DK805" s="16"/>
      <c r="DL805" s="16"/>
      <c r="DM805" s="16"/>
      <c r="DN805" s="16"/>
      <c r="DO805" s="16"/>
      <c r="DP805" s="16"/>
      <c r="DQ805" s="16"/>
      <c r="DR805" s="16"/>
      <c r="DS805" s="16"/>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18"/>
      <c r="EQ805" s="18"/>
      <c r="ER805" s="18"/>
      <c r="ES805" s="18"/>
      <c r="ET805" s="18"/>
      <c r="EU805" s="18"/>
      <c r="EV805" s="18"/>
      <c r="EW805" s="18"/>
      <c r="EX805" s="18"/>
      <c r="EY805" s="18"/>
      <c r="EZ805" s="18"/>
      <c r="FA805" s="18"/>
      <c r="FB805" s="18"/>
      <c r="FC805" s="18"/>
      <c r="FD805" s="18"/>
      <c r="FE805" s="18"/>
      <c r="FF805" s="18"/>
      <c r="FG805" s="18"/>
      <c r="FH805" s="18"/>
      <c r="FI805" s="18"/>
      <c r="FJ805" s="18"/>
      <c r="FK805" s="18"/>
      <c r="FL805" s="18"/>
      <c r="FM805" s="18"/>
      <c r="FN805" s="18"/>
      <c r="FO805" s="18"/>
      <c r="FP805" s="18"/>
      <c r="FQ805" s="18"/>
      <c r="FR805" s="18"/>
      <c r="FS805" s="18"/>
      <c r="FT805" s="18"/>
      <c r="FU805" s="18"/>
      <c r="FV805" s="18"/>
      <c r="FW805" s="18"/>
      <c r="FX805" s="18"/>
      <c r="FY805" s="18"/>
      <c r="FZ805" s="18"/>
      <c r="GA805" s="18"/>
      <c r="GB805" s="18"/>
      <c r="GC805" s="18"/>
      <c r="GD805" s="18"/>
      <c r="GE805" s="18"/>
      <c r="GF805" s="18"/>
      <c r="GG805" s="18"/>
      <c r="GH805" s="18"/>
      <c r="GI805" s="18"/>
      <c r="GJ805" s="18"/>
      <c r="GK805" s="18"/>
      <c r="GL805" s="18"/>
      <c r="GM805" s="18"/>
      <c r="GN805" s="18"/>
      <c r="GO805" s="18"/>
      <c r="GP805" s="18"/>
      <c r="GQ805" s="18"/>
      <c r="GR805" s="18"/>
      <c r="GS805" s="18"/>
      <c r="GT805" s="18"/>
      <c r="GU805" s="18"/>
      <c r="GV805" s="18"/>
      <c r="GW805" s="18"/>
      <c r="GX805" s="18"/>
      <c r="GY805" s="18"/>
      <c r="GZ805" s="18"/>
      <c r="HA805" s="18"/>
      <c r="HB805" s="18"/>
      <c r="HC805" s="18"/>
      <c r="HD805" s="18"/>
      <c r="HE805" s="18"/>
      <c r="HF805" s="18"/>
      <c r="HG805" s="18"/>
      <c r="HH805" s="18"/>
      <c r="HI805" s="18"/>
      <c r="HJ805" s="18"/>
      <c r="HK805" s="18"/>
      <c r="HL805" s="18"/>
      <c r="HM805" s="18"/>
      <c r="HN805" s="18"/>
      <c r="HO805" s="18"/>
      <c r="HP805" s="18"/>
      <c r="HQ805" s="18"/>
      <c r="HR805" s="18"/>
      <c r="HS805" s="18"/>
      <c r="HT805" s="18"/>
      <c r="HU805" s="18"/>
      <c r="HV805" s="18"/>
      <c r="HW805" s="18"/>
      <c r="HX805" s="18"/>
      <c r="HY805" s="18"/>
      <c r="HZ805" s="18"/>
      <c r="IA805" s="18"/>
      <c r="IB805" s="18"/>
      <c r="IC805" s="18"/>
      <c r="ID805" s="18"/>
      <c r="IE805" s="18"/>
      <c r="IF805" s="18"/>
      <c r="IG805" s="18"/>
      <c r="IH805" s="18"/>
      <c r="II805" s="18"/>
      <c r="IJ805" s="18"/>
      <c r="IK805" s="18"/>
      <c r="IL805" s="18"/>
      <c r="IM805" s="18"/>
      <c r="IN805" s="18"/>
      <c r="IO805" s="18"/>
      <c r="IP805" s="18"/>
      <c r="IQ805" s="18"/>
      <c r="IR805" s="18"/>
      <c r="IS805" s="18"/>
      <c r="IT805" s="18"/>
      <c r="IU805" s="18"/>
      <c r="IV805" s="18"/>
      <c r="IW805" s="18"/>
      <c r="IX805" s="18"/>
      <c r="IY805" s="18"/>
      <c r="IZ805" s="18"/>
      <c r="JA805" s="18"/>
      <c r="JB805" s="18"/>
      <c r="JC805" s="18"/>
      <c r="JD805" s="18"/>
      <c r="JE805" s="18"/>
      <c r="JF805" s="18"/>
      <c r="JG805" s="18"/>
      <c r="JH805" s="18"/>
      <c r="JI805" s="18"/>
      <c r="JJ805" s="18"/>
      <c r="JK805" s="18"/>
      <c r="JL805" s="18"/>
      <c r="JM805" s="18"/>
      <c r="JN805" s="18"/>
      <c r="JO805" s="16"/>
      <c r="JP805" s="16"/>
      <c r="JQ805" s="16"/>
      <c r="JR805" s="16"/>
      <c r="JS805" s="16"/>
      <c r="JT805" s="16"/>
      <c r="JU805" s="16"/>
      <c r="JV805" s="16"/>
      <c r="JW805" s="16"/>
      <c r="JX805" s="16"/>
      <c r="JY805" s="16"/>
      <c r="JZ805" s="16"/>
      <c r="KA805" s="16"/>
      <c r="KB805" s="16"/>
    </row>
    <row r="806" spans="1:288" s="38" customFormat="1" x14ac:dyDescent="0.2">
      <c r="A806" s="18"/>
      <c r="B806" s="16">
        <v>2016</v>
      </c>
      <c r="C806" s="20">
        <v>42538</v>
      </c>
      <c r="D806" s="20" t="str">
        <f>CONCATENATE(J806,"-",C806)</f>
        <v>972-42538</v>
      </c>
      <c r="E806" s="20" t="str">
        <f>CONCATENATE(T806,"-",U806,"-",C806)</f>
        <v>SP2-F2-42538</v>
      </c>
      <c r="F806" s="20" t="s">
        <v>106</v>
      </c>
      <c r="G806" s="20" t="s">
        <v>107</v>
      </c>
      <c r="H806" s="16" t="s">
        <v>125</v>
      </c>
      <c r="I806" s="16">
        <v>0</v>
      </c>
      <c r="J806" s="21">
        <v>972</v>
      </c>
      <c r="K806" s="21">
        <v>1386</v>
      </c>
      <c r="L806" s="16">
        <v>1</v>
      </c>
      <c r="M806" s="15">
        <f>VLOOKUP(K806,'[7]MLBS 2016 SNV-nem Coinfection d'!$C$1:$G$238,4,FALSE)</f>
        <v>0</v>
      </c>
      <c r="N806" s="15">
        <v>0</v>
      </c>
      <c r="O806" s="15" t="s">
        <v>214</v>
      </c>
      <c r="P806" s="16" t="s">
        <v>308</v>
      </c>
      <c r="Q806" s="16">
        <v>0</v>
      </c>
      <c r="R806" s="16" t="s">
        <v>111</v>
      </c>
      <c r="S806" s="16"/>
      <c r="T806" s="16" t="s">
        <v>137</v>
      </c>
      <c r="U806" s="16" t="s">
        <v>187</v>
      </c>
      <c r="V806" s="16" t="s">
        <v>114</v>
      </c>
      <c r="W806" s="16">
        <f>AI806/AG806</f>
        <v>0.82352941176470584</v>
      </c>
      <c r="X806" s="16" t="s">
        <v>121</v>
      </c>
      <c r="Y806" s="16" t="s">
        <v>122</v>
      </c>
      <c r="Z806" s="16">
        <v>2.2999999999999998</v>
      </c>
      <c r="AA806" s="16" t="s">
        <v>119</v>
      </c>
      <c r="AB806" s="16" t="s">
        <v>123</v>
      </c>
      <c r="AC806" s="16" t="s">
        <v>123</v>
      </c>
      <c r="AD806" s="16" t="s">
        <v>123</v>
      </c>
      <c r="AE806" s="16"/>
      <c r="AF806" s="16"/>
      <c r="AG806" s="16">
        <f>AH806-AI806</f>
        <v>85</v>
      </c>
      <c r="AH806" s="16">
        <v>155</v>
      </c>
      <c r="AI806" s="16">
        <v>70</v>
      </c>
      <c r="AJ806" s="16"/>
      <c r="AK806" s="16">
        <v>17</v>
      </c>
      <c r="AL806" s="16">
        <v>0</v>
      </c>
      <c r="AM806" s="16">
        <v>0</v>
      </c>
      <c r="AN806" s="16">
        <v>0</v>
      </c>
      <c r="AO806" s="16">
        <f>IF(SUM(AL806:AN806)&gt;0,1,0)</f>
        <v>0</v>
      </c>
      <c r="AP806" s="16">
        <f>SUM(AL806:AN806)</f>
        <v>0</v>
      </c>
      <c r="AQ806" s="16">
        <f>1.477+0.277</f>
        <v>1.754</v>
      </c>
      <c r="AR806" s="16">
        <v>0.27700000000000002</v>
      </c>
      <c r="AS806" s="16">
        <v>0.27700000000000002</v>
      </c>
      <c r="AT806" s="16" t="s">
        <v>124</v>
      </c>
      <c r="AU806" s="16"/>
      <c r="AV806" s="16"/>
      <c r="AW806" s="22">
        <v>1</v>
      </c>
      <c r="AX806" s="16"/>
      <c r="AY806" s="16">
        <f>(1+4+6)/AS806</f>
        <v>39.711191335740068</v>
      </c>
      <c r="AZ806" s="18">
        <v>1</v>
      </c>
      <c r="BA806" s="16"/>
      <c r="BB806" s="16">
        <f>5/AS806</f>
        <v>18.050541516245485</v>
      </c>
      <c r="BC806" s="16">
        <v>1</v>
      </c>
      <c r="BD806" s="16">
        <v>1</v>
      </c>
      <c r="BE806" s="16">
        <f>1/AS806</f>
        <v>3.6101083032490973</v>
      </c>
      <c r="BF806" s="18">
        <v>1</v>
      </c>
      <c r="BG806" s="77">
        <v>4</v>
      </c>
      <c r="BH806" s="16">
        <f>4/AS806</f>
        <v>14.440433212996389</v>
      </c>
      <c r="BI806" s="18">
        <v>0</v>
      </c>
      <c r="BJ806" s="16">
        <v>0</v>
      </c>
      <c r="BK806" s="16">
        <v>0</v>
      </c>
      <c r="BL806" s="16">
        <f>IF(BM806&gt;0,1,0)</f>
        <v>1</v>
      </c>
      <c r="BM806" s="16">
        <f>SUM(BR806,BU806,BX806,CA806,CD806,CG806,CJ806,CM806,CP806)</f>
        <v>1</v>
      </c>
      <c r="BN806" s="16">
        <f>SUM(BW806,BZ806,CC806,CF806,CI806,CL806,CO806,CR806,BT806)</f>
        <v>21.660649819494584</v>
      </c>
      <c r="BO806" s="16">
        <f>IF(BP806&gt;0,1,0)</f>
        <v>1</v>
      </c>
      <c r="BP806" s="16">
        <f>SUM(BU806,BX806,CA806,CD806,BR806)</f>
        <v>1</v>
      </c>
      <c r="BQ806" s="16">
        <f>SUM(BZ806,CC806,CF806,BT806,BW806)</f>
        <v>21.660649819494584</v>
      </c>
      <c r="BR806" s="18">
        <v>0</v>
      </c>
      <c r="BS806" s="16">
        <v>0</v>
      </c>
      <c r="BT806" s="77">
        <f>BS806/AS806</f>
        <v>0</v>
      </c>
      <c r="BU806" s="18">
        <v>0</v>
      </c>
      <c r="BV806" s="16">
        <v>0</v>
      </c>
      <c r="BW806" s="18">
        <f>BV806/AS806</f>
        <v>0</v>
      </c>
      <c r="BX806" s="24">
        <v>0</v>
      </c>
      <c r="BY806" s="16">
        <v>0</v>
      </c>
      <c r="BZ806" s="16">
        <f>BY806/AS806</f>
        <v>0</v>
      </c>
      <c r="CA806" s="24">
        <v>0</v>
      </c>
      <c r="CB806" s="16">
        <v>0</v>
      </c>
      <c r="CC806" s="16">
        <v>0</v>
      </c>
      <c r="CD806" s="77">
        <v>1</v>
      </c>
      <c r="CE806" s="16">
        <v>6</v>
      </c>
      <c r="CF806" s="16">
        <f>6/AS806</f>
        <v>21.660649819494584</v>
      </c>
      <c r="CG806" s="16"/>
      <c r="CH806" s="16"/>
      <c r="CI806" s="16"/>
      <c r="CJ806" s="16"/>
      <c r="CK806" s="16"/>
      <c r="CL806" s="16"/>
      <c r="CM806" s="16"/>
      <c r="CN806" s="16"/>
      <c r="CO806" s="16"/>
      <c r="CP806" s="16" t="s">
        <v>123</v>
      </c>
      <c r="CQ806" s="16">
        <v>0</v>
      </c>
      <c r="CR806" s="16">
        <v>0</v>
      </c>
      <c r="CS806" s="18">
        <f>IF(CT806&gt;0,1,0)</f>
        <v>0</v>
      </c>
      <c r="CT806" s="25">
        <f>SUM(CW806,CZ806,DC806)</f>
        <v>0</v>
      </c>
      <c r="CU806" s="25"/>
      <c r="CV806" s="16">
        <v>0</v>
      </c>
      <c r="CW806" s="25">
        <v>0</v>
      </c>
      <c r="CX806" s="16">
        <v>0</v>
      </c>
      <c r="CY806" s="16">
        <v>0</v>
      </c>
      <c r="CZ806" s="18">
        <v>0</v>
      </c>
      <c r="DA806" s="16">
        <v>0</v>
      </c>
      <c r="DB806" s="16">
        <v>0</v>
      </c>
      <c r="DC806" s="18">
        <v>0</v>
      </c>
      <c r="DD806" s="16">
        <v>0</v>
      </c>
      <c r="DE806" s="16">
        <v>0</v>
      </c>
      <c r="DF806" s="16">
        <f>VLOOKUP(K806,'[3]RNA Seq summary tables'!$V$3:$V$99,1,FALSE)</f>
        <v>1386</v>
      </c>
      <c r="DG806" s="16"/>
      <c r="DH806" s="16"/>
      <c r="DI806" s="16"/>
      <c r="DJ806" s="16"/>
      <c r="DK806" s="16"/>
      <c r="DL806" s="16"/>
      <c r="DM806" s="16"/>
      <c r="DN806" s="16"/>
      <c r="DO806" s="16"/>
      <c r="DP806" s="16"/>
      <c r="DQ806" s="16"/>
      <c r="DR806" s="16"/>
      <c r="DS806" s="16"/>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18"/>
      <c r="EQ806" s="18"/>
      <c r="ER806" s="18"/>
      <c r="ES806" s="18"/>
      <c r="ET806" s="18"/>
      <c r="EU806" s="18"/>
      <c r="EV806" s="18"/>
      <c r="EW806" s="18"/>
      <c r="EX806" s="18"/>
      <c r="EY806" s="18"/>
      <c r="EZ806" s="18"/>
      <c r="FA806" s="18"/>
      <c r="FB806" s="18"/>
      <c r="FC806" s="18"/>
      <c r="FD806" s="18"/>
      <c r="FE806" s="18"/>
      <c r="FF806" s="18"/>
      <c r="FG806" s="18"/>
      <c r="FH806" s="18"/>
      <c r="FI806" s="18"/>
      <c r="FJ806" s="18"/>
      <c r="FK806" s="18"/>
      <c r="FL806" s="18"/>
      <c r="FM806" s="18"/>
      <c r="FN806" s="18"/>
      <c r="FO806" s="18"/>
      <c r="FP806" s="18"/>
      <c r="FQ806" s="18"/>
      <c r="FR806" s="18"/>
      <c r="FS806" s="18"/>
      <c r="FT806" s="18"/>
      <c r="FU806" s="18"/>
      <c r="FV806" s="18"/>
      <c r="FW806" s="18"/>
      <c r="FX806" s="18"/>
      <c r="FY806" s="18"/>
      <c r="FZ806" s="18"/>
      <c r="GA806" s="18"/>
      <c r="GB806" s="18"/>
      <c r="GC806" s="18"/>
      <c r="GD806" s="18"/>
      <c r="GE806" s="18"/>
      <c r="GF806" s="18"/>
      <c r="GG806" s="18"/>
      <c r="GH806" s="18"/>
      <c r="GI806" s="18"/>
      <c r="GJ806" s="18"/>
      <c r="GK806" s="18"/>
      <c r="GL806" s="18"/>
      <c r="GM806" s="18"/>
      <c r="GN806" s="18"/>
      <c r="GO806" s="18"/>
      <c r="GP806" s="18"/>
      <c r="GQ806" s="18"/>
      <c r="GR806" s="18"/>
      <c r="GS806" s="18"/>
      <c r="GT806" s="18"/>
      <c r="GU806" s="18"/>
      <c r="GV806" s="18"/>
      <c r="GW806" s="18"/>
      <c r="GX806" s="18"/>
      <c r="GY806" s="18"/>
      <c r="GZ806" s="18"/>
      <c r="HA806" s="18"/>
      <c r="HB806" s="18"/>
      <c r="HC806" s="18"/>
      <c r="HD806" s="18"/>
      <c r="HE806" s="18"/>
      <c r="HF806" s="18"/>
      <c r="HG806" s="18"/>
      <c r="HH806" s="18"/>
      <c r="HI806" s="18"/>
      <c r="HJ806" s="18"/>
      <c r="HK806" s="18"/>
      <c r="HL806" s="18"/>
      <c r="HM806" s="18"/>
      <c r="HN806" s="18"/>
      <c r="HO806" s="18"/>
      <c r="HP806" s="18"/>
      <c r="HQ806" s="18"/>
      <c r="HR806" s="18"/>
      <c r="HS806" s="18"/>
      <c r="HT806" s="18"/>
      <c r="HU806" s="18"/>
      <c r="HV806" s="18"/>
      <c r="HW806" s="18"/>
      <c r="HX806" s="18"/>
      <c r="HY806" s="18"/>
      <c r="HZ806" s="18"/>
      <c r="IA806" s="18"/>
      <c r="IB806" s="18"/>
      <c r="IC806" s="18"/>
      <c r="ID806" s="18"/>
      <c r="IE806" s="18"/>
      <c r="IF806" s="18"/>
      <c r="IG806" s="18"/>
      <c r="IH806" s="18"/>
      <c r="II806" s="18"/>
      <c r="IJ806" s="18"/>
      <c r="IK806" s="18"/>
      <c r="IL806" s="18"/>
      <c r="IM806" s="18"/>
      <c r="IN806" s="18"/>
      <c r="IO806" s="18"/>
      <c r="IP806" s="18"/>
      <c r="IQ806" s="18"/>
      <c r="IR806" s="18"/>
      <c r="IS806" s="18"/>
      <c r="IT806" s="18"/>
      <c r="IU806" s="18"/>
      <c r="IV806" s="18"/>
      <c r="IW806" s="18"/>
      <c r="IX806" s="18"/>
      <c r="IY806" s="18"/>
      <c r="IZ806" s="18"/>
      <c r="JA806" s="18"/>
      <c r="JB806" s="18"/>
      <c r="JC806" s="18"/>
      <c r="JD806" s="18"/>
      <c r="JE806" s="18"/>
      <c r="JF806" s="18"/>
      <c r="JG806" s="18"/>
      <c r="JH806" s="18"/>
      <c r="JI806" s="18"/>
      <c r="JJ806" s="18"/>
      <c r="JK806" s="18"/>
      <c r="JL806" s="18"/>
      <c r="JM806" s="18"/>
      <c r="JN806" s="18"/>
      <c r="JO806" s="16"/>
      <c r="JP806" s="30"/>
      <c r="JQ806" s="30"/>
    </row>
    <row r="807" spans="1:288" s="38" customFormat="1" x14ac:dyDescent="0.2">
      <c r="A807" s="18"/>
      <c r="B807" s="16">
        <v>2016</v>
      </c>
      <c r="C807" s="43">
        <v>42551</v>
      </c>
      <c r="D807" s="20" t="str">
        <f>CONCATENATE(J807,"-",C807)</f>
        <v>972-42551</v>
      </c>
      <c r="E807" s="20" t="str">
        <f>CONCATENATE(T807,"-",U807,"-",C807)</f>
        <v>SP2-G1-42551</v>
      </c>
      <c r="F807" s="20" t="s">
        <v>106</v>
      </c>
      <c r="G807" s="43" t="s">
        <v>107</v>
      </c>
      <c r="H807" s="75" t="s">
        <v>165</v>
      </c>
      <c r="I807" s="23">
        <v>0</v>
      </c>
      <c r="J807" s="15">
        <v>972</v>
      </c>
      <c r="K807" s="15">
        <v>1445</v>
      </c>
      <c r="L807" s="23">
        <v>1</v>
      </c>
      <c r="M807" s="15">
        <f>VLOOKUP(K807,'[7]MLBS 2016 SNV-nem Coinfection d'!$C$1:$G$238,4,FALSE)</f>
        <v>0</v>
      </c>
      <c r="N807" s="15">
        <v>0</v>
      </c>
      <c r="O807" s="15" t="s">
        <v>214</v>
      </c>
      <c r="P807" s="23" t="s">
        <v>110</v>
      </c>
      <c r="Q807" s="23">
        <v>1</v>
      </c>
      <c r="R807" s="23">
        <v>13</v>
      </c>
      <c r="S807" s="23"/>
      <c r="T807" s="23" t="s">
        <v>137</v>
      </c>
      <c r="U807" s="23" t="s">
        <v>155</v>
      </c>
      <c r="V807" s="23" t="s">
        <v>114</v>
      </c>
      <c r="W807" s="23">
        <f>AI807/AG807</f>
        <v>0.44954128440366975</v>
      </c>
      <c r="X807" s="23" t="s">
        <v>121</v>
      </c>
      <c r="Y807" s="23" t="s">
        <v>110</v>
      </c>
      <c r="Z807" s="23">
        <v>3</v>
      </c>
      <c r="AA807" s="23" t="s">
        <v>119</v>
      </c>
      <c r="AB807" s="23" t="s">
        <v>123</v>
      </c>
      <c r="AC807" s="23" t="s">
        <v>123</v>
      </c>
      <c r="AD807" s="23" t="s">
        <v>123</v>
      </c>
      <c r="AE807" s="23"/>
      <c r="AF807" s="23"/>
      <c r="AG807" s="23">
        <f>AH807-AI807</f>
        <v>109</v>
      </c>
      <c r="AH807" s="23">
        <v>158</v>
      </c>
      <c r="AI807" s="25">
        <v>49</v>
      </c>
      <c r="AJ807" s="169" t="s">
        <v>320</v>
      </c>
      <c r="AK807" s="23">
        <v>17.5</v>
      </c>
      <c r="AL807" s="23">
        <v>1</v>
      </c>
      <c r="AM807" s="23">
        <v>0</v>
      </c>
      <c r="AN807" s="23">
        <v>0</v>
      </c>
      <c r="AO807" s="23">
        <f>IF(SUM(AL807:AN807)&gt;0,1,0)</f>
        <v>1</v>
      </c>
      <c r="AP807" s="23">
        <f>SUM(AL807:AN807)</f>
        <v>1</v>
      </c>
      <c r="AQ807" s="23"/>
      <c r="AR807" s="23">
        <v>0.26400000000000001</v>
      </c>
      <c r="AS807" s="16">
        <v>0.26400000000000001</v>
      </c>
      <c r="AT807" s="18" t="s">
        <v>117</v>
      </c>
      <c r="AU807" s="18"/>
      <c r="AV807" s="16">
        <v>1</v>
      </c>
      <c r="AW807" s="22">
        <v>0</v>
      </c>
      <c r="AX807" s="16">
        <v>0</v>
      </c>
      <c r="AY807" s="16">
        <v>0</v>
      </c>
      <c r="AZ807" s="18">
        <v>0</v>
      </c>
      <c r="BA807" s="16">
        <v>0</v>
      </c>
      <c r="BB807" s="16">
        <v>0</v>
      </c>
      <c r="BC807" s="18">
        <v>0</v>
      </c>
      <c r="BD807" s="16">
        <v>0</v>
      </c>
      <c r="BE807" s="16">
        <v>0</v>
      </c>
      <c r="BF807" s="18">
        <v>0</v>
      </c>
      <c r="BG807" s="77">
        <v>0</v>
      </c>
      <c r="BH807" s="16">
        <v>0</v>
      </c>
      <c r="BI807" s="18">
        <v>0</v>
      </c>
      <c r="BJ807" s="16">
        <v>0</v>
      </c>
      <c r="BK807" s="16">
        <v>0</v>
      </c>
      <c r="BL807" s="16">
        <f>IF(BM807&gt;0,1,0)</f>
        <v>0</v>
      </c>
      <c r="BM807" s="16">
        <f>SUM(BR807,BU807,BX807,CA807,CD807,CG807,CJ807,CM807,CP807)</f>
        <v>0</v>
      </c>
      <c r="BN807" s="16">
        <f>SUM(BW807,BZ807,CC807,CF807,CI807,CL807,CO807,CR807,BT807)</f>
        <v>0</v>
      </c>
      <c r="BO807" s="16">
        <f>IF(BP807&gt;0,1,0)</f>
        <v>0</v>
      </c>
      <c r="BP807" s="16">
        <f>SUM(BU807,BX807,CA807,CD807,BR807)</f>
        <v>0</v>
      </c>
      <c r="BQ807" s="16">
        <f>SUM(BZ807,CC807,CF807,BT807,BW807)</f>
        <v>0</v>
      </c>
      <c r="BR807" s="18">
        <v>0</v>
      </c>
      <c r="BS807" s="16">
        <v>0</v>
      </c>
      <c r="BT807" s="77">
        <f>BS807/AS807</f>
        <v>0</v>
      </c>
      <c r="BU807" s="18">
        <v>0</v>
      </c>
      <c r="BV807" s="16">
        <v>0</v>
      </c>
      <c r="BW807" s="18">
        <f>BV807/AS807</f>
        <v>0</v>
      </c>
      <c r="BX807" s="18">
        <v>0</v>
      </c>
      <c r="BY807" s="16">
        <v>0</v>
      </c>
      <c r="BZ807" s="16">
        <f>BY807/AS807</f>
        <v>0</v>
      </c>
      <c r="CA807" s="24">
        <v>0</v>
      </c>
      <c r="CB807" s="16">
        <v>0</v>
      </c>
      <c r="CC807" s="16">
        <v>0</v>
      </c>
      <c r="CD807" s="78">
        <v>0</v>
      </c>
      <c r="CE807" s="16">
        <v>0</v>
      </c>
      <c r="CF807" s="16">
        <v>0</v>
      </c>
      <c r="CG807" s="16"/>
      <c r="CH807" s="16"/>
      <c r="CI807" s="16"/>
      <c r="CJ807" s="16"/>
      <c r="CK807" s="16"/>
      <c r="CL807" s="16"/>
      <c r="CM807" s="16"/>
      <c r="CN807" s="16"/>
      <c r="CO807" s="16"/>
      <c r="CP807" s="16" t="s">
        <v>123</v>
      </c>
      <c r="CQ807" s="16">
        <v>0</v>
      </c>
      <c r="CR807" s="16">
        <v>0</v>
      </c>
      <c r="CS807" s="18">
        <f>IF(CT807&gt;0,1,0)</f>
        <v>0</v>
      </c>
      <c r="CT807" s="25">
        <f>SUM(CW807,CZ807,DC807)</f>
        <v>0</v>
      </c>
      <c r="CU807" s="25"/>
      <c r="CV807" s="16">
        <v>0</v>
      </c>
      <c r="CW807" s="25">
        <v>0</v>
      </c>
      <c r="CX807" s="16">
        <v>0</v>
      </c>
      <c r="CY807" s="16">
        <v>0</v>
      </c>
      <c r="CZ807" s="18">
        <v>0</v>
      </c>
      <c r="DA807" s="16">
        <v>0</v>
      </c>
      <c r="DB807" s="16">
        <v>0</v>
      </c>
      <c r="DC807" s="25">
        <v>0</v>
      </c>
      <c r="DD807" s="23">
        <v>0</v>
      </c>
      <c r="DE807" s="23">
        <v>0</v>
      </c>
      <c r="DF807" s="16">
        <f>VLOOKUP(K807,'[3]RNA Seq summary tables'!$V$3:$V$99,1,FALSE)</f>
        <v>1445</v>
      </c>
      <c r="DG807" s="23"/>
      <c r="DH807" s="23"/>
      <c r="DI807" s="23"/>
      <c r="DJ807" s="23"/>
      <c r="DK807" s="23"/>
      <c r="DL807" s="23"/>
      <c r="DM807" s="23"/>
      <c r="DN807" s="23"/>
      <c r="DO807" s="23"/>
      <c r="DP807" s="23"/>
      <c r="DQ807" s="23"/>
      <c r="DR807" s="23"/>
      <c r="DS807" s="23"/>
      <c r="DT807" s="25"/>
      <c r="DU807" s="25"/>
      <c r="DV807" s="25"/>
      <c r="DW807" s="25"/>
      <c r="DX807" s="25"/>
      <c r="DY807" s="25"/>
      <c r="DZ807" s="25"/>
      <c r="EA807" s="25"/>
      <c r="EB807" s="25"/>
      <c r="EC807" s="25"/>
      <c r="ED807" s="25"/>
      <c r="EE807" s="25"/>
      <c r="EF807" s="25"/>
      <c r="EG807" s="25"/>
      <c r="EH807" s="25"/>
      <c r="EI807" s="25"/>
      <c r="EJ807" s="25"/>
      <c r="EK807" s="25"/>
      <c r="EL807" s="25"/>
      <c r="EM807" s="25"/>
      <c r="EN807" s="25"/>
      <c r="EO807" s="25"/>
      <c r="EP807" s="25"/>
      <c r="EQ807" s="25"/>
      <c r="ER807" s="25"/>
      <c r="ES807" s="25"/>
      <c r="ET807" s="25"/>
      <c r="EU807" s="25"/>
      <c r="EV807" s="25"/>
      <c r="EW807" s="25"/>
      <c r="EX807" s="25"/>
      <c r="EY807" s="25"/>
      <c r="EZ807" s="25"/>
      <c r="FA807" s="25"/>
      <c r="FB807" s="25"/>
      <c r="FC807" s="25"/>
      <c r="FD807" s="25"/>
      <c r="FE807" s="25"/>
      <c r="FF807" s="25"/>
      <c r="FG807" s="25"/>
      <c r="FH807" s="25"/>
      <c r="FI807" s="25"/>
      <c r="FJ807" s="25"/>
      <c r="FK807" s="25"/>
      <c r="FL807" s="25"/>
      <c r="FM807" s="25"/>
      <c r="FN807" s="25"/>
      <c r="FO807" s="25"/>
      <c r="FP807" s="25"/>
      <c r="FQ807" s="25"/>
      <c r="FR807" s="25"/>
      <c r="FS807" s="25"/>
      <c r="FT807" s="25"/>
      <c r="FU807" s="25"/>
      <c r="FV807" s="25"/>
      <c r="FW807" s="25"/>
      <c r="FX807" s="25"/>
      <c r="FY807" s="25"/>
      <c r="FZ807" s="25"/>
      <c r="GA807" s="25"/>
      <c r="GB807" s="25"/>
      <c r="GC807" s="25"/>
      <c r="GD807" s="25"/>
      <c r="GE807" s="25"/>
      <c r="GF807" s="25"/>
      <c r="GG807" s="25"/>
      <c r="GH807" s="25"/>
      <c r="GI807" s="25"/>
      <c r="GJ807" s="25"/>
      <c r="GK807" s="25"/>
      <c r="GL807" s="25"/>
      <c r="GM807" s="25"/>
      <c r="GN807" s="25"/>
      <c r="GO807" s="25"/>
      <c r="GP807" s="25"/>
      <c r="GQ807" s="25"/>
      <c r="GR807" s="25"/>
      <c r="GS807" s="25"/>
      <c r="GT807" s="25"/>
      <c r="GU807" s="25"/>
      <c r="GV807" s="25"/>
      <c r="GW807" s="25"/>
      <c r="GX807" s="25"/>
      <c r="GY807" s="25"/>
      <c r="GZ807" s="25"/>
      <c r="HA807" s="25"/>
      <c r="HB807" s="25"/>
      <c r="HC807" s="25"/>
      <c r="HD807" s="25"/>
      <c r="HE807" s="25"/>
      <c r="HF807" s="25"/>
      <c r="HG807" s="25"/>
      <c r="HH807" s="25"/>
      <c r="HI807" s="25"/>
      <c r="HJ807" s="25"/>
      <c r="HK807" s="25"/>
      <c r="HL807" s="25"/>
      <c r="HM807" s="25"/>
      <c r="HN807" s="25"/>
      <c r="HO807" s="25"/>
      <c r="HP807" s="25"/>
      <c r="HQ807" s="25"/>
      <c r="HR807" s="25"/>
      <c r="HS807" s="25"/>
      <c r="HT807" s="25"/>
      <c r="HU807" s="25"/>
      <c r="HV807" s="25"/>
      <c r="HW807" s="25"/>
      <c r="HX807" s="25"/>
      <c r="HY807" s="25"/>
      <c r="HZ807" s="25"/>
      <c r="IA807" s="25"/>
      <c r="IB807" s="25"/>
      <c r="IC807" s="25"/>
      <c r="ID807" s="25"/>
      <c r="IE807" s="25"/>
      <c r="IF807" s="25"/>
      <c r="IG807" s="25"/>
      <c r="IH807" s="25"/>
      <c r="II807" s="25"/>
      <c r="IJ807" s="25"/>
      <c r="IK807" s="25"/>
      <c r="IL807" s="25"/>
      <c r="IM807" s="25"/>
      <c r="IN807" s="25"/>
      <c r="IO807" s="25"/>
      <c r="IP807" s="25"/>
      <c r="IQ807" s="25"/>
      <c r="IR807" s="25"/>
      <c r="IS807" s="25"/>
      <c r="IT807" s="25"/>
      <c r="IU807" s="25"/>
      <c r="IV807" s="25"/>
      <c r="IW807" s="25"/>
      <c r="IX807" s="25"/>
      <c r="IY807" s="25"/>
      <c r="IZ807" s="25"/>
      <c r="JA807" s="25"/>
      <c r="JB807" s="25"/>
      <c r="JC807" s="25"/>
      <c r="JD807" s="25"/>
      <c r="JE807" s="25"/>
      <c r="JF807" s="25"/>
      <c r="JG807" s="25"/>
      <c r="JH807" s="25"/>
      <c r="JI807" s="25"/>
      <c r="JJ807" s="25"/>
      <c r="JK807" s="25"/>
      <c r="JL807" s="25"/>
      <c r="JM807" s="25"/>
      <c r="JN807" s="25"/>
      <c r="JO807" s="23"/>
      <c r="JP807" s="48"/>
      <c r="JQ807" s="48"/>
      <c r="JR807" s="23"/>
      <c r="JS807" s="23"/>
      <c r="JT807" s="23"/>
      <c r="JU807" s="23"/>
      <c r="JV807" s="23"/>
      <c r="JW807" s="23"/>
      <c r="JX807" s="23"/>
      <c r="JY807" s="23"/>
      <c r="JZ807" s="23"/>
      <c r="KA807" s="23"/>
      <c r="KB807" s="23"/>
    </row>
    <row r="808" spans="1:288" s="38" customFormat="1" x14ac:dyDescent="0.2">
      <c r="A808" s="18"/>
      <c r="B808" s="16">
        <v>2016</v>
      </c>
      <c r="C808" s="43">
        <v>42539</v>
      </c>
      <c r="D808" s="20" t="str">
        <f>CONCATENATE(J808,"-",C808)</f>
        <v>974-42539</v>
      </c>
      <c r="E808" s="20" t="str">
        <f>CONCATENATE(T808,"-",U808,"-",C808)</f>
        <v>SP2-A2-42539</v>
      </c>
      <c r="F808" s="20" t="s">
        <v>106</v>
      </c>
      <c r="G808" s="43" t="s">
        <v>107</v>
      </c>
      <c r="H808" s="23" t="s">
        <v>125</v>
      </c>
      <c r="I808" s="16">
        <v>0</v>
      </c>
      <c r="J808" s="15">
        <v>974</v>
      </c>
      <c r="K808" s="15">
        <v>1388</v>
      </c>
      <c r="L808" s="23">
        <v>0</v>
      </c>
      <c r="M808" s="15">
        <f>VLOOKUP(K808,'[7]MLBS 2016 SNV-nem Coinfection d'!$C$1:$G$238,4,FALSE)</f>
        <v>0</v>
      </c>
      <c r="N808" s="15">
        <v>0</v>
      </c>
      <c r="O808" s="15" t="s">
        <v>214</v>
      </c>
      <c r="P808" s="23" t="s">
        <v>308</v>
      </c>
      <c r="Q808" s="16">
        <v>0</v>
      </c>
      <c r="R808" s="23" t="s">
        <v>111</v>
      </c>
      <c r="S808" s="23"/>
      <c r="T808" s="23" t="s">
        <v>137</v>
      </c>
      <c r="U808" s="23" t="s">
        <v>171</v>
      </c>
      <c r="V808" s="23" t="s">
        <v>114</v>
      </c>
      <c r="W808" s="16">
        <f>AI808/AG808</f>
        <v>0.88505747126436785</v>
      </c>
      <c r="X808" s="23" t="s">
        <v>121</v>
      </c>
      <c r="Y808" s="23" t="s">
        <v>110</v>
      </c>
      <c r="Z808" s="23">
        <v>3</v>
      </c>
      <c r="AA808" s="23" t="s">
        <v>119</v>
      </c>
      <c r="AB808" s="23" t="s">
        <v>123</v>
      </c>
      <c r="AC808" s="23" t="s">
        <v>123</v>
      </c>
      <c r="AD808" s="23" t="s">
        <v>123</v>
      </c>
      <c r="AE808" s="23"/>
      <c r="AF808" s="23"/>
      <c r="AG808" s="23">
        <f>AH808-AI808</f>
        <v>87</v>
      </c>
      <c r="AH808" s="23">
        <v>164</v>
      </c>
      <c r="AI808" s="23">
        <v>77</v>
      </c>
      <c r="AJ808" s="23"/>
      <c r="AK808" s="23">
        <v>17</v>
      </c>
      <c r="AL808" s="23">
        <v>0</v>
      </c>
      <c r="AM808" s="23">
        <v>0</v>
      </c>
      <c r="AN808" s="23">
        <v>0</v>
      </c>
      <c r="AO808" s="23">
        <f>IF(SUM(AL808:AN808)&gt;0,1,0)</f>
        <v>0</v>
      </c>
      <c r="AP808" s="23">
        <f>SUM(AL808:AN808)</f>
        <v>0</v>
      </c>
      <c r="AQ808" s="23">
        <f>1.477+AS808</f>
        <v>1.6640000000000001</v>
      </c>
      <c r="AR808" s="23">
        <v>0.187</v>
      </c>
      <c r="AS808" s="23">
        <v>0.187</v>
      </c>
      <c r="AT808" s="23" t="s">
        <v>124</v>
      </c>
      <c r="AU808" s="23"/>
      <c r="AV808" s="23"/>
      <c r="AW808" s="50">
        <v>1</v>
      </c>
      <c r="AX808" s="23"/>
      <c r="AY808" s="23">
        <f>(631+11535+205+1)/AS808</f>
        <v>66160.427807486631</v>
      </c>
      <c r="AZ808" s="18">
        <v>1</v>
      </c>
      <c r="BA808" s="23"/>
      <c r="BB808" s="23">
        <f>(631+11535+205)/AS808</f>
        <v>66155.080213903741</v>
      </c>
      <c r="BC808" s="16">
        <v>1</v>
      </c>
      <c r="BD808" s="23">
        <v>631</v>
      </c>
      <c r="BE808" s="23">
        <f>631/AS808</f>
        <v>3374.3315508021392</v>
      </c>
      <c r="BF808" s="18">
        <v>1</v>
      </c>
      <c r="BG808" s="77">
        <v>11535</v>
      </c>
      <c r="BH808" s="23">
        <f>11535/AS808</f>
        <v>61684.491978609629</v>
      </c>
      <c r="BI808" s="16">
        <v>1</v>
      </c>
      <c r="BJ808" s="23">
        <v>205</v>
      </c>
      <c r="BK808" s="23">
        <f>205/AS808</f>
        <v>1096.2566844919786</v>
      </c>
      <c r="BL808" s="16">
        <f>IF(BM808&gt;0,1,0)</f>
        <v>1</v>
      </c>
      <c r="BM808" s="16">
        <f>SUM(BR808,BU808,BX808,CA808,CD808,CG808,CJ808,CM808,CP808)</f>
        <v>1</v>
      </c>
      <c r="BN808" s="16">
        <f>SUM(BW808,BZ808,CC808,CF808,CI808,CL808,CO808,CR808,BT808)</f>
        <v>5.3475935828877006</v>
      </c>
      <c r="BO808" s="16">
        <f>IF(BP808&gt;0,1,0)</f>
        <v>1</v>
      </c>
      <c r="BP808" s="16">
        <f>SUM(BU808,BX808,CA808,CD808,BR808)</f>
        <v>1</v>
      </c>
      <c r="BQ808" s="16">
        <f>SUM(BZ808,CC808,CF808,BT808,BW808)</f>
        <v>5.3475935828877006</v>
      </c>
      <c r="BR808" s="18">
        <v>1</v>
      </c>
      <c r="BS808" s="23">
        <v>1</v>
      </c>
      <c r="BT808" s="77">
        <f>BS808/AS808</f>
        <v>5.3475935828877006</v>
      </c>
      <c r="BU808" s="16">
        <v>0</v>
      </c>
      <c r="BV808" s="23">
        <v>0</v>
      </c>
      <c r="BW808" s="18">
        <f>BV808/AS808</f>
        <v>0</v>
      </c>
      <c r="BX808" s="24">
        <v>0</v>
      </c>
      <c r="BY808" s="23">
        <v>0</v>
      </c>
      <c r="BZ808" s="16">
        <f>BY808/AS808</f>
        <v>0</v>
      </c>
      <c r="CA808" s="24">
        <v>0</v>
      </c>
      <c r="CB808" s="23">
        <v>0</v>
      </c>
      <c r="CC808" s="23">
        <v>0</v>
      </c>
      <c r="CD808" s="77">
        <v>0</v>
      </c>
      <c r="CE808" s="23">
        <v>0</v>
      </c>
      <c r="CF808" s="23">
        <v>0</v>
      </c>
      <c r="CG808" s="23"/>
      <c r="CH808" s="23"/>
      <c r="CI808" s="23"/>
      <c r="CJ808" s="23"/>
      <c r="CK808" s="23"/>
      <c r="CL808" s="23"/>
      <c r="CM808" s="23"/>
      <c r="CN808" s="23"/>
      <c r="CO808" s="23"/>
      <c r="CP808" s="23" t="s">
        <v>123</v>
      </c>
      <c r="CQ808" s="23">
        <v>0</v>
      </c>
      <c r="CR808" s="23">
        <v>0</v>
      </c>
      <c r="CS808" s="18">
        <f>IF(CT808&gt;0,1,0)</f>
        <v>0</v>
      </c>
      <c r="CT808" s="25">
        <f>SUM(CW808,CZ808,DC808)</f>
        <v>0</v>
      </c>
      <c r="CU808" s="25"/>
      <c r="CV808" s="23">
        <v>0</v>
      </c>
      <c r="CW808" s="25">
        <v>0</v>
      </c>
      <c r="CX808" s="23">
        <v>0</v>
      </c>
      <c r="CY808" s="23">
        <v>0</v>
      </c>
      <c r="CZ808" s="25">
        <v>0</v>
      </c>
      <c r="DA808" s="23">
        <v>0</v>
      </c>
      <c r="DB808" s="23">
        <v>0</v>
      </c>
      <c r="DC808" s="25">
        <v>0</v>
      </c>
      <c r="DD808" s="23">
        <v>0</v>
      </c>
      <c r="DE808" s="23">
        <v>0</v>
      </c>
      <c r="DF808" s="16" t="e">
        <f>VLOOKUP(K808,'[3]RNA Seq summary tables'!$V$3:$V$99,1,FALSE)</f>
        <v>#N/A</v>
      </c>
      <c r="DG808" s="16"/>
      <c r="DH808" s="16"/>
      <c r="DI808" s="23"/>
      <c r="DJ808" s="23"/>
      <c r="DK808" s="23"/>
      <c r="DL808" s="23"/>
      <c r="DM808" s="23"/>
      <c r="DN808" s="23"/>
      <c r="DO808" s="23"/>
      <c r="DP808" s="23"/>
      <c r="DQ808" s="23"/>
      <c r="DR808" s="23"/>
      <c r="DS808" s="23"/>
      <c r="DT808" s="25"/>
      <c r="DU808" s="25"/>
      <c r="DV808" s="25"/>
      <c r="DW808" s="25"/>
      <c r="DX808" s="25"/>
      <c r="DY808" s="25"/>
      <c r="DZ808" s="25"/>
      <c r="EA808" s="25"/>
      <c r="EB808" s="25"/>
      <c r="EC808" s="25"/>
      <c r="ED808" s="25"/>
      <c r="EE808" s="25"/>
      <c r="EF808" s="25"/>
      <c r="EG808" s="25"/>
      <c r="EH808" s="25"/>
      <c r="EI808" s="25"/>
      <c r="EJ808" s="25"/>
      <c r="EK808" s="25"/>
      <c r="EL808" s="25"/>
      <c r="EM808" s="25"/>
      <c r="EN808" s="25"/>
      <c r="EO808" s="25"/>
      <c r="EP808" s="25"/>
      <c r="EQ808" s="25"/>
      <c r="ER808" s="25"/>
      <c r="ES808" s="25"/>
      <c r="ET808" s="25"/>
      <c r="EU808" s="25"/>
      <c r="EV808" s="25"/>
      <c r="EW808" s="25"/>
      <c r="EX808" s="25"/>
      <c r="EY808" s="25"/>
      <c r="EZ808" s="25"/>
      <c r="FA808" s="25"/>
      <c r="FB808" s="25"/>
      <c r="FC808" s="25"/>
      <c r="FD808" s="25"/>
      <c r="FE808" s="25"/>
      <c r="FF808" s="25"/>
      <c r="FG808" s="25"/>
      <c r="FH808" s="25"/>
      <c r="FI808" s="25"/>
      <c r="FJ808" s="25"/>
      <c r="FK808" s="25"/>
      <c r="FL808" s="25"/>
      <c r="FM808" s="25"/>
      <c r="FN808" s="25"/>
      <c r="FO808" s="25"/>
      <c r="FP808" s="25"/>
      <c r="FQ808" s="25"/>
      <c r="FR808" s="25"/>
      <c r="FS808" s="25"/>
      <c r="FT808" s="25"/>
      <c r="FU808" s="25"/>
      <c r="FV808" s="25"/>
      <c r="FW808" s="25"/>
      <c r="FX808" s="25"/>
      <c r="FY808" s="25"/>
      <c r="FZ808" s="25"/>
      <c r="GA808" s="25"/>
      <c r="GB808" s="25"/>
      <c r="GC808" s="25"/>
      <c r="GD808" s="25"/>
      <c r="GE808" s="25"/>
      <c r="GF808" s="25"/>
      <c r="GG808" s="25"/>
      <c r="GH808" s="25"/>
      <c r="GI808" s="25"/>
      <c r="GJ808" s="25"/>
      <c r="GK808" s="25"/>
      <c r="GL808" s="25"/>
      <c r="GM808" s="25"/>
      <c r="GN808" s="25"/>
      <c r="GO808" s="25"/>
      <c r="GP808" s="25"/>
      <c r="GQ808" s="25"/>
      <c r="GR808" s="25"/>
      <c r="GS808" s="25"/>
      <c r="GT808" s="25"/>
      <c r="GU808" s="25"/>
      <c r="GV808" s="25"/>
      <c r="GW808" s="25"/>
      <c r="GX808" s="25"/>
      <c r="GY808" s="25"/>
      <c r="GZ808" s="25"/>
      <c r="HA808" s="25"/>
      <c r="HB808" s="25"/>
      <c r="HC808" s="25"/>
      <c r="HD808" s="25"/>
      <c r="HE808" s="25"/>
      <c r="HF808" s="25"/>
      <c r="HG808" s="25"/>
      <c r="HH808" s="25"/>
      <c r="HI808" s="25"/>
      <c r="HJ808" s="25"/>
      <c r="HK808" s="25"/>
      <c r="HL808" s="25"/>
      <c r="HM808" s="25"/>
      <c r="HN808" s="25"/>
      <c r="HO808" s="25"/>
      <c r="HP808" s="25"/>
      <c r="HQ808" s="25"/>
      <c r="HR808" s="25"/>
      <c r="HS808" s="25"/>
      <c r="HT808" s="25"/>
      <c r="HU808" s="25"/>
      <c r="HV808" s="25"/>
      <c r="HW808" s="25"/>
      <c r="HX808" s="25"/>
      <c r="HY808" s="25"/>
      <c r="HZ808" s="25"/>
      <c r="IA808" s="25"/>
      <c r="IB808" s="25"/>
      <c r="IC808" s="25"/>
      <c r="ID808" s="25"/>
      <c r="IE808" s="25"/>
      <c r="IF808" s="25"/>
      <c r="IG808" s="25"/>
      <c r="IH808" s="25"/>
      <c r="II808" s="25"/>
      <c r="IJ808" s="25"/>
      <c r="IK808" s="25"/>
      <c r="IL808" s="25"/>
      <c r="IM808" s="25"/>
      <c r="IN808" s="25"/>
      <c r="IO808" s="25"/>
      <c r="IP808" s="25"/>
      <c r="IQ808" s="25"/>
      <c r="IR808" s="25"/>
      <c r="IS808" s="25"/>
      <c r="IT808" s="25"/>
      <c r="IU808" s="25"/>
      <c r="IV808" s="25"/>
      <c r="IW808" s="25"/>
      <c r="IX808" s="25"/>
      <c r="IY808" s="25"/>
      <c r="IZ808" s="25"/>
      <c r="JA808" s="25"/>
      <c r="JB808" s="25"/>
      <c r="JC808" s="25"/>
      <c r="JD808" s="25"/>
      <c r="JE808" s="25"/>
      <c r="JF808" s="25"/>
      <c r="JG808" s="25"/>
      <c r="JH808" s="25"/>
      <c r="JI808" s="25"/>
      <c r="JJ808" s="25"/>
      <c r="JK808" s="25"/>
      <c r="JL808" s="25"/>
      <c r="JM808" s="25"/>
      <c r="JN808" s="25"/>
      <c r="JO808" s="39"/>
      <c r="JP808" s="18"/>
      <c r="JQ808" s="18"/>
    </row>
    <row r="809" spans="1:288" s="38" customFormat="1" x14ac:dyDescent="0.2">
      <c r="A809" s="18"/>
      <c r="B809" s="16">
        <v>2016</v>
      </c>
      <c r="C809" s="20">
        <v>42565</v>
      </c>
      <c r="D809" s="20" t="str">
        <f>CONCATENATE(J809,"-",C809)</f>
        <v>974-42565</v>
      </c>
      <c r="E809" s="20" t="str">
        <f>CONCATENATE(T809,"-",U809,"-",C809)</f>
        <v>SP2-A2-42565</v>
      </c>
      <c r="F809" s="20" t="s">
        <v>106</v>
      </c>
      <c r="G809" s="20" t="s">
        <v>107</v>
      </c>
      <c r="H809" s="16"/>
      <c r="I809" s="16">
        <v>0</v>
      </c>
      <c r="J809" s="21">
        <v>974</v>
      </c>
      <c r="K809" s="21">
        <v>1485</v>
      </c>
      <c r="L809" s="18">
        <v>0</v>
      </c>
      <c r="M809" s="15">
        <f>VLOOKUP(K809,'[7]MLBS 2016 SNV-nem Coinfection d'!$C$1:$G$238,4,FALSE)</f>
        <v>0</v>
      </c>
      <c r="N809" s="15">
        <v>0</v>
      </c>
      <c r="O809" s="15" t="s">
        <v>214</v>
      </c>
      <c r="P809" s="16" t="s">
        <v>110</v>
      </c>
      <c r="Q809" s="16">
        <v>1</v>
      </c>
      <c r="R809" s="16">
        <v>26</v>
      </c>
      <c r="S809" s="16"/>
      <c r="T809" s="16" t="s">
        <v>137</v>
      </c>
      <c r="U809" s="16" t="s">
        <v>171</v>
      </c>
      <c r="V809" s="16" t="s">
        <v>114</v>
      </c>
      <c r="W809" s="16">
        <f>AI809/AG809</f>
        <v>0.87096774193548387</v>
      </c>
      <c r="X809" s="16" t="s">
        <v>121</v>
      </c>
      <c r="Y809" s="16" t="s">
        <v>110</v>
      </c>
      <c r="Z809" s="16">
        <v>3</v>
      </c>
      <c r="AA809" s="16" t="s">
        <v>119</v>
      </c>
      <c r="AB809" s="16" t="s">
        <v>116</v>
      </c>
      <c r="AC809" s="16" t="s">
        <v>116</v>
      </c>
      <c r="AD809" s="16" t="s">
        <v>116</v>
      </c>
      <c r="AE809" s="16"/>
      <c r="AF809" s="16"/>
      <c r="AG809" s="16">
        <f>AH809-AI809</f>
        <v>93</v>
      </c>
      <c r="AH809" s="16">
        <v>174</v>
      </c>
      <c r="AI809" s="16">
        <v>81</v>
      </c>
      <c r="AJ809" s="16"/>
      <c r="AK809" s="16">
        <v>28</v>
      </c>
      <c r="AL809" s="16">
        <v>0</v>
      </c>
      <c r="AM809" s="16">
        <v>0</v>
      </c>
      <c r="AN809" s="16">
        <v>0</v>
      </c>
      <c r="AO809" s="16">
        <f>IF(SUM(AL809:AN809)&gt;0,1,0)</f>
        <v>0</v>
      </c>
      <c r="AP809" s="16">
        <f>SUM(AL809:AN809)</f>
        <v>0</v>
      </c>
      <c r="AQ809" s="16">
        <v>1.718</v>
      </c>
      <c r="AR809" s="16">
        <v>0.24099999999999999</v>
      </c>
      <c r="AS809" s="16">
        <v>0.24099999999999999</v>
      </c>
      <c r="AT809" s="16" t="s">
        <v>205</v>
      </c>
      <c r="AU809" s="16"/>
      <c r="AV809" s="16"/>
      <c r="AW809" s="22">
        <v>1</v>
      </c>
      <c r="AX809" s="16">
        <v>6</v>
      </c>
      <c r="AY809" s="16">
        <f>(13+74+72+17)/AS809</f>
        <v>730.29045643153529</v>
      </c>
      <c r="AZ809" s="18">
        <v>1</v>
      </c>
      <c r="BA809" s="16">
        <v>3</v>
      </c>
      <c r="BB809" s="16">
        <f>(1+10+2)/AS809</f>
        <v>53.941908713692946</v>
      </c>
      <c r="BC809" s="16">
        <v>1</v>
      </c>
      <c r="BD809" s="16">
        <v>2</v>
      </c>
      <c r="BE809" s="16">
        <f>2/AS809</f>
        <v>8.2987551867219924</v>
      </c>
      <c r="BF809" s="18">
        <v>1</v>
      </c>
      <c r="BG809" s="77">
        <v>10</v>
      </c>
      <c r="BH809" s="16">
        <f>10/AS809</f>
        <v>41.49377593360996</v>
      </c>
      <c r="BI809" s="16">
        <v>1</v>
      </c>
      <c r="BJ809" s="16">
        <v>1</v>
      </c>
      <c r="BK809" s="16">
        <f>1/AS809</f>
        <v>4.1493775933609962</v>
      </c>
      <c r="BL809" s="16">
        <f>IF(BM809&gt;0,1,0)</f>
        <v>1</v>
      </c>
      <c r="BM809" s="16">
        <f>SUM(BR809,BU809,BX809,CA809,CD809,CG809,CJ809,CM809,CP809)</f>
        <v>1</v>
      </c>
      <c r="BN809" s="16">
        <f>SUM(BW809,BZ809,CC809,CF809,CI809,CL809,CO809,CR809,BT809)</f>
        <v>307.05394190871368</v>
      </c>
      <c r="BO809" s="16">
        <f>IF(BP809&gt;0,1,0)</f>
        <v>1</v>
      </c>
      <c r="BP809" s="16">
        <f>SUM(BU809,BX809,CA809,CD809,BR809)</f>
        <v>1</v>
      </c>
      <c r="BQ809" s="16">
        <f>SUM(BZ809,CC809,CF809,BT809,BW809)</f>
        <v>307.05394190871368</v>
      </c>
      <c r="BR809" s="18">
        <v>0</v>
      </c>
      <c r="BS809" s="16">
        <v>0</v>
      </c>
      <c r="BT809" s="77">
        <f>BS809/AS809</f>
        <v>0</v>
      </c>
      <c r="BU809" s="18">
        <v>0</v>
      </c>
      <c r="BV809" s="16">
        <v>0</v>
      </c>
      <c r="BW809" s="18">
        <f>BV809/AS809</f>
        <v>0</v>
      </c>
      <c r="BX809" s="24">
        <v>1</v>
      </c>
      <c r="BY809" s="16">
        <v>74</v>
      </c>
      <c r="BZ809" s="16">
        <f>BY809/AS809</f>
        <v>307.05394190871368</v>
      </c>
      <c r="CA809" s="24">
        <v>0</v>
      </c>
      <c r="CB809" s="16">
        <v>0</v>
      </c>
      <c r="CC809" s="16">
        <v>0</v>
      </c>
      <c r="CD809" s="77">
        <v>0</v>
      </c>
      <c r="CE809" s="16">
        <v>0</v>
      </c>
      <c r="CF809" s="16">
        <v>0</v>
      </c>
      <c r="CG809" s="16"/>
      <c r="CH809" s="16"/>
      <c r="CI809" s="16"/>
      <c r="CJ809" s="16"/>
      <c r="CK809" s="16"/>
      <c r="CL809" s="16"/>
      <c r="CM809" s="16"/>
      <c r="CN809" s="16"/>
      <c r="CO809" s="16"/>
      <c r="CP809" s="16" t="s">
        <v>123</v>
      </c>
      <c r="CQ809" s="16">
        <v>0</v>
      </c>
      <c r="CR809" s="16">
        <v>0</v>
      </c>
      <c r="CS809" s="18">
        <f>IF(CT809&gt;0,1,0)</f>
        <v>1</v>
      </c>
      <c r="CT809" s="25">
        <f>SUM(CW809,CZ809,DC809)</f>
        <v>2</v>
      </c>
      <c r="CU809" s="25"/>
      <c r="CV809" s="16">
        <f>(72+17)/AS809</f>
        <v>369.29460580912865</v>
      </c>
      <c r="CW809" s="22">
        <v>1</v>
      </c>
      <c r="CX809" s="16">
        <v>72</v>
      </c>
      <c r="CY809" s="16">
        <f>72/AS809</f>
        <v>298.75518672199172</v>
      </c>
      <c r="CZ809" s="16">
        <v>1</v>
      </c>
      <c r="DA809" s="16">
        <v>17</v>
      </c>
      <c r="DB809" s="16">
        <f>17/AS809</f>
        <v>70.539419087136935</v>
      </c>
      <c r="DC809" s="18">
        <v>0</v>
      </c>
      <c r="DD809" s="16">
        <v>0</v>
      </c>
      <c r="DE809" s="16">
        <v>0</v>
      </c>
      <c r="DF809" s="16" t="e">
        <f>VLOOKUP(K809,'[3]RNA Seq summary tables'!$V$3:$V$99,1,FALSE)</f>
        <v>#N/A</v>
      </c>
      <c r="DG809" s="16"/>
      <c r="DH809" s="16"/>
      <c r="DI809" s="16"/>
      <c r="DJ809" s="16"/>
      <c r="DK809" s="16"/>
      <c r="DL809" s="16"/>
      <c r="DM809" s="16"/>
      <c r="DN809" s="16"/>
      <c r="DO809" s="16"/>
      <c r="DP809" s="16"/>
      <c r="DQ809" s="16"/>
      <c r="DR809" s="16"/>
      <c r="DS809" s="16"/>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18"/>
      <c r="EQ809" s="18"/>
      <c r="ER809" s="18"/>
      <c r="ES809" s="18"/>
      <c r="ET809" s="18"/>
      <c r="EU809" s="18"/>
      <c r="EV809" s="18"/>
      <c r="EW809" s="18"/>
      <c r="EX809" s="18"/>
      <c r="EY809" s="18"/>
      <c r="EZ809" s="18"/>
      <c r="FA809" s="18"/>
      <c r="FB809" s="18"/>
      <c r="FC809" s="18"/>
      <c r="FD809" s="18"/>
      <c r="FE809" s="18"/>
      <c r="FF809" s="18"/>
      <c r="FG809" s="18"/>
      <c r="FH809" s="18"/>
      <c r="FI809" s="18"/>
      <c r="FJ809" s="18"/>
      <c r="FK809" s="18"/>
      <c r="FL809" s="18"/>
      <c r="FM809" s="18"/>
      <c r="FN809" s="18"/>
      <c r="FO809" s="18"/>
      <c r="FP809" s="18"/>
      <c r="FQ809" s="18"/>
      <c r="FR809" s="18"/>
      <c r="FS809" s="18"/>
      <c r="FT809" s="18"/>
      <c r="FU809" s="18"/>
      <c r="FV809" s="18"/>
      <c r="FW809" s="18"/>
      <c r="FX809" s="18"/>
      <c r="FY809" s="18"/>
      <c r="FZ809" s="18"/>
      <c r="GA809" s="18"/>
      <c r="GB809" s="18"/>
      <c r="GC809" s="18"/>
      <c r="GD809" s="18"/>
      <c r="GE809" s="18"/>
      <c r="GF809" s="18"/>
      <c r="GG809" s="18"/>
      <c r="GH809" s="18"/>
      <c r="GI809" s="18"/>
      <c r="GJ809" s="18"/>
      <c r="GK809" s="18"/>
      <c r="GL809" s="18"/>
      <c r="GM809" s="18"/>
      <c r="GN809" s="18"/>
      <c r="GO809" s="18"/>
      <c r="GP809" s="18"/>
      <c r="GQ809" s="18"/>
      <c r="GR809" s="18"/>
      <c r="GS809" s="18"/>
      <c r="GT809" s="18"/>
      <c r="GU809" s="18"/>
      <c r="GV809" s="18"/>
      <c r="GW809" s="18"/>
      <c r="GX809" s="18"/>
      <c r="GY809" s="18"/>
      <c r="GZ809" s="18"/>
      <c r="HA809" s="18"/>
      <c r="HB809" s="18"/>
      <c r="HC809" s="18"/>
      <c r="HD809" s="18"/>
      <c r="HE809" s="18"/>
      <c r="HF809" s="18"/>
      <c r="HG809" s="18"/>
      <c r="HH809" s="18"/>
      <c r="HI809" s="18"/>
      <c r="HJ809" s="18"/>
      <c r="HK809" s="18"/>
      <c r="HL809" s="18"/>
      <c r="HM809" s="18"/>
      <c r="HN809" s="18"/>
      <c r="HO809" s="18"/>
      <c r="HP809" s="18"/>
      <c r="HQ809" s="18"/>
      <c r="HR809" s="18"/>
      <c r="HS809" s="18"/>
      <c r="HT809" s="18"/>
      <c r="HU809" s="18"/>
      <c r="HV809" s="18"/>
      <c r="HW809" s="18"/>
      <c r="HX809" s="18"/>
      <c r="HY809" s="18"/>
      <c r="HZ809" s="18"/>
      <c r="IA809" s="18"/>
      <c r="IB809" s="18"/>
      <c r="IC809" s="18"/>
      <c r="ID809" s="18"/>
      <c r="IE809" s="18"/>
      <c r="IF809" s="18"/>
      <c r="IG809" s="18"/>
      <c r="IH809" s="18"/>
      <c r="II809" s="18"/>
      <c r="IJ809" s="18"/>
      <c r="IK809" s="18"/>
      <c r="IL809" s="18"/>
      <c r="IM809" s="18"/>
      <c r="IN809" s="18"/>
      <c r="IO809" s="18"/>
      <c r="IP809" s="18"/>
      <c r="IQ809" s="18"/>
      <c r="IR809" s="18"/>
      <c r="IS809" s="18"/>
      <c r="IT809" s="18"/>
      <c r="IU809" s="18"/>
      <c r="IV809" s="18"/>
      <c r="IW809" s="18"/>
      <c r="IX809" s="18"/>
      <c r="IY809" s="18"/>
      <c r="IZ809" s="18"/>
      <c r="JA809" s="18"/>
      <c r="JB809" s="18"/>
      <c r="JC809" s="18"/>
      <c r="JD809" s="18"/>
      <c r="JE809" s="18"/>
      <c r="JF809" s="18"/>
      <c r="JG809" s="18"/>
      <c r="JH809" s="18"/>
      <c r="JI809" s="18"/>
      <c r="JJ809" s="18"/>
      <c r="JK809" s="18"/>
      <c r="JL809" s="18"/>
      <c r="JM809" s="18"/>
      <c r="JN809" s="18"/>
      <c r="JO809" s="16"/>
      <c r="JP809" s="16"/>
      <c r="JQ809" s="16"/>
      <c r="JR809" s="16"/>
      <c r="JS809" s="16"/>
      <c r="JT809" s="16"/>
      <c r="JU809" s="16"/>
      <c r="JV809" s="16"/>
      <c r="JW809" s="16"/>
      <c r="JX809" s="16"/>
      <c r="JY809" s="16"/>
      <c r="JZ809" s="16"/>
      <c r="KA809" s="16"/>
      <c r="KB809" s="16"/>
    </row>
    <row r="810" spans="1:288" s="38" customFormat="1" x14ac:dyDescent="0.2">
      <c r="A810" s="18"/>
      <c r="B810" s="16">
        <v>2016</v>
      </c>
      <c r="C810" s="43">
        <v>42539</v>
      </c>
      <c r="D810" s="20" t="str">
        <f>CONCATENATE(J810,"-",C810)</f>
        <v>976-42539</v>
      </c>
      <c r="E810" s="20" t="str">
        <f>CONCATENATE(T810,"-",U810,"-",C810)</f>
        <v>SP2-G3-42539</v>
      </c>
      <c r="F810" s="20" t="s">
        <v>106</v>
      </c>
      <c r="G810" s="43" t="s">
        <v>107</v>
      </c>
      <c r="H810" s="23" t="s">
        <v>125</v>
      </c>
      <c r="I810" s="23">
        <v>0</v>
      </c>
      <c r="J810" s="15">
        <v>976</v>
      </c>
      <c r="K810" s="15">
        <v>1391</v>
      </c>
      <c r="L810" s="23">
        <v>1</v>
      </c>
      <c r="M810" s="15">
        <f>VLOOKUP(K810,'[7]MLBS 2016 SNV-nem Coinfection d'!$C$1:$G$238,4,FALSE)</f>
        <v>0</v>
      </c>
      <c r="N810" s="15">
        <v>0</v>
      </c>
      <c r="O810" s="15" t="s">
        <v>214</v>
      </c>
      <c r="P810" s="23" t="s">
        <v>308</v>
      </c>
      <c r="Q810" s="23">
        <v>0</v>
      </c>
      <c r="R810" s="23" t="s">
        <v>111</v>
      </c>
      <c r="S810" s="23"/>
      <c r="T810" s="23" t="s">
        <v>137</v>
      </c>
      <c r="U810" s="23" t="s">
        <v>179</v>
      </c>
      <c r="V810" s="23" t="s">
        <v>114</v>
      </c>
      <c r="W810" s="23">
        <f>AI810/AG810</f>
        <v>0.73863636363636365</v>
      </c>
      <c r="X810" s="23" t="s">
        <v>121</v>
      </c>
      <c r="Y810" s="23" t="s">
        <v>122</v>
      </c>
      <c r="Z810" s="23">
        <v>2.6</v>
      </c>
      <c r="AA810" s="23" t="s">
        <v>119</v>
      </c>
      <c r="AB810" s="23" t="s">
        <v>123</v>
      </c>
      <c r="AC810" s="23" t="s">
        <v>123</v>
      </c>
      <c r="AD810" s="23" t="s">
        <v>123</v>
      </c>
      <c r="AE810" s="23"/>
      <c r="AF810" s="23"/>
      <c r="AG810" s="23">
        <f>AH810-AI810</f>
        <v>88</v>
      </c>
      <c r="AH810" s="23">
        <v>153</v>
      </c>
      <c r="AI810" s="23">
        <v>65</v>
      </c>
      <c r="AJ810" s="23"/>
      <c r="AK810" s="23">
        <v>16</v>
      </c>
      <c r="AL810" s="23">
        <v>0</v>
      </c>
      <c r="AM810" s="23">
        <v>0</v>
      </c>
      <c r="AN810" s="23">
        <v>0</v>
      </c>
      <c r="AO810" s="23">
        <f>IF(SUM(AL810:AN810)&gt;0,1,0)</f>
        <v>0</v>
      </c>
      <c r="AP810" s="23">
        <f>SUM(AL810:AN810)</f>
        <v>0</v>
      </c>
      <c r="AQ810" s="23">
        <f>1.477+AS810</f>
        <v>1.5650000000000002</v>
      </c>
      <c r="AR810" s="23">
        <v>8.7999999999999995E-2</v>
      </c>
      <c r="AS810" s="23">
        <v>8.7999999999999995E-2</v>
      </c>
      <c r="AT810" s="16" t="s">
        <v>124</v>
      </c>
      <c r="AU810" s="16"/>
      <c r="AV810" s="16"/>
      <c r="AW810" s="22">
        <v>1</v>
      </c>
      <c r="AX810" s="16"/>
      <c r="AY810" s="16">
        <f>(720+6868+84+1+182+20)/AS810</f>
        <v>89488.636363636368</v>
      </c>
      <c r="AZ810" s="18">
        <v>1</v>
      </c>
      <c r="BA810" s="16"/>
      <c r="BB810" s="16">
        <f>(720+6868+84)/AS810</f>
        <v>87181.818181818191</v>
      </c>
      <c r="BC810" s="16">
        <v>1</v>
      </c>
      <c r="BD810" s="16">
        <v>720</v>
      </c>
      <c r="BE810" s="16">
        <f>720/AS810</f>
        <v>8181.818181818182</v>
      </c>
      <c r="BF810" s="18">
        <v>1</v>
      </c>
      <c r="BG810" s="77">
        <v>6868</v>
      </c>
      <c r="BH810" s="16">
        <f>6868/AS810</f>
        <v>78045.454545454544</v>
      </c>
      <c r="BI810" s="16">
        <v>1</v>
      </c>
      <c r="BJ810" s="16">
        <v>84</v>
      </c>
      <c r="BK810" s="16">
        <f>84/AS810</f>
        <v>954.54545454545462</v>
      </c>
      <c r="BL810" s="16">
        <f>IF(BM810&gt;0,1,0)</f>
        <v>1</v>
      </c>
      <c r="BM810" s="16">
        <f>SUM(BR810,BU810,BX810,CA810,CD810,CG810,CJ810,CM810,CP810)</f>
        <v>1</v>
      </c>
      <c r="BN810" s="16">
        <f>SUM(BW810,BZ810,CC810,CF810,CI810,CL810,CO810,CR810,BT810)</f>
        <v>11.363636363636365</v>
      </c>
      <c r="BO810" s="16">
        <f>IF(BP810&gt;0,1,0)</f>
        <v>1</v>
      </c>
      <c r="BP810" s="16">
        <f>SUM(BU810,BX810,CA810,CD810,BR810)</f>
        <v>1</v>
      </c>
      <c r="BQ810" s="16">
        <f>SUM(BZ810,CC810,CF810,BT810,BW810)</f>
        <v>11.363636363636365</v>
      </c>
      <c r="BR810" s="18">
        <v>0</v>
      </c>
      <c r="BS810" s="16">
        <v>0</v>
      </c>
      <c r="BT810" s="77">
        <f>BS810/AS810</f>
        <v>0</v>
      </c>
      <c r="BU810" s="18">
        <v>0</v>
      </c>
      <c r="BV810" s="16">
        <v>0</v>
      </c>
      <c r="BW810" s="18">
        <f>BV810/AS810</f>
        <v>0</v>
      </c>
      <c r="BX810" s="24">
        <v>0</v>
      </c>
      <c r="BY810" s="16">
        <v>0</v>
      </c>
      <c r="BZ810" s="16">
        <f>BY810/AS810</f>
        <v>0</v>
      </c>
      <c r="CA810" s="24">
        <v>0</v>
      </c>
      <c r="CB810" s="16">
        <v>0</v>
      </c>
      <c r="CC810" s="16">
        <v>0</v>
      </c>
      <c r="CD810" s="77">
        <v>1</v>
      </c>
      <c r="CE810" s="16">
        <v>1</v>
      </c>
      <c r="CF810" s="16">
        <f>1/AS810</f>
        <v>11.363636363636365</v>
      </c>
      <c r="CG810" s="16"/>
      <c r="CH810" s="16"/>
      <c r="CI810" s="16"/>
      <c r="CJ810" s="16"/>
      <c r="CK810" s="16"/>
      <c r="CL810" s="16"/>
      <c r="CM810" s="16"/>
      <c r="CN810" s="16"/>
      <c r="CO810" s="16"/>
      <c r="CP810" s="16" t="s">
        <v>123</v>
      </c>
      <c r="CQ810" s="16">
        <v>0</v>
      </c>
      <c r="CR810" s="16">
        <v>0</v>
      </c>
      <c r="CS810" s="18">
        <f>IF(CT810&gt;0,1,0)</f>
        <v>1</v>
      </c>
      <c r="CT810" s="25">
        <f>SUM(CW810,CZ810,DC810)</f>
        <v>2</v>
      </c>
      <c r="CU810" s="25"/>
      <c r="CV810" s="16">
        <f>(182+20)/AS810</f>
        <v>2295.4545454545455</v>
      </c>
      <c r="CW810" s="22">
        <v>1</v>
      </c>
      <c r="CX810" s="16">
        <v>182</v>
      </c>
      <c r="CY810" s="16">
        <f>182/AS810</f>
        <v>2068.1818181818185</v>
      </c>
      <c r="CZ810" s="16">
        <v>1</v>
      </c>
      <c r="DA810" s="16">
        <v>20</v>
      </c>
      <c r="DB810" s="16">
        <f>20/AS810</f>
        <v>227.27272727272728</v>
      </c>
      <c r="DC810" s="25">
        <v>0</v>
      </c>
      <c r="DD810" s="23">
        <v>0</v>
      </c>
      <c r="DE810" s="23">
        <v>0</v>
      </c>
      <c r="DF810" s="16">
        <f>VLOOKUP(K810,'[3]RNA Seq summary tables'!$V$3:$V$99,1,FALSE)</f>
        <v>1391</v>
      </c>
      <c r="DG810" s="23"/>
      <c r="DH810" s="23"/>
      <c r="DI810" s="23"/>
      <c r="DJ810" s="23"/>
      <c r="DK810" s="23"/>
      <c r="DL810" s="23"/>
      <c r="DM810" s="23"/>
      <c r="DN810" s="23"/>
      <c r="DO810" s="23"/>
      <c r="DP810" s="23"/>
      <c r="DQ810" s="23"/>
      <c r="DR810" s="23"/>
      <c r="DS810" s="23"/>
      <c r="DT810" s="25"/>
      <c r="DU810" s="25"/>
      <c r="DV810" s="25"/>
      <c r="DW810" s="25"/>
      <c r="DX810" s="25"/>
      <c r="DY810" s="25"/>
      <c r="DZ810" s="25"/>
      <c r="EA810" s="25"/>
      <c r="EB810" s="25"/>
      <c r="EC810" s="25"/>
      <c r="ED810" s="25"/>
      <c r="EE810" s="25"/>
      <c r="EF810" s="25"/>
      <c r="EG810" s="25"/>
      <c r="EH810" s="25"/>
      <c r="EI810" s="25"/>
      <c r="EJ810" s="25"/>
      <c r="EK810" s="25"/>
      <c r="EL810" s="25"/>
      <c r="EM810" s="25"/>
      <c r="EN810" s="25"/>
      <c r="EO810" s="25"/>
      <c r="EP810" s="25"/>
      <c r="EQ810" s="25"/>
      <c r="ER810" s="25"/>
      <c r="ES810" s="25"/>
      <c r="ET810" s="25"/>
      <c r="EU810" s="25"/>
      <c r="EV810" s="25"/>
      <c r="EW810" s="25"/>
      <c r="EX810" s="25"/>
      <c r="EY810" s="25"/>
      <c r="EZ810" s="25"/>
      <c r="FA810" s="25"/>
      <c r="FB810" s="25"/>
      <c r="FC810" s="25"/>
      <c r="FD810" s="25"/>
      <c r="FE810" s="25"/>
      <c r="FF810" s="25"/>
      <c r="FG810" s="25"/>
      <c r="FH810" s="25"/>
      <c r="FI810" s="25"/>
      <c r="FJ810" s="25"/>
      <c r="FK810" s="25"/>
      <c r="FL810" s="25"/>
      <c r="FM810" s="25"/>
      <c r="FN810" s="25"/>
      <c r="FO810" s="25"/>
      <c r="FP810" s="25"/>
      <c r="FQ810" s="25"/>
      <c r="FR810" s="25"/>
      <c r="FS810" s="25"/>
      <c r="FT810" s="25"/>
      <c r="FU810" s="25"/>
      <c r="FV810" s="25"/>
      <c r="FW810" s="25"/>
      <c r="FX810" s="25"/>
      <c r="FY810" s="25"/>
      <c r="FZ810" s="25"/>
      <c r="GA810" s="25"/>
      <c r="GB810" s="25"/>
      <c r="GC810" s="25"/>
      <c r="GD810" s="25"/>
      <c r="GE810" s="25"/>
      <c r="GF810" s="25"/>
      <c r="GG810" s="25"/>
      <c r="GH810" s="25"/>
      <c r="GI810" s="25"/>
      <c r="GJ810" s="25"/>
      <c r="GK810" s="25"/>
      <c r="GL810" s="25"/>
      <c r="GM810" s="25"/>
      <c r="GN810" s="25"/>
      <c r="GO810" s="25"/>
      <c r="GP810" s="25"/>
      <c r="GQ810" s="25"/>
      <c r="GR810" s="25"/>
      <c r="GS810" s="25"/>
      <c r="GT810" s="25"/>
      <c r="GU810" s="25"/>
      <c r="GV810" s="25"/>
      <c r="GW810" s="25"/>
      <c r="GX810" s="25"/>
      <c r="GY810" s="25"/>
      <c r="GZ810" s="25"/>
      <c r="HA810" s="25"/>
      <c r="HB810" s="25"/>
      <c r="HC810" s="25"/>
      <c r="HD810" s="25"/>
      <c r="HE810" s="25"/>
      <c r="HF810" s="25"/>
      <c r="HG810" s="25"/>
      <c r="HH810" s="25"/>
      <c r="HI810" s="25"/>
      <c r="HJ810" s="25"/>
      <c r="HK810" s="25"/>
      <c r="HL810" s="25"/>
      <c r="HM810" s="25"/>
      <c r="HN810" s="25"/>
      <c r="HO810" s="25"/>
      <c r="HP810" s="25"/>
      <c r="HQ810" s="25"/>
      <c r="HR810" s="25"/>
      <c r="HS810" s="25"/>
      <c r="HT810" s="25"/>
      <c r="HU810" s="25"/>
      <c r="HV810" s="25"/>
      <c r="HW810" s="25"/>
      <c r="HX810" s="25"/>
      <c r="HY810" s="25"/>
      <c r="HZ810" s="25"/>
      <c r="IA810" s="25"/>
      <c r="IB810" s="25"/>
      <c r="IC810" s="25"/>
      <c r="ID810" s="25"/>
      <c r="IE810" s="25"/>
      <c r="IF810" s="25"/>
      <c r="IG810" s="25"/>
      <c r="IH810" s="25"/>
      <c r="II810" s="25"/>
      <c r="IJ810" s="25"/>
      <c r="IK810" s="25"/>
      <c r="IL810" s="25"/>
      <c r="IM810" s="25"/>
      <c r="IN810" s="25"/>
      <c r="IO810" s="25"/>
      <c r="IP810" s="25"/>
      <c r="IQ810" s="25"/>
      <c r="IR810" s="25"/>
      <c r="IS810" s="25"/>
      <c r="IT810" s="25"/>
      <c r="IU810" s="25"/>
      <c r="IV810" s="25"/>
      <c r="IW810" s="25"/>
      <c r="IX810" s="25"/>
      <c r="IY810" s="25"/>
      <c r="IZ810" s="25"/>
      <c r="JA810" s="25"/>
      <c r="JB810" s="25"/>
      <c r="JC810" s="25"/>
      <c r="JD810" s="25"/>
      <c r="JE810" s="25"/>
      <c r="JF810" s="25"/>
      <c r="JG810" s="25"/>
      <c r="JH810" s="25"/>
      <c r="JI810" s="25"/>
      <c r="JJ810" s="25"/>
      <c r="JK810" s="25"/>
      <c r="JL810" s="25"/>
      <c r="JM810" s="25"/>
      <c r="JN810" s="25"/>
      <c r="JO810" s="141"/>
      <c r="JP810" s="48"/>
      <c r="JQ810" s="48"/>
    </row>
    <row r="811" spans="1:288" s="38" customFormat="1" x14ac:dyDescent="0.2">
      <c r="A811" s="18"/>
      <c r="B811" s="16">
        <v>2016</v>
      </c>
      <c r="C811" s="20">
        <v>42593</v>
      </c>
      <c r="D811" s="20" t="str">
        <f>CONCATENATE(J811,"-",C811)</f>
        <v>976-42593</v>
      </c>
      <c r="E811" s="20" t="str">
        <f>CONCATENATE(T811,"-",U811,"-",C811)</f>
        <v>SP2-D1-42593</v>
      </c>
      <c r="F811" s="20" t="s">
        <v>227</v>
      </c>
      <c r="G811" s="20" t="s">
        <v>107</v>
      </c>
      <c r="H811" s="16"/>
      <c r="I811" s="16">
        <v>0</v>
      </c>
      <c r="J811" s="21">
        <v>976</v>
      </c>
      <c r="K811" s="21">
        <v>1547</v>
      </c>
      <c r="L811" s="16">
        <v>1</v>
      </c>
      <c r="M811" s="15">
        <f>VLOOKUP(K811,'[7]MLBS 2016 SNV-nem Coinfection d'!$C$1:$G$238,4,FALSE)</f>
        <v>0</v>
      </c>
      <c r="N811" s="15">
        <v>0</v>
      </c>
      <c r="O811" s="15" t="s">
        <v>214</v>
      </c>
      <c r="P811" s="16" t="s">
        <v>110</v>
      </c>
      <c r="Q811" s="16">
        <v>1</v>
      </c>
      <c r="R811" s="16">
        <v>54</v>
      </c>
      <c r="S811" s="16"/>
      <c r="T811" s="16" t="s">
        <v>137</v>
      </c>
      <c r="U811" s="16" t="s">
        <v>157</v>
      </c>
      <c r="V811" s="16" t="s">
        <v>114</v>
      </c>
      <c r="W811" s="16">
        <f>AI811/AG811</f>
        <v>0.93827160493827155</v>
      </c>
      <c r="X811" s="16" t="s">
        <v>121</v>
      </c>
      <c r="Y811" s="16" t="s">
        <v>110</v>
      </c>
      <c r="Z811" s="16">
        <v>3</v>
      </c>
      <c r="AA811" s="16" t="s">
        <v>161</v>
      </c>
      <c r="AB811" s="16" t="s">
        <v>116</v>
      </c>
      <c r="AC811" s="16" t="s">
        <v>123</v>
      </c>
      <c r="AD811" s="16" t="s">
        <v>116</v>
      </c>
      <c r="AE811" s="16"/>
      <c r="AF811" s="16"/>
      <c r="AG811" s="16">
        <f>AH811-AI811</f>
        <v>81</v>
      </c>
      <c r="AH811" s="16">
        <v>157</v>
      </c>
      <c r="AI811" s="16">
        <v>76</v>
      </c>
      <c r="AJ811" s="16"/>
      <c r="AK811" s="16">
        <v>21.5</v>
      </c>
      <c r="AL811" s="16">
        <v>0</v>
      </c>
      <c r="AM811" s="16">
        <v>0</v>
      </c>
      <c r="AN811" s="16">
        <v>0</v>
      </c>
      <c r="AO811" s="16">
        <f>IF(SUM(AL811:AN811)&gt;0,1,0)</f>
        <v>0</v>
      </c>
      <c r="AP811" s="16">
        <f>SUM(AL811:AN811)</f>
        <v>0</v>
      </c>
      <c r="AQ811" s="16">
        <v>1.895</v>
      </c>
      <c r="AR811" s="16">
        <v>0.41799999999999998</v>
      </c>
      <c r="AS811" s="16">
        <v>0.41799999999999998</v>
      </c>
      <c r="AT811" s="16" t="s">
        <v>205</v>
      </c>
      <c r="AU811" s="16"/>
      <c r="AV811" s="16"/>
      <c r="AW811" s="22">
        <v>1</v>
      </c>
      <c r="AX811" s="24">
        <v>4</v>
      </c>
      <c r="AY811" s="16">
        <f>(59+164+4+60)/AS811</f>
        <v>686.6028708133972</v>
      </c>
      <c r="AZ811" s="18">
        <v>1</v>
      </c>
      <c r="BA811" s="24">
        <v>3</v>
      </c>
      <c r="BB811" s="16">
        <f>(59+164+4)/AS811</f>
        <v>543.06220095693777</v>
      </c>
      <c r="BC811" s="16">
        <v>1</v>
      </c>
      <c r="BD811" s="24">
        <v>59</v>
      </c>
      <c r="BE811" s="16">
        <f>59/AS811</f>
        <v>141.14832535885168</v>
      </c>
      <c r="BF811" s="18">
        <v>1</v>
      </c>
      <c r="BG811" s="92">
        <v>164</v>
      </c>
      <c r="BH811" s="16">
        <f>164/AS811</f>
        <v>392.34449760765551</v>
      </c>
      <c r="BI811" s="16">
        <v>1</v>
      </c>
      <c r="BJ811" s="24">
        <v>4</v>
      </c>
      <c r="BK811" s="16">
        <f>4/AS811</f>
        <v>9.5693779904306222</v>
      </c>
      <c r="BL811" s="16">
        <f>IF(BM811&gt;0,1,0)</f>
        <v>1</v>
      </c>
      <c r="BM811" s="16">
        <f>SUM(BR811,BU811,BX811,CA811,CD811,CG811,CJ811,CM811,CP811)</f>
        <v>1</v>
      </c>
      <c r="BN811" s="16">
        <f>SUM(BW811,BZ811,CC811,CF811,CI811,CL811,CO811,CR811,BT811)</f>
        <v>143.54066985645935</v>
      </c>
      <c r="BO811" s="16">
        <f>IF(BP811&gt;0,1,0)</f>
        <v>1</v>
      </c>
      <c r="BP811" s="16">
        <f>SUM(BU811,BX811,CA811,CD811,BR811)</f>
        <v>1</v>
      </c>
      <c r="BQ811" s="16">
        <f>SUM(BZ811,CC811,CF811,BT811,BW811)</f>
        <v>143.54066985645935</v>
      </c>
      <c r="BR811" s="18">
        <v>0</v>
      </c>
      <c r="BS811" s="24">
        <v>0</v>
      </c>
      <c r="BT811" s="77">
        <f>BS811/AS811</f>
        <v>0</v>
      </c>
      <c r="BU811" s="18">
        <v>0</v>
      </c>
      <c r="BV811" s="24">
        <v>0</v>
      </c>
      <c r="BW811" s="18">
        <f>BV811/AS811</f>
        <v>0</v>
      </c>
      <c r="BX811" s="24">
        <v>1</v>
      </c>
      <c r="BY811" s="24">
        <v>60</v>
      </c>
      <c r="BZ811" s="16">
        <f>BY811/AS811</f>
        <v>143.54066985645935</v>
      </c>
      <c r="CA811" s="24">
        <v>0</v>
      </c>
      <c r="CB811" s="24">
        <v>0</v>
      </c>
      <c r="CC811" s="24">
        <v>0</v>
      </c>
      <c r="CD811" s="77">
        <v>0</v>
      </c>
      <c r="CE811" s="24">
        <v>0</v>
      </c>
      <c r="CF811" s="24">
        <v>0</v>
      </c>
      <c r="CG811" s="24"/>
      <c r="CH811" s="24"/>
      <c r="CI811" s="24"/>
      <c r="CJ811" s="24"/>
      <c r="CK811" s="24"/>
      <c r="CL811" s="24"/>
      <c r="CM811" s="24"/>
      <c r="CN811" s="24"/>
      <c r="CO811" s="24"/>
      <c r="CP811" s="24" t="s">
        <v>123</v>
      </c>
      <c r="CQ811" s="24">
        <v>0</v>
      </c>
      <c r="CR811" s="24">
        <v>0</v>
      </c>
      <c r="CS811" s="18">
        <f>IF(CT811&gt;0,1,0)</f>
        <v>0</v>
      </c>
      <c r="CT811" s="25">
        <f>SUM(CW811,CZ811,DC811)</f>
        <v>0</v>
      </c>
      <c r="CU811" s="25"/>
      <c r="CV811" s="24">
        <v>0</v>
      </c>
      <c r="CW811" s="25">
        <v>0</v>
      </c>
      <c r="CX811" s="24">
        <v>0</v>
      </c>
      <c r="CY811" s="24">
        <v>0</v>
      </c>
      <c r="CZ811" s="18">
        <v>0</v>
      </c>
      <c r="DA811" s="24">
        <v>0</v>
      </c>
      <c r="DB811" s="24">
        <v>0</v>
      </c>
      <c r="DC811" s="18">
        <v>0</v>
      </c>
      <c r="DD811" s="24">
        <v>0</v>
      </c>
      <c r="DE811" s="24">
        <v>0</v>
      </c>
      <c r="DF811" s="16">
        <f>VLOOKUP(K811,'[3]RNA Seq summary tables'!$V$3:$V$99,1,FALSE)</f>
        <v>1547</v>
      </c>
      <c r="DG811" s="16"/>
      <c r="DH811" s="16"/>
      <c r="DI811" s="16"/>
      <c r="DJ811" s="16"/>
      <c r="DK811" s="16"/>
      <c r="DL811" s="16"/>
      <c r="DM811" s="16"/>
      <c r="DN811" s="16"/>
      <c r="DO811" s="16"/>
      <c r="DP811" s="16"/>
      <c r="DQ811" s="16"/>
      <c r="DR811" s="16"/>
      <c r="DS811" s="16"/>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18"/>
      <c r="EQ811" s="18"/>
      <c r="ER811" s="18"/>
      <c r="ES811" s="18"/>
      <c r="ET811" s="18"/>
      <c r="EU811" s="18"/>
      <c r="EV811" s="18"/>
      <c r="EW811" s="18"/>
      <c r="EX811" s="18"/>
      <c r="EY811" s="18"/>
      <c r="EZ811" s="18"/>
      <c r="FA811" s="18"/>
      <c r="FB811" s="18"/>
      <c r="FC811" s="18"/>
      <c r="FD811" s="18"/>
      <c r="FE811" s="18"/>
      <c r="FF811" s="18"/>
      <c r="FG811" s="18"/>
      <c r="FH811" s="18"/>
      <c r="FI811" s="18"/>
      <c r="FJ811" s="18"/>
      <c r="FK811" s="18"/>
      <c r="FL811" s="18"/>
      <c r="FM811" s="18"/>
      <c r="FN811" s="18"/>
      <c r="FO811" s="18"/>
      <c r="FP811" s="18"/>
      <c r="FQ811" s="18"/>
      <c r="FR811" s="18"/>
      <c r="FS811" s="18"/>
      <c r="FT811" s="18"/>
      <c r="FU811" s="18"/>
      <c r="FV811" s="18"/>
      <c r="FW811" s="18"/>
      <c r="FX811" s="18"/>
      <c r="FY811" s="18"/>
      <c r="FZ811" s="18"/>
      <c r="GA811" s="18"/>
      <c r="GB811" s="18"/>
      <c r="GC811" s="18"/>
      <c r="GD811" s="18"/>
      <c r="GE811" s="18"/>
      <c r="GF811" s="18"/>
      <c r="GG811" s="18"/>
      <c r="GH811" s="18"/>
      <c r="GI811" s="18"/>
      <c r="GJ811" s="18"/>
      <c r="GK811" s="18"/>
      <c r="GL811" s="18"/>
      <c r="GM811" s="18"/>
      <c r="GN811" s="18"/>
      <c r="GO811" s="18"/>
      <c r="GP811" s="18"/>
      <c r="GQ811" s="18"/>
      <c r="GR811" s="18"/>
      <c r="GS811" s="18"/>
      <c r="GT811" s="18"/>
      <c r="GU811" s="18"/>
      <c r="GV811" s="18"/>
      <c r="GW811" s="18"/>
      <c r="GX811" s="18"/>
      <c r="GY811" s="18"/>
      <c r="GZ811" s="18"/>
      <c r="HA811" s="18"/>
      <c r="HB811" s="18"/>
      <c r="HC811" s="18"/>
      <c r="HD811" s="18"/>
      <c r="HE811" s="18"/>
      <c r="HF811" s="18"/>
      <c r="HG811" s="18"/>
      <c r="HH811" s="18"/>
      <c r="HI811" s="18"/>
      <c r="HJ811" s="18"/>
      <c r="HK811" s="18"/>
      <c r="HL811" s="18"/>
      <c r="HM811" s="18"/>
      <c r="HN811" s="18"/>
      <c r="HO811" s="18"/>
      <c r="HP811" s="18"/>
      <c r="HQ811" s="18"/>
      <c r="HR811" s="18"/>
      <c r="HS811" s="18"/>
      <c r="HT811" s="18"/>
      <c r="HU811" s="18"/>
      <c r="HV811" s="18"/>
      <c r="HW811" s="18"/>
      <c r="HX811" s="18"/>
      <c r="HY811" s="18"/>
      <c r="HZ811" s="18"/>
      <c r="IA811" s="18"/>
      <c r="IB811" s="18"/>
      <c r="IC811" s="18"/>
      <c r="ID811" s="18"/>
      <c r="IE811" s="18"/>
      <c r="IF811" s="18"/>
      <c r="IG811" s="18"/>
      <c r="IH811" s="18"/>
      <c r="II811" s="18"/>
      <c r="IJ811" s="18"/>
      <c r="IK811" s="18"/>
      <c r="IL811" s="18"/>
      <c r="IM811" s="18"/>
      <c r="IN811" s="18"/>
      <c r="IO811" s="18"/>
      <c r="IP811" s="18"/>
      <c r="IQ811" s="18"/>
      <c r="IR811" s="18"/>
      <c r="IS811" s="18"/>
      <c r="IT811" s="18"/>
      <c r="IU811" s="18"/>
      <c r="IV811" s="18"/>
      <c r="IW811" s="18"/>
      <c r="IX811" s="18"/>
      <c r="IY811" s="18"/>
      <c r="IZ811" s="18"/>
      <c r="JA811" s="18"/>
      <c r="JB811" s="18"/>
      <c r="JC811" s="18"/>
      <c r="JD811" s="18"/>
      <c r="JE811" s="18"/>
      <c r="JF811" s="18"/>
      <c r="JG811" s="18"/>
      <c r="JH811" s="18"/>
      <c r="JI811" s="18"/>
      <c r="JJ811" s="18"/>
      <c r="JK811" s="18"/>
      <c r="JL811" s="18"/>
      <c r="JM811" s="18"/>
      <c r="JN811" s="18"/>
      <c r="JO811" s="16"/>
      <c r="JP811" s="19"/>
      <c r="JQ811" s="19"/>
      <c r="JR811" s="16"/>
      <c r="JS811" s="16"/>
      <c r="JT811" s="16"/>
      <c r="JU811" s="16"/>
      <c r="JV811" s="16"/>
      <c r="JW811" s="16"/>
      <c r="JX811" s="16"/>
      <c r="JY811" s="16"/>
      <c r="JZ811" s="16"/>
      <c r="KA811" s="16"/>
      <c r="KB811" s="16"/>
    </row>
    <row r="812" spans="1:288" s="38" customFormat="1" x14ac:dyDescent="0.2">
      <c r="A812" s="18"/>
      <c r="B812" s="16">
        <v>2016</v>
      </c>
      <c r="C812" s="20">
        <v>42608</v>
      </c>
      <c r="D812" s="20" t="str">
        <f>CONCATENATE(J812,"-",C812)</f>
        <v>976-42608</v>
      </c>
      <c r="E812" s="20" t="str">
        <f>CONCATENATE(T812,"-",U812,"-",C812)</f>
        <v>SP2-E1-42608</v>
      </c>
      <c r="F812" s="20" t="s">
        <v>227</v>
      </c>
      <c r="G812" s="20" t="s">
        <v>107</v>
      </c>
      <c r="H812" s="16"/>
      <c r="I812" s="16">
        <v>0</v>
      </c>
      <c r="J812" s="21">
        <v>976</v>
      </c>
      <c r="K812" s="21">
        <v>1567</v>
      </c>
      <c r="L812" s="16">
        <v>1</v>
      </c>
      <c r="M812" s="15">
        <f>VLOOKUP(K812,'[7]MLBS 2016 SNV-nem Coinfection d'!$C$1:$G$238,4,FALSE)</f>
        <v>0</v>
      </c>
      <c r="N812" s="15">
        <v>0</v>
      </c>
      <c r="O812" s="15" t="s">
        <v>214</v>
      </c>
      <c r="P812" s="16" t="s">
        <v>110</v>
      </c>
      <c r="Q812" s="16">
        <v>1</v>
      </c>
      <c r="R812" s="16">
        <v>15</v>
      </c>
      <c r="S812" s="16"/>
      <c r="T812" s="16" t="s">
        <v>137</v>
      </c>
      <c r="U812" s="16" t="s">
        <v>222</v>
      </c>
      <c r="V812" s="16" t="s">
        <v>114</v>
      </c>
      <c r="W812" s="16">
        <f>AI812/AG812</f>
        <v>0.87209302325581395</v>
      </c>
      <c r="X812" s="16" t="s">
        <v>121</v>
      </c>
      <c r="Y812" s="16" t="s">
        <v>110</v>
      </c>
      <c r="Z812" s="16">
        <v>3</v>
      </c>
      <c r="AA812" s="16" t="s">
        <v>119</v>
      </c>
      <c r="AB812" s="16" t="s">
        <v>116</v>
      </c>
      <c r="AC812" s="16" t="s">
        <v>123</v>
      </c>
      <c r="AD812" s="16" t="s">
        <v>116</v>
      </c>
      <c r="AE812" s="16"/>
      <c r="AF812" s="16"/>
      <c r="AG812" s="16">
        <f>AH812-AI812</f>
        <v>86</v>
      </c>
      <c r="AH812" s="16">
        <v>161</v>
      </c>
      <c r="AI812" s="16">
        <v>75</v>
      </c>
      <c r="AJ812" s="16"/>
      <c r="AK812" s="16">
        <v>22</v>
      </c>
      <c r="AL812" s="16">
        <v>0</v>
      </c>
      <c r="AM812" s="16">
        <v>0</v>
      </c>
      <c r="AN812" s="16">
        <v>0</v>
      </c>
      <c r="AO812" s="16">
        <f>IF(SUM(AL812:AN812)&gt;0,1,0)</f>
        <v>0</v>
      </c>
      <c r="AP812" s="16">
        <f>SUM(AL812:AN812)</f>
        <v>0</v>
      </c>
      <c r="AQ812" s="16">
        <f>AS812+1.477</f>
        <v>1.7810000000000001</v>
      </c>
      <c r="AR812" s="16">
        <v>0.30399999999999999</v>
      </c>
      <c r="AS812" s="16">
        <v>0.30399999999999999</v>
      </c>
      <c r="AT812" s="16" t="s">
        <v>205</v>
      </c>
      <c r="AU812" s="16"/>
      <c r="AV812" s="16"/>
      <c r="AW812" s="22">
        <v>1</v>
      </c>
      <c r="AX812" s="16">
        <v>3</v>
      </c>
      <c r="AY812" s="16">
        <f>(4+24+1)/AS812</f>
        <v>95.39473684210526</v>
      </c>
      <c r="AZ812" s="18">
        <v>1</v>
      </c>
      <c r="BA812" s="16">
        <v>3</v>
      </c>
      <c r="BB812" s="16">
        <f>AY812</f>
        <v>95.39473684210526</v>
      </c>
      <c r="BC812" s="16">
        <v>1</v>
      </c>
      <c r="BD812" s="16">
        <v>4</v>
      </c>
      <c r="BE812" s="16">
        <f>4/AS812</f>
        <v>13.157894736842106</v>
      </c>
      <c r="BF812" s="18">
        <v>1</v>
      </c>
      <c r="BG812" s="77">
        <v>24</v>
      </c>
      <c r="BH812" s="16">
        <f>24/AS812</f>
        <v>78.94736842105263</v>
      </c>
      <c r="BI812" s="16">
        <v>1</v>
      </c>
      <c r="BJ812" s="16">
        <v>1</v>
      </c>
      <c r="BK812" s="16">
        <f>1/AS812</f>
        <v>3.2894736842105265</v>
      </c>
      <c r="BL812" s="16">
        <f>IF(BM812&gt;0,1,0)</f>
        <v>0</v>
      </c>
      <c r="BM812" s="16">
        <f>SUM(BR812,BU812,BX812,CA812,CD812,CG812,CJ812,CM812,CP812)</f>
        <v>0</v>
      </c>
      <c r="BN812" s="16">
        <f>SUM(BW812,BZ812,CC812,CF812,CI812,CL812,CO812,CR812,BT812)</f>
        <v>0</v>
      </c>
      <c r="BO812" s="16">
        <f>IF(BP812&gt;0,1,0)</f>
        <v>0</v>
      </c>
      <c r="BP812" s="16">
        <f>SUM(BU812,BX812,CA812,CD812,BR812)</f>
        <v>0</v>
      </c>
      <c r="BQ812" s="16">
        <f>SUM(BZ812,CC812,CF812,BT812,BW812)</f>
        <v>0</v>
      </c>
      <c r="BR812" s="18">
        <v>0</v>
      </c>
      <c r="BS812" s="16">
        <v>0</v>
      </c>
      <c r="BT812" s="77">
        <f>BS812/AS812</f>
        <v>0</v>
      </c>
      <c r="BU812" s="18">
        <v>0</v>
      </c>
      <c r="BV812" s="16">
        <v>0</v>
      </c>
      <c r="BW812" s="18">
        <f>BV812/AS812</f>
        <v>0</v>
      </c>
      <c r="BX812" s="18">
        <v>0</v>
      </c>
      <c r="BY812" s="16">
        <v>0</v>
      </c>
      <c r="BZ812" s="16">
        <f>BY812/AS812</f>
        <v>0</v>
      </c>
      <c r="CA812" s="24">
        <v>0</v>
      </c>
      <c r="CB812" s="16">
        <v>0</v>
      </c>
      <c r="CC812" s="16">
        <v>0</v>
      </c>
      <c r="CD812" s="78">
        <v>0</v>
      </c>
      <c r="CE812" s="16">
        <v>0</v>
      </c>
      <c r="CF812" s="16">
        <v>0</v>
      </c>
      <c r="CG812" s="16"/>
      <c r="CH812" s="16"/>
      <c r="CI812" s="16"/>
      <c r="CJ812" s="16"/>
      <c r="CK812" s="16"/>
      <c r="CL812" s="16"/>
      <c r="CM812" s="16"/>
      <c r="CN812" s="16"/>
      <c r="CO812" s="16"/>
      <c r="CP812" s="16" t="s">
        <v>123</v>
      </c>
      <c r="CQ812" s="16">
        <v>0</v>
      </c>
      <c r="CR812" s="16">
        <v>0</v>
      </c>
      <c r="CS812" s="18">
        <f>IF(CT812&gt;0,1,0)</f>
        <v>0</v>
      </c>
      <c r="CT812" s="25">
        <f>SUM(CW812,CZ812,DC812)</f>
        <v>0</v>
      </c>
      <c r="CU812" s="25"/>
      <c r="CV812" s="16">
        <v>0</v>
      </c>
      <c r="CW812" s="25">
        <v>0</v>
      </c>
      <c r="CX812" s="16">
        <v>0</v>
      </c>
      <c r="CY812" s="16">
        <v>0</v>
      </c>
      <c r="CZ812" s="18">
        <v>0</v>
      </c>
      <c r="DA812" s="16">
        <v>0</v>
      </c>
      <c r="DB812" s="16">
        <v>0</v>
      </c>
      <c r="DC812" s="18">
        <v>0</v>
      </c>
      <c r="DD812" s="16">
        <v>0</v>
      </c>
      <c r="DE812" s="16">
        <v>0</v>
      </c>
      <c r="DF812" s="16">
        <f>VLOOKUP(K812,'[3]RNA Seq summary tables'!$V$3:$V$99,1,FALSE)</f>
        <v>1567</v>
      </c>
      <c r="DG812" s="16">
        <v>1</v>
      </c>
      <c r="DH812" s="16" t="str">
        <f>VLOOKUP(D812,'[8]Data with duplicates'!$B$1:$J$70,9,FALSE)</f>
        <v>sample.40</v>
      </c>
      <c r="DI812" s="16"/>
      <c r="DJ812" s="16"/>
      <c r="DK812" s="16"/>
      <c r="DL812" s="16"/>
      <c r="DM812" s="16"/>
      <c r="DN812" s="16"/>
      <c r="DO812" s="16"/>
      <c r="DP812" s="16"/>
      <c r="DQ812" s="16"/>
      <c r="DR812" s="16"/>
      <c r="DS812" s="16"/>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18"/>
      <c r="EQ812" s="18"/>
      <c r="ER812" s="18"/>
      <c r="ES812" s="18"/>
      <c r="ET812" s="18"/>
      <c r="EU812" s="18"/>
      <c r="EV812" s="18"/>
      <c r="EW812" s="18"/>
      <c r="EX812" s="18"/>
      <c r="EY812" s="18"/>
      <c r="EZ812" s="18"/>
      <c r="FA812" s="18"/>
      <c r="FB812" s="18"/>
      <c r="FC812" s="18"/>
      <c r="FD812" s="18"/>
      <c r="FE812" s="18"/>
      <c r="FF812" s="18"/>
      <c r="FG812" s="18"/>
      <c r="FH812" s="18"/>
      <c r="FI812" s="18"/>
      <c r="FJ812" s="18"/>
      <c r="FK812" s="18"/>
      <c r="FL812" s="18"/>
      <c r="FM812" s="18"/>
      <c r="FN812" s="18"/>
      <c r="FO812" s="18"/>
      <c r="FP812" s="18"/>
      <c r="FQ812" s="18"/>
      <c r="FR812" s="18"/>
      <c r="FS812" s="18"/>
      <c r="FT812" s="18"/>
      <c r="FU812" s="18"/>
      <c r="FV812" s="18"/>
      <c r="FW812" s="18"/>
      <c r="FX812" s="18"/>
      <c r="FY812" s="18"/>
      <c r="FZ812" s="18"/>
      <c r="GA812" s="18"/>
      <c r="GB812" s="18"/>
      <c r="GC812" s="18"/>
      <c r="GD812" s="18"/>
      <c r="GE812" s="18"/>
      <c r="GF812" s="18"/>
      <c r="GG812" s="18"/>
      <c r="GH812" s="18"/>
      <c r="GI812" s="18"/>
      <c r="GJ812" s="18"/>
      <c r="GK812" s="18"/>
      <c r="GL812" s="18"/>
      <c r="GM812" s="18"/>
      <c r="GN812" s="18"/>
      <c r="GO812" s="18"/>
      <c r="GP812" s="18"/>
      <c r="GQ812" s="18"/>
      <c r="GR812" s="18"/>
      <c r="GS812" s="18"/>
      <c r="GT812" s="18"/>
      <c r="GU812" s="18"/>
      <c r="GV812" s="18"/>
      <c r="GW812" s="18"/>
      <c r="GX812" s="18"/>
      <c r="GY812" s="18"/>
      <c r="GZ812" s="18"/>
      <c r="HA812" s="18"/>
      <c r="HB812" s="18"/>
      <c r="HC812" s="18"/>
      <c r="HD812" s="18"/>
      <c r="HE812" s="18"/>
      <c r="HF812" s="18"/>
      <c r="HG812" s="18"/>
      <c r="HH812" s="18"/>
      <c r="HI812" s="18"/>
      <c r="HJ812" s="18"/>
      <c r="HK812" s="18"/>
      <c r="HL812" s="18"/>
      <c r="HM812" s="18"/>
      <c r="HN812" s="18"/>
      <c r="HO812" s="18"/>
      <c r="HP812" s="18"/>
      <c r="HQ812" s="18"/>
      <c r="HR812" s="18"/>
      <c r="HS812" s="18"/>
      <c r="HT812" s="18"/>
      <c r="HU812" s="18"/>
      <c r="HV812" s="18"/>
      <c r="HW812" s="18"/>
      <c r="HX812" s="18"/>
      <c r="HY812" s="18"/>
      <c r="HZ812" s="18"/>
      <c r="IA812" s="18"/>
      <c r="IB812" s="18"/>
      <c r="IC812" s="18"/>
      <c r="ID812" s="18"/>
      <c r="IE812" s="18"/>
      <c r="IF812" s="18"/>
      <c r="IG812" s="18"/>
      <c r="IH812" s="18"/>
      <c r="II812" s="18"/>
      <c r="IJ812" s="18"/>
      <c r="IK812" s="18"/>
      <c r="IL812" s="18"/>
      <c r="IM812" s="18"/>
      <c r="IN812" s="18"/>
      <c r="IO812" s="18"/>
      <c r="IP812" s="18"/>
      <c r="IQ812" s="18"/>
      <c r="IR812" s="18"/>
      <c r="IS812" s="18"/>
      <c r="IT812" s="18"/>
      <c r="IU812" s="18"/>
      <c r="IV812" s="18"/>
      <c r="IW812" s="18"/>
      <c r="IX812" s="18"/>
      <c r="IY812" s="18"/>
      <c r="IZ812" s="18"/>
      <c r="JA812" s="18"/>
      <c r="JB812" s="18"/>
      <c r="JC812" s="18"/>
      <c r="JD812" s="18"/>
      <c r="JE812" s="18"/>
      <c r="JF812" s="18"/>
      <c r="JG812" s="18"/>
      <c r="JH812" s="18"/>
      <c r="JI812" s="18"/>
      <c r="JJ812" s="18"/>
      <c r="JK812" s="18"/>
      <c r="JL812" s="18"/>
      <c r="JM812" s="18"/>
      <c r="JN812" s="18"/>
      <c r="JO812" s="16"/>
      <c r="JP812" s="30"/>
      <c r="JQ812" s="30"/>
      <c r="JR812" s="16"/>
      <c r="JS812" s="16"/>
      <c r="JT812" s="16"/>
      <c r="JU812" s="16"/>
      <c r="JV812" s="16"/>
      <c r="JW812" s="16"/>
      <c r="JX812" s="16"/>
      <c r="JY812" s="16"/>
      <c r="JZ812" s="16"/>
      <c r="KA812" s="16"/>
      <c r="KB812" s="16"/>
    </row>
    <row r="813" spans="1:288" s="38" customFormat="1" x14ac:dyDescent="0.2">
      <c r="A813" s="18"/>
      <c r="B813" s="18">
        <v>2016</v>
      </c>
      <c r="C813" s="37">
        <v>42541</v>
      </c>
      <c r="D813" s="37" t="str">
        <f>CONCATENATE(J813,"-",C813)</f>
        <v>978-42541</v>
      </c>
      <c r="E813" s="20" t="str">
        <f>CONCATENATE(T813,"-",U813,"-",C813)</f>
        <v>BC2-H1-42541</v>
      </c>
      <c r="F813" s="20" t="s">
        <v>106</v>
      </c>
      <c r="G813" s="37" t="s">
        <v>107</v>
      </c>
      <c r="H813" s="16" t="s">
        <v>125</v>
      </c>
      <c r="I813" s="16">
        <v>0</v>
      </c>
      <c r="J813" s="36">
        <v>978</v>
      </c>
      <c r="K813" s="36">
        <v>1394</v>
      </c>
      <c r="L813" s="18">
        <v>0</v>
      </c>
      <c r="M813" s="15">
        <f>VLOOKUP(K813,'[7]MLBS 2016 SNV-nem Coinfection d'!$C$1:$G$238,4,FALSE)</f>
        <v>0</v>
      </c>
      <c r="N813" s="15">
        <v>0</v>
      </c>
      <c r="O813" s="15" t="s">
        <v>214</v>
      </c>
      <c r="P813" s="16" t="s">
        <v>308</v>
      </c>
      <c r="Q813" s="16">
        <v>0</v>
      </c>
      <c r="R813" s="18" t="s">
        <v>111</v>
      </c>
      <c r="S813" s="18"/>
      <c r="T813" s="18" t="s">
        <v>154</v>
      </c>
      <c r="U813" s="18" t="s">
        <v>191</v>
      </c>
      <c r="V813" s="18" t="s">
        <v>114</v>
      </c>
      <c r="W813" s="16">
        <f>AI813/AG813</f>
        <v>0.82558139534883723</v>
      </c>
      <c r="X813" s="18" t="s">
        <v>115</v>
      </c>
      <c r="Y813" s="18" t="s">
        <v>110</v>
      </c>
      <c r="Z813" s="18">
        <v>3</v>
      </c>
      <c r="AA813" s="18"/>
      <c r="AB813" s="18"/>
      <c r="AC813" s="18"/>
      <c r="AD813" s="18"/>
      <c r="AE813" s="18" t="s">
        <v>116</v>
      </c>
      <c r="AF813" s="18" t="s">
        <v>116</v>
      </c>
      <c r="AG813" s="18">
        <f>AH813-AI813</f>
        <v>86</v>
      </c>
      <c r="AH813" s="18">
        <v>157</v>
      </c>
      <c r="AI813" s="18">
        <v>71</v>
      </c>
      <c r="AJ813" s="18"/>
      <c r="AK813" s="18">
        <v>17.5</v>
      </c>
      <c r="AL813" s="18">
        <v>0</v>
      </c>
      <c r="AM813" s="18">
        <v>0</v>
      </c>
      <c r="AN813" s="18">
        <v>0</v>
      </c>
      <c r="AO813" s="18">
        <f>IF(SUM(AL813:AN813)&gt;0,1,0)</f>
        <v>0</v>
      </c>
      <c r="AP813" s="18">
        <f>SUM(AL813:AN813)</f>
        <v>0</v>
      </c>
      <c r="AQ813" s="18">
        <f>1.477+0.069</f>
        <v>1.546</v>
      </c>
      <c r="AR813" s="18">
        <v>6.9000000000000006E-2</v>
      </c>
      <c r="AS813" s="18">
        <v>6.9000000000000006E-2</v>
      </c>
      <c r="AT813" s="18" t="s">
        <v>124</v>
      </c>
      <c r="AU813" s="18"/>
      <c r="AV813" s="18"/>
      <c r="AW813" s="24">
        <v>1</v>
      </c>
      <c r="AX813" s="18"/>
      <c r="AY813" s="18"/>
      <c r="AZ813" s="18">
        <v>1</v>
      </c>
      <c r="BA813" s="18"/>
      <c r="BB813" s="18"/>
      <c r="BC813" s="18">
        <v>1</v>
      </c>
      <c r="BD813" s="18">
        <v>127</v>
      </c>
      <c r="BE813" s="18">
        <f>127/AS813</f>
        <v>1840.5797101449273</v>
      </c>
      <c r="BF813" s="18">
        <v>1</v>
      </c>
      <c r="BG813" s="78"/>
      <c r="BH813" s="18"/>
      <c r="BI813" s="18">
        <v>1</v>
      </c>
      <c r="BJ813" s="18">
        <v>15</v>
      </c>
      <c r="BK813" s="18">
        <f>15/AS813</f>
        <v>217.39130434782606</v>
      </c>
      <c r="BL813" s="18">
        <f>IF(BM813&gt;0,1,0)</f>
        <v>0</v>
      </c>
      <c r="BM813" s="18">
        <f>SUM(BR813,BU813,BX813,CA813,CD813,CG813,CJ813,CM813,CP813)</f>
        <v>0</v>
      </c>
      <c r="BN813" s="18">
        <f>SUM(BW813,BZ813,CC813,CF813,CI813,CL813,CO813,CR813,BT813)</f>
        <v>0</v>
      </c>
      <c r="BO813" s="18">
        <f>IF(BP813&gt;0,1,0)</f>
        <v>0</v>
      </c>
      <c r="BP813" s="18">
        <f>SUM(BU813,BX813,CA813,CD813,BR813)</f>
        <v>0</v>
      </c>
      <c r="BQ813" s="18">
        <f>SUM(BZ813,CC813,CF813,BT813,BW813)</f>
        <v>0</v>
      </c>
      <c r="BR813" s="18">
        <v>0</v>
      </c>
      <c r="BS813" s="18">
        <v>0</v>
      </c>
      <c r="BT813" s="78">
        <f>BS813/AS813</f>
        <v>0</v>
      </c>
      <c r="BU813" s="18">
        <v>0</v>
      </c>
      <c r="BV813" s="18">
        <v>0</v>
      </c>
      <c r="BW813" s="18">
        <f>BV813/AS813</f>
        <v>0</v>
      </c>
      <c r="BX813" s="18">
        <v>0</v>
      </c>
      <c r="BY813" s="18">
        <v>0</v>
      </c>
      <c r="BZ813" s="18">
        <f>BY813/AS813</f>
        <v>0</v>
      </c>
      <c r="CA813" s="24">
        <v>0</v>
      </c>
      <c r="CB813" s="18">
        <v>0</v>
      </c>
      <c r="CC813" s="18">
        <v>0</v>
      </c>
      <c r="CD813" s="78">
        <v>0</v>
      </c>
      <c r="CE813" s="18">
        <v>0</v>
      </c>
      <c r="CF813" s="18">
        <v>0</v>
      </c>
      <c r="CG813" s="18"/>
      <c r="CH813" s="18"/>
      <c r="CI813" s="18"/>
      <c r="CJ813" s="18"/>
      <c r="CK813" s="18"/>
      <c r="CL813" s="18"/>
      <c r="CM813" s="18"/>
      <c r="CN813" s="18"/>
      <c r="CO813" s="18"/>
      <c r="CP813" s="18" t="s">
        <v>123</v>
      </c>
      <c r="CQ813" s="18">
        <v>0</v>
      </c>
      <c r="CR813" s="18">
        <v>0</v>
      </c>
      <c r="CS813" s="18">
        <f>IF(CT813&gt;0,1,0)</f>
        <v>0</v>
      </c>
      <c r="CT813" s="25">
        <f>SUM(CW813,CZ813,DC813)</f>
        <v>0</v>
      </c>
      <c r="CU813" s="25"/>
      <c r="CV813" s="18">
        <v>0</v>
      </c>
      <c r="CW813" s="25">
        <v>0</v>
      </c>
      <c r="CX813" s="18">
        <v>0</v>
      </c>
      <c r="CY813" s="18">
        <v>0</v>
      </c>
      <c r="CZ813" s="18">
        <v>0</v>
      </c>
      <c r="DA813" s="18">
        <v>0</v>
      </c>
      <c r="DB813" s="18">
        <v>0</v>
      </c>
      <c r="DC813" s="18">
        <v>0</v>
      </c>
      <c r="DD813" s="18">
        <v>0</v>
      </c>
      <c r="DE813" s="18">
        <v>0</v>
      </c>
      <c r="DF813" s="16" t="e">
        <f>VLOOKUP(K813,'[3]RNA Seq summary tables'!$V$3:$V$99,1,FALSE)</f>
        <v>#N/A</v>
      </c>
      <c r="DG813" s="16"/>
      <c r="DH813" s="16"/>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18"/>
      <c r="EQ813" s="18"/>
      <c r="ER813" s="18"/>
      <c r="ES813" s="18"/>
      <c r="ET813" s="18"/>
      <c r="EU813" s="18"/>
      <c r="EV813" s="18"/>
      <c r="EW813" s="18"/>
      <c r="EX813" s="18"/>
      <c r="EY813" s="18"/>
      <c r="EZ813" s="18"/>
      <c r="FA813" s="18"/>
      <c r="FB813" s="18"/>
      <c r="FC813" s="18"/>
      <c r="FD813" s="18"/>
      <c r="FE813" s="18"/>
      <c r="FF813" s="18"/>
      <c r="FG813" s="18"/>
      <c r="FH813" s="18"/>
      <c r="FI813" s="18"/>
      <c r="FJ813" s="18"/>
      <c r="FK813" s="18"/>
      <c r="FL813" s="18"/>
      <c r="FM813" s="18"/>
      <c r="FN813" s="18"/>
      <c r="FO813" s="18"/>
      <c r="FP813" s="18"/>
      <c r="FQ813" s="18"/>
      <c r="FR813" s="18"/>
      <c r="FS813" s="18"/>
      <c r="FT813" s="18"/>
      <c r="FU813" s="18"/>
      <c r="FV813" s="18"/>
      <c r="FW813" s="18"/>
      <c r="FX813" s="18"/>
      <c r="FY813" s="18"/>
      <c r="FZ813" s="18"/>
      <c r="GA813" s="18"/>
      <c r="GB813" s="18"/>
      <c r="GC813" s="18"/>
      <c r="GD813" s="18"/>
      <c r="GE813" s="18"/>
      <c r="GF813" s="18"/>
      <c r="GG813" s="18"/>
      <c r="GH813" s="18"/>
      <c r="GI813" s="18"/>
      <c r="GJ813" s="18"/>
      <c r="GK813" s="18"/>
      <c r="GL813" s="18"/>
      <c r="GM813" s="18"/>
      <c r="GN813" s="18"/>
      <c r="GO813" s="18"/>
      <c r="GP813" s="18"/>
      <c r="GQ813" s="18"/>
      <c r="GR813" s="18"/>
      <c r="GS813" s="18"/>
      <c r="GT813" s="18"/>
      <c r="GU813" s="18"/>
      <c r="GV813" s="18"/>
      <c r="GW813" s="18"/>
      <c r="GX813" s="18"/>
      <c r="GY813" s="18"/>
      <c r="GZ813" s="18"/>
      <c r="HA813" s="18"/>
      <c r="HB813" s="18"/>
      <c r="HC813" s="18"/>
      <c r="HD813" s="18"/>
      <c r="HE813" s="18"/>
      <c r="HF813" s="18"/>
      <c r="HG813" s="18"/>
      <c r="HH813" s="18"/>
      <c r="HI813" s="18"/>
      <c r="HJ813" s="18"/>
      <c r="HK813" s="18"/>
      <c r="HL813" s="18"/>
      <c r="HM813" s="18"/>
      <c r="HN813" s="18"/>
      <c r="HO813" s="18"/>
      <c r="HP813" s="18"/>
      <c r="HQ813" s="18"/>
      <c r="HR813" s="18"/>
      <c r="HS813" s="18"/>
      <c r="HT813" s="18"/>
      <c r="HU813" s="18"/>
      <c r="HV813" s="18"/>
      <c r="HW813" s="18"/>
      <c r="HX813" s="18"/>
      <c r="HY813" s="18"/>
      <c r="HZ813" s="18"/>
      <c r="IA813" s="18"/>
      <c r="IB813" s="18"/>
      <c r="IC813" s="18"/>
      <c r="ID813" s="18"/>
      <c r="IE813" s="18"/>
      <c r="IF813" s="18"/>
      <c r="IG813" s="18"/>
      <c r="IH813" s="18"/>
      <c r="II813" s="18"/>
      <c r="IJ813" s="18"/>
      <c r="IK813" s="18"/>
      <c r="IL813" s="18"/>
      <c r="IM813" s="18"/>
      <c r="IN813" s="18"/>
      <c r="IO813" s="18"/>
      <c r="IP813" s="18"/>
      <c r="IQ813" s="18"/>
      <c r="IR813" s="18"/>
      <c r="IS813" s="18"/>
      <c r="IT813" s="18"/>
      <c r="IU813" s="18"/>
      <c r="IV813" s="18"/>
      <c r="IW813" s="18"/>
      <c r="IX813" s="18"/>
      <c r="IY813" s="18"/>
      <c r="IZ813" s="18"/>
      <c r="JA813" s="18"/>
      <c r="JB813" s="18"/>
      <c r="JC813" s="18"/>
      <c r="JD813" s="18"/>
      <c r="JE813" s="18"/>
      <c r="JF813" s="18"/>
      <c r="JG813" s="18"/>
      <c r="JH813" s="18"/>
      <c r="JI813" s="18"/>
      <c r="JJ813" s="18"/>
      <c r="JK813" s="18"/>
      <c r="JL813" s="18"/>
      <c r="JM813" s="18"/>
      <c r="JN813" s="18"/>
      <c r="JO813" s="16"/>
      <c r="JP813" s="16"/>
      <c r="JQ813" s="16"/>
    </row>
    <row r="814" spans="1:288" s="38" customFormat="1" x14ac:dyDescent="0.2">
      <c r="A814" s="18"/>
      <c r="B814" s="16">
        <v>2016</v>
      </c>
      <c r="C814" s="20">
        <v>42558</v>
      </c>
      <c r="D814" s="20" t="str">
        <f>CONCATENATE(J814,"-",C814)</f>
        <v>978-42558</v>
      </c>
      <c r="E814" s="20" t="str">
        <f>CONCATENATE(T814,"-",U814,"-",C814)</f>
        <v>BC2-H3-42558</v>
      </c>
      <c r="F814" s="20" t="s">
        <v>106</v>
      </c>
      <c r="G814" s="20" t="s">
        <v>107</v>
      </c>
      <c r="H814" s="16"/>
      <c r="I814" s="16">
        <v>0</v>
      </c>
      <c r="J814" s="21">
        <v>978</v>
      </c>
      <c r="K814" s="21">
        <v>1456</v>
      </c>
      <c r="L814" s="18">
        <v>0</v>
      </c>
      <c r="M814" s="15">
        <f>VLOOKUP(K814,'[7]MLBS 2016 SNV-nem Coinfection d'!$C$1:$G$238,4,FALSE)</f>
        <v>0</v>
      </c>
      <c r="N814" s="15">
        <v>0</v>
      </c>
      <c r="O814" s="15" t="s">
        <v>214</v>
      </c>
      <c r="P814" s="16" t="s">
        <v>110</v>
      </c>
      <c r="Q814" s="16">
        <v>1</v>
      </c>
      <c r="R814" s="16">
        <v>17</v>
      </c>
      <c r="S814" s="16"/>
      <c r="T814" s="16" t="s">
        <v>154</v>
      </c>
      <c r="U814" s="16" t="s">
        <v>174</v>
      </c>
      <c r="V814" s="16" t="s">
        <v>114</v>
      </c>
      <c r="W814" s="16">
        <f>AI814/AG814</f>
        <v>0.89411764705882357</v>
      </c>
      <c r="X814" s="16" t="s">
        <v>115</v>
      </c>
      <c r="Y814" s="16" t="s">
        <v>110</v>
      </c>
      <c r="Z814" s="16">
        <v>3</v>
      </c>
      <c r="AA814" s="16"/>
      <c r="AB814" s="16"/>
      <c r="AC814" s="16"/>
      <c r="AD814" s="16"/>
      <c r="AE814" s="16" t="s">
        <v>116</v>
      </c>
      <c r="AF814" s="16" t="s">
        <v>116</v>
      </c>
      <c r="AG814" s="16">
        <f>AH814-AI814</f>
        <v>85</v>
      </c>
      <c r="AH814" s="16">
        <v>161</v>
      </c>
      <c r="AI814" s="16">
        <v>76</v>
      </c>
      <c r="AJ814" s="16"/>
      <c r="AK814" s="16">
        <v>17.5</v>
      </c>
      <c r="AL814" s="16">
        <v>0</v>
      </c>
      <c r="AM814" s="16">
        <v>0</v>
      </c>
      <c r="AN814" s="16">
        <v>0</v>
      </c>
      <c r="AO814" s="16">
        <f>IF(SUM(AL814:AN814)&gt;0,1,0)</f>
        <v>0</v>
      </c>
      <c r="AP814" s="16">
        <f>SUM(AL814:AN814)</f>
        <v>0</v>
      </c>
      <c r="AQ814" s="16">
        <v>1.74</v>
      </c>
      <c r="AR814" s="16">
        <v>0.26300000000000001</v>
      </c>
      <c r="AS814" s="16">
        <v>0.26300000000000001</v>
      </c>
      <c r="AT814" s="16" t="s">
        <v>205</v>
      </c>
      <c r="AU814" s="16"/>
      <c r="AV814" s="16"/>
      <c r="AW814" s="22">
        <v>1</v>
      </c>
      <c r="AX814" s="16">
        <v>5</v>
      </c>
      <c r="AY814" s="16">
        <f>(607+4988+63+304+64)/AS814</f>
        <v>22912.547528517109</v>
      </c>
      <c r="AZ814" s="18">
        <v>1</v>
      </c>
      <c r="BA814" s="16">
        <v>3</v>
      </c>
      <c r="BB814" s="16">
        <f>(607+4988+63)/AS814</f>
        <v>21513.307984790874</v>
      </c>
      <c r="BC814" s="16">
        <v>1</v>
      </c>
      <c r="BD814" s="16">
        <v>607</v>
      </c>
      <c r="BE814" s="16">
        <f xml:space="preserve"> 607/AS814</f>
        <v>2307.9847908745246</v>
      </c>
      <c r="BF814" s="18">
        <v>1</v>
      </c>
      <c r="BG814" s="77">
        <v>4988</v>
      </c>
      <c r="BH814" s="16">
        <f>4988/AS814</f>
        <v>18965.779467680608</v>
      </c>
      <c r="BI814" s="16">
        <v>1</v>
      </c>
      <c r="BJ814" s="16">
        <v>63</v>
      </c>
      <c r="BK814" s="16">
        <f>63/AS814</f>
        <v>239.54372623574145</v>
      </c>
      <c r="BL814" s="16">
        <f>IF(BM814&gt;0,1,0)</f>
        <v>0</v>
      </c>
      <c r="BM814" s="16">
        <f>SUM(BR814,BU814,BX814,CA814,CD814,CG814,CJ814,CM814,CP814)</f>
        <v>0</v>
      </c>
      <c r="BN814" s="16">
        <f>SUM(BW814,BZ814,CC814,CF814,CI814,CL814,CO814,CR814,BT814)</f>
        <v>0</v>
      </c>
      <c r="BO814" s="16">
        <f>IF(BP814&gt;0,1,0)</f>
        <v>0</v>
      </c>
      <c r="BP814" s="16">
        <f>SUM(BU814,BX814,CA814,CD814,BR814)</f>
        <v>0</v>
      </c>
      <c r="BQ814" s="16">
        <f>SUM(BZ814,CC814,CF814,BT814,BW814)</f>
        <v>0</v>
      </c>
      <c r="BR814" s="18">
        <v>0</v>
      </c>
      <c r="BS814" s="16">
        <v>0</v>
      </c>
      <c r="BT814" s="77">
        <f>BS814/AS814</f>
        <v>0</v>
      </c>
      <c r="BU814" s="18">
        <v>0</v>
      </c>
      <c r="BV814" s="16">
        <v>0</v>
      </c>
      <c r="BW814" s="18">
        <f>BV814/AS814</f>
        <v>0</v>
      </c>
      <c r="BX814" s="18">
        <v>0</v>
      </c>
      <c r="BY814" s="16">
        <v>0</v>
      </c>
      <c r="BZ814" s="16">
        <f>BY814/AS814</f>
        <v>0</v>
      </c>
      <c r="CA814" s="24">
        <v>0</v>
      </c>
      <c r="CB814" s="16">
        <v>0</v>
      </c>
      <c r="CC814" s="16">
        <v>0</v>
      </c>
      <c r="CD814" s="78">
        <v>0</v>
      </c>
      <c r="CE814" s="16">
        <v>0</v>
      </c>
      <c r="CF814" s="16">
        <v>0</v>
      </c>
      <c r="CG814" s="16"/>
      <c r="CH814" s="16"/>
      <c r="CI814" s="16"/>
      <c r="CJ814" s="16"/>
      <c r="CK814" s="16"/>
      <c r="CL814" s="16"/>
      <c r="CM814" s="16"/>
      <c r="CN814" s="16"/>
      <c r="CO814" s="16"/>
      <c r="CP814" s="16" t="s">
        <v>123</v>
      </c>
      <c r="CQ814" s="16">
        <v>0</v>
      </c>
      <c r="CR814" s="16">
        <v>0</v>
      </c>
      <c r="CS814" s="18">
        <f>IF(CT814&gt;0,1,0)</f>
        <v>1</v>
      </c>
      <c r="CT814" s="25">
        <f>SUM(CW814,CZ814,DC814)</f>
        <v>2</v>
      </c>
      <c r="CU814" s="25"/>
      <c r="CV814" s="16">
        <f>(304+64)/AS814</f>
        <v>1399.2395437262358</v>
      </c>
      <c r="CW814" s="22">
        <v>1</v>
      </c>
      <c r="CX814" s="16">
        <v>304</v>
      </c>
      <c r="CY814" s="16">
        <f>304/AS814</f>
        <v>1155.8935361216729</v>
      </c>
      <c r="CZ814" s="16">
        <v>1</v>
      </c>
      <c r="DA814" s="16">
        <v>64</v>
      </c>
      <c r="DB814" s="16">
        <f>64/AS814</f>
        <v>243.34600760456271</v>
      </c>
      <c r="DC814" s="18">
        <v>0</v>
      </c>
      <c r="DD814" s="16">
        <v>0</v>
      </c>
      <c r="DE814" s="16">
        <v>0</v>
      </c>
      <c r="DF814" s="16" t="e">
        <f>VLOOKUP(K814,'[3]RNA Seq summary tables'!$V$3:$V$99,1,FALSE)</f>
        <v>#N/A</v>
      </c>
      <c r="DG814" s="16"/>
      <c r="DH814" s="16"/>
      <c r="DI814" s="16"/>
      <c r="DJ814" s="16"/>
      <c r="DK814" s="16"/>
      <c r="DL814" s="16"/>
      <c r="DM814" s="16"/>
      <c r="DN814" s="16"/>
      <c r="DO814" s="16"/>
      <c r="DP814" s="16"/>
      <c r="DQ814" s="16"/>
      <c r="DR814" s="16"/>
      <c r="DS814" s="16"/>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18"/>
      <c r="EQ814" s="18"/>
      <c r="ER814" s="18"/>
      <c r="ES814" s="18"/>
      <c r="ET814" s="18"/>
      <c r="EU814" s="18"/>
      <c r="EV814" s="18"/>
      <c r="EW814" s="18"/>
      <c r="EX814" s="18"/>
      <c r="EY814" s="18"/>
      <c r="EZ814" s="18"/>
      <c r="FA814" s="18"/>
      <c r="FB814" s="18"/>
      <c r="FC814" s="18"/>
      <c r="FD814" s="18"/>
      <c r="FE814" s="18"/>
      <c r="FF814" s="18"/>
      <c r="FG814" s="18"/>
      <c r="FH814" s="18"/>
      <c r="FI814" s="18"/>
      <c r="FJ814" s="18"/>
      <c r="FK814" s="18"/>
      <c r="FL814" s="18"/>
      <c r="FM814" s="18"/>
      <c r="FN814" s="18"/>
      <c r="FO814" s="18"/>
      <c r="FP814" s="18"/>
      <c r="FQ814" s="18"/>
      <c r="FR814" s="18"/>
      <c r="FS814" s="18"/>
      <c r="FT814" s="18"/>
      <c r="FU814" s="18"/>
      <c r="FV814" s="18"/>
      <c r="FW814" s="18"/>
      <c r="FX814" s="18"/>
      <c r="FY814" s="18"/>
      <c r="FZ814" s="18"/>
      <c r="GA814" s="18"/>
      <c r="GB814" s="18"/>
      <c r="GC814" s="18"/>
      <c r="GD814" s="18"/>
      <c r="GE814" s="18"/>
      <c r="GF814" s="18"/>
      <c r="GG814" s="18"/>
      <c r="GH814" s="18"/>
      <c r="GI814" s="18"/>
      <c r="GJ814" s="18"/>
      <c r="GK814" s="18"/>
      <c r="GL814" s="18"/>
      <c r="GM814" s="18"/>
      <c r="GN814" s="18"/>
      <c r="GO814" s="18"/>
      <c r="GP814" s="18"/>
      <c r="GQ814" s="18"/>
      <c r="GR814" s="18"/>
      <c r="GS814" s="18"/>
      <c r="GT814" s="18"/>
      <c r="GU814" s="18"/>
      <c r="GV814" s="18"/>
      <c r="GW814" s="18"/>
      <c r="GX814" s="18"/>
      <c r="GY814" s="18"/>
      <c r="GZ814" s="18"/>
      <c r="HA814" s="18"/>
      <c r="HB814" s="18"/>
      <c r="HC814" s="18"/>
      <c r="HD814" s="18"/>
      <c r="HE814" s="18"/>
      <c r="HF814" s="18"/>
      <c r="HG814" s="18"/>
      <c r="HH814" s="18"/>
      <c r="HI814" s="18"/>
      <c r="HJ814" s="18"/>
      <c r="HK814" s="18"/>
      <c r="HL814" s="18"/>
      <c r="HM814" s="18"/>
      <c r="HN814" s="18"/>
      <c r="HO814" s="18"/>
      <c r="HP814" s="18"/>
      <c r="HQ814" s="18"/>
      <c r="HR814" s="18"/>
      <c r="HS814" s="18"/>
      <c r="HT814" s="18"/>
      <c r="HU814" s="18"/>
      <c r="HV814" s="18"/>
      <c r="HW814" s="18"/>
      <c r="HX814" s="18"/>
      <c r="HY814" s="18"/>
      <c r="HZ814" s="18"/>
      <c r="IA814" s="18"/>
      <c r="IB814" s="18"/>
      <c r="IC814" s="18"/>
      <c r="ID814" s="18"/>
      <c r="IE814" s="18"/>
      <c r="IF814" s="18"/>
      <c r="IG814" s="18"/>
      <c r="IH814" s="18"/>
      <c r="II814" s="18"/>
      <c r="IJ814" s="18"/>
      <c r="IK814" s="18"/>
      <c r="IL814" s="18"/>
      <c r="IM814" s="18"/>
      <c r="IN814" s="18"/>
      <c r="IO814" s="18"/>
      <c r="IP814" s="18"/>
      <c r="IQ814" s="18"/>
      <c r="IR814" s="18"/>
      <c r="IS814" s="18"/>
      <c r="IT814" s="18"/>
      <c r="IU814" s="18"/>
      <c r="IV814" s="18"/>
      <c r="IW814" s="18"/>
      <c r="IX814" s="18"/>
      <c r="IY814" s="18"/>
      <c r="IZ814" s="18"/>
      <c r="JA814" s="18"/>
      <c r="JB814" s="18"/>
      <c r="JC814" s="18"/>
      <c r="JD814" s="18"/>
      <c r="JE814" s="18"/>
      <c r="JF814" s="18"/>
      <c r="JG814" s="18"/>
      <c r="JH814" s="18"/>
      <c r="JI814" s="18"/>
      <c r="JJ814" s="18"/>
      <c r="JK814" s="18"/>
      <c r="JL814" s="18"/>
      <c r="JM814" s="18"/>
      <c r="JN814" s="18"/>
      <c r="JO814" s="18"/>
      <c r="JP814" s="16"/>
      <c r="JQ814" s="16"/>
      <c r="JR814" s="16"/>
      <c r="JS814" s="16"/>
      <c r="JT814" s="16"/>
      <c r="JU814" s="16"/>
      <c r="JV814" s="16"/>
      <c r="JW814" s="16"/>
      <c r="JX814" s="16"/>
      <c r="JY814" s="16"/>
      <c r="JZ814" s="16"/>
      <c r="KA814" s="16"/>
      <c r="KB814" s="16"/>
    </row>
    <row r="815" spans="1:288" s="38" customFormat="1" x14ac:dyDescent="0.2">
      <c r="A815" s="18"/>
      <c r="B815" s="16">
        <v>2016</v>
      </c>
      <c r="C815" s="20">
        <v>42543</v>
      </c>
      <c r="D815" s="20" t="str">
        <f>CONCATENATE(J815,"-",C815)</f>
        <v>980-42543</v>
      </c>
      <c r="E815" s="20" t="str">
        <f>CONCATENATE(T815,"-",U815,"-",C815)</f>
        <v>BC2-H5-42543</v>
      </c>
      <c r="F815" s="20" t="s">
        <v>106</v>
      </c>
      <c r="G815" s="20" t="s">
        <v>107</v>
      </c>
      <c r="H815" s="16" t="s">
        <v>125</v>
      </c>
      <c r="I815" s="16">
        <v>0</v>
      </c>
      <c r="J815" s="21">
        <v>980</v>
      </c>
      <c r="K815" s="21">
        <v>1403</v>
      </c>
      <c r="L815" s="18">
        <v>0</v>
      </c>
      <c r="M815" s="15">
        <f>VLOOKUP(K815,'[7]MLBS 2016 SNV-nem Coinfection d'!$C$1:$G$238,4,FALSE)</f>
        <v>0</v>
      </c>
      <c r="N815" s="15">
        <v>0</v>
      </c>
      <c r="O815" s="15" t="s">
        <v>214</v>
      </c>
      <c r="P815" s="16" t="s">
        <v>308</v>
      </c>
      <c r="Q815" s="16">
        <v>0</v>
      </c>
      <c r="R815" s="16" t="s">
        <v>111</v>
      </c>
      <c r="S815" s="16"/>
      <c r="T815" s="16" t="s">
        <v>154</v>
      </c>
      <c r="U815" s="16" t="s">
        <v>180</v>
      </c>
      <c r="V815" s="16" t="s">
        <v>114</v>
      </c>
      <c r="W815" s="16">
        <f>AI815/AG815</f>
        <v>0.78749999999999998</v>
      </c>
      <c r="X815" s="16" t="s">
        <v>121</v>
      </c>
      <c r="Y815" s="16" t="s">
        <v>122</v>
      </c>
      <c r="Z815" s="16">
        <v>2.9</v>
      </c>
      <c r="AA815" s="16" t="s">
        <v>119</v>
      </c>
      <c r="AB815" s="16" t="s">
        <v>123</v>
      </c>
      <c r="AC815" s="16" t="s">
        <v>123</v>
      </c>
      <c r="AD815" s="16" t="s">
        <v>123</v>
      </c>
      <c r="AE815" s="16"/>
      <c r="AF815" s="16"/>
      <c r="AG815" s="16">
        <f>AH815-AI815</f>
        <v>80</v>
      </c>
      <c r="AH815" s="16">
        <v>143</v>
      </c>
      <c r="AI815" s="16">
        <v>63</v>
      </c>
      <c r="AJ815" s="16"/>
      <c r="AK815" s="16">
        <v>15.5</v>
      </c>
      <c r="AL815" s="16">
        <v>0</v>
      </c>
      <c r="AM815" s="16">
        <v>0</v>
      </c>
      <c r="AN815" s="16">
        <v>0</v>
      </c>
      <c r="AO815" s="16">
        <f>IF(SUM(AL815:AN815)&gt;0,1,0)</f>
        <v>0</v>
      </c>
      <c r="AP815" s="16">
        <f>SUM(AL815:AN815)</f>
        <v>0</v>
      </c>
      <c r="AQ815" s="16"/>
      <c r="AR815" s="16">
        <v>0.56999999999999995</v>
      </c>
      <c r="AS815" s="16">
        <v>0.56999999999999995</v>
      </c>
      <c r="AT815" s="18" t="s">
        <v>117</v>
      </c>
      <c r="AU815" s="18"/>
      <c r="AV815" s="16"/>
      <c r="AW815" s="22">
        <v>1</v>
      </c>
      <c r="AX815" s="16">
        <v>3</v>
      </c>
      <c r="AY815" s="16">
        <f>821/0.57</f>
        <v>1440.3508771929826</v>
      </c>
      <c r="AZ815" s="18">
        <v>1</v>
      </c>
      <c r="BA815" s="16">
        <v>3</v>
      </c>
      <c r="BB815" s="16">
        <f>821/0.57</f>
        <v>1440.3508771929826</v>
      </c>
      <c r="BC815" s="16">
        <v>1</v>
      </c>
      <c r="BD815" s="16">
        <v>9</v>
      </c>
      <c r="BE815" s="16">
        <f>9/0.57</f>
        <v>15.789473684210527</v>
      </c>
      <c r="BF815" s="18">
        <v>1</v>
      </c>
      <c r="BG815" s="77">
        <v>807</v>
      </c>
      <c r="BH815" s="16">
        <f>807/0.57</f>
        <v>1415.7894736842106</v>
      </c>
      <c r="BI815" s="16">
        <v>1</v>
      </c>
      <c r="BJ815" s="16">
        <v>5</v>
      </c>
      <c r="BK815" s="16">
        <f>5/0.57</f>
        <v>8.7719298245614041</v>
      </c>
      <c r="BL815" s="16">
        <f>IF(BM815&gt;0,1,0)</f>
        <v>0</v>
      </c>
      <c r="BM815" s="16">
        <f>SUM(BR815,BU815,BX815,CA815,CD815,CG815,CJ815,CM815,CP815)</f>
        <v>0</v>
      </c>
      <c r="BN815" s="16">
        <f>SUM(BW815,BZ815,CC815,CF815,CI815,CL815,CO815,CR815,BT815)</f>
        <v>0</v>
      </c>
      <c r="BO815" s="16">
        <f>IF(BP815&gt;0,1,0)</f>
        <v>0</v>
      </c>
      <c r="BP815" s="16">
        <f>SUM(BU815,BX815,CA815,CD815,BR815)</f>
        <v>0</v>
      </c>
      <c r="BQ815" s="16">
        <f>SUM(BZ815,CC815,CF815,BT815,BW815)</f>
        <v>0</v>
      </c>
      <c r="BR815" s="18">
        <v>0</v>
      </c>
      <c r="BS815" s="16">
        <v>0</v>
      </c>
      <c r="BT815" s="77">
        <f>BS815/AS815</f>
        <v>0</v>
      </c>
      <c r="BU815" s="18">
        <v>0</v>
      </c>
      <c r="BV815" s="16">
        <v>0</v>
      </c>
      <c r="BW815" s="18">
        <f>BV815/AS815</f>
        <v>0</v>
      </c>
      <c r="BX815" s="18">
        <v>0</v>
      </c>
      <c r="BY815" s="16">
        <v>0</v>
      </c>
      <c r="BZ815" s="16">
        <f>BY815/AS815</f>
        <v>0</v>
      </c>
      <c r="CA815" s="24">
        <v>0</v>
      </c>
      <c r="CB815" s="16">
        <v>0</v>
      </c>
      <c r="CC815" s="16">
        <v>0</v>
      </c>
      <c r="CD815" s="78">
        <v>0</v>
      </c>
      <c r="CE815" s="16">
        <v>0</v>
      </c>
      <c r="CF815" s="16">
        <v>0</v>
      </c>
      <c r="CG815" s="16"/>
      <c r="CH815" s="16"/>
      <c r="CI815" s="16"/>
      <c r="CJ815" s="16"/>
      <c r="CK815" s="16"/>
      <c r="CL815" s="16"/>
      <c r="CM815" s="16"/>
      <c r="CN815" s="16"/>
      <c r="CO815" s="16"/>
      <c r="CP815" s="16" t="s">
        <v>123</v>
      </c>
      <c r="CQ815" s="16">
        <v>0</v>
      </c>
      <c r="CR815" s="16">
        <v>0</v>
      </c>
      <c r="CS815" s="18">
        <f>IF(CT815&gt;0,1,0)</f>
        <v>0</v>
      </c>
      <c r="CT815" s="25">
        <f>SUM(CW815,CZ815,DC815)</f>
        <v>0</v>
      </c>
      <c r="CU815" s="25"/>
      <c r="CV815" s="16">
        <v>0</v>
      </c>
      <c r="CW815" s="25">
        <v>0</v>
      </c>
      <c r="CX815" s="16">
        <v>0</v>
      </c>
      <c r="CY815" s="16">
        <v>0</v>
      </c>
      <c r="CZ815" s="18">
        <v>0</v>
      </c>
      <c r="DA815" s="16">
        <v>0</v>
      </c>
      <c r="DB815" s="16">
        <v>0</v>
      </c>
      <c r="DC815" s="18">
        <v>0</v>
      </c>
      <c r="DD815" s="16">
        <v>0</v>
      </c>
      <c r="DE815" s="16">
        <v>0</v>
      </c>
      <c r="DF815" s="16" t="e">
        <f>VLOOKUP(K815,'[3]RNA Seq summary tables'!$V$3:$V$99,1,FALSE)</f>
        <v>#N/A</v>
      </c>
      <c r="DG815" s="16"/>
      <c r="DH815" s="16"/>
      <c r="DI815" s="16"/>
      <c r="DJ815" s="16"/>
      <c r="DK815" s="16"/>
      <c r="DL815" s="16"/>
      <c r="DM815" s="16"/>
      <c r="DN815" s="16"/>
      <c r="DO815" s="16"/>
      <c r="DP815" s="16"/>
      <c r="DQ815" s="16"/>
      <c r="DR815" s="16"/>
      <c r="DS815" s="16"/>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18"/>
      <c r="EQ815" s="18"/>
      <c r="ER815" s="18"/>
      <c r="ES815" s="18"/>
      <c r="ET815" s="18"/>
      <c r="EU815" s="18"/>
      <c r="EV815" s="18"/>
      <c r="EW815" s="18"/>
      <c r="EX815" s="18"/>
      <c r="EY815" s="18"/>
      <c r="EZ815" s="18"/>
      <c r="FA815" s="18"/>
      <c r="FB815" s="18"/>
      <c r="FC815" s="18"/>
      <c r="FD815" s="18"/>
      <c r="FE815" s="18"/>
      <c r="FF815" s="18"/>
      <c r="FG815" s="18"/>
      <c r="FH815" s="18"/>
      <c r="FI815" s="18"/>
      <c r="FJ815" s="18"/>
      <c r="FK815" s="18"/>
      <c r="FL815" s="18"/>
      <c r="FM815" s="18"/>
      <c r="FN815" s="18"/>
      <c r="FO815" s="18"/>
      <c r="FP815" s="18"/>
      <c r="FQ815" s="18"/>
      <c r="FR815" s="18"/>
      <c r="FS815" s="18"/>
      <c r="FT815" s="18"/>
      <c r="FU815" s="18"/>
      <c r="FV815" s="18"/>
      <c r="FW815" s="18"/>
      <c r="FX815" s="18"/>
      <c r="FY815" s="18"/>
      <c r="FZ815" s="18"/>
      <c r="GA815" s="18"/>
      <c r="GB815" s="18"/>
      <c r="GC815" s="18"/>
      <c r="GD815" s="18"/>
      <c r="GE815" s="18"/>
      <c r="GF815" s="18"/>
      <c r="GG815" s="18"/>
      <c r="GH815" s="18"/>
      <c r="GI815" s="18"/>
      <c r="GJ815" s="18"/>
      <c r="GK815" s="18"/>
      <c r="GL815" s="18"/>
      <c r="GM815" s="18"/>
      <c r="GN815" s="18"/>
      <c r="GO815" s="18"/>
      <c r="GP815" s="18"/>
      <c r="GQ815" s="18"/>
      <c r="GR815" s="18"/>
      <c r="GS815" s="18"/>
      <c r="GT815" s="18"/>
      <c r="GU815" s="18"/>
      <c r="GV815" s="18"/>
      <c r="GW815" s="18"/>
      <c r="GX815" s="18"/>
      <c r="GY815" s="18"/>
      <c r="GZ815" s="18"/>
      <c r="HA815" s="18"/>
      <c r="HB815" s="18"/>
      <c r="HC815" s="18"/>
      <c r="HD815" s="18"/>
      <c r="HE815" s="18"/>
      <c r="HF815" s="18"/>
      <c r="HG815" s="18"/>
      <c r="HH815" s="18"/>
      <c r="HI815" s="18"/>
      <c r="HJ815" s="18"/>
      <c r="HK815" s="18"/>
      <c r="HL815" s="18"/>
      <c r="HM815" s="18"/>
      <c r="HN815" s="18"/>
      <c r="HO815" s="18"/>
      <c r="HP815" s="18"/>
      <c r="HQ815" s="18"/>
      <c r="HR815" s="18"/>
      <c r="HS815" s="18"/>
      <c r="HT815" s="18"/>
      <c r="HU815" s="18"/>
      <c r="HV815" s="18"/>
      <c r="HW815" s="18"/>
      <c r="HX815" s="18"/>
      <c r="HY815" s="18"/>
      <c r="HZ815" s="18"/>
      <c r="IA815" s="18"/>
      <c r="IB815" s="18"/>
      <c r="IC815" s="18"/>
      <c r="ID815" s="18"/>
      <c r="IE815" s="18"/>
      <c r="IF815" s="18"/>
      <c r="IG815" s="18"/>
      <c r="IH815" s="18"/>
      <c r="II815" s="18"/>
      <c r="IJ815" s="18"/>
      <c r="IK815" s="18"/>
      <c r="IL815" s="18"/>
      <c r="IM815" s="18"/>
      <c r="IN815" s="18"/>
      <c r="IO815" s="18"/>
      <c r="IP815" s="18"/>
      <c r="IQ815" s="18"/>
      <c r="IR815" s="18"/>
      <c r="IS815" s="18"/>
      <c r="IT815" s="18"/>
      <c r="IU815" s="18"/>
      <c r="IV815" s="18"/>
      <c r="IW815" s="18"/>
      <c r="IX815" s="18"/>
      <c r="IY815" s="18"/>
      <c r="IZ815" s="18"/>
      <c r="JA815" s="18"/>
      <c r="JB815" s="18"/>
      <c r="JC815" s="18"/>
      <c r="JD815" s="18"/>
      <c r="JE815" s="18"/>
      <c r="JF815" s="18"/>
      <c r="JG815" s="18"/>
      <c r="JH815" s="18"/>
      <c r="JI815" s="18"/>
      <c r="JJ815" s="18"/>
      <c r="JK815" s="18"/>
      <c r="JL815" s="18"/>
      <c r="JM815" s="18"/>
      <c r="JN815" s="18"/>
      <c r="JO815" s="16"/>
      <c r="JP815" s="16"/>
      <c r="JQ815" s="16"/>
      <c r="JR815" s="16"/>
      <c r="JS815" s="16"/>
      <c r="JT815" s="16"/>
      <c r="JU815" s="16"/>
      <c r="JV815" s="16"/>
      <c r="JW815" s="16"/>
      <c r="JX815" s="16"/>
      <c r="JY815" s="16"/>
      <c r="JZ815" s="16"/>
      <c r="KA815" s="16"/>
      <c r="KB815" s="16"/>
    </row>
    <row r="816" spans="1:288" s="38" customFormat="1" x14ac:dyDescent="0.2">
      <c r="A816" s="18"/>
      <c r="B816" s="16">
        <v>2016</v>
      </c>
      <c r="C816" s="20">
        <v>42546</v>
      </c>
      <c r="D816" s="20" t="str">
        <f>CONCATENATE(J816,"-",C816)</f>
        <v>984-42546</v>
      </c>
      <c r="E816" s="20" t="str">
        <f>CONCATENATE(T816,"-",U816,"-",C816)</f>
        <v>PO2-G7-42546</v>
      </c>
      <c r="F816" s="20" t="s">
        <v>106</v>
      </c>
      <c r="G816" s="20" t="s">
        <v>107</v>
      </c>
      <c r="H816" s="16"/>
      <c r="I816" s="16">
        <v>0</v>
      </c>
      <c r="J816" s="21">
        <v>984</v>
      </c>
      <c r="K816" s="21">
        <v>1423</v>
      </c>
      <c r="L816" s="18">
        <v>0</v>
      </c>
      <c r="M816" s="15">
        <f>VLOOKUP(K816,'[7]MLBS 2016 SNV-nem Coinfection d'!$C$1:$G$238,4,FALSE)</f>
        <v>0</v>
      </c>
      <c r="N816" s="15">
        <v>0</v>
      </c>
      <c r="O816" s="15" t="s">
        <v>214</v>
      </c>
      <c r="P816" s="16" t="s">
        <v>110</v>
      </c>
      <c r="Q816" s="16">
        <v>0</v>
      </c>
      <c r="R816" s="16" t="s">
        <v>111</v>
      </c>
      <c r="S816" s="16"/>
      <c r="T816" s="16" t="s">
        <v>127</v>
      </c>
      <c r="U816" s="16" t="s">
        <v>156</v>
      </c>
      <c r="V816" s="16" t="s">
        <v>114</v>
      </c>
      <c r="W816" s="16">
        <f>AI816/AG816</f>
        <v>0.79012345679012341</v>
      </c>
      <c r="X816" s="16" t="s">
        <v>115</v>
      </c>
      <c r="Y816" s="16" t="s">
        <v>110</v>
      </c>
      <c r="Z816" s="16">
        <v>3</v>
      </c>
      <c r="AA816" s="16"/>
      <c r="AB816" s="16"/>
      <c r="AC816" s="16"/>
      <c r="AD816" s="16"/>
      <c r="AE816" s="16" t="s">
        <v>123</v>
      </c>
      <c r="AF816" s="16" t="s">
        <v>123</v>
      </c>
      <c r="AG816" s="16">
        <f>AH816-AI816</f>
        <v>81</v>
      </c>
      <c r="AH816" s="16">
        <v>145</v>
      </c>
      <c r="AI816" s="16">
        <v>64</v>
      </c>
      <c r="AJ816" s="16"/>
      <c r="AK816" s="16">
        <v>15.5</v>
      </c>
      <c r="AL816" s="16">
        <v>0</v>
      </c>
      <c r="AM816" s="16">
        <v>0</v>
      </c>
      <c r="AN816" s="16">
        <v>0</v>
      </c>
      <c r="AO816" s="16">
        <f>IF(SUM(AL816:AN816)&gt;0,1,0)</f>
        <v>0</v>
      </c>
      <c r="AP816" s="16">
        <f>SUM(AL816:AN816)</f>
        <v>0</v>
      </c>
      <c r="AQ816" s="16"/>
      <c r="AR816" s="16">
        <v>0.249</v>
      </c>
      <c r="AS816" s="16">
        <v>0.249</v>
      </c>
      <c r="AT816" s="18" t="s">
        <v>117</v>
      </c>
      <c r="AU816" s="18"/>
      <c r="AV816" s="16"/>
      <c r="AW816" s="24">
        <v>1</v>
      </c>
      <c r="AX816" s="18"/>
      <c r="AY816" s="18">
        <f>(16+310)/0.249</f>
        <v>1309.2369477911648</v>
      </c>
      <c r="AZ816" s="18">
        <v>1</v>
      </c>
      <c r="BA816" s="18">
        <v>2</v>
      </c>
      <c r="BB816" s="18">
        <f>(16+310)/0.249</f>
        <v>1309.2369477911648</v>
      </c>
      <c r="BC816" s="18">
        <v>1</v>
      </c>
      <c r="BD816" s="18">
        <v>16</v>
      </c>
      <c r="BE816" s="18">
        <f>16/0.249</f>
        <v>64.257028112449802</v>
      </c>
      <c r="BF816" s="18">
        <v>1</v>
      </c>
      <c r="BG816" s="77">
        <v>310</v>
      </c>
      <c r="BH816" s="16">
        <f>310/0.249</f>
        <v>1244.9799196787149</v>
      </c>
      <c r="BI816" s="18">
        <v>0</v>
      </c>
      <c r="BJ816" s="16">
        <v>0</v>
      </c>
      <c r="BK816" s="16">
        <v>0</v>
      </c>
      <c r="BL816" s="16">
        <f>IF(BM816&gt;0,1,0)</f>
        <v>0</v>
      </c>
      <c r="BM816" s="16">
        <f>SUM(BR816,BU816,BX816,CA816,CD816,CG816,CJ816,CM816,CP816)</f>
        <v>0</v>
      </c>
      <c r="BN816" s="18">
        <f>SUM(BW816,BZ816,CC816,CF816,CI816,CL816,CO816,CR816,BT816)</f>
        <v>0</v>
      </c>
      <c r="BO816" s="18">
        <f>IF(BP816&gt;0,1,0)</f>
        <v>0</v>
      </c>
      <c r="BP816" s="18">
        <f>SUM(BU816,BX816,CA816,CD816,BR816)</f>
        <v>0</v>
      </c>
      <c r="BQ816" s="18">
        <f>SUM(BZ816,CC816,CF816,BT816,BW816)</f>
        <v>0</v>
      </c>
      <c r="BR816" s="18">
        <v>0</v>
      </c>
      <c r="BS816" s="18">
        <v>0</v>
      </c>
      <c r="BT816" s="78">
        <f>BS816/AS816</f>
        <v>0</v>
      </c>
      <c r="BU816" s="18">
        <v>0</v>
      </c>
      <c r="BV816" s="18">
        <v>0</v>
      </c>
      <c r="BW816" s="18">
        <f>BV816/AS816</f>
        <v>0</v>
      </c>
      <c r="BX816" s="18">
        <v>0</v>
      </c>
      <c r="BY816" s="18">
        <v>0</v>
      </c>
      <c r="BZ816" s="18">
        <f>BY816/AS816</f>
        <v>0</v>
      </c>
      <c r="CA816" s="24">
        <v>0</v>
      </c>
      <c r="CB816" s="18">
        <v>0</v>
      </c>
      <c r="CC816" s="18">
        <v>0</v>
      </c>
      <c r="CD816" s="78">
        <v>0</v>
      </c>
      <c r="CE816" s="18">
        <v>0</v>
      </c>
      <c r="CF816" s="18">
        <v>0</v>
      </c>
      <c r="CG816" s="18"/>
      <c r="CH816" s="18"/>
      <c r="CI816" s="18"/>
      <c r="CJ816" s="18"/>
      <c r="CK816" s="18"/>
      <c r="CL816" s="18"/>
      <c r="CM816" s="18"/>
      <c r="CN816" s="18"/>
      <c r="CO816" s="18"/>
      <c r="CP816" s="18" t="s">
        <v>123</v>
      </c>
      <c r="CQ816" s="18">
        <v>0</v>
      </c>
      <c r="CR816" s="18">
        <v>0</v>
      </c>
      <c r="CS816" s="18">
        <f>IF(CT816&gt;0,1,0)</f>
        <v>0</v>
      </c>
      <c r="CT816" s="25">
        <f>SUM(CW816,CZ816,DC816)</f>
        <v>0</v>
      </c>
      <c r="CU816" s="25"/>
      <c r="CV816" s="18">
        <v>0</v>
      </c>
      <c r="CW816" s="25">
        <v>0</v>
      </c>
      <c r="CX816" s="18">
        <v>0</v>
      </c>
      <c r="CY816" s="18">
        <v>0</v>
      </c>
      <c r="CZ816" s="18">
        <v>0</v>
      </c>
      <c r="DA816" s="18">
        <v>0</v>
      </c>
      <c r="DB816" s="18">
        <v>0</v>
      </c>
      <c r="DC816" s="18">
        <v>0</v>
      </c>
      <c r="DD816" s="18">
        <v>0</v>
      </c>
      <c r="DE816" s="18">
        <v>0</v>
      </c>
      <c r="DF816" s="16" t="e">
        <f>VLOOKUP(K816,'[3]RNA Seq summary tables'!$V$3:$V$99,1,FALSE)</f>
        <v>#N/A</v>
      </c>
      <c r="DG816" s="16"/>
      <c r="DH816" s="16"/>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18"/>
      <c r="EQ816" s="18"/>
      <c r="ER816" s="18"/>
      <c r="ES816" s="18"/>
      <c r="ET816" s="18"/>
      <c r="EU816" s="18"/>
      <c r="EV816" s="18"/>
      <c r="EW816" s="18"/>
      <c r="EX816" s="18"/>
      <c r="EY816" s="18"/>
      <c r="EZ816" s="18"/>
      <c r="FA816" s="18"/>
      <c r="FB816" s="18"/>
      <c r="FC816" s="18"/>
      <c r="FD816" s="18"/>
      <c r="FE816" s="18"/>
      <c r="FF816" s="18"/>
      <c r="FG816" s="18"/>
      <c r="FH816" s="18"/>
      <c r="FI816" s="18"/>
      <c r="FJ816" s="18"/>
      <c r="FK816" s="18"/>
      <c r="FL816" s="18"/>
      <c r="FM816" s="18"/>
      <c r="FN816" s="18"/>
      <c r="FO816" s="18"/>
      <c r="FP816" s="18"/>
      <c r="FQ816" s="18"/>
      <c r="FR816" s="18"/>
      <c r="FS816" s="18"/>
      <c r="FT816" s="18"/>
      <c r="FU816" s="18"/>
      <c r="FV816" s="18"/>
      <c r="FW816" s="18"/>
      <c r="FX816" s="18"/>
      <c r="FY816" s="18"/>
      <c r="FZ816" s="18"/>
      <c r="GA816" s="18"/>
      <c r="GB816" s="18"/>
      <c r="GC816" s="18"/>
      <c r="GD816" s="18"/>
      <c r="GE816" s="18"/>
      <c r="GF816" s="18"/>
      <c r="GG816" s="18"/>
      <c r="GH816" s="18"/>
      <c r="GI816" s="18"/>
      <c r="GJ816" s="18"/>
      <c r="GK816" s="18"/>
      <c r="GL816" s="18"/>
      <c r="GM816" s="18"/>
      <c r="GN816" s="18"/>
      <c r="GO816" s="18"/>
      <c r="GP816" s="18"/>
      <c r="GQ816" s="18"/>
      <c r="GR816" s="18"/>
      <c r="GS816" s="18"/>
      <c r="GT816" s="18"/>
      <c r="GU816" s="18"/>
      <c r="GV816" s="18"/>
      <c r="GW816" s="18"/>
      <c r="GX816" s="18"/>
      <c r="GY816" s="18"/>
      <c r="GZ816" s="18"/>
      <c r="HA816" s="18"/>
      <c r="HB816" s="18"/>
      <c r="HC816" s="18"/>
      <c r="HD816" s="18"/>
      <c r="HE816" s="18"/>
      <c r="HF816" s="18"/>
      <c r="HG816" s="18"/>
      <c r="HH816" s="18"/>
      <c r="HI816" s="18"/>
      <c r="HJ816" s="18"/>
      <c r="HK816" s="18"/>
      <c r="HL816" s="18"/>
      <c r="HM816" s="18"/>
      <c r="HN816" s="18"/>
      <c r="HO816" s="18"/>
      <c r="HP816" s="18"/>
      <c r="HQ816" s="18"/>
      <c r="HR816" s="18"/>
      <c r="HS816" s="18"/>
      <c r="HT816" s="18"/>
      <c r="HU816" s="18"/>
      <c r="HV816" s="18"/>
      <c r="HW816" s="18"/>
      <c r="HX816" s="18"/>
      <c r="HY816" s="18"/>
      <c r="HZ816" s="18"/>
      <c r="IA816" s="18"/>
      <c r="IB816" s="18"/>
      <c r="IC816" s="18"/>
      <c r="ID816" s="18"/>
      <c r="IE816" s="18"/>
      <c r="IF816" s="18"/>
      <c r="IG816" s="18"/>
      <c r="IH816" s="18"/>
      <c r="II816" s="18"/>
      <c r="IJ816" s="18"/>
      <c r="IK816" s="18"/>
      <c r="IL816" s="18"/>
      <c r="IM816" s="18"/>
      <c r="IN816" s="18"/>
      <c r="IO816" s="18"/>
      <c r="IP816" s="18"/>
      <c r="IQ816" s="18"/>
      <c r="IR816" s="18"/>
      <c r="IS816" s="18"/>
      <c r="IT816" s="18"/>
      <c r="IU816" s="18"/>
      <c r="IV816" s="18"/>
      <c r="IW816" s="18"/>
      <c r="IX816" s="18"/>
      <c r="IY816" s="18"/>
      <c r="IZ816" s="18"/>
      <c r="JA816" s="18"/>
      <c r="JB816" s="18"/>
      <c r="JC816" s="18"/>
      <c r="JD816" s="18"/>
      <c r="JE816" s="18"/>
      <c r="JF816" s="18"/>
      <c r="JG816" s="18"/>
      <c r="JH816" s="18"/>
      <c r="JI816" s="18"/>
      <c r="JJ816" s="18"/>
      <c r="JK816" s="18"/>
      <c r="JL816" s="18"/>
      <c r="JM816" s="18"/>
      <c r="JN816" s="18"/>
      <c r="JO816" s="16"/>
      <c r="JP816" s="16"/>
      <c r="JQ816" s="16"/>
      <c r="JR816" s="16"/>
      <c r="JS816" s="16"/>
      <c r="JT816" s="16"/>
      <c r="JU816" s="16"/>
      <c r="JV816" s="16"/>
      <c r="JW816" s="16"/>
      <c r="JX816" s="16"/>
      <c r="JY816" s="16"/>
      <c r="JZ816" s="16"/>
      <c r="KA816" s="16"/>
      <c r="KB816" s="16"/>
    </row>
    <row r="817" spans="1:288" s="38" customFormat="1" x14ac:dyDescent="0.2">
      <c r="A817" s="18"/>
      <c r="B817" s="16">
        <v>2016</v>
      </c>
      <c r="C817" s="20">
        <v>42559</v>
      </c>
      <c r="D817" s="20" t="str">
        <f>CONCATENATE(J817,"-",C817)</f>
        <v>984-42559</v>
      </c>
      <c r="E817" s="20" t="str">
        <f>CONCATENATE(T817,"-",U817,"-",C817)</f>
        <v>PO2-F8-42559</v>
      </c>
      <c r="F817" s="20" t="s">
        <v>106</v>
      </c>
      <c r="G817" s="20" t="s">
        <v>107</v>
      </c>
      <c r="H817" s="16"/>
      <c r="I817" s="16">
        <v>0</v>
      </c>
      <c r="J817" s="21">
        <v>984</v>
      </c>
      <c r="K817" s="21">
        <v>1469</v>
      </c>
      <c r="L817" s="18">
        <v>0</v>
      </c>
      <c r="M817" s="15">
        <f>VLOOKUP(K817,'[7]MLBS 2016 SNV-nem Coinfection d'!$C$1:$G$238,4,FALSE)</f>
        <v>0</v>
      </c>
      <c r="N817" s="15">
        <v>0</v>
      </c>
      <c r="O817" s="15" t="s">
        <v>214</v>
      </c>
      <c r="P817" s="16" t="s">
        <v>110</v>
      </c>
      <c r="Q817" s="16">
        <v>1</v>
      </c>
      <c r="R817" s="16">
        <v>13</v>
      </c>
      <c r="S817" s="16"/>
      <c r="T817" s="16" t="s">
        <v>127</v>
      </c>
      <c r="U817" s="16" t="s">
        <v>138</v>
      </c>
      <c r="V817" s="16" t="s">
        <v>114</v>
      </c>
      <c r="W817" s="16">
        <f>AI817/AG817</f>
        <v>0.8</v>
      </c>
      <c r="X817" s="16" t="s">
        <v>115</v>
      </c>
      <c r="Y817" s="16" t="s">
        <v>110</v>
      </c>
      <c r="Z817" s="16">
        <v>4</v>
      </c>
      <c r="AA817" s="16"/>
      <c r="AB817" s="16"/>
      <c r="AC817" s="16"/>
      <c r="AD817" s="16"/>
      <c r="AE817" s="16" t="s">
        <v>116</v>
      </c>
      <c r="AF817" s="16" t="s">
        <v>116</v>
      </c>
      <c r="AG817" s="16">
        <f>AH817-AI817</f>
        <v>85</v>
      </c>
      <c r="AH817" s="16">
        <v>153</v>
      </c>
      <c r="AI817" s="16">
        <v>68</v>
      </c>
      <c r="AJ817" s="16"/>
      <c r="AK817" s="16">
        <v>19</v>
      </c>
      <c r="AL817" s="16">
        <v>1</v>
      </c>
      <c r="AM817" s="16">
        <v>0</v>
      </c>
      <c r="AN817" s="16">
        <v>0</v>
      </c>
      <c r="AO817" s="16">
        <f>IF(SUM(AL817:AN817)&gt;0,1,0)</f>
        <v>1</v>
      </c>
      <c r="AP817" s="16">
        <f>SUM(AL817:AN817)</f>
        <v>1</v>
      </c>
      <c r="AQ817" s="16"/>
      <c r="AR817" s="16">
        <v>0.27</v>
      </c>
      <c r="AS817" s="16">
        <v>0.27</v>
      </c>
      <c r="AT817" s="18" t="s">
        <v>117</v>
      </c>
      <c r="AU817" s="18"/>
      <c r="AV817" s="16"/>
      <c r="AW817" s="22">
        <v>1</v>
      </c>
      <c r="AX817" s="16">
        <v>2</v>
      </c>
      <c r="AY817" s="16">
        <f>10/0.27</f>
        <v>37.037037037037038</v>
      </c>
      <c r="AZ817" s="18">
        <v>1</v>
      </c>
      <c r="BA817" s="16">
        <v>2</v>
      </c>
      <c r="BB817" s="16">
        <v>37.037037037037038</v>
      </c>
      <c r="BC817" s="16">
        <v>1</v>
      </c>
      <c r="BD817" s="16">
        <v>2</v>
      </c>
      <c r="BE817" s="16">
        <f>2/0.27</f>
        <v>7.4074074074074066</v>
      </c>
      <c r="BF817" s="18">
        <v>1</v>
      </c>
      <c r="BG817" s="77">
        <v>8</v>
      </c>
      <c r="BH817" s="16">
        <f>8/0.27</f>
        <v>29.629629629629626</v>
      </c>
      <c r="BI817" s="18">
        <v>0</v>
      </c>
      <c r="BJ817" s="16">
        <v>0</v>
      </c>
      <c r="BK817" s="16">
        <v>0</v>
      </c>
      <c r="BL817" s="16">
        <f>IF(BM817&gt;0,1,0)</f>
        <v>0</v>
      </c>
      <c r="BM817" s="16">
        <f>SUM(BR817,BU817,BX817,CA817,CD817,CG817,CJ817,CM817,CP817)</f>
        <v>0</v>
      </c>
      <c r="BN817" s="16">
        <f>SUM(BW817,BZ817,CC817,CF817,CI817,CL817,CO817,CR817,BT817)</f>
        <v>0</v>
      </c>
      <c r="BO817" s="16">
        <f>IF(BP817&gt;0,1,0)</f>
        <v>0</v>
      </c>
      <c r="BP817" s="16">
        <f>SUM(BU817,BX817,CA817,CD817,BR817)</f>
        <v>0</v>
      </c>
      <c r="BQ817" s="16">
        <f>SUM(BZ817,CC817,CF817,BT817,BW817)</f>
        <v>0</v>
      </c>
      <c r="BR817" s="18">
        <v>0</v>
      </c>
      <c r="BS817" s="16">
        <v>0</v>
      </c>
      <c r="BT817" s="77">
        <f>BS817/AS817</f>
        <v>0</v>
      </c>
      <c r="BU817" s="18">
        <v>0</v>
      </c>
      <c r="BV817" s="16">
        <v>0</v>
      </c>
      <c r="BW817" s="18">
        <f>BV817/AS817</f>
        <v>0</v>
      </c>
      <c r="BX817" s="18">
        <v>0</v>
      </c>
      <c r="BY817" s="16">
        <v>0</v>
      </c>
      <c r="BZ817" s="16">
        <f>BY817/AS817</f>
        <v>0</v>
      </c>
      <c r="CA817" s="24">
        <v>0</v>
      </c>
      <c r="CB817" s="16">
        <v>0</v>
      </c>
      <c r="CC817" s="16">
        <v>0</v>
      </c>
      <c r="CD817" s="78">
        <v>0</v>
      </c>
      <c r="CE817" s="16">
        <v>0</v>
      </c>
      <c r="CF817" s="16">
        <v>0</v>
      </c>
      <c r="CG817" s="16"/>
      <c r="CH817" s="16"/>
      <c r="CI817" s="16"/>
      <c r="CJ817" s="16"/>
      <c r="CK817" s="16"/>
      <c r="CL817" s="16"/>
      <c r="CM817" s="16"/>
      <c r="CN817" s="16"/>
      <c r="CO817" s="16"/>
      <c r="CP817" s="16" t="s">
        <v>123</v>
      </c>
      <c r="CQ817" s="16">
        <v>0</v>
      </c>
      <c r="CR817" s="16">
        <v>0</v>
      </c>
      <c r="CS817" s="18">
        <f>IF(CT817&gt;0,1,0)</f>
        <v>0</v>
      </c>
      <c r="CT817" s="25">
        <f>SUM(CW817,CZ817,DC817)</f>
        <v>0</v>
      </c>
      <c r="CU817" s="25"/>
      <c r="CV817" s="16">
        <v>0</v>
      </c>
      <c r="CW817" s="25">
        <v>0</v>
      </c>
      <c r="CX817" s="16">
        <v>0</v>
      </c>
      <c r="CY817" s="16">
        <v>0</v>
      </c>
      <c r="CZ817" s="18">
        <v>0</v>
      </c>
      <c r="DA817" s="16">
        <v>0</v>
      </c>
      <c r="DB817" s="16">
        <v>0</v>
      </c>
      <c r="DC817" s="18">
        <v>0</v>
      </c>
      <c r="DD817" s="16">
        <v>0</v>
      </c>
      <c r="DE817" s="16">
        <v>0</v>
      </c>
      <c r="DF817" s="16" t="e">
        <f>VLOOKUP(K817,'[3]RNA Seq summary tables'!$V$3:$V$99,1,FALSE)</f>
        <v>#N/A</v>
      </c>
      <c r="DG817" s="16"/>
      <c r="DH817" s="16"/>
      <c r="DI817" s="16"/>
      <c r="DJ817" s="16"/>
      <c r="DK817" s="16"/>
      <c r="DL817" s="16"/>
      <c r="DM817" s="16"/>
      <c r="DN817" s="16"/>
      <c r="DO817" s="16"/>
      <c r="DP817" s="16"/>
      <c r="DQ817" s="16"/>
      <c r="DR817" s="16"/>
      <c r="DS817" s="16"/>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18"/>
      <c r="EQ817" s="18"/>
      <c r="ER817" s="18"/>
      <c r="ES817" s="18"/>
      <c r="ET817" s="18"/>
      <c r="EU817" s="18"/>
      <c r="EV817" s="18"/>
      <c r="EW817" s="18"/>
      <c r="EX817" s="18"/>
      <c r="EY817" s="18"/>
      <c r="EZ817" s="18"/>
      <c r="FA817" s="18"/>
      <c r="FB817" s="18"/>
      <c r="FC817" s="18"/>
      <c r="FD817" s="18"/>
      <c r="FE817" s="18"/>
      <c r="FF817" s="18"/>
      <c r="FG817" s="18"/>
      <c r="FH817" s="18"/>
      <c r="FI817" s="18"/>
      <c r="FJ817" s="18"/>
      <c r="FK817" s="18"/>
      <c r="FL817" s="18"/>
      <c r="FM817" s="18"/>
      <c r="FN817" s="18"/>
      <c r="FO817" s="18"/>
      <c r="FP817" s="18"/>
      <c r="FQ817" s="18"/>
      <c r="FR817" s="18"/>
      <c r="FS817" s="18"/>
      <c r="FT817" s="18"/>
      <c r="FU817" s="18"/>
      <c r="FV817" s="18"/>
      <c r="FW817" s="18"/>
      <c r="FX817" s="18"/>
      <c r="FY817" s="18"/>
      <c r="FZ817" s="18"/>
      <c r="GA817" s="18"/>
      <c r="GB817" s="18"/>
      <c r="GC817" s="18"/>
      <c r="GD817" s="18"/>
      <c r="GE817" s="18"/>
      <c r="GF817" s="18"/>
      <c r="GG817" s="18"/>
      <c r="GH817" s="18"/>
      <c r="GI817" s="18"/>
      <c r="GJ817" s="18"/>
      <c r="GK817" s="18"/>
      <c r="GL817" s="18"/>
      <c r="GM817" s="18"/>
      <c r="GN817" s="18"/>
      <c r="GO817" s="18"/>
      <c r="GP817" s="18"/>
      <c r="GQ817" s="18"/>
      <c r="GR817" s="18"/>
      <c r="GS817" s="18"/>
      <c r="GT817" s="18"/>
      <c r="GU817" s="18"/>
      <c r="GV817" s="18"/>
      <c r="GW817" s="18"/>
      <c r="GX817" s="18"/>
      <c r="GY817" s="18"/>
      <c r="GZ817" s="18"/>
      <c r="HA817" s="18"/>
      <c r="HB817" s="18"/>
      <c r="HC817" s="18"/>
      <c r="HD817" s="18"/>
      <c r="HE817" s="18"/>
      <c r="HF817" s="18"/>
      <c r="HG817" s="18"/>
      <c r="HH817" s="18"/>
      <c r="HI817" s="18"/>
      <c r="HJ817" s="18"/>
      <c r="HK817" s="18"/>
      <c r="HL817" s="18"/>
      <c r="HM817" s="18"/>
      <c r="HN817" s="18"/>
      <c r="HO817" s="18"/>
      <c r="HP817" s="18"/>
      <c r="HQ817" s="18"/>
      <c r="HR817" s="18"/>
      <c r="HS817" s="18"/>
      <c r="HT817" s="18"/>
      <c r="HU817" s="18"/>
      <c r="HV817" s="18"/>
      <c r="HW817" s="18"/>
      <c r="HX817" s="18"/>
      <c r="HY817" s="18"/>
      <c r="HZ817" s="18"/>
      <c r="IA817" s="18"/>
      <c r="IB817" s="18"/>
      <c r="IC817" s="18"/>
      <c r="ID817" s="18"/>
      <c r="IE817" s="18"/>
      <c r="IF817" s="18"/>
      <c r="IG817" s="18"/>
      <c r="IH817" s="18"/>
      <c r="II817" s="18"/>
      <c r="IJ817" s="18"/>
      <c r="IK817" s="18"/>
      <c r="IL817" s="18"/>
      <c r="IM817" s="18"/>
      <c r="IN817" s="18"/>
      <c r="IO817" s="18"/>
      <c r="IP817" s="18"/>
      <c r="IQ817" s="18"/>
      <c r="IR817" s="18"/>
      <c r="IS817" s="18"/>
      <c r="IT817" s="18"/>
      <c r="IU817" s="18"/>
      <c r="IV817" s="18"/>
      <c r="IW817" s="18"/>
      <c r="IX817" s="18"/>
      <c r="IY817" s="18"/>
      <c r="IZ817" s="18"/>
      <c r="JA817" s="18"/>
      <c r="JB817" s="18"/>
      <c r="JC817" s="18"/>
      <c r="JD817" s="18"/>
      <c r="JE817" s="18"/>
      <c r="JF817" s="18"/>
      <c r="JG817" s="18"/>
      <c r="JH817" s="18"/>
      <c r="JI817" s="18"/>
      <c r="JJ817" s="18"/>
      <c r="JK817" s="18"/>
      <c r="JL817" s="18"/>
      <c r="JM817" s="18"/>
      <c r="JN817" s="18"/>
      <c r="JO817" s="16"/>
      <c r="JP817" s="16"/>
      <c r="JQ817" s="16"/>
      <c r="JR817" s="16"/>
      <c r="JS817" s="16"/>
      <c r="JT817" s="16"/>
      <c r="JU817" s="16"/>
      <c r="JV817" s="16"/>
      <c r="JW817" s="16"/>
      <c r="JX817" s="16"/>
      <c r="JY817" s="16"/>
      <c r="JZ817" s="16"/>
      <c r="KA817" s="16"/>
      <c r="KB817" s="16"/>
    </row>
    <row r="818" spans="1:288" s="38" customFormat="1" x14ac:dyDescent="0.2">
      <c r="A818" s="18"/>
      <c r="B818" s="16">
        <v>2016</v>
      </c>
      <c r="C818" s="65">
        <v>42573</v>
      </c>
      <c r="D818" s="65" t="str">
        <f>CONCATENATE(J818,"-",C818)</f>
        <v>984-42573</v>
      </c>
      <c r="E818" s="20" t="str">
        <f>CONCATENATE(T818,"-",U818,"-",C818)</f>
        <v>PO2-H4-42573</v>
      </c>
      <c r="F818" s="20" t="s">
        <v>106</v>
      </c>
      <c r="G818" s="43" t="s">
        <v>107</v>
      </c>
      <c r="H818" s="25"/>
      <c r="I818" s="16">
        <v>0</v>
      </c>
      <c r="J818" s="42">
        <v>984</v>
      </c>
      <c r="K818" s="42">
        <v>1503</v>
      </c>
      <c r="L818" s="18">
        <v>0</v>
      </c>
      <c r="M818" s="15">
        <f>VLOOKUP(K818,'[7]MLBS 2016 SNV-nem Coinfection d'!$C$1:$G$238,4,FALSE)</f>
        <v>0</v>
      </c>
      <c r="N818" s="15">
        <v>0</v>
      </c>
      <c r="O818" s="15" t="s">
        <v>214</v>
      </c>
      <c r="P818" s="25" t="s">
        <v>110</v>
      </c>
      <c r="Q818" s="16">
        <v>1</v>
      </c>
      <c r="R818" s="25">
        <v>14</v>
      </c>
      <c r="S818" s="25"/>
      <c r="T818" s="25" t="s">
        <v>127</v>
      </c>
      <c r="U818" s="25" t="s">
        <v>151</v>
      </c>
      <c r="V818" s="25" t="s">
        <v>114</v>
      </c>
      <c r="W818" s="16">
        <f>AI818/AG818</f>
        <v>0.87804878048780488</v>
      </c>
      <c r="X818" s="25" t="s">
        <v>115</v>
      </c>
      <c r="Y818" s="25" t="s">
        <v>110</v>
      </c>
      <c r="Z818" s="25">
        <v>3</v>
      </c>
      <c r="AA818" s="25"/>
      <c r="AB818" s="25"/>
      <c r="AC818" s="25"/>
      <c r="AD818" s="25"/>
      <c r="AE818" s="25" t="s">
        <v>116</v>
      </c>
      <c r="AF818" s="25" t="s">
        <v>116</v>
      </c>
      <c r="AG818" s="25">
        <f>AH818-AI818</f>
        <v>82</v>
      </c>
      <c r="AH818" s="25">
        <v>154</v>
      </c>
      <c r="AI818" s="25">
        <v>72</v>
      </c>
      <c r="AJ818" s="25"/>
      <c r="AK818" s="25">
        <v>17.5</v>
      </c>
      <c r="AL818" s="23">
        <v>1</v>
      </c>
      <c r="AM818" s="23">
        <v>0</v>
      </c>
      <c r="AN818" s="23">
        <v>0</v>
      </c>
      <c r="AO818" s="23">
        <f>IF(SUM(AL818:AN818)&gt;0,1,0)</f>
        <v>1</v>
      </c>
      <c r="AP818" s="23">
        <f>SUM(AL818:AN818)</f>
        <v>1</v>
      </c>
      <c r="AQ818" s="25"/>
      <c r="AR818" s="25">
        <v>3.7999999999999999E-2</v>
      </c>
      <c r="AS818" s="25">
        <v>3.7999999999999999E-2</v>
      </c>
      <c r="AT818" s="25" t="s">
        <v>212</v>
      </c>
      <c r="AU818" s="25"/>
      <c r="AV818" s="25">
        <v>1</v>
      </c>
      <c r="AW818" s="25">
        <v>0</v>
      </c>
      <c r="AX818" s="25">
        <v>0</v>
      </c>
      <c r="AY818" s="25">
        <v>0</v>
      </c>
      <c r="AZ818" s="18">
        <v>0</v>
      </c>
      <c r="BA818" s="25">
        <v>0</v>
      </c>
      <c r="BB818" s="25">
        <v>0</v>
      </c>
      <c r="BC818" s="18">
        <v>0</v>
      </c>
      <c r="BD818" s="25">
        <v>0</v>
      </c>
      <c r="BE818" s="25">
        <v>0</v>
      </c>
      <c r="BF818" s="18">
        <v>0</v>
      </c>
      <c r="BG818" s="78">
        <v>0</v>
      </c>
      <c r="BH818" s="25">
        <v>0</v>
      </c>
      <c r="BI818" s="18">
        <v>0</v>
      </c>
      <c r="BJ818" s="25">
        <v>0</v>
      </c>
      <c r="BK818" s="25">
        <v>0</v>
      </c>
      <c r="BL818" s="16">
        <f>IF(BM818&gt;0,1,0)</f>
        <v>0</v>
      </c>
      <c r="BM818" s="16">
        <f>SUM(BR818,BU818,BX818,CA818,CD818,CG818,CJ818,CM818,CP818)</f>
        <v>0</v>
      </c>
      <c r="BN818" s="16">
        <f>SUM(BW818,BZ818,CC818,CF818,CI818,CL818,CO818,CR818,BT818)</f>
        <v>0</v>
      </c>
      <c r="BO818" s="16">
        <f>IF(BP818&gt;0,1,0)</f>
        <v>0</v>
      </c>
      <c r="BP818" s="16">
        <f>SUM(BU818,BX818,CA818,CD818,BR818)</f>
        <v>0</v>
      </c>
      <c r="BQ818" s="16">
        <f>SUM(BZ818,CC818,CF818,BT818,BW818)</f>
        <v>0</v>
      </c>
      <c r="BR818" s="18">
        <v>0</v>
      </c>
      <c r="BS818" s="25">
        <v>0</v>
      </c>
      <c r="BT818" s="77">
        <f>BS818/AS818</f>
        <v>0</v>
      </c>
      <c r="BU818" s="18">
        <v>0</v>
      </c>
      <c r="BV818" s="25">
        <v>0</v>
      </c>
      <c r="BW818" s="18">
        <f>BV818/AS818</f>
        <v>0</v>
      </c>
      <c r="BX818" s="18">
        <v>0</v>
      </c>
      <c r="BY818" s="25">
        <v>0</v>
      </c>
      <c r="BZ818" s="16">
        <f>BY818/AS818</f>
        <v>0</v>
      </c>
      <c r="CA818" s="24">
        <v>0</v>
      </c>
      <c r="CB818" s="25">
        <v>0</v>
      </c>
      <c r="CC818" s="25">
        <v>0</v>
      </c>
      <c r="CD818" s="78">
        <v>0</v>
      </c>
      <c r="CE818" s="25">
        <v>0</v>
      </c>
      <c r="CF818" s="25">
        <v>0</v>
      </c>
      <c r="CG818" s="25"/>
      <c r="CH818" s="25"/>
      <c r="CI818" s="25"/>
      <c r="CJ818" s="25"/>
      <c r="CK818" s="25"/>
      <c r="CL818" s="25"/>
      <c r="CM818" s="25"/>
      <c r="CN818" s="25"/>
      <c r="CO818" s="25"/>
      <c r="CP818" s="25" t="s">
        <v>123</v>
      </c>
      <c r="CQ818" s="25">
        <v>0</v>
      </c>
      <c r="CR818" s="25">
        <v>0</v>
      </c>
      <c r="CS818" s="18">
        <f>IF(CT818&gt;0,1,0)</f>
        <v>0</v>
      </c>
      <c r="CT818" s="25">
        <f>SUM(CW818,CZ818,DC818)</f>
        <v>0</v>
      </c>
      <c r="CU818" s="25"/>
      <c r="CV818" s="25">
        <v>0</v>
      </c>
      <c r="CW818" s="25">
        <v>0</v>
      </c>
      <c r="CX818" s="25">
        <v>0</v>
      </c>
      <c r="CY818" s="25">
        <v>0</v>
      </c>
      <c r="CZ818" s="25">
        <v>0</v>
      </c>
      <c r="DA818" s="25">
        <v>0</v>
      </c>
      <c r="DB818" s="25">
        <v>0</v>
      </c>
      <c r="DC818" s="25">
        <v>0</v>
      </c>
      <c r="DD818" s="25">
        <v>0</v>
      </c>
      <c r="DE818" s="25">
        <v>0</v>
      </c>
      <c r="DF818" s="16" t="e">
        <f>VLOOKUP(K818,'[3]RNA Seq summary tables'!$V$3:$V$99,1,FALSE)</f>
        <v>#N/A</v>
      </c>
      <c r="DG818" s="16"/>
      <c r="DH818" s="16"/>
      <c r="DI818" s="25"/>
      <c r="DJ818" s="25"/>
      <c r="DK818" s="25"/>
      <c r="DL818" s="25"/>
      <c r="DM818" s="25"/>
      <c r="DN818" s="25"/>
      <c r="DO818" s="25"/>
      <c r="DP818" s="25"/>
      <c r="DQ818" s="25"/>
      <c r="DR818" s="25"/>
      <c r="DS818" s="25"/>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18"/>
      <c r="EQ818" s="18"/>
      <c r="ER818" s="18"/>
      <c r="ES818" s="18"/>
      <c r="ET818" s="18"/>
      <c r="EU818" s="18"/>
      <c r="EV818" s="18"/>
      <c r="EW818" s="18"/>
      <c r="EX818" s="18"/>
      <c r="EY818" s="18"/>
      <c r="EZ818" s="18"/>
      <c r="FA818" s="18"/>
      <c r="FB818" s="18"/>
      <c r="FC818" s="18"/>
      <c r="FD818" s="18"/>
      <c r="FE818" s="18"/>
      <c r="FF818" s="18"/>
      <c r="FG818" s="18"/>
      <c r="FH818" s="18"/>
      <c r="FI818" s="18"/>
      <c r="FJ818" s="18"/>
      <c r="FK818" s="18"/>
      <c r="FL818" s="18"/>
      <c r="FM818" s="18"/>
      <c r="FN818" s="18"/>
      <c r="FO818" s="18"/>
      <c r="FP818" s="18"/>
      <c r="FQ818" s="18"/>
      <c r="FR818" s="18"/>
      <c r="FS818" s="18"/>
      <c r="FT818" s="18"/>
      <c r="FU818" s="18"/>
      <c r="FV818" s="18"/>
      <c r="FW818" s="18"/>
      <c r="FX818" s="18"/>
      <c r="FY818" s="18"/>
      <c r="FZ818" s="18"/>
      <c r="GA818" s="18"/>
      <c r="GB818" s="18"/>
      <c r="GC818" s="18"/>
      <c r="GD818" s="18"/>
      <c r="GE818" s="18"/>
      <c r="GF818" s="18"/>
      <c r="GG818" s="18"/>
      <c r="GH818" s="18"/>
      <c r="GI818" s="18"/>
      <c r="GJ818" s="18"/>
      <c r="GK818" s="18"/>
      <c r="GL818" s="18"/>
      <c r="GM818" s="18"/>
      <c r="GN818" s="18"/>
      <c r="GO818" s="18"/>
      <c r="GP818" s="18"/>
      <c r="GQ818" s="18"/>
      <c r="GR818" s="18"/>
      <c r="GS818" s="18"/>
      <c r="GT818" s="18"/>
      <c r="GU818" s="18"/>
      <c r="GV818" s="18"/>
      <c r="GW818" s="18"/>
      <c r="GX818" s="18"/>
      <c r="GY818" s="18"/>
      <c r="GZ818" s="18"/>
      <c r="HA818" s="18"/>
      <c r="HB818" s="18"/>
      <c r="HC818" s="18"/>
      <c r="HD818" s="18"/>
      <c r="HE818" s="18"/>
      <c r="HF818" s="18"/>
      <c r="HG818" s="18"/>
      <c r="HH818" s="18"/>
      <c r="HI818" s="18"/>
      <c r="HJ818" s="18"/>
      <c r="HK818" s="18"/>
      <c r="HL818" s="18"/>
      <c r="HM818" s="18"/>
      <c r="HN818" s="18"/>
      <c r="HO818" s="18"/>
      <c r="HP818" s="18"/>
      <c r="HQ818" s="18"/>
      <c r="HR818" s="18"/>
      <c r="HS818" s="18"/>
      <c r="HT818" s="18"/>
      <c r="HU818" s="18"/>
      <c r="HV818" s="18"/>
      <c r="HW818" s="18"/>
      <c r="HX818" s="18"/>
      <c r="HY818" s="18"/>
      <c r="HZ818" s="18"/>
      <c r="IA818" s="18"/>
      <c r="IB818" s="18"/>
      <c r="IC818" s="18"/>
      <c r="ID818" s="18"/>
      <c r="IE818" s="18"/>
      <c r="IF818" s="18"/>
      <c r="IG818" s="18"/>
      <c r="IH818" s="18"/>
      <c r="II818" s="18"/>
      <c r="IJ818" s="18"/>
      <c r="IK818" s="18"/>
      <c r="IL818" s="18"/>
      <c r="IM818" s="18"/>
      <c r="IN818" s="18"/>
      <c r="IO818" s="18"/>
      <c r="IP818" s="18"/>
      <c r="IQ818" s="18"/>
      <c r="IR818" s="18"/>
      <c r="IS818" s="18"/>
      <c r="IT818" s="18"/>
      <c r="IU818" s="18"/>
      <c r="IV818" s="18"/>
      <c r="IW818" s="18"/>
      <c r="IX818" s="18"/>
      <c r="IY818" s="18"/>
      <c r="IZ818" s="18"/>
      <c r="JA818" s="18"/>
      <c r="JB818" s="18"/>
      <c r="JC818" s="18"/>
      <c r="JD818" s="18"/>
      <c r="JE818" s="18"/>
      <c r="JF818" s="18"/>
      <c r="JG818" s="18"/>
      <c r="JH818" s="18"/>
      <c r="JI818" s="18"/>
      <c r="JJ818" s="18"/>
      <c r="JK818" s="18"/>
      <c r="JL818" s="18"/>
      <c r="JM818" s="18"/>
      <c r="JN818" s="18"/>
      <c r="JO818" s="16"/>
      <c r="JP818" s="16"/>
      <c r="JQ818" s="16"/>
      <c r="JR818" s="30"/>
      <c r="JS818" s="30"/>
      <c r="JT818" s="30"/>
      <c r="JU818" s="30"/>
      <c r="JV818" s="30"/>
      <c r="JW818" s="30"/>
      <c r="JX818" s="30"/>
      <c r="JY818" s="30"/>
      <c r="JZ818" s="30"/>
      <c r="KA818" s="30"/>
      <c r="KB818" s="30"/>
    </row>
    <row r="819" spans="1:288" s="38" customFormat="1" x14ac:dyDescent="0.2">
      <c r="A819" s="18"/>
      <c r="B819" s="16">
        <v>2016</v>
      </c>
      <c r="C819" s="20">
        <v>42548</v>
      </c>
      <c r="D819" s="20" t="str">
        <f>CONCATENATE(J819,"-",C819)</f>
        <v>986-42548</v>
      </c>
      <c r="E819" s="20" t="str">
        <f>CONCATENATE(T819,"-",U819,"-",C819)</f>
        <v>HW1-H5-42548</v>
      </c>
      <c r="F819" s="20" t="s">
        <v>106</v>
      </c>
      <c r="G819" s="20" t="s">
        <v>107</v>
      </c>
      <c r="H819" s="16"/>
      <c r="I819" s="16">
        <v>0</v>
      </c>
      <c r="J819" s="21">
        <v>986</v>
      </c>
      <c r="K819" s="21">
        <v>1431</v>
      </c>
      <c r="L819" s="18">
        <v>0</v>
      </c>
      <c r="M819" s="15">
        <f>VLOOKUP(K819,'[7]MLBS 2016 SNV-nem Coinfection d'!$C$1:$G$238,4,FALSE)</f>
        <v>0</v>
      </c>
      <c r="N819" s="15">
        <v>0</v>
      </c>
      <c r="O819" s="15" t="s">
        <v>214</v>
      </c>
      <c r="P819" s="16" t="s">
        <v>110</v>
      </c>
      <c r="Q819" s="16">
        <v>0</v>
      </c>
      <c r="R819" s="16" t="s">
        <v>111</v>
      </c>
      <c r="S819" s="16"/>
      <c r="T819" s="16" t="s">
        <v>133</v>
      </c>
      <c r="U819" s="16" t="s">
        <v>180</v>
      </c>
      <c r="V819" s="16" t="s">
        <v>114</v>
      </c>
      <c r="W819" s="16">
        <f>AI819/AG819</f>
        <v>0.93421052631578949</v>
      </c>
      <c r="X819" s="16" t="s">
        <v>115</v>
      </c>
      <c r="Y819" s="16" t="s">
        <v>145</v>
      </c>
      <c r="Z819" s="16">
        <v>1</v>
      </c>
      <c r="AA819" s="16"/>
      <c r="AB819" s="16"/>
      <c r="AC819" s="16"/>
      <c r="AD819" s="16"/>
      <c r="AE819" s="16" t="s">
        <v>123</v>
      </c>
      <c r="AF819" s="16" t="s">
        <v>123</v>
      </c>
      <c r="AG819" s="16">
        <f>AH819-AI819</f>
        <v>76</v>
      </c>
      <c r="AH819" s="16">
        <v>147</v>
      </c>
      <c r="AI819" s="16">
        <v>71</v>
      </c>
      <c r="AJ819" s="16"/>
      <c r="AK819" s="16">
        <v>11.5</v>
      </c>
      <c r="AL819" s="16">
        <v>0</v>
      </c>
      <c r="AM819" s="16">
        <v>0</v>
      </c>
      <c r="AN819" s="16">
        <v>0</v>
      </c>
      <c r="AO819" s="16">
        <f>IF(SUM(AL819:AN819)&gt;0,1,0)</f>
        <v>0</v>
      </c>
      <c r="AP819" s="16">
        <f>SUM(AL819:AN819)</f>
        <v>0</v>
      </c>
      <c r="AQ819" s="16"/>
      <c r="AR819" s="16">
        <v>0.23300000000000001</v>
      </c>
      <c r="AS819" s="16">
        <v>0.23300000000000001</v>
      </c>
      <c r="AT819" s="18" t="s">
        <v>117</v>
      </c>
      <c r="AU819" s="18"/>
      <c r="AV819" s="16"/>
      <c r="AW819" s="24">
        <v>1</v>
      </c>
      <c r="AX819" s="18">
        <v>4</v>
      </c>
      <c r="AY819" s="18">
        <f>(57+174+5+1)/0.233</f>
        <v>1017.1673819742489</v>
      </c>
      <c r="AZ819" s="18">
        <v>1</v>
      </c>
      <c r="BA819" s="18">
        <v>3</v>
      </c>
      <c r="BB819" s="18">
        <f>(57+174+5)/0.233</f>
        <v>1012.8755364806866</v>
      </c>
      <c r="BC819" s="18">
        <v>1</v>
      </c>
      <c r="BD819" s="18">
        <v>57</v>
      </c>
      <c r="BE819" s="18">
        <f>57/0.233</f>
        <v>244.63519313304721</v>
      </c>
      <c r="BF819" s="18">
        <v>1</v>
      </c>
      <c r="BG819" s="77">
        <v>174</v>
      </c>
      <c r="BH819" s="16">
        <f>174/0.233</f>
        <v>746.78111587982823</v>
      </c>
      <c r="BI819" s="16">
        <v>1</v>
      </c>
      <c r="BJ819" s="16">
        <v>5</v>
      </c>
      <c r="BK819" s="16">
        <f>5/0.233</f>
        <v>21.459227467811157</v>
      </c>
      <c r="BL819" s="16">
        <f>IF(BM819&gt;0,1,0)</f>
        <v>1</v>
      </c>
      <c r="BM819" s="16">
        <f>SUM(BR819,BU819,BX819,CA819,CD819,CG819,CJ819,CM819,CP819)</f>
        <v>1</v>
      </c>
      <c r="BN819" s="18">
        <f>SUM(BW819,BZ819,CC819,CF819,CI819,CL819,CO819,CR819,BT819)</f>
        <v>4.2918454935622314</v>
      </c>
      <c r="BO819" s="16">
        <f>IF(BP819&gt;0,1,0)</f>
        <v>1</v>
      </c>
      <c r="BP819" s="16">
        <f>SUM(BU819,BX819,CA819,CD819,BR819)</f>
        <v>1</v>
      </c>
      <c r="BQ819" s="16">
        <f>SUM(BZ819,CC819,CF819,BT819,BW819)</f>
        <v>4.2918454935622314</v>
      </c>
      <c r="BR819" s="18">
        <v>1</v>
      </c>
      <c r="BS819" s="18">
        <v>1</v>
      </c>
      <c r="BT819" s="78">
        <f>BS819/AS819</f>
        <v>4.2918454935622314</v>
      </c>
      <c r="BU819" s="18">
        <v>0</v>
      </c>
      <c r="BV819" s="18">
        <v>0</v>
      </c>
      <c r="BW819" s="18">
        <f>BV819/AS819</f>
        <v>0</v>
      </c>
      <c r="BX819" s="24">
        <v>0</v>
      </c>
      <c r="BY819" s="18">
        <v>0</v>
      </c>
      <c r="BZ819" s="18">
        <f>BY819/AS819</f>
        <v>0</v>
      </c>
      <c r="CA819" s="24">
        <v>0</v>
      </c>
      <c r="CB819" s="18">
        <v>0</v>
      </c>
      <c r="CC819" s="18">
        <v>0</v>
      </c>
      <c r="CD819" s="78">
        <v>0</v>
      </c>
      <c r="CE819" s="18">
        <v>0</v>
      </c>
      <c r="CF819" s="18">
        <v>0</v>
      </c>
      <c r="CG819" s="18"/>
      <c r="CH819" s="18"/>
      <c r="CI819" s="18"/>
      <c r="CJ819" s="18"/>
      <c r="CK819" s="18"/>
      <c r="CL819" s="18"/>
      <c r="CM819" s="18"/>
      <c r="CN819" s="18"/>
      <c r="CO819" s="18"/>
      <c r="CP819" s="18" t="s">
        <v>123</v>
      </c>
      <c r="CQ819" s="18">
        <v>0</v>
      </c>
      <c r="CR819" s="18">
        <v>0</v>
      </c>
      <c r="CS819" s="18">
        <f>IF(CT819&gt;0,1,0)</f>
        <v>0</v>
      </c>
      <c r="CT819" s="25">
        <f>SUM(CW819,CZ819,DC819)</f>
        <v>0</v>
      </c>
      <c r="CU819" s="25"/>
      <c r="CV819" s="18">
        <v>0</v>
      </c>
      <c r="CW819" s="25">
        <v>0</v>
      </c>
      <c r="CX819" s="18">
        <v>0</v>
      </c>
      <c r="CY819" s="18">
        <v>0</v>
      </c>
      <c r="CZ819" s="18">
        <v>0</v>
      </c>
      <c r="DA819" s="18">
        <v>0</v>
      </c>
      <c r="DB819" s="18">
        <v>0</v>
      </c>
      <c r="DC819" s="18">
        <v>0</v>
      </c>
      <c r="DD819" s="18">
        <v>0</v>
      </c>
      <c r="DE819" s="18">
        <v>0</v>
      </c>
      <c r="DF819" s="16" t="e">
        <f>VLOOKUP(K819,'[3]RNA Seq summary tables'!$V$3:$V$99,1,FALSE)</f>
        <v>#N/A</v>
      </c>
      <c r="DG819" s="16"/>
      <c r="DH819" s="16"/>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18"/>
      <c r="EQ819" s="18"/>
      <c r="ER819" s="18"/>
      <c r="ES819" s="18"/>
      <c r="ET819" s="18"/>
      <c r="EU819" s="18"/>
      <c r="EV819" s="18"/>
      <c r="EW819" s="18"/>
      <c r="EX819" s="18"/>
      <c r="EY819" s="18"/>
      <c r="EZ819" s="18"/>
      <c r="FA819" s="18"/>
      <c r="FB819" s="18"/>
      <c r="FC819" s="18"/>
      <c r="FD819" s="18"/>
      <c r="FE819" s="18"/>
      <c r="FF819" s="18"/>
      <c r="FG819" s="18"/>
      <c r="FH819" s="18"/>
      <c r="FI819" s="18"/>
      <c r="FJ819" s="18"/>
      <c r="FK819" s="18"/>
      <c r="FL819" s="18"/>
      <c r="FM819" s="18"/>
      <c r="FN819" s="18"/>
      <c r="FO819" s="18"/>
      <c r="FP819" s="18"/>
      <c r="FQ819" s="18"/>
      <c r="FR819" s="18"/>
      <c r="FS819" s="18"/>
      <c r="FT819" s="18"/>
      <c r="FU819" s="18"/>
      <c r="FV819" s="18"/>
      <c r="FW819" s="18"/>
      <c r="FX819" s="18"/>
      <c r="FY819" s="18"/>
      <c r="FZ819" s="18"/>
      <c r="GA819" s="18"/>
      <c r="GB819" s="18"/>
      <c r="GC819" s="18"/>
      <c r="GD819" s="18"/>
      <c r="GE819" s="18"/>
      <c r="GF819" s="18"/>
      <c r="GG819" s="18"/>
      <c r="GH819" s="18"/>
      <c r="GI819" s="18"/>
      <c r="GJ819" s="18"/>
      <c r="GK819" s="18"/>
      <c r="GL819" s="18"/>
      <c r="GM819" s="18"/>
      <c r="GN819" s="18"/>
      <c r="GO819" s="18"/>
      <c r="GP819" s="18"/>
      <c r="GQ819" s="18"/>
      <c r="GR819" s="18"/>
      <c r="GS819" s="18"/>
      <c r="GT819" s="18"/>
      <c r="GU819" s="18"/>
      <c r="GV819" s="18"/>
      <c r="GW819" s="18"/>
      <c r="GX819" s="18"/>
      <c r="GY819" s="18"/>
      <c r="GZ819" s="18"/>
      <c r="HA819" s="18"/>
      <c r="HB819" s="18"/>
      <c r="HC819" s="18"/>
      <c r="HD819" s="18"/>
      <c r="HE819" s="18"/>
      <c r="HF819" s="18"/>
      <c r="HG819" s="18"/>
      <c r="HH819" s="18"/>
      <c r="HI819" s="18"/>
      <c r="HJ819" s="18"/>
      <c r="HK819" s="18"/>
      <c r="HL819" s="18"/>
      <c r="HM819" s="18"/>
      <c r="HN819" s="18"/>
      <c r="HO819" s="18"/>
      <c r="HP819" s="18"/>
      <c r="HQ819" s="18"/>
      <c r="HR819" s="18"/>
      <c r="HS819" s="18"/>
      <c r="HT819" s="18"/>
      <c r="HU819" s="18"/>
      <c r="HV819" s="18"/>
      <c r="HW819" s="18"/>
      <c r="HX819" s="18"/>
      <c r="HY819" s="18"/>
      <c r="HZ819" s="18"/>
      <c r="IA819" s="18"/>
      <c r="IB819" s="18"/>
      <c r="IC819" s="18"/>
      <c r="ID819" s="18"/>
      <c r="IE819" s="18"/>
      <c r="IF819" s="18"/>
      <c r="IG819" s="18"/>
      <c r="IH819" s="18"/>
      <c r="II819" s="18"/>
      <c r="IJ819" s="18"/>
      <c r="IK819" s="18"/>
      <c r="IL819" s="18"/>
      <c r="IM819" s="18"/>
      <c r="IN819" s="18"/>
      <c r="IO819" s="18"/>
      <c r="IP819" s="18"/>
      <c r="IQ819" s="18"/>
      <c r="IR819" s="18"/>
      <c r="IS819" s="18"/>
      <c r="IT819" s="18"/>
      <c r="IU819" s="18"/>
      <c r="IV819" s="18"/>
      <c r="IW819" s="18"/>
      <c r="IX819" s="18"/>
      <c r="IY819" s="18"/>
      <c r="IZ819" s="18"/>
      <c r="JA819" s="18"/>
      <c r="JB819" s="18"/>
      <c r="JC819" s="18"/>
      <c r="JD819" s="18"/>
      <c r="JE819" s="18"/>
      <c r="JF819" s="18"/>
      <c r="JG819" s="18"/>
      <c r="JH819" s="18"/>
      <c r="JI819" s="18"/>
      <c r="JJ819" s="18"/>
      <c r="JK819" s="18"/>
      <c r="JL819" s="18"/>
      <c r="JM819" s="18"/>
      <c r="JN819" s="18"/>
      <c r="JO819" s="16"/>
      <c r="JP819" s="16"/>
      <c r="JQ819" s="16"/>
      <c r="JR819" s="16"/>
      <c r="JS819" s="16"/>
      <c r="JT819" s="16"/>
      <c r="JU819" s="16"/>
      <c r="JV819" s="16"/>
      <c r="JW819" s="16"/>
      <c r="JX819" s="16"/>
      <c r="JY819" s="16"/>
      <c r="JZ819" s="16"/>
      <c r="KA819" s="16"/>
      <c r="KB819" s="16"/>
    </row>
    <row r="820" spans="1:288" s="38" customFormat="1" x14ac:dyDescent="0.2">
      <c r="A820" s="18"/>
      <c r="B820" s="16">
        <v>2016</v>
      </c>
      <c r="C820" s="20">
        <v>42562</v>
      </c>
      <c r="D820" s="20" t="str">
        <f>CONCATENATE(J820,"-",C820)</f>
        <v>986-42562</v>
      </c>
      <c r="E820" s="20" t="str">
        <f>CONCATENATE(T820,"-",U820,"-",C820)</f>
        <v>HW1-G3-42562</v>
      </c>
      <c r="F820" s="20" t="s">
        <v>106</v>
      </c>
      <c r="G820" s="20" t="s">
        <v>107</v>
      </c>
      <c r="H820" s="16"/>
      <c r="I820" s="16">
        <v>0</v>
      </c>
      <c r="J820" s="21">
        <v>986</v>
      </c>
      <c r="K820" s="21">
        <v>1476</v>
      </c>
      <c r="L820" s="18">
        <v>0</v>
      </c>
      <c r="M820" s="15">
        <f>VLOOKUP(K820,'[7]MLBS 2016 SNV-nem Coinfection d'!$C$1:$G$238,4,FALSE)</f>
        <v>0</v>
      </c>
      <c r="N820" s="15">
        <v>0</v>
      </c>
      <c r="O820" s="15" t="s">
        <v>214</v>
      </c>
      <c r="P820" s="16" t="s">
        <v>110</v>
      </c>
      <c r="Q820" s="16">
        <v>1</v>
      </c>
      <c r="R820" s="16">
        <v>14</v>
      </c>
      <c r="S820" s="16"/>
      <c r="T820" s="16" t="s">
        <v>133</v>
      </c>
      <c r="U820" s="16" t="s">
        <v>179</v>
      </c>
      <c r="V820" s="16" t="s">
        <v>114</v>
      </c>
      <c r="W820" s="16">
        <f>AI820/AG820</f>
        <v>0.91249999999999998</v>
      </c>
      <c r="X820" s="16" t="s">
        <v>115</v>
      </c>
      <c r="Y820" s="16" t="s">
        <v>122</v>
      </c>
      <c r="Z820" s="16">
        <v>2.2999999999999998</v>
      </c>
      <c r="AA820" s="16"/>
      <c r="AB820" s="16"/>
      <c r="AC820" s="16"/>
      <c r="AD820" s="16"/>
      <c r="AE820" s="16" t="s">
        <v>123</v>
      </c>
      <c r="AF820" s="16" t="s">
        <v>123</v>
      </c>
      <c r="AG820" s="16">
        <f>AH820-AI820</f>
        <v>80</v>
      </c>
      <c r="AH820" s="16">
        <v>153</v>
      </c>
      <c r="AI820" s="16">
        <v>73</v>
      </c>
      <c r="AJ820" s="16"/>
      <c r="AK820" s="16">
        <v>15.5</v>
      </c>
      <c r="AL820" s="16">
        <v>0</v>
      </c>
      <c r="AM820" s="16">
        <v>1</v>
      </c>
      <c r="AN820" s="16">
        <v>0</v>
      </c>
      <c r="AO820" s="16">
        <f>IF(SUM(AL820:AN820)&gt;0,1,0)</f>
        <v>1</v>
      </c>
      <c r="AP820" s="16">
        <f>SUM(AL820:AN820)</f>
        <v>1</v>
      </c>
      <c r="AQ820" s="16">
        <f>AS820+1.477</f>
        <v>1.847</v>
      </c>
      <c r="AR820" s="16">
        <v>0.37</v>
      </c>
      <c r="AS820" s="16">
        <v>0.37</v>
      </c>
      <c r="AT820" s="16" t="s">
        <v>205</v>
      </c>
      <c r="AU820" s="16"/>
      <c r="AV820" s="16"/>
      <c r="AW820" s="22">
        <v>1</v>
      </c>
      <c r="AX820" s="16">
        <v>3</v>
      </c>
      <c r="AY820" s="16">
        <f>(9+26+4)/AS820</f>
        <v>105.4054054054054</v>
      </c>
      <c r="AZ820" s="18">
        <v>1</v>
      </c>
      <c r="BA820" s="16">
        <v>3</v>
      </c>
      <c r="BB820" s="16">
        <f>AY820</f>
        <v>105.4054054054054</v>
      </c>
      <c r="BC820" s="16">
        <v>1</v>
      </c>
      <c r="BD820" s="16">
        <v>9</v>
      </c>
      <c r="BE820" s="16">
        <f>9/AS820</f>
        <v>24.324324324324326</v>
      </c>
      <c r="BF820" s="18">
        <v>1</v>
      </c>
      <c r="BG820" s="77">
        <v>26</v>
      </c>
      <c r="BH820" s="16">
        <f>26/AS820</f>
        <v>70.270270270270274</v>
      </c>
      <c r="BI820" s="16">
        <v>1</v>
      </c>
      <c r="BJ820" s="16">
        <v>4</v>
      </c>
      <c r="BK820" s="16">
        <f>4/AS820</f>
        <v>10.810810810810811</v>
      </c>
      <c r="BL820" s="16">
        <f>IF(BM820&gt;0,1,0)</f>
        <v>0</v>
      </c>
      <c r="BM820" s="16">
        <f>SUM(BR820,BU820,BX820,CA820,CD820,CG820,CJ820,CM820,CP820)</f>
        <v>0</v>
      </c>
      <c r="BN820" s="16">
        <f>SUM(BW820,BZ820,CC820,CF820,CI820,CL820,CO820,CR820,BT820)</f>
        <v>0</v>
      </c>
      <c r="BO820" s="16">
        <f>IF(BP820&gt;0,1,0)</f>
        <v>0</v>
      </c>
      <c r="BP820" s="16">
        <f>SUM(BU820,BX820,CA820,CD820,BR820)</f>
        <v>0</v>
      </c>
      <c r="BQ820" s="16">
        <f>SUM(BZ820,CC820,CF820,BT820,BW820)</f>
        <v>0</v>
      </c>
      <c r="BR820" s="18">
        <v>0</v>
      </c>
      <c r="BS820" s="16">
        <v>0</v>
      </c>
      <c r="BT820" s="77">
        <f>BS820/AS820</f>
        <v>0</v>
      </c>
      <c r="BU820" s="18">
        <v>0</v>
      </c>
      <c r="BV820" s="16">
        <v>0</v>
      </c>
      <c r="BW820" s="18">
        <f>BV820/AS820</f>
        <v>0</v>
      </c>
      <c r="BX820" s="18">
        <v>0</v>
      </c>
      <c r="BY820" s="16">
        <v>0</v>
      </c>
      <c r="BZ820" s="16">
        <f>BY820/AS820</f>
        <v>0</v>
      </c>
      <c r="CA820" s="24">
        <v>0</v>
      </c>
      <c r="CB820" s="16">
        <v>0</v>
      </c>
      <c r="CC820" s="16">
        <v>0</v>
      </c>
      <c r="CD820" s="78">
        <v>0</v>
      </c>
      <c r="CE820" s="16">
        <v>0</v>
      </c>
      <c r="CF820" s="16">
        <v>0</v>
      </c>
      <c r="CG820" s="16"/>
      <c r="CH820" s="16"/>
      <c r="CI820" s="16"/>
      <c r="CJ820" s="16"/>
      <c r="CK820" s="16"/>
      <c r="CL820" s="16"/>
      <c r="CM820" s="16"/>
      <c r="CN820" s="16"/>
      <c r="CO820" s="16"/>
      <c r="CP820" s="16" t="s">
        <v>123</v>
      </c>
      <c r="CQ820" s="16">
        <v>0</v>
      </c>
      <c r="CR820" s="16">
        <v>0</v>
      </c>
      <c r="CS820" s="18">
        <f>IF(CT820&gt;0,1,0)</f>
        <v>0</v>
      </c>
      <c r="CT820" s="25">
        <f>SUM(CW820,CZ820,DC820)</f>
        <v>0</v>
      </c>
      <c r="CU820" s="25"/>
      <c r="CV820" s="16">
        <v>0</v>
      </c>
      <c r="CW820" s="25">
        <v>0</v>
      </c>
      <c r="CX820" s="16">
        <v>0</v>
      </c>
      <c r="CY820" s="16">
        <v>0</v>
      </c>
      <c r="CZ820" s="18">
        <v>0</v>
      </c>
      <c r="DA820" s="16">
        <v>0</v>
      </c>
      <c r="DB820" s="16">
        <v>0</v>
      </c>
      <c r="DC820" s="18">
        <v>0</v>
      </c>
      <c r="DD820" s="16">
        <v>0</v>
      </c>
      <c r="DE820" s="16">
        <v>0</v>
      </c>
      <c r="DF820" s="16" t="e">
        <f>VLOOKUP(K820,'[3]RNA Seq summary tables'!$V$3:$V$99,1,FALSE)</f>
        <v>#N/A</v>
      </c>
      <c r="DG820" s="16"/>
      <c r="DH820" s="16"/>
      <c r="DI820" s="16"/>
      <c r="DJ820" s="16"/>
      <c r="DK820" s="16"/>
      <c r="DL820" s="16"/>
      <c r="DM820" s="16"/>
      <c r="DN820" s="16"/>
      <c r="DO820" s="16"/>
      <c r="DP820" s="16"/>
      <c r="DQ820" s="16"/>
      <c r="DR820" s="16"/>
      <c r="DS820" s="16"/>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18"/>
      <c r="EQ820" s="18"/>
      <c r="ER820" s="18"/>
      <c r="ES820" s="18"/>
      <c r="ET820" s="18"/>
      <c r="EU820" s="18"/>
      <c r="EV820" s="18"/>
      <c r="EW820" s="18"/>
      <c r="EX820" s="18"/>
      <c r="EY820" s="18"/>
      <c r="EZ820" s="18"/>
      <c r="FA820" s="18"/>
      <c r="FB820" s="18"/>
      <c r="FC820" s="18"/>
      <c r="FD820" s="18"/>
      <c r="FE820" s="18"/>
      <c r="FF820" s="18"/>
      <c r="FG820" s="18"/>
      <c r="FH820" s="18"/>
      <c r="FI820" s="18"/>
      <c r="FJ820" s="18"/>
      <c r="FK820" s="18"/>
      <c r="FL820" s="18"/>
      <c r="FM820" s="18"/>
      <c r="FN820" s="18"/>
      <c r="FO820" s="18"/>
      <c r="FP820" s="18"/>
      <c r="FQ820" s="18"/>
      <c r="FR820" s="18"/>
      <c r="FS820" s="18"/>
      <c r="FT820" s="18"/>
      <c r="FU820" s="18"/>
      <c r="FV820" s="18"/>
      <c r="FW820" s="18"/>
      <c r="FX820" s="18"/>
      <c r="FY820" s="18"/>
      <c r="FZ820" s="18"/>
      <c r="GA820" s="18"/>
      <c r="GB820" s="18"/>
      <c r="GC820" s="18"/>
      <c r="GD820" s="18"/>
      <c r="GE820" s="18"/>
      <c r="GF820" s="18"/>
      <c r="GG820" s="18"/>
      <c r="GH820" s="18"/>
      <c r="GI820" s="18"/>
      <c r="GJ820" s="18"/>
      <c r="GK820" s="18"/>
      <c r="GL820" s="18"/>
      <c r="GM820" s="18"/>
      <c r="GN820" s="18"/>
      <c r="GO820" s="18"/>
      <c r="GP820" s="18"/>
      <c r="GQ820" s="18"/>
      <c r="GR820" s="18"/>
      <c r="GS820" s="18"/>
      <c r="GT820" s="18"/>
      <c r="GU820" s="18"/>
      <c r="GV820" s="18"/>
      <c r="GW820" s="18"/>
      <c r="GX820" s="18"/>
      <c r="GY820" s="18"/>
      <c r="GZ820" s="18"/>
      <c r="HA820" s="18"/>
      <c r="HB820" s="18"/>
      <c r="HC820" s="18"/>
      <c r="HD820" s="18"/>
      <c r="HE820" s="18"/>
      <c r="HF820" s="18"/>
      <c r="HG820" s="18"/>
      <c r="HH820" s="18"/>
      <c r="HI820" s="18"/>
      <c r="HJ820" s="18"/>
      <c r="HK820" s="18"/>
      <c r="HL820" s="18"/>
      <c r="HM820" s="18"/>
      <c r="HN820" s="18"/>
      <c r="HO820" s="18"/>
      <c r="HP820" s="18"/>
      <c r="HQ820" s="18"/>
      <c r="HR820" s="18"/>
      <c r="HS820" s="18"/>
      <c r="HT820" s="18"/>
      <c r="HU820" s="18"/>
      <c r="HV820" s="18"/>
      <c r="HW820" s="18"/>
      <c r="HX820" s="18"/>
      <c r="HY820" s="18"/>
      <c r="HZ820" s="18"/>
      <c r="IA820" s="18"/>
      <c r="IB820" s="18"/>
      <c r="IC820" s="18"/>
      <c r="ID820" s="18"/>
      <c r="IE820" s="18"/>
      <c r="IF820" s="18"/>
      <c r="IG820" s="18"/>
      <c r="IH820" s="18"/>
      <c r="II820" s="18"/>
      <c r="IJ820" s="18"/>
      <c r="IK820" s="18"/>
      <c r="IL820" s="18"/>
      <c r="IM820" s="18"/>
      <c r="IN820" s="18"/>
      <c r="IO820" s="18"/>
      <c r="IP820" s="18"/>
      <c r="IQ820" s="18"/>
      <c r="IR820" s="18"/>
      <c r="IS820" s="18"/>
      <c r="IT820" s="18"/>
      <c r="IU820" s="18"/>
      <c r="IV820" s="18"/>
      <c r="IW820" s="18"/>
      <c r="IX820" s="18"/>
      <c r="IY820" s="18"/>
      <c r="IZ820" s="18"/>
      <c r="JA820" s="18"/>
      <c r="JB820" s="18"/>
      <c r="JC820" s="18"/>
      <c r="JD820" s="18"/>
      <c r="JE820" s="18"/>
      <c r="JF820" s="18"/>
      <c r="JG820" s="18"/>
      <c r="JH820" s="18"/>
      <c r="JI820" s="18"/>
      <c r="JJ820" s="18"/>
      <c r="JK820" s="18"/>
      <c r="JL820" s="18"/>
      <c r="JM820" s="18"/>
      <c r="JN820" s="18"/>
      <c r="JO820" s="18"/>
      <c r="JP820" s="16"/>
      <c r="JQ820" s="16"/>
      <c r="JR820" s="16"/>
      <c r="JS820" s="16"/>
      <c r="JT820" s="16"/>
      <c r="JU820" s="16"/>
      <c r="JV820" s="16"/>
      <c r="JW820" s="16"/>
      <c r="JX820" s="16"/>
      <c r="JY820" s="16"/>
      <c r="JZ820" s="16"/>
      <c r="KA820" s="16"/>
      <c r="KB820" s="16"/>
    </row>
    <row r="821" spans="1:288" s="38" customFormat="1" x14ac:dyDescent="0.2">
      <c r="A821" s="18"/>
      <c r="B821" s="16">
        <v>2016</v>
      </c>
      <c r="C821" s="20">
        <v>42551</v>
      </c>
      <c r="D821" s="20" t="str">
        <f>CONCATENATE(J821,"-",C821)</f>
        <v>989-42551</v>
      </c>
      <c r="E821" s="20" t="str">
        <f>CONCATENATE(T821,"-",U821,"-",C821)</f>
        <v>SP2-F8-42551</v>
      </c>
      <c r="F821" s="20" t="s">
        <v>106</v>
      </c>
      <c r="G821" s="20" t="s">
        <v>107</v>
      </c>
      <c r="H821" s="16"/>
      <c r="I821" s="16">
        <v>0</v>
      </c>
      <c r="J821" s="21">
        <v>989</v>
      </c>
      <c r="K821" s="21">
        <v>1444</v>
      </c>
      <c r="L821" s="18">
        <v>0</v>
      </c>
      <c r="M821" s="15">
        <f>VLOOKUP(K821,'[7]MLBS 2016 SNV-nem Coinfection d'!$C$1:$G$238,4,FALSE)</f>
        <v>0</v>
      </c>
      <c r="N821" s="15">
        <v>0</v>
      </c>
      <c r="O821" s="15" t="s">
        <v>214</v>
      </c>
      <c r="P821" s="16" t="s">
        <v>110</v>
      </c>
      <c r="Q821" s="16">
        <v>0</v>
      </c>
      <c r="R821" s="16" t="s">
        <v>111</v>
      </c>
      <c r="S821" s="16"/>
      <c r="T821" s="61" t="s">
        <v>137</v>
      </c>
      <c r="U821" s="16" t="s">
        <v>138</v>
      </c>
      <c r="V821" s="16" t="s">
        <v>114</v>
      </c>
      <c r="W821" s="16">
        <f>AI821/AG821</f>
        <v>0.8441558441558441</v>
      </c>
      <c r="X821" s="16" t="s">
        <v>115</v>
      </c>
      <c r="Y821" s="16" t="s">
        <v>145</v>
      </c>
      <c r="Z821" s="16">
        <v>1</v>
      </c>
      <c r="AA821" s="16"/>
      <c r="AB821" s="16"/>
      <c r="AC821" s="16"/>
      <c r="AD821" s="16"/>
      <c r="AE821" s="16" t="s">
        <v>123</v>
      </c>
      <c r="AF821" s="16" t="s">
        <v>123</v>
      </c>
      <c r="AG821" s="16">
        <f>AH821-AI821</f>
        <v>77</v>
      </c>
      <c r="AH821" s="16">
        <v>142</v>
      </c>
      <c r="AI821" s="16">
        <v>65</v>
      </c>
      <c r="AJ821" s="16"/>
      <c r="AK821" s="16">
        <v>12</v>
      </c>
      <c r="AL821" s="16">
        <v>0</v>
      </c>
      <c r="AM821" s="16">
        <v>0</v>
      </c>
      <c r="AN821" s="16">
        <v>0</v>
      </c>
      <c r="AO821" s="16">
        <f>IF(SUM(AL821:AN821)&gt;0,1,0)</f>
        <v>0</v>
      </c>
      <c r="AP821" s="16">
        <f>SUM(AL821:AN821)</f>
        <v>0</v>
      </c>
      <c r="AQ821" s="16"/>
      <c r="AR821" s="16">
        <v>0.11600000000000001</v>
      </c>
      <c r="AS821" s="16">
        <v>0.11600000000000001</v>
      </c>
      <c r="AT821" s="18" t="s">
        <v>117</v>
      </c>
      <c r="AU821" s="18"/>
      <c r="AV821" s="16"/>
      <c r="AW821" s="22">
        <v>1</v>
      </c>
      <c r="AX821" s="16">
        <v>4</v>
      </c>
      <c r="AY821" s="16">
        <f>(50+629+75+5)/0.116</f>
        <v>6543.1034482758614</v>
      </c>
      <c r="AZ821" s="18">
        <v>1</v>
      </c>
      <c r="BA821" s="16">
        <v>2</v>
      </c>
      <c r="BB821" s="16">
        <f>(50+629)/0.116</f>
        <v>5853.4482758620688</v>
      </c>
      <c r="BC821" s="16">
        <v>1</v>
      </c>
      <c r="BD821" s="16">
        <v>50</v>
      </c>
      <c r="BE821" s="16">
        <f>50/0.116</f>
        <v>431.03448275862064</v>
      </c>
      <c r="BF821" s="18">
        <v>1</v>
      </c>
      <c r="BG821" s="77">
        <v>629</v>
      </c>
      <c r="BH821" s="16">
        <f>629/0.116</f>
        <v>5422.4137931034484</v>
      </c>
      <c r="BI821" s="18">
        <v>0</v>
      </c>
      <c r="BJ821" s="16">
        <v>0</v>
      </c>
      <c r="BK821" s="16">
        <v>0</v>
      </c>
      <c r="BL821" s="16">
        <f>IF(BM821&gt;0,1,0)</f>
        <v>0</v>
      </c>
      <c r="BM821" s="16">
        <f>SUM(BR821,BU821,BX821,CA821,CD821,CG821,CJ821,CM821,CP821)</f>
        <v>0</v>
      </c>
      <c r="BN821" s="16">
        <f>SUM(BW821,BZ821,CC821,CF821,CI821,CL821,CO821,CR821,BT821)</f>
        <v>0</v>
      </c>
      <c r="BO821" s="16">
        <f>IF(BP821&gt;0,1,0)</f>
        <v>0</v>
      </c>
      <c r="BP821" s="16">
        <f>SUM(BU821,BX821,CA821,CD821,BR821)</f>
        <v>0</v>
      </c>
      <c r="BQ821" s="16">
        <f>SUM(BZ821,CC821,CF821,BT821,BW821)</f>
        <v>0</v>
      </c>
      <c r="BR821" s="18">
        <v>0</v>
      </c>
      <c r="BS821" s="16">
        <v>0</v>
      </c>
      <c r="BT821" s="77">
        <f>BS821/AS821</f>
        <v>0</v>
      </c>
      <c r="BU821" s="18">
        <v>0</v>
      </c>
      <c r="BV821" s="16">
        <v>0</v>
      </c>
      <c r="BW821" s="18">
        <f>BV821/AS821</f>
        <v>0</v>
      </c>
      <c r="BX821" s="18">
        <v>0</v>
      </c>
      <c r="BY821" s="16">
        <v>0</v>
      </c>
      <c r="BZ821" s="16">
        <f>BY821/AS821</f>
        <v>0</v>
      </c>
      <c r="CA821" s="24">
        <v>0</v>
      </c>
      <c r="CB821" s="16">
        <v>0</v>
      </c>
      <c r="CC821" s="16">
        <v>0</v>
      </c>
      <c r="CD821" s="78">
        <v>0</v>
      </c>
      <c r="CE821" s="16">
        <v>0</v>
      </c>
      <c r="CF821" s="16">
        <v>0</v>
      </c>
      <c r="CG821" s="16"/>
      <c r="CH821" s="16"/>
      <c r="CI821" s="16"/>
      <c r="CJ821" s="16"/>
      <c r="CK821" s="16"/>
      <c r="CL821" s="16"/>
      <c r="CM821" s="16"/>
      <c r="CN821" s="16"/>
      <c r="CO821" s="16"/>
      <c r="CP821" s="16" t="s">
        <v>123</v>
      </c>
      <c r="CQ821" s="16">
        <v>0</v>
      </c>
      <c r="CR821" s="16">
        <v>0</v>
      </c>
      <c r="CS821" s="18">
        <f>IF(CT821&gt;0,1,0)</f>
        <v>1</v>
      </c>
      <c r="CT821" s="25">
        <f>SUM(CW821,CZ821,DC821)</f>
        <v>2</v>
      </c>
      <c r="CU821" s="25"/>
      <c r="CV821" s="16">
        <f>(75+7)/0.116</f>
        <v>706.89655172413791</v>
      </c>
      <c r="CW821" s="22">
        <v>1</v>
      </c>
      <c r="CX821" s="16">
        <v>75</v>
      </c>
      <c r="CY821" s="16">
        <f>75/0.116</f>
        <v>646.55172413793105</v>
      </c>
      <c r="CZ821" s="16">
        <v>1</v>
      </c>
      <c r="DA821" s="16">
        <v>7</v>
      </c>
      <c r="DB821" s="16">
        <f>7/0.116</f>
        <v>60.344827586206897</v>
      </c>
      <c r="DC821" s="18">
        <v>0</v>
      </c>
      <c r="DD821" s="16">
        <v>0</v>
      </c>
      <c r="DE821" s="16">
        <v>0</v>
      </c>
      <c r="DF821" s="16" t="e">
        <f>VLOOKUP(K821,'[3]RNA Seq summary tables'!$V$3:$V$99,1,FALSE)</f>
        <v>#N/A</v>
      </c>
      <c r="DG821" s="16"/>
      <c r="DH821" s="16"/>
      <c r="DI821" s="16"/>
      <c r="DJ821" s="16"/>
      <c r="DK821" s="16"/>
      <c r="DL821" s="16"/>
      <c r="DM821" s="16"/>
      <c r="DN821" s="16"/>
      <c r="DO821" s="16"/>
      <c r="DP821" s="16"/>
      <c r="DQ821" s="16"/>
      <c r="DR821" s="16"/>
      <c r="DS821" s="16"/>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18"/>
      <c r="EQ821" s="18"/>
      <c r="ER821" s="18"/>
      <c r="ES821" s="18"/>
      <c r="ET821" s="18"/>
      <c r="EU821" s="18"/>
      <c r="EV821" s="18"/>
      <c r="EW821" s="18"/>
      <c r="EX821" s="18"/>
      <c r="EY821" s="18"/>
      <c r="EZ821" s="18"/>
      <c r="FA821" s="18"/>
      <c r="FB821" s="18"/>
      <c r="FC821" s="18"/>
      <c r="FD821" s="18"/>
      <c r="FE821" s="18"/>
      <c r="FF821" s="18"/>
      <c r="FG821" s="18"/>
      <c r="FH821" s="18"/>
      <c r="FI821" s="18"/>
      <c r="FJ821" s="18"/>
      <c r="FK821" s="18"/>
      <c r="FL821" s="18"/>
      <c r="FM821" s="18"/>
      <c r="FN821" s="18"/>
      <c r="FO821" s="18"/>
      <c r="FP821" s="18"/>
      <c r="FQ821" s="18"/>
      <c r="FR821" s="18"/>
      <c r="FS821" s="18"/>
      <c r="FT821" s="18"/>
      <c r="FU821" s="18"/>
      <c r="FV821" s="18"/>
      <c r="FW821" s="18"/>
      <c r="FX821" s="18"/>
      <c r="FY821" s="18"/>
      <c r="FZ821" s="18"/>
      <c r="GA821" s="18"/>
      <c r="GB821" s="18"/>
      <c r="GC821" s="18"/>
      <c r="GD821" s="18"/>
      <c r="GE821" s="18"/>
      <c r="GF821" s="18"/>
      <c r="GG821" s="18"/>
      <c r="GH821" s="18"/>
      <c r="GI821" s="18"/>
      <c r="GJ821" s="18"/>
      <c r="GK821" s="18"/>
      <c r="GL821" s="18"/>
      <c r="GM821" s="18"/>
      <c r="GN821" s="18"/>
      <c r="GO821" s="18"/>
      <c r="GP821" s="18"/>
      <c r="GQ821" s="18"/>
      <c r="GR821" s="18"/>
      <c r="GS821" s="18"/>
      <c r="GT821" s="18"/>
      <c r="GU821" s="18"/>
      <c r="GV821" s="18"/>
      <c r="GW821" s="18"/>
      <c r="GX821" s="18"/>
      <c r="GY821" s="18"/>
      <c r="GZ821" s="18"/>
      <c r="HA821" s="18"/>
      <c r="HB821" s="18"/>
      <c r="HC821" s="18"/>
      <c r="HD821" s="18"/>
      <c r="HE821" s="18"/>
      <c r="HF821" s="18"/>
      <c r="HG821" s="18"/>
      <c r="HH821" s="18"/>
      <c r="HI821" s="18"/>
      <c r="HJ821" s="18"/>
      <c r="HK821" s="18"/>
      <c r="HL821" s="18"/>
      <c r="HM821" s="18"/>
      <c r="HN821" s="18"/>
      <c r="HO821" s="18"/>
      <c r="HP821" s="18"/>
      <c r="HQ821" s="18"/>
      <c r="HR821" s="18"/>
      <c r="HS821" s="18"/>
      <c r="HT821" s="18"/>
      <c r="HU821" s="18"/>
      <c r="HV821" s="18"/>
      <c r="HW821" s="18"/>
      <c r="HX821" s="18"/>
      <c r="HY821" s="18"/>
      <c r="HZ821" s="18"/>
      <c r="IA821" s="18"/>
      <c r="IB821" s="18"/>
      <c r="IC821" s="18"/>
      <c r="ID821" s="18"/>
      <c r="IE821" s="18"/>
      <c r="IF821" s="18"/>
      <c r="IG821" s="18"/>
      <c r="IH821" s="18"/>
      <c r="II821" s="18"/>
      <c r="IJ821" s="18"/>
      <c r="IK821" s="18"/>
      <c r="IL821" s="18"/>
      <c r="IM821" s="18"/>
      <c r="IN821" s="18"/>
      <c r="IO821" s="18"/>
      <c r="IP821" s="18"/>
      <c r="IQ821" s="18"/>
      <c r="IR821" s="18"/>
      <c r="IS821" s="18"/>
      <c r="IT821" s="18"/>
      <c r="IU821" s="18"/>
      <c r="IV821" s="18"/>
      <c r="IW821" s="18"/>
      <c r="IX821" s="18"/>
      <c r="IY821" s="18"/>
      <c r="IZ821" s="18"/>
      <c r="JA821" s="18"/>
      <c r="JB821" s="18"/>
      <c r="JC821" s="18"/>
      <c r="JD821" s="18"/>
      <c r="JE821" s="18"/>
      <c r="JF821" s="18"/>
      <c r="JG821" s="18"/>
      <c r="JH821" s="18"/>
      <c r="JI821" s="18"/>
      <c r="JJ821" s="18"/>
      <c r="JK821" s="18"/>
      <c r="JL821" s="18"/>
      <c r="JM821" s="18"/>
      <c r="JN821" s="18"/>
      <c r="JO821" s="16"/>
      <c r="JP821" s="16"/>
      <c r="JQ821" s="16"/>
      <c r="JR821" s="16"/>
      <c r="JS821" s="16"/>
      <c r="JT821" s="16"/>
      <c r="JU821" s="16"/>
      <c r="JV821" s="16"/>
      <c r="JW821" s="16"/>
      <c r="JX821" s="16"/>
      <c r="JY821" s="16"/>
      <c r="JZ821" s="16"/>
      <c r="KA821" s="16"/>
      <c r="KB821" s="16"/>
    </row>
    <row r="822" spans="1:288" s="38" customFormat="1" x14ac:dyDescent="0.2">
      <c r="A822" s="18"/>
      <c r="B822" s="16">
        <v>2016</v>
      </c>
      <c r="C822" s="20">
        <v>42553</v>
      </c>
      <c r="D822" s="20" t="str">
        <f>CONCATENATE(J822,"-",C822)</f>
        <v>990-42553</v>
      </c>
      <c r="E822" s="20" t="str">
        <f>CONCATENATE(T822,"-",U822,"-",C822)</f>
        <v>SP2-H7-42553</v>
      </c>
      <c r="F822" s="20" t="s">
        <v>106</v>
      </c>
      <c r="G822" s="20" t="s">
        <v>107</v>
      </c>
      <c r="H822" s="16"/>
      <c r="I822" s="16">
        <v>0</v>
      </c>
      <c r="J822" s="21">
        <v>990</v>
      </c>
      <c r="K822" s="21">
        <v>1450</v>
      </c>
      <c r="L822" s="18">
        <v>0</v>
      </c>
      <c r="M822" s="15">
        <f>VLOOKUP(K822,'[7]MLBS 2016 SNV-nem Coinfection d'!$C$1:$G$238,4,FALSE)</f>
        <v>0</v>
      </c>
      <c r="N822" s="15">
        <v>0</v>
      </c>
      <c r="O822" s="15" t="s">
        <v>214</v>
      </c>
      <c r="P822" s="16" t="s">
        <v>110</v>
      </c>
      <c r="Q822" s="16">
        <v>0</v>
      </c>
      <c r="R822" s="16" t="s">
        <v>111</v>
      </c>
      <c r="S822" s="16"/>
      <c r="T822" s="16" t="s">
        <v>137</v>
      </c>
      <c r="U822" s="16" t="s">
        <v>202</v>
      </c>
      <c r="V822" s="16" t="s">
        <v>114</v>
      </c>
      <c r="W822" s="16">
        <f>AI822/AG822</f>
        <v>0.94936708860759489</v>
      </c>
      <c r="X822" s="16" t="s">
        <v>115</v>
      </c>
      <c r="Y822" s="16" t="s">
        <v>122</v>
      </c>
      <c r="Z822" s="16">
        <v>2.9</v>
      </c>
      <c r="AA822" s="16"/>
      <c r="AB822" s="16"/>
      <c r="AC822" s="16"/>
      <c r="AD822" s="16"/>
      <c r="AE822" s="16" t="s">
        <v>116</v>
      </c>
      <c r="AF822" s="16" t="s">
        <v>116</v>
      </c>
      <c r="AG822" s="16">
        <f>AH822-AI822</f>
        <v>79</v>
      </c>
      <c r="AH822" s="16">
        <v>154</v>
      </c>
      <c r="AI822" s="16">
        <v>75</v>
      </c>
      <c r="AJ822" s="16"/>
      <c r="AK822" s="16">
        <v>16.5</v>
      </c>
      <c r="AL822" s="16">
        <v>0</v>
      </c>
      <c r="AM822" s="16">
        <v>0</v>
      </c>
      <c r="AN822" s="16">
        <v>0</v>
      </c>
      <c r="AO822" s="16">
        <f>IF(SUM(AL822:AN822)&gt;0,1,0)</f>
        <v>0</v>
      </c>
      <c r="AP822" s="16">
        <f>SUM(AL822:AN822)</f>
        <v>0</v>
      </c>
      <c r="AQ822" s="16">
        <v>1.5660000000000001</v>
      </c>
      <c r="AR822" s="16">
        <v>8.8999999999999996E-2</v>
      </c>
      <c r="AS822" s="16">
        <v>8.8999999999999996E-2</v>
      </c>
      <c r="AT822" s="16" t="s">
        <v>205</v>
      </c>
      <c r="AU822" s="16"/>
      <c r="AV822" s="16"/>
      <c r="AW822" s="22">
        <v>1</v>
      </c>
      <c r="AX822" s="16">
        <v>3</v>
      </c>
      <c r="AY822" s="16">
        <f>(213+1982+39)/AS822</f>
        <v>25101.123595505618</v>
      </c>
      <c r="AZ822" s="18">
        <v>1</v>
      </c>
      <c r="BA822" s="16">
        <v>3</v>
      </c>
      <c r="BB822" s="16">
        <f>AY822</f>
        <v>25101.123595505618</v>
      </c>
      <c r="BC822" s="16">
        <v>1</v>
      </c>
      <c r="BD822" s="16">
        <v>213</v>
      </c>
      <c r="BE822" s="16">
        <f>213/AS822</f>
        <v>2393.2584269662921</v>
      </c>
      <c r="BF822" s="18">
        <v>1</v>
      </c>
      <c r="BG822" s="77">
        <v>1982</v>
      </c>
      <c r="BH822" s="16">
        <f>1982/AS822</f>
        <v>22269.662921348317</v>
      </c>
      <c r="BI822" s="16">
        <v>1</v>
      </c>
      <c r="BJ822" s="16">
        <v>39</v>
      </c>
      <c r="BK822" s="16">
        <f>39/AS822</f>
        <v>438.20224719101128</v>
      </c>
      <c r="BL822" s="16">
        <f>IF(BM822&gt;0,1,0)</f>
        <v>0</v>
      </c>
      <c r="BM822" s="16">
        <f>SUM(BR822,BU822,BX822,CA822,CD822,CG822,CJ822,CM822,CP822)</f>
        <v>0</v>
      </c>
      <c r="BN822" s="16">
        <f>SUM(BW822,BZ822,CC822,CF822,CI822,CL822,CO822,CR822,BT822)</f>
        <v>0</v>
      </c>
      <c r="BO822" s="16">
        <f>IF(BP822&gt;0,1,0)</f>
        <v>0</v>
      </c>
      <c r="BP822" s="16">
        <f>SUM(BU822,BX822,CA822,CD822,BR822)</f>
        <v>0</v>
      </c>
      <c r="BQ822" s="16">
        <f>SUM(BZ822,CC822,CF822,BT822,BW822)</f>
        <v>0</v>
      </c>
      <c r="BR822" s="18">
        <v>0</v>
      </c>
      <c r="BS822" s="16">
        <v>0</v>
      </c>
      <c r="BT822" s="77">
        <f>BS822/AS822</f>
        <v>0</v>
      </c>
      <c r="BU822" s="18">
        <v>0</v>
      </c>
      <c r="BV822" s="16">
        <v>0</v>
      </c>
      <c r="BW822" s="18">
        <f>BV822/AS822</f>
        <v>0</v>
      </c>
      <c r="BX822" s="18">
        <v>0</v>
      </c>
      <c r="BY822" s="16">
        <v>0</v>
      </c>
      <c r="BZ822" s="16">
        <f>BY822/AS822</f>
        <v>0</v>
      </c>
      <c r="CA822" s="24">
        <v>0</v>
      </c>
      <c r="CB822" s="16">
        <v>0</v>
      </c>
      <c r="CC822" s="16">
        <v>0</v>
      </c>
      <c r="CD822" s="78">
        <v>0</v>
      </c>
      <c r="CE822" s="16">
        <v>0</v>
      </c>
      <c r="CF822" s="16">
        <v>0</v>
      </c>
      <c r="CG822" s="16"/>
      <c r="CH822" s="16"/>
      <c r="CI822" s="16"/>
      <c r="CJ822" s="16"/>
      <c r="CK822" s="16"/>
      <c r="CL822" s="16"/>
      <c r="CM822" s="16"/>
      <c r="CN822" s="16"/>
      <c r="CO822" s="16"/>
      <c r="CP822" s="16" t="s">
        <v>123</v>
      </c>
      <c r="CQ822" s="16">
        <v>0</v>
      </c>
      <c r="CR822" s="16">
        <v>0</v>
      </c>
      <c r="CS822" s="18">
        <f>IF(CT822&gt;0,1,0)</f>
        <v>0</v>
      </c>
      <c r="CT822" s="25">
        <f>SUM(CW822,CZ822,DC822)</f>
        <v>0</v>
      </c>
      <c r="CU822" s="25"/>
      <c r="CV822" s="16">
        <v>0</v>
      </c>
      <c r="CW822" s="25">
        <v>0</v>
      </c>
      <c r="CX822" s="16">
        <v>0</v>
      </c>
      <c r="CY822" s="16">
        <v>0</v>
      </c>
      <c r="CZ822" s="18">
        <v>0</v>
      </c>
      <c r="DA822" s="16">
        <v>0</v>
      </c>
      <c r="DB822" s="16">
        <v>0</v>
      </c>
      <c r="DC822" s="18">
        <v>0</v>
      </c>
      <c r="DD822" s="16">
        <v>0</v>
      </c>
      <c r="DE822" s="16">
        <v>0</v>
      </c>
      <c r="DF822" s="16" t="e">
        <f>VLOOKUP(K822,'[3]RNA Seq summary tables'!$V$3:$V$99,1,FALSE)</f>
        <v>#N/A</v>
      </c>
      <c r="DG822" s="16"/>
      <c r="DH822" s="16"/>
      <c r="DI822" s="16"/>
      <c r="DJ822" s="16"/>
      <c r="DK822" s="16"/>
      <c r="DL822" s="16"/>
      <c r="DM822" s="16"/>
      <c r="DN822" s="16"/>
      <c r="DO822" s="16"/>
      <c r="DP822" s="16"/>
      <c r="DQ822" s="16"/>
      <c r="DR822" s="16"/>
      <c r="DS822" s="16"/>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18"/>
      <c r="EQ822" s="18"/>
      <c r="ER822" s="18"/>
      <c r="ES822" s="18"/>
      <c r="ET822" s="18"/>
      <c r="EU822" s="18"/>
      <c r="EV822" s="18"/>
      <c r="EW822" s="18"/>
      <c r="EX822" s="18"/>
      <c r="EY822" s="18"/>
      <c r="EZ822" s="18"/>
      <c r="FA822" s="18"/>
      <c r="FB822" s="18"/>
      <c r="FC822" s="18"/>
      <c r="FD822" s="18"/>
      <c r="FE822" s="18"/>
      <c r="FF822" s="18"/>
      <c r="FG822" s="18"/>
      <c r="FH822" s="18"/>
      <c r="FI822" s="18"/>
      <c r="FJ822" s="18"/>
      <c r="FK822" s="18"/>
      <c r="FL822" s="18"/>
      <c r="FM822" s="18"/>
      <c r="FN822" s="18"/>
      <c r="FO822" s="18"/>
      <c r="FP822" s="18"/>
      <c r="FQ822" s="18"/>
      <c r="FR822" s="18"/>
      <c r="FS822" s="18"/>
      <c r="FT822" s="18"/>
      <c r="FU822" s="18"/>
      <c r="FV822" s="18"/>
      <c r="FW822" s="18"/>
      <c r="FX822" s="18"/>
      <c r="FY822" s="18"/>
      <c r="FZ822" s="18"/>
      <c r="GA822" s="18"/>
      <c r="GB822" s="18"/>
      <c r="GC822" s="18"/>
      <c r="GD822" s="18"/>
      <c r="GE822" s="18"/>
      <c r="GF822" s="18"/>
      <c r="GG822" s="18"/>
      <c r="GH822" s="18"/>
      <c r="GI822" s="18"/>
      <c r="GJ822" s="18"/>
      <c r="GK822" s="18"/>
      <c r="GL822" s="18"/>
      <c r="GM822" s="18"/>
      <c r="GN822" s="18"/>
      <c r="GO822" s="18"/>
      <c r="GP822" s="18"/>
      <c r="GQ822" s="18"/>
      <c r="GR822" s="18"/>
      <c r="GS822" s="18"/>
      <c r="GT822" s="18"/>
      <c r="GU822" s="18"/>
      <c r="GV822" s="18"/>
      <c r="GW822" s="18"/>
      <c r="GX822" s="18"/>
      <c r="GY822" s="18"/>
      <c r="GZ822" s="18"/>
      <c r="HA822" s="18"/>
      <c r="HB822" s="18"/>
      <c r="HC822" s="18"/>
      <c r="HD822" s="18"/>
      <c r="HE822" s="18"/>
      <c r="HF822" s="18"/>
      <c r="HG822" s="18"/>
      <c r="HH822" s="18"/>
      <c r="HI822" s="18"/>
      <c r="HJ822" s="18"/>
      <c r="HK822" s="18"/>
      <c r="HL822" s="18"/>
      <c r="HM822" s="18"/>
      <c r="HN822" s="18"/>
      <c r="HO822" s="18"/>
      <c r="HP822" s="18"/>
      <c r="HQ822" s="18"/>
      <c r="HR822" s="18"/>
      <c r="HS822" s="18"/>
      <c r="HT822" s="18"/>
      <c r="HU822" s="18"/>
      <c r="HV822" s="18"/>
      <c r="HW822" s="18"/>
      <c r="HX822" s="18"/>
      <c r="HY822" s="18"/>
      <c r="HZ822" s="18"/>
      <c r="IA822" s="18"/>
      <c r="IB822" s="18"/>
      <c r="IC822" s="18"/>
      <c r="ID822" s="18"/>
      <c r="IE822" s="18"/>
      <c r="IF822" s="18"/>
      <c r="IG822" s="18"/>
      <c r="IH822" s="18"/>
      <c r="II822" s="18"/>
      <c r="IJ822" s="18"/>
      <c r="IK822" s="18"/>
      <c r="IL822" s="18"/>
      <c r="IM822" s="18"/>
      <c r="IN822" s="18"/>
      <c r="IO822" s="18"/>
      <c r="IP822" s="18"/>
      <c r="IQ822" s="18"/>
      <c r="IR822" s="18"/>
      <c r="IS822" s="18"/>
      <c r="IT822" s="18"/>
      <c r="IU822" s="18"/>
      <c r="IV822" s="18"/>
      <c r="IW822" s="18"/>
      <c r="IX822" s="18"/>
      <c r="IY822" s="18"/>
      <c r="IZ822" s="18"/>
      <c r="JA822" s="18"/>
      <c r="JB822" s="18"/>
      <c r="JC822" s="18"/>
      <c r="JD822" s="18"/>
      <c r="JE822" s="18"/>
      <c r="JF822" s="18"/>
      <c r="JG822" s="18"/>
      <c r="JH822" s="18"/>
      <c r="JI822" s="18"/>
      <c r="JJ822" s="18"/>
      <c r="JK822" s="18"/>
      <c r="JL822" s="18"/>
      <c r="JM822" s="18"/>
      <c r="JN822" s="18"/>
      <c r="JO822" s="16"/>
      <c r="JP822" s="16"/>
      <c r="JQ822" s="16"/>
      <c r="JR822" s="16"/>
      <c r="JS822" s="16"/>
      <c r="JT822" s="16"/>
      <c r="JU822" s="16"/>
      <c r="JV822" s="16"/>
      <c r="JW822" s="16"/>
      <c r="JX822" s="16"/>
      <c r="JY822" s="16"/>
      <c r="JZ822" s="16"/>
      <c r="KA822" s="16"/>
      <c r="KB822" s="16"/>
    </row>
    <row r="823" spans="1:288" s="38" customFormat="1" x14ac:dyDescent="0.2">
      <c r="A823" s="18"/>
      <c r="B823" s="16">
        <v>2016</v>
      </c>
      <c r="C823" s="20">
        <v>42565</v>
      </c>
      <c r="D823" s="20" t="str">
        <f>CONCATENATE(J823,"-",C823)</f>
        <v>990-42565</v>
      </c>
      <c r="E823" s="20" t="str">
        <f>CONCATENATE(T823,"-",U823,"-",C823)</f>
        <v>SP2-F8-42565</v>
      </c>
      <c r="F823" s="20" t="s">
        <v>106</v>
      </c>
      <c r="G823" s="20" t="s">
        <v>107</v>
      </c>
      <c r="H823" s="16"/>
      <c r="I823" s="16">
        <v>0</v>
      </c>
      <c r="J823" s="21">
        <v>990</v>
      </c>
      <c r="K823" s="21">
        <v>1482</v>
      </c>
      <c r="L823" s="18">
        <v>0</v>
      </c>
      <c r="M823" s="15">
        <f>VLOOKUP(K823,'[7]MLBS 2016 SNV-nem Coinfection d'!$C$1:$G$238,4,FALSE)</f>
        <v>0</v>
      </c>
      <c r="N823" s="15">
        <v>0</v>
      </c>
      <c r="O823" s="15" t="s">
        <v>214</v>
      </c>
      <c r="P823" s="16" t="s">
        <v>110</v>
      </c>
      <c r="Q823" s="16">
        <v>1</v>
      </c>
      <c r="R823" s="16">
        <v>12</v>
      </c>
      <c r="S823" s="16"/>
      <c r="T823" s="16" t="s">
        <v>137</v>
      </c>
      <c r="U823" s="16" t="s">
        <v>138</v>
      </c>
      <c r="V823" s="16" t="s">
        <v>114</v>
      </c>
      <c r="W823" s="16">
        <f>AI823/AG823</f>
        <v>0.96202531645569622</v>
      </c>
      <c r="X823" s="16" t="s">
        <v>115</v>
      </c>
      <c r="Y823" s="16" t="s">
        <v>110</v>
      </c>
      <c r="Z823" s="16">
        <v>3</v>
      </c>
      <c r="AA823" s="16"/>
      <c r="AB823" s="16"/>
      <c r="AC823" s="16"/>
      <c r="AD823" s="16"/>
      <c r="AE823" s="16" t="s">
        <v>116</v>
      </c>
      <c r="AF823" s="16" t="s">
        <v>116</v>
      </c>
      <c r="AG823" s="16">
        <v>79</v>
      </c>
      <c r="AH823" s="16">
        <v>157</v>
      </c>
      <c r="AI823" s="16">
        <v>76</v>
      </c>
      <c r="AJ823" s="16"/>
      <c r="AK823" s="16">
        <v>18.5</v>
      </c>
      <c r="AL823" s="16">
        <v>0</v>
      </c>
      <c r="AM823" s="16">
        <v>0</v>
      </c>
      <c r="AN823" s="16">
        <v>0</v>
      </c>
      <c r="AO823" s="16">
        <f>IF(SUM(AL823:AN823)&gt;0,1,0)</f>
        <v>0</v>
      </c>
      <c r="AP823" s="16">
        <f>SUM(AL823:AN823)</f>
        <v>0</v>
      </c>
      <c r="AQ823" s="16">
        <v>1.768</v>
      </c>
      <c r="AR823" s="16">
        <v>0.316</v>
      </c>
      <c r="AS823" s="16">
        <v>0.316</v>
      </c>
      <c r="AT823" s="16" t="s">
        <v>124</v>
      </c>
      <c r="AU823" s="16"/>
      <c r="AV823" s="16"/>
      <c r="AW823" s="22">
        <v>1</v>
      </c>
      <c r="AX823" s="16">
        <v>3</v>
      </c>
      <c r="AY823" s="16">
        <f>(128+377+28)/AS823</f>
        <v>1686.7088607594937</v>
      </c>
      <c r="AZ823" s="18">
        <v>1</v>
      </c>
      <c r="BA823" s="16">
        <v>3</v>
      </c>
      <c r="BB823" s="16">
        <f>AY823</f>
        <v>1686.7088607594937</v>
      </c>
      <c r="BC823" s="16">
        <v>1</v>
      </c>
      <c r="BD823" s="16">
        <v>128</v>
      </c>
      <c r="BE823" s="16">
        <f>128/AS823</f>
        <v>405.0632911392405</v>
      </c>
      <c r="BF823" s="18">
        <v>1</v>
      </c>
      <c r="BG823" s="77">
        <v>377</v>
      </c>
      <c r="BH823" s="16">
        <f>377/AS823</f>
        <v>1193.0379746835442</v>
      </c>
      <c r="BI823" s="16">
        <v>1</v>
      </c>
      <c r="BJ823" s="16">
        <v>28</v>
      </c>
      <c r="BK823" s="16">
        <f>28/AS823</f>
        <v>88.607594936708864</v>
      </c>
      <c r="BL823" s="16">
        <f>IF(BM823&gt;0,1,0)</f>
        <v>0</v>
      </c>
      <c r="BM823" s="16">
        <f>SUM(BR823,BU823,BX823,CA823,CD823,CG823,CJ823,CM823,CP823)</f>
        <v>0</v>
      </c>
      <c r="BN823" s="16">
        <f>SUM(BW823,BZ823,CC823,CF823,CI823,CL823,CO823,CR823,BT823)</f>
        <v>0</v>
      </c>
      <c r="BO823" s="16">
        <f>IF(BP823&gt;0,1,0)</f>
        <v>0</v>
      </c>
      <c r="BP823" s="16">
        <f>SUM(BU823,BX823,CA823,CD823,BR823)</f>
        <v>0</v>
      </c>
      <c r="BQ823" s="16">
        <f>SUM(BZ823,CC823,CF823,BT823,BW823)</f>
        <v>0</v>
      </c>
      <c r="BR823" s="18">
        <v>0</v>
      </c>
      <c r="BS823" s="16">
        <v>0</v>
      </c>
      <c r="BT823" s="77">
        <f>BS823/AS823</f>
        <v>0</v>
      </c>
      <c r="BU823" s="18">
        <v>0</v>
      </c>
      <c r="BV823" s="16">
        <v>0</v>
      </c>
      <c r="BW823" s="18">
        <f>BV823/AS823</f>
        <v>0</v>
      </c>
      <c r="BX823" s="18">
        <v>0</v>
      </c>
      <c r="BY823" s="16">
        <v>0</v>
      </c>
      <c r="BZ823" s="16">
        <f>BY823/AS823</f>
        <v>0</v>
      </c>
      <c r="CA823" s="24">
        <v>0</v>
      </c>
      <c r="CB823" s="16">
        <v>0</v>
      </c>
      <c r="CC823" s="16">
        <v>0</v>
      </c>
      <c r="CD823" s="78">
        <v>0</v>
      </c>
      <c r="CE823" s="16">
        <v>0</v>
      </c>
      <c r="CF823" s="16">
        <v>0</v>
      </c>
      <c r="CG823" s="16"/>
      <c r="CH823" s="16"/>
      <c r="CI823" s="16"/>
      <c r="CJ823" s="16"/>
      <c r="CK823" s="16"/>
      <c r="CL823" s="16"/>
      <c r="CM823" s="16"/>
      <c r="CN823" s="16"/>
      <c r="CO823" s="16"/>
      <c r="CP823" s="16" t="s">
        <v>123</v>
      </c>
      <c r="CQ823" s="16">
        <v>0</v>
      </c>
      <c r="CR823" s="16">
        <v>0</v>
      </c>
      <c r="CS823" s="18">
        <f>IF(CT823&gt;0,1,0)</f>
        <v>0</v>
      </c>
      <c r="CT823" s="25">
        <f>SUM(CW823,CZ823,DC823)</f>
        <v>0</v>
      </c>
      <c r="CU823" s="25"/>
      <c r="CV823" s="16">
        <v>0</v>
      </c>
      <c r="CW823" s="25">
        <v>0</v>
      </c>
      <c r="CX823" s="16">
        <v>0</v>
      </c>
      <c r="CY823" s="16">
        <v>0</v>
      </c>
      <c r="CZ823" s="18">
        <v>0</v>
      </c>
      <c r="DA823" s="16">
        <v>0</v>
      </c>
      <c r="DB823" s="16">
        <v>0</v>
      </c>
      <c r="DC823" s="18">
        <v>0</v>
      </c>
      <c r="DD823" s="16">
        <v>0</v>
      </c>
      <c r="DE823" s="16">
        <v>0</v>
      </c>
      <c r="DF823" s="16" t="e">
        <f>VLOOKUP(K823,'[3]RNA Seq summary tables'!$V$3:$V$99,1,FALSE)</f>
        <v>#N/A</v>
      </c>
      <c r="DG823" s="16"/>
      <c r="DH823" s="16"/>
      <c r="DI823" s="16"/>
      <c r="DJ823" s="16"/>
      <c r="DK823" s="16"/>
      <c r="DL823" s="16"/>
      <c r="DM823" s="16"/>
      <c r="DN823" s="16"/>
      <c r="DO823" s="16"/>
      <c r="DP823" s="16"/>
      <c r="DQ823" s="16"/>
      <c r="DR823" s="16"/>
      <c r="DS823" s="16"/>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18"/>
      <c r="EQ823" s="18"/>
      <c r="ER823" s="18"/>
      <c r="ES823" s="18"/>
      <c r="ET823" s="18"/>
      <c r="EU823" s="18"/>
      <c r="EV823" s="18"/>
      <c r="EW823" s="18"/>
      <c r="EX823" s="18"/>
      <c r="EY823" s="18"/>
      <c r="EZ823" s="18"/>
      <c r="FA823" s="18"/>
      <c r="FB823" s="18"/>
      <c r="FC823" s="18"/>
      <c r="FD823" s="18"/>
      <c r="FE823" s="18"/>
      <c r="FF823" s="18"/>
      <c r="FG823" s="18"/>
      <c r="FH823" s="18"/>
      <c r="FI823" s="18"/>
      <c r="FJ823" s="18"/>
      <c r="FK823" s="18"/>
      <c r="FL823" s="18"/>
      <c r="FM823" s="18"/>
      <c r="FN823" s="18"/>
      <c r="FO823" s="18"/>
      <c r="FP823" s="18"/>
      <c r="FQ823" s="18"/>
      <c r="FR823" s="18"/>
      <c r="FS823" s="18"/>
      <c r="FT823" s="18"/>
      <c r="FU823" s="18"/>
      <c r="FV823" s="18"/>
      <c r="FW823" s="18"/>
      <c r="FX823" s="18"/>
      <c r="FY823" s="18"/>
      <c r="FZ823" s="18"/>
      <c r="GA823" s="18"/>
      <c r="GB823" s="18"/>
      <c r="GC823" s="18"/>
      <c r="GD823" s="18"/>
      <c r="GE823" s="18"/>
      <c r="GF823" s="18"/>
      <c r="GG823" s="18"/>
      <c r="GH823" s="18"/>
      <c r="GI823" s="18"/>
      <c r="GJ823" s="18"/>
      <c r="GK823" s="18"/>
      <c r="GL823" s="18"/>
      <c r="GM823" s="18"/>
      <c r="GN823" s="18"/>
      <c r="GO823" s="18"/>
      <c r="GP823" s="18"/>
      <c r="GQ823" s="18"/>
      <c r="GR823" s="18"/>
      <c r="GS823" s="18"/>
      <c r="GT823" s="18"/>
      <c r="GU823" s="18"/>
      <c r="GV823" s="18"/>
      <c r="GW823" s="18"/>
      <c r="GX823" s="18"/>
      <c r="GY823" s="18"/>
      <c r="GZ823" s="18"/>
      <c r="HA823" s="18"/>
      <c r="HB823" s="18"/>
      <c r="HC823" s="18"/>
      <c r="HD823" s="18"/>
      <c r="HE823" s="18"/>
      <c r="HF823" s="18"/>
      <c r="HG823" s="18"/>
      <c r="HH823" s="18"/>
      <c r="HI823" s="18"/>
      <c r="HJ823" s="18"/>
      <c r="HK823" s="18"/>
      <c r="HL823" s="18"/>
      <c r="HM823" s="18"/>
      <c r="HN823" s="18"/>
      <c r="HO823" s="18"/>
      <c r="HP823" s="18"/>
      <c r="HQ823" s="18"/>
      <c r="HR823" s="18"/>
      <c r="HS823" s="18"/>
      <c r="HT823" s="18"/>
      <c r="HU823" s="18"/>
      <c r="HV823" s="18"/>
      <c r="HW823" s="18"/>
      <c r="HX823" s="18"/>
      <c r="HY823" s="18"/>
      <c r="HZ823" s="18"/>
      <c r="IA823" s="18"/>
      <c r="IB823" s="18"/>
      <c r="IC823" s="18"/>
      <c r="ID823" s="18"/>
      <c r="IE823" s="18"/>
      <c r="IF823" s="18"/>
      <c r="IG823" s="18"/>
      <c r="IH823" s="18"/>
      <c r="II823" s="18"/>
      <c r="IJ823" s="18"/>
      <c r="IK823" s="18"/>
      <c r="IL823" s="18"/>
      <c r="IM823" s="18"/>
      <c r="IN823" s="18"/>
      <c r="IO823" s="18"/>
      <c r="IP823" s="18"/>
      <c r="IQ823" s="18"/>
      <c r="IR823" s="18"/>
      <c r="IS823" s="18"/>
      <c r="IT823" s="18"/>
      <c r="IU823" s="18"/>
      <c r="IV823" s="18"/>
      <c r="IW823" s="18"/>
      <c r="IX823" s="18"/>
      <c r="IY823" s="18"/>
      <c r="IZ823" s="18"/>
      <c r="JA823" s="18"/>
      <c r="JB823" s="18"/>
      <c r="JC823" s="18"/>
      <c r="JD823" s="18"/>
      <c r="JE823" s="18"/>
      <c r="JF823" s="18"/>
      <c r="JG823" s="18"/>
      <c r="JH823" s="18"/>
      <c r="JI823" s="18"/>
      <c r="JJ823" s="18"/>
      <c r="JK823" s="18"/>
      <c r="JL823" s="18"/>
      <c r="JM823" s="18"/>
      <c r="JN823" s="18"/>
      <c r="JO823" s="18"/>
      <c r="JP823" s="16"/>
      <c r="JQ823" s="16"/>
      <c r="JR823" s="16"/>
      <c r="JS823" s="16"/>
      <c r="JT823" s="16"/>
      <c r="JU823" s="16"/>
      <c r="JV823" s="16"/>
      <c r="JW823" s="16"/>
      <c r="JX823" s="16"/>
      <c r="JY823" s="16"/>
      <c r="JZ823" s="16"/>
      <c r="KA823" s="16"/>
      <c r="KB823" s="16"/>
    </row>
    <row r="824" spans="1:288" s="38" customFormat="1" x14ac:dyDescent="0.2">
      <c r="A824" s="18"/>
      <c r="B824" s="16">
        <v>2016</v>
      </c>
      <c r="C824" s="20">
        <v>42559</v>
      </c>
      <c r="D824" s="20" t="str">
        <f>CONCATENATE(J824,"-",C824)</f>
        <v>996-42559</v>
      </c>
      <c r="E824" s="20" t="str">
        <f>CONCATENATE(T824,"-",U824,"-",C824)</f>
        <v>PO2-D8-42559</v>
      </c>
      <c r="F824" s="20" t="s">
        <v>106</v>
      </c>
      <c r="G824" s="20" t="s">
        <v>107</v>
      </c>
      <c r="H824" s="16"/>
      <c r="I824" s="16">
        <v>0</v>
      </c>
      <c r="J824" s="21">
        <v>996</v>
      </c>
      <c r="K824" s="21">
        <v>1466</v>
      </c>
      <c r="L824" s="18">
        <v>0</v>
      </c>
      <c r="M824" s="15">
        <f>VLOOKUP(K824,'[7]MLBS 2016 SNV-nem Coinfection d'!$C$1:$G$238,4,FALSE)</f>
        <v>0</v>
      </c>
      <c r="N824" s="15">
        <v>0</v>
      </c>
      <c r="O824" s="15" t="s">
        <v>214</v>
      </c>
      <c r="P824" s="16" t="s">
        <v>110</v>
      </c>
      <c r="Q824" s="16">
        <v>0</v>
      </c>
      <c r="R824" s="16" t="s">
        <v>111</v>
      </c>
      <c r="S824" s="16"/>
      <c r="T824" s="16" t="s">
        <v>127</v>
      </c>
      <c r="U824" s="16" t="s">
        <v>178</v>
      </c>
      <c r="V824" s="16" t="s">
        <v>114</v>
      </c>
      <c r="W824" s="16">
        <f>AI824/AG824</f>
        <v>0.88607594936708856</v>
      </c>
      <c r="X824" s="16" t="s">
        <v>121</v>
      </c>
      <c r="Y824" s="16" t="s">
        <v>122</v>
      </c>
      <c r="Z824" s="16">
        <v>2.2999999999999998</v>
      </c>
      <c r="AA824" s="16" t="s">
        <v>119</v>
      </c>
      <c r="AB824" s="16" t="s">
        <v>123</v>
      </c>
      <c r="AC824" s="16" t="s">
        <v>123</v>
      </c>
      <c r="AD824" s="16" t="s">
        <v>123</v>
      </c>
      <c r="AE824" s="16"/>
      <c r="AF824" s="16"/>
      <c r="AG824" s="16">
        <f>AH824-AI824</f>
        <v>79</v>
      </c>
      <c r="AH824" s="16">
        <v>149</v>
      </c>
      <c r="AI824" s="18">
        <v>70</v>
      </c>
      <c r="AJ824" s="18"/>
      <c r="AK824" s="16">
        <v>16.5</v>
      </c>
      <c r="AL824" s="16">
        <v>1</v>
      </c>
      <c r="AM824" s="16">
        <v>0</v>
      </c>
      <c r="AN824" s="16">
        <v>0</v>
      </c>
      <c r="AO824" s="16">
        <f>IF(SUM(AL824:AN824)&gt;0,1,0)</f>
        <v>1</v>
      </c>
      <c r="AP824" s="16">
        <f>SUM(AL824:AN824)</f>
        <v>1</v>
      </c>
      <c r="AQ824" s="16">
        <v>2.028</v>
      </c>
      <c r="AR824" s="16">
        <v>0.55100000000000005</v>
      </c>
      <c r="AS824" s="16">
        <v>0.55100000000000005</v>
      </c>
      <c r="AT824" s="16" t="s">
        <v>124</v>
      </c>
      <c r="AU824" s="16"/>
      <c r="AV824" s="16"/>
      <c r="AW824" s="22">
        <v>1</v>
      </c>
      <c r="AX824" s="16">
        <v>1</v>
      </c>
      <c r="AY824" s="16">
        <f>10/AS824</f>
        <v>18.148820326678763</v>
      </c>
      <c r="AZ824" s="18">
        <v>1</v>
      </c>
      <c r="BA824" s="16">
        <v>1</v>
      </c>
      <c r="BB824" s="16">
        <f>AY824</f>
        <v>18.148820326678763</v>
      </c>
      <c r="BC824" s="18">
        <v>0</v>
      </c>
      <c r="BD824" s="16">
        <v>0</v>
      </c>
      <c r="BE824" s="16">
        <v>0</v>
      </c>
      <c r="BF824" s="18">
        <v>1</v>
      </c>
      <c r="BG824" s="77">
        <v>10</v>
      </c>
      <c r="BH824" s="16">
        <f>10/AS824</f>
        <v>18.148820326678763</v>
      </c>
      <c r="BI824" s="18">
        <v>0</v>
      </c>
      <c r="BJ824" s="16">
        <v>0</v>
      </c>
      <c r="BK824" s="16">
        <v>0</v>
      </c>
      <c r="BL824" s="16">
        <f>IF(BM824&gt;0,1,0)</f>
        <v>0</v>
      </c>
      <c r="BM824" s="16">
        <f>SUM(BR824,BU824,BX824,CA824,CD824,CG824,CJ824,CM824,CP824)</f>
        <v>0</v>
      </c>
      <c r="BN824" s="16">
        <f>SUM(BW824,BZ824,CC824,CF824,CI824,CL824,CO824,CR824,BT824)</f>
        <v>0</v>
      </c>
      <c r="BO824" s="16">
        <f>IF(BP824&gt;0,1,0)</f>
        <v>0</v>
      </c>
      <c r="BP824" s="16">
        <f>SUM(BU824,BX824,CA824,CD824,BR824)</f>
        <v>0</v>
      </c>
      <c r="BQ824" s="16">
        <f>SUM(BZ824,CC824,CF824,BT824,BW824)</f>
        <v>0</v>
      </c>
      <c r="BR824" s="18">
        <v>0</v>
      </c>
      <c r="BS824" s="16">
        <v>0</v>
      </c>
      <c r="BT824" s="77">
        <f>BS824/AS824</f>
        <v>0</v>
      </c>
      <c r="BU824" s="18">
        <v>0</v>
      </c>
      <c r="BV824" s="16">
        <v>0</v>
      </c>
      <c r="BW824" s="18">
        <f>BV824/AS824</f>
        <v>0</v>
      </c>
      <c r="BX824" s="18">
        <v>0</v>
      </c>
      <c r="BY824" s="16">
        <v>0</v>
      </c>
      <c r="BZ824" s="16">
        <f>BY824/AS824</f>
        <v>0</v>
      </c>
      <c r="CA824" s="24">
        <v>0</v>
      </c>
      <c r="CB824" s="16">
        <v>0</v>
      </c>
      <c r="CC824" s="16">
        <v>0</v>
      </c>
      <c r="CD824" s="78">
        <v>0</v>
      </c>
      <c r="CE824" s="16">
        <v>0</v>
      </c>
      <c r="CF824" s="16">
        <v>0</v>
      </c>
      <c r="CG824" s="16"/>
      <c r="CH824" s="16"/>
      <c r="CI824" s="16"/>
      <c r="CJ824" s="16"/>
      <c r="CK824" s="16"/>
      <c r="CL824" s="16"/>
      <c r="CM824" s="16"/>
      <c r="CN824" s="16"/>
      <c r="CO824" s="16"/>
      <c r="CP824" s="16" t="s">
        <v>123</v>
      </c>
      <c r="CQ824" s="16">
        <v>0</v>
      </c>
      <c r="CR824" s="16">
        <v>0</v>
      </c>
      <c r="CS824" s="18">
        <f>IF(CT824&gt;0,1,0)</f>
        <v>0</v>
      </c>
      <c r="CT824" s="25">
        <f>SUM(CW824,CZ824,DC824)</f>
        <v>0</v>
      </c>
      <c r="CU824" s="25"/>
      <c r="CV824" s="16">
        <v>0</v>
      </c>
      <c r="CW824" s="25">
        <v>0</v>
      </c>
      <c r="CX824" s="16">
        <v>0</v>
      </c>
      <c r="CY824" s="16">
        <v>0</v>
      </c>
      <c r="CZ824" s="18">
        <v>0</v>
      </c>
      <c r="DA824" s="16">
        <v>0</v>
      </c>
      <c r="DB824" s="16">
        <v>0</v>
      </c>
      <c r="DC824" s="18">
        <v>0</v>
      </c>
      <c r="DD824" s="16">
        <v>0</v>
      </c>
      <c r="DE824" s="16">
        <v>0</v>
      </c>
      <c r="DF824" s="16" t="e">
        <f>VLOOKUP(K824,'[3]RNA Seq summary tables'!$V$3:$V$99,1,FALSE)</f>
        <v>#N/A</v>
      </c>
      <c r="DG824" s="16"/>
      <c r="DH824" s="16"/>
      <c r="DI824" s="16"/>
      <c r="DJ824" s="16"/>
      <c r="DK824" s="16"/>
      <c r="DL824" s="16"/>
      <c r="DM824" s="16"/>
      <c r="DN824" s="16"/>
      <c r="DO824" s="16"/>
      <c r="DP824" s="16"/>
      <c r="DQ824" s="16"/>
      <c r="DR824" s="16"/>
      <c r="DS824" s="16"/>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18"/>
      <c r="EQ824" s="18"/>
      <c r="ER824" s="18"/>
      <c r="ES824" s="18"/>
      <c r="ET824" s="18"/>
      <c r="EU824" s="18"/>
      <c r="EV824" s="18"/>
      <c r="EW824" s="18"/>
      <c r="EX824" s="18"/>
      <c r="EY824" s="18"/>
      <c r="EZ824" s="18"/>
      <c r="FA824" s="18"/>
      <c r="FB824" s="18"/>
      <c r="FC824" s="18"/>
      <c r="FD824" s="18"/>
      <c r="FE824" s="18"/>
      <c r="FF824" s="18"/>
      <c r="FG824" s="18"/>
      <c r="FH824" s="18"/>
      <c r="FI824" s="18"/>
      <c r="FJ824" s="18"/>
      <c r="FK824" s="18"/>
      <c r="FL824" s="18"/>
      <c r="FM824" s="18"/>
      <c r="FN824" s="18"/>
      <c r="FO824" s="18"/>
      <c r="FP824" s="18"/>
      <c r="FQ824" s="18"/>
      <c r="FR824" s="18"/>
      <c r="FS824" s="18"/>
      <c r="FT824" s="18"/>
      <c r="FU824" s="18"/>
      <c r="FV824" s="18"/>
      <c r="FW824" s="18"/>
      <c r="FX824" s="18"/>
      <c r="FY824" s="18"/>
      <c r="FZ824" s="18"/>
      <c r="GA824" s="18"/>
      <c r="GB824" s="18"/>
      <c r="GC824" s="18"/>
      <c r="GD824" s="18"/>
      <c r="GE824" s="18"/>
      <c r="GF824" s="18"/>
      <c r="GG824" s="18"/>
      <c r="GH824" s="18"/>
      <c r="GI824" s="18"/>
      <c r="GJ824" s="18"/>
      <c r="GK824" s="18"/>
      <c r="GL824" s="18"/>
      <c r="GM824" s="18"/>
      <c r="GN824" s="18"/>
      <c r="GO824" s="18"/>
      <c r="GP824" s="18"/>
      <c r="GQ824" s="18"/>
      <c r="GR824" s="18"/>
      <c r="GS824" s="18"/>
      <c r="GT824" s="18"/>
      <c r="GU824" s="18"/>
      <c r="GV824" s="18"/>
      <c r="GW824" s="18"/>
      <c r="GX824" s="18"/>
      <c r="GY824" s="18"/>
      <c r="GZ824" s="18"/>
      <c r="HA824" s="18"/>
      <c r="HB824" s="18"/>
      <c r="HC824" s="18"/>
      <c r="HD824" s="18"/>
      <c r="HE824" s="18"/>
      <c r="HF824" s="18"/>
      <c r="HG824" s="18"/>
      <c r="HH824" s="18"/>
      <c r="HI824" s="18"/>
      <c r="HJ824" s="18"/>
      <c r="HK824" s="18"/>
      <c r="HL824" s="18"/>
      <c r="HM824" s="18"/>
      <c r="HN824" s="18"/>
      <c r="HO824" s="18"/>
      <c r="HP824" s="18"/>
      <c r="HQ824" s="18"/>
      <c r="HR824" s="18"/>
      <c r="HS824" s="18"/>
      <c r="HT824" s="18"/>
      <c r="HU824" s="18"/>
      <c r="HV824" s="18"/>
      <c r="HW824" s="18"/>
      <c r="HX824" s="18"/>
      <c r="HY824" s="18"/>
      <c r="HZ824" s="18"/>
      <c r="IA824" s="18"/>
      <c r="IB824" s="18"/>
      <c r="IC824" s="18"/>
      <c r="ID824" s="18"/>
      <c r="IE824" s="18"/>
      <c r="IF824" s="18"/>
      <c r="IG824" s="18"/>
      <c r="IH824" s="18"/>
      <c r="II824" s="18"/>
      <c r="IJ824" s="18"/>
      <c r="IK824" s="18"/>
      <c r="IL824" s="18"/>
      <c r="IM824" s="18"/>
      <c r="IN824" s="18"/>
      <c r="IO824" s="18"/>
      <c r="IP824" s="18"/>
      <c r="IQ824" s="18"/>
      <c r="IR824" s="18"/>
      <c r="IS824" s="18"/>
      <c r="IT824" s="18"/>
      <c r="IU824" s="18"/>
      <c r="IV824" s="18"/>
      <c r="IW824" s="18"/>
      <c r="IX824" s="18"/>
      <c r="IY824" s="18"/>
      <c r="IZ824" s="18"/>
      <c r="JA824" s="18"/>
      <c r="JB824" s="18"/>
      <c r="JC824" s="18"/>
      <c r="JD824" s="18"/>
      <c r="JE824" s="18"/>
      <c r="JF824" s="18"/>
      <c r="JG824" s="18"/>
      <c r="JH824" s="18"/>
      <c r="JI824" s="18"/>
      <c r="JJ824" s="18"/>
      <c r="JK824" s="18"/>
      <c r="JL824" s="18"/>
      <c r="JM824" s="18"/>
      <c r="JN824" s="18"/>
      <c r="JO824" s="16"/>
      <c r="JP824" s="16"/>
      <c r="JQ824" s="16"/>
      <c r="JR824" s="16"/>
      <c r="JS824" s="16"/>
      <c r="JT824" s="16"/>
      <c r="JU824" s="16"/>
      <c r="JV824" s="16"/>
      <c r="JW824" s="16"/>
      <c r="JX824" s="16"/>
      <c r="JY824" s="16"/>
      <c r="JZ824" s="16"/>
      <c r="KA824" s="16"/>
      <c r="KB824" s="16"/>
    </row>
    <row r="825" spans="1:288" s="38" customFormat="1" x14ac:dyDescent="0.2">
      <c r="A825" s="18"/>
      <c r="B825" s="16">
        <v>2016</v>
      </c>
      <c r="C825" s="20">
        <v>42572</v>
      </c>
      <c r="D825" s="20" t="str">
        <f>CONCATENATE(J825,"-",C825)</f>
        <v>996-42572</v>
      </c>
      <c r="E825" s="20" t="str">
        <f>CONCATENATE(T825,"-",U825,"-",C825)</f>
        <v>PO2-C6-42572</v>
      </c>
      <c r="F825" s="20" t="s">
        <v>106</v>
      </c>
      <c r="G825" s="20" t="s">
        <v>107</v>
      </c>
      <c r="H825" s="16"/>
      <c r="I825" s="16">
        <v>0</v>
      </c>
      <c r="J825" s="21">
        <v>996</v>
      </c>
      <c r="K825" s="21">
        <v>1501</v>
      </c>
      <c r="L825" s="18">
        <v>0</v>
      </c>
      <c r="M825" s="15">
        <f>VLOOKUP(K825,'[7]MLBS 2016 SNV-nem Coinfection d'!$C$1:$G$238,4,FALSE)</f>
        <v>0</v>
      </c>
      <c r="N825" s="15">
        <v>0</v>
      </c>
      <c r="O825" s="15" t="s">
        <v>214</v>
      </c>
      <c r="P825" s="16" t="s">
        <v>110</v>
      </c>
      <c r="Q825" s="16">
        <v>1</v>
      </c>
      <c r="R825" s="16">
        <v>13</v>
      </c>
      <c r="S825" s="16"/>
      <c r="T825" s="16" t="s">
        <v>127</v>
      </c>
      <c r="U825" s="16" t="s">
        <v>213</v>
      </c>
      <c r="V825" s="16" t="s">
        <v>114</v>
      </c>
      <c r="W825" s="16">
        <f>AI825/AG825</f>
        <v>0.9135802469135802</v>
      </c>
      <c r="X825" s="16" t="s">
        <v>121</v>
      </c>
      <c r="Y825" s="16" t="s">
        <v>122</v>
      </c>
      <c r="Z825" s="16">
        <v>2.6</v>
      </c>
      <c r="AA825" s="16" t="s">
        <v>161</v>
      </c>
      <c r="AB825" s="16" t="s">
        <v>123</v>
      </c>
      <c r="AC825" s="16" t="s">
        <v>123</v>
      </c>
      <c r="AD825" s="16" t="s">
        <v>116</v>
      </c>
      <c r="AE825" s="16"/>
      <c r="AF825" s="16"/>
      <c r="AG825" s="16">
        <f>AH825-AI825</f>
        <v>81</v>
      </c>
      <c r="AH825" s="16">
        <v>155</v>
      </c>
      <c r="AI825" s="18">
        <v>74</v>
      </c>
      <c r="AJ825" s="18"/>
      <c r="AK825" s="16">
        <v>18.5</v>
      </c>
      <c r="AL825" s="16">
        <v>1</v>
      </c>
      <c r="AM825" s="16">
        <v>0</v>
      </c>
      <c r="AN825" s="16">
        <v>0</v>
      </c>
      <c r="AO825" s="16">
        <f>IF(SUM(AL825:AN825)&gt;0,1,0)</f>
        <v>1</v>
      </c>
      <c r="AP825" s="16">
        <f>SUM(AL825:AN825)</f>
        <v>1</v>
      </c>
      <c r="AQ825" s="16">
        <v>1.575</v>
      </c>
      <c r="AR825" s="16">
        <v>9.8000000000000004E-2</v>
      </c>
      <c r="AS825" s="16">
        <v>9.8000000000000004E-2</v>
      </c>
      <c r="AT825" s="16" t="s">
        <v>205</v>
      </c>
      <c r="AU825" s="16"/>
      <c r="AV825" s="16">
        <v>1</v>
      </c>
      <c r="AW825" s="18">
        <v>0</v>
      </c>
      <c r="AX825" s="16">
        <v>0</v>
      </c>
      <c r="AY825" s="16">
        <v>0</v>
      </c>
      <c r="AZ825" s="18">
        <v>0</v>
      </c>
      <c r="BA825" s="16">
        <v>0</v>
      </c>
      <c r="BB825" s="16">
        <v>0</v>
      </c>
      <c r="BC825" s="18">
        <v>0</v>
      </c>
      <c r="BD825" s="16">
        <v>0</v>
      </c>
      <c r="BE825" s="16">
        <v>0</v>
      </c>
      <c r="BF825" s="18">
        <v>0</v>
      </c>
      <c r="BG825" s="77">
        <v>0</v>
      </c>
      <c r="BH825" s="16">
        <v>0</v>
      </c>
      <c r="BI825" s="18">
        <v>0</v>
      </c>
      <c r="BJ825" s="16">
        <v>0</v>
      </c>
      <c r="BK825" s="16">
        <v>0</v>
      </c>
      <c r="BL825" s="16">
        <f>IF(BM825&gt;0,1,0)</f>
        <v>0</v>
      </c>
      <c r="BM825" s="16">
        <f>SUM(BR825,BU825,BX825,CA825,CD825,CG825,CJ825,CM825,CP825)</f>
        <v>0</v>
      </c>
      <c r="BN825" s="16">
        <f>SUM(BW825,BZ825,CC825,CF825,CI825,CL825,CO825,CR825,BT825)</f>
        <v>0</v>
      </c>
      <c r="BO825" s="16">
        <f>IF(BP825&gt;0,1,0)</f>
        <v>0</v>
      </c>
      <c r="BP825" s="16">
        <f>SUM(BU825,BX825,CA825,CD825,BR825)</f>
        <v>0</v>
      </c>
      <c r="BQ825" s="16">
        <f>SUM(BZ825,CC825,CF825,BT825,BW825)</f>
        <v>0</v>
      </c>
      <c r="BR825" s="18">
        <v>0</v>
      </c>
      <c r="BS825" s="16">
        <v>0</v>
      </c>
      <c r="BT825" s="77">
        <f>BS825/AS825</f>
        <v>0</v>
      </c>
      <c r="BU825" s="18">
        <v>0</v>
      </c>
      <c r="BV825" s="16">
        <v>0</v>
      </c>
      <c r="BW825" s="18">
        <f>BV825/AS825</f>
        <v>0</v>
      </c>
      <c r="BX825" s="18">
        <v>0</v>
      </c>
      <c r="BY825" s="16">
        <v>0</v>
      </c>
      <c r="BZ825" s="16">
        <f>BY825/AS825</f>
        <v>0</v>
      </c>
      <c r="CA825" s="24">
        <v>0</v>
      </c>
      <c r="CB825" s="16">
        <v>0</v>
      </c>
      <c r="CC825" s="16">
        <v>0</v>
      </c>
      <c r="CD825" s="78">
        <v>0</v>
      </c>
      <c r="CE825" s="16">
        <v>0</v>
      </c>
      <c r="CF825" s="16">
        <v>0</v>
      </c>
      <c r="CG825" s="16"/>
      <c r="CH825" s="16"/>
      <c r="CI825" s="16"/>
      <c r="CJ825" s="16"/>
      <c r="CK825" s="16"/>
      <c r="CL825" s="16"/>
      <c r="CM825" s="16"/>
      <c r="CN825" s="16"/>
      <c r="CO825" s="16"/>
      <c r="CP825" s="16" t="s">
        <v>123</v>
      </c>
      <c r="CQ825" s="16">
        <v>0</v>
      </c>
      <c r="CR825" s="16">
        <v>0</v>
      </c>
      <c r="CS825" s="18">
        <f>IF(CT825&gt;0,1,0)</f>
        <v>0</v>
      </c>
      <c r="CT825" s="25">
        <f>SUM(CW825,CZ825,DC825)</f>
        <v>0</v>
      </c>
      <c r="CU825" s="25"/>
      <c r="CV825" s="16">
        <v>0</v>
      </c>
      <c r="CW825" s="25">
        <v>0</v>
      </c>
      <c r="CX825" s="16">
        <v>0</v>
      </c>
      <c r="CY825" s="16">
        <v>0</v>
      </c>
      <c r="CZ825" s="18">
        <v>0</v>
      </c>
      <c r="DA825" s="16">
        <v>0</v>
      </c>
      <c r="DB825" s="16">
        <v>0</v>
      </c>
      <c r="DC825" s="18">
        <v>0</v>
      </c>
      <c r="DD825" s="16">
        <v>0</v>
      </c>
      <c r="DE825" s="16">
        <v>0</v>
      </c>
      <c r="DF825" s="16" t="e">
        <f>VLOOKUP(K825,'[3]RNA Seq summary tables'!$V$3:$V$99,1,FALSE)</f>
        <v>#N/A</v>
      </c>
      <c r="DG825" s="16"/>
      <c r="DH825" s="16"/>
      <c r="DI825" s="16"/>
      <c r="DJ825" s="16"/>
      <c r="DK825" s="16"/>
      <c r="DL825" s="16"/>
      <c r="DM825" s="16"/>
      <c r="DN825" s="16"/>
      <c r="DO825" s="16"/>
      <c r="DP825" s="16"/>
      <c r="DQ825" s="16"/>
      <c r="DR825" s="16"/>
      <c r="DS825" s="16"/>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18"/>
      <c r="EQ825" s="18"/>
      <c r="ER825" s="18"/>
      <c r="ES825" s="18"/>
      <c r="ET825" s="18"/>
      <c r="EU825" s="18"/>
      <c r="EV825" s="18"/>
      <c r="EW825" s="18"/>
      <c r="EX825" s="18"/>
      <c r="EY825" s="18"/>
      <c r="EZ825" s="18"/>
      <c r="FA825" s="18"/>
      <c r="FB825" s="18"/>
      <c r="FC825" s="18"/>
      <c r="FD825" s="18"/>
      <c r="FE825" s="18"/>
      <c r="FF825" s="18"/>
      <c r="FG825" s="18"/>
      <c r="FH825" s="18"/>
      <c r="FI825" s="18"/>
      <c r="FJ825" s="18"/>
      <c r="FK825" s="18"/>
      <c r="FL825" s="18"/>
      <c r="FM825" s="18"/>
      <c r="FN825" s="18"/>
      <c r="FO825" s="18"/>
      <c r="FP825" s="18"/>
      <c r="FQ825" s="18"/>
      <c r="FR825" s="18"/>
      <c r="FS825" s="18"/>
      <c r="FT825" s="18"/>
      <c r="FU825" s="18"/>
      <c r="FV825" s="18"/>
      <c r="FW825" s="18"/>
      <c r="FX825" s="18"/>
      <c r="FY825" s="18"/>
      <c r="FZ825" s="18"/>
      <c r="GA825" s="18"/>
      <c r="GB825" s="18"/>
      <c r="GC825" s="18"/>
      <c r="GD825" s="18"/>
      <c r="GE825" s="18"/>
      <c r="GF825" s="18"/>
      <c r="GG825" s="18"/>
      <c r="GH825" s="18"/>
      <c r="GI825" s="18"/>
      <c r="GJ825" s="18"/>
      <c r="GK825" s="18"/>
      <c r="GL825" s="18"/>
      <c r="GM825" s="18"/>
      <c r="GN825" s="18"/>
      <c r="GO825" s="18"/>
      <c r="GP825" s="18"/>
      <c r="GQ825" s="18"/>
      <c r="GR825" s="18"/>
      <c r="GS825" s="18"/>
      <c r="GT825" s="18"/>
      <c r="GU825" s="18"/>
      <c r="GV825" s="18"/>
      <c r="GW825" s="18"/>
      <c r="GX825" s="18"/>
      <c r="GY825" s="18"/>
      <c r="GZ825" s="18"/>
      <c r="HA825" s="18"/>
      <c r="HB825" s="18"/>
      <c r="HC825" s="18"/>
      <c r="HD825" s="18"/>
      <c r="HE825" s="18"/>
      <c r="HF825" s="18"/>
      <c r="HG825" s="18"/>
      <c r="HH825" s="18"/>
      <c r="HI825" s="18"/>
      <c r="HJ825" s="18"/>
      <c r="HK825" s="18"/>
      <c r="HL825" s="18"/>
      <c r="HM825" s="18"/>
      <c r="HN825" s="18"/>
      <c r="HO825" s="18"/>
      <c r="HP825" s="18"/>
      <c r="HQ825" s="18"/>
      <c r="HR825" s="18"/>
      <c r="HS825" s="18"/>
      <c r="HT825" s="18"/>
      <c r="HU825" s="18"/>
      <c r="HV825" s="18"/>
      <c r="HW825" s="18"/>
      <c r="HX825" s="18"/>
      <c r="HY825" s="18"/>
      <c r="HZ825" s="18"/>
      <c r="IA825" s="18"/>
      <c r="IB825" s="18"/>
      <c r="IC825" s="18"/>
      <c r="ID825" s="18"/>
      <c r="IE825" s="18"/>
      <c r="IF825" s="18"/>
      <c r="IG825" s="18"/>
      <c r="IH825" s="18"/>
      <c r="II825" s="18"/>
      <c r="IJ825" s="18"/>
      <c r="IK825" s="18"/>
      <c r="IL825" s="18"/>
      <c r="IM825" s="18"/>
      <c r="IN825" s="18"/>
      <c r="IO825" s="18"/>
      <c r="IP825" s="18"/>
      <c r="IQ825" s="18"/>
      <c r="IR825" s="18"/>
      <c r="IS825" s="18"/>
      <c r="IT825" s="18"/>
      <c r="IU825" s="18"/>
      <c r="IV825" s="18"/>
      <c r="IW825" s="18"/>
      <c r="IX825" s="18"/>
      <c r="IY825" s="18"/>
      <c r="IZ825" s="18"/>
      <c r="JA825" s="18"/>
      <c r="JB825" s="18"/>
      <c r="JC825" s="18"/>
      <c r="JD825" s="18"/>
      <c r="JE825" s="18"/>
      <c r="JF825" s="18"/>
      <c r="JG825" s="18"/>
      <c r="JH825" s="18"/>
      <c r="JI825" s="18"/>
      <c r="JJ825" s="18"/>
      <c r="JK825" s="18"/>
      <c r="JL825" s="18"/>
      <c r="JM825" s="18"/>
      <c r="JN825" s="18"/>
      <c r="JO825" s="16"/>
      <c r="JP825" s="16"/>
      <c r="JQ825" s="16"/>
      <c r="JR825" s="26"/>
      <c r="JS825" s="26"/>
      <c r="JT825" s="26"/>
      <c r="JU825" s="26"/>
      <c r="JV825" s="26"/>
      <c r="JW825" s="26"/>
      <c r="JX825" s="26"/>
      <c r="JY825" s="26"/>
      <c r="JZ825" s="26"/>
      <c r="KA825" s="26"/>
      <c r="KB825" s="26"/>
    </row>
    <row r="826" spans="1:288" s="38" customFormat="1" x14ac:dyDescent="0.2">
      <c r="A826" s="18"/>
      <c r="B826" s="16">
        <v>2016</v>
      </c>
      <c r="C826" s="20">
        <v>42600</v>
      </c>
      <c r="D826" s="20" t="str">
        <f>CONCATENATE(J826,"-",C826)</f>
        <v>996-42600</v>
      </c>
      <c r="E826" s="20" t="str">
        <f>CONCATENATE(T826,"-",U826,"-",C826)</f>
        <v>PO2-A8-42600</v>
      </c>
      <c r="F826" s="20" t="s">
        <v>227</v>
      </c>
      <c r="G826" s="20" t="s">
        <v>107</v>
      </c>
      <c r="H826" s="16"/>
      <c r="I826" s="16">
        <v>0</v>
      </c>
      <c r="J826" s="21">
        <v>996</v>
      </c>
      <c r="K826" s="21">
        <v>1553</v>
      </c>
      <c r="L826" s="18">
        <v>0</v>
      </c>
      <c r="M826" s="15">
        <f>VLOOKUP(K826,'[7]MLBS 2016 SNV-nem Coinfection d'!$C$1:$G$238,4,FALSE)</f>
        <v>0</v>
      </c>
      <c r="N826" s="15">
        <v>0</v>
      </c>
      <c r="O826" s="15" t="s">
        <v>214</v>
      </c>
      <c r="P826" s="16" t="s">
        <v>110</v>
      </c>
      <c r="Q826" s="16">
        <v>1</v>
      </c>
      <c r="R826" s="16">
        <v>28</v>
      </c>
      <c r="S826" s="16"/>
      <c r="T826" s="16" t="s">
        <v>127</v>
      </c>
      <c r="U826" s="16" t="s">
        <v>194</v>
      </c>
      <c r="V826" s="16" t="s">
        <v>114</v>
      </c>
      <c r="W826" s="16">
        <f>AI826/AG826</f>
        <v>0.84090909090909094</v>
      </c>
      <c r="X826" s="16" t="s">
        <v>121</v>
      </c>
      <c r="Y826" s="16" t="s">
        <v>110</v>
      </c>
      <c r="Z826" s="16">
        <v>3</v>
      </c>
      <c r="AA826" s="16" t="s">
        <v>161</v>
      </c>
      <c r="AB826" s="16" t="s">
        <v>123</v>
      </c>
      <c r="AC826" s="16" t="s">
        <v>116</v>
      </c>
      <c r="AD826" s="16" t="s">
        <v>116</v>
      </c>
      <c r="AE826" s="16"/>
      <c r="AF826" s="16"/>
      <c r="AG826" s="16">
        <f>AH826-AI826</f>
        <v>88</v>
      </c>
      <c r="AH826" s="16">
        <v>162</v>
      </c>
      <c r="AI826" s="18">
        <v>74</v>
      </c>
      <c r="AJ826" s="18"/>
      <c r="AK826" s="16">
        <v>32</v>
      </c>
      <c r="AL826" s="16">
        <v>0</v>
      </c>
      <c r="AM826" s="16">
        <v>0</v>
      </c>
      <c r="AN826" s="16">
        <v>1</v>
      </c>
      <c r="AO826" s="16">
        <f>IF(SUM(AL826:AN826)&gt;0,1,0)</f>
        <v>1</v>
      </c>
      <c r="AP826" s="16">
        <f>SUM(AL826:AN826)</f>
        <v>1</v>
      </c>
      <c r="AQ826" s="16">
        <v>1.89</v>
      </c>
      <c r="AR826" s="16">
        <v>0.41299999999999998</v>
      </c>
      <c r="AS826" s="16">
        <v>0.41299999999999998</v>
      </c>
      <c r="AT826" s="16" t="s">
        <v>205</v>
      </c>
      <c r="AU826" s="16"/>
      <c r="AV826" s="16"/>
      <c r="AW826" s="22">
        <v>1</v>
      </c>
      <c r="AX826" s="24">
        <v>4</v>
      </c>
      <c r="AY826" s="16">
        <f>(48+211+7+2)/AS826</f>
        <v>648.91041162227611</v>
      </c>
      <c r="AZ826" s="18">
        <v>1</v>
      </c>
      <c r="BA826" s="24">
        <v>3</v>
      </c>
      <c r="BB826" s="16">
        <f>(48+211+7)/AS826</f>
        <v>644.06779661016958</v>
      </c>
      <c r="BC826" s="16">
        <v>1</v>
      </c>
      <c r="BD826" s="24">
        <v>48</v>
      </c>
      <c r="BE826" s="16">
        <f>48/AS826</f>
        <v>116.22276029055691</v>
      </c>
      <c r="BF826" s="18">
        <v>1</v>
      </c>
      <c r="BG826" s="92">
        <v>211</v>
      </c>
      <c r="BH826" s="16">
        <f>211/AS826</f>
        <v>510.89588377723976</v>
      </c>
      <c r="BI826" s="16">
        <v>1</v>
      </c>
      <c r="BJ826" s="24">
        <v>7</v>
      </c>
      <c r="BK826" s="16">
        <f>7/AS826</f>
        <v>16.949152542372882</v>
      </c>
      <c r="BL826" s="16">
        <f>IF(BM826&gt;0,1,0)</f>
        <v>1</v>
      </c>
      <c r="BM826" s="16">
        <f>SUM(BR826,BU826,BX826,CA826,CD826,CG826,CJ826,CM826,CP826)</f>
        <v>1</v>
      </c>
      <c r="BN826" s="16">
        <f>SUM(BW826,BZ826,CC826,CF826,CI826,CL826,CO826,CR826,BT826)</f>
        <v>4.8426150121065374</v>
      </c>
      <c r="BO826" s="16">
        <f>IF(BP826&gt;0,1,0)</f>
        <v>1</v>
      </c>
      <c r="BP826" s="16">
        <f>SUM(BU826,BX826,CA826,CD826,BR826)</f>
        <v>1</v>
      </c>
      <c r="BQ826" s="16">
        <f>SUM(BZ826,CC826,CF826,BT826,BW826)</f>
        <v>4.8426150121065374</v>
      </c>
      <c r="BR826" s="18">
        <v>0</v>
      </c>
      <c r="BS826" s="24">
        <v>0</v>
      </c>
      <c r="BT826" s="77">
        <f>BS826/AS826</f>
        <v>0</v>
      </c>
      <c r="BU826" s="18">
        <v>0</v>
      </c>
      <c r="BV826" s="24">
        <v>0</v>
      </c>
      <c r="BW826" s="18">
        <f>BV826/AS826</f>
        <v>0</v>
      </c>
      <c r="BX826" s="24">
        <v>0</v>
      </c>
      <c r="BY826" s="24">
        <v>0</v>
      </c>
      <c r="BZ826" s="16">
        <f>BY826/AS826</f>
        <v>0</v>
      </c>
      <c r="CA826" s="24">
        <v>1</v>
      </c>
      <c r="CB826" s="24">
        <v>2</v>
      </c>
      <c r="CC826" s="16">
        <f>2/AS826</f>
        <v>4.8426150121065374</v>
      </c>
      <c r="CD826" s="77">
        <v>0</v>
      </c>
      <c r="CE826" s="24">
        <v>0</v>
      </c>
      <c r="CF826" s="24">
        <v>0</v>
      </c>
      <c r="CG826" s="24"/>
      <c r="CH826" s="24"/>
      <c r="CI826" s="24"/>
      <c r="CJ826" s="24"/>
      <c r="CK826" s="24"/>
      <c r="CL826" s="24"/>
      <c r="CM826" s="24"/>
      <c r="CN826" s="24"/>
      <c r="CO826" s="24"/>
      <c r="CP826" s="24" t="s">
        <v>123</v>
      </c>
      <c r="CQ826" s="24">
        <v>0</v>
      </c>
      <c r="CR826" s="24">
        <v>0</v>
      </c>
      <c r="CS826" s="18">
        <f>IF(CT826&gt;0,1,0)</f>
        <v>0</v>
      </c>
      <c r="CT826" s="25">
        <f>SUM(CW826,CZ826,DC826)</f>
        <v>0</v>
      </c>
      <c r="CU826" s="25"/>
      <c r="CV826" s="24">
        <v>0</v>
      </c>
      <c r="CW826" s="25">
        <v>0</v>
      </c>
      <c r="CX826" s="24">
        <v>0</v>
      </c>
      <c r="CY826" s="24">
        <v>0</v>
      </c>
      <c r="CZ826" s="18">
        <v>0</v>
      </c>
      <c r="DA826" s="24">
        <v>0</v>
      </c>
      <c r="DB826" s="24">
        <v>0</v>
      </c>
      <c r="DC826" s="18">
        <v>0</v>
      </c>
      <c r="DD826" s="24">
        <v>0</v>
      </c>
      <c r="DE826" s="24">
        <v>0</v>
      </c>
      <c r="DF826" s="16" t="e">
        <f>VLOOKUP(K826,'[3]RNA Seq summary tables'!$V$3:$V$99,1,FALSE)</f>
        <v>#N/A</v>
      </c>
      <c r="DG826" s="16">
        <v>1</v>
      </c>
      <c r="DH826" s="16" t="str">
        <f>VLOOKUP(D826,'[8]Data with duplicates'!$B$1:$J$70,9,FALSE)</f>
        <v>sample.56dup</v>
      </c>
      <c r="DI826" s="16"/>
      <c r="DJ826" s="16"/>
      <c r="DK826" s="16"/>
      <c r="DL826" s="16"/>
      <c r="DM826" s="16"/>
      <c r="DN826" s="16"/>
      <c r="DO826" s="16"/>
      <c r="DP826" s="16"/>
      <c r="DQ826" s="16"/>
      <c r="DR826" s="16"/>
      <c r="DS826" s="16"/>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18"/>
      <c r="EQ826" s="18"/>
      <c r="ER826" s="18"/>
      <c r="ES826" s="18"/>
      <c r="ET826" s="18"/>
      <c r="EU826" s="18"/>
      <c r="EV826" s="18"/>
      <c r="EW826" s="18"/>
      <c r="EX826" s="18"/>
      <c r="EY826" s="18"/>
      <c r="EZ826" s="18"/>
      <c r="FA826" s="18"/>
      <c r="FB826" s="18"/>
      <c r="FC826" s="18"/>
      <c r="FD826" s="18"/>
      <c r="FE826" s="18"/>
      <c r="FF826" s="18"/>
      <c r="FG826" s="18"/>
      <c r="FH826" s="18"/>
      <c r="FI826" s="18"/>
      <c r="FJ826" s="18"/>
      <c r="FK826" s="18"/>
      <c r="FL826" s="18"/>
      <c r="FM826" s="18"/>
      <c r="FN826" s="18"/>
      <c r="FO826" s="18"/>
      <c r="FP826" s="18"/>
      <c r="FQ826" s="18"/>
      <c r="FR826" s="18"/>
      <c r="FS826" s="18"/>
      <c r="FT826" s="18"/>
      <c r="FU826" s="18"/>
      <c r="FV826" s="18"/>
      <c r="FW826" s="18"/>
      <c r="FX826" s="18"/>
      <c r="FY826" s="18"/>
      <c r="FZ826" s="18"/>
      <c r="GA826" s="18"/>
      <c r="GB826" s="18"/>
      <c r="GC826" s="18"/>
      <c r="GD826" s="18"/>
      <c r="GE826" s="18"/>
      <c r="GF826" s="18"/>
      <c r="GG826" s="18"/>
      <c r="GH826" s="18"/>
      <c r="GI826" s="18"/>
      <c r="GJ826" s="18"/>
      <c r="GK826" s="18"/>
      <c r="GL826" s="18"/>
      <c r="GM826" s="18"/>
      <c r="GN826" s="18"/>
      <c r="GO826" s="18"/>
      <c r="GP826" s="18"/>
      <c r="GQ826" s="18"/>
      <c r="GR826" s="18"/>
      <c r="GS826" s="18"/>
      <c r="GT826" s="18"/>
      <c r="GU826" s="18"/>
      <c r="GV826" s="18"/>
      <c r="GW826" s="18"/>
      <c r="GX826" s="18"/>
      <c r="GY826" s="18"/>
      <c r="GZ826" s="18"/>
      <c r="HA826" s="18"/>
      <c r="HB826" s="18"/>
      <c r="HC826" s="18"/>
      <c r="HD826" s="18"/>
      <c r="HE826" s="18"/>
      <c r="HF826" s="18"/>
      <c r="HG826" s="18"/>
      <c r="HH826" s="18"/>
      <c r="HI826" s="18"/>
      <c r="HJ826" s="18"/>
      <c r="HK826" s="18"/>
      <c r="HL826" s="18"/>
      <c r="HM826" s="18"/>
      <c r="HN826" s="18"/>
      <c r="HO826" s="18"/>
      <c r="HP826" s="18"/>
      <c r="HQ826" s="18"/>
      <c r="HR826" s="18"/>
      <c r="HS826" s="18"/>
      <c r="HT826" s="18"/>
      <c r="HU826" s="18"/>
      <c r="HV826" s="18"/>
      <c r="HW826" s="18"/>
      <c r="HX826" s="18"/>
      <c r="HY826" s="18"/>
      <c r="HZ826" s="18"/>
      <c r="IA826" s="18"/>
      <c r="IB826" s="18"/>
      <c r="IC826" s="18"/>
      <c r="ID826" s="18"/>
      <c r="IE826" s="18"/>
      <c r="IF826" s="18"/>
      <c r="IG826" s="18"/>
      <c r="IH826" s="18"/>
      <c r="II826" s="18"/>
      <c r="IJ826" s="18"/>
      <c r="IK826" s="18"/>
      <c r="IL826" s="18"/>
      <c r="IM826" s="18"/>
      <c r="IN826" s="18"/>
      <c r="IO826" s="18"/>
      <c r="IP826" s="18"/>
      <c r="IQ826" s="18"/>
      <c r="IR826" s="18"/>
      <c r="IS826" s="18"/>
      <c r="IT826" s="18"/>
      <c r="IU826" s="18"/>
      <c r="IV826" s="18"/>
      <c r="IW826" s="18"/>
      <c r="IX826" s="18"/>
      <c r="IY826" s="18"/>
      <c r="IZ826" s="18"/>
      <c r="JA826" s="18"/>
      <c r="JB826" s="18"/>
      <c r="JC826" s="18"/>
      <c r="JD826" s="18"/>
      <c r="JE826" s="18"/>
      <c r="JF826" s="18"/>
      <c r="JG826" s="18"/>
      <c r="JH826" s="18"/>
      <c r="JI826" s="18"/>
      <c r="JJ826" s="18"/>
      <c r="JK826" s="18"/>
      <c r="JL826" s="18"/>
      <c r="JM826" s="18"/>
      <c r="JN826" s="18"/>
      <c r="JO826" s="16"/>
      <c r="JP826" s="16"/>
      <c r="JQ826" s="16"/>
      <c r="JR826" s="16"/>
      <c r="JS826" s="16"/>
      <c r="JT826" s="16"/>
      <c r="JU826" s="16"/>
      <c r="JV826" s="16"/>
      <c r="JW826" s="16"/>
      <c r="JX826" s="16"/>
      <c r="JY826" s="16"/>
      <c r="JZ826" s="16"/>
      <c r="KA826" s="16"/>
      <c r="KB826" s="16"/>
    </row>
    <row r="827" spans="1:288" s="38" customFormat="1" x14ac:dyDescent="0.2">
      <c r="A827" s="18"/>
      <c r="B827" s="16">
        <v>2016</v>
      </c>
      <c r="C827" s="37">
        <v>42613</v>
      </c>
      <c r="D827" s="37" t="str">
        <f>CONCATENATE(J827,"-",C827)</f>
        <v>996-42613</v>
      </c>
      <c r="E827" s="20" t="str">
        <f>CONCATENATE(T827,"-",U827,"-",C827)</f>
        <v>PO2-E6-42613</v>
      </c>
      <c r="F827" s="20" t="s">
        <v>227</v>
      </c>
      <c r="G827" s="20" t="s">
        <v>107</v>
      </c>
      <c r="H827" s="18"/>
      <c r="I827" s="16">
        <v>0</v>
      </c>
      <c r="J827" s="36">
        <v>996</v>
      </c>
      <c r="K827" s="36">
        <v>1569</v>
      </c>
      <c r="L827" s="18">
        <v>0</v>
      </c>
      <c r="M827" s="15">
        <f>VLOOKUP(K827,'[7]MLBS 2016 SNV-nem Coinfection d'!$C$1:$G$238,4,FALSE)</f>
        <v>0</v>
      </c>
      <c r="N827" s="15">
        <v>0</v>
      </c>
      <c r="O827" s="15" t="s">
        <v>214</v>
      </c>
      <c r="P827" s="18" t="s">
        <v>110</v>
      </c>
      <c r="Q827" s="16">
        <v>1</v>
      </c>
      <c r="R827" s="18">
        <v>13</v>
      </c>
      <c r="S827" s="18"/>
      <c r="T827" s="18" t="s">
        <v>127</v>
      </c>
      <c r="U827" s="18" t="s">
        <v>232</v>
      </c>
      <c r="V827" s="18" t="s">
        <v>114</v>
      </c>
      <c r="W827" s="16">
        <f>AI827/AG827</f>
        <v>0.83870967741935487</v>
      </c>
      <c r="X827" s="18" t="s">
        <v>121</v>
      </c>
      <c r="Y827" s="18" t="s">
        <v>110</v>
      </c>
      <c r="Z827" s="18">
        <v>3</v>
      </c>
      <c r="AA827" s="18" t="s">
        <v>161</v>
      </c>
      <c r="AB827" s="18" t="s">
        <v>116</v>
      </c>
      <c r="AC827" s="18" t="s">
        <v>123</v>
      </c>
      <c r="AD827" s="18" t="s">
        <v>116</v>
      </c>
      <c r="AE827" s="18"/>
      <c r="AF827" s="18"/>
      <c r="AG827" s="18">
        <f>AH827-AI827</f>
        <v>93</v>
      </c>
      <c r="AH827" s="18">
        <v>171</v>
      </c>
      <c r="AI827" s="18">
        <v>78</v>
      </c>
      <c r="AJ827" s="18"/>
      <c r="AK827" s="18">
        <v>28</v>
      </c>
      <c r="AL827" s="16">
        <v>0</v>
      </c>
      <c r="AM827" s="16">
        <v>0</v>
      </c>
      <c r="AN827" s="16">
        <v>1</v>
      </c>
      <c r="AO827" s="16">
        <f>IF(SUM(AL827:AN827)&gt;0,1,0)</f>
        <v>1</v>
      </c>
      <c r="AP827" s="16">
        <f>SUM(AL827:AN827)</f>
        <v>1</v>
      </c>
      <c r="AQ827" s="18"/>
      <c r="AR827" s="18">
        <v>0.48899999999999999</v>
      </c>
      <c r="AS827" s="18">
        <v>0.48899999999999999</v>
      </c>
      <c r="AT827" s="18" t="s">
        <v>212</v>
      </c>
      <c r="AU827" s="18"/>
      <c r="AV827" s="18"/>
      <c r="AW827" s="22">
        <v>1</v>
      </c>
      <c r="AX827" s="18">
        <v>1</v>
      </c>
      <c r="AY827" s="18">
        <f>15/0.489</f>
        <v>30.674846625766872</v>
      </c>
      <c r="AZ827" s="18">
        <v>1</v>
      </c>
      <c r="BA827" s="18">
        <v>1</v>
      </c>
      <c r="BB827" s="18">
        <f>AY827</f>
        <v>30.674846625766872</v>
      </c>
      <c r="BC827" s="18">
        <v>0</v>
      </c>
      <c r="BD827" s="18">
        <v>0</v>
      </c>
      <c r="BE827" s="18">
        <v>0</v>
      </c>
      <c r="BF827" s="18">
        <v>1</v>
      </c>
      <c r="BG827" s="78">
        <v>15</v>
      </c>
      <c r="BH827" s="18">
        <f>15/0.489</f>
        <v>30.674846625766872</v>
      </c>
      <c r="BI827" s="18">
        <v>0</v>
      </c>
      <c r="BJ827" s="18">
        <v>0</v>
      </c>
      <c r="BK827" s="18">
        <v>0</v>
      </c>
      <c r="BL827" s="16">
        <f>IF(BM827&gt;0,1,0)</f>
        <v>0</v>
      </c>
      <c r="BM827" s="16">
        <f>SUM(BR827,BU827,BX827,CA827,CD827,CG827,CJ827,CM827,CP827)</f>
        <v>0</v>
      </c>
      <c r="BN827" s="16">
        <f>SUM(BW827,BZ827,CC827,CF827,CI827,CL827,CO827,CR827,BT827)</f>
        <v>0</v>
      </c>
      <c r="BO827" s="16">
        <f>IF(BP827&gt;0,1,0)</f>
        <v>0</v>
      </c>
      <c r="BP827" s="16">
        <f>SUM(BU827,BX827,CA827,CD827,BR827)</f>
        <v>0</v>
      </c>
      <c r="BQ827" s="16">
        <f>SUM(BZ827,CC827,CF827,BT827,BW827)</f>
        <v>0</v>
      </c>
      <c r="BR827" s="18">
        <v>0</v>
      </c>
      <c r="BS827" s="18">
        <v>0</v>
      </c>
      <c r="BT827" s="77">
        <f>BS827/AS827</f>
        <v>0</v>
      </c>
      <c r="BU827" s="18">
        <v>0</v>
      </c>
      <c r="BV827" s="18">
        <v>0</v>
      </c>
      <c r="BW827" s="18">
        <f>BV827/AS827</f>
        <v>0</v>
      </c>
      <c r="BX827" s="18">
        <v>0</v>
      </c>
      <c r="BY827" s="18">
        <v>0</v>
      </c>
      <c r="BZ827" s="16">
        <f>BY827/AS827</f>
        <v>0</v>
      </c>
      <c r="CA827" s="24">
        <v>0</v>
      </c>
      <c r="CB827" s="18">
        <v>0</v>
      </c>
      <c r="CC827" s="18">
        <v>0</v>
      </c>
      <c r="CD827" s="78">
        <v>0</v>
      </c>
      <c r="CE827" s="18">
        <v>0</v>
      </c>
      <c r="CF827" s="18">
        <v>0</v>
      </c>
      <c r="CG827" s="18"/>
      <c r="CH827" s="18"/>
      <c r="CI827" s="18"/>
      <c r="CJ827" s="18"/>
      <c r="CK827" s="18"/>
      <c r="CL827" s="18"/>
      <c r="CM827" s="18"/>
      <c r="CN827" s="18"/>
      <c r="CO827" s="18"/>
      <c r="CP827" s="18" t="s">
        <v>123</v>
      </c>
      <c r="CQ827" s="18">
        <v>0</v>
      </c>
      <c r="CR827" s="18">
        <v>0</v>
      </c>
      <c r="CS827" s="18">
        <f>IF(CT827&gt;0,1,0)</f>
        <v>0</v>
      </c>
      <c r="CT827" s="25">
        <f>SUM(CW827,CZ827,DC827)</f>
        <v>0</v>
      </c>
      <c r="CU827" s="25"/>
      <c r="CV827" s="18">
        <v>0</v>
      </c>
      <c r="CW827" s="25">
        <v>0</v>
      </c>
      <c r="CX827" s="18">
        <v>0</v>
      </c>
      <c r="CY827" s="18">
        <v>0</v>
      </c>
      <c r="CZ827" s="18">
        <v>0</v>
      </c>
      <c r="DA827" s="18">
        <v>0</v>
      </c>
      <c r="DB827" s="18">
        <v>0</v>
      </c>
      <c r="DC827" s="18">
        <v>0</v>
      </c>
      <c r="DD827" s="18">
        <v>0</v>
      </c>
      <c r="DE827" s="18">
        <v>0</v>
      </c>
      <c r="DF827" s="16" t="e">
        <f>VLOOKUP(K827,'[3]RNA Seq summary tables'!$V$3:$V$99,1,FALSE)</f>
        <v>#N/A</v>
      </c>
      <c r="DG827" s="16">
        <v>1</v>
      </c>
      <c r="DH827" s="16" t="str">
        <f>VLOOKUP(D827,'[8]Data with duplicates'!$B$1:$J$70,9,FALSE)</f>
        <v>sample.57</v>
      </c>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18"/>
      <c r="EQ827" s="18"/>
      <c r="ER827" s="18"/>
      <c r="ES827" s="18"/>
      <c r="ET827" s="18"/>
      <c r="EU827" s="18"/>
      <c r="EV827" s="18"/>
      <c r="EW827" s="18"/>
      <c r="EX827" s="18"/>
      <c r="EY827" s="18"/>
      <c r="EZ827" s="18"/>
      <c r="FA827" s="18"/>
      <c r="FB827" s="18"/>
      <c r="FC827" s="18"/>
      <c r="FD827" s="18"/>
      <c r="FE827" s="18"/>
      <c r="FF827" s="18"/>
      <c r="FG827" s="18"/>
      <c r="FH827" s="18"/>
      <c r="FI827" s="18"/>
      <c r="FJ827" s="18"/>
      <c r="FK827" s="18"/>
      <c r="FL827" s="18"/>
      <c r="FM827" s="18"/>
      <c r="FN827" s="18"/>
      <c r="FO827" s="18"/>
      <c r="FP827" s="18"/>
      <c r="FQ827" s="18"/>
      <c r="FR827" s="18"/>
      <c r="FS827" s="18"/>
      <c r="FT827" s="18"/>
      <c r="FU827" s="18"/>
      <c r="FV827" s="18"/>
      <c r="FW827" s="18"/>
      <c r="FX827" s="18"/>
      <c r="FY827" s="18"/>
      <c r="FZ827" s="18"/>
      <c r="GA827" s="18"/>
      <c r="GB827" s="18"/>
      <c r="GC827" s="18"/>
      <c r="GD827" s="18"/>
      <c r="GE827" s="18"/>
      <c r="GF827" s="18"/>
      <c r="GG827" s="18"/>
      <c r="GH827" s="18"/>
      <c r="GI827" s="18"/>
      <c r="GJ827" s="18"/>
      <c r="GK827" s="18"/>
      <c r="GL827" s="18"/>
      <c r="GM827" s="18"/>
      <c r="GN827" s="18"/>
      <c r="GO827" s="18"/>
      <c r="GP827" s="18"/>
      <c r="GQ827" s="18"/>
      <c r="GR827" s="18"/>
      <c r="GS827" s="18"/>
      <c r="GT827" s="18"/>
      <c r="GU827" s="18"/>
      <c r="GV827" s="18"/>
      <c r="GW827" s="18"/>
      <c r="GX827" s="18"/>
      <c r="GY827" s="18"/>
      <c r="GZ827" s="18"/>
      <c r="HA827" s="18"/>
      <c r="HB827" s="18"/>
      <c r="HC827" s="18"/>
      <c r="HD827" s="18"/>
      <c r="HE827" s="18"/>
      <c r="HF827" s="18"/>
      <c r="HG827" s="18"/>
      <c r="HH827" s="18"/>
      <c r="HI827" s="18"/>
      <c r="HJ827" s="18"/>
      <c r="HK827" s="18"/>
      <c r="HL827" s="18"/>
      <c r="HM827" s="18"/>
      <c r="HN827" s="18"/>
      <c r="HO827" s="18"/>
      <c r="HP827" s="18"/>
      <c r="HQ827" s="18"/>
      <c r="HR827" s="18"/>
      <c r="HS827" s="18"/>
      <c r="HT827" s="18"/>
      <c r="HU827" s="18"/>
      <c r="HV827" s="18"/>
      <c r="HW827" s="18"/>
      <c r="HX827" s="18"/>
      <c r="HY827" s="18"/>
      <c r="HZ827" s="18"/>
      <c r="IA827" s="18"/>
      <c r="IB827" s="18"/>
      <c r="IC827" s="18"/>
      <c r="ID827" s="18"/>
      <c r="IE827" s="18"/>
      <c r="IF827" s="18"/>
      <c r="IG827" s="18"/>
      <c r="IH827" s="18"/>
      <c r="II827" s="18"/>
      <c r="IJ827" s="18"/>
      <c r="IK827" s="18"/>
      <c r="IL827" s="18"/>
      <c r="IM827" s="18"/>
      <c r="IN827" s="18"/>
      <c r="IO827" s="18"/>
      <c r="IP827" s="18"/>
      <c r="IQ827" s="18"/>
      <c r="IR827" s="18"/>
      <c r="IS827" s="18"/>
      <c r="IT827" s="18"/>
      <c r="IU827" s="18"/>
      <c r="IV827" s="18"/>
      <c r="IW827" s="18"/>
      <c r="IX827" s="18"/>
      <c r="IY827" s="18"/>
      <c r="IZ827" s="18"/>
      <c r="JA827" s="18"/>
      <c r="JB827" s="18"/>
      <c r="JC827" s="18"/>
      <c r="JD827" s="18"/>
      <c r="JE827" s="18"/>
      <c r="JF827" s="18"/>
      <c r="JG827" s="18"/>
      <c r="JH827" s="18"/>
      <c r="JI827" s="18"/>
      <c r="JJ827" s="18"/>
      <c r="JK827" s="18"/>
      <c r="JL827" s="18"/>
      <c r="JM827" s="18"/>
      <c r="JN827" s="18"/>
      <c r="JO827" s="16"/>
      <c r="JP827" s="16"/>
      <c r="JQ827" s="16"/>
      <c r="JR827" s="16"/>
      <c r="JS827" s="16"/>
      <c r="JT827" s="16"/>
      <c r="JU827" s="16"/>
      <c r="JV827" s="16"/>
      <c r="JW827" s="16"/>
      <c r="JX827" s="16"/>
      <c r="JY827" s="16"/>
      <c r="JZ827" s="16"/>
      <c r="KA827" s="16"/>
      <c r="KB827" s="16"/>
    </row>
    <row r="828" spans="1:288" s="38" customFormat="1" x14ac:dyDescent="0.2">
      <c r="A828" s="18"/>
      <c r="B828" s="16">
        <v>2016</v>
      </c>
      <c r="C828" s="20">
        <v>42563</v>
      </c>
      <c r="D828" s="20" t="str">
        <f>CONCATENATE(J828,"-",C828)</f>
        <v>998-42563</v>
      </c>
      <c r="E828" s="20" t="str">
        <f>CONCATENATE(T828,"-",U828,"-",C828)</f>
        <v>HW1-F5-42563</v>
      </c>
      <c r="F828" s="20" t="s">
        <v>106</v>
      </c>
      <c r="G828" s="20" t="s">
        <v>107</v>
      </c>
      <c r="H828" s="16"/>
      <c r="I828" s="16">
        <v>0</v>
      </c>
      <c r="J828" s="21">
        <v>998</v>
      </c>
      <c r="K828" s="21">
        <v>1477</v>
      </c>
      <c r="L828" s="18">
        <v>0</v>
      </c>
      <c r="M828" s="15">
        <f>VLOOKUP(K828,'[7]MLBS 2016 SNV-nem Coinfection d'!$C$1:$G$238,4,FALSE)</f>
        <v>0</v>
      </c>
      <c r="N828" s="15">
        <v>0</v>
      </c>
      <c r="O828" s="15" t="s">
        <v>214</v>
      </c>
      <c r="P828" s="16" t="s">
        <v>110</v>
      </c>
      <c r="Q828" s="16">
        <v>0</v>
      </c>
      <c r="R828" s="16" t="s">
        <v>111</v>
      </c>
      <c r="S828" s="16"/>
      <c r="T828" s="16" t="s">
        <v>133</v>
      </c>
      <c r="U828" s="16" t="s">
        <v>185</v>
      </c>
      <c r="V828" s="16" t="s">
        <v>114</v>
      </c>
      <c r="W828" s="16">
        <f>AI828/AG828</f>
        <v>0.8271604938271605</v>
      </c>
      <c r="X828" s="16" t="s">
        <v>115</v>
      </c>
      <c r="Y828" s="16" t="s">
        <v>122</v>
      </c>
      <c r="Z828" s="16">
        <v>2.9</v>
      </c>
      <c r="AA828" s="16"/>
      <c r="AB828" s="16"/>
      <c r="AC828" s="16"/>
      <c r="AD828" s="16"/>
      <c r="AE828" s="16" t="s">
        <v>116</v>
      </c>
      <c r="AF828" s="16" t="s">
        <v>116</v>
      </c>
      <c r="AG828" s="16">
        <f>AH828-AI828</f>
        <v>81</v>
      </c>
      <c r="AH828" s="16">
        <v>148</v>
      </c>
      <c r="AI828" s="16">
        <v>67</v>
      </c>
      <c r="AJ828" s="16"/>
      <c r="AK828" s="16">
        <v>18</v>
      </c>
      <c r="AL828" s="16">
        <v>1</v>
      </c>
      <c r="AM828" s="16">
        <v>0</v>
      </c>
      <c r="AN828" s="16">
        <v>0</v>
      </c>
      <c r="AO828" s="16">
        <f>IF(SUM(AL828:AN828)&gt;0,1,0)</f>
        <v>1</v>
      </c>
      <c r="AP828" s="16">
        <f>SUM(AL828:AN828)</f>
        <v>1</v>
      </c>
      <c r="AQ828" s="16"/>
      <c r="AR828" s="16">
        <v>0.36699999999999999</v>
      </c>
      <c r="AS828" s="16">
        <v>0.36699999999999999</v>
      </c>
      <c r="AT828" s="18" t="s">
        <v>117</v>
      </c>
      <c r="AU828" s="18"/>
      <c r="AV828" s="16"/>
      <c r="AW828" s="22">
        <v>1</v>
      </c>
      <c r="AX828" s="16">
        <v>2</v>
      </c>
      <c r="AY828" s="16">
        <f>5/0.367</f>
        <v>13.623978201634877</v>
      </c>
      <c r="AZ828" s="18">
        <v>1</v>
      </c>
      <c r="BA828" s="16">
        <v>2</v>
      </c>
      <c r="BB828" s="16">
        <f>5/0.367</f>
        <v>13.623978201634877</v>
      </c>
      <c r="BC828" s="18">
        <v>0</v>
      </c>
      <c r="BD828" s="16">
        <v>0</v>
      </c>
      <c r="BE828" s="16">
        <v>0</v>
      </c>
      <c r="BF828" s="18">
        <v>1</v>
      </c>
      <c r="BG828" s="77">
        <v>4</v>
      </c>
      <c r="BH828" s="16">
        <f>4/0.367</f>
        <v>10.899182561307903</v>
      </c>
      <c r="BI828" s="16">
        <v>1</v>
      </c>
      <c r="BJ828" s="16">
        <v>1</v>
      </c>
      <c r="BK828" s="16">
        <f>1/0.367</f>
        <v>2.7247956403269757</v>
      </c>
      <c r="BL828" s="16">
        <f>IF(BM828&gt;0,1,0)</f>
        <v>0</v>
      </c>
      <c r="BM828" s="16">
        <f>SUM(BR828,BU828,BX828,CA828,CD828,CG828,CJ828,CM828,CP828)</f>
        <v>0</v>
      </c>
      <c r="BN828" s="16">
        <f>SUM(BW828,BZ828,CC828,CF828,CI828,CL828,CO828,CR828,BT828)</f>
        <v>0</v>
      </c>
      <c r="BO828" s="16">
        <f>IF(BP828&gt;0,1,0)</f>
        <v>0</v>
      </c>
      <c r="BP828" s="16">
        <f>SUM(BU828,BX828,CA828,CD828,BR828)</f>
        <v>0</v>
      </c>
      <c r="BQ828" s="16">
        <f>SUM(BZ828,CC828,CF828,BT828,BW828)</f>
        <v>0</v>
      </c>
      <c r="BR828" s="18">
        <v>0</v>
      </c>
      <c r="BS828" s="16">
        <v>0</v>
      </c>
      <c r="BT828" s="77">
        <f>BS828/AS828</f>
        <v>0</v>
      </c>
      <c r="BU828" s="18">
        <v>0</v>
      </c>
      <c r="BV828" s="16">
        <v>0</v>
      </c>
      <c r="BW828" s="18">
        <f>BV828/AS828</f>
        <v>0</v>
      </c>
      <c r="BX828" s="18">
        <v>0</v>
      </c>
      <c r="BY828" s="16">
        <v>0</v>
      </c>
      <c r="BZ828" s="16">
        <f>BY828/AS828</f>
        <v>0</v>
      </c>
      <c r="CA828" s="24">
        <v>0</v>
      </c>
      <c r="CB828" s="16">
        <v>0</v>
      </c>
      <c r="CC828" s="16">
        <v>0</v>
      </c>
      <c r="CD828" s="78">
        <v>0</v>
      </c>
      <c r="CE828" s="16">
        <v>0</v>
      </c>
      <c r="CF828" s="16">
        <v>0</v>
      </c>
      <c r="CG828" s="16"/>
      <c r="CH828" s="16"/>
      <c r="CI828" s="16"/>
      <c r="CJ828" s="16"/>
      <c r="CK828" s="16"/>
      <c r="CL828" s="16"/>
      <c r="CM828" s="16"/>
      <c r="CN828" s="16"/>
      <c r="CO828" s="16"/>
      <c r="CP828" s="16" t="s">
        <v>123</v>
      </c>
      <c r="CQ828" s="16">
        <v>0</v>
      </c>
      <c r="CR828" s="16">
        <v>0</v>
      </c>
      <c r="CS828" s="18">
        <f>IF(CT828&gt;0,1,0)</f>
        <v>0</v>
      </c>
      <c r="CT828" s="25">
        <f>SUM(CW828,CZ828,DC828)</f>
        <v>0</v>
      </c>
      <c r="CU828" s="25"/>
      <c r="CV828" s="16">
        <v>0</v>
      </c>
      <c r="CW828" s="25">
        <v>0</v>
      </c>
      <c r="CX828" s="16">
        <v>0</v>
      </c>
      <c r="CY828" s="16">
        <v>0</v>
      </c>
      <c r="CZ828" s="18">
        <v>0</v>
      </c>
      <c r="DA828" s="16">
        <v>0</v>
      </c>
      <c r="DB828" s="16">
        <v>0</v>
      </c>
      <c r="DC828" s="18">
        <v>0</v>
      </c>
      <c r="DD828" s="16">
        <v>0</v>
      </c>
      <c r="DE828" s="16">
        <v>0</v>
      </c>
      <c r="DF828" s="16" t="e">
        <f>VLOOKUP(K828,'[3]RNA Seq summary tables'!$V$3:$V$99,1,FALSE)</f>
        <v>#N/A</v>
      </c>
      <c r="DG828" s="16"/>
      <c r="DH828" s="16"/>
      <c r="DI828" s="16"/>
      <c r="DJ828" s="16"/>
      <c r="DK828" s="16"/>
      <c r="DL828" s="16"/>
      <c r="DM828" s="16"/>
      <c r="DN828" s="16"/>
      <c r="DO828" s="16"/>
      <c r="DP828" s="16"/>
      <c r="DQ828" s="16"/>
      <c r="DR828" s="16"/>
      <c r="DS828" s="16"/>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18"/>
      <c r="EQ828" s="18"/>
      <c r="ER828" s="18"/>
      <c r="ES828" s="18"/>
      <c r="ET828" s="18"/>
      <c r="EU828" s="18"/>
      <c r="EV828" s="18"/>
      <c r="EW828" s="18"/>
      <c r="EX828" s="18"/>
      <c r="EY828" s="18"/>
      <c r="EZ828" s="18"/>
      <c r="FA828" s="18"/>
      <c r="FB828" s="18"/>
      <c r="FC828" s="18"/>
      <c r="FD828" s="18"/>
      <c r="FE828" s="18"/>
      <c r="FF828" s="18"/>
      <c r="FG828" s="18"/>
      <c r="FH828" s="18"/>
      <c r="FI828" s="18"/>
      <c r="FJ828" s="18"/>
      <c r="FK828" s="18"/>
      <c r="FL828" s="18"/>
      <c r="FM828" s="18"/>
      <c r="FN828" s="18"/>
      <c r="FO828" s="18"/>
      <c r="FP828" s="18"/>
      <c r="FQ828" s="18"/>
      <c r="FR828" s="18"/>
      <c r="FS828" s="18"/>
      <c r="FT828" s="18"/>
      <c r="FU828" s="18"/>
      <c r="FV828" s="18"/>
      <c r="FW828" s="18"/>
      <c r="FX828" s="18"/>
      <c r="FY828" s="18"/>
      <c r="FZ828" s="18"/>
      <c r="GA828" s="18"/>
      <c r="GB828" s="18"/>
      <c r="GC828" s="18"/>
      <c r="GD828" s="18"/>
      <c r="GE828" s="18"/>
      <c r="GF828" s="18"/>
      <c r="GG828" s="18"/>
      <c r="GH828" s="18"/>
      <c r="GI828" s="18"/>
      <c r="GJ828" s="18"/>
      <c r="GK828" s="18"/>
      <c r="GL828" s="18"/>
      <c r="GM828" s="18"/>
      <c r="GN828" s="18"/>
      <c r="GO828" s="18"/>
      <c r="GP828" s="18"/>
      <c r="GQ828" s="18"/>
      <c r="GR828" s="18"/>
      <c r="GS828" s="18"/>
      <c r="GT828" s="18"/>
      <c r="GU828" s="18"/>
      <c r="GV828" s="18"/>
      <c r="GW828" s="18"/>
      <c r="GX828" s="18"/>
      <c r="GY828" s="18"/>
      <c r="GZ828" s="18"/>
      <c r="HA828" s="18"/>
      <c r="HB828" s="18"/>
      <c r="HC828" s="18"/>
      <c r="HD828" s="18"/>
      <c r="HE828" s="18"/>
      <c r="HF828" s="18"/>
      <c r="HG828" s="18"/>
      <c r="HH828" s="18"/>
      <c r="HI828" s="18"/>
      <c r="HJ828" s="18"/>
      <c r="HK828" s="18"/>
      <c r="HL828" s="18"/>
      <c r="HM828" s="18"/>
      <c r="HN828" s="18"/>
      <c r="HO828" s="18"/>
      <c r="HP828" s="18"/>
      <c r="HQ828" s="18"/>
      <c r="HR828" s="18"/>
      <c r="HS828" s="18"/>
      <c r="HT828" s="18"/>
      <c r="HU828" s="18"/>
      <c r="HV828" s="18"/>
      <c r="HW828" s="18"/>
      <c r="HX828" s="18"/>
      <c r="HY828" s="18"/>
      <c r="HZ828" s="18"/>
      <c r="IA828" s="18"/>
      <c r="IB828" s="18"/>
      <c r="IC828" s="18"/>
      <c r="ID828" s="18"/>
      <c r="IE828" s="18"/>
      <c r="IF828" s="18"/>
      <c r="IG828" s="18"/>
      <c r="IH828" s="18"/>
      <c r="II828" s="18"/>
      <c r="IJ828" s="18"/>
      <c r="IK828" s="18"/>
      <c r="IL828" s="18"/>
      <c r="IM828" s="18"/>
      <c r="IN828" s="18"/>
      <c r="IO828" s="18"/>
      <c r="IP828" s="18"/>
      <c r="IQ828" s="18"/>
      <c r="IR828" s="18"/>
      <c r="IS828" s="18"/>
      <c r="IT828" s="18"/>
      <c r="IU828" s="18"/>
      <c r="IV828" s="18"/>
      <c r="IW828" s="18"/>
      <c r="IX828" s="18"/>
      <c r="IY828" s="18"/>
      <c r="IZ828" s="18"/>
      <c r="JA828" s="18"/>
      <c r="JB828" s="18"/>
      <c r="JC828" s="18"/>
      <c r="JD828" s="18"/>
      <c r="JE828" s="18"/>
      <c r="JF828" s="18"/>
      <c r="JG828" s="18"/>
      <c r="JH828" s="18"/>
      <c r="JI828" s="18"/>
      <c r="JJ828" s="18"/>
      <c r="JK828" s="18"/>
      <c r="JL828" s="18"/>
      <c r="JM828" s="18"/>
      <c r="JN828" s="18"/>
      <c r="JO828" s="30"/>
      <c r="JP828" s="16"/>
      <c r="JQ828" s="16"/>
      <c r="JR828" s="16"/>
      <c r="JS828" s="16"/>
      <c r="JT828" s="16"/>
      <c r="JU828" s="16"/>
      <c r="JV828" s="16"/>
      <c r="JW828" s="16"/>
      <c r="JX828" s="16"/>
      <c r="JY828" s="16"/>
      <c r="JZ828" s="16"/>
      <c r="KA828" s="16"/>
      <c r="KB828" s="16"/>
    </row>
    <row r="829" spans="1:288" s="38" customFormat="1" x14ac:dyDescent="0.2">
      <c r="A829" s="18"/>
      <c r="B829" s="16">
        <v>2016</v>
      </c>
      <c r="C829" s="20">
        <v>42566</v>
      </c>
      <c r="D829" s="20" t="str">
        <f>CONCATENATE(J829,"-",C829)</f>
        <v>1000-42566</v>
      </c>
      <c r="E829" s="20" t="str">
        <f>CONCATENATE(T829,"-",U829,"-",C829)</f>
        <v>SP2-C1-42566</v>
      </c>
      <c r="F829" s="20" t="s">
        <v>106</v>
      </c>
      <c r="G829" s="20" t="s">
        <v>107</v>
      </c>
      <c r="H829" s="16"/>
      <c r="I829" s="16">
        <v>0</v>
      </c>
      <c r="J829" s="21">
        <v>1000</v>
      </c>
      <c r="K829" s="21">
        <v>1508</v>
      </c>
      <c r="L829" s="18">
        <v>0</v>
      </c>
      <c r="M829" s="15">
        <f>VLOOKUP(K829,'[7]MLBS 2016 SNV-nem Coinfection d'!$C$1:$G$238,4,FALSE)</f>
        <v>0</v>
      </c>
      <c r="N829" s="15">
        <v>0</v>
      </c>
      <c r="O829" s="15" t="s">
        <v>214</v>
      </c>
      <c r="P829" s="16" t="s">
        <v>110</v>
      </c>
      <c r="Q829" s="16">
        <v>0</v>
      </c>
      <c r="R829" s="16" t="s">
        <v>111</v>
      </c>
      <c r="S829" s="16"/>
      <c r="T829" s="16" t="s">
        <v>137</v>
      </c>
      <c r="U829" s="16" t="s">
        <v>150</v>
      </c>
      <c r="V829" s="16" t="s">
        <v>114</v>
      </c>
      <c r="W829" s="16">
        <f>AI829/AG829</f>
        <v>0.8045977011494253</v>
      </c>
      <c r="X829" s="16" t="s">
        <v>115</v>
      </c>
      <c r="Y829" s="16" t="s">
        <v>122</v>
      </c>
      <c r="Z829" s="16">
        <v>2.9</v>
      </c>
      <c r="AA829" s="16"/>
      <c r="AB829" s="16"/>
      <c r="AC829" s="16"/>
      <c r="AD829" s="16"/>
      <c r="AE829" s="16" t="s">
        <v>123</v>
      </c>
      <c r="AF829" s="16" t="s">
        <v>123</v>
      </c>
      <c r="AG829" s="16">
        <v>87</v>
      </c>
      <c r="AH829" s="16">
        <v>157</v>
      </c>
      <c r="AI829" s="16">
        <v>70</v>
      </c>
      <c r="AJ829" s="16"/>
      <c r="AK829" s="16">
        <v>17</v>
      </c>
      <c r="AL829" s="16">
        <v>0</v>
      </c>
      <c r="AM829" s="16">
        <v>0</v>
      </c>
      <c r="AN829" s="16">
        <v>0</v>
      </c>
      <c r="AO829" s="16">
        <f>IF(SUM(AL829:AN829)&gt;0,1,0)</f>
        <v>0</v>
      </c>
      <c r="AP829" s="16">
        <f>SUM(AL829:AN829)</f>
        <v>0</v>
      </c>
      <c r="AQ829" s="16"/>
      <c r="AR829" s="16">
        <v>0.28999999999999998</v>
      </c>
      <c r="AS829" s="16">
        <v>0.28999999999999998</v>
      </c>
      <c r="AT829" s="16" t="s">
        <v>212</v>
      </c>
      <c r="AU829" s="16"/>
      <c r="AV829" s="16"/>
      <c r="AW829" s="22">
        <v>1</v>
      </c>
      <c r="AX829" s="16">
        <v>3</v>
      </c>
      <c r="AY829" s="16">
        <f>(43+374+20)/0.29</f>
        <v>1506.8965517241381</v>
      </c>
      <c r="AZ829" s="18">
        <v>1</v>
      </c>
      <c r="BA829" s="16">
        <v>2</v>
      </c>
      <c r="BB829" s="16">
        <f>(BD829+BG829+BJ829)/AS829</f>
        <v>1437.9310344827588</v>
      </c>
      <c r="BC829" s="16">
        <v>1</v>
      </c>
      <c r="BD829" s="16">
        <v>43</v>
      </c>
      <c r="BE829" s="16">
        <f>BD829/AS829</f>
        <v>148.27586206896552</v>
      </c>
      <c r="BF829" s="18">
        <v>1</v>
      </c>
      <c r="BG829" s="77">
        <v>374</v>
      </c>
      <c r="BH829" s="16">
        <f>BG829/AS829</f>
        <v>1289.6551724137933</v>
      </c>
      <c r="BI829" s="18">
        <v>0</v>
      </c>
      <c r="BJ829" s="16">
        <v>0</v>
      </c>
      <c r="BK829" s="16">
        <v>0</v>
      </c>
      <c r="BL829" s="16">
        <f>IF(BM829&gt;0,1,0)</f>
        <v>0</v>
      </c>
      <c r="BM829" s="16">
        <f>SUM(BR829,BU829,BX829,CA829,CD829,CG829,CJ829,CM829,CP829)</f>
        <v>0</v>
      </c>
      <c r="BN829" s="16">
        <f>SUM(BW829,BZ829,CC829,CF829,CI829,CL829,CO829,CR829,BT829)</f>
        <v>0</v>
      </c>
      <c r="BO829" s="16">
        <f>IF(BP829&gt;0,1,0)</f>
        <v>0</v>
      </c>
      <c r="BP829" s="16">
        <f>SUM(BU829,BX829,CA829,CD829,BR829)</f>
        <v>0</v>
      </c>
      <c r="BQ829" s="16">
        <f>SUM(BZ829,CC829,CF829,BT829,BW829)</f>
        <v>0</v>
      </c>
      <c r="BR829" s="18">
        <v>0</v>
      </c>
      <c r="BS829" s="16">
        <v>0</v>
      </c>
      <c r="BT829" s="77">
        <f>BS829/AS829</f>
        <v>0</v>
      </c>
      <c r="BU829" s="18">
        <v>0</v>
      </c>
      <c r="BV829" s="16">
        <v>0</v>
      </c>
      <c r="BW829" s="18">
        <f>BV829/AS829</f>
        <v>0</v>
      </c>
      <c r="BX829" s="18">
        <v>0</v>
      </c>
      <c r="BY829" s="16">
        <v>0</v>
      </c>
      <c r="BZ829" s="16">
        <f>BY829/AS829</f>
        <v>0</v>
      </c>
      <c r="CA829" s="24">
        <v>0</v>
      </c>
      <c r="CB829" s="16">
        <v>0</v>
      </c>
      <c r="CC829" s="16">
        <v>0</v>
      </c>
      <c r="CD829" s="78">
        <v>0</v>
      </c>
      <c r="CE829" s="16">
        <v>0</v>
      </c>
      <c r="CF829" s="16">
        <v>0</v>
      </c>
      <c r="CG829" s="16"/>
      <c r="CH829" s="16"/>
      <c r="CI829" s="16"/>
      <c r="CJ829" s="16"/>
      <c r="CK829" s="16"/>
      <c r="CL829" s="16"/>
      <c r="CM829" s="16"/>
      <c r="CN829" s="16"/>
      <c r="CO829" s="16"/>
      <c r="CP829" s="16" t="s">
        <v>123</v>
      </c>
      <c r="CQ829" s="16">
        <v>0</v>
      </c>
      <c r="CR829" s="16">
        <v>0</v>
      </c>
      <c r="CS829" s="18">
        <f>IF(CT829&gt;0,1,0)</f>
        <v>1</v>
      </c>
      <c r="CT829" s="25">
        <f>SUM(CW829,CZ829,DC829)</f>
        <v>1</v>
      </c>
      <c r="CU829" s="25"/>
      <c r="CV829" s="16">
        <f>CX829/0.29</f>
        <v>72.413793103448285</v>
      </c>
      <c r="CW829" s="22">
        <v>1</v>
      </c>
      <c r="CX829" s="16">
        <v>21</v>
      </c>
      <c r="CY829" s="16">
        <f>CX829/AS829</f>
        <v>72.413793103448285</v>
      </c>
      <c r="CZ829" s="18">
        <v>0</v>
      </c>
      <c r="DA829" s="16">
        <v>0</v>
      </c>
      <c r="DB829" s="16">
        <v>0</v>
      </c>
      <c r="DC829" s="18">
        <v>0</v>
      </c>
      <c r="DD829" s="16">
        <v>0</v>
      </c>
      <c r="DE829" s="16">
        <v>0</v>
      </c>
      <c r="DF829" s="16" t="e">
        <f>VLOOKUP(K829,'[3]RNA Seq summary tables'!$V$3:$V$99,1,FALSE)</f>
        <v>#N/A</v>
      </c>
      <c r="DG829" s="16"/>
      <c r="DH829" s="16"/>
      <c r="DI829" s="16"/>
      <c r="DJ829" s="16"/>
      <c r="DK829" s="16"/>
      <c r="DL829" s="16"/>
      <c r="DM829" s="16"/>
      <c r="DN829" s="16"/>
      <c r="DO829" s="16"/>
      <c r="DP829" s="16"/>
      <c r="DQ829" s="16"/>
      <c r="DR829" s="16"/>
      <c r="DS829" s="16"/>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18"/>
      <c r="EQ829" s="18"/>
      <c r="ER829" s="18"/>
      <c r="ES829" s="18"/>
      <c r="ET829" s="18"/>
      <c r="EU829" s="18"/>
      <c r="EV829" s="18"/>
      <c r="EW829" s="18"/>
      <c r="EX829" s="18"/>
      <c r="EY829" s="18"/>
      <c r="EZ829" s="18"/>
      <c r="FA829" s="18"/>
      <c r="FB829" s="18"/>
      <c r="FC829" s="18"/>
      <c r="FD829" s="18"/>
      <c r="FE829" s="18"/>
      <c r="FF829" s="18"/>
      <c r="FG829" s="18"/>
      <c r="FH829" s="18"/>
      <c r="FI829" s="18"/>
      <c r="FJ829" s="18"/>
      <c r="FK829" s="18"/>
      <c r="FL829" s="18"/>
      <c r="FM829" s="18"/>
      <c r="FN829" s="18"/>
      <c r="FO829" s="18"/>
      <c r="FP829" s="18"/>
      <c r="FQ829" s="18"/>
      <c r="FR829" s="18"/>
      <c r="FS829" s="18"/>
      <c r="FT829" s="18"/>
      <c r="FU829" s="18"/>
      <c r="FV829" s="18"/>
      <c r="FW829" s="18"/>
      <c r="FX829" s="18"/>
      <c r="FY829" s="18"/>
      <c r="FZ829" s="18"/>
      <c r="GA829" s="18"/>
      <c r="GB829" s="18"/>
      <c r="GC829" s="18"/>
      <c r="GD829" s="18"/>
      <c r="GE829" s="18"/>
      <c r="GF829" s="18"/>
      <c r="GG829" s="18"/>
      <c r="GH829" s="18"/>
      <c r="GI829" s="18"/>
      <c r="GJ829" s="18"/>
      <c r="GK829" s="18"/>
      <c r="GL829" s="18"/>
      <c r="GM829" s="18"/>
      <c r="GN829" s="18"/>
      <c r="GO829" s="18"/>
      <c r="GP829" s="18"/>
      <c r="GQ829" s="18"/>
      <c r="GR829" s="18"/>
      <c r="GS829" s="18"/>
      <c r="GT829" s="18"/>
      <c r="GU829" s="18"/>
      <c r="GV829" s="18"/>
      <c r="GW829" s="18"/>
      <c r="GX829" s="18"/>
      <c r="GY829" s="18"/>
      <c r="GZ829" s="18"/>
      <c r="HA829" s="18"/>
      <c r="HB829" s="18"/>
      <c r="HC829" s="18"/>
      <c r="HD829" s="18"/>
      <c r="HE829" s="18"/>
      <c r="HF829" s="18"/>
      <c r="HG829" s="18"/>
      <c r="HH829" s="18"/>
      <c r="HI829" s="18"/>
      <c r="HJ829" s="18"/>
      <c r="HK829" s="18"/>
      <c r="HL829" s="18"/>
      <c r="HM829" s="18"/>
      <c r="HN829" s="18"/>
      <c r="HO829" s="18"/>
      <c r="HP829" s="18"/>
      <c r="HQ829" s="18"/>
      <c r="HR829" s="18"/>
      <c r="HS829" s="18"/>
      <c r="HT829" s="18"/>
      <c r="HU829" s="18"/>
      <c r="HV829" s="18"/>
      <c r="HW829" s="18"/>
      <c r="HX829" s="18"/>
      <c r="HY829" s="18"/>
      <c r="HZ829" s="18"/>
      <c r="IA829" s="18"/>
      <c r="IB829" s="18"/>
      <c r="IC829" s="18"/>
      <c r="ID829" s="18"/>
      <c r="IE829" s="18"/>
      <c r="IF829" s="18"/>
      <c r="IG829" s="18"/>
      <c r="IH829" s="18"/>
      <c r="II829" s="18"/>
      <c r="IJ829" s="18"/>
      <c r="IK829" s="18"/>
      <c r="IL829" s="18"/>
      <c r="IM829" s="18"/>
      <c r="IN829" s="18"/>
      <c r="IO829" s="18"/>
      <c r="IP829" s="18"/>
      <c r="IQ829" s="18"/>
      <c r="IR829" s="18"/>
      <c r="IS829" s="18"/>
      <c r="IT829" s="18"/>
      <c r="IU829" s="18"/>
      <c r="IV829" s="18"/>
      <c r="IW829" s="18"/>
      <c r="IX829" s="18"/>
      <c r="IY829" s="18"/>
      <c r="IZ829" s="18"/>
      <c r="JA829" s="18"/>
      <c r="JB829" s="18"/>
      <c r="JC829" s="18"/>
      <c r="JD829" s="18"/>
      <c r="JE829" s="18"/>
      <c r="JF829" s="18"/>
      <c r="JG829" s="18"/>
      <c r="JH829" s="18"/>
      <c r="JI829" s="18"/>
      <c r="JJ829" s="18"/>
      <c r="JK829" s="18"/>
      <c r="JL829" s="18"/>
      <c r="JM829" s="18"/>
      <c r="JN829" s="18"/>
      <c r="JO829" s="16"/>
      <c r="JP829" s="16"/>
      <c r="JQ829" s="16"/>
      <c r="JR829" s="16"/>
      <c r="JS829" s="16"/>
      <c r="JT829" s="16"/>
      <c r="JU829" s="16"/>
      <c r="JV829" s="16"/>
      <c r="JW829" s="16"/>
      <c r="JX829" s="16"/>
      <c r="JY829" s="16"/>
      <c r="JZ829" s="16"/>
      <c r="KA829" s="16"/>
      <c r="KB829" s="16"/>
    </row>
    <row r="830" spans="1:288" s="38" customFormat="1" x14ac:dyDescent="0.2">
      <c r="A830" s="18"/>
      <c r="B830" s="16">
        <v>2016</v>
      </c>
      <c r="C830" s="20">
        <v>42593</v>
      </c>
      <c r="D830" s="20" t="str">
        <f>CONCATENATE(J830,"-",C830)</f>
        <v>1000-42593</v>
      </c>
      <c r="E830" s="20" t="str">
        <f>CONCATENATE(T830,"-",U830,"-",C830)</f>
        <v>SP2-B2-42593</v>
      </c>
      <c r="F830" s="20" t="s">
        <v>227</v>
      </c>
      <c r="G830" s="20" t="s">
        <v>107</v>
      </c>
      <c r="H830" s="23" t="s">
        <v>223</v>
      </c>
      <c r="I830" s="16">
        <v>0</v>
      </c>
      <c r="J830" s="21">
        <v>1000</v>
      </c>
      <c r="K830" s="21">
        <v>1548</v>
      </c>
      <c r="L830" s="16">
        <v>1</v>
      </c>
      <c r="M830" s="15">
        <f>VLOOKUP(K830,'[7]MLBS 2016 SNV-nem Coinfection d'!$C$1:$G$238,4,FALSE)</f>
        <v>0</v>
      </c>
      <c r="N830" s="15">
        <v>0</v>
      </c>
      <c r="O830" s="15" t="s">
        <v>214</v>
      </c>
      <c r="P830" s="16" t="s">
        <v>110</v>
      </c>
      <c r="Q830" s="16">
        <v>1</v>
      </c>
      <c r="R830" s="16">
        <v>27</v>
      </c>
      <c r="S830" s="16"/>
      <c r="T830" s="16" t="s">
        <v>137</v>
      </c>
      <c r="U830" s="16" t="s">
        <v>130</v>
      </c>
      <c r="V830" s="16" t="s">
        <v>114</v>
      </c>
      <c r="W830" s="16">
        <f>AI830/AG830</f>
        <v>0.9375</v>
      </c>
      <c r="X830" s="16" t="s">
        <v>115</v>
      </c>
      <c r="Y830" s="16" t="s">
        <v>110</v>
      </c>
      <c r="Z830" s="16">
        <v>3</v>
      </c>
      <c r="AA830" s="16"/>
      <c r="AB830" s="16"/>
      <c r="AC830" s="16"/>
      <c r="AD830" s="16"/>
      <c r="AE830" s="16" t="s">
        <v>116</v>
      </c>
      <c r="AF830" s="16" t="s">
        <v>116</v>
      </c>
      <c r="AG830" s="16">
        <f>AH830-AI830</f>
        <v>80</v>
      </c>
      <c r="AH830" s="16">
        <v>155</v>
      </c>
      <c r="AI830" s="16">
        <v>75</v>
      </c>
      <c r="AJ830" s="16"/>
      <c r="AK830" s="16">
        <v>20</v>
      </c>
      <c r="AL830" s="16">
        <v>0</v>
      </c>
      <c r="AM830" s="16">
        <v>0</v>
      </c>
      <c r="AN830" s="16">
        <v>1</v>
      </c>
      <c r="AO830" s="16">
        <f>IF(SUM(AL830:AN830)&gt;0,1,0)</f>
        <v>1</v>
      </c>
      <c r="AP830" s="16">
        <f>SUM(AL830:AN830)</f>
        <v>1</v>
      </c>
      <c r="AQ830" s="16">
        <v>1.7350000000000001</v>
      </c>
      <c r="AR830" s="16">
        <v>0.25800000000000001</v>
      </c>
      <c r="AS830" s="16">
        <v>0.25800000000000001</v>
      </c>
      <c r="AT830" s="16" t="s">
        <v>205</v>
      </c>
      <c r="AU830" s="16"/>
      <c r="AV830" s="16"/>
      <c r="AW830" s="22">
        <v>1</v>
      </c>
      <c r="AX830" s="24">
        <v>3</v>
      </c>
      <c r="AY830" s="16">
        <f>(4+5+1)/AS830</f>
        <v>38.759689922480618</v>
      </c>
      <c r="AZ830" s="18">
        <v>1</v>
      </c>
      <c r="BA830" s="24">
        <v>2</v>
      </c>
      <c r="BB830" s="16">
        <f>(4+5)/AS830</f>
        <v>34.883720930232556</v>
      </c>
      <c r="BC830" s="16">
        <v>1</v>
      </c>
      <c r="BD830" s="24">
        <v>4</v>
      </c>
      <c r="BE830" s="16">
        <f>4/AS830</f>
        <v>15.503875968992247</v>
      </c>
      <c r="BF830" s="18">
        <v>1</v>
      </c>
      <c r="BG830" s="92">
        <v>5</v>
      </c>
      <c r="BH830" s="16">
        <f>5/AS830</f>
        <v>19.379844961240309</v>
      </c>
      <c r="BI830" s="18">
        <v>0</v>
      </c>
      <c r="BJ830" s="24">
        <v>0</v>
      </c>
      <c r="BK830" s="16">
        <v>0</v>
      </c>
      <c r="BL830" s="16">
        <f>IF(BM830&gt;0,1,0)</f>
        <v>1</v>
      </c>
      <c r="BM830" s="16">
        <f>SUM(BR830,BU830,BX830,CA830,CD830,CG830,CJ830,CM830,CP830)</f>
        <v>1</v>
      </c>
      <c r="BN830" s="16">
        <f>SUM(BW830,BZ830,CC830,CF830,CI830,CL830,CO830,CR830,BT830)</f>
        <v>3.8759689922480618</v>
      </c>
      <c r="BO830" s="16">
        <f>IF(BP830&gt;0,1,0)</f>
        <v>1</v>
      </c>
      <c r="BP830" s="16">
        <f>SUM(BU830,BX830,CA830,CD830,BR830)</f>
        <v>1</v>
      </c>
      <c r="BQ830" s="16">
        <f>SUM(BZ830,CC830,CF830,BT830,BW830)</f>
        <v>3.8759689922480618</v>
      </c>
      <c r="BR830" s="18">
        <v>0</v>
      </c>
      <c r="BS830" s="24">
        <v>0</v>
      </c>
      <c r="BT830" s="77">
        <f>BS830/AS830</f>
        <v>0</v>
      </c>
      <c r="BU830" s="18">
        <v>0</v>
      </c>
      <c r="BV830" s="24">
        <v>0</v>
      </c>
      <c r="BW830" s="18">
        <f>BV830/AS830</f>
        <v>0</v>
      </c>
      <c r="BX830" s="24">
        <v>0</v>
      </c>
      <c r="BY830" s="24">
        <v>0</v>
      </c>
      <c r="BZ830" s="16">
        <f>BY830/AS830</f>
        <v>0</v>
      </c>
      <c r="CA830" s="24">
        <v>0</v>
      </c>
      <c r="CB830" s="24">
        <v>0</v>
      </c>
      <c r="CC830" s="24">
        <v>0</v>
      </c>
      <c r="CD830" s="92">
        <v>1</v>
      </c>
      <c r="CE830" s="24">
        <v>1</v>
      </c>
      <c r="CF830" s="16">
        <f>1/AS830</f>
        <v>3.8759689922480618</v>
      </c>
      <c r="CG830" s="16"/>
      <c r="CH830" s="16"/>
      <c r="CI830" s="16"/>
      <c r="CJ830" s="16"/>
      <c r="CK830" s="16"/>
      <c r="CL830" s="16"/>
      <c r="CM830" s="16"/>
      <c r="CN830" s="16"/>
      <c r="CO830" s="16"/>
      <c r="CP830" s="24" t="s">
        <v>123</v>
      </c>
      <c r="CQ830" s="24">
        <v>0</v>
      </c>
      <c r="CR830" s="24">
        <v>0</v>
      </c>
      <c r="CS830" s="18">
        <f>IF(CT830&gt;0,1,0)</f>
        <v>0</v>
      </c>
      <c r="CT830" s="25">
        <f>SUM(CW830,CZ830,DC830)</f>
        <v>0</v>
      </c>
      <c r="CU830" s="25"/>
      <c r="CV830" s="24">
        <v>0</v>
      </c>
      <c r="CW830" s="25">
        <v>0</v>
      </c>
      <c r="CX830" s="24">
        <v>0</v>
      </c>
      <c r="CY830" s="24">
        <v>0</v>
      </c>
      <c r="CZ830" s="18">
        <v>0</v>
      </c>
      <c r="DA830" s="24">
        <v>0</v>
      </c>
      <c r="DB830" s="24">
        <v>0</v>
      </c>
      <c r="DC830" s="18">
        <v>0</v>
      </c>
      <c r="DD830" s="24">
        <v>0</v>
      </c>
      <c r="DE830" s="24">
        <v>0</v>
      </c>
      <c r="DF830" s="16">
        <f>VLOOKUP(K830,'[3]RNA Seq summary tables'!$V$3:$V$99,1,FALSE)</f>
        <v>1548</v>
      </c>
      <c r="DG830" s="16"/>
      <c r="DH830" s="16"/>
      <c r="DI830" s="16"/>
      <c r="DJ830" s="16"/>
      <c r="DK830" s="16"/>
      <c r="DL830" s="16"/>
      <c r="DM830" s="16"/>
      <c r="DN830" s="16"/>
      <c r="DO830" s="16"/>
      <c r="DP830" s="16"/>
      <c r="DQ830" s="16"/>
      <c r="DR830" s="16"/>
      <c r="DS830" s="16"/>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18"/>
      <c r="EQ830" s="18"/>
      <c r="ER830" s="18"/>
      <c r="ES830" s="18"/>
      <c r="ET830" s="18"/>
      <c r="EU830" s="18"/>
      <c r="EV830" s="18"/>
      <c r="EW830" s="18"/>
      <c r="EX830" s="18"/>
      <c r="EY830" s="18"/>
      <c r="EZ830" s="18"/>
      <c r="FA830" s="18"/>
      <c r="FB830" s="18"/>
      <c r="FC830" s="18"/>
      <c r="FD830" s="18"/>
      <c r="FE830" s="18"/>
      <c r="FF830" s="18"/>
      <c r="FG830" s="18"/>
      <c r="FH830" s="18"/>
      <c r="FI830" s="18"/>
      <c r="FJ830" s="18"/>
      <c r="FK830" s="18"/>
      <c r="FL830" s="18"/>
      <c r="FM830" s="18"/>
      <c r="FN830" s="18"/>
      <c r="FO830" s="18"/>
      <c r="FP830" s="18"/>
      <c r="FQ830" s="18"/>
      <c r="FR830" s="18"/>
      <c r="FS830" s="18"/>
      <c r="FT830" s="18"/>
      <c r="FU830" s="18"/>
      <c r="FV830" s="18"/>
      <c r="FW830" s="18"/>
      <c r="FX830" s="18"/>
      <c r="FY830" s="18"/>
      <c r="FZ830" s="18"/>
      <c r="GA830" s="18"/>
      <c r="GB830" s="18"/>
      <c r="GC830" s="18"/>
      <c r="GD830" s="18"/>
      <c r="GE830" s="18"/>
      <c r="GF830" s="18"/>
      <c r="GG830" s="18"/>
      <c r="GH830" s="18"/>
      <c r="GI830" s="18"/>
      <c r="GJ830" s="18"/>
      <c r="GK830" s="18"/>
      <c r="GL830" s="18"/>
      <c r="GM830" s="18"/>
      <c r="GN830" s="18"/>
      <c r="GO830" s="18"/>
      <c r="GP830" s="18"/>
      <c r="GQ830" s="18"/>
      <c r="GR830" s="18"/>
      <c r="GS830" s="18"/>
      <c r="GT830" s="18"/>
      <c r="GU830" s="18"/>
      <c r="GV830" s="18"/>
      <c r="GW830" s="18"/>
      <c r="GX830" s="18"/>
      <c r="GY830" s="18"/>
      <c r="GZ830" s="18"/>
      <c r="HA830" s="18"/>
      <c r="HB830" s="18"/>
      <c r="HC830" s="18"/>
      <c r="HD830" s="18"/>
      <c r="HE830" s="18"/>
      <c r="HF830" s="18"/>
      <c r="HG830" s="18"/>
      <c r="HH830" s="18"/>
      <c r="HI830" s="18"/>
      <c r="HJ830" s="18"/>
      <c r="HK830" s="18"/>
      <c r="HL830" s="18"/>
      <c r="HM830" s="18"/>
      <c r="HN830" s="18"/>
      <c r="HO830" s="18"/>
      <c r="HP830" s="18"/>
      <c r="HQ830" s="18"/>
      <c r="HR830" s="18"/>
      <c r="HS830" s="18"/>
      <c r="HT830" s="18"/>
      <c r="HU830" s="18"/>
      <c r="HV830" s="18"/>
      <c r="HW830" s="18"/>
      <c r="HX830" s="18"/>
      <c r="HY830" s="18"/>
      <c r="HZ830" s="18"/>
      <c r="IA830" s="18"/>
      <c r="IB830" s="18"/>
      <c r="IC830" s="18"/>
      <c r="ID830" s="18"/>
      <c r="IE830" s="18"/>
      <c r="IF830" s="18"/>
      <c r="IG830" s="18"/>
      <c r="IH830" s="18"/>
      <c r="II830" s="18"/>
      <c r="IJ830" s="18"/>
      <c r="IK830" s="18"/>
      <c r="IL830" s="18"/>
      <c r="IM830" s="18"/>
      <c r="IN830" s="18"/>
      <c r="IO830" s="18"/>
      <c r="IP830" s="18"/>
      <c r="IQ830" s="18"/>
      <c r="IR830" s="18"/>
      <c r="IS830" s="18"/>
      <c r="IT830" s="18"/>
      <c r="IU830" s="18"/>
      <c r="IV830" s="18"/>
      <c r="IW830" s="18"/>
      <c r="IX830" s="18"/>
      <c r="IY830" s="18"/>
      <c r="IZ830" s="18"/>
      <c r="JA830" s="18"/>
      <c r="JB830" s="18"/>
      <c r="JC830" s="18"/>
      <c r="JD830" s="18"/>
      <c r="JE830" s="18"/>
      <c r="JF830" s="18"/>
      <c r="JG830" s="18"/>
      <c r="JH830" s="18"/>
      <c r="JI830" s="18"/>
      <c r="JJ830" s="18"/>
      <c r="JK830" s="18"/>
      <c r="JL830" s="18"/>
      <c r="JM830" s="18"/>
      <c r="JN830" s="18"/>
      <c r="JO830" s="16"/>
      <c r="JP830" s="19"/>
      <c r="JQ830" s="19"/>
      <c r="JR830" s="16"/>
      <c r="JS830" s="16"/>
      <c r="JT830" s="16"/>
      <c r="JU830" s="16"/>
      <c r="JV830" s="16"/>
      <c r="JW830" s="16"/>
      <c r="JX830" s="16"/>
      <c r="JY830" s="16"/>
      <c r="JZ830" s="16"/>
      <c r="KA830" s="16"/>
      <c r="KB830" s="16"/>
    </row>
    <row r="831" spans="1:288" s="38" customFormat="1" x14ac:dyDescent="0.2">
      <c r="A831" s="18"/>
      <c r="B831" s="16">
        <v>2016</v>
      </c>
      <c r="C831" s="37">
        <v>42607</v>
      </c>
      <c r="D831" s="37" t="str">
        <f>CONCATENATE(J831,"-",C831)</f>
        <v>1000-42607</v>
      </c>
      <c r="E831" s="20" t="str">
        <f>CONCATENATE(T831,"-",U831,"-",C831)</f>
        <v>SP2-F7-42607</v>
      </c>
      <c r="F831" s="20" t="s">
        <v>227</v>
      </c>
      <c r="G831" s="20" t="s">
        <v>107</v>
      </c>
      <c r="H831" s="24"/>
      <c r="I831" s="16">
        <v>0</v>
      </c>
      <c r="J831" s="36">
        <v>1000</v>
      </c>
      <c r="K831" s="36">
        <v>1562</v>
      </c>
      <c r="L831" s="16">
        <v>1</v>
      </c>
      <c r="M831" s="15">
        <f>VLOOKUP(K831,'[7]MLBS 2016 SNV-nem Coinfection d'!$C$1:$G$238,4,FALSE)</f>
        <v>0</v>
      </c>
      <c r="N831" s="15">
        <v>0</v>
      </c>
      <c r="O831" s="15" t="s">
        <v>214</v>
      </c>
      <c r="P831" s="18" t="s">
        <v>110</v>
      </c>
      <c r="Q831" s="16">
        <v>1</v>
      </c>
      <c r="R831" s="18">
        <v>14</v>
      </c>
      <c r="S831" s="18"/>
      <c r="T831" s="18" t="s">
        <v>137</v>
      </c>
      <c r="U831" s="18" t="s">
        <v>189</v>
      </c>
      <c r="V831" s="18" t="s">
        <v>114</v>
      </c>
      <c r="W831" s="16">
        <f>AI831/AG831</f>
        <v>0.85227272727272729</v>
      </c>
      <c r="X831" s="18" t="s">
        <v>115</v>
      </c>
      <c r="Y831" s="18" t="s">
        <v>110</v>
      </c>
      <c r="Z831" s="18">
        <v>3</v>
      </c>
      <c r="AA831" s="18"/>
      <c r="AB831" s="18"/>
      <c r="AC831" s="18"/>
      <c r="AD831" s="18"/>
      <c r="AE831" s="18" t="s">
        <v>116</v>
      </c>
      <c r="AF831" s="18" t="s">
        <v>116</v>
      </c>
      <c r="AG831" s="18">
        <f>AH831-AI831</f>
        <v>88</v>
      </c>
      <c r="AH831" s="18">
        <v>163</v>
      </c>
      <c r="AI831" s="18">
        <v>75</v>
      </c>
      <c r="AJ831" s="18"/>
      <c r="AK831" s="18">
        <v>20</v>
      </c>
      <c r="AL831" s="16">
        <v>0</v>
      </c>
      <c r="AM831" s="16">
        <v>0</v>
      </c>
      <c r="AN831" s="16">
        <v>0</v>
      </c>
      <c r="AO831" s="16">
        <f>IF(SUM(AL831:AN831)&gt;0,1,0)</f>
        <v>0</v>
      </c>
      <c r="AP831" s="16">
        <f>SUM(AL831:AN831)</f>
        <v>0</v>
      </c>
      <c r="AQ831" s="18"/>
      <c r="AR831" s="18">
        <v>4.2999999999999997E-2</v>
      </c>
      <c r="AS831" s="18">
        <v>4.2999999999999997E-2</v>
      </c>
      <c r="AT831" s="18" t="s">
        <v>212</v>
      </c>
      <c r="AU831" s="18"/>
      <c r="AV831" s="18"/>
      <c r="AW831" s="22">
        <v>1</v>
      </c>
      <c r="AX831" s="18">
        <v>2</v>
      </c>
      <c r="AY831" s="18">
        <f>42/0.043</f>
        <v>976.74418604651169</v>
      </c>
      <c r="AZ831" s="18">
        <v>1</v>
      </c>
      <c r="BA831" s="18">
        <v>2</v>
      </c>
      <c r="BB831" s="18">
        <f>AY831</f>
        <v>976.74418604651169</v>
      </c>
      <c r="BC831" s="16">
        <v>1</v>
      </c>
      <c r="BD831" s="18">
        <v>5</v>
      </c>
      <c r="BE831" s="18">
        <f>5/0.043</f>
        <v>116.27906976744187</v>
      </c>
      <c r="BF831" s="18">
        <v>1</v>
      </c>
      <c r="BG831" s="78">
        <v>37</v>
      </c>
      <c r="BH831" s="18">
        <f>37/0.043</f>
        <v>860.46511627906989</v>
      </c>
      <c r="BI831" s="18">
        <v>0</v>
      </c>
      <c r="BJ831" s="24">
        <v>0</v>
      </c>
      <c r="BK831" s="24">
        <v>0</v>
      </c>
      <c r="BL831" s="16">
        <f>IF(BM831&gt;0,1,0)</f>
        <v>0</v>
      </c>
      <c r="BM831" s="16">
        <f>SUM(BR831,BU831,BX831,CA831,CD831,CG831,CJ831,CM831,CP831)</f>
        <v>0</v>
      </c>
      <c r="BN831" s="16">
        <f>SUM(BW831,BZ831,CC831,CF831,CI831,CL831,CO831,CR831,BT831)</f>
        <v>0</v>
      </c>
      <c r="BO831" s="16">
        <f>IF(BP831&gt;0,1,0)</f>
        <v>0</v>
      </c>
      <c r="BP831" s="16">
        <f>SUM(BU831,BX831,CA831,CD831,BR831)</f>
        <v>0</v>
      </c>
      <c r="BQ831" s="16">
        <f>SUM(BZ831,CC831,CF831,BT831,BW831)</f>
        <v>0</v>
      </c>
      <c r="BR831" s="18">
        <v>0</v>
      </c>
      <c r="BS831" s="24">
        <v>0</v>
      </c>
      <c r="BT831" s="77">
        <f>BS831/AS831</f>
        <v>0</v>
      </c>
      <c r="BU831" s="18">
        <v>0</v>
      </c>
      <c r="BV831" s="24">
        <v>0</v>
      </c>
      <c r="BW831" s="18">
        <f>BV831/AS831</f>
        <v>0</v>
      </c>
      <c r="BX831" s="18">
        <v>0</v>
      </c>
      <c r="BY831" s="24">
        <v>0</v>
      </c>
      <c r="BZ831" s="16">
        <f>BY831/AS831</f>
        <v>0</v>
      </c>
      <c r="CA831" s="24">
        <v>0</v>
      </c>
      <c r="CB831" s="24">
        <v>0</v>
      </c>
      <c r="CC831" s="24">
        <v>0</v>
      </c>
      <c r="CD831" s="78">
        <v>0</v>
      </c>
      <c r="CE831" s="24">
        <v>0</v>
      </c>
      <c r="CF831" s="24">
        <v>0</v>
      </c>
      <c r="CG831" s="24"/>
      <c r="CH831" s="24"/>
      <c r="CI831" s="24"/>
      <c r="CJ831" s="24"/>
      <c r="CK831" s="24"/>
      <c r="CL831" s="24"/>
      <c r="CM831" s="24"/>
      <c r="CN831" s="24"/>
      <c r="CO831" s="24"/>
      <c r="CP831" s="24" t="s">
        <v>123</v>
      </c>
      <c r="CQ831" s="24">
        <v>0</v>
      </c>
      <c r="CR831" s="24">
        <v>0</v>
      </c>
      <c r="CS831" s="18">
        <f>IF(CT831&gt;0,1,0)</f>
        <v>0</v>
      </c>
      <c r="CT831" s="25">
        <f>SUM(CW831,CZ831,DC831)</f>
        <v>0</v>
      </c>
      <c r="CU831" s="25"/>
      <c r="CV831" s="24">
        <v>0</v>
      </c>
      <c r="CW831" s="25">
        <v>0</v>
      </c>
      <c r="CX831" s="24">
        <v>0</v>
      </c>
      <c r="CY831" s="24">
        <v>0</v>
      </c>
      <c r="CZ831" s="18">
        <v>0</v>
      </c>
      <c r="DA831" s="24">
        <v>0</v>
      </c>
      <c r="DB831" s="24">
        <v>0</v>
      </c>
      <c r="DC831" s="18">
        <v>0</v>
      </c>
      <c r="DD831" s="24">
        <v>0</v>
      </c>
      <c r="DE831" s="24">
        <v>0</v>
      </c>
      <c r="DF831" s="16">
        <f>VLOOKUP(K831,'[3]RNA Seq summary tables'!$V$3:$V$99,1,FALSE)</f>
        <v>1562</v>
      </c>
      <c r="DG831" s="16">
        <v>1</v>
      </c>
      <c r="DH831" s="16" t="str">
        <f>VLOOKUP(D831,'[8]Data with duplicates'!$B$1:$J$70,9,FALSE)</f>
        <v>sample.1</v>
      </c>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18"/>
      <c r="EQ831" s="18"/>
      <c r="ER831" s="18"/>
      <c r="ES831" s="18"/>
      <c r="ET831" s="18"/>
      <c r="EU831" s="18"/>
      <c r="EV831" s="18"/>
      <c r="EW831" s="18"/>
      <c r="EX831" s="18"/>
      <c r="EY831" s="18"/>
      <c r="EZ831" s="18"/>
      <c r="FA831" s="18"/>
      <c r="FB831" s="18"/>
      <c r="FC831" s="18"/>
      <c r="FD831" s="18"/>
      <c r="FE831" s="18"/>
      <c r="FF831" s="18"/>
      <c r="FG831" s="18"/>
      <c r="FH831" s="18"/>
      <c r="FI831" s="18"/>
      <c r="FJ831" s="18"/>
      <c r="FK831" s="18"/>
      <c r="FL831" s="18"/>
      <c r="FM831" s="18"/>
      <c r="FN831" s="18"/>
      <c r="FO831" s="18"/>
      <c r="FP831" s="18"/>
      <c r="FQ831" s="18"/>
      <c r="FR831" s="18"/>
      <c r="FS831" s="18"/>
      <c r="FT831" s="18"/>
      <c r="FU831" s="18"/>
      <c r="FV831" s="18"/>
      <c r="FW831" s="18"/>
      <c r="FX831" s="18"/>
      <c r="FY831" s="18"/>
      <c r="FZ831" s="18"/>
      <c r="GA831" s="18"/>
      <c r="GB831" s="18"/>
      <c r="GC831" s="18"/>
      <c r="GD831" s="18"/>
      <c r="GE831" s="18"/>
      <c r="GF831" s="18"/>
      <c r="GG831" s="18"/>
      <c r="GH831" s="18"/>
      <c r="GI831" s="18"/>
      <c r="GJ831" s="18"/>
      <c r="GK831" s="18"/>
      <c r="GL831" s="18"/>
      <c r="GM831" s="18"/>
      <c r="GN831" s="18"/>
      <c r="GO831" s="18"/>
      <c r="GP831" s="18"/>
      <c r="GQ831" s="18"/>
      <c r="GR831" s="18"/>
      <c r="GS831" s="18"/>
      <c r="GT831" s="18"/>
      <c r="GU831" s="18"/>
      <c r="GV831" s="18"/>
      <c r="GW831" s="18"/>
      <c r="GX831" s="18"/>
      <c r="GY831" s="18"/>
      <c r="GZ831" s="18"/>
      <c r="HA831" s="18"/>
      <c r="HB831" s="18"/>
      <c r="HC831" s="18"/>
      <c r="HD831" s="18"/>
      <c r="HE831" s="18"/>
      <c r="HF831" s="18"/>
      <c r="HG831" s="18"/>
      <c r="HH831" s="18"/>
      <c r="HI831" s="18"/>
      <c r="HJ831" s="18"/>
      <c r="HK831" s="18"/>
      <c r="HL831" s="18"/>
      <c r="HM831" s="18"/>
      <c r="HN831" s="18"/>
      <c r="HO831" s="18"/>
      <c r="HP831" s="18"/>
      <c r="HQ831" s="18"/>
      <c r="HR831" s="18"/>
      <c r="HS831" s="18"/>
      <c r="HT831" s="18"/>
      <c r="HU831" s="18"/>
      <c r="HV831" s="18"/>
      <c r="HW831" s="18"/>
      <c r="HX831" s="18"/>
      <c r="HY831" s="18"/>
      <c r="HZ831" s="18"/>
      <c r="IA831" s="18"/>
      <c r="IB831" s="18"/>
      <c r="IC831" s="18"/>
      <c r="ID831" s="18"/>
      <c r="IE831" s="18"/>
      <c r="IF831" s="18"/>
      <c r="IG831" s="18"/>
      <c r="IH831" s="18"/>
      <c r="II831" s="18"/>
      <c r="IJ831" s="18"/>
      <c r="IK831" s="18"/>
      <c r="IL831" s="18"/>
      <c r="IM831" s="18"/>
      <c r="IN831" s="18"/>
      <c r="IO831" s="18"/>
      <c r="IP831" s="18"/>
      <c r="IQ831" s="18"/>
      <c r="IR831" s="18"/>
      <c r="IS831" s="18"/>
      <c r="IT831" s="18"/>
      <c r="IU831" s="18"/>
      <c r="IV831" s="18"/>
      <c r="IW831" s="18"/>
      <c r="IX831" s="18"/>
      <c r="IY831" s="18"/>
      <c r="IZ831" s="18"/>
      <c r="JA831" s="18"/>
      <c r="JB831" s="18"/>
      <c r="JC831" s="18"/>
      <c r="JD831" s="18"/>
      <c r="JE831" s="18"/>
      <c r="JF831" s="18"/>
      <c r="JG831" s="18"/>
      <c r="JH831" s="18"/>
      <c r="JI831" s="18"/>
      <c r="JJ831" s="18"/>
      <c r="JK831" s="18"/>
      <c r="JL831" s="18"/>
      <c r="JM831" s="18"/>
      <c r="JN831" s="18"/>
      <c r="JO831" s="16"/>
      <c r="JP831" s="26"/>
      <c r="JQ831" s="26"/>
      <c r="JR831" s="16"/>
      <c r="JS831" s="16"/>
      <c r="JT831" s="16"/>
      <c r="JU831" s="16"/>
      <c r="JV831" s="16"/>
      <c r="JW831" s="16"/>
      <c r="JX831" s="16"/>
      <c r="JY831" s="16"/>
      <c r="JZ831" s="16"/>
      <c r="KA831" s="16"/>
      <c r="KB831" s="16"/>
    </row>
    <row r="832" spans="1:288" s="38" customFormat="1" x14ac:dyDescent="0.2">
      <c r="A832" s="18"/>
      <c r="B832" s="16">
        <v>2016</v>
      </c>
      <c r="C832" s="37">
        <v>42571</v>
      </c>
      <c r="D832" s="37" t="str">
        <f>CONCATENATE(J832,"-",C832)</f>
        <v>1003-42571</v>
      </c>
      <c r="E832" s="20" t="str">
        <f>CONCATENATE(T832,"-",U832,"-",C832)</f>
        <v>BC2-F1-42571</v>
      </c>
      <c r="F832" s="20" t="s">
        <v>106</v>
      </c>
      <c r="G832" s="20" t="s">
        <v>107</v>
      </c>
      <c r="H832" s="18"/>
      <c r="I832" s="16">
        <v>0</v>
      </c>
      <c r="J832" s="36">
        <v>1003</v>
      </c>
      <c r="K832" s="36">
        <v>1495</v>
      </c>
      <c r="L832" s="18">
        <v>0</v>
      </c>
      <c r="M832" s="15">
        <f>VLOOKUP(K832,'[7]MLBS 2016 SNV-nem Coinfection d'!$C$1:$G$238,4,FALSE)</f>
        <v>0</v>
      </c>
      <c r="N832" s="15">
        <v>0</v>
      </c>
      <c r="O832" s="15" t="s">
        <v>214</v>
      </c>
      <c r="P832" s="18" t="s">
        <v>110</v>
      </c>
      <c r="Q832" s="16">
        <v>0</v>
      </c>
      <c r="R832" s="18" t="s">
        <v>111</v>
      </c>
      <c r="S832" s="18"/>
      <c r="T832" s="18" t="s">
        <v>154</v>
      </c>
      <c r="U832" s="18" t="s">
        <v>217</v>
      </c>
      <c r="V832" s="18" t="s">
        <v>114</v>
      </c>
      <c r="W832" s="16">
        <f>AI832/AG832</f>
        <v>0.92771084337349397</v>
      </c>
      <c r="X832" s="18" t="s">
        <v>115</v>
      </c>
      <c r="Y832" s="18" t="s">
        <v>110</v>
      </c>
      <c r="Z832" s="18">
        <v>3</v>
      </c>
      <c r="AA832" s="18"/>
      <c r="AB832" s="18"/>
      <c r="AC832" s="18"/>
      <c r="AD832" s="18"/>
      <c r="AE832" s="18" t="s">
        <v>123</v>
      </c>
      <c r="AF832" s="18" t="s">
        <v>123</v>
      </c>
      <c r="AG832" s="18">
        <f>AH832-AI832</f>
        <v>83</v>
      </c>
      <c r="AH832" s="18">
        <v>160</v>
      </c>
      <c r="AI832" s="18">
        <v>77</v>
      </c>
      <c r="AJ832" s="18"/>
      <c r="AK832" s="18">
        <v>18.5</v>
      </c>
      <c r="AL832" s="16">
        <v>1</v>
      </c>
      <c r="AM832" s="16">
        <v>0</v>
      </c>
      <c r="AN832" s="16">
        <v>0</v>
      </c>
      <c r="AO832" s="16">
        <f>IF(SUM(AL832:AN832)&gt;0,1,0)</f>
        <v>1</v>
      </c>
      <c r="AP832" s="16">
        <f>SUM(AL832:AN832)</f>
        <v>1</v>
      </c>
      <c r="AQ832" s="18"/>
      <c r="AR832" s="18">
        <v>0.61</v>
      </c>
      <c r="AS832" s="18">
        <v>0.61</v>
      </c>
      <c r="AT832" s="18" t="s">
        <v>212</v>
      </c>
      <c r="AU832" s="18"/>
      <c r="AV832" s="18"/>
      <c r="AW832" s="22">
        <v>1</v>
      </c>
      <c r="AX832" s="18">
        <v>5</v>
      </c>
      <c r="AY832" s="18">
        <f>(6+206+8)/0.61</f>
        <v>360.65573770491807</v>
      </c>
      <c r="AZ832" s="18">
        <v>1</v>
      </c>
      <c r="BA832" s="18">
        <v>2</v>
      </c>
      <c r="BB832" s="18">
        <f>(212/0.61)</f>
        <v>347.5409836065574</v>
      </c>
      <c r="BC832" s="16">
        <v>1</v>
      </c>
      <c r="BD832" s="18">
        <v>6</v>
      </c>
      <c r="BE832" s="18">
        <f>6/0.61</f>
        <v>9.8360655737704921</v>
      </c>
      <c r="BF832" s="18">
        <v>1</v>
      </c>
      <c r="BG832" s="78">
        <v>206</v>
      </c>
      <c r="BH832" s="18">
        <f>206/0.61</f>
        <v>337.70491803278691</v>
      </c>
      <c r="BI832" s="18">
        <v>0</v>
      </c>
      <c r="BJ832" s="18">
        <v>0</v>
      </c>
      <c r="BK832" s="18">
        <v>0</v>
      </c>
      <c r="BL832" s="16">
        <f>IF(BM832&gt;0,1,0)</f>
        <v>1</v>
      </c>
      <c r="BM832" s="16">
        <f>SUM(BR832,BU832,BX832,CA832,CD832,CG832,CJ832,CM832,CP832)</f>
        <v>1</v>
      </c>
      <c r="BN832" s="16">
        <f>SUM(BW832,BZ832,CC832,CF832,CI832,CL832,CO832,CR832,BT832)</f>
        <v>1.639344262295082</v>
      </c>
      <c r="BO832" s="16">
        <f>IF(BP832&gt;0,1,0)</f>
        <v>1</v>
      </c>
      <c r="BP832" s="16">
        <f>SUM(BU832,BX832,CA832,CD832,BR832)</f>
        <v>1</v>
      </c>
      <c r="BQ832" s="16">
        <f>SUM(BZ832,CC832,CF832,BT832,BW832)</f>
        <v>1.639344262295082</v>
      </c>
      <c r="BR832" s="18">
        <v>0</v>
      </c>
      <c r="BS832" s="18">
        <v>0</v>
      </c>
      <c r="BT832" s="77">
        <f>BS832/AS832</f>
        <v>0</v>
      </c>
      <c r="BU832" s="18">
        <v>0</v>
      </c>
      <c r="BV832" s="18">
        <v>0</v>
      </c>
      <c r="BW832" s="18">
        <f>BV832/AS832</f>
        <v>0</v>
      </c>
      <c r="BX832" s="18">
        <v>0</v>
      </c>
      <c r="BY832" s="18">
        <v>0</v>
      </c>
      <c r="BZ832" s="16">
        <f>BY832/AS832</f>
        <v>0</v>
      </c>
      <c r="CA832" s="24">
        <v>1</v>
      </c>
      <c r="CB832" s="18">
        <v>1</v>
      </c>
      <c r="CC832" s="18">
        <f>1/0.61</f>
        <v>1.639344262295082</v>
      </c>
      <c r="CD832" s="78">
        <v>0</v>
      </c>
      <c r="CE832" s="18">
        <v>0</v>
      </c>
      <c r="CF832" s="18">
        <v>0</v>
      </c>
      <c r="CG832" s="18"/>
      <c r="CH832" s="18"/>
      <c r="CI832" s="18"/>
      <c r="CJ832" s="18"/>
      <c r="CK832" s="18"/>
      <c r="CL832" s="18"/>
      <c r="CM832" s="18"/>
      <c r="CN832" s="18"/>
      <c r="CO832" s="18"/>
      <c r="CP832" s="18" t="s">
        <v>123</v>
      </c>
      <c r="CQ832" s="18">
        <v>0</v>
      </c>
      <c r="CR832" s="18">
        <v>0</v>
      </c>
      <c r="CS832" s="18">
        <f>IF(CT832&gt;0,1,0)</f>
        <v>1</v>
      </c>
      <c r="CT832" s="25">
        <f>SUM(CW832,CZ832,DC832)</f>
        <v>2</v>
      </c>
      <c r="CU832" s="25"/>
      <c r="CV832" s="18">
        <f>7/0.61</f>
        <v>11.475409836065573</v>
      </c>
      <c r="CW832" s="22">
        <v>1</v>
      </c>
      <c r="CX832" s="18">
        <v>6</v>
      </c>
      <c r="CY832" s="18">
        <f>6/0.61</f>
        <v>9.8360655737704921</v>
      </c>
      <c r="CZ832" s="16">
        <v>1</v>
      </c>
      <c r="DA832" s="18">
        <v>1</v>
      </c>
      <c r="DB832" s="18">
        <f>1/0.61</f>
        <v>1.639344262295082</v>
      </c>
      <c r="DC832" s="18">
        <v>0</v>
      </c>
      <c r="DD832" s="18">
        <v>0</v>
      </c>
      <c r="DE832" s="18">
        <v>0</v>
      </c>
      <c r="DF832" s="16" t="e">
        <f>VLOOKUP(K832,'[3]RNA Seq summary tables'!$V$3:$V$99,1,FALSE)</f>
        <v>#N/A</v>
      </c>
      <c r="DG832" s="16"/>
      <c r="DH832" s="16"/>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18"/>
      <c r="EQ832" s="18"/>
      <c r="ER832" s="18"/>
      <c r="ES832" s="18"/>
      <c r="ET832" s="18"/>
      <c r="EU832" s="18"/>
      <c r="EV832" s="18"/>
      <c r="EW832" s="18"/>
      <c r="EX832" s="18"/>
      <c r="EY832" s="18"/>
      <c r="EZ832" s="18"/>
      <c r="FA832" s="18"/>
      <c r="FB832" s="18"/>
      <c r="FC832" s="18"/>
      <c r="FD832" s="18"/>
      <c r="FE832" s="18"/>
      <c r="FF832" s="18"/>
      <c r="FG832" s="18"/>
      <c r="FH832" s="18"/>
      <c r="FI832" s="18"/>
      <c r="FJ832" s="18"/>
      <c r="FK832" s="18"/>
      <c r="FL832" s="18"/>
      <c r="FM832" s="18"/>
      <c r="FN832" s="18"/>
      <c r="FO832" s="18"/>
      <c r="FP832" s="18"/>
      <c r="FQ832" s="18"/>
      <c r="FR832" s="18"/>
      <c r="FS832" s="18"/>
      <c r="FT832" s="18"/>
      <c r="FU832" s="18"/>
      <c r="FV832" s="18"/>
      <c r="FW832" s="18"/>
      <c r="FX832" s="18"/>
      <c r="FY832" s="18"/>
      <c r="FZ832" s="18"/>
      <c r="GA832" s="18"/>
      <c r="GB832" s="18"/>
      <c r="GC832" s="18"/>
      <c r="GD832" s="18"/>
      <c r="GE832" s="18"/>
      <c r="GF832" s="18"/>
      <c r="GG832" s="18"/>
      <c r="GH832" s="18"/>
      <c r="GI832" s="18"/>
      <c r="GJ832" s="18"/>
      <c r="GK832" s="18"/>
      <c r="GL832" s="18"/>
      <c r="GM832" s="18"/>
      <c r="GN832" s="18"/>
      <c r="GO832" s="18"/>
      <c r="GP832" s="18"/>
      <c r="GQ832" s="18"/>
      <c r="GR832" s="18"/>
      <c r="GS832" s="18"/>
      <c r="GT832" s="18"/>
      <c r="GU832" s="18"/>
      <c r="GV832" s="18"/>
      <c r="GW832" s="18"/>
      <c r="GX832" s="18"/>
      <c r="GY832" s="18"/>
      <c r="GZ832" s="18"/>
      <c r="HA832" s="18"/>
      <c r="HB832" s="18"/>
      <c r="HC832" s="18"/>
      <c r="HD832" s="18"/>
      <c r="HE832" s="18"/>
      <c r="HF832" s="18"/>
      <c r="HG832" s="18"/>
      <c r="HH832" s="18"/>
      <c r="HI832" s="18"/>
      <c r="HJ832" s="18"/>
      <c r="HK832" s="18"/>
      <c r="HL832" s="18"/>
      <c r="HM832" s="18"/>
      <c r="HN832" s="18"/>
      <c r="HO832" s="18"/>
      <c r="HP832" s="18"/>
      <c r="HQ832" s="18"/>
      <c r="HR832" s="18"/>
      <c r="HS832" s="18"/>
      <c r="HT832" s="18"/>
      <c r="HU832" s="18"/>
      <c r="HV832" s="18"/>
      <c r="HW832" s="18"/>
      <c r="HX832" s="18"/>
      <c r="HY832" s="18"/>
      <c r="HZ832" s="18"/>
      <c r="IA832" s="18"/>
      <c r="IB832" s="18"/>
      <c r="IC832" s="18"/>
      <c r="ID832" s="18"/>
      <c r="IE832" s="18"/>
      <c r="IF832" s="18"/>
      <c r="IG832" s="18"/>
      <c r="IH832" s="18"/>
      <c r="II832" s="18"/>
      <c r="IJ832" s="18"/>
      <c r="IK832" s="18"/>
      <c r="IL832" s="18"/>
      <c r="IM832" s="18"/>
      <c r="IN832" s="18"/>
      <c r="IO832" s="18"/>
      <c r="IP832" s="18"/>
      <c r="IQ832" s="18"/>
      <c r="IR832" s="18"/>
      <c r="IS832" s="18"/>
      <c r="IT832" s="18"/>
      <c r="IU832" s="18"/>
      <c r="IV832" s="18"/>
      <c r="IW832" s="18"/>
      <c r="IX832" s="18"/>
      <c r="IY832" s="18"/>
      <c r="IZ832" s="18"/>
      <c r="JA832" s="18"/>
      <c r="JB832" s="18"/>
      <c r="JC832" s="18"/>
      <c r="JD832" s="18"/>
      <c r="JE832" s="18"/>
      <c r="JF832" s="18"/>
      <c r="JG832" s="18"/>
      <c r="JH832" s="18"/>
      <c r="JI832" s="18"/>
      <c r="JJ832" s="18"/>
      <c r="JK832" s="18"/>
      <c r="JL832" s="18"/>
      <c r="JM832" s="18"/>
      <c r="JN832" s="18"/>
      <c r="JO832" s="16"/>
      <c r="JP832" s="16"/>
      <c r="JQ832" s="16"/>
      <c r="JR832" s="26"/>
      <c r="JS832" s="26"/>
      <c r="JT832" s="26"/>
      <c r="JU832" s="26"/>
      <c r="JV832" s="26"/>
      <c r="JW832" s="26"/>
      <c r="JX832" s="26"/>
      <c r="JY832" s="26"/>
      <c r="JZ832" s="26"/>
      <c r="KA832" s="26"/>
      <c r="KB832" s="26"/>
    </row>
    <row r="833" spans="1:288" s="38" customFormat="1" x14ac:dyDescent="0.2">
      <c r="A833" s="26"/>
      <c r="B833" s="26">
        <v>2016</v>
      </c>
      <c r="C833" s="44">
        <v>42576</v>
      </c>
      <c r="D833" s="44" t="str">
        <f>CONCATENATE(J833,"-",C833)</f>
        <v>1006-42576</v>
      </c>
      <c r="E833" s="20" t="str">
        <f>CONCATENATE(T833,"-",U833,"-",C833)</f>
        <v>HW1-G4-42576</v>
      </c>
      <c r="F833" s="20" t="s">
        <v>106</v>
      </c>
      <c r="G833" s="44" t="s">
        <v>107</v>
      </c>
      <c r="H833" s="26"/>
      <c r="I833" s="16">
        <v>0</v>
      </c>
      <c r="J833" s="45">
        <v>1006</v>
      </c>
      <c r="K833" s="45">
        <v>1509</v>
      </c>
      <c r="L833" s="16">
        <v>1</v>
      </c>
      <c r="M833" s="46">
        <f>VLOOKUP(K833,'[7]MLBS 2016 SNV-nem Coinfection d'!$C$1:$G$238,4,FALSE)</f>
        <v>1</v>
      </c>
      <c r="N833" s="46">
        <f>VLOOKUP(K833,'[7]MLBS 2016 SNV-nem Coinfection d'!$C$1:$G$238,5,FALSE)</f>
        <v>266</v>
      </c>
      <c r="O833" s="15" t="s">
        <v>214</v>
      </c>
      <c r="P833" s="26" t="s">
        <v>110</v>
      </c>
      <c r="Q833" s="26">
        <v>0</v>
      </c>
      <c r="R833" s="26" t="s">
        <v>111</v>
      </c>
      <c r="S833" s="26"/>
      <c r="T833" s="26" t="s">
        <v>133</v>
      </c>
      <c r="U833" s="26" t="s">
        <v>173</v>
      </c>
      <c r="V833" s="26" t="s">
        <v>114</v>
      </c>
      <c r="W833" s="16">
        <f>AI833/AG833</f>
        <v>0.7978723404255319</v>
      </c>
      <c r="X833" s="26" t="s">
        <v>115</v>
      </c>
      <c r="Y833" s="26" t="s">
        <v>110</v>
      </c>
      <c r="Z833" s="26">
        <v>3</v>
      </c>
      <c r="AA833" s="26"/>
      <c r="AB833" s="26"/>
      <c r="AC833" s="26"/>
      <c r="AD833" s="26"/>
      <c r="AE833" s="26" t="s">
        <v>116</v>
      </c>
      <c r="AF833" s="26" t="s">
        <v>116</v>
      </c>
      <c r="AG833" s="26">
        <f>AH833-AI833</f>
        <v>94</v>
      </c>
      <c r="AH833" s="26">
        <v>169</v>
      </c>
      <c r="AI833" s="26">
        <v>75</v>
      </c>
      <c r="AJ833" s="26"/>
      <c r="AK833" s="26">
        <v>21.5</v>
      </c>
      <c r="AL833" s="26">
        <v>0</v>
      </c>
      <c r="AM833" s="26">
        <v>0</v>
      </c>
      <c r="AN833" s="26">
        <v>0</v>
      </c>
      <c r="AO833" s="26">
        <f>IF(SUM(AL833:AN833)&gt;0,1,0)</f>
        <v>0</v>
      </c>
      <c r="AP833" s="26">
        <f>SUM(AL833:AN833)</f>
        <v>0</v>
      </c>
      <c r="AQ833" s="26"/>
      <c r="AR833" s="26">
        <v>0.38400000000000001</v>
      </c>
      <c r="AS833" s="26">
        <v>0.38400000000000001</v>
      </c>
      <c r="AT833" s="26" t="s">
        <v>212</v>
      </c>
      <c r="AU833" s="26"/>
      <c r="AV833" s="26"/>
      <c r="AW833" s="47">
        <v>1</v>
      </c>
      <c r="AX833" s="26">
        <v>3</v>
      </c>
      <c r="AY833" s="26">
        <f>(32+507+22)/0.384</f>
        <v>1460.9375</v>
      </c>
      <c r="AZ833" s="26">
        <v>1</v>
      </c>
      <c r="BA833" s="26">
        <v>2</v>
      </c>
      <c r="BB833" s="26">
        <f>539/0.384</f>
        <v>1403.6458333333333</v>
      </c>
      <c r="BC833" s="26">
        <v>1</v>
      </c>
      <c r="BD833" s="26">
        <v>10</v>
      </c>
      <c r="BE833" s="26">
        <f>10/0.384</f>
        <v>26.041666666666668</v>
      </c>
      <c r="BF833" s="26">
        <v>1</v>
      </c>
      <c r="BG833" s="82">
        <v>507</v>
      </c>
      <c r="BH833" s="26">
        <f>5507/0.384</f>
        <v>14341.145833333334</v>
      </c>
      <c r="BI833" s="26">
        <v>0</v>
      </c>
      <c r="BJ833" s="26">
        <v>0</v>
      </c>
      <c r="BK833" s="26">
        <v>0</v>
      </c>
      <c r="BL833" s="26">
        <f>IF(BM833&gt;0,1,0)</f>
        <v>1</v>
      </c>
      <c r="BM833" s="26">
        <f>SUM(BR833,BU833,BX833,CA833,CD833,CG833,CJ833,CM833,CP833)</f>
        <v>1</v>
      </c>
      <c r="BN833" s="26">
        <f>SUM(BW833,BZ833,CC833,CF833,CI833,CL833,CO833,CR833,BT833)</f>
        <v>57.291666666666664</v>
      </c>
      <c r="BO833" s="16">
        <f>IF(BP833&gt;0,1,0)</f>
        <v>1</v>
      </c>
      <c r="BP833" s="16">
        <f>SUM(BU833,BX833,CA833,CD833,BR833)</f>
        <v>1</v>
      </c>
      <c r="BQ833" s="16">
        <f>SUM(BZ833,CC833,CF833,BT833,BW833)</f>
        <v>57.291666666666664</v>
      </c>
      <c r="BR833" s="26">
        <v>0</v>
      </c>
      <c r="BS833" s="26">
        <v>0</v>
      </c>
      <c r="BT833" s="82">
        <f>BS833/AS833</f>
        <v>0</v>
      </c>
      <c r="BU833" s="26">
        <v>0</v>
      </c>
      <c r="BV833" s="26">
        <v>0</v>
      </c>
      <c r="BW833" s="26">
        <f>BV833/AS833</f>
        <v>0</v>
      </c>
      <c r="BX833" s="47">
        <v>1</v>
      </c>
      <c r="BY833" s="26">
        <v>22</v>
      </c>
      <c r="BZ833" s="26">
        <f>BY833/AS833</f>
        <v>57.291666666666664</v>
      </c>
      <c r="CA833" s="47">
        <v>0</v>
      </c>
      <c r="CB833" s="26">
        <v>0</v>
      </c>
      <c r="CC833" s="26">
        <v>0</v>
      </c>
      <c r="CD833" s="82">
        <v>0</v>
      </c>
      <c r="CE833" s="26">
        <v>0</v>
      </c>
      <c r="CF833" s="26">
        <v>0</v>
      </c>
      <c r="CG833" s="26"/>
      <c r="CH833" s="26"/>
      <c r="CI833" s="26"/>
      <c r="CJ833" s="26"/>
      <c r="CK833" s="26"/>
      <c r="CL833" s="26"/>
      <c r="CM833" s="26"/>
      <c r="CN833" s="26"/>
      <c r="CO833" s="26"/>
      <c r="CP833" s="26" t="s">
        <v>123</v>
      </c>
      <c r="CQ833" s="26">
        <v>0</v>
      </c>
      <c r="CR833" s="26">
        <v>0</v>
      </c>
      <c r="CS833" s="26">
        <f>IF(CT833&gt;0,1,0)</f>
        <v>0</v>
      </c>
      <c r="CT833" s="48">
        <f>SUM(CW833,CZ833,DC833)</f>
        <v>0</v>
      </c>
      <c r="CU833" s="48"/>
      <c r="CV833" s="26">
        <v>0</v>
      </c>
      <c r="CW833" s="48">
        <v>0</v>
      </c>
      <c r="CX833" s="26">
        <v>0</v>
      </c>
      <c r="CY833" s="26">
        <v>0</v>
      </c>
      <c r="CZ833" s="26">
        <v>0</v>
      </c>
      <c r="DA833" s="26">
        <v>0</v>
      </c>
      <c r="DB833" s="26">
        <v>0</v>
      </c>
      <c r="DC833" s="26">
        <v>0</v>
      </c>
      <c r="DD833" s="26">
        <v>0</v>
      </c>
      <c r="DE833" s="26">
        <v>0</v>
      </c>
      <c r="DF833" s="16">
        <f>VLOOKUP(K833,'[3]RNA Seq summary tables'!$V$3:$V$99,1,FALSE)</f>
        <v>1509</v>
      </c>
      <c r="DG833" s="16"/>
      <c r="DH833" s="16"/>
      <c r="DI833" s="26"/>
      <c r="DJ833" s="26"/>
      <c r="DK833" s="26"/>
      <c r="DL833" s="26"/>
      <c r="DM833" s="26"/>
      <c r="DN833" s="26"/>
      <c r="DO833" s="26"/>
      <c r="DP833" s="26"/>
      <c r="DQ833" s="26"/>
      <c r="DR833" s="26"/>
      <c r="DS833" s="26"/>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18"/>
      <c r="EQ833" s="18"/>
      <c r="ER833" s="18"/>
      <c r="ES833" s="18"/>
      <c r="ET833" s="18"/>
      <c r="EU833" s="18"/>
      <c r="EV833" s="18"/>
      <c r="EW833" s="18"/>
      <c r="EX833" s="18"/>
      <c r="EY833" s="18"/>
      <c r="EZ833" s="18"/>
      <c r="FA833" s="18"/>
      <c r="FB833" s="18"/>
      <c r="FC833" s="18"/>
      <c r="FD833" s="18"/>
      <c r="FE833" s="18"/>
      <c r="FF833" s="18"/>
      <c r="FG833" s="18"/>
      <c r="FH833" s="18"/>
      <c r="FI833" s="18"/>
      <c r="FJ833" s="18"/>
      <c r="FK833" s="18"/>
      <c r="FL833" s="18"/>
      <c r="FM833" s="18"/>
      <c r="FN833" s="18"/>
      <c r="FO833" s="18"/>
      <c r="FP833" s="18"/>
      <c r="FQ833" s="18"/>
      <c r="FR833" s="18"/>
      <c r="FS833" s="18"/>
      <c r="FT833" s="18"/>
      <c r="FU833" s="18"/>
      <c r="FV833" s="18"/>
      <c r="FW833" s="18"/>
      <c r="FX833" s="18"/>
      <c r="FY833" s="18"/>
      <c r="FZ833" s="18"/>
      <c r="GA833" s="18"/>
      <c r="GB833" s="18"/>
      <c r="GC833" s="18"/>
      <c r="GD833" s="18"/>
      <c r="GE833" s="18"/>
      <c r="GF833" s="18"/>
      <c r="GG833" s="18"/>
      <c r="GH833" s="18"/>
      <c r="GI833" s="18"/>
      <c r="GJ833" s="18"/>
      <c r="GK833" s="18"/>
      <c r="GL833" s="18"/>
      <c r="GM833" s="18"/>
      <c r="GN833" s="18"/>
      <c r="GO833" s="18"/>
      <c r="GP833" s="18"/>
      <c r="GQ833" s="18"/>
      <c r="GR833" s="18"/>
      <c r="GS833" s="18"/>
      <c r="GT833" s="18"/>
      <c r="GU833" s="18"/>
      <c r="GV833" s="18"/>
      <c r="GW833" s="18"/>
      <c r="GX833" s="18"/>
      <c r="GY833" s="18"/>
      <c r="GZ833" s="18"/>
      <c r="HA833" s="18"/>
      <c r="HB833" s="18"/>
      <c r="HC833" s="18"/>
      <c r="HD833" s="18"/>
      <c r="HE833" s="18"/>
      <c r="HF833" s="18"/>
      <c r="HG833" s="18"/>
      <c r="HH833" s="18"/>
      <c r="HI833" s="18"/>
      <c r="HJ833" s="18"/>
      <c r="HK833" s="18"/>
      <c r="HL833" s="18"/>
      <c r="HM833" s="18"/>
      <c r="HN833" s="18"/>
      <c r="HO833" s="18"/>
      <c r="HP833" s="18"/>
      <c r="HQ833" s="18"/>
      <c r="HR833" s="18"/>
      <c r="HS833" s="18"/>
      <c r="HT833" s="18"/>
      <c r="HU833" s="18"/>
      <c r="HV833" s="18"/>
      <c r="HW833" s="18"/>
      <c r="HX833" s="18"/>
      <c r="HY833" s="18"/>
      <c r="HZ833" s="18"/>
      <c r="IA833" s="18"/>
      <c r="IB833" s="18"/>
      <c r="IC833" s="18"/>
      <c r="ID833" s="18"/>
      <c r="IE833" s="18"/>
      <c r="IF833" s="18"/>
      <c r="IG833" s="18"/>
      <c r="IH833" s="18"/>
      <c r="II833" s="18"/>
      <c r="IJ833" s="18"/>
      <c r="IK833" s="18"/>
      <c r="IL833" s="18"/>
      <c r="IM833" s="18"/>
      <c r="IN833" s="18"/>
      <c r="IO833" s="18"/>
      <c r="IP833" s="18"/>
      <c r="IQ833" s="18"/>
      <c r="IR833" s="18"/>
      <c r="IS833" s="18"/>
      <c r="IT833" s="18"/>
      <c r="IU833" s="18"/>
      <c r="IV833" s="18"/>
      <c r="IW833" s="18"/>
      <c r="IX833" s="18"/>
      <c r="IY833" s="18"/>
      <c r="IZ833" s="18"/>
      <c r="JA833" s="18"/>
      <c r="JB833" s="18"/>
      <c r="JC833" s="18"/>
      <c r="JD833" s="18"/>
      <c r="JE833" s="18"/>
      <c r="JF833" s="18"/>
      <c r="JG833" s="18"/>
      <c r="JH833" s="18"/>
      <c r="JI833" s="18"/>
      <c r="JJ833" s="18"/>
      <c r="JK833" s="18"/>
      <c r="JL833" s="18"/>
      <c r="JM833" s="18"/>
      <c r="JN833" s="18"/>
      <c r="JO833" s="16"/>
      <c r="JP833" s="26"/>
      <c r="JQ833" s="26"/>
      <c r="JR833" s="16"/>
      <c r="JS833" s="16"/>
      <c r="JT833" s="16"/>
      <c r="JU833" s="16"/>
      <c r="JV833" s="16"/>
      <c r="JW833" s="16"/>
      <c r="JX833" s="16"/>
      <c r="JY833" s="16"/>
      <c r="JZ833" s="16"/>
      <c r="KA833" s="16"/>
      <c r="KB833" s="16"/>
    </row>
    <row r="834" spans="1:288" s="38" customFormat="1" x14ac:dyDescent="0.2">
      <c r="A834" s="26"/>
      <c r="B834" s="26">
        <v>2016</v>
      </c>
      <c r="C834" s="44">
        <v>42590</v>
      </c>
      <c r="D834" s="44" t="str">
        <f>CONCATENATE(J834,"-",C834)</f>
        <v>1006-42590</v>
      </c>
      <c r="E834" s="20" t="str">
        <f>CONCATENATE(T834,"-",U834,"-",C834)</f>
        <v>HW1-H4-42590</v>
      </c>
      <c r="F834" s="20" t="s">
        <v>224</v>
      </c>
      <c r="G834" s="44" t="s">
        <v>107</v>
      </c>
      <c r="H834" s="26"/>
      <c r="I834" s="16">
        <v>0</v>
      </c>
      <c r="J834" s="45">
        <v>1006</v>
      </c>
      <c r="K834" s="45">
        <v>1537</v>
      </c>
      <c r="L834" s="16">
        <v>1</v>
      </c>
      <c r="M834" s="46">
        <f>VLOOKUP(K834,'[7]MLBS 2016 SNV-nem Coinfection d'!$C$1:$G$238,4,FALSE)</f>
        <v>1</v>
      </c>
      <c r="N834" s="46">
        <f>VLOOKUP(K834,'[7]MLBS 2016 SNV-nem Coinfection d'!$C$1:$G$238,5,FALSE)</f>
        <v>17</v>
      </c>
      <c r="O834" s="15" t="s">
        <v>214</v>
      </c>
      <c r="P834" s="26" t="s">
        <v>110</v>
      </c>
      <c r="Q834" s="26">
        <v>1</v>
      </c>
      <c r="R834" s="26">
        <v>14</v>
      </c>
      <c r="S834" s="26"/>
      <c r="T834" s="26" t="s">
        <v>133</v>
      </c>
      <c r="U834" s="26" t="s">
        <v>151</v>
      </c>
      <c r="V834" s="26" t="s">
        <v>114</v>
      </c>
      <c r="W834" s="16">
        <f>AI834/AG834</f>
        <v>0.84090909090909094</v>
      </c>
      <c r="X834" s="26" t="s">
        <v>115</v>
      </c>
      <c r="Y834" s="26" t="s">
        <v>110</v>
      </c>
      <c r="Z834" s="26">
        <v>3</v>
      </c>
      <c r="AA834" s="26"/>
      <c r="AB834" s="26"/>
      <c r="AC834" s="26"/>
      <c r="AD834" s="26"/>
      <c r="AE834" s="26" t="s">
        <v>123</v>
      </c>
      <c r="AF834" s="26" t="s">
        <v>123</v>
      </c>
      <c r="AG834" s="26">
        <f>AH834-AI834</f>
        <v>88</v>
      </c>
      <c r="AH834" s="26">
        <v>162</v>
      </c>
      <c r="AI834" s="26">
        <v>74</v>
      </c>
      <c r="AJ834" s="26"/>
      <c r="AK834" s="26">
        <v>22.5</v>
      </c>
      <c r="AL834" s="26">
        <v>1</v>
      </c>
      <c r="AM834" s="26">
        <v>0</v>
      </c>
      <c r="AN834" s="26">
        <v>0</v>
      </c>
      <c r="AO834" s="26">
        <f>IF(SUM(AL834:AN834)&gt;0,1,0)</f>
        <v>1</v>
      </c>
      <c r="AP834" s="26">
        <f>SUM(AL834:AN834)</f>
        <v>1</v>
      </c>
      <c r="AQ834" s="26">
        <v>1.7889999999999999</v>
      </c>
      <c r="AR834" s="26">
        <v>0.312</v>
      </c>
      <c r="AS834" s="26">
        <v>0.312</v>
      </c>
      <c r="AT834" s="26" t="s">
        <v>205</v>
      </c>
      <c r="AU834" s="26"/>
      <c r="AV834" s="26">
        <v>1</v>
      </c>
      <c r="AW834" s="26">
        <v>0</v>
      </c>
      <c r="AX834" s="26">
        <v>0</v>
      </c>
      <c r="AY834" s="26">
        <v>0</v>
      </c>
      <c r="AZ834" s="26">
        <v>0</v>
      </c>
      <c r="BA834" s="26">
        <v>0</v>
      </c>
      <c r="BB834" s="26">
        <v>0</v>
      </c>
      <c r="BC834" s="26">
        <v>0</v>
      </c>
      <c r="BD834" s="26">
        <v>0</v>
      </c>
      <c r="BE834" s="26">
        <v>0</v>
      </c>
      <c r="BF834" s="26">
        <v>0</v>
      </c>
      <c r="BG834" s="82">
        <v>0</v>
      </c>
      <c r="BH834" s="26">
        <v>0</v>
      </c>
      <c r="BI834" s="26">
        <v>0</v>
      </c>
      <c r="BJ834" s="26">
        <v>0</v>
      </c>
      <c r="BK834" s="26">
        <v>0</v>
      </c>
      <c r="BL834" s="26">
        <f>IF(BM834&gt;0,1,0)</f>
        <v>0</v>
      </c>
      <c r="BM834" s="26">
        <f>SUM(BR834,BU834,BX834,CA834,CD834,CG834,CJ834,CM834,CP834)</f>
        <v>0</v>
      </c>
      <c r="BN834" s="26">
        <f>SUM(BW834,BZ834,CC834,CF834,CI834,CL834,CO834,CR834,BT834)</f>
        <v>0</v>
      </c>
      <c r="BO834" s="26">
        <f>IF(BP834&gt;0,1,0)</f>
        <v>0</v>
      </c>
      <c r="BP834" s="26">
        <f>SUM(BU834,BX834,CA834,CD834,BR834)</f>
        <v>0</v>
      </c>
      <c r="BQ834" s="26">
        <f>SUM(BZ834,CC834,CF834,BT834,BW834)</f>
        <v>0</v>
      </c>
      <c r="BR834" s="26">
        <v>0</v>
      </c>
      <c r="BS834" s="26">
        <v>0</v>
      </c>
      <c r="BT834" s="82">
        <f>BS834/AS834</f>
        <v>0</v>
      </c>
      <c r="BU834" s="26">
        <v>0</v>
      </c>
      <c r="BV834" s="26">
        <v>0</v>
      </c>
      <c r="BW834" s="26">
        <f>BV834/AS834</f>
        <v>0</v>
      </c>
      <c r="BX834" s="26">
        <v>0</v>
      </c>
      <c r="BY834" s="26">
        <v>0</v>
      </c>
      <c r="BZ834" s="26">
        <f>BY834/AS834</f>
        <v>0</v>
      </c>
      <c r="CA834" s="47">
        <v>0</v>
      </c>
      <c r="CB834" s="26">
        <v>0</v>
      </c>
      <c r="CC834" s="26">
        <v>0</v>
      </c>
      <c r="CD834" s="82">
        <v>0</v>
      </c>
      <c r="CE834" s="26">
        <v>0</v>
      </c>
      <c r="CF834" s="26">
        <v>0</v>
      </c>
      <c r="CG834" s="26"/>
      <c r="CH834" s="26"/>
      <c r="CI834" s="26"/>
      <c r="CJ834" s="26"/>
      <c r="CK834" s="26"/>
      <c r="CL834" s="26"/>
      <c r="CM834" s="26"/>
      <c r="CN834" s="26"/>
      <c r="CO834" s="26"/>
      <c r="CP834" s="26" t="s">
        <v>123</v>
      </c>
      <c r="CQ834" s="26">
        <v>0</v>
      </c>
      <c r="CR834" s="26">
        <v>0</v>
      </c>
      <c r="CS834" s="26">
        <f>IF(CT834&gt;0,1,0)</f>
        <v>0</v>
      </c>
      <c r="CT834" s="48">
        <f>SUM(CW834,CZ834,DC834)</f>
        <v>0</v>
      </c>
      <c r="CU834" s="48"/>
      <c r="CV834" s="26">
        <v>0</v>
      </c>
      <c r="CW834" s="48">
        <v>0</v>
      </c>
      <c r="CX834" s="26">
        <v>0</v>
      </c>
      <c r="CY834" s="26">
        <v>0</v>
      </c>
      <c r="CZ834" s="26">
        <v>0</v>
      </c>
      <c r="DA834" s="26">
        <v>0</v>
      </c>
      <c r="DB834" s="26">
        <v>0</v>
      </c>
      <c r="DC834" s="26">
        <v>0</v>
      </c>
      <c r="DD834" s="26">
        <v>0</v>
      </c>
      <c r="DE834" s="26">
        <v>0</v>
      </c>
      <c r="DF834" s="16">
        <f>VLOOKUP(K834,'[3]RNA Seq summary tables'!$V$3:$V$99,1,FALSE)</f>
        <v>1537</v>
      </c>
      <c r="DG834" s="16"/>
      <c r="DH834" s="16"/>
      <c r="DI834" s="26"/>
      <c r="DJ834" s="26"/>
      <c r="DK834" s="26"/>
      <c r="DL834" s="26"/>
      <c r="DM834" s="26"/>
      <c r="DN834" s="26"/>
      <c r="DO834" s="26"/>
      <c r="DP834" s="26"/>
      <c r="DQ834" s="26"/>
      <c r="DR834" s="26"/>
      <c r="DS834" s="26"/>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18"/>
      <c r="EQ834" s="18"/>
      <c r="ER834" s="18"/>
      <c r="ES834" s="18"/>
      <c r="ET834" s="18"/>
      <c r="EU834" s="18"/>
      <c r="EV834" s="18"/>
      <c r="EW834" s="18"/>
      <c r="EX834" s="18"/>
      <c r="EY834" s="18"/>
      <c r="EZ834" s="18"/>
      <c r="FA834" s="18"/>
      <c r="FB834" s="18"/>
      <c r="FC834" s="18"/>
      <c r="FD834" s="18"/>
      <c r="FE834" s="18"/>
      <c r="FF834" s="18"/>
      <c r="FG834" s="18"/>
      <c r="FH834" s="18"/>
      <c r="FI834" s="18"/>
      <c r="FJ834" s="18"/>
      <c r="FK834" s="18"/>
      <c r="FL834" s="18"/>
      <c r="FM834" s="18"/>
      <c r="FN834" s="18"/>
      <c r="FO834" s="18"/>
      <c r="FP834" s="18"/>
      <c r="FQ834" s="18"/>
      <c r="FR834" s="18"/>
      <c r="FS834" s="18"/>
      <c r="FT834" s="18"/>
      <c r="FU834" s="18"/>
      <c r="FV834" s="18"/>
      <c r="FW834" s="18"/>
      <c r="FX834" s="18"/>
      <c r="FY834" s="18"/>
      <c r="FZ834" s="18"/>
      <c r="GA834" s="18"/>
      <c r="GB834" s="18"/>
      <c r="GC834" s="18"/>
      <c r="GD834" s="18"/>
      <c r="GE834" s="18"/>
      <c r="GF834" s="18"/>
      <c r="GG834" s="18"/>
      <c r="GH834" s="18"/>
      <c r="GI834" s="18"/>
      <c r="GJ834" s="18"/>
      <c r="GK834" s="18"/>
      <c r="GL834" s="18"/>
      <c r="GM834" s="18"/>
      <c r="GN834" s="18"/>
      <c r="GO834" s="18"/>
      <c r="GP834" s="18"/>
      <c r="GQ834" s="18"/>
      <c r="GR834" s="18"/>
      <c r="GS834" s="18"/>
      <c r="GT834" s="18"/>
      <c r="GU834" s="18"/>
      <c r="GV834" s="18"/>
      <c r="GW834" s="18"/>
      <c r="GX834" s="18"/>
      <c r="GY834" s="18"/>
      <c r="GZ834" s="18"/>
      <c r="HA834" s="18"/>
      <c r="HB834" s="18"/>
      <c r="HC834" s="18"/>
      <c r="HD834" s="18"/>
      <c r="HE834" s="18"/>
      <c r="HF834" s="18"/>
      <c r="HG834" s="18"/>
      <c r="HH834" s="18"/>
      <c r="HI834" s="18"/>
      <c r="HJ834" s="18"/>
      <c r="HK834" s="18"/>
      <c r="HL834" s="18"/>
      <c r="HM834" s="18"/>
      <c r="HN834" s="18"/>
      <c r="HO834" s="18"/>
      <c r="HP834" s="18"/>
      <c r="HQ834" s="18"/>
      <c r="HR834" s="18"/>
      <c r="HS834" s="18"/>
      <c r="HT834" s="18"/>
      <c r="HU834" s="18"/>
      <c r="HV834" s="18"/>
      <c r="HW834" s="18"/>
      <c r="HX834" s="18"/>
      <c r="HY834" s="18"/>
      <c r="HZ834" s="18"/>
      <c r="IA834" s="18"/>
      <c r="IB834" s="18"/>
      <c r="IC834" s="18"/>
      <c r="ID834" s="18"/>
      <c r="IE834" s="18"/>
      <c r="IF834" s="18"/>
      <c r="IG834" s="18"/>
      <c r="IH834" s="18"/>
      <c r="II834" s="18"/>
      <c r="IJ834" s="18"/>
      <c r="IK834" s="18"/>
      <c r="IL834" s="18"/>
      <c r="IM834" s="18"/>
      <c r="IN834" s="18"/>
      <c r="IO834" s="18"/>
      <c r="IP834" s="18"/>
      <c r="IQ834" s="18"/>
      <c r="IR834" s="18"/>
      <c r="IS834" s="18"/>
      <c r="IT834" s="18"/>
      <c r="IU834" s="18"/>
      <c r="IV834" s="18"/>
      <c r="IW834" s="18"/>
      <c r="IX834" s="18"/>
      <c r="IY834" s="18"/>
      <c r="IZ834" s="18"/>
      <c r="JA834" s="18"/>
      <c r="JB834" s="18"/>
      <c r="JC834" s="18"/>
      <c r="JD834" s="18"/>
      <c r="JE834" s="18"/>
      <c r="JF834" s="18"/>
      <c r="JG834" s="18"/>
      <c r="JH834" s="18"/>
      <c r="JI834" s="18"/>
      <c r="JJ834" s="18"/>
      <c r="JK834" s="18"/>
      <c r="JL834" s="18"/>
      <c r="JM834" s="18"/>
      <c r="JN834" s="18"/>
      <c r="JO834" s="16"/>
      <c r="JP834" s="26"/>
      <c r="JQ834" s="26"/>
      <c r="JR834" s="16"/>
      <c r="JS834" s="16"/>
      <c r="JT834" s="16"/>
      <c r="JU834" s="16"/>
      <c r="JV834" s="16"/>
      <c r="JW834" s="16"/>
      <c r="JX834" s="16"/>
      <c r="JY834" s="16"/>
      <c r="JZ834" s="16"/>
      <c r="KA834" s="16"/>
      <c r="KB834" s="16"/>
    </row>
    <row r="835" spans="1:288" s="38" customFormat="1" x14ac:dyDescent="0.2">
      <c r="A835" s="18"/>
      <c r="B835" s="16">
        <v>2016</v>
      </c>
      <c r="C835" s="20">
        <v>42577</v>
      </c>
      <c r="D835" s="20" t="str">
        <f>CONCATENATE(J835,"-",C835)</f>
        <v>1008-42577</v>
      </c>
      <c r="E835" s="20" t="str">
        <f>CONCATENATE(T835,"-",U835,"-",C835)</f>
        <v>HW1-D4-42577</v>
      </c>
      <c r="F835" s="20" t="s">
        <v>106</v>
      </c>
      <c r="G835" s="20" t="s">
        <v>107</v>
      </c>
      <c r="H835" s="16"/>
      <c r="I835" s="16">
        <v>0</v>
      </c>
      <c r="J835" s="21">
        <v>1008</v>
      </c>
      <c r="K835" s="21">
        <v>1512</v>
      </c>
      <c r="L835" s="18">
        <v>0</v>
      </c>
      <c r="M835" s="15">
        <f>VLOOKUP(K835,'[7]MLBS 2016 SNV-nem Coinfection d'!$C$1:$G$238,4,FALSE)</f>
        <v>0</v>
      </c>
      <c r="N835" s="15">
        <v>0</v>
      </c>
      <c r="O835" s="15" t="s">
        <v>214</v>
      </c>
      <c r="P835" s="16" t="s">
        <v>110</v>
      </c>
      <c r="Q835" s="16">
        <v>0</v>
      </c>
      <c r="R835" s="16" t="s">
        <v>111</v>
      </c>
      <c r="S835" s="16"/>
      <c r="T835" s="16" t="s">
        <v>133</v>
      </c>
      <c r="U835" s="16" t="s">
        <v>221</v>
      </c>
      <c r="V835" s="16" t="s">
        <v>114</v>
      </c>
      <c r="W835" s="16">
        <f>AI835/AG835</f>
        <v>0.98701298701298701</v>
      </c>
      <c r="X835" s="16" t="s">
        <v>115</v>
      </c>
      <c r="Y835" s="16" t="s">
        <v>122</v>
      </c>
      <c r="Z835" s="16">
        <v>2.2999999999999998</v>
      </c>
      <c r="AA835" s="16"/>
      <c r="AB835" s="16"/>
      <c r="AC835" s="16"/>
      <c r="AD835" s="16"/>
      <c r="AE835" s="16" t="s">
        <v>116</v>
      </c>
      <c r="AF835" s="16" t="s">
        <v>116</v>
      </c>
      <c r="AG835" s="16">
        <f>AH835-AI835</f>
        <v>77</v>
      </c>
      <c r="AH835" s="16">
        <v>153</v>
      </c>
      <c r="AI835" s="16">
        <v>76</v>
      </c>
      <c r="AJ835" s="16"/>
      <c r="AK835" s="16">
        <v>11.5</v>
      </c>
      <c r="AL835" s="16">
        <v>0</v>
      </c>
      <c r="AM835" s="16">
        <v>0</v>
      </c>
      <c r="AN835" s="16">
        <v>0</v>
      </c>
      <c r="AO835" s="16">
        <f>IF(SUM(AL835:AN835)&gt;0,1,0)</f>
        <v>0</v>
      </c>
      <c r="AP835" s="16">
        <f>SUM(AL835:AN835)</f>
        <v>0</v>
      </c>
      <c r="AQ835" s="16">
        <v>1.734</v>
      </c>
      <c r="AR835" s="16">
        <v>0.25700000000000001</v>
      </c>
      <c r="AS835" s="16">
        <v>0.25700000000000001</v>
      </c>
      <c r="AT835" s="16" t="s">
        <v>205</v>
      </c>
      <c r="AU835" s="16"/>
      <c r="AV835" s="16">
        <v>1</v>
      </c>
      <c r="AW835" s="18">
        <v>0</v>
      </c>
      <c r="AX835" s="16">
        <v>0</v>
      </c>
      <c r="AY835" s="16">
        <v>0</v>
      </c>
      <c r="AZ835" s="18">
        <v>0</v>
      </c>
      <c r="BA835" s="16">
        <v>0</v>
      </c>
      <c r="BB835" s="16">
        <v>0</v>
      </c>
      <c r="BC835" s="18">
        <v>0</v>
      </c>
      <c r="BD835" s="16">
        <v>0</v>
      </c>
      <c r="BE835" s="16">
        <v>0</v>
      </c>
      <c r="BF835" s="18">
        <v>0</v>
      </c>
      <c r="BG835" s="77">
        <v>0</v>
      </c>
      <c r="BH835" s="16">
        <v>0</v>
      </c>
      <c r="BI835" s="18">
        <v>0</v>
      </c>
      <c r="BJ835" s="16">
        <v>0</v>
      </c>
      <c r="BK835" s="16">
        <v>0</v>
      </c>
      <c r="BL835" s="16">
        <f>IF(BM835&gt;0,1,0)</f>
        <v>0</v>
      </c>
      <c r="BM835" s="16">
        <f>SUM(BR835,BU835,BX835,CA835,CD835,CG835,CJ835,CM835,CP835)</f>
        <v>0</v>
      </c>
      <c r="BN835" s="16">
        <f>SUM(BW835,BZ835,CC835,CF835,CI835,CL835,CO835,CR835,BT835)</f>
        <v>0</v>
      </c>
      <c r="BO835" s="16">
        <f>IF(BP835&gt;0,1,0)</f>
        <v>0</v>
      </c>
      <c r="BP835" s="16">
        <f>SUM(BU835,BX835,CA835,CD835,BR835)</f>
        <v>0</v>
      </c>
      <c r="BQ835" s="16">
        <f>SUM(BZ835,CC835,CF835,BT835,BW835)</f>
        <v>0</v>
      </c>
      <c r="BR835" s="18">
        <v>0</v>
      </c>
      <c r="BS835" s="16">
        <v>0</v>
      </c>
      <c r="BT835" s="77">
        <f>BS835/AS835</f>
        <v>0</v>
      </c>
      <c r="BU835" s="18">
        <v>0</v>
      </c>
      <c r="BV835" s="16">
        <v>0</v>
      </c>
      <c r="BW835" s="18">
        <f>BV835/AS835</f>
        <v>0</v>
      </c>
      <c r="BX835" s="18">
        <v>0</v>
      </c>
      <c r="BY835" s="16">
        <v>0</v>
      </c>
      <c r="BZ835" s="16">
        <f>BY835/AS835</f>
        <v>0</v>
      </c>
      <c r="CA835" s="24">
        <v>0</v>
      </c>
      <c r="CB835" s="16">
        <v>0</v>
      </c>
      <c r="CC835" s="16">
        <v>0</v>
      </c>
      <c r="CD835" s="78">
        <v>0</v>
      </c>
      <c r="CE835" s="16">
        <v>0</v>
      </c>
      <c r="CF835" s="16">
        <v>0</v>
      </c>
      <c r="CG835" s="16"/>
      <c r="CH835" s="16"/>
      <c r="CI835" s="16"/>
      <c r="CJ835" s="16"/>
      <c r="CK835" s="16"/>
      <c r="CL835" s="16"/>
      <c r="CM835" s="16"/>
      <c r="CN835" s="16"/>
      <c r="CO835" s="16"/>
      <c r="CP835" s="16" t="s">
        <v>123</v>
      </c>
      <c r="CQ835" s="16">
        <v>0</v>
      </c>
      <c r="CR835" s="16">
        <v>0</v>
      </c>
      <c r="CS835" s="18">
        <f>IF(CT835&gt;0,1,0)</f>
        <v>0</v>
      </c>
      <c r="CT835" s="25">
        <f>SUM(CW835,CZ835,DC835)</f>
        <v>0</v>
      </c>
      <c r="CU835" s="25"/>
      <c r="CV835" s="16">
        <v>0</v>
      </c>
      <c r="CW835" s="25">
        <v>0</v>
      </c>
      <c r="CX835" s="16">
        <v>0</v>
      </c>
      <c r="CY835" s="16">
        <v>0</v>
      </c>
      <c r="CZ835" s="18">
        <v>0</v>
      </c>
      <c r="DA835" s="16">
        <v>0</v>
      </c>
      <c r="DB835" s="16">
        <v>0</v>
      </c>
      <c r="DC835" s="18">
        <v>0</v>
      </c>
      <c r="DD835" s="16">
        <v>0</v>
      </c>
      <c r="DE835" s="16">
        <v>0</v>
      </c>
      <c r="DF835" s="16" t="e">
        <f>VLOOKUP(K835,'[3]RNA Seq summary tables'!$V$3:$V$99,1,FALSE)</f>
        <v>#N/A</v>
      </c>
      <c r="DG835" s="16"/>
      <c r="DH835" s="16"/>
      <c r="DI835" s="16"/>
      <c r="DJ835" s="16"/>
      <c r="DK835" s="16"/>
      <c r="DL835" s="16"/>
      <c r="DM835" s="16"/>
      <c r="DN835" s="16"/>
      <c r="DO835" s="16"/>
      <c r="DP835" s="16"/>
      <c r="DQ835" s="16"/>
      <c r="DR835" s="16"/>
      <c r="DS835" s="16"/>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18"/>
      <c r="EQ835" s="18"/>
      <c r="ER835" s="18"/>
      <c r="ES835" s="18"/>
      <c r="ET835" s="18"/>
      <c r="EU835" s="18"/>
      <c r="EV835" s="18"/>
      <c r="EW835" s="18"/>
      <c r="EX835" s="18"/>
      <c r="EY835" s="18"/>
      <c r="EZ835" s="18"/>
      <c r="FA835" s="18"/>
      <c r="FB835" s="18"/>
      <c r="FC835" s="18"/>
      <c r="FD835" s="18"/>
      <c r="FE835" s="18"/>
      <c r="FF835" s="18"/>
      <c r="FG835" s="18"/>
      <c r="FH835" s="18"/>
      <c r="FI835" s="18"/>
      <c r="FJ835" s="18"/>
      <c r="FK835" s="18"/>
      <c r="FL835" s="18"/>
      <c r="FM835" s="18"/>
      <c r="FN835" s="18"/>
      <c r="FO835" s="18"/>
      <c r="FP835" s="18"/>
      <c r="FQ835" s="18"/>
      <c r="FR835" s="18"/>
      <c r="FS835" s="18"/>
      <c r="FT835" s="18"/>
      <c r="FU835" s="18"/>
      <c r="FV835" s="18"/>
      <c r="FW835" s="18"/>
      <c r="FX835" s="18"/>
      <c r="FY835" s="18"/>
      <c r="FZ835" s="18"/>
      <c r="GA835" s="18"/>
      <c r="GB835" s="18"/>
      <c r="GC835" s="18"/>
      <c r="GD835" s="18"/>
      <c r="GE835" s="18"/>
      <c r="GF835" s="18"/>
      <c r="GG835" s="18"/>
      <c r="GH835" s="18"/>
      <c r="GI835" s="18"/>
      <c r="GJ835" s="18"/>
      <c r="GK835" s="18"/>
      <c r="GL835" s="18"/>
      <c r="GM835" s="18"/>
      <c r="GN835" s="18"/>
      <c r="GO835" s="18"/>
      <c r="GP835" s="18"/>
      <c r="GQ835" s="18"/>
      <c r="GR835" s="18"/>
      <c r="GS835" s="18"/>
      <c r="GT835" s="18"/>
      <c r="GU835" s="18"/>
      <c r="GV835" s="18"/>
      <c r="GW835" s="18"/>
      <c r="GX835" s="18"/>
      <c r="GY835" s="18"/>
      <c r="GZ835" s="18"/>
      <c r="HA835" s="18"/>
      <c r="HB835" s="18"/>
      <c r="HC835" s="18"/>
      <c r="HD835" s="18"/>
      <c r="HE835" s="18"/>
      <c r="HF835" s="18"/>
      <c r="HG835" s="18"/>
      <c r="HH835" s="18"/>
      <c r="HI835" s="18"/>
      <c r="HJ835" s="18"/>
      <c r="HK835" s="18"/>
      <c r="HL835" s="18"/>
      <c r="HM835" s="18"/>
      <c r="HN835" s="18"/>
      <c r="HO835" s="18"/>
      <c r="HP835" s="18"/>
      <c r="HQ835" s="18"/>
      <c r="HR835" s="18"/>
      <c r="HS835" s="18"/>
      <c r="HT835" s="18"/>
      <c r="HU835" s="18"/>
      <c r="HV835" s="18"/>
      <c r="HW835" s="18"/>
      <c r="HX835" s="18"/>
      <c r="HY835" s="18"/>
      <c r="HZ835" s="18"/>
      <c r="IA835" s="18"/>
      <c r="IB835" s="18"/>
      <c r="IC835" s="18"/>
      <c r="ID835" s="18"/>
      <c r="IE835" s="18"/>
      <c r="IF835" s="18"/>
      <c r="IG835" s="18"/>
      <c r="IH835" s="18"/>
      <c r="II835" s="18"/>
      <c r="IJ835" s="18"/>
      <c r="IK835" s="18"/>
      <c r="IL835" s="18"/>
      <c r="IM835" s="18"/>
      <c r="IN835" s="18"/>
      <c r="IO835" s="18"/>
      <c r="IP835" s="18"/>
      <c r="IQ835" s="18"/>
      <c r="IR835" s="18"/>
      <c r="IS835" s="18"/>
      <c r="IT835" s="18"/>
      <c r="IU835" s="18"/>
      <c r="IV835" s="18"/>
      <c r="IW835" s="18"/>
      <c r="IX835" s="18"/>
      <c r="IY835" s="18"/>
      <c r="IZ835" s="18"/>
      <c r="JA835" s="18"/>
      <c r="JB835" s="18"/>
      <c r="JC835" s="18"/>
      <c r="JD835" s="18"/>
      <c r="JE835" s="18"/>
      <c r="JF835" s="18"/>
      <c r="JG835" s="18"/>
      <c r="JH835" s="18"/>
      <c r="JI835" s="18"/>
      <c r="JJ835" s="18"/>
      <c r="JK835" s="18"/>
      <c r="JL835" s="18"/>
      <c r="JM835" s="18"/>
      <c r="JN835" s="18"/>
      <c r="JO835" s="16"/>
      <c r="JP835" s="16"/>
      <c r="JQ835" s="16"/>
      <c r="JR835" s="16"/>
      <c r="JS835" s="16"/>
      <c r="JT835" s="16"/>
      <c r="JU835" s="16"/>
      <c r="JV835" s="16"/>
      <c r="JW835" s="16"/>
      <c r="JX835" s="16"/>
      <c r="JY835" s="16"/>
      <c r="JZ835" s="16"/>
      <c r="KA835" s="16"/>
      <c r="KB835" s="16"/>
    </row>
    <row r="836" spans="1:288" s="38" customFormat="1" x14ac:dyDescent="0.2">
      <c r="A836" s="18"/>
      <c r="B836" s="16">
        <v>2016</v>
      </c>
      <c r="C836" s="20">
        <v>42580</v>
      </c>
      <c r="D836" s="20" t="str">
        <f>CONCATENATE(J836,"-",C836)</f>
        <v>1010-42580</v>
      </c>
      <c r="E836" s="20" t="str">
        <f>CONCATENATE(T836,"-",U836,"-",C836)</f>
        <v>SP2-A5-42580</v>
      </c>
      <c r="F836" s="20" t="s">
        <v>106</v>
      </c>
      <c r="G836" s="20" t="s">
        <v>107</v>
      </c>
      <c r="H836" s="16"/>
      <c r="I836" s="16">
        <v>0</v>
      </c>
      <c r="J836" s="21">
        <v>1010</v>
      </c>
      <c r="K836" s="21">
        <v>1522</v>
      </c>
      <c r="L836" s="16">
        <v>1</v>
      </c>
      <c r="M836" s="15">
        <f>VLOOKUP(K836,'[7]MLBS 2016 SNV-nem Coinfection d'!$C$1:$G$238,4,FALSE)</f>
        <v>0</v>
      </c>
      <c r="N836" s="15">
        <v>0</v>
      </c>
      <c r="O836" s="15" t="s">
        <v>214</v>
      </c>
      <c r="P836" s="16" t="s">
        <v>110</v>
      </c>
      <c r="Q836" s="16">
        <v>0</v>
      </c>
      <c r="R836" s="16" t="s">
        <v>111</v>
      </c>
      <c r="S836" s="16"/>
      <c r="T836" s="16" t="s">
        <v>137</v>
      </c>
      <c r="U836" s="16" t="s">
        <v>167</v>
      </c>
      <c r="V836" s="16" t="s">
        <v>114</v>
      </c>
      <c r="W836" s="16">
        <f>AI836/AG836</f>
        <v>0.87912087912087911</v>
      </c>
      <c r="X836" s="16" t="s">
        <v>121</v>
      </c>
      <c r="Y836" s="16" t="s">
        <v>110</v>
      </c>
      <c r="Z836" s="16">
        <v>3</v>
      </c>
      <c r="AA836" s="16" t="s">
        <v>119</v>
      </c>
      <c r="AB836" s="16" t="s">
        <v>123</v>
      </c>
      <c r="AC836" s="16" t="s">
        <v>123</v>
      </c>
      <c r="AD836" s="16" t="s">
        <v>123</v>
      </c>
      <c r="AE836" s="16"/>
      <c r="AF836" s="16"/>
      <c r="AG836" s="16">
        <f>AH836-AI836</f>
        <v>91</v>
      </c>
      <c r="AH836" s="16">
        <v>171</v>
      </c>
      <c r="AI836" s="16">
        <v>80</v>
      </c>
      <c r="AJ836" s="16"/>
      <c r="AK836" s="16">
        <v>25</v>
      </c>
      <c r="AL836" s="16">
        <v>0</v>
      </c>
      <c r="AM836" s="16">
        <v>0</v>
      </c>
      <c r="AN836" s="16">
        <v>0</v>
      </c>
      <c r="AO836" s="16">
        <f>IF(SUM(AL836:AN836)&gt;0,1,0)</f>
        <v>0</v>
      </c>
      <c r="AP836" s="16">
        <f>SUM(AL836:AN836)</f>
        <v>0</v>
      </c>
      <c r="AQ836" s="16">
        <v>1.9379999999999999</v>
      </c>
      <c r="AR836" s="16">
        <v>0.46100000000000002</v>
      </c>
      <c r="AS836" s="16">
        <v>0.46100000000000002</v>
      </c>
      <c r="AT836" s="16" t="s">
        <v>205</v>
      </c>
      <c r="AU836" s="16"/>
      <c r="AV836" s="16"/>
      <c r="AW836" s="22">
        <v>1</v>
      </c>
      <c r="AX836" s="16">
        <v>3</v>
      </c>
      <c r="AY836" s="16">
        <f>(5+15+2)/AS836</f>
        <v>47.722342733188718</v>
      </c>
      <c r="AZ836" s="18">
        <v>1</v>
      </c>
      <c r="BA836" s="16">
        <v>2</v>
      </c>
      <c r="BB836" s="16">
        <f>(5+15)/AS836</f>
        <v>43.38394793926247</v>
      </c>
      <c r="BC836" s="16">
        <v>1</v>
      </c>
      <c r="BD836" s="16">
        <v>5</v>
      </c>
      <c r="BE836" s="16">
        <f>5/AS836</f>
        <v>10.845986984815617</v>
      </c>
      <c r="BF836" s="18">
        <v>1</v>
      </c>
      <c r="BG836" s="77">
        <v>15</v>
      </c>
      <c r="BH836" s="16">
        <f>15/AS836</f>
        <v>32.537960954446852</v>
      </c>
      <c r="BI836" s="18">
        <v>0</v>
      </c>
      <c r="BJ836" s="16">
        <v>0</v>
      </c>
      <c r="BK836" s="16">
        <v>0</v>
      </c>
      <c r="BL836" s="16">
        <f>IF(BM836&gt;0,1,0)</f>
        <v>1</v>
      </c>
      <c r="BM836" s="16">
        <f>SUM(BR836,BU836,BX836,CA836,CD836,CG836,CJ836,CM836,CP836)</f>
        <v>1</v>
      </c>
      <c r="BN836" s="16">
        <f>SUM(BW836,BZ836,CC836,CF836,CI836,CL836,CO836,CR836,BT836)</f>
        <v>4.3383947939262475</v>
      </c>
      <c r="BO836" s="16">
        <f>IF(BP836&gt;0,1,0)</f>
        <v>1</v>
      </c>
      <c r="BP836" s="16">
        <f>SUM(BU836,BX836,CA836,CD836,BR836)</f>
        <v>1</v>
      </c>
      <c r="BQ836" s="16">
        <f>SUM(BZ836,CC836,CF836,BT836,BW836)</f>
        <v>4.3383947939262475</v>
      </c>
      <c r="BR836" s="18">
        <v>0</v>
      </c>
      <c r="BS836" s="16">
        <v>0</v>
      </c>
      <c r="BT836" s="77">
        <f>BS836/AS836</f>
        <v>0</v>
      </c>
      <c r="BU836" s="18">
        <v>0</v>
      </c>
      <c r="BV836" s="16">
        <v>0</v>
      </c>
      <c r="BW836" s="18">
        <f>BV836/AS836</f>
        <v>0</v>
      </c>
      <c r="BX836" s="24">
        <v>1</v>
      </c>
      <c r="BY836" s="16">
        <v>2</v>
      </c>
      <c r="BZ836" s="16">
        <f>BY836/AS836</f>
        <v>4.3383947939262475</v>
      </c>
      <c r="CA836" s="24">
        <v>0</v>
      </c>
      <c r="CB836" s="16">
        <v>0</v>
      </c>
      <c r="CC836" s="16">
        <v>0</v>
      </c>
      <c r="CD836" s="77">
        <v>0</v>
      </c>
      <c r="CE836" s="16">
        <v>0</v>
      </c>
      <c r="CF836" s="16">
        <v>0</v>
      </c>
      <c r="CG836" s="16"/>
      <c r="CH836" s="16"/>
      <c r="CI836" s="16"/>
      <c r="CJ836" s="16"/>
      <c r="CK836" s="16"/>
      <c r="CL836" s="16"/>
      <c r="CM836" s="16"/>
      <c r="CN836" s="16"/>
      <c r="CO836" s="16"/>
      <c r="CP836" s="16" t="s">
        <v>123</v>
      </c>
      <c r="CQ836" s="16">
        <v>0</v>
      </c>
      <c r="CR836" s="16">
        <v>0</v>
      </c>
      <c r="CS836" s="18">
        <f>IF(CT836&gt;0,1,0)</f>
        <v>0</v>
      </c>
      <c r="CT836" s="25">
        <f>SUM(CW836,CZ836,DC836)</f>
        <v>0</v>
      </c>
      <c r="CU836" s="25"/>
      <c r="CV836" s="16">
        <v>0</v>
      </c>
      <c r="CW836" s="25">
        <v>0</v>
      </c>
      <c r="CX836" s="16">
        <v>0</v>
      </c>
      <c r="CY836" s="16">
        <v>0</v>
      </c>
      <c r="CZ836" s="18">
        <v>0</v>
      </c>
      <c r="DA836" s="16">
        <v>0</v>
      </c>
      <c r="DB836" s="16">
        <v>0</v>
      </c>
      <c r="DC836" s="18">
        <v>0</v>
      </c>
      <c r="DD836" s="16">
        <v>0</v>
      </c>
      <c r="DE836" s="16">
        <v>0</v>
      </c>
      <c r="DF836" s="16">
        <f>VLOOKUP(K836,'[3]RNA Seq summary tables'!$V$3:$V$99,1,FALSE)</f>
        <v>1522</v>
      </c>
      <c r="DG836" s="16"/>
      <c r="DH836" s="16"/>
      <c r="DI836" s="16"/>
      <c r="DJ836" s="16"/>
      <c r="DK836" s="16"/>
      <c r="DL836" s="16"/>
      <c r="DM836" s="16"/>
      <c r="DN836" s="16"/>
      <c r="DO836" s="16"/>
      <c r="DP836" s="16"/>
      <c r="DQ836" s="16"/>
      <c r="DR836" s="16"/>
      <c r="DS836" s="16"/>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18"/>
      <c r="EQ836" s="18"/>
      <c r="ER836" s="18"/>
      <c r="ES836" s="18"/>
      <c r="ET836" s="18"/>
      <c r="EU836" s="18"/>
      <c r="EV836" s="18"/>
      <c r="EW836" s="18"/>
      <c r="EX836" s="18"/>
      <c r="EY836" s="18"/>
      <c r="EZ836" s="18"/>
      <c r="FA836" s="18"/>
      <c r="FB836" s="18"/>
      <c r="FC836" s="18"/>
      <c r="FD836" s="18"/>
      <c r="FE836" s="18"/>
      <c r="FF836" s="18"/>
      <c r="FG836" s="18"/>
      <c r="FH836" s="18"/>
      <c r="FI836" s="18"/>
      <c r="FJ836" s="18"/>
      <c r="FK836" s="18"/>
      <c r="FL836" s="18"/>
      <c r="FM836" s="18"/>
      <c r="FN836" s="18"/>
      <c r="FO836" s="18"/>
      <c r="FP836" s="18"/>
      <c r="FQ836" s="18"/>
      <c r="FR836" s="18"/>
      <c r="FS836" s="18"/>
      <c r="FT836" s="18"/>
      <c r="FU836" s="18"/>
      <c r="FV836" s="18"/>
      <c r="FW836" s="18"/>
      <c r="FX836" s="18"/>
      <c r="FY836" s="18"/>
      <c r="FZ836" s="18"/>
      <c r="GA836" s="18"/>
      <c r="GB836" s="18"/>
      <c r="GC836" s="18"/>
      <c r="GD836" s="18"/>
      <c r="GE836" s="18"/>
      <c r="GF836" s="18"/>
      <c r="GG836" s="18"/>
      <c r="GH836" s="18"/>
      <c r="GI836" s="18"/>
      <c r="GJ836" s="18"/>
      <c r="GK836" s="18"/>
      <c r="GL836" s="18"/>
      <c r="GM836" s="18"/>
      <c r="GN836" s="18"/>
      <c r="GO836" s="18"/>
      <c r="GP836" s="18"/>
      <c r="GQ836" s="18"/>
      <c r="GR836" s="18"/>
      <c r="GS836" s="18"/>
      <c r="GT836" s="18"/>
      <c r="GU836" s="18"/>
      <c r="GV836" s="18"/>
      <c r="GW836" s="18"/>
      <c r="GX836" s="18"/>
      <c r="GY836" s="18"/>
      <c r="GZ836" s="18"/>
      <c r="HA836" s="18"/>
      <c r="HB836" s="18"/>
      <c r="HC836" s="18"/>
      <c r="HD836" s="18"/>
      <c r="HE836" s="18"/>
      <c r="HF836" s="18"/>
      <c r="HG836" s="18"/>
      <c r="HH836" s="18"/>
      <c r="HI836" s="18"/>
      <c r="HJ836" s="18"/>
      <c r="HK836" s="18"/>
      <c r="HL836" s="18"/>
      <c r="HM836" s="18"/>
      <c r="HN836" s="18"/>
      <c r="HO836" s="18"/>
      <c r="HP836" s="18"/>
      <c r="HQ836" s="18"/>
      <c r="HR836" s="18"/>
      <c r="HS836" s="18"/>
      <c r="HT836" s="18"/>
      <c r="HU836" s="18"/>
      <c r="HV836" s="18"/>
      <c r="HW836" s="18"/>
      <c r="HX836" s="18"/>
      <c r="HY836" s="18"/>
      <c r="HZ836" s="18"/>
      <c r="IA836" s="18"/>
      <c r="IB836" s="18"/>
      <c r="IC836" s="18"/>
      <c r="ID836" s="18"/>
      <c r="IE836" s="18"/>
      <c r="IF836" s="18"/>
      <c r="IG836" s="18"/>
      <c r="IH836" s="18"/>
      <c r="II836" s="18"/>
      <c r="IJ836" s="18"/>
      <c r="IK836" s="18"/>
      <c r="IL836" s="18"/>
      <c r="IM836" s="18"/>
      <c r="IN836" s="18"/>
      <c r="IO836" s="18"/>
      <c r="IP836" s="18"/>
      <c r="IQ836" s="18"/>
      <c r="IR836" s="18"/>
      <c r="IS836" s="18"/>
      <c r="IT836" s="18"/>
      <c r="IU836" s="18"/>
      <c r="IV836" s="18"/>
      <c r="IW836" s="18"/>
      <c r="IX836" s="18"/>
      <c r="IY836" s="18"/>
      <c r="IZ836" s="18"/>
      <c r="JA836" s="18"/>
      <c r="JB836" s="18"/>
      <c r="JC836" s="18"/>
      <c r="JD836" s="18"/>
      <c r="JE836" s="18"/>
      <c r="JF836" s="18"/>
      <c r="JG836" s="18"/>
      <c r="JH836" s="18"/>
      <c r="JI836" s="18"/>
      <c r="JJ836" s="18"/>
      <c r="JK836" s="18"/>
      <c r="JL836" s="18"/>
      <c r="JM836" s="18"/>
      <c r="JN836" s="18"/>
      <c r="JO836" s="16"/>
      <c r="JP836" s="19"/>
      <c r="JQ836" s="19"/>
      <c r="JR836" s="16"/>
      <c r="JS836" s="16"/>
      <c r="JT836" s="16"/>
      <c r="JU836" s="16"/>
      <c r="JV836" s="16"/>
      <c r="JW836" s="16"/>
      <c r="JX836" s="16"/>
      <c r="JY836" s="16"/>
      <c r="JZ836" s="16"/>
      <c r="KA836" s="16"/>
      <c r="KB836" s="16"/>
    </row>
    <row r="837" spans="1:288" s="38" customFormat="1" x14ac:dyDescent="0.2">
      <c r="A837" s="18"/>
      <c r="B837" s="16">
        <v>2016</v>
      </c>
      <c r="C837" s="37">
        <v>42584</v>
      </c>
      <c r="D837" s="37" t="str">
        <f>CONCATENATE(J837,"-",C837)</f>
        <v>1012-42584</v>
      </c>
      <c r="E837" s="20" t="str">
        <f>CONCATENATE(T837,"-",U837,"-",C837)</f>
        <v>BC2-C2-42584</v>
      </c>
      <c r="F837" s="20" t="s">
        <v>106</v>
      </c>
      <c r="G837" s="20" t="s">
        <v>107</v>
      </c>
      <c r="H837" s="18"/>
      <c r="I837" s="16">
        <v>0</v>
      </c>
      <c r="J837" s="36">
        <v>1012</v>
      </c>
      <c r="K837" s="36">
        <v>1524</v>
      </c>
      <c r="L837" s="18">
        <v>0</v>
      </c>
      <c r="M837" s="15">
        <f>VLOOKUP(K837,'[7]MLBS 2016 SNV-nem Coinfection d'!$C$1:$G$238,4,FALSE)</f>
        <v>0</v>
      </c>
      <c r="N837" s="15">
        <v>0</v>
      </c>
      <c r="O837" s="15" t="s">
        <v>214</v>
      </c>
      <c r="P837" s="18" t="s">
        <v>110</v>
      </c>
      <c r="Q837" s="16">
        <v>0</v>
      </c>
      <c r="R837" s="18" t="s">
        <v>111</v>
      </c>
      <c r="S837" s="18"/>
      <c r="T837" s="18" t="s">
        <v>154</v>
      </c>
      <c r="U837" s="18" t="s">
        <v>162</v>
      </c>
      <c r="V837" s="18" t="s">
        <v>114</v>
      </c>
      <c r="W837" s="16">
        <f>AI837/AG837</f>
        <v>0.85882352941176465</v>
      </c>
      <c r="X837" s="18" t="s">
        <v>115</v>
      </c>
      <c r="Y837" s="18" t="s">
        <v>110</v>
      </c>
      <c r="Z837" s="18">
        <v>3</v>
      </c>
      <c r="AA837" s="18"/>
      <c r="AB837" s="18"/>
      <c r="AC837" s="18"/>
      <c r="AD837" s="18"/>
      <c r="AE837" s="18" t="s">
        <v>116</v>
      </c>
      <c r="AF837" s="18" t="s">
        <v>116</v>
      </c>
      <c r="AG837" s="18">
        <f>AH837-AI837</f>
        <v>85</v>
      </c>
      <c r="AH837" s="18">
        <v>158</v>
      </c>
      <c r="AI837" s="18">
        <v>73</v>
      </c>
      <c r="AJ837" s="18"/>
      <c r="AK837" s="18">
        <v>16.5</v>
      </c>
      <c r="AL837" s="16">
        <v>0</v>
      </c>
      <c r="AM837" s="16">
        <v>0</v>
      </c>
      <c r="AN837" s="16">
        <v>0</v>
      </c>
      <c r="AO837" s="16">
        <f>IF(SUM(AL837:AN837)&gt;0,1,0)</f>
        <v>0</v>
      </c>
      <c r="AP837" s="16">
        <f>SUM(AL837:AN837)</f>
        <v>0</v>
      </c>
      <c r="AQ837" s="18"/>
      <c r="AR837" s="18">
        <v>0.26900000000000002</v>
      </c>
      <c r="AS837" s="18">
        <v>0.26900000000000002</v>
      </c>
      <c r="AT837" s="18" t="s">
        <v>212</v>
      </c>
      <c r="AU837" s="18"/>
      <c r="AV837" s="18">
        <v>1</v>
      </c>
      <c r="AW837" s="18">
        <v>0</v>
      </c>
      <c r="AX837" s="18">
        <v>0</v>
      </c>
      <c r="AY837" s="18">
        <v>0</v>
      </c>
      <c r="AZ837" s="18">
        <v>0</v>
      </c>
      <c r="BA837" s="18">
        <v>0</v>
      </c>
      <c r="BB837" s="18">
        <v>0</v>
      </c>
      <c r="BC837" s="18">
        <v>0</v>
      </c>
      <c r="BD837" s="18">
        <v>0</v>
      </c>
      <c r="BE837" s="18">
        <v>0</v>
      </c>
      <c r="BF837" s="18">
        <v>0</v>
      </c>
      <c r="BG837" s="78">
        <v>0</v>
      </c>
      <c r="BH837" s="18">
        <v>0</v>
      </c>
      <c r="BI837" s="18">
        <v>0</v>
      </c>
      <c r="BJ837" s="18">
        <v>0</v>
      </c>
      <c r="BK837" s="18">
        <v>0</v>
      </c>
      <c r="BL837" s="16">
        <f>IF(BM837&gt;0,1,0)</f>
        <v>0</v>
      </c>
      <c r="BM837" s="16">
        <f>SUM(BR837,BU837,BX837,CA837,CD837,CG837,CJ837,CM837,CP837)</f>
        <v>0</v>
      </c>
      <c r="BN837" s="16">
        <f>SUM(BW837,BZ837,CC837,CF837,CI837,CL837,CO837,CR837,BT837)</f>
        <v>0</v>
      </c>
      <c r="BO837" s="16">
        <f>IF(BP837&gt;0,1,0)</f>
        <v>0</v>
      </c>
      <c r="BP837" s="16">
        <f>SUM(BU837,BX837,CA837,CD837,BR837)</f>
        <v>0</v>
      </c>
      <c r="BQ837" s="16">
        <f>SUM(BZ837,CC837,CF837,BT837,BW837)</f>
        <v>0</v>
      </c>
      <c r="BR837" s="18">
        <v>0</v>
      </c>
      <c r="BS837" s="18">
        <v>0</v>
      </c>
      <c r="BT837" s="77">
        <f>BS837/AS837</f>
        <v>0</v>
      </c>
      <c r="BU837" s="18">
        <v>0</v>
      </c>
      <c r="BV837" s="18">
        <v>0</v>
      </c>
      <c r="BW837" s="18">
        <f>BV837/AS837</f>
        <v>0</v>
      </c>
      <c r="BX837" s="18">
        <v>0</v>
      </c>
      <c r="BY837" s="18">
        <v>0</v>
      </c>
      <c r="BZ837" s="16">
        <f>BY837/AS837</f>
        <v>0</v>
      </c>
      <c r="CA837" s="24">
        <v>0</v>
      </c>
      <c r="CB837" s="18">
        <v>0</v>
      </c>
      <c r="CC837" s="18">
        <v>0</v>
      </c>
      <c r="CD837" s="78">
        <v>0</v>
      </c>
      <c r="CE837" s="18">
        <v>0</v>
      </c>
      <c r="CF837" s="18">
        <v>0</v>
      </c>
      <c r="CG837" s="18"/>
      <c r="CH837" s="18"/>
      <c r="CI837" s="18"/>
      <c r="CJ837" s="18"/>
      <c r="CK837" s="18"/>
      <c r="CL837" s="18"/>
      <c r="CM837" s="18"/>
      <c r="CN837" s="18"/>
      <c r="CO837" s="18"/>
      <c r="CP837" s="18" t="s">
        <v>123</v>
      </c>
      <c r="CQ837" s="18">
        <v>0</v>
      </c>
      <c r="CR837" s="18">
        <v>0</v>
      </c>
      <c r="CS837" s="18">
        <f>IF(CT837&gt;0,1,0)</f>
        <v>0</v>
      </c>
      <c r="CT837" s="25">
        <f>SUM(CW837,CZ837,DC837)</f>
        <v>0</v>
      </c>
      <c r="CU837" s="25"/>
      <c r="CV837" s="18">
        <v>0</v>
      </c>
      <c r="CW837" s="25">
        <v>0</v>
      </c>
      <c r="CX837" s="18">
        <v>0</v>
      </c>
      <c r="CY837" s="18">
        <v>0</v>
      </c>
      <c r="CZ837" s="18">
        <v>0</v>
      </c>
      <c r="DA837" s="18">
        <v>0</v>
      </c>
      <c r="DB837" s="18">
        <v>0</v>
      </c>
      <c r="DC837" s="18">
        <v>0</v>
      </c>
      <c r="DD837" s="18">
        <v>0</v>
      </c>
      <c r="DE837" s="18">
        <v>0</v>
      </c>
      <c r="DF837" s="16" t="e">
        <f>VLOOKUP(K837,'[3]RNA Seq summary tables'!$V$3:$V$99,1,FALSE)</f>
        <v>#N/A</v>
      </c>
      <c r="DG837" s="16"/>
      <c r="DH837" s="16"/>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18"/>
      <c r="EQ837" s="18"/>
      <c r="ER837" s="18"/>
      <c r="ES837" s="18"/>
      <c r="ET837" s="18"/>
      <c r="EU837" s="18"/>
      <c r="EV837" s="18"/>
      <c r="EW837" s="18"/>
      <c r="EX837" s="18"/>
      <c r="EY837" s="18"/>
      <c r="EZ837" s="18"/>
      <c r="FA837" s="18"/>
      <c r="FB837" s="18"/>
      <c r="FC837" s="18"/>
      <c r="FD837" s="18"/>
      <c r="FE837" s="18"/>
      <c r="FF837" s="18"/>
      <c r="FG837" s="18"/>
      <c r="FH837" s="18"/>
      <c r="FI837" s="18"/>
      <c r="FJ837" s="18"/>
      <c r="FK837" s="18"/>
      <c r="FL837" s="18"/>
      <c r="FM837" s="18"/>
      <c r="FN837" s="18"/>
      <c r="FO837" s="18"/>
      <c r="FP837" s="18"/>
      <c r="FQ837" s="18"/>
      <c r="FR837" s="18"/>
      <c r="FS837" s="18"/>
      <c r="FT837" s="18"/>
      <c r="FU837" s="18"/>
      <c r="FV837" s="18"/>
      <c r="FW837" s="18"/>
      <c r="FX837" s="18"/>
      <c r="FY837" s="18"/>
      <c r="FZ837" s="18"/>
      <c r="GA837" s="18"/>
      <c r="GB837" s="18"/>
      <c r="GC837" s="18"/>
      <c r="GD837" s="18"/>
      <c r="GE837" s="18"/>
      <c r="GF837" s="18"/>
      <c r="GG837" s="18"/>
      <c r="GH837" s="18"/>
      <c r="GI837" s="18"/>
      <c r="GJ837" s="18"/>
      <c r="GK837" s="18"/>
      <c r="GL837" s="18"/>
      <c r="GM837" s="18"/>
      <c r="GN837" s="18"/>
      <c r="GO837" s="18"/>
      <c r="GP837" s="18"/>
      <c r="GQ837" s="18"/>
      <c r="GR837" s="18"/>
      <c r="GS837" s="18"/>
      <c r="GT837" s="18"/>
      <c r="GU837" s="18"/>
      <c r="GV837" s="18"/>
      <c r="GW837" s="18"/>
      <c r="GX837" s="18"/>
      <c r="GY837" s="18"/>
      <c r="GZ837" s="18"/>
      <c r="HA837" s="18"/>
      <c r="HB837" s="18"/>
      <c r="HC837" s="18"/>
      <c r="HD837" s="18"/>
      <c r="HE837" s="18"/>
      <c r="HF837" s="18"/>
      <c r="HG837" s="18"/>
      <c r="HH837" s="18"/>
      <c r="HI837" s="18"/>
      <c r="HJ837" s="18"/>
      <c r="HK837" s="18"/>
      <c r="HL837" s="18"/>
      <c r="HM837" s="18"/>
      <c r="HN837" s="18"/>
      <c r="HO837" s="18"/>
      <c r="HP837" s="18"/>
      <c r="HQ837" s="18"/>
      <c r="HR837" s="18"/>
      <c r="HS837" s="18"/>
      <c r="HT837" s="18"/>
      <c r="HU837" s="18"/>
      <c r="HV837" s="18"/>
      <c r="HW837" s="18"/>
      <c r="HX837" s="18"/>
      <c r="HY837" s="18"/>
      <c r="HZ837" s="18"/>
      <c r="IA837" s="18"/>
      <c r="IB837" s="18"/>
      <c r="IC837" s="18"/>
      <c r="ID837" s="18"/>
      <c r="IE837" s="18"/>
      <c r="IF837" s="18"/>
      <c r="IG837" s="18"/>
      <c r="IH837" s="18"/>
      <c r="II837" s="18"/>
      <c r="IJ837" s="18"/>
      <c r="IK837" s="18"/>
      <c r="IL837" s="18"/>
      <c r="IM837" s="18"/>
      <c r="IN837" s="18"/>
      <c r="IO837" s="18"/>
      <c r="IP837" s="18"/>
      <c r="IQ837" s="18"/>
      <c r="IR837" s="18"/>
      <c r="IS837" s="18"/>
      <c r="IT837" s="18"/>
      <c r="IU837" s="18"/>
      <c r="IV837" s="18"/>
      <c r="IW837" s="18"/>
      <c r="IX837" s="18"/>
      <c r="IY837" s="18"/>
      <c r="IZ837" s="18"/>
      <c r="JA837" s="18"/>
      <c r="JB837" s="18"/>
      <c r="JC837" s="18"/>
      <c r="JD837" s="18"/>
      <c r="JE837" s="18"/>
      <c r="JF837" s="18"/>
      <c r="JG837" s="18"/>
      <c r="JH837" s="18"/>
      <c r="JI837" s="18"/>
      <c r="JJ837" s="18"/>
      <c r="JK837" s="18"/>
      <c r="JL837" s="18"/>
      <c r="JM837" s="18"/>
      <c r="JN837" s="18"/>
      <c r="JO837" s="16"/>
      <c r="JP837" s="18"/>
      <c r="JQ837" s="18"/>
      <c r="JR837" s="16"/>
      <c r="JS837" s="16"/>
      <c r="JT837" s="16"/>
      <c r="JU837" s="16"/>
      <c r="JV837" s="16"/>
      <c r="JW837" s="16"/>
      <c r="JX837" s="16"/>
      <c r="JY837" s="16"/>
      <c r="JZ837" s="16"/>
      <c r="KA837" s="16"/>
      <c r="KB837" s="16"/>
    </row>
    <row r="838" spans="1:288" s="38" customFormat="1" x14ac:dyDescent="0.2">
      <c r="A838" s="18"/>
      <c r="B838" s="16">
        <v>2016</v>
      </c>
      <c r="C838" s="37">
        <v>42588</v>
      </c>
      <c r="D838" s="37" t="str">
        <f>CONCATENATE(J838,"-",C838)</f>
        <v>1015-42588</v>
      </c>
      <c r="E838" s="20" t="str">
        <f>CONCATENATE(T838,"-",U838,"-",C838)</f>
        <v>PO2-E3-42588</v>
      </c>
      <c r="F838" s="20" t="s">
        <v>106</v>
      </c>
      <c r="G838" s="20" t="s">
        <v>107</v>
      </c>
      <c r="H838" s="23" t="s">
        <v>223</v>
      </c>
      <c r="I838" s="16">
        <v>0</v>
      </c>
      <c r="J838" s="36">
        <v>1015</v>
      </c>
      <c r="K838" s="36">
        <v>1534</v>
      </c>
      <c r="L838" s="18">
        <v>0</v>
      </c>
      <c r="M838" s="15">
        <f>VLOOKUP(K838,'[7]MLBS 2016 SNV-nem Coinfection d'!$C$1:$G$238,4,FALSE)</f>
        <v>0</v>
      </c>
      <c r="N838" s="15">
        <v>0</v>
      </c>
      <c r="O838" s="15" t="s">
        <v>214</v>
      </c>
      <c r="P838" s="18" t="s">
        <v>110</v>
      </c>
      <c r="Q838" s="16">
        <v>0</v>
      </c>
      <c r="R838" s="18" t="s">
        <v>111</v>
      </c>
      <c r="S838" s="18"/>
      <c r="T838" s="18" t="s">
        <v>127</v>
      </c>
      <c r="U838" s="18" t="s">
        <v>225</v>
      </c>
      <c r="V838" s="18" t="s">
        <v>114</v>
      </c>
      <c r="W838" s="16">
        <f>AI838/AG838</f>
        <v>0.76086956521739135</v>
      </c>
      <c r="X838" s="18" t="s">
        <v>121</v>
      </c>
      <c r="Y838" s="18" t="s">
        <v>110</v>
      </c>
      <c r="Z838" s="18">
        <v>3</v>
      </c>
      <c r="AA838" s="18" t="s">
        <v>119</v>
      </c>
      <c r="AB838" s="18" t="s">
        <v>123</v>
      </c>
      <c r="AC838" s="18" t="s">
        <v>116</v>
      </c>
      <c r="AD838" s="18" t="s">
        <v>116</v>
      </c>
      <c r="AE838" s="18"/>
      <c r="AF838" s="18"/>
      <c r="AG838" s="18">
        <f>AH838-AI838</f>
        <v>92</v>
      </c>
      <c r="AH838" s="18">
        <v>162</v>
      </c>
      <c r="AI838" s="18">
        <v>70</v>
      </c>
      <c r="AJ838" s="18"/>
      <c r="AK838" s="18">
        <v>25.5</v>
      </c>
      <c r="AL838" s="16">
        <v>0</v>
      </c>
      <c r="AM838" s="16">
        <v>0</v>
      </c>
      <c r="AN838" s="16">
        <v>1</v>
      </c>
      <c r="AO838" s="16">
        <f>IF(SUM(AL838:AN838)&gt;0,1,0)</f>
        <v>1</v>
      </c>
      <c r="AP838" s="16">
        <f>SUM(AL838:AN838)</f>
        <v>1</v>
      </c>
      <c r="AQ838" s="18"/>
      <c r="AR838" s="18">
        <v>0.45</v>
      </c>
      <c r="AS838" s="18">
        <v>0.45</v>
      </c>
      <c r="AT838" s="18" t="s">
        <v>212</v>
      </c>
      <c r="AU838" s="18"/>
      <c r="AV838" s="18"/>
      <c r="AW838" s="22">
        <v>1</v>
      </c>
      <c r="AX838" s="18">
        <v>4</v>
      </c>
      <c r="AY838" s="18">
        <f>(15+365)/0.45</f>
        <v>844.44444444444446</v>
      </c>
      <c r="AZ838" s="18">
        <v>1</v>
      </c>
      <c r="BA838" s="18">
        <v>2</v>
      </c>
      <c r="BB838" s="18">
        <f>14/0.45</f>
        <v>31.111111111111111</v>
      </c>
      <c r="BC838" s="16">
        <v>1</v>
      </c>
      <c r="BD838" s="18">
        <v>2</v>
      </c>
      <c r="BE838" s="18">
        <f>2/0.45</f>
        <v>4.4444444444444446</v>
      </c>
      <c r="BF838" s="18">
        <v>1</v>
      </c>
      <c r="BG838" s="78">
        <v>12</v>
      </c>
      <c r="BH838" s="18">
        <f>12/0.45</f>
        <v>26.666666666666664</v>
      </c>
      <c r="BI838" s="18">
        <v>0</v>
      </c>
      <c r="BJ838" s="18">
        <v>0</v>
      </c>
      <c r="BK838" s="18">
        <v>0</v>
      </c>
      <c r="BL838" s="16">
        <f>IF(BM838&gt;0,1,0)</f>
        <v>1</v>
      </c>
      <c r="BM838" s="16">
        <f>SUM(BR838,BU838,BX838,CA838,CD838,CG838,CJ838,CM838,CP838)</f>
        <v>1</v>
      </c>
      <c r="BN838" s="16">
        <f>SUM(BW838,BZ838,CC838,CF838,CI838,CL838,CO838,CR838,BT838)</f>
        <v>2.2222222222222223</v>
      </c>
      <c r="BO838" s="16">
        <f>IF(BP838&gt;0,1,0)</f>
        <v>1</v>
      </c>
      <c r="BP838" s="16">
        <f>SUM(BU838,BX838,CA838,CD838,BR838)</f>
        <v>1</v>
      </c>
      <c r="BQ838" s="16">
        <f>SUM(BZ838,CC838,CF838,BT838,BW838)</f>
        <v>2.2222222222222223</v>
      </c>
      <c r="BR838" s="18">
        <v>0</v>
      </c>
      <c r="BS838" s="18">
        <v>0</v>
      </c>
      <c r="BT838" s="77">
        <f>BS838/AS838</f>
        <v>0</v>
      </c>
      <c r="BU838" s="18">
        <v>0</v>
      </c>
      <c r="BV838" s="18">
        <v>0</v>
      </c>
      <c r="BW838" s="18">
        <f>BV838/AS838</f>
        <v>0</v>
      </c>
      <c r="BX838" s="24">
        <v>0</v>
      </c>
      <c r="BY838" s="18">
        <v>0</v>
      </c>
      <c r="BZ838" s="16">
        <f>BY838/AS838</f>
        <v>0</v>
      </c>
      <c r="CA838" s="24">
        <v>1</v>
      </c>
      <c r="CB838" s="18">
        <v>1</v>
      </c>
      <c r="CC838" s="18">
        <f>CB838/AS838</f>
        <v>2.2222222222222223</v>
      </c>
      <c r="CD838" s="77">
        <v>0</v>
      </c>
      <c r="CE838" s="18">
        <v>0</v>
      </c>
      <c r="CF838" s="18">
        <v>0</v>
      </c>
      <c r="CG838" s="18"/>
      <c r="CH838" s="18"/>
      <c r="CI838" s="18"/>
      <c r="CJ838" s="18"/>
      <c r="CK838" s="18"/>
      <c r="CL838" s="18"/>
      <c r="CM838" s="18"/>
      <c r="CN838" s="18"/>
      <c r="CO838" s="18"/>
      <c r="CP838" s="18" t="s">
        <v>123</v>
      </c>
      <c r="CQ838" s="18">
        <v>0</v>
      </c>
      <c r="CR838" s="18">
        <v>0</v>
      </c>
      <c r="CS838" s="18">
        <f>IF(CT838&gt;0,1,0)</f>
        <v>1</v>
      </c>
      <c r="CT838" s="25">
        <f>SUM(CW838,CZ838,DC838)</f>
        <v>1</v>
      </c>
      <c r="CU838" s="25"/>
      <c r="CV838" s="18">
        <f>365/0.45</f>
        <v>811.11111111111109</v>
      </c>
      <c r="CW838" s="22">
        <v>1</v>
      </c>
      <c r="CX838" s="18">
        <v>365</v>
      </c>
      <c r="CY838" s="18">
        <f>365/0.45</f>
        <v>811.11111111111109</v>
      </c>
      <c r="CZ838" s="18">
        <v>0</v>
      </c>
      <c r="DA838" s="18">
        <v>0</v>
      </c>
      <c r="DB838" s="18">
        <v>0</v>
      </c>
      <c r="DC838" s="18">
        <v>0</v>
      </c>
      <c r="DD838" s="18">
        <v>0</v>
      </c>
      <c r="DE838" s="18">
        <v>0</v>
      </c>
      <c r="DF838" s="16" t="e">
        <f>VLOOKUP(K838,'[3]RNA Seq summary tables'!$V$3:$V$99,1,FALSE)</f>
        <v>#N/A</v>
      </c>
      <c r="DG838" s="16"/>
      <c r="DH838" s="16"/>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18"/>
      <c r="EQ838" s="18"/>
      <c r="ER838" s="18"/>
      <c r="ES838" s="18"/>
      <c r="ET838" s="18"/>
      <c r="EU838" s="18"/>
      <c r="EV838" s="18"/>
      <c r="EW838" s="18"/>
      <c r="EX838" s="18"/>
      <c r="EY838" s="18"/>
      <c r="EZ838" s="18"/>
      <c r="FA838" s="18"/>
      <c r="FB838" s="18"/>
      <c r="FC838" s="18"/>
      <c r="FD838" s="18"/>
      <c r="FE838" s="18"/>
      <c r="FF838" s="18"/>
      <c r="FG838" s="18"/>
      <c r="FH838" s="18"/>
      <c r="FI838" s="18"/>
      <c r="FJ838" s="18"/>
      <c r="FK838" s="18"/>
      <c r="FL838" s="18"/>
      <c r="FM838" s="18"/>
      <c r="FN838" s="18"/>
      <c r="FO838" s="18"/>
      <c r="FP838" s="18"/>
      <c r="FQ838" s="18"/>
      <c r="FR838" s="18"/>
      <c r="FS838" s="18"/>
      <c r="FT838" s="18"/>
      <c r="FU838" s="18"/>
      <c r="FV838" s="18"/>
      <c r="FW838" s="18"/>
      <c r="FX838" s="18"/>
      <c r="FY838" s="18"/>
      <c r="FZ838" s="18"/>
      <c r="GA838" s="18"/>
      <c r="GB838" s="18"/>
      <c r="GC838" s="18"/>
      <c r="GD838" s="18"/>
      <c r="GE838" s="18"/>
      <c r="GF838" s="18"/>
      <c r="GG838" s="18"/>
      <c r="GH838" s="18"/>
      <c r="GI838" s="18"/>
      <c r="GJ838" s="18"/>
      <c r="GK838" s="18"/>
      <c r="GL838" s="18"/>
      <c r="GM838" s="18"/>
      <c r="GN838" s="18"/>
      <c r="GO838" s="18"/>
      <c r="GP838" s="18"/>
      <c r="GQ838" s="18"/>
      <c r="GR838" s="18"/>
      <c r="GS838" s="18"/>
      <c r="GT838" s="18"/>
      <c r="GU838" s="18"/>
      <c r="GV838" s="18"/>
      <c r="GW838" s="18"/>
      <c r="GX838" s="18"/>
      <c r="GY838" s="18"/>
      <c r="GZ838" s="18"/>
      <c r="HA838" s="18"/>
      <c r="HB838" s="18"/>
      <c r="HC838" s="18"/>
      <c r="HD838" s="18"/>
      <c r="HE838" s="18"/>
      <c r="HF838" s="18"/>
      <c r="HG838" s="18"/>
      <c r="HH838" s="18"/>
      <c r="HI838" s="18"/>
      <c r="HJ838" s="18"/>
      <c r="HK838" s="18"/>
      <c r="HL838" s="18"/>
      <c r="HM838" s="18"/>
      <c r="HN838" s="18"/>
      <c r="HO838" s="18"/>
      <c r="HP838" s="18"/>
      <c r="HQ838" s="18"/>
      <c r="HR838" s="18"/>
      <c r="HS838" s="18"/>
      <c r="HT838" s="18"/>
      <c r="HU838" s="18"/>
      <c r="HV838" s="18"/>
      <c r="HW838" s="18"/>
      <c r="HX838" s="18"/>
      <c r="HY838" s="18"/>
      <c r="HZ838" s="18"/>
      <c r="IA838" s="18"/>
      <c r="IB838" s="18"/>
      <c r="IC838" s="18"/>
      <c r="ID838" s="18"/>
      <c r="IE838" s="18"/>
      <c r="IF838" s="18"/>
      <c r="IG838" s="18"/>
      <c r="IH838" s="18"/>
      <c r="II838" s="18"/>
      <c r="IJ838" s="18"/>
      <c r="IK838" s="18"/>
      <c r="IL838" s="18"/>
      <c r="IM838" s="18"/>
      <c r="IN838" s="18"/>
      <c r="IO838" s="18"/>
      <c r="IP838" s="18"/>
      <c r="IQ838" s="18"/>
      <c r="IR838" s="18"/>
      <c r="IS838" s="18"/>
      <c r="IT838" s="18"/>
      <c r="IU838" s="18"/>
      <c r="IV838" s="18"/>
      <c r="IW838" s="18"/>
      <c r="IX838" s="18"/>
      <c r="IY838" s="18"/>
      <c r="IZ838" s="18"/>
      <c r="JA838" s="18"/>
      <c r="JB838" s="18"/>
      <c r="JC838" s="18"/>
      <c r="JD838" s="18"/>
      <c r="JE838" s="18"/>
      <c r="JF838" s="18"/>
      <c r="JG838" s="18"/>
      <c r="JH838" s="18"/>
      <c r="JI838" s="18"/>
      <c r="JJ838" s="18"/>
      <c r="JK838" s="18"/>
      <c r="JL838" s="18"/>
      <c r="JM838" s="18"/>
      <c r="JN838" s="18"/>
      <c r="JO838" s="16"/>
      <c r="JP838" s="16"/>
      <c r="JQ838" s="16"/>
      <c r="JR838" s="16"/>
      <c r="JS838" s="16"/>
      <c r="JT838" s="16"/>
      <c r="JU838" s="16"/>
      <c r="JV838" s="16"/>
      <c r="JW838" s="16"/>
      <c r="JX838" s="16"/>
      <c r="JY838" s="16"/>
      <c r="JZ838" s="16"/>
      <c r="KA838" s="16"/>
      <c r="KB838" s="16"/>
    </row>
    <row r="839" spans="1:288" s="38" customFormat="1" x14ac:dyDescent="0.2">
      <c r="A839" s="18"/>
      <c r="B839" s="16">
        <v>2016</v>
      </c>
      <c r="C839" s="20">
        <v>42615</v>
      </c>
      <c r="D839" s="20" t="str">
        <f>CONCATENATE(J839,"-",C839)</f>
        <v>1019-42615</v>
      </c>
      <c r="E839" s="20" t="str">
        <f>CONCATENATE(T839,"-",U839,"-",C839)</f>
        <v>PO2-D7-42615</v>
      </c>
      <c r="F839" s="20" t="s">
        <v>227</v>
      </c>
      <c r="G839" s="20" t="s">
        <v>107</v>
      </c>
      <c r="H839" s="16"/>
      <c r="I839" s="16">
        <v>0</v>
      </c>
      <c r="J839" s="21">
        <v>1019</v>
      </c>
      <c r="K839" s="21">
        <v>1576</v>
      </c>
      <c r="L839" s="18">
        <v>0</v>
      </c>
      <c r="M839" s="15">
        <f>VLOOKUP(K839,'[7]MLBS 2016 SNV-nem Coinfection d'!$C$1:$G$238,4,FALSE)</f>
        <v>0</v>
      </c>
      <c r="N839" s="15">
        <v>0</v>
      </c>
      <c r="O839" s="15" t="s">
        <v>214</v>
      </c>
      <c r="P839" s="16" t="s">
        <v>110</v>
      </c>
      <c r="Q839" s="16">
        <v>0</v>
      </c>
      <c r="R839" s="16" t="s">
        <v>111</v>
      </c>
      <c r="S839" s="16"/>
      <c r="T839" s="16" t="s">
        <v>127</v>
      </c>
      <c r="U839" s="16" t="s">
        <v>177</v>
      </c>
      <c r="V839" s="16" t="s">
        <v>114</v>
      </c>
      <c r="W839" s="16">
        <f>AI839/AG839</f>
        <v>0.84722222222222221</v>
      </c>
      <c r="X839" s="16" t="s">
        <v>121</v>
      </c>
      <c r="Y839" s="16" t="s">
        <v>145</v>
      </c>
      <c r="Z839" s="16">
        <v>1</v>
      </c>
      <c r="AA839" s="16" t="s">
        <v>119</v>
      </c>
      <c r="AB839" s="16" t="s">
        <v>123</v>
      </c>
      <c r="AC839" s="16" t="s">
        <v>123</v>
      </c>
      <c r="AD839" s="16" t="s">
        <v>123</v>
      </c>
      <c r="AE839" s="16"/>
      <c r="AF839" s="16"/>
      <c r="AG839" s="16">
        <f>AH839-AI839</f>
        <v>72</v>
      </c>
      <c r="AH839" s="16">
        <v>133</v>
      </c>
      <c r="AI839" s="16">
        <v>61</v>
      </c>
      <c r="AJ839" s="16"/>
      <c r="AK839" s="16">
        <v>12.5</v>
      </c>
      <c r="AL839" s="16">
        <v>0</v>
      </c>
      <c r="AM839" s="16">
        <v>0</v>
      </c>
      <c r="AN839" s="16">
        <v>0</v>
      </c>
      <c r="AO839" s="16">
        <f>IF(SUM(AL839:AN839)&gt;0,1,0)</f>
        <v>0</v>
      </c>
      <c r="AP839" s="16">
        <f>SUM(AL839:AN839)</f>
        <v>0</v>
      </c>
      <c r="AQ839" s="16"/>
      <c r="AR839" s="16">
        <v>0.18099999999999999</v>
      </c>
      <c r="AS839" s="16">
        <v>0.18099999999999999</v>
      </c>
      <c r="AT839" s="16" t="s">
        <v>212</v>
      </c>
      <c r="AU839" s="16"/>
      <c r="AV839" s="16"/>
      <c r="AW839" s="22">
        <v>1</v>
      </c>
      <c r="AX839" s="16">
        <v>2</v>
      </c>
      <c r="AY839" s="16">
        <f>(15+294)/0.181</f>
        <v>1707.1823204419891</v>
      </c>
      <c r="AZ839" s="18">
        <v>1</v>
      </c>
      <c r="BA839" s="16">
        <v>2</v>
      </c>
      <c r="BB839" s="16">
        <f>AY839</f>
        <v>1707.1823204419891</v>
      </c>
      <c r="BC839" s="16">
        <v>1</v>
      </c>
      <c r="BD839" s="16">
        <v>15</v>
      </c>
      <c r="BE839" s="16">
        <f>15/0.181</f>
        <v>82.872928176795583</v>
      </c>
      <c r="BF839" s="18">
        <v>1</v>
      </c>
      <c r="BG839" s="77">
        <v>294</v>
      </c>
      <c r="BH839" s="16">
        <f>294/0.181</f>
        <v>1624.3093922651933</v>
      </c>
      <c r="BI839" s="18">
        <v>0</v>
      </c>
      <c r="BJ839" s="16">
        <v>0</v>
      </c>
      <c r="BK839" s="16">
        <v>0</v>
      </c>
      <c r="BL839" s="16">
        <f>IF(BM839&gt;0,1,0)</f>
        <v>0</v>
      </c>
      <c r="BM839" s="16">
        <f>SUM(BR839,BU839,BX839,CA839,CD839,CG839,CJ839,CM839,CP839)</f>
        <v>0</v>
      </c>
      <c r="BN839" s="16">
        <f>SUM(BW839,BZ839,CC839,CF839,CI839,CL839,CO839,CR839,BT839)</f>
        <v>0</v>
      </c>
      <c r="BO839" s="16">
        <f>IF(BP839&gt;0,1,0)</f>
        <v>0</v>
      </c>
      <c r="BP839" s="16">
        <f>SUM(BU839,BX839,CA839,CD839,BR839)</f>
        <v>0</v>
      </c>
      <c r="BQ839" s="16">
        <f>SUM(BZ839,CC839,CF839,BT839,BW839)</f>
        <v>0</v>
      </c>
      <c r="BR839" s="18">
        <v>0</v>
      </c>
      <c r="BS839" s="16">
        <v>0</v>
      </c>
      <c r="BT839" s="77">
        <f>BS839/AS839</f>
        <v>0</v>
      </c>
      <c r="BU839" s="18">
        <v>0</v>
      </c>
      <c r="BV839" s="16">
        <v>0</v>
      </c>
      <c r="BW839" s="18">
        <f>BV839/AS839</f>
        <v>0</v>
      </c>
      <c r="BX839" s="18">
        <v>0</v>
      </c>
      <c r="BY839" s="16">
        <v>0</v>
      </c>
      <c r="BZ839" s="16">
        <f>BY839/AS839</f>
        <v>0</v>
      </c>
      <c r="CA839" s="24">
        <v>0</v>
      </c>
      <c r="CB839" s="16">
        <v>0</v>
      </c>
      <c r="CC839" s="16">
        <v>0</v>
      </c>
      <c r="CD839" s="78">
        <v>0</v>
      </c>
      <c r="CE839" s="16">
        <v>0</v>
      </c>
      <c r="CF839" s="16">
        <v>0</v>
      </c>
      <c r="CG839" s="16"/>
      <c r="CH839" s="16"/>
      <c r="CI839" s="16"/>
      <c r="CJ839" s="16"/>
      <c r="CK839" s="16"/>
      <c r="CL839" s="16"/>
      <c r="CM839" s="16"/>
      <c r="CN839" s="16"/>
      <c r="CO839" s="16"/>
      <c r="CP839" s="16" t="s">
        <v>123</v>
      </c>
      <c r="CQ839" s="16">
        <v>0</v>
      </c>
      <c r="CR839" s="16">
        <v>0</v>
      </c>
      <c r="CS839" s="18">
        <f>IF(CT839&gt;0,1,0)</f>
        <v>0</v>
      </c>
      <c r="CT839" s="25">
        <f>SUM(CW839,CZ839,DC839)</f>
        <v>0</v>
      </c>
      <c r="CU839" s="25"/>
      <c r="CV839" s="16">
        <v>0</v>
      </c>
      <c r="CW839" s="25">
        <v>0</v>
      </c>
      <c r="CX839" s="16">
        <v>0</v>
      </c>
      <c r="CY839" s="16">
        <v>0</v>
      </c>
      <c r="CZ839" s="18">
        <v>0</v>
      </c>
      <c r="DA839" s="16">
        <v>0</v>
      </c>
      <c r="DB839" s="16">
        <v>0</v>
      </c>
      <c r="DC839" s="18">
        <v>0</v>
      </c>
      <c r="DD839" s="16">
        <v>0</v>
      </c>
      <c r="DE839" s="16">
        <v>0</v>
      </c>
      <c r="DF839" s="16" t="e">
        <f>VLOOKUP(K839,'[3]RNA Seq summary tables'!$V$3:$V$99,1,FALSE)</f>
        <v>#N/A</v>
      </c>
      <c r="DG839" s="16">
        <v>1</v>
      </c>
      <c r="DH839" s="16" t="str">
        <f>VLOOKUP(D839,'[8]Data with duplicates'!$B$1:$J$70,9,FALSE)</f>
        <v>sample.17</v>
      </c>
      <c r="DI839" s="16"/>
      <c r="DJ839" s="16"/>
      <c r="DK839" s="16"/>
      <c r="DL839" s="16"/>
      <c r="DM839" s="16"/>
      <c r="DN839" s="16"/>
      <c r="DO839" s="16"/>
      <c r="DP839" s="16"/>
      <c r="DQ839" s="16"/>
      <c r="DR839" s="16"/>
      <c r="DS839" s="16"/>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18"/>
      <c r="EQ839" s="18"/>
      <c r="ER839" s="18"/>
      <c r="ES839" s="18"/>
      <c r="ET839" s="18"/>
      <c r="EU839" s="18"/>
      <c r="EV839" s="18"/>
      <c r="EW839" s="18"/>
      <c r="EX839" s="18"/>
      <c r="EY839" s="18"/>
      <c r="EZ839" s="18"/>
      <c r="FA839" s="18"/>
      <c r="FB839" s="18"/>
      <c r="FC839" s="18"/>
      <c r="FD839" s="18"/>
      <c r="FE839" s="18"/>
      <c r="FF839" s="18"/>
      <c r="FG839" s="18"/>
      <c r="FH839" s="18"/>
      <c r="FI839" s="18"/>
      <c r="FJ839" s="18"/>
      <c r="FK839" s="18"/>
      <c r="FL839" s="18"/>
      <c r="FM839" s="18"/>
      <c r="FN839" s="18"/>
      <c r="FO839" s="18"/>
      <c r="FP839" s="18"/>
      <c r="FQ839" s="18"/>
      <c r="FR839" s="18"/>
      <c r="FS839" s="18"/>
      <c r="FT839" s="18"/>
      <c r="FU839" s="18"/>
      <c r="FV839" s="18"/>
      <c r="FW839" s="18"/>
      <c r="FX839" s="18"/>
      <c r="FY839" s="18"/>
      <c r="FZ839" s="18"/>
      <c r="GA839" s="18"/>
      <c r="GB839" s="18"/>
      <c r="GC839" s="18"/>
      <c r="GD839" s="18"/>
      <c r="GE839" s="18"/>
      <c r="GF839" s="18"/>
      <c r="GG839" s="18"/>
      <c r="GH839" s="18"/>
      <c r="GI839" s="18"/>
      <c r="GJ839" s="18"/>
      <c r="GK839" s="18"/>
      <c r="GL839" s="18"/>
      <c r="GM839" s="18"/>
      <c r="GN839" s="18"/>
      <c r="GO839" s="18"/>
      <c r="GP839" s="18"/>
      <c r="GQ839" s="18"/>
      <c r="GR839" s="18"/>
      <c r="GS839" s="18"/>
      <c r="GT839" s="18"/>
      <c r="GU839" s="18"/>
      <c r="GV839" s="18"/>
      <c r="GW839" s="18"/>
      <c r="GX839" s="18"/>
      <c r="GY839" s="18"/>
      <c r="GZ839" s="18"/>
      <c r="HA839" s="18"/>
      <c r="HB839" s="18"/>
      <c r="HC839" s="18"/>
      <c r="HD839" s="18"/>
      <c r="HE839" s="18"/>
      <c r="HF839" s="18"/>
      <c r="HG839" s="18"/>
      <c r="HH839" s="18"/>
      <c r="HI839" s="18"/>
      <c r="HJ839" s="18"/>
      <c r="HK839" s="18"/>
      <c r="HL839" s="18"/>
      <c r="HM839" s="18"/>
      <c r="HN839" s="18"/>
      <c r="HO839" s="18"/>
      <c r="HP839" s="18"/>
      <c r="HQ839" s="18"/>
      <c r="HR839" s="18"/>
      <c r="HS839" s="18"/>
      <c r="HT839" s="18"/>
      <c r="HU839" s="18"/>
      <c r="HV839" s="18"/>
      <c r="HW839" s="18"/>
      <c r="HX839" s="18"/>
      <c r="HY839" s="18"/>
      <c r="HZ839" s="18"/>
      <c r="IA839" s="18"/>
      <c r="IB839" s="18"/>
      <c r="IC839" s="18"/>
      <c r="ID839" s="18"/>
      <c r="IE839" s="18"/>
      <c r="IF839" s="18"/>
      <c r="IG839" s="18"/>
      <c r="IH839" s="18"/>
      <c r="II839" s="18"/>
      <c r="IJ839" s="18"/>
      <c r="IK839" s="18"/>
      <c r="IL839" s="18"/>
      <c r="IM839" s="18"/>
      <c r="IN839" s="18"/>
      <c r="IO839" s="18"/>
      <c r="IP839" s="18"/>
      <c r="IQ839" s="18"/>
      <c r="IR839" s="18"/>
      <c r="IS839" s="18"/>
      <c r="IT839" s="18"/>
      <c r="IU839" s="18"/>
      <c r="IV839" s="18"/>
      <c r="IW839" s="18"/>
      <c r="IX839" s="18"/>
      <c r="IY839" s="18"/>
      <c r="IZ839" s="18"/>
      <c r="JA839" s="18"/>
      <c r="JB839" s="18"/>
      <c r="JC839" s="18"/>
      <c r="JD839" s="18"/>
      <c r="JE839" s="18"/>
      <c r="JF839" s="18"/>
      <c r="JG839" s="18"/>
      <c r="JH839" s="18"/>
      <c r="JI839" s="18"/>
      <c r="JJ839" s="18"/>
      <c r="JK839" s="18"/>
      <c r="JL839" s="18"/>
      <c r="JM839" s="18"/>
      <c r="JN839" s="18"/>
      <c r="JO839" s="16"/>
      <c r="JP839" s="16"/>
      <c r="JQ839" s="16"/>
      <c r="JR839" s="16"/>
      <c r="JS839" s="16"/>
      <c r="JT839" s="16"/>
      <c r="JU839" s="16"/>
      <c r="JV839" s="16"/>
      <c r="JW839" s="16"/>
      <c r="JX839" s="16"/>
      <c r="JY839" s="16"/>
      <c r="JZ839" s="16"/>
      <c r="KA839" s="16"/>
      <c r="KB839" s="16"/>
    </row>
    <row r="840" spans="1:288" s="38" customFormat="1" x14ac:dyDescent="0.2">
      <c r="A840" s="18"/>
      <c r="B840" s="16">
        <v>2017</v>
      </c>
      <c r="C840" s="20">
        <v>42884</v>
      </c>
      <c r="D840" s="20" t="str">
        <f>CONCATENATE(J840,"-",C840)</f>
        <v>1020-42884</v>
      </c>
      <c r="E840" s="20" t="str">
        <f>CONCATENATE(T840,"-",U840,"-",C840)</f>
        <v>BC2-A7-42884</v>
      </c>
      <c r="F840" s="20" t="s">
        <v>106</v>
      </c>
      <c r="G840" s="20" t="s">
        <v>107</v>
      </c>
      <c r="H840" s="16"/>
      <c r="I840" s="16">
        <v>0</v>
      </c>
      <c r="J840" s="21">
        <v>1020</v>
      </c>
      <c r="K840" s="21">
        <v>1576</v>
      </c>
      <c r="L840" s="18">
        <v>0</v>
      </c>
      <c r="M840" s="21">
        <f>VLOOKUP($K840,'[4]blood tubes 2017'!$D$1:$L$647,8,FALSE)</f>
        <v>0</v>
      </c>
      <c r="N840" s="15">
        <v>0</v>
      </c>
      <c r="O840" s="15" t="s">
        <v>214</v>
      </c>
      <c r="P840" s="16" t="s">
        <v>110</v>
      </c>
      <c r="Q840" s="16">
        <v>0</v>
      </c>
      <c r="R840" s="16" t="s">
        <v>111</v>
      </c>
      <c r="S840" s="16"/>
      <c r="T840" s="16" t="s">
        <v>154</v>
      </c>
      <c r="U840" s="16" t="s">
        <v>120</v>
      </c>
      <c r="V840" s="16" t="s">
        <v>114</v>
      </c>
      <c r="W840" s="16">
        <f>AI840/AG840</f>
        <v>0.7567567567567568</v>
      </c>
      <c r="X840" s="16" t="s">
        <v>121</v>
      </c>
      <c r="Y840" s="16" t="s">
        <v>110</v>
      </c>
      <c r="Z840" s="16">
        <v>3</v>
      </c>
      <c r="AA840" s="18"/>
      <c r="AB840" s="16" t="s">
        <v>123</v>
      </c>
      <c r="AC840" s="16" t="s">
        <v>123</v>
      </c>
      <c r="AD840" s="16" t="s">
        <v>123</v>
      </c>
      <c r="AE840" s="16"/>
      <c r="AF840" s="16"/>
      <c r="AG840" s="16">
        <f>AH840-AI840</f>
        <v>74</v>
      </c>
      <c r="AH840" s="16">
        <v>130</v>
      </c>
      <c r="AI840" s="16">
        <v>56</v>
      </c>
      <c r="AJ840" s="16"/>
      <c r="AK840" s="16">
        <v>13</v>
      </c>
      <c r="AL840" s="16">
        <v>0</v>
      </c>
      <c r="AM840" s="16">
        <v>0</v>
      </c>
      <c r="AN840" s="16">
        <v>0</v>
      </c>
      <c r="AO840" s="16">
        <v>0</v>
      </c>
      <c r="AP840" s="16">
        <f>SUM(AL840:AN840)</f>
        <v>0</v>
      </c>
      <c r="AQ840" s="16">
        <v>1.57</v>
      </c>
      <c r="AR840" s="16">
        <f>AP840-1.472</f>
        <v>-1.472</v>
      </c>
      <c r="AS840" s="16">
        <f>AQ840-1.472</f>
        <v>9.8000000000000087E-2</v>
      </c>
      <c r="AT840" s="16" t="s">
        <v>119</v>
      </c>
      <c r="AU840" s="16"/>
      <c r="AV840" s="16"/>
      <c r="AW840" s="16">
        <f>IF(AX840&gt;0,1,0)</f>
        <v>1</v>
      </c>
      <c r="AX840" s="16">
        <f>SUM(BA840,BM840,CT840)</f>
        <v>3</v>
      </c>
      <c r="AY840" s="18">
        <f>SUM(BB840,BN840,CV840)</f>
        <v>2510.2040816326507</v>
      </c>
      <c r="AZ840" s="16">
        <f>IF(BA840&gt;0,1,0)</f>
        <v>1</v>
      </c>
      <c r="BA840" s="16">
        <f>SUM(BC840,BF840,BI840)</f>
        <v>3</v>
      </c>
      <c r="BB840" s="16">
        <f>SUM(BE840,BH840,BK840)</f>
        <v>2510.2040816326507</v>
      </c>
      <c r="BC840" s="16">
        <v>1</v>
      </c>
      <c r="BD840" s="16">
        <v>58</v>
      </c>
      <c r="BE840" s="16">
        <f>BD840/AS840</f>
        <v>591.83673469387702</v>
      </c>
      <c r="BF840" s="16">
        <v>1</v>
      </c>
      <c r="BG840" s="77">
        <v>173</v>
      </c>
      <c r="BH840" s="16">
        <f>BG840/AS840</f>
        <v>1765.3061224489779</v>
      </c>
      <c r="BI840" s="16">
        <v>1</v>
      </c>
      <c r="BJ840" s="16">
        <v>15</v>
      </c>
      <c r="BK840" s="16">
        <f>BJ840/AS840</f>
        <v>153.06122448979579</v>
      </c>
      <c r="BL840" s="16">
        <f>IF(BM840&gt;0,1,0)</f>
        <v>0</v>
      </c>
      <c r="BM840" s="16">
        <f>SUM(BR840,BU840,BX840,CA840,CD840,CG840,CJ840,CM840,CP840)</f>
        <v>0</v>
      </c>
      <c r="BN840" s="16">
        <f>SUM(BW840,BZ840,CC840,CF840,CI840,CL840,CO840,CR840,BT840)</f>
        <v>0</v>
      </c>
      <c r="BO840" s="16">
        <f>IF(BP840&gt;0,1,0)</f>
        <v>0</v>
      </c>
      <c r="BP840" s="16">
        <f>SUM(BU840,BX840,CA840,CD840,BR840)</f>
        <v>0</v>
      </c>
      <c r="BQ840" s="16">
        <f>SUM(BZ840,CC840,CF840,BT840,BW840)</f>
        <v>0</v>
      </c>
      <c r="BR840" s="16">
        <v>0</v>
      </c>
      <c r="BS840" s="16">
        <v>0</v>
      </c>
      <c r="BT840" s="77">
        <f>BS840/AS840</f>
        <v>0</v>
      </c>
      <c r="BU840" s="16">
        <v>0</v>
      </c>
      <c r="BV840" s="16">
        <v>0</v>
      </c>
      <c r="BW840" s="16">
        <f>BV840/AS840</f>
        <v>0</v>
      </c>
      <c r="BX840" s="16">
        <v>0</v>
      </c>
      <c r="BY840" s="16">
        <v>0</v>
      </c>
      <c r="BZ840" s="16">
        <f>BY840/AS840</f>
        <v>0</v>
      </c>
      <c r="CA840" s="16">
        <v>0</v>
      </c>
      <c r="CB840" s="16">
        <v>0</v>
      </c>
      <c r="CC840" s="16">
        <f>CB840/AS840</f>
        <v>0</v>
      </c>
      <c r="CD840" s="77">
        <v>0</v>
      </c>
      <c r="CE840" s="16">
        <v>0</v>
      </c>
      <c r="CF840" s="16">
        <f>CE840/AS840</f>
        <v>0</v>
      </c>
      <c r="CG840" s="16">
        <v>0</v>
      </c>
      <c r="CH840" s="16">
        <v>0</v>
      </c>
      <c r="CI840" s="16">
        <f>CH840/AS840</f>
        <v>0</v>
      </c>
      <c r="CJ840" s="16"/>
      <c r="CK840" s="16"/>
      <c r="CL840" s="16"/>
      <c r="CM840" s="16">
        <v>0</v>
      </c>
      <c r="CN840" s="16">
        <v>0</v>
      </c>
      <c r="CO840" s="16">
        <f>CN840/AS840</f>
        <v>0</v>
      </c>
      <c r="CP840" s="16">
        <v>0</v>
      </c>
      <c r="CQ840" s="16">
        <v>0</v>
      </c>
      <c r="CR840" s="16">
        <f>CQ840/AS840</f>
        <v>0</v>
      </c>
      <c r="CS840" s="16">
        <f>IF(CT840&gt;0,1,0)</f>
        <v>0</v>
      </c>
      <c r="CT840" s="16">
        <f>SUM(CW840,CZ840,DC840)</f>
        <v>0</v>
      </c>
      <c r="CU840" s="16"/>
      <c r="CV840" s="16">
        <f>SUM(CY840,DB840,DE840)</f>
        <v>0</v>
      </c>
      <c r="CW840" s="16">
        <v>0</v>
      </c>
      <c r="CX840" s="16">
        <v>0</v>
      </c>
      <c r="CY840" s="16">
        <f>CX840/AS840</f>
        <v>0</v>
      </c>
      <c r="CZ840" s="16">
        <v>0</v>
      </c>
      <c r="DA840" s="16">
        <v>0</v>
      </c>
      <c r="DB840" s="16">
        <f>DA840/AS840</f>
        <v>0</v>
      </c>
      <c r="DC840" s="16">
        <v>0</v>
      </c>
      <c r="DD840" s="16">
        <v>0</v>
      </c>
      <c r="DE840" s="16">
        <f>DD840/AS840</f>
        <v>0</v>
      </c>
      <c r="DF840" s="16" t="e">
        <f>VLOOKUP(K840,'[3]RNA Seq summary tables'!$V$3:$V$99,1,FALSE)</f>
        <v>#N/A</v>
      </c>
      <c r="DG840" s="16"/>
      <c r="DH840" s="16"/>
      <c r="DI840" s="16">
        <v>49</v>
      </c>
      <c r="DJ840" s="16"/>
      <c r="DK840" s="16">
        <v>21</v>
      </c>
      <c r="DL840" s="16"/>
      <c r="DM840" s="16">
        <v>30</v>
      </c>
      <c r="DN840" s="16"/>
      <c r="DO840" s="16">
        <v>0</v>
      </c>
      <c r="DP840" s="16"/>
      <c r="DQ840" s="16">
        <v>0</v>
      </c>
      <c r="DR840" s="16"/>
      <c r="DS840" s="16">
        <v>100</v>
      </c>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18"/>
      <c r="EQ840" s="18"/>
      <c r="ER840" s="18"/>
      <c r="ES840" s="18"/>
      <c r="ET840" s="18"/>
      <c r="EU840" s="18"/>
      <c r="EV840" s="18"/>
      <c r="EW840" s="18"/>
      <c r="EX840" s="18"/>
      <c r="EY840" s="18"/>
      <c r="EZ840" s="18"/>
      <c r="FA840" s="18"/>
      <c r="FB840" s="18"/>
      <c r="FC840" s="18"/>
      <c r="FD840" s="18"/>
      <c r="FE840" s="18"/>
      <c r="FF840" s="18"/>
      <c r="FG840" s="18"/>
      <c r="FH840" s="18"/>
      <c r="FI840" s="18"/>
      <c r="FJ840" s="18"/>
      <c r="FK840" s="18"/>
      <c r="FL840" s="18"/>
      <c r="FM840" s="18"/>
      <c r="FN840" s="18"/>
      <c r="FO840" s="18"/>
      <c r="FP840" s="18"/>
      <c r="FQ840" s="18"/>
      <c r="FR840" s="18"/>
      <c r="FS840" s="18"/>
      <c r="FT840" s="18"/>
      <c r="FU840" s="18"/>
      <c r="FV840" s="18"/>
      <c r="FW840" s="18"/>
      <c r="FX840" s="18"/>
      <c r="FY840" s="18"/>
      <c r="FZ840" s="18"/>
      <c r="GA840" s="18"/>
      <c r="GB840" s="18"/>
      <c r="GC840" s="18"/>
      <c r="GD840" s="18"/>
      <c r="GE840" s="18"/>
      <c r="GF840" s="18"/>
      <c r="GG840" s="18"/>
      <c r="GH840" s="18"/>
      <c r="GI840" s="18"/>
      <c r="GJ840" s="18"/>
      <c r="GK840" s="18"/>
      <c r="GL840" s="18"/>
      <c r="GM840" s="18"/>
      <c r="GN840" s="18"/>
      <c r="GO840" s="18"/>
      <c r="GP840" s="18"/>
      <c r="GQ840" s="18"/>
      <c r="GR840" s="18"/>
      <c r="GS840" s="18"/>
      <c r="GT840" s="18"/>
      <c r="GU840" s="18"/>
      <c r="GV840" s="18"/>
      <c r="GW840" s="18"/>
      <c r="GX840" s="18"/>
      <c r="GY840" s="18"/>
      <c r="GZ840" s="18"/>
      <c r="HA840" s="18"/>
      <c r="HB840" s="18"/>
      <c r="HC840" s="18"/>
      <c r="HD840" s="18"/>
      <c r="HE840" s="18"/>
      <c r="HF840" s="18"/>
      <c r="HG840" s="18"/>
      <c r="HH840" s="18"/>
      <c r="HI840" s="18"/>
      <c r="HJ840" s="18"/>
      <c r="HK840" s="18"/>
      <c r="HL840" s="18"/>
      <c r="HM840" s="18"/>
      <c r="HN840" s="18"/>
      <c r="HO840" s="18"/>
      <c r="HP840" s="18"/>
      <c r="HQ840" s="18"/>
      <c r="HR840" s="18"/>
      <c r="HS840" s="18"/>
      <c r="HT840" s="18"/>
      <c r="HU840" s="18"/>
      <c r="HV840" s="18"/>
      <c r="HW840" s="18"/>
      <c r="HX840" s="18"/>
      <c r="HY840" s="18"/>
      <c r="HZ840" s="18"/>
      <c r="IA840" s="18"/>
      <c r="IB840" s="18"/>
      <c r="IC840" s="18"/>
      <c r="ID840" s="18"/>
      <c r="IE840" s="18"/>
      <c r="IF840" s="18"/>
      <c r="IG840" s="18"/>
      <c r="IH840" s="18"/>
      <c r="II840" s="18"/>
      <c r="IJ840" s="18"/>
      <c r="IK840" s="18"/>
      <c r="IL840" s="18"/>
      <c r="IM840" s="18"/>
      <c r="IN840" s="18"/>
      <c r="IO840" s="18"/>
      <c r="IP840" s="18"/>
      <c r="IQ840" s="18"/>
      <c r="IR840" s="18"/>
      <c r="IS840" s="18"/>
      <c r="IT840" s="18"/>
      <c r="IU840" s="18"/>
      <c r="IV840" s="18"/>
      <c r="IW840" s="18"/>
      <c r="IX840" s="18"/>
      <c r="IY840" s="18"/>
      <c r="IZ840" s="18"/>
      <c r="JA840" s="18"/>
      <c r="JB840" s="18"/>
      <c r="JC840" s="18"/>
      <c r="JD840" s="18"/>
      <c r="JE840" s="18"/>
      <c r="JF840" s="18"/>
      <c r="JG840" s="18"/>
      <c r="JH840" s="18"/>
      <c r="JI840" s="18"/>
      <c r="JJ840" s="18"/>
      <c r="JK840" s="18"/>
      <c r="JL840" s="18"/>
      <c r="JM840" s="18"/>
      <c r="JN840" s="18"/>
      <c r="JO840" s="16"/>
      <c r="JP840" s="16"/>
      <c r="JQ840" s="16"/>
      <c r="JR840" s="16"/>
      <c r="JS840" s="16"/>
      <c r="JT840" s="16"/>
      <c r="JU840" s="16"/>
      <c r="JV840" s="16"/>
      <c r="JW840" s="16"/>
      <c r="JX840" s="16"/>
      <c r="JY840" s="16"/>
      <c r="JZ840" s="16"/>
      <c r="KA840" s="16"/>
      <c r="KB840" s="16"/>
    </row>
    <row r="841" spans="1:288" s="38" customFormat="1" ht="16" x14ac:dyDescent="0.2">
      <c r="A841" s="18"/>
      <c r="B841" s="16">
        <v>2017</v>
      </c>
      <c r="C841" s="43">
        <v>42938</v>
      </c>
      <c r="D841" s="43" t="str">
        <f>CONCATENATE(J841,"-",C841)</f>
        <v>1020-42938</v>
      </c>
      <c r="E841" s="37" t="str">
        <f>CONCATENATE(T841,"-",U841,"-",C841)</f>
        <v>BC2-B7-42938</v>
      </c>
      <c r="F841" s="20" t="s">
        <v>106</v>
      </c>
      <c r="G841" s="43" t="s">
        <v>107</v>
      </c>
      <c r="H841" s="23"/>
      <c r="I841" s="16">
        <v>0</v>
      </c>
      <c r="J841" s="15">
        <v>1020</v>
      </c>
      <c r="K841" s="15">
        <v>1953</v>
      </c>
      <c r="L841" s="18">
        <v>0</v>
      </c>
      <c r="M841" s="21">
        <f>VLOOKUP($K841,'[4]blood tubes 2017'!$D$1:$L$647,8,FALSE)</f>
        <v>0</v>
      </c>
      <c r="N841" s="15">
        <v>0</v>
      </c>
      <c r="O841" s="15" t="s">
        <v>214</v>
      </c>
      <c r="P841" s="23" t="s">
        <v>110</v>
      </c>
      <c r="Q841" s="16">
        <v>1</v>
      </c>
      <c r="R841" s="23">
        <v>54</v>
      </c>
      <c r="S841" s="23"/>
      <c r="T841" s="23" t="s">
        <v>154</v>
      </c>
      <c r="U841" s="23" t="s">
        <v>168</v>
      </c>
      <c r="V841" s="23" t="s">
        <v>114</v>
      </c>
      <c r="W841" s="16">
        <f>AI841/AG841</f>
        <v>0.82954545454545459</v>
      </c>
      <c r="X841" s="23" t="s">
        <v>121</v>
      </c>
      <c r="Y841" s="23" t="s">
        <v>110</v>
      </c>
      <c r="Z841" s="23">
        <v>3</v>
      </c>
      <c r="AA841" s="23" t="s">
        <v>161</v>
      </c>
      <c r="AB841" s="23" t="s">
        <v>239</v>
      </c>
      <c r="AC841" s="23" t="s">
        <v>123</v>
      </c>
      <c r="AD841" s="23" t="s">
        <v>116</v>
      </c>
      <c r="AE841" s="23"/>
      <c r="AF841" s="23"/>
      <c r="AG841" s="23">
        <f>AH841-AI841</f>
        <v>88</v>
      </c>
      <c r="AH841" s="23">
        <v>161</v>
      </c>
      <c r="AI841" s="23">
        <v>73</v>
      </c>
      <c r="AJ841" s="23"/>
      <c r="AK841" s="23">
        <v>25</v>
      </c>
      <c r="AL841" s="23">
        <v>1</v>
      </c>
      <c r="AM841" s="23">
        <v>1</v>
      </c>
      <c r="AN841" s="23">
        <v>0</v>
      </c>
      <c r="AO841" s="23">
        <v>1</v>
      </c>
      <c r="AP841" s="23">
        <f>SUM(AL841:AN841)</f>
        <v>2</v>
      </c>
      <c r="AQ841" s="23">
        <v>1.841</v>
      </c>
      <c r="AR841" s="23">
        <f>AP841-1.472</f>
        <v>0.52800000000000002</v>
      </c>
      <c r="AS841" s="23">
        <f>AQ841-1.472</f>
        <v>0.36899999999999999</v>
      </c>
      <c r="AT841" s="16" t="str">
        <f>VLOOKUP(E841,[2]Current!$A$1:$W$435,7,FALSE)</f>
        <v>NB</v>
      </c>
      <c r="AU841" s="16" t="s">
        <v>1288</v>
      </c>
      <c r="AV841" s="16"/>
      <c r="AW841" s="128">
        <f>IF(AX841&gt;0,1,0)</f>
        <v>1</v>
      </c>
      <c r="AX841" s="128">
        <f>SUM(BA841,BM841,CU841)</f>
        <v>4</v>
      </c>
      <c r="AY841" s="128">
        <f>SUM(BB841,BN841,CV841)</f>
        <v>54.200542005420054</v>
      </c>
      <c r="AZ841" s="128">
        <f>IF(BA841&gt;0,1,0)</f>
        <v>1</v>
      </c>
      <c r="BA841" s="128">
        <f>SUM(BC841+BF841+BI841)</f>
        <v>2</v>
      </c>
      <c r="BB841" s="128">
        <f>SUM(BE841,BH841,BK841)</f>
        <v>43.360433604336045</v>
      </c>
      <c r="BC841" s="130">
        <f>IF(BD841&gt;0,1,0)</f>
        <v>0</v>
      </c>
      <c r="BD841" s="128">
        <f>VLOOKUP($E841,[2]Current!$A:$AC,26,FALSE)</f>
        <v>0</v>
      </c>
      <c r="BE841" s="128">
        <f>BD841/$AS841</f>
        <v>0</v>
      </c>
      <c r="BF841" s="130">
        <f>IF(BG841&gt;0,1,0)</f>
        <v>1</v>
      </c>
      <c r="BG841" s="137">
        <f>VLOOKUP($E841,[2]Current!$A:$AC,27,FALSE)</f>
        <v>10</v>
      </c>
      <c r="BH841" s="128">
        <f>BG841/$AS841</f>
        <v>27.100271002710027</v>
      </c>
      <c r="BI841" s="130">
        <f>IF(BJ841&gt;0,1,0)</f>
        <v>1</v>
      </c>
      <c r="BJ841" s="128">
        <f>VLOOKUP($E841,[2]Current!$A:$AC,28,FALSE)</f>
        <v>6</v>
      </c>
      <c r="BK841" s="128">
        <f>BJ841/$AS841</f>
        <v>16.260162601626018</v>
      </c>
      <c r="BL841" s="128">
        <f>IF(BM841&gt;0,1,0)</f>
        <v>1</v>
      </c>
      <c r="BM841" s="128">
        <f>SUM(BR841,BU841,BX841,CA841,CD841)</f>
        <v>2</v>
      </c>
      <c r="BN841" s="131">
        <f>SUM(BT841,BW841,BZ841,CC841,CF841)</f>
        <v>10.840108401084011</v>
      </c>
      <c r="BO841" s="128">
        <f>IF(BP841&gt;0,1,0)</f>
        <v>1</v>
      </c>
      <c r="BP841" s="128">
        <f>BM841+CJ841</f>
        <v>2</v>
      </c>
      <c r="BQ841" s="128">
        <f>BN841+CL841</f>
        <v>10.840108401084011</v>
      </c>
      <c r="BR841" s="130">
        <f>IF(BS841&gt;0,1,0)</f>
        <v>0</v>
      </c>
      <c r="BS841" s="128">
        <f>VLOOKUP($E841,[2]Current!$A:$AC,12,FALSE)</f>
        <v>0</v>
      </c>
      <c r="BT841" s="137">
        <f>BS841/$AS841</f>
        <v>0</v>
      </c>
      <c r="BU841" s="130">
        <f>IF(BV841&gt;0,1,0)</f>
        <v>0</v>
      </c>
      <c r="BV841" s="128">
        <f>VLOOKUP($E841,[2]Current!$A:$AC,13,FALSE)</f>
        <v>0</v>
      </c>
      <c r="BW841" s="128">
        <f>BV841/$AS841</f>
        <v>0</v>
      </c>
      <c r="BX841" s="130">
        <f>IF(BY841&gt;0,1,0)</f>
        <v>1</v>
      </c>
      <c r="BY841" s="128">
        <f>VLOOKUP($E841,[2]Current!$A:$AC,14,FALSE)</f>
        <v>2</v>
      </c>
      <c r="BZ841" s="128">
        <f>BY841/$AS841</f>
        <v>5.4200542005420056</v>
      </c>
      <c r="CA841" s="130">
        <f>IF(CB841&gt;0,1,0)</f>
        <v>1</v>
      </c>
      <c r="CB841" s="128">
        <f>VLOOKUP($E841,[2]Current!$A:$AC,15,FALSE)</f>
        <v>2</v>
      </c>
      <c r="CC841" s="128">
        <f>CB841/$AS841</f>
        <v>5.4200542005420056</v>
      </c>
      <c r="CD841" s="174">
        <f>IF(CE841&gt;0,1,0)</f>
        <v>0</v>
      </c>
      <c r="CE841" s="128">
        <f>VLOOKUP($E841,[2]Current!$A:$AC,16,FALSE)</f>
        <v>0</v>
      </c>
      <c r="CF841" s="128">
        <f>CE841/$AS841</f>
        <v>0</v>
      </c>
      <c r="CG841" s="18"/>
      <c r="CH841" s="18"/>
      <c r="CI841" s="18"/>
      <c r="CJ841" s="130">
        <f>IF(CK841&gt;0,1,0)</f>
        <v>0</v>
      </c>
      <c r="CK841" s="128">
        <f>VLOOKUP($E841,[2]Current!$A:$AC,18,FALSE)</f>
        <v>0</v>
      </c>
      <c r="CL841" s="128">
        <f>CK841/$AS841</f>
        <v>0</v>
      </c>
      <c r="CM841" s="16"/>
      <c r="CN841" s="16"/>
      <c r="CO841" s="16"/>
      <c r="CP841" s="16"/>
      <c r="CQ841" s="16"/>
      <c r="CR841" s="16"/>
      <c r="CS841" s="130">
        <f>IF(CU841&gt;0,1,0)</f>
        <v>0</v>
      </c>
      <c r="CT841" s="16"/>
      <c r="CU841" s="128">
        <f>VLOOKUP($E841,[2]Current!$A:$AC,17,FALSE)</f>
        <v>0</v>
      </c>
      <c r="CV841" s="128">
        <f>CU841/$AS841</f>
        <v>0</v>
      </c>
      <c r="CW841" s="18"/>
      <c r="CX841" s="18"/>
      <c r="CY841" s="18"/>
      <c r="CZ841" s="16"/>
      <c r="DA841" s="16"/>
      <c r="DB841" s="16"/>
      <c r="DC841" s="16"/>
      <c r="DD841" s="16"/>
      <c r="DE841" s="16"/>
      <c r="DF841" s="16" t="e">
        <f>VLOOKUP(K841,'[3]RNA Seq summary tables'!$V$3:$V$99,1,FALSE)</f>
        <v>#N/A</v>
      </c>
      <c r="DG841" s="16"/>
      <c r="DH841" s="16"/>
      <c r="DI841" s="23"/>
      <c r="DJ841" s="23"/>
      <c r="DK841" s="23"/>
      <c r="DL841" s="23"/>
      <c r="DM841" s="23"/>
      <c r="DN841" s="23"/>
      <c r="DO841" s="23"/>
      <c r="DP841" s="23"/>
      <c r="DQ841" s="23"/>
      <c r="DR841" s="23"/>
      <c r="DS841" s="23"/>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18"/>
      <c r="EQ841" s="18"/>
      <c r="ER841" s="18"/>
      <c r="ES841" s="18"/>
      <c r="ET841" s="18"/>
      <c r="EU841" s="18"/>
      <c r="EV841" s="18"/>
      <c r="EW841" s="18"/>
      <c r="EX841" s="18"/>
      <c r="EY841" s="18"/>
      <c r="EZ841" s="18"/>
      <c r="FA841" s="18"/>
      <c r="FB841" s="18"/>
      <c r="FC841" s="18"/>
      <c r="FD841" s="18"/>
      <c r="FE841" s="18"/>
      <c r="FF841" s="18"/>
      <c r="FG841" s="18"/>
      <c r="FH841" s="18"/>
      <c r="FI841" s="18"/>
      <c r="FJ841" s="18"/>
      <c r="FK841" s="18"/>
      <c r="FL841" s="18"/>
      <c r="FM841" s="18"/>
      <c r="FN841" s="18"/>
      <c r="FO841" s="18"/>
      <c r="FP841" s="18"/>
      <c r="FQ841" s="18"/>
      <c r="FR841" s="18"/>
      <c r="FS841" s="18"/>
      <c r="FT841" s="18"/>
      <c r="FU841" s="18"/>
      <c r="FV841" s="18"/>
      <c r="FW841" s="18"/>
      <c r="FX841" s="18"/>
      <c r="FY841" s="18"/>
      <c r="FZ841" s="18"/>
      <c r="GA841" s="18"/>
      <c r="GB841" s="18"/>
      <c r="GC841" s="18"/>
      <c r="GD841" s="18"/>
      <c r="GE841" s="18"/>
      <c r="GF841" s="18"/>
      <c r="GG841" s="18"/>
      <c r="GH841" s="18"/>
      <c r="GI841" s="18"/>
      <c r="GJ841" s="18"/>
      <c r="GK841" s="18"/>
      <c r="GL841" s="18"/>
      <c r="GM841" s="18"/>
      <c r="GN841" s="18"/>
      <c r="GO841" s="18"/>
      <c r="GP841" s="18"/>
      <c r="GQ841" s="18"/>
      <c r="GR841" s="18"/>
      <c r="GS841" s="18"/>
      <c r="GT841" s="18"/>
      <c r="GU841" s="18"/>
      <c r="GV841" s="18"/>
      <c r="GW841" s="18"/>
      <c r="GX841" s="18"/>
      <c r="GY841" s="18"/>
      <c r="GZ841" s="18"/>
      <c r="HA841" s="18"/>
      <c r="HB841" s="18"/>
      <c r="HC841" s="18"/>
      <c r="HD841" s="18"/>
      <c r="HE841" s="18"/>
      <c r="HF841" s="18"/>
      <c r="HG841" s="18"/>
      <c r="HH841" s="18"/>
      <c r="HI841" s="18"/>
      <c r="HJ841" s="18"/>
      <c r="HK841" s="18"/>
      <c r="HL841" s="18"/>
      <c r="HM841" s="18"/>
      <c r="HN841" s="18"/>
      <c r="HO841" s="18"/>
      <c r="HP841" s="18"/>
      <c r="HQ841" s="18"/>
      <c r="HR841" s="18"/>
      <c r="HS841" s="18"/>
      <c r="HT841" s="18"/>
      <c r="HU841" s="18"/>
      <c r="HV841" s="18"/>
      <c r="HW841" s="18"/>
      <c r="HX841" s="18"/>
      <c r="HY841" s="18"/>
      <c r="HZ841" s="18"/>
      <c r="IA841" s="18"/>
      <c r="IB841" s="18"/>
      <c r="IC841" s="18"/>
      <c r="ID841" s="18"/>
      <c r="IE841" s="18"/>
      <c r="IF841" s="18"/>
      <c r="IG841" s="18"/>
      <c r="IH841" s="18"/>
      <c r="II841" s="18"/>
      <c r="IJ841" s="18"/>
      <c r="IK841" s="18"/>
      <c r="IL841" s="18"/>
      <c r="IM841" s="18"/>
      <c r="IN841" s="18"/>
      <c r="IO841" s="18"/>
      <c r="IP841" s="18"/>
      <c r="IQ841" s="18"/>
      <c r="IR841" s="18"/>
      <c r="IS841" s="18"/>
      <c r="IT841" s="18"/>
      <c r="IU841" s="18"/>
      <c r="IV841" s="18"/>
      <c r="IW841" s="18"/>
      <c r="IX841" s="18"/>
      <c r="IY841" s="18"/>
      <c r="IZ841" s="18"/>
      <c r="JA841" s="18"/>
      <c r="JB841" s="18"/>
      <c r="JC841" s="18"/>
      <c r="JD841" s="18"/>
      <c r="JE841" s="18"/>
      <c r="JF841" s="18"/>
      <c r="JG841" s="18"/>
      <c r="JH841" s="18"/>
      <c r="JI841" s="18"/>
      <c r="JJ841" s="18"/>
      <c r="JK841" s="18"/>
      <c r="JL841" s="18"/>
      <c r="JM841" s="18"/>
      <c r="JN841" s="18"/>
      <c r="JO841" s="16"/>
      <c r="JP841" s="16"/>
      <c r="JQ841" s="16"/>
      <c r="JR841" s="18"/>
      <c r="JS841" s="18"/>
      <c r="JT841" s="18"/>
      <c r="JU841" s="18"/>
      <c r="JV841" s="18"/>
      <c r="JW841" s="18"/>
      <c r="JX841" s="18"/>
      <c r="JY841" s="18"/>
      <c r="JZ841" s="18"/>
      <c r="KA841" s="18"/>
      <c r="KB841" s="18"/>
    </row>
    <row r="842" spans="1:288" s="38" customFormat="1" x14ac:dyDescent="0.2">
      <c r="A842" s="18"/>
      <c r="B842" s="16">
        <v>2017</v>
      </c>
      <c r="C842" s="20">
        <v>42884</v>
      </c>
      <c r="D842" s="20" t="str">
        <f>CONCATENATE(J842,"-",C842)</f>
        <v>1022-42884</v>
      </c>
      <c r="E842" s="37" t="str">
        <f>CONCATENATE(T842,"-",U842,"-",C842)</f>
        <v>BC1-A1-42884</v>
      </c>
      <c r="F842" s="20" t="s">
        <v>106</v>
      </c>
      <c r="G842" s="20" t="s">
        <v>107</v>
      </c>
      <c r="H842" s="16"/>
      <c r="I842" s="16">
        <v>0</v>
      </c>
      <c r="J842" s="21">
        <v>1022</v>
      </c>
      <c r="K842" s="21">
        <v>1578</v>
      </c>
      <c r="L842" s="18">
        <v>0</v>
      </c>
      <c r="M842" s="21">
        <f>VLOOKUP($K842,'[4]blood tubes 2017'!$D$1:$L$647,8,FALSE)</f>
        <v>0</v>
      </c>
      <c r="N842" s="15">
        <v>0</v>
      </c>
      <c r="O842" s="15" t="s">
        <v>214</v>
      </c>
      <c r="P842" s="16" t="s">
        <v>110</v>
      </c>
      <c r="Q842" s="16">
        <v>0</v>
      </c>
      <c r="R842" s="16" t="s">
        <v>111</v>
      </c>
      <c r="S842" s="16"/>
      <c r="T842" s="16" t="s">
        <v>159</v>
      </c>
      <c r="U842" s="16" t="s">
        <v>210</v>
      </c>
      <c r="V842" s="16" t="s">
        <v>114</v>
      </c>
      <c r="W842" s="16">
        <f>AI842/AG842</f>
        <v>0.797752808988764</v>
      </c>
      <c r="X842" s="16" t="s">
        <v>121</v>
      </c>
      <c r="Y842" s="16" t="s">
        <v>110</v>
      </c>
      <c r="Z842" s="16">
        <v>3</v>
      </c>
      <c r="AA842" s="16" t="s">
        <v>119</v>
      </c>
      <c r="AB842" s="16" t="s">
        <v>123</v>
      </c>
      <c r="AC842" s="16" t="s">
        <v>116</v>
      </c>
      <c r="AD842" s="16" t="s">
        <v>123</v>
      </c>
      <c r="AE842" s="16"/>
      <c r="AF842" s="16"/>
      <c r="AG842" s="16">
        <f>AH842-AI842</f>
        <v>89</v>
      </c>
      <c r="AH842" s="16">
        <v>160</v>
      </c>
      <c r="AI842" s="16">
        <v>71</v>
      </c>
      <c r="AJ842" s="16"/>
      <c r="AK842" s="16">
        <v>19.5</v>
      </c>
      <c r="AL842" s="16">
        <v>0</v>
      </c>
      <c r="AM842" s="16">
        <v>0</v>
      </c>
      <c r="AN842" s="16">
        <v>0</v>
      </c>
      <c r="AO842" s="16">
        <v>0</v>
      </c>
      <c r="AP842" s="16">
        <f>SUM(AL842:AN842)</f>
        <v>0</v>
      </c>
      <c r="AQ842" s="16">
        <v>1.853</v>
      </c>
      <c r="AR842" s="16">
        <f>AP842-1.472</f>
        <v>-1.472</v>
      </c>
      <c r="AS842" s="16">
        <f>AQ842-1.472</f>
        <v>0.38100000000000001</v>
      </c>
      <c r="AT842" s="16" t="s">
        <v>1295</v>
      </c>
      <c r="AU842" s="18"/>
      <c r="AV842" s="16"/>
      <c r="AW842" s="18">
        <f>IF(AX842&gt;0,1,0)</f>
        <v>1</v>
      </c>
      <c r="AX842" s="18">
        <f>SUM(BA842,BM842,CT842)</f>
        <v>1</v>
      </c>
      <c r="AY842" s="18">
        <f>SUM(BB842,BN842,CV842)</f>
        <v>99.737532808398953</v>
      </c>
      <c r="AZ842" s="18">
        <f>IF(BA842&gt;0,1,0)</f>
        <v>1</v>
      </c>
      <c r="BA842" s="18">
        <f>SUM(BC842,BF842,BI842)</f>
        <v>1</v>
      </c>
      <c r="BB842" s="16">
        <f>SUM(BE842,BH842,BK842)</f>
        <v>99.737532808398953</v>
      </c>
      <c r="BC842" s="18">
        <f>IF(BD842&gt;0,1,0)</f>
        <v>0</v>
      </c>
      <c r="BD842" s="16">
        <v>0</v>
      </c>
      <c r="BE842" s="16">
        <f>BD842/AS842</f>
        <v>0</v>
      </c>
      <c r="BF842" s="16">
        <f>IF(BG842&gt;0,1,0)</f>
        <v>1</v>
      </c>
      <c r="BG842" s="77">
        <v>38</v>
      </c>
      <c r="BH842" s="16">
        <f>BG842/AS842</f>
        <v>99.737532808398953</v>
      </c>
      <c r="BI842" s="16">
        <f>IF(BJ842&gt;0,1,0)</f>
        <v>0</v>
      </c>
      <c r="BJ842" s="16">
        <v>0</v>
      </c>
      <c r="BK842" s="16">
        <f>BJ842/AS842</f>
        <v>0</v>
      </c>
      <c r="BL842" s="16">
        <f>IF(BM842&gt;0,1,0)</f>
        <v>0</v>
      </c>
      <c r="BM842" s="16">
        <f>SUM(BR842,BU842,BX842,CA842,CD842,CG842,CJ842,CM842,CP842)</f>
        <v>0</v>
      </c>
      <c r="BN842" s="16">
        <f>SUM(BW842,BZ842,CC842,CF842,CI842,CL842,CO842,CR842,BT842)</f>
        <v>0</v>
      </c>
      <c r="BO842" s="16">
        <f>IF(BP842&gt;0,1,0)</f>
        <v>0</v>
      </c>
      <c r="BP842" s="16">
        <f>SUM(BU842,BX842,CA842,CD842,BR842)</f>
        <v>0</v>
      </c>
      <c r="BQ842" s="16">
        <f>SUM(BZ842,CC842,CF842,BT842,BW842)</f>
        <v>0</v>
      </c>
      <c r="BR842" s="16">
        <v>0</v>
      </c>
      <c r="BS842" s="16">
        <v>0</v>
      </c>
      <c r="BT842" s="77">
        <f>BS842/AS842</f>
        <v>0</v>
      </c>
      <c r="BU842" s="16">
        <v>0</v>
      </c>
      <c r="BV842" s="16">
        <v>0</v>
      </c>
      <c r="BW842" s="16">
        <f>BV842/AS842</f>
        <v>0</v>
      </c>
      <c r="BX842" s="16">
        <v>0</v>
      </c>
      <c r="BY842" s="16">
        <v>0</v>
      </c>
      <c r="BZ842" s="16">
        <f>BY842/AS842</f>
        <v>0</v>
      </c>
      <c r="CA842" s="16">
        <v>0</v>
      </c>
      <c r="CB842" s="16">
        <v>0</v>
      </c>
      <c r="CC842" s="16">
        <f>CB842/AS842</f>
        <v>0</v>
      </c>
      <c r="CD842" s="77">
        <v>0</v>
      </c>
      <c r="CE842" s="16">
        <v>0</v>
      </c>
      <c r="CF842" s="16">
        <f>CE842/AS842</f>
        <v>0</v>
      </c>
      <c r="CG842" s="16">
        <v>0</v>
      </c>
      <c r="CH842" s="16">
        <v>0</v>
      </c>
      <c r="CI842" s="16">
        <f>CH842/AS842</f>
        <v>0</v>
      </c>
      <c r="CJ842" s="16"/>
      <c r="CK842" s="16"/>
      <c r="CL842" s="16"/>
      <c r="CM842" s="16">
        <v>0</v>
      </c>
      <c r="CN842" s="16">
        <v>0</v>
      </c>
      <c r="CO842" s="16">
        <f>CN842/AS842</f>
        <v>0</v>
      </c>
      <c r="CP842" s="16">
        <v>0</v>
      </c>
      <c r="CQ842" s="16">
        <v>0</v>
      </c>
      <c r="CR842" s="16">
        <f>CQ842/AS842</f>
        <v>0</v>
      </c>
      <c r="CS842" s="16">
        <f>IF(CT842&gt;0,1,0)</f>
        <v>0</v>
      </c>
      <c r="CT842" s="16">
        <f>SUM(CW842,CZ842,DC842)</f>
        <v>0</v>
      </c>
      <c r="CU842" s="16"/>
      <c r="CV842" s="16">
        <f>SUM(CY842,DB842,DE842)</f>
        <v>0</v>
      </c>
      <c r="CW842" s="16">
        <v>0</v>
      </c>
      <c r="CX842" s="16">
        <v>0</v>
      </c>
      <c r="CY842" s="16">
        <f>CX842/AS842</f>
        <v>0</v>
      </c>
      <c r="CZ842" s="16">
        <v>0</v>
      </c>
      <c r="DA842" s="16">
        <v>0</v>
      </c>
      <c r="DB842" s="16">
        <f>DA842/AS842</f>
        <v>0</v>
      </c>
      <c r="DC842" s="16">
        <v>0</v>
      </c>
      <c r="DD842" s="16">
        <v>0</v>
      </c>
      <c r="DE842" s="16">
        <f>DD842/AS842</f>
        <v>0</v>
      </c>
      <c r="DF842" s="16" t="e">
        <f>VLOOKUP(K842,'[3]RNA Seq summary tables'!$V$3:$V$99,1,FALSE)</f>
        <v>#N/A</v>
      </c>
      <c r="DG842" s="16"/>
      <c r="DH842" s="16"/>
      <c r="DI842" s="16">
        <v>6</v>
      </c>
      <c r="DJ842" s="16"/>
      <c r="DK842" s="16">
        <v>89</v>
      </c>
      <c r="DL842" s="16"/>
      <c r="DM842" s="16">
        <v>5</v>
      </c>
      <c r="DN842" s="16"/>
      <c r="DO842" s="16">
        <v>0</v>
      </c>
      <c r="DP842" s="16"/>
      <c r="DQ842" s="16">
        <v>0</v>
      </c>
      <c r="DR842" s="16"/>
      <c r="DS842" s="16">
        <v>100</v>
      </c>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18"/>
      <c r="EQ842" s="18"/>
      <c r="ER842" s="18"/>
      <c r="ES842" s="18"/>
      <c r="ET842" s="18"/>
      <c r="EU842" s="18"/>
      <c r="EV842" s="18"/>
      <c r="EW842" s="18"/>
      <c r="EX842" s="18"/>
      <c r="EY842" s="18"/>
      <c r="EZ842" s="18"/>
      <c r="FA842" s="18"/>
      <c r="FB842" s="18"/>
      <c r="FC842" s="18"/>
      <c r="FD842" s="18"/>
      <c r="FE842" s="18"/>
      <c r="FF842" s="18"/>
      <c r="FG842" s="18"/>
      <c r="FH842" s="18"/>
      <c r="FI842" s="18"/>
      <c r="FJ842" s="18"/>
      <c r="FK842" s="18"/>
      <c r="FL842" s="18"/>
      <c r="FM842" s="18"/>
      <c r="FN842" s="18"/>
      <c r="FO842" s="18"/>
      <c r="FP842" s="18"/>
      <c r="FQ842" s="18"/>
      <c r="FR842" s="18"/>
      <c r="FS842" s="18"/>
      <c r="FT842" s="18"/>
      <c r="FU842" s="18"/>
      <c r="FV842" s="18"/>
      <c r="FW842" s="18"/>
      <c r="FX842" s="18"/>
      <c r="FY842" s="18"/>
      <c r="FZ842" s="18"/>
      <c r="GA842" s="18"/>
      <c r="GB842" s="18"/>
      <c r="GC842" s="18"/>
      <c r="GD842" s="18"/>
      <c r="GE842" s="18"/>
      <c r="GF842" s="18"/>
      <c r="GG842" s="18"/>
      <c r="GH842" s="18"/>
      <c r="GI842" s="18"/>
      <c r="GJ842" s="18"/>
      <c r="GK842" s="18"/>
      <c r="GL842" s="18"/>
      <c r="GM842" s="18"/>
      <c r="GN842" s="18"/>
      <c r="GO842" s="18"/>
      <c r="GP842" s="18"/>
      <c r="GQ842" s="18"/>
      <c r="GR842" s="18"/>
      <c r="GS842" s="18"/>
      <c r="GT842" s="18"/>
      <c r="GU842" s="18"/>
      <c r="GV842" s="18"/>
      <c r="GW842" s="18"/>
      <c r="GX842" s="18"/>
      <c r="GY842" s="18"/>
      <c r="GZ842" s="18"/>
      <c r="HA842" s="18"/>
      <c r="HB842" s="18"/>
      <c r="HC842" s="18"/>
      <c r="HD842" s="18"/>
      <c r="HE842" s="18"/>
      <c r="HF842" s="18"/>
      <c r="HG842" s="18"/>
      <c r="HH842" s="18"/>
      <c r="HI842" s="18"/>
      <c r="HJ842" s="18"/>
      <c r="HK842" s="18"/>
      <c r="HL842" s="18"/>
      <c r="HM842" s="18"/>
      <c r="HN842" s="18"/>
      <c r="HO842" s="18"/>
      <c r="HP842" s="18"/>
      <c r="HQ842" s="18"/>
      <c r="HR842" s="18"/>
      <c r="HS842" s="18"/>
      <c r="HT842" s="18"/>
      <c r="HU842" s="18"/>
      <c r="HV842" s="18"/>
      <c r="HW842" s="18"/>
      <c r="HX842" s="18"/>
      <c r="HY842" s="18"/>
      <c r="HZ842" s="18"/>
      <c r="IA842" s="18"/>
      <c r="IB842" s="18"/>
      <c r="IC842" s="18"/>
      <c r="ID842" s="18"/>
      <c r="IE842" s="18"/>
      <c r="IF842" s="18"/>
      <c r="IG842" s="18"/>
      <c r="IH842" s="18"/>
      <c r="II842" s="18"/>
      <c r="IJ842" s="18"/>
      <c r="IK842" s="18"/>
      <c r="IL842" s="18"/>
      <c r="IM842" s="18"/>
      <c r="IN842" s="18"/>
      <c r="IO842" s="18"/>
      <c r="IP842" s="18"/>
      <c r="IQ842" s="18"/>
      <c r="IR842" s="18"/>
      <c r="IS842" s="18"/>
      <c r="IT842" s="18"/>
      <c r="IU842" s="18"/>
      <c r="IV842" s="18"/>
      <c r="IW842" s="18"/>
      <c r="IX842" s="18"/>
      <c r="IY842" s="18"/>
      <c r="IZ842" s="18"/>
      <c r="JA842" s="18"/>
      <c r="JB842" s="18"/>
      <c r="JC842" s="18"/>
      <c r="JD842" s="18"/>
      <c r="JE842" s="18"/>
      <c r="JF842" s="18"/>
      <c r="JG842" s="18"/>
      <c r="JH842" s="18"/>
      <c r="JI842" s="18"/>
      <c r="JJ842" s="18"/>
      <c r="JK842" s="18"/>
      <c r="JL842" s="18"/>
      <c r="JM842" s="18"/>
      <c r="JN842" s="18"/>
      <c r="JO842" s="16"/>
      <c r="JP842" s="29"/>
      <c r="JQ842" s="29"/>
      <c r="JR842" s="18"/>
      <c r="JS842" s="18"/>
      <c r="JT842" s="18"/>
      <c r="JU842" s="18"/>
      <c r="JV842" s="18"/>
      <c r="JW842" s="18"/>
      <c r="JX842" s="18"/>
      <c r="JY842" s="18"/>
      <c r="JZ842" s="18"/>
      <c r="KA842" s="18"/>
      <c r="KB842" s="18"/>
    </row>
    <row r="843" spans="1:288" x14ac:dyDescent="0.2">
      <c r="B843" s="16">
        <v>2016</v>
      </c>
      <c r="C843" s="20">
        <v>42591</v>
      </c>
      <c r="D843" s="20" t="str">
        <f>CONCATENATE(J843,"-",C843)</f>
        <v>1025-42591</v>
      </c>
      <c r="E843" s="20" t="str">
        <f>CONCATENATE(T843,"-",U843,"-",C843)</f>
        <v>HW2-C7-42591</v>
      </c>
      <c r="F843" s="20" t="s">
        <v>224</v>
      </c>
      <c r="G843" s="20" t="s">
        <v>107</v>
      </c>
      <c r="I843" s="16">
        <v>0</v>
      </c>
      <c r="J843" s="21">
        <v>1025</v>
      </c>
      <c r="K843" s="21">
        <v>1538</v>
      </c>
      <c r="L843" s="16">
        <v>1</v>
      </c>
      <c r="M843" s="15">
        <f>VLOOKUP(K843,'[7]MLBS 2016 SNV-nem Coinfection d'!$C$1:$G$238,4,FALSE)</f>
        <v>0</v>
      </c>
      <c r="N843" s="15">
        <v>0</v>
      </c>
      <c r="O843" s="15" t="s">
        <v>214</v>
      </c>
      <c r="P843" s="16" t="s">
        <v>110</v>
      </c>
      <c r="Q843" s="16">
        <v>0</v>
      </c>
      <c r="R843" s="16" t="s">
        <v>111</v>
      </c>
      <c r="T843" s="16" t="s">
        <v>129</v>
      </c>
      <c r="U843" s="16" t="s">
        <v>207</v>
      </c>
      <c r="V843" s="16" t="s">
        <v>114</v>
      </c>
      <c r="W843" s="16">
        <f>AI843/AG843</f>
        <v>0.76190476190476186</v>
      </c>
      <c r="X843" s="16" t="s">
        <v>115</v>
      </c>
      <c r="Y843" s="16" t="s">
        <v>110</v>
      </c>
      <c r="Z843" s="16">
        <v>3</v>
      </c>
      <c r="AE843" s="16" t="s">
        <v>116</v>
      </c>
      <c r="AF843" s="16" t="s">
        <v>116</v>
      </c>
      <c r="AG843" s="16">
        <f>AH843-AI843</f>
        <v>84</v>
      </c>
      <c r="AH843" s="16">
        <v>148</v>
      </c>
      <c r="AI843" s="16">
        <v>64</v>
      </c>
      <c r="AK843" s="16">
        <v>20</v>
      </c>
      <c r="AL843" s="16">
        <v>0</v>
      </c>
      <c r="AM843" s="16">
        <v>0</v>
      </c>
      <c r="AN843" s="16">
        <v>0</v>
      </c>
      <c r="AO843" s="16">
        <f>IF(SUM(AL843:AN843)&gt;0,1,0)</f>
        <v>0</v>
      </c>
      <c r="AP843" s="16">
        <f>SUM(AL843:AN843)</f>
        <v>0</v>
      </c>
      <c r="AQ843" s="16">
        <v>1.9770000000000001</v>
      </c>
      <c r="AR843" s="18">
        <v>0.5</v>
      </c>
      <c r="AS843" s="18">
        <v>0.5</v>
      </c>
      <c r="AT843" s="16" t="s">
        <v>205</v>
      </c>
      <c r="AW843" s="22">
        <v>1</v>
      </c>
      <c r="AX843" s="18">
        <v>4</v>
      </c>
      <c r="AY843" s="16">
        <f>(619+4276+69+2)/AS843</f>
        <v>9932</v>
      </c>
      <c r="AZ843" s="18">
        <v>1</v>
      </c>
      <c r="BA843" s="18">
        <v>3</v>
      </c>
      <c r="BB843" s="16">
        <f>(619+4276+69)/AS843</f>
        <v>9928</v>
      </c>
      <c r="BC843" s="16">
        <v>1</v>
      </c>
      <c r="BD843" s="18">
        <v>619</v>
      </c>
      <c r="BE843" s="16">
        <f>619/AS843</f>
        <v>1238</v>
      </c>
      <c r="BF843" s="18">
        <v>1</v>
      </c>
      <c r="BG843" s="78">
        <v>4276</v>
      </c>
      <c r="BH843" s="16">
        <f>4276/AS843</f>
        <v>8552</v>
      </c>
      <c r="BI843" s="16">
        <v>1</v>
      </c>
      <c r="BJ843" s="18">
        <v>69</v>
      </c>
      <c r="BK843" s="16">
        <f>69/402</f>
        <v>0.17164179104477612</v>
      </c>
      <c r="BL843" s="16">
        <f>IF(BM843&gt;0,1,0)</f>
        <v>1</v>
      </c>
      <c r="BM843" s="16">
        <f>SUM(BR843,BU843,BX843,CA843,CD843,CG843,CJ843,CM843,CP843)</f>
        <v>1</v>
      </c>
      <c r="BN843" s="16">
        <f>SUM(BW843,BZ843,CC843,CF843,CI843,CL843,CO843,CR843,BT843)</f>
        <v>4</v>
      </c>
      <c r="BO843" s="16">
        <f>IF(BP843&gt;0,1,0)</f>
        <v>1</v>
      </c>
      <c r="BP843" s="16">
        <f>SUM(BU843,BX843,CA843,CD843,BR843)</f>
        <v>1</v>
      </c>
      <c r="BQ843" s="16">
        <f>SUM(BZ843,CC843,CF843,BT843,BW843)</f>
        <v>4</v>
      </c>
      <c r="BR843" s="18">
        <v>0</v>
      </c>
      <c r="BS843" s="18">
        <v>0</v>
      </c>
      <c r="BT843" s="77">
        <f>BS843/AS843</f>
        <v>0</v>
      </c>
      <c r="BU843" s="18">
        <v>0</v>
      </c>
      <c r="BV843" s="18">
        <v>0</v>
      </c>
      <c r="BW843" s="18">
        <f>BV843/AS843</f>
        <v>0</v>
      </c>
      <c r="BX843" s="24">
        <v>1</v>
      </c>
      <c r="BY843" s="18">
        <v>2</v>
      </c>
      <c r="BZ843" s="16">
        <f>BY843/AS843</f>
        <v>4</v>
      </c>
      <c r="CA843" s="24">
        <v>0</v>
      </c>
      <c r="CB843" s="18">
        <v>0</v>
      </c>
      <c r="CC843" s="18">
        <v>0</v>
      </c>
      <c r="CD843" s="77">
        <v>0</v>
      </c>
      <c r="CE843" s="18">
        <v>0</v>
      </c>
      <c r="CF843" s="18">
        <v>0</v>
      </c>
      <c r="CG843" s="18"/>
      <c r="CH843" s="18"/>
      <c r="CI843" s="18"/>
      <c r="CJ843" s="18"/>
      <c r="CK843" s="18"/>
      <c r="CL843" s="18"/>
      <c r="CM843" s="18"/>
      <c r="CN843" s="18"/>
      <c r="CO843" s="18"/>
      <c r="CP843" s="18" t="s">
        <v>123</v>
      </c>
      <c r="CQ843" s="18">
        <v>0</v>
      </c>
      <c r="CR843" s="18">
        <v>0</v>
      </c>
      <c r="CS843" s="18">
        <f>IF(CT843&gt;0,1,0)</f>
        <v>0</v>
      </c>
      <c r="CT843" s="25">
        <f>SUM(CW843,CZ843,DC843)</f>
        <v>0</v>
      </c>
      <c r="CU843" s="25"/>
      <c r="CV843" s="18">
        <v>0</v>
      </c>
      <c r="CW843" s="25">
        <v>0</v>
      </c>
      <c r="CX843" s="18">
        <v>0</v>
      </c>
      <c r="CY843" s="18">
        <v>0</v>
      </c>
      <c r="CZ843" s="18">
        <v>0</v>
      </c>
      <c r="DA843" s="18">
        <v>0</v>
      </c>
      <c r="DB843" s="18">
        <v>0</v>
      </c>
      <c r="DC843" s="18">
        <v>0</v>
      </c>
      <c r="DD843" s="18">
        <v>0</v>
      </c>
      <c r="DE843" s="18">
        <v>0</v>
      </c>
      <c r="DF843" s="16">
        <f>VLOOKUP(K843,'[3]RNA Seq summary tables'!$V$3:$V$99,1,FALSE)</f>
        <v>1538</v>
      </c>
      <c r="JP843" s="26"/>
      <c r="JQ843" s="26"/>
    </row>
    <row r="844" spans="1:288" x14ac:dyDescent="0.2">
      <c r="B844" s="16">
        <v>2016</v>
      </c>
      <c r="C844" s="20">
        <v>42604</v>
      </c>
      <c r="D844" s="20" t="str">
        <f>CONCATENATE(J844,"-",C844)</f>
        <v>1025-42604</v>
      </c>
      <c r="E844" s="20" t="str">
        <f>CONCATENATE(T844,"-",U844,"-",C844)</f>
        <v>HW2-H6-42604</v>
      </c>
      <c r="F844" s="20" t="s">
        <v>227</v>
      </c>
      <c r="G844" s="20" t="s">
        <v>107</v>
      </c>
      <c r="I844" s="16">
        <v>0</v>
      </c>
      <c r="J844" s="21">
        <v>1025</v>
      </c>
      <c r="K844" s="21">
        <v>1560</v>
      </c>
      <c r="L844" s="16">
        <v>1</v>
      </c>
      <c r="M844" s="15">
        <f>VLOOKUP(K844,'[7]MLBS 2016 SNV-nem Coinfection d'!$C$1:$G$238,4,FALSE)</f>
        <v>0</v>
      </c>
      <c r="N844" s="15">
        <v>0</v>
      </c>
      <c r="O844" s="15" t="s">
        <v>214</v>
      </c>
      <c r="P844" s="16" t="s">
        <v>110</v>
      </c>
      <c r="Q844" s="16">
        <v>1</v>
      </c>
      <c r="R844" s="16">
        <v>13</v>
      </c>
      <c r="T844" s="16" t="s">
        <v>129</v>
      </c>
      <c r="U844" s="16" t="s">
        <v>141</v>
      </c>
      <c r="V844" s="16" t="s">
        <v>114</v>
      </c>
      <c r="W844" s="16">
        <f>AI844/AG844</f>
        <v>0.80952380952380953</v>
      </c>
      <c r="X844" s="16" t="s">
        <v>115</v>
      </c>
      <c r="Y844" s="16" t="s">
        <v>110</v>
      </c>
      <c r="Z844" s="16">
        <v>3</v>
      </c>
      <c r="AE844" s="16" t="s">
        <v>116</v>
      </c>
      <c r="AF844" s="16" t="s">
        <v>116</v>
      </c>
      <c r="AG844" s="16">
        <f>AH844-AI844</f>
        <v>84</v>
      </c>
      <c r="AH844" s="16">
        <v>152</v>
      </c>
      <c r="AI844" s="16">
        <v>68</v>
      </c>
      <c r="AK844" s="16">
        <v>18</v>
      </c>
      <c r="AL844" s="16">
        <v>0</v>
      </c>
      <c r="AM844" s="16">
        <v>0</v>
      </c>
      <c r="AN844" s="16">
        <v>0</v>
      </c>
      <c r="AO844" s="16">
        <f>IF(SUM(AL844:AN844)&gt;0,1,0)</f>
        <v>0</v>
      </c>
      <c r="AP844" s="16">
        <f>SUM(AL844:AN844)</f>
        <v>0</v>
      </c>
      <c r="AQ844" s="16">
        <f>AS844+1.477</f>
        <v>1.538</v>
      </c>
      <c r="AR844" s="16">
        <v>6.0999999999999999E-2</v>
      </c>
      <c r="AS844" s="16">
        <v>6.0999999999999999E-2</v>
      </c>
      <c r="AT844" s="16" t="s">
        <v>205</v>
      </c>
      <c r="AW844" s="22">
        <v>1</v>
      </c>
      <c r="AX844" s="16">
        <v>3</v>
      </c>
      <c r="AY844" s="16">
        <f>(76+26+2)/AS844</f>
        <v>1704.9180327868853</v>
      </c>
      <c r="AZ844" s="18">
        <v>1</v>
      </c>
      <c r="BA844" s="16">
        <v>3</v>
      </c>
      <c r="BB844" s="16">
        <f>AY844</f>
        <v>1704.9180327868853</v>
      </c>
      <c r="BC844" s="16">
        <v>1</v>
      </c>
      <c r="BD844" s="16">
        <v>76</v>
      </c>
      <c r="BE844" s="16">
        <f>76/AS844</f>
        <v>1245.9016393442623</v>
      </c>
      <c r="BF844" s="18">
        <v>1</v>
      </c>
      <c r="BG844" s="77">
        <v>26</v>
      </c>
      <c r="BH844" s="16">
        <f>26/AS844</f>
        <v>426.22950819672133</v>
      </c>
      <c r="BI844" s="16">
        <v>1</v>
      </c>
      <c r="BJ844" s="16">
        <v>2</v>
      </c>
      <c r="BK844" s="16">
        <f>2/AS844</f>
        <v>32.786885245901637</v>
      </c>
      <c r="BL844" s="16">
        <f>IF(BM844&gt;0,1,0)</f>
        <v>0</v>
      </c>
      <c r="BM844" s="16">
        <f>SUM(BR844,BU844,BX844,CA844,CD844,CG844,CJ844,CM844,CP844)</f>
        <v>0</v>
      </c>
      <c r="BN844" s="16">
        <f>SUM(BW844,BZ844,CC844,CF844,CI844,CL844,CO844,CR844,BT844)</f>
        <v>0</v>
      </c>
      <c r="BO844" s="16">
        <f>IF(BP844&gt;0,1,0)</f>
        <v>0</v>
      </c>
      <c r="BP844" s="16">
        <f>SUM(BU844,BX844,CA844,CD844,BR844)</f>
        <v>0</v>
      </c>
      <c r="BQ844" s="16">
        <f>SUM(BZ844,CC844,CF844,BT844,BW844)</f>
        <v>0</v>
      </c>
      <c r="BR844" s="18">
        <v>0</v>
      </c>
      <c r="BS844" s="16">
        <v>0</v>
      </c>
      <c r="BT844" s="77">
        <f>BS844/AS844</f>
        <v>0</v>
      </c>
      <c r="BU844" s="18">
        <v>0</v>
      </c>
      <c r="BV844" s="16">
        <v>0</v>
      </c>
      <c r="BW844" s="18">
        <f>BV844/AS844</f>
        <v>0</v>
      </c>
      <c r="BX844" s="18">
        <v>0</v>
      </c>
      <c r="BY844" s="16">
        <v>0</v>
      </c>
      <c r="BZ844" s="16">
        <f>BY844/AS844</f>
        <v>0</v>
      </c>
      <c r="CA844" s="24">
        <v>0</v>
      </c>
      <c r="CB844" s="16">
        <v>0</v>
      </c>
      <c r="CC844" s="16">
        <v>0</v>
      </c>
      <c r="CD844" s="78">
        <v>0</v>
      </c>
      <c r="CE844" s="16">
        <v>0</v>
      </c>
      <c r="CF844" s="16">
        <v>0</v>
      </c>
      <c r="CP844" s="16" t="s">
        <v>123</v>
      </c>
      <c r="CQ844" s="16">
        <v>0</v>
      </c>
      <c r="CR844" s="16">
        <v>0</v>
      </c>
      <c r="CS844" s="18">
        <f>IF(CT844&gt;0,1,0)</f>
        <v>0</v>
      </c>
      <c r="CT844" s="25">
        <f>SUM(CW844,CZ844,DC844)</f>
        <v>0</v>
      </c>
      <c r="CU844" s="25"/>
      <c r="CV844" s="16">
        <v>0</v>
      </c>
      <c r="CW844" s="25">
        <v>0</v>
      </c>
      <c r="CX844" s="16">
        <v>0</v>
      </c>
      <c r="CY844" s="16">
        <v>0</v>
      </c>
      <c r="CZ844" s="18">
        <v>0</v>
      </c>
      <c r="DA844" s="16">
        <v>0</v>
      </c>
      <c r="DB844" s="16">
        <v>0</v>
      </c>
      <c r="DC844" s="18">
        <v>0</v>
      </c>
      <c r="DD844" s="16">
        <v>0</v>
      </c>
      <c r="DE844" s="16">
        <v>0</v>
      </c>
      <c r="DF844" s="16">
        <f>VLOOKUP(K844,'[3]RNA Seq summary tables'!$V$3:$V$99,1,FALSE)</f>
        <v>1560</v>
      </c>
      <c r="DG844" s="16">
        <v>1</v>
      </c>
      <c r="DH844" s="16" t="str">
        <f>VLOOKUP(D844,'[8]Data with duplicates'!$B$1:$J$70,9,FALSE)</f>
        <v>sample.19</v>
      </c>
      <c r="JO844" s="18"/>
      <c r="JP844" s="26"/>
      <c r="JQ844" s="26"/>
    </row>
    <row r="845" spans="1:288" x14ac:dyDescent="0.2">
      <c r="B845" s="16">
        <v>2017</v>
      </c>
      <c r="C845" s="20">
        <v>42884</v>
      </c>
      <c r="D845" s="20" t="str">
        <f>CONCATENATE(J845,"-",C845)</f>
        <v>1026-42884</v>
      </c>
      <c r="E845" s="20" t="str">
        <f>CONCATENATE(T845,"-",U845,"-",C845)</f>
        <v>BC1-C8-42884</v>
      </c>
      <c r="F845" s="20" t="s">
        <v>106</v>
      </c>
      <c r="G845" s="20" t="s">
        <v>107</v>
      </c>
      <c r="I845" s="16">
        <v>0</v>
      </c>
      <c r="J845" s="21">
        <v>1026</v>
      </c>
      <c r="K845" s="21">
        <v>1580</v>
      </c>
      <c r="L845" s="18">
        <v>0</v>
      </c>
      <c r="M845" s="21">
        <f>VLOOKUP($K845,'[4]blood tubes 2017'!$D$1:$L$647,8,FALSE)</f>
        <v>0</v>
      </c>
      <c r="N845" s="15">
        <v>0</v>
      </c>
      <c r="O845" s="15" t="s">
        <v>214</v>
      </c>
      <c r="P845" s="16" t="s">
        <v>110</v>
      </c>
      <c r="Q845" s="16">
        <v>0</v>
      </c>
      <c r="R845" s="16" t="s">
        <v>111</v>
      </c>
      <c r="T845" s="16" t="s">
        <v>159</v>
      </c>
      <c r="U845" s="16" t="s">
        <v>188</v>
      </c>
      <c r="V845" s="16" t="s">
        <v>114</v>
      </c>
      <c r="W845" s="16">
        <f>AI845/AG845</f>
        <v>0.8089887640449438</v>
      </c>
      <c r="X845" s="16" t="s">
        <v>115</v>
      </c>
      <c r="Y845" s="16" t="s">
        <v>110</v>
      </c>
      <c r="Z845" s="16">
        <v>3</v>
      </c>
      <c r="AE845" s="16" t="s">
        <v>123</v>
      </c>
      <c r="AF845" s="16" t="s">
        <v>123</v>
      </c>
      <c r="AG845" s="16">
        <f>AH845-AI845</f>
        <v>89</v>
      </c>
      <c r="AH845" s="16">
        <v>161</v>
      </c>
      <c r="AI845" s="16">
        <v>72</v>
      </c>
      <c r="AK845" s="16">
        <v>21.5</v>
      </c>
      <c r="AL845" s="16">
        <v>0</v>
      </c>
      <c r="AM845" s="16">
        <v>0</v>
      </c>
      <c r="AN845" s="16">
        <v>0</v>
      </c>
      <c r="AO845" s="16">
        <v>0</v>
      </c>
      <c r="AP845" s="16">
        <f>SUM(AL845:AN845)</f>
        <v>0</v>
      </c>
      <c r="AQ845" s="16">
        <v>1.5960000000000001</v>
      </c>
      <c r="AR845" s="16">
        <f>AP845-1.472</f>
        <v>-1.472</v>
      </c>
      <c r="AS845" s="16">
        <f>AQ845-1.472</f>
        <v>0.12400000000000011</v>
      </c>
      <c r="AT845" s="16" t="s">
        <v>164</v>
      </c>
      <c r="AW845" s="16">
        <f>IF(AX845&gt;0,1,0)</f>
        <v>1</v>
      </c>
      <c r="AX845" s="16">
        <f>SUM(BA845,BM845,CT845)</f>
        <v>3</v>
      </c>
      <c r="AY845" s="18">
        <f>SUM(BB845,BN845,CV845)</f>
        <v>1193.548387096773</v>
      </c>
      <c r="AZ845" s="16">
        <f>IF(BA845&gt;0,1,0)</f>
        <v>1</v>
      </c>
      <c r="BA845" s="16">
        <f>SUM(BC845,BF845,BI845)</f>
        <v>3</v>
      </c>
      <c r="BB845" s="16">
        <f>SUM(BE845,BH845,BK845)</f>
        <v>1193.548387096773</v>
      </c>
      <c r="BC845" s="16">
        <v>1</v>
      </c>
      <c r="BD845" s="16">
        <v>8</v>
      </c>
      <c r="BE845" s="16">
        <f>BD845/AS845</f>
        <v>64.516129032258007</v>
      </c>
      <c r="BF845" s="16">
        <v>1</v>
      </c>
      <c r="BG845" s="77">
        <v>130</v>
      </c>
      <c r="BH845" s="16">
        <f>BG845/AS845</f>
        <v>1048.3870967741925</v>
      </c>
      <c r="BI845" s="16">
        <v>1</v>
      </c>
      <c r="BJ845" s="16">
        <v>10</v>
      </c>
      <c r="BK845" s="16">
        <f>BJ845/AS845</f>
        <v>80.645161290322505</v>
      </c>
      <c r="BL845" s="16">
        <f>IF(BM845&gt;0,1,0)</f>
        <v>0</v>
      </c>
      <c r="BM845" s="16">
        <f>SUM(BR845,BU845,BX845,CA845,CD845,CG845,CJ845,CM845,CP845)</f>
        <v>0</v>
      </c>
      <c r="BN845" s="16">
        <f>SUM(BW845,BZ845,CC845,CF845,CI845,CL845,CO845,CR845,BT845)</f>
        <v>0</v>
      </c>
      <c r="BO845" s="16">
        <f>IF(BP845&gt;0,1,0)</f>
        <v>0</v>
      </c>
      <c r="BP845" s="16">
        <f>SUM(BU845,BX845,CA845,CD845,BR845)</f>
        <v>0</v>
      </c>
      <c r="BQ845" s="16">
        <f>SUM(BZ845,CC845,CF845,BT845,BW845)</f>
        <v>0</v>
      </c>
      <c r="BR845" s="16">
        <v>0</v>
      </c>
      <c r="BS845" s="16">
        <v>0</v>
      </c>
      <c r="BT845" s="77">
        <f>BS845/AS845</f>
        <v>0</v>
      </c>
      <c r="BU845" s="16">
        <v>0</v>
      </c>
      <c r="BV845" s="16">
        <v>0</v>
      </c>
      <c r="BW845" s="16">
        <f>BV845/AS845</f>
        <v>0</v>
      </c>
      <c r="BX845" s="16">
        <v>0</v>
      </c>
      <c r="BY845" s="16">
        <v>0</v>
      </c>
      <c r="BZ845" s="16">
        <f>BY845/AS845</f>
        <v>0</v>
      </c>
      <c r="CA845" s="16">
        <v>0</v>
      </c>
      <c r="CB845" s="16">
        <v>0</v>
      </c>
      <c r="CC845" s="16">
        <f>CB845/AS845</f>
        <v>0</v>
      </c>
      <c r="CD845" s="77">
        <v>0</v>
      </c>
      <c r="CE845" s="16">
        <v>0</v>
      </c>
      <c r="CF845" s="16">
        <f>CE845/AS845</f>
        <v>0</v>
      </c>
      <c r="CG845" s="16">
        <v>0</v>
      </c>
      <c r="CH845" s="16">
        <v>0</v>
      </c>
      <c r="CI845" s="16">
        <f>CH845/AS845</f>
        <v>0</v>
      </c>
      <c r="CM845" s="16">
        <v>0</v>
      </c>
      <c r="CN845" s="16">
        <v>0</v>
      </c>
      <c r="CO845" s="16">
        <f>CN845/AS845</f>
        <v>0</v>
      </c>
      <c r="CP845" s="16">
        <v>0</v>
      </c>
      <c r="CQ845" s="16">
        <v>0</v>
      </c>
      <c r="CR845" s="16">
        <f>CQ845/AS845</f>
        <v>0</v>
      </c>
      <c r="CS845" s="16">
        <f>IF(CT845&gt;0,1,0)</f>
        <v>0</v>
      </c>
      <c r="CT845" s="16">
        <f>SUM(CW845,CZ845,DC845)</f>
        <v>0</v>
      </c>
      <c r="CV845" s="16">
        <f>SUM(CY845,DB845,DE845)</f>
        <v>0</v>
      </c>
      <c r="CW845" s="16">
        <v>0</v>
      </c>
      <c r="CX845" s="16">
        <v>0</v>
      </c>
      <c r="CY845" s="16">
        <f>CX845/AS845</f>
        <v>0</v>
      </c>
      <c r="CZ845" s="16">
        <v>0</v>
      </c>
      <c r="DA845" s="16">
        <v>0</v>
      </c>
      <c r="DB845" s="16">
        <f>DA845/AS845</f>
        <v>0</v>
      </c>
      <c r="DC845" s="16">
        <v>0</v>
      </c>
      <c r="DD845" s="16">
        <v>0</v>
      </c>
      <c r="DE845" s="16">
        <f>DD845/AS845</f>
        <v>0</v>
      </c>
      <c r="DF845" s="16" t="e">
        <f>VLOOKUP(K845,'[3]RNA Seq summary tables'!$V$3:$V$99,1,FALSE)</f>
        <v>#N/A</v>
      </c>
      <c r="DI845" s="16">
        <v>30</v>
      </c>
      <c r="DK845" s="16">
        <v>57</v>
      </c>
      <c r="DM845" s="16">
        <v>13</v>
      </c>
      <c r="DO845" s="16">
        <v>0</v>
      </c>
      <c r="DQ845" s="16">
        <v>0</v>
      </c>
      <c r="DS845" s="16">
        <v>100</v>
      </c>
      <c r="JP845" s="29"/>
      <c r="JQ845" s="29"/>
    </row>
    <row r="846" spans="1:288" x14ac:dyDescent="0.2">
      <c r="B846" s="16">
        <v>2017</v>
      </c>
      <c r="C846" s="20">
        <v>42884</v>
      </c>
      <c r="D846" s="20" t="str">
        <f>CONCATENATE(J846,"-",C846)</f>
        <v>1028-42884</v>
      </c>
      <c r="E846" s="20" t="str">
        <f>CONCATENATE(T846,"-",U846,"-",C846)</f>
        <v>BC1-D2-42884</v>
      </c>
      <c r="F846" s="20" t="s">
        <v>106</v>
      </c>
      <c r="G846" s="20" t="s">
        <v>107</v>
      </c>
      <c r="I846" s="16">
        <v>0</v>
      </c>
      <c r="J846" s="21">
        <v>1028</v>
      </c>
      <c r="K846" s="21">
        <v>1582</v>
      </c>
      <c r="L846" s="18">
        <v>0</v>
      </c>
      <c r="M846" s="21">
        <f>VLOOKUP($K846,'[4]blood tubes 2017'!$D$1:$L$647,8,FALSE)</f>
        <v>0</v>
      </c>
      <c r="N846" s="15">
        <v>0</v>
      </c>
      <c r="O846" s="15" t="s">
        <v>214</v>
      </c>
      <c r="P846" s="16" t="s">
        <v>110</v>
      </c>
      <c r="Q846" s="16">
        <v>0</v>
      </c>
      <c r="R846" s="16" t="s">
        <v>111</v>
      </c>
      <c r="T846" s="16" t="s">
        <v>159</v>
      </c>
      <c r="U846" s="16" t="s">
        <v>198</v>
      </c>
      <c r="V846" s="16" t="s">
        <v>114</v>
      </c>
      <c r="W846" s="16">
        <f>AI846/AG846</f>
        <v>0.74444444444444446</v>
      </c>
      <c r="X846" s="16" t="s">
        <v>115</v>
      </c>
      <c r="Y846" s="16" t="s">
        <v>110</v>
      </c>
      <c r="Z846" s="16">
        <v>3</v>
      </c>
      <c r="AE846" s="16" t="s">
        <v>123</v>
      </c>
      <c r="AF846" s="16" t="s">
        <v>123</v>
      </c>
      <c r="AG846" s="16">
        <f>AH846-AI846</f>
        <v>90</v>
      </c>
      <c r="AH846" s="16">
        <v>157</v>
      </c>
      <c r="AI846" s="16">
        <v>67</v>
      </c>
      <c r="AK846" s="16">
        <v>19.5</v>
      </c>
      <c r="AL846" s="16">
        <v>0</v>
      </c>
      <c r="AM846" s="16">
        <v>0</v>
      </c>
      <c r="AN846" s="16">
        <v>0</v>
      </c>
      <c r="AO846" s="16">
        <v>0</v>
      </c>
      <c r="AP846" s="16">
        <f>SUM(AL846:AN846)</f>
        <v>0</v>
      </c>
      <c r="AQ846" s="16">
        <v>1.7549999999999999</v>
      </c>
      <c r="AR846" s="16">
        <f>AP846-1.472</f>
        <v>-1.472</v>
      </c>
      <c r="AS846" s="16">
        <f>AQ846-1.472</f>
        <v>0.28299999999999992</v>
      </c>
      <c r="AT846" s="16" t="s">
        <v>164</v>
      </c>
      <c r="AW846" s="16">
        <f>IF(AX846&gt;0,1,0)</f>
        <v>1</v>
      </c>
      <c r="AX846" s="16">
        <f>SUM(BA846,BM846,CT846)</f>
        <v>2</v>
      </c>
      <c r="AY846" s="18">
        <f>SUM(BB846,BN846,CV846)</f>
        <v>7.0671378091872814</v>
      </c>
      <c r="AZ846" s="16">
        <f>IF(BA846&gt;0,1,0)</f>
        <v>1</v>
      </c>
      <c r="BA846" s="16">
        <f>SUM(BC846,BF846,BI846)</f>
        <v>2</v>
      </c>
      <c r="BB846" s="16">
        <f>SUM(BE846,BH846,BK846)</f>
        <v>7.0671378091872814</v>
      </c>
      <c r="BC846" s="16">
        <v>1</v>
      </c>
      <c r="BD846" s="16">
        <v>1</v>
      </c>
      <c r="BE846" s="16">
        <f>BD846/AS846</f>
        <v>3.5335689045936407</v>
      </c>
      <c r="BF846" s="16">
        <v>1</v>
      </c>
      <c r="BG846" s="77">
        <v>1</v>
      </c>
      <c r="BH846" s="16">
        <f>BG846/AS846</f>
        <v>3.5335689045936407</v>
      </c>
      <c r="BI846" s="16">
        <v>0</v>
      </c>
      <c r="BJ846" s="16">
        <v>0</v>
      </c>
      <c r="BK846" s="16">
        <f>BJ846/AS846</f>
        <v>0</v>
      </c>
      <c r="BL846" s="16">
        <f>IF(BM846&gt;0,1,0)</f>
        <v>0</v>
      </c>
      <c r="BM846" s="16">
        <f>SUM(BR846,BU846,BX846,CA846,CD846,CG846,CJ846,CM846,CP846)</f>
        <v>0</v>
      </c>
      <c r="BN846" s="16">
        <f>SUM(BW846,BZ846,CC846,CF846,CI846,CL846,CO846,CR846,BT846)</f>
        <v>0</v>
      </c>
      <c r="BO846" s="16">
        <f>IF(BP846&gt;0,1,0)</f>
        <v>0</v>
      </c>
      <c r="BP846" s="16">
        <f>SUM(BU846,BX846,CA846,CD846,BR846)</f>
        <v>0</v>
      </c>
      <c r="BQ846" s="16">
        <f>SUM(BZ846,CC846,CF846,BT846,BW846)</f>
        <v>0</v>
      </c>
      <c r="BR846" s="16">
        <v>0</v>
      </c>
      <c r="BS846" s="16">
        <v>0</v>
      </c>
      <c r="BT846" s="77">
        <f>BS846/AS846</f>
        <v>0</v>
      </c>
      <c r="BU846" s="16">
        <v>0</v>
      </c>
      <c r="BV846" s="16">
        <v>0</v>
      </c>
      <c r="BW846" s="16">
        <f>BV846/AS846</f>
        <v>0</v>
      </c>
      <c r="BX846" s="16">
        <v>0</v>
      </c>
      <c r="BY846" s="16">
        <v>0</v>
      </c>
      <c r="BZ846" s="16">
        <f>BY846/AS846</f>
        <v>0</v>
      </c>
      <c r="CA846" s="16">
        <v>0</v>
      </c>
      <c r="CB846" s="16">
        <v>0</v>
      </c>
      <c r="CC846" s="16">
        <f>CB846/AS846</f>
        <v>0</v>
      </c>
      <c r="CD846" s="77">
        <v>0</v>
      </c>
      <c r="CE846" s="16">
        <v>0</v>
      </c>
      <c r="CF846" s="16">
        <f>CE846/AS846</f>
        <v>0</v>
      </c>
      <c r="CG846" s="16">
        <v>0</v>
      </c>
      <c r="CH846" s="16">
        <v>0</v>
      </c>
      <c r="CI846" s="16">
        <f>CH846/AS846</f>
        <v>0</v>
      </c>
      <c r="CM846" s="16">
        <v>0</v>
      </c>
      <c r="CN846" s="16">
        <v>0</v>
      </c>
      <c r="CO846" s="16">
        <f>CN846/AS846</f>
        <v>0</v>
      </c>
      <c r="CP846" s="16">
        <v>0</v>
      </c>
      <c r="CQ846" s="16">
        <v>0</v>
      </c>
      <c r="CR846" s="16">
        <f>CQ846/AS846</f>
        <v>0</v>
      </c>
      <c r="CS846" s="16">
        <f>IF(CT846&gt;0,1,0)</f>
        <v>0</v>
      </c>
      <c r="CT846" s="16">
        <f>SUM(CW846,CZ846,DC846)</f>
        <v>0</v>
      </c>
      <c r="CV846" s="16">
        <f>SUM(CY846,DB846,DE846)</f>
        <v>0</v>
      </c>
      <c r="CW846" s="16">
        <v>0</v>
      </c>
      <c r="CX846" s="16">
        <v>0</v>
      </c>
      <c r="CY846" s="16">
        <f>CX846/AS846</f>
        <v>0</v>
      </c>
      <c r="CZ846" s="16">
        <v>0</v>
      </c>
      <c r="DA846" s="16">
        <v>0</v>
      </c>
      <c r="DB846" s="16">
        <f>DA846/AS846</f>
        <v>0</v>
      </c>
      <c r="DC846" s="16">
        <v>0</v>
      </c>
      <c r="DD846" s="16">
        <v>0</v>
      </c>
      <c r="DE846" s="16">
        <f>DD846/AS846</f>
        <v>0</v>
      </c>
      <c r="DF846" s="16" t="e">
        <f>VLOOKUP(K846,'[3]RNA Seq summary tables'!$V$3:$V$99,1,FALSE)</f>
        <v>#N/A</v>
      </c>
      <c r="DI846" s="16">
        <v>53</v>
      </c>
      <c r="DK846" s="16">
        <v>29</v>
      </c>
      <c r="DM846" s="16">
        <v>18</v>
      </c>
      <c r="DO846" s="16">
        <v>0</v>
      </c>
      <c r="DQ846" s="16">
        <v>0</v>
      </c>
      <c r="DS846" s="16">
        <v>100</v>
      </c>
    </row>
    <row r="847" spans="1:288" x14ac:dyDescent="0.2">
      <c r="B847" s="18">
        <v>2017</v>
      </c>
      <c r="C847" s="71">
        <v>42904</v>
      </c>
      <c r="D847" s="71" t="str">
        <f>CONCATENATE(J847,"-",C847)</f>
        <v>1028-42904</v>
      </c>
      <c r="E847" s="20" t="str">
        <f>CONCATENATE(T847,"-",U847,"-",C847)</f>
        <v>BC1-A2-42904</v>
      </c>
      <c r="F847" s="20" t="s">
        <v>106</v>
      </c>
      <c r="G847" s="37" t="s">
        <v>107</v>
      </c>
      <c r="H847" s="18"/>
      <c r="I847" s="16">
        <v>0</v>
      </c>
      <c r="J847" s="36">
        <v>1028</v>
      </c>
      <c r="K847" s="36">
        <v>1686</v>
      </c>
      <c r="L847" s="18">
        <v>0</v>
      </c>
      <c r="M847" s="21">
        <f>VLOOKUP($K847,'[4]blood tubes 2017'!$D$1:$L$647,8,FALSE)</f>
        <v>0</v>
      </c>
      <c r="N847" s="15">
        <v>0</v>
      </c>
      <c r="O847" s="15" t="s">
        <v>214</v>
      </c>
      <c r="P847" s="18" t="s">
        <v>110</v>
      </c>
      <c r="Q847" s="16">
        <v>1</v>
      </c>
      <c r="R847" s="18">
        <v>20</v>
      </c>
      <c r="S847" s="18"/>
      <c r="T847" s="18" t="s">
        <v>159</v>
      </c>
      <c r="U847" s="18" t="s">
        <v>171</v>
      </c>
      <c r="V847" s="18"/>
      <c r="W847" s="18"/>
      <c r="X847" s="18" t="s">
        <v>115</v>
      </c>
      <c r="Y847" s="18" t="s">
        <v>110</v>
      </c>
      <c r="Z847" s="18">
        <v>3</v>
      </c>
      <c r="AA847" s="18"/>
      <c r="AB847" s="18"/>
      <c r="AC847" s="18"/>
      <c r="AD847" s="18"/>
      <c r="AE847" s="18" t="s">
        <v>123</v>
      </c>
      <c r="AF847" s="18" t="s">
        <v>123</v>
      </c>
      <c r="AG847" s="18"/>
      <c r="AH847" s="18"/>
      <c r="AI847" s="18"/>
      <c r="AJ847" s="18"/>
      <c r="AK847" s="18">
        <v>22</v>
      </c>
      <c r="AL847" s="18">
        <v>0</v>
      </c>
      <c r="AM847" s="18">
        <v>0</v>
      </c>
      <c r="AN847" s="18">
        <v>0</v>
      </c>
      <c r="AO847" s="18">
        <v>0</v>
      </c>
      <c r="AP847" s="18">
        <f>SUM(AL847:AN847)</f>
        <v>0</v>
      </c>
      <c r="AQ847" s="18">
        <v>1.679</v>
      </c>
      <c r="AR847" s="18">
        <f>AP847-1.472</f>
        <v>-1.472</v>
      </c>
      <c r="AS847" s="18">
        <f>AQ847-1.472</f>
        <v>0.20700000000000007</v>
      </c>
      <c r="AT847" s="24" t="s">
        <v>233</v>
      </c>
      <c r="AU847" s="24"/>
      <c r="AV847" s="24"/>
      <c r="AW847" s="18"/>
      <c r="AX847" s="18"/>
      <c r="AY847" s="18"/>
      <c r="AZ847" s="18"/>
      <c r="BA847" s="18"/>
      <c r="BB847" s="18"/>
      <c r="BC847" s="18"/>
      <c r="BD847" s="18"/>
      <c r="BE847" s="18"/>
      <c r="BF847" s="18"/>
      <c r="BG847" s="78"/>
      <c r="BH847" s="18"/>
      <c r="BI847" s="18"/>
      <c r="BJ847" s="18"/>
      <c r="BK847" s="18"/>
      <c r="BL847" s="18"/>
      <c r="BM847" s="18"/>
      <c r="BN847" s="18"/>
      <c r="BO847" s="18"/>
      <c r="BP847" s="18"/>
      <c r="BQ847" s="18"/>
      <c r="BR847" s="18"/>
      <c r="BS847" s="18"/>
      <c r="BT847" s="78"/>
      <c r="BU847" s="18"/>
      <c r="BV847" s="18"/>
      <c r="BW847" s="18"/>
      <c r="BX847" s="18"/>
      <c r="BY847" s="18"/>
      <c r="BZ847" s="18"/>
      <c r="CA847" s="18"/>
      <c r="CB847" s="18"/>
      <c r="CC847" s="18"/>
      <c r="CD847" s="7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6" t="e">
        <f>VLOOKUP(K847,'[3]RNA Seq summary tables'!$V$3:$V$99,1,FALSE)</f>
        <v>#N/A</v>
      </c>
      <c r="DI847" s="18">
        <v>63</v>
      </c>
      <c r="DJ847" s="18"/>
      <c r="DK847" s="18">
        <v>23</v>
      </c>
      <c r="DL847" s="18"/>
      <c r="DM847" s="18">
        <v>14</v>
      </c>
      <c r="DN847" s="18"/>
      <c r="DO847" s="18">
        <v>0</v>
      </c>
      <c r="DP847" s="18"/>
      <c r="DQ847" s="18">
        <v>0</v>
      </c>
      <c r="DR847" s="18">
        <f>SUM(DI847:DQ847)</f>
        <v>100</v>
      </c>
      <c r="DS847" s="18"/>
    </row>
    <row r="848" spans="1:288" x14ac:dyDescent="0.2">
      <c r="B848" s="18">
        <v>2017</v>
      </c>
      <c r="C848" s="37">
        <v>42885</v>
      </c>
      <c r="D848" s="37" t="str">
        <f>CONCATENATE(J848,"-",C848)</f>
        <v>1030-42885</v>
      </c>
      <c r="E848" s="20" t="str">
        <f>CONCATENATE(T848,"-",U848,"-",C848)</f>
        <v>BC2-H4-42885</v>
      </c>
      <c r="F848" s="20" t="s">
        <v>106</v>
      </c>
      <c r="G848" s="37" t="s">
        <v>107</v>
      </c>
      <c r="H848" s="18"/>
      <c r="I848" s="16">
        <v>0</v>
      </c>
      <c r="J848" s="36">
        <v>1030</v>
      </c>
      <c r="K848" s="36">
        <v>1584</v>
      </c>
      <c r="L848" s="18">
        <v>0</v>
      </c>
      <c r="M848" s="21">
        <f>VLOOKUP($K848,'[4]blood tubes 2017'!$D$1:$L$647,8,FALSE)</f>
        <v>0</v>
      </c>
      <c r="N848" s="15">
        <v>0</v>
      </c>
      <c r="O848" s="15" t="s">
        <v>214</v>
      </c>
      <c r="P848" s="18" t="s">
        <v>110</v>
      </c>
      <c r="Q848" s="16">
        <v>0</v>
      </c>
      <c r="R848" s="18" t="s">
        <v>111</v>
      </c>
      <c r="S848" s="18"/>
      <c r="T848" s="18" t="s">
        <v>154</v>
      </c>
      <c r="U848" s="18" t="s">
        <v>151</v>
      </c>
      <c r="V848" s="18" t="s">
        <v>114</v>
      </c>
      <c r="W848" s="16">
        <f>AI848/AG848</f>
        <v>0.84158415841584155</v>
      </c>
      <c r="X848" s="18" t="s">
        <v>121</v>
      </c>
      <c r="Y848" s="18" t="s">
        <v>110</v>
      </c>
      <c r="Z848" s="18">
        <v>3</v>
      </c>
      <c r="AA848" s="18" t="s">
        <v>119</v>
      </c>
      <c r="AB848" s="18" t="s">
        <v>116</v>
      </c>
      <c r="AC848" s="18" t="s">
        <v>123</v>
      </c>
      <c r="AD848" s="18" t="s">
        <v>123</v>
      </c>
      <c r="AE848" s="18"/>
      <c r="AF848" s="18"/>
      <c r="AG848" s="18">
        <f>AH848-AI848</f>
        <v>101</v>
      </c>
      <c r="AH848" s="18">
        <v>186</v>
      </c>
      <c r="AI848" s="18">
        <v>85</v>
      </c>
      <c r="AJ848" s="18"/>
      <c r="AK848" s="18">
        <v>27.5</v>
      </c>
      <c r="AL848" s="18">
        <v>0</v>
      </c>
      <c r="AM848" s="18">
        <v>0</v>
      </c>
      <c r="AN848" s="18">
        <v>0</v>
      </c>
      <c r="AO848" s="18">
        <v>0</v>
      </c>
      <c r="AP848" s="18">
        <f>SUM(AL848:AN848)</f>
        <v>0</v>
      </c>
      <c r="AQ848" s="18">
        <v>2.2000000000000002</v>
      </c>
      <c r="AR848" s="18">
        <f>AP848-1.472</f>
        <v>-1.472</v>
      </c>
      <c r="AS848" s="18">
        <f>AQ848-1.472</f>
        <v>0.7280000000000002</v>
      </c>
      <c r="AT848" s="16" t="s">
        <v>164</v>
      </c>
      <c r="AV848" s="18"/>
      <c r="AW848" s="18">
        <f>IF(AX848&gt;0,1,0)</f>
        <v>1</v>
      </c>
      <c r="AX848" s="18">
        <f>SUM(BA848,BM848,CT848)</f>
        <v>3</v>
      </c>
      <c r="AY848" s="18">
        <f>SUM(BB848,BN848,CV848)</f>
        <v>712.91208791208771</v>
      </c>
      <c r="AZ848" s="18">
        <f>IF(BA848&gt;0,1,0)</f>
        <v>1</v>
      </c>
      <c r="BA848" s="18">
        <f>SUM(BC848,BF848,BI848)</f>
        <v>3</v>
      </c>
      <c r="BB848" s="18">
        <f>SUM(BE848,BH848,BK848)</f>
        <v>712.91208791208771</v>
      </c>
      <c r="BC848" s="18">
        <v>1</v>
      </c>
      <c r="BD848" s="18">
        <v>35</v>
      </c>
      <c r="BE848" s="18">
        <f>BD848/AS848</f>
        <v>48.076923076923066</v>
      </c>
      <c r="BF848" s="18">
        <v>1</v>
      </c>
      <c r="BG848" s="78">
        <v>423</v>
      </c>
      <c r="BH848" s="18">
        <f>BG848/AS848</f>
        <v>581.04395604395586</v>
      </c>
      <c r="BI848" s="18">
        <v>1</v>
      </c>
      <c r="BJ848" s="18">
        <v>61</v>
      </c>
      <c r="BK848" s="18">
        <f>BJ848/AS848</f>
        <v>83.791208791208774</v>
      </c>
      <c r="BL848" s="16">
        <f>IF(BM848&gt;0,1,0)</f>
        <v>0</v>
      </c>
      <c r="BM848" s="16">
        <f>SUM(BR848,BU848,BX848,CA848,CD848,CG848,CJ848,CM848,CP848)</f>
        <v>0</v>
      </c>
      <c r="BN848" s="18">
        <f>SUM(BW848,BZ848,CC848,CF848,CI848,CL848,CO848,CR848,BT848)</f>
        <v>0</v>
      </c>
      <c r="BO848" s="18">
        <f>IF(BP848&gt;0,1,0)</f>
        <v>0</v>
      </c>
      <c r="BP848" s="18">
        <f>SUM(BU848,BX848,CA848,CD848,BR848)</f>
        <v>0</v>
      </c>
      <c r="BQ848" s="18">
        <f>SUM(BZ848,CC848,CF848,BT848,BW848)</f>
        <v>0</v>
      </c>
      <c r="BR848" s="18">
        <v>0</v>
      </c>
      <c r="BS848" s="18">
        <v>0</v>
      </c>
      <c r="BT848" s="78">
        <f>BS848/AS848</f>
        <v>0</v>
      </c>
      <c r="BU848" s="18">
        <v>0</v>
      </c>
      <c r="BV848" s="18">
        <v>0</v>
      </c>
      <c r="BW848" s="18">
        <f>BV848/AS848</f>
        <v>0</v>
      </c>
      <c r="BX848" s="18">
        <v>0</v>
      </c>
      <c r="BY848" s="18">
        <v>0</v>
      </c>
      <c r="BZ848" s="18">
        <f>BY848/AS848</f>
        <v>0</v>
      </c>
      <c r="CA848" s="18">
        <v>0</v>
      </c>
      <c r="CB848" s="18">
        <v>0</v>
      </c>
      <c r="CC848" s="18">
        <f>CB848/AS848</f>
        <v>0</v>
      </c>
      <c r="CD848" s="78">
        <v>0</v>
      </c>
      <c r="CE848" s="18">
        <v>0</v>
      </c>
      <c r="CF848" s="18">
        <f>CE848/AS848</f>
        <v>0</v>
      </c>
      <c r="CG848" s="18">
        <v>0</v>
      </c>
      <c r="CH848" s="18">
        <v>0</v>
      </c>
      <c r="CI848" s="18">
        <f>CH848/AS848</f>
        <v>0</v>
      </c>
      <c r="CJ848" s="18"/>
      <c r="CK848" s="18"/>
      <c r="CL848" s="18"/>
      <c r="CM848" s="18">
        <v>0</v>
      </c>
      <c r="CN848" s="18">
        <v>0</v>
      </c>
      <c r="CO848" s="18">
        <f>CN848/AS848</f>
        <v>0</v>
      </c>
      <c r="CP848" s="18">
        <v>0</v>
      </c>
      <c r="CQ848" s="18">
        <v>0</v>
      </c>
      <c r="CR848" s="18">
        <f>CQ848/AS848</f>
        <v>0</v>
      </c>
      <c r="CS848" s="18">
        <f>IF(CT848&gt;0,1,0)</f>
        <v>0</v>
      </c>
      <c r="CT848" s="18">
        <f>SUM(CW848,CZ848,DC848)</f>
        <v>0</v>
      </c>
      <c r="CU848" s="18"/>
      <c r="CV848" s="18">
        <f>SUM(CY848,DB848,DE848)</f>
        <v>0</v>
      </c>
      <c r="CW848" s="18">
        <v>0</v>
      </c>
      <c r="CX848" s="18">
        <v>0</v>
      </c>
      <c r="CY848" s="18">
        <f>CX848/AS848</f>
        <v>0</v>
      </c>
      <c r="CZ848" s="18">
        <v>0</v>
      </c>
      <c r="DA848" s="18">
        <v>0</v>
      </c>
      <c r="DB848" s="18">
        <f>DA848/AS848</f>
        <v>0</v>
      </c>
      <c r="DC848" s="18">
        <v>0</v>
      </c>
      <c r="DD848" s="18">
        <v>0</v>
      </c>
      <c r="DE848" s="18">
        <f>DD848/AS848</f>
        <v>0</v>
      </c>
      <c r="DF848" s="16" t="e">
        <f>VLOOKUP(K848,'[3]RNA Seq summary tables'!$V$3:$V$99,1,FALSE)</f>
        <v>#N/A</v>
      </c>
      <c r="DI848" s="18">
        <v>33</v>
      </c>
      <c r="DJ848" s="18"/>
      <c r="DK848" s="18">
        <v>56</v>
      </c>
      <c r="DL848" s="18"/>
      <c r="DM848" s="18">
        <v>10</v>
      </c>
      <c r="DN848" s="18"/>
      <c r="DO848" s="18">
        <v>0</v>
      </c>
      <c r="DP848" s="18"/>
      <c r="DQ848" s="18">
        <v>1</v>
      </c>
      <c r="DR848" s="18"/>
      <c r="DS848" s="18">
        <v>100</v>
      </c>
    </row>
    <row r="849" spans="2:288" ht="16" x14ac:dyDescent="0.2">
      <c r="B849" s="16">
        <v>2017</v>
      </c>
      <c r="C849" s="20">
        <v>42936</v>
      </c>
      <c r="D849" s="20" t="str">
        <f>CONCATENATE(J849,"-",C849)</f>
        <v>1030-42936</v>
      </c>
      <c r="E849" s="37" t="str">
        <f>CONCATENATE(T849,"-",U849,"-",C849)</f>
        <v>BC2-G3-42936</v>
      </c>
      <c r="F849" s="20" t="s">
        <v>106</v>
      </c>
      <c r="G849" s="20" t="s">
        <v>107</v>
      </c>
      <c r="I849" s="16">
        <v>0</v>
      </c>
      <c r="J849" s="21">
        <v>1030</v>
      </c>
      <c r="K849" s="21">
        <v>1931</v>
      </c>
      <c r="L849" s="18">
        <v>0</v>
      </c>
      <c r="M849" s="21">
        <f>VLOOKUP($K849,'[4]blood tubes 2017'!$D$1:$L$647,8,FALSE)</f>
        <v>0</v>
      </c>
      <c r="N849" s="15">
        <v>0</v>
      </c>
      <c r="O849" s="15" t="s">
        <v>214</v>
      </c>
      <c r="P849" s="16" t="s">
        <v>110</v>
      </c>
      <c r="Q849" s="16">
        <v>1</v>
      </c>
      <c r="R849" s="16">
        <v>51</v>
      </c>
      <c r="T849" s="16" t="s">
        <v>154</v>
      </c>
      <c r="U849" s="16" t="s">
        <v>179</v>
      </c>
      <c r="V849" s="16" t="s">
        <v>114</v>
      </c>
      <c r="W849" s="16">
        <f>AI849/AG849</f>
        <v>0.89795918367346939</v>
      </c>
      <c r="X849" s="16" t="s">
        <v>121</v>
      </c>
      <c r="Y849" s="16" t="s">
        <v>110</v>
      </c>
      <c r="Z849" s="16">
        <v>3</v>
      </c>
      <c r="AA849" s="16" t="s">
        <v>161</v>
      </c>
      <c r="AB849" s="16" t="s">
        <v>240</v>
      </c>
      <c r="AC849" s="16" t="s">
        <v>123</v>
      </c>
      <c r="AD849" s="16" t="s">
        <v>116</v>
      </c>
      <c r="AG849" s="16">
        <f>AH849-AI849</f>
        <v>98</v>
      </c>
      <c r="AH849" s="16">
        <v>186</v>
      </c>
      <c r="AI849" s="16">
        <v>88</v>
      </c>
      <c r="AK849" s="16">
        <v>30.5</v>
      </c>
      <c r="AL849" s="16">
        <v>0</v>
      </c>
      <c r="AM849" s="16">
        <v>0</v>
      </c>
      <c r="AN849" s="16">
        <v>0</v>
      </c>
      <c r="AO849" s="16">
        <v>0</v>
      </c>
      <c r="AP849" s="16">
        <f>SUM(AL849:AN849)</f>
        <v>0</v>
      </c>
      <c r="AQ849" s="16">
        <v>2.4260000000000002</v>
      </c>
      <c r="AR849" s="16">
        <f>AP849-1.472</f>
        <v>-1.472</v>
      </c>
      <c r="AS849" s="16">
        <f>AQ849-1.472</f>
        <v>0.95400000000000018</v>
      </c>
      <c r="AT849" s="16" t="str">
        <f>VLOOKUP(E849,[2]Current!$A$1:$W$435,7,FALSE)</f>
        <v>JB</v>
      </c>
      <c r="AU849" s="16" t="s">
        <v>1288</v>
      </c>
      <c r="AV849" s="23"/>
      <c r="AW849" s="128">
        <f>IF(AX849&gt;0,1,0)</f>
        <v>1</v>
      </c>
      <c r="AX849" s="128">
        <f>SUM(BA849,BM849,CU849)</f>
        <v>3</v>
      </c>
      <c r="AY849" s="128">
        <f>SUM(BB849,BN849,CV849)</f>
        <v>184.4863731656184</v>
      </c>
      <c r="AZ849" s="128">
        <f>IF(BA849&gt;0,1,0)</f>
        <v>1</v>
      </c>
      <c r="BA849" s="128">
        <f>SUM(BC849+BF849+BI849)</f>
        <v>2</v>
      </c>
      <c r="BB849" s="128">
        <f>SUM(BE849,BH849,BK849)</f>
        <v>183.43815513626831</v>
      </c>
      <c r="BC849" s="130">
        <f>IF(BD849&gt;0,1,0)</f>
        <v>1</v>
      </c>
      <c r="BD849" s="128">
        <f>VLOOKUP($E849,[2]Current!$A:$AC,26,FALSE)</f>
        <v>9</v>
      </c>
      <c r="BE849" s="128">
        <f>BD849/$AS849</f>
        <v>9.4339622641509422</v>
      </c>
      <c r="BF849" s="130">
        <f>IF(BG849&gt;0,1,0)</f>
        <v>1</v>
      </c>
      <c r="BG849" s="137">
        <f>VLOOKUP($E849,[2]Current!$A:$AC,27,FALSE)</f>
        <v>166</v>
      </c>
      <c r="BH849" s="128">
        <f>BG849/$AS849</f>
        <v>174.00419287211736</v>
      </c>
      <c r="BI849" s="130">
        <f>IF(BJ849&gt;0,1,0)</f>
        <v>0</v>
      </c>
      <c r="BJ849" s="128">
        <f>VLOOKUP($E849,[2]Current!$A:$AC,28,FALSE)</f>
        <v>0</v>
      </c>
      <c r="BK849" s="128">
        <f>BJ849/$AS849</f>
        <v>0</v>
      </c>
      <c r="BL849" s="128">
        <f>IF(BM849&gt;0,1,0)</f>
        <v>1</v>
      </c>
      <c r="BM849" s="128">
        <f>SUM(BR849,BU849,BX849,CA849,CD849)</f>
        <v>1</v>
      </c>
      <c r="BN849" s="131">
        <f>SUM(BT849,BW849,BZ849,CC849,CF849)</f>
        <v>1.0482180293501047</v>
      </c>
      <c r="BO849" s="128">
        <f>IF(BP849&gt;0,1,0)</f>
        <v>1</v>
      </c>
      <c r="BP849" s="128">
        <f>BM849+CJ849</f>
        <v>1</v>
      </c>
      <c r="BQ849" s="128">
        <f>BN849+CL849</f>
        <v>1.0482180293501047</v>
      </c>
      <c r="BR849" s="130">
        <f>IF(BS849&gt;0,1,0)</f>
        <v>0</v>
      </c>
      <c r="BS849" s="128">
        <f>VLOOKUP($E849,[2]Current!$A:$AC,12,FALSE)</f>
        <v>0</v>
      </c>
      <c r="BT849" s="137">
        <f>BS849/$AS849</f>
        <v>0</v>
      </c>
      <c r="BU849" s="130">
        <f>IF(BV849&gt;0,1,0)</f>
        <v>0</v>
      </c>
      <c r="BV849" s="128">
        <f>VLOOKUP($E849,[2]Current!$A:$AC,13,FALSE)</f>
        <v>0</v>
      </c>
      <c r="BW849" s="128">
        <f>BV849/$AS849</f>
        <v>0</v>
      </c>
      <c r="BX849" s="130">
        <f>IF(BY849&gt;0,1,0)</f>
        <v>1</v>
      </c>
      <c r="BY849" s="128">
        <f>VLOOKUP($E849,[2]Current!$A:$AC,14,FALSE)</f>
        <v>1</v>
      </c>
      <c r="BZ849" s="128">
        <f>BY849/$AS849</f>
        <v>1.0482180293501047</v>
      </c>
      <c r="CA849" s="130">
        <f>IF(CB849&gt;0,1,0)</f>
        <v>0</v>
      </c>
      <c r="CB849" s="128">
        <f>VLOOKUP($E849,[2]Current!$A:$AC,15,FALSE)</f>
        <v>0</v>
      </c>
      <c r="CC849" s="128">
        <f>CB849/$AS849</f>
        <v>0</v>
      </c>
      <c r="CD849" s="174">
        <f>IF(CE849&gt;0,1,0)</f>
        <v>0</v>
      </c>
      <c r="CE849" s="128">
        <f>VLOOKUP($E849,[2]Current!$A:$AC,16,FALSE)</f>
        <v>0</v>
      </c>
      <c r="CF849" s="128">
        <f>CE849/$AS849</f>
        <v>0</v>
      </c>
      <c r="CG849" s="18"/>
      <c r="CH849" s="18"/>
      <c r="CI849" s="18"/>
      <c r="CJ849" s="130">
        <f>IF(CK849&gt;0,1,0)</f>
        <v>0</v>
      </c>
      <c r="CK849" s="128">
        <f>VLOOKUP($E849,[2]Current!$A:$AC,18,FALSE)</f>
        <v>0</v>
      </c>
      <c r="CL849" s="128">
        <f>CK849/$AS849</f>
        <v>0</v>
      </c>
      <c r="CS849" s="130">
        <f>IF(CU849&gt;0,1,0)</f>
        <v>0</v>
      </c>
      <c r="CU849" s="128">
        <f>VLOOKUP($E849,[2]Current!$A:$AC,17,FALSE)</f>
        <v>0</v>
      </c>
      <c r="CV849" s="128">
        <f>CU849/$AS849</f>
        <v>0</v>
      </c>
      <c r="CW849" s="18"/>
      <c r="CX849" s="18"/>
      <c r="CY849" s="18"/>
      <c r="DF849" s="16" t="e">
        <f>VLOOKUP(K849,'[3]RNA Seq summary tables'!$V$3:$V$99,1,FALSE)</f>
        <v>#N/A</v>
      </c>
    </row>
    <row r="850" spans="2:288" x14ac:dyDescent="0.2">
      <c r="B850" s="16">
        <v>2017</v>
      </c>
      <c r="C850" s="66">
        <v>42886</v>
      </c>
      <c r="D850" s="66" t="str">
        <f>CONCATENATE(J850,"-",C850)</f>
        <v>1032-42886</v>
      </c>
      <c r="E850" s="20" t="str">
        <f>CONCATENATE(T850,"-",U850,"-",C850)</f>
        <v>BC2-A7-42886</v>
      </c>
      <c r="F850" s="20" t="s">
        <v>106</v>
      </c>
      <c r="G850" s="20" t="s">
        <v>107</v>
      </c>
      <c r="I850" s="16">
        <v>0</v>
      </c>
      <c r="J850" s="21">
        <v>1032</v>
      </c>
      <c r="K850" s="21">
        <v>1586</v>
      </c>
      <c r="L850" s="18">
        <v>0</v>
      </c>
      <c r="M850" s="21">
        <f>VLOOKUP($K850,'[4]blood tubes 2017'!$D$1:$L$647,8,FALSE)</f>
        <v>0</v>
      </c>
      <c r="N850" s="15">
        <v>0</v>
      </c>
      <c r="O850" s="15" t="s">
        <v>214</v>
      </c>
      <c r="P850" s="16" t="s">
        <v>110</v>
      </c>
      <c r="Q850" s="16">
        <v>0</v>
      </c>
      <c r="R850" s="16" t="s">
        <v>111</v>
      </c>
      <c r="T850" s="16" t="s">
        <v>154</v>
      </c>
      <c r="U850" s="16" t="s">
        <v>120</v>
      </c>
      <c r="V850" s="16" t="s">
        <v>114</v>
      </c>
      <c r="W850" s="16">
        <f>AI850/AG850</f>
        <v>0.85057471264367812</v>
      </c>
      <c r="X850" s="16" t="s">
        <v>115</v>
      </c>
      <c r="Y850" s="16" t="s">
        <v>110</v>
      </c>
      <c r="Z850" s="16">
        <v>3</v>
      </c>
      <c r="AE850" s="16" t="s">
        <v>123</v>
      </c>
      <c r="AF850" s="16" t="s">
        <v>123</v>
      </c>
      <c r="AG850" s="16">
        <f>AH850-AI850</f>
        <v>87</v>
      </c>
      <c r="AH850" s="16">
        <v>161</v>
      </c>
      <c r="AI850" s="16">
        <v>74</v>
      </c>
      <c r="AK850" s="16">
        <v>18</v>
      </c>
      <c r="AL850" s="16">
        <v>0</v>
      </c>
      <c r="AM850" s="16">
        <v>0</v>
      </c>
      <c r="AN850" s="16">
        <v>0</v>
      </c>
      <c r="AO850" s="16">
        <v>0</v>
      </c>
      <c r="AP850" s="16">
        <f>SUM(AL850:AN850)</f>
        <v>0</v>
      </c>
      <c r="AQ850" s="16">
        <v>1.5760000000000001</v>
      </c>
      <c r="AR850" s="16">
        <f>AP850-1.472</f>
        <v>-1.472</v>
      </c>
      <c r="AS850" s="16">
        <f>AQ850-1.472</f>
        <v>0.10400000000000009</v>
      </c>
      <c r="AT850" s="16" t="s">
        <v>119</v>
      </c>
      <c r="AW850" s="16">
        <f>IF(AX850&gt;0,1,0)</f>
        <v>1</v>
      </c>
      <c r="AX850" s="16">
        <f>SUM(BA850,BM850,CT850)</f>
        <v>1</v>
      </c>
      <c r="AY850" s="18">
        <f>SUM(BB850,BN850,CV850)</f>
        <v>173.07692307692292</v>
      </c>
      <c r="AZ850" s="16">
        <f>IF(BA850&gt;0,1,0)</f>
        <v>1</v>
      </c>
      <c r="BA850" s="16">
        <f>SUM(BC850,BF850,BI850)</f>
        <v>1</v>
      </c>
      <c r="BB850" s="16">
        <f>SUM(BE850,BH850,BK850)</f>
        <v>173.07692307692292</v>
      </c>
      <c r="BC850" s="16">
        <v>0</v>
      </c>
      <c r="BD850" s="16">
        <v>0</v>
      </c>
      <c r="BE850" s="16">
        <f>BD850/AS850</f>
        <v>0</v>
      </c>
      <c r="BF850" s="16">
        <v>1</v>
      </c>
      <c r="BG850" s="77">
        <v>18</v>
      </c>
      <c r="BH850" s="16">
        <f>BG850/AS850</f>
        <v>173.07692307692292</v>
      </c>
      <c r="BI850" s="16">
        <v>0</v>
      </c>
      <c r="BJ850" s="16">
        <v>0</v>
      </c>
      <c r="BK850" s="16">
        <f>BJ850/AS850</f>
        <v>0</v>
      </c>
      <c r="BL850" s="16">
        <f>IF(BM850&gt;0,1,0)</f>
        <v>0</v>
      </c>
      <c r="BM850" s="16">
        <f>SUM(BR850,BU850,BX850,CA850,CD850,CG850,CJ850,CM850,CP850)</f>
        <v>0</v>
      </c>
      <c r="BN850" s="16">
        <f>SUM(BW850,BZ850,CC850,CF850,CI850,CL850,CO850,CR850,BT850)</f>
        <v>0</v>
      </c>
      <c r="BO850" s="16">
        <f>IF(BP850&gt;0,1,0)</f>
        <v>0</v>
      </c>
      <c r="BP850" s="16">
        <f>SUM(BU850,BX850,CA850,CD850,BR850)</f>
        <v>0</v>
      </c>
      <c r="BQ850" s="16">
        <f>SUM(BZ850,CC850,CF850,BT850,BW850)</f>
        <v>0</v>
      </c>
      <c r="BR850" s="16">
        <v>0</v>
      </c>
      <c r="BS850" s="16">
        <v>0</v>
      </c>
      <c r="BT850" s="77">
        <f>BS850/AS850</f>
        <v>0</v>
      </c>
      <c r="BU850" s="16">
        <v>0</v>
      </c>
      <c r="BV850" s="16">
        <v>0</v>
      </c>
      <c r="BW850" s="16">
        <f>BV850/AS850</f>
        <v>0</v>
      </c>
      <c r="BX850" s="16">
        <v>0</v>
      </c>
      <c r="BY850" s="16">
        <v>0</v>
      </c>
      <c r="BZ850" s="16">
        <f>BY850/AS850</f>
        <v>0</v>
      </c>
      <c r="CA850" s="16">
        <v>0</v>
      </c>
      <c r="CB850" s="16">
        <v>0</v>
      </c>
      <c r="CC850" s="16">
        <f>CB850/AS850</f>
        <v>0</v>
      </c>
      <c r="CD850" s="77">
        <v>0</v>
      </c>
      <c r="CE850" s="16">
        <v>0</v>
      </c>
      <c r="CF850" s="16">
        <f>CE850/AS850</f>
        <v>0</v>
      </c>
      <c r="CG850" s="16">
        <v>0</v>
      </c>
      <c r="CH850" s="16">
        <v>0</v>
      </c>
      <c r="CI850" s="16">
        <f>CH850/AS850</f>
        <v>0</v>
      </c>
      <c r="CM850" s="16">
        <v>0</v>
      </c>
      <c r="CN850" s="16">
        <v>0</v>
      </c>
      <c r="CO850" s="16">
        <f>CN850/AS850</f>
        <v>0</v>
      </c>
      <c r="CP850" s="16">
        <v>0</v>
      </c>
      <c r="CQ850" s="16">
        <v>0</v>
      </c>
      <c r="CR850" s="16">
        <f>CQ850/AS850</f>
        <v>0</v>
      </c>
      <c r="CS850" s="16">
        <f>IF(CT850&gt;0,1,0)</f>
        <v>0</v>
      </c>
      <c r="CT850" s="16">
        <f>SUM(CW850,CZ850,DC850)</f>
        <v>0</v>
      </c>
      <c r="CV850" s="16">
        <f>SUM(CY850,DB850,DE850)</f>
        <v>0</v>
      </c>
      <c r="CW850" s="16">
        <v>0</v>
      </c>
      <c r="CX850" s="16">
        <v>0</v>
      </c>
      <c r="CY850" s="16">
        <f>CX850/AS850</f>
        <v>0</v>
      </c>
      <c r="CZ850" s="16">
        <v>0</v>
      </c>
      <c r="DA850" s="16">
        <v>0</v>
      </c>
      <c r="DB850" s="16">
        <f>DA850/AS850</f>
        <v>0</v>
      </c>
      <c r="DC850" s="16">
        <v>0</v>
      </c>
      <c r="DD850" s="16">
        <v>0</v>
      </c>
      <c r="DE850" s="16">
        <f>DD850/AS850</f>
        <v>0</v>
      </c>
      <c r="DF850" s="16" t="e">
        <f>VLOOKUP(K850,'[3]RNA Seq summary tables'!$V$3:$V$99,1,FALSE)</f>
        <v>#N/A</v>
      </c>
      <c r="DI850" s="16">
        <v>56</v>
      </c>
      <c r="DK850" s="16">
        <v>36</v>
      </c>
      <c r="DM850" s="16">
        <v>8</v>
      </c>
      <c r="DO850" s="16">
        <v>0</v>
      </c>
      <c r="DQ850" s="16">
        <v>0</v>
      </c>
      <c r="DS850" s="16">
        <v>100</v>
      </c>
    </row>
    <row r="851" spans="2:288" x14ac:dyDescent="0.2">
      <c r="B851" s="16">
        <v>2017</v>
      </c>
      <c r="C851" s="66">
        <v>42886</v>
      </c>
      <c r="D851" s="66" t="str">
        <f>CONCATENATE(J851,"-",C851)</f>
        <v>1034-42886</v>
      </c>
      <c r="E851" s="20" t="str">
        <f>CONCATENATE(T851,"-",U851,"-",C851)</f>
        <v>BC1-G2-42886</v>
      </c>
      <c r="F851" s="20" t="s">
        <v>106</v>
      </c>
      <c r="G851" s="20" t="s">
        <v>107</v>
      </c>
      <c r="I851" s="16">
        <v>0</v>
      </c>
      <c r="J851" s="21">
        <v>1034</v>
      </c>
      <c r="K851" s="21">
        <v>1588</v>
      </c>
      <c r="L851" s="18">
        <v>0</v>
      </c>
      <c r="M851" s="21">
        <f>VLOOKUP($K851,'[4]blood tubes 2017'!$D$1:$L$647,8,FALSE)</f>
        <v>0</v>
      </c>
      <c r="N851" s="15">
        <v>0</v>
      </c>
      <c r="O851" s="15" t="s">
        <v>214</v>
      </c>
      <c r="P851" s="16" t="s">
        <v>110</v>
      </c>
      <c r="Q851" s="16">
        <v>0</v>
      </c>
      <c r="R851" s="16" t="s">
        <v>111</v>
      </c>
      <c r="T851" s="16" t="s">
        <v>159</v>
      </c>
      <c r="U851" s="16" t="s">
        <v>128</v>
      </c>
      <c r="V851" s="16" t="s">
        <v>114</v>
      </c>
      <c r="W851" s="16">
        <f>AI851/AG851</f>
        <v>0.86046511627906974</v>
      </c>
      <c r="X851" s="16" t="s">
        <v>115</v>
      </c>
      <c r="Y851" s="16" t="s">
        <v>110</v>
      </c>
      <c r="Z851" s="16">
        <v>3</v>
      </c>
      <c r="AE851" s="16" t="s">
        <v>123</v>
      </c>
      <c r="AF851" s="16" t="s">
        <v>123</v>
      </c>
      <c r="AG851" s="16">
        <f>AH851-AI851</f>
        <v>86</v>
      </c>
      <c r="AH851" s="16">
        <v>160</v>
      </c>
      <c r="AI851" s="16">
        <v>74</v>
      </c>
      <c r="AK851" s="16">
        <v>25</v>
      </c>
      <c r="AL851" s="16">
        <v>0</v>
      </c>
      <c r="AM851" s="16">
        <v>0</v>
      </c>
      <c r="AN851" s="16">
        <v>0</v>
      </c>
      <c r="AO851" s="16">
        <v>0</v>
      </c>
      <c r="AP851" s="16">
        <f>SUM(AL851:AN851)</f>
        <v>0</v>
      </c>
      <c r="AQ851" s="16">
        <v>1.5129999999999999</v>
      </c>
      <c r="AR851" s="16">
        <f>AP851-1.472</f>
        <v>-1.472</v>
      </c>
      <c r="AS851" s="16">
        <f>AQ851-1.472</f>
        <v>4.0999999999999925E-2</v>
      </c>
      <c r="AT851" s="18" t="s">
        <v>235</v>
      </c>
      <c r="AU851" s="18"/>
      <c r="AY851" s="18"/>
      <c r="BG851" s="77"/>
      <c r="BT851" s="77"/>
      <c r="CD851" s="77"/>
      <c r="DF851" s="16" t="e">
        <f>VLOOKUP(K851,'[3]RNA Seq summary tables'!$V$3:$V$99,1,FALSE)</f>
        <v>#N/A</v>
      </c>
      <c r="DI851" s="16">
        <v>43</v>
      </c>
      <c r="DK851" s="16">
        <v>36</v>
      </c>
      <c r="DM851" s="16">
        <v>16</v>
      </c>
      <c r="DO851" s="16">
        <v>0</v>
      </c>
      <c r="DQ851" s="16">
        <v>5</v>
      </c>
      <c r="DR851" s="16">
        <v>100</v>
      </c>
    </row>
    <row r="852" spans="2:288" x14ac:dyDescent="0.2">
      <c r="B852" s="19">
        <v>2017</v>
      </c>
      <c r="C852" s="67">
        <v>42887</v>
      </c>
      <c r="D852" s="67" t="str">
        <f>CONCATENATE(J852,"-",C852)</f>
        <v>1036-42887</v>
      </c>
      <c r="E852" s="20" t="str">
        <f>CONCATENATE(T852,"-",U852,"-",C852)</f>
        <v>SP1-C3-42887</v>
      </c>
      <c r="F852" s="20" t="s">
        <v>106</v>
      </c>
      <c r="G852" s="68" t="s">
        <v>107</v>
      </c>
      <c r="H852" s="19"/>
      <c r="I852" s="16">
        <v>0</v>
      </c>
      <c r="J852" s="69">
        <v>1036</v>
      </c>
      <c r="K852" s="69">
        <v>1590</v>
      </c>
      <c r="L852" s="18">
        <v>0</v>
      </c>
      <c r="M852" s="69">
        <f>VLOOKUP($K852,'[4]blood tubes 2017'!$D$1:$L$647,8,FALSE)</f>
        <v>1</v>
      </c>
      <c r="N852" s="69">
        <f>VLOOKUP($K852,'[4]blood tubes 2017'!$D$1:$L$647,9,FALSE)</f>
        <v>25</v>
      </c>
      <c r="O852" s="15" t="s">
        <v>214</v>
      </c>
      <c r="P852" s="19" t="s">
        <v>110</v>
      </c>
      <c r="Q852" s="19">
        <v>0</v>
      </c>
      <c r="R852" s="19" t="s">
        <v>111</v>
      </c>
      <c r="S852" s="19"/>
      <c r="T852" s="19" t="s">
        <v>140</v>
      </c>
      <c r="U852" s="19" t="s">
        <v>237</v>
      </c>
      <c r="V852" s="19" t="s">
        <v>114</v>
      </c>
      <c r="W852" s="16">
        <f>AI852/AG852</f>
        <v>0.8271604938271605</v>
      </c>
      <c r="X852" s="19" t="s">
        <v>121</v>
      </c>
      <c r="Y852" s="19" t="s">
        <v>110</v>
      </c>
      <c r="Z852" s="19">
        <v>3</v>
      </c>
      <c r="AA852" s="19" t="s">
        <v>119</v>
      </c>
      <c r="AB852" s="19" t="s">
        <v>123</v>
      </c>
      <c r="AC852" s="19" t="s">
        <v>123</v>
      </c>
      <c r="AD852" s="19" t="s">
        <v>123</v>
      </c>
      <c r="AE852" s="19"/>
      <c r="AF852" s="19"/>
      <c r="AG852" s="19">
        <f>AH852-AI852</f>
        <v>81</v>
      </c>
      <c r="AH852" s="19">
        <v>148</v>
      </c>
      <c r="AI852" s="19">
        <v>67</v>
      </c>
      <c r="AJ852" s="19"/>
      <c r="AK852" s="19">
        <v>14.5</v>
      </c>
      <c r="AL852" s="19">
        <v>1</v>
      </c>
      <c r="AM852" s="19">
        <v>1</v>
      </c>
      <c r="AN852" s="19">
        <v>0</v>
      </c>
      <c r="AO852" s="19">
        <v>1</v>
      </c>
      <c r="AP852" s="19">
        <f>SUM(AL852:AN852)</f>
        <v>2</v>
      </c>
      <c r="AQ852" s="19">
        <v>1.57</v>
      </c>
      <c r="AR852" s="19">
        <f>AP852-1.472</f>
        <v>0.52800000000000002</v>
      </c>
      <c r="AS852" s="19">
        <f>AQ852-1.472</f>
        <v>9.8000000000000087E-2</v>
      </c>
      <c r="AT852" s="19" t="s">
        <v>164</v>
      </c>
      <c r="AU852" s="19"/>
      <c r="AV852" s="19">
        <v>1</v>
      </c>
      <c r="AW852" s="19">
        <f>IF(AX852&gt;0,1,0)</f>
        <v>0</v>
      </c>
      <c r="AX852" s="19">
        <f>SUM(BA852,BM852,CT852)</f>
        <v>0</v>
      </c>
      <c r="AY852" s="19">
        <f>SUM(BB852,BN852,CV852)</f>
        <v>0</v>
      </c>
      <c r="AZ852" s="19">
        <f>IF(BA852&gt;0,1,0)</f>
        <v>0</v>
      </c>
      <c r="BA852" s="19">
        <f>SUM(BC852,BF852,BI852)</f>
        <v>0</v>
      </c>
      <c r="BB852" s="19">
        <f>SUM(BE852,BH852,BK852)</f>
        <v>0</v>
      </c>
      <c r="BC852" s="19">
        <f>IF(BD852&gt;0,1,0)</f>
        <v>0</v>
      </c>
      <c r="BD852" s="19">
        <f>VLOOKUP($K852,'[5]FECs - good data'!$C$1:$Z$574,14,FALSE)</f>
        <v>0</v>
      </c>
      <c r="BE852" s="19">
        <f>BD852/AS852</f>
        <v>0</v>
      </c>
      <c r="BF852" s="19">
        <f>IF(BG852&gt;0,1,0)</f>
        <v>0</v>
      </c>
      <c r="BG852" s="80">
        <f>VLOOKUP($K852,'[5]FECs - good data'!$C$1:$Z$574,15,FALSE)</f>
        <v>0</v>
      </c>
      <c r="BH852" s="19">
        <f>BG852/AS852</f>
        <v>0</v>
      </c>
      <c r="BI852" s="19">
        <f>IF(BJ852&gt;0,1,0)</f>
        <v>0</v>
      </c>
      <c r="BJ852" s="19">
        <f>VLOOKUP($K852,'[5]FECs - good data'!$C$1:$Z$574,16,FALSE)</f>
        <v>0</v>
      </c>
      <c r="BK852" s="19">
        <f>BJ852/AS852</f>
        <v>0</v>
      </c>
      <c r="BL852" s="19">
        <f>IF(BM852&gt;0,1,0)</f>
        <v>0</v>
      </c>
      <c r="BM852" s="19">
        <f>SUM(BR852,BU852,BX852,CA852,CD852,CG852,CJ852,CM852,CP852)</f>
        <v>0</v>
      </c>
      <c r="BN852" s="19">
        <f>SUM(BW852,BZ852,CC852,CF852,CI852,CL852,CO852,CR852,BT852)</f>
        <v>0</v>
      </c>
      <c r="BO852" s="19">
        <f>IF(BP852&gt;0,1,0)</f>
        <v>0</v>
      </c>
      <c r="BP852" s="19">
        <f>SUM(BU852,BX852,CA852,CD852,BR852)</f>
        <v>0</v>
      </c>
      <c r="BQ852" s="19">
        <f>SUM(BZ852,CC852,CF852,BT852,BW852)</f>
        <v>0</v>
      </c>
      <c r="BR852" s="19">
        <f>IF(BS852&gt;0,1,0)</f>
        <v>0</v>
      </c>
      <c r="BS852" s="19">
        <f>VLOOKUP($K852,'[5]FECs - good data'!$C$1:$Z$574,17,FALSE)</f>
        <v>0</v>
      </c>
      <c r="BT852" s="80">
        <f>BS852/AS852</f>
        <v>0</v>
      </c>
      <c r="BU852" s="19">
        <f>IF(BV852&gt;0,1,0)</f>
        <v>0</v>
      </c>
      <c r="BV852" s="19">
        <f>VLOOKUP($K852,'[5]FECs - good data'!$C$1:$Z$574,18,FALSE)</f>
        <v>0</v>
      </c>
      <c r="BW852" s="19">
        <f>BV852/AS852</f>
        <v>0</v>
      </c>
      <c r="BX852" s="19">
        <f>IF(BY852&gt;0,1,0)</f>
        <v>0</v>
      </c>
      <c r="BY852" s="19">
        <f>VLOOKUP($K852,'[5]FECs - good data'!$C$1:$Z$574,19,FALSE)</f>
        <v>0</v>
      </c>
      <c r="BZ852" s="19">
        <f>BY852/AS852</f>
        <v>0</v>
      </c>
      <c r="CA852" s="19">
        <f>IF(CB852&gt;0,1,0)</f>
        <v>0</v>
      </c>
      <c r="CB852" s="19">
        <f>VLOOKUP($K852,'[5]FECs - good data'!$C$1:$Z$574,20,FALSE)</f>
        <v>0</v>
      </c>
      <c r="CC852" s="19">
        <f>CB852/AS852</f>
        <v>0</v>
      </c>
      <c r="CD852" s="80">
        <f>IF(CE852&gt;0,1,0)</f>
        <v>0</v>
      </c>
      <c r="CE852" s="19">
        <f>VLOOKUP($K852,'[5]FECs - good data'!$C$1:$Z$574,21,FALSE)</f>
        <v>0</v>
      </c>
      <c r="CF852" s="19">
        <f>CE852/AS852</f>
        <v>0</v>
      </c>
      <c r="CG852" s="19">
        <f>IF(CH852&gt;0,1,0)</f>
        <v>0</v>
      </c>
      <c r="CH852" s="19">
        <f>VLOOKUP($K852,'[5]FECs - good data'!$C$1:$Z$574,22,FALSE)</f>
        <v>0</v>
      </c>
      <c r="CI852" s="19">
        <f>CH852/AS852</f>
        <v>0</v>
      </c>
      <c r="CJ852" s="19">
        <f>IF(CK852&gt;0,1,0)</f>
        <v>0</v>
      </c>
      <c r="CK852" s="19">
        <f>VLOOKUP($K852,'[5]FECs - good data'!$C$1:$Z$674,24,FALSE)</f>
        <v>0</v>
      </c>
      <c r="CL852" s="19">
        <f>CK852/AS852</f>
        <v>0</v>
      </c>
      <c r="CM852" s="19"/>
      <c r="CN852" s="19"/>
      <c r="CO852" s="19"/>
      <c r="CP852" s="19"/>
      <c r="CQ852" s="19"/>
      <c r="CR852" s="19"/>
      <c r="CS852" s="19">
        <f>IF(CT852&gt;0,1,0)</f>
        <v>0</v>
      </c>
      <c r="CT852" s="19">
        <f>SUM(CW852+CZ852,DC852)</f>
        <v>0</v>
      </c>
      <c r="CU852" s="19"/>
      <c r="CV852" s="19">
        <f>SUM(CY852,DB852,DE852)</f>
        <v>0</v>
      </c>
      <c r="CW852" s="19">
        <f>IF(CX852&gt;0,1,0)</f>
        <v>0</v>
      </c>
      <c r="CX852" s="19">
        <f>VLOOKUP($K852,'[5]FECs - good data'!$C$1:$Z$574,22,FALSE)</f>
        <v>0</v>
      </c>
      <c r="CY852" s="19">
        <f>CX852/AS852</f>
        <v>0</v>
      </c>
      <c r="CZ852" s="19">
        <f>IF(DA852&gt;0,1,0)</f>
        <v>0</v>
      </c>
      <c r="DA852" s="19">
        <f>VLOOKUP($K852,'[5]FECs - good data'!$C$1:$Z$5982,23,FALSE)</f>
        <v>0</v>
      </c>
      <c r="DB852" s="19">
        <f>DA852/AS852</f>
        <v>0</v>
      </c>
      <c r="DC852" s="19">
        <v>0</v>
      </c>
      <c r="DD852" s="19">
        <f>VLOOKUP($K852,'[5]FECs - good data'!$C$1:$Z$574,23,FALSE)</f>
        <v>0</v>
      </c>
      <c r="DE852" s="19">
        <f>DD852/AS852</f>
        <v>0</v>
      </c>
      <c r="DF852" s="16" t="e">
        <f>VLOOKUP(K852,'[3]RNA Seq summary tables'!$V$3:$V$99,1,FALSE)</f>
        <v>#N/A</v>
      </c>
      <c r="DG852" s="16">
        <v>1</v>
      </c>
      <c r="DH852" s="16" t="str">
        <f>VLOOKUP(D852,'[6]workflow 3.2018'!$A$1:$S$237,2,FALSE)</f>
        <v>2017MLBS_2</v>
      </c>
      <c r="DI852" s="19">
        <v>67</v>
      </c>
      <c r="DJ852" s="19"/>
      <c r="DK852" s="19">
        <v>28</v>
      </c>
      <c r="DL852" s="19"/>
      <c r="DM852" s="19">
        <v>4</v>
      </c>
      <c r="DN852" s="19"/>
      <c r="DO852" s="19">
        <v>0</v>
      </c>
      <c r="DP852" s="19"/>
      <c r="DQ852" s="19">
        <v>1</v>
      </c>
      <c r="DR852" s="19">
        <v>100</v>
      </c>
      <c r="DS852" s="19"/>
    </row>
    <row r="853" spans="2:288" x14ac:dyDescent="0.2">
      <c r="B853" s="16">
        <v>2017</v>
      </c>
      <c r="C853" s="20">
        <v>42905</v>
      </c>
      <c r="D853" s="20" t="str">
        <f>CONCATENATE(J853,"-",C853)</f>
        <v>1036-42905</v>
      </c>
      <c r="E853" s="20" t="str">
        <f>CONCATENATE(T853,"-",U853,"-",C853)</f>
        <v>SP1-E1-42905</v>
      </c>
      <c r="F853" s="20" t="s">
        <v>106</v>
      </c>
      <c r="G853" s="20" t="s">
        <v>107</v>
      </c>
      <c r="I853" s="16">
        <v>0</v>
      </c>
      <c r="J853" s="21">
        <v>1036</v>
      </c>
      <c r="K853" s="21">
        <v>1694</v>
      </c>
      <c r="L853" s="18">
        <v>0</v>
      </c>
      <c r="M853" s="21">
        <f>VLOOKUP($K853,'[4]blood tubes 2017'!$D$1:$L$647,8,FALSE)</f>
        <v>0</v>
      </c>
      <c r="N853" s="15">
        <v>0</v>
      </c>
      <c r="O853" s="15" t="s">
        <v>214</v>
      </c>
      <c r="P853" s="16" t="s">
        <v>110</v>
      </c>
      <c r="Q853" s="16">
        <v>1</v>
      </c>
      <c r="R853" s="16">
        <v>18</v>
      </c>
      <c r="T853" s="16" t="s">
        <v>140</v>
      </c>
      <c r="U853" s="16" t="s">
        <v>222</v>
      </c>
      <c r="V853" s="16" t="s">
        <v>114</v>
      </c>
      <c r="W853" s="16">
        <f>AI853/AG853</f>
        <v>0.81318681318681318</v>
      </c>
      <c r="X853" s="16" t="s">
        <v>121</v>
      </c>
      <c r="Y853" s="16" t="s">
        <v>110</v>
      </c>
      <c r="Z853" s="16">
        <v>3</v>
      </c>
      <c r="AA853" s="16" t="s">
        <v>119</v>
      </c>
      <c r="AB853" s="16" t="s">
        <v>240</v>
      </c>
      <c r="AC853" s="16" t="s">
        <v>116</v>
      </c>
      <c r="AD853" s="16" t="s">
        <v>116</v>
      </c>
      <c r="AG853" s="16">
        <f>AH853-AI853</f>
        <v>91</v>
      </c>
      <c r="AH853" s="16">
        <v>165</v>
      </c>
      <c r="AI853" s="16">
        <v>74</v>
      </c>
      <c r="AK853" s="16">
        <v>25.5</v>
      </c>
      <c r="AL853" s="16">
        <v>0</v>
      </c>
      <c r="AM853" s="16">
        <v>0</v>
      </c>
      <c r="AN853" s="16">
        <v>0</v>
      </c>
      <c r="AO853" s="16">
        <v>0</v>
      </c>
      <c r="AP853" s="16">
        <f>SUM(AL853:AN853)</f>
        <v>0</v>
      </c>
      <c r="AQ853" s="16">
        <v>2.242</v>
      </c>
      <c r="AR853" s="16">
        <f>AP853-1.472</f>
        <v>-1.472</v>
      </c>
      <c r="AS853" s="16">
        <f>AQ853-1.472</f>
        <v>0.77</v>
      </c>
      <c r="AT853" s="16" t="s">
        <v>233</v>
      </c>
      <c r="AW853" s="16">
        <f>IF(AX853&gt;0,1,0)</f>
        <v>1</v>
      </c>
      <c r="AX853" s="16">
        <f>SUM(BA853,BM853,CT853)</f>
        <v>1</v>
      </c>
      <c r="AY853" s="18">
        <f>SUM(BB853,BN853,CV853)</f>
        <v>672.72727272727275</v>
      </c>
      <c r="AZ853" s="16">
        <f>IF(BA853&gt;0,1,0)</f>
        <v>1</v>
      </c>
      <c r="BA853" s="16">
        <f>SUM(BC853,BF853,BI853)</f>
        <v>1</v>
      </c>
      <c r="BB853" s="16">
        <f>SUM(BE853,BH853,BK853)</f>
        <v>672.72727272727275</v>
      </c>
      <c r="BC853" s="16">
        <v>0</v>
      </c>
      <c r="BD853" s="16">
        <v>0</v>
      </c>
      <c r="BE853" s="16">
        <f>BD853/AS853</f>
        <v>0</v>
      </c>
      <c r="BF853" s="16">
        <v>1</v>
      </c>
      <c r="BG853" s="77">
        <v>518</v>
      </c>
      <c r="BH853" s="16">
        <f>BG853/AS853</f>
        <v>672.72727272727275</v>
      </c>
      <c r="BI853" s="16">
        <v>0</v>
      </c>
      <c r="BJ853" s="16">
        <v>0</v>
      </c>
      <c r="BK853" s="16">
        <f>BJ853/AS853</f>
        <v>0</v>
      </c>
      <c r="BL853" s="16">
        <f>IF(BM853&gt;0,1,0)</f>
        <v>0</v>
      </c>
      <c r="BM853" s="16">
        <f>SUM(BR853,BU853,BX853,CA853,CD853,CG853,CJ853,CM853,CP853)</f>
        <v>0</v>
      </c>
      <c r="BN853" s="16">
        <f>SUM(BW853,BZ853,CC853,CF853,CI853,CL853,CO853,CR853,BT853)</f>
        <v>0</v>
      </c>
      <c r="BO853" s="16">
        <f>IF(BP853&gt;0,1,0)</f>
        <v>0</v>
      </c>
      <c r="BP853" s="16">
        <f>SUM(BU853,BX853,CA853,CD853,BR853)</f>
        <v>0</v>
      </c>
      <c r="BQ853" s="16">
        <f>SUM(BZ853,CC853,CF853,BT853,BW853)</f>
        <v>0</v>
      </c>
      <c r="BR853" s="16">
        <v>0</v>
      </c>
      <c r="BS853" s="16">
        <v>0</v>
      </c>
      <c r="BT853" s="77">
        <f>BS853/AS853</f>
        <v>0</v>
      </c>
      <c r="BU853" s="16">
        <v>0</v>
      </c>
      <c r="BV853" s="16">
        <v>0</v>
      </c>
      <c r="BW853" s="16">
        <f>BV853/AS853</f>
        <v>0</v>
      </c>
      <c r="BX853" s="16">
        <v>0</v>
      </c>
      <c r="BY853" s="16">
        <v>0</v>
      </c>
      <c r="BZ853" s="16">
        <f>BY853/AS853</f>
        <v>0</v>
      </c>
      <c r="CA853" s="16">
        <v>0</v>
      </c>
      <c r="CB853" s="16">
        <v>0</v>
      </c>
      <c r="CC853" s="16">
        <f>CB853/AS853</f>
        <v>0</v>
      </c>
      <c r="CD853" s="77">
        <v>0</v>
      </c>
      <c r="CE853" s="16">
        <v>0</v>
      </c>
      <c r="CF853" s="16">
        <f>CE853/AS853</f>
        <v>0</v>
      </c>
      <c r="CG853" s="16">
        <v>0</v>
      </c>
      <c r="CH853" s="16">
        <v>0</v>
      </c>
      <c r="CI853" s="16">
        <f>CH853/AS853</f>
        <v>0</v>
      </c>
      <c r="CM853" s="16">
        <v>0</v>
      </c>
      <c r="CN853" s="16">
        <v>0</v>
      </c>
      <c r="CO853" s="16">
        <f>CN853/AS853</f>
        <v>0</v>
      </c>
      <c r="CP853" s="16">
        <v>0</v>
      </c>
      <c r="CQ853" s="16">
        <v>0</v>
      </c>
      <c r="CR853" s="16">
        <f>CQ853/AS853</f>
        <v>0</v>
      </c>
      <c r="CS853" s="16">
        <f>IF(CT853&gt;0,1,0)</f>
        <v>0</v>
      </c>
      <c r="CT853" s="16">
        <f>SUM(CW853,CZ853,DC853)</f>
        <v>0</v>
      </c>
      <c r="CV853" s="16">
        <f>SUM(CY853,DB853,DE853)</f>
        <v>0</v>
      </c>
      <c r="CW853" s="16">
        <v>0</v>
      </c>
      <c r="CX853" s="16">
        <v>0</v>
      </c>
      <c r="CY853" s="16">
        <f>CX853/AS853</f>
        <v>0</v>
      </c>
      <c r="CZ853" s="16">
        <v>0</v>
      </c>
      <c r="DA853" s="16">
        <v>0</v>
      </c>
      <c r="DB853" s="16">
        <f>DA853/AS853</f>
        <v>0</v>
      </c>
      <c r="DC853" s="16">
        <v>0</v>
      </c>
      <c r="DD853" s="16">
        <v>0</v>
      </c>
      <c r="DE853" s="16">
        <f>DD853/AS853</f>
        <v>0</v>
      </c>
      <c r="DF853" s="16" t="e">
        <f>VLOOKUP(K853,'[3]RNA Seq summary tables'!$V$3:$V$99,1,FALSE)</f>
        <v>#N/A</v>
      </c>
      <c r="DI853" s="16">
        <v>30</v>
      </c>
      <c r="DK853" s="16">
        <v>62</v>
      </c>
      <c r="DM853" s="16">
        <v>8</v>
      </c>
      <c r="DO853" s="16">
        <v>0</v>
      </c>
      <c r="DQ853" s="16">
        <v>0</v>
      </c>
      <c r="DR853" s="16">
        <f>SUM(DI853:DQ853)</f>
        <v>100</v>
      </c>
    </row>
    <row r="854" spans="2:288" x14ac:dyDescent="0.2">
      <c r="B854" s="16">
        <v>2017</v>
      </c>
      <c r="C854" s="20">
        <v>42922</v>
      </c>
      <c r="D854" s="20" t="str">
        <f>CONCATENATE(J854,"-",C854)</f>
        <v>1036-42922</v>
      </c>
      <c r="E854" s="20" t="str">
        <f>CONCATENATE(T854,"-",U854,"-",C854)</f>
        <v>SP1-B1-42922</v>
      </c>
      <c r="F854" s="20" t="s">
        <v>106</v>
      </c>
      <c r="G854" s="20" t="s">
        <v>107</v>
      </c>
      <c r="I854" s="16">
        <v>0</v>
      </c>
      <c r="J854" s="21">
        <v>1036</v>
      </c>
      <c r="K854" s="21">
        <v>1829</v>
      </c>
      <c r="L854" s="18">
        <v>0</v>
      </c>
      <c r="M854" s="21">
        <f>VLOOKUP($K854,'[4]blood tubes 2017'!$D$1:$L$647,8,FALSE)</f>
        <v>0</v>
      </c>
      <c r="N854" s="15">
        <v>0</v>
      </c>
      <c r="O854" s="15" t="s">
        <v>214</v>
      </c>
      <c r="P854" s="16" t="s">
        <v>110</v>
      </c>
      <c r="Q854" s="16">
        <v>1</v>
      </c>
      <c r="R854" s="16">
        <v>17</v>
      </c>
      <c r="T854" s="16" t="s">
        <v>140</v>
      </c>
      <c r="U854" s="16" t="s">
        <v>113</v>
      </c>
      <c r="V854" s="16" t="s">
        <v>114</v>
      </c>
      <c r="W854" s="16">
        <f>AI854/AG854</f>
        <v>0.80434782608695654</v>
      </c>
      <c r="X854" s="16" t="s">
        <v>121</v>
      </c>
      <c r="Y854" s="16" t="s">
        <v>110</v>
      </c>
      <c r="Z854" s="16">
        <v>3</v>
      </c>
      <c r="AA854" s="16" t="s">
        <v>119</v>
      </c>
      <c r="AB854" s="16" t="s">
        <v>239</v>
      </c>
      <c r="AC854" s="16" t="s">
        <v>123</v>
      </c>
      <c r="AD854" s="16" t="s">
        <v>123</v>
      </c>
      <c r="AG854" s="16">
        <f>AH854-AI854</f>
        <v>92</v>
      </c>
      <c r="AH854" s="16">
        <v>166</v>
      </c>
      <c r="AI854" s="16">
        <v>74</v>
      </c>
      <c r="AK854" s="16">
        <v>17</v>
      </c>
      <c r="AL854" s="16">
        <v>0</v>
      </c>
      <c r="AM854" s="16">
        <v>0</v>
      </c>
      <c r="AN854" s="16">
        <v>0</v>
      </c>
      <c r="AO854" s="16">
        <v>0</v>
      </c>
      <c r="AP854" s="16">
        <f>SUM(AL854:AN854)</f>
        <v>0</v>
      </c>
      <c r="AQ854" s="16">
        <v>2.7730000000000001</v>
      </c>
      <c r="AR854" s="16">
        <f>AP854-1.472</f>
        <v>-1.472</v>
      </c>
      <c r="AS854" s="16">
        <f>AQ854-1.472</f>
        <v>1.3010000000000002</v>
      </c>
      <c r="AT854" s="16" t="s">
        <v>119</v>
      </c>
      <c r="AW854" s="16">
        <f>IF(AX854&gt;0,1,0)</f>
        <v>1</v>
      </c>
      <c r="AX854" s="16">
        <f>SUM(BA854,BM854,CT854)</f>
        <v>3</v>
      </c>
      <c r="AY854" s="18">
        <f>SUM(BB854,BN854,CV854)</f>
        <v>719.44657955418893</v>
      </c>
      <c r="AZ854" s="16">
        <v>1</v>
      </c>
      <c r="BA854" s="16">
        <v>3</v>
      </c>
      <c r="BB854" s="16">
        <f>SUM(BE854,BH854,BK854)</f>
        <v>719.44657955418893</v>
      </c>
      <c r="BC854" s="16">
        <v>1</v>
      </c>
      <c r="BD854" s="16">
        <v>99</v>
      </c>
      <c r="BE854" s="16">
        <f>BD854/AS854</f>
        <v>76.095311299000755</v>
      </c>
      <c r="BF854" s="16">
        <v>1</v>
      </c>
      <c r="BG854" s="77">
        <v>95</v>
      </c>
      <c r="BH854" s="16">
        <f>BG854/AS854</f>
        <v>73.020753266717904</v>
      </c>
      <c r="BI854" s="16">
        <v>1</v>
      </c>
      <c r="BJ854" s="16">
        <v>742</v>
      </c>
      <c r="BK854" s="16">
        <f>BJ854/AS854</f>
        <v>570.33051498847033</v>
      </c>
      <c r="BL854" s="16">
        <f>IF(BM854&gt;0,1,0)</f>
        <v>0</v>
      </c>
      <c r="BM854" s="16">
        <f>SUM(BR854,BU854,BX854,CA854,CD854,CG854,CJ854,CM854,CP854)</f>
        <v>0</v>
      </c>
      <c r="BN854" s="16">
        <f>SUM(BW854,BZ854,CC854,CF854,CI854,CL854,CO854,CR854,BT854)</f>
        <v>0</v>
      </c>
      <c r="BO854" s="16">
        <f>IF(BP854&gt;0,1,0)</f>
        <v>0</v>
      </c>
      <c r="BP854" s="16">
        <f>SUM(BU854,BX854,CA854,CD854,BR854)</f>
        <v>0</v>
      </c>
      <c r="BQ854" s="16">
        <f>SUM(BZ854,CC854,CF854,BT854,BW854)</f>
        <v>0</v>
      </c>
      <c r="BR854" s="16">
        <v>0</v>
      </c>
      <c r="BS854" s="16">
        <v>0</v>
      </c>
      <c r="BT854" s="77">
        <f>BS854/AS854</f>
        <v>0</v>
      </c>
      <c r="BU854" s="16">
        <v>0</v>
      </c>
      <c r="BV854" s="16">
        <v>0</v>
      </c>
      <c r="BW854" s="16">
        <f>BV854/AS854</f>
        <v>0</v>
      </c>
      <c r="BX854" s="16">
        <v>0</v>
      </c>
      <c r="BY854" s="16">
        <v>0</v>
      </c>
      <c r="BZ854" s="16">
        <f>BY854/AS854</f>
        <v>0</v>
      </c>
      <c r="CA854" s="16">
        <v>0</v>
      </c>
      <c r="CB854" s="16">
        <v>0</v>
      </c>
      <c r="CC854" s="16">
        <f>CB854/AS854</f>
        <v>0</v>
      </c>
      <c r="CD854" s="77">
        <v>0</v>
      </c>
      <c r="CE854" s="16">
        <v>0</v>
      </c>
      <c r="CF854" s="16">
        <f>CE854/AS854</f>
        <v>0</v>
      </c>
      <c r="CG854" s="16">
        <v>0</v>
      </c>
      <c r="CH854" s="16">
        <v>0</v>
      </c>
      <c r="CI854" s="16">
        <f>CH854/AS854</f>
        <v>0</v>
      </c>
      <c r="CM854" s="16">
        <v>0</v>
      </c>
      <c r="CN854" s="16">
        <v>0</v>
      </c>
      <c r="CO854" s="16">
        <f>CN854/AS854</f>
        <v>0</v>
      </c>
      <c r="CP854" s="16">
        <v>0</v>
      </c>
      <c r="CQ854" s="16">
        <v>0</v>
      </c>
      <c r="CR854" s="16">
        <f>CQ854/AS854</f>
        <v>0</v>
      </c>
      <c r="CS854" s="16">
        <v>0</v>
      </c>
      <c r="CT854" s="16">
        <v>0</v>
      </c>
      <c r="CV854" s="16">
        <f>SUM(CY854,DB854,DE854)</f>
        <v>0</v>
      </c>
      <c r="CW854" s="16">
        <v>0</v>
      </c>
      <c r="CX854" s="16">
        <v>0</v>
      </c>
      <c r="CY854" s="16">
        <f>CX854/AS854</f>
        <v>0</v>
      </c>
      <c r="CZ854" s="16">
        <v>0</v>
      </c>
      <c r="DA854" s="16">
        <v>0</v>
      </c>
      <c r="DB854" s="16">
        <f>DA854/AS854</f>
        <v>0</v>
      </c>
      <c r="DC854" s="16">
        <v>0</v>
      </c>
      <c r="DD854" s="16">
        <v>0</v>
      </c>
      <c r="DE854" s="16">
        <f>DD854/AS854</f>
        <v>0</v>
      </c>
      <c r="DF854" s="16" t="e">
        <f>VLOOKUP(K854,'[3]RNA Seq summary tables'!$V$3:$V$99,1,FALSE)</f>
        <v>#N/A</v>
      </c>
      <c r="DI854" s="16">
        <v>9</v>
      </c>
      <c r="DK854" s="16">
        <v>26</v>
      </c>
      <c r="DM854" s="16">
        <v>1</v>
      </c>
      <c r="DO854" s="16">
        <v>0</v>
      </c>
      <c r="DQ854" s="16">
        <v>0</v>
      </c>
      <c r="DR854" s="16">
        <f>SUM(DI854:DQ854)</f>
        <v>36</v>
      </c>
      <c r="JO854" s="30"/>
      <c r="JR854" s="27"/>
      <c r="JS854" s="27"/>
      <c r="JT854" s="27"/>
      <c r="JU854" s="27"/>
      <c r="JV854" s="27"/>
      <c r="JW854" s="27"/>
      <c r="JX854" s="27"/>
      <c r="JY854" s="27"/>
      <c r="JZ854" s="27"/>
      <c r="KA854" s="27"/>
      <c r="KB854" s="27"/>
    </row>
    <row r="855" spans="2:288" ht="16" x14ac:dyDescent="0.2">
      <c r="B855" s="16">
        <v>2017</v>
      </c>
      <c r="C855" s="20">
        <v>42939</v>
      </c>
      <c r="D855" s="20" t="str">
        <f>CONCATENATE(J855,"-",C855)</f>
        <v>1036-42939</v>
      </c>
      <c r="E855" s="37" t="str">
        <f>CONCATENATE(T855,"-",U855,"-",C855)</f>
        <v>SP1-F1-42939</v>
      </c>
      <c r="F855" s="20" t="s">
        <v>106</v>
      </c>
      <c r="G855" s="20" t="s">
        <v>107</v>
      </c>
      <c r="I855" s="16">
        <v>0</v>
      </c>
      <c r="J855" s="21">
        <v>1036</v>
      </c>
      <c r="K855" s="21">
        <v>1958</v>
      </c>
      <c r="L855" s="18">
        <v>0</v>
      </c>
      <c r="M855" s="21">
        <f>VLOOKUP($K855,'[4]blood tubes 2017'!$D$1:$L$647,8,FALSE)</f>
        <v>0</v>
      </c>
      <c r="N855" s="15">
        <v>0</v>
      </c>
      <c r="O855" s="15" t="s">
        <v>214</v>
      </c>
      <c r="P855" s="16" t="s">
        <v>110</v>
      </c>
      <c r="Q855" s="16">
        <v>1</v>
      </c>
      <c r="R855" s="16">
        <v>17</v>
      </c>
      <c r="T855" s="16" t="s">
        <v>140</v>
      </c>
      <c r="U855" s="16" t="s">
        <v>217</v>
      </c>
      <c r="V855" s="16" t="s">
        <v>114</v>
      </c>
      <c r="W855" s="16">
        <f>AI855/AG855</f>
        <v>0.84782608695652173</v>
      </c>
      <c r="X855" s="16" t="s">
        <v>121</v>
      </c>
      <c r="Y855" s="16" t="s">
        <v>110</v>
      </c>
      <c r="Z855" s="16">
        <v>3</v>
      </c>
      <c r="AA855" s="16" t="s">
        <v>161</v>
      </c>
      <c r="AB855" s="16" t="s">
        <v>115</v>
      </c>
      <c r="AC855" s="16" t="s">
        <v>123</v>
      </c>
      <c r="AD855" s="16" t="s">
        <v>116</v>
      </c>
      <c r="AG855" s="16">
        <f>AH855-AI855</f>
        <v>92</v>
      </c>
      <c r="AH855" s="16">
        <v>170</v>
      </c>
      <c r="AI855" s="16">
        <v>78</v>
      </c>
      <c r="AK855" s="16">
        <v>24.5</v>
      </c>
      <c r="AL855" s="16">
        <v>0</v>
      </c>
      <c r="AM855" s="16">
        <v>0</v>
      </c>
      <c r="AN855" s="16">
        <v>0</v>
      </c>
      <c r="AO855" s="16">
        <v>0</v>
      </c>
      <c r="AP855" s="16">
        <f>SUM(AL855:AN855)</f>
        <v>0</v>
      </c>
      <c r="AQ855" s="16">
        <v>1.726</v>
      </c>
      <c r="AR855" s="16">
        <f>AP855-1.472</f>
        <v>-1.472</v>
      </c>
      <c r="AS855" s="16">
        <f>AQ855-1.472</f>
        <v>0.254</v>
      </c>
      <c r="AT855" s="16" t="str">
        <f>VLOOKUP(E855,[2]Current!$A$1:$W$435,7,FALSE)</f>
        <v>TE</v>
      </c>
      <c r="AU855" s="16" t="s">
        <v>1288</v>
      </c>
      <c r="AV855" s="23">
        <v>1</v>
      </c>
      <c r="AW855" s="128">
        <f>IF(AX855&gt;0,1,0)</f>
        <v>0</v>
      </c>
      <c r="AX855" s="128">
        <f>SUM(BA855,BM855,CU855)</f>
        <v>0</v>
      </c>
      <c r="AY855" s="128">
        <f>SUM(BB855,BN855,CV855)</f>
        <v>0</v>
      </c>
      <c r="AZ855" s="128">
        <f>IF(BA855&gt;0,1,0)</f>
        <v>0</v>
      </c>
      <c r="BA855" s="128">
        <f>SUM(BC855+BF855+BI855)</f>
        <v>0</v>
      </c>
      <c r="BB855" s="128">
        <f>SUM(BE855,BH855,BK855)</f>
        <v>0</v>
      </c>
      <c r="BC855" s="130">
        <f>IF(BD855&gt;0,1,0)</f>
        <v>0</v>
      </c>
      <c r="BD855" s="128">
        <f>VLOOKUP($E855,[2]Current!$A:$AC,26,FALSE)</f>
        <v>0</v>
      </c>
      <c r="BE855" s="128">
        <f>BD855/$AS855</f>
        <v>0</v>
      </c>
      <c r="BF855" s="130">
        <f>IF(BG855&gt;0,1,0)</f>
        <v>0</v>
      </c>
      <c r="BG855" s="137">
        <f>VLOOKUP($E855,[2]Current!$A:$AC,27,FALSE)</f>
        <v>0</v>
      </c>
      <c r="BH855" s="128">
        <f>BG855/$AS855</f>
        <v>0</v>
      </c>
      <c r="BI855" s="130">
        <f>IF(BJ855&gt;0,1,0)</f>
        <v>0</v>
      </c>
      <c r="BJ855" s="128">
        <f>VLOOKUP($E855,[2]Current!$A:$AC,28,FALSE)</f>
        <v>0</v>
      </c>
      <c r="BK855" s="128">
        <f>BJ855/$AS855</f>
        <v>0</v>
      </c>
      <c r="BL855" s="128">
        <f>IF(BM855&gt;0,1,0)</f>
        <v>0</v>
      </c>
      <c r="BM855" s="128">
        <f>SUM(BR855,BU855,BX855,CA855,CD855)</f>
        <v>0</v>
      </c>
      <c r="BN855" s="131">
        <f>SUM(BT855,BW855,BZ855,CC855,CF855)</f>
        <v>0</v>
      </c>
      <c r="BO855" s="128">
        <f>IF(BP855&gt;0,1,0)</f>
        <v>0</v>
      </c>
      <c r="BP855" s="128">
        <f>BM855+CJ855</f>
        <v>0</v>
      </c>
      <c r="BQ855" s="128">
        <f>BN855+CL855</f>
        <v>0</v>
      </c>
      <c r="BR855" s="130">
        <f>IF(BS855&gt;0,1,0)</f>
        <v>0</v>
      </c>
      <c r="BS855" s="128">
        <f>VLOOKUP($E855,[2]Current!$A:$AC,12,FALSE)</f>
        <v>0</v>
      </c>
      <c r="BT855" s="137">
        <f>BS855/$AS855</f>
        <v>0</v>
      </c>
      <c r="BU855" s="130">
        <f>IF(BV855&gt;0,1,0)</f>
        <v>0</v>
      </c>
      <c r="BV855" s="128">
        <f>VLOOKUP($E855,[2]Current!$A:$AC,13,FALSE)</f>
        <v>0</v>
      </c>
      <c r="BW855" s="128">
        <f>BV855/$AS855</f>
        <v>0</v>
      </c>
      <c r="BX855" s="130">
        <f>IF(BY855&gt;0,1,0)</f>
        <v>0</v>
      </c>
      <c r="BY855" s="128">
        <f>VLOOKUP($E855,[2]Current!$A:$AC,14,FALSE)</f>
        <v>0</v>
      </c>
      <c r="BZ855" s="128">
        <f>BY855/$AS855</f>
        <v>0</v>
      </c>
      <c r="CA855" s="130">
        <f>IF(CB855&gt;0,1,0)</f>
        <v>0</v>
      </c>
      <c r="CB855" s="128">
        <f>VLOOKUP($E855,[2]Current!$A:$AC,15,FALSE)</f>
        <v>0</v>
      </c>
      <c r="CC855" s="128">
        <f>CB855/$AS855</f>
        <v>0</v>
      </c>
      <c r="CD855" s="174">
        <f>IF(CE855&gt;0,1,0)</f>
        <v>0</v>
      </c>
      <c r="CE855" s="128">
        <f>VLOOKUP($E855,[2]Current!$A:$AC,16,FALSE)</f>
        <v>0</v>
      </c>
      <c r="CF855" s="128">
        <f>CE855/$AS855</f>
        <v>0</v>
      </c>
      <c r="CG855" s="18"/>
      <c r="CH855" s="18"/>
      <c r="CI855" s="18"/>
      <c r="CJ855" s="130">
        <f>IF(CK855&gt;0,1,0)</f>
        <v>0</v>
      </c>
      <c r="CK855" s="128">
        <f>VLOOKUP($E855,[2]Current!$A:$AC,18,FALSE)</f>
        <v>0</v>
      </c>
      <c r="CL855" s="128">
        <f>CK855/$AS855</f>
        <v>0</v>
      </c>
      <c r="CS855" s="130">
        <f>IF(CU855&gt;0,1,0)</f>
        <v>0</v>
      </c>
      <c r="CU855" s="128">
        <f>VLOOKUP($E855,[2]Current!$A:$AC,17,FALSE)</f>
        <v>0</v>
      </c>
      <c r="CV855" s="128">
        <f>CU855/$AS855</f>
        <v>0</v>
      </c>
      <c r="CW855" s="18"/>
      <c r="CX855" s="18"/>
      <c r="CY855" s="18"/>
      <c r="DF855" s="16" t="e">
        <f>VLOOKUP(K855,'[3]RNA Seq summary tables'!$V$3:$V$99,1,FALSE)</f>
        <v>#N/A</v>
      </c>
      <c r="DG855" s="16">
        <v>1</v>
      </c>
      <c r="DH855" s="16" t="str">
        <f>VLOOKUP(D855,'[6]workflow 3.2018'!$A$1:$S$237,2,FALSE)</f>
        <v>2017MLBS_60</v>
      </c>
      <c r="JR855" s="39"/>
      <c r="JS855" s="39"/>
      <c r="JT855" s="39"/>
      <c r="JU855" s="39"/>
      <c r="JV855" s="39"/>
      <c r="JW855" s="39"/>
      <c r="JX855" s="39"/>
      <c r="JY855" s="39"/>
      <c r="JZ855" s="39"/>
      <c r="KA855" s="39"/>
      <c r="KB855" s="39"/>
    </row>
    <row r="856" spans="2:288" ht="16" x14ac:dyDescent="0.2">
      <c r="B856" s="16">
        <v>2017</v>
      </c>
      <c r="C856" s="20">
        <v>42957</v>
      </c>
      <c r="D856" s="20" t="str">
        <f>CONCATENATE(J856,"-",C856)</f>
        <v>1036-42957</v>
      </c>
      <c r="E856" s="37" t="str">
        <f>CONCATENATE(T856,"-",U856,"-",C856)</f>
        <v>SP1-B1-42957</v>
      </c>
      <c r="F856" s="20" t="s">
        <v>106</v>
      </c>
      <c r="G856" s="20" t="s">
        <v>107</v>
      </c>
      <c r="I856" s="16">
        <v>0</v>
      </c>
      <c r="J856" s="21">
        <v>1036</v>
      </c>
      <c r="K856" s="21">
        <v>2108</v>
      </c>
      <c r="L856" s="18">
        <v>0</v>
      </c>
      <c r="M856" s="21">
        <f>VLOOKUP($K856,'[4]blood tubes 2017'!$D$1:$L$647,8,FALSE)</f>
        <v>0</v>
      </c>
      <c r="N856" s="15">
        <v>0</v>
      </c>
      <c r="O856" s="15" t="s">
        <v>214</v>
      </c>
      <c r="P856" s="16" t="s">
        <v>110</v>
      </c>
      <c r="Q856" s="16">
        <v>1</v>
      </c>
      <c r="R856" s="16">
        <v>18</v>
      </c>
      <c r="T856" s="16" t="s">
        <v>140</v>
      </c>
      <c r="U856" s="16" t="s">
        <v>113</v>
      </c>
      <c r="V856" s="16" t="s">
        <v>114</v>
      </c>
      <c r="W856" s="16">
        <f>AI856/AG856</f>
        <v>0.84042553191489366</v>
      </c>
      <c r="X856" s="16" t="s">
        <v>121</v>
      </c>
      <c r="Y856" s="16" t="s">
        <v>110</v>
      </c>
      <c r="Z856" s="16">
        <v>3</v>
      </c>
      <c r="AA856" s="16" t="s">
        <v>119</v>
      </c>
      <c r="AB856" s="16" t="s">
        <v>239</v>
      </c>
      <c r="AC856" s="16" t="s">
        <v>123</v>
      </c>
      <c r="AD856" s="16" t="s">
        <v>123</v>
      </c>
      <c r="AG856" s="16">
        <f>AH856-AI856</f>
        <v>94</v>
      </c>
      <c r="AH856" s="16">
        <v>173</v>
      </c>
      <c r="AI856" s="16">
        <v>79</v>
      </c>
      <c r="AK856" s="16">
        <v>20</v>
      </c>
      <c r="AL856" s="16">
        <v>0</v>
      </c>
      <c r="AM856" s="16">
        <v>0</v>
      </c>
      <c r="AN856" s="16">
        <v>0</v>
      </c>
      <c r="AO856" s="16">
        <v>0</v>
      </c>
      <c r="AP856" s="16">
        <f>SUM(AL856:AN856)</f>
        <v>0</v>
      </c>
      <c r="AQ856" s="16">
        <v>1.5980000000000001</v>
      </c>
      <c r="AR856" s="16">
        <f>AP856-1.472</f>
        <v>-1.472</v>
      </c>
      <c r="AS856" s="16">
        <f>AQ856-1.472</f>
        <v>0.12600000000000011</v>
      </c>
      <c r="AT856" s="16" t="str">
        <f>VLOOKUP(E856,[2]Current!$A$1:$W$435,7,FALSE)</f>
        <v>NB</v>
      </c>
      <c r="AU856" s="16" t="s">
        <v>1288</v>
      </c>
      <c r="AW856" s="128">
        <f>IF(AX856&gt;0,1,0)</f>
        <v>1</v>
      </c>
      <c r="AX856" s="128">
        <f>SUM(BA856,BM856,CU856)</f>
        <v>2</v>
      </c>
      <c r="AY856" s="128">
        <f>SUM(BB856,BN856,CV856)</f>
        <v>3023.8095238095211</v>
      </c>
      <c r="AZ856" s="128">
        <f>IF(BA856&gt;0,1,0)</f>
        <v>1</v>
      </c>
      <c r="BA856" s="128">
        <f>SUM(BC856+BF856+BI856)</f>
        <v>1</v>
      </c>
      <c r="BB856" s="128">
        <f>SUM(BE856,BH856,BK856)</f>
        <v>3015.8730158730132</v>
      </c>
      <c r="BC856" s="130">
        <f>IF(BD856&gt;0,1,0)</f>
        <v>0</v>
      </c>
      <c r="BD856" s="128">
        <f>VLOOKUP($E856,[2]Current!$A:$AC,26,FALSE)</f>
        <v>0</v>
      </c>
      <c r="BE856" s="128">
        <f>BD856/$AS856</f>
        <v>0</v>
      </c>
      <c r="BF856" s="130">
        <f>IF(BG856&gt;0,1,0)</f>
        <v>1</v>
      </c>
      <c r="BG856" s="137">
        <f>VLOOKUP($E856,[2]Current!$A:$AC,27,FALSE)</f>
        <v>380</v>
      </c>
      <c r="BH856" s="128">
        <f>BG856/$AS856</f>
        <v>3015.8730158730132</v>
      </c>
      <c r="BI856" s="130">
        <f>IF(BJ856&gt;0,1,0)</f>
        <v>0</v>
      </c>
      <c r="BJ856" s="128">
        <f>VLOOKUP($E856,[2]Current!$A:$AC,28,FALSE)</f>
        <v>0</v>
      </c>
      <c r="BK856" s="128">
        <f>BJ856/$AS856</f>
        <v>0</v>
      </c>
      <c r="BL856" s="128">
        <f>IF(BM856&gt;0,1,0)</f>
        <v>1</v>
      </c>
      <c r="BM856" s="128">
        <f>SUM(BR856,BU856,BX856,CA856,CD856)</f>
        <v>1</v>
      </c>
      <c r="BN856" s="131">
        <f>SUM(BT856,BW856,BZ856,CC856,CF856)</f>
        <v>7.9365079365079296</v>
      </c>
      <c r="BO856" s="128">
        <f>IF(BP856&gt;0,1,0)</f>
        <v>1</v>
      </c>
      <c r="BP856" s="128">
        <f>BM856+CJ856</f>
        <v>1</v>
      </c>
      <c r="BQ856" s="128">
        <f>BN856+CL856</f>
        <v>7.9365079365079296</v>
      </c>
      <c r="BR856" s="130">
        <f>IF(BS856&gt;0,1,0)</f>
        <v>0</v>
      </c>
      <c r="BS856" s="128">
        <f>VLOOKUP($E856,[2]Current!$A:$AC,12,FALSE)</f>
        <v>0</v>
      </c>
      <c r="BT856" s="137">
        <f>BS856/$AS856</f>
        <v>0</v>
      </c>
      <c r="BU856" s="130">
        <f>IF(BV856&gt;0,1,0)</f>
        <v>0</v>
      </c>
      <c r="BV856" s="128">
        <f>VLOOKUP($E856,[2]Current!$A:$AC,13,FALSE)</f>
        <v>0</v>
      </c>
      <c r="BW856" s="128">
        <f>BV856/$AS856</f>
        <v>0</v>
      </c>
      <c r="BX856" s="130">
        <f>IF(BY856&gt;0,1,0)</f>
        <v>0</v>
      </c>
      <c r="BY856" s="128">
        <f>VLOOKUP($E856,[2]Current!$A:$AC,14,FALSE)</f>
        <v>0</v>
      </c>
      <c r="BZ856" s="128">
        <f>BY856/$AS856</f>
        <v>0</v>
      </c>
      <c r="CA856" s="130">
        <f>IF(CB856&gt;0,1,0)</f>
        <v>1</v>
      </c>
      <c r="CB856" s="128">
        <f>VLOOKUP($E856,[2]Current!$A:$AC,15,FALSE)</f>
        <v>1</v>
      </c>
      <c r="CC856" s="128">
        <f>CB856/$AS856</f>
        <v>7.9365079365079296</v>
      </c>
      <c r="CD856" s="174">
        <f>IF(CE856&gt;0,1,0)</f>
        <v>0</v>
      </c>
      <c r="CE856" s="128">
        <f>VLOOKUP($E856,[2]Current!$A:$AC,16,FALSE)</f>
        <v>0</v>
      </c>
      <c r="CF856" s="128">
        <f>CE856/$AS856</f>
        <v>0</v>
      </c>
      <c r="CG856" s="18"/>
      <c r="CH856" s="18"/>
      <c r="CI856" s="18"/>
      <c r="CJ856" s="130">
        <f>IF(CK856&gt;0,1,0)</f>
        <v>0</v>
      </c>
      <c r="CK856" s="128">
        <f>VLOOKUP($E856,[2]Current!$A:$AC,18,FALSE)</f>
        <v>0</v>
      </c>
      <c r="CL856" s="128">
        <f>CK856/$AS856</f>
        <v>0</v>
      </c>
      <c r="CS856" s="130">
        <f>IF(CU856&gt;0,1,0)</f>
        <v>0</v>
      </c>
      <c r="CU856" s="128">
        <f>VLOOKUP($E856,[2]Current!$A:$AC,17,FALSE)</f>
        <v>0</v>
      </c>
      <c r="CV856" s="128">
        <f>CU856/$AS856</f>
        <v>0</v>
      </c>
      <c r="CW856" s="18"/>
      <c r="CX856" s="18"/>
      <c r="CY856" s="18"/>
      <c r="DF856" s="16" t="e">
        <f>VLOOKUP(K856,'[3]RNA Seq summary tables'!$V$3:$V$99,1,FALSE)</f>
        <v>#N/A</v>
      </c>
      <c r="DG856" s="16">
        <v>1</v>
      </c>
      <c r="DH856" s="16" t="str">
        <f>VLOOKUP(D856,'[6]workflow 3.2018'!$A$1:$S$237,2,FALSE)</f>
        <v>2017MLBS_132</v>
      </c>
      <c r="JP856" s="18"/>
      <c r="JQ856" s="18"/>
    </row>
    <row r="857" spans="2:288" ht="16" x14ac:dyDescent="0.2">
      <c r="B857" s="16">
        <v>2017</v>
      </c>
      <c r="C857" s="20">
        <v>42972</v>
      </c>
      <c r="D857" s="20" t="str">
        <f>CONCATENATE(J857,"-",C857)</f>
        <v>1036-42972</v>
      </c>
      <c r="E857" s="37" t="str">
        <f>CONCATENATE(T857,"-",U857,"-",C857)</f>
        <v>SP1-F1-42972</v>
      </c>
      <c r="F857" s="20" t="s">
        <v>106</v>
      </c>
      <c r="G857" s="20" t="s">
        <v>107</v>
      </c>
      <c r="I857" s="16">
        <v>0</v>
      </c>
      <c r="J857" s="21">
        <v>1036</v>
      </c>
      <c r="K857" s="21">
        <v>2235</v>
      </c>
      <c r="L857" s="18">
        <v>0</v>
      </c>
      <c r="M857" s="21">
        <f>VLOOKUP($K857,'[4]blood tubes 2017'!$D$1:$L$947,8,FALSE)</f>
        <v>0</v>
      </c>
      <c r="N857" s="15">
        <v>0</v>
      </c>
      <c r="O857" s="15" t="s">
        <v>214</v>
      </c>
      <c r="P857" s="16" t="s">
        <v>110</v>
      </c>
      <c r="Q857" s="16">
        <v>1</v>
      </c>
      <c r="R857" s="16">
        <v>15</v>
      </c>
      <c r="T857" s="16" t="s">
        <v>140</v>
      </c>
      <c r="U857" s="16" t="s">
        <v>217</v>
      </c>
      <c r="V857" s="16" t="s">
        <v>114</v>
      </c>
      <c r="W857" s="16">
        <f>AI857/AG857</f>
        <v>0.81443298969072164</v>
      </c>
      <c r="X857" s="16" t="s">
        <v>121</v>
      </c>
      <c r="Y857" s="16" t="s">
        <v>110</v>
      </c>
      <c r="Z857" s="16">
        <v>3</v>
      </c>
      <c r="AA857" s="16" t="s">
        <v>161</v>
      </c>
      <c r="AB857" s="16" t="s">
        <v>240</v>
      </c>
      <c r="AC857" s="16" t="s">
        <v>116</v>
      </c>
      <c r="AD857" s="16" t="s">
        <v>116</v>
      </c>
      <c r="AG857" s="16">
        <f>AH857-AI857</f>
        <v>97</v>
      </c>
      <c r="AH857" s="16">
        <v>176</v>
      </c>
      <c r="AI857" s="16">
        <v>79</v>
      </c>
      <c r="AK857" s="16">
        <v>28.5</v>
      </c>
      <c r="AL857" s="16">
        <v>0</v>
      </c>
      <c r="AM857" s="16">
        <v>0</v>
      </c>
      <c r="AN857" s="16">
        <v>0</v>
      </c>
      <c r="AO857" s="16">
        <v>0</v>
      </c>
      <c r="AP857" s="16">
        <f>SUM(AL857:AN857)</f>
        <v>0</v>
      </c>
      <c r="AQ857" s="16">
        <v>1.617</v>
      </c>
      <c r="AR857" s="16">
        <f>AP857-1.472</f>
        <v>-1.472</v>
      </c>
      <c r="AS857" s="16">
        <f>AQ857-1.472</f>
        <v>0.14500000000000002</v>
      </c>
      <c r="AT857" s="16" t="str">
        <f>VLOOKUP(E857,[2]Current!$A$1:$W$435,7,FALSE)</f>
        <v>NB</v>
      </c>
      <c r="AU857" s="16" t="s">
        <v>1288</v>
      </c>
      <c r="AW857" s="128">
        <f>IF(AX857&gt;0,1,0)</f>
        <v>1</v>
      </c>
      <c r="AX857" s="128">
        <f>SUM(BA857,BM857,CU857)</f>
        <v>1</v>
      </c>
      <c r="AY857" s="128">
        <f>SUM(BB857,BN857,CV857)</f>
        <v>413.79310344827582</v>
      </c>
      <c r="AZ857" s="128">
        <f>IF(BA857&gt;0,1,0)</f>
        <v>1</v>
      </c>
      <c r="BA857" s="128">
        <f>SUM(BC857+BF857+BI857)</f>
        <v>1</v>
      </c>
      <c r="BB857" s="128">
        <f>SUM(BE857,BH857,BK857)</f>
        <v>413.79310344827582</v>
      </c>
      <c r="BC857" s="130">
        <f>IF(BD857&gt;0,1,0)</f>
        <v>0</v>
      </c>
      <c r="BD857" s="128">
        <f>VLOOKUP($E857,[2]Current!$A:$AC,26,FALSE)</f>
        <v>0</v>
      </c>
      <c r="BE857" s="128">
        <f>BD857/$AS857</f>
        <v>0</v>
      </c>
      <c r="BF857" s="130">
        <f>IF(BG857&gt;0,1,0)</f>
        <v>0</v>
      </c>
      <c r="BG857" s="137">
        <f>VLOOKUP($E857,[2]Current!$A:$AC,27,FALSE)</f>
        <v>0</v>
      </c>
      <c r="BH857" s="128">
        <f>BG857/$AS857</f>
        <v>0</v>
      </c>
      <c r="BI857" s="130">
        <f>IF(BJ857&gt;0,1,0)</f>
        <v>1</v>
      </c>
      <c r="BJ857" s="128">
        <f>VLOOKUP($E857,[2]Current!$A:$AC,28,FALSE)</f>
        <v>60</v>
      </c>
      <c r="BK857" s="128">
        <f>BJ857/$AS857</f>
        <v>413.79310344827582</v>
      </c>
      <c r="BL857" s="128">
        <f>IF(BM857&gt;0,1,0)</f>
        <v>0</v>
      </c>
      <c r="BM857" s="128">
        <f>SUM(BR857,BU857,BX857,CA857,CD857)</f>
        <v>0</v>
      </c>
      <c r="BN857" s="131">
        <f>SUM(BT857,BW857,BZ857,CC857,CF857)</f>
        <v>0</v>
      </c>
      <c r="BO857" s="128">
        <f>IF(BP857&gt;0,1,0)</f>
        <v>0</v>
      </c>
      <c r="BP857" s="128">
        <f>BM857+CJ857</f>
        <v>0</v>
      </c>
      <c r="BQ857" s="128">
        <f>BN857+CL857</f>
        <v>0</v>
      </c>
      <c r="BR857" s="130">
        <f>IF(BS857&gt;0,1,0)</f>
        <v>0</v>
      </c>
      <c r="BS857" s="128">
        <f>VLOOKUP($E857,[2]Current!$A:$AC,12,FALSE)</f>
        <v>0</v>
      </c>
      <c r="BT857" s="137">
        <f>BS857/$AS857</f>
        <v>0</v>
      </c>
      <c r="BU857" s="130">
        <f>IF(BV857&gt;0,1,0)</f>
        <v>0</v>
      </c>
      <c r="BV857" s="128">
        <f>VLOOKUP($E857,[2]Current!$A:$AC,13,FALSE)</f>
        <v>0</v>
      </c>
      <c r="BW857" s="128">
        <f>BV857/$AS857</f>
        <v>0</v>
      </c>
      <c r="BX857" s="130">
        <f>IF(BY857&gt;0,1,0)</f>
        <v>0</v>
      </c>
      <c r="BY857" s="128">
        <f>VLOOKUP($E857,[2]Current!$A:$AC,14,FALSE)</f>
        <v>0</v>
      </c>
      <c r="BZ857" s="128">
        <f>BY857/$AS857</f>
        <v>0</v>
      </c>
      <c r="CA857" s="130">
        <f>IF(CB857&gt;0,1,0)</f>
        <v>0</v>
      </c>
      <c r="CB857" s="128">
        <f>VLOOKUP($E857,[2]Current!$A:$AC,15,FALSE)</f>
        <v>0</v>
      </c>
      <c r="CC857" s="128">
        <f>CB857/$AS857</f>
        <v>0</v>
      </c>
      <c r="CD857" s="174">
        <f>IF(CE857&gt;0,1,0)</f>
        <v>0</v>
      </c>
      <c r="CE857" s="128">
        <f>VLOOKUP($E857,[2]Current!$A:$AC,16,FALSE)</f>
        <v>0</v>
      </c>
      <c r="CF857" s="128">
        <f>CE857/$AS857</f>
        <v>0</v>
      </c>
      <c r="CG857" s="18"/>
      <c r="CH857" s="18"/>
      <c r="CI857" s="18"/>
      <c r="CJ857" s="130">
        <f>IF(CK857&gt;0,1,0)</f>
        <v>0</v>
      </c>
      <c r="CK857" s="128">
        <f>VLOOKUP($E857,[2]Current!$A:$AC,18,FALSE)</f>
        <v>0</v>
      </c>
      <c r="CL857" s="128">
        <f>CK857/$AS857</f>
        <v>0</v>
      </c>
      <c r="CS857" s="130">
        <f>IF(CU857&gt;0,1,0)</f>
        <v>0</v>
      </c>
      <c r="CU857" s="128">
        <f>VLOOKUP($E857,[2]Current!$A:$AC,17,FALSE)</f>
        <v>0</v>
      </c>
      <c r="CV857" s="128">
        <f>CU857/$AS857</f>
        <v>0</v>
      </c>
      <c r="CW857" s="18"/>
      <c r="CX857" s="18"/>
      <c r="CY857" s="18"/>
      <c r="DF857" s="16" t="e">
        <f>VLOOKUP(K857,'[3]RNA Seq summary tables'!$V$3:$V$99,1,FALSE)</f>
        <v>#N/A</v>
      </c>
      <c r="DG857" s="16">
        <v>1</v>
      </c>
      <c r="DH857" s="16" t="str">
        <f>VLOOKUP(D857,'[6]workflow 3.2018'!$A$1:$S$237,2,FALSE)</f>
        <v>2017MLBS_175</v>
      </c>
      <c r="JP857" s="18"/>
      <c r="JQ857" s="18"/>
      <c r="JR857" s="26"/>
      <c r="JS857" s="26"/>
      <c r="JT857" s="26"/>
      <c r="JU857" s="26"/>
      <c r="JV857" s="26"/>
      <c r="JW857" s="26"/>
      <c r="JX857" s="26"/>
      <c r="JY857" s="26"/>
      <c r="JZ857" s="26"/>
      <c r="KA857" s="26"/>
      <c r="KB857" s="26"/>
    </row>
    <row r="858" spans="2:288" x14ac:dyDescent="0.2">
      <c r="B858" s="16">
        <v>2017</v>
      </c>
      <c r="C858" s="66">
        <v>42887</v>
      </c>
      <c r="D858" s="66" t="str">
        <f>CONCATENATE(J858,"-",C858)</f>
        <v>1037-42887</v>
      </c>
      <c r="E858" s="20" t="str">
        <f>CONCATENATE(T858,"-",U858,"-",C858)</f>
        <v>SP1-E4-42887</v>
      </c>
      <c r="F858" s="20" t="s">
        <v>106</v>
      </c>
      <c r="G858" s="20" t="s">
        <v>107</v>
      </c>
      <c r="I858" s="16">
        <v>0</v>
      </c>
      <c r="J858" s="21">
        <v>1037</v>
      </c>
      <c r="K858" s="21">
        <v>1592</v>
      </c>
      <c r="L858" s="18">
        <v>0</v>
      </c>
      <c r="M858" s="21">
        <f>VLOOKUP($K858,'[4]blood tubes 2017'!$D$1:$L$647,8,FALSE)</f>
        <v>0</v>
      </c>
      <c r="N858" s="15">
        <v>0</v>
      </c>
      <c r="O858" s="15" t="s">
        <v>214</v>
      </c>
      <c r="P858" s="16" t="s">
        <v>110</v>
      </c>
      <c r="Q858" s="16">
        <v>0</v>
      </c>
      <c r="R858" s="16" t="s">
        <v>111</v>
      </c>
      <c r="T858" s="16" t="s">
        <v>140</v>
      </c>
      <c r="U858" s="16" t="s">
        <v>206</v>
      </c>
      <c r="V858" s="16" t="s">
        <v>114</v>
      </c>
      <c r="W858" s="16">
        <f>AI858/AG858</f>
        <v>0.7528089887640449</v>
      </c>
      <c r="X858" s="16" t="s">
        <v>121</v>
      </c>
      <c r="Y858" s="16" t="s">
        <v>110</v>
      </c>
      <c r="Z858" s="16">
        <v>3</v>
      </c>
      <c r="AA858" s="16" t="s">
        <v>161</v>
      </c>
      <c r="AB858" s="16" t="s">
        <v>116</v>
      </c>
      <c r="AC858" s="16" t="s">
        <v>116</v>
      </c>
      <c r="AD858" s="16" t="s">
        <v>116</v>
      </c>
      <c r="AG858" s="16">
        <f>AH858-AI858</f>
        <v>89</v>
      </c>
      <c r="AH858" s="16">
        <v>156</v>
      </c>
      <c r="AI858" s="16">
        <v>67</v>
      </c>
      <c r="AK858" s="16">
        <v>20</v>
      </c>
      <c r="AL858" s="16">
        <v>0</v>
      </c>
      <c r="AM858" s="16">
        <v>0</v>
      </c>
      <c r="AN858" s="16">
        <v>0</v>
      </c>
      <c r="AO858" s="16">
        <v>0</v>
      </c>
      <c r="AP858" s="16">
        <f>SUM(AL858:AN858)</f>
        <v>0</v>
      </c>
      <c r="AQ858" s="16">
        <v>1.627</v>
      </c>
      <c r="AR858" s="16">
        <f>AP858-1.472</f>
        <v>-1.472</v>
      </c>
      <c r="AS858" s="16">
        <f>AQ858-1.472</f>
        <v>0.15500000000000003</v>
      </c>
      <c r="AT858" s="16" t="s">
        <v>119</v>
      </c>
      <c r="AW858" s="16">
        <f>IF(AX858&gt;0,1,0)</f>
        <v>1</v>
      </c>
      <c r="AX858" s="16">
        <f>SUM(BA858,BM858,CT858)</f>
        <v>1</v>
      </c>
      <c r="AY858" s="18">
        <f>SUM(BB858,BN858,CV858)</f>
        <v>6.4516129032258052</v>
      </c>
      <c r="AZ858" s="16">
        <f>IF(BA858&gt;0,1,0)</f>
        <v>1</v>
      </c>
      <c r="BA858" s="16">
        <f>SUM(BC858,BF858,BI858)</f>
        <v>1</v>
      </c>
      <c r="BB858" s="16">
        <f>SUM(BE858,BH858,BK858)</f>
        <v>6.4516129032258052</v>
      </c>
      <c r="BC858" s="16">
        <v>0</v>
      </c>
      <c r="BD858" s="16">
        <v>0</v>
      </c>
      <c r="BE858" s="16">
        <f>BD858/AS858</f>
        <v>0</v>
      </c>
      <c r="BF858" s="16">
        <v>1</v>
      </c>
      <c r="BG858" s="77">
        <v>1</v>
      </c>
      <c r="BH858" s="16">
        <f>BG858/AS858</f>
        <v>6.4516129032258052</v>
      </c>
      <c r="BI858" s="16">
        <v>0</v>
      </c>
      <c r="BJ858" s="16">
        <v>0</v>
      </c>
      <c r="BK858" s="16">
        <f>BJ858/AS858</f>
        <v>0</v>
      </c>
      <c r="BL858" s="16">
        <f>IF(BM858&gt;0,1,0)</f>
        <v>0</v>
      </c>
      <c r="BM858" s="16">
        <f>SUM(BR858,BU858,BX858,CA858,CD858,CG858,CJ858,CM858,CP858)</f>
        <v>0</v>
      </c>
      <c r="BN858" s="16">
        <f>SUM(BW858,BZ858,CC858,CF858,CI858,CL858,CO858,CR858,BT858)</f>
        <v>0</v>
      </c>
      <c r="BO858" s="16">
        <f>IF(BP858&gt;0,1,0)</f>
        <v>0</v>
      </c>
      <c r="BP858" s="16">
        <f>SUM(BU858,BX858,CA858,CD858,BR858)</f>
        <v>0</v>
      </c>
      <c r="BQ858" s="16">
        <f>SUM(BZ858,CC858,CF858,BT858,BW858)</f>
        <v>0</v>
      </c>
      <c r="BR858" s="16">
        <v>0</v>
      </c>
      <c r="BS858" s="16">
        <v>0</v>
      </c>
      <c r="BT858" s="77">
        <f>BS858/AS858</f>
        <v>0</v>
      </c>
      <c r="BU858" s="16">
        <v>0</v>
      </c>
      <c r="BV858" s="16">
        <v>0</v>
      </c>
      <c r="BW858" s="16">
        <f>BV858/AS858</f>
        <v>0</v>
      </c>
      <c r="BX858" s="16">
        <v>0</v>
      </c>
      <c r="BY858" s="16">
        <v>0</v>
      </c>
      <c r="BZ858" s="16">
        <f>BY858/AS858</f>
        <v>0</v>
      </c>
      <c r="CA858" s="16">
        <v>0</v>
      </c>
      <c r="CB858" s="16">
        <v>0</v>
      </c>
      <c r="CC858" s="16">
        <f>CB858/AS858</f>
        <v>0</v>
      </c>
      <c r="CD858" s="77">
        <v>0</v>
      </c>
      <c r="CE858" s="16">
        <v>0</v>
      </c>
      <c r="CF858" s="16">
        <f>CE858/AS858</f>
        <v>0</v>
      </c>
      <c r="CG858" s="16">
        <v>0</v>
      </c>
      <c r="CH858" s="16">
        <v>0</v>
      </c>
      <c r="CI858" s="16">
        <f>CH858/AS858</f>
        <v>0</v>
      </c>
      <c r="CM858" s="16">
        <v>0</v>
      </c>
      <c r="CN858" s="16">
        <v>0</v>
      </c>
      <c r="CO858" s="16">
        <f>CN858/AS858</f>
        <v>0</v>
      </c>
      <c r="CP858" s="16">
        <v>0</v>
      </c>
      <c r="CQ858" s="16">
        <v>0</v>
      </c>
      <c r="CR858" s="16">
        <f>CQ858/AS858</f>
        <v>0</v>
      </c>
      <c r="CS858" s="16">
        <f>IF(CT858&gt;0,1,0)</f>
        <v>0</v>
      </c>
      <c r="CT858" s="16">
        <f>SUM(CW858,CZ858,DC858)</f>
        <v>0</v>
      </c>
      <c r="CV858" s="16">
        <f>SUM(CY858,DB858,DE858)</f>
        <v>0</v>
      </c>
      <c r="CW858" s="16">
        <v>0</v>
      </c>
      <c r="CX858" s="16">
        <v>0</v>
      </c>
      <c r="CY858" s="16">
        <f>CX858/AS858</f>
        <v>0</v>
      </c>
      <c r="CZ858" s="16">
        <v>0</v>
      </c>
      <c r="DA858" s="16">
        <v>0</v>
      </c>
      <c r="DB858" s="16">
        <f>DA858/AS858</f>
        <v>0</v>
      </c>
      <c r="DC858" s="16">
        <v>0</v>
      </c>
      <c r="DD858" s="16">
        <v>0</v>
      </c>
      <c r="DE858" s="16">
        <f>DD858/AS858</f>
        <v>0</v>
      </c>
      <c r="DF858" s="16" t="e">
        <f>VLOOKUP(K858,'[3]RNA Seq summary tables'!$V$3:$V$99,1,FALSE)</f>
        <v>#N/A</v>
      </c>
      <c r="DG858" s="16">
        <v>1</v>
      </c>
      <c r="DH858" s="16" t="str">
        <f>VLOOKUP(D858,'[6]workflow 3.2018'!$A$1:$S$237,2,FALSE)</f>
        <v>2017MLBS_4</v>
      </c>
      <c r="DI858" s="16">
        <v>40</v>
      </c>
      <c r="DK858" s="16">
        <v>47</v>
      </c>
      <c r="DM858" s="16">
        <v>13</v>
      </c>
      <c r="DO858" s="16">
        <v>0</v>
      </c>
      <c r="DQ858" s="16">
        <v>0</v>
      </c>
      <c r="DR858" s="16">
        <v>100</v>
      </c>
      <c r="JP858" s="18"/>
      <c r="JQ858" s="18"/>
    </row>
    <row r="859" spans="2:288" x14ac:dyDescent="0.2">
      <c r="B859" s="16">
        <v>2017</v>
      </c>
      <c r="C859" s="20">
        <v>42905</v>
      </c>
      <c r="D859" s="20" t="str">
        <f>CONCATENATE(J859,"-",C859)</f>
        <v>1037-42905</v>
      </c>
      <c r="E859" s="20" t="str">
        <f>CONCATENATE(T859,"-",U859,"-",C859)</f>
        <v>SP1-E4-42905</v>
      </c>
      <c r="F859" s="20" t="s">
        <v>106</v>
      </c>
      <c r="G859" s="20" t="s">
        <v>107</v>
      </c>
      <c r="I859" s="16">
        <v>0</v>
      </c>
      <c r="J859" s="21">
        <v>1037</v>
      </c>
      <c r="K859" s="21">
        <v>1695</v>
      </c>
      <c r="L859" s="18">
        <v>0</v>
      </c>
      <c r="M859" s="21">
        <f>VLOOKUP($K859,'[4]blood tubes 2017'!$D$1:$L$647,8,FALSE)</f>
        <v>0</v>
      </c>
      <c r="N859" s="15">
        <v>0</v>
      </c>
      <c r="O859" s="15" t="s">
        <v>214</v>
      </c>
      <c r="P859" s="16" t="s">
        <v>110</v>
      </c>
      <c r="Q859" s="16">
        <v>1</v>
      </c>
      <c r="R859" s="16">
        <v>18</v>
      </c>
      <c r="T859" s="16" t="s">
        <v>140</v>
      </c>
      <c r="U859" s="16" t="s">
        <v>206</v>
      </c>
      <c r="V859" s="16" t="s">
        <v>114</v>
      </c>
      <c r="W859" s="16">
        <f>AI859/AG859</f>
        <v>0.83720930232558144</v>
      </c>
      <c r="X859" s="16" t="s">
        <v>121</v>
      </c>
      <c r="Y859" s="16" t="s">
        <v>110</v>
      </c>
      <c r="Z859" s="16">
        <v>3</v>
      </c>
      <c r="AA859" s="16" t="s">
        <v>119</v>
      </c>
      <c r="AB859" s="16" t="s">
        <v>240</v>
      </c>
      <c r="AC859" s="16" t="s">
        <v>116</v>
      </c>
      <c r="AD859" s="16" t="s">
        <v>116</v>
      </c>
      <c r="AG859" s="16">
        <f>AH859-AI859</f>
        <v>86</v>
      </c>
      <c r="AH859" s="16">
        <v>158</v>
      </c>
      <c r="AI859" s="16">
        <v>72</v>
      </c>
      <c r="AK859" s="16">
        <v>26</v>
      </c>
      <c r="AL859" s="16">
        <v>0</v>
      </c>
      <c r="AM859" s="16">
        <v>0</v>
      </c>
      <c r="AN859" s="16">
        <v>0</v>
      </c>
      <c r="AO859" s="16">
        <v>0</v>
      </c>
      <c r="AP859" s="16">
        <f>SUM(AL859:AN859)</f>
        <v>0</v>
      </c>
      <c r="AQ859" s="16">
        <v>2.1</v>
      </c>
      <c r="AR859" s="16">
        <f>AP859-1.472</f>
        <v>-1.472</v>
      </c>
      <c r="AS859" s="16">
        <f>AQ859-1.472</f>
        <v>0.62800000000000011</v>
      </c>
      <c r="AT859" s="16" t="s">
        <v>233</v>
      </c>
      <c r="AV859" s="16">
        <v>1</v>
      </c>
      <c r="AW859" s="16">
        <f>IF(AX859&gt;0,1,0)</f>
        <v>0</v>
      </c>
      <c r="AX859" s="16">
        <f>SUM(BA859,BM859,CT859)</f>
        <v>0</v>
      </c>
      <c r="AY859" s="18">
        <f>SUM(BB859,BN859,CV859)</f>
        <v>0</v>
      </c>
      <c r="AZ859" s="16">
        <f>IF(BA859&gt;0,1,0)</f>
        <v>0</v>
      </c>
      <c r="BA859" s="16">
        <f>SUM(BC859,BF859,BI859)</f>
        <v>0</v>
      </c>
      <c r="BB859" s="16">
        <f>SUM(BE859,BH859,BK859)</f>
        <v>0</v>
      </c>
      <c r="BC859" s="16">
        <v>0</v>
      </c>
      <c r="BD859" s="16">
        <v>0</v>
      </c>
      <c r="BE859" s="16">
        <f>BD859/AS859</f>
        <v>0</v>
      </c>
      <c r="BF859" s="16">
        <v>0</v>
      </c>
      <c r="BG859" s="77">
        <v>0</v>
      </c>
      <c r="BH859" s="16">
        <f>BG859/AS859</f>
        <v>0</v>
      </c>
      <c r="BI859" s="16">
        <v>0</v>
      </c>
      <c r="BJ859" s="16">
        <v>0</v>
      </c>
      <c r="BK859" s="16">
        <f>BJ859/AS859</f>
        <v>0</v>
      </c>
      <c r="BL859" s="16">
        <f>IF(BM859&gt;0,1,0)</f>
        <v>0</v>
      </c>
      <c r="BM859" s="16">
        <f>SUM(BR859,BU859,BX859,CA859,CD859,CG859,CJ859,CM859,CP859)</f>
        <v>0</v>
      </c>
      <c r="BN859" s="16">
        <f>SUM(BW859,BZ859,CC859,CF859,CI859,CL859,CO859,CR859,BT859)</f>
        <v>0</v>
      </c>
      <c r="BO859" s="16">
        <f>IF(BP859&gt;0,1,0)</f>
        <v>0</v>
      </c>
      <c r="BP859" s="16">
        <f>SUM(BU859,BX859,CA859,CD859,BR859)</f>
        <v>0</v>
      </c>
      <c r="BQ859" s="16">
        <f>SUM(BZ859,CC859,CF859,BT859,BW859)</f>
        <v>0</v>
      </c>
      <c r="BR859" s="16">
        <v>0</v>
      </c>
      <c r="BS859" s="16">
        <v>0</v>
      </c>
      <c r="BT859" s="77">
        <f>BS859/AS859</f>
        <v>0</v>
      </c>
      <c r="BU859" s="16">
        <v>0</v>
      </c>
      <c r="BV859" s="16">
        <v>0</v>
      </c>
      <c r="BW859" s="16">
        <f>BV859/AS859</f>
        <v>0</v>
      </c>
      <c r="BX859" s="16">
        <v>0</v>
      </c>
      <c r="BY859" s="16">
        <v>0</v>
      </c>
      <c r="BZ859" s="16">
        <f>BY859/AS859</f>
        <v>0</v>
      </c>
      <c r="CA859" s="16">
        <v>0</v>
      </c>
      <c r="CB859" s="16">
        <v>0</v>
      </c>
      <c r="CC859" s="16">
        <f>CB859/AS859</f>
        <v>0</v>
      </c>
      <c r="CD859" s="77">
        <v>0</v>
      </c>
      <c r="CE859" s="16">
        <v>0</v>
      </c>
      <c r="CF859" s="16">
        <f>CE859/AS859</f>
        <v>0</v>
      </c>
      <c r="CG859" s="16">
        <v>0</v>
      </c>
      <c r="CH859" s="16">
        <v>0</v>
      </c>
      <c r="CI859" s="16">
        <f>CH859/AS859</f>
        <v>0</v>
      </c>
      <c r="CM859" s="16">
        <v>0</v>
      </c>
      <c r="CN859" s="16">
        <v>0</v>
      </c>
      <c r="CO859" s="16">
        <f>CN859/AS859</f>
        <v>0</v>
      </c>
      <c r="CP859" s="16">
        <v>0</v>
      </c>
      <c r="CQ859" s="16">
        <v>0</v>
      </c>
      <c r="CR859" s="16">
        <f>CQ859/AS859</f>
        <v>0</v>
      </c>
      <c r="CS859" s="16">
        <f>IF(CT859&gt;0,1,0)</f>
        <v>0</v>
      </c>
      <c r="CT859" s="16">
        <f>SUM(CW859,CZ859,DC859)</f>
        <v>0</v>
      </c>
      <c r="CV859" s="16">
        <f>SUM(CY859,DB859,DE859)</f>
        <v>0</v>
      </c>
      <c r="CW859" s="16">
        <v>0</v>
      </c>
      <c r="CX859" s="16">
        <v>0</v>
      </c>
      <c r="CY859" s="16">
        <f>CX859/AS859</f>
        <v>0</v>
      </c>
      <c r="CZ859" s="16">
        <v>0</v>
      </c>
      <c r="DA859" s="16">
        <v>0</v>
      </c>
      <c r="DB859" s="16">
        <f>DA859/AS859</f>
        <v>0</v>
      </c>
      <c r="DC859" s="16">
        <v>0</v>
      </c>
      <c r="DD859" s="16">
        <v>0</v>
      </c>
      <c r="DE859" s="16">
        <f>DD859/AS859</f>
        <v>0</v>
      </c>
      <c r="DF859" s="16" t="e">
        <f>VLOOKUP(K859,'[3]RNA Seq summary tables'!$V$3:$V$99,1,FALSE)</f>
        <v>#N/A</v>
      </c>
      <c r="DI859" s="16">
        <v>44</v>
      </c>
      <c r="DK859" s="16">
        <v>56</v>
      </c>
      <c r="DM859" s="16">
        <v>0</v>
      </c>
      <c r="DO859" s="16">
        <v>0</v>
      </c>
      <c r="DQ859" s="16">
        <v>0</v>
      </c>
      <c r="DR859" s="16">
        <f>SUM(DI859:DQ859)</f>
        <v>100</v>
      </c>
    </row>
    <row r="860" spans="2:288" x14ac:dyDescent="0.2">
      <c r="B860" s="16">
        <v>2017</v>
      </c>
      <c r="C860" s="66">
        <v>42887</v>
      </c>
      <c r="D860" s="66" t="str">
        <f>CONCATENATE(J860,"-",C860)</f>
        <v>1039-42887</v>
      </c>
      <c r="E860" s="20" t="str">
        <f>CONCATENATE(T860,"-",U860,"-",C860)</f>
        <v>SP1-F1-42887</v>
      </c>
      <c r="F860" s="20" t="s">
        <v>106</v>
      </c>
      <c r="G860" s="20" t="s">
        <v>107</v>
      </c>
      <c r="H860" s="16" t="s">
        <v>238</v>
      </c>
      <c r="I860" s="16">
        <v>0</v>
      </c>
      <c r="J860" s="21">
        <v>1039</v>
      </c>
      <c r="K860" s="21">
        <v>1594</v>
      </c>
      <c r="L860" s="18">
        <v>0</v>
      </c>
      <c r="M860" s="21">
        <f>VLOOKUP($K860,'[4]blood tubes 2017'!$D$1:$L$647,8,FALSE)</f>
        <v>0</v>
      </c>
      <c r="N860" s="15">
        <v>0</v>
      </c>
      <c r="O860" s="15" t="s">
        <v>214</v>
      </c>
      <c r="P860" s="16" t="s">
        <v>110</v>
      </c>
      <c r="Q860" s="16">
        <v>0</v>
      </c>
      <c r="R860" s="16" t="s">
        <v>111</v>
      </c>
      <c r="T860" s="16" t="s">
        <v>140</v>
      </c>
      <c r="U860" s="16" t="s">
        <v>217</v>
      </c>
      <c r="V860" s="16" t="s">
        <v>114</v>
      </c>
      <c r="W860" s="16">
        <f>AI860/AG860</f>
        <v>0.81395348837209303</v>
      </c>
      <c r="X860" s="16" t="s">
        <v>115</v>
      </c>
      <c r="Y860" s="16" t="s">
        <v>110</v>
      </c>
      <c r="Z860" s="16">
        <v>3</v>
      </c>
      <c r="AE860" s="16" t="s">
        <v>123</v>
      </c>
      <c r="AF860" s="16" t="s">
        <v>123</v>
      </c>
      <c r="AG860" s="16">
        <f>AH860-AI860</f>
        <v>86</v>
      </c>
      <c r="AH860" s="16">
        <v>156</v>
      </c>
      <c r="AI860" s="16">
        <v>70</v>
      </c>
      <c r="AK860" s="16">
        <v>19</v>
      </c>
      <c r="AL860" s="16">
        <v>1</v>
      </c>
      <c r="AM860" s="16">
        <v>1</v>
      </c>
      <c r="AN860" s="16">
        <v>0</v>
      </c>
      <c r="AO860" s="16">
        <v>1</v>
      </c>
      <c r="AP860" s="16">
        <f>SUM(AL860:AN860)</f>
        <v>2</v>
      </c>
      <c r="AQ860" s="18"/>
      <c r="AT860" s="18" t="s">
        <v>164</v>
      </c>
      <c r="AU860" s="18"/>
      <c r="AV860" s="18"/>
      <c r="AW860" s="16">
        <f>IF(AX860&gt;0,1,0)</f>
        <v>1</v>
      </c>
      <c r="AX860" s="16">
        <f>SUM(BA860,BM860,CT860)</f>
        <v>5</v>
      </c>
      <c r="AY860" s="18"/>
      <c r="AZ860" s="16">
        <f>IF(BA860&gt;0,1,0)</f>
        <v>1</v>
      </c>
      <c r="BA860" s="16">
        <f>SUM(BC860,BF860,BI860)</f>
        <v>3</v>
      </c>
      <c r="BC860" s="16">
        <v>1</v>
      </c>
      <c r="BD860" s="16">
        <v>22</v>
      </c>
      <c r="BF860" s="16">
        <v>1</v>
      </c>
      <c r="BG860" s="77">
        <v>124</v>
      </c>
      <c r="BI860" s="16">
        <v>1</v>
      </c>
      <c r="BJ860" s="16">
        <v>14</v>
      </c>
      <c r="BL860" s="16">
        <f>IF(BM860&gt;0,1,0)</f>
        <v>1</v>
      </c>
      <c r="BM860" s="16">
        <f>SUM(BR860,BU860,BX860,CA860,CD860)</f>
        <v>2</v>
      </c>
      <c r="BR860" s="16">
        <v>1</v>
      </c>
      <c r="BS860" s="16">
        <v>5</v>
      </c>
      <c r="BT860" s="77"/>
      <c r="BU860" s="16">
        <v>1</v>
      </c>
      <c r="BV860" s="16">
        <v>1</v>
      </c>
      <c r="BX860" s="16">
        <v>0</v>
      </c>
      <c r="BY860" s="16">
        <v>0</v>
      </c>
      <c r="CA860" s="16">
        <v>0</v>
      </c>
      <c r="CB860" s="16">
        <v>0</v>
      </c>
      <c r="CD860" s="77">
        <v>0</v>
      </c>
      <c r="CE860" s="16">
        <v>0</v>
      </c>
      <c r="CG860" s="16">
        <v>0</v>
      </c>
      <c r="CH860" s="16">
        <v>0</v>
      </c>
      <c r="CM860" s="16">
        <v>0</v>
      </c>
      <c r="CN860" s="16">
        <v>0</v>
      </c>
      <c r="CP860" s="16">
        <v>0</v>
      </c>
      <c r="CQ860" s="16">
        <v>0</v>
      </c>
      <c r="CS860" s="16">
        <f>IF(CT860&gt;0,1,0)</f>
        <v>0</v>
      </c>
      <c r="CT860" s="16">
        <f>SUM(CW860,CZ860,DC860)</f>
        <v>0</v>
      </c>
      <c r="CW860" s="16">
        <v>0</v>
      </c>
      <c r="CX860" s="16">
        <v>0</v>
      </c>
      <c r="CZ860" s="16">
        <v>0</v>
      </c>
      <c r="DA860" s="16">
        <v>0</v>
      </c>
      <c r="DC860" s="16">
        <v>0</v>
      </c>
      <c r="DD860" s="16">
        <v>0</v>
      </c>
      <c r="DF860" s="16" t="e">
        <f>VLOOKUP(K860,'[3]RNA Seq summary tables'!$V$3:$V$99,1,FALSE)</f>
        <v>#N/A</v>
      </c>
      <c r="DG860" s="16">
        <v>1</v>
      </c>
      <c r="DH860" s="16" t="str">
        <f>VLOOKUP(D860,'[6]workflow 3.2018'!$A$1:$S$237,2,FALSE)</f>
        <v>2017MLBS_6</v>
      </c>
      <c r="DI860" s="16">
        <v>39</v>
      </c>
      <c r="DK860" s="16">
        <v>44</v>
      </c>
      <c r="DM860" s="16">
        <v>17</v>
      </c>
      <c r="DO860" s="16">
        <v>0</v>
      </c>
      <c r="DQ860" s="16">
        <v>0</v>
      </c>
      <c r="DR860" s="16">
        <v>100</v>
      </c>
    </row>
    <row r="861" spans="2:288" x14ac:dyDescent="0.2">
      <c r="B861" s="16">
        <v>2017</v>
      </c>
      <c r="C861" s="71">
        <v>42887</v>
      </c>
      <c r="D861" s="71" t="str">
        <f>CONCATENATE(J861,"-",C861)</f>
        <v>1041-42887</v>
      </c>
      <c r="E861" s="20" t="str">
        <f>CONCATENATE(T861,"-",U861,"-",C861)</f>
        <v>SP1-G5-42887</v>
      </c>
      <c r="F861" s="20" t="s">
        <v>106</v>
      </c>
      <c r="G861" s="20" t="s">
        <v>107</v>
      </c>
      <c r="H861" s="18"/>
      <c r="I861" s="16">
        <v>0</v>
      </c>
      <c r="J861" s="36">
        <v>1041</v>
      </c>
      <c r="K861" s="36">
        <v>1596</v>
      </c>
      <c r="L861" s="18">
        <v>0</v>
      </c>
      <c r="M861" s="21">
        <f>VLOOKUP($K861,'[4]blood tubes 2017'!$D$1:$L$647,8,FALSE)</f>
        <v>0</v>
      </c>
      <c r="N861" s="15">
        <v>0</v>
      </c>
      <c r="O861" s="15" t="s">
        <v>214</v>
      </c>
      <c r="P861" s="18" t="s">
        <v>110</v>
      </c>
      <c r="Q861" s="16">
        <v>0</v>
      </c>
      <c r="R861" s="18" t="s">
        <v>111</v>
      </c>
      <c r="S861" s="18"/>
      <c r="T861" s="18" t="s">
        <v>140</v>
      </c>
      <c r="U861" s="18" t="s">
        <v>200</v>
      </c>
      <c r="V861" s="18" t="s">
        <v>114</v>
      </c>
      <c r="W861" s="16">
        <f>AI861/AG861</f>
        <v>0.80645161290322576</v>
      </c>
      <c r="X861" s="18" t="s">
        <v>115</v>
      </c>
      <c r="Y861" s="18" t="s">
        <v>110</v>
      </c>
      <c r="Z861" s="18">
        <v>3</v>
      </c>
      <c r="AA861" s="18"/>
      <c r="AB861" s="18"/>
      <c r="AC861" s="18"/>
      <c r="AD861" s="18"/>
      <c r="AE861" s="18" t="s">
        <v>123</v>
      </c>
      <c r="AF861" s="18" t="s">
        <v>123</v>
      </c>
      <c r="AG861" s="18">
        <f>AH861-AI861</f>
        <v>93</v>
      </c>
      <c r="AH861" s="18">
        <v>168</v>
      </c>
      <c r="AI861" s="18">
        <v>75</v>
      </c>
      <c r="AJ861" s="18"/>
      <c r="AK861" s="18">
        <v>23</v>
      </c>
      <c r="AL861" s="18">
        <v>1</v>
      </c>
      <c r="AM861" s="18">
        <v>0</v>
      </c>
      <c r="AN861" s="18">
        <v>0</v>
      </c>
      <c r="AO861" s="18">
        <v>1</v>
      </c>
      <c r="AP861" s="16">
        <f>SUM(AL861:AN861)</f>
        <v>1</v>
      </c>
      <c r="AQ861" s="18">
        <v>1.7030000000000001</v>
      </c>
      <c r="AR861" s="16">
        <f>AP861-1.472</f>
        <v>-0.47199999999999998</v>
      </c>
      <c r="AS861" s="16">
        <f>AQ861-1.472</f>
        <v>0.23100000000000009</v>
      </c>
      <c r="AT861" s="16" t="s">
        <v>234</v>
      </c>
      <c r="AW861" s="16">
        <f>IF(AX861&gt;0,1,0)</f>
        <v>1</v>
      </c>
      <c r="AX861" s="16">
        <f>SUM(BA861,BM861,CT861)</f>
        <v>1</v>
      </c>
      <c r="AY861" s="18">
        <f>SUM(BB861,BN861,CV861)</f>
        <v>25.974025974025963</v>
      </c>
      <c r="AZ861" s="16">
        <f>IF(BA861&gt;0,1,0)</f>
        <v>1</v>
      </c>
      <c r="BA861" s="16">
        <f>SUM(BC861,BF861,BI861)</f>
        <v>1</v>
      </c>
      <c r="BB861" s="16">
        <f>SUM(BE861,BH861,BK861)</f>
        <v>25.974025974025963</v>
      </c>
      <c r="BC861" s="18">
        <v>0</v>
      </c>
      <c r="BD861" s="18">
        <v>0</v>
      </c>
      <c r="BE861" s="16">
        <f>BD861/AS861</f>
        <v>0</v>
      </c>
      <c r="BF861" s="18">
        <v>1</v>
      </c>
      <c r="BG861" s="78">
        <v>6</v>
      </c>
      <c r="BH861" s="16">
        <f>BG861/AS861</f>
        <v>25.974025974025963</v>
      </c>
      <c r="BI861" s="18">
        <v>0</v>
      </c>
      <c r="BJ861" s="18">
        <v>0</v>
      </c>
      <c r="BK861" s="16">
        <f>BJ861/AS861</f>
        <v>0</v>
      </c>
      <c r="BL861" s="16">
        <f>IF(BM861&gt;0,1,0)</f>
        <v>0</v>
      </c>
      <c r="BM861" s="16">
        <f>SUM(BR861,BU861,BX861,CA861,CD861,CG861,CJ861,CM861,CP861)</f>
        <v>0</v>
      </c>
      <c r="BN861" s="16">
        <f>SUM(BW861,BZ861,CC861,CF861,CI861,CL861,CO861,CR861,BT861)</f>
        <v>0</v>
      </c>
      <c r="BO861" s="16">
        <f>IF(BP861&gt;0,1,0)</f>
        <v>0</v>
      </c>
      <c r="BP861" s="16">
        <f>SUM(BU861,BX861,CA861,CD861,BR861)</f>
        <v>0</v>
      </c>
      <c r="BQ861" s="16">
        <f>SUM(BZ861,CC861,CF861,BT861,BW861)</f>
        <v>0</v>
      </c>
      <c r="BR861" s="18">
        <v>0</v>
      </c>
      <c r="BS861" s="18">
        <v>0</v>
      </c>
      <c r="BT861" s="77">
        <f>BS861/AS861</f>
        <v>0</v>
      </c>
      <c r="BU861" s="18">
        <v>0</v>
      </c>
      <c r="BV861" s="18">
        <v>0</v>
      </c>
      <c r="BW861" s="16">
        <f>BV861/AS861</f>
        <v>0</v>
      </c>
      <c r="BX861" s="18">
        <v>0</v>
      </c>
      <c r="BY861" s="18">
        <v>0</v>
      </c>
      <c r="BZ861" s="16">
        <f>BY861/AS861</f>
        <v>0</v>
      </c>
      <c r="CA861" s="18">
        <v>0</v>
      </c>
      <c r="CB861" s="18">
        <v>0</v>
      </c>
      <c r="CC861" s="16">
        <f>CB861/AS861</f>
        <v>0</v>
      </c>
      <c r="CD861" s="78">
        <v>0</v>
      </c>
      <c r="CE861" s="18">
        <v>0</v>
      </c>
      <c r="CF861" s="16">
        <f>CE861/AS861</f>
        <v>0</v>
      </c>
      <c r="CG861" s="22">
        <v>0</v>
      </c>
      <c r="CH861" s="22">
        <v>0</v>
      </c>
      <c r="CI861" s="16">
        <f>CH861/AS861</f>
        <v>0</v>
      </c>
      <c r="CM861" s="22">
        <v>0</v>
      </c>
      <c r="CN861" s="22">
        <v>0</v>
      </c>
      <c r="CO861" s="16">
        <f>CN861/AS861</f>
        <v>0</v>
      </c>
      <c r="CP861" s="22">
        <v>0</v>
      </c>
      <c r="CQ861" s="22">
        <v>0</v>
      </c>
      <c r="CR861" s="16">
        <f>CQ861/AS861</f>
        <v>0</v>
      </c>
      <c r="CS861" s="16">
        <f>IF(CT861&gt;0,1,0)</f>
        <v>0</v>
      </c>
      <c r="CT861" s="16">
        <f>SUM(CW861,CZ861,DC861)</f>
        <v>0</v>
      </c>
      <c r="CV861" s="16">
        <f>SUM(CY861,DB861,DE861)</f>
        <v>0</v>
      </c>
      <c r="CW861" s="18">
        <v>0</v>
      </c>
      <c r="CX861" s="18">
        <v>0</v>
      </c>
      <c r="CY861" s="16">
        <f>CX861/AS861</f>
        <v>0</v>
      </c>
      <c r="CZ861" s="18">
        <v>0</v>
      </c>
      <c r="DA861" s="18">
        <v>0</v>
      </c>
      <c r="DB861" s="16">
        <f>DA861/AS861</f>
        <v>0</v>
      </c>
      <c r="DC861" s="18">
        <v>0</v>
      </c>
      <c r="DD861" s="18">
        <v>0</v>
      </c>
      <c r="DE861" s="16">
        <f>DD861/AS861</f>
        <v>0</v>
      </c>
      <c r="DF861" s="16" t="e">
        <f>VLOOKUP(K861,'[3]RNA Seq summary tables'!$V$3:$V$99,1,FALSE)</f>
        <v>#N/A</v>
      </c>
      <c r="DG861" s="16">
        <v>1</v>
      </c>
      <c r="DH861" s="16" t="str">
        <f>VLOOKUP(D861,'[6]workflow 3.2018'!$A$1:$S$237,2,FALSE)</f>
        <v>2017MLBS_8</v>
      </c>
      <c r="DI861" s="18">
        <v>52</v>
      </c>
      <c r="DJ861" s="18"/>
      <c r="DK861" s="18">
        <v>22</v>
      </c>
      <c r="DL861" s="18"/>
      <c r="DM861" s="18">
        <v>12</v>
      </c>
      <c r="DN861" s="18"/>
      <c r="DO861" s="18">
        <v>0</v>
      </c>
      <c r="DP861" s="18"/>
      <c r="DQ861" s="18">
        <v>9</v>
      </c>
      <c r="DR861" s="18">
        <v>95</v>
      </c>
      <c r="DS861" s="18"/>
      <c r="JO861" s="18"/>
    </row>
    <row r="862" spans="2:288" x14ac:dyDescent="0.2">
      <c r="B862" s="16">
        <v>2017</v>
      </c>
      <c r="C862" s="66">
        <v>42887</v>
      </c>
      <c r="D862" s="66" t="str">
        <f>CONCATENATE(J862,"-",C862)</f>
        <v>1043-42887</v>
      </c>
      <c r="E862" s="20" t="str">
        <f>CONCATENATE(T862,"-",U862,"-",C862)</f>
        <v>SP2-B8-42887</v>
      </c>
      <c r="F862" s="20" t="s">
        <v>106</v>
      </c>
      <c r="G862" s="20" t="s">
        <v>107</v>
      </c>
      <c r="I862" s="16">
        <v>0</v>
      </c>
      <c r="J862" s="21">
        <v>1043</v>
      </c>
      <c r="K862" s="21">
        <v>1598</v>
      </c>
      <c r="L862" s="18">
        <v>0</v>
      </c>
      <c r="M862" s="21">
        <f>VLOOKUP($K862,'[4]blood tubes 2017'!$D$1:$L$647,8,FALSE)</f>
        <v>0</v>
      </c>
      <c r="N862" s="15">
        <v>0</v>
      </c>
      <c r="O862" s="15" t="s">
        <v>214</v>
      </c>
      <c r="P862" s="16" t="s">
        <v>110</v>
      </c>
      <c r="Q862" s="16">
        <v>0</v>
      </c>
      <c r="R862" s="16" t="s">
        <v>111</v>
      </c>
      <c r="T862" s="16" t="s">
        <v>137</v>
      </c>
      <c r="U862" s="16" t="s">
        <v>209</v>
      </c>
      <c r="V862" s="16" t="s">
        <v>114</v>
      </c>
      <c r="W862" s="16">
        <f>AI862/AG862</f>
        <v>0.81720430107526887</v>
      </c>
      <c r="X862" s="16" t="s">
        <v>121</v>
      </c>
      <c r="Y862" s="16" t="s">
        <v>110</v>
      </c>
      <c r="Z862" s="16">
        <v>3</v>
      </c>
      <c r="AA862" s="16" t="s">
        <v>119</v>
      </c>
      <c r="AB862" s="16" t="s">
        <v>116</v>
      </c>
      <c r="AC862" s="16" t="s">
        <v>123</v>
      </c>
      <c r="AD862" s="16" t="s">
        <v>123</v>
      </c>
      <c r="AG862" s="16">
        <f>AH862-AI862</f>
        <v>93</v>
      </c>
      <c r="AH862" s="16">
        <v>169</v>
      </c>
      <c r="AI862" s="16">
        <v>76</v>
      </c>
      <c r="AK862" s="16">
        <v>29.5</v>
      </c>
      <c r="AL862" s="16">
        <v>0</v>
      </c>
      <c r="AM862" s="16">
        <v>0</v>
      </c>
      <c r="AN862" s="16">
        <v>0</v>
      </c>
      <c r="AO862" s="16">
        <v>0</v>
      </c>
      <c r="AP862" s="16">
        <f>SUM(AL862:AN862)</f>
        <v>0</v>
      </c>
      <c r="AQ862" s="16">
        <v>1.91</v>
      </c>
      <c r="AR862" s="16">
        <f>AP862-1.472</f>
        <v>-1.472</v>
      </c>
      <c r="AS862" s="16">
        <f>AQ862-1.472</f>
        <v>0.43799999999999994</v>
      </c>
      <c r="AT862" s="16" t="s">
        <v>164</v>
      </c>
      <c r="AW862" s="16">
        <f>IF(AX862&gt;0,1,0)</f>
        <v>1</v>
      </c>
      <c r="AX862" s="16">
        <f>SUM(BA862,BM862,CT862)</f>
        <v>6</v>
      </c>
      <c r="AY862" s="18">
        <f>SUM(BB862,BN862,CV862)</f>
        <v>541.09589041095899</v>
      </c>
      <c r="AZ862" s="16">
        <f>IF(BA862&gt;0,1,0)</f>
        <v>1</v>
      </c>
      <c r="BA862" s="16">
        <f>SUM(BC862,BF862,BI862)</f>
        <v>3</v>
      </c>
      <c r="BB862" s="16">
        <f>SUM(BE862,BH862,BK862)</f>
        <v>111.87214611872149</v>
      </c>
      <c r="BC862" s="16">
        <v>1</v>
      </c>
      <c r="BD862" s="16">
        <v>7</v>
      </c>
      <c r="BE862" s="16">
        <f>BD862/AS862</f>
        <v>15.981735159817354</v>
      </c>
      <c r="BF862" s="16">
        <v>1</v>
      </c>
      <c r="BG862" s="77">
        <v>31</v>
      </c>
      <c r="BH862" s="16">
        <f>BG862/AS862</f>
        <v>70.776255707762573</v>
      </c>
      <c r="BI862" s="16">
        <v>1</v>
      </c>
      <c r="BJ862" s="16">
        <v>11</v>
      </c>
      <c r="BK862" s="16">
        <f>BJ862/AS862</f>
        <v>25.114155251141554</v>
      </c>
      <c r="BL862" s="16">
        <f>IF(BM862&gt;0,1,0)</f>
        <v>1</v>
      </c>
      <c r="BM862" s="16">
        <f>SUM(BR862,BU862,BX862,CA862,CD862,CG862,CJ862,CM862,CP862)</f>
        <v>2</v>
      </c>
      <c r="BN862" s="16">
        <f>SUM(BW862,BZ862,CC862,CF862,CI862,CL862,CO862,CR862,BT862)</f>
        <v>11.415525114155251</v>
      </c>
      <c r="BO862" s="16">
        <f>IF(BP862&gt;0,1,0)</f>
        <v>1</v>
      </c>
      <c r="BP862" s="16">
        <f>SUM(BU862,BX862,CA862,CD862,BR862)</f>
        <v>2</v>
      </c>
      <c r="BQ862" s="16">
        <f>SUM(BZ862,CC862,CF862,BT862,BW862)</f>
        <v>11.415525114155251</v>
      </c>
      <c r="BR862" s="16">
        <v>0</v>
      </c>
      <c r="BS862" s="16">
        <v>0</v>
      </c>
      <c r="BT862" s="77">
        <f>BS862/AS862</f>
        <v>0</v>
      </c>
      <c r="BU862" s="16">
        <v>1</v>
      </c>
      <c r="BV862" s="16">
        <v>1</v>
      </c>
      <c r="BW862" s="16">
        <f>BV862/AS862</f>
        <v>2.2831050228310503</v>
      </c>
      <c r="BX862" s="16">
        <v>1</v>
      </c>
      <c r="BY862" s="16">
        <v>4</v>
      </c>
      <c r="BZ862" s="16">
        <f>BY862/AS862</f>
        <v>9.1324200913242013</v>
      </c>
      <c r="CA862" s="16">
        <v>0</v>
      </c>
      <c r="CB862" s="16">
        <v>0</v>
      </c>
      <c r="CC862" s="16">
        <f>CB862/AS862</f>
        <v>0</v>
      </c>
      <c r="CD862" s="77">
        <v>0</v>
      </c>
      <c r="CE862" s="16">
        <v>0</v>
      </c>
      <c r="CF862" s="16">
        <f>CE862/AS862</f>
        <v>0</v>
      </c>
      <c r="CG862" s="16">
        <v>0</v>
      </c>
      <c r="CH862" s="16">
        <v>0</v>
      </c>
      <c r="CI862" s="16">
        <f>CH862/AS862</f>
        <v>0</v>
      </c>
      <c r="CM862" s="16">
        <v>0</v>
      </c>
      <c r="CN862" s="16">
        <v>0</v>
      </c>
      <c r="CO862" s="16">
        <f>CN862/AS862</f>
        <v>0</v>
      </c>
      <c r="CP862" s="16">
        <v>0</v>
      </c>
      <c r="CQ862" s="16">
        <v>0</v>
      </c>
      <c r="CR862" s="16">
        <f>CQ862/AS862</f>
        <v>0</v>
      </c>
      <c r="CS862" s="16">
        <f>IF(CT862&gt;0,1,0)</f>
        <v>1</v>
      </c>
      <c r="CT862" s="16">
        <f>SUM(CW862,CZ862,DC862)</f>
        <v>1</v>
      </c>
      <c r="CV862" s="16">
        <f>SUM(CY862,DB862,DE862)</f>
        <v>417.80821917808225</v>
      </c>
      <c r="CW862" s="16">
        <v>1</v>
      </c>
      <c r="CX862" s="16">
        <v>183</v>
      </c>
      <c r="CY862" s="16">
        <f>CX862/AS862</f>
        <v>417.80821917808225</v>
      </c>
      <c r="CZ862" s="16">
        <v>0</v>
      </c>
      <c r="DA862" s="16">
        <v>0</v>
      </c>
      <c r="DB862" s="16">
        <f>DA862/AS862</f>
        <v>0</v>
      </c>
      <c r="DC862" s="16">
        <v>0</v>
      </c>
      <c r="DD862" s="16">
        <v>0</v>
      </c>
      <c r="DE862" s="16">
        <f>DD862/AS862</f>
        <v>0</v>
      </c>
      <c r="DF862" s="16" t="e">
        <f>VLOOKUP(K862,'[3]RNA Seq summary tables'!$V$3:$V$99,1,FALSE)</f>
        <v>#N/A</v>
      </c>
      <c r="DG862" s="16">
        <v>1</v>
      </c>
      <c r="DH862" s="16" t="str">
        <f>VLOOKUP(D862,'[6]workflow 3.2018'!$A$1:$S$237,2,FALSE)</f>
        <v>2017MLBS_10</v>
      </c>
      <c r="DI862" s="16">
        <v>92</v>
      </c>
      <c r="DK862" s="16">
        <v>6</v>
      </c>
      <c r="DM862" s="16">
        <v>2</v>
      </c>
      <c r="DO862" s="16">
        <v>0</v>
      </c>
      <c r="DQ862" s="16">
        <v>0</v>
      </c>
      <c r="DR862" s="16">
        <v>100</v>
      </c>
    </row>
    <row r="863" spans="2:288" x14ac:dyDescent="0.2">
      <c r="B863" s="16">
        <v>2017</v>
      </c>
      <c r="C863" s="43">
        <v>42906</v>
      </c>
      <c r="D863" s="43" t="str">
        <f>CONCATENATE(J863,"-",C863)</f>
        <v>1043-42906</v>
      </c>
      <c r="E863" s="20" t="str">
        <f>CONCATENATE(T863,"-",U863,"-",C863)</f>
        <v>SP2-D8-42906</v>
      </c>
      <c r="F863" s="20" t="s">
        <v>106</v>
      </c>
      <c r="G863" s="43" t="s">
        <v>107</v>
      </c>
      <c r="H863" s="23"/>
      <c r="I863" s="16">
        <v>0</v>
      </c>
      <c r="J863" s="15">
        <v>1043</v>
      </c>
      <c r="K863" s="15">
        <v>1712</v>
      </c>
      <c r="L863" s="18">
        <v>0</v>
      </c>
      <c r="M863" s="21">
        <f>VLOOKUP($K863,'[4]blood tubes 2017'!$D$1:$L$647,8,FALSE)</f>
        <v>0</v>
      </c>
      <c r="N863" s="15">
        <v>0</v>
      </c>
      <c r="O863" s="15" t="s">
        <v>214</v>
      </c>
      <c r="P863" s="23" t="s">
        <v>110</v>
      </c>
      <c r="Q863" s="16">
        <v>1</v>
      </c>
      <c r="R863" s="23">
        <v>19</v>
      </c>
      <c r="S863" s="23"/>
      <c r="T863" s="23" t="s">
        <v>137</v>
      </c>
      <c r="U863" s="23" t="s">
        <v>178</v>
      </c>
      <c r="V863" s="23" t="s">
        <v>114</v>
      </c>
      <c r="W863" s="16">
        <f>AI863/AG863</f>
        <v>0.86956521739130432</v>
      </c>
      <c r="X863" s="23" t="s">
        <v>121</v>
      </c>
      <c r="Y863" s="23" t="s">
        <v>110</v>
      </c>
      <c r="Z863" s="23">
        <v>3</v>
      </c>
      <c r="AA863" s="23" t="s">
        <v>119</v>
      </c>
      <c r="AB863" s="23" t="s">
        <v>239</v>
      </c>
      <c r="AC863" s="23" t="s">
        <v>123</v>
      </c>
      <c r="AD863" s="23" t="s">
        <v>123</v>
      </c>
      <c r="AE863" s="23"/>
      <c r="AF863" s="23"/>
      <c r="AG863" s="23">
        <f>AH863-AI863</f>
        <v>92</v>
      </c>
      <c r="AH863" s="23">
        <v>172</v>
      </c>
      <c r="AI863" s="23">
        <v>80</v>
      </c>
      <c r="AJ863" s="23"/>
      <c r="AK863" s="23">
        <v>29</v>
      </c>
      <c r="AL863" s="23">
        <v>0</v>
      </c>
      <c r="AM863" s="23">
        <v>0</v>
      </c>
      <c r="AN863" s="23">
        <v>0</v>
      </c>
      <c r="AO863" s="23">
        <v>0</v>
      </c>
      <c r="AP863" s="23">
        <f>SUM(AL863:AN863)</f>
        <v>0</v>
      </c>
      <c r="AQ863" s="23">
        <v>2.4860000000000002</v>
      </c>
      <c r="AR863" s="23">
        <f>AP863-1.472</f>
        <v>-1.472</v>
      </c>
      <c r="AS863" s="23">
        <f>AQ863-1.472</f>
        <v>1.0140000000000002</v>
      </c>
      <c r="AT863" s="23" t="s">
        <v>234</v>
      </c>
      <c r="AU863" s="23"/>
      <c r="AV863" s="23"/>
      <c r="AW863" s="23">
        <f>IF(AX863&gt;0,1,0)</f>
        <v>1</v>
      </c>
      <c r="AX863" s="23">
        <f>SUM(BA863,BM863,CT863)</f>
        <v>3</v>
      </c>
      <c r="AY863" s="25">
        <f>SUM(BB863,BN863,CV863)</f>
        <v>888.56015779092684</v>
      </c>
      <c r="AZ863" s="23">
        <f>IF(BA863&gt;0,1,0)</f>
        <v>0</v>
      </c>
      <c r="BA863" s="23">
        <f>SUM(BC863,BF863,BI863)</f>
        <v>0</v>
      </c>
      <c r="BB863" s="23">
        <f>SUM(BE863,BH863,BK863)</f>
        <v>0</v>
      </c>
      <c r="BC863" s="23">
        <v>0</v>
      </c>
      <c r="BD863" s="23">
        <v>0</v>
      </c>
      <c r="BE863" s="23">
        <f>BD863/AS863</f>
        <v>0</v>
      </c>
      <c r="BF863" s="23">
        <v>0</v>
      </c>
      <c r="BG863" s="77">
        <v>0</v>
      </c>
      <c r="BH863" s="23">
        <f>BG863/AS863</f>
        <v>0</v>
      </c>
      <c r="BI863" s="23">
        <v>0</v>
      </c>
      <c r="BJ863" s="23">
        <v>0</v>
      </c>
      <c r="BK863" s="23">
        <f>BJ863/AS863</f>
        <v>0</v>
      </c>
      <c r="BL863" s="16">
        <f>IF(BM863&gt;0,1,0)</f>
        <v>1</v>
      </c>
      <c r="BM863" s="16">
        <f>SUM(BR863,BU863,BX863,CA863,CD863,CG863,CJ863,CM863,CP863)</f>
        <v>2</v>
      </c>
      <c r="BN863" s="23">
        <f>SUM(BW863,BZ863,CC863,CF863,CI863,CL863,CO863,CR863,BT863)</f>
        <v>21.69625246548323</v>
      </c>
      <c r="BO863" s="16">
        <f>IF(BP863&gt;0,1,0)</f>
        <v>1</v>
      </c>
      <c r="BP863" s="16">
        <f>SUM(BU863,BX863,CA863,CD863,BR863)</f>
        <v>2</v>
      </c>
      <c r="BQ863" s="16">
        <f>SUM(BZ863,CC863,CF863,BT863,BW863)</f>
        <v>21.69625246548323</v>
      </c>
      <c r="BR863" s="23">
        <v>0</v>
      </c>
      <c r="BS863" s="23">
        <v>0</v>
      </c>
      <c r="BT863" s="77">
        <f>BS863/AS863</f>
        <v>0</v>
      </c>
      <c r="BU863" s="23">
        <v>0</v>
      </c>
      <c r="BV863" s="23">
        <v>0</v>
      </c>
      <c r="BW863" s="23">
        <f>BV863/AS863</f>
        <v>0</v>
      </c>
      <c r="BX863" s="23">
        <v>1</v>
      </c>
      <c r="BY863" s="23">
        <v>21</v>
      </c>
      <c r="BZ863" s="23">
        <f>BY863/AS863</f>
        <v>20.710059171597628</v>
      </c>
      <c r="CA863" s="23">
        <v>1</v>
      </c>
      <c r="CB863" s="23">
        <v>1</v>
      </c>
      <c r="CC863" s="23">
        <f>CB863/AS863</f>
        <v>0.9861932938856014</v>
      </c>
      <c r="CD863" s="77">
        <v>0</v>
      </c>
      <c r="CE863" s="23">
        <v>0</v>
      </c>
      <c r="CF863" s="23">
        <f>CE863/AS863</f>
        <v>0</v>
      </c>
      <c r="CG863" s="23">
        <v>0</v>
      </c>
      <c r="CH863" s="23">
        <v>0</v>
      </c>
      <c r="CI863" s="23">
        <f>CH863/AS863</f>
        <v>0</v>
      </c>
      <c r="CJ863" s="23"/>
      <c r="CK863" s="23"/>
      <c r="CL863" s="23"/>
      <c r="CM863" s="23">
        <v>0</v>
      </c>
      <c r="CN863" s="23">
        <v>0</v>
      </c>
      <c r="CO863" s="23">
        <f>CN863/AS863</f>
        <v>0</v>
      </c>
      <c r="CP863" s="23">
        <v>0</v>
      </c>
      <c r="CQ863" s="23">
        <v>0</v>
      </c>
      <c r="CR863" s="23">
        <f>CQ863/AS863</f>
        <v>0</v>
      </c>
      <c r="CS863" s="23">
        <f>IF(CT863&gt;0,1,0)</f>
        <v>1</v>
      </c>
      <c r="CT863" s="23">
        <f>SUM(CW863,CZ863,DC863)</f>
        <v>1</v>
      </c>
      <c r="CU863" s="23"/>
      <c r="CV863" s="23">
        <f>SUM(CY863,DB863,DE863)</f>
        <v>866.86390532544362</v>
      </c>
      <c r="CW863" s="23">
        <v>1</v>
      </c>
      <c r="CX863" s="23">
        <v>879</v>
      </c>
      <c r="CY863" s="23">
        <f>CX863/AS863</f>
        <v>866.86390532544362</v>
      </c>
      <c r="CZ863" s="23">
        <v>0</v>
      </c>
      <c r="DA863" s="23">
        <v>0</v>
      </c>
      <c r="DB863" s="23">
        <f>DA863/AS863</f>
        <v>0</v>
      </c>
      <c r="DC863" s="23">
        <v>0</v>
      </c>
      <c r="DD863" s="23">
        <v>0</v>
      </c>
      <c r="DE863" s="23">
        <f>DD863/AS863</f>
        <v>0</v>
      </c>
      <c r="DF863" s="16" t="e">
        <f>VLOOKUP(K863,'[3]RNA Seq summary tables'!$V$3:$V$99,1,FALSE)</f>
        <v>#N/A</v>
      </c>
      <c r="DI863" s="23">
        <v>5</v>
      </c>
      <c r="DJ863" s="23"/>
      <c r="DK863" s="23">
        <v>92</v>
      </c>
      <c r="DL863" s="23"/>
      <c r="DM863" s="23">
        <v>3</v>
      </c>
      <c r="DN863" s="23"/>
      <c r="DO863" s="23">
        <v>0</v>
      </c>
      <c r="DP863" s="23"/>
      <c r="DQ863" s="23">
        <v>0</v>
      </c>
      <c r="DR863" s="23">
        <f>SUM(DI863:DQ863)</f>
        <v>100</v>
      </c>
      <c r="DS863" s="23"/>
      <c r="DT863" s="25"/>
      <c r="DU863" s="25"/>
      <c r="DV863" s="25"/>
      <c r="DW863" s="25"/>
      <c r="DX863" s="25"/>
      <c r="DY863" s="25"/>
      <c r="DZ863" s="25"/>
      <c r="EA863" s="25"/>
      <c r="EB863" s="25"/>
      <c r="EC863" s="25"/>
      <c r="ED863" s="25"/>
      <c r="EE863" s="25"/>
      <c r="JP863" s="18"/>
      <c r="JQ863" s="18"/>
    </row>
    <row r="864" spans="2:288" x14ac:dyDescent="0.2">
      <c r="B864" s="16">
        <v>2017</v>
      </c>
      <c r="C864" s="20">
        <v>42922</v>
      </c>
      <c r="D864" s="20" t="str">
        <f>CONCATENATE(J864,"-",C864)</f>
        <v>1043-42922</v>
      </c>
      <c r="E864" s="20" t="str">
        <f>CONCATENATE(T864,"-",U864,"-",C864)</f>
        <v>SP2-B8-42922</v>
      </c>
      <c r="F864" s="20" t="s">
        <v>106</v>
      </c>
      <c r="G864" s="20" t="s">
        <v>107</v>
      </c>
      <c r="I864" s="16">
        <v>0</v>
      </c>
      <c r="J864" s="21">
        <v>1043</v>
      </c>
      <c r="K864" s="21">
        <v>1832</v>
      </c>
      <c r="L864" s="18">
        <v>0</v>
      </c>
      <c r="M864" s="21">
        <f>VLOOKUP($K864,'[4]blood tubes 2017'!$D$1:$L$647,8,FALSE)</f>
        <v>0</v>
      </c>
      <c r="N864" s="15">
        <v>0</v>
      </c>
      <c r="O864" s="15" t="s">
        <v>214</v>
      </c>
      <c r="P864" s="16" t="s">
        <v>110</v>
      </c>
      <c r="Q864" s="16">
        <v>1</v>
      </c>
      <c r="R864" s="16">
        <v>16</v>
      </c>
      <c r="T864" s="16" t="s">
        <v>137</v>
      </c>
      <c r="U864" s="16" t="s">
        <v>209</v>
      </c>
      <c r="V864" s="16" t="s">
        <v>114</v>
      </c>
      <c r="W864" s="16">
        <f>AI864/AG864</f>
        <v>0.73529411764705888</v>
      </c>
      <c r="X864" s="16" t="s">
        <v>121</v>
      </c>
      <c r="Y864" s="16" t="s">
        <v>110</v>
      </c>
      <c r="Z864" s="16">
        <v>3</v>
      </c>
      <c r="AA864" s="16" t="s">
        <v>119</v>
      </c>
      <c r="AB864" s="16" t="s">
        <v>240</v>
      </c>
      <c r="AC864" s="16" t="s">
        <v>116</v>
      </c>
      <c r="AD864" s="16" t="s">
        <v>116</v>
      </c>
      <c r="AG864" s="16">
        <f>AH864-AI864</f>
        <v>102</v>
      </c>
      <c r="AH864" s="16">
        <v>177</v>
      </c>
      <c r="AI864" s="16">
        <v>75</v>
      </c>
      <c r="AK864" s="16">
        <v>37</v>
      </c>
      <c r="AL864" s="23">
        <v>0</v>
      </c>
      <c r="AM864" s="23">
        <v>0</v>
      </c>
      <c r="AN864" s="23">
        <v>0</v>
      </c>
      <c r="AO864" s="23">
        <v>0</v>
      </c>
      <c r="AP864" s="23">
        <f>SUM(AL864:AN864)</f>
        <v>0</v>
      </c>
      <c r="AQ864" s="16">
        <v>2.3210000000000002</v>
      </c>
      <c r="AR864" s="16">
        <f>AP864-1.472</f>
        <v>-1.472</v>
      </c>
      <c r="AS864" s="16">
        <f>AQ864-1.472</f>
        <v>0.8490000000000002</v>
      </c>
      <c r="AT864" s="16" t="s">
        <v>234</v>
      </c>
      <c r="AW864" s="16">
        <f>IF(AX864&gt;0,1,0)</f>
        <v>1</v>
      </c>
      <c r="AX864" s="16">
        <f>SUM(BA864,BM864,CT864)</f>
        <v>2</v>
      </c>
      <c r="AY864" s="18">
        <f>SUM(BB864,BN864,CV864)</f>
        <v>381.625441696113</v>
      </c>
      <c r="AZ864" s="16">
        <v>0</v>
      </c>
      <c r="BA864" s="16">
        <v>0</v>
      </c>
      <c r="BB864" s="16">
        <f>SUM(BE864,BH864,BK864)</f>
        <v>0</v>
      </c>
      <c r="BC864" s="16">
        <v>0</v>
      </c>
      <c r="BD864" s="16">
        <v>0</v>
      </c>
      <c r="BE864" s="16">
        <f>BD864/AS864</f>
        <v>0</v>
      </c>
      <c r="BF864" s="16">
        <v>0</v>
      </c>
      <c r="BG864" s="77">
        <v>0</v>
      </c>
      <c r="BH864" s="16">
        <f>BG864/AS864</f>
        <v>0</v>
      </c>
      <c r="BI864" s="16">
        <v>0</v>
      </c>
      <c r="BJ864" s="16">
        <v>0</v>
      </c>
      <c r="BK864" s="16">
        <f>BJ864/AS864</f>
        <v>0</v>
      </c>
      <c r="BL864" s="16">
        <f>IF(BM864&gt;0,1,0)</f>
        <v>1</v>
      </c>
      <c r="BM864" s="16">
        <f>SUM(BR864,BU864,BX864,CA864,CD864,CG864,CJ864,CM864,CP864)</f>
        <v>1</v>
      </c>
      <c r="BN864" s="16">
        <f>SUM(BW864,BZ864,CC864,CF864,CI864,CL864,CO864,CR864,BT864)</f>
        <v>3.5335689045936389</v>
      </c>
      <c r="BO864" s="16">
        <f>IF(BP864&gt;0,1,0)</f>
        <v>1</v>
      </c>
      <c r="BP864" s="16">
        <f>SUM(BU864,BX864,CA864,CD864,BR864)</f>
        <v>1</v>
      </c>
      <c r="BQ864" s="16">
        <f>SUM(BZ864,CC864,CF864,BT864,BW864)</f>
        <v>3.5335689045936389</v>
      </c>
      <c r="BR864" s="16">
        <v>0</v>
      </c>
      <c r="BS864" s="16">
        <v>0</v>
      </c>
      <c r="BT864" s="77">
        <f>BS864/AS864</f>
        <v>0</v>
      </c>
      <c r="BU864" s="16">
        <v>0</v>
      </c>
      <c r="BV864" s="16">
        <v>0</v>
      </c>
      <c r="BW864" s="16">
        <f>BV864/AS864</f>
        <v>0</v>
      </c>
      <c r="BX864" s="16">
        <v>1</v>
      </c>
      <c r="BY864" s="16">
        <v>3</v>
      </c>
      <c r="BZ864" s="16">
        <f>BY864/AS864</f>
        <v>3.5335689045936389</v>
      </c>
      <c r="CA864" s="16">
        <v>0</v>
      </c>
      <c r="CB864" s="16">
        <v>0</v>
      </c>
      <c r="CC864" s="16">
        <f>CB864/AS864</f>
        <v>0</v>
      </c>
      <c r="CD864" s="77">
        <v>0</v>
      </c>
      <c r="CE864" s="16">
        <v>0</v>
      </c>
      <c r="CF864" s="16">
        <f>CE864/AS864</f>
        <v>0</v>
      </c>
      <c r="CG864" s="16">
        <v>0</v>
      </c>
      <c r="CH864" s="16">
        <v>0</v>
      </c>
      <c r="CI864" s="16">
        <f>CH864/AS864</f>
        <v>0</v>
      </c>
      <c r="CM864" s="16">
        <v>0</v>
      </c>
      <c r="CN864" s="16">
        <v>0</v>
      </c>
      <c r="CO864" s="16">
        <f>CN864/AS864</f>
        <v>0</v>
      </c>
      <c r="CP864" s="16">
        <v>0</v>
      </c>
      <c r="CQ864" s="16">
        <v>0</v>
      </c>
      <c r="CR864" s="16">
        <f>CQ864/AS864</f>
        <v>0</v>
      </c>
      <c r="CS864" s="16">
        <v>1</v>
      </c>
      <c r="CT864" s="16">
        <v>1</v>
      </c>
      <c r="CV864" s="16">
        <f>SUM(CY864,DB864,DE864)</f>
        <v>378.09187279151934</v>
      </c>
      <c r="CW864" s="16">
        <v>1</v>
      </c>
      <c r="CX864" s="16">
        <v>321</v>
      </c>
      <c r="CY864" s="16">
        <f>CX864/AS864</f>
        <v>378.09187279151934</v>
      </c>
      <c r="CZ864" s="16">
        <v>0</v>
      </c>
      <c r="DA864" s="16">
        <v>0</v>
      </c>
      <c r="DB864" s="16">
        <f>DA864/AS864</f>
        <v>0</v>
      </c>
      <c r="DC864" s="16">
        <v>0</v>
      </c>
      <c r="DD864" s="16">
        <v>0</v>
      </c>
      <c r="DE864" s="16">
        <f>DD864/AS864</f>
        <v>0</v>
      </c>
      <c r="DF864" s="16" t="e">
        <f>VLOOKUP(K864,'[3]RNA Seq summary tables'!$V$3:$V$99,1,FALSE)</f>
        <v>#N/A</v>
      </c>
      <c r="DI864" s="16">
        <v>19</v>
      </c>
      <c r="DK864" s="16">
        <v>65</v>
      </c>
      <c r="DM864" s="16">
        <v>16</v>
      </c>
      <c r="DO864" s="16">
        <v>0</v>
      </c>
      <c r="DQ864" s="16">
        <v>0</v>
      </c>
      <c r="DR864" s="16">
        <f>SUM(DI864:DQ864)</f>
        <v>100</v>
      </c>
      <c r="JO864" s="18"/>
      <c r="JR864" s="27"/>
      <c r="JS864" s="27"/>
      <c r="JT864" s="27"/>
      <c r="JU864" s="27"/>
      <c r="JV864" s="27"/>
      <c r="JW864" s="27"/>
      <c r="JX864" s="27"/>
      <c r="JY864" s="27"/>
      <c r="JZ864" s="27"/>
      <c r="KA864" s="27"/>
      <c r="KB864" s="27"/>
    </row>
    <row r="865" spans="1:288" ht="16" x14ac:dyDescent="0.2">
      <c r="B865" s="16">
        <v>2017</v>
      </c>
      <c r="C865" s="20">
        <v>42939</v>
      </c>
      <c r="D865" s="20" t="str">
        <f>CONCATENATE(J865,"-",C865)</f>
        <v>1043-42939</v>
      </c>
      <c r="E865" s="37" t="str">
        <f>CONCATENATE(T865,"-",U865,"-",C865)</f>
        <v>SP2-B6-42939</v>
      </c>
      <c r="F865" s="20" t="s">
        <v>106</v>
      </c>
      <c r="G865" s="20" t="s">
        <v>107</v>
      </c>
      <c r="I865" s="16">
        <v>0</v>
      </c>
      <c r="J865" s="21">
        <v>1043</v>
      </c>
      <c r="K865" s="21">
        <v>1968</v>
      </c>
      <c r="L865" s="18">
        <v>0</v>
      </c>
      <c r="M865" s="21">
        <f>VLOOKUP($K865,'[4]blood tubes 2017'!$D$1:$L$647,8,FALSE)</f>
        <v>0</v>
      </c>
      <c r="N865" s="15">
        <v>0</v>
      </c>
      <c r="O865" s="15" t="s">
        <v>214</v>
      </c>
      <c r="P865" s="16" t="s">
        <v>110</v>
      </c>
      <c r="Q865" s="16">
        <v>1</v>
      </c>
      <c r="R865" s="16">
        <v>17</v>
      </c>
      <c r="T865" s="16" t="s">
        <v>137</v>
      </c>
      <c r="U865" s="16" t="s">
        <v>132</v>
      </c>
      <c r="V865" s="16" t="s">
        <v>114</v>
      </c>
      <c r="W865" s="16">
        <f>AI865/AG865</f>
        <v>0.71153846153846156</v>
      </c>
      <c r="X865" s="16" t="s">
        <v>121</v>
      </c>
      <c r="Y865" s="16" t="s">
        <v>110</v>
      </c>
      <c r="Z865" s="16">
        <v>3</v>
      </c>
      <c r="AA865" s="16" t="s">
        <v>119</v>
      </c>
      <c r="AB865" s="16" t="s">
        <v>240</v>
      </c>
      <c r="AC865" s="16" t="s">
        <v>123</v>
      </c>
      <c r="AD865" s="16" t="s">
        <v>123</v>
      </c>
      <c r="AG865" s="16">
        <f>AH865-AI865</f>
        <v>104</v>
      </c>
      <c r="AH865" s="16">
        <v>178</v>
      </c>
      <c r="AI865" s="16">
        <v>74</v>
      </c>
      <c r="AK865" s="16">
        <v>28.5</v>
      </c>
      <c r="AL865" s="16">
        <v>0</v>
      </c>
      <c r="AM865" s="16">
        <v>0</v>
      </c>
      <c r="AN865" s="16">
        <v>0</v>
      </c>
      <c r="AO865" s="16">
        <v>0</v>
      </c>
      <c r="AP865" s="16">
        <f>SUM(AL865:AN865)</f>
        <v>0</v>
      </c>
      <c r="AQ865" s="16">
        <v>2.145</v>
      </c>
      <c r="AR865" s="16">
        <f>AP865-1.472</f>
        <v>-1.472</v>
      </c>
      <c r="AS865" s="16">
        <f>AQ865-1.472</f>
        <v>0.67300000000000004</v>
      </c>
      <c r="AT865" s="16" t="str">
        <f>VLOOKUP(E865,[2]Current!$A$1:$W$435,7,FALSE)</f>
        <v>TE</v>
      </c>
      <c r="AU865" s="16" t="s">
        <v>1288</v>
      </c>
      <c r="AV865" s="23">
        <v>1</v>
      </c>
      <c r="AW865" s="128">
        <f>IF(AX865&gt;0,1,0)</f>
        <v>0</v>
      </c>
      <c r="AX865" s="128">
        <f>SUM(BA865,BM865,CU865)</f>
        <v>0</v>
      </c>
      <c r="AY865" s="128">
        <f>SUM(BB865,BN865,CV865)</f>
        <v>0</v>
      </c>
      <c r="AZ865" s="128">
        <f>IF(BA865&gt;0,1,0)</f>
        <v>0</v>
      </c>
      <c r="BA865" s="128">
        <f>SUM(BC865+BF865+BI865)</f>
        <v>0</v>
      </c>
      <c r="BB865" s="128">
        <f>SUM(BE865,BH865,BK865)</f>
        <v>0</v>
      </c>
      <c r="BC865" s="130">
        <f>IF(BD865&gt;0,1,0)</f>
        <v>0</v>
      </c>
      <c r="BD865" s="128">
        <f>VLOOKUP($E865,[2]Current!$A:$AC,26,FALSE)</f>
        <v>0</v>
      </c>
      <c r="BE865" s="128">
        <f>BD865/$AS865</f>
        <v>0</v>
      </c>
      <c r="BF865" s="130">
        <f>IF(BG865&gt;0,1,0)</f>
        <v>0</v>
      </c>
      <c r="BG865" s="137">
        <f>VLOOKUP($E865,[2]Current!$A:$AC,27,FALSE)</f>
        <v>0</v>
      </c>
      <c r="BH865" s="128">
        <f>BG865/$AS865</f>
        <v>0</v>
      </c>
      <c r="BI865" s="130">
        <f>IF(BJ865&gt;0,1,0)</f>
        <v>0</v>
      </c>
      <c r="BJ865" s="128">
        <f>VLOOKUP($E865,[2]Current!$A:$AC,28,FALSE)</f>
        <v>0</v>
      </c>
      <c r="BK865" s="128">
        <f>BJ865/$AS865</f>
        <v>0</v>
      </c>
      <c r="BL865" s="128">
        <f>IF(BM865&gt;0,1,0)</f>
        <v>0</v>
      </c>
      <c r="BM865" s="128">
        <f>SUM(BR865,BU865,BX865,CA865,CD865)</f>
        <v>0</v>
      </c>
      <c r="BN865" s="131">
        <f>SUM(BT865,BW865,BZ865,CC865,CF865)</f>
        <v>0</v>
      </c>
      <c r="BO865" s="128">
        <f>IF(BP865&gt;0,1,0)</f>
        <v>0</v>
      </c>
      <c r="BP865" s="128">
        <f>BM865+CJ865</f>
        <v>0</v>
      </c>
      <c r="BQ865" s="128">
        <f>BN865+CL865</f>
        <v>0</v>
      </c>
      <c r="BR865" s="130">
        <f>IF(BS865&gt;0,1,0)</f>
        <v>0</v>
      </c>
      <c r="BS865" s="128">
        <f>VLOOKUP($E865,[2]Current!$A:$AC,12,FALSE)</f>
        <v>0</v>
      </c>
      <c r="BT865" s="137">
        <f>BS865/$AS865</f>
        <v>0</v>
      </c>
      <c r="BU865" s="130">
        <f>IF(BV865&gt;0,1,0)</f>
        <v>0</v>
      </c>
      <c r="BV865" s="128">
        <f>VLOOKUP($E865,[2]Current!$A:$AC,13,FALSE)</f>
        <v>0</v>
      </c>
      <c r="BW865" s="128">
        <f>BV865/$AS865</f>
        <v>0</v>
      </c>
      <c r="BX865" s="130">
        <f>IF(BY865&gt;0,1,0)</f>
        <v>0</v>
      </c>
      <c r="BY865" s="128">
        <f>VLOOKUP($E865,[2]Current!$A:$AC,14,FALSE)</f>
        <v>0</v>
      </c>
      <c r="BZ865" s="128">
        <f>BY865/$AS865</f>
        <v>0</v>
      </c>
      <c r="CA865" s="130">
        <f>IF(CB865&gt;0,1,0)</f>
        <v>0</v>
      </c>
      <c r="CB865" s="128">
        <f>VLOOKUP($E865,[2]Current!$A:$AC,15,FALSE)</f>
        <v>0</v>
      </c>
      <c r="CC865" s="128">
        <f>CB865/$AS865</f>
        <v>0</v>
      </c>
      <c r="CD865" s="174">
        <f>IF(CE865&gt;0,1,0)</f>
        <v>0</v>
      </c>
      <c r="CE865" s="128">
        <f>VLOOKUP($E865,[2]Current!$A:$AC,16,FALSE)</f>
        <v>0</v>
      </c>
      <c r="CF865" s="128">
        <f>CE865/$AS865</f>
        <v>0</v>
      </c>
      <c r="CG865" s="18"/>
      <c r="CH865" s="18"/>
      <c r="CI865" s="18"/>
      <c r="CJ865" s="130">
        <f>IF(CK865&gt;0,1,0)</f>
        <v>0</v>
      </c>
      <c r="CK865" s="128">
        <f>VLOOKUP($E865,[2]Current!$A:$AC,18,FALSE)</f>
        <v>0</v>
      </c>
      <c r="CL865" s="128">
        <f>CK865/$AS865</f>
        <v>0</v>
      </c>
      <c r="CS865" s="130">
        <f>IF(CU865&gt;0,1,0)</f>
        <v>0</v>
      </c>
      <c r="CU865" s="128">
        <f>VLOOKUP($E865,[2]Current!$A:$AC,17,FALSE)</f>
        <v>0</v>
      </c>
      <c r="CV865" s="128">
        <f>CU865/$AS865</f>
        <v>0</v>
      </c>
      <c r="CW865" s="18"/>
      <c r="CX865" s="18"/>
      <c r="CY865" s="18"/>
      <c r="DF865" s="16" t="e">
        <f>VLOOKUP(K865,'[3]RNA Seq summary tables'!$V$3:$V$99,1,FALSE)</f>
        <v>#N/A</v>
      </c>
      <c r="DG865" s="16">
        <v>1</v>
      </c>
      <c r="DH865" s="16" t="str">
        <f>VLOOKUP(D865,'[6]workflow 3.2018'!$A$1:$S$237,2,FALSE)</f>
        <v>2017MLBS_68</v>
      </c>
    </row>
    <row r="866" spans="1:288" x14ac:dyDescent="0.2">
      <c r="B866" s="16">
        <v>2017</v>
      </c>
      <c r="C866" s="71">
        <v>42887</v>
      </c>
      <c r="D866" s="71" t="str">
        <f>CONCATENATE(J866,"-",C866)</f>
        <v>1045-42887</v>
      </c>
      <c r="E866" s="20" t="str">
        <f>CONCATENATE(T866,"-",U866,"-",C866)</f>
        <v>SP2-C3-42887</v>
      </c>
      <c r="F866" s="20" t="s">
        <v>106</v>
      </c>
      <c r="G866" s="20" t="s">
        <v>107</v>
      </c>
      <c r="H866" s="18"/>
      <c r="I866" s="16">
        <v>0</v>
      </c>
      <c r="J866" s="36">
        <v>1045</v>
      </c>
      <c r="K866" s="36">
        <v>1600</v>
      </c>
      <c r="L866" s="16">
        <v>1</v>
      </c>
      <c r="M866" s="21">
        <f>VLOOKUP($K866,'[4]blood tubes 2017'!$D$1:$L$647,8,FALSE)</f>
        <v>0</v>
      </c>
      <c r="N866" s="15">
        <v>0</v>
      </c>
      <c r="O866" s="15" t="s">
        <v>214</v>
      </c>
      <c r="P866" s="18" t="s">
        <v>110</v>
      </c>
      <c r="Q866" s="16">
        <v>0</v>
      </c>
      <c r="R866" s="18" t="s">
        <v>111</v>
      </c>
      <c r="S866" s="18"/>
      <c r="T866" s="18" t="s">
        <v>137</v>
      </c>
      <c r="U866" s="18" t="s">
        <v>237</v>
      </c>
      <c r="V866" s="18" t="s">
        <v>114</v>
      </c>
      <c r="W866" s="16">
        <f>AI866/AG866</f>
        <v>0.73913043478260865</v>
      </c>
      <c r="X866" s="18" t="s">
        <v>115</v>
      </c>
      <c r="Y866" s="18" t="s">
        <v>110</v>
      </c>
      <c r="Z866" s="18">
        <v>3</v>
      </c>
      <c r="AA866" s="18"/>
      <c r="AB866" s="18"/>
      <c r="AC866" s="18"/>
      <c r="AD866" s="18"/>
      <c r="AE866" s="18" t="s">
        <v>123</v>
      </c>
      <c r="AF866" s="18" t="s">
        <v>123</v>
      </c>
      <c r="AG866" s="18">
        <f>AH866-AI866</f>
        <v>92</v>
      </c>
      <c r="AH866" s="18">
        <v>160</v>
      </c>
      <c r="AI866" s="18">
        <v>68</v>
      </c>
      <c r="AJ866" s="18"/>
      <c r="AK866" s="18">
        <v>20</v>
      </c>
      <c r="AL866" s="18">
        <v>1</v>
      </c>
      <c r="AM866" s="18">
        <v>1</v>
      </c>
      <c r="AN866" s="18">
        <v>0</v>
      </c>
      <c r="AO866" s="18">
        <v>1</v>
      </c>
      <c r="AP866" s="16">
        <f>SUM(AL866:AN866)</f>
        <v>2</v>
      </c>
      <c r="AQ866" s="18">
        <v>1.62</v>
      </c>
      <c r="AR866" s="16">
        <f>AP866-1.472</f>
        <v>0.52800000000000002</v>
      </c>
      <c r="AS866" s="16">
        <f>AQ866-1.472</f>
        <v>0.14800000000000013</v>
      </c>
      <c r="AT866" s="40" t="s">
        <v>234</v>
      </c>
      <c r="AU866" s="40"/>
      <c r="AW866" s="16">
        <f>IF(AX866&gt;0,1,0)</f>
        <v>1</v>
      </c>
      <c r="AX866" s="16">
        <f>SUM(BA866,BM866,CT866)</f>
        <v>1</v>
      </c>
      <c r="AY866" s="18">
        <f>SUM(BB866,BN866,CV866)</f>
        <v>81.08108108108101</v>
      </c>
      <c r="AZ866" s="16">
        <f>IF(BA866&gt;0,1,0)</f>
        <v>1</v>
      </c>
      <c r="BA866" s="16">
        <f>SUM(BC866,BF866,BI866)</f>
        <v>1</v>
      </c>
      <c r="BB866" s="16">
        <f>SUM(BE866,BH866,BK866)</f>
        <v>81.08108108108101</v>
      </c>
      <c r="BC866" s="18">
        <v>0</v>
      </c>
      <c r="BD866" s="18">
        <v>0</v>
      </c>
      <c r="BE866" s="16">
        <f>BD866/AS866</f>
        <v>0</v>
      </c>
      <c r="BF866" s="18">
        <v>1</v>
      </c>
      <c r="BG866" s="78">
        <v>12</v>
      </c>
      <c r="BH866" s="16">
        <f>BG866/AS866</f>
        <v>81.08108108108101</v>
      </c>
      <c r="BI866" s="18">
        <v>0</v>
      </c>
      <c r="BJ866" s="18">
        <v>0</v>
      </c>
      <c r="BK866" s="16">
        <f>BJ866/AS866</f>
        <v>0</v>
      </c>
      <c r="BL866" s="16">
        <f>IF(BM866&gt;0,1,0)</f>
        <v>0</v>
      </c>
      <c r="BM866" s="16">
        <f>SUM(BR866,BU866,BX866,CA866,CD866,CG866,CJ866,CM866,CP866)</f>
        <v>0</v>
      </c>
      <c r="BN866" s="16">
        <f>SUM(BW866,BZ866,CC866,CF866,CI866,CL866,CO866,CR866,BT866)</f>
        <v>0</v>
      </c>
      <c r="BO866" s="16">
        <f>IF(BP866&gt;0,1,0)</f>
        <v>0</v>
      </c>
      <c r="BP866" s="16">
        <f>SUM(BU866,BX866,CA866,CD866,BR866)</f>
        <v>0</v>
      </c>
      <c r="BQ866" s="16">
        <f>SUM(BZ866,CC866,CF866,BT866,BW866)</f>
        <v>0</v>
      </c>
      <c r="BR866" s="18">
        <v>0</v>
      </c>
      <c r="BS866" s="18">
        <v>0</v>
      </c>
      <c r="BT866" s="77">
        <f>BS866/AS866</f>
        <v>0</v>
      </c>
      <c r="BU866" s="18">
        <v>0</v>
      </c>
      <c r="BV866" s="18">
        <v>0</v>
      </c>
      <c r="BW866" s="16">
        <f>BV866/AS866</f>
        <v>0</v>
      </c>
      <c r="BX866" s="18">
        <v>0</v>
      </c>
      <c r="BY866" s="18">
        <v>0</v>
      </c>
      <c r="BZ866" s="16">
        <f>BY866/AS866</f>
        <v>0</v>
      </c>
      <c r="CA866" s="18">
        <v>0</v>
      </c>
      <c r="CB866" s="18">
        <v>0</v>
      </c>
      <c r="CC866" s="16">
        <f>CB866/AS866</f>
        <v>0</v>
      </c>
      <c r="CD866" s="78">
        <v>0</v>
      </c>
      <c r="CE866" s="18">
        <v>0</v>
      </c>
      <c r="CF866" s="16">
        <f>CE866/AS866</f>
        <v>0</v>
      </c>
      <c r="CG866" s="22">
        <v>0</v>
      </c>
      <c r="CH866" s="22">
        <v>0</v>
      </c>
      <c r="CI866" s="16">
        <f>CH866/AS866</f>
        <v>0</v>
      </c>
      <c r="CM866" s="22">
        <v>0</v>
      </c>
      <c r="CN866" s="22">
        <v>0</v>
      </c>
      <c r="CO866" s="16">
        <f>CN866/AS866</f>
        <v>0</v>
      </c>
      <c r="CP866" s="22">
        <v>0</v>
      </c>
      <c r="CQ866" s="22">
        <v>0</v>
      </c>
      <c r="CR866" s="16">
        <f>CQ866/AS866</f>
        <v>0</v>
      </c>
      <c r="CS866" s="16">
        <f>IF(CT866&gt;0,1,0)</f>
        <v>0</v>
      </c>
      <c r="CT866" s="16">
        <f>SUM(CW866,CZ866,DC866)</f>
        <v>0</v>
      </c>
      <c r="CV866" s="16">
        <f>SUM(CY866,DB866,DE866)</f>
        <v>0</v>
      </c>
      <c r="CW866" s="18">
        <v>0</v>
      </c>
      <c r="CX866" s="18">
        <v>0</v>
      </c>
      <c r="CY866" s="16">
        <f>CX866/AS866</f>
        <v>0</v>
      </c>
      <c r="CZ866" s="18">
        <v>0</v>
      </c>
      <c r="DA866" s="18">
        <v>0</v>
      </c>
      <c r="DB866" s="16">
        <f>DA866/AS866</f>
        <v>0</v>
      </c>
      <c r="DC866" s="18">
        <v>0</v>
      </c>
      <c r="DD866" s="18">
        <v>0</v>
      </c>
      <c r="DE866" s="16">
        <f>DD866/AS866</f>
        <v>0</v>
      </c>
      <c r="DF866" s="16">
        <f>VLOOKUP(K866,'[3]RNA Seq summary tables'!$V$3:$V$99,1,FALSE)</f>
        <v>1600</v>
      </c>
      <c r="DG866" s="16">
        <v>1</v>
      </c>
      <c r="DH866" s="16" t="str">
        <f>VLOOKUP(D866,'[6]workflow 3.2018'!$A$1:$S$237,2,FALSE)</f>
        <v>2017MLBS_12</v>
      </c>
      <c r="DI866" s="18">
        <v>59</v>
      </c>
      <c r="DJ866" s="18"/>
      <c r="DK866" s="18">
        <v>22</v>
      </c>
      <c r="DL866" s="18"/>
      <c r="DM866" s="18">
        <v>17</v>
      </c>
      <c r="DN866" s="18"/>
      <c r="DO866" s="18">
        <v>0</v>
      </c>
      <c r="DP866" s="18"/>
      <c r="DQ866" s="18">
        <v>2</v>
      </c>
      <c r="DR866" s="18">
        <v>100</v>
      </c>
      <c r="DS866" s="18"/>
    </row>
    <row r="867" spans="1:288" x14ac:dyDescent="0.2">
      <c r="B867" s="16">
        <v>2017</v>
      </c>
      <c r="C867" s="20">
        <v>42906</v>
      </c>
      <c r="D867" s="20" t="str">
        <f>CONCATENATE(J867,"-",C867)</f>
        <v>1045-42906</v>
      </c>
      <c r="E867" s="20" t="str">
        <f>CONCATENATE(T867,"-",U867,"-",C867)</f>
        <v>SP2-C2-42906</v>
      </c>
      <c r="F867" s="20" t="s">
        <v>106</v>
      </c>
      <c r="G867" s="20" t="s">
        <v>107</v>
      </c>
      <c r="I867" s="16">
        <v>0</v>
      </c>
      <c r="J867" s="21">
        <v>1045</v>
      </c>
      <c r="K867" s="21">
        <v>1710</v>
      </c>
      <c r="L867" s="16">
        <v>1</v>
      </c>
      <c r="M867" s="21">
        <f>VLOOKUP($K867,'[4]blood tubes 2017'!$D$1:$L$647,8,FALSE)</f>
        <v>0</v>
      </c>
      <c r="N867" s="15">
        <v>0</v>
      </c>
      <c r="O867" s="15" t="s">
        <v>214</v>
      </c>
      <c r="P867" s="16" t="s">
        <v>110</v>
      </c>
      <c r="Q867" s="16">
        <v>1</v>
      </c>
      <c r="R867" s="16">
        <v>19</v>
      </c>
      <c r="T867" s="16" t="s">
        <v>137</v>
      </c>
      <c r="U867" s="16" t="s">
        <v>162</v>
      </c>
      <c r="V867" s="16" t="s">
        <v>114</v>
      </c>
      <c r="W867" s="16">
        <f>AI867/AG867</f>
        <v>0.72164948453608246</v>
      </c>
      <c r="X867" s="16" t="s">
        <v>115</v>
      </c>
      <c r="Y867" s="16" t="s">
        <v>110</v>
      </c>
      <c r="Z867" s="16">
        <v>3</v>
      </c>
      <c r="AE867" s="16" t="s">
        <v>116</v>
      </c>
      <c r="AF867" s="16" t="s">
        <v>116</v>
      </c>
      <c r="AG867" s="16">
        <f>AH867-AI867</f>
        <v>97</v>
      </c>
      <c r="AH867" s="16">
        <v>167</v>
      </c>
      <c r="AI867" s="16">
        <v>70</v>
      </c>
      <c r="AK867" s="16">
        <v>20</v>
      </c>
      <c r="AL867" s="16">
        <v>0</v>
      </c>
      <c r="AM867" s="16">
        <v>0</v>
      </c>
      <c r="AN867" s="16">
        <v>0</v>
      </c>
      <c r="AO867" s="16">
        <v>0</v>
      </c>
      <c r="AP867" s="16">
        <f>SUM(AL867:AN867)</f>
        <v>0</v>
      </c>
      <c r="AQ867" s="16">
        <v>1.667</v>
      </c>
      <c r="AR867" s="16">
        <f>AP867-1.472</f>
        <v>-1.472</v>
      </c>
      <c r="AS867" s="16">
        <f>AQ867-1.472</f>
        <v>0.19500000000000006</v>
      </c>
      <c r="AT867" s="16" t="s">
        <v>234</v>
      </c>
      <c r="AW867" s="16">
        <f>IF(AX867&gt;0,1,0)</f>
        <v>1</v>
      </c>
      <c r="AX867" s="16">
        <f>SUM(BA867,BM867,CT867)</f>
        <v>1</v>
      </c>
      <c r="AY867" s="18">
        <f>SUM(BB867,BN867,CV867)</f>
        <v>66.666666666666643</v>
      </c>
      <c r="AZ867" s="16">
        <f>IF(BA867&gt;0,1,0)</f>
        <v>0</v>
      </c>
      <c r="BA867" s="16">
        <f>SUM(BC867,BF867,BI867)</f>
        <v>0</v>
      </c>
      <c r="BB867" s="16">
        <f>SUM(BE867,BH867,BK867)</f>
        <v>0</v>
      </c>
      <c r="BC867" s="16">
        <v>0</v>
      </c>
      <c r="BD867" s="16">
        <v>0</v>
      </c>
      <c r="BE867" s="16">
        <f>BD867/AS867</f>
        <v>0</v>
      </c>
      <c r="BF867" s="16">
        <v>0</v>
      </c>
      <c r="BG867" s="77">
        <v>0</v>
      </c>
      <c r="BH867" s="16">
        <f>BG867/AS867</f>
        <v>0</v>
      </c>
      <c r="BI867" s="16">
        <v>0</v>
      </c>
      <c r="BJ867" s="16">
        <v>0</v>
      </c>
      <c r="BK867" s="16">
        <f>BJ867/AS867</f>
        <v>0</v>
      </c>
      <c r="BL867" s="16">
        <f>IF(BM867&gt;0,1,0)</f>
        <v>1</v>
      </c>
      <c r="BM867" s="16">
        <f>SUM(BR867,BU867,BX867,CA867,CD867,CG867,CJ867,CM867,CP867)</f>
        <v>1</v>
      </c>
      <c r="BN867" s="16">
        <f>SUM(BW867,BZ867,CC867,CF867,CI867,CL867,CO867,CR867,BT867)</f>
        <v>66.666666666666643</v>
      </c>
      <c r="BO867" s="16">
        <f>IF(BP867&gt;0,1,0)</f>
        <v>1</v>
      </c>
      <c r="BP867" s="16">
        <f>SUM(BU867,BX867,CA867,CD867,BR867)</f>
        <v>1</v>
      </c>
      <c r="BQ867" s="16">
        <f>SUM(BZ867,CC867,CF867,BT867,BW867)</f>
        <v>66.666666666666643</v>
      </c>
      <c r="BR867" s="16">
        <v>0</v>
      </c>
      <c r="BS867" s="16">
        <v>0</v>
      </c>
      <c r="BT867" s="77">
        <f>BS867/AS867</f>
        <v>0</v>
      </c>
      <c r="BU867" s="16">
        <v>0</v>
      </c>
      <c r="BV867" s="16">
        <v>0</v>
      </c>
      <c r="BW867" s="16">
        <f>BV867/AS867</f>
        <v>0</v>
      </c>
      <c r="BX867" s="16">
        <v>1</v>
      </c>
      <c r="BY867" s="16">
        <v>13</v>
      </c>
      <c r="BZ867" s="16">
        <f>BY867/AS867</f>
        <v>66.666666666666643</v>
      </c>
      <c r="CA867" s="16">
        <v>0</v>
      </c>
      <c r="CB867" s="16">
        <v>0</v>
      </c>
      <c r="CC867" s="16">
        <f>CB867/AS867</f>
        <v>0</v>
      </c>
      <c r="CD867" s="77">
        <v>0</v>
      </c>
      <c r="CE867" s="16">
        <v>0</v>
      </c>
      <c r="CF867" s="16">
        <f>CE867/AS867</f>
        <v>0</v>
      </c>
      <c r="CG867" s="16">
        <v>0</v>
      </c>
      <c r="CH867" s="16">
        <v>0</v>
      </c>
      <c r="CI867" s="16">
        <f>CH867/AS867</f>
        <v>0</v>
      </c>
      <c r="CM867" s="16">
        <v>0</v>
      </c>
      <c r="CN867" s="16">
        <v>0</v>
      </c>
      <c r="CO867" s="16">
        <f>CN867/AS867</f>
        <v>0</v>
      </c>
      <c r="CP867" s="16">
        <v>0</v>
      </c>
      <c r="CQ867" s="16">
        <v>0</v>
      </c>
      <c r="CR867" s="16">
        <f>CQ867/AS867</f>
        <v>0</v>
      </c>
      <c r="CS867" s="16">
        <f>IF(CT867&gt;0,1,0)</f>
        <v>0</v>
      </c>
      <c r="CT867" s="16">
        <f>SUM(CW867,CZ867,DC867)</f>
        <v>0</v>
      </c>
      <c r="CV867" s="16">
        <f>SUM(CY867,DB867,DE867)</f>
        <v>0</v>
      </c>
      <c r="CW867" s="16">
        <v>0</v>
      </c>
      <c r="CX867" s="16">
        <v>0</v>
      </c>
      <c r="CY867" s="16">
        <f>CX867/AS867</f>
        <v>0</v>
      </c>
      <c r="CZ867" s="16">
        <v>0</v>
      </c>
      <c r="DA867" s="16">
        <v>0</v>
      </c>
      <c r="DB867" s="16">
        <f>DA867/AS867</f>
        <v>0</v>
      </c>
      <c r="DC867" s="16">
        <v>0</v>
      </c>
      <c r="DD867" s="16">
        <v>0</v>
      </c>
      <c r="DE867" s="16">
        <f>DD867/AS867</f>
        <v>0</v>
      </c>
      <c r="DF867" s="16">
        <f>VLOOKUP(K867,'[3]RNA Seq summary tables'!$V$3:$V$99,1,FALSE)</f>
        <v>1710</v>
      </c>
      <c r="DI867" s="16">
        <v>25</v>
      </c>
      <c r="DK867" s="16">
        <v>60</v>
      </c>
      <c r="DM867" s="16">
        <v>15</v>
      </c>
      <c r="DO867" s="16">
        <v>0</v>
      </c>
      <c r="DQ867" s="16">
        <v>0</v>
      </c>
      <c r="DR867" s="16">
        <f>SUM(DI867:DQ867)</f>
        <v>100</v>
      </c>
    </row>
    <row r="868" spans="1:288" x14ac:dyDescent="0.2">
      <c r="B868" s="16">
        <v>2017</v>
      </c>
      <c r="C868" s="20">
        <v>42922</v>
      </c>
      <c r="D868" s="20" t="str">
        <f>CONCATENATE(J868,"-",C868)</f>
        <v>1045-42922</v>
      </c>
      <c r="E868" s="20" t="str">
        <f>CONCATENATE(T868,"-",U868,"-",C868)</f>
        <v>SP2-A5-42922</v>
      </c>
      <c r="F868" s="20" t="s">
        <v>106</v>
      </c>
      <c r="G868" s="20" t="s">
        <v>107</v>
      </c>
      <c r="I868" s="16">
        <v>0</v>
      </c>
      <c r="J868" s="21">
        <v>1045</v>
      </c>
      <c r="K868" s="21">
        <v>1831</v>
      </c>
      <c r="L868" s="18">
        <v>0</v>
      </c>
      <c r="M868" s="21">
        <f>VLOOKUP($K868,'[4]blood tubes 2017'!$D$1:$L$647,8,FALSE)</f>
        <v>0</v>
      </c>
      <c r="N868" s="15">
        <v>0</v>
      </c>
      <c r="O868" s="15" t="s">
        <v>214</v>
      </c>
      <c r="P868" s="16" t="s">
        <v>110</v>
      </c>
      <c r="Q868" s="16">
        <v>1</v>
      </c>
      <c r="R868" s="16">
        <v>16</v>
      </c>
      <c r="T868" s="16" t="s">
        <v>137</v>
      </c>
      <c r="U868" s="16" t="s">
        <v>167</v>
      </c>
      <c r="V868" s="16" t="s">
        <v>114</v>
      </c>
      <c r="W868" s="16">
        <f>AI868/AG868</f>
        <v>0.73684210526315785</v>
      </c>
      <c r="X868" s="16" t="s">
        <v>115</v>
      </c>
      <c r="Y868" s="16" t="s">
        <v>110</v>
      </c>
      <c r="Z868" s="16">
        <v>3</v>
      </c>
      <c r="AE868" s="16" t="s">
        <v>116</v>
      </c>
      <c r="AF868" s="16" t="s">
        <v>116</v>
      </c>
      <c r="AG868" s="16">
        <f>AH868-AI868</f>
        <v>95</v>
      </c>
      <c r="AH868" s="16">
        <v>165</v>
      </c>
      <c r="AI868" s="16">
        <v>70</v>
      </c>
      <c r="AK868" s="16">
        <v>22.5</v>
      </c>
      <c r="AL868" s="16">
        <v>0</v>
      </c>
      <c r="AM868" s="16">
        <v>0</v>
      </c>
      <c r="AN868" s="16">
        <v>0</v>
      </c>
      <c r="AO868" s="16">
        <v>0</v>
      </c>
      <c r="AP868" s="16">
        <f>SUM(AL868:AN868)</f>
        <v>0</v>
      </c>
      <c r="AQ868" s="16">
        <v>1.714</v>
      </c>
      <c r="AR868" s="16">
        <f>AP868-1.472</f>
        <v>-1.472</v>
      </c>
      <c r="AS868" s="16">
        <f>AQ868-1.472</f>
        <v>0.24199999999999999</v>
      </c>
      <c r="AT868" s="16" t="s">
        <v>234</v>
      </c>
      <c r="AW868" s="16">
        <f>IF(AX868&gt;0,1,0)</f>
        <v>1</v>
      </c>
      <c r="AX868" s="16">
        <f>SUM(BA868,BM868,CT868)</f>
        <v>1</v>
      </c>
      <c r="AY868" s="18">
        <f>SUM(BB868,BN868,CV868)</f>
        <v>24.793388429752067</v>
      </c>
      <c r="AZ868" s="16">
        <v>0</v>
      </c>
      <c r="BA868" s="16">
        <v>0</v>
      </c>
      <c r="BB868" s="16">
        <f>SUM(BE868,BH868,BK868)</f>
        <v>0</v>
      </c>
      <c r="BC868" s="16">
        <v>0</v>
      </c>
      <c r="BD868" s="16">
        <v>0</v>
      </c>
      <c r="BE868" s="16">
        <f>BD868/AS868</f>
        <v>0</v>
      </c>
      <c r="BF868" s="16">
        <v>0</v>
      </c>
      <c r="BG868" s="77">
        <v>0</v>
      </c>
      <c r="BH868" s="16">
        <f>BG868/AS868</f>
        <v>0</v>
      </c>
      <c r="BI868" s="16">
        <v>0</v>
      </c>
      <c r="BJ868" s="16">
        <v>0</v>
      </c>
      <c r="BK868" s="16">
        <f>BJ868/AS868</f>
        <v>0</v>
      </c>
      <c r="BL868" s="16">
        <f>IF(BM868&gt;0,1,0)</f>
        <v>1</v>
      </c>
      <c r="BM868" s="16">
        <f>SUM(BR868,BU868,BX868,CA868,CD868,CG868,CJ868,CM868,CP868)</f>
        <v>1</v>
      </c>
      <c r="BN868" s="16">
        <f>SUM(BW868,BZ868,CC868,CF868,CI868,CL868,CO868,CR868,BT868)</f>
        <v>24.793388429752067</v>
      </c>
      <c r="BO868" s="16">
        <f>IF(BP868&gt;0,1,0)</f>
        <v>1</v>
      </c>
      <c r="BP868" s="16">
        <f>SUM(BU868,BX868,CA868,CD868,BR868)</f>
        <v>1</v>
      </c>
      <c r="BQ868" s="16">
        <f>SUM(BZ868,CC868,CF868,BT868,BW868)</f>
        <v>24.793388429752067</v>
      </c>
      <c r="BR868" s="16">
        <v>0</v>
      </c>
      <c r="BS868" s="16">
        <v>0</v>
      </c>
      <c r="BT868" s="77">
        <f>BS868/AS868</f>
        <v>0</v>
      </c>
      <c r="BU868" s="16">
        <v>0</v>
      </c>
      <c r="BV868" s="16">
        <v>0</v>
      </c>
      <c r="BW868" s="16">
        <f>BV868/AS868</f>
        <v>0</v>
      </c>
      <c r="BX868" s="16">
        <v>0</v>
      </c>
      <c r="BY868" s="16">
        <v>0</v>
      </c>
      <c r="BZ868" s="16">
        <f>BY868/AS868</f>
        <v>0</v>
      </c>
      <c r="CA868" s="16">
        <v>1</v>
      </c>
      <c r="CB868" s="16">
        <v>6</v>
      </c>
      <c r="CC868" s="16">
        <f>CB868/AS868</f>
        <v>24.793388429752067</v>
      </c>
      <c r="CD868" s="77">
        <v>0</v>
      </c>
      <c r="CE868" s="16">
        <v>0</v>
      </c>
      <c r="CF868" s="16">
        <f>CE868/AS868</f>
        <v>0</v>
      </c>
      <c r="CG868" s="16">
        <v>0</v>
      </c>
      <c r="CH868" s="16">
        <v>0</v>
      </c>
      <c r="CI868" s="16">
        <f>CH868/AS868</f>
        <v>0</v>
      </c>
      <c r="CM868" s="16">
        <v>0</v>
      </c>
      <c r="CN868" s="16">
        <v>0</v>
      </c>
      <c r="CO868" s="16">
        <f>CN868/AS868</f>
        <v>0</v>
      </c>
      <c r="CP868" s="16">
        <v>0</v>
      </c>
      <c r="CQ868" s="16">
        <v>0</v>
      </c>
      <c r="CR868" s="16">
        <f>CQ868/AS868</f>
        <v>0</v>
      </c>
      <c r="CS868" s="16">
        <v>0</v>
      </c>
      <c r="CT868" s="16">
        <v>0</v>
      </c>
      <c r="CV868" s="16">
        <f>SUM(CY868,DB868,DE868)</f>
        <v>0</v>
      </c>
      <c r="CW868" s="16">
        <v>0</v>
      </c>
      <c r="CX868" s="16">
        <v>0</v>
      </c>
      <c r="CY868" s="16">
        <f>CX868/AS868</f>
        <v>0</v>
      </c>
      <c r="CZ868" s="16">
        <v>0</v>
      </c>
      <c r="DA868" s="16">
        <v>0</v>
      </c>
      <c r="DB868" s="16">
        <f>DA868/AS868</f>
        <v>0</v>
      </c>
      <c r="DC868" s="16">
        <v>0</v>
      </c>
      <c r="DD868" s="16">
        <v>0</v>
      </c>
      <c r="DE868" s="16">
        <f>DD868/AS868</f>
        <v>0</v>
      </c>
      <c r="DF868" s="16" t="e">
        <f>VLOOKUP(K868,'[3]RNA Seq summary tables'!$V$3:$V$99,1,FALSE)</f>
        <v>#N/A</v>
      </c>
      <c r="DI868" s="16">
        <v>48</v>
      </c>
      <c r="DK868" s="16">
        <v>46</v>
      </c>
      <c r="DM868" s="16">
        <v>6</v>
      </c>
      <c r="DO868" s="16">
        <v>0</v>
      </c>
      <c r="DQ868" s="16">
        <v>0</v>
      </c>
      <c r="DR868" s="16">
        <f>SUM(DI868:DQ868)</f>
        <v>100</v>
      </c>
      <c r="JR868" s="27"/>
      <c r="JS868" s="27"/>
      <c r="JT868" s="27"/>
      <c r="JU868" s="27"/>
      <c r="JV868" s="27"/>
      <c r="JW868" s="27"/>
      <c r="JX868" s="27"/>
      <c r="JY868" s="27"/>
      <c r="JZ868" s="27"/>
      <c r="KA868" s="27"/>
      <c r="KB868" s="27"/>
    </row>
    <row r="869" spans="1:288" x14ac:dyDescent="0.2">
      <c r="B869" s="16">
        <v>2017</v>
      </c>
      <c r="C869" s="20">
        <v>42939</v>
      </c>
      <c r="D869" s="20" t="str">
        <f>CONCATENATE(J869,"-",C869)</f>
        <v>1045-42939</v>
      </c>
      <c r="E869" s="20" t="str">
        <f>CONCATENATE(T869,"-",U869,"-",C869)</f>
        <v>SP2-C4-42939</v>
      </c>
      <c r="F869" s="20" t="s">
        <v>106</v>
      </c>
      <c r="G869" s="20" t="s">
        <v>107</v>
      </c>
      <c r="I869" s="16">
        <v>0</v>
      </c>
      <c r="J869" s="21">
        <v>1045</v>
      </c>
      <c r="K869" s="21">
        <v>1970</v>
      </c>
      <c r="L869" s="18">
        <v>0</v>
      </c>
      <c r="M869" s="21">
        <f>VLOOKUP($K869,'[4]blood tubes 2017'!$D$1:$L$647,8,FALSE)</f>
        <v>0</v>
      </c>
      <c r="N869" s="15">
        <v>0</v>
      </c>
      <c r="O869" s="15" t="s">
        <v>214</v>
      </c>
      <c r="P869" s="16" t="s">
        <v>110</v>
      </c>
      <c r="Q869" s="16">
        <v>1</v>
      </c>
      <c r="R869" s="16">
        <v>17</v>
      </c>
      <c r="T869" s="16" t="s">
        <v>137</v>
      </c>
      <c r="U869" s="16" t="s">
        <v>229</v>
      </c>
      <c r="V869" s="16" t="s">
        <v>114</v>
      </c>
      <c r="W869" s="16">
        <f>AI869/AG869</f>
        <v>0.73684210526315785</v>
      </c>
      <c r="X869" s="16" t="s">
        <v>115</v>
      </c>
      <c r="Y869" s="16" t="s">
        <v>110</v>
      </c>
      <c r="Z869" s="16">
        <v>3</v>
      </c>
      <c r="AE869" s="16" t="s">
        <v>123</v>
      </c>
      <c r="AF869" s="16" t="s">
        <v>123</v>
      </c>
      <c r="AG869" s="16">
        <f>AH869-AI869</f>
        <v>95</v>
      </c>
      <c r="AH869" s="16">
        <v>165</v>
      </c>
      <c r="AI869" s="16">
        <v>70</v>
      </c>
      <c r="AK869" s="16">
        <v>22</v>
      </c>
      <c r="AL869" s="16">
        <v>0</v>
      </c>
      <c r="AM869" s="16">
        <v>0</v>
      </c>
      <c r="AN869" s="16">
        <v>0</v>
      </c>
      <c r="AO869" s="16">
        <v>0</v>
      </c>
      <c r="AP869" s="16">
        <f>SUM(AL869:AN869)</f>
        <v>0</v>
      </c>
      <c r="AQ869" s="16">
        <v>1.585</v>
      </c>
      <c r="AR869" s="16">
        <f>AP869-1.472</f>
        <v>-1.472</v>
      </c>
      <c r="AS869" s="16">
        <f>AQ869-1.472</f>
        <v>0.11299999999999999</v>
      </c>
      <c r="AT869" s="16" t="str">
        <f>VLOOKUP(K869,'[5]FECs - good data'!$C$1:$P$575,13,FALSE)</f>
        <v>JB</v>
      </c>
      <c r="AW869" s="18">
        <f>IF(AX869&gt;0,1,0)</f>
        <v>1</v>
      </c>
      <c r="AX869" s="18">
        <f>SUM(BA869,BM869,CT869)</f>
        <v>3</v>
      </c>
      <c r="AY869" s="18">
        <f>SUM(BB869,BN869,CV869)</f>
        <v>9371.6814159292044</v>
      </c>
      <c r="AZ869" s="18">
        <f>IF(BA869&gt;0,1,0)</f>
        <v>1</v>
      </c>
      <c r="BA869" s="18">
        <f>SUM(BC869,BF869,BI869)</f>
        <v>1</v>
      </c>
      <c r="BB869" s="18">
        <f>SUM(BE869,BH869,BK869)</f>
        <v>3053.0973451327436</v>
      </c>
      <c r="BC869" s="18">
        <f>IF(BD869&gt;0,1,0)</f>
        <v>0</v>
      </c>
      <c r="BD869" s="18">
        <f>VLOOKUP($K869,'[5]FECs - good data'!$C$1:$Z$574,14,FALSE)</f>
        <v>0</v>
      </c>
      <c r="BE869" s="16">
        <f>BD869/AS869</f>
        <v>0</v>
      </c>
      <c r="BF869" s="16">
        <f>IF(BG869&gt;0,1,0)</f>
        <v>1</v>
      </c>
      <c r="BG869" s="77">
        <f>VLOOKUP($K869,'[5]FECs - good data'!$C$1:$Z$574,15,FALSE)</f>
        <v>345</v>
      </c>
      <c r="BH869" s="16">
        <f>BG869/AS869</f>
        <v>3053.0973451327436</v>
      </c>
      <c r="BI869" s="16">
        <f>IF(BJ869&gt;0,1,0)</f>
        <v>0</v>
      </c>
      <c r="BJ869" s="16">
        <f>VLOOKUP($K869,'[5]FECs - good data'!$C$1:$Z$574,16,FALSE)</f>
        <v>0</v>
      </c>
      <c r="BK869" s="16">
        <f>BJ869/AS869</f>
        <v>0</v>
      </c>
      <c r="BL869" s="16">
        <f>IF(BM869&gt;0,1,0)</f>
        <v>1</v>
      </c>
      <c r="BM869" s="16">
        <f>SUM(BR869,BU869,BX869,CA869,CD869,CG869,CJ869,CM869,CP869)</f>
        <v>1</v>
      </c>
      <c r="BN869" s="16">
        <f>SUM(BW869,BZ869,CC869,CF869,CI869,CL869,CO869,CR869,BT869)</f>
        <v>3159.2920353982304</v>
      </c>
      <c r="BO869" s="16">
        <f>IF(BP869&gt;0,1,0)</f>
        <v>0</v>
      </c>
      <c r="BP869" s="16">
        <f>SUM(BU869,BX869,CA869,CD869,BR869)</f>
        <v>0</v>
      </c>
      <c r="BQ869" s="16">
        <f>SUM(BZ869,CC869,CF869,BT869,BW869)</f>
        <v>0</v>
      </c>
      <c r="BR869" s="16">
        <f>IF(BS869&gt;0,1,0)</f>
        <v>0</v>
      </c>
      <c r="BS869" s="16">
        <f>VLOOKUP($K869,'[5]FECs - good data'!$C$1:$Z$574,17,FALSE)</f>
        <v>0</v>
      </c>
      <c r="BT869" s="77">
        <f>BS869/AS869</f>
        <v>0</v>
      </c>
      <c r="BU869" s="16">
        <f>IF(BV869&gt;0,1,0)</f>
        <v>0</v>
      </c>
      <c r="BV869" s="16">
        <f>VLOOKUP($K869,'[5]FECs - good data'!$C$1:$Z$574,18,FALSE)</f>
        <v>0</v>
      </c>
      <c r="BW869" s="16">
        <f>BV869/AS869</f>
        <v>0</v>
      </c>
      <c r="BX869" s="16">
        <f>IF(BY869&gt;0,1,0)</f>
        <v>0</v>
      </c>
      <c r="BY869" s="16">
        <f>VLOOKUP($K869,'[5]FECs - good data'!$C$1:$Z$574,19,FALSE)</f>
        <v>0</v>
      </c>
      <c r="BZ869" s="16">
        <f>BY869/AS869</f>
        <v>0</v>
      </c>
      <c r="CA869" s="16">
        <f>IF(CB869&gt;0,1,0)</f>
        <v>0</v>
      </c>
      <c r="CB869" s="16">
        <f>VLOOKUP($K869,'[5]FECs - good data'!$C$1:$Z$574,20,FALSE)</f>
        <v>0</v>
      </c>
      <c r="CC869" s="16">
        <f>CB869/AS869</f>
        <v>0</v>
      </c>
      <c r="CD869" s="77">
        <f>IF(CE869&gt;0,1,0)</f>
        <v>0</v>
      </c>
      <c r="CE869" s="16">
        <f>VLOOKUP($K869,'[5]FECs - good data'!$C$1:$Z$574,21,FALSE)</f>
        <v>0</v>
      </c>
      <c r="CF869" s="16">
        <f>CE869/AS869</f>
        <v>0</v>
      </c>
      <c r="CG869" s="16">
        <f>IF(CH869&gt;0,1,0)</f>
        <v>1</v>
      </c>
      <c r="CH869" s="16">
        <f>VLOOKUP($K869,'[5]FECs - good data'!$C$1:$Z$574,22,FALSE)</f>
        <v>357</v>
      </c>
      <c r="CI869" s="16">
        <f>CH869/AS869</f>
        <v>3159.2920353982304</v>
      </c>
      <c r="CJ869" s="16">
        <f>IF(CK869&gt;0,1,0)</f>
        <v>0</v>
      </c>
      <c r="CK869" s="16">
        <f>VLOOKUP($K869,'[5]FECs - good data'!$C$1:$Z$674,24,FALSE)</f>
        <v>0</v>
      </c>
      <c r="CL869" s="16">
        <f>CK869/AS869</f>
        <v>0</v>
      </c>
      <c r="CS869" s="16">
        <f>IF(CT869&gt;0,1,0)</f>
        <v>1</v>
      </c>
      <c r="CT869" s="16">
        <f>SUM(CW869+CZ869,DC869)</f>
        <v>1</v>
      </c>
      <c r="CV869" s="16">
        <f>SUM(CY869,DB869,DE869)</f>
        <v>3159.2920353982304</v>
      </c>
      <c r="CW869" s="16">
        <f>IF(CX869&gt;0,1,0)</f>
        <v>1</v>
      </c>
      <c r="CX869" s="16">
        <f>VLOOKUP($K869,'[5]FECs - good data'!$C$1:$Z$574,22,FALSE)</f>
        <v>357</v>
      </c>
      <c r="CY869" s="16">
        <f>CX869/AS869</f>
        <v>3159.2920353982304</v>
      </c>
      <c r="CZ869" s="16">
        <f>IF(DA869&gt;0,1,0)</f>
        <v>0</v>
      </c>
      <c r="DA869" s="16">
        <f>VLOOKUP($K869,'[5]FECs - good data'!$C$1:$Z$5982,23,FALSE)</f>
        <v>0</v>
      </c>
      <c r="DB869" s="16">
        <f>DA869/AS869</f>
        <v>0</v>
      </c>
      <c r="DC869" s="16">
        <f>IF(DD869&gt;0,1,0)</f>
        <v>0</v>
      </c>
      <c r="DD869" s="16">
        <f>VLOOKUP($K869,'[5]FECs - good data'!$C$1:$Z$574,23,FALSE)</f>
        <v>0</v>
      </c>
      <c r="DE869" s="16">
        <f>DD869/AS869</f>
        <v>0</v>
      </c>
      <c r="DF869" s="16" t="e">
        <f>VLOOKUP(K869,'[3]RNA Seq summary tables'!$V$3:$V$99,1,FALSE)</f>
        <v>#N/A</v>
      </c>
      <c r="DG869" s="16">
        <v>1</v>
      </c>
      <c r="DH869" s="16" t="str">
        <f>VLOOKUP(D869,'[6]workflow 3.2018'!$A$1:$S$237,2,FALSE)</f>
        <v>2017MLBS_70</v>
      </c>
    </row>
    <row r="870" spans="1:288" x14ac:dyDescent="0.2">
      <c r="B870" s="16">
        <v>2017</v>
      </c>
      <c r="C870" s="20">
        <v>42957</v>
      </c>
      <c r="D870" s="20" t="str">
        <f>CONCATENATE(J870,"-",C870)</f>
        <v>1045-42957</v>
      </c>
      <c r="E870" s="20" t="str">
        <f>CONCATENATE(T870,"-",U870,"-",C870)</f>
        <v>SP2-C2-42957</v>
      </c>
      <c r="F870" s="20" t="s">
        <v>106</v>
      </c>
      <c r="G870" s="20" t="s">
        <v>107</v>
      </c>
      <c r="I870" s="16">
        <v>0</v>
      </c>
      <c r="J870" s="21">
        <v>1045</v>
      </c>
      <c r="K870" s="21">
        <v>2115</v>
      </c>
      <c r="L870" s="18">
        <v>0</v>
      </c>
      <c r="M870" s="21">
        <f>VLOOKUP($K870,'[4]blood tubes 2017'!$D$1:$L$647,8,FALSE)</f>
        <v>0</v>
      </c>
      <c r="N870" s="15">
        <v>0</v>
      </c>
      <c r="O870" s="15" t="s">
        <v>214</v>
      </c>
      <c r="P870" s="16" t="s">
        <v>110</v>
      </c>
      <c r="Q870" s="16">
        <v>1</v>
      </c>
      <c r="R870" s="16">
        <v>18</v>
      </c>
      <c r="T870" s="16" t="s">
        <v>137</v>
      </c>
      <c r="U870" s="16" t="s">
        <v>162</v>
      </c>
      <c r="V870" s="16" t="s">
        <v>114</v>
      </c>
      <c r="W870" s="16">
        <f>AI870/AG870</f>
        <v>0.81111111111111112</v>
      </c>
      <c r="X870" s="16" t="s">
        <v>115</v>
      </c>
      <c r="Y870" s="16" t="s">
        <v>110</v>
      </c>
      <c r="Z870" s="16">
        <v>3</v>
      </c>
      <c r="AE870" s="16" t="s">
        <v>123</v>
      </c>
      <c r="AF870" s="16" t="s">
        <v>123</v>
      </c>
      <c r="AG870" s="16">
        <f>AH870-AI870</f>
        <v>90</v>
      </c>
      <c r="AH870" s="16">
        <v>163</v>
      </c>
      <c r="AI870" s="16">
        <v>73</v>
      </c>
      <c r="AK870" s="16">
        <v>21.5</v>
      </c>
      <c r="AL870" s="16">
        <v>1</v>
      </c>
      <c r="AM870" s="16">
        <v>0</v>
      </c>
      <c r="AN870" s="16">
        <v>0</v>
      </c>
      <c r="AO870" s="16">
        <v>1</v>
      </c>
      <c r="AP870" s="16">
        <f>SUM(AL870:AN870)</f>
        <v>1</v>
      </c>
      <c r="AQ870" s="16">
        <v>1.7210000000000001</v>
      </c>
      <c r="AR870" s="16">
        <f>AP870-1.472</f>
        <v>-0.47199999999999998</v>
      </c>
      <c r="AS870" s="16">
        <f>AQ870-1.472</f>
        <v>0.24900000000000011</v>
      </c>
      <c r="AT870" s="16" t="str">
        <f>VLOOKUP(K870,'[5]FECs - good data'!$C$1:$P$575,13,FALSE)</f>
        <v>SB</v>
      </c>
      <c r="AW870" s="18">
        <f>IF(AX870&gt;0,1,0)</f>
        <v>1</v>
      </c>
      <c r="AX870" s="18">
        <f>SUM(BA870,BM870,CT870)</f>
        <v>8</v>
      </c>
      <c r="AY870" s="18">
        <f>SUM(BB870,BN870,CV870)</f>
        <v>5128.514056224898</v>
      </c>
      <c r="AZ870" s="18">
        <f>IF(BA870&gt;0,1,0)</f>
        <v>1</v>
      </c>
      <c r="BA870" s="18">
        <f>SUM(BC870,BF870,BI870)</f>
        <v>1</v>
      </c>
      <c r="BB870" s="18">
        <f>SUM(BE870,BH870,BK870)</f>
        <v>104.41767068273087</v>
      </c>
      <c r="BC870" s="18">
        <f>IF(BD870&gt;0,1,0)</f>
        <v>0</v>
      </c>
      <c r="BD870" s="18">
        <f>VLOOKUP($K870,'[5]FECs - good data'!$C$1:$Z$574,14,FALSE)</f>
        <v>0</v>
      </c>
      <c r="BE870" s="16">
        <f>BD870/AS870</f>
        <v>0</v>
      </c>
      <c r="BF870" s="16">
        <f>IF(BG870&gt;0,1,0)</f>
        <v>1</v>
      </c>
      <c r="BG870" s="77">
        <f>VLOOKUP($K870,'[5]FECs - good data'!$C$1:$Z$574,15,FALSE)</f>
        <v>26</v>
      </c>
      <c r="BH870" s="16">
        <f>BG870/AS870</f>
        <v>104.41767068273087</v>
      </c>
      <c r="BI870" s="16">
        <f>IF(BJ870&gt;0,1,0)</f>
        <v>0</v>
      </c>
      <c r="BJ870" s="16">
        <f>VLOOKUP($K870,'[5]FECs - good data'!$C$1:$Z$574,16,FALSE)</f>
        <v>0</v>
      </c>
      <c r="BK870" s="16">
        <f>BJ870/AS870</f>
        <v>0</v>
      </c>
      <c r="BL870" s="16">
        <f>IF(BM870&gt;0,1,0)</f>
        <v>1</v>
      </c>
      <c r="BM870" s="16">
        <f>SUM(BR870,BU870,BX870,CA870,CD870,CG870,CJ870,CM870,CP870)</f>
        <v>4</v>
      </c>
      <c r="BN870" s="16">
        <f>SUM(BW870,BZ870,CC870,CF870,CI870,CL870,CO870,CR870,BT870)</f>
        <v>1983.9357429718868</v>
      </c>
      <c r="BO870" s="16">
        <f>IF(BP870&gt;0,1,0)</f>
        <v>1</v>
      </c>
      <c r="BP870" s="16">
        <f>SUM(BU870,BX870,CA870,CD870,BR870)</f>
        <v>2</v>
      </c>
      <c r="BQ870" s="16">
        <f>SUM(BZ870,CC870,CF870,BT870,BW870)</f>
        <v>8.0321285140562217</v>
      </c>
      <c r="BR870" s="16">
        <f>IF(BS870&gt;0,1,0)</f>
        <v>0</v>
      </c>
      <c r="BS870" s="16">
        <f>VLOOKUP($K870,'[5]FECs - good data'!$C$1:$Z$574,17,FALSE)</f>
        <v>0</v>
      </c>
      <c r="BT870" s="77">
        <f>BS870/AS870</f>
        <v>0</v>
      </c>
      <c r="BU870" s="16">
        <f>IF(BV870&gt;0,1,0)</f>
        <v>0</v>
      </c>
      <c r="BV870" s="16">
        <f>VLOOKUP($K870,'[5]FECs - good data'!$C$1:$Z$574,18,FALSE)</f>
        <v>0</v>
      </c>
      <c r="BW870" s="16">
        <f>BV870/AS870</f>
        <v>0</v>
      </c>
      <c r="BX870" s="16">
        <f>IF(BY870&gt;0,1,0)</f>
        <v>1</v>
      </c>
      <c r="BY870" s="16">
        <f>VLOOKUP($K870,'[5]FECs - good data'!$C$1:$Z$574,19,FALSE)</f>
        <v>1</v>
      </c>
      <c r="BZ870" s="16">
        <f>BY870/AS870</f>
        <v>4.0160642570281109</v>
      </c>
      <c r="CA870" s="16">
        <f>IF(CB870&gt;0,1,0)</f>
        <v>1</v>
      </c>
      <c r="CB870" s="16">
        <f>VLOOKUP($K870,'[5]FECs - good data'!$C$1:$Z$574,20,FALSE)</f>
        <v>1</v>
      </c>
      <c r="CC870" s="16">
        <f>CB870/AS870</f>
        <v>4.0160642570281109</v>
      </c>
      <c r="CD870" s="77">
        <f>IF(CE870&gt;0,1,0)</f>
        <v>0</v>
      </c>
      <c r="CE870" s="16">
        <f>VLOOKUP($K870,'[5]FECs - good data'!$C$1:$Z$574,21,FALSE)</f>
        <v>0</v>
      </c>
      <c r="CF870" s="16">
        <f>CE870/AS870</f>
        <v>0</v>
      </c>
      <c r="CG870" s="16">
        <f>IF(CH870&gt;0,1,0)</f>
        <v>1</v>
      </c>
      <c r="CH870" s="16">
        <f>VLOOKUP($K870,'[5]FECs - good data'!$C$1:$Z$574,22,FALSE)</f>
        <v>485</v>
      </c>
      <c r="CI870" s="16">
        <f>CH870/AS870</f>
        <v>1947.7911646586338</v>
      </c>
      <c r="CJ870" s="16">
        <f>IF(CK870&gt;0,1,0)</f>
        <v>1</v>
      </c>
      <c r="CK870" s="16">
        <f>VLOOKUP($K870,'[5]FECs - good data'!$C$1:$Z$674,24,FALSE)</f>
        <v>7</v>
      </c>
      <c r="CL870" s="16">
        <f>CK870/AS870</f>
        <v>28.112449799196774</v>
      </c>
      <c r="CS870" s="16">
        <f>IF(CT870&gt;0,1,0)</f>
        <v>1</v>
      </c>
      <c r="CT870" s="16">
        <f>SUM(CW870+CZ870,DC870)</f>
        <v>3</v>
      </c>
      <c r="CV870" s="16">
        <f>SUM(CY870,DB870,DE870)</f>
        <v>3040.1606425702798</v>
      </c>
      <c r="CW870" s="16">
        <f>IF(CX870&gt;0,1,0)</f>
        <v>1</v>
      </c>
      <c r="CX870" s="16">
        <f>VLOOKUP($K870,'[5]FECs - good data'!$C$1:$Z$574,22,FALSE)</f>
        <v>485</v>
      </c>
      <c r="CY870" s="16">
        <f>CX870/AS870</f>
        <v>1947.7911646586338</v>
      </c>
      <c r="CZ870" s="16">
        <f>IF(DA870&gt;0,1,0)</f>
        <v>1</v>
      </c>
      <c r="DA870" s="16">
        <f>VLOOKUP($K870,'[5]FECs - good data'!$C$1:$Z$5982,23,FALSE)</f>
        <v>136</v>
      </c>
      <c r="DB870" s="16">
        <f>DA870/AS870</f>
        <v>546.18473895582304</v>
      </c>
      <c r="DC870" s="16">
        <f>IF(DD870&gt;0,1,0)</f>
        <v>1</v>
      </c>
      <c r="DD870" s="16">
        <f>VLOOKUP($K870,'[5]FECs - good data'!$C$1:$Z$574,23,FALSE)</f>
        <v>136</v>
      </c>
      <c r="DE870" s="16">
        <f>DD870/AS870</f>
        <v>546.18473895582304</v>
      </c>
      <c r="DF870" s="16" t="e">
        <f>VLOOKUP(K870,'[3]RNA Seq summary tables'!$V$3:$V$99,1,FALSE)</f>
        <v>#N/A</v>
      </c>
      <c r="DG870" s="16">
        <v>1</v>
      </c>
      <c r="DH870" s="16" t="str">
        <f>VLOOKUP(D870,'[6]workflow 3.2018'!$A$1:$S$237,2,FALSE)</f>
        <v>2017MLBS_122</v>
      </c>
    </row>
    <row r="871" spans="1:288" x14ac:dyDescent="0.2">
      <c r="B871" s="16">
        <v>2017</v>
      </c>
      <c r="C871" s="43">
        <v>42972</v>
      </c>
      <c r="D871" s="20" t="str">
        <f>CONCATENATE(J871,"-",C871)</f>
        <v>1045-42972</v>
      </c>
      <c r="E871" s="20" t="str">
        <f>CONCATENATE(T871,"-",U871,"-",C871)</f>
        <v>SP2-C5-42972</v>
      </c>
      <c r="F871" s="20" t="s">
        <v>106</v>
      </c>
      <c r="G871" s="43" t="s">
        <v>107</v>
      </c>
      <c r="H871" s="23"/>
      <c r="I871" s="16">
        <v>0</v>
      </c>
      <c r="J871" s="15">
        <v>1045</v>
      </c>
      <c r="K871" s="15">
        <v>2247</v>
      </c>
      <c r="L871" s="18">
        <v>0</v>
      </c>
      <c r="M871" s="21">
        <f>VLOOKUP($K871,'[4]blood tubes 2017'!$D$1:$L$947,8,FALSE)</f>
        <v>0</v>
      </c>
      <c r="N871" s="15">
        <v>0</v>
      </c>
      <c r="O871" s="15" t="s">
        <v>214</v>
      </c>
      <c r="P871" s="23" t="s">
        <v>110</v>
      </c>
      <c r="Q871" s="16">
        <v>1</v>
      </c>
      <c r="R871" s="23">
        <v>15</v>
      </c>
      <c r="S871" s="23"/>
      <c r="T871" s="23" t="s">
        <v>137</v>
      </c>
      <c r="U871" s="23" t="s">
        <v>172</v>
      </c>
      <c r="V871" s="23" t="s">
        <v>114</v>
      </c>
      <c r="W871" s="16">
        <f>AI871/AG871</f>
        <v>0.82222222222222219</v>
      </c>
      <c r="X871" s="23" t="s">
        <v>115</v>
      </c>
      <c r="Y871" s="23" t="s">
        <v>110</v>
      </c>
      <c r="Z871" s="23">
        <v>3</v>
      </c>
      <c r="AA871" s="23"/>
      <c r="AB871" s="23"/>
      <c r="AC871" s="23"/>
      <c r="AD871" s="23"/>
      <c r="AE871" s="23" t="s">
        <v>116</v>
      </c>
      <c r="AF871" s="23" t="s">
        <v>116</v>
      </c>
      <c r="AG871" s="23">
        <f>AH871-AI871</f>
        <v>90</v>
      </c>
      <c r="AH871" s="23">
        <v>164</v>
      </c>
      <c r="AI871" s="23">
        <v>74</v>
      </c>
      <c r="AJ871" s="23"/>
      <c r="AK871" s="23">
        <v>22</v>
      </c>
      <c r="AL871" s="23">
        <v>0</v>
      </c>
      <c r="AM871" s="23">
        <v>0</v>
      </c>
      <c r="AN871" s="23">
        <v>0</v>
      </c>
      <c r="AO871" s="23">
        <v>0</v>
      </c>
      <c r="AP871" s="23">
        <f>SUM(AL871:AN871)</f>
        <v>0</v>
      </c>
      <c r="AQ871" s="23">
        <v>1.5920000000000001</v>
      </c>
      <c r="AR871" s="23">
        <f>AP871-1.472</f>
        <v>-1.472</v>
      </c>
      <c r="AS871" s="23">
        <f>AQ871-1.472</f>
        <v>0.12000000000000011</v>
      </c>
      <c r="AT871" s="23" t="str">
        <f>VLOOKUP(K871,'[5]FECs - good data'!$C$1:$P$575,13,FALSE)</f>
        <v>JB</v>
      </c>
      <c r="AU871" s="23"/>
      <c r="AV871" s="23"/>
      <c r="AW871" s="25">
        <f>IF(AX871&gt;0,1,0)</f>
        <v>1</v>
      </c>
      <c r="AX871" s="25">
        <f>SUM(BA871,BM871,CT871)</f>
        <v>1</v>
      </c>
      <c r="AY871" s="25">
        <f>SUM(BB871,BN871,CV871)</f>
        <v>16.66666666666665</v>
      </c>
      <c r="AZ871" s="18">
        <f>IF(BA871&gt;0,1,0)</f>
        <v>0</v>
      </c>
      <c r="BA871" s="25">
        <f>SUM(BC871,BF871,BI871)</f>
        <v>0</v>
      </c>
      <c r="BB871" s="25">
        <f>SUM(BE871,BH871,BK871)</f>
        <v>0</v>
      </c>
      <c r="BC871" s="18">
        <f>IF(BD871&gt;0,1,0)</f>
        <v>0</v>
      </c>
      <c r="BD871" s="25">
        <f>VLOOKUP($K871,'[5]FECs - good data'!$C$1:$Z$574,14,FALSE)</f>
        <v>0</v>
      </c>
      <c r="BE871" s="23">
        <f>BD871/AS871</f>
        <v>0</v>
      </c>
      <c r="BF871" s="16">
        <f>IF(BG871&gt;0,1,0)</f>
        <v>0</v>
      </c>
      <c r="BG871" s="77">
        <f>VLOOKUP($K871,'[5]FECs - good data'!$C$1:$Z$574,15,FALSE)</f>
        <v>0</v>
      </c>
      <c r="BH871" s="23">
        <f>BG871/AS871</f>
        <v>0</v>
      </c>
      <c r="BI871" s="16">
        <f>IF(BJ871&gt;0,1,0)</f>
        <v>0</v>
      </c>
      <c r="BJ871" s="23">
        <f>VLOOKUP($K871,'[5]FECs - good data'!$C$1:$Z$574,16,FALSE)</f>
        <v>0</v>
      </c>
      <c r="BK871" s="23">
        <f>BJ871/AS871</f>
        <v>0</v>
      </c>
      <c r="BL871" s="16">
        <f>IF(BM871&gt;0,1,0)</f>
        <v>1</v>
      </c>
      <c r="BM871" s="16">
        <f>SUM(BR871,BU871,BX871,CA871,CD871,CG871,CJ871,CM871,CP871)</f>
        <v>1</v>
      </c>
      <c r="BN871" s="16">
        <f>SUM(BW871,BZ871,CC871,CF871,CI871,CL871,CO871,CR871,BT871)</f>
        <v>16.66666666666665</v>
      </c>
      <c r="BO871" s="16">
        <f>IF(BP871&gt;0,1,0)</f>
        <v>0</v>
      </c>
      <c r="BP871" s="16">
        <f>SUM(BU871,BX871,CA871,CD871,BR871)</f>
        <v>0</v>
      </c>
      <c r="BQ871" s="16">
        <f>SUM(BZ871,CC871,CF871,BT871,BW871)</f>
        <v>0</v>
      </c>
      <c r="BR871" s="16">
        <f>IF(BS871&gt;0,1,0)</f>
        <v>0</v>
      </c>
      <c r="BS871" s="23">
        <f>VLOOKUP($K871,'[5]FECs - good data'!$C$1:$Z$574,17,FALSE)</f>
        <v>0</v>
      </c>
      <c r="BT871" s="77">
        <f>BS871/AS871</f>
        <v>0</v>
      </c>
      <c r="BU871" s="16">
        <f>IF(BV871&gt;0,1,0)</f>
        <v>0</v>
      </c>
      <c r="BV871" s="23">
        <f>VLOOKUP($K871,'[5]FECs - good data'!$C$1:$Z$574,18,FALSE)</f>
        <v>0</v>
      </c>
      <c r="BW871" s="16">
        <f>BV871/AS871</f>
        <v>0</v>
      </c>
      <c r="BX871" s="16">
        <f>IF(BY871&gt;0,1,0)</f>
        <v>0</v>
      </c>
      <c r="BY871" s="23">
        <f>VLOOKUP($K871,'[5]FECs - good data'!$C$1:$Z$574,19,FALSE)</f>
        <v>0</v>
      </c>
      <c r="BZ871" s="16">
        <f>BY871/AS871</f>
        <v>0</v>
      </c>
      <c r="CA871" s="16">
        <f>IF(CB871&gt;0,1,0)</f>
        <v>0</v>
      </c>
      <c r="CB871" s="23">
        <f>VLOOKUP($K871,'[5]FECs - good data'!$C$1:$Z$574,20,FALSE)</f>
        <v>0</v>
      </c>
      <c r="CC871" s="23">
        <f>CB871/AS871</f>
        <v>0</v>
      </c>
      <c r="CD871" s="77">
        <f>IF(CE871&gt;0,1,0)</f>
        <v>0</v>
      </c>
      <c r="CE871" s="23">
        <f>VLOOKUP($K871,'[5]FECs - good data'!$C$1:$Z$574,21,FALSE)</f>
        <v>0</v>
      </c>
      <c r="CF871" s="23">
        <f>CE871/AS871</f>
        <v>0</v>
      </c>
      <c r="CG871" s="23">
        <f>IF(CH871&gt;0,1,0)</f>
        <v>0</v>
      </c>
      <c r="CH871" s="23">
        <f>VLOOKUP($K871,'[5]FECs - good data'!$C$1:$Z$574,22,FALSE)</f>
        <v>0</v>
      </c>
      <c r="CI871" s="23">
        <f>CH871/AS871</f>
        <v>0</v>
      </c>
      <c r="CJ871" s="23">
        <f>IF(CK871&gt;0,1,0)</f>
        <v>1</v>
      </c>
      <c r="CK871" s="23">
        <f>VLOOKUP($K871,'[5]FECs - good data'!$C$1:$Z$674,24,FALSE)</f>
        <v>2</v>
      </c>
      <c r="CL871" s="23">
        <f>CK871/AS871</f>
        <v>16.66666666666665</v>
      </c>
      <c r="CM871" s="23"/>
      <c r="CN871" s="23"/>
      <c r="CO871" s="23"/>
      <c r="CP871" s="23"/>
      <c r="CQ871" s="23"/>
      <c r="CR871" s="23"/>
      <c r="CS871" s="16">
        <f>IF(CT871&gt;0,1,0)</f>
        <v>0</v>
      </c>
      <c r="CT871" s="16">
        <f>SUM(CW871+CZ871,DC871)</f>
        <v>0</v>
      </c>
      <c r="CV871" s="23">
        <f>SUM(CY871,DB871,DE871)</f>
        <v>0</v>
      </c>
      <c r="CW871" s="16">
        <f>IF(CX871&gt;0,1,0)</f>
        <v>0</v>
      </c>
      <c r="CX871" s="23">
        <f>VLOOKUP($K871,'[5]FECs - good data'!$C$1:$Z$574,22,FALSE)</f>
        <v>0</v>
      </c>
      <c r="CY871" s="23">
        <f>CX871/AS871</f>
        <v>0</v>
      </c>
      <c r="CZ871" s="23">
        <f>IF(DA871&gt;0,1,0)</f>
        <v>0</v>
      </c>
      <c r="DA871" s="23">
        <f>VLOOKUP($K871,'[5]FECs - good data'!$C$1:$Z$5982,23,FALSE)</f>
        <v>0</v>
      </c>
      <c r="DB871" s="23">
        <f>DA871/AS871</f>
        <v>0</v>
      </c>
      <c r="DC871" s="23">
        <f>IF(DD871&gt;0,1,0)</f>
        <v>0</v>
      </c>
      <c r="DD871" s="23">
        <f>VLOOKUP($K871,'[5]FECs - good data'!$C$1:$Z$574,23,FALSE)</f>
        <v>0</v>
      </c>
      <c r="DE871" s="23">
        <f>DD871/AS871</f>
        <v>0</v>
      </c>
      <c r="DF871" s="16" t="e">
        <f>VLOOKUP(K871,'[3]RNA Seq summary tables'!$V$3:$V$99,1,FALSE)</f>
        <v>#N/A</v>
      </c>
      <c r="DG871" s="16">
        <v>1</v>
      </c>
      <c r="DH871" s="16" t="str">
        <f>VLOOKUP(D871,'[6]workflow 3.2018'!$A$1:$S$237,2,FALSE)</f>
        <v>2017MLBS_183</v>
      </c>
      <c r="DI871" s="23"/>
      <c r="DJ871" s="23"/>
      <c r="DK871" s="23"/>
      <c r="DL871" s="23"/>
      <c r="DM871" s="23"/>
      <c r="DN871" s="23"/>
      <c r="DO871" s="23"/>
      <c r="DP871" s="23"/>
      <c r="DQ871" s="23"/>
      <c r="DR871" s="23"/>
      <c r="DS871" s="23"/>
      <c r="DT871" s="25"/>
      <c r="DU871" s="25"/>
      <c r="DV871" s="25"/>
      <c r="DW871" s="25"/>
      <c r="DX871" s="25"/>
      <c r="DY871" s="25"/>
      <c r="DZ871" s="25"/>
      <c r="EA871" s="25"/>
      <c r="EB871" s="25"/>
      <c r="EC871" s="25"/>
      <c r="ED871" s="25"/>
      <c r="EE871" s="25"/>
      <c r="EF871" s="25"/>
      <c r="EG871" s="25"/>
      <c r="EH871" s="25"/>
      <c r="EI871" s="25"/>
      <c r="EJ871" s="25"/>
      <c r="EK871" s="25"/>
      <c r="EL871" s="25"/>
      <c r="EM871" s="25"/>
      <c r="EN871" s="25"/>
      <c r="EO871" s="25"/>
      <c r="EP871" s="25"/>
      <c r="EQ871" s="25"/>
      <c r="ER871" s="25"/>
      <c r="ES871" s="25"/>
      <c r="ET871" s="25"/>
      <c r="EU871" s="25"/>
      <c r="EV871" s="25"/>
      <c r="EW871" s="25"/>
      <c r="EX871" s="25"/>
      <c r="EY871" s="25"/>
      <c r="EZ871" s="25"/>
      <c r="FA871" s="25"/>
      <c r="FB871" s="25"/>
      <c r="FC871" s="25"/>
      <c r="FD871" s="25"/>
      <c r="FE871" s="25"/>
      <c r="FF871" s="25"/>
      <c r="FG871" s="25"/>
      <c r="FH871" s="25"/>
      <c r="FI871" s="25"/>
      <c r="FJ871" s="25"/>
      <c r="FK871" s="25"/>
      <c r="FL871" s="25"/>
      <c r="FM871" s="25"/>
      <c r="FN871" s="25"/>
      <c r="FO871" s="25"/>
      <c r="FP871" s="25"/>
      <c r="FQ871" s="25"/>
      <c r="FR871" s="25"/>
      <c r="FS871" s="25"/>
      <c r="FT871" s="25"/>
      <c r="FU871" s="25"/>
      <c r="FV871" s="25"/>
      <c r="FW871" s="25"/>
      <c r="FX871" s="25"/>
      <c r="FY871" s="25"/>
      <c r="FZ871" s="25"/>
      <c r="GA871" s="25"/>
      <c r="GB871" s="25"/>
      <c r="GC871" s="25"/>
      <c r="GD871" s="25"/>
      <c r="GE871" s="25"/>
      <c r="GF871" s="25"/>
      <c r="GG871" s="25"/>
      <c r="GH871" s="25"/>
      <c r="GI871" s="25"/>
      <c r="GJ871" s="25"/>
      <c r="GK871" s="25"/>
      <c r="GL871" s="25"/>
      <c r="GM871" s="25"/>
      <c r="GN871" s="25"/>
      <c r="GO871" s="25"/>
      <c r="GP871" s="25"/>
      <c r="GQ871" s="25"/>
      <c r="GR871" s="25"/>
      <c r="GS871" s="25"/>
      <c r="GT871" s="25"/>
      <c r="GU871" s="25"/>
      <c r="GV871" s="25"/>
      <c r="GW871" s="25"/>
      <c r="GX871" s="25"/>
      <c r="GY871" s="25"/>
      <c r="GZ871" s="25"/>
      <c r="HA871" s="25"/>
      <c r="HB871" s="25"/>
      <c r="HC871" s="25"/>
      <c r="HD871" s="25"/>
      <c r="HE871" s="25"/>
      <c r="HF871" s="25"/>
      <c r="HG871" s="25"/>
      <c r="HH871" s="25"/>
      <c r="HI871" s="25"/>
      <c r="HJ871" s="25"/>
      <c r="HK871" s="25"/>
      <c r="HL871" s="25"/>
      <c r="HM871" s="25"/>
      <c r="HN871" s="25"/>
      <c r="HO871" s="25"/>
      <c r="HP871" s="25"/>
      <c r="HQ871" s="25"/>
      <c r="HR871" s="25"/>
      <c r="HS871" s="25"/>
      <c r="HT871" s="25"/>
      <c r="HU871" s="25"/>
      <c r="HV871" s="25"/>
      <c r="HW871" s="25"/>
      <c r="HX871" s="25"/>
      <c r="HY871" s="25"/>
      <c r="HZ871" s="25"/>
      <c r="IA871" s="25"/>
      <c r="IB871" s="25"/>
      <c r="IC871" s="25"/>
      <c r="ID871" s="25"/>
      <c r="IE871" s="25"/>
      <c r="IF871" s="25"/>
      <c r="IG871" s="25"/>
      <c r="IH871" s="25"/>
      <c r="II871" s="25"/>
      <c r="IJ871" s="25"/>
      <c r="IK871" s="25"/>
      <c r="IL871" s="25"/>
      <c r="IM871" s="25"/>
      <c r="IN871" s="25"/>
      <c r="IO871" s="25"/>
      <c r="IP871" s="25"/>
      <c r="IQ871" s="25"/>
      <c r="IR871" s="25"/>
      <c r="IS871" s="25"/>
      <c r="IT871" s="25"/>
      <c r="IU871" s="25"/>
      <c r="IV871" s="25"/>
      <c r="IW871" s="25"/>
      <c r="IX871" s="25"/>
      <c r="IY871" s="25"/>
      <c r="IZ871" s="25"/>
      <c r="JA871" s="25"/>
      <c r="JB871" s="25"/>
      <c r="JC871" s="25"/>
      <c r="JD871" s="25"/>
      <c r="JE871" s="25"/>
      <c r="JF871" s="25"/>
      <c r="JG871" s="25"/>
      <c r="JH871" s="25"/>
      <c r="JI871" s="25"/>
      <c r="JJ871" s="25"/>
      <c r="JK871" s="25"/>
      <c r="JL871" s="25"/>
      <c r="JM871" s="25"/>
      <c r="JN871" s="25"/>
      <c r="JO871" s="23"/>
      <c r="JP871" s="23"/>
      <c r="JQ871" s="23"/>
    </row>
    <row r="872" spans="1:288" x14ac:dyDescent="0.2">
      <c r="A872" s="26"/>
      <c r="B872" s="26">
        <v>2017</v>
      </c>
      <c r="C872" s="72">
        <v>42887</v>
      </c>
      <c r="D872" s="72" t="str">
        <f>CONCATENATE(J872,"-",C872)</f>
        <v>1047-42887</v>
      </c>
      <c r="E872" s="20" t="str">
        <f>CONCATENATE(T872,"-",U872,"-",C872)</f>
        <v>SP2-D7-42887</v>
      </c>
      <c r="F872" s="20" t="s">
        <v>106</v>
      </c>
      <c r="G872" s="44" t="s">
        <v>107</v>
      </c>
      <c r="H872" s="26"/>
      <c r="I872" s="16">
        <v>0</v>
      </c>
      <c r="J872" s="45">
        <v>1047</v>
      </c>
      <c r="K872" s="45">
        <v>1602</v>
      </c>
      <c r="L872" s="16">
        <v>1</v>
      </c>
      <c r="M872" s="45">
        <f>VLOOKUP($K872,'[4]blood tubes 2017'!$D$1:$L$647,8,FALSE)</f>
        <v>1</v>
      </c>
      <c r="N872" s="45">
        <f>VLOOKUP($K872,'[4]blood tubes 2017'!$D$1:$L$647,9,FALSE)</f>
        <v>1600</v>
      </c>
      <c r="O872" s="15" t="s">
        <v>214</v>
      </c>
      <c r="P872" s="26" t="s">
        <v>110</v>
      </c>
      <c r="Q872" s="26">
        <v>0</v>
      </c>
      <c r="R872" s="26" t="s">
        <v>111</v>
      </c>
      <c r="S872" s="26"/>
      <c r="T872" s="26" t="s">
        <v>137</v>
      </c>
      <c r="U872" s="26" t="s">
        <v>177</v>
      </c>
      <c r="V872" s="26" t="s">
        <v>114</v>
      </c>
      <c r="W872" s="16">
        <f>AI872/AG872</f>
        <v>0.82828282828282829</v>
      </c>
      <c r="X872" s="26" t="s">
        <v>115</v>
      </c>
      <c r="Y872" s="26" t="s">
        <v>110</v>
      </c>
      <c r="Z872" s="26">
        <v>3</v>
      </c>
      <c r="AA872" s="26"/>
      <c r="AB872" s="26"/>
      <c r="AC872" s="26"/>
      <c r="AD872" s="26"/>
      <c r="AE872" s="26" t="s">
        <v>123</v>
      </c>
      <c r="AF872" s="26" t="s">
        <v>123</v>
      </c>
      <c r="AG872" s="26">
        <f>AH872-AI872</f>
        <v>99</v>
      </c>
      <c r="AH872" s="26">
        <v>181</v>
      </c>
      <c r="AI872" s="26">
        <v>82</v>
      </c>
      <c r="AJ872" s="26"/>
      <c r="AK872" s="26">
        <v>26.5</v>
      </c>
      <c r="AL872" s="26">
        <v>1</v>
      </c>
      <c r="AM872" s="26">
        <v>0</v>
      </c>
      <c r="AN872" s="26">
        <v>0</v>
      </c>
      <c r="AO872" s="26">
        <v>1</v>
      </c>
      <c r="AP872" s="26">
        <f>SUM(AL872:AN872)</f>
        <v>1</v>
      </c>
      <c r="AQ872" s="26">
        <v>1.6359999999999999</v>
      </c>
      <c r="AR872" s="26">
        <f>AP872-1.472</f>
        <v>-0.47199999999999998</v>
      </c>
      <c r="AS872" s="26">
        <f>AQ872-1.472</f>
        <v>0.16399999999999992</v>
      </c>
      <c r="AT872" s="26" t="s">
        <v>164</v>
      </c>
      <c r="AU872" s="26"/>
      <c r="AV872" s="26">
        <v>1</v>
      </c>
      <c r="AW872" s="26">
        <f>IF(AX872&gt;0,1,0)</f>
        <v>0</v>
      </c>
      <c r="AX872" s="26">
        <f>SUM(BA872,BM872,CT872)</f>
        <v>0</v>
      </c>
      <c r="AY872" s="26">
        <f>SUM(BB872,BN872,CV872)</f>
        <v>0</v>
      </c>
      <c r="AZ872" s="26">
        <f>IF(BA872&gt;0,1,0)</f>
        <v>0</v>
      </c>
      <c r="BA872" s="26">
        <f>SUM(BC872,BF872,BI872)</f>
        <v>0</v>
      </c>
      <c r="BB872" s="26">
        <f>SUM(BE872,BH872,BK872)</f>
        <v>0</v>
      </c>
      <c r="BC872" s="26">
        <v>0</v>
      </c>
      <c r="BD872" s="26">
        <v>0</v>
      </c>
      <c r="BE872" s="26">
        <f>BD872/AS872</f>
        <v>0</v>
      </c>
      <c r="BF872" s="26">
        <v>0</v>
      </c>
      <c r="BG872" s="82">
        <v>0</v>
      </c>
      <c r="BH872" s="26">
        <f>BG872/AS872</f>
        <v>0</v>
      </c>
      <c r="BI872" s="26">
        <v>0</v>
      </c>
      <c r="BJ872" s="26">
        <v>0</v>
      </c>
      <c r="BK872" s="26">
        <f>BJ872/AS872</f>
        <v>0</v>
      </c>
      <c r="BL872" s="26">
        <f>IF(BM872&gt;0,1,0)</f>
        <v>0</v>
      </c>
      <c r="BM872" s="26">
        <f>SUM(BR872,BU872,BX872,CA872,CD872,CG872,CJ872,CM872,CP872)</f>
        <v>0</v>
      </c>
      <c r="BN872" s="26">
        <f>SUM(BW872,BZ872,CC872,CF872,CI872,CL872,CO872,CR872,BT872)</f>
        <v>0</v>
      </c>
      <c r="BO872" s="26">
        <f>IF(BP872&gt;0,1,0)</f>
        <v>0</v>
      </c>
      <c r="BP872" s="26">
        <f>SUM(BU872,BX872,CA872,CD872,BR872)</f>
        <v>0</v>
      </c>
      <c r="BQ872" s="26">
        <f>SUM(BZ872,CC872,CF872,BT872,BW872)</f>
        <v>0</v>
      </c>
      <c r="BR872" s="26">
        <v>0</v>
      </c>
      <c r="BS872" s="26">
        <v>0</v>
      </c>
      <c r="BT872" s="82">
        <f>BS872/AS872</f>
        <v>0</v>
      </c>
      <c r="BU872" s="26">
        <v>0</v>
      </c>
      <c r="BV872" s="26">
        <v>0</v>
      </c>
      <c r="BW872" s="26">
        <f>BV872/AS872</f>
        <v>0</v>
      </c>
      <c r="BX872" s="26">
        <v>0</v>
      </c>
      <c r="BY872" s="26">
        <v>0</v>
      </c>
      <c r="BZ872" s="26">
        <f>BY872/AS872</f>
        <v>0</v>
      </c>
      <c r="CA872" s="26">
        <v>0</v>
      </c>
      <c r="CB872" s="26">
        <v>0</v>
      </c>
      <c r="CC872" s="26">
        <f>CB872/AS872</f>
        <v>0</v>
      </c>
      <c r="CD872" s="82">
        <v>0</v>
      </c>
      <c r="CE872" s="26">
        <v>0</v>
      </c>
      <c r="CF872" s="26">
        <f>CE872/AS872</f>
        <v>0</v>
      </c>
      <c r="CG872" s="26">
        <v>0</v>
      </c>
      <c r="CH872" s="26">
        <v>0</v>
      </c>
      <c r="CI872" s="26">
        <f>CH872/AS872</f>
        <v>0</v>
      </c>
      <c r="CJ872" s="26"/>
      <c r="CK872" s="26"/>
      <c r="CL872" s="26"/>
      <c r="CM872" s="26">
        <v>0</v>
      </c>
      <c r="CN872" s="26">
        <v>0</v>
      </c>
      <c r="CO872" s="26">
        <f>CN872/AS872</f>
        <v>0</v>
      </c>
      <c r="CP872" s="26">
        <v>0</v>
      </c>
      <c r="CQ872" s="26">
        <v>0</v>
      </c>
      <c r="CR872" s="26">
        <f>CQ872/AS872</f>
        <v>0</v>
      </c>
      <c r="CS872" s="26">
        <f>IF(CT872&gt;0,1,0)</f>
        <v>0</v>
      </c>
      <c r="CT872" s="26">
        <f>SUM(CW872,CZ872,DC872)</f>
        <v>0</v>
      </c>
      <c r="CU872" s="26"/>
      <c r="CV872" s="26">
        <f>SUM(CY872,DB872,DE872)</f>
        <v>0</v>
      </c>
      <c r="CW872" s="26">
        <v>0</v>
      </c>
      <c r="CX872" s="26">
        <v>0</v>
      </c>
      <c r="CY872" s="26">
        <f>CX872/AS872</f>
        <v>0</v>
      </c>
      <c r="CZ872" s="26">
        <v>0</v>
      </c>
      <c r="DA872" s="26">
        <v>0</v>
      </c>
      <c r="DB872" s="26">
        <f>DA872/AS872</f>
        <v>0</v>
      </c>
      <c r="DC872" s="26">
        <v>0</v>
      </c>
      <c r="DD872" s="26">
        <v>0</v>
      </c>
      <c r="DE872" s="26">
        <f>DD872/AS872</f>
        <v>0</v>
      </c>
      <c r="DF872" s="16">
        <f>VLOOKUP(K872,'[3]RNA Seq summary tables'!$V$3:$V$99,1,FALSE)</f>
        <v>1602</v>
      </c>
      <c r="DG872" s="16">
        <v>1</v>
      </c>
      <c r="DH872" s="16" t="str">
        <f>VLOOKUP(D872,'[6]workflow 3.2018'!$A$1:$S$237,2,FALSE)</f>
        <v>2017MLBS_14</v>
      </c>
      <c r="DI872" s="26">
        <v>33</v>
      </c>
      <c r="DJ872" s="26"/>
      <c r="DK872" s="26">
        <v>65</v>
      </c>
      <c r="DL872" s="26"/>
      <c r="DM872" s="26">
        <v>2</v>
      </c>
      <c r="DN872" s="26"/>
      <c r="DO872" s="26">
        <v>0</v>
      </c>
      <c r="DP872" s="26"/>
      <c r="DQ872" s="26">
        <v>0</v>
      </c>
      <c r="DR872" s="26">
        <v>100</v>
      </c>
      <c r="DS872" s="26"/>
      <c r="JP872" s="18"/>
      <c r="JQ872" s="18"/>
    </row>
    <row r="873" spans="1:288" x14ac:dyDescent="0.2">
      <c r="B873" s="16">
        <v>2017</v>
      </c>
      <c r="C873" s="66">
        <v>42887</v>
      </c>
      <c r="D873" s="66" t="str">
        <f>CONCATENATE(J873,"-",C873)</f>
        <v>1049-42887</v>
      </c>
      <c r="E873" s="20" t="str">
        <f>CONCATENATE(T873,"-",U873,"-",C873)</f>
        <v>SP2-F4-42887</v>
      </c>
      <c r="F873" s="20" t="s">
        <v>106</v>
      </c>
      <c r="G873" s="20" t="s">
        <v>107</v>
      </c>
      <c r="I873" s="16">
        <v>0</v>
      </c>
      <c r="J873" s="21">
        <v>1049</v>
      </c>
      <c r="K873" s="21">
        <v>1604</v>
      </c>
      <c r="L873" s="18">
        <v>0</v>
      </c>
      <c r="M873" s="21">
        <f>VLOOKUP($K873,'[4]blood tubes 2017'!$D$1:$L$647,8,FALSE)</f>
        <v>0</v>
      </c>
      <c r="N873" s="15">
        <v>0</v>
      </c>
      <c r="O873" s="15" t="s">
        <v>214</v>
      </c>
      <c r="P873" s="16" t="s">
        <v>110</v>
      </c>
      <c r="Q873" s="16">
        <v>0</v>
      </c>
      <c r="R873" s="16" t="s">
        <v>111</v>
      </c>
      <c r="T873" s="16" t="s">
        <v>137</v>
      </c>
      <c r="U873" s="16" t="s">
        <v>184</v>
      </c>
      <c r="V873" s="16" t="s">
        <v>114</v>
      </c>
      <c r="W873" s="16">
        <f>AI873/AG873</f>
        <v>0.76543209876543206</v>
      </c>
      <c r="X873" s="16" t="s">
        <v>115</v>
      </c>
      <c r="Y873" s="16" t="s">
        <v>122</v>
      </c>
      <c r="Z873" s="16">
        <v>2.2999999999999998</v>
      </c>
      <c r="AE873" s="16" t="s">
        <v>123</v>
      </c>
      <c r="AF873" s="16" t="s">
        <v>123</v>
      </c>
      <c r="AG873" s="16">
        <f>AH873-AI873</f>
        <v>81</v>
      </c>
      <c r="AH873" s="16">
        <v>143</v>
      </c>
      <c r="AI873" s="16">
        <v>62</v>
      </c>
      <c r="AK873" s="16">
        <v>15.5</v>
      </c>
      <c r="AL873" s="16">
        <v>0</v>
      </c>
      <c r="AM873" s="16">
        <v>0</v>
      </c>
      <c r="AN873" s="16">
        <v>0</v>
      </c>
      <c r="AO873" s="16">
        <v>0</v>
      </c>
      <c r="AP873" s="16">
        <f>SUM(AL873:AN873)</f>
        <v>0</v>
      </c>
      <c r="AQ873" s="16">
        <v>1.5980000000000001</v>
      </c>
      <c r="AR873" s="16">
        <f>AP873-1.472</f>
        <v>-1.472</v>
      </c>
      <c r="AS873" s="16">
        <f>AQ873-1.472</f>
        <v>0.12600000000000011</v>
      </c>
      <c r="AT873" s="16" t="s">
        <v>234</v>
      </c>
      <c r="AW873" s="16">
        <f>IF(AX873&gt;0,1,0)</f>
        <v>1</v>
      </c>
      <c r="AX873" s="16">
        <f>SUM(BA873,BM873,CT873)</f>
        <v>3</v>
      </c>
      <c r="AY873" s="18">
        <f>SUM(BB873,BN873,CV873)</f>
        <v>6174.6031746031686</v>
      </c>
      <c r="AZ873" s="16">
        <f>IF(BA873&gt;0,1,0)</f>
        <v>1</v>
      </c>
      <c r="BA873" s="16">
        <f>SUM(BC873,BF873,BI873)</f>
        <v>3</v>
      </c>
      <c r="BB873" s="16">
        <f>SUM(BE873,BH873,BK873)</f>
        <v>6174.6031746031686</v>
      </c>
      <c r="BC873" s="16">
        <v>1</v>
      </c>
      <c r="BD873" s="16">
        <v>26</v>
      </c>
      <c r="BE873" s="16">
        <f>BD873/AS873</f>
        <v>206.34920634920616</v>
      </c>
      <c r="BF873" s="16">
        <v>1</v>
      </c>
      <c r="BG873" s="77">
        <v>746</v>
      </c>
      <c r="BH873" s="16">
        <f>BG873/AS873</f>
        <v>5920.634920634915</v>
      </c>
      <c r="BI873" s="16">
        <v>1</v>
      </c>
      <c r="BJ873" s="16">
        <v>6</v>
      </c>
      <c r="BK873" s="16">
        <f>BJ873/AS873</f>
        <v>47.619047619047578</v>
      </c>
      <c r="BL873" s="16">
        <f>IF(BM873&gt;0,1,0)</f>
        <v>0</v>
      </c>
      <c r="BM873" s="16">
        <f>SUM(BR873,BU873,BX873,CA873,CD873,CG873,CJ873,CM873,CP873)</f>
        <v>0</v>
      </c>
      <c r="BN873" s="16">
        <f>SUM(BW873,BZ873,CC873,CF873,CI873,CL873,CO873,CR873,BT873)</f>
        <v>0</v>
      </c>
      <c r="BO873" s="16">
        <f>IF(BP873&gt;0,1,0)</f>
        <v>0</v>
      </c>
      <c r="BP873" s="16">
        <f>SUM(BU873,BX873,CA873,CD873,BR873)</f>
        <v>0</v>
      </c>
      <c r="BQ873" s="16">
        <f>SUM(BZ873,CC873,CF873,BT873,BW873)</f>
        <v>0</v>
      </c>
      <c r="BR873" s="16">
        <v>0</v>
      </c>
      <c r="BS873" s="16">
        <v>0</v>
      </c>
      <c r="BT873" s="77">
        <f>BS873/AS873</f>
        <v>0</v>
      </c>
      <c r="BU873" s="16">
        <v>0</v>
      </c>
      <c r="BV873" s="16">
        <v>0</v>
      </c>
      <c r="BW873" s="16">
        <f>BV873/AS873</f>
        <v>0</v>
      </c>
      <c r="BX873" s="16">
        <v>0</v>
      </c>
      <c r="BY873" s="16">
        <v>0</v>
      </c>
      <c r="BZ873" s="16">
        <f>BY873/AS873</f>
        <v>0</v>
      </c>
      <c r="CA873" s="16">
        <v>0</v>
      </c>
      <c r="CB873" s="16">
        <v>0</v>
      </c>
      <c r="CC873" s="16">
        <f>CB873/AS873</f>
        <v>0</v>
      </c>
      <c r="CD873" s="77">
        <v>0</v>
      </c>
      <c r="CE873" s="16">
        <v>0</v>
      </c>
      <c r="CF873" s="16">
        <f>CE873/AS873</f>
        <v>0</v>
      </c>
      <c r="CG873" s="16">
        <v>0</v>
      </c>
      <c r="CH873" s="16">
        <v>0</v>
      </c>
      <c r="CI873" s="16">
        <f>CH873/AS873</f>
        <v>0</v>
      </c>
      <c r="CM873" s="16">
        <v>0</v>
      </c>
      <c r="CN873" s="16">
        <v>0</v>
      </c>
      <c r="CO873" s="16">
        <f>CN873/AS873</f>
        <v>0</v>
      </c>
      <c r="CP873" s="16">
        <v>0</v>
      </c>
      <c r="CQ873" s="16">
        <v>0</v>
      </c>
      <c r="CR873" s="16">
        <f>CQ873/AS873</f>
        <v>0</v>
      </c>
      <c r="CS873" s="16">
        <f>IF(CT873&gt;0,1,0)</f>
        <v>0</v>
      </c>
      <c r="CT873" s="16">
        <f>SUM(CW873,CZ873,DC873)</f>
        <v>0</v>
      </c>
      <c r="CV873" s="16">
        <f>SUM(CY873,DB873,DE873)</f>
        <v>0</v>
      </c>
      <c r="CW873" s="16">
        <v>0</v>
      </c>
      <c r="CX873" s="16">
        <v>0</v>
      </c>
      <c r="CY873" s="16">
        <f>CX873/AS873</f>
        <v>0</v>
      </c>
      <c r="CZ873" s="16">
        <v>0</v>
      </c>
      <c r="DA873" s="16">
        <v>0</v>
      </c>
      <c r="DB873" s="16">
        <f>DA873/AS873</f>
        <v>0</v>
      </c>
      <c r="DC873" s="16">
        <v>0</v>
      </c>
      <c r="DD873" s="16">
        <v>0</v>
      </c>
      <c r="DE873" s="16">
        <f>DD873/AS873</f>
        <v>0</v>
      </c>
      <c r="DF873" s="16" t="e">
        <f>VLOOKUP(K873,'[3]RNA Seq summary tables'!$V$3:$V$99,1,FALSE)</f>
        <v>#N/A</v>
      </c>
      <c r="DG873" s="16">
        <v>1</v>
      </c>
      <c r="DH873" s="16" t="str">
        <f>VLOOKUP(D873,'[6]workflow 3.2018'!$A$1:$S$237,2,FALSE)</f>
        <v>2017MLBS_16</v>
      </c>
      <c r="DI873" s="16">
        <v>64</v>
      </c>
      <c r="DK873" s="16">
        <v>26</v>
      </c>
      <c r="DM873" s="16">
        <v>10</v>
      </c>
      <c r="DO873" s="16">
        <v>0</v>
      </c>
      <c r="DQ873" s="16">
        <v>0</v>
      </c>
      <c r="DR873" s="16">
        <v>100</v>
      </c>
      <c r="JR873" s="18"/>
      <c r="JS873" s="18"/>
      <c r="JT873" s="18"/>
      <c r="JU873" s="18"/>
      <c r="JV873" s="18"/>
      <c r="JW873" s="18"/>
      <c r="JX873" s="18"/>
      <c r="JY873" s="18"/>
      <c r="JZ873" s="18"/>
      <c r="KA873" s="18"/>
      <c r="KB873" s="18"/>
    </row>
    <row r="874" spans="1:288" x14ac:dyDescent="0.2">
      <c r="B874" s="16">
        <v>2017</v>
      </c>
      <c r="C874" s="66">
        <v>42887</v>
      </c>
      <c r="D874" s="66" t="str">
        <f>CONCATENATE(J874,"-",C874)</f>
        <v>1051-42887</v>
      </c>
      <c r="E874" s="20" t="str">
        <f>CONCATENATE(T874,"-",U874,"-",C874)</f>
        <v>SP2-H8-42887</v>
      </c>
      <c r="F874" s="20" t="s">
        <v>106</v>
      </c>
      <c r="G874" s="20" t="s">
        <v>107</v>
      </c>
      <c r="I874" s="16">
        <v>0</v>
      </c>
      <c r="J874" s="21">
        <v>1051</v>
      </c>
      <c r="K874" s="98">
        <v>1606</v>
      </c>
      <c r="L874" s="18">
        <v>0</v>
      </c>
      <c r="M874" s="21">
        <f>VLOOKUP($K874,'[4]blood tubes 2017'!$D$1:$L$647,8,FALSE)</f>
        <v>0</v>
      </c>
      <c r="N874" s="15">
        <v>0</v>
      </c>
      <c r="O874" s="15" t="s">
        <v>214</v>
      </c>
      <c r="P874" s="16" t="s">
        <v>110</v>
      </c>
      <c r="Q874" s="16">
        <v>0</v>
      </c>
      <c r="R874" s="16" t="s">
        <v>111</v>
      </c>
      <c r="T874" s="16" t="s">
        <v>137</v>
      </c>
      <c r="U874" s="16" t="s">
        <v>152</v>
      </c>
      <c r="V874" s="16" t="s">
        <v>114</v>
      </c>
      <c r="W874" s="16">
        <f>AI874/AG874</f>
        <v>0.79761904761904767</v>
      </c>
      <c r="X874" s="16" t="s">
        <v>115</v>
      </c>
      <c r="Y874" s="16" t="s">
        <v>110</v>
      </c>
      <c r="Z874" s="16">
        <v>3</v>
      </c>
      <c r="AE874" s="16" t="s">
        <v>123</v>
      </c>
      <c r="AF874" s="16" t="s">
        <v>123</v>
      </c>
      <c r="AG874" s="16">
        <f>AH874-AI874</f>
        <v>84</v>
      </c>
      <c r="AH874" s="16">
        <v>151</v>
      </c>
      <c r="AI874" s="16">
        <v>67</v>
      </c>
      <c r="AK874" s="16">
        <v>18</v>
      </c>
      <c r="AL874" s="16">
        <v>1</v>
      </c>
      <c r="AM874" s="16">
        <v>0</v>
      </c>
      <c r="AN874" s="16">
        <v>0</v>
      </c>
      <c r="AO874" s="16">
        <v>1</v>
      </c>
      <c r="AP874" s="16">
        <f>SUM(AL874:AN874)</f>
        <v>1</v>
      </c>
      <c r="AQ874" s="16">
        <v>1.69</v>
      </c>
      <c r="AR874" s="16">
        <f>AP874-1.472</f>
        <v>-0.47199999999999998</v>
      </c>
      <c r="AS874" s="16">
        <f>AQ874-1.472</f>
        <v>0.21799999999999997</v>
      </c>
      <c r="AT874" s="16" t="s">
        <v>164</v>
      </c>
      <c r="AW874" s="16">
        <f>IF(AX874&gt;0,1,0)</f>
        <v>1</v>
      </c>
      <c r="AX874" s="16">
        <f>SUM(BA874,BM874,CT874)</f>
        <v>3</v>
      </c>
      <c r="AY874" s="18">
        <f>SUM(BB874,BN874,CV874)</f>
        <v>894.49541284403688</v>
      </c>
      <c r="AZ874" s="16">
        <f>IF(BA874&gt;0,1,0)</f>
        <v>1</v>
      </c>
      <c r="BA874" s="16">
        <f>SUM(BC874,BF874,BI874)</f>
        <v>2</v>
      </c>
      <c r="BB874" s="16">
        <f>SUM(BE874,BH874,BK874)</f>
        <v>821.10091743119278</v>
      </c>
      <c r="BC874" s="16">
        <v>1</v>
      </c>
      <c r="BD874" s="16">
        <v>12</v>
      </c>
      <c r="BE874" s="16">
        <f>BD874/AS874</f>
        <v>55.045871559633035</v>
      </c>
      <c r="BF874" s="16">
        <v>0</v>
      </c>
      <c r="BG874" s="77">
        <v>0</v>
      </c>
      <c r="BH874" s="16">
        <f>BG874/AS874</f>
        <v>0</v>
      </c>
      <c r="BI874" s="16">
        <v>1</v>
      </c>
      <c r="BJ874" s="16">
        <v>167</v>
      </c>
      <c r="BK874" s="16">
        <f>BJ874/AS874</f>
        <v>766.05504587155974</v>
      </c>
      <c r="BL874" s="16">
        <f>IF(BM874&gt;0,1,0)</f>
        <v>1</v>
      </c>
      <c r="BM874" s="16">
        <f>SUM(BR874,BU874,BX874,CA874,CD874,CG874,CJ874,CM874,CP874)</f>
        <v>1</v>
      </c>
      <c r="BN874" s="16">
        <f>SUM(BW874,BZ874,CC874,CF874,CI874,CL874,CO874,CR874,BT874)</f>
        <v>73.394495412844051</v>
      </c>
      <c r="BO874" s="16">
        <f>IF(BP874&gt;0,1,0)</f>
        <v>1</v>
      </c>
      <c r="BP874" s="16">
        <f>SUM(BU874,BX874,CA874,CD874,BR874)</f>
        <v>1</v>
      </c>
      <c r="BQ874" s="16">
        <f>SUM(BZ874,CC874,CF874,BT874,BW874)</f>
        <v>73.394495412844051</v>
      </c>
      <c r="BR874" s="16">
        <v>0</v>
      </c>
      <c r="BS874" s="16">
        <v>0</v>
      </c>
      <c r="BT874" s="77">
        <f>BS874/AS874</f>
        <v>0</v>
      </c>
      <c r="BU874" s="16">
        <v>0</v>
      </c>
      <c r="BV874" s="16">
        <v>0</v>
      </c>
      <c r="BW874" s="16">
        <f>BV874/AS874</f>
        <v>0</v>
      </c>
      <c r="BX874" s="16">
        <v>0</v>
      </c>
      <c r="BY874" s="16">
        <v>0</v>
      </c>
      <c r="BZ874" s="16">
        <f>BY874/AS874</f>
        <v>0</v>
      </c>
      <c r="CA874" s="16">
        <v>1</v>
      </c>
      <c r="CB874" s="16">
        <v>16</v>
      </c>
      <c r="CC874" s="16">
        <f>CB874/AS874</f>
        <v>73.394495412844051</v>
      </c>
      <c r="CD874" s="77">
        <v>0</v>
      </c>
      <c r="CE874" s="16">
        <v>0</v>
      </c>
      <c r="CF874" s="16">
        <f>CE874/AS874</f>
        <v>0</v>
      </c>
      <c r="CG874" s="16">
        <v>0</v>
      </c>
      <c r="CH874" s="16">
        <v>0</v>
      </c>
      <c r="CI874" s="16">
        <f>CH874/AS874</f>
        <v>0</v>
      </c>
      <c r="CM874" s="16">
        <v>0</v>
      </c>
      <c r="CN874" s="16">
        <v>0</v>
      </c>
      <c r="CO874" s="16">
        <f>CN874/AS874</f>
        <v>0</v>
      </c>
      <c r="CP874" s="16">
        <v>0</v>
      </c>
      <c r="CQ874" s="16">
        <v>0</v>
      </c>
      <c r="CR874" s="16">
        <f>CQ874/AS874</f>
        <v>0</v>
      </c>
      <c r="CS874" s="16">
        <f>IF(CT874&gt;0,1,0)</f>
        <v>0</v>
      </c>
      <c r="CT874" s="16">
        <f>SUM(CW874,CZ874,DC874)</f>
        <v>0</v>
      </c>
      <c r="CV874" s="16">
        <f>SUM(CY874,DB874,DE874)</f>
        <v>0</v>
      </c>
      <c r="CW874" s="16">
        <v>0</v>
      </c>
      <c r="CX874" s="16">
        <v>0</v>
      </c>
      <c r="CY874" s="16">
        <f>CX874/AS874</f>
        <v>0</v>
      </c>
      <c r="CZ874" s="16">
        <v>0</v>
      </c>
      <c r="DA874" s="16">
        <v>0</v>
      </c>
      <c r="DB874" s="16">
        <f>DA874/AS874</f>
        <v>0</v>
      </c>
      <c r="DC874" s="16">
        <v>0</v>
      </c>
      <c r="DD874" s="16">
        <v>0</v>
      </c>
      <c r="DE874" s="16">
        <f>DD874/AS874</f>
        <v>0</v>
      </c>
      <c r="DF874" s="16" t="e">
        <f>VLOOKUP(K874,'[3]RNA Seq summary tables'!$V$3:$V$99,1,FALSE)</f>
        <v>#N/A</v>
      </c>
      <c r="DG874" s="16">
        <v>1</v>
      </c>
      <c r="DH874" s="16" t="str">
        <f>VLOOKUP(D874,'[6]workflow 3.2018'!$A$1:$S$237,2,FALSE)</f>
        <v>2017MLBS_18</v>
      </c>
    </row>
    <row r="875" spans="1:288" x14ac:dyDescent="0.2">
      <c r="B875" s="16">
        <v>2017</v>
      </c>
      <c r="C875" s="73">
        <v>42888</v>
      </c>
      <c r="D875" s="73" t="str">
        <f>CONCATENATE(J875,"-",C875)</f>
        <v>1053-42888</v>
      </c>
      <c r="E875" s="20" t="str">
        <f>CONCATENATE(T875,"-",U875,"-",C875)</f>
        <v>SP1-H8-42888</v>
      </c>
      <c r="F875" s="20" t="s">
        <v>106</v>
      </c>
      <c r="G875" s="43" t="s">
        <v>107</v>
      </c>
      <c r="H875" s="23"/>
      <c r="I875" s="16">
        <v>0</v>
      </c>
      <c r="J875" s="15">
        <v>1053</v>
      </c>
      <c r="K875" s="15">
        <v>1608</v>
      </c>
      <c r="L875" s="18">
        <v>0</v>
      </c>
      <c r="M875" s="21">
        <f>VLOOKUP($K875,'[4]blood tubes 2017'!$D$1:$L$647,8,FALSE)</f>
        <v>0</v>
      </c>
      <c r="N875" s="15">
        <v>0</v>
      </c>
      <c r="O875" s="15" t="s">
        <v>214</v>
      </c>
      <c r="P875" s="23" t="s">
        <v>110</v>
      </c>
      <c r="Q875" s="16">
        <v>0</v>
      </c>
      <c r="R875" s="23" t="s">
        <v>111</v>
      </c>
      <c r="S875" s="23"/>
      <c r="T875" s="23" t="s">
        <v>140</v>
      </c>
      <c r="U875" s="23" t="s">
        <v>152</v>
      </c>
      <c r="V875" s="23" t="s">
        <v>114</v>
      </c>
      <c r="W875" s="16">
        <f>AI875/AG875</f>
        <v>0.87777777777777777</v>
      </c>
      <c r="X875" s="23" t="s">
        <v>121</v>
      </c>
      <c r="Y875" s="23" t="s">
        <v>110</v>
      </c>
      <c r="Z875" s="23">
        <v>3</v>
      </c>
      <c r="AA875" s="23" t="s">
        <v>119</v>
      </c>
      <c r="AB875" s="23" t="s">
        <v>123</v>
      </c>
      <c r="AC875" s="23" t="s">
        <v>123</v>
      </c>
      <c r="AD875" s="23" t="s">
        <v>123</v>
      </c>
      <c r="AE875" s="23"/>
      <c r="AF875" s="23"/>
      <c r="AG875" s="23">
        <f>AH875-AI875</f>
        <v>90</v>
      </c>
      <c r="AH875" s="23">
        <v>169</v>
      </c>
      <c r="AI875" s="23">
        <v>79</v>
      </c>
      <c r="AJ875" s="23"/>
      <c r="AK875" s="23">
        <v>20.5</v>
      </c>
      <c r="AL875" s="23">
        <v>0</v>
      </c>
      <c r="AM875" s="23">
        <v>0</v>
      </c>
      <c r="AN875" s="23">
        <v>0</v>
      </c>
      <c r="AO875" s="23">
        <v>0</v>
      </c>
      <c r="AP875" s="23">
        <f>SUM(AL875:AN875)</f>
        <v>0</v>
      </c>
      <c r="AQ875" s="23">
        <v>1.599</v>
      </c>
      <c r="AR875" s="23">
        <f>AP875-1.472</f>
        <v>-1.472</v>
      </c>
      <c r="AS875" s="23">
        <f>AQ875-1.472</f>
        <v>0.127</v>
      </c>
      <c r="AT875" s="25" t="s">
        <v>204</v>
      </c>
      <c r="AU875" s="25"/>
      <c r="AV875" s="23"/>
      <c r="AW875" s="23"/>
      <c r="AX875" s="23"/>
      <c r="AY875" s="25"/>
      <c r="BA875" s="23"/>
      <c r="BB875" s="23"/>
      <c r="BD875" s="23"/>
      <c r="BE875" s="23"/>
      <c r="BG875" s="77"/>
      <c r="BH875" s="23"/>
      <c r="BJ875" s="23"/>
      <c r="BK875" s="23"/>
      <c r="BS875" s="23"/>
      <c r="BT875" s="77"/>
      <c r="BV875" s="23"/>
      <c r="BY875" s="23"/>
      <c r="CB875" s="23"/>
      <c r="CC875" s="23"/>
      <c r="CD875" s="77"/>
      <c r="CE875" s="23"/>
      <c r="CF875" s="23"/>
      <c r="CG875" s="23"/>
      <c r="CH875" s="23"/>
      <c r="CI875" s="23"/>
      <c r="CJ875" s="23"/>
      <c r="CK875" s="23"/>
      <c r="CL875" s="23"/>
      <c r="CM875" s="23"/>
      <c r="CN875" s="23"/>
      <c r="CO875" s="23"/>
      <c r="CP875" s="23"/>
      <c r="CQ875" s="23"/>
      <c r="CR875" s="23"/>
      <c r="CV875" s="23"/>
      <c r="CX875" s="23"/>
      <c r="CY875" s="23"/>
      <c r="CZ875" s="23"/>
      <c r="DA875" s="23"/>
      <c r="DB875" s="23"/>
      <c r="DC875" s="23"/>
      <c r="DD875" s="23"/>
      <c r="DE875" s="23"/>
      <c r="DF875" s="16" t="e">
        <f>VLOOKUP(K875,'[3]RNA Seq summary tables'!$V$3:$V$99,1,FALSE)</f>
        <v>#N/A</v>
      </c>
      <c r="DG875" s="16">
        <v>1</v>
      </c>
      <c r="DH875" s="16" t="str">
        <f>VLOOKUP(D875,'[6]workflow 3.2018'!$A$1:$S$237,2,FALSE)</f>
        <v>2017MLBS_20</v>
      </c>
      <c r="DI875" s="23">
        <v>16</v>
      </c>
      <c r="DJ875" s="23"/>
      <c r="DK875" s="23">
        <v>23</v>
      </c>
      <c r="DL875" s="23"/>
      <c r="DM875" s="23">
        <v>10</v>
      </c>
      <c r="DN875" s="23"/>
      <c r="DO875" s="23">
        <v>0</v>
      </c>
      <c r="DP875" s="23"/>
      <c r="DQ875" s="23">
        <v>0</v>
      </c>
      <c r="DR875" s="23">
        <v>49</v>
      </c>
      <c r="DS875" s="23"/>
      <c r="DT875" s="25"/>
      <c r="DU875" s="25"/>
      <c r="DV875" s="25"/>
      <c r="DW875" s="25"/>
      <c r="DX875" s="25"/>
      <c r="DY875" s="25"/>
      <c r="DZ875" s="25"/>
      <c r="EA875" s="25"/>
      <c r="EB875" s="25"/>
      <c r="EC875" s="25"/>
      <c r="ED875" s="25"/>
      <c r="EE875" s="25"/>
    </row>
    <row r="876" spans="1:288" x14ac:dyDescent="0.2">
      <c r="B876" s="16">
        <v>2017</v>
      </c>
      <c r="C876" s="20">
        <v>42905</v>
      </c>
      <c r="D876" s="20" t="str">
        <f>CONCATENATE(J876,"-",C876)</f>
        <v>1053-42905</v>
      </c>
      <c r="E876" s="20" t="str">
        <f>CONCATENATE(T876,"-",U876,"-",C876)</f>
        <v>SP1-G7-42905</v>
      </c>
      <c r="F876" s="20" t="s">
        <v>106</v>
      </c>
      <c r="G876" s="20" t="s">
        <v>107</v>
      </c>
      <c r="I876" s="16">
        <v>0</v>
      </c>
      <c r="J876" s="21">
        <v>1053</v>
      </c>
      <c r="K876" s="21">
        <v>1699</v>
      </c>
      <c r="L876" s="18">
        <v>0</v>
      </c>
      <c r="M876" s="21">
        <f>VLOOKUP($K876,'[4]blood tubes 2017'!$D$1:$L$647,8,FALSE)</f>
        <v>0</v>
      </c>
      <c r="N876" s="15">
        <v>0</v>
      </c>
      <c r="O876" s="15" t="s">
        <v>214</v>
      </c>
      <c r="P876" s="16" t="s">
        <v>110</v>
      </c>
      <c r="Q876" s="16">
        <v>1</v>
      </c>
      <c r="R876" s="16">
        <v>17</v>
      </c>
      <c r="T876" s="16" t="s">
        <v>140</v>
      </c>
      <c r="U876" s="16" t="s">
        <v>156</v>
      </c>
      <c r="V876" s="16" t="s">
        <v>114</v>
      </c>
      <c r="W876" s="16">
        <f>AI876/AG876</f>
        <v>0.94505494505494503</v>
      </c>
      <c r="X876" s="16" t="s">
        <v>121</v>
      </c>
      <c r="Y876" s="16" t="s">
        <v>110</v>
      </c>
      <c r="Z876" s="16">
        <v>3</v>
      </c>
      <c r="AA876" s="16" t="s">
        <v>119</v>
      </c>
      <c r="AB876" s="16" t="s">
        <v>123</v>
      </c>
      <c r="AC876" s="16" t="s">
        <v>123</v>
      </c>
      <c r="AD876" s="16" t="s">
        <v>123</v>
      </c>
      <c r="AG876" s="16">
        <f>AH876-AI876</f>
        <v>91</v>
      </c>
      <c r="AH876" s="16">
        <v>177</v>
      </c>
      <c r="AI876" s="16">
        <v>86</v>
      </c>
      <c r="AK876" s="16">
        <v>23</v>
      </c>
      <c r="AL876" s="16">
        <v>0</v>
      </c>
      <c r="AM876" s="16">
        <v>0</v>
      </c>
      <c r="AN876" s="16">
        <v>0</v>
      </c>
      <c r="AO876" s="16">
        <v>0</v>
      </c>
      <c r="AP876" s="16">
        <f>SUM(AL876:AN876)</f>
        <v>0</v>
      </c>
      <c r="AQ876" s="16">
        <v>2.2229999999999999</v>
      </c>
      <c r="AR876" s="16">
        <f>AP876-1.472</f>
        <v>-1.472</v>
      </c>
      <c r="AS876" s="16">
        <f>AQ876-1.472</f>
        <v>0.75099999999999989</v>
      </c>
      <c r="AT876" s="16" t="s">
        <v>233</v>
      </c>
      <c r="AW876" s="16">
        <f>IF(AX876&gt;0,1,0)</f>
        <v>1</v>
      </c>
      <c r="AX876" s="16">
        <f>SUM(BA876,BM876,CT876)</f>
        <v>1</v>
      </c>
      <c r="AY876" s="18">
        <f>SUM(BB876,BN876,CV876)</f>
        <v>1.3315579227696406</v>
      </c>
      <c r="AZ876" s="16">
        <f>IF(BA876&gt;0,1,0)</f>
        <v>1</v>
      </c>
      <c r="BA876" s="16">
        <f>SUM(BC876,BF876,BI876)</f>
        <v>1</v>
      </c>
      <c r="BB876" s="16">
        <f>SUM(BE876,BH876,BK876)</f>
        <v>1.3315579227696406</v>
      </c>
      <c r="BC876" s="16">
        <v>0</v>
      </c>
      <c r="BD876" s="16">
        <v>0</v>
      </c>
      <c r="BE876" s="16">
        <f>BD876/AS876</f>
        <v>0</v>
      </c>
      <c r="BF876" s="16">
        <v>1</v>
      </c>
      <c r="BG876" s="77">
        <v>1</v>
      </c>
      <c r="BH876" s="16">
        <f>BG876/AS876</f>
        <v>1.3315579227696406</v>
      </c>
      <c r="BI876" s="16">
        <v>0</v>
      </c>
      <c r="BJ876" s="16">
        <v>0</v>
      </c>
      <c r="BK876" s="16">
        <f>BJ876/AS876</f>
        <v>0</v>
      </c>
      <c r="BL876" s="16">
        <f>IF(BM876&gt;0,1,0)</f>
        <v>0</v>
      </c>
      <c r="BM876" s="16">
        <f>SUM(BR876,BU876,BX876,CA876,CD876,CG876,CJ876,CM876,CP876)</f>
        <v>0</v>
      </c>
      <c r="BN876" s="16">
        <f>SUM(BW876,BZ876,CC876,CF876,CI876,CL876,CO876,CR876,BT876)</f>
        <v>0</v>
      </c>
      <c r="BO876" s="16">
        <f>IF(BP876&gt;0,1,0)</f>
        <v>0</v>
      </c>
      <c r="BP876" s="16">
        <f>SUM(BU876,BX876,CA876,CD876,BR876)</f>
        <v>0</v>
      </c>
      <c r="BQ876" s="16">
        <f>SUM(BZ876,CC876,CF876,BT876,BW876)</f>
        <v>0</v>
      </c>
      <c r="BR876" s="16">
        <v>0</v>
      </c>
      <c r="BS876" s="16">
        <v>0</v>
      </c>
      <c r="BT876" s="77">
        <f>BS876/AS876</f>
        <v>0</v>
      </c>
      <c r="BU876" s="16">
        <v>0</v>
      </c>
      <c r="BV876" s="16">
        <v>0</v>
      </c>
      <c r="BW876" s="16">
        <f>BV876/AS876</f>
        <v>0</v>
      </c>
      <c r="BX876" s="16">
        <v>0</v>
      </c>
      <c r="BY876" s="16">
        <v>0</v>
      </c>
      <c r="BZ876" s="16">
        <f>BY876/AS876</f>
        <v>0</v>
      </c>
      <c r="CA876" s="16">
        <v>0</v>
      </c>
      <c r="CB876" s="16">
        <v>0</v>
      </c>
      <c r="CC876" s="16">
        <f>CB876/AS876</f>
        <v>0</v>
      </c>
      <c r="CD876" s="77">
        <v>0</v>
      </c>
      <c r="CE876" s="16">
        <v>0</v>
      </c>
      <c r="CF876" s="16">
        <f>CE876/AS876</f>
        <v>0</v>
      </c>
      <c r="CG876" s="16">
        <v>0</v>
      </c>
      <c r="CH876" s="16">
        <v>0</v>
      </c>
      <c r="CI876" s="16">
        <f>CH876/AS876</f>
        <v>0</v>
      </c>
      <c r="CM876" s="16">
        <v>0</v>
      </c>
      <c r="CN876" s="16">
        <v>0</v>
      </c>
      <c r="CO876" s="16">
        <f>CN876/AS876</f>
        <v>0</v>
      </c>
      <c r="CP876" s="16">
        <v>0</v>
      </c>
      <c r="CQ876" s="16">
        <v>0</v>
      </c>
      <c r="CR876" s="16">
        <f>CQ876/AS876</f>
        <v>0</v>
      </c>
      <c r="CS876" s="16">
        <f>IF(CT876&gt;0,1,0)</f>
        <v>0</v>
      </c>
      <c r="CT876" s="16">
        <f>SUM(CW876,CZ876,DC876)</f>
        <v>0</v>
      </c>
      <c r="CV876" s="16">
        <f>SUM(CY876,DB876,DE876)</f>
        <v>0</v>
      </c>
      <c r="CW876" s="16">
        <v>0</v>
      </c>
      <c r="CX876" s="16">
        <v>0</v>
      </c>
      <c r="CY876" s="16">
        <f>CX876/AS876</f>
        <v>0</v>
      </c>
      <c r="CZ876" s="16">
        <v>0</v>
      </c>
      <c r="DA876" s="16">
        <v>0</v>
      </c>
      <c r="DB876" s="16">
        <f>DA876/AS876</f>
        <v>0</v>
      </c>
      <c r="DC876" s="16">
        <v>0</v>
      </c>
      <c r="DD876" s="16">
        <v>0</v>
      </c>
      <c r="DE876" s="16">
        <f>DD876/AS876</f>
        <v>0</v>
      </c>
      <c r="DF876" s="16" t="e">
        <f>VLOOKUP(K876,'[3]RNA Seq summary tables'!$V$3:$V$99,1,FALSE)</f>
        <v>#N/A</v>
      </c>
      <c r="DI876" s="16">
        <v>64</v>
      </c>
      <c r="DK876" s="16">
        <v>32</v>
      </c>
      <c r="DM876" s="16">
        <v>4</v>
      </c>
      <c r="DO876" s="16">
        <v>0</v>
      </c>
      <c r="DQ876" s="16">
        <v>0</v>
      </c>
      <c r="DR876" s="16">
        <f>SUM(DI876:DQ876)</f>
        <v>100</v>
      </c>
    </row>
    <row r="877" spans="1:288" x14ac:dyDescent="0.2">
      <c r="B877" s="16">
        <v>2017</v>
      </c>
      <c r="C877" s="66">
        <v>42888</v>
      </c>
      <c r="D877" s="66" t="str">
        <f>CONCATENATE(J877,"-",C877)</f>
        <v>1055-42888</v>
      </c>
      <c r="E877" s="20" t="str">
        <f>CONCATENATE(T877,"-",U877,"-",C877)</f>
        <v>SP2-D2-42888</v>
      </c>
      <c r="F877" s="20" t="s">
        <v>106</v>
      </c>
      <c r="G877" s="20" t="s">
        <v>107</v>
      </c>
      <c r="I877" s="16">
        <v>0</v>
      </c>
      <c r="J877" s="21">
        <v>1055</v>
      </c>
      <c r="K877" s="21">
        <v>1610</v>
      </c>
      <c r="L877" s="18">
        <v>0</v>
      </c>
      <c r="M877" s="21">
        <f>VLOOKUP($K877,'[4]blood tubes 2017'!$D$1:$L$647,8,FALSE)</f>
        <v>0</v>
      </c>
      <c r="N877" s="15">
        <v>0</v>
      </c>
      <c r="O877" s="15" t="s">
        <v>214</v>
      </c>
      <c r="P877" s="16" t="s">
        <v>110</v>
      </c>
      <c r="Q877" s="16">
        <v>0</v>
      </c>
      <c r="R877" s="16" t="s">
        <v>111</v>
      </c>
      <c r="T877" s="16" t="s">
        <v>137</v>
      </c>
      <c r="U877" s="16" t="s">
        <v>198</v>
      </c>
      <c r="V877" s="16" t="s">
        <v>114</v>
      </c>
      <c r="W877" s="16">
        <f>AI877/AG877</f>
        <v>0.84931506849315064</v>
      </c>
      <c r="X877" s="16" t="s">
        <v>121</v>
      </c>
      <c r="Y877" s="16" t="s">
        <v>145</v>
      </c>
      <c r="Z877" s="16">
        <v>1</v>
      </c>
      <c r="AA877" s="16" t="s">
        <v>119</v>
      </c>
      <c r="AB877" s="16" t="s">
        <v>123</v>
      </c>
      <c r="AC877" s="16" t="s">
        <v>123</v>
      </c>
      <c r="AD877" s="16" t="s">
        <v>123</v>
      </c>
      <c r="AG877" s="16">
        <f>AH877-AI877</f>
        <v>73</v>
      </c>
      <c r="AH877" s="16">
        <v>135</v>
      </c>
      <c r="AI877" s="16">
        <v>62</v>
      </c>
      <c r="AK877" s="16">
        <v>12.5</v>
      </c>
      <c r="AL877" s="16">
        <v>0</v>
      </c>
      <c r="AM877" s="16">
        <v>0</v>
      </c>
      <c r="AN877" s="16">
        <v>0</v>
      </c>
      <c r="AO877" s="16">
        <v>0</v>
      </c>
      <c r="AP877" s="16">
        <f>SUM(AL877:AN877)</f>
        <v>0</v>
      </c>
      <c r="AQ877" s="16">
        <v>1.5980000000000001</v>
      </c>
      <c r="AR877" s="16">
        <f>AP877-1.472</f>
        <v>-1.472</v>
      </c>
      <c r="AS877" s="16">
        <f>AQ877-1.472</f>
        <v>0.12600000000000011</v>
      </c>
      <c r="AT877" s="16" t="s">
        <v>164</v>
      </c>
      <c r="AW877" s="16">
        <f>IF(AX877&gt;0,1,0)</f>
        <v>1</v>
      </c>
      <c r="AX877" s="16">
        <f>SUM(BA877,BM877,CT877)</f>
        <v>2</v>
      </c>
      <c r="AY877" s="18">
        <f>SUM(BB877,BN877,CV877)</f>
        <v>1968.2539682539664</v>
      </c>
      <c r="AZ877" s="16">
        <f>IF(BA877&gt;0,1,0)</f>
        <v>1</v>
      </c>
      <c r="BA877" s="16">
        <f>SUM(BC877,BF877,BI877)</f>
        <v>1</v>
      </c>
      <c r="BB877" s="16">
        <f>SUM(BE877,BH877,BK877)</f>
        <v>547.61904761904714</v>
      </c>
      <c r="BC877" s="16">
        <v>0</v>
      </c>
      <c r="BD877" s="16">
        <v>7</v>
      </c>
      <c r="BE877" s="16">
        <f>BD877/AS877</f>
        <v>55.555555555555507</v>
      </c>
      <c r="BF877" s="16">
        <v>0</v>
      </c>
      <c r="BG877" s="77">
        <v>0</v>
      </c>
      <c r="BH877" s="16">
        <f>BG877/AS877</f>
        <v>0</v>
      </c>
      <c r="BI877" s="16">
        <v>1</v>
      </c>
      <c r="BJ877" s="16">
        <v>62</v>
      </c>
      <c r="BK877" s="16">
        <f>BJ877/AS877</f>
        <v>492.06349206349165</v>
      </c>
      <c r="BL877" s="16">
        <f>IF(BM877&gt;0,1,0)</f>
        <v>0</v>
      </c>
      <c r="BM877" s="16">
        <f>SUM(BR877,BU877,BX877,CA877,CD877,CG877,CJ877,CM877,CP877)</f>
        <v>0</v>
      </c>
      <c r="BN877" s="16">
        <f>SUM(BW877,BZ877,CC877,CF877,CI877,CL877,CO877,CR877,BT877)</f>
        <v>0</v>
      </c>
      <c r="BO877" s="16">
        <f>IF(BP877&gt;0,1,0)</f>
        <v>0</v>
      </c>
      <c r="BP877" s="16">
        <f>SUM(BU877,BX877,CA877,CD877,BR877)</f>
        <v>0</v>
      </c>
      <c r="BQ877" s="16">
        <f>SUM(BZ877,CC877,CF877,BT877,BW877)</f>
        <v>0</v>
      </c>
      <c r="BR877" s="16">
        <v>0</v>
      </c>
      <c r="BS877" s="16">
        <v>0</v>
      </c>
      <c r="BT877" s="77">
        <f>BS877/AS877</f>
        <v>0</v>
      </c>
      <c r="BU877" s="16">
        <v>0</v>
      </c>
      <c r="BV877" s="16">
        <v>0</v>
      </c>
      <c r="BW877" s="16">
        <f>BV877/AS877</f>
        <v>0</v>
      </c>
      <c r="BX877" s="16">
        <v>0</v>
      </c>
      <c r="BY877" s="16">
        <v>0</v>
      </c>
      <c r="BZ877" s="16">
        <f>BY877/AS877</f>
        <v>0</v>
      </c>
      <c r="CA877" s="16">
        <v>0</v>
      </c>
      <c r="CB877" s="16">
        <v>0</v>
      </c>
      <c r="CC877" s="16">
        <f>CB877/AS877</f>
        <v>0</v>
      </c>
      <c r="CD877" s="77">
        <v>0</v>
      </c>
      <c r="CE877" s="16">
        <v>0</v>
      </c>
      <c r="CF877" s="16">
        <f>CE877/AS877</f>
        <v>0</v>
      </c>
      <c r="CG877" s="16">
        <v>0</v>
      </c>
      <c r="CH877" s="16">
        <v>0</v>
      </c>
      <c r="CI877" s="16">
        <f>CH877/AS877</f>
        <v>0</v>
      </c>
      <c r="CM877" s="16">
        <v>0</v>
      </c>
      <c r="CN877" s="16">
        <v>0</v>
      </c>
      <c r="CO877" s="16">
        <f>CN877/AS877</f>
        <v>0</v>
      </c>
      <c r="CP877" s="16">
        <v>0</v>
      </c>
      <c r="CQ877" s="16">
        <v>0</v>
      </c>
      <c r="CR877" s="16">
        <f>CQ877/AS877</f>
        <v>0</v>
      </c>
      <c r="CS877" s="16">
        <f>IF(CT877&gt;0,1,0)</f>
        <v>1</v>
      </c>
      <c r="CT877" s="16">
        <f>SUM(CW877,CZ877,DC877)</f>
        <v>1</v>
      </c>
      <c r="CV877" s="16">
        <f>SUM(CY877,DB877,DE877)</f>
        <v>1420.6349206349194</v>
      </c>
      <c r="CW877" s="16">
        <v>1</v>
      </c>
      <c r="CX877" s="16">
        <v>179</v>
      </c>
      <c r="CY877" s="16">
        <f>CX877/AS877</f>
        <v>1420.6349206349194</v>
      </c>
      <c r="CZ877" s="16">
        <v>0</v>
      </c>
      <c r="DA877" s="16">
        <v>0</v>
      </c>
      <c r="DB877" s="16">
        <f>DA877/AS877</f>
        <v>0</v>
      </c>
      <c r="DC877" s="16">
        <v>0</v>
      </c>
      <c r="DD877" s="16">
        <v>0</v>
      </c>
      <c r="DE877" s="16">
        <f>DD877/AS877</f>
        <v>0</v>
      </c>
      <c r="DF877" s="16" t="e">
        <f>VLOOKUP(K877,'[3]RNA Seq summary tables'!$V$3:$V$99,1,FALSE)</f>
        <v>#N/A</v>
      </c>
      <c r="DI877" s="16">
        <v>76</v>
      </c>
      <c r="DK877" s="16">
        <v>12</v>
      </c>
      <c r="DM877" s="16">
        <v>12</v>
      </c>
      <c r="DO877" s="16">
        <v>0</v>
      </c>
      <c r="DQ877" s="16">
        <v>0</v>
      </c>
      <c r="DR877" s="16">
        <v>100</v>
      </c>
      <c r="JR877" s="41"/>
      <c r="JS877" s="41"/>
      <c r="JT877" s="41"/>
      <c r="JU877" s="41"/>
      <c r="JV877" s="41"/>
      <c r="JW877" s="41"/>
      <c r="JX877" s="41"/>
      <c r="JY877" s="41"/>
      <c r="JZ877" s="41"/>
      <c r="KA877" s="41"/>
      <c r="KB877" s="41"/>
    </row>
    <row r="878" spans="1:288" ht="16" x14ac:dyDescent="0.2">
      <c r="B878" s="16">
        <v>2017</v>
      </c>
      <c r="C878" s="43">
        <v>42941</v>
      </c>
      <c r="D878" s="43" t="str">
        <f>CONCATENATE(J878,"-",C878)</f>
        <v>1055-42941</v>
      </c>
      <c r="E878" s="37" t="str">
        <f>CONCATENATE(T878,"-",U878,"-",C878)</f>
        <v>SP2-C1-42941</v>
      </c>
      <c r="F878" s="20" t="s">
        <v>106</v>
      </c>
      <c r="G878" s="43" t="s">
        <v>107</v>
      </c>
      <c r="H878" s="23"/>
      <c r="I878" s="16">
        <v>0</v>
      </c>
      <c r="J878" s="15">
        <v>1055</v>
      </c>
      <c r="K878" s="15">
        <v>1989</v>
      </c>
      <c r="L878" s="18">
        <v>0</v>
      </c>
      <c r="M878" s="21">
        <f>VLOOKUP($K878,'[4]blood tubes 2017'!$D$1:$L$647,8,FALSE)</f>
        <v>0</v>
      </c>
      <c r="N878" s="15">
        <v>0</v>
      </c>
      <c r="O878" s="15" t="s">
        <v>214</v>
      </c>
      <c r="P878" s="23" t="s">
        <v>110</v>
      </c>
      <c r="Q878" s="23">
        <v>1</v>
      </c>
      <c r="R878" s="23">
        <v>53</v>
      </c>
      <c r="S878" s="23"/>
      <c r="T878" s="23" t="s">
        <v>137</v>
      </c>
      <c r="U878" s="23" t="s">
        <v>150</v>
      </c>
      <c r="V878" s="23" t="s">
        <v>114</v>
      </c>
      <c r="W878" s="23">
        <f>AI878/AG878</f>
        <v>0.78723404255319152</v>
      </c>
      <c r="X878" s="23" t="s">
        <v>121</v>
      </c>
      <c r="Y878" s="23" t="s">
        <v>110</v>
      </c>
      <c r="Z878" s="23">
        <v>3</v>
      </c>
      <c r="AA878" s="23" t="s">
        <v>119</v>
      </c>
      <c r="AB878" s="23" t="s">
        <v>239</v>
      </c>
      <c r="AC878" s="23" t="s">
        <v>123</v>
      </c>
      <c r="AD878" s="23" t="s">
        <v>123</v>
      </c>
      <c r="AE878" s="23"/>
      <c r="AF878" s="23"/>
      <c r="AG878" s="23">
        <f>AH878-AI878</f>
        <v>94</v>
      </c>
      <c r="AH878" s="23">
        <v>168</v>
      </c>
      <c r="AI878" s="23">
        <v>74</v>
      </c>
      <c r="AJ878" s="23"/>
      <c r="AK878" s="23">
        <v>19.5</v>
      </c>
      <c r="AL878" s="23">
        <v>0</v>
      </c>
      <c r="AM878" s="23">
        <v>0</v>
      </c>
      <c r="AN878" s="23">
        <v>0</v>
      </c>
      <c r="AO878" s="23">
        <v>0</v>
      </c>
      <c r="AP878" s="23">
        <f>SUM(AL878:AN878)</f>
        <v>0</v>
      </c>
      <c r="AQ878" s="23">
        <v>2.14</v>
      </c>
      <c r="AR878" s="23">
        <f>AP878-1.472</f>
        <v>-1.472</v>
      </c>
      <c r="AS878" s="23">
        <f>AQ878-1.472</f>
        <v>0.66800000000000015</v>
      </c>
      <c r="AT878" s="16" t="str">
        <f>VLOOKUP(E878,[2]Current!$A$1:$W$435,7,FALSE)</f>
        <v>LV</v>
      </c>
      <c r="AU878" s="16" t="s">
        <v>1288</v>
      </c>
      <c r="AV878" s="23"/>
      <c r="AW878" s="128">
        <f>IF(AX878&gt;0,1,0)</f>
        <v>1</v>
      </c>
      <c r="AX878" s="128">
        <f>SUM(BA878,BM878,CU878)</f>
        <v>1</v>
      </c>
      <c r="AY878" s="128">
        <f>SUM(BB878,BN878,CV878)</f>
        <v>8.982035928143711</v>
      </c>
      <c r="AZ878" s="128">
        <f>IF(BA878&gt;0,1,0)</f>
        <v>1</v>
      </c>
      <c r="BA878" s="128">
        <f>SUM(BC878+BF878+BI878)</f>
        <v>1</v>
      </c>
      <c r="BB878" s="128">
        <f>SUM(BE878,BH878,BK878)</f>
        <v>8.982035928143711</v>
      </c>
      <c r="BC878" s="130">
        <f>IF(BD878&gt;0,1,0)</f>
        <v>1</v>
      </c>
      <c r="BD878" s="128">
        <f>VLOOKUP($E878,[2]Current!$A:$AC,26,FALSE)</f>
        <v>6</v>
      </c>
      <c r="BE878" s="128">
        <f>BD878/$AS878</f>
        <v>8.982035928143711</v>
      </c>
      <c r="BF878" s="130">
        <f>IF(BG878&gt;0,1,0)</f>
        <v>0</v>
      </c>
      <c r="BG878" s="137">
        <f>VLOOKUP($E878,[2]Current!$A:$AC,27,FALSE)</f>
        <v>0</v>
      </c>
      <c r="BH878" s="128">
        <f>BG878/$AS878</f>
        <v>0</v>
      </c>
      <c r="BI878" s="130">
        <f>IF(BJ878&gt;0,1,0)</f>
        <v>0</v>
      </c>
      <c r="BJ878" s="128">
        <f>VLOOKUP($E878,[2]Current!$A:$AC,28,FALSE)</f>
        <v>0</v>
      </c>
      <c r="BK878" s="128">
        <f>BJ878/$AS878</f>
        <v>0</v>
      </c>
      <c r="BL878" s="128">
        <f>IF(BM878&gt;0,1,0)</f>
        <v>0</v>
      </c>
      <c r="BM878" s="128">
        <f>SUM(BR878,BU878,BX878,CA878,CD878)</f>
        <v>0</v>
      </c>
      <c r="BN878" s="131">
        <f>SUM(BT878,BW878,BZ878,CC878,CF878)</f>
        <v>0</v>
      </c>
      <c r="BO878" s="128">
        <f>IF(BP878&gt;0,1,0)</f>
        <v>0</v>
      </c>
      <c r="BP878" s="128">
        <f>BM878+CJ878</f>
        <v>0</v>
      </c>
      <c r="BQ878" s="128">
        <f>BN878+CL878</f>
        <v>0</v>
      </c>
      <c r="BR878" s="130">
        <f>IF(BS878&gt;0,1,0)</f>
        <v>0</v>
      </c>
      <c r="BS878" s="128">
        <f>VLOOKUP($E878,[2]Current!$A:$AC,12,FALSE)</f>
        <v>0</v>
      </c>
      <c r="BT878" s="137">
        <f>BS878/$AS878</f>
        <v>0</v>
      </c>
      <c r="BU878" s="130">
        <f>IF(BV878&gt;0,1,0)</f>
        <v>0</v>
      </c>
      <c r="BV878" s="128">
        <f>VLOOKUP($E878,[2]Current!$A:$AC,13,FALSE)</f>
        <v>0</v>
      </c>
      <c r="BW878" s="128">
        <f>BV878/$AS878</f>
        <v>0</v>
      </c>
      <c r="BX878" s="130">
        <f>IF(BY878&gt;0,1,0)</f>
        <v>0</v>
      </c>
      <c r="BY878" s="128">
        <f>VLOOKUP($E878,[2]Current!$A:$AC,14,FALSE)</f>
        <v>0</v>
      </c>
      <c r="BZ878" s="128">
        <f>BY878/$AS878</f>
        <v>0</v>
      </c>
      <c r="CA878" s="130">
        <f>IF(CB878&gt;0,1,0)</f>
        <v>0</v>
      </c>
      <c r="CB878" s="128">
        <f>VLOOKUP($E878,[2]Current!$A:$AC,15,FALSE)</f>
        <v>0</v>
      </c>
      <c r="CC878" s="128">
        <f>CB878/$AS878</f>
        <v>0</v>
      </c>
      <c r="CD878" s="174">
        <f>IF(CE878&gt;0,1,0)</f>
        <v>0</v>
      </c>
      <c r="CE878" s="128">
        <f>VLOOKUP($E878,[2]Current!$A:$AC,16,FALSE)</f>
        <v>0</v>
      </c>
      <c r="CF878" s="128">
        <f>CE878/$AS878</f>
        <v>0</v>
      </c>
      <c r="CG878" s="18"/>
      <c r="CH878" s="18"/>
      <c r="CI878" s="18"/>
      <c r="CJ878" s="130">
        <f>IF(CK878&gt;0,1,0)</f>
        <v>0</v>
      </c>
      <c r="CK878" s="128">
        <f>VLOOKUP($E878,[2]Current!$A:$AC,18,FALSE)</f>
        <v>0</v>
      </c>
      <c r="CL878" s="128">
        <f>CK878/$AS878</f>
        <v>0</v>
      </c>
      <c r="CS878" s="130">
        <f>IF(CU878&gt;0,1,0)</f>
        <v>0</v>
      </c>
      <c r="CU878" s="128">
        <f>VLOOKUP($E878,[2]Current!$A:$AC,17,FALSE)</f>
        <v>0</v>
      </c>
      <c r="CV878" s="128">
        <f>CU878/$AS878</f>
        <v>0</v>
      </c>
      <c r="CW878" s="18"/>
      <c r="CX878" s="18"/>
      <c r="CY878" s="18"/>
      <c r="DF878" s="16" t="e">
        <f>VLOOKUP(K878,'[3]RNA Seq summary tables'!$V$3:$V$99,1,FALSE)</f>
        <v>#N/A</v>
      </c>
      <c r="DG878" s="16">
        <v>1</v>
      </c>
      <c r="DH878" s="16" t="str">
        <f>VLOOKUP(D878,'[6]workflow 3.2018'!$A$1:$S$237,2,FALSE)</f>
        <v>2017MLBS_85</v>
      </c>
      <c r="DI878" s="23"/>
      <c r="DJ878" s="23"/>
      <c r="DK878" s="23"/>
      <c r="DL878" s="23"/>
      <c r="DM878" s="23"/>
      <c r="DN878" s="23"/>
      <c r="DO878" s="23"/>
      <c r="DP878" s="23"/>
      <c r="DQ878" s="23"/>
      <c r="DR878" s="23"/>
      <c r="DS878" s="23"/>
      <c r="DT878" s="25"/>
      <c r="DU878" s="25"/>
      <c r="DV878" s="25"/>
      <c r="DW878" s="25"/>
      <c r="DX878" s="25"/>
      <c r="DY878" s="25"/>
      <c r="DZ878" s="25"/>
      <c r="EA878" s="25"/>
      <c r="EB878" s="25"/>
      <c r="EC878" s="25"/>
      <c r="ED878" s="25"/>
      <c r="EE878" s="25"/>
    </row>
    <row r="879" spans="1:288" ht="16" x14ac:dyDescent="0.2">
      <c r="B879" s="16">
        <v>2017</v>
      </c>
      <c r="C879" s="20">
        <v>42972</v>
      </c>
      <c r="D879" s="20" t="str">
        <f>CONCATENATE(J879,"-",C879)</f>
        <v>1055-42972</v>
      </c>
      <c r="E879" s="37" t="str">
        <f>CONCATENATE(T879,"-",U879,"-",C879)</f>
        <v>SP2-D1-42972</v>
      </c>
      <c r="F879" s="20" t="s">
        <v>106</v>
      </c>
      <c r="G879" s="20" t="s">
        <v>107</v>
      </c>
      <c r="J879" s="21">
        <v>1055</v>
      </c>
      <c r="K879" s="21">
        <v>2248</v>
      </c>
      <c r="L879" s="18">
        <v>0</v>
      </c>
      <c r="M879" s="21">
        <f>VLOOKUP($K879,'[4]blood tubes 2017'!$D$1:$L$947,8,FALSE)</f>
        <v>0</v>
      </c>
      <c r="N879" s="15">
        <v>0</v>
      </c>
      <c r="O879" s="15" t="s">
        <v>214</v>
      </c>
      <c r="P879" s="16" t="s">
        <v>110</v>
      </c>
      <c r="Q879" s="16">
        <v>1</v>
      </c>
      <c r="R879" s="16">
        <v>31</v>
      </c>
      <c r="T879" s="16" t="s">
        <v>137</v>
      </c>
      <c r="U879" s="16" t="s">
        <v>157</v>
      </c>
      <c r="V879" s="16" t="s">
        <v>114</v>
      </c>
      <c r="W879" s="16">
        <f>AI879/AG879</f>
        <v>0.80645161290322576</v>
      </c>
      <c r="X879" s="16" t="s">
        <v>121</v>
      </c>
      <c r="Y879" s="16" t="s">
        <v>110</v>
      </c>
      <c r="Z879" s="16">
        <v>3</v>
      </c>
      <c r="AA879" s="16" t="s">
        <v>119</v>
      </c>
      <c r="AB879" s="16" t="s">
        <v>239</v>
      </c>
      <c r="AC879" s="16" t="s">
        <v>123</v>
      </c>
      <c r="AD879" s="16" t="s">
        <v>123</v>
      </c>
      <c r="AG879" s="16">
        <f>AH879-AI879</f>
        <v>93</v>
      </c>
      <c r="AH879" s="16">
        <v>168</v>
      </c>
      <c r="AI879" s="16">
        <v>75</v>
      </c>
      <c r="AK879" s="16">
        <v>19.5</v>
      </c>
      <c r="AL879" s="16">
        <v>0</v>
      </c>
      <c r="AM879" s="16">
        <v>0</v>
      </c>
      <c r="AN879" s="16">
        <v>0</v>
      </c>
      <c r="AO879" s="16">
        <v>0</v>
      </c>
      <c r="AP879" s="16">
        <f>SUM(AL879:AN879)</f>
        <v>0</v>
      </c>
      <c r="AQ879" s="16">
        <v>1.7749999999999999</v>
      </c>
      <c r="AR879" s="16">
        <f>AP879-1.472</f>
        <v>-1.472</v>
      </c>
      <c r="AS879" s="16">
        <f>AQ879-1.472</f>
        <v>0.30299999999999994</v>
      </c>
      <c r="AT879" s="16" t="str">
        <f>VLOOKUP(E879,[2]Current!$A$1:$W$435,7,FALSE)</f>
        <v>JY</v>
      </c>
      <c r="AU879" s="16" t="s">
        <v>1288</v>
      </c>
      <c r="AW879" s="128">
        <f>IF(AX879&gt;0,1,0)</f>
        <v>1</v>
      </c>
      <c r="AX879" s="128">
        <f>SUM(BA879,BM879,CU879)</f>
        <v>1</v>
      </c>
      <c r="AY879" s="128">
        <f>SUM(BB879,BN879,CV879)</f>
        <v>752.4752475247526</v>
      </c>
      <c r="AZ879" s="128">
        <f>IF(BA879&gt;0,1,0)</f>
        <v>1</v>
      </c>
      <c r="BA879" s="128">
        <f>SUM(BC879+BF879+BI879)</f>
        <v>1</v>
      </c>
      <c r="BB879" s="128">
        <f>SUM(BE879,BH879,BK879)</f>
        <v>752.4752475247526</v>
      </c>
      <c r="BC879" s="130">
        <f>IF(BD879&gt;0,1,0)</f>
        <v>0</v>
      </c>
      <c r="BD879" s="128">
        <f>VLOOKUP($E879,[2]Current!$A:$AC,26,FALSE)</f>
        <v>0</v>
      </c>
      <c r="BE879" s="128">
        <f>BD879/$AS879</f>
        <v>0</v>
      </c>
      <c r="BF879" s="130">
        <f>IF(BG879&gt;0,1,0)</f>
        <v>1</v>
      </c>
      <c r="BG879" s="137">
        <f>VLOOKUP($E879,[2]Current!$A:$AC,27,FALSE)</f>
        <v>228</v>
      </c>
      <c r="BH879" s="128">
        <f>BG879/$AS879</f>
        <v>752.4752475247526</v>
      </c>
      <c r="BI879" s="130">
        <f>IF(BJ879&gt;0,1,0)</f>
        <v>0</v>
      </c>
      <c r="BJ879" s="128">
        <f>VLOOKUP($E879,[2]Current!$A:$AC,28,FALSE)</f>
        <v>0</v>
      </c>
      <c r="BK879" s="128">
        <f>BJ879/$AS879</f>
        <v>0</v>
      </c>
      <c r="BL879" s="128">
        <f>IF(BM879&gt;0,1,0)</f>
        <v>0</v>
      </c>
      <c r="BM879" s="128">
        <f>SUM(BR879,BU879,BX879,CA879,CD879)</f>
        <v>0</v>
      </c>
      <c r="BN879" s="131">
        <f>SUM(BT879,BW879,BZ879,CC879,CF879)</f>
        <v>0</v>
      </c>
      <c r="BO879" s="128">
        <f>IF(BP879&gt;0,1,0)</f>
        <v>0</v>
      </c>
      <c r="BP879" s="128">
        <f>BM879+CJ879</f>
        <v>0</v>
      </c>
      <c r="BQ879" s="128">
        <f>BN879+CL879</f>
        <v>0</v>
      </c>
      <c r="BR879" s="130">
        <f>IF(BS879&gt;0,1,0)</f>
        <v>0</v>
      </c>
      <c r="BS879" s="128">
        <f>VLOOKUP($E879,[2]Current!$A:$AC,12,FALSE)</f>
        <v>0</v>
      </c>
      <c r="BT879" s="137">
        <f>BS879/$AS879</f>
        <v>0</v>
      </c>
      <c r="BU879" s="130">
        <f>IF(BV879&gt;0,1,0)</f>
        <v>0</v>
      </c>
      <c r="BV879" s="128">
        <f>VLOOKUP($E879,[2]Current!$A:$AC,13,FALSE)</f>
        <v>0</v>
      </c>
      <c r="BW879" s="128">
        <f>BV879/$AS879</f>
        <v>0</v>
      </c>
      <c r="BX879" s="130">
        <f>IF(BY879&gt;0,1,0)</f>
        <v>0</v>
      </c>
      <c r="BY879" s="128">
        <f>VLOOKUP($E879,[2]Current!$A:$AC,14,FALSE)</f>
        <v>0</v>
      </c>
      <c r="BZ879" s="128">
        <f>BY879/$AS879</f>
        <v>0</v>
      </c>
      <c r="CA879" s="130">
        <f>IF(CB879&gt;0,1,0)</f>
        <v>0</v>
      </c>
      <c r="CB879" s="128">
        <f>VLOOKUP($E879,[2]Current!$A:$AC,15,FALSE)</f>
        <v>0</v>
      </c>
      <c r="CC879" s="128">
        <f>CB879/$AS879</f>
        <v>0</v>
      </c>
      <c r="CD879" s="174">
        <f>IF(CE879&gt;0,1,0)</f>
        <v>0</v>
      </c>
      <c r="CE879" s="128">
        <f>VLOOKUP($E879,[2]Current!$A:$AC,16,FALSE)</f>
        <v>0</v>
      </c>
      <c r="CF879" s="128">
        <f>CE879/$AS879</f>
        <v>0</v>
      </c>
      <c r="CG879" s="18"/>
      <c r="CH879" s="18"/>
      <c r="CI879" s="18"/>
      <c r="CJ879" s="130">
        <f>IF(CK879&gt;0,1,0)</f>
        <v>0</v>
      </c>
      <c r="CK879" s="128">
        <f>VLOOKUP($E879,[2]Current!$A:$AC,18,FALSE)</f>
        <v>0</v>
      </c>
      <c r="CL879" s="128">
        <f>CK879/$AS879</f>
        <v>0</v>
      </c>
      <c r="CS879" s="130">
        <f>IF(CU879&gt;0,1,0)</f>
        <v>0</v>
      </c>
      <c r="CU879" s="128">
        <f>VLOOKUP($E879,[2]Current!$A:$AC,17,FALSE)</f>
        <v>0</v>
      </c>
      <c r="CV879" s="128">
        <f>CU879/$AS879</f>
        <v>0</v>
      </c>
      <c r="CW879" s="18"/>
      <c r="CX879" s="18"/>
      <c r="CY879" s="18"/>
      <c r="DF879" s="16" t="e">
        <f>VLOOKUP(K879,'[3]RNA Seq summary tables'!$V$3:$V$99,1,FALSE)</f>
        <v>#N/A</v>
      </c>
      <c r="DG879" s="16">
        <v>1</v>
      </c>
      <c r="DH879" s="16" t="str">
        <f>VLOOKUP(D879,'[6]workflow 3.2018'!$A$1:$S$237,2,FALSE)</f>
        <v>2017MLBS_184</v>
      </c>
    </row>
    <row r="880" spans="1:288" x14ac:dyDescent="0.2">
      <c r="A880" s="41">
        <v>1</v>
      </c>
      <c r="B880" s="16">
        <v>2017</v>
      </c>
      <c r="C880" s="66">
        <v>42888</v>
      </c>
      <c r="D880" s="66" t="str">
        <f>CONCATENATE(J880,"-",C880)</f>
        <v>1057-42888</v>
      </c>
      <c r="E880" s="20" t="str">
        <f>CONCATENATE(T880,"-",U880,"-",C880)</f>
        <v>SP2-H3-42888</v>
      </c>
      <c r="F880" s="20" t="s">
        <v>106</v>
      </c>
      <c r="G880" s="20" t="s">
        <v>107</v>
      </c>
      <c r="H880" s="16" t="s">
        <v>378</v>
      </c>
      <c r="I880" s="16">
        <v>0</v>
      </c>
      <c r="J880" s="21">
        <v>1057</v>
      </c>
      <c r="K880" s="21">
        <v>1612</v>
      </c>
      <c r="L880" s="18">
        <v>0</v>
      </c>
      <c r="M880" s="21">
        <f>VLOOKUP($K880,'[4]blood tubes 2017'!$D$1:$L$647,8,FALSE)</f>
        <v>0</v>
      </c>
      <c r="N880" s="15">
        <v>0</v>
      </c>
      <c r="O880" s="15" t="s">
        <v>214</v>
      </c>
      <c r="P880" s="16" t="s">
        <v>110</v>
      </c>
      <c r="Q880" s="16">
        <v>0</v>
      </c>
      <c r="R880" s="16" t="s">
        <v>111</v>
      </c>
      <c r="T880" s="16" t="s">
        <v>137</v>
      </c>
      <c r="U880" s="16" t="s">
        <v>174</v>
      </c>
      <c r="V880" s="16" t="s">
        <v>114</v>
      </c>
      <c r="W880" s="16">
        <f>AI880/AG880</f>
        <v>0.76923076923076927</v>
      </c>
      <c r="X880" s="16" t="s">
        <v>121</v>
      </c>
      <c r="Y880" s="41" t="s">
        <v>110</v>
      </c>
      <c r="Z880" s="41">
        <v>2.2999999999999998</v>
      </c>
      <c r="AA880" s="16" t="s">
        <v>123</v>
      </c>
      <c r="AB880" s="16" t="s">
        <v>123</v>
      </c>
      <c r="AC880" s="16" t="s">
        <v>123</v>
      </c>
      <c r="AD880" s="16" t="s">
        <v>123</v>
      </c>
      <c r="AG880" s="16">
        <f>AH880-AI880</f>
        <v>78</v>
      </c>
      <c r="AH880" s="16">
        <v>138</v>
      </c>
      <c r="AI880" s="16">
        <v>60</v>
      </c>
      <c r="AK880" s="16">
        <v>16.5</v>
      </c>
      <c r="AL880" s="16">
        <v>0</v>
      </c>
      <c r="AM880" s="16">
        <v>0</v>
      </c>
      <c r="AN880" s="16">
        <v>0</v>
      </c>
      <c r="AO880" s="16">
        <v>0</v>
      </c>
      <c r="AP880" s="16">
        <f>SUM(AL880:AN880)</f>
        <v>0</v>
      </c>
      <c r="AQ880" s="16">
        <v>1.6850000000000001</v>
      </c>
      <c r="AR880" s="16">
        <f>AP880-1.472</f>
        <v>-1.472</v>
      </c>
      <c r="AS880" s="16">
        <f>AQ880-1.472</f>
        <v>0.21300000000000008</v>
      </c>
      <c r="AT880" s="16" t="s">
        <v>164</v>
      </c>
      <c r="AW880" s="16">
        <f>IF(AX880&gt;0,1,0)</f>
        <v>1</v>
      </c>
      <c r="AX880" s="16">
        <f>SUM(BA880,BM880,CT880)</f>
        <v>1</v>
      </c>
      <c r="AY880" s="18">
        <f>SUM(BB880,BN880,CV880)</f>
        <v>46.948356807511722</v>
      </c>
      <c r="AZ880" s="16">
        <f>IF(BA880&gt;0,1,0)</f>
        <v>1</v>
      </c>
      <c r="BA880" s="16">
        <f>SUM(BC880,BF880,BI880)</f>
        <v>1</v>
      </c>
      <c r="BB880" s="16">
        <f>SUM(BE880,BH880,BK880)</f>
        <v>46.948356807511722</v>
      </c>
      <c r="BC880" s="16">
        <v>0</v>
      </c>
      <c r="BD880" s="16">
        <v>0</v>
      </c>
      <c r="BE880" s="16">
        <f>BD880/AS880</f>
        <v>0</v>
      </c>
      <c r="BF880" s="16">
        <v>1</v>
      </c>
      <c r="BG880" s="77">
        <v>10</v>
      </c>
      <c r="BH880" s="16">
        <f>BG880/AS880</f>
        <v>46.948356807511722</v>
      </c>
      <c r="BI880" s="16">
        <v>0</v>
      </c>
      <c r="BJ880" s="16">
        <v>0</v>
      </c>
      <c r="BK880" s="16">
        <f>BJ880/AS880</f>
        <v>0</v>
      </c>
      <c r="BL880" s="16">
        <f>IF(BM880&gt;0,1,0)</f>
        <v>0</v>
      </c>
      <c r="BM880" s="16">
        <f>SUM(BR880,BU880,BX880,CA880,CD880,CG880,CJ880,CM880,CP880)</f>
        <v>0</v>
      </c>
      <c r="BN880" s="16">
        <f>SUM(BW880,BZ880,CC880,CF880,CI880,CL880,CO880,CR880,BT880)</f>
        <v>0</v>
      </c>
      <c r="BO880" s="16">
        <f>IF(BP880&gt;0,1,0)</f>
        <v>0</v>
      </c>
      <c r="BP880" s="16">
        <f>SUM(BU880,BX880,CA880,CD880,BR880)</f>
        <v>0</v>
      </c>
      <c r="BQ880" s="16">
        <f>SUM(BZ880,CC880,CF880,BT880,BW880)</f>
        <v>0</v>
      </c>
      <c r="BR880" s="16">
        <v>0</v>
      </c>
      <c r="BS880" s="16">
        <v>0</v>
      </c>
      <c r="BT880" s="77">
        <f>BS880/AS880</f>
        <v>0</v>
      </c>
      <c r="BU880" s="16">
        <v>0</v>
      </c>
      <c r="BV880" s="16">
        <v>0</v>
      </c>
      <c r="BW880" s="16">
        <f>BV880/AS880</f>
        <v>0</v>
      </c>
      <c r="BX880" s="16">
        <v>0</v>
      </c>
      <c r="BY880" s="16">
        <v>0</v>
      </c>
      <c r="BZ880" s="16">
        <f>BY880/AS880</f>
        <v>0</v>
      </c>
      <c r="CA880" s="16">
        <v>0</v>
      </c>
      <c r="CB880" s="16">
        <v>0</v>
      </c>
      <c r="CC880" s="16">
        <f>CB880/AS880</f>
        <v>0</v>
      </c>
      <c r="CD880" s="77">
        <v>0</v>
      </c>
      <c r="CE880" s="16">
        <v>0</v>
      </c>
      <c r="CF880" s="16">
        <f>CE880/AS880</f>
        <v>0</v>
      </c>
      <c r="CG880" s="16">
        <v>0</v>
      </c>
      <c r="CH880" s="16">
        <v>0</v>
      </c>
      <c r="CI880" s="16">
        <f>CH880/AS880</f>
        <v>0</v>
      </c>
      <c r="CM880" s="16">
        <v>0</v>
      </c>
      <c r="CN880" s="16">
        <v>0</v>
      </c>
      <c r="CO880" s="16">
        <f>CN880/AS880</f>
        <v>0</v>
      </c>
      <c r="CP880" s="16">
        <v>0</v>
      </c>
      <c r="CQ880" s="16">
        <v>0</v>
      </c>
      <c r="CR880" s="16">
        <f>CQ880/AS880</f>
        <v>0</v>
      </c>
      <c r="CS880" s="16">
        <f>IF(CT880&gt;0,1,0)</f>
        <v>0</v>
      </c>
      <c r="CT880" s="16">
        <f>SUM(CW880,CZ880,DC880)</f>
        <v>0</v>
      </c>
      <c r="CV880" s="16">
        <f>SUM(CY880,DB880,DE880)</f>
        <v>0</v>
      </c>
      <c r="CW880" s="16">
        <v>0</v>
      </c>
      <c r="CX880" s="16">
        <v>0</v>
      </c>
      <c r="CY880" s="16">
        <f>CX880/AS880</f>
        <v>0</v>
      </c>
      <c r="CZ880" s="16">
        <v>0</v>
      </c>
      <c r="DA880" s="16">
        <v>0</v>
      </c>
      <c r="DB880" s="16">
        <f>DA880/AS880</f>
        <v>0</v>
      </c>
      <c r="DC880" s="16">
        <v>0</v>
      </c>
      <c r="DD880" s="16">
        <v>0</v>
      </c>
      <c r="DE880" s="16">
        <f>DD880/AS880</f>
        <v>0</v>
      </c>
      <c r="DF880" s="16" t="e">
        <f>VLOOKUP(K880,'[3]RNA Seq summary tables'!$V$3:$V$99,1,FALSE)</f>
        <v>#N/A</v>
      </c>
      <c r="DG880" s="16">
        <v>1</v>
      </c>
      <c r="DH880" s="16" t="str">
        <f>VLOOKUP(D880,'[6]workflow 3.2018'!$A$1:$S$237,2,FALSE)</f>
        <v>2017MLBS_23</v>
      </c>
      <c r="DI880" s="16">
        <v>28</v>
      </c>
      <c r="DK880" s="16">
        <v>58</v>
      </c>
      <c r="DM880" s="16">
        <v>14</v>
      </c>
      <c r="DO880" s="16">
        <v>0</v>
      </c>
      <c r="DQ880" s="16">
        <v>0</v>
      </c>
      <c r="DR880" s="16">
        <v>100</v>
      </c>
    </row>
    <row r="881" spans="1:288" x14ac:dyDescent="0.2">
      <c r="B881" s="16">
        <v>2017</v>
      </c>
      <c r="C881" s="20">
        <v>42906</v>
      </c>
      <c r="D881" s="20" t="str">
        <f>CONCATENATE(J881,"-",C881)</f>
        <v>1057-42906</v>
      </c>
      <c r="E881" s="20" t="str">
        <f>CONCATENATE(T881,"-",U881,"-",C881)</f>
        <v>SP2-G8-42906</v>
      </c>
      <c r="F881" s="20" t="s">
        <v>106</v>
      </c>
      <c r="G881" s="20" t="s">
        <v>107</v>
      </c>
      <c r="I881" s="16">
        <v>0</v>
      </c>
      <c r="J881" s="21">
        <v>1057</v>
      </c>
      <c r="K881" s="21">
        <v>1713</v>
      </c>
      <c r="L881" s="18">
        <v>0</v>
      </c>
      <c r="M881" s="21">
        <f>VLOOKUP($K881,'[4]blood tubes 2017'!$D$1:$L$647,8,FALSE)</f>
        <v>0</v>
      </c>
      <c r="N881" s="15">
        <v>0</v>
      </c>
      <c r="O881" s="15" t="s">
        <v>214</v>
      </c>
      <c r="P881" s="16" t="s">
        <v>110</v>
      </c>
      <c r="Q881" s="16">
        <v>1</v>
      </c>
      <c r="R881" s="16">
        <v>18</v>
      </c>
      <c r="T881" s="16" t="s">
        <v>137</v>
      </c>
      <c r="U881" s="16" t="s">
        <v>216</v>
      </c>
      <c r="V881" s="16" t="s">
        <v>114</v>
      </c>
      <c r="W881" s="16">
        <f>AI881/AG881</f>
        <v>0.77906976744186052</v>
      </c>
      <c r="X881" s="16" t="s">
        <v>121</v>
      </c>
      <c r="Y881" s="16" t="s">
        <v>110</v>
      </c>
      <c r="Z881" s="16">
        <v>3</v>
      </c>
      <c r="AA881" s="16" t="s">
        <v>119</v>
      </c>
      <c r="AB881" s="16" t="s">
        <v>239</v>
      </c>
      <c r="AC881" s="16" t="s">
        <v>116</v>
      </c>
      <c r="AD881" s="16" t="s">
        <v>116</v>
      </c>
      <c r="AG881" s="16">
        <f>AH881-AI881</f>
        <v>86</v>
      </c>
      <c r="AH881" s="16">
        <v>153</v>
      </c>
      <c r="AI881" s="16">
        <v>67</v>
      </c>
      <c r="AK881" s="16">
        <v>23.5</v>
      </c>
      <c r="AL881" s="16">
        <v>1</v>
      </c>
      <c r="AM881" s="16">
        <v>0</v>
      </c>
      <c r="AN881" s="16">
        <v>0</v>
      </c>
      <c r="AO881" s="16">
        <v>1</v>
      </c>
      <c r="AP881" s="16">
        <f>SUM(AL881:AN881)</f>
        <v>1</v>
      </c>
      <c r="AQ881" s="16">
        <v>2.258</v>
      </c>
      <c r="AR881" s="16">
        <f>AP881-1.472</f>
        <v>-0.47199999999999998</v>
      </c>
      <c r="AS881" s="16">
        <f>AQ881-1.472</f>
        <v>0.78600000000000003</v>
      </c>
      <c r="AT881" s="16" t="s">
        <v>233</v>
      </c>
      <c r="AW881" s="16">
        <f>IF(AX881&gt;0,1,0)</f>
        <v>1</v>
      </c>
      <c r="AX881" s="16">
        <f>SUM(BA881,BM881,CT881)</f>
        <v>3</v>
      </c>
      <c r="AY881" s="18">
        <f>SUM(BB881,BN881,CV881)</f>
        <v>782.44274809160299</v>
      </c>
      <c r="AZ881" s="16">
        <f>IF(BA881&gt;0,1,0)</f>
        <v>1</v>
      </c>
      <c r="BA881" s="16">
        <f>SUM(BC881,BF881,BI881)</f>
        <v>1</v>
      </c>
      <c r="BB881" s="16">
        <f>SUM(BE881,BH881,BK881)</f>
        <v>2.5445292620865141</v>
      </c>
      <c r="BC881" s="16">
        <v>0</v>
      </c>
      <c r="BD881" s="16">
        <v>0</v>
      </c>
      <c r="BE881" s="16">
        <f>BD881/AS881</f>
        <v>0</v>
      </c>
      <c r="BF881" s="16">
        <v>1</v>
      </c>
      <c r="BG881" s="77">
        <v>2</v>
      </c>
      <c r="BH881" s="16">
        <f>BG881/AS881</f>
        <v>2.5445292620865141</v>
      </c>
      <c r="BI881" s="16">
        <v>0</v>
      </c>
      <c r="BJ881" s="16">
        <v>0</v>
      </c>
      <c r="BK881" s="16">
        <f>BJ881/AS881</f>
        <v>0</v>
      </c>
      <c r="BL881" s="16">
        <f>IF(BM881&gt;0,1,0)</f>
        <v>1</v>
      </c>
      <c r="BM881" s="16">
        <f>SUM(BR881,BU881,BX881,CA881,CD881,CG881,CJ881,CM881,CP881)</f>
        <v>1</v>
      </c>
      <c r="BN881" s="16">
        <f>SUM(BW881,BZ881,CC881,CF881,CI881,CL881,CO881,CR881,BT881)</f>
        <v>1.272264631043257</v>
      </c>
      <c r="BO881" s="16">
        <f>IF(BP881&gt;0,1,0)</f>
        <v>1</v>
      </c>
      <c r="BP881" s="16">
        <f>SUM(BU881,BX881,CA881,CD881,BR881)</f>
        <v>1</v>
      </c>
      <c r="BQ881" s="16">
        <f>SUM(BZ881,CC881,CF881,BT881,BW881)</f>
        <v>1.272264631043257</v>
      </c>
      <c r="BR881" s="16">
        <v>0</v>
      </c>
      <c r="BS881" s="16">
        <v>0</v>
      </c>
      <c r="BT881" s="77">
        <f>BS881/AS881</f>
        <v>0</v>
      </c>
      <c r="BU881" s="16">
        <v>0</v>
      </c>
      <c r="BV881" s="16">
        <v>0</v>
      </c>
      <c r="BW881" s="16">
        <f>BV881/AS881</f>
        <v>0</v>
      </c>
      <c r="BX881" s="16">
        <v>1</v>
      </c>
      <c r="BY881" s="16">
        <v>1</v>
      </c>
      <c r="BZ881" s="16">
        <f>BY881/AS881</f>
        <v>1.272264631043257</v>
      </c>
      <c r="CA881" s="16">
        <v>0</v>
      </c>
      <c r="CB881" s="16">
        <v>0</v>
      </c>
      <c r="CC881" s="16">
        <f>CB881/AS881</f>
        <v>0</v>
      </c>
      <c r="CD881" s="77">
        <v>0</v>
      </c>
      <c r="CE881" s="16">
        <v>0</v>
      </c>
      <c r="CF881" s="16">
        <f>CE881/AS881</f>
        <v>0</v>
      </c>
      <c r="CG881" s="16">
        <v>0</v>
      </c>
      <c r="CH881" s="16">
        <v>0</v>
      </c>
      <c r="CI881" s="16">
        <f>CH881/AS881</f>
        <v>0</v>
      </c>
      <c r="CM881" s="16">
        <v>0</v>
      </c>
      <c r="CN881" s="16">
        <v>0</v>
      </c>
      <c r="CO881" s="16">
        <f>CN881/AS881</f>
        <v>0</v>
      </c>
      <c r="CP881" s="16">
        <v>0</v>
      </c>
      <c r="CQ881" s="16">
        <v>0</v>
      </c>
      <c r="CR881" s="16">
        <f>CQ881/AS881</f>
        <v>0</v>
      </c>
      <c r="CS881" s="16">
        <f>IF(CT881&gt;0,1,0)</f>
        <v>1</v>
      </c>
      <c r="CT881" s="16">
        <f>SUM(CW881,CZ881,DC881)</f>
        <v>1</v>
      </c>
      <c r="CV881" s="16">
        <f>SUM(CY881,DB881,DE881)</f>
        <v>778.62595419847321</v>
      </c>
      <c r="CW881" s="16">
        <v>1</v>
      </c>
      <c r="CX881" s="16">
        <v>612</v>
      </c>
      <c r="CY881" s="16">
        <f>CX881/AS881</f>
        <v>778.62595419847321</v>
      </c>
      <c r="CZ881" s="16">
        <v>0</v>
      </c>
      <c r="DA881" s="16">
        <v>0</v>
      </c>
      <c r="DB881" s="16">
        <f>DA881/AS881</f>
        <v>0</v>
      </c>
      <c r="DC881" s="16">
        <v>0</v>
      </c>
      <c r="DD881" s="16">
        <v>0</v>
      </c>
      <c r="DE881" s="16">
        <f>DD881/AS881</f>
        <v>0</v>
      </c>
      <c r="DF881" s="16" t="e">
        <f>VLOOKUP(K881,'[3]RNA Seq summary tables'!$V$3:$V$99,1,FALSE)</f>
        <v>#N/A</v>
      </c>
      <c r="DI881" s="16">
        <v>38</v>
      </c>
      <c r="DK881" s="16">
        <v>61</v>
      </c>
      <c r="DM881" s="16">
        <v>1</v>
      </c>
      <c r="DO881" s="16">
        <v>0</v>
      </c>
      <c r="DQ881" s="16">
        <v>0</v>
      </c>
      <c r="DR881" s="16">
        <f>SUM(DI881:DQ881)</f>
        <v>100</v>
      </c>
      <c r="JP881" s="18"/>
      <c r="JQ881" s="18"/>
    </row>
    <row r="882" spans="1:288" x14ac:dyDescent="0.2">
      <c r="B882" s="16">
        <v>2017</v>
      </c>
      <c r="C882" s="66">
        <v>42889</v>
      </c>
      <c r="D882" s="66" t="str">
        <f>CONCATENATE(J882,"-",C882)</f>
        <v>1059-42889</v>
      </c>
      <c r="E882" s="20" t="str">
        <f>CONCATENATE(T882,"-",U882,"-",C882)</f>
        <v>SP1-C7-42889</v>
      </c>
      <c r="F882" s="20" t="s">
        <v>106</v>
      </c>
      <c r="G882" s="20" t="s">
        <v>107</v>
      </c>
      <c r="I882" s="16">
        <v>0</v>
      </c>
      <c r="J882" s="21">
        <v>1059</v>
      </c>
      <c r="K882" s="21">
        <v>1614</v>
      </c>
      <c r="L882" s="18">
        <v>0</v>
      </c>
      <c r="M882" s="21">
        <f>VLOOKUP($K882,'[4]blood tubes 2017'!$D$1:$L$647,8,FALSE)</f>
        <v>0</v>
      </c>
      <c r="N882" s="15">
        <v>0</v>
      </c>
      <c r="O882" s="15" t="s">
        <v>214</v>
      </c>
      <c r="P882" s="16" t="s">
        <v>110</v>
      </c>
      <c r="Q882" s="16">
        <v>0</v>
      </c>
      <c r="R882" s="16" t="s">
        <v>111</v>
      </c>
      <c r="T882" s="16" t="s">
        <v>140</v>
      </c>
      <c r="U882" s="16" t="s">
        <v>207</v>
      </c>
      <c r="V882" s="16" t="s">
        <v>114</v>
      </c>
      <c r="W882" s="16">
        <f>AI882/AG882</f>
        <v>0.80412371134020622</v>
      </c>
      <c r="X882" s="16" t="s">
        <v>121</v>
      </c>
      <c r="Y882" s="16" t="s">
        <v>110</v>
      </c>
      <c r="Z882" s="16">
        <v>3</v>
      </c>
      <c r="AA882" s="16" t="s">
        <v>161</v>
      </c>
      <c r="AB882" s="16" t="s">
        <v>116</v>
      </c>
      <c r="AC882" s="16" t="s">
        <v>123</v>
      </c>
      <c r="AD882" s="16" t="s">
        <v>116</v>
      </c>
      <c r="AG882" s="16">
        <f>AH882-AI882</f>
        <v>97</v>
      </c>
      <c r="AH882" s="16">
        <v>175</v>
      </c>
      <c r="AI882" s="16">
        <v>78</v>
      </c>
      <c r="AK882" s="16">
        <v>23.5</v>
      </c>
      <c r="AL882" s="16">
        <v>0</v>
      </c>
      <c r="AM882" s="16">
        <v>0</v>
      </c>
      <c r="AN882" s="16">
        <v>0</v>
      </c>
      <c r="AO882" s="16">
        <v>0</v>
      </c>
      <c r="AP882" s="16">
        <f>SUM(AL882:AN882)</f>
        <v>0</v>
      </c>
      <c r="AQ882" s="16">
        <v>2.1160000000000001</v>
      </c>
      <c r="AR882" s="16">
        <f>AP882-1.472</f>
        <v>-1.472</v>
      </c>
      <c r="AS882" s="16">
        <f>AQ882-1.472</f>
        <v>0.64400000000000013</v>
      </c>
      <c r="AT882" s="16" t="s">
        <v>119</v>
      </c>
      <c r="AW882" s="16">
        <f>IF(AX882&gt;0,1,0)</f>
        <v>1</v>
      </c>
      <c r="AX882" s="16">
        <f>SUM(BA882,BM882,CT882)</f>
        <v>3</v>
      </c>
      <c r="AY882" s="18">
        <f>SUM(BB882,BN882,CV882)</f>
        <v>180.12422360248445</v>
      </c>
      <c r="AZ882" s="16">
        <f>IF(BA882&gt;0,1,0)</f>
        <v>1</v>
      </c>
      <c r="BA882" s="16">
        <f>SUM(BC882,BF882,BI882)</f>
        <v>3</v>
      </c>
      <c r="BB882" s="16">
        <f>SUM(BE882,BH882,BK882)</f>
        <v>180.12422360248445</v>
      </c>
      <c r="BC882" s="16">
        <v>1</v>
      </c>
      <c r="BD882" s="16">
        <v>2</v>
      </c>
      <c r="BE882" s="16">
        <f>BD882/AS882</f>
        <v>3.1055900621118004</v>
      </c>
      <c r="BF882" s="16">
        <v>1</v>
      </c>
      <c r="BG882" s="77">
        <v>10</v>
      </c>
      <c r="BH882" s="16">
        <f>BG882/AS882</f>
        <v>15.527950310559003</v>
      </c>
      <c r="BI882" s="16">
        <v>1</v>
      </c>
      <c r="BJ882" s="16">
        <v>104</v>
      </c>
      <c r="BK882" s="16">
        <f>BJ882/AS882</f>
        <v>161.49068322981364</v>
      </c>
      <c r="BL882" s="16">
        <f>IF(BM882&gt;0,1,0)</f>
        <v>0</v>
      </c>
      <c r="BM882" s="16">
        <f>SUM(BR882,BU882,BX882,CA882,CD882,CG882,CJ882,CM882,CP882)</f>
        <v>0</v>
      </c>
      <c r="BN882" s="16">
        <f>SUM(BW882,BZ882,CC882,CF882,CI882,CL882,CO882,CR882,BT882)</f>
        <v>0</v>
      </c>
      <c r="BO882" s="16">
        <f>IF(BP882&gt;0,1,0)</f>
        <v>0</v>
      </c>
      <c r="BP882" s="16">
        <f>SUM(BU882,BX882,CA882,CD882,BR882)</f>
        <v>0</v>
      </c>
      <c r="BQ882" s="16">
        <f>SUM(BZ882,CC882,CF882,BT882,BW882)</f>
        <v>0</v>
      </c>
      <c r="BR882" s="16">
        <v>0</v>
      </c>
      <c r="BS882" s="16">
        <v>0</v>
      </c>
      <c r="BT882" s="77">
        <f>BS882/AS882</f>
        <v>0</v>
      </c>
      <c r="BU882" s="16">
        <v>0</v>
      </c>
      <c r="BV882" s="16">
        <v>0</v>
      </c>
      <c r="BW882" s="16">
        <f>BV882/AS882</f>
        <v>0</v>
      </c>
      <c r="BX882" s="16">
        <v>0</v>
      </c>
      <c r="BY882" s="16">
        <v>0</v>
      </c>
      <c r="BZ882" s="16">
        <f>BY882/AS882</f>
        <v>0</v>
      </c>
      <c r="CA882" s="16">
        <v>0</v>
      </c>
      <c r="CB882" s="16">
        <v>0</v>
      </c>
      <c r="CC882" s="16">
        <f>CB882/AS882</f>
        <v>0</v>
      </c>
      <c r="CD882" s="77">
        <v>0</v>
      </c>
      <c r="CE882" s="16">
        <v>0</v>
      </c>
      <c r="CF882" s="16">
        <f>CE882/AS882</f>
        <v>0</v>
      </c>
      <c r="CG882" s="16">
        <v>0</v>
      </c>
      <c r="CH882" s="16">
        <v>0</v>
      </c>
      <c r="CI882" s="16">
        <f>CH882/AS882</f>
        <v>0</v>
      </c>
      <c r="CM882" s="16">
        <v>0</v>
      </c>
      <c r="CN882" s="16">
        <v>0</v>
      </c>
      <c r="CO882" s="16">
        <f>CN882/AS882</f>
        <v>0</v>
      </c>
      <c r="CP882" s="16">
        <v>0</v>
      </c>
      <c r="CQ882" s="16">
        <v>0</v>
      </c>
      <c r="CR882" s="16">
        <f>CQ882/AS882</f>
        <v>0</v>
      </c>
      <c r="CS882" s="16">
        <f>IF(CT882&gt;0,1,0)</f>
        <v>0</v>
      </c>
      <c r="CT882" s="16">
        <f>SUM(CW882,CZ882,DC882)</f>
        <v>0</v>
      </c>
      <c r="CV882" s="16">
        <f>SUM(CY882,DB882,DE882)</f>
        <v>0</v>
      </c>
      <c r="CW882" s="16">
        <v>0</v>
      </c>
      <c r="CX882" s="16">
        <v>0</v>
      </c>
      <c r="CY882" s="16">
        <f>CX882/AS882</f>
        <v>0</v>
      </c>
      <c r="CZ882" s="16">
        <v>0</v>
      </c>
      <c r="DA882" s="16">
        <v>0</v>
      </c>
      <c r="DB882" s="16">
        <f>DA882/AS882</f>
        <v>0</v>
      </c>
      <c r="DC882" s="16">
        <v>0</v>
      </c>
      <c r="DD882" s="16">
        <v>0</v>
      </c>
      <c r="DE882" s="16">
        <f>DD882/AS882</f>
        <v>0</v>
      </c>
      <c r="DF882" s="16" t="e">
        <f>VLOOKUP(K882,'[3]RNA Seq summary tables'!$V$3:$V$99,1,FALSE)</f>
        <v>#N/A</v>
      </c>
      <c r="DG882" s="16">
        <v>1</v>
      </c>
      <c r="DH882" s="16" t="str">
        <f>VLOOKUP(D882,'[6]workflow 3.2018'!$A$1:$S$237,2,FALSE)</f>
        <v>2017MLBS_25</v>
      </c>
      <c r="DI882" s="16">
        <v>18</v>
      </c>
      <c r="DK882" s="16">
        <v>80</v>
      </c>
      <c r="DM882" s="16">
        <v>2</v>
      </c>
      <c r="DO882" s="16">
        <v>0</v>
      </c>
      <c r="DQ882" s="16">
        <v>0</v>
      </c>
      <c r="DR882" s="16">
        <v>100</v>
      </c>
    </row>
    <row r="883" spans="1:288" x14ac:dyDescent="0.2">
      <c r="B883" s="16">
        <v>2017</v>
      </c>
      <c r="C883" s="20">
        <v>42905</v>
      </c>
      <c r="D883" s="20" t="str">
        <f>CONCATENATE(J883,"-",C883)</f>
        <v>1059-42905</v>
      </c>
      <c r="E883" s="20" t="str">
        <f>CONCATENATE(T883,"-",U883,"-",C883)</f>
        <v>SP1-C7-42905</v>
      </c>
      <c r="F883" s="20" t="s">
        <v>106</v>
      </c>
      <c r="G883" s="20" t="s">
        <v>107</v>
      </c>
      <c r="I883" s="16">
        <v>0</v>
      </c>
      <c r="J883" s="21">
        <v>1059</v>
      </c>
      <c r="K883" s="21">
        <v>1692</v>
      </c>
      <c r="L883" s="18">
        <v>0</v>
      </c>
      <c r="M883" s="21">
        <f>VLOOKUP($K883,'[4]blood tubes 2017'!$D$1:$L$647,8,FALSE)</f>
        <v>0</v>
      </c>
      <c r="N883" s="15">
        <v>0</v>
      </c>
      <c r="O883" s="15" t="s">
        <v>214</v>
      </c>
      <c r="P883" s="16" t="s">
        <v>110</v>
      </c>
      <c r="Q883" s="16">
        <v>1</v>
      </c>
      <c r="R883" s="16">
        <v>16</v>
      </c>
      <c r="T883" s="16" t="s">
        <v>140</v>
      </c>
      <c r="U883" s="16" t="s">
        <v>207</v>
      </c>
      <c r="V883" s="16" t="s">
        <v>114</v>
      </c>
      <c r="W883" s="16">
        <f>AI883/AG883</f>
        <v>0.79591836734693877</v>
      </c>
      <c r="X883" s="16" t="s">
        <v>121</v>
      </c>
      <c r="Y883" s="16" t="s">
        <v>110</v>
      </c>
      <c r="Z883" s="16">
        <v>3</v>
      </c>
      <c r="AA883" s="16" t="s">
        <v>119</v>
      </c>
      <c r="AB883" s="16" t="s">
        <v>240</v>
      </c>
      <c r="AC883" s="16" t="s">
        <v>123</v>
      </c>
      <c r="AD883" s="16" t="s">
        <v>123</v>
      </c>
      <c r="AG883" s="16">
        <f>AH883-AI883</f>
        <v>98</v>
      </c>
      <c r="AH883" s="16">
        <v>176</v>
      </c>
      <c r="AI883" s="16">
        <v>78</v>
      </c>
      <c r="AK883" s="16">
        <v>27.5</v>
      </c>
      <c r="AL883" s="16">
        <v>0</v>
      </c>
      <c r="AM883" s="16">
        <v>0</v>
      </c>
      <c r="AN883" s="16">
        <v>0</v>
      </c>
      <c r="AO883" s="16">
        <v>0</v>
      </c>
      <c r="AP883" s="16">
        <f>SUM(AL883:AN883)</f>
        <v>0</v>
      </c>
      <c r="AQ883" s="16">
        <v>2.4630000000000001</v>
      </c>
      <c r="AR883" s="16">
        <f>AP883-1.472</f>
        <v>-1.472</v>
      </c>
      <c r="AS883" s="16">
        <f>AQ883-1.472</f>
        <v>0.9910000000000001</v>
      </c>
      <c r="AT883" s="16" t="s">
        <v>233</v>
      </c>
      <c r="AW883" s="16">
        <f>IF(AX883&gt;0,1,0)</f>
        <v>1</v>
      </c>
      <c r="AX883" s="16">
        <f>SUM(BA883,BM883,CT883)</f>
        <v>1</v>
      </c>
      <c r="AY883" s="18">
        <f>SUM(BB883,BN883,CV883)</f>
        <v>10319.878910191725</v>
      </c>
      <c r="AZ883" s="16">
        <f>IF(BA883&gt;0,1,0)</f>
        <v>1</v>
      </c>
      <c r="BA883" s="16">
        <f>SUM(BC883,BF883,BI883)</f>
        <v>1</v>
      </c>
      <c r="BB883" s="16">
        <f>SUM(BE883,BH883,BK883)</f>
        <v>10319.878910191725</v>
      </c>
      <c r="BC883" s="16">
        <v>0</v>
      </c>
      <c r="BD883" s="16">
        <v>0</v>
      </c>
      <c r="BE883" s="16">
        <f>BD883/AS883</f>
        <v>0</v>
      </c>
      <c r="BF883" s="16">
        <v>1</v>
      </c>
      <c r="BG883" s="77">
        <v>10227</v>
      </c>
      <c r="BH883" s="16">
        <f>BG883/AS883</f>
        <v>10319.878910191725</v>
      </c>
      <c r="BI883" s="16">
        <v>0</v>
      </c>
      <c r="BJ883" s="16">
        <v>0</v>
      </c>
      <c r="BK883" s="16">
        <f>BJ883/AS883</f>
        <v>0</v>
      </c>
      <c r="BL883" s="16">
        <f>IF(BM883&gt;0,1,0)</f>
        <v>0</v>
      </c>
      <c r="BM883" s="16">
        <f>SUM(BR883,BU883,BX883,CA883,CD883,CG883,CJ883,CM883,CP883)</f>
        <v>0</v>
      </c>
      <c r="BN883" s="16">
        <f>SUM(BW883,BZ883,CC883,CF883,CI883,CL883,CO883,CR883,BT883)</f>
        <v>0</v>
      </c>
      <c r="BO883" s="16">
        <f>IF(BP883&gt;0,1,0)</f>
        <v>0</v>
      </c>
      <c r="BP883" s="16">
        <f>SUM(BU883,BX883,CA883,CD883,BR883)</f>
        <v>0</v>
      </c>
      <c r="BQ883" s="16">
        <f>SUM(BZ883,CC883,CF883,BT883,BW883)</f>
        <v>0</v>
      </c>
      <c r="BR883" s="16">
        <v>0</v>
      </c>
      <c r="BS883" s="16">
        <v>0</v>
      </c>
      <c r="BT883" s="77">
        <f>BS883/AS883</f>
        <v>0</v>
      </c>
      <c r="BU883" s="16">
        <v>0</v>
      </c>
      <c r="BV883" s="16">
        <v>0</v>
      </c>
      <c r="BW883" s="16">
        <f>BV883/AS883</f>
        <v>0</v>
      </c>
      <c r="BX883" s="16">
        <v>0</v>
      </c>
      <c r="BY883" s="16">
        <v>0</v>
      </c>
      <c r="BZ883" s="16">
        <f>BY883/AS883</f>
        <v>0</v>
      </c>
      <c r="CA883" s="16">
        <v>0</v>
      </c>
      <c r="CB883" s="16">
        <v>0</v>
      </c>
      <c r="CC883" s="16">
        <f>CB883/AS883</f>
        <v>0</v>
      </c>
      <c r="CD883" s="77">
        <v>0</v>
      </c>
      <c r="CE883" s="16">
        <v>0</v>
      </c>
      <c r="CF883" s="16">
        <f>CE883/AS883</f>
        <v>0</v>
      </c>
      <c r="CG883" s="16">
        <v>0</v>
      </c>
      <c r="CH883" s="16">
        <v>0</v>
      </c>
      <c r="CI883" s="16">
        <f>CH883/AS883</f>
        <v>0</v>
      </c>
      <c r="CM883" s="16">
        <v>0</v>
      </c>
      <c r="CN883" s="16">
        <v>0</v>
      </c>
      <c r="CO883" s="16">
        <f>CN883/AS883</f>
        <v>0</v>
      </c>
      <c r="CP883" s="16">
        <v>0</v>
      </c>
      <c r="CQ883" s="16">
        <v>0</v>
      </c>
      <c r="CR883" s="16">
        <f>CQ883/AS883</f>
        <v>0</v>
      </c>
      <c r="CS883" s="16">
        <f>IF(CT883&gt;0,1,0)</f>
        <v>0</v>
      </c>
      <c r="CT883" s="16">
        <f>SUM(CW883,CZ883,DC883)</f>
        <v>0</v>
      </c>
      <c r="CV883" s="16">
        <f>SUM(CY883,DB883,DE883)</f>
        <v>0</v>
      </c>
      <c r="CW883" s="16">
        <v>0</v>
      </c>
      <c r="CX883" s="16">
        <v>0</v>
      </c>
      <c r="CY883" s="16">
        <f>CX883/AS883</f>
        <v>0</v>
      </c>
      <c r="CZ883" s="16">
        <v>0</v>
      </c>
      <c r="DA883" s="16">
        <v>0</v>
      </c>
      <c r="DB883" s="16">
        <f>DA883/AS883</f>
        <v>0</v>
      </c>
      <c r="DC883" s="16">
        <v>0</v>
      </c>
      <c r="DD883" s="16">
        <v>0</v>
      </c>
      <c r="DE883" s="16">
        <f>DD883/AS883</f>
        <v>0</v>
      </c>
      <c r="DF883" s="16" t="e">
        <f>VLOOKUP(K883,'[3]RNA Seq summary tables'!$V$3:$V$99,1,FALSE)</f>
        <v>#N/A</v>
      </c>
      <c r="DI883" s="16">
        <v>24</v>
      </c>
      <c r="DK883" s="16">
        <v>74</v>
      </c>
      <c r="DM883" s="16">
        <v>2</v>
      </c>
      <c r="DO883" s="16">
        <v>0</v>
      </c>
      <c r="DQ883" s="16">
        <v>0</v>
      </c>
      <c r="DR883" s="16">
        <f>SUM(DI883:DQ883)</f>
        <v>100</v>
      </c>
      <c r="JO883" s="18"/>
    </row>
    <row r="884" spans="1:288" x14ac:dyDescent="0.2">
      <c r="B884" s="16">
        <v>2017</v>
      </c>
      <c r="C884" s="20">
        <v>42923</v>
      </c>
      <c r="D884" s="20" t="str">
        <f>CONCATENATE(J884,"-",C884)</f>
        <v>1059-42923</v>
      </c>
      <c r="E884" s="20" t="str">
        <f>CONCATENATE(T884,"-",U884,"-",C884)</f>
        <v>SP1-A3-42923</v>
      </c>
      <c r="F884" s="20" t="s">
        <v>106</v>
      </c>
      <c r="G884" s="20" t="s">
        <v>107</v>
      </c>
      <c r="I884" s="16">
        <v>0</v>
      </c>
      <c r="J884" s="21">
        <v>1059</v>
      </c>
      <c r="K884" s="21">
        <v>1836</v>
      </c>
      <c r="L884" s="18">
        <v>0</v>
      </c>
      <c r="M884" s="21">
        <f>VLOOKUP($K884,'[4]blood tubes 2017'!$D$1:$L$647,8,FALSE)</f>
        <v>0</v>
      </c>
      <c r="N884" s="15">
        <v>0</v>
      </c>
      <c r="O884" s="15" t="s">
        <v>214</v>
      </c>
      <c r="P884" s="16" t="s">
        <v>110</v>
      </c>
      <c r="Q884" s="16">
        <v>1</v>
      </c>
      <c r="R884" s="16">
        <v>18</v>
      </c>
      <c r="T884" s="16" t="s">
        <v>140</v>
      </c>
      <c r="U884" s="16" t="s">
        <v>201</v>
      </c>
      <c r="V884" s="16" t="s">
        <v>114</v>
      </c>
      <c r="W884" s="16">
        <f>AI884/AG884</f>
        <v>0.86021505376344087</v>
      </c>
      <c r="X884" s="16" t="s">
        <v>121</v>
      </c>
      <c r="Y884" s="16" t="s">
        <v>110</v>
      </c>
      <c r="Z884" s="16">
        <v>3</v>
      </c>
      <c r="AA884" s="16" t="s">
        <v>161</v>
      </c>
      <c r="AB884" s="16" t="s">
        <v>239</v>
      </c>
      <c r="AC884" s="16" t="s">
        <v>123</v>
      </c>
      <c r="AD884" s="16" t="s">
        <v>116</v>
      </c>
      <c r="AG884" s="16">
        <f>AH884-AI884</f>
        <v>93</v>
      </c>
      <c r="AH884" s="16">
        <v>173</v>
      </c>
      <c r="AI884" s="16">
        <v>80</v>
      </c>
      <c r="AK884" s="16">
        <v>26</v>
      </c>
      <c r="AL884" s="16">
        <v>0</v>
      </c>
      <c r="AM884" s="16">
        <v>0</v>
      </c>
      <c r="AN884" s="16">
        <v>0</v>
      </c>
      <c r="AO884" s="16">
        <v>0</v>
      </c>
      <c r="AP884" s="16">
        <f>SUM(AL884:AN884)</f>
        <v>0</v>
      </c>
      <c r="AQ884" s="16">
        <v>2.68</v>
      </c>
      <c r="AR884" s="16">
        <f>AP884-1.472</f>
        <v>-1.472</v>
      </c>
      <c r="AS884" s="16">
        <f>AQ884-1.472</f>
        <v>1.2080000000000002</v>
      </c>
      <c r="AT884" s="18" t="s">
        <v>119</v>
      </c>
      <c r="AU884" s="18"/>
      <c r="AV884" s="18">
        <v>1</v>
      </c>
      <c r="AW884" s="18">
        <f>IF(AX884&gt;0,1,0)</f>
        <v>0</v>
      </c>
      <c r="AX884" s="18">
        <f>SUM(BA884,BM884,CT884)</f>
        <v>0</v>
      </c>
      <c r="AY884" s="18">
        <f>SUM(BB884,BN884,CV884)</f>
        <v>0</v>
      </c>
      <c r="AZ884" s="18"/>
      <c r="BA884" s="18"/>
      <c r="BB884" s="18">
        <f>SUM(BE884,BH884,BK884)</f>
        <v>0</v>
      </c>
      <c r="BC884" s="18">
        <v>0</v>
      </c>
      <c r="BD884" s="18">
        <v>0</v>
      </c>
      <c r="BE884" s="18">
        <f>BD884/AS884</f>
        <v>0</v>
      </c>
      <c r="BF884" s="18">
        <v>0</v>
      </c>
      <c r="BG884" s="78">
        <v>0</v>
      </c>
      <c r="BH884" s="18">
        <f>BG884/AS884</f>
        <v>0</v>
      </c>
      <c r="BI884" s="18">
        <v>0</v>
      </c>
      <c r="BJ884" s="18">
        <v>0</v>
      </c>
      <c r="BK884" s="18">
        <f>BJ884/AS884</f>
        <v>0</v>
      </c>
      <c r="BL884" s="18">
        <f>IF(BM884&gt;0,1,0)</f>
        <v>0</v>
      </c>
      <c r="BM884" s="18">
        <f>SUM(BR884,BU884,BX884,CA884,CD884,CG884,CJ884,CM884,CP884)</f>
        <v>0</v>
      </c>
      <c r="BN884" s="18">
        <f>SUM(BW884,BZ884,CC884,CF884,CI884,CL884,CO884,CR884,BT884)</f>
        <v>0</v>
      </c>
      <c r="BO884" s="18">
        <f>IF(BP884&gt;0,1,0)</f>
        <v>0</v>
      </c>
      <c r="BP884" s="18">
        <f>SUM(BU884,BX884,CA884,CD884,BR884)</f>
        <v>0</v>
      </c>
      <c r="BQ884" s="18">
        <f>SUM(BZ884,CC884,CF884,BT884,BW884)</f>
        <v>0</v>
      </c>
      <c r="BR884" s="18">
        <v>0</v>
      </c>
      <c r="BS884" s="18">
        <v>0</v>
      </c>
      <c r="BT884" s="78">
        <f>BS884/AS884</f>
        <v>0</v>
      </c>
      <c r="BU884" s="18">
        <v>0</v>
      </c>
      <c r="BV884" s="18">
        <v>0</v>
      </c>
      <c r="BW884" s="18">
        <f>BV884/AS884</f>
        <v>0</v>
      </c>
      <c r="BX884" s="18">
        <v>0</v>
      </c>
      <c r="BY884" s="18">
        <v>0</v>
      </c>
      <c r="BZ884" s="18">
        <f>BY884/AS884</f>
        <v>0</v>
      </c>
      <c r="CA884" s="18">
        <v>0</v>
      </c>
      <c r="CB884" s="18">
        <v>0</v>
      </c>
      <c r="CC884" s="18">
        <f>CB884/AS884</f>
        <v>0</v>
      </c>
      <c r="CD884" s="78">
        <v>0</v>
      </c>
      <c r="CE884" s="18">
        <v>0</v>
      </c>
      <c r="CF884" s="18">
        <f>CE884/AS884</f>
        <v>0</v>
      </c>
      <c r="CG884" s="18">
        <v>0</v>
      </c>
      <c r="CH884" s="18">
        <v>0</v>
      </c>
      <c r="CI884" s="18">
        <f>CH884/AS884</f>
        <v>0</v>
      </c>
      <c r="CJ884" s="18"/>
      <c r="CK884" s="18"/>
      <c r="CL884" s="18"/>
      <c r="CM884" s="18">
        <v>0</v>
      </c>
      <c r="CN884" s="18">
        <v>0</v>
      </c>
      <c r="CO884" s="18">
        <f>CN884/AS884</f>
        <v>0</v>
      </c>
      <c r="CP884" s="18">
        <v>0</v>
      </c>
      <c r="CQ884" s="18">
        <v>0</v>
      </c>
      <c r="CR884" s="18">
        <f>CQ884/AS884</f>
        <v>0</v>
      </c>
      <c r="CS884" s="18">
        <v>0</v>
      </c>
      <c r="CT884" s="18">
        <v>0</v>
      </c>
      <c r="CU884" s="18"/>
      <c r="CV884" s="18">
        <f>SUM(CY884,DB884,DE884)</f>
        <v>0</v>
      </c>
      <c r="CW884" s="18">
        <v>0</v>
      </c>
      <c r="CX884" s="18">
        <v>0</v>
      </c>
      <c r="CY884" s="18">
        <f>CX884/AS884</f>
        <v>0</v>
      </c>
      <c r="CZ884" s="18">
        <v>0</v>
      </c>
      <c r="DA884" s="18">
        <v>0</v>
      </c>
      <c r="DB884" s="18">
        <f>DA884/AS884</f>
        <v>0</v>
      </c>
      <c r="DC884" s="18">
        <v>0</v>
      </c>
      <c r="DD884" s="18">
        <v>0</v>
      </c>
      <c r="DE884" s="18">
        <f>DD884/AS884</f>
        <v>0</v>
      </c>
      <c r="DF884" s="16" t="e">
        <f>VLOOKUP(K884,'[3]RNA Seq summary tables'!$V$3:$V$99,1,FALSE)</f>
        <v>#N/A</v>
      </c>
      <c r="DI884" s="18">
        <v>47</v>
      </c>
      <c r="DJ884" s="18"/>
      <c r="DK884" s="18">
        <v>45</v>
      </c>
      <c r="DL884" s="18"/>
      <c r="DM884" s="18">
        <v>8</v>
      </c>
      <c r="DN884" s="18"/>
      <c r="DO884" s="18">
        <v>0</v>
      </c>
      <c r="DP884" s="18"/>
      <c r="DQ884" s="18">
        <v>0</v>
      </c>
      <c r="DR884" s="18">
        <f>SUM(DI884:DQ884)</f>
        <v>100</v>
      </c>
      <c r="DS884" s="18"/>
      <c r="JR884" s="27"/>
      <c r="JS884" s="27"/>
      <c r="JT884" s="27"/>
      <c r="JU884" s="27"/>
      <c r="JV884" s="27"/>
      <c r="JW884" s="27"/>
      <c r="JX884" s="27"/>
      <c r="JY884" s="27"/>
      <c r="JZ884" s="27"/>
      <c r="KA884" s="27"/>
      <c r="KB884" s="27"/>
    </row>
    <row r="885" spans="1:288" ht="16" x14ac:dyDescent="0.2">
      <c r="B885" s="16">
        <v>2017</v>
      </c>
      <c r="C885" s="20">
        <v>42940</v>
      </c>
      <c r="D885" s="20" t="str">
        <f>CONCATENATE(J885,"-",C885)</f>
        <v>1059-42940</v>
      </c>
      <c r="E885" s="37" t="str">
        <f>CONCATENATE(T885,"-",U885,"-",C885)</f>
        <v>SP1-B5-42940</v>
      </c>
      <c r="F885" s="20" t="s">
        <v>106</v>
      </c>
      <c r="G885" s="20" t="s">
        <v>107</v>
      </c>
      <c r="J885" s="21">
        <v>1059</v>
      </c>
      <c r="K885" s="21">
        <v>1976</v>
      </c>
      <c r="L885" s="18">
        <v>0</v>
      </c>
      <c r="M885" s="21">
        <f>VLOOKUP($K885,'[4]blood tubes 2017'!$D$1:$L$647,8,FALSE)</f>
        <v>0</v>
      </c>
      <c r="N885" s="15">
        <v>0</v>
      </c>
      <c r="O885" s="15" t="s">
        <v>214</v>
      </c>
      <c r="P885" s="16" t="s">
        <v>110</v>
      </c>
      <c r="Q885" s="16">
        <v>1</v>
      </c>
      <c r="R885" s="16">
        <v>17</v>
      </c>
      <c r="T885" s="16" t="s">
        <v>140</v>
      </c>
      <c r="U885" s="16" t="s">
        <v>160</v>
      </c>
      <c r="V885" s="16" t="s">
        <v>114</v>
      </c>
      <c r="W885" s="16">
        <f>AI885/AG885</f>
        <v>0.88043478260869568</v>
      </c>
      <c r="X885" s="16" t="s">
        <v>121</v>
      </c>
      <c r="Y885" s="16" t="s">
        <v>110</v>
      </c>
      <c r="Z885" s="16">
        <v>3</v>
      </c>
      <c r="AA885" s="16" t="s">
        <v>161</v>
      </c>
      <c r="AB885" s="16" t="s">
        <v>239</v>
      </c>
      <c r="AC885" s="16" t="s">
        <v>123</v>
      </c>
      <c r="AD885" s="16" t="s">
        <v>116</v>
      </c>
      <c r="AG885" s="16">
        <f>AH885-AI885</f>
        <v>92</v>
      </c>
      <c r="AH885" s="16">
        <v>173</v>
      </c>
      <c r="AI885" s="16">
        <v>81</v>
      </c>
      <c r="AK885" s="16">
        <v>29</v>
      </c>
      <c r="AL885" s="16">
        <v>0</v>
      </c>
      <c r="AM885" s="16">
        <v>0</v>
      </c>
      <c r="AN885" s="16">
        <v>0</v>
      </c>
      <c r="AO885" s="16">
        <v>0</v>
      </c>
      <c r="AP885" s="16">
        <f>SUM(AL885:AN885)</f>
        <v>0</v>
      </c>
      <c r="AQ885" s="16">
        <v>2.589</v>
      </c>
      <c r="AR885" s="16">
        <f>AP885-1.472</f>
        <v>-1.472</v>
      </c>
      <c r="AS885" s="16">
        <f>AQ885-1.472</f>
        <v>1.117</v>
      </c>
      <c r="AT885" s="16" t="str">
        <f>VLOOKUP(E885,[2]Current!$A$1:$W$435,7,FALSE)</f>
        <v>TE</v>
      </c>
      <c r="AU885" s="16" t="s">
        <v>1288</v>
      </c>
      <c r="AV885" s="23">
        <v>1</v>
      </c>
      <c r="AW885" s="128">
        <f>IF(AX885&gt;0,1,0)</f>
        <v>0</v>
      </c>
      <c r="AX885" s="128">
        <f>SUM(BA885,BM885,CU885)</f>
        <v>0</v>
      </c>
      <c r="AY885" s="128">
        <f>SUM(BB885,BN885,CV885)</f>
        <v>0</v>
      </c>
      <c r="AZ885" s="128">
        <f>IF(BA885&gt;0,1,0)</f>
        <v>0</v>
      </c>
      <c r="BA885" s="128">
        <f>SUM(BC885+BF885+BI885)</f>
        <v>0</v>
      </c>
      <c r="BB885" s="128">
        <f>SUM(BE885,BH885,BK885)</f>
        <v>0</v>
      </c>
      <c r="BC885" s="130">
        <f>IF(BD885&gt;0,1,0)</f>
        <v>0</v>
      </c>
      <c r="BD885" s="128">
        <f>VLOOKUP($E885,[2]Current!$A:$AC,26,FALSE)</f>
        <v>0</v>
      </c>
      <c r="BE885" s="128">
        <f>BD885/$AS885</f>
        <v>0</v>
      </c>
      <c r="BF885" s="130">
        <f>IF(BG885&gt;0,1,0)</f>
        <v>0</v>
      </c>
      <c r="BG885" s="137">
        <f>VLOOKUP($E885,[2]Current!$A:$AC,27,FALSE)</f>
        <v>0</v>
      </c>
      <c r="BH885" s="128">
        <f>BG885/$AS885</f>
        <v>0</v>
      </c>
      <c r="BI885" s="130">
        <f>IF(BJ885&gt;0,1,0)</f>
        <v>0</v>
      </c>
      <c r="BJ885" s="128">
        <f>VLOOKUP($E885,[2]Current!$A:$AC,28,FALSE)</f>
        <v>0</v>
      </c>
      <c r="BK885" s="128">
        <f>BJ885/$AS885</f>
        <v>0</v>
      </c>
      <c r="BL885" s="128">
        <f>IF(BM885&gt;0,1,0)</f>
        <v>0</v>
      </c>
      <c r="BM885" s="128">
        <f>SUM(BR885,BU885,BX885,CA885,CD885)</f>
        <v>0</v>
      </c>
      <c r="BN885" s="131">
        <f>SUM(BT885,BW885,BZ885,CC885,CF885)</f>
        <v>0</v>
      </c>
      <c r="BO885" s="128">
        <f>IF(BP885&gt;0,1,0)</f>
        <v>0</v>
      </c>
      <c r="BP885" s="128">
        <f>BM885+CJ885</f>
        <v>0</v>
      </c>
      <c r="BQ885" s="128">
        <f>BN885+CL885</f>
        <v>0</v>
      </c>
      <c r="BR885" s="130">
        <f>IF(BS885&gt;0,1,0)</f>
        <v>0</v>
      </c>
      <c r="BS885" s="128">
        <f>VLOOKUP($E885,[2]Current!$A:$AC,12,FALSE)</f>
        <v>0</v>
      </c>
      <c r="BT885" s="137">
        <f>BS885/$AS885</f>
        <v>0</v>
      </c>
      <c r="BU885" s="130">
        <f>IF(BV885&gt;0,1,0)</f>
        <v>0</v>
      </c>
      <c r="BV885" s="128">
        <f>VLOOKUP($E885,[2]Current!$A:$AC,13,FALSE)</f>
        <v>0</v>
      </c>
      <c r="BW885" s="128">
        <f>BV885/$AS885</f>
        <v>0</v>
      </c>
      <c r="BX885" s="130">
        <f>IF(BY885&gt;0,1,0)</f>
        <v>0</v>
      </c>
      <c r="BY885" s="128">
        <f>VLOOKUP($E885,[2]Current!$A:$AC,14,FALSE)</f>
        <v>0</v>
      </c>
      <c r="BZ885" s="128">
        <f>BY885/$AS885</f>
        <v>0</v>
      </c>
      <c r="CA885" s="130">
        <f>IF(CB885&gt;0,1,0)</f>
        <v>0</v>
      </c>
      <c r="CB885" s="128">
        <f>VLOOKUP($E885,[2]Current!$A:$AC,15,FALSE)</f>
        <v>0</v>
      </c>
      <c r="CC885" s="128">
        <f>CB885/$AS885</f>
        <v>0</v>
      </c>
      <c r="CD885" s="174">
        <f>IF(CE885&gt;0,1,0)</f>
        <v>0</v>
      </c>
      <c r="CE885" s="128">
        <f>VLOOKUP($E885,[2]Current!$A:$AC,16,FALSE)</f>
        <v>0</v>
      </c>
      <c r="CF885" s="128">
        <f>CE885/$AS885</f>
        <v>0</v>
      </c>
      <c r="CG885" s="18"/>
      <c r="CH885" s="18"/>
      <c r="CI885" s="18"/>
      <c r="CJ885" s="130">
        <f>IF(CK885&gt;0,1,0)</f>
        <v>0</v>
      </c>
      <c r="CK885" s="128">
        <f>VLOOKUP($E885,[2]Current!$A:$AC,18,FALSE)</f>
        <v>0</v>
      </c>
      <c r="CL885" s="128">
        <f>CK885/$AS885</f>
        <v>0</v>
      </c>
      <c r="CS885" s="130">
        <f>IF(CU885&gt;0,1,0)</f>
        <v>0</v>
      </c>
      <c r="CT885" s="18"/>
      <c r="CU885" s="128">
        <f>VLOOKUP($E885,[2]Current!$A:$AC,17,FALSE)</f>
        <v>0</v>
      </c>
      <c r="CV885" s="128">
        <f>CU885/$AS885</f>
        <v>0</v>
      </c>
      <c r="CW885" s="18"/>
      <c r="CX885" s="18"/>
      <c r="CY885" s="18"/>
      <c r="DF885" s="16" t="e">
        <f>VLOOKUP(K885,'[3]RNA Seq summary tables'!$V$3:$V$99,1,FALSE)</f>
        <v>#N/A</v>
      </c>
    </row>
    <row r="886" spans="1:288" x14ac:dyDescent="0.2">
      <c r="B886" s="16">
        <v>2017</v>
      </c>
      <c r="C886" s="20">
        <v>42957</v>
      </c>
      <c r="D886" s="20" t="str">
        <f>CONCATENATE(J886,"-",C886)</f>
        <v>1059-42957</v>
      </c>
      <c r="E886" s="20" t="str">
        <f>CONCATENATE(T886,"-",U886,"-",C886)</f>
        <v>SP1-A3-42957</v>
      </c>
      <c r="F886" s="20" t="s">
        <v>106</v>
      </c>
      <c r="G886" s="20" t="s">
        <v>107</v>
      </c>
      <c r="I886" s="16">
        <v>0</v>
      </c>
      <c r="J886" s="21">
        <v>1059</v>
      </c>
      <c r="K886" s="21">
        <v>2105</v>
      </c>
      <c r="L886" s="18">
        <v>0</v>
      </c>
      <c r="M886" s="21">
        <f>VLOOKUP($K886,'[4]blood tubes 2017'!$D$1:$L$647,8,FALSE)</f>
        <v>0</v>
      </c>
      <c r="N886" s="15">
        <v>0</v>
      </c>
      <c r="O886" s="15" t="s">
        <v>214</v>
      </c>
      <c r="P886" s="16" t="s">
        <v>110</v>
      </c>
      <c r="Q886" s="16">
        <v>1</v>
      </c>
      <c r="R886" s="16">
        <v>17</v>
      </c>
      <c r="T886" s="16" t="s">
        <v>140</v>
      </c>
      <c r="U886" s="16" t="s">
        <v>201</v>
      </c>
      <c r="V886" s="16" t="s">
        <v>114</v>
      </c>
      <c r="W886" s="16">
        <f>AI886/AG886</f>
        <v>0.85106382978723405</v>
      </c>
      <c r="X886" s="16" t="s">
        <v>121</v>
      </c>
      <c r="Y886" s="16" t="s">
        <v>110</v>
      </c>
      <c r="Z886" s="16">
        <v>3</v>
      </c>
      <c r="AA886" s="16" t="s">
        <v>119</v>
      </c>
      <c r="AB886" s="16" t="s">
        <v>240</v>
      </c>
      <c r="AC886" s="16" t="s">
        <v>123</v>
      </c>
      <c r="AD886" s="16" t="s">
        <v>123</v>
      </c>
      <c r="AG886" s="16">
        <f>AH886-AI886</f>
        <v>94</v>
      </c>
      <c r="AH886" s="16">
        <v>174</v>
      </c>
      <c r="AI886" s="16">
        <v>80</v>
      </c>
      <c r="AK886" s="16">
        <v>28</v>
      </c>
      <c r="AL886" s="16">
        <v>0</v>
      </c>
      <c r="AM886" s="16">
        <v>0</v>
      </c>
      <c r="AN886" s="16">
        <v>0</v>
      </c>
      <c r="AO886" s="16">
        <v>0</v>
      </c>
      <c r="AP886" s="16">
        <f>SUM(AL886:AN886)</f>
        <v>0</v>
      </c>
      <c r="AQ886" s="16">
        <v>2.056</v>
      </c>
      <c r="AR886" s="16">
        <f>AP886-1.472</f>
        <v>-1.472</v>
      </c>
      <c r="AS886" s="16">
        <f>AQ886-1.472</f>
        <v>0.58400000000000007</v>
      </c>
      <c r="AT886" s="16" t="str">
        <f>VLOOKUP(K886,'[5]FECs - good data'!$C$1:$P$575,13,FALSE)</f>
        <v>SB</v>
      </c>
      <c r="AW886" s="18">
        <f>IF(AX886&gt;0,1,0)</f>
        <v>1</v>
      </c>
      <c r="AX886" s="18">
        <f>SUM(BA886,BM886,CT886)</f>
        <v>1</v>
      </c>
      <c r="AY886" s="18">
        <f>SUM(BB886,BN886,CV886)</f>
        <v>1.7123287671232874</v>
      </c>
      <c r="AZ886" s="18">
        <f>IF(BA886&gt;0,1,0)</f>
        <v>0</v>
      </c>
      <c r="BA886" s="18">
        <f>SUM(BC886,BF886,BI886)</f>
        <v>0</v>
      </c>
      <c r="BB886" s="18">
        <f>SUM(BE886,BH886,BK886)</f>
        <v>0</v>
      </c>
      <c r="BC886" s="18">
        <f>IF(BD886&gt;0,1,0)</f>
        <v>0</v>
      </c>
      <c r="BD886" s="18">
        <f>VLOOKUP($K886,'[5]FECs - good data'!$C$1:$Z$574,14,FALSE)</f>
        <v>0</v>
      </c>
      <c r="BE886" s="16">
        <f>BD886/AS886</f>
        <v>0</v>
      </c>
      <c r="BF886" s="16">
        <f>IF(BG886&gt;0,1,0)</f>
        <v>0</v>
      </c>
      <c r="BG886" s="77">
        <f>VLOOKUP($K886,'[5]FECs - good data'!$C$1:$Z$574,15,FALSE)</f>
        <v>0</v>
      </c>
      <c r="BH886" s="16">
        <f>BG886/AS886</f>
        <v>0</v>
      </c>
      <c r="BI886" s="16">
        <f>IF(BJ886&gt;0,1,0)</f>
        <v>0</v>
      </c>
      <c r="BJ886" s="16">
        <f>VLOOKUP($K886,'[5]FECs - good data'!$C$1:$Z$574,16,FALSE)</f>
        <v>0</v>
      </c>
      <c r="BK886" s="16">
        <f>BJ886/AS886</f>
        <v>0</v>
      </c>
      <c r="BL886" s="16">
        <f>IF(BM886&gt;0,1,0)</f>
        <v>1</v>
      </c>
      <c r="BM886" s="16">
        <f>SUM(BR886,BU886,BX886,CA886,CD886,CG886,CJ886,CM886,CP886)</f>
        <v>1</v>
      </c>
      <c r="BN886" s="16">
        <f>SUM(BW886,BZ886,CC886,CF886,CI886,CL886,CO886,CR886,BT886)</f>
        <v>1.7123287671232874</v>
      </c>
      <c r="BO886" s="16">
        <f>IF(BP886&gt;0,1,0)</f>
        <v>1</v>
      </c>
      <c r="BP886" s="16">
        <f>SUM(BU886,BX886,CA886,CD886,BR886)</f>
        <v>1</v>
      </c>
      <c r="BQ886" s="16">
        <f>SUM(BZ886,CC886,CF886,BT886,BW886)</f>
        <v>1.7123287671232874</v>
      </c>
      <c r="BR886" s="16">
        <f>IF(BS886&gt;0,1,0)</f>
        <v>0</v>
      </c>
      <c r="BS886" s="16">
        <f>VLOOKUP($K886,'[5]FECs - good data'!$C$1:$Z$574,17,FALSE)</f>
        <v>0</v>
      </c>
      <c r="BT886" s="77">
        <f>BS886/AS886</f>
        <v>0</v>
      </c>
      <c r="BU886" s="16">
        <f>IF(BV886&gt;0,1,0)</f>
        <v>0</v>
      </c>
      <c r="BV886" s="16">
        <f>VLOOKUP($K886,'[5]FECs - good data'!$C$1:$Z$574,18,FALSE)</f>
        <v>0</v>
      </c>
      <c r="BW886" s="16">
        <f>BV886/AS886</f>
        <v>0</v>
      </c>
      <c r="BX886" s="16">
        <f>IF(BY886&gt;0,1,0)</f>
        <v>0</v>
      </c>
      <c r="BY886" s="16">
        <f>VLOOKUP($K886,'[5]FECs - good data'!$C$1:$Z$574,19,FALSE)</f>
        <v>0</v>
      </c>
      <c r="BZ886" s="16">
        <f>BY886/AS886</f>
        <v>0</v>
      </c>
      <c r="CA886" s="16">
        <f>IF(CB886&gt;0,1,0)</f>
        <v>0</v>
      </c>
      <c r="CB886" s="16">
        <f>VLOOKUP($K886,'[5]FECs - good data'!$C$1:$Z$574,20,FALSE)</f>
        <v>0</v>
      </c>
      <c r="CC886" s="16">
        <f>CB886/AS886</f>
        <v>0</v>
      </c>
      <c r="CD886" s="77">
        <f>IF(CE886&gt;0,1,0)</f>
        <v>1</v>
      </c>
      <c r="CE886" s="16">
        <f>VLOOKUP($K886,'[5]FECs - good data'!$C$1:$Z$574,21,FALSE)</f>
        <v>1</v>
      </c>
      <c r="CF886" s="16">
        <f>CE886/AS886</f>
        <v>1.7123287671232874</v>
      </c>
      <c r="CG886" s="16">
        <f>IF(CH886&gt;0,1,0)</f>
        <v>0</v>
      </c>
      <c r="CH886" s="16">
        <f>VLOOKUP($K886,'[5]FECs - good data'!$C$1:$Z$574,22,FALSE)</f>
        <v>0</v>
      </c>
      <c r="CI886" s="16">
        <f>CH886/AS886</f>
        <v>0</v>
      </c>
      <c r="CJ886" s="16">
        <f>IF(CK886&gt;0,1,0)</f>
        <v>0</v>
      </c>
      <c r="CK886" s="16">
        <f>VLOOKUP($K886,'[5]FECs - good data'!$C$1:$Z$674,24,FALSE)</f>
        <v>0</v>
      </c>
      <c r="CL886" s="16">
        <f>CK886/AS886</f>
        <v>0</v>
      </c>
      <c r="CS886" s="16">
        <f>IF(CT886&gt;0,1,0)</f>
        <v>0</v>
      </c>
      <c r="CT886" s="16">
        <f>SUM(CW886+CZ886,DC886)</f>
        <v>0</v>
      </c>
      <c r="CV886" s="16">
        <f>SUM(CY886,DB886,DE886)</f>
        <v>0</v>
      </c>
      <c r="CW886" s="16">
        <f>IF(CX886&gt;0,1,0)</f>
        <v>0</v>
      </c>
      <c r="CX886" s="16">
        <f>VLOOKUP($K886,'[5]FECs - good data'!$C$1:$Z$574,22,FALSE)</f>
        <v>0</v>
      </c>
      <c r="CY886" s="16">
        <f>CX886/AS886</f>
        <v>0</v>
      </c>
      <c r="CZ886" s="16">
        <f>IF(DA886&gt;0,1,0)</f>
        <v>0</v>
      </c>
      <c r="DA886" s="16">
        <f>VLOOKUP($K886,'[5]FECs - good data'!$C$1:$Z$5982,23,FALSE)</f>
        <v>0</v>
      </c>
      <c r="DB886" s="16">
        <f>DA886/AS886</f>
        <v>0</v>
      </c>
      <c r="DC886" s="16">
        <f>IF(DD886&gt;0,1,0)</f>
        <v>0</v>
      </c>
      <c r="DD886" s="16">
        <f>VLOOKUP($K886,'[5]FECs - good data'!$C$1:$Z$574,23,FALSE)</f>
        <v>0</v>
      </c>
      <c r="DE886" s="16">
        <f>DD886/AS886</f>
        <v>0</v>
      </c>
      <c r="DF886" s="16" t="e">
        <f>VLOOKUP(K886,'[3]RNA Seq summary tables'!$V$3:$V$99,1,FALSE)</f>
        <v>#N/A</v>
      </c>
      <c r="DG886" s="16">
        <v>1</v>
      </c>
      <c r="DH886" s="16" t="str">
        <f>VLOOKUP(D886,'[6]workflow 3.2018'!$A$1:$S$237,2,FALSE)</f>
        <v>2017MLBS_133</v>
      </c>
    </row>
    <row r="887" spans="1:288" ht="16" x14ac:dyDescent="0.2">
      <c r="B887" s="16">
        <v>2017</v>
      </c>
      <c r="C887" s="20">
        <v>42972</v>
      </c>
      <c r="D887" s="20" t="str">
        <f>CONCATENATE(J887,"-",C887)</f>
        <v>1059-42972</v>
      </c>
      <c r="E887" s="37" t="str">
        <f>CONCATENATE(T887,"-",U887,"-",C887)</f>
        <v>SP1-B5-42972</v>
      </c>
      <c r="F887" s="20" t="s">
        <v>106</v>
      </c>
      <c r="G887" s="20" t="s">
        <v>107</v>
      </c>
      <c r="I887" s="16">
        <v>0</v>
      </c>
      <c r="J887" s="21">
        <v>1059</v>
      </c>
      <c r="K887" s="21">
        <v>2230</v>
      </c>
      <c r="L887" s="18">
        <v>0</v>
      </c>
      <c r="M887" s="21">
        <f>VLOOKUP($K887,'[4]blood tubes 2017'!$D$1:$L$947,8,FALSE)</f>
        <v>0</v>
      </c>
      <c r="N887" s="15">
        <v>0</v>
      </c>
      <c r="O887" s="15" t="s">
        <v>214</v>
      </c>
      <c r="P887" s="16" t="s">
        <v>110</v>
      </c>
      <c r="Q887" s="16">
        <v>1</v>
      </c>
      <c r="R887" s="16">
        <v>15</v>
      </c>
      <c r="T887" s="16" t="s">
        <v>140</v>
      </c>
      <c r="U887" s="16" t="s">
        <v>160</v>
      </c>
      <c r="V887" s="16" t="s">
        <v>114</v>
      </c>
      <c r="W887" s="16">
        <f>AI887/AG887</f>
        <v>0.85106382978723405</v>
      </c>
      <c r="X887" s="16" t="s">
        <v>121</v>
      </c>
      <c r="Y887" s="16" t="s">
        <v>110</v>
      </c>
      <c r="Z887" s="16">
        <v>3</v>
      </c>
      <c r="AA887" s="16" t="s">
        <v>119</v>
      </c>
      <c r="AB887" s="16" t="s">
        <v>240</v>
      </c>
      <c r="AC887" s="16" t="s">
        <v>123</v>
      </c>
      <c r="AD887" s="16" t="s">
        <v>123</v>
      </c>
      <c r="AG887" s="16">
        <f>AH887-AI887</f>
        <v>94</v>
      </c>
      <c r="AH887" s="16">
        <v>174</v>
      </c>
      <c r="AI887" s="16">
        <v>80</v>
      </c>
      <c r="AK887" s="16">
        <v>32</v>
      </c>
      <c r="AL887" s="16">
        <v>0</v>
      </c>
      <c r="AM887" s="16">
        <v>0</v>
      </c>
      <c r="AN887" s="16">
        <v>1</v>
      </c>
      <c r="AO887" s="16">
        <v>1</v>
      </c>
      <c r="AP887" s="16">
        <f>SUM(AL887:AN887)</f>
        <v>1</v>
      </c>
      <c r="AQ887" s="16">
        <v>1.87</v>
      </c>
      <c r="AR887" s="16">
        <f>AP887-1.472</f>
        <v>-0.47199999999999998</v>
      </c>
      <c r="AS887" s="16">
        <f>AQ887-1.472</f>
        <v>0.39800000000000013</v>
      </c>
      <c r="AT887" s="16" t="str">
        <f>VLOOKUP(E887,[2]Current!$A$1:$W$435,7,FALSE)</f>
        <v>NB</v>
      </c>
      <c r="AU887" s="16" t="s">
        <v>1288</v>
      </c>
      <c r="AW887" s="128">
        <f>IF(AX887&gt;0,1,0)</f>
        <v>1</v>
      </c>
      <c r="AX887" s="128">
        <f>SUM(BA887,BM887,CU887)</f>
        <v>1</v>
      </c>
      <c r="AY887" s="128">
        <f>SUM(BB887,BN887,CV887)</f>
        <v>1552.7638190954769</v>
      </c>
      <c r="AZ887" s="128">
        <f>IF(BA887&gt;0,1,0)</f>
        <v>1</v>
      </c>
      <c r="BA887" s="128">
        <f>SUM(BC887+BF887+BI887)</f>
        <v>1</v>
      </c>
      <c r="BB887" s="128">
        <f>SUM(BE887,BH887,BK887)</f>
        <v>1552.7638190954769</v>
      </c>
      <c r="BC887" s="130">
        <f>IF(BD887&gt;0,1,0)</f>
        <v>0</v>
      </c>
      <c r="BD887" s="128">
        <f>VLOOKUP($E887,[2]Current!$A:$AC,26,FALSE)</f>
        <v>0</v>
      </c>
      <c r="BE887" s="128">
        <f>BD887/$AS887</f>
        <v>0</v>
      </c>
      <c r="BF887" s="130">
        <f>IF(BG887&gt;0,1,0)</f>
        <v>1</v>
      </c>
      <c r="BG887" s="137">
        <f>VLOOKUP($E887,[2]Current!$A:$AC,27,FALSE)</f>
        <v>618</v>
      </c>
      <c r="BH887" s="128">
        <f>BG887/$AS887</f>
        <v>1552.7638190954769</v>
      </c>
      <c r="BI887" s="130">
        <f>IF(BJ887&gt;0,1,0)</f>
        <v>0</v>
      </c>
      <c r="BJ887" s="128">
        <f>VLOOKUP($E887,[2]Current!$A:$AC,28,FALSE)</f>
        <v>0</v>
      </c>
      <c r="BK887" s="128">
        <f>BJ887/$AS887</f>
        <v>0</v>
      </c>
      <c r="BL887" s="128">
        <f>IF(BM887&gt;0,1,0)</f>
        <v>0</v>
      </c>
      <c r="BM887" s="128">
        <f>SUM(BR887,BU887,BX887,CA887,CD887)</f>
        <v>0</v>
      </c>
      <c r="BN887" s="131">
        <f>SUM(BT887,BW887,BZ887,CC887,CF887)</f>
        <v>0</v>
      </c>
      <c r="BO887" s="128">
        <f>IF(BP887&gt;0,1,0)</f>
        <v>0</v>
      </c>
      <c r="BP887" s="128">
        <f>BM887+CJ887</f>
        <v>0</v>
      </c>
      <c r="BQ887" s="128">
        <f>BN887+CL887</f>
        <v>0</v>
      </c>
      <c r="BR887" s="130">
        <f>IF(BS887&gt;0,1,0)</f>
        <v>0</v>
      </c>
      <c r="BS887" s="128">
        <f>VLOOKUP($E887,[2]Current!$A:$AC,12,FALSE)</f>
        <v>0</v>
      </c>
      <c r="BT887" s="137">
        <f>BS887/$AS887</f>
        <v>0</v>
      </c>
      <c r="BU887" s="130">
        <f>IF(BV887&gt;0,1,0)</f>
        <v>0</v>
      </c>
      <c r="BV887" s="128">
        <f>VLOOKUP($E887,[2]Current!$A:$AC,13,FALSE)</f>
        <v>0</v>
      </c>
      <c r="BW887" s="128">
        <f>BV887/$AS887</f>
        <v>0</v>
      </c>
      <c r="BX887" s="130">
        <f>IF(BY887&gt;0,1,0)</f>
        <v>0</v>
      </c>
      <c r="BY887" s="128">
        <f>VLOOKUP($E887,[2]Current!$A:$AC,14,FALSE)</f>
        <v>0</v>
      </c>
      <c r="BZ887" s="128">
        <f>BY887/$AS887</f>
        <v>0</v>
      </c>
      <c r="CA887" s="130">
        <f>IF(CB887&gt;0,1,0)</f>
        <v>0</v>
      </c>
      <c r="CB887" s="128">
        <f>VLOOKUP($E887,[2]Current!$A:$AC,15,FALSE)</f>
        <v>0</v>
      </c>
      <c r="CC887" s="128">
        <f>CB887/$AS887</f>
        <v>0</v>
      </c>
      <c r="CD887" s="174">
        <f>IF(CE887&gt;0,1,0)</f>
        <v>0</v>
      </c>
      <c r="CE887" s="128">
        <f>VLOOKUP($E887,[2]Current!$A:$AC,16,FALSE)</f>
        <v>0</v>
      </c>
      <c r="CF887" s="128">
        <f>CE887/$AS887</f>
        <v>0</v>
      </c>
      <c r="CG887" s="18"/>
      <c r="CH887" s="18"/>
      <c r="CI887" s="18"/>
      <c r="CJ887" s="130">
        <f>IF(CK887&gt;0,1,0)</f>
        <v>0</v>
      </c>
      <c r="CK887" s="128">
        <f>VLOOKUP($E887,[2]Current!$A:$AC,18,FALSE)</f>
        <v>0</v>
      </c>
      <c r="CL887" s="128">
        <f>CK887/$AS887</f>
        <v>0</v>
      </c>
      <c r="CS887" s="130">
        <f>IF(CU887&gt;0,1,0)</f>
        <v>0</v>
      </c>
      <c r="CU887" s="128">
        <f>VLOOKUP($E887,[2]Current!$A:$AC,17,FALSE)</f>
        <v>0</v>
      </c>
      <c r="CV887" s="128">
        <f>CU887/$AS887</f>
        <v>0</v>
      </c>
      <c r="CW887" s="18"/>
      <c r="CX887" s="18"/>
      <c r="CY887" s="18"/>
      <c r="DF887" s="16" t="e">
        <f>VLOOKUP(K887,'[3]RNA Seq summary tables'!$V$3:$V$99,1,FALSE)</f>
        <v>#N/A</v>
      </c>
      <c r="DG887" s="16">
        <v>1</v>
      </c>
      <c r="DH887" s="16" t="str">
        <f>VLOOKUP(D887,'[6]workflow 3.2018'!$A$1:$S$237,2,FALSE)</f>
        <v>2017MLBS_173</v>
      </c>
      <c r="DT887" s="25"/>
      <c r="DU887" s="25"/>
      <c r="DV887" s="25"/>
      <c r="DW887" s="25"/>
      <c r="DX887" s="25"/>
      <c r="DY887" s="25"/>
      <c r="DZ887" s="25"/>
      <c r="EA887" s="25"/>
      <c r="EB887" s="25"/>
      <c r="EC887" s="25"/>
      <c r="ED887" s="25"/>
      <c r="EE887" s="25"/>
    </row>
    <row r="888" spans="1:288" x14ac:dyDescent="0.2">
      <c r="A888" s="26"/>
      <c r="B888" s="26">
        <v>2017</v>
      </c>
      <c r="C888" s="72">
        <v>42889</v>
      </c>
      <c r="D888" s="72" t="str">
        <f>CONCATENATE(J888,"-",C888)</f>
        <v>1061-42889</v>
      </c>
      <c r="E888" s="20" t="str">
        <f>CONCATENATE(T888,"-",U888,"-",C888)</f>
        <v>SP2-A7-42889</v>
      </c>
      <c r="F888" s="20" t="s">
        <v>106</v>
      </c>
      <c r="G888" s="44" t="s">
        <v>107</v>
      </c>
      <c r="H888" s="26"/>
      <c r="I888" s="16">
        <v>0</v>
      </c>
      <c r="J888" s="45">
        <v>1061</v>
      </c>
      <c r="K888" s="45">
        <v>1616</v>
      </c>
      <c r="L888" s="16">
        <v>1</v>
      </c>
      <c r="M888" s="45">
        <f>VLOOKUP($K888,'[4]blood tubes 2017'!$D$1:$L$647,8,FALSE)</f>
        <v>1</v>
      </c>
      <c r="N888" s="45">
        <f>VLOOKUP($K888,'[4]blood tubes 2017'!$D$1:$L$647,9,FALSE)</f>
        <v>400</v>
      </c>
      <c r="O888" s="15" t="s">
        <v>214</v>
      </c>
      <c r="P888" s="26" t="s">
        <v>110</v>
      </c>
      <c r="Q888" s="26">
        <v>0</v>
      </c>
      <c r="R888" s="26" t="s">
        <v>111</v>
      </c>
      <c r="S888" s="26"/>
      <c r="T888" s="26" t="s">
        <v>137</v>
      </c>
      <c r="U888" s="26" t="s">
        <v>120</v>
      </c>
      <c r="V888" s="26" t="s">
        <v>114</v>
      </c>
      <c r="W888" s="16">
        <f>AI888/AG888</f>
        <v>0.80851063829787229</v>
      </c>
      <c r="X888" s="26" t="s">
        <v>115</v>
      </c>
      <c r="Y888" s="26" t="s">
        <v>110</v>
      </c>
      <c r="Z888" s="26">
        <v>3</v>
      </c>
      <c r="AA888" s="26"/>
      <c r="AB888" s="26"/>
      <c r="AC888" s="26"/>
      <c r="AD888" s="26"/>
      <c r="AE888" s="26" t="s">
        <v>123</v>
      </c>
      <c r="AF888" s="26" t="s">
        <v>123</v>
      </c>
      <c r="AG888" s="26">
        <f>AH888-AI888</f>
        <v>94</v>
      </c>
      <c r="AH888" s="26">
        <v>170</v>
      </c>
      <c r="AI888" s="26">
        <v>76</v>
      </c>
      <c r="AJ888" s="26"/>
      <c r="AK888" s="26">
        <v>25.5</v>
      </c>
      <c r="AL888" s="26">
        <v>0</v>
      </c>
      <c r="AM888" s="26">
        <v>0</v>
      </c>
      <c r="AN888" s="26">
        <v>0</v>
      </c>
      <c r="AO888" s="26">
        <v>0</v>
      </c>
      <c r="AP888" s="26">
        <f>SUM(AL888:AN888)</f>
        <v>0</v>
      </c>
      <c r="AQ888" s="26">
        <v>1.5720000000000001</v>
      </c>
      <c r="AR888" s="26">
        <f>AP888-1.472</f>
        <v>-1.472</v>
      </c>
      <c r="AS888" s="26">
        <f>AQ888-1.472</f>
        <v>0.10000000000000009</v>
      </c>
      <c r="AT888" s="26" t="s">
        <v>234</v>
      </c>
      <c r="AU888" s="26"/>
      <c r="AV888" s="26">
        <v>1</v>
      </c>
      <c r="AW888" s="26">
        <f>IF(AX888&gt;0,1,0)</f>
        <v>0</v>
      </c>
      <c r="AX888" s="26">
        <f>SUM(BA888,BM888,CT888)</f>
        <v>0</v>
      </c>
      <c r="AY888" s="26">
        <f>SUM(BB888,BN888,CV888)</f>
        <v>0</v>
      </c>
      <c r="AZ888" s="26">
        <f>IF(BA888&gt;0,1,0)</f>
        <v>0</v>
      </c>
      <c r="BA888" s="26">
        <f>SUM(BC888,BF888,BI888)</f>
        <v>0</v>
      </c>
      <c r="BB888" s="26">
        <f>SUM(BE888,BH888,BK888)</f>
        <v>0</v>
      </c>
      <c r="BC888" s="26">
        <v>0</v>
      </c>
      <c r="BD888" s="26">
        <v>0</v>
      </c>
      <c r="BE888" s="26">
        <f>BD888/AS888</f>
        <v>0</v>
      </c>
      <c r="BF888" s="26">
        <v>0</v>
      </c>
      <c r="BG888" s="82">
        <v>0</v>
      </c>
      <c r="BH888" s="26">
        <f>BG888/AS888</f>
        <v>0</v>
      </c>
      <c r="BI888" s="26">
        <v>0</v>
      </c>
      <c r="BJ888" s="26">
        <v>0</v>
      </c>
      <c r="BK888" s="26">
        <f>BJ888/AS888</f>
        <v>0</v>
      </c>
      <c r="BL888" s="26">
        <f>IF(BM888&gt;0,1,0)</f>
        <v>0</v>
      </c>
      <c r="BM888" s="26">
        <f>SUM(BR888,BU888,BX888,CA888,CD888,CG888,CJ888,CM888,CP888)</f>
        <v>0</v>
      </c>
      <c r="BN888" s="26">
        <f>SUM(BW888,BZ888,CC888,CF888,CI888,CL888,CO888,CR888,BT888)</f>
        <v>0</v>
      </c>
      <c r="BO888" s="26">
        <f>IF(BP888&gt;0,1,0)</f>
        <v>0</v>
      </c>
      <c r="BP888" s="26">
        <f>SUM(BU888,BX888,CA888,CD888,BR888)</f>
        <v>0</v>
      </c>
      <c r="BQ888" s="26">
        <f>SUM(BZ888,CC888,CF888,BT888,BW888)</f>
        <v>0</v>
      </c>
      <c r="BR888" s="26">
        <v>0</v>
      </c>
      <c r="BS888" s="26">
        <v>0</v>
      </c>
      <c r="BT888" s="82">
        <f>BS888/AS888</f>
        <v>0</v>
      </c>
      <c r="BU888" s="26">
        <v>0</v>
      </c>
      <c r="BV888" s="26">
        <v>0</v>
      </c>
      <c r="BW888" s="26">
        <f>BV888/AS888</f>
        <v>0</v>
      </c>
      <c r="BX888" s="26">
        <v>0</v>
      </c>
      <c r="BY888" s="26">
        <v>0</v>
      </c>
      <c r="BZ888" s="26">
        <f>BY888/AS888</f>
        <v>0</v>
      </c>
      <c r="CA888" s="26">
        <v>0</v>
      </c>
      <c r="CB888" s="26">
        <v>0</v>
      </c>
      <c r="CC888" s="26">
        <f>CB888/AS888</f>
        <v>0</v>
      </c>
      <c r="CD888" s="82">
        <v>0</v>
      </c>
      <c r="CE888" s="26">
        <v>0</v>
      </c>
      <c r="CF888" s="26">
        <f>CE888/AS888</f>
        <v>0</v>
      </c>
      <c r="CG888" s="47">
        <v>0</v>
      </c>
      <c r="CH888" s="47">
        <v>0</v>
      </c>
      <c r="CI888" s="26">
        <f>CH888/AS888</f>
        <v>0</v>
      </c>
      <c r="CJ888" s="26"/>
      <c r="CK888" s="26"/>
      <c r="CL888" s="26"/>
      <c r="CM888" s="47">
        <v>0</v>
      </c>
      <c r="CN888" s="47">
        <v>0</v>
      </c>
      <c r="CO888" s="26">
        <f>CN888/AS888</f>
        <v>0</v>
      </c>
      <c r="CP888" s="47">
        <v>0</v>
      </c>
      <c r="CQ888" s="47">
        <v>0</v>
      </c>
      <c r="CR888" s="26">
        <f>CQ888/AS888</f>
        <v>0</v>
      </c>
      <c r="CS888" s="26">
        <f>IF(CT888&gt;0,1,0)</f>
        <v>0</v>
      </c>
      <c r="CT888" s="26">
        <f>SUM(CW888,CZ888,DC888)</f>
        <v>0</v>
      </c>
      <c r="CU888" s="26"/>
      <c r="CV888" s="26">
        <f>SUM(CY888,DB888,DE888)</f>
        <v>0</v>
      </c>
      <c r="CW888" s="26">
        <v>0</v>
      </c>
      <c r="CX888" s="26">
        <v>0</v>
      </c>
      <c r="CY888" s="26">
        <f>CX888/AS888</f>
        <v>0</v>
      </c>
      <c r="CZ888" s="26">
        <v>0</v>
      </c>
      <c r="DA888" s="26">
        <v>0</v>
      </c>
      <c r="DB888" s="26">
        <f>DA888/AS888</f>
        <v>0</v>
      </c>
      <c r="DC888" s="26">
        <v>0</v>
      </c>
      <c r="DD888" s="26">
        <v>0</v>
      </c>
      <c r="DE888" s="26">
        <f>DD888/AS888</f>
        <v>0</v>
      </c>
      <c r="DF888" s="16">
        <f>VLOOKUP(K888,'[3]RNA Seq summary tables'!$V$3:$V$99,1,FALSE)</f>
        <v>1616</v>
      </c>
      <c r="DG888" s="16">
        <v>1</v>
      </c>
      <c r="DH888" s="16" t="str">
        <f>VLOOKUP(D888,'[6]workflow 3.2018'!$A$1:$S$237,2,FALSE)</f>
        <v>2017MLBS_27</v>
      </c>
      <c r="DI888" s="26">
        <v>59</v>
      </c>
      <c r="DJ888" s="26"/>
      <c r="DK888" s="26">
        <v>19</v>
      </c>
      <c r="DL888" s="26"/>
      <c r="DM888" s="26">
        <v>16</v>
      </c>
      <c r="DN888" s="26"/>
      <c r="DO888" s="26">
        <v>0</v>
      </c>
      <c r="DP888" s="26"/>
      <c r="DQ888" s="26">
        <v>6</v>
      </c>
      <c r="DR888" s="26">
        <v>100</v>
      </c>
      <c r="DS888" s="26"/>
    </row>
    <row r="889" spans="1:288" x14ac:dyDescent="0.2">
      <c r="B889" s="16">
        <v>2017</v>
      </c>
      <c r="C889" s="20">
        <v>42893</v>
      </c>
      <c r="D889" s="20" t="str">
        <f>CONCATENATE(J889,"-",C889)</f>
        <v>1063-42893</v>
      </c>
      <c r="E889" s="20" t="str">
        <f>CONCATENATE(T889,"-",U889,"-",C889)</f>
        <v>PO1-A1-42893</v>
      </c>
      <c r="F889" s="20" t="s">
        <v>106</v>
      </c>
      <c r="G889" s="20" t="s">
        <v>107</v>
      </c>
      <c r="I889" s="16">
        <v>0</v>
      </c>
      <c r="J889" s="21">
        <v>1063</v>
      </c>
      <c r="K889" s="21">
        <v>1617</v>
      </c>
      <c r="L889" s="18">
        <v>0</v>
      </c>
      <c r="M889" s="21">
        <f>VLOOKUP($K889,'[4]blood tubes 2017'!$D$1:$L$647,8,FALSE)</f>
        <v>0</v>
      </c>
      <c r="N889" s="15">
        <v>0</v>
      </c>
      <c r="O889" s="15" t="s">
        <v>214</v>
      </c>
      <c r="P889" s="16" t="s">
        <v>110</v>
      </c>
      <c r="Q889" s="16">
        <v>0</v>
      </c>
      <c r="R889" s="16" t="s">
        <v>111</v>
      </c>
      <c r="T889" s="16" t="s">
        <v>112</v>
      </c>
      <c r="U889" s="16" t="s">
        <v>210</v>
      </c>
      <c r="V889" s="16" t="s">
        <v>114</v>
      </c>
      <c r="W889" s="16">
        <f>AI889/AG889</f>
        <v>0.76923076923076927</v>
      </c>
      <c r="X889" s="16" t="s">
        <v>115</v>
      </c>
      <c r="Y889" s="16" t="s">
        <v>110</v>
      </c>
      <c r="Z889" s="16">
        <v>3</v>
      </c>
      <c r="AE889" s="16" t="s">
        <v>123</v>
      </c>
      <c r="AF889" s="16" t="s">
        <v>123</v>
      </c>
      <c r="AG889" s="16">
        <f>AH889-AI889</f>
        <v>91</v>
      </c>
      <c r="AH889" s="16">
        <v>161</v>
      </c>
      <c r="AI889" s="16">
        <v>70</v>
      </c>
      <c r="AK889" s="16">
        <v>22</v>
      </c>
      <c r="AL889" s="16">
        <v>0</v>
      </c>
      <c r="AM889" s="16">
        <v>0</v>
      </c>
      <c r="AN889" s="16">
        <v>0</v>
      </c>
      <c r="AO889" s="16">
        <v>0</v>
      </c>
      <c r="AP889" s="16">
        <f>SUM(AL889:AN889)</f>
        <v>0</v>
      </c>
      <c r="AQ889" s="16">
        <v>1.59</v>
      </c>
      <c r="AR889" s="16">
        <f>AP889-1.472</f>
        <v>-1.472</v>
      </c>
      <c r="AS889" s="16">
        <f>AQ889-1.472</f>
        <v>0.1180000000000001</v>
      </c>
      <c r="AT889" s="16" t="s">
        <v>119</v>
      </c>
      <c r="AW889" s="16">
        <f>IF(AX889&gt;0,1,0)</f>
        <v>1</v>
      </c>
      <c r="AX889" s="16">
        <f>SUM(BA889,BM889,CT889)</f>
        <v>1</v>
      </c>
      <c r="AY889" s="18">
        <f>SUM(BB889,BN889,CV889)</f>
        <v>4805.0847457627078</v>
      </c>
      <c r="AZ889" s="16">
        <f>IF(BA889&gt;0,1,0)</f>
        <v>1</v>
      </c>
      <c r="BA889" s="16">
        <f>SUM(BC889,BF889,BI889)</f>
        <v>1</v>
      </c>
      <c r="BB889" s="16">
        <f>SUM(BE889,BH889,BK889)</f>
        <v>4805.0847457627078</v>
      </c>
      <c r="BC889" s="16">
        <v>0</v>
      </c>
      <c r="BD889" s="16">
        <v>0</v>
      </c>
      <c r="BE889" s="16">
        <f>BD889/AS889</f>
        <v>0</v>
      </c>
      <c r="BF889" s="16">
        <v>1</v>
      </c>
      <c r="BG889" s="77">
        <v>567</v>
      </c>
      <c r="BH889" s="16">
        <f>BG889/AS889</f>
        <v>4805.0847457627078</v>
      </c>
      <c r="BI889" s="16">
        <v>0</v>
      </c>
      <c r="BJ889" s="16">
        <v>0</v>
      </c>
      <c r="BK889" s="16">
        <f>BJ889/AS889</f>
        <v>0</v>
      </c>
      <c r="BL889" s="16">
        <f>IF(BM889&gt;0,1,0)</f>
        <v>0</v>
      </c>
      <c r="BM889" s="16">
        <f>SUM(BR889,BU889,BX889,CA889,CD889,CG889,CJ889,CM889,CP889)</f>
        <v>0</v>
      </c>
      <c r="BN889" s="16">
        <f>SUM(BW889,BZ889,CC889,CF889,CI889,CL889,CO889,CR889,BT889)</f>
        <v>0</v>
      </c>
      <c r="BO889" s="16">
        <f>IF(BP889&gt;0,1,0)</f>
        <v>0</v>
      </c>
      <c r="BP889" s="16">
        <f>SUM(BU889,BX889,CA889,CD889,BR889)</f>
        <v>0</v>
      </c>
      <c r="BQ889" s="16">
        <f>SUM(BZ889,CC889,CF889,BT889,BW889)</f>
        <v>0</v>
      </c>
      <c r="BR889" s="16">
        <v>0</v>
      </c>
      <c r="BS889" s="16">
        <v>0</v>
      </c>
      <c r="BT889" s="77">
        <f>BS889/AS889</f>
        <v>0</v>
      </c>
      <c r="BU889" s="16">
        <v>0</v>
      </c>
      <c r="BV889" s="16">
        <v>0</v>
      </c>
      <c r="BW889" s="16">
        <f>BV889/AS889</f>
        <v>0</v>
      </c>
      <c r="BX889" s="16">
        <v>0</v>
      </c>
      <c r="BY889" s="16">
        <v>0</v>
      </c>
      <c r="BZ889" s="16">
        <f>BY889/AS889</f>
        <v>0</v>
      </c>
      <c r="CA889" s="16">
        <v>0</v>
      </c>
      <c r="CB889" s="16">
        <v>0</v>
      </c>
      <c r="CC889" s="16">
        <f>CB889/AS889</f>
        <v>0</v>
      </c>
      <c r="CD889" s="77">
        <v>0</v>
      </c>
      <c r="CE889" s="16">
        <v>0</v>
      </c>
      <c r="CF889" s="16">
        <f>CE889/AS889</f>
        <v>0</v>
      </c>
      <c r="CG889" s="16">
        <v>0</v>
      </c>
      <c r="CH889" s="16">
        <v>0</v>
      </c>
      <c r="CI889" s="16">
        <f>CH889/AS889</f>
        <v>0</v>
      </c>
      <c r="CM889" s="16">
        <v>0</v>
      </c>
      <c r="CN889" s="16">
        <v>0</v>
      </c>
      <c r="CO889" s="16">
        <f>CN889/AS889</f>
        <v>0</v>
      </c>
      <c r="CP889" s="16">
        <v>0</v>
      </c>
      <c r="CQ889" s="16">
        <v>0</v>
      </c>
      <c r="CR889" s="16">
        <f>CQ889/AS889</f>
        <v>0</v>
      </c>
      <c r="CS889" s="16">
        <f>IF(CT889&gt;0,1,0)</f>
        <v>0</v>
      </c>
      <c r="CT889" s="16">
        <f>SUM(CW889,CZ889,DC889)</f>
        <v>0</v>
      </c>
      <c r="CV889" s="16">
        <f>SUM(CY889,DB889,DE889)</f>
        <v>0</v>
      </c>
      <c r="CW889" s="16">
        <v>0</v>
      </c>
      <c r="CX889" s="16">
        <v>0</v>
      </c>
      <c r="CY889" s="16">
        <f>CX889/AS889</f>
        <v>0</v>
      </c>
      <c r="CZ889" s="16">
        <v>0</v>
      </c>
      <c r="DA889" s="16">
        <v>0</v>
      </c>
      <c r="DB889" s="16">
        <f>DA889/AS889</f>
        <v>0</v>
      </c>
      <c r="DC889" s="16">
        <v>0</v>
      </c>
      <c r="DD889" s="16">
        <v>0</v>
      </c>
      <c r="DE889" s="16">
        <f>DD889/AS889</f>
        <v>0</v>
      </c>
      <c r="DF889" s="16" t="e">
        <f>VLOOKUP(K889,'[3]RNA Seq summary tables'!$V$3:$V$99,1,FALSE)</f>
        <v>#N/A</v>
      </c>
      <c r="DG889" s="16">
        <v>1</v>
      </c>
      <c r="DH889" s="16" t="str">
        <f>VLOOKUP(D889,'[6]workflow 3.2018'!$A$1:$S$237,2,FALSE)</f>
        <v>2017MLBS_47</v>
      </c>
      <c r="DI889" s="16">
        <v>68</v>
      </c>
      <c r="DK889" s="16">
        <v>22</v>
      </c>
      <c r="DM889" s="16">
        <v>6</v>
      </c>
      <c r="DO889" s="16">
        <v>0</v>
      </c>
      <c r="DQ889" s="16">
        <v>4</v>
      </c>
      <c r="DR889" s="16">
        <v>100</v>
      </c>
    </row>
    <row r="890" spans="1:288" x14ac:dyDescent="0.2">
      <c r="B890" s="16">
        <v>2017</v>
      </c>
      <c r="C890" s="20">
        <v>42911</v>
      </c>
      <c r="D890" s="20" t="str">
        <f>CONCATENATE(J890,"-",C890)</f>
        <v>1063-42911</v>
      </c>
      <c r="E890" s="20" t="str">
        <f>CONCATENATE(T890,"-",U890,"-",C890)</f>
        <v>PO1-A1-42911</v>
      </c>
      <c r="F890" s="20" t="s">
        <v>106</v>
      </c>
      <c r="G890" s="20" t="s">
        <v>107</v>
      </c>
      <c r="I890" s="16">
        <v>0</v>
      </c>
      <c r="J890" s="21">
        <v>1063</v>
      </c>
      <c r="K890" s="21">
        <v>1722</v>
      </c>
      <c r="L890" s="18">
        <v>0</v>
      </c>
      <c r="M890" s="21">
        <f>VLOOKUP($K890,'[4]blood tubes 2017'!$D$1:$L$647,8,FALSE)</f>
        <v>0</v>
      </c>
      <c r="N890" s="15">
        <v>0</v>
      </c>
      <c r="O890" s="15" t="s">
        <v>214</v>
      </c>
      <c r="P890" s="16" t="s">
        <v>110</v>
      </c>
      <c r="Q890" s="16">
        <v>1</v>
      </c>
      <c r="R890" s="16">
        <v>18</v>
      </c>
      <c r="T890" s="16" t="s">
        <v>112</v>
      </c>
      <c r="U890" s="16" t="s">
        <v>210</v>
      </c>
      <c r="V890" s="16" t="s">
        <v>114</v>
      </c>
      <c r="W890" s="16">
        <f>AI890/AG890</f>
        <v>0.78260869565217395</v>
      </c>
      <c r="X890" s="16" t="s">
        <v>115</v>
      </c>
      <c r="Y890" s="16" t="s">
        <v>110</v>
      </c>
      <c r="Z890" s="16">
        <v>3</v>
      </c>
      <c r="AE890" s="16" t="s">
        <v>123</v>
      </c>
      <c r="AF890" s="16" t="s">
        <v>123</v>
      </c>
      <c r="AG890" s="16">
        <f>AH890-AI890</f>
        <v>92</v>
      </c>
      <c r="AH890" s="16">
        <v>164</v>
      </c>
      <c r="AI890" s="16">
        <v>72</v>
      </c>
      <c r="AK890" s="16">
        <v>19.5</v>
      </c>
      <c r="AL890" s="16">
        <v>1</v>
      </c>
      <c r="AM890" s="16">
        <v>0</v>
      </c>
      <c r="AN890" s="16">
        <v>0</v>
      </c>
      <c r="AO890" s="16">
        <v>1</v>
      </c>
      <c r="AP890" s="16">
        <f>SUM(AL890:AN890)</f>
        <v>1</v>
      </c>
      <c r="AQ890" s="16">
        <v>1.7050000000000001</v>
      </c>
      <c r="AR890" s="16">
        <f>AP890-1.472</f>
        <v>-0.47199999999999998</v>
      </c>
      <c r="AS890" s="16">
        <f>AQ890-1.472</f>
        <v>0.2330000000000001</v>
      </c>
      <c r="AT890" s="16" t="s">
        <v>233</v>
      </c>
      <c r="AV890" s="16">
        <v>1</v>
      </c>
      <c r="AW890" s="16">
        <f>IF(AX890&gt;0,1,0)</f>
        <v>0</v>
      </c>
      <c r="AX890" s="16">
        <f>SUM(BA890,BM890,CT890)</f>
        <v>0</v>
      </c>
      <c r="AY890" s="18">
        <f>SUM(BB890,BN890,CV890)</f>
        <v>0</v>
      </c>
      <c r="AZ890" s="16">
        <f>IF(BA890&gt;0,1,0)</f>
        <v>0</v>
      </c>
      <c r="BA890" s="16">
        <f>SUM(BC890,BF890,BI890)</f>
        <v>0</v>
      </c>
      <c r="BB890" s="16">
        <f>SUM(BE890,BH890,BK890)</f>
        <v>0</v>
      </c>
      <c r="BC890" s="16">
        <v>0</v>
      </c>
      <c r="BD890" s="16">
        <v>0</v>
      </c>
      <c r="BE890" s="16">
        <f>BD890/AS890</f>
        <v>0</v>
      </c>
      <c r="BF890" s="16">
        <v>0</v>
      </c>
      <c r="BG890" s="77">
        <v>0</v>
      </c>
      <c r="BH890" s="16">
        <f>BG890/AS890</f>
        <v>0</v>
      </c>
      <c r="BI890" s="16">
        <v>0</v>
      </c>
      <c r="BJ890" s="16">
        <v>0</v>
      </c>
      <c r="BK890" s="16">
        <f>BJ890/AS890</f>
        <v>0</v>
      </c>
      <c r="BL890" s="16">
        <f>IF(BM890&gt;0,1,0)</f>
        <v>0</v>
      </c>
      <c r="BM890" s="16">
        <f>SUM(BR890,BU890,BX890,CA890,CD890,CG890,CJ890,CM890,CP890)</f>
        <v>0</v>
      </c>
      <c r="BN890" s="16">
        <f>SUM(BW890,BZ890,CC890,CF890,CI890,CL890,CO890,CR890,BT890)</f>
        <v>0</v>
      </c>
      <c r="BO890" s="16">
        <f>IF(BP890&gt;0,1,0)</f>
        <v>0</v>
      </c>
      <c r="BP890" s="16">
        <f>SUM(BU890,BX890,CA890,CD890,BR890)</f>
        <v>0</v>
      </c>
      <c r="BQ890" s="16">
        <f>SUM(BZ890,CC890,CF890,BT890,BW890)</f>
        <v>0</v>
      </c>
      <c r="BR890" s="16">
        <v>0</v>
      </c>
      <c r="BS890" s="16">
        <v>0</v>
      </c>
      <c r="BT890" s="77">
        <f>BS890/AS890</f>
        <v>0</v>
      </c>
      <c r="BU890" s="16">
        <v>0</v>
      </c>
      <c r="BV890" s="16">
        <v>0</v>
      </c>
      <c r="BW890" s="16">
        <f>BV890/AS890</f>
        <v>0</v>
      </c>
      <c r="BX890" s="16">
        <v>0</v>
      </c>
      <c r="BY890" s="16">
        <v>0</v>
      </c>
      <c r="BZ890" s="16">
        <f>BY890/AS890</f>
        <v>0</v>
      </c>
      <c r="CA890" s="16">
        <v>0</v>
      </c>
      <c r="CB890" s="16">
        <v>0</v>
      </c>
      <c r="CC890" s="16">
        <f>CB890/AS890</f>
        <v>0</v>
      </c>
      <c r="CD890" s="77">
        <v>0</v>
      </c>
      <c r="CE890" s="16">
        <v>0</v>
      </c>
      <c r="CF890" s="16">
        <f>CE890/AS890</f>
        <v>0</v>
      </c>
      <c r="CG890" s="16">
        <v>0</v>
      </c>
      <c r="CH890" s="16">
        <v>0</v>
      </c>
      <c r="CI890" s="16">
        <f>CH890/AS890</f>
        <v>0</v>
      </c>
      <c r="CM890" s="16">
        <v>0</v>
      </c>
      <c r="CN890" s="16">
        <v>0</v>
      </c>
      <c r="CO890" s="16">
        <f>CN890/AS890</f>
        <v>0</v>
      </c>
      <c r="CP890" s="16">
        <v>0</v>
      </c>
      <c r="CQ890" s="16">
        <v>0</v>
      </c>
      <c r="CR890" s="16">
        <f>CQ890/AS890</f>
        <v>0</v>
      </c>
      <c r="CS890" s="16">
        <f>IF(CT890&gt;0,1,0)</f>
        <v>0</v>
      </c>
      <c r="CT890" s="16">
        <f>SUM(CW890,CZ890,DC890)</f>
        <v>0</v>
      </c>
      <c r="CV890" s="16">
        <f>SUM(CY890,DB890,DE890)</f>
        <v>0</v>
      </c>
      <c r="CW890" s="16">
        <v>0</v>
      </c>
      <c r="CX890" s="16">
        <v>0</v>
      </c>
      <c r="CY890" s="16">
        <f>CX890/AS890</f>
        <v>0</v>
      </c>
      <c r="CZ890" s="16">
        <v>0</v>
      </c>
      <c r="DA890" s="16">
        <v>0</v>
      </c>
      <c r="DB890" s="16">
        <f>DA890/AS890</f>
        <v>0</v>
      </c>
      <c r="DC890" s="16">
        <v>0</v>
      </c>
      <c r="DD890" s="16">
        <v>0</v>
      </c>
      <c r="DE890" s="16">
        <f>DD890/AS890</f>
        <v>0</v>
      </c>
      <c r="DF890" s="16" t="e">
        <f>VLOOKUP(K890,'[3]RNA Seq summary tables'!$V$3:$V$99,1,FALSE)</f>
        <v>#N/A</v>
      </c>
      <c r="DI890" s="16">
        <v>20</v>
      </c>
      <c r="DK890" s="16">
        <v>79</v>
      </c>
      <c r="DM890" s="16">
        <v>1</v>
      </c>
      <c r="DO890" s="16">
        <v>0</v>
      </c>
      <c r="DQ890" s="16">
        <v>0</v>
      </c>
      <c r="DR890" s="16">
        <f>SUM(DI890:DQ890)</f>
        <v>100</v>
      </c>
    </row>
    <row r="891" spans="1:288" x14ac:dyDescent="0.2">
      <c r="B891" s="16">
        <v>2017</v>
      </c>
      <c r="C891" s="43">
        <v>42927</v>
      </c>
      <c r="D891" s="43" t="str">
        <f>CONCATENATE(J891,"-",C891)</f>
        <v>1063-42927</v>
      </c>
      <c r="E891" s="20" t="str">
        <f>CONCATENATE(T891,"-",U891,"-",C891)</f>
        <v>PO1-B2-42927</v>
      </c>
      <c r="F891" s="20" t="s">
        <v>106</v>
      </c>
      <c r="G891" s="43" t="s">
        <v>107</v>
      </c>
      <c r="H891" s="23"/>
      <c r="I891" s="16">
        <v>0</v>
      </c>
      <c r="J891" s="15">
        <v>1063</v>
      </c>
      <c r="K891" s="15">
        <v>1852</v>
      </c>
      <c r="L891" s="18">
        <v>0</v>
      </c>
      <c r="M891" s="21">
        <f>VLOOKUP($K891,'[4]blood tubes 2017'!$D$1:$L$647,8,FALSE)</f>
        <v>0</v>
      </c>
      <c r="N891" s="15">
        <v>0</v>
      </c>
      <c r="O891" s="15" t="s">
        <v>214</v>
      </c>
      <c r="P891" s="23" t="s">
        <v>110</v>
      </c>
      <c r="Q891" s="16">
        <v>1</v>
      </c>
      <c r="R891" s="23">
        <v>16</v>
      </c>
      <c r="S891" s="23"/>
      <c r="T891" s="23" t="s">
        <v>112</v>
      </c>
      <c r="U891" s="23" t="s">
        <v>130</v>
      </c>
      <c r="V891" s="23" t="s">
        <v>114</v>
      </c>
      <c r="W891" s="16">
        <f>AI891/AG891</f>
        <v>0.8089887640449438</v>
      </c>
      <c r="X891" s="23" t="s">
        <v>115</v>
      </c>
      <c r="Y891" s="23" t="s">
        <v>110</v>
      </c>
      <c r="Z891" s="23">
        <v>3</v>
      </c>
      <c r="AA891" s="23"/>
      <c r="AB891" s="23"/>
      <c r="AC891" s="23"/>
      <c r="AD891" s="23"/>
      <c r="AE891" s="23" t="s">
        <v>116</v>
      </c>
      <c r="AF891" s="23" t="s">
        <v>116</v>
      </c>
      <c r="AG891" s="23">
        <f>AH891-AI891</f>
        <v>89</v>
      </c>
      <c r="AH891" s="23">
        <v>161</v>
      </c>
      <c r="AI891" s="23">
        <v>72</v>
      </c>
      <c r="AJ891" s="23"/>
      <c r="AK891" s="23">
        <v>21</v>
      </c>
      <c r="AL891" s="23">
        <v>0</v>
      </c>
      <c r="AM891" s="23">
        <v>0</v>
      </c>
      <c r="AN891" s="23">
        <v>0</v>
      </c>
      <c r="AO891" s="23">
        <v>0</v>
      </c>
      <c r="AP891" s="23">
        <f>SUM(AL891:AN891)</f>
        <v>0</v>
      </c>
      <c r="AQ891" s="23">
        <v>1.6240000000000001</v>
      </c>
      <c r="AR891" s="23">
        <f>AP891-1.472</f>
        <v>-1.472</v>
      </c>
      <c r="AS891" s="23">
        <f>AQ891-1.472</f>
        <v>0.15200000000000014</v>
      </c>
      <c r="AT891" s="25" t="str">
        <f>VLOOKUP(K891,'[5]FECs - good data'!$C$1:$P$575,13,FALSE)</f>
        <v>JB</v>
      </c>
      <c r="AU891" s="25"/>
      <c r="AV891" s="23"/>
      <c r="AW891" s="25">
        <f>IF(AX891&gt;0,1,0)</f>
        <v>1</v>
      </c>
      <c r="AX891" s="25">
        <f>SUM(BA891,BM891,CT891)</f>
        <v>3</v>
      </c>
      <c r="AY891" s="25">
        <f>SUM(BB891,BN891,CV891)</f>
        <v>203.94736842105243</v>
      </c>
      <c r="AZ891" s="18">
        <f>IF(BA891&gt;0,1,0)</f>
        <v>1</v>
      </c>
      <c r="BA891" s="25">
        <f>SUM(BC891,BF891,BI891)</f>
        <v>1</v>
      </c>
      <c r="BB891" s="25">
        <f>SUM(BE891,BH891,BK891)</f>
        <v>65.789473684210463</v>
      </c>
      <c r="BC891" s="18">
        <f>IF(BD891&gt;0,1,0)</f>
        <v>0</v>
      </c>
      <c r="BD891" s="25">
        <f>VLOOKUP($K891,'[5]FECs - good data'!$C$1:$Z$574,14,FALSE)</f>
        <v>0</v>
      </c>
      <c r="BE891" s="23">
        <f>BD891/AS891</f>
        <v>0</v>
      </c>
      <c r="BF891" s="16">
        <f>IF(BG891&gt;0,1,0)</f>
        <v>1</v>
      </c>
      <c r="BG891" s="77">
        <f>VLOOKUP($K891,'[5]FECs - good data'!$C$1:$Z$574,15,FALSE)</f>
        <v>10</v>
      </c>
      <c r="BH891" s="23">
        <f>BG891/AS891</f>
        <v>65.789473684210463</v>
      </c>
      <c r="BI891" s="16">
        <f>IF(BJ891&gt;0,1,0)</f>
        <v>0</v>
      </c>
      <c r="BJ891" s="23">
        <f>VLOOKUP($K891,'[5]FECs - good data'!$C$1:$Z$574,16,FALSE)</f>
        <v>0</v>
      </c>
      <c r="BK891" s="23">
        <f>BJ891/AS891</f>
        <v>0</v>
      </c>
      <c r="BL891" s="16">
        <f>IF(BM891&gt;0,1,0)</f>
        <v>1</v>
      </c>
      <c r="BM891" s="16">
        <f>SUM(BR891,BU891,BX891,CA891,CD891,CG891,CJ891,CM891,CP891)</f>
        <v>2</v>
      </c>
      <c r="BN891" s="16">
        <f>SUM(BW891,BZ891,CC891,CF891,CI891,CL891,CO891,CR891,BT891)</f>
        <v>138.15789473684197</v>
      </c>
      <c r="BO891" s="16">
        <f>IF(BP891&gt;0,1,0)</f>
        <v>1</v>
      </c>
      <c r="BP891" s="16">
        <f>SUM(BU891,BX891,CA891,CD891,BR891)</f>
        <v>1</v>
      </c>
      <c r="BQ891" s="16">
        <f>SUM(BZ891,CC891,CF891,BT891,BW891)</f>
        <v>124.99999999999989</v>
      </c>
      <c r="BR891" s="16">
        <f>IF(BS891&gt;0,1,0)</f>
        <v>0</v>
      </c>
      <c r="BS891" s="23">
        <f>VLOOKUP($K891,'[5]FECs - good data'!$C$1:$Z$574,17,FALSE)</f>
        <v>0</v>
      </c>
      <c r="BT891" s="77">
        <f>BS891/AS891</f>
        <v>0</v>
      </c>
      <c r="BU891" s="16">
        <f>IF(BV891&gt;0,1,0)</f>
        <v>0</v>
      </c>
      <c r="BV891" s="23">
        <f>VLOOKUP($K891,'[5]FECs - good data'!$C$1:$Z$574,18,FALSE)</f>
        <v>0</v>
      </c>
      <c r="BW891" s="16">
        <f>BV891/AS891</f>
        <v>0</v>
      </c>
      <c r="BX891" s="16">
        <f>IF(BY891&gt;0,1,0)</f>
        <v>0</v>
      </c>
      <c r="BY891" s="23">
        <f>VLOOKUP($K891,'[5]FECs - good data'!$C$1:$Z$574,19,FALSE)</f>
        <v>0</v>
      </c>
      <c r="BZ891" s="16">
        <f>BY891/AS891</f>
        <v>0</v>
      </c>
      <c r="CA891" s="16">
        <f>IF(CB891&gt;0,1,0)</f>
        <v>1</v>
      </c>
      <c r="CB891" s="23">
        <f>VLOOKUP($K891,'[5]FECs - good data'!$C$1:$Z$574,20,FALSE)</f>
        <v>19</v>
      </c>
      <c r="CC891" s="23">
        <f>CB891/AS891</f>
        <v>124.99999999999989</v>
      </c>
      <c r="CD891" s="77">
        <f>IF(CE891&gt;0,1,0)</f>
        <v>0</v>
      </c>
      <c r="CE891" s="23">
        <f>VLOOKUP($K891,'[5]FECs - good data'!$C$1:$Z$574,21,FALSE)</f>
        <v>0</v>
      </c>
      <c r="CF891" s="23">
        <f>CE891/AS891</f>
        <v>0</v>
      </c>
      <c r="CG891" s="23">
        <f>IF(CH891&gt;0,1,0)</f>
        <v>0</v>
      </c>
      <c r="CH891" s="23">
        <f>VLOOKUP($K891,'[5]FECs - good data'!$C$1:$Z$574,22,FALSE)</f>
        <v>0</v>
      </c>
      <c r="CI891" s="23">
        <f>CH891/AS891</f>
        <v>0</v>
      </c>
      <c r="CJ891" s="23">
        <f>IF(CK891&gt;0,1,0)</f>
        <v>1</v>
      </c>
      <c r="CK891" s="23">
        <f>VLOOKUP($K891,'[5]FECs - good data'!$C$1:$Z$674,24,FALSE)</f>
        <v>2</v>
      </c>
      <c r="CL891" s="23">
        <f>CK891/AS891</f>
        <v>13.157894736842094</v>
      </c>
      <c r="CM891" s="23"/>
      <c r="CN891" s="23"/>
      <c r="CO891" s="23"/>
      <c r="CP891" s="23"/>
      <c r="CQ891" s="23"/>
      <c r="CR891" s="23"/>
      <c r="CS891" s="16">
        <f>IF(CT891&gt;0,1,0)</f>
        <v>0</v>
      </c>
      <c r="CT891" s="16">
        <f>SUM(CW891+CZ891,DC891)</f>
        <v>0</v>
      </c>
      <c r="CV891" s="23">
        <f>SUM(CY891,DB891,DE891)</f>
        <v>0</v>
      </c>
      <c r="CW891" s="16">
        <f>IF(CX891&gt;0,1,0)</f>
        <v>0</v>
      </c>
      <c r="CX891" s="23">
        <f>VLOOKUP($K891,'[5]FECs - good data'!$C$1:$Z$574,22,FALSE)</f>
        <v>0</v>
      </c>
      <c r="CY891" s="23">
        <f>CX891/AS891</f>
        <v>0</v>
      </c>
      <c r="CZ891" s="23">
        <f>IF(DA891&gt;0,1,0)</f>
        <v>0</v>
      </c>
      <c r="DA891" s="23">
        <f>VLOOKUP($K891,'[5]FECs - good data'!$C$1:$Z$5982,23,FALSE)</f>
        <v>0</v>
      </c>
      <c r="DB891" s="23">
        <f>DA891/AS891</f>
        <v>0</v>
      </c>
      <c r="DC891" s="23">
        <f>IF(DD891&gt;0,1,0)</f>
        <v>0</v>
      </c>
      <c r="DD891" s="23">
        <f>VLOOKUP($K891,'[5]FECs - good data'!$C$1:$Z$574,23,FALSE)</f>
        <v>0</v>
      </c>
      <c r="DE891" s="23">
        <f>DD891/AS891</f>
        <v>0</v>
      </c>
      <c r="DF891" s="16" t="e">
        <f>VLOOKUP(K891,'[3]RNA Seq summary tables'!$V$3:$V$99,1,FALSE)</f>
        <v>#N/A</v>
      </c>
      <c r="DI891" s="23"/>
      <c r="DJ891" s="23"/>
      <c r="DK891" s="23"/>
      <c r="DL891" s="23"/>
      <c r="DM891" s="23"/>
      <c r="DN891" s="23"/>
      <c r="DO891" s="23"/>
      <c r="DP891" s="23"/>
      <c r="DQ891" s="23"/>
      <c r="DR891" s="23"/>
      <c r="DS891" s="23"/>
      <c r="JR891" s="27"/>
      <c r="JS891" s="27"/>
      <c r="JT891" s="27"/>
      <c r="JU891" s="27"/>
      <c r="JV891" s="27"/>
      <c r="JW891" s="27"/>
      <c r="JX891" s="27"/>
      <c r="JY891" s="27"/>
      <c r="JZ891" s="27"/>
      <c r="KA891" s="27"/>
      <c r="KB891" s="27"/>
    </row>
    <row r="892" spans="1:288" x14ac:dyDescent="0.2">
      <c r="B892" s="16">
        <v>2017</v>
      </c>
      <c r="C892" s="20">
        <v>42945</v>
      </c>
      <c r="D892" s="20" t="str">
        <f>CONCATENATE(J892,"-",C892)</f>
        <v>1063-42945</v>
      </c>
      <c r="E892" s="20" t="str">
        <f>CONCATENATE(T892,"-",U892,"-",C892)</f>
        <v>PO1-A4-42945</v>
      </c>
      <c r="F892" s="20" t="s">
        <v>106</v>
      </c>
      <c r="G892" s="20" t="s">
        <v>107</v>
      </c>
      <c r="I892" s="16">
        <v>0</v>
      </c>
      <c r="J892" s="21">
        <v>1063</v>
      </c>
      <c r="K892" s="21">
        <v>1993</v>
      </c>
      <c r="L892" s="18">
        <v>0</v>
      </c>
      <c r="M892" s="21">
        <f>VLOOKUP($K892,'[4]blood tubes 2017'!$D$1:$L$647,8,FALSE)</f>
        <v>0</v>
      </c>
      <c r="N892" s="15">
        <v>0</v>
      </c>
      <c r="O892" s="15" t="s">
        <v>214</v>
      </c>
      <c r="P892" s="16" t="s">
        <v>110</v>
      </c>
      <c r="Q892" s="16">
        <v>1</v>
      </c>
      <c r="R892" s="16">
        <v>18</v>
      </c>
      <c r="T892" s="16" t="s">
        <v>112</v>
      </c>
      <c r="U892" s="16" t="s">
        <v>134</v>
      </c>
      <c r="V892" s="16" t="s">
        <v>114</v>
      </c>
      <c r="W892" s="16">
        <f>AI892/AG892</f>
        <v>0.8314606741573034</v>
      </c>
      <c r="X892" s="16" t="s">
        <v>115</v>
      </c>
      <c r="Y892" s="16" t="s">
        <v>110</v>
      </c>
      <c r="Z892" s="16">
        <v>3</v>
      </c>
      <c r="AE892" s="16" t="s">
        <v>116</v>
      </c>
      <c r="AF892" s="16" t="s">
        <v>116</v>
      </c>
      <c r="AG892" s="16">
        <f>AH892-AI892</f>
        <v>89</v>
      </c>
      <c r="AH892" s="16">
        <v>163</v>
      </c>
      <c r="AI892" s="16">
        <v>74</v>
      </c>
      <c r="AK892" s="16">
        <v>24</v>
      </c>
      <c r="AL892" s="16">
        <v>0</v>
      </c>
      <c r="AM892" s="16">
        <v>0</v>
      </c>
      <c r="AN892" s="16">
        <v>0</v>
      </c>
      <c r="AO892" s="16">
        <v>0</v>
      </c>
      <c r="AP892" s="16">
        <f>SUM(AL892:AN892)</f>
        <v>0</v>
      </c>
      <c r="AQ892" s="16">
        <v>2.379</v>
      </c>
      <c r="AR892" s="16">
        <f>AP892-1.472</f>
        <v>-1.472</v>
      </c>
      <c r="AS892" s="16">
        <f>AQ892-1.472</f>
        <v>0.90700000000000003</v>
      </c>
      <c r="AT892" s="16" t="str">
        <f>VLOOKUP(K892,'[5]FECs - good data'!$C$1:$P$575,13,FALSE)</f>
        <v>SB</v>
      </c>
      <c r="AW892" s="18">
        <f>IF(AX892&gt;0,1,0)</f>
        <v>1</v>
      </c>
      <c r="AX892" s="18">
        <f>SUM(BA892,BM892,CT892)</f>
        <v>2</v>
      </c>
      <c r="AY892" s="18">
        <f>SUM(BB892,BN892,CV892)</f>
        <v>6.61521499448732</v>
      </c>
      <c r="AZ892" s="18">
        <f>IF(BA892&gt;0,1,0)</f>
        <v>1</v>
      </c>
      <c r="BA892" s="18">
        <f>SUM(BC892,BF892,BI892)</f>
        <v>1</v>
      </c>
      <c r="BB892" s="18">
        <f>SUM(BE892,BH892,BK892)</f>
        <v>2.2050716648291067</v>
      </c>
      <c r="BC892" s="18">
        <f>IF(BD892&gt;0,1,0)</f>
        <v>1</v>
      </c>
      <c r="BD892" s="18">
        <f>VLOOKUP($K892,'[5]FECs - good data'!$C$1:$Z$574,14,FALSE)</f>
        <v>2</v>
      </c>
      <c r="BE892" s="16">
        <f>BD892/AS892</f>
        <v>2.2050716648291067</v>
      </c>
      <c r="BF892" s="16">
        <f>IF(BG892&gt;0,1,0)</f>
        <v>0</v>
      </c>
      <c r="BG892" s="77">
        <f>VLOOKUP($K892,'[5]FECs - good data'!$C$1:$Z$574,15,FALSE)</f>
        <v>0</v>
      </c>
      <c r="BH892" s="16">
        <f>BG892/AS892</f>
        <v>0</v>
      </c>
      <c r="BI892" s="16">
        <f>IF(BJ892&gt;0,1,0)</f>
        <v>0</v>
      </c>
      <c r="BJ892" s="16">
        <f>VLOOKUP($K892,'[5]FECs - good data'!$C$1:$Z$574,16,FALSE)</f>
        <v>0</v>
      </c>
      <c r="BK892" s="16">
        <f>BJ892/AS892</f>
        <v>0</v>
      </c>
      <c r="BL892" s="16">
        <f>IF(BM892&gt;0,1,0)</f>
        <v>1</v>
      </c>
      <c r="BM892" s="16">
        <f>SUM(BR892,BU892,BX892,CA892,CD892,CG892,CJ892,CM892,CP892)</f>
        <v>1</v>
      </c>
      <c r="BN892" s="16">
        <f>SUM(BW892,BZ892,CC892,CF892,CI892,CL892,CO892,CR892,BT892)</f>
        <v>4.4101433296582133</v>
      </c>
      <c r="BO892" s="16">
        <f>IF(BP892&gt;0,1,0)</f>
        <v>1</v>
      </c>
      <c r="BP892" s="16">
        <f>SUM(BU892,BX892,CA892,CD892,BR892)</f>
        <v>1</v>
      </c>
      <c r="BQ892" s="16">
        <f>SUM(BZ892,CC892,CF892,BT892,BW892)</f>
        <v>4.4101433296582133</v>
      </c>
      <c r="BR892" s="16">
        <f>IF(BS892&gt;0,1,0)</f>
        <v>0</v>
      </c>
      <c r="BS892" s="16">
        <f>VLOOKUP($K892,'[5]FECs - good data'!$C$1:$Z$574,17,FALSE)</f>
        <v>0</v>
      </c>
      <c r="BT892" s="77">
        <f>BS892/AS892</f>
        <v>0</v>
      </c>
      <c r="BU892" s="16">
        <f>IF(BV892&gt;0,1,0)</f>
        <v>0</v>
      </c>
      <c r="BV892" s="16">
        <f>VLOOKUP($K892,'[5]FECs - good data'!$C$1:$Z$574,18,FALSE)</f>
        <v>0</v>
      </c>
      <c r="BW892" s="16">
        <f>BV892/AS892</f>
        <v>0</v>
      </c>
      <c r="BX892" s="16">
        <f>IF(BY892&gt;0,1,0)</f>
        <v>0</v>
      </c>
      <c r="BY892" s="16">
        <f>VLOOKUP($K892,'[5]FECs - good data'!$C$1:$Z$574,19,FALSE)</f>
        <v>0</v>
      </c>
      <c r="BZ892" s="16">
        <f>BY892/AS892</f>
        <v>0</v>
      </c>
      <c r="CA892" s="16">
        <f>IF(CB892&gt;0,1,0)</f>
        <v>1</v>
      </c>
      <c r="CB892" s="16">
        <f>VLOOKUP($K892,'[5]FECs - good data'!$C$1:$Z$574,20,FALSE)</f>
        <v>4</v>
      </c>
      <c r="CC892" s="16">
        <f>CB892/AS892</f>
        <v>4.4101433296582133</v>
      </c>
      <c r="CD892" s="77">
        <f>IF(CE892&gt;0,1,0)</f>
        <v>0</v>
      </c>
      <c r="CE892" s="16">
        <f>VLOOKUP($K892,'[5]FECs - good data'!$C$1:$Z$574,21,FALSE)</f>
        <v>0</v>
      </c>
      <c r="CF892" s="16">
        <f>CE892/AS892</f>
        <v>0</v>
      </c>
      <c r="CG892" s="16">
        <f>IF(CH892&gt;0,1,0)</f>
        <v>0</v>
      </c>
      <c r="CH892" s="16">
        <f>VLOOKUP($K892,'[5]FECs - good data'!$C$1:$Z$574,22,FALSE)</f>
        <v>0</v>
      </c>
      <c r="CI892" s="16">
        <f>CH892/AS892</f>
        <v>0</v>
      </c>
      <c r="CJ892" s="16">
        <f>IF(CK892&gt;0,1,0)</f>
        <v>0</v>
      </c>
      <c r="CK892" s="16">
        <f>VLOOKUP($K892,'[5]FECs - good data'!$C$1:$Z$674,24,FALSE)</f>
        <v>0</v>
      </c>
      <c r="CL892" s="16">
        <f>CK892/AS892</f>
        <v>0</v>
      </c>
      <c r="CS892" s="16">
        <f>IF(CT892&gt;0,1,0)</f>
        <v>0</v>
      </c>
      <c r="CT892" s="16">
        <f>SUM(CW892+CZ892,DC892)</f>
        <v>0</v>
      </c>
      <c r="CV892" s="16">
        <f>SUM(CY892,DB892,DE892)</f>
        <v>0</v>
      </c>
      <c r="CW892" s="16">
        <f>IF(CX892&gt;0,1,0)</f>
        <v>0</v>
      </c>
      <c r="CX892" s="16">
        <f>VLOOKUP($K892,'[5]FECs - good data'!$C$1:$Z$574,22,FALSE)</f>
        <v>0</v>
      </c>
      <c r="CY892" s="16">
        <f>CX892/AS892</f>
        <v>0</v>
      </c>
      <c r="CZ892" s="16">
        <f>IF(DA892&gt;0,1,0)</f>
        <v>0</v>
      </c>
      <c r="DA892" s="16">
        <f>VLOOKUP($K892,'[5]FECs - good data'!$C$1:$Z$5982,23,FALSE)</f>
        <v>0</v>
      </c>
      <c r="DB892" s="16">
        <f>DA892/AS892</f>
        <v>0</v>
      </c>
      <c r="DC892" s="16">
        <f>IF(DD892&gt;0,1,0)</f>
        <v>0</v>
      </c>
      <c r="DD892" s="16">
        <f>VLOOKUP($K892,'[5]FECs - good data'!$C$1:$Z$574,23,FALSE)</f>
        <v>0</v>
      </c>
      <c r="DE892" s="16">
        <f>DD892/AS892</f>
        <v>0</v>
      </c>
      <c r="DF892" s="16" t="e">
        <f>VLOOKUP(K892,'[3]RNA Seq summary tables'!$V$3:$V$99,1,FALSE)</f>
        <v>#N/A</v>
      </c>
      <c r="DG892" s="16">
        <v>1</v>
      </c>
      <c r="DH892" s="16" t="str">
        <f>VLOOKUP(D892,'[6]workflow 3.2018'!$A$1:$S$237,2,FALSE)</f>
        <v>2017MLBS_105</v>
      </c>
      <c r="JP892" s="30"/>
      <c r="JQ892" s="30"/>
    </row>
    <row r="893" spans="1:288" x14ac:dyDescent="0.2">
      <c r="B893" s="16">
        <v>2017</v>
      </c>
      <c r="C893" s="20">
        <v>42963</v>
      </c>
      <c r="D893" s="20" t="str">
        <f>CONCATENATE(J893,"-",C893)</f>
        <v>1063-42963</v>
      </c>
      <c r="E893" s="20" t="str">
        <f>CONCATENATE(T893,"-",U893,"-",C893)</f>
        <v>PO1-A4-42963</v>
      </c>
      <c r="F893" s="20" t="s">
        <v>106</v>
      </c>
      <c r="G893" s="20" t="s">
        <v>107</v>
      </c>
      <c r="I893" s="16">
        <v>0</v>
      </c>
      <c r="J893" s="21">
        <v>1063</v>
      </c>
      <c r="K893" s="21">
        <v>2147</v>
      </c>
      <c r="L893" s="18">
        <v>0</v>
      </c>
      <c r="M893" s="21">
        <f>VLOOKUP($K893,'[4]blood tubes 2017'!$D$1:$L$647,8,FALSE)</f>
        <v>0</v>
      </c>
      <c r="N893" s="15">
        <v>0</v>
      </c>
      <c r="O893" s="15" t="s">
        <v>214</v>
      </c>
      <c r="P893" s="16" t="s">
        <v>110</v>
      </c>
      <c r="Q893" s="16">
        <v>1</v>
      </c>
      <c r="R893" s="16">
        <v>18</v>
      </c>
      <c r="T893" s="16" t="s">
        <v>112</v>
      </c>
      <c r="U893" s="16" t="s">
        <v>134</v>
      </c>
      <c r="V893" s="16" t="s">
        <v>114</v>
      </c>
      <c r="W893" s="16">
        <f>AI893/AG893</f>
        <v>0.8314606741573034</v>
      </c>
      <c r="X893" s="16" t="s">
        <v>115</v>
      </c>
      <c r="Y893" s="16" t="s">
        <v>110</v>
      </c>
      <c r="Z893" s="16">
        <v>3</v>
      </c>
      <c r="AE893" s="16" t="s">
        <v>116</v>
      </c>
      <c r="AF893" s="16" t="s">
        <v>116</v>
      </c>
      <c r="AG893" s="16">
        <f>AH893-AI893</f>
        <v>89</v>
      </c>
      <c r="AH893" s="16">
        <v>163</v>
      </c>
      <c r="AI893" s="16">
        <v>74</v>
      </c>
      <c r="AK893" s="16">
        <v>23.5</v>
      </c>
      <c r="AL893" s="16">
        <v>1</v>
      </c>
      <c r="AM893" s="16">
        <v>0</v>
      </c>
      <c r="AN893" s="16">
        <v>0</v>
      </c>
      <c r="AO893" s="16">
        <v>1</v>
      </c>
      <c r="AP893" s="16">
        <f>SUM(AL893:AN893)</f>
        <v>1</v>
      </c>
      <c r="AQ893" s="16">
        <v>1.909</v>
      </c>
      <c r="AR893" s="16">
        <f>AP893-1.472</f>
        <v>-0.47199999999999998</v>
      </c>
      <c r="AS893" s="16">
        <f>AQ893-1.472</f>
        <v>0.43700000000000006</v>
      </c>
      <c r="AT893" s="16" t="str">
        <f>VLOOKUP(K893,'[5]FECs - good data'!$C$1:$P$575,13,FALSE)</f>
        <v>SB</v>
      </c>
      <c r="AW893" s="18">
        <f>IF(AX893&gt;0,1,0)</f>
        <v>1</v>
      </c>
      <c r="AX893" s="18">
        <f>SUM(BA893,BM893,CT893)</f>
        <v>6</v>
      </c>
      <c r="AY893" s="18">
        <f>SUM(BB893,BN893,CV893)</f>
        <v>1524.0274599542333</v>
      </c>
      <c r="AZ893" s="18">
        <f>IF(BA893&gt;0,1,0)</f>
        <v>1</v>
      </c>
      <c r="BA893" s="18">
        <f>SUM(BC893,BF893,BI893)</f>
        <v>3</v>
      </c>
      <c r="BB893" s="18">
        <f>SUM(BE893,BH893,BK893)</f>
        <v>1459.9542334096109</v>
      </c>
      <c r="BC893" s="18">
        <f>IF(BD893&gt;0,1,0)</f>
        <v>1</v>
      </c>
      <c r="BD893" s="18">
        <f>VLOOKUP($K893,'[5]FECs - good data'!$C$1:$Z$574,14,FALSE)</f>
        <v>105</v>
      </c>
      <c r="BE893" s="16">
        <f>BD893/AS893</f>
        <v>240.27459954233407</v>
      </c>
      <c r="BF893" s="16">
        <f>IF(BG893&gt;0,1,0)</f>
        <v>1</v>
      </c>
      <c r="BG893" s="77">
        <f>VLOOKUP($K893,'[5]FECs - good data'!$C$1:$Z$574,15,FALSE)</f>
        <v>529</v>
      </c>
      <c r="BH893" s="16">
        <f>BG893/AS893</f>
        <v>1210.5263157894735</v>
      </c>
      <c r="BI893" s="16">
        <f>IF(BJ893&gt;0,1,0)</f>
        <v>1</v>
      </c>
      <c r="BJ893" s="16">
        <f>VLOOKUP($K893,'[5]FECs - good data'!$C$1:$Z$574,16,FALSE)</f>
        <v>4</v>
      </c>
      <c r="BK893" s="16">
        <f>BJ893/AS893</f>
        <v>9.1533180778032026</v>
      </c>
      <c r="BL893" s="16">
        <f>IF(BM893&gt;0,1,0)</f>
        <v>1</v>
      </c>
      <c r="BM893" s="16">
        <f>SUM(BR893,BU893,BX893,CA893,CD893,CG893,CJ893,CM893,CP893)</f>
        <v>3</v>
      </c>
      <c r="BN893" s="16">
        <f>SUM(BW893,BZ893,CC893,CF893,CI893,CL893,CO893,CR893,BT893)</f>
        <v>64.073226544622429</v>
      </c>
      <c r="BO893" s="16">
        <f>IF(BP893&gt;0,1,0)</f>
        <v>1</v>
      </c>
      <c r="BP893" s="16">
        <f>SUM(BU893,BX893,CA893,CD893,BR893)</f>
        <v>2</v>
      </c>
      <c r="BQ893" s="16">
        <f>SUM(BZ893,CC893,CF893,BT893,BW893)</f>
        <v>11.441647597254004</v>
      </c>
      <c r="BR893" s="16">
        <f>IF(BS893&gt;0,1,0)</f>
        <v>0</v>
      </c>
      <c r="BS893" s="16">
        <f>VLOOKUP($K893,'[5]FECs - good data'!$C$1:$Z$574,17,FALSE)</f>
        <v>0</v>
      </c>
      <c r="BT893" s="77">
        <f>BS893/AS893</f>
        <v>0</v>
      </c>
      <c r="BU893" s="16">
        <f>IF(BV893&gt;0,1,0)</f>
        <v>0</v>
      </c>
      <c r="BV893" s="16">
        <f>VLOOKUP($K893,'[5]FECs - good data'!$C$1:$Z$574,18,FALSE)</f>
        <v>0</v>
      </c>
      <c r="BW893" s="16">
        <f>BV893/AS893</f>
        <v>0</v>
      </c>
      <c r="BX893" s="16">
        <f>IF(BY893&gt;0,1,0)</f>
        <v>0</v>
      </c>
      <c r="BY893" s="16">
        <f>VLOOKUP($K893,'[5]FECs - good data'!$C$1:$Z$574,19,FALSE)</f>
        <v>0</v>
      </c>
      <c r="BZ893" s="16">
        <f>BY893/AS893</f>
        <v>0</v>
      </c>
      <c r="CA893" s="16">
        <f>IF(CB893&gt;0,1,0)</f>
        <v>1</v>
      </c>
      <c r="CB893" s="16">
        <f>VLOOKUP($K893,'[5]FECs - good data'!$C$1:$Z$574,20,FALSE)</f>
        <v>3</v>
      </c>
      <c r="CC893" s="16">
        <f>CB893/AS893</f>
        <v>6.864988558352402</v>
      </c>
      <c r="CD893" s="77">
        <f>IF(CE893&gt;0,1,0)</f>
        <v>1</v>
      </c>
      <c r="CE893" s="16">
        <f>VLOOKUP($K893,'[5]FECs - good data'!$C$1:$Z$574,21,FALSE)</f>
        <v>2</v>
      </c>
      <c r="CF893" s="16">
        <f>CE893/AS893</f>
        <v>4.5766590389016013</v>
      </c>
      <c r="CG893" s="16">
        <f>IF(CH893&gt;0,1,0)</f>
        <v>0</v>
      </c>
      <c r="CH893" s="16">
        <f>VLOOKUP($K893,'[5]FECs - good data'!$C$1:$Z$574,22,FALSE)</f>
        <v>0</v>
      </c>
      <c r="CI893" s="16">
        <f>CH893/AS893</f>
        <v>0</v>
      </c>
      <c r="CJ893" s="16">
        <f>IF(CK893&gt;0,1,0)</f>
        <v>1</v>
      </c>
      <c r="CK893" s="16">
        <f>VLOOKUP($K893,'[5]FECs - good data'!$C$1:$Z$674,24,FALSE)</f>
        <v>23</v>
      </c>
      <c r="CL893" s="16">
        <f>CK893/AS893</f>
        <v>52.631578947368418</v>
      </c>
      <c r="CS893" s="16">
        <f>IF(CT893&gt;0,1,0)</f>
        <v>0</v>
      </c>
      <c r="CT893" s="16">
        <f>SUM(CW893+CZ893,DC893)</f>
        <v>0</v>
      </c>
      <c r="CV893" s="16">
        <f>SUM(CY893,DB893,DE893)</f>
        <v>0</v>
      </c>
      <c r="CW893" s="16">
        <f>IF(CX893&gt;0,1,0)</f>
        <v>0</v>
      </c>
      <c r="CX893" s="16">
        <f>VLOOKUP($K893,'[5]FECs - good data'!$C$1:$Z$574,22,FALSE)</f>
        <v>0</v>
      </c>
      <c r="CY893" s="16">
        <f>CX893/AS893</f>
        <v>0</v>
      </c>
      <c r="CZ893" s="16">
        <f>IF(DA893&gt;0,1,0)</f>
        <v>0</v>
      </c>
      <c r="DA893" s="16">
        <f>VLOOKUP($K893,'[5]FECs - good data'!$C$1:$Z$5982,23,FALSE)</f>
        <v>0</v>
      </c>
      <c r="DB893" s="16">
        <f>DA893/AS893</f>
        <v>0</v>
      </c>
      <c r="DC893" s="16">
        <f>IF(DD893&gt;0,1,0)</f>
        <v>0</v>
      </c>
      <c r="DD893" s="16">
        <f>VLOOKUP($K893,'[5]FECs - good data'!$C$1:$Z$574,23,FALSE)</f>
        <v>0</v>
      </c>
      <c r="DE893" s="16">
        <f>DD893/AS893</f>
        <v>0</v>
      </c>
      <c r="DF893" s="16" t="e">
        <f>VLOOKUP(K893,'[3]RNA Seq summary tables'!$V$3:$V$99,1,FALSE)</f>
        <v>#N/A</v>
      </c>
      <c r="DG893" s="16">
        <v>1</v>
      </c>
      <c r="DH893" s="16" t="str">
        <f>VLOOKUP(D893,'[6]workflow 3.2018'!$A$1:$S$237,2,FALSE)</f>
        <v>2017MLBS_146</v>
      </c>
      <c r="JO893" s="38"/>
      <c r="JP893" s="38"/>
      <c r="JQ893" s="38"/>
    </row>
    <row r="894" spans="1:288" x14ac:dyDescent="0.2">
      <c r="B894" s="16">
        <v>2017</v>
      </c>
      <c r="C894" s="66">
        <v>42893</v>
      </c>
      <c r="D894" s="66" t="str">
        <f>CONCATENATE(J894,"-",C894)</f>
        <v>1065-42893</v>
      </c>
      <c r="E894" s="20" t="str">
        <f>CONCATENATE(T894,"-",U894,"-",C894)</f>
        <v>PO1-B7-42893</v>
      </c>
      <c r="F894" s="20" t="s">
        <v>106</v>
      </c>
      <c r="G894" s="20" t="s">
        <v>107</v>
      </c>
      <c r="I894" s="16">
        <v>0</v>
      </c>
      <c r="J894" s="21">
        <v>1065</v>
      </c>
      <c r="K894" s="21">
        <v>1619</v>
      </c>
      <c r="L894" s="16">
        <v>1</v>
      </c>
      <c r="M894" s="21">
        <f>VLOOKUP($K894,'[4]blood tubes 2017'!$D$1:$L$647,8,FALSE)</f>
        <v>0</v>
      </c>
      <c r="N894" s="15">
        <v>0</v>
      </c>
      <c r="O894" s="15" t="s">
        <v>214</v>
      </c>
      <c r="P894" s="16" t="s">
        <v>110</v>
      </c>
      <c r="Q894" s="16">
        <v>0</v>
      </c>
      <c r="R894" s="16" t="s">
        <v>111</v>
      </c>
      <c r="T894" s="16" t="s">
        <v>112</v>
      </c>
      <c r="U894" s="16" t="s">
        <v>168</v>
      </c>
      <c r="V894" s="16" t="s">
        <v>114</v>
      </c>
      <c r="W894" s="16">
        <f>AI894/AG894</f>
        <v>0.8764044943820225</v>
      </c>
      <c r="X894" s="16" t="s">
        <v>121</v>
      </c>
      <c r="Y894" s="16" t="s">
        <v>110</v>
      </c>
      <c r="Z894" s="16">
        <v>3</v>
      </c>
      <c r="AA894" s="16" t="s">
        <v>119</v>
      </c>
      <c r="AB894" s="16" t="s">
        <v>239</v>
      </c>
      <c r="AC894" s="16" t="s">
        <v>123</v>
      </c>
      <c r="AD894" s="16" t="s">
        <v>123</v>
      </c>
      <c r="AG894" s="16">
        <f>AH894-AI894</f>
        <v>89</v>
      </c>
      <c r="AH894" s="16">
        <v>167</v>
      </c>
      <c r="AI894" s="16">
        <v>78</v>
      </c>
      <c r="AK894" s="16">
        <v>28</v>
      </c>
      <c r="AL894" s="16">
        <v>0</v>
      </c>
      <c r="AM894" s="16">
        <v>0</v>
      </c>
      <c r="AN894" s="16">
        <v>0</v>
      </c>
      <c r="AO894" s="16">
        <v>0</v>
      </c>
      <c r="AP894" s="16">
        <f>SUM(AL894:AN894)</f>
        <v>0</v>
      </c>
      <c r="AQ894" s="16">
        <v>2.1709999999999998</v>
      </c>
      <c r="AR894" s="16">
        <f>AP894-1.472</f>
        <v>-1.472</v>
      </c>
      <c r="AS894" s="16">
        <f>AQ894-1.472</f>
        <v>0.69899999999999984</v>
      </c>
      <c r="AT894" s="16" t="s">
        <v>119</v>
      </c>
      <c r="AW894" s="16">
        <f>IF(AX894&gt;0,1,0)</f>
        <v>1</v>
      </c>
      <c r="AX894" s="16">
        <f>SUM(BA894,BM894,CT894)</f>
        <v>2</v>
      </c>
      <c r="AY894" s="18">
        <f>SUM(BB894,BN894,CV894)</f>
        <v>1802.5751072961377</v>
      </c>
      <c r="AZ894" s="16">
        <f>IF(BA894&gt;0,1,0)</f>
        <v>1</v>
      </c>
      <c r="BA894" s="16">
        <f>SUM(BC894,BF894,BI894)</f>
        <v>1</v>
      </c>
      <c r="BB894" s="16">
        <f>SUM(BE894,BH894,BK894)</f>
        <v>1799.7138769670962</v>
      </c>
      <c r="BC894" s="16">
        <v>0</v>
      </c>
      <c r="BD894" s="16">
        <v>0</v>
      </c>
      <c r="BE894" s="16">
        <f>BD894/AS894</f>
        <v>0</v>
      </c>
      <c r="BF894" s="16">
        <v>1</v>
      </c>
      <c r="BG894" s="77">
        <v>1258</v>
      </c>
      <c r="BH894" s="16">
        <f>BG894/AS894</f>
        <v>1799.7138769670962</v>
      </c>
      <c r="BI894" s="16">
        <v>0</v>
      </c>
      <c r="BJ894" s="16">
        <v>0</v>
      </c>
      <c r="BK894" s="16">
        <f>BJ894/AS894</f>
        <v>0</v>
      </c>
      <c r="BL894" s="16">
        <f>IF(BM894&gt;0,1,0)</f>
        <v>1</v>
      </c>
      <c r="BM894" s="16">
        <f>SUM(BR894,BU894,BX894,CA894,CD894,CG894,CJ894,CM894,CP894)</f>
        <v>1</v>
      </c>
      <c r="BN894" s="16">
        <f>SUM(BW894,BZ894,CC894,CF894,CI894,CL894,CO894,CR894,BT894)</f>
        <v>2.8612303290414887</v>
      </c>
      <c r="BO894" s="16">
        <f>IF(BP894&gt;0,1,0)</f>
        <v>1</v>
      </c>
      <c r="BP894" s="16">
        <f>SUM(BU894,BX894,CA894,CD894,BR894)</f>
        <v>1</v>
      </c>
      <c r="BQ894" s="16">
        <f>SUM(BZ894,CC894,CF894,BT894,BW894)</f>
        <v>2.8612303290414887</v>
      </c>
      <c r="BR894" s="16">
        <v>0</v>
      </c>
      <c r="BS894" s="16">
        <v>0</v>
      </c>
      <c r="BT894" s="77">
        <f>BS894/AS894</f>
        <v>0</v>
      </c>
      <c r="BU894" s="16">
        <v>0</v>
      </c>
      <c r="BV894" s="16">
        <v>0</v>
      </c>
      <c r="BW894" s="16">
        <f>BV894/AS894</f>
        <v>0</v>
      </c>
      <c r="BX894" s="16">
        <v>0</v>
      </c>
      <c r="BY894" s="16">
        <v>0</v>
      </c>
      <c r="BZ894" s="16">
        <f>BY894/AS894</f>
        <v>0</v>
      </c>
      <c r="CA894" s="16">
        <v>1</v>
      </c>
      <c r="CB894" s="16">
        <v>2</v>
      </c>
      <c r="CC894" s="16">
        <f>CB894/AS894</f>
        <v>2.8612303290414887</v>
      </c>
      <c r="CD894" s="77">
        <v>0</v>
      </c>
      <c r="CE894" s="16">
        <v>0</v>
      </c>
      <c r="CF894" s="16">
        <f>CE894/AS894</f>
        <v>0</v>
      </c>
      <c r="CG894" s="16">
        <v>0</v>
      </c>
      <c r="CH894" s="16">
        <v>0</v>
      </c>
      <c r="CI894" s="16">
        <f>CH894/AS894</f>
        <v>0</v>
      </c>
      <c r="CM894" s="16">
        <v>0</v>
      </c>
      <c r="CN894" s="16">
        <v>0</v>
      </c>
      <c r="CO894" s="16">
        <f>CN894/AS894</f>
        <v>0</v>
      </c>
      <c r="CP894" s="16">
        <v>0</v>
      </c>
      <c r="CQ894" s="16">
        <v>0</v>
      </c>
      <c r="CR894" s="16">
        <f>CQ894/AS894</f>
        <v>0</v>
      </c>
      <c r="CS894" s="16">
        <f>IF(CT894&gt;0,1,0)</f>
        <v>0</v>
      </c>
      <c r="CT894" s="16">
        <f>SUM(CW894,CZ894,DC894)</f>
        <v>0</v>
      </c>
      <c r="CV894" s="16">
        <f>SUM(CY894,DB894,DE894)</f>
        <v>0</v>
      </c>
      <c r="CW894" s="16">
        <v>0</v>
      </c>
      <c r="CX894" s="16">
        <v>0</v>
      </c>
      <c r="CY894" s="16">
        <f>CX894/AS894</f>
        <v>0</v>
      </c>
      <c r="CZ894" s="16">
        <v>0</v>
      </c>
      <c r="DA894" s="16">
        <v>0</v>
      </c>
      <c r="DB894" s="16">
        <f>DA894/AS894</f>
        <v>0</v>
      </c>
      <c r="DC894" s="16">
        <v>0</v>
      </c>
      <c r="DD894" s="16">
        <v>0</v>
      </c>
      <c r="DE894" s="16">
        <f>DD894/AS894</f>
        <v>0</v>
      </c>
      <c r="DF894" s="16">
        <f>VLOOKUP(K894,'[3]RNA Seq summary tables'!$V$3:$V$99,1,FALSE)</f>
        <v>1619</v>
      </c>
      <c r="DG894" s="16">
        <v>1</v>
      </c>
      <c r="DH894" s="16" t="str">
        <f>VLOOKUP(D894,'[6]workflow 3.2018'!$A$1:$S$237,2,FALSE)</f>
        <v>2017MLBS_30</v>
      </c>
      <c r="DI894" s="16">
        <v>16</v>
      </c>
      <c r="DK894" s="16">
        <v>75</v>
      </c>
      <c r="DM894" s="16">
        <v>8</v>
      </c>
      <c r="DO894" s="16">
        <v>0</v>
      </c>
      <c r="DQ894" s="16">
        <v>1</v>
      </c>
      <c r="DR894" s="16">
        <v>100</v>
      </c>
    </row>
    <row r="895" spans="1:288" x14ac:dyDescent="0.2">
      <c r="B895" s="16">
        <v>2017</v>
      </c>
      <c r="C895" s="20">
        <v>42911</v>
      </c>
      <c r="D895" s="20" t="str">
        <f>CONCATENATE(J895,"-",C895)</f>
        <v>1065-42911</v>
      </c>
      <c r="E895" s="20" t="str">
        <f>CONCATENATE(T895,"-",U895,"-",C895)</f>
        <v>PO1-A8-42911</v>
      </c>
      <c r="F895" s="20" t="s">
        <v>106</v>
      </c>
      <c r="G895" s="20" t="s">
        <v>107</v>
      </c>
      <c r="I895" s="16">
        <v>0</v>
      </c>
      <c r="J895" s="21">
        <v>1065</v>
      </c>
      <c r="K895" s="21">
        <v>1724</v>
      </c>
      <c r="L895" s="16">
        <v>1</v>
      </c>
      <c r="M895" s="21">
        <f>VLOOKUP($K895,'[4]blood tubes 2017'!$D$1:$L$647,8,FALSE)</f>
        <v>0</v>
      </c>
      <c r="N895" s="15">
        <v>0</v>
      </c>
      <c r="O895" s="15" t="s">
        <v>214</v>
      </c>
      <c r="P895" s="16" t="s">
        <v>110</v>
      </c>
      <c r="Q895" s="16">
        <v>1</v>
      </c>
      <c r="R895" s="16">
        <v>18</v>
      </c>
      <c r="T895" s="16" t="s">
        <v>112</v>
      </c>
      <c r="U895" s="16" t="s">
        <v>194</v>
      </c>
      <c r="V895" s="16" t="s">
        <v>114</v>
      </c>
      <c r="W895" s="16">
        <f>AI895/AG895</f>
        <v>0.7857142857142857</v>
      </c>
      <c r="X895" s="16" t="s">
        <v>121</v>
      </c>
      <c r="Y895" s="16" t="s">
        <v>110</v>
      </c>
      <c r="Z895" s="16">
        <v>3</v>
      </c>
      <c r="AA895" s="16" t="s">
        <v>119</v>
      </c>
      <c r="AB895" s="16" t="s">
        <v>239</v>
      </c>
      <c r="AC895" s="16" t="s">
        <v>123</v>
      </c>
      <c r="AD895" s="16" t="s">
        <v>123</v>
      </c>
      <c r="AG895" s="16">
        <f>AH895-AI895</f>
        <v>98</v>
      </c>
      <c r="AH895" s="16">
        <v>175</v>
      </c>
      <c r="AI895" s="16">
        <v>77</v>
      </c>
      <c r="AK895" s="16">
        <v>25.5</v>
      </c>
      <c r="AL895" s="16">
        <v>0</v>
      </c>
      <c r="AM895" s="16">
        <v>0</v>
      </c>
      <c r="AN895" s="16">
        <v>0</v>
      </c>
      <c r="AO895" s="16">
        <v>0</v>
      </c>
      <c r="AP895" s="16">
        <f>SUM(AL895:AN895)</f>
        <v>0</v>
      </c>
      <c r="AQ895" s="16">
        <v>1.903</v>
      </c>
      <c r="AR895" s="16">
        <f>AP895-1.472</f>
        <v>-1.472</v>
      </c>
      <c r="AS895" s="16">
        <f>AQ895-1.472</f>
        <v>0.43100000000000005</v>
      </c>
      <c r="AT895" s="18" t="s">
        <v>233</v>
      </c>
      <c r="AU895" s="18"/>
      <c r="AV895" s="18"/>
      <c r="AW895" s="18">
        <f>IF(AX895&gt;0,1,0)</f>
        <v>1</v>
      </c>
      <c r="AX895" s="18">
        <f>SUM(BA895,BM895,CT895)</f>
        <v>3</v>
      </c>
      <c r="AY895" s="18">
        <f>SUM(BB895,BN895,CV895)</f>
        <v>317.86542923433876</v>
      </c>
      <c r="AZ895" s="18">
        <f>IF(BA895&gt;0,1,0)</f>
        <v>1</v>
      </c>
      <c r="BA895" s="18">
        <f>SUM(BC895,BF895,BI895)</f>
        <v>1</v>
      </c>
      <c r="BB895" s="18">
        <f>SUM(BE895,BH895,BK895)</f>
        <v>122.96983758700695</v>
      </c>
      <c r="BC895" s="16">
        <v>0</v>
      </c>
      <c r="BD895" s="16">
        <v>0</v>
      </c>
      <c r="BE895" s="16">
        <f>BD895/AS895</f>
        <v>0</v>
      </c>
      <c r="BF895" s="16">
        <v>1</v>
      </c>
      <c r="BG895" s="77">
        <v>53</v>
      </c>
      <c r="BH895" s="16">
        <f>BG895/AS895</f>
        <v>122.96983758700695</v>
      </c>
      <c r="BI895" s="16">
        <v>0</v>
      </c>
      <c r="BJ895" s="16">
        <v>0</v>
      </c>
      <c r="BK895" s="16">
        <f>BJ895/AS895</f>
        <v>0</v>
      </c>
      <c r="BL895" s="16">
        <f>IF(BM895&gt;0,1,0)</f>
        <v>1</v>
      </c>
      <c r="BM895" s="16">
        <f>SUM(BR895,BU895,BX895,CA895,CD895,CG895,CJ895,CM895,CP895)</f>
        <v>1</v>
      </c>
      <c r="BN895" s="16">
        <f>SUM(BW895,BZ895,CC895,CF895,CI895,CL895,CO895,CR895,BT895)</f>
        <v>2.3201856148491875</v>
      </c>
      <c r="BO895" s="16">
        <f>IF(BP895&gt;0,1,0)</f>
        <v>1</v>
      </c>
      <c r="BP895" s="16">
        <f>SUM(BU895,BX895,CA895,CD895,BR895)</f>
        <v>1</v>
      </c>
      <c r="BQ895" s="16">
        <f>SUM(BZ895,CC895,CF895,BT895,BW895)</f>
        <v>2.3201856148491875</v>
      </c>
      <c r="BR895" s="16">
        <v>0</v>
      </c>
      <c r="BS895" s="16">
        <v>0</v>
      </c>
      <c r="BT895" s="77">
        <f>BS895/AS895</f>
        <v>0</v>
      </c>
      <c r="BU895" s="16">
        <v>0</v>
      </c>
      <c r="BV895" s="16">
        <v>0</v>
      </c>
      <c r="BW895" s="16">
        <f>BV895/AS895</f>
        <v>0</v>
      </c>
      <c r="BX895" s="16">
        <v>0</v>
      </c>
      <c r="BY895" s="16">
        <v>0</v>
      </c>
      <c r="BZ895" s="16">
        <f>BY895/AS895</f>
        <v>0</v>
      </c>
      <c r="CA895" s="16">
        <v>1</v>
      </c>
      <c r="CB895" s="16">
        <v>1</v>
      </c>
      <c r="CC895" s="16">
        <f>CB895/AS895</f>
        <v>2.3201856148491875</v>
      </c>
      <c r="CD895" s="77">
        <v>0</v>
      </c>
      <c r="CE895" s="16">
        <v>0</v>
      </c>
      <c r="CF895" s="16">
        <f>CE895/AS895</f>
        <v>0</v>
      </c>
      <c r="CG895" s="16">
        <v>0</v>
      </c>
      <c r="CH895" s="16">
        <v>0</v>
      </c>
      <c r="CI895" s="16">
        <f>CH895/AS895</f>
        <v>0</v>
      </c>
      <c r="CM895" s="16">
        <v>0</v>
      </c>
      <c r="CN895" s="16">
        <v>0</v>
      </c>
      <c r="CO895" s="16">
        <f>CN895/AS895</f>
        <v>0</v>
      </c>
      <c r="CP895" s="16">
        <v>0</v>
      </c>
      <c r="CQ895" s="16">
        <v>0</v>
      </c>
      <c r="CR895" s="16">
        <f>CQ895/AS895</f>
        <v>0</v>
      </c>
      <c r="CS895" s="16">
        <f>IF(CT895&gt;0,1,0)</f>
        <v>1</v>
      </c>
      <c r="CT895" s="16">
        <f>SUM(CW895,CZ895,DC895)</f>
        <v>1</v>
      </c>
      <c r="CV895" s="16">
        <f>SUM(CY895,DB895,DE895)</f>
        <v>192.57540603248259</v>
      </c>
      <c r="CW895" s="16">
        <v>1</v>
      </c>
      <c r="CX895" s="16">
        <v>83</v>
      </c>
      <c r="CY895" s="16">
        <f>CX895/AS895</f>
        <v>192.57540603248259</v>
      </c>
      <c r="CZ895" s="16">
        <v>0</v>
      </c>
      <c r="DA895" s="16">
        <v>0</v>
      </c>
      <c r="DB895" s="16">
        <f>DA895/AS895</f>
        <v>0</v>
      </c>
      <c r="DC895" s="16">
        <v>0</v>
      </c>
      <c r="DD895" s="16">
        <v>0</v>
      </c>
      <c r="DE895" s="16">
        <f>DD895/AS895</f>
        <v>0</v>
      </c>
      <c r="DF895" s="16">
        <f>VLOOKUP(K895,'[3]RNA Seq summary tables'!$V$3:$V$99,1,FALSE)</f>
        <v>1724</v>
      </c>
      <c r="DI895" s="16">
        <v>13</v>
      </c>
      <c r="DK895" s="16">
        <v>83</v>
      </c>
      <c r="DM895" s="16">
        <v>4</v>
      </c>
      <c r="DO895" s="16">
        <v>0</v>
      </c>
      <c r="DQ895" s="16">
        <v>0</v>
      </c>
      <c r="DR895" s="16">
        <f>SUM(DI895:DQ895)</f>
        <v>100</v>
      </c>
    </row>
    <row r="896" spans="1:288" x14ac:dyDescent="0.2">
      <c r="B896" s="16">
        <v>2017</v>
      </c>
      <c r="C896" s="20">
        <v>42927</v>
      </c>
      <c r="D896" s="20" t="str">
        <f>CONCATENATE(J896,"-",C896)</f>
        <v>1065-42927</v>
      </c>
      <c r="E896" s="20" t="str">
        <f>CONCATENATE(T896,"-",U896,"-",C896)</f>
        <v>PO1-D5-42927</v>
      </c>
      <c r="F896" s="20" t="s">
        <v>106</v>
      </c>
      <c r="G896" s="20" t="s">
        <v>107</v>
      </c>
      <c r="I896" s="16">
        <v>0</v>
      </c>
      <c r="J896" s="21">
        <v>1065</v>
      </c>
      <c r="K896" s="21">
        <v>1853</v>
      </c>
      <c r="L896" s="16">
        <v>1</v>
      </c>
      <c r="M896" s="21">
        <f>VLOOKUP($K896,'[4]blood tubes 2017'!$D$1:$L$647,8,FALSE)</f>
        <v>0</v>
      </c>
      <c r="N896" s="15">
        <v>0</v>
      </c>
      <c r="O896" s="15" t="s">
        <v>214</v>
      </c>
      <c r="P896" s="16" t="s">
        <v>110</v>
      </c>
      <c r="Q896" s="16">
        <v>1</v>
      </c>
      <c r="R896" s="16">
        <v>16</v>
      </c>
      <c r="T896" s="16" t="s">
        <v>112</v>
      </c>
      <c r="U896" s="16" t="s">
        <v>183</v>
      </c>
      <c r="V896" s="16" t="s">
        <v>114</v>
      </c>
      <c r="W896" s="16">
        <f>AI896/AG896</f>
        <v>0.79381443298969068</v>
      </c>
      <c r="X896" s="16" t="s">
        <v>121</v>
      </c>
      <c r="Y896" s="16" t="s">
        <v>110</v>
      </c>
      <c r="Z896" s="16">
        <v>3</v>
      </c>
      <c r="AA896" s="16" t="s">
        <v>119</v>
      </c>
      <c r="AB896" s="16" t="s">
        <v>123</v>
      </c>
      <c r="AC896" s="16" t="s">
        <v>123</v>
      </c>
      <c r="AD896" s="16" t="s">
        <v>123</v>
      </c>
      <c r="AG896" s="16">
        <f>AH896-AI896</f>
        <v>97</v>
      </c>
      <c r="AH896" s="16">
        <v>174</v>
      </c>
      <c r="AI896" s="16">
        <v>77</v>
      </c>
      <c r="AK896" s="16">
        <v>24</v>
      </c>
      <c r="AL896" s="16">
        <v>0</v>
      </c>
      <c r="AM896" s="16">
        <v>0</v>
      </c>
      <c r="AN896" s="16">
        <v>0</v>
      </c>
      <c r="AO896" s="16">
        <v>0</v>
      </c>
      <c r="AP896" s="16">
        <f>SUM(AL896:AN896)</f>
        <v>0</v>
      </c>
      <c r="AQ896" s="16">
        <v>1.8879999999999999</v>
      </c>
      <c r="AR896" s="16">
        <f>AP896-1.472</f>
        <v>-1.472</v>
      </c>
      <c r="AS896" s="16">
        <f>AQ896-1.472</f>
        <v>0.41599999999999993</v>
      </c>
      <c r="AT896" s="18" t="str">
        <f>VLOOKUP(K896,'[5]FECs - good data'!$C$1:$P$575,13,FALSE)</f>
        <v>NB</v>
      </c>
      <c r="AU896" s="18" t="s">
        <v>1293</v>
      </c>
      <c r="AV896" s="16">
        <v>0</v>
      </c>
      <c r="AW896" s="18">
        <f>IF(AX896&gt;0,1,0)</f>
        <v>0</v>
      </c>
      <c r="AX896" s="18">
        <f>SUM(BA896,BM896,CT896)</f>
        <v>0</v>
      </c>
      <c r="AY896" s="18">
        <f>SUM(BB896,BN896,CV896)</f>
        <v>0</v>
      </c>
      <c r="AZ896" s="18">
        <f>IF(BA896&gt;0,1,0)</f>
        <v>0</v>
      </c>
      <c r="BA896" s="18">
        <f>SUM(BC896,BF896,BI896)</f>
        <v>0</v>
      </c>
      <c r="BB896" s="18">
        <f>SUM(BE896,BH896,BK896)</f>
        <v>0</v>
      </c>
      <c r="BC896" s="18">
        <f>IF(BD896&gt;0,1,0)</f>
        <v>0</v>
      </c>
      <c r="BD896" s="18">
        <f>VLOOKUP($K896,'[5]FECs - good data'!$C$1:$Z$574,14,FALSE)</f>
        <v>0</v>
      </c>
      <c r="BE896" s="16">
        <f>BD896/AS896</f>
        <v>0</v>
      </c>
      <c r="BF896" s="16">
        <f>IF(BG896&gt;0,1,0)</f>
        <v>0</v>
      </c>
      <c r="BG896" s="77">
        <f>VLOOKUP($K896,'[5]FECs - good data'!$C$1:$Z$574,15,FALSE)</f>
        <v>0</v>
      </c>
      <c r="BH896" s="16">
        <f>BG896/AS896</f>
        <v>0</v>
      </c>
      <c r="BI896" s="16">
        <f>IF(BJ896&gt;0,1,0)</f>
        <v>0</v>
      </c>
      <c r="BJ896" s="16">
        <f>VLOOKUP($K896,'[5]FECs - good data'!$C$1:$Z$574,16,FALSE)</f>
        <v>0</v>
      </c>
      <c r="BK896" s="16">
        <f>BJ896/AS896</f>
        <v>0</v>
      </c>
      <c r="BL896" s="16">
        <f>IF(BM896&gt;0,1,0)</f>
        <v>0</v>
      </c>
      <c r="BM896" s="16">
        <f>SUM(BR896,BU896,BX896,CA896,CD896,CG896,CJ896,CM896,CP896)</f>
        <v>0</v>
      </c>
      <c r="BN896" s="16">
        <f>SUM(BW896,BZ896,CC896,CF896,CI896,CL896,CO896,CR896,BT896)</f>
        <v>0</v>
      </c>
      <c r="BO896" s="16">
        <f>IF(BP896&gt;0,1,0)</f>
        <v>0</v>
      </c>
      <c r="BP896" s="16">
        <f>SUM(BU896,BX896,CA896,CD896,BR896)</f>
        <v>0</v>
      </c>
      <c r="BQ896" s="16">
        <f>SUM(BZ896,CC896,CF896,BT896,BW896)</f>
        <v>0</v>
      </c>
      <c r="BR896" s="16">
        <f>IF(BS896&gt;0,1,0)</f>
        <v>0</v>
      </c>
      <c r="BS896" s="16">
        <f>VLOOKUP($K896,'[5]FECs - good data'!$C$1:$Z$574,17,FALSE)</f>
        <v>0</v>
      </c>
      <c r="BT896" s="77">
        <f>BS896/AS896</f>
        <v>0</v>
      </c>
      <c r="BU896" s="16">
        <f>IF(BV896&gt;0,1,0)</f>
        <v>0</v>
      </c>
      <c r="BV896" s="16">
        <f>VLOOKUP($K896,'[5]FECs - good data'!$C$1:$Z$574,18,FALSE)</f>
        <v>0</v>
      </c>
      <c r="BW896" s="16">
        <f>BV896/AS896</f>
        <v>0</v>
      </c>
      <c r="BX896" s="16">
        <f>IF(BY896&gt;0,1,0)</f>
        <v>0</v>
      </c>
      <c r="BY896" s="16">
        <f>VLOOKUP($K896,'[5]FECs - good data'!$C$1:$Z$574,19,FALSE)</f>
        <v>0</v>
      </c>
      <c r="BZ896" s="16">
        <f>BY896/AS896</f>
        <v>0</v>
      </c>
      <c r="CA896" s="16">
        <f>IF(CB896&gt;0,1,0)</f>
        <v>0</v>
      </c>
      <c r="CB896" s="16">
        <f>VLOOKUP($K896,'[5]FECs - good data'!$C$1:$Z$574,20,FALSE)</f>
        <v>0</v>
      </c>
      <c r="CC896" s="16">
        <f>CB896/AS896</f>
        <v>0</v>
      </c>
      <c r="CD896" s="77">
        <f>IF(CE896&gt;0,1,0)</f>
        <v>0</v>
      </c>
      <c r="CE896" s="16">
        <f>VLOOKUP($K896,'[5]FECs - good data'!$C$1:$Z$574,21,FALSE)</f>
        <v>0</v>
      </c>
      <c r="CF896" s="16">
        <f>CE896/AS896</f>
        <v>0</v>
      </c>
      <c r="CG896" s="16">
        <f>IF(CH896&gt;0,1,0)</f>
        <v>0</v>
      </c>
      <c r="CH896" s="16">
        <f>VLOOKUP($K896,'[5]FECs - good data'!$C$1:$Z$574,22,FALSE)</f>
        <v>0</v>
      </c>
      <c r="CI896" s="16">
        <f>CH896/AS896</f>
        <v>0</v>
      </c>
      <c r="CJ896" s="16">
        <f>IF(CK896&gt;0,1,0)</f>
        <v>0</v>
      </c>
      <c r="CK896" s="16">
        <f>VLOOKUP($K896,'[5]FECs - good data'!$C$1:$Z$674,24,FALSE)</f>
        <v>0</v>
      </c>
      <c r="CL896" s="16">
        <f>CK896/AS896</f>
        <v>0</v>
      </c>
      <c r="CS896" s="16">
        <f>IF(CT896&gt;0,1,0)</f>
        <v>0</v>
      </c>
      <c r="CT896" s="16">
        <f>SUM(CW896+CZ896,DC896)</f>
        <v>0</v>
      </c>
      <c r="CV896" s="16">
        <f>SUM(CY896,DB896,DE896)</f>
        <v>0</v>
      </c>
      <c r="CW896" s="16">
        <f>IF(CX896&gt;0,1,0)</f>
        <v>0</v>
      </c>
      <c r="CX896" s="16">
        <f>VLOOKUP($K896,'[5]FECs - good data'!$C$1:$Z$574,22,FALSE)</f>
        <v>0</v>
      </c>
      <c r="CY896" s="16">
        <f>CX896/AS896</f>
        <v>0</v>
      </c>
      <c r="CZ896" s="16">
        <f>IF(DA896&gt;0,1,0)</f>
        <v>0</v>
      </c>
      <c r="DA896" s="16">
        <f>VLOOKUP($K896,'[5]FECs - good data'!$C$1:$Z$5982,23,FALSE)</f>
        <v>0</v>
      </c>
      <c r="DB896" s="16">
        <f>DA896/AS896</f>
        <v>0</v>
      </c>
      <c r="DC896" s="16">
        <f>IF(DD896&gt;0,1,0)</f>
        <v>0</v>
      </c>
      <c r="DD896" s="16">
        <f>VLOOKUP($K896,'[5]FECs - good data'!$C$1:$Z$574,23,FALSE)</f>
        <v>0</v>
      </c>
      <c r="DE896" s="16">
        <f>DD896/AS896</f>
        <v>0</v>
      </c>
      <c r="DF896" s="16">
        <f>VLOOKUP(K896,'[3]RNA Seq summary tables'!$V$3:$V$99,1,FALSE)</f>
        <v>1853</v>
      </c>
      <c r="JR896" s="27"/>
      <c r="JS896" s="27"/>
      <c r="JT896" s="27"/>
      <c r="JU896" s="27"/>
      <c r="JV896" s="27"/>
      <c r="JW896" s="27"/>
      <c r="JX896" s="27"/>
      <c r="JY896" s="27"/>
      <c r="JZ896" s="27"/>
      <c r="KA896" s="27"/>
      <c r="KB896" s="27"/>
    </row>
    <row r="897" spans="1:288" x14ac:dyDescent="0.2">
      <c r="A897" s="19"/>
      <c r="B897" s="19">
        <v>2017</v>
      </c>
      <c r="C897" s="67">
        <v>42893</v>
      </c>
      <c r="D897" s="67" t="str">
        <f>CONCATENATE(J897,"-",C897)</f>
        <v>1067-42893</v>
      </c>
      <c r="E897" s="20" t="str">
        <f>CONCATENATE(T897,"-",U897,"-",C897)</f>
        <v>PO1-D1-42893</v>
      </c>
      <c r="F897" s="20" t="s">
        <v>106</v>
      </c>
      <c r="G897" s="68" t="s">
        <v>107</v>
      </c>
      <c r="H897" s="19"/>
      <c r="I897" s="16">
        <v>0</v>
      </c>
      <c r="J897" s="69">
        <v>1067</v>
      </c>
      <c r="K897" s="69">
        <v>1621</v>
      </c>
      <c r="L897" s="18">
        <v>0</v>
      </c>
      <c r="M897" s="69">
        <f>VLOOKUP($K897,'[4]blood tubes 2017'!$D$1:$L$647,8,FALSE)</f>
        <v>1</v>
      </c>
      <c r="N897" s="69">
        <f>VLOOKUP($K897,'[4]blood tubes 2017'!$D$1:$L$647,9,FALSE)</f>
        <v>25</v>
      </c>
      <c r="O897" s="15" t="s">
        <v>214</v>
      </c>
      <c r="P897" s="19" t="s">
        <v>110</v>
      </c>
      <c r="Q897" s="19">
        <v>0</v>
      </c>
      <c r="R897" s="19" t="s">
        <v>111</v>
      </c>
      <c r="S897" s="19"/>
      <c r="T897" s="19" t="s">
        <v>112</v>
      </c>
      <c r="U897" s="19" t="s">
        <v>157</v>
      </c>
      <c r="V897" s="19" t="s">
        <v>142</v>
      </c>
      <c r="W897" s="16">
        <f>AI897/AG897</f>
        <v>0.98717948717948723</v>
      </c>
      <c r="X897" s="19" t="s">
        <v>115</v>
      </c>
      <c r="Y897" s="19" t="s">
        <v>110</v>
      </c>
      <c r="Z897" s="19">
        <v>3</v>
      </c>
      <c r="AA897" s="19"/>
      <c r="AB897" s="19"/>
      <c r="AC897" s="19"/>
      <c r="AD897" s="19"/>
      <c r="AE897" s="19" t="s">
        <v>123</v>
      </c>
      <c r="AF897" s="19" t="s">
        <v>123</v>
      </c>
      <c r="AG897" s="19">
        <f>AH897-AI897</f>
        <v>78</v>
      </c>
      <c r="AH897" s="19">
        <v>155</v>
      </c>
      <c r="AI897" s="19">
        <v>77</v>
      </c>
      <c r="AJ897" s="19"/>
      <c r="AK897" s="19">
        <v>14</v>
      </c>
      <c r="AL897" s="19">
        <v>0</v>
      </c>
      <c r="AM897" s="19">
        <v>0</v>
      </c>
      <c r="AN897" s="19">
        <v>0</v>
      </c>
      <c r="AO897" s="19">
        <v>0</v>
      </c>
      <c r="AP897" s="19">
        <f>SUM(AL897:AN897)</f>
        <v>0</v>
      </c>
      <c r="AQ897" s="19">
        <v>1.5580000000000001</v>
      </c>
      <c r="AR897" s="19">
        <f>AP897-1.472</f>
        <v>-1.472</v>
      </c>
      <c r="AS897" s="19">
        <f>AQ897-1.472</f>
        <v>8.6000000000000076E-2</v>
      </c>
      <c r="AT897" s="19" t="s">
        <v>233</v>
      </c>
      <c r="AU897" s="19"/>
      <c r="AV897" s="19"/>
      <c r="AW897" s="19">
        <f>IF(AX897&gt;0,1,0)</f>
        <v>1</v>
      </c>
      <c r="AX897" s="19">
        <f>SUM(BA897,BM897,CT897)</f>
        <v>1</v>
      </c>
      <c r="AY897" s="19">
        <f>SUM(BB897,BN897,CV897)</f>
        <v>1209.3023255813944</v>
      </c>
      <c r="AZ897" s="19">
        <f>IF(BA897&gt;0,1,0)</f>
        <v>1</v>
      </c>
      <c r="BA897" s="19">
        <f>SUM(BC897,BF897,BI897)</f>
        <v>1</v>
      </c>
      <c r="BB897" s="19">
        <f>SUM(BE897,BH897,BK897)</f>
        <v>1209.3023255813944</v>
      </c>
      <c r="BC897" s="19">
        <f>IF(BD897&gt;0,1,0)</f>
        <v>0</v>
      </c>
      <c r="BD897" s="19">
        <v>0</v>
      </c>
      <c r="BE897" s="19">
        <f>BD897/AS897</f>
        <v>0</v>
      </c>
      <c r="BF897" s="19">
        <f>IF(BG897&gt;0,1,0)</f>
        <v>1</v>
      </c>
      <c r="BG897" s="80">
        <v>104</v>
      </c>
      <c r="BH897" s="19">
        <f>BG897/AS897</f>
        <v>1209.3023255813944</v>
      </c>
      <c r="BI897" s="19">
        <f>IF(BJ897&gt;0,1,0)</f>
        <v>0</v>
      </c>
      <c r="BJ897" s="19">
        <v>0</v>
      </c>
      <c r="BK897" s="19">
        <f>BJ897/AS897</f>
        <v>0</v>
      </c>
      <c r="BL897" s="19">
        <f>IF(BM897&gt;0,1,0)</f>
        <v>0</v>
      </c>
      <c r="BM897" s="19">
        <f>SUM(BR897,BU897,BX897,CA897,CD897,CG897,CJ897,CM897,CP897)</f>
        <v>0</v>
      </c>
      <c r="BN897" s="19">
        <f>SUM(BW897,BZ897,CC897,CF897,CI897,CL897,CO897,CR897,BT897)</f>
        <v>0</v>
      </c>
      <c r="BO897" s="19">
        <f>IF(BP897&gt;0,1,0)</f>
        <v>0</v>
      </c>
      <c r="BP897" s="19">
        <f>SUM(BU897,BX897,CA897,CD897,BR897)</f>
        <v>0</v>
      </c>
      <c r="BQ897" s="19">
        <f>SUM(BZ897,CC897,CF897,BT897,BW897)</f>
        <v>0</v>
      </c>
      <c r="BR897" s="19">
        <f>IF(BS897&gt;0,1,0)</f>
        <v>0</v>
      </c>
      <c r="BS897" s="19">
        <v>0</v>
      </c>
      <c r="BT897" s="80">
        <f>BS897/AS897</f>
        <v>0</v>
      </c>
      <c r="BU897" s="19">
        <f>IF(BV897&gt;0,1,0)</f>
        <v>0</v>
      </c>
      <c r="BV897" s="19">
        <v>0</v>
      </c>
      <c r="BW897" s="19">
        <f>BV897/AS897</f>
        <v>0</v>
      </c>
      <c r="BX897" s="19">
        <f>IF(BY897&gt;0,1,0)</f>
        <v>0</v>
      </c>
      <c r="BY897" s="19">
        <v>0</v>
      </c>
      <c r="BZ897" s="19">
        <f>BY897/AS897</f>
        <v>0</v>
      </c>
      <c r="CA897" s="19">
        <f>IF(CB897&gt;0,1,0)</f>
        <v>0</v>
      </c>
      <c r="CB897" s="19">
        <v>0</v>
      </c>
      <c r="CC897" s="19">
        <f>CB897/AS897</f>
        <v>0</v>
      </c>
      <c r="CD897" s="80">
        <f>IF(CE897&gt;0,1,0)</f>
        <v>0</v>
      </c>
      <c r="CE897" s="19">
        <v>0</v>
      </c>
      <c r="CF897" s="19">
        <f>CE897/AS897</f>
        <v>0</v>
      </c>
      <c r="CG897" s="19">
        <f>IF(CH897&gt;0,1,0)</f>
        <v>0</v>
      </c>
      <c r="CH897" s="19">
        <v>0</v>
      </c>
      <c r="CI897" s="19">
        <f>CH897/AS897</f>
        <v>0</v>
      </c>
      <c r="CJ897" s="19">
        <v>0</v>
      </c>
      <c r="CK897" s="19">
        <v>0</v>
      </c>
      <c r="CL897" s="19">
        <v>0</v>
      </c>
      <c r="CM897" s="19"/>
      <c r="CN897" s="19"/>
      <c r="CO897" s="19"/>
      <c r="CP897" s="19"/>
      <c r="CQ897" s="19"/>
      <c r="CR897" s="19"/>
      <c r="CS897" s="19">
        <f>IF(CT897&gt;0,1,0)</f>
        <v>0</v>
      </c>
      <c r="CT897" s="19">
        <f>SUM(CW897+CZ897,DC897)</f>
        <v>0</v>
      </c>
      <c r="CU897" s="19"/>
      <c r="CV897" s="19">
        <f>SUM(CY897,DB897,DE897)</f>
        <v>0</v>
      </c>
      <c r="CW897" s="19">
        <f>IF(CX897&gt;0,1,0)</f>
        <v>0</v>
      </c>
      <c r="CX897" s="19">
        <v>0</v>
      </c>
      <c r="CY897" s="19">
        <f>CX897/AS897</f>
        <v>0</v>
      </c>
      <c r="CZ897" s="19">
        <f>IF(DA897&gt;0,1,0)</f>
        <v>0</v>
      </c>
      <c r="DA897" s="19">
        <v>0</v>
      </c>
      <c r="DB897" s="19">
        <f>DA897/AS897</f>
        <v>0</v>
      </c>
      <c r="DC897" s="19">
        <v>0</v>
      </c>
      <c r="DD897" s="19">
        <v>0</v>
      </c>
      <c r="DE897" s="19">
        <f>DD897/AS897</f>
        <v>0</v>
      </c>
      <c r="DF897" s="16" t="e">
        <f>VLOOKUP(K897,'[3]RNA Seq summary tables'!$V$3:$V$99,1,FALSE)</f>
        <v>#N/A</v>
      </c>
      <c r="DI897" s="19">
        <v>34</v>
      </c>
      <c r="DJ897" s="19"/>
      <c r="DK897" s="19">
        <v>58</v>
      </c>
      <c r="DL897" s="19"/>
      <c r="DM897" s="19">
        <v>8</v>
      </c>
      <c r="DN897" s="19"/>
      <c r="DO897" s="19">
        <v>0</v>
      </c>
      <c r="DP897" s="19"/>
      <c r="DQ897" s="19">
        <v>0</v>
      </c>
      <c r="DR897" s="19">
        <v>100</v>
      </c>
      <c r="DS897" s="19"/>
      <c r="JR897" s="27"/>
      <c r="JS897" s="27"/>
      <c r="JT897" s="27"/>
      <c r="JU897" s="27"/>
      <c r="JV897" s="27"/>
      <c r="JW897" s="27"/>
      <c r="JX897" s="27"/>
      <c r="JY897" s="27"/>
      <c r="JZ897" s="27"/>
      <c r="KA897" s="27"/>
      <c r="KB897" s="27"/>
    </row>
    <row r="898" spans="1:288" x14ac:dyDescent="0.2">
      <c r="B898" s="16">
        <v>2017</v>
      </c>
      <c r="C898" s="20">
        <v>42911</v>
      </c>
      <c r="D898" s="20" t="str">
        <f>CONCATENATE(J898,"-",C898)</f>
        <v>1067-42911</v>
      </c>
      <c r="E898" s="20" t="str">
        <f>CONCATENATE(T898,"-",U898,"-",C898)</f>
        <v>PO1-C1-42911</v>
      </c>
      <c r="F898" s="20" t="s">
        <v>106</v>
      </c>
      <c r="G898" s="20" t="s">
        <v>107</v>
      </c>
      <c r="I898" s="16">
        <v>0</v>
      </c>
      <c r="J898" s="21">
        <v>1067</v>
      </c>
      <c r="K898" s="21">
        <v>1727</v>
      </c>
      <c r="L898" s="18">
        <v>0</v>
      </c>
      <c r="M898" s="21">
        <f>VLOOKUP($K898,'[4]blood tubes 2017'!$D$1:$L$647,8,FALSE)</f>
        <v>0</v>
      </c>
      <c r="N898" s="15">
        <v>0</v>
      </c>
      <c r="O898" s="15" t="s">
        <v>214</v>
      </c>
      <c r="P898" s="16" t="s">
        <v>110</v>
      </c>
      <c r="Q898" s="16">
        <v>1</v>
      </c>
      <c r="R898" s="16">
        <v>18</v>
      </c>
      <c r="T898" s="16" t="s">
        <v>112</v>
      </c>
      <c r="U898" s="16" t="s">
        <v>150</v>
      </c>
      <c r="V898" s="16" t="s">
        <v>142</v>
      </c>
      <c r="W898" s="16">
        <f>AI898/AG898</f>
        <v>1.0128205128205128</v>
      </c>
      <c r="X898" s="16" t="s">
        <v>115</v>
      </c>
      <c r="Y898" s="16" t="s">
        <v>110</v>
      </c>
      <c r="Z898" s="16">
        <v>3</v>
      </c>
      <c r="AE898" s="16" t="s">
        <v>123</v>
      </c>
      <c r="AF898" s="16" t="s">
        <v>123</v>
      </c>
      <c r="AG898" s="16">
        <f>AH898-AI898</f>
        <v>78</v>
      </c>
      <c r="AH898" s="16">
        <v>157</v>
      </c>
      <c r="AI898" s="16">
        <v>79</v>
      </c>
      <c r="AK898" s="16">
        <v>14</v>
      </c>
      <c r="AL898" s="16">
        <v>0</v>
      </c>
      <c r="AM898" s="16">
        <v>0</v>
      </c>
      <c r="AN898" s="16">
        <v>0</v>
      </c>
      <c r="AO898" s="16">
        <v>0</v>
      </c>
      <c r="AP898" s="16">
        <f>SUM(AL898:AN898)</f>
        <v>0</v>
      </c>
      <c r="AQ898" s="16">
        <v>1.7070000000000001</v>
      </c>
      <c r="AR898" s="16">
        <f>AP898-1.472</f>
        <v>-1.472</v>
      </c>
      <c r="AS898" s="16">
        <f>AQ898-1.472</f>
        <v>0.2350000000000001</v>
      </c>
      <c r="AT898" s="16" t="s">
        <v>234</v>
      </c>
      <c r="AV898" s="16">
        <v>1</v>
      </c>
      <c r="AW898" s="18">
        <f>IF(AX898&gt;0,1,0)</f>
        <v>0</v>
      </c>
      <c r="AX898" s="18">
        <f>SUM(BA898,BM898,CT898)</f>
        <v>0</v>
      </c>
      <c r="AY898" s="18">
        <f>SUM(BB898,BN898,CV898)</f>
        <v>0</v>
      </c>
      <c r="AZ898" s="18">
        <f>IF(BA898&gt;0,1,0)</f>
        <v>0</v>
      </c>
      <c r="BA898" s="18">
        <f>SUM(BC898,BF898,BI898)</f>
        <v>0</v>
      </c>
      <c r="BB898" s="18">
        <f>SUM(BE898,BH898,BK898)</f>
        <v>0</v>
      </c>
      <c r="BC898" s="18">
        <f>IF(BD898&gt;0,1,0)</f>
        <v>0</v>
      </c>
      <c r="BD898" s="18">
        <f>VLOOKUP($K898,'[5]FECs - good data'!$C$1:$Z$574,14,FALSE)</f>
        <v>0</v>
      </c>
      <c r="BE898" s="16">
        <f>BD898/AS898</f>
        <v>0</v>
      </c>
      <c r="BF898" s="16">
        <f>IF(BG898&gt;0,1,0)</f>
        <v>0</v>
      </c>
      <c r="BG898" s="77">
        <f>VLOOKUP($K898,'[5]FECs - good data'!$C$1:$Z$574,15,FALSE)</f>
        <v>0</v>
      </c>
      <c r="BH898" s="16">
        <f>BG898/AS898</f>
        <v>0</v>
      </c>
      <c r="BI898" s="16">
        <f>IF(BJ898&gt;0,1,0)</f>
        <v>0</v>
      </c>
      <c r="BJ898" s="16">
        <f>VLOOKUP($K898,'[5]FECs - good data'!$C$1:$Z$574,16,FALSE)</f>
        <v>0</v>
      </c>
      <c r="BK898" s="16">
        <f>BJ898/AS898</f>
        <v>0</v>
      </c>
      <c r="BL898" s="16">
        <f>IF(BM898&gt;0,1,0)</f>
        <v>0</v>
      </c>
      <c r="BM898" s="16">
        <f>SUM(BR898,BU898,BX898,CA898,CD898,CG898,CJ898,CM898,CP898)</f>
        <v>0</v>
      </c>
      <c r="BN898" s="16">
        <f>SUM(BW898,BZ898,CC898,CF898,CI898,CL898,CO898,CR898,BT898)</f>
        <v>0</v>
      </c>
      <c r="BO898" s="16">
        <f>IF(BP898&gt;0,1,0)</f>
        <v>0</v>
      </c>
      <c r="BP898" s="16">
        <f>SUM(BU898,BX898,CA898,CD898,BR898)</f>
        <v>0</v>
      </c>
      <c r="BQ898" s="16">
        <f>SUM(BZ898,CC898,CF898,BT898,BW898)</f>
        <v>0</v>
      </c>
      <c r="BR898" s="16">
        <f>IF(BS898&gt;0,1,0)</f>
        <v>0</v>
      </c>
      <c r="BS898" s="16">
        <f>VLOOKUP($K898,'[5]FECs - good data'!$C$1:$Z$574,17,FALSE)</f>
        <v>0</v>
      </c>
      <c r="BT898" s="77">
        <f>BS898/AS898</f>
        <v>0</v>
      </c>
      <c r="BU898" s="16">
        <f>IF(BV898&gt;0,1,0)</f>
        <v>0</v>
      </c>
      <c r="BV898" s="16">
        <f>VLOOKUP($K898,'[5]FECs - good data'!$C$1:$Z$574,18,FALSE)</f>
        <v>0</v>
      </c>
      <c r="BW898" s="16">
        <f>BV898/AS898</f>
        <v>0</v>
      </c>
      <c r="BX898" s="16">
        <f>IF(BY898&gt;0,1,0)</f>
        <v>0</v>
      </c>
      <c r="BY898" s="16">
        <f>VLOOKUP($K898,'[5]FECs - good data'!$C$1:$Z$574,19,FALSE)</f>
        <v>0</v>
      </c>
      <c r="BZ898" s="16">
        <f>BY898/AS898</f>
        <v>0</v>
      </c>
      <c r="CA898" s="16">
        <f>IF(CB898&gt;0,1,0)</f>
        <v>0</v>
      </c>
      <c r="CB898" s="16">
        <f>VLOOKUP($K898,'[5]FECs - good data'!$C$1:$Z$574,20,FALSE)</f>
        <v>0</v>
      </c>
      <c r="CC898" s="16">
        <f>CB898/AS898</f>
        <v>0</v>
      </c>
      <c r="CD898" s="77">
        <f>IF(CE898&gt;0,1,0)</f>
        <v>0</v>
      </c>
      <c r="CE898" s="16">
        <f>VLOOKUP($K898,'[5]FECs - good data'!$C$1:$Z$574,21,FALSE)</f>
        <v>0</v>
      </c>
      <c r="CF898" s="16">
        <f>CE898/AS898</f>
        <v>0</v>
      </c>
      <c r="CG898" s="16">
        <f>IF(CH898&gt;0,1,0)</f>
        <v>0</v>
      </c>
      <c r="CH898" s="16">
        <f>VLOOKUP($K898,'[5]FECs - good data'!$C$1:$Z$574,22,FALSE)</f>
        <v>0</v>
      </c>
      <c r="CI898" s="16">
        <f>CH898/AS898</f>
        <v>0</v>
      </c>
      <c r="CJ898" s="16">
        <f>IF(CK898&gt;0,1,0)</f>
        <v>0</v>
      </c>
      <c r="CK898" s="16">
        <f>VLOOKUP($K898,'[5]FECs - good data'!$C$1:$Z$674,24,FALSE)</f>
        <v>0</v>
      </c>
      <c r="CL898" s="16">
        <f>CK898/AS898</f>
        <v>0</v>
      </c>
      <c r="CS898" s="16">
        <f>IF(CT898&gt;0,1,0)</f>
        <v>0</v>
      </c>
      <c r="CT898" s="16">
        <f>SUM(CW898+CZ898,DC898)</f>
        <v>0</v>
      </c>
      <c r="CV898" s="16">
        <f>SUM(CY898,DB898,DE898)</f>
        <v>0</v>
      </c>
      <c r="CW898" s="16">
        <f>IF(CX898&gt;0,1,0)</f>
        <v>0</v>
      </c>
      <c r="CX898" s="16">
        <f>VLOOKUP($K898,'[5]FECs - good data'!$C$1:$Z$574,22,FALSE)</f>
        <v>0</v>
      </c>
      <c r="CY898" s="16">
        <f>CX898/AS898</f>
        <v>0</v>
      </c>
      <c r="CZ898" s="16">
        <f>IF(DA898&gt;0,1,0)</f>
        <v>0</v>
      </c>
      <c r="DA898" s="16">
        <f>VLOOKUP($K898,'[5]FECs - good data'!$C$1:$Z$5982,23,FALSE)</f>
        <v>0</v>
      </c>
      <c r="DB898" s="16">
        <f>DA898/AS898</f>
        <v>0</v>
      </c>
      <c r="DC898" s="16">
        <v>0</v>
      </c>
      <c r="DD898" s="16">
        <f>VLOOKUP($K898,'[5]FECs - good data'!$C$1:$Z$574,23,FALSE)</f>
        <v>0</v>
      </c>
      <c r="DE898" s="16">
        <f>DD898/AS898</f>
        <v>0</v>
      </c>
      <c r="DF898" s="16" t="e">
        <f>VLOOKUP(K898,'[3]RNA Seq summary tables'!$V$3:$V$99,1,FALSE)</f>
        <v>#N/A</v>
      </c>
      <c r="DI898" s="16">
        <v>22</v>
      </c>
      <c r="DK898" s="16">
        <v>73</v>
      </c>
      <c r="DM898" s="16">
        <v>5</v>
      </c>
      <c r="DO898" s="16">
        <v>0</v>
      </c>
      <c r="DQ898" s="16">
        <v>0</v>
      </c>
      <c r="DR898" s="16">
        <f>SUM(DI898:DQ898)</f>
        <v>100</v>
      </c>
    </row>
    <row r="899" spans="1:288" x14ac:dyDescent="0.2">
      <c r="B899" s="16">
        <v>2017</v>
      </c>
      <c r="C899" s="66">
        <v>42893</v>
      </c>
      <c r="D899" s="66" t="str">
        <f>CONCATENATE(J899,"-",C899)</f>
        <v>1069-42893</v>
      </c>
      <c r="E899" s="20" t="str">
        <f>CONCATENATE(T899,"-",U899,"-",C899)</f>
        <v>PO1-E8-42893</v>
      </c>
      <c r="F899" s="20" t="s">
        <v>106</v>
      </c>
      <c r="G899" s="20" t="s">
        <v>107</v>
      </c>
      <c r="I899" s="16">
        <v>0</v>
      </c>
      <c r="J899" s="21">
        <v>1069</v>
      </c>
      <c r="K899" s="21">
        <v>1623</v>
      </c>
      <c r="L899" s="18">
        <v>0</v>
      </c>
      <c r="M899" s="21">
        <f>VLOOKUP($K899,'[4]blood tubes 2017'!$D$1:$L$647,8,FALSE)</f>
        <v>0</v>
      </c>
      <c r="N899" s="15">
        <v>0</v>
      </c>
      <c r="O899" s="15" t="s">
        <v>214</v>
      </c>
      <c r="P899" s="16" t="s">
        <v>110</v>
      </c>
      <c r="Q899" s="16">
        <v>0</v>
      </c>
      <c r="R899" s="16" t="s">
        <v>111</v>
      </c>
      <c r="T899" s="16" t="s">
        <v>112</v>
      </c>
      <c r="U899" s="16" t="s">
        <v>181</v>
      </c>
      <c r="V899" s="16" t="s">
        <v>142</v>
      </c>
      <c r="W899" s="16">
        <f>AI899/AG899</f>
        <v>1.0389610389610389</v>
      </c>
      <c r="X899" s="16" t="s">
        <v>115</v>
      </c>
      <c r="Y899" s="16" t="s">
        <v>110</v>
      </c>
      <c r="Z899" s="16">
        <v>3</v>
      </c>
      <c r="AE899" s="16" t="s">
        <v>123</v>
      </c>
      <c r="AF899" s="16" t="s">
        <v>123</v>
      </c>
      <c r="AG899" s="16">
        <f>AH899-AI899</f>
        <v>77</v>
      </c>
      <c r="AH899" s="16">
        <v>157</v>
      </c>
      <c r="AI899" s="16">
        <v>80</v>
      </c>
      <c r="AK899" s="16">
        <v>28.5</v>
      </c>
      <c r="AL899" s="16">
        <v>0</v>
      </c>
      <c r="AM899" s="16">
        <v>0</v>
      </c>
      <c r="AN899" s="16">
        <v>0</v>
      </c>
      <c r="AO899" s="16">
        <v>0</v>
      </c>
      <c r="AP899" s="16">
        <f>SUM(AL899:AN899)</f>
        <v>0</v>
      </c>
      <c r="AQ899" s="16">
        <v>1.5389999999999999</v>
      </c>
      <c r="AR899" s="16">
        <f>AP899-1.472</f>
        <v>-1.472</v>
      </c>
      <c r="AS899" s="16">
        <f>AQ899-1.472</f>
        <v>6.6999999999999948E-2</v>
      </c>
      <c r="AT899" s="18" t="s">
        <v>235</v>
      </c>
      <c r="AU899" s="18"/>
      <c r="AW899" s="18"/>
      <c r="AX899" s="18"/>
      <c r="AY899" s="18"/>
      <c r="AZ899" s="18"/>
      <c r="BA899" s="18"/>
      <c r="BB899" s="18"/>
      <c r="BC899" s="18"/>
      <c r="BD899" s="18"/>
      <c r="BG899" s="77"/>
      <c r="BT899" s="77"/>
      <c r="CD899" s="77"/>
      <c r="DF899" s="16" t="e">
        <f>VLOOKUP(K899,'[3]RNA Seq summary tables'!$V$3:$V$99,1,FALSE)</f>
        <v>#N/A</v>
      </c>
      <c r="DG899" s="16">
        <v>1</v>
      </c>
      <c r="DH899" s="16" t="str">
        <f>VLOOKUP(D899,'[6]workflow 3.2018'!$A$1:$S$237,2,FALSE)</f>
        <v>2017MLBS_32</v>
      </c>
      <c r="DI899" s="16">
        <v>64</v>
      </c>
      <c r="DK899" s="16">
        <v>23</v>
      </c>
      <c r="DM899" s="16">
        <v>13</v>
      </c>
      <c r="DO899" s="16">
        <v>0</v>
      </c>
      <c r="DQ899" s="16">
        <v>0</v>
      </c>
      <c r="DR899" s="16">
        <v>100</v>
      </c>
      <c r="JR899" s="26"/>
      <c r="JS899" s="26"/>
      <c r="JT899" s="26"/>
      <c r="JU899" s="26"/>
      <c r="JV899" s="26"/>
      <c r="JW899" s="26"/>
      <c r="JX899" s="26"/>
      <c r="JY899" s="26"/>
      <c r="JZ899" s="26"/>
      <c r="KA899" s="26"/>
      <c r="KB899" s="26"/>
    </row>
    <row r="900" spans="1:288" x14ac:dyDescent="0.2">
      <c r="B900" s="16">
        <v>2017</v>
      </c>
      <c r="C900" s="20">
        <v>42911</v>
      </c>
      <c r="D900" s="20" t="str">
        <f>CONCATENATE(J900,"-",C900)</f>
        <v>1069-42911</v>
      </c>
      <c r="E900" s="20" t="str">
        <f>CONCATENATE(T900,"-",U900,"-",C900)</f>
        <v>PO1-B6-42911</v>
      </c>
      <c r="F900" s="20" t="s">
        <v>106</v>
      </c>
      <c r="G900" s="20" t="s">
        <v>107</v>
      </c>
      <c r="I900" s="16">
        <v>0</v>
      </c>
      <c r="J900" s="21">
        <v>1069</v>
      </c>
      <c r="K900" s="21">
        <v>1726</v>
      </c>
      <c r="L900" s="18">
        <v>0</v>
      </c>
      <c r="M900" s="21">
        <f>VLOOKUP($K900,'[4]blood tubes 2017'!$D$1:$L$647,8,FALSE)</f>
        <v>0</v>
      </c>
      <c r="N900" s="15">
        <v>0</v>
      </c>
      <c r="O900" s="15" t="s">
        <v>214</v>
      </c>
      <c r="P900" s="16" t="s">
        <v>110</v>
      </c>
      <c r="Q900" s="16">
        <v>1</v>
      </c>
      <c r="R900" s="16">
        <v>18</v>
      </c>
      <c r="T900" s="16" t="s">
        <v>112</v>
      </c>
      <c r="U900" s="16" t="s">
        <v>132</v>
      </c>
      <c r="V900" s="16" t="s">
        <v>142</v>
      </c>
      <c r="W900" s="16">
        <f>AI900/AG900</f>
        <v>0.91954022988505746</v>
      </c>
      <c r="X900" s="16" t="s">
        <v>115</v>
      </c>
      <c r="Y900" s="16" t="s">
        <v>110</v>
      </c>
      <c r="Z900" s="16">
        <v>3</v>
      </c>
      <c r="AE900" s="16" t="s">
        <v>123</v>
      </c>
      <c r="AF900" s="16" t="s">
        <v>123</v>
      </c>
      <c r="AG900" s="16">
        <f>AH900-AI900</f>
        <v>87</v>
      </c>
      <c r="AH900" s="16">
        <v>167</v>
      </c>
      <c r="AI900" s="16">
        <v>80</v>
      </c>
      <c r="AK900" s="16">
        <v>17</v>
      </c>
      <c r="AL900" s="16">
        <v>0</v>
      </c>
      <c r="AM900" s="16">
        <v>0</v>
      </c>
      <c r="AN900" s="16">
        <v>0</v>
      </c>
      <c r="AO900" s="16">
        <v>0</v>
      </c>
      <c r="AP900" s="16">
        <f>SUM(AL900:AN900)</f>
        <v>0</v>
      </c>
      <c r="AQ900" s="16">
        <v>1.5449999999999999</v>
      </c>
      <c r="AR900" s="16">
        <f>AP900-1.472</f>
        <v>-1.472</v>
      </c>
      <c r="AS900" s="16">
        <f>AQ900-1.472</f>
        <v>7.2999999999999954E-2</v>
      </c>
      <c r="AT900" s="16" t="s">
        <v>234</v>
      </c>
      <c r="AV900" s="16">
        <v>1</v>
      </c>
      <c r="AW900" s="18">
        <f>IF(AX900&gt;0,1,0)</f>
        <v>0</v>
      </c>
      <c r="AX900" s="18">
        <f>SUM(BA900,BM900,CT900)</f>
        <v>0</v>
      </c>
      <c r="AY900" s="18">
        <f>SUM(BB900,BN900,CV900)</f>
        <v>0</v>
      </c>
      <c r="AZ900" s="18">
        <f>IF(BA900&gt;0,1,0)</f>
        <v>0</v>
      </c>
      <c r="BA900" s="18">
        <f>SUM(BC900,BF900,BI900)</f>
        <v>0</v>
      </c>
      <c r="BB900" s="18">
        <f>SUM(BE900,BH900,BK900)</f>
        <v>0</v>
      </c>
      <c r="BC900" s="18">
        <f>IF(BD900&gt;0,1,0)</f>
        <v>0</v>
      </c>
      <c r="BD900" s="18">
        <f>VLOOKUP($K900,'[5]FECs - good data'!$C$1:$Z$574,14,FALSE)</f>
        <v>0</v>
      </c>
      <c r="BE900" s="16">
        <f>BD900/AS900</f>
        <v>0</v>
      </c>
      <c r="BF900" s="16">
        <f>IF(BG900&gt;0,1,0)</f>
        <v>0</v>
      </c>
      <c r="BG900" s="77">
        <f>VLOOKUP($K900,'[5]FECs - good data'!$C$1:$Z$574,15,FALSE)</f>
        <v>0</v>
      </c>
      <c r="BH900" s="16">
        <f>BG900/AS900</f>
        <v>0</v>
      </c>
      <c r="BI900" s="16">
        <f>IF(BJ900&gt;0,1,0)</f>
        <v>0</v>
      </c>
      <c r="BJ900" s="16">
        <f>VLOOKUP($K900,'[5]FECs - good data'!$C$1:$Z$574,16,FALSE)</f>
        <v>0</v>
      </c>
      <c r="BK900" s="16">
        <f>BJ900/AS900</f>
        <v>0</v>
      </c>
      <c r="BL900" s="16">
        <f>IF(BM900&gt;0,1,0)</f>
        <v>0</v>
      </c>
      <c r="BM900" s="16">
        <f>SUM(BR900,BU900,BX900,CA900,CD900,CG900,CJ900,CM900,CP900)</f>
        <v>0</v>
      </c>
      <c r="BN900" s="16">
        <f>SUM(BW900,BZ900,CC900,CF900,CI900,CL900,CO900,CR900,BT900)</f>
        <v>0</v>
      </c>
      <c r="BO900" s="16">
        <f>IF(BP900&gt;0,1,0)</f>
        <v>0</v>
      </c>
      <c r="BP900" s="16">
        <f>SUM(BU900,BX900,CA900,CD900,BR900)</f>
        <v>0</v>
      </c>
      <c r="BQ900" s="16">
        <f>SUM(BZ900,CC900,CF900,BT900,BW900)</f>
        <v>0</v>
      </c>
      <c r="BR900" s="16">
        <f>IF(BS900&gt;0,1,0)</f>
        <v>0</v>
      </c>
      <c r="BS900" s="16">
        <f>VLOOKUP($K900,'[5]FECs - good data'!$C$1:$Z$574,17,FALSE)</f>
        <v>0</v>
      </c>
      <c r="BT900" s="77">
        <f>BS900/AS900</f>
        <v>0</v>
      </c>
      <c r="BU900" s="16">
        <f>IF(BV900&gt;0,1,0)</f>
        <v>0</v>
      </c>
      <c r="BV900" s="16">
        <f>VLOOKUP($K900,'[5]FECs - good data'!$C$1:$Z$574,18,FALSE)</f>
        <v>0</v>
      </c>
      <c r="BW900" s="16">
        <f>BV900/AS900</f>
        <v>0</v>
      </c>
      <c r="BX900" s="16">
        <f>IF(BY900&gt;0,1,0)</f>
        <v>0</v>
      </c>
      <c r="BY900" s="16">
        <f>VLOOKUP($K900,'[5]FECs - good data'!$C$1:$Z$574,19,FALSE)</f>
        <v>0</v>
      </c>
      <c r="BZ900" s="16">
        <f>BY900/AS900</f>
        <v>0</v>
      </c>
      <c r="CA900" s="16">
        <f>IF(CB900&gt;0,1,0)</f>
        <v>0</v>
      </c>
      <c r="CB900" s="16">
        <f>VLOOKUP($K900,'[5]FECs - good data'!$C$1:$Z$574,20,FALSE)</f>
        <v>0</v>
      </c>
      <c r="CC900" s="16">
        <f>CB900/AS900</f>
        <v>0</v>
      </c>
      <c r="CD900" s="77">
        <f>IF(CE900&gt;0,1,0)</f>
        <v>0</v>
      </c>
      <c r="CE900" s="16">
        <f>VLOOKUP($K900,'[5]FECs - good data'!$C$1:$Z$574,21,FALSE)</f>
        <v>0</v>
      </c>
      <c r="CF900" s="16">
        <f>CE900/AS900</f>
        <v>0</v>
      </c>
      <c r="CG900" s="16">
        <f>IF(CH900&gt;0,1,0)</f>
        <v>0</v>
      </c>
      <c r="CH900" s="16">
        <f>VLOOKUP($K900,'[5]FECs - good data'!$C$1:$Z$574,22,FALSE)</f>
        <v>0</v>
      </c>
      <c r="CI900" s="16">
        <f>CH900/AS900</f>
        <v>0</v>
      </c>
      <c r="CJ900" s="16">
        <f>IF(CK900&gt;0,1,0)</f>
        <v>0</v>
      </c>
      <c r="CK900" s="16">
        <f>VLOOKUP($K900,'[5]FECs - good data'!$C$1:$Z$674,24,FALSE)</f>
        <v>0</v>
      </c>
      <c r="CL900" s="16">
        <f>CK900/AS900</f>
        <v>0</v>
      </c>
      <c r="CS900" s="16">
        <f>IF(CT900&gt;0,1,0)</f>
        <v>0</v>
      </c>
      <c r="CT900" s="16">
        <f>SUM(CW900+CZ900,DC900)</f>
        <v>0</v>
      </c>
      <c r="CV900" s="16">
        <f>SUM(CY900,DB900,DE900)</f>
        <v>0</v>
      </c>
      <c r="CW900" s="16">
        <f>IF(CX900&gt;0,1,0)</f>
        <v>0</v>
      </c>
      <c r="CX900" s="16">
        <f>VLOOKUP($K900,'[5]FECs - good data'!$C$1:$Z$574,22,FALSE)</f>
        <v>0</v>
      </c>
      <c r="CY900" s="16">
        <f>CX900/AS900</f>
        <v>0</v>
      </c>
      <c r="CZ900" s="16">
        <f>IF(DA900&gt;0,1,0)</f>
        <v>0</v>
      </c>
      <c r="DA900" s="16">
        <f>VLOOKUP($K900,'[5]FECs - good data'!$C$1:$Z$5982,23,FALSE)</f>
        <v>0</v>
      </c>
      <c r="DB900" s="16">
        <f>DA900/AS900</f>
        <v>0</v>
      </c>
      <c r="DC900" s="16">
        <v>0</v>
      </c>
      <c r="DD900" s="16">
        <f>VLOOKUP($K900,'[5]FECs - good data'!$C$1:$Z$574,23,FALSE)</f>
        <v>0</v>
      </c>
      <c r="DE900" s="16">
        <f>DD900/AS900</f>
        <v>0</v>
      </c>
      <c r="DF900" s="16" t="e">
        <f>VLOOKUP(K900,'[3]RNA Seq summary tables'!$V$3:$V$99,1,FALSE)</f>
        <v>#N/A</v>
      </c>
      <c r="DI900" s="16">
        <v>19</v>
      </c>
      <c r="DK900" s="16">
        <v>75</v>
      </c>
      <c r="DM900" s="16">
        <v>6</v>
      </c>
      <c r="DO900" s="16">
        <v>0</v>
      </c>
      <c r="DQ900" s="16">
        <v>0</v>
      </c>
      <c r="DR900" s="16">
        <f>SUM(DI900:DQ900)</f>
        <v>100</v>
      </c>
      <c r="JP900" s="18"/>
      <c r="JQ900" s="18"/>
    </row>
    <row r="901" spans="1:288" x14ac:dyDescent="0.2">
      <c r="B901" s="16">
        <v>2017</v>
      </c>
      <c r="C901" s="20">
        <v>42947</v>
      </c>
      <c r="D901" s="20" t="str">
        <f>CONCATENATE(J901,"-",C901)</f>
        <v>1069-42947</v>
      </c>
      <c r="E901" s="20" t="str">
        <f>CONCATENATE(T901,"-",U901,"-",C901)</f>
        <v>PO1-D8-42947</v>
      </c>
      <c r="F901" s="20" t="s">
        <v>106</v>
      </c>
      <c r="G901" s="20" t="s">
        <v>107</v>
      </c>
      <c r="I901" s="16">
        <v>0</v>
      </c>
      <c r="J901" s="21">
        <v>1069</v>
      </c>
      <c r="K901" s="21">
        <v>2013</v>
      </c>
      <c r="L901" s="16">
        <v>1</v>
      </c>
      <c r="M901" s="21">
        <f>VLOOKUP($K901,'[4]blood tubes 2017'!$D$1:$L$647,8,FALSE)</f>
        <v>0</v>
      </c>
      <c r="N901" s="15">
        <v>0</v>
      </c>
      <c r="O901" s="15" t="s">
        <v>214</v>
      </c>
      <c r="P901" s="16" t="s">
        <v>110</v>
      </c>
      <c r="Q901" s="16">
        <v>1</v>
      </c>
      <c r="R901" s="16">
        <v>36</v>
      </c>
      <c r="T901" s="16" t="s">
        <v>112</v>
      </c>
      <c r="U901" s="16" t="s">
        <v>178</v>
      </c>
      <c r="V901" s="16" t="s">
        <v>142</v>
      </c>
      <c r="W901" s="16">
        <f>AI901/AG901</f>
        <v>0.98809523809523814</v>
      </c>
      <c r="X901" s="16" t="s">
        <v>115</v>
      </c>
      <c r="Y901" s="16" t="s">
        <v>110</v>
      </c>
      <c r="Z901" s="16">
        <v>3</v>
      </c>
      <c r="AE901" s="16" t="s">
        <v>123</v>
      </c>
      <c r="AF901" s="16" t="s">
        <v>123</v>
      </c>
      <c r="AG901" s="16">
        <f>AH901-AI901</f>
        <v>84</v>
      </c>
      <c r="AH901" s="16">
        <v>167</v>
      </c>
      <c r="AI901" s="16">
        <v>83</v>
      </c>
      <c r="AK901" s="16">
        <v>17</v>
      </c>
      <c r="AL901" s="16">
        <v>1</v>
      </c>
      <c r="AM901" s="16">
        <v>0</v>
      </c>
      <c r="AN901" s="16">
        <v>0</v>
      </c>
      <c r="AO901" s="16">
        <v>1</v>
      </c>
      <c r="AP901" s="16">
        <f>SUM(AL901:AN901)</f>
        <v>1</v>
      </c>
      <c r="AQ901" s="16">
        <v>1.7609999999999999</v>
      </c>
      <c r="AR901" s="16">
        <f>AP901-1.472</f>
        <v>-0.47199999999999998</v>
      </c>
      <c r="AS901" s="16">
        <f>AQ901-1.472</f>
        <v>0.28899999999999992</v>
      </c>
      <c r="AT901" s="16" t="str">
        <f>VLOOKUP(K901,'[5]FECs - good data'!$C$1:$P$575,13,FALSE)</f>
        <v>JB</v>
      </c>
      <c r="AW901" s="18">
        <f>IF(AX901&gt;0,1,0)</f>
        <v>1</v>
      </c>
      <c r="AX901" s="18">
        <f>SUM(BA901,BM901,CT901)</f>
        <v>2</v>
      </c>
      <c r="AY901" s="18">
        <f>SUM(BB901,BN901,CV901)</f>
        <v>107.26643598615919</v>
      </c>
      <c r="AZ901" s="18">
        <f>IF(BA901&gt;0,1,0)</f>
        <v>1</v>
      </c>
      <c r="BA901" s="18">
        <f>SUM(BC901,BF901,BI901)</f>
        <v>1</v>
      </c>
      <c r="BB901" s="18">
        <f>SUM(BE901,BH901,BK901)</f>
        <v>86.505190311418701</v>
      </c>
      <c r="BC901" s="18">
        <f>IF(BD901&gt;0,1,0)</f>
        <v>0</v>
      </c>
      <c r="BD901" s="18">
        <f>VLOOKUP($K901,'[5]FECs - good data'!$C$1:$Z$574,14,FALSE)</f>
        <v>0</v>
      </c>
      <c r="BE901" s="16">
        <f>BD901/AS901</f>
        <v>0</v>
      </c>
      <c r="BF901" s="16">
        <f>IF(BG901&gt;0,1,0)</f>
        <v>1</v>
      </c>
      <c r="BG901" s="77">
        <f>VLOOKUP($K901,'[5]FECs - good data'!$C$1:$Z$574,15,FALSE)</f>
        <v>25</v>
      </c>
      <c r="BH901" s="16">
        <f>BG901/AS901</f>
        <v>86.505190311418701</v>
      </c>
      <c r="BI901" s="16">
        <f>IF(BJ901&gt;0,1,0)</f>
        <v>0</v>
      </c>
      <c r="BJ901" s="16">
        <f>VLOOKUP($K901,'[5]FECs - good data'!$C$1:$Z$574,16,FALSE)</f>
        <v>0</v>
      </c>
      <c r="BK901" s="16">
        <f>BJ901/AS901</f>
        <v>0</v>
      </c>
      <c r="BL901" s="16">
        <f>IF(BM901&gt;0,1,0)</f>
        <v>1</v>
      </c>
      <c r="BM901" s="16">
        <f>SUM(BR901,BU901,BX901,CA901,CD901,CG901,CJ901,CM901,CP901)</f>
        <v>1</v>
      </c>
      <c r="BN901" s="16">
        <f>SUM(BW901,BZ901,CC901,CF901,CI901,CL901,CO901,CR901,BT901)</f>
        <v>20.76124567474049</v>
      </c>
      <c r="BO901" s="16">
        <f>IF(BP901&gt;0,1,0)</f>
        <v>0</v>
      </c>
      <c r="BP901" s="16">
        <f>SUM(BU901,BX901,CA901,CD901,BR901)</f>
        <v>0</v>
      </c>
      <c r="BQ901" s="16">
        <f>SUM(BZ901,CC901,CF901,BT901,BW901)</f>
        <v>0</v>
      </c>
      <c r="BR901" s="16">
        <f>IF(BS901&gt;0,1,0)</f>
        <v>0</v>
      </c>
      <c r="BS901" s="16">
        <f>VLOOKUP($K901,'[5]FECs - good data'!$C$1:$Z$574,17,FALSE)</f>
        <v>0</v>
      </c>
      <c r="BT901" s="77">
        <f>BS901/AS901</f>
        <v>0</v>
      </c>
      <c r="BU901" s="16">
        <f>IF(BV901&gt;0,1,0)</f>
        <v>0</v>
      </c>
      <c r="BV901" s="16">
        <f>VLOOKUP($K901,'[5]FECs - good data'!$C$1:$Z$574,18,FALSE)</f>
        <v>0</v>
      </c>
      <c r="BW901" s="16">
        <f>BV901/AS901</f>
        <v>0</v>
      </c>
      <c r="BX901" s="16">
        <f>IF(BY901&gt;0,1,0)</f>
        <v>0</v>
      </c>
      <c r="BY901" s="16">
        <f>VLOOKUP($K901,'[5]FECs - good data'!$C$1:$Z$574,19,FALSE)</f>
        <v>0</v>
      </c>
      <c r="BZ901" s="16">
        <f>BY901/AS901</f>
        <v>0</v>
      </c>
      <c r="CA901" s="16">
        <f>IF(CB901&gt;0,1,0)</f>
        <v>0</v>
      </c>
      <c r="CB901" s="16">
        <f>VLOOKUP($K901,'[5]FECs - good data'!$C$1:$Z$574,20,FALSE)</f>
        <v>0</v>
      </c>
      <c r="CC901" s="16">
        <f>CB901/AS901</f>
        <v>0</v>
      </c>
      <c r="CD901" s="77">
        <f>IF(CE901&gt;0,1,0)</f>
        <v>0</v>
      </c>
      <c r="CE901" s="16">
        <f>VLOOKUP($K901,'[5]FECs - good data'!$C$1:$Z$574,21,FALSE)</f>
        <v>0</v>
      </c>
      <c r="CF901" s="16">
        <f>CE901/AS901</f>
        <v>0</v>
      </c>
      <c r="CG901" s="16">
        <f>IF(CH901&gt;0,1,0)</f>
        <v>0</v>
      </c>
      <c r="CH901" s="16">
        <f>VLOOKUP($K901,'[5]FECs - good data'!$C$1:$Z$574,22,FALSE)</f>
        <v>0</v>
      </c>
      <c r="CI901" s="16">
        <f>CH901/AS901</f>
        <v>0</v>
      </c>
      <c r="CJ901" s="16">
        <f>IF(CK901&gt;0,1,0)</f>
        <v>1</v>
      </c>
      <c r="CK901" s="16">
        <f>VLOOKUP($K901,'[5]FECs - good data'!$C$1:$Z$674,24,FALSE)</f>
        <v>6</v>
      </c>
      <c r="CL901" s="16">
        <f>CK901/AS901</f>
        <v>20.76124567474049</v>
      </c>
      <c r="CS901" s="16">
        <f>IF(CT901&gt;0,1,0)</f>
        <v>0</v>
      </c>
      <c r="CT901" s="16">
        <f>SUM(CW901+CZ901,DC901)</f>
        <v>0</v>
      </c>
      <c r="CV901" s="16">
        <f>SUM(CY901,DB901,DE901)</f>
        <v>0</v>
      </c>
      <c r="CW901" s="16">
        <f>IF(CX901&gt;0,1,0)</f>
        <v>0</v>
      </c>
      <c r="CX901" s="16">
        <f>VLOOKUP($K901,'[5]FECs - good data'!$C$1:$Z$574,22,FALSE)</f>
        <v>0</v>
      </c>
      <c r="CY901" s="16">
        <f>CX901/AS901</f>
        <v>0</v>
      </c>
      <c r="CZ901" s="16">
        <f>IF(DA901&gt;0,1,0)</f>
        <v>0</v>
      </c>
      <c r="DA901" s="16">
        <f>VLOOKUP($K901,'[5]FECs - good data'!$C$1:$Z$5982,23,FALSE)</f>
        <v>0</v>
      </c>
      <c r="DB901" s="16">
        <f>DA901/AS901</f>
        <v>0</v>
      </c>
      <c r="DF901" s="16">
        <f>VLOOKUP(K901,'[3]RNA Seq summary tables'!$V$3:$V$99,1,FALSE)</f>
        <v>2013</v>
      </c>
      <c r="DG901" s="16">
        <v>1</v>
      </c>
      <c r="DH901" s="16" t="str">
        <f>VLOOKUP(D901,'[6]workflow 3.2018'!$A$1:$S$237,2,FALSE)</f>
        <v>2017MLBS_117</v>
      </c>
      <c r="JP901" s="39"/>
      <c r="JQ901" s="39"/>
    </row>
    <row r="902" spans="1:288" s="18" customFormat="1" x14ac:dyDescent="0.2">
      <c r="B902" s="16">
        <v>2017</v>
      </c>
      <c r="C902" s="20">
        <v>42965</v>
      </c>
      <c r="D902" s="20" t="str">
        <f>CONCATENATE(J902,"-",C902)</f>
        <v>1069-42965</v>
      </c>
      <c r="E902" s="20" t="str">
        <f>CONCATENATE(T902,"-",U902,"-",C902)</f>
        <v>PO1-A6-42965</v>
      </c>
      <c r="F902" s="20" t="s">
        <v>106</v>
      </c>
      <c r="G902" s="20" t="s">
        <v>107</v>
      </c>
      <c r="H902" s="16"/>
      <c r="I902" s="16">
        <v>0</v>
      </c>
      <c r="J902" s="21">
        <v>1069</v>
      </c>
      <c r="K902" s="21">
        <v>2182</v>
      </c>
      <c r="L902" s="16">
        <v>1</v>
      </c>
      <c r="M902" s="21">
        <f>VLOOKUP($K902,'[4]blood tubes 2017'!$D$1:$L$647,8,FALSE)</f>
        <v>0</v>
      </c>
      <c r="N902" s="15">
        <v>0</v>
      </c>
      <c r="O902" s="15" t="s">
        <v>214</v>
      </c>
      <c r="P902" s="16" t="s">
        <v>110</v>
      </c>
      <c r="Q902" s="16">
        <v>1</v>
      </c>
      <c r="R902" s="16">
        <v>18</v>
      </c>
      <c r="S902" s="16"/>
      <c r="T902" s="16" t="s">
        <v>112</v>
      </c>
      <c r="U902" s="16" t="s">
        <v>147</v>
      </c>
      <c r="V902" s="16" t="s">
        <v>142</v>
      </c>
      <c r="W902" s="16">
        <f>AI902/AG902</f>
        <v>0.97647058823529409</v>
      </c>
      <c r="X902" s="16" t="s">
        <v>115</v>
      </c>
      <c r="Y902" s="16" t="s">
        <v>110</v>
      </c>
      <c r="Z902" s="16">
        <v>3</v>
      </c>
      <c r="AA902" s="16"/>
      <c r="AB902" s="16"/>
      <c r="AC902" s="16"/>
      <c r="AD902" s="16"/>
      <c r="AE902" s="16" t="s">
        <v>116</v>
      </c>
      <c r="AF902" s="16" t="s">
        <v>116</v>
      </c>
      <c r="AG902" s="16">
        <f>AH902-AI902</f>
        <v>85</v>
      </c>
      <c r="AH902" s="16">
        <v>168</v>
      </c>
      <c r="AI902" s="16">
        <v>83</v>
      </c>
      <c r="AJ902" s="16"/>
      <c r="AK902" s="16">
        <v>18.5</v>
      </c>
      <c r="AL902" s="16">
        <v>0</v>
      </c>
      <c r="AM902" s="16">
        <v>0</v>
      </c>
      <c r="AN902" s="16">
        <v>0</v>
      </c>
      <c r="AO902" s="16">
        <v>0</v>
      </c>
      <c r="AP902" s="16">
        <f>SUM(AL902:AN902)</f>
        <v>0</v>
      </c>
      <c r="AQ902" s="16">
        <v>1.609</v>
      </c>
      <c r="AR902" s="16">
        <f>AP902-1.472</f>
        <v>-1.472</v>
      </c>
      <c r="AS902" s="16">
        <f>AQ902-1.472</f>
        <v>0.13700000000000001</v>
      </c>
      <c r="AT902" s="16" t="str">
        <f>VLOOKUP(K902,'[5]FECs - good data'!$C$1:$P$575,13,FALSE)</f>
        <v>TE</v>
      </c>
      <c r="AU902" s="18" t="s">
        <v>1293</v>
      </c>
      <c r="AV902" s="16">
        <v>0</v>
      </c>
      <c r="AW902" s="18">
        <f>IF(AX902&gt;0,1,0)</f>
        <v>0</v>
      </c>
      <c r="AX902" s="18">
        <f>SUM(BA902,BM902,CT902)</f>
        <v>0</v>
      </c>
      <c r="AY902" s="18">
        <f>SUM(BB902,BN902,CV902)</f>
        <v>0</v>
      </c>
      <c r="AZ902" s="18">
        <f>IF(BA902&gt;0,1,0)</f>
        <v>0</v>
      </c>
      <c r="BA902" s="18">
        <f>SUM(BC902,BF902,BI902)</f>
        <v>0</v>
      </c>
      <c r="BB902" s="18">
        <f>SUM(BE902,BH902,BK902)</f>
        <v>0</v>
      </c>
      <c r="BC902" s="18">
        <f>IF(BD902&gt;0,1,0)</f>
        <v>0</v>
      </c>
      <c r="BD902" s="18">
        <f>VLOOKUP($K902,'[5]FECs - good data'!$C$1:$Z$574,14,FALSE)</f>
        <v>0</v>
      </c>
      <c r="BE902" s="16">
        <f>BD902/AS902</f>
        <v>0</v>
      </c>
      <c r="BF902" s="16">
        <f>IF(BG902&gt;0,1,0)</f>
        <v>0</v>
      </c>
      <c r="BG902" s="77">
        <f>VLOOKUP($K902,'[5]FECs - good data'!$C$1:$Z$574,15,FALSE)</f>
        <v>0</v>
      </c>
      <c r="BH902" s="16">
        <f>BG902/AS902</f>
        <v>0</v>
      </c>
      <c r="BI902" s="16">
        <f>IF(BJ902&gt;0,1,0)</f>
        <v>0</v>
      </c>
      <c r="BJ902" s="16">
        <f>VLOOKUP($K902,'[5]FECs - good data'!$C$1:$Z$574,16,FALSE)</f>
        <v>0</v>
      </c>
      <c r="BK902" s="16">
        <f>BJ902/AS902</f>
        <v>0</v>
      </c>
      <c r="BL902" s="16">
        <f>IF(BM902&gt;0,1,0)</f>
        <v>0</v>
      </c>
      <c r="BM902" s="16">
        <f>SUM(BR902,BU902,BX902,CA902,CD902,CG902,CJ902,CM902,CP902)</f>
        <v>0</v>
      </c>
      <c r="BN902" s="16">
        <f>SUM(BW902,BZ902,CC902,CF902,CI902,CL902,CO902,CR902,BT902)</f>
        <v>0</v>
      </c>
      <c r="BO902" s="16">
        <f>IF(BP902&gt;0,1,0)</f>
        <v>0</v>
      </c>
      <c r="BP902" s="16">
        <f>SUM(BU902,BX902,CA902,CD902,BR902)</f>
        <v>0</v>
      </c>
      <c r="BQ902" s="16">
        <f>SUM(BZ902,CC902,CF902,BT902,BW902)</f>
        <v>0</v>
      </c>
      <c r="BR902" s="16">
        <f>IF(BS902&gt;0,1,0)</f>
        <v>0</v>
      </c>
      <c r="BS902" s="16">
        <f>VLOOKUP($K902,'[5]FECs - good data'!$C$1:$Z$574,17,FALSE)</f>
        <v>0</v>
      </c>
      <c r="BT902" s="77">
        <f>BS902/AS902</f>
        <v>0</v>
      </c>
      <c r="BU902" s="16">
        <f>IF(BV902&gt;0,1,0)</f>
        <v>0</v>
      </c>
      <c r="BV902" s="16">
        <f>VLOOKUP($K902,'[5]FECs - good data'!$C$1:$Z$574,18,FALSE)</f>
        <v>0</v>
      </c>
      <c r="BW902" s="16">
        <f>BV902/AS902</f>
        <v>0</v>
      </c>
      <c r="BX902" s="16">
        <f>IF(BY902&gt;0,1,0)</f>
        <v>0</v>
      </c>
      <c r="BY902" s="16">
        <f>VLOOKUP($K902,'[5]FECs - good data'!$C$1:$Z$574,19,FALSE)</f>
        <v>0</v>
      </c>
      <c r="BZ902" s="16">
        <f>BY902/AS902</f>
        <v>0</v>
      </c>
      <c r="CA902" s="16">
        <f>IF(CB902&gt;0,1,0)</f>
        <v>0</v>
      </c>
      <c r="CB902" s="16">
        <f>VLOOKUP($K902,'[5]FECs - good data'!$C$1:$Z$574,20,FALSE)</f>
        <v>0</v>
      </c>
      <c r="CC902" s="16">
        <f>CB902/AS902</f>
        <v>0</v>
      </c>
      <c r="CD902" s="77">
        <f>IF(CE902&gt;0,1,0)</f>
        <v>0</v>
      </c>
      <c r="CE902" s="16">
        <f>VLOOKUP($K902,'[5]FECs - good data'!$C$1:$Z$574,21,FALSE)</f>
        <v>0</v>
      </c>
      <c r="CF902" s="16">
        <f>CE902/AS902</f>
        <v>0</v>
      </c>
      <c r="CG902" s="16">
        <f>IF(CH902&gt;0,1,0)</f>
        <v>0</v>
      </c>
      <c r="CH902" s="16">
        <f>VLOOKUP($K902,'[5]FECs - good data'!$C$1:$Z$574,22,FALSE)</f>
        <v>0</v>
      </c>
      <c r="CI902" s="16">
        <f>CH902/AS902</f>
        <v>0</v>
      </c>
      <c r="CJ902" s="16">
        <f>IF(CK902&gt;0,1,0)</f>
        <v>0</v>
      </c>
      <c r="CK902" s="16">
        <f>VLOOKUP($K902,'[5]FECs - good data'!$C$1:$Z$674,24,FALSE)</f>
        <v>0</v>
      </c>
      <c r="CL902" s="16">
        <f>CK902/AS902</f>
        <v>0</v>
      </c>
      <c r="CM902" s="16"/>
      <c r="CN902" s="16"/>
      <c r="CO902" s="16"/>
      <c r="CP902" s="16"/>
      <c r="CQ902" s="16"/>
      <c r="CR902" s="16"/>
      <c r="CS902" s="16">
        <f>IF(CT902&gt;0,1,0)</f>
        <v>0</v>
      </c>
      <c r="CT902" s="16">
        <f>SUM(CW902+CZ902,DC902)</f>
        <v>0</v>
      </c>
      <c r="CU902" s="16"/>
      <c r="CV902" s="16">
        <f>SUM(CY902,DB902,DE902)</f>
        <v>0</v>
      </c>
      <c r="CW902" s="16">
        <f>IF(CX902&gt;0,1,0)</f>
        <v>0</v>
      </c>
      <c r="CX902" s="16">
        <f>VLOOKUP($K902,'[5]FECs - good data'!$C$1:$Z$574,22,FALSE)</f>
        <v>0</v>
      </c>
      <c r="CY902" s="16">
        <f>CX902/AS902</f>
        <v>0</v>
      </c>
      <c r="CZ902" s="16">
        <f>IF(DA902&gt;0,1,0)</f>
        <v>0</v>
      </c>
      <c r="DA902" s="16">
        <f>VLOOKUP($K902,'[5]FECs - good data'!$C$1:$Z$5982,23,FALSE)</f>
        <v>0</v>
      </c>
      <c r="DB902" s="16">
        <f>DA902/AS902</f>
        <v>0</v>
      </c>
      <c r="DC902" s="16"/>
      <c r="DD902" s="16"/>
      <c r="DE902" s="16"/>
      <c r="DF902" s="16">
        <f>VLOOKUP(K902,'[3]RNA Seq summary tables'!$V$3:$V$99,1,FALSE)</f>
        <v>2182</v>
      </c>
      <c r="DG902" s="16">
        <v>1</v>
      </c>
      <c r="DH902" s="16" t="str">
        <f>VLOOKUP(D902,'[6]workflow 3.2018'!$A$1:$S$237,2,FALSE)</f>
        <v>2017MLBS_170</v>
      </c>
      <c r="DI902" s="16"/>
      <c r="DJ902" s="16"/>
      <c r="DK902" s="16"/>
      <c r="DL902" s="16"/>
      <c r="DM902" s="16"/>
      <c r="DN902" s="16"/>
      <c r="DO902" s="16"/>
      <c r="DP902" s="16"/>
      <c r="DQ902" s="16"/>
      <c r="DR902" s="16"/>
      <c r="DS902" s="16"/>
      <c r="JO902" s="16"/>
      <c r="JP902" s="16"/>
      <c r="JQ902" s="16"/>
      <c r="JR902" s="16"/>
      <c r="JS902" s="16"/>
      <c r="JT902" s="16"/>
      <c r="JU902" s="16"/>
      <c r="JV902" s="16"/>
      <c r="JW902" s="16"/>
      <c r="JX902" s="16"/>
      <c r="JY902" s="16"/>
      <c r="JZ902" s="16"/>
      <c r="KA902" s="16"/>
      <c r="KB902" s="16"/>
    </row>
    <row r="903" spans="1:288" x14ac:dyDescent="0.2">
      <c r="B903" s="16">
        <v>2017</v>
      </c>
      <c r="C903" s="37">
        <v>42976</v>
      </c>
      <c r="D903" s="37" t="str">
        <f>CONCATENATE(J903,"-",C903)</f>
        <v>1069-42976</v>
      </c>
      <c r="E903" s="20" t="str">
        <f>CONCATENATE(T903,"-",U903,"-",C903)</f>
        <v>PO1-E8-42976</v>
      </c>
      <c r="F903" s="37" t="s">
        <v>224</v>
      </c>
      <c r="G903" s="37" t="s">
        <v>107</v>
      </c>
      <c r="H903" s="18" t="s">
        <v>269</v>
      </c>
      <c r="I903" s="16">
        <v>0</v>
      </c>
      <c r="J903" s="21">
        <v>1069</v>
      </c>
      <c r="K903" s="21">
        <v>2300</v>
      </c>
      <c r="L903" s="18">
        <v>0</v>
      </c>
      <c r="M903" s="21">
        <f>VLOOKUP($K903,'[4]blood tubes 2017'!$D$1:$L$947,8,FALSE)</f>
        <v>0</v>
      </c>
      <c r="N903" s="15">
        <v>0</v>
      </c>
      <c r="O903" s="15" t="s">
        <v>214</v>
      </c>
      <c r="P903" s="16" t="s">
        <v>110</v>
      </c>
      <c r="Q903" s="16">
        <v>1</v>
      </c>
      <c r="R903" s="16">
        <v>11</v>
      </c>
      <c r="T903" s="16" t="s">
        <v>112</v>
      </c>
      <c r="U903" s="16" t="s">
        <v>181</v>
      </c>
      <c r="V903" s="16" t="s">
        <v>142</v>
      </c>
      <c r="W903" s="16">
        <f>AI903/AG903</f>
        <v>0.86363636363636365</v>
      </c>
      <c r="X903" s="16" t="s">
        <v>115</v>
      </c>
      <c r="Y903" s="16" t="s">
        <v>110</v>
      </c>
      <c r="Z903" s="16">
        <v>3</v>
      </c>
      <c r="AE903" s="16" t="s">
        <v>123</v>
      </c>
      <c r="AF903" s="16" t="s">
        <v>123</v>
      </c>
      <c r="AG903" s="16">
        <f>AH903-AI903</f>
        <v>88</v>
      </c>
      <c r="AH903" s="16">
        <v>164</v>
      </c>
      <c r="AI903" s="16">
        <v>76</v>
      </c>
      <c r="AJ903" s="16" t="s">
        <v>321</v>
      </c>
      <c r="AK903" s="16">
        <v>17.5</v>
      </c>
      <c r="AL903" s="16">
        <v>0</v>
      </c>
      <c r="AM903" s="16">
        <v>0</v>
      </c>
      <c r="AN903" s="16">
        <v>0</v>
      </c>
      <c r="AO903" s="16">
        <v>0</v>
      </c>
      <c r="AP903" s="16">
        <f>SUM(AL903:AN903)</f>
        <v>0</v>
      </c>
      <c r="AQ903" s="16">
        <v>1.8380000000000001</v>
      </c>
      <c r="AR903" s="16">
        <f>AP903-1.472</f>
        <v>-1.472</v>
      </c>
      <c r="AS903" s="16">
        <f>AQ903-1.472</f>
        <v>0.3660000000000001</v>
      </c>
      <c r="AT903" s="16" t="str">
        <f>VLOOKUP(K903,'[5]FECs - good data'!$C$1:$P$575,13,FALSE)</f>
        <v>NB</v>
      </c>
      <c r="AU903" s="18" t="s">
        <v>1293</v>
      </c>
      <c r="AV903" s="16">
        <v>0</v>
      </c>
      <c r="AW903" s="18">
        <f>IF(AX903&gt;0,1,0)</f>
        <v>0</v>
      </c>
      <c r="AX903" s="18">
        <f>SUM(BA903,BM903,CT903)</f>
        <v>0</v>
      </c>
      <c r="AY903" s="18">
        <f>SUM(BB903,BN903,CV903)</f>
        <v>0</v>
      </c>
      <c r="AZ903" s="18">
        <f>IF(BA903&gt;0,1,0)</f>
        <v>0</v>
      </c>
      <c r="BA903" s="18">
        <f>SUM(BC903,BF903,BI903)</f>
        <v>0</v>
      </c>
      <c r="BB903" s="18">
        <f>SUM(BE903,BH903,BK903)</f>
        <v>0</v>
      </c>
      <c r="BC903" s="18">
        <f>IF(BD903&gt;0,1,0)</f>
        <v>0</v>
      </c>
      <c r="BD903" s="18">
        <f>VLOOKUP($K903,'[5]FECs - good data'!$C$1:$Z$574,14,FALSE)</f>
        <v>0</v>
      </c>
      <c r="BE903" s="16">
        <f>BD903/AS903</f>
        <v>0</v>
      </c>
      <c r="BF903" s="16">
        <f>IF(BG903&gt;0,1,0)</f>
        <v>0</v>
      </c>
      <c r="BG903" s="77">
        <f>VLOOKUP($K903,'[5]FECs - good data'!$C$1:$Z$574,15,FALSE)</f>
        <v>0</v>
      </c>
      <c r="BH903" s="16">
        <f>BG903/AS903</f>
        <v>0</v>
      </c>
      <c r="BI903" s="16">
        <f>IF(BJ903&gt;0,1,0)</f>
        <v>0</v>
      </c>
      <c r="BJ903" s="16">
        <f>VLOOKUP($K903,'[5]FECs - good data'!$C$1:$Z$574,16,FALSE)</f>
        <v>0</v>
      </c>
      <c r="BK903" s="16">
        <f>BJ903/AS903</f>
        <v>0</v>
      </c>
      <c r="BL903" s="16">
        <f>IF(BM903&gt;0,1,0)</f>
        <v>0</v>
      </c>
      <c r="BM903" s="16">
        <f>SUM(BR903,BU903,BX903,CA903,CD903,CG903,CJ903,CM903,CP903)</f>
        <v>0</v>
      </c>
      <c r="BN903" s="16">
        <f>SUM(BW903,BZ903,CC903,CF903,CI903,CL903,CO903,CR903,BT903)</f>
        <v>0</v>
      </c>
      <c r="BO903" s="16">
        <f>IF(BP903&gt;0,1,0)</f>
        <v>0</v>
      </c>
      <c r="BP903" s="16">
        <f>SUM(BU903,BX903,CA903,CD903,BR903)</f>
        <v>0</v>
      </c>
      <c r="BQ903" s="16">
        <f>SUM(BZ903,CC903,CF903,BT903,BW903)</f>
        <v>0</v>
      </c>
      <c r="BR903" s="16">
        <f>IF(BS903&gt;0,1,0)</f>
        <v>0</v>
      </c>
      <c r="BS903" s="16">
        <f>VLOOKUP($K903,'[5]FECs - good data'!$C$1:$Z$574,17,FALSE)</f>
        <v>0</v>
      </c>
      <c r="BT903" s="77">
        <f>BS903/AS903</f>
        <v>0</v>
      </c>
      <c r="BU903" s="16">
        <f>IF(BV903&gt;0,1,0)</f>
        <v>0</v>
      </c>
      <c r="BV903" s="16">
        <f>VLOOKUP($K903,'[5]FECs - good data'!$C$1:$Z$574,18,FALSE)</f>
        <v>0</v>
      </c>
      <c r="BW903" s="16">
        <f>BV903/AS903</f>
        <v>0</v>
      </c>
      <c r="BX903" s="16">
        <f>IF(BY903&gt;0,1,0)</f>
        <v>0</v>
      </c>
      <c r="BY903" s="16">
        <f>VLOOKUP($K903,'[5]FECs - good data'!$C$1:$Z$574,19,FALSE)</f>
        <v>0</v>
      </c>
      <c r="BZ903" s="16">
        <f>BY903/AS903</f>
        <v>0</v>
      </c>
      <c r="CA903" s="16">
        <f>IF(CB903&gt;0,1,0)</f>
        <v>0</v>
      </c>
      <c r="CB903" s="16">
        <f>VLOOKUP($K903,'[5]FECs - good data'!$C$1:$Z$574,20,FALSE)</f>
        <v>0</v>
      </c>
      <c r="CC903" s="16">
        <f>CB903/AS903</f>
        <v>0</v>
      </c>
      <c r="CD903" s="77">
        <f>IF(CE903&gt;0,1,0)</f>
        <v>0</v>
      </c>
      <c r="CE903" s="16">
        <f>VLOOKUP($K903,'[5]FECs - good data'!$C$1:$Z$574,21,FALSE)</f>
        <v>0</v>
      </c>
      <c r="CF903" s="16">
        <f>CE903/AS903</f>
        <v>0</v>
      </c>
      <c r="CG903" s="16">
        <f>IF(CH903&gt;0,1,0)</f>
        <v>0</v>
      </c>
      <c r="CH903" s="16">
        <f>VLOOKUP($K903,'[5]FECs - good data'!$C$1:$Z$574,22,FALSE)</f>
        <v>0</v>
      </c>
      <c r="CI903" s="16">
        <f>CH903/AS903</f>
        <v>0</v>
      </c>
      <c r="CJ903" s="16">
        <f>IF(CK903&gt;0,1,0)</f>
        <v>0</v>
      </c>
      <c r="CK903" s="16">
        <f>VLOOKUP($K903,'[5]FECs - good data'!$C$1:$Z$674,24,FALSE)</f>
        <v>0</v>
      </c>
      <c r="CL903" s="16">
        <f>CK903/AS903</f>
        <v>0</v>
      </c>
      <c r="CS903" s="16">
        <f>IF(CT903&gt;0,1,0)</f>
        <v>0</v>
      </c>
      <c r="CT903" s="16">
        <f>SUM(CW903+CZ903,DC903)</f>
        <v>0</v>
      </c>
      <c r="CV903" s="16">
        <f>SUM(CY903,DB903,DE903)</f>
        <v>0</v>
      </c>
      <c r="CW903" s="16">
        <f>IF(CX903&gt;0,1,0)</f>
        <v>0</v>
      </c>
      <c r="CX903" s="16">
        <f>VLOOKUP($K903,'[5]FECs - good data'!$C$1:$Z$574,22,FALSE)</f>
        <v>0</v>
      </c>
      <c r="CY903" s="16">
        <f>CX903/AS903</f>
        <v>0</v>
      </c>
      <c r="CZ903" s="16">
        <f>IF(DA903&gt;0,1,0)</f>
        <v>0</v>
      </c>
      <c r="DA903" s="16">
        <f>VLOOKUP($K903,'[5]FECs - good data'!$C$1:$Z$5982,23,FALSE)</f>
        <v>0</v>
      </c>
      <c r="DB903" s="16">
        <f>DA903/AS903</f>
        <v>0</v>
      </c>
      <c r="DF903" s="16" t="e">
        <f>VLOOKUP(K903,'[3]RNA Seq summary tables'!$V$3:$V$99,1,FALSE)</f>
        <v>#N/A</v>
      </c>
      <c r="DG903" s="16">
        <v>1</v>
      </c>
      <c r="DH903" s="16" t="str">
        <f>VLOOKUP(D903,'[6]workflow 3.2018'!$A$1:$S$237,2,FALSE)</f>
        <v>2017MLBS_214</v>
      </c>
    </row>
    <row r="904" spans="1:288" x14ac:dyDescent="0.2">
      <c r="B904" s="16">
        <v>2017</v>
      </c>
      <c r="C904" s="66">
        <v>42893</v>
      </c>
      <c r="D904" s="66" t="str">
        <f>CONCATENATE(J904,"-",C904)</f>
        <v>1071-42893</v>
      </c>
      <c r="E904" s="20" t="str">
        <f>CONCATENATE(T904,"-",U904,"-",C904)</f>
        <v>PO1-G3-42893</v>
      </c>
      <c r="F904" s="20" t="s">
        <v>106</v>
      </c>
      <c r="G904" s="20" t="s">
        <v>107</v>
      </c>
      <c r="I904" s="16">
        <v>0</v>
      </c>
      <c r="J904" s="21">
        <v>1071</v>
      </c>
      <c r="K904" s="21">
        <v>1625</v>
      </c>
      <c r="L904" s="16">
        <v>1</v>
      </c>
      <c r="M904" s="21">
        <f>VLOOKUP($K904,'[4]blood tubes 2017'!$D$1:$L$647,8,FALSE)</f>
        <v>0</v>
      </c>
      <c r="N904" s="15">
        <v>0</v>
      </c>
      <c r="O904" s="15" t="s">
        <v>214</v>
      </c>
      <c r="P904" s="16" t="s">
        <v>110</v>
      </c>
      <c r="Q904" s="16">
        <v>0</v>
      </c>
      <c r="R904" s="16" t="s">
        <v>111</v>
      </c>
      <c r="T904" s="16" t="s">
        <v>112</v>
      </c>
      <c r="U904" s="16" t="s">
        <v>179</v>
      </c>
      <c r="V904" s="16" t="s">
        <v>114</v>
      </c>
      <c r="W904" s="16">
        <f>AI904/AG904</f>
        <v>0.7142857142857143</v>
      </c>
      <c r="X904" s="16" t="s">
        <v>115</v>
      </c>
      <c r="Y904" s="16" t="s">
        <v>110</v>
      </c>
      <c r="Z904" s="16">
        <v>3</v>
      </c>
      <c r="AE904" s="16" t="s">
        <v>123</v>
      </c>
      <c r="AF904" s="16" t="s">
        <v>123</v>
      </c>
      <c r="AG904" s="16">
        <f>AH904-AI904</f>
        <v>91</v>
      </c>
      <c r="AH904" s="16">
        <v>156</v>
      </c>
      <c r="AI904" s="16">
        <v>65</v>
      </c>
      <c r="AK904" s="16">
        <v>18</v>
      </c>
      <c r="AL904" s="16">
        <v>0</v>
      </c>
      <c r="AM904" s="16">
        <v>0</v>
      </c>
      <c r="AN904" s="16">
        <v>0</v>
      </c>
      <c r="AO904" s="16">
        <v>0</v>
      </c>
      <c r="AP904" s="16">
        <f>SUM(AL904:AN904)</f>
        <v>0</v>
      </c>
      <c r="AQ904" s="16">
        <v>1.728</v>
      </c>
      <c r="AR904" s="16">
        <f>AP904-1.472</f>
        <v>-1.472</v>
      </c>
      <c r="AS904" s="16">
        <f>AQ904-1.472</f>
        <v>0.25600000000000001</v>
      </c>
      <c r="AT904" s="16" t="s">
        <v>233</v>
      </c>
      <c r="AW904" s="16">
        <f>IF(AX904&gt;0,1,0)</f>
        <v>1</v>
      </c>
      <c r="AX904" s="16">
        <f>SUM(BA904,BM904,CT904)</f>
        <v>3</v>
      </c>
      <c r="AY904" s="18">
        <f>SUM(BB904,BN904,CV904)</f>
        <v>1015.625</v>
      </c>
      <c r="AZ904" s="16">
        <f>IF(BA904&gt;0,1,0)</f>
        <v>0</v>
      </c>
      <c r="BA904" s="16">
        <f>SUM(BC904,BF904,BI904)</f>
        <v>0</v>
      </c>
      <c r="BB904" s="16">
        <f>SUM(BE904,BH904,BK904)</f>
        <v>0</v>
      </c>
      <c r="BC904" s="16">
        <v>0</v>
      </c>
      <c r="BD904" s="16">
        <v>0</v>
      </c>
      <c r="BE904" s="16">
        <f>BD904/AS904</f>
        <v>0</v>
      </c>
      <c r="BF904" s="16">
        <v>0</v>
      </c>
      <c r="BG904" s="77">
        <v>0</v>
      </c>
      <c r="BH904" s="16">
        <f>BG904/AS904</f>
        <v>0</v>
      </c>
      <c r="BI904" s="16">
        <v>0</v>
      </c>
      <c r="BJ904" s="16">
        <v>0</v>
      </c>
      <c r="BK904" s="16">
        <f>BJ904/AS904</f>
        <v>0</v>
      </c>
      <c r="BL904" s="16">
        <f>IF(BM904&gt;0,1,0)</f>
        <v>1</v>
      </c>
      <c r="BM904" s="16">
        <f>SUM(BR904,BU904,BX904,CA904,CD904,CG904,CJ904,CM904,CP904)</f>
        <v>2</v>
      </c>
      <c r="BN904" s="16">
        <f>SUM(BW904,BZ904,CC904,CF904,CI904,CL904,CO904,CR904,BT904)</f>
        <v>632.8125</v>
      </c>
      <c r="BO904" s="16">
        <f>IF(BP904&gt;0,1,0)</f>
        <v>1</v>
      </c>
      <c r="BP904" s="16">
        <f>SUM(BU904,BX904,CA904,CD904,BR904)</f>
        <v>2</v>
      </c>
      <c r="BQ904" s="16">
        <f>SUM(BZ904,CC904,CF904,BT904,BW904)</f>
        <v>632.8125</v>
      </c>
      <c r="BR904" s="16">
        <v>0</v>
      </c>
      <c r="BS904" s="16">
        <v>0</v>
      </c>
      <c r="BT904" s="77">
        <f>BS904/AS904</f>
        <v>0</v>
      </c>
      <c r="BU904" s="16">
        <v>0</v>
      </c>
      <c r="BV904" s="16">
        <v>0</v>
      </c>
      <c r="BW904" s="16">
        <f>BV904/AS904</f>
        <v>0</v>
      </c>
      <c r="BX904" s="16">
        <v>1</v>
      </c>
      <c r="BY904" s="16">
        <v>3</v>
      </c>
      <c r="BZ904" s="16">
        <f>BY904/AS904</f>
        <v>11.71875</v>
      </c>
      <c r="CA904" s="16">
        <v>0</v>
      </c>
      <c r="CB904" s="16">
        <v>0</v>
      </c>
      <c r="CC904" s="16">
        <f>CB904/AS904</f>
        <v>0</v>
      </c>
      <c r="CD904" s="77">
        <v>1</v>
      </c>
      <c r="CE904" s="16">
        <v>159</v>
      </c>
      <c r="CF904" s="16">
        <f>CE904/AS904</f>
        <v>621.09375</v>
      </c>
      <c r="CG904" s="16">
        <v>0</v>
      </c>
      <c r="CH904" s="16">
        <v>0</v>
      </c>
      <c r="CI904" s="16">
        <f>CH904/AS904</f>
        <v>0</v>
      </c>
      <c r="CM904" s="16">
        <v>0</v>
      </c>
      <c r="CN904" s="16">
        <v>0</v>
      </c>
      <c r="CO904" s="16">
        <f>CN904/AS904</f>
        <v>0</v>
      </c>
      <c r="CP904" s="16">
        <v>0</v>
      </c>
      <c r="CQ904" s="16">
        <v>0</v>
      </c>
      <c r="CR904" s="16">
        <f>CQ904/AS904</f>
        <v>0</v>
      </c>
      <c r="CS904" s="16">
        <f>IF(CT904&gt;0,1,0)</f>
        <v>1</v>
      </c>
      <c r="CT904" s="16">
        <f>SUM(CW904,CZ904,DC904)</f>
        <v>1</v>
      </c>
      <c r="CV904" s="16">
        <f>SUM(CY904,DB904,DE904)</f>
        <v>382.8125</v>
      </c>
      <c r="CW904" s="16">
        <v>1</v>
      </c>
      <c r="CX904" s="16">
        <v>98</v>
      </c>
      <c r="CY904" s="16">
        <f>CX904/AS904</f>
        <v>382.8125</v>
      </c>
      <c r="CZ904" s="16">
        <v>0</v>
      </c>
      <c r="DA904" s="16">
        <v>0</v>
      </c>
      <c r="DB904" s="16">
        <f>DA904/AS904</f>
        <v>0</v>
      </c>
      <c r="DC904" s="16">
        <v>0</v>
      </c>
      <c r="DD904" s="16">
        <v>0</v>
      </c>
      <c r="DE904" s="16">
        <f>DD904/AS904</f>
        <v>0</v>
      </c>
      <c r="DF904" s="16">
        <f>VLOOKUP(K904,'[3]RNA Seq summary tables'!$V$3:$V$99,1,FALSE)</f>
        <v>1625</v>
      </c>
      <c r="DG904" s="16">
        <v>1</v>
      </c>
      <c r="DH904" s="16" t="str">
        <f>VLOOKUP(D904,'[6]workflow 3.2018'!$A$1:$S$237,2,FALSE)</f>
        <v>2017MLBS_34</v>
      </c>
      <c r="DI904" s="16">
        <v>54</v>
      </c>
      <c r="DK904" s="16">
        <v>28</v>
      </c>
      <c r="DM904" s="16">
        <v>18</v>
      </c>
      <c r="DO904" s="16">
        <v>0</v>
      </c>
      <c r="DQ904" s="16">
        <v>0</v>
      </c>
      <c r="DR904" s="16">
        <v>100</v>
      </c>
    </row>
    <row r="905" spans="1:288" x14ac:dyDescent="0.2">
      <c r="B905" s="16">
        <v>2017</v>
      </c>
      <c r="C905" s="20">
        <v>42911</v>
      </c>
      <c r="D905" s="20" t="str">
        <f>CONCATENATE(J905,"-",C905)</f>
        <v>1071-42911</v>
      </c>
      <c r="E905" s="20" t="str">
        <f>CONCATENATE(T905,"-",U905,"-",C905)</f>
        <v>PO1-F2-42911</v>
      </c>
      <c r="F905" s="20" t="s">
        <v>106</v>
      </c>
      <c r="G905" s="20" t="s">
        <v>107</v>
      </c>
      <c r="I905" s="16">
        <v>0</v>
      </c>
      <c r="J905" s="21">
        <v>1071</v>
      </c>
      <c r="K905" s="21">
        <v>1730</v>
      </c>
      <c r="L905" s="18">
        <v>0</v>
      </c>
      <c r="M905" s="21">
        <f>VLOOKUP($K905,'[4]blood tubes 2017'!$D$1:$L$647,8,FALSE)</f>
        <v>0</v>
      </c>
      <c r="N905" s="15">
        <v>0</v>
      </c>
      <c r="O905" s="15" t="s">
        <v>214</v>
      </c>
      <c r="P905" s="16" t="s">
        <v>110</v>
      </c>
      <c r="Q905" s="16">
        <v>1</v>
      </c>
      <c r="R905" s="16">
        <v>18</v>
      </c>
      <c r="T905" s="16" t="s">
        <v>112</v>
      </c>
      <c r="U905" s="16" t="s">
        <v>187</v>
      </c>
      <c r="V905" s="16" t="s">
        <v>114</v>
      </c>
      <c r="W905" s="16">
        <f>AI905/AG905</f>
        <v>0.73913043478260865</v>
      </c>
      <c r="X905" s="16" t="s">
        <v>115</v>
      </c>
      <c r="Y905" s="16" t="s">
        <v>110</v>
      </c>
      <c r="Z905" s="16">
        <v>3</v>
      </c>
      <c r="AE905" s="16" t="s">
        <v>123</v>
      </c>
      <c r="AF905" s="16" t="s">
        <v>123</v>
      </c>
      <c r="AG905" s="16">
        <f>AH905-AI905</f>
        <v>92</v>
      </c>
      <c r="AH905" s="16">
        <v>160</v>
      </c>
      <c r="AI905" s="16">
        <v>68</v>
      </c>
      <c r="AK905" s="16">
        <v>19</v>
      </c>
      <c r="AL905" s="16">
        <v>0</v>
      </c>
      <c r="AM905" s="16">
        <v>0</v>
      </c>
      <c r="AN905" s="16">
        <v>0</v>
      </c>
      <c r="AO905" s="16">
        <v>0</v>
      </c>
      <c r="AP905" s="16">
        <f>SUM(AL905:AN905)</f>
        <v>0</v>
      </c>
      <c r="AQ905" s="16">
        <v>1.6519999999999999</v>
      </c>
      <c r="AR905" s="16">
        <f>AP905-1.472</f>
        <v>-1.472</v>
      </c>
      <c r="AS905" s="16">
        <f>AQ905-1.472</f>
        <v>0.17999999999999994</v>
      </c>
      <c r="AT905" s="18" t="s">
        <v>245</v>
      </c>
      <c r="AU905" s="18"/>
      <c r="AV905" s="18"/>
      <c r="AW905" s="40"/>
      <c r="AX905" s="40"/>
      <c r="AY905" s="40"/>
      <c r="AZ905" s="40"/>
      <c r="BA905" s="40"/>
      <c r="BB905" s="40"/>
      <c r="BC905" s="40"/>
      <c r="BD905" s="40"/>
      <c r="BE905" s="40"/>
      <c r="BF905" s="40"/>
      <c r="BG905" s="79"/>
      <c r="BH905" s="40"/>
      <c r="BI905" s="40"/>
      <c r="BJ905" s="40"/>
      <c r="BK905" s="40"/>
      <c r="BL905" s="40"/>
      <c r="BM905" s="40"/>
      <c r="BN905" s="40"/>
      <c r="BO905" s="40"/>
      <c r="BP905" s="40"/>
      <c r="BQ905" s="40"/>
      <c r="BR905" s="40"/>
      <c r="BS905" s="40"/>
      <c r="BT905" s="79"/>
      <c r="BU905" s="40"/>
      <c r="BV905" s="40"/>
      <c r="BW905" s="40"/>
      <c r="BX905" s="40"/>
      <c r="BY905" s="40"/>
      <c r="BZ905" s="40"/>
      <c r="CA905" s="40"/>
      <c r="CB905" s="40"/>
      <c r="CC905" s="40"/>
      <c r="CD905" s="79"/>
      <c r="CE905" s="40"/>
      <c r="CF905" s="40"/>
      <c r="CG905" s="40"/>
      <c r="CH905" s="40"/>
      <c r="CI905" s="40"/>
      <c r="CJ905" s="40"/>
      <c r="CK905" s="40"/>
      <c r="CL905" s="40"/>
      <c r="CM905" s="40"/>
      <c r="CN905" s="40"/>
      <c r="CO905" s="40"/>
      <c r="CP905" s="40"/>
      <c r="CQ905" s="40"/>
      <c r="CR905" s="40"/>
      <c r="CS905" s="40"/>
      <c r="CT905" s="40"/>
      <c r="CU905" s="40"/>
      <c r="CV905" s="40"/>
      <c r="CW905" s="40"/>
      <c r="CX905" s="40"/>
      <c r="CY905" s="40"/>
      <c r="CZ905" s="40"/>
      <c r="DA905" s="40"/>
      <c r="DB905" s="40"/>
      <c r="DC905" s="40"/>
      <c r="DD905" s="40"/>
      <c r="DE905" s="40"/>
      <c r="DF905" s="16" t="e">
        <f>VLOOKUP(K905,'[3]RNA Seq summary tables'!$V$3:$V$99,1,FALSE)</f>
        <v>#N/A</v>
      </c>
      <c r="DI905" s="40"/>
      <c r="DK905" s="16">
        <v>29</v>
      </c>
      <c r="DM905" s="16">
        <v>12</v>
      </c>
      <c r="DO905" s="16">
        <v>0</v>
      </c>
      <c r="DQ905" s="16">
        <v>1</v>
      </c>
      <c r="DR905" s="16">
        <f>SUM(DI905:DQ905)</f>
        <v>42</v>
      </c>
      <c r="JO905" s="18"/>
    </row>
    <row r="906" spans="1:288" x14ac:dyDescent="0.2">
      <c r="B906" s="16">
        <v>2017</v>
      </c>
      <c r="C906" s="20">
        <v>42927</v>
      </c>
      <c r="D906" s="20" t="str">
        <f>CONCATENATE(J906,"-",C906)</f>
        <v>1071-42927</v>
      </c>
      <c r="E906" s="20" t="str">
        <f>CONCATENATE(T906,"-",U906,"-",C906)</f>
        <v>PO1-G3-42927</v>
      </c>
      <c r="F906" s="20" t="s">
        <v>106</v>
      </c>
      <c r="G906" s="20" t="s">
        <v>107</v>
      </c>
      <c r="I906" s="16">
        <v>0</v>
      </c>
      <c r="J906" s="21">
        <v>1071</v>
      </c>
      <c r="K906" s="21">
        <v>1860</v>
      </c>
      <c r="L906" s="16">
        <v>1</v>
      </c>
      <c r="M906" s="21">
        <f>VLOOKUP($K906,'[4]blood tubes 2017'!$D$1:$L$647,8,FALSE)</f>
        <v>0</v>
      </c>
      <c r="N906" s="15">
        <v>0</v>
      </c>
      <c r="O906" s="15" t="s">
        <v>214</v>
      </c>
      <c r="P906" s="16" t="s">
        <v>110</v>
      </c>
      <c r="Q906" s="16">
        <v>1</v>
      </c>
      <c r="R906" s="16">
        <v>16</v>
      </c>
      <c r="T906" s="16" t="s">
        <v>112</v>
      </c>
      <c r="U906" s="16" t="s">
        <v>179</v>
      </c>
      <c r="V906" s="16" t="s">
        <v>114</v>
      </c>
      <c r="W906" s="16">
        <f>AI906/AG906</f>
        <v>0.70526315789473681</v>
      </c>
      <c r="X906" s="16" t="s">
        <v>115</v>
      </c>
      <c r="Y906" s="16" t="s">
        <v>110</v>
      </c>
      <c r="Z906" s="16">
        <v>3</v>
      </c>
      <c r="AE906" s="16" t="s">
        <v>123</v>
      </c>
      <c r="AF906" s="16" t="s">
        <v>123</v>
      </c>
      <c r="AG906" s="16">
        <f>AH906-AI906</f>
        <v>95</v>
      </c>
      <c r="AH906" s="16">
        <v>162</v>
      </c>
      <c r="AI906" s="16">
        <v>67</v>
      </c>
      <c r="AK906" s="16">
        <v>21</v>
      </c>
      <c r="AL906" s="16">
        <v>0</v>
      </c>
      <c r="AM906" s="16">
        <v>1</v>
      </c>
      <c r="AN906" s="16">
        <v>0</v>
      </c>
      <c r="AO906" s="16">
        <v>1</v>
      </c>
      <c r="AP906" s="16">
        <f>SUM(AL906:AN906)</f>
        <v>1</v>
      </c>
      <c r="AQ906" s="16">
        <v>1.702</v>
      </c>
      <c r="AR906" s="16">
        <f>AP906-1.472</f>
        <v>-0.47199999999999998</v>
      </c>
      <c r="AS906" s="16">
        <f>AQ906-1.472</f>
        <v>0.22999999999999998</v>
      </c>
      <c r="AT906" s="16" t="str">
        <f>VLOOKUP(K906,'[5]FECs - good data'!$C$1:$P$575,13,FALSE)</f>
        <v>JY</v>
      </c>
      <c r="AW906" s="18">
        <f>IF(AX906&gt;0,1,0)</f>
        <v>1</v>
      </c>
      <c r="AX906" s="18">
        <f>SUM(BA906,BM906,CT906)</f>
        <v>1</v>
      </c>
      <c r="AY906" s="18">
        <f>SUM(BB906,BN906,CV906)</f>
        <v>304.34782608695656</v>
      </c>
      <c r="AZ906" s="18">
        <f>IF(BA906&gt;0,1,0)</f>
        <v>1</v>
      </c>
      <c r="BA906" s="18">
        <f>SUM(BC906,BF906,BI906)</f>
        <v>1</v>
      </c>
      <c r="BB906" s="18">
        <f>SUM(BE906,BH906,BK906)</f>
        <v>304.34782608695656</v>
      </c>
      <c r="BC906" s="18">
        <f>IF(BD906&gt;0,1,0)</f>
        <v>0</v>
      </c>
      <c r="BD906" s="18">
        <f>VLOOKUP($K906,'[5]FECs - good data'!$C$1:$Z$574,14,FALSE)</f>
        <v>0</v>
      </c>
      <c r="BE906" s="16">
        <f>BD906/AS906</f>
        <v>0</v>
      </c>
      <c r="BF906" s="16">
        <f>IF(BG906&gt;0,1,0)</f>
        <v>1</v>
      </c>
      <c r="BG906" s="77">
        <f>VLOOKUP($K906,'[5]FECs - good data'!$C$1:$Z$574,15,FALSE)</f>
        <v>70</v>
      </c>
      <c r="BH906" s="16">
        <f>BG906/AS906</f>
        <v>304.34782608695656</v>
      </c>
      <c r="BI906" s="16">
        <f>IF(BJ906&gt;0,1,0)</f>
        <v>0</v>
      </c>
      <c r="BJ906" s="16">
        <f>VLOOKUP($K906,'[5]FECs - good data'!$C$1:$Z$574,16,FALSE)</f>
        <v>0</v>
      </c>
      <c r="BK906" s="16">
        <f>BJ906/AS906</f>
        <v>0</v>
      </c>
      <c r="BL906" s="16">
        <f>IF(BM906&gt;0,1,0)</f>
        <v>0</v>
      </c>
      <c r="BM906" s="16">
        <f>SUM(BR906,BU906,BX906,CA906,CD906,CG906,CJ906,CM906,CP906)</f>
        <v>0</v>
      </c>
      <c r="BN906" s="16">
        <f>SUM(BW906,BZ906,CC906,CF906,CI906,CL906,CO906,CR906,BT906)</f>
        <v>0</v>
      </c>
      <c r="BO906" s="16">
        <f>IF(BP906&gt;0,1,0)</f>
        <v>0</v>
      </c>
      <c r="BP906" s="16">
        <f>SUM(BU906,BX906,CA906,CD906,BR906)</f>
        <v>0</v>
      </c>
      <c r="BQ906" s="16">
        <f>SUM(BZ906,CC906,CF906,BT906,BW906)</f>
        <v>0</v>
      </c>
      <c r="BR906" s="16">
        <f>IF(BS906&gt;0,1,0)</f>
        <v>0</v>
      </c>
      <c r="BS906" s="16">
        <f>VLOOKUP($K906,'[5]FECs - good data'!$C$1:$Z$574,17,FALSE)</f>
        <v>0</v>
      </c>
      <c r="BT906" s="77">
        <f>BS906/AS906</f>
        <v>0</v>
      </c>
      <c r="BU906" s="16">
        <f>IF(BV906&gt;0,1,0)</f>
        <v>0</v>
      </c>
      <c r="BV906" s="16">
        <f>VLOOKUP($K906,'[5]FECs - good data'!$C$1:$Z$574,18,FALSE)</f>
        <v>0</v>
      </c>
      <c r="BW906" s="16">
        <f>BV906/AS906</f>
        <v>0</v>
      </c>
      <c r="BX906" s="16">
        <f>IF(BY906&gt;0,1,0)</f>
        <v>0</v>
      </c>
      <c r="BY906" s="16">
        <f>VLOOKUP($K906,'[5]FECs - good data'!$C$1:$Z$574,19,FALSE)</f>
        <v>0</v>
      </c>
      <c r="BZ906" s="16">
        <f>BY906/AS906</f>
        <v>0</v>
      </c>
      <c r="CA906" s="16">
        <f>IF(CB906&gt;0,1,0)</f>
        <v>0</v>
      </c>
      <c r="CB906" s="16">
        <f>VLOOKUP($K906,'[5]FECs - good data'!$C$1:$Z$574,20,FALSE)</f>
        <v>0</v>
      </c>
      <c r="CC906" s="16">
        <f>CB906/AS906</f>
        <v>0</v>
      </c>
      <c r="CD906" s="77">
        <f>IF(CE906&gt;0,1,0)</f>
        <v>0</v>
      </c>
      <c r="CE906" s="16">
        <f>VLOOKUP($K906,'[5]FECs - good data'!$C$1:$Z$574,21,FALSE)</f>
        <v>0</v>
      </c>
      <c r="CF906" s="16">
        <f>CE906/AS906</f>
        <v>0</v>
      </c>
      <c r="CG906" s="16">
        <f>IF(CH906&gt;0,1,0)</f>
        <v>0</v>
      </c>
      <c r="CH906" s="16">
        <f>VLOOKUP($K906,'[5]FECs - good data'!$C$1:$Z$574,22,FALSE)</f>
        <v>0</v>
      </c>
      <c r="CI906" s="16">
        <f>CH906/AS906</f>
        <v>0</v>
      </c>
      <c r="CJ906" s="16">
        <f>IF(CK906&gt;0,1,0)</f>
        <v>0</v>
      </c>
      <c r="CK906" s="16">
        <f>VLOOKUP($K906,'[5]FECs - good data'!$C$1:$Z$674,24,FALSE)</f>
        <v>0</v>
      </c>
      <c r="CL906" s="16">
        <f>CK906/AS906</f>
        <v>0</v>
      </c>
      <c r="CS906" s="16">
        <f>IF(CT906&gt;0,1,0)</f>
        <v>0</v>
      </c>
      <c r="CT906" s="16">
        <f>SUM(CW906+CZ906,DC906)</f>
        <v>0</v>
      </c>
      <c r="CV906" s="16">
        <f>SUM(CY906,DB906,DE906)</f>
        <v>0</v>
      </c>
      <c r="CW906" s="16">
        <f>IF(CX906&gt;0,1,0)</f>
        <v>0</v>
      </c>
      <c r="CX906" s="16">
        <f>VLOOKUP($K906,'[5]FECs - good data'!$C$1:$Z$574,22,FALSE)</f>
        <v>0</v>
      </c>
      <c r="CY906" s="16">
        <f>CX906/AS906</f>
        <v>0</v>
      </c>
      <c r="CZ906" s="16">
        <f>IF(DA906&gt;0,1,0)</f>
        <v>0</v>
      </c>
      <c r="DA906" s="16">
        <f>VLOOKUP($K906,'[5]FECs - good data'!$C$1:$Z$5982,23,FALSE)</f>
        <v>0</v>
      </c>
      <c r="DB906" s="16">
        <f>DA906/AS906</f>
        <v>0</v>
      </c>
      <c r="DC906" s="16">
        <f>IF(DD906&gt;0,1,0)</f>
        <v>0</v>
      </c>
      <c r="DD906" s="16">
        <f>VLOOKUP($K906,'[5]FECs - good data'!$C$1:$Z$574,23,FALSE)</f>
        <v>0</v>
      </c>
      <c r="DE906" s="16">
        <f>DD906/AS906</f>
        <v>0</v>
      </c>
      <c r="DF906" s="16">
        <f>VLOOKUP(K906,'[3]RNA Seq summary tables'!$V$3:$V$99,1,FALSE)</f>
        <v>1860</v>
      </c>
      <c r="JR906" s="27"/>
      <c r="JS906" s="27"/>
      <c r="JT906" s="27"/>
      <c r="JU906" s="27"/>
      <c r="JV906" s="27"/>
      <c r="JW906" s="27"/>
      <c r="JX906" s="27"/>
      <c r="JY906" s="27"/>
      <c r="JZ906" s="27"/>
      <c r="KA906" s="27"/>
      <c r="KB906" s="27"/>
    </row>
    <row r="907" spans="1:288" x14ac:dyDescent="0.2">
      <c r="B907" s="16">
        <v>2017</v>
      </c>
      <c r="C907" s="20">
        <v>42946</v>
      </c>
      <c r="D907" s="20" t="str">
        <f>CONCATENATE(J907,"-",C907)</f>
        <v>1071-42946</v>
      </c>
      <c r="E907" s="20" t="str">
        <f>CONCATENATE(T907,"-",U907,"-",C907)</f>
        <v>PO1-F4-42946</v>
      </c>
      <c r="F907" s="20" t="s">
        <v>106</v>
      </c>
      <c r="G907" s="20" t="s">
        <v>107</v>
      </c>
      <c r="I907" s="16">
        <v>0</v>
      </c>
      <c r="J907" s="21">
        <v>1071</v>
      </c>
      <c r="K907" s="21">
        <v>2004</v>
      </c>
      <c r="L907" s="18">
        <v>0</v>
      </c>
      <c r="M907" s="21">
        <f>VLOOKUP($K907,'[4]blood tubes 2017'!$D$1:$L$647,8,FALSE)</f>
        <v>0</v>
      </c>
      <c r="N907" s="15">
        <v>0</v>
      </c>
      <c r="O907" s="15" t="s">
        <v>214</v>
      </c>
      <c r="P907" s="16" t="s">
        <v>110</v>
      </c>
      <c r="Q907" s="16">
        <v>1</v>
      </c>
      <c r="R907" s="16">
        <v>19</v>
      </c>
      <c r="T907" s="16" t="s">
        <v>112</v>
      </c>
      <c r="U907" s="16" t="s">
        <v>184</v>
      </c>
      <c r="V907" s="16" t="s">
        <v>114</v>
      </c>
      <c r="W907" s="16">
        <f>AI907/AG907</f>
        <v>0.70408163265306123</v>
      </c>
      <c r="X907" s="16" t="s">
        <v>115</v>
      </c>
      <c r="Y907" s="16" t="s">
        <v>110</v>
      </c>
      <c r="Z907" s="16">
        <v>3</v>
      </c>
      <c r="AE907" s="16" t="s">
        <v>123</v>
      </c>
      <c r="AF907" s="16" t="s">
        <v>123</v>
      </c>
      <c r="AG907" s="16">
        <f>AH907-AI907</f>
        <v>98</v>
      </c>
      <c r="AH907" s="16">
        <v>167</v>
      </c>
      <c r="AI907" s="16">
        <v>69</v>
      </c>
      <c r="AK907" s="16">
        <v>22.5</v>
      </c>
      <c r="AL907" s="16">
        <v>0</v>
      </c>
      <c r="AM907" s="16">
        <v>0</v>
      </c>
      <c r="AN907" s="16">
        <v>0</v>
      </c>
      <c r="AO907" s="16">
        <v>0</v>
      </c>
      <c r="AP907" s="16">
        <f>SUM(AL907:AN907)</f>
        <v>0</v>
      </c>
      <c r="AQ907" s="16">
        <v>2.0990000000000002</v>
      </c>
      <c r="AR907" s="16">
        <f>AP907-1.472</f>
        <v>-1.472</v>
      </c>
      <c r="AS907" s="16">
        <f>AQ907-1.472</f>
        <v>0.62700000000000022</v>
      </c>
      <c r="AT907" s="16" t="str">
        <f>VLOOKUP(K907,'[5]FECs - good data'!$C$1:$P$575,13,FALSE)</f>
        <v>JY</v>
      </c>
      <c r="AW907" s="18">
        <f>IF(AX907&gt;0,1,0)</f>
        <v>1</v>
      </c>
      <c r="AX907" s="18">
        <f>SUM(BA907,BM907,CT907)</f>
        <v>5</v>
      </c>
      <c r="AY907" s="18">
        <f>SUM(BB907,BN907,CV907)</f>
        <v>1162.6794258373202</v>
      </c>
      <c r="AZ907" s="18">
        <f>IF(BA907&gt;0,1,0)</f>
        <v>1</v>
      </c>
      <c r="BA907" s="18">
        <f>SUM(BC907,BF907,BI907)</f>
        <v>1</v>
      </c>
      <c r="BB907" s="18">
        <f>SUM(BE907,BH907,BK907)</f>
        <v>4.7846889952153093</v>
      </c>
      <c r="BC907" s="18">
        <f>IF(BD907&gt;0,1,0)</f>
        <v>0</v>
      </c>
      <c r="BD907" s="18">
        <f>VLOOKUP($K907,'[5]FECs - good data'!$C$1:$Z$574,14,FALSE)</f>
        <v>0</v>
      </c>
      <c r="BE907" s="16">
        <f>BD907/AS907</f>
        <v>0</v>
      </c>
      <c r="BF907" s="16">
        <f>IF(BG907&gt;0,1,0)</f>
        <v>1</v>
      </c>
      <c r="BG907" s="77">
        <f>VLOOKUP($K907,'[5]FECs - good data'!$C$1:$Z$574,15,FALSE)</f>
        <v>3</v>
      </c>
      <c r="BH907" s="16">
        <f>BG907/AS907</f>
        <v>4.7846889952153093</v>
      </c>
      <c r="BI907" s="16">
        <f>IF(BJ907&gt;0,1,0)</f>
        <v>0</v>
      </c>
      <c r="BJ907" s="16">
        <f>VLOOKUP($K907,'[5]FECs - good data'!$C$1:$Z$574,16,FALSE)</f>
        <v>0</v>
      </c>
      <c r="BK907" s="16">
        <f>BJ907/AS907</f>
        <v>0</v>
      </c>
      <c r="BL907" s="16">
        <f>IF(BM907&gt;0,1,0)</f>
        <v>1</v>
      </c>
      <c r="BM907" s="16">
        <f>SUM(BR907,BU907,BX907,CA907,CD907,CG907,CJ907,CM907,CP907)</f>
        <v>1</v>
      </c>
      <c r="BN907" s="16">
        <f>SUM(BW907,BZ907,CC907,CF907,CI907,CL907,CO907,CR907,BT907)</f>
        <v>438.59649122807002</v>
      </c>
      <c r="BO907" s="16">
        <f>IF(BP907&gt;0,1,0)</f>
        <v>0</v>
      </c>
      <c r="BP907" s="16">
        <f>SUM(BU907,BX907,CA907,CD907,BR907)</f>
        <v>0</v>
      </c>
      <c r="BQ907" s="16">
        <f>SUM(BZ907,CC907,CF907,BT907,BW907)</f>
        <v>0</v>
      </c>
      <c r="BR907" s="16">
        <f>IF(BS907&gt;0,1,0)</f>
        <v>0</v>
      </c>
      <c r="BS907" s="16">
        <f>VLOOKUP($K907,'[5]FECs - good data'!$C$1:$Z$574,17,FALSE)</f>
        <v>0</v>
      </c>
      <c r="BT907" s="77">
        <f>BS907/AS907</f>
        <v>0</v>
      </c>
      <c r="BU907" s="16">
        <f>IF(BV907&gt;0,1,0)</f>
        <v>0</v>
      </c>
      <c r="BV907" s="16">
        <f>VLOOKUP($K907,'[5]FECs - good data'!$C$1:$Z$574,18,FALSE)</f>
        <v>0</v>
      </c>
      <c r="BW907" s="16">
        <f>BV907/AS907</f>
        <v>0</v>
      </c>
      <c r="BX907" s="16">
        <f>IF(BY907&gt;0,1,0)</f>
        <v>0</v>
      </c>
      <c r="BY907" s="16">
        <f>VLOOKUP($K907,'[5]FECs - good data'!$C$1:$Z$574,19,FALSE)</f>
        <v>0</v>
      </c>
      <c r="BZ907" s="16">
        <f>BY907/AS907</f>
        <v>0</v>
      </c>
      <c r="CA907" s="16">
        <f>IF(CB907&gt;0,1,0)</f>
        <v>0</v>
      </c>
      <c r="CB907" s="16">
        <f>VLOOKUP($K907,'[5]FECs - good data'!$C$1:$Z$574,20,FALSE)</f>
        <v>0</v>
      </c>
      <c r="CC907" s="16">
        <f>CB907/AS907</f>
        <v>0</v>
      </c>
      <c r="CD907" s="77">
        <f>IF(CE907&gt;0,1,0)</f>
        <v>0</v>
      </c>
      <c r="CE907" s="16">
        <f>VLOOKUP($K907,'[5]FECs - good data'!$C$1:$Z$574,21,FALSE)</f>
        <v>0</v>
      </c>
      <c r="CF907" s="16">
        <f>CE907/AS907</f>
        <v>0</v>
      </c>
      <c r="CG907" s="16">
        <f>IF(CH907&gt;0,1,0)</f>
        <v>1</v>
      </c>
      <c r="CH907" s="16">
        <f>VLOOKUP($K907,'[5]FECs - good data'!$C$1:$Z$574,22,FALSE)</f>
        <v>275</v>
      </c>
      <c r="CI907" s="16">
        <f>CH907/AS907</f>
        <v>438.59649122807002</v>
      </c>
      <c r="CJ907" s="16">
        <f>IF(CK907&gt;0,1,0)</f>
        <v>0</v>
      </c>
      <c r="CK907" s="16">
        <f>VLOOKUP($K907,'[5]FECs - good data'!$C$1:$Z$674,24,FALSE)</f>
        <v>0</v>
      </c>
      <c r="CL907" s="16">
        <f>CK907/AS907</f>
        <v>0</v>
      </c>
      <c r="CS907" s="16">
        <f>IF(CT907&gt;0,1,0)</f>
        <v>1</v>
      </c>
      <c r="CT907" s="16">
        <f>SUM(CW907+CZ907,DC907)</f>
        <v>3</v>
      </c>
      <c r="CV907" s="16">
        <f>SUM(CY907,DB907,DE907)</f>
        <v>719.29824561403484</v>
      </c>
      <c r="CW907" s="16">
        <f>IF(CX907&gt;0,1,0)</f>
        <v>1</v>
      </c>
      <c r="CX907" s="16">
        <f>VLOOKUP($K907,'[5]FECs - good data'!$C$1:$Z$574,22,FALSE)</f>
        <v>275</v>
      </c>
      <c r="CY907" s="16">
        <f>CX907/AS907</f>
        <v>438.59649122807002</v>
      </c>
      <c r="CZ907" s="16">
        <f>IF(DA907&gt;0,1,0)</f>
        <v>1</v>
      </c>
      <c r="DA907" s="16">
        <f>VLOOKUP($K907,'[5]FECs - good data'!$C$1:$Z$5982,23,FALSE)</f>
        <v>88</v>
      </c>
      <c r="DB907" s="16">
        <f>DA907/AS907</f>
        <v>140.35087719298241</v>
      </c>
      <c r="DC907" s="16">
        <f>IF(DD907&gt;0,1,0)</f>
        <v>1</v>
      </c>
      <c r="DD907" s="16">
        <f>VLOOKUP($K907,'[5]FECs - good data'!$C$1:$Z$574,23,FALSE)</f>
        <v>88</v>
      </c>
      <c r="DE907" s="16">
        <f>DD907/AS907</f>
        <v>140.35087719298241</v>
      </c>
      <c r="DF907" s="16" t="e">
        <f>VLOOKUP(K907,'[3]RNA Seq summary tables'!$V$3:$V$99,1,FALSE)</f>
        <v>#N/A</v>
      </c>
      <c r="DG907" s="16">
        <v>1</v>
      </c>
      <c r="DH907" s="16" t="str">
        <f>VLOOKUP(D907,'[6]workflow 3.2018'!$A$1:$S$237,2,FALSE)</f>
        <v>2017MLBS_115</v>
      </c>
      <c r="JO907" s="30"/>
    </row>
    <row r="908" spans="1:288" x14ac:dyDescent="0.2">
      <c r="A908" s="30"/>
      <c r="B908" s="30">
        <v>2017</v>
      </c>
      <c r="C908" s="74">
        <v>42893</v>
      </c>
      <c r="D908" s="74" t="str">
        <f>CONCATENATE(J908,"-",C908)</f>
        <v>1072-42893</v>
      </c>
      <c r="E908" s="20" t="str">
        <f>CONCATENATE(T908,"-",U908,"-",C908)</f>
        <v>PO1-G7-42893</v>
      </c>
      <c r="F908" s="31" t="s">
        <v>106</v>
      </c>
      <c r="G908" s="31" t="s">
        <v>107</v>
      </c>
      <c r="H908" s="30" t="s">
        <v>241</v>
      </c>
      <c r="I908" s="30">
        <v>1</v>
      </c>
      <c r="J908" s="32">
        <v>1072</v>
      </c>
      <c r="K908" s="32">
        <v>1626</v>
      </c>
      <c r="L908" s="18">
        <v>0</v>
      </c>
      <c r="M908" s="32">
        <f>VLOOKUP($K908,'[4]blood tubes 2017'!$D$1:$L$647,8,FALSE)</f>
        <v>0</v>
      </c>
      <c r="N908" s="35">
        <v>0</v>
      </c>
      <c r="O908" s="35" t="s">
        <v>214</v>
      </c>
      <c r="P908" s="30" t="s">
        <v>110</v>
      </c>
      <c r="Q908" s="30">
        <v>0</v>
      </c>
      <c r="R908" s="30" t="s">
        <v>111</v>
      </c>
      <c r="S908" s="30"/>
      <c r="T908" s="30" t="s">
        <v>112</v>
      </c>
      <c r="U908" s="30" t="s">
        <v>156</v>
      </c>
      <c r="V908" s="30" t="s">
        <v>114</v>
      </c>
      <c r="W908" s="30">
        <f>AI908/AG908</f>
        <v>0.83950617283950613</v>
      </c>
      <c r="X908" s="30" t="s">
        <v>115</v>
      </c>
      <c r="Y908" s="30" t="s">
        <v>110</v>
      </c>
      <c r="Z908" s="30">
        <v>3</v>
      </c>
      <c r="AA908" s="30"/>
      <c r="AB908" s="30"/>
      <c r="AC908" s="30"/>
      <c r="AD908" s="30"/>
      <c r="AE908" s="30" t="s">
        <v>123</v>
      </c>
      <c r="AF908" s="30" t="s">
        <v>123</v>
      </c>
      <c r="AG908" s="30">
        <f>AH908-AI908</f>
        <v>81</v>
      </c>
      <c r="AH908" s="30">
        <v>149</v>
      </c>
      <c r="AI908" s="30">
        <v>68</v>
      </c>
      <c r="AJ908" s="30"/>
      <c r="AK908" s="30">
        <v>16.5</v>
      </c>
      <c r="AL908" s="30">
        <v>0</v>
      </c>
      <c r="AM908" s="30">
        <v>0</v>
      </c>
      <c r="AN908" s="30">
        <v>0</v>
      </c>
      <c r="AO908" s="30">
        <v>0</v>
      </c>
      <c r="AP908" s="30">
        <f>SUM(AL908:AN908)</f>
        <v>0</v>
      </c>
      <c r="AQ908" s="30">
        <v>1.718</v>
      </c>
      <c r="AR908" s="30">
        <f>AP908-1.472</f>
        <v>-1.472</v>
      </c>
      <c r="AS908" s="30">
        <f>AQ908-1.472</f>
        <v>0.246</v>
      </c>
      <c r="AT908" s="30" t="s">
        <v>164</v>
      </c>
      <c r="AU908" s="30"/>
      <c r="AV908" s="30"/>
      <c r="AW908" s="30">
        <f>IF(AX908&gt;0,1,0)</f>
        <v>1</v>
      </c>
      <c r="AX908" s="30">
        <f>SUM(BA908,BM908,CT908)</f>
        <v>1</v>
      </c>
      <c r="AY908" s="30">
        <f>SUM(BB908,BN908,CV908)</f>
        <v>77.235772357723576</v>
      </c>
      <c r="AZ908" s="30">
        <f>IF(BA908&gt;0,1,0)</f>
        <v>1</v>
      </c>
      <c r="BA908" s="30">
        <f>SUM(BC908,BF908,BI908)</f>
        <v>1</v>
      </c>
      <c r="BB908" s="30">
        <f>SUM(BE908,BH908,BK908)</f>
        <v>77.235772357723576</v>
      </c>
      <c r="BC908" s="30">
        <v>0</v>
      </c>
      <c r="BD908" s="30">
        <v>0</v>
      </c>
      <c r="BE908" s="30">
        <f>BD908/AS908</f>
        <v>0</v>
      </c>
      <c r="BF908" s="30">
        <v>1</v>
      </c>
      <c r="BG908" s="86">
        <v>19</v>
      </c>
      <c r="BH908" s="30">
        <f>BG908/AS908</f>
        <v>77.235772357723576</v>
      </c>
      <c r="BI908" s="30">
        <v>0</v>
      </c>
      <c r="BJ908" s="30">
        <v>0</v>
      </c>
      <c r="BK908" s="30">
        <f>BJ908/AS908</f>
        <v>0</v>
      </c>
      <c r="BL908" s="30">
        <f>IF(BM908&gt;0,1,0)</f>
        <v>0</v>
      </c>
      <c r="BM908" s="30">
        <f>SUM(BR908,BU908,BX908,CA908,CD908,CG908,CJ908,CM908,CP908)</f>
        <v>0</v>
      </c>
      <c r="BN908" s="30">
        <f>SUM(BW908,BZ908,CC908,CF908,CI908,CL908,CO908,CR908,BT908)</f>
        <v>0</v>
      </c>
      <c r="BO908" s="30">
        <f>IF(BP908&gt;0,1,0)</f>
        <v>0</v>
      </c>
      <c r="BP908" s="30">
        <f>SUM(BU908,BX908,CA908,CD908,BR908)</f>
        <v>0</v>
      </c>
      <c r="BQ908" s="30">
        <f>SUM(BZ908,CC908,CF908,BT908,BW908)</f>
        <v>0</v>
      </c>
      <c r="BR908" s="30">
        <v>0</v>
      </c>
      <c r="BS908" s="30">
        <v>0</v>
      </c>
      <c r="BT908" s="86">
        <f>BS908/AS908</f>
        <v>0</v>
      </c>
      <c r="BU908" s="30">
        <v>0</v>
      </c>
      <c r="BV908" s="30">
        <v>0</v>
      </c>
      <c r="BW908" s="30">
        <f>BV908/AS908</f>
        <v>0</v>
      </c>
      <c r="BX908" s="30">
        <v>0</v>
      </c>
      <c r="BY908" s="30">
        <v>0</v>
      </c>
      <c r="BZ908" s="30">
        <f>BY908/AS908</f>
        <v>0</v>
      </c>
      <c r="CA908" s="30">
        <v>0</v>
      </c>
      <c r="CB908" s="30">
        <v>0</v>
      </c>
      <c r="CC908" s="30">
        <f>CB908/AS908</f>
        <v>0</v>
      </c>
      <c r="CD908" s="86">
        <v>0</v>
      </c>
      <c r="CE908" s="30">
        <v>0</v>
      </c>
      <c r="CF908" s="30">
        <f>CE908/AS908</f>
        <v>0</v>
      </c>
      <c r="CG908" s="30">
        <v>0</v>
      </c>
      <c r="CH908" s="30">
        <v>0</v>
      </c>
      <c r="CI908" s="30">
        <f>CH908/AS908</f>
        <v>0</v>
      </c>
      <c r="CJ908" s="30"/>
      <c r="CK908" s="30"/>
      <c r="CL908" s="30"/>
      <c r="CM908" s="30">
        <v>0</v>
      </c>
      <c r="CN908" s="30">
        <v>0</v>
      </c>
      <c r="CO908" s="30">
        <f>CN908/AS908</f>
        <v>0</v>
      </c>
      <c r="CP908" s="30">
        <v>0</v>
      </c>
      <c r="CQ908" s="30">
        <v>0</v>
      </c>
      <c r="CR908" s="30">
        <f>CQ908/AS908</f>
        <v>0</v>
      </c>
      <c r="CS908" s="30">
        <f>IF(CT908&gt;0,1,0)</f>
        <v>0</v>
      </c>
      <c r="CT908" s="30">
        <f>SUM(CW908,CZ908,DC908)</f>
        <v>0</v>
      </c>
      <c r="CU908" s="30"/>
      <c r="CV908" s="30">
        <f>SUM(CY908,DB908,DE908)</f>
        <v>0</v>
      </c>
      <c r="CW908" s="30">
        <v>0</v>
      </c>
      <c r="CX908" s="30">
        <v>0</v>
      </c>
      <c r="CY908" s="30">
        <f>CX908/AS908</f>
        <v>0</v>
      </c>
      <c r="CZ908" s="30">
        <v>0</v>
      </c>
      <c r="DA908" s="30">
        <v>0</v>
      </c>
      <c r="DB908" s="30">
        <f>DA908/AS908</f>
        <v>0</v>
      </c>
      <c r="DC908" s="30">
        <v>0</v>
      </c>
      <c r="DD908" s="30">
        <v>0</v>
      </c>
      <c r="DE908" s="30">
        <f>DD908/AS908</f>
        <v>0</v>
      </c>
      <c r="DF908" s="16" t="e">
        <f>VLOOKUP(K908,'[3]RNA Seq summary tables'!$V$3:$V$99,1,FALSE)</f>
        <v>#N/A</v>
      </c>
      <c r="DG908" s="16">
        <v>1</v>
      </c>
      <c r="DH908" s="16" t="str">
        <f>VLOOKUP(D908,'[6]workflow 3.2018'!$A$1:$S$237,2,FALSE)</f>
        <v>2017MLBS_35</v>
      </c>
      <c r="DI908" s="30">
        <v>70</v>
      </c>
      <c r="DJ908" s="30"/>
      <c r="DK908" s="30">
        <v>16</v>
      </c>
      <c r="DL908" s="30"/>
      <c r="DM908" s="30">
        <v>13</v>
      </c>
      <c r="DN908" s="30"/>
      <c r="DO908" s="30">
        <v>0</v>
      </c>
      <c r="DP908" s="30"/>
      <c r="DQ908" s="30">
        <v>1</v>
      </c>
      <c r="DR908" s="30">
        <v>100</v>
      </c>
      <c r="DS908" s="30"/>
    </row>
    <row r="909" spans="1:288" x14ac:dyDescent="0.2">
      <c r="B909" s="16">
        <v>2017</v>
      </c>
      <c r="C909" s="66">
        <v>42893</v>
      </c>
      <c r="D909" s="66" t="str">
        <f>CONCATENATE(J909,"-",C909)</f>
        <v>1075-42893</v>
      </c>
      <c r="E909" s="20" t="str">
        <f>CONCATENATE(T909,"-",U909,"-",C909)</f>
        <v>PO2-E3-42893</v>
      </c>
      <c r="F909" s="20" t="s">
        <v>106</v>
      </c>
      <c r="G909" s="20" t="s">
        <v>107</v>
      </c>
      <c r="I909" s="16">
        <v>0</v>
      </c>
      <c r="J909" s="21">
        <v>1075</v>
      </c>
      <c r="K909" s="21">
        <v>1629</v>
      </c>
      <c r="L909" s="16">
        <v>1</v>
      </c>
      <c r="M909" s="21">
        <f>VLOOKUP($K909,'[4]blood tubes 2017'!$D$1:$L$647,8,FALSE)</f>
        <v>0</v>
      </c>
      <c r="N909" s="15">
        <v>0</v>
      </c>
      <c r="O909" s="15" t="s">
        <v>214</v>
      </c>
      <c r="P909" s="16" t="s">
        <v>110</v>
      </c>
      <c r="Q909" s="16">
        <v>0</v>
      </c>
      <c r="R909" s="16" t="s">
        <v>111</v>
      </c>
      <c r="T909" s="16" t="s">
        <v>127</v>
      </c>
      <c r="U909" s="16" t="s">
        <v>225</v>
      </c>
      <c r="V909" s="16" t="s">
        <v>114</v>
      </c>
      <c r="W909" s="16">
        <f>AI909/AG909</f>
        <v>0.79411764705882348</v>
      </c>
      <c r="X909" s="16" t="s">
        <v>115</v>
      </c>
      <c r="Y909" s="16" t="s">
        <v>110</v>
      </c>
      <c r="Z909" s="16">
        <v>3</v>
      </c>
      <c r="AE909" s="16" t="s">
        <v>123</v>
      </c>
      <c r="AF909" s="16" t="s">
        <v>123</v>
      </c>
      <c r="AG909" s="16">
        <f>AH909-AI909</f>
        <v>102</v>
      </c>
      <c r="AH909" s="16">
        <v>183</v>
      </c>
      <c r="AI909" s="16">
        <v>81</v>
      </c>
      <c r="AK909" s="16">
        <v>25</v>
      </c>
      <c r="AL909" s="16">
        <v>0</v>
      </c>
      <c r="AM909" s="16">
        <v>0</v>
      </c>
      <c r="AN909" s="16">
        <v>0</v>
      </c>
      <c r="AO909" s="16">
        <v>0</v>
      </c>
      <c r="AP909" s="16">
        <f>SUM(AL909:AN909)</f>
        <v>0</v>
      </c>
      <c r="AQ909" s="16">
        <v>1.6279999999999999</v>
      </c>
      <c r="AR909" s="16">
        <f>AP909-1.472</f>
        <v>-1.472</v>
      </c>
      <c r="AS909" s="16">
        <f>AQ909-1.472</f>
        <v>0.15599999999999992</v>
      </c>
      <c r="AT909" s="16" t="s">
        <v>233</v>
      </c>
      <c r="AW909" s="16">
        <f>IF(AX909&gt;0,1,0)</f>
        <v>1</v>
      </c>
      <c r="AX909" s="16">
        <f>SUM(BA909,BM909,CT909)</f>
        <v>1</v>
      </c>
      <c r="AY909" s="18">
        <f>SUM(BB909,BN909,CV909)</f>
        <v>6.4102564102564141</v>
      </c>
      <c r="AZ909" s="16">
        <f>IF(BA909&gt;0,1,0)</f>
        <v>1</v>
      </c>
      <c r="BA909" s="16">
        <f>SUM(BC909,BF909,BI909)</f>
        <v>1</v>
      </c>
      <c r="BB909" s="16">
        <f>SUM(BE909,BH909,BK909)</f>
        <v>6.4102564102564141</v>
      </c>
      <c r="BC909" s="16">
        <v>0</v>
      </c>
      <c r="BD909" s="16">
        <v>0</v>
      </c>
      <c r="BE909" s="16">
        <f>BD909/AS909</f>
        <v>0</v>
      </c>
      <c r="BF909" s="16">
        <v>1</v>
      </c>
      <c r="BG909" s="77">
        <v>1</v>
      </c>
      <c r="BH909" s="16">
        <f>BG909/AS909</f>
        <v>6.4102564102564141</v>
      </c>
      <c r="BI909" s="16">
        <v>0</v>
      </c>
      <c r="BJ909" s="16">
        <v>0</v>
      </c>
      <c r="BK909" s="16">
        <f>BJ909/AS909</f>
        <v>0</v>
      </c>
      <c r="BL909" s="16">
        <f>IF(BM909&gt;0,1,0)</f>
        <v>0</v>
      </c>
      <c r="BM909" s="16">
        <f>SUM(BR909,BU909,BX909,CA909,CD909,CG909,CJ909,CM909,CP909)</f>
        <v>0</v>
      </c>
      <c r="BN909" s="16">
        <f>SUM(BW909,BZ909,CC909,CF909,CI909,CL909,CO909,CR909,BT909)</f>
        <v>0</v>
      </c>
      <c r="BO909" s="16">
        <f>IF(BP909&gt;0,1,0)</f>
        <v>0</v>
      </c>
      <c r="BP909" s="16">
        <f>SUM(BU909,BX909,CA909,CD909,BR909)</f>
        <v>0</v>
      </c>
      <c r="BQ909" s="16">
        <f>SUM(BZ909,CC909,CF909,BT909,BW909)</f>
        <v>0</v>
      </c>
      <c r="BR909" s="16">
        <v>0</v>
      </c>
      <c r="BS909" s="16">
        <v>0</v>
      </c>
      <c r="BT909" s="77">
        <f>BS909/AS909</f>
        <v>0</v>
      </c>
      <c r="BU909" s="16">
        <v>0</v>
      </c>
      <c r="BV909" s="16">
        <v>0</v>
      </c>
      <c r="BW909" s="16">
        <f>BV909/AS909</f>
        <v>0</v>
      </c>
      <c r="BX909" s="16">
        <v>0</v>
      </c>
      <c r="BY909" s="16">
        <v>0</v>
      </c>
      <c r="BZ909" s="16">
        <f>BY909/AS909</f>
        <v>0</v>
      </c>
      <c r="CA909" s="16">
        <v>0</v>
      </c>
      <c r="CB909" s="16">
        <v>0</v>
      </c>
      <c r="CC909" s="16">
        <f>CB909/AS909</f>
        <v>0</v>
      </c>
      <c r="CD909" s="77">
        <v>0</v>
      </c>
      <c r="CE909" s="16">
        <v>0</v>
      </c>
      <c r="CF909" s="16">
        <f>CE909/AS909</f>
        <v>0</v>
      </c>
      <c r="CG909" s="16">
        <v>0</v>
      </c>
      <c r="CH909" s="16">
        <v>0</v>
      </c>
      <c r="CI909" s="16">
        <f>CH909/AS909</f>
        <v>0</v>
      </c>
      <c r="CM909" s="16">
        <v>0</v>
      </c>
      <c r="CN909" s="16">
        <v>0</v>
      </c>
      <c r="CO909" s="16">
        <f>CN909/AS909</f>
        <v>0</v>
      </c>
      <c r="CP909" s="16">
        <v>0</v>
      </c>
      <c r="CQ909" s="16">
        <v>0</v>
      </c>
      <c r="CR909" s="16">
        <f>CQ909/AS909</f>
        <v>0</v>
      </c>
      <c r="CS909" s="16">
        <f>IF(CT909&gt;0,1,0)</f>
        <v>0</v>
      </c>
      <c r="CT909" s="16">
        <f>SUM(CW909,CZ909,DC909)</f>
        <v>0</v>
      </c>
      <c r="CV909" s="16">
        <f>SUM(CY909,DB909,DE909)</f>
        <v>0</v>
      </c>
      <c r="CW909" s="16">
        <v>0</v>
      </c>
      <c r="CX909" s="16">
        <v>0</v>
      </c>
      <c r="CY909" s="16">
        <f>CX909/AS909</f>
        <v>0</v>
      </c>
      <c r="CZ909" s="16">
        <v>0</v>
      </c>
      <c r="DA909" s="16">
        <v>0</v>
      </c>
      <c r="DB909" s="16">
        <f>DA909/AS909</f>
        <v>0</v>
      </c>
      <c r="DC909" s="16">
        <v>0</v>
      </c>
      <c r="DD909" s="16">
        <v>0</v>
      </c>
      <c r="DE909" s="16">
        <f>DD909/AS909</f>
        <v>0</v>
      </c>
      <c r="DF909" s="16">
        <f>VLOOKUP(K909,'[3]RNA Seq summary tables'!$V$3:$V$99,1,FALSE)</f>
        <v>1629</v>
      </c>
      <c r="DG909" s="16">
        <v>1</v>
      </c>
      <c r="DH909" s="16" t="str">
        <f>VLOOKUP(D909,'[6]workflow 3.2018'!$A$1:$S$237,2,FALSE)</f>
        <v>2017MLBS_38</v>
      </c>
      <c r="DI909" s="16">
        <v>48</v>
      </c>
      <c r="DK909" s="16">
        <v>31</v>
      </c>
      <c r="DM909" s="16">
        <v>16</v>
      </c>
      <c r="DO909" s="16">
        <v>0</v>
      </c>
      <c r="DQ909" s="16">
        <v>5</v>
      </c>
      <c r="DR909" s="16">
        <v>100</v>
      </c>
      <c r="DT909" s="25"/>
      <c r="DU909" s="25"/>
      <c r="DV909" s="25"/>
      <c r="DW909" s="25"/>
      <c r="DX909" s="25"/>
      <c r="DY909" s="25"/>
      <c r="DZ909" s="25"/>
      <c r="EA909" s="25"/>
      <c r="EB909" s="25"/>
      <c r="EC909" s="25"/>
      <c r="ED909" s="25"/>
    </row>
    <row r="910" spans="1:288" x14ac:dyDescent="0.2">
      <c r="B910" s="16">
        <v>2017</v>
      </c>
      <c r="C910" s="20">
        <v>42911</v>
      </c>
      <c r="D910" s="20" t="str">
        <f>CONCATENATE(J910,"-",C910)</f>
        <v>1075-42911</v>
      </c>
      <c r="E910" s="20" t="str">
        <f>CONCATENATE(T910,"-",U910,"-",C910)</f>
        <v>PO2-A2-42911</v>
      </c>
      <c r="F910" s="20" t="s">
        <v>106</v>
      </c>
      <c r="G910" s="20" t="s">
        <v>107</v>
      </c>
      <c r="I910" s="16">
        <v>0</v>
      </c>
      <c r="J910" s="21">
        <v>1075</v>
      </c>
      <c r="K910" s="21">
        <v>1735</v>
      </c>
      <c r="L910" s="16">
        <v>1</v>
      </c>
      <c r="M910" s="21">
        <f>VLOOKUP($K910,'[4]blood tubes 2017'!$D$1:$L$647,8,FALSE)</f>
        <v>0</v>
      </c>
      <c r="N910" s="15">
        <v>0</v>
      </c>
      <c r="O910" s="15" t="s">
        <v>214</v>
      </c>
      <c r="P910" s="16" t="s">
        <v>110</v>
      </c>
      <c r="Q910" s="16">
        <v>1</v>
      </c>
      <c r="R910" s="16">
        <v>18</v>
      </c>
      <c r="T910" s="16" t="s">
        <v>127</v>
      </c>
      <c r="U910" s="16" t="s">
        <v>171</v>
      </c>
      <c r="V910" s="16" t="s">
        <v>114</v>
      </c>
      <c r="W910" s="16">
        <f>AI910/AG910</f>
        <v>0.80769230769230771</v>
      </c>
      <c r="X910" s="16" t="s">
        <v>115</v>
      </c>
      <c r="Y910" s="16" t="s">
        <v>110</v>
      </c>
      <c r="Z910" s="16">
        <v>3</v>
      </c>
      <c r="AE910" s="16" t="s">
        <v>116</v>
      </c>
      <c r="AF910" s="16" t="s">
        <v>116</v>
      </c>
      <c r="AG910" s="16">
        <f>AH910-AI910</f>
        <v>104</v>
      </c>
      <c r="AH910" s="16">
        <v>188</v>
      </c>
      <c r="AI910" s="16">
        <v>84</v>
      </c>
      <c r="AK910" s="16">
        <v>24</v>
      </c>
      <c r="AL910" s="16">
        <v>0</v>
      </c>
      <c r="AM910" s="16">
        <v>0</v>
      </c>
      <c r="AN910" s="16">
        <v>0</v>
      </c>
      <c r="AO910" s="16">
        <v>0</v>
      </c>
      <c r="AP910" s="16">
        <f>SUM(AL910:AN910)</f>
        <v>0</v>
      </c>
      <c r="AQ910" s="16">
        <v>1.5369999999999999</v>
      </c>
      <c r="AR910" s="16">
        <f>AP910-1.472</f>
        <v>-1.472</v>
      </c>
      <c r="AS910" s="16">
        <f>AQ910-1.472</f>
        <v>6.4999999999999947E-2</v>
      </c>
      <c r="AT910" s="16" t="s">
        <v>233</v>
      </c>
      <c r="AV910" s="16">
        <v>1</v>
      </c>
      <c r="AW910" s="16">
        <f>IF(AX910&gt;0,1,0)</f>
        <v>0</v>
      </c>
      <c r="AX910" s="16">
        <f>SUM(BA910,BM910,CT910)</f>
        <v>0</v>
      </c>
      <c r="AY910" s="18">
        <f>SUM(BB910,BN910,CV910)</f>
        <v>0</v>
      </c>
      <c r="AZ910" s="16">
        <f>IF(BA910&gt;0,1,0)</f>
        <v>0</v>
      </c>
      <c r="BA910" s="16">
        <f>SUM(BC910,BF910,BI910)</f>
        <v>0</v>
      </c>
      <c r="BB910" s="16">
        <f>SUM(BE910,BH910,BK910)</f>
        <v>0</v>
      </c>
      <c r="BC910" s="16">
        <v>0</v>
      </c>
      <c r="BD910" s="16">
        <v>0</v>
      </c>
      <c r="BE910" s="16">
        <f>BD910/AS910</f>
        <v>0</v>
      </c>
      <c r="BF910" s="16">
        <v>0</v>
      </c>
      <c r="BG910" s="77">
        <v>0</v>
      </c>
      <c r="BH910" s="16">
        <f>BG910/AS910</f>
        <v>0</v>
      </c>
      <c r="BI910" s="16">
        <v>0</v>
      </c>
      <c r="BJ910" s="16">
        <v>0</v>
      </c>
      <c r="BK910" s="16">
        <f>BJ910/AS910</f>
        <v>0</v>
      </c>
      <c r="BL910" s="16">
        <f>IF(BM910&gt;0,1,0)</f>
        <v>0</v>
      </c>
      <c r="BM910" s="16">
        <f>SUM(BR910,BU910,BX910,CA910,CD910,CG910,CJ910,CM910,CP910)</f>
        <v>0</v>
      </c>
      <c r="BN910" s="16">
        <f>SUM(BW910,BZ910,CC910,CF910,CI910,CL910,CO910,CR910,BT910)</f>
        <v>0</v>
      </c>
      <c r="BO910" s="16">
        <f>IF(BP910&gt;0,1,0)</f>
        <v>0</v>
      </c>
      <c r="BP910" s="16">
        <f>SUM(BU910,BX910,CA910,CD910,BR910)</f>
        <v>0</v>
      </c>
      <c r="BQ910" s="16">
        <f>SUM(BZ910,CC910,CF910,BT910,BW910)</f>
        <v>0</v>
      </c>
      <c r="BR910" s="16">
        <v>0</v>
      </c>
      <c r="BS910" s="16">
        <v>0</v>
      </c>
      <c r="BT910" s="77">
        <f>BS910/AS910</f>
        <v>0</v>
      </c>
      <c r="BU910" s="16">
        <v>0</v>
      </c>
      <c r="BV910" s="16">
        <v>0</v>
      </c>
      <c r="BW910" s="16">
        <f>BV910/AS910</f>
        <v>0</v>
      </c>
      <c r="BX910" s="16">
        <v>0</v>
      </c>
      <c r="BY910" s="16">
        <v>0</v>
      </c>
      <c r="BZ910" s="16">
        <f>BY910/AS910</f>
        <v>0</v>
      </c>
      <c r="CA910" s="16">
        <v>0</v>
      </c>
      <c r="CB910" s="16">
        <v>0</v>
      </c>
      <c r="CC910" s="16">
        <f>CB910/AS910</f>
        <v>0</v>
      </c>
      <c r="CD910" s="77">
        <v>0</v>
      </c>
      <c r="CE910" s="16">
        <v>0</v>
      </c>
      <c r="CF910" s="16">
        <f>CE910/AS910</f>
        <v>0</v>
      </c>
      <c r="CG910" s="16">
        <v>0</v>
      </c>
      <c r="CH910" s="16">
        <v>0</v>
      </c>
      <c r="CI910" s="16">
        <f>CH910/AS910</f>
        <v>0</v>
      </c>
      <c r="CM910" s="16">
        <v>0</v>
      </c>
      <c r="CN910" s="16">
        <v>0</v>
      </c>
      <c r="CO910" s="16">
        <f>CN910/AS910</f>
        <v>0</v>
      </c>
      <c r="CP910" s="16">
        <v>0</v>
      </c>
      <c r="CQ910" s="16">
        <v>0</v>
      </c>
      <c r="CR910" s="16">
        <f>CQ910/AS910</f>
        <v>0</v>
      </c>
      <c r="CS910" s="16">
        <f>IF(CT910&gt;0,1,0)</f>
        <v>0</v>
      </c>
      <c r="CT910" s="16">
        <f>SUM(CW910,CZ910,DC910)</f>
        <v>0</v>
      </c>
      <c r="CV910" s="16">
        <f>SUM(CY910,DB910,DE910)</f>
        <v>0</v>
      </c>
      <c r="CW910" s="16">
        <v>0</v>
      </c>
      <c r="CX910" s="16">
        <v>0</v>
      </c>
      <c r="CY910" s="16">
        <f>CX910/AS910</f>
        <v>0</v>
      </c>
      <c r="CZ910" s="16">
        <v>0</v>
      </c>
      <c r="DA910" s="16">
        <v>0</v>
      </c>
      <c r="DB910" s="16">
        <f>DA910/AS910</f>
        <v>0</v>
      </c>
      <c r="DC910" s="16">
        <v>0</v>
      </c>
      <c r="DD910" s="16">
        <v>0</v>
      </c>
      <c r="DE910" s="16">
        <f>DD910/AS910</f>
        <v>0</v>
      </c>
      <c r="DF910" s="16">
        <f>VLOOKUP(K910,'[3]RNA Seq summary tables'!$V$3:$V$99,1,FALSE)</f>
        <v>1735</v>
      </c>
      <c r="DI910" s="16">
        <v>38</v>
      </c>
      <c r="DK910" s="16">
        <v>36</v>
      </c>
      <c r="DM910" s="16">
        <v>26</v>
      </c>
      <c r="DO910" s="16">
        <v>0</v>
      </c>
      <c r="DQ910" s="16">
        <v>0</v>
      </c>
      <c r="DR910" s="16">
        <f>SUM(DI910:DQ910)</f>
        <v>100</v>
      </c>
    </row>
    <row r="911" spans="1:288" x14ac:dyDescent="0.2">
      <c r="B911" s="16">
        <v>2017</v>
      </c>
      <c r="C911" s="66">
        <v>42893</v>
      </c>
      <c r="D911" s="66" t="str">
        <f>CONCATENATE(J911,"-",C911)</f>
        <v>1077-42893</v>
      </c>
      <c r="E911" s="20" t="str">
        <f>CONCATENATE(T911,"-",U911,"-",C911)</f>
        <v>PO2-H1-42893</v>
      </c>
      <c r="F911" s="20" t="s">
        <v>106</v>
      </c>
      <c r="G911" s="20" t="s">
        <v>107</v>
      </c>
      <c r="I911" s="16">
        <v>0</v>
      </c>
      <c r="J911" s="21">
        <v>1077</v>
      </c>
      <c r="K911" s="21">
        <v>1631</v>
      </c>
      <c r="L911" s="18">
        <v>0</v>
      </c>
      <c r="M911" s="21">
        <f>VLOOKUP($K911,'[4]blood tubes 2017'!$D$1:$L$647,8,FALSE)</f>
        <v>0</v>
      </c>
      <c r="N911" s="15">
        <v>0</v>
      </c>
      <c r="O911" s="15" t="s">
        <v>214</v>
      </c>
      <c r="P911" s="16" t="s">
        <v>110</v>
      </c>
      <c r="Q911" s="16">
        <v>0</v>
      </c>
      <c r="R911" s="16" t="s">
        <v>111</v>
      </c>
      <c r="T911" s="16" t="s">
        <v>127</v>
      </c>
      <c r="U911" s="16" t="s">
        <v>191</v>
      </c>
      <c r="V911" s="16" t="s">
        <v>114</v>
      </c>
      <c r="W911" s="16">
        <f>AI911/AG911</f>
        <v>0.83333333333333337</v>
      </c>
      <c r="X911" s="16" t="s">
        <v>121</v>
      </c>
      <c r="Y911" s="16" t="s">
        <v>110</v>
      </c>
      <c r="Z911" s="16">
        <v>3</v>
      </c>
      <c r="AA911" s="16" t="s">
        <v>119</v>
      </c>
      <c r="AB911" s="16" t="s">
        <v>239</v>
      </c>
      <c r="AC911" s="16" t="s">
        <v>123</v>
      </c>
      <c r="AD911" s="16" t="s">
        <v>123</v>
      </c>
      <c r="AG911" s="16">
        <f>AH911-AI911</f>
        <v>90</v>
      </c>
      <c r="AH911" s="16">
        <v>165</v>
      </c>
      <c r="AI911" s="16">
        <v>75</v>
      </c>
      <c r="AK911" s="16">
        <v>25</v>
      </c>
      <c r="AL911" s="16">
        <v>0</v>
      </c>
      <c r="AM911" s="16">
        <v>0</v>
      </c>
      <c r="AN911" s="16">
        <v>0</v>
      </c>
      <c r="AO911" s="16">
        <v>0</v>
      </c>
      <c r="AP911" s="16">
        <f>SUM(AL911:AN911)</f>
        <v>0</v>
      </c>
      <c r="AQ911" s="16">
        <v>1.802</v>
      </c>
      <c r="AR911" s="16">
        <f>AP911-1.472</f>
        <v>-1.472</v>
      </c>
      <c r="AS911" s="16">
        <f>AQ911-1.472</f>
        <v>0.33000000000000007</v>
      </c>
      <c r="AT911" s="16" t="s">
        <v>234</v>
      </c>
      <c r="AW911" s="16">
        <f>IF(AX911&gt;0,1,0)</f>
        <v>1</v>
      </c>
      <c r="AX911" s="16">
        <f>SUM(BA911,BM911,CT911)</f>
        <v>1</v>
      </c>
      <c r="AY911" s="18">
        <f>SUM(BB911,BN911,CV911)</f>
        <v>1151.5151515151513</v>
      </c>
      <c r="AZ911" s="16">
        <f>IF(BA911&gt;0,1,0)</f>
        <v>1</v>
      </c>
      <c r="BA911" s="16">
        <f>SUM(BC911,BF911,BI911)</f>
        <v>1</v>
      </c>
      <c r="BB911" s="16">
        <f>SUM(BE911,BH911,BK911)</f>
        <v>1151.5151515151513</v>
      </c>
      <c r="BC911" s="16">
        <v>0</v>
      </c>
      <c r="BD911" s="16">
        <v>0</v>
      </c>
      <c r="BE911" s="16">
        <f>BD911/AS911</f>
        <v>0</v>
      </c>
      <c r="BF911" s="16">
        <v>1</v>
      </c>
      <c r="BG911" s="77">
        <v>380</v>
      </c>
      <c r="BH911" s="16">
        <f>BG911/AS911</f>
        <v>1151.5151515151513</v>
      </c>
      <c r="BI911" s="16">
        <v>0</v>
      </c>
      <c r="BJ911" s="16">
        <v>0</v>
      </c>
      <c r="BK911" s="16">
        <f>BJ911/AS911</f>
        <v>0</v>
      </c>
      <c r="BL911" s="16">
        <f>IF(BM911&gt;0,1,0)</f>
        <v>0</v>
      </c>
      <c r="BM911" s="16">
        <f>SUM(BR911,BU911,BX911,CA911,CD911,CG911,CJ911,CM911,CP911)</f>
        <v>0</v>
      </c>
      <c r="BN911" s="16">
        <f>SUM(BW911,BZ911,CC911,CF911,CI911,CL911,CO911,CR911,BT911)</f>
        <v>0</v>
      </c>
      <c r="BO911" s="16">
        <f>IF(BP911&gt;0,1,0)</f>
        <v>0</v>
      </c>
      <c r="BP911" s="16">
        <f>SUM(BU911,BX911,CA911,CD911,BR911)</f>
        <v>0</v>
      </c>
      <c r="BQ911" s="16">
        <f>SUM(BZ911,CC911,CF911,BT911,BW911)</f>
        <v>0</v>
      </c>
      <c r="BR911" s="16">
        <v>0</v>
      </c>
      <c r="BS911" s="16">
        <v>0</v>
      </c>
      <c r="BT911" s="77">
        <f>BS911/AS911</f>
        <v>0</v>
      </c>
      <c r="BU911" s="16">
        <v>0</v>
      </c>
      <c r="BV911" s="16">
        <v>0</v>
      </c>
      <c r="BW911" s="16">
        <f>BV911/AS911</f>
        <v>0</v>
      </c>
      <c r="BX911" s="16">
        <v>0</v>
      </c>
      <c r="BY911" s="16">
        <v>0</v>
      </c>
      <c r="BZ911" s="16">
        <f>BY911/AS911</f>
        <v>0</v>
      </c>
      <c r="CA911" s="16">
        <v>0</v>
      </c>
      <c r="CB911" s="16">
        <v>0</v>
      </c>
      <c r="CC911" s="16">
        <f>CB911/AS911</f>
        <v>0</v>
      </c>
      <c r="CD911" s="77">
        <v>0</v>
      </c>
      <c r="CE911" s="16">
        <v>0</v>
      </c>
      <c r="CF911" s="16">
        <f>CE911/AS911</f>
        <v>0</v>
      </c>
      <c r="CG911" s="22">
        <v>0</v>
      </c>
      <c r="CH911" s="22">
        <v>0</v>
      </c>
      <c r="CI911" s="16">
        <f>CH911/AS911</f>
        <v>0</v>
      </c>
      <c r="CM911" s="22">
        <v>0</v>
      </c>
      <c r="CN911" s="22">
        <v>0</v>
      </c>
      <c r="CO911" s="16">
        <f>CN911/AS911</f>
        <v>0</v>
      </c>
      <c r="CP911" s="22">
        <v>0</v>
      </c>
      <c r="CQ911" s="22">
        <v>0</v>
      </c>
      <c r="CR911" s="16">
        <f>CQ911/AS911</f>
        <v>0</v>
      </c>
      <c r="CS911" s="16">
        <f>IF(CT911&gt;0,1,0)</f>
        <v>0</v>
      </c>
      <c r="CT911" s="16">
        <f>SUM(CW911,CZ911,DC911)</f>
        <v>0</v>
      </c>
      <c r="CV911" s="16">
        <f>SUM(CY911,DB911,DE911)</f>
        <v>0</v>
      </c>
      <c r="CW911" s="16">
        <v>0</v>
      </c>
      <c r="CX911" s="16">
        <v>0</v>
      </c>
      <c r="CY911" s="16">
        <f>CX911/AS911</f>
        <v>0</v>
      </c>
      <c r="CZ911" s="16">
        <v>0</v>
      </c>
      <c r="DA911" s="16">
        <v>0</v>
      </c>
      <c r="DB911" s="16">
        <f>DA911/AS911</f>
        <v>0</v>
      </c>
      <c r="DC911" s="16">
        <v>0</v>
      </c>
      <c r="DD911" s="16">
        <v>0</v>
      </c>
      <c r="DE911" s="16">
        <f>DD911/AS911</f>
        <v>0</v>
      </c>
      <c r="DF911" s="16" t="e">
        <f>VLOOKUP(K911,'[3]RNA Seq summary tables'!$V$3:$V$99,1,FALSE)</f>
        <v>#N/A</v>
      </c>
      <c r="DG911" s="16">
        <v>1</v>
      </c>
      <c r="DH911" s="16" t="str">
        <f>VLOOKUP(D911,'[6]workflow 3.2018'!$A$1:$S$237,2,FALSE)</f>
        <v>2017MLBS_39</v>
      </c>
      <c r="DI911" s="16">
        <v>58</v>
      </c>
      <c r="DK911" s="16">
        <v>38</v>
      </c>
      <c r="DM911" s="16">
        <v>4</v>
      </c>
      <c r="DO911" s="16">
        <v>0</v>
      </c>
      <c r="DQ911" s="16">
        <v>0</v>
      </c>
      <c r="DR911" s="16">
        <v>100</v>
      </c>
    </row>
    <row r="912" spans="1:288" x14ac:dyDescent="0.2">
      <c r="A912" s="51">
        <v>1</v>
      </c>
      <c r="B912" s="16">
        <v>2017</v>
      </c>
      <c r="C912" s="20">
        <v>42912</v>
      </c>
      <c r="D912" s="20" t="str">
        <f>CONCATENATE(J912,"-",C912)</f>
        <v>1077-42912</v>
      </c>
      <c r="E912" s="20" t="str">
        <f>CONCATENATE(T912,"-",U912,"-",C912)</f>
        <v>PO2-F2-42912</v>
      </c>
      <c r="F912" s="20" t="s">
        <v>106</v>
      </c>
      <c r="G912" s="37" t="s">
        <v>107</v>
      </c>
      <c r="H912" s="18" t="s">
        <v>192</v>
      </c>
      <c r="I912" s="16">
        <v>0</v>
      </c>
      <c r="J912" s="21">
        <v>1077</v>
      </c>
      <c r="K912" s="76" t="s">
        <v>246</v>
      </c>
      <c r="L912" s="18">
        <v>0</v>
      </c>
      <c r="M912" s="21">
        <v>0</v>
      </c>
      <c r="N912" s="15">
        <v>0</v>
      </c>
      <c r="O912" s="15" t="s">
        <v>214</v>
      </c>
      <c r="P912" s="16" t="s">
        <v>110</v>
      </c>
      <c r="Q912" s="16">
        <v>1</v>
      </c>
      <c r="R912" s="16">
        <v>19</v>
      </c>
      <c r="T912" s="16" t="s">
        <v>127</v>
      </c>
      <c r="U912" s="16" t="s">
        <v>187</v>
      </c>
      <c r="V912" s="16" t="s">
        <v>114</v>
      </c>
      <c r="W912" s="16">
        <f>AI912/AG912</f>
        <v>0.81720430107526887</v>
      </c>
      <c r="X912" s="16" t="s">
        <v>121</v>
      </c>
      <c r="Y912" s="16" t="s">
        <v>110</v>
      </c>
      <c r="Z912" s="16">
        <v>3</v>
      </c>
      <c r="AA912" s="16" t="s">
        <v>119</v>
      </c>
      <c r="AB912" s="16" t="s">
        <v>240</v>
      </c>
      <c r="AC912" s="16" t="s">
        <v>123</v>
      </c>
      <c r="AD912" s="16" t="s">
        <v>123</v>
      </c>
      <c r="AG912" s="16">
        <f>AH912-AI912</f>
        <v>93</v>
      </c>
      <c r="AH912" s="16">
        <v>169</v>
      </c>
      <c r="AI912" s="16">
        <v>76</v>
      </c>
      <c r="AK912" s="16">
        <v>21</v>
      </c>
      <c r="AL912" s="16">
        <v>0</v>
      </c>
      <c r="AM912" s="16">
        <v>0</v>
      </c>
      <c r="AN912" s="16">
        <v>0</v>
      </c>
      <c r="AO912" s="16">
        <v>0</v>
      </c>
      <c r="AP912" s="16">
        <f>SUM(AL912:AN912)</f>
        <v>0</v>
      </c>
      <c r="AQ912" s="16">
        <v>2.0579999999999998</v>
      </c>
      <c r="AR912" s="16">
        <f>AP912-1.472</f>
        <v>-1.472</v>
      </c>
      <c r="AS912" s="16">
        <f>AQ912-1.472</f>
        <v>0.58599999999999985</v>
      </c>
      <c r="AT912" s="41" t="e">
        <f>VLOOKUP(K912,'[5]FECs - good data'!$C$1:$P$575,13,FALSE)</f>
        <v>#N/A</v>
      </c>
      <c r="AU912" s="41"/>
      <c r="AW912" s="16">
        <f>IF(AX912&gt;0,1,0)</f>
        <v>1</v>
      </c>
      <c r="AX912" s="16">
        <f>SUM(BA912,BM912,CT912)</f>
        <v>2</v>
      </c>
      <c r="AY912" s="18">
        <f>SUM(BB912,BN912,CV912)</f>
        <v>6.8259385665529031</v>
      </c>
      <c r="AZ912" s="16">
        <f>IF(BA912&gt;0,1,0)</f>
        <v>1</v>
      </c>
      <c r="BA912" s="16">
        <f>SUM(BC912,BF912,BI912)</f>
        <v>2</v>
      </c>
      <c r="BB912" s="16">
        <f>SUM(BE912,BH912,BK912)</f>
        <v>6.8259385665529031</v>
      </c>
      <c r="BC912" s="16">
        <v>0</v>
      </c>
      <c r="BD912" s="16">
        <v>0</v>
      </c>
      <c r="BE912" s="16">
        <f>BD912/AS912</f>
        <v>0</v>
      </c>
      <c r="BF912" s="16">
        <v>1</v>
      </c>
      <c r="BG912" s="77">
        <v>1</v>
      </c>
      <c r="BH912" s="16">
        <f>BG912/AS912</f>
        <v>1.7064846416382258</v>
      </c>
      <c r="BI912" s="16">
        <v>1</v>
      </c>
      <c r="BJ912" s="16">
        <v>3</v>
      </c>
      <c r="BK912" s="16">
        <f>BJ912/AS912</f>
        <v>5.1194539249146773</v>
      </c>
      <c r="BL912" s="16">
        <f>IF(BM912&gt;0,1,0)</f>
        <v>0</v>
      </c>
      <c r="BM912" s="16">
        <f>SUM(BR912,BU912,BX912,CA912,CD912,CG912,CJ912,CM912,CP912)</f>
        <v>0</v>
      </c>
      <c r="BN912" s="16">
        <f>SUM(BW912,BZ912,CC912,CF912,CI912,CL912,CO912,CR912,BT912)</f>
        <v>0</v>
      </c>
      <c r="BO912" s="16">
        <f>IF(BP912&gt;0,1,0)</f>
        <v>0</v>
      </c>
      <c r="BP912" s="16">
        <f>SUM(BU912,BX912,CA912,CD912,BR912)</f>
        <v>0</v>
      </c>
      <c r="BQ912" s="16">
        <f>SUM(BZ912,CC912,CF912,BT912,BW912)</f>
        <v>0</v>
      </c>
      <c r="BR912" s="16">
        <v>0</v>
      </c>
      <c r="BS912" s="16">
        <v>0</v>
      </c>
      <c r="BT912" s="77">
        <f>BS912/AS912</f>
        <v>0</v>
      </c>
      <c r="BU912" s="16">
        <v>0</v>
      </c>
      <c r="BV912" s="16">
        <v>0</v>
      </c>
      <c r="BW912" s="16">
        <f>BV912/AS912</f>
        <v>0</v>
      </c>
      <c r="BX912" s="16">
        <v>0</v>
      </c>
      <c r="BY912" s="16">
        <v>0</v>
      </c>
      <c r="BZ912" s="16">
        <f>BY912/AS912</f>
        <v>0</v>
      </c>
      <c r="CA912" s="16">
        <v>0</v>
      </c>
      <c r="CB912" s="16">
        <v>0</v>
      </c>
      <c r="CC912" s="16">
        <f>CB912/AS912</f>
        <v>0</v>
      </c>
      <c r="CD912" s="77">
        <v>0</v>
      </c>
      <c r="CE912" s="16">
        <v>0</v>
      </c>
      <c r="CF912" s="16">
        <f>CE912/AS912</f>
        <v>0</v>
      </c>
      <c r="CG912" s="16">
        <v>0</v>
      </c>
      <c r="CH912" s="16">
        <v>0</v>
      </c>
      <c r="CI912" s="16">
        <f>CH912/AS912</f>
        <v>0</v>
      </c>
      <c r="CM912" s="16">
        <v>0</v>
      </c>
      <c r="CN912" s="16">
        <v>0</v>
      </c>
      <c r="CO912" s="16">
        <f>CN912/AS912</f>
        <v>0</v>
      </c>
      <c r="CP912" s="16">
        <v>0</v>
      </c>
      <c r="CQ912" s="16">
        <v>0</v>
      </c>
      <c r="CR912" s="16">
        <f>CQ912/AS912</f>
        <v>0</v>
      </c>
      <c r="CS912" s="16">
        <f>IF(CT912&gt;0,1,0)</f>
        <v>0</v>
      </c>
      <c r="CT912" s="16">
        <f>SUM(CW912,CZ912,DC912)</f>
        <v>0</v>
      </c>
      <c r="CV912" s="16">
        <f>SUM(CY912,DB912,DE912)</f>
        <v>0</v>
      </c>
      <c r="CW912" s="16">
        <v>0</v>
      </c>
      <c r="CX912" s="16">
        <v>0</v>
      </c>
      <c r="CY912" s="16">
        <f>CX912/AS912</f>
        <v>0</v>
      </c>
      <c r="CZ912" s="16">
        <v>0</v>
      </c>
      <c r="DA912" s="16">
        <v>0</v>
      </c>
      <c r="DB912" s="16">
        <f>DA912/AS912</f>
        <v>0</v>
      </c>
      <c r="DC912" s="16">
        <v>0</v>
      </c>
      <c r="DD912" s="16">
        <v>0</v>
      </c>
      <c r="DE912" s="16">
        <f>DD912/AS912</f>
        <v>0</v>
      </c>
      <c r="DF912" s="16" t="e">
        <f>VLOOKUP(K912,'[3]RNA Seq summary tables'!$V$3:$V$99,1,FALSE)</f>
        <v>#N/A</v>
      </c>
      <c r="JO912" s="18"/>
      <c r="JR912" s="18"/>
      <c r="JS912" s="18"/>
      <c r="JT912" s="18"/>
      <c r="JU912" s="18"/>
      <c r="JV912" s="18"/>
      <c r="JW912" s="18"/>
      <c r="JX912" s="18"/>
      <c r="JY912" s="18"/>
      <c r="JZ912" s="18"/>
      <c r="KA912" s="18"/>
      <c r="KB912" s="18"/>
    </row>
    <row r="913" spans="1:288" x14ac:dyDescent="0.2">
      <c r="B913" s="16">
        <v>2017</v>
      </c>
      <c r="C913" s="20">
        <v>42928</v>
      </c>
      <c r="D913" s="20" t="str">
        <f>CONCATENATE(J913,"-",C913)</f>
        <v>1077-42928</v>
      </c>
      <c r="E913" s="20" t="str">
        <f>CONCATENATE(T913,"-",U913,"-",C913)</f>
        <v>PO2-E1-42928</v>
      </c>
      <c r="F913" s="20" t="s">
        <v>106</v>
      </c>
      <c r="G913" s="20" t="s">
        <v>107</v>
      </c>
      <c r="I913" s="16">
        <v>0</v>
      </c>
      <c r="J913" s="21">
        <v>1077</v>
      </c>
      <c r="K913" s="21">
        <v>1880</v>
      </c>
      <c r="L913" s="18">
        <v>0</v>
      </c>
      <c r="M913" s="21">
        <f>VLOOKUP($K913,'[4]blood tubes 2017'!$D$1:$L$647,8,FALSE)</f>
        <v>0</v>
      </c>
      <c r="N913" s="15">
        <v>0</v>
      </c>
      <c r="O913" s="15" t="s">
        <v>214</v>
      </c>
      <c r="P913" s="16" t="s">
        <v>110</v>
      </c>
      <c r="Q913" s="16">
        <v>1</v>
      </c>
      <c r="R913" s="16">
        <v>16</v>
      </c>
      <c r="T913" s="16" t="s">
        <v>127</v>
      </c>
      <c r="U913" s="16" t="s">
        <v>222</v>
      </c>
      <c r="V913" s="16" t="s">
        <v>114</v>
      </c>
      <c r="W913" s="16">
        <f>AI913/AG913</f>
        <v>0.8</v>
      </c>
      <c r="X913" s="16" t="s">
        <v>121</v>
      </c>
      <c r="Y913" s="16" t="s">
        <v>110</v>
      </c>
      <c r="Z913" s="16">
        <v>3</v>
      </c>
      <c r="AA913" s="16" t="s">
        <v>161</v>
      </c>
      <c r="AB913" s="16" t="s">
        <v>116</v>
      </c>
      <c r="AC913" s="16" t="s">
        <v>116</v>
      </c>
      <c r="AD913" s="16" t="s">
        <v>116</v>
      </c>
      <c r="AG913" s="16">
        <f>AH913-AI913</f>
        <v>95</v>
      </c>
      <c r="AH913" s="16">
        <v>171</v>
      </c>
      <c r="AI913" s="16">
        <v>76</v>
      </c>
      <c r="AK913" s="16">
        <v>28</v>
      </c>
      <c r="AL913" s="16">
        <v>1</v>
      </c>
      <c r="AM913" s="16">
        <v>1</v>
      </c>
      <c r="AN913" s="16">
        <v>0</v>
      </c>
      <c r="AO913" s="16">
        <v>1</v>
      </c>
      <c r="AP913" s="16">
        <f>SUM(AL913:AN913)</f>
        <v>2</v>
      </c>
      <c r="AQ913" s="16">
        <v>1.8049999999999999</v>
      </c>
      <c r="AR913" s="16">
        <f>AP913-1.472</f>
        <v>0.52800000000000002</v>
      </c>
      <c r="AS913" s="16">
        <f>AQ913-1.472</f>
        <v>0.33299999999999996</v>
      </c>
      <c r="AT913" s="16" t="str">
        <f>VLOOKUP(K913,'[5]FECs - good data'!$C$1:$P$575,13,FALSE)</f>
        <v>CH</v>
      </c>
      <c r="AW913" s="18">
        <f>IF(AX913&gt;0,1,0)</f>
        <v>1</v>
      </c>
      <c r="AX913" s="18">
        <f>SUM(BA913,BM913,CT913)</f>
        <v>4</v>
      </c>
      <c r="AY913" s="18">
        <f>SUM(BB913,BN913,CV913)</f>
        <v>321.32132132132136</v>
      </c>
      <c r="AZ913" s="18">
        <f>IF(BA913&gt;0,1,0)</f>
        <v>1</v>
      </c>
      <c r="BA913" s="18">
        <f>SUM(BC913,BF913,BI913)</f>
        <v>2</v>
      </c>
      <c r="BB913" s="18">
        <f>SUM(BE913,BH913,BK913)</f>
        <v>315.31531531531533</v>
      </c>
      <c r="BC913" s="18">
        <f>IF(BD913&gt;0,1,0)</f>
        <v>1</v>
      </c>
      <c r="BD913" s="18">
        <f>VLOOKUP($K913,'[5]FECs - good data'!$C$1:$Z$574,14,FALSE)</f>
        <v>30</v>
      </c>
      <c r="BE913" s="16">
        <f>BD913/AS913</f>
        <v>90.090090090090101</v>
      </c>
      <c r="BF913" s="16">
        <f>IF(BG913&gt;0,1,0)</f>
        <v>1</v>
      </c>
      <c r="BG913" s="77">
        <f>VLOOKUP($K913,'[5]FECs - good data'!$C$1:$Z$574,15,FALSE)</f>
        <v>75</v>
      </c>
      <c r="BH913" s="16">
        <f>BG913/AS913</f>
        <v>225.22522522522524</v>
      </c>
      <c r="BI913" s="16">
        <f>IF(BJ913&gt;0,1,0)</f>
        <v>0</v>
      </c>
      <c r="BJ913" s="16">
        <f>VLOOKUP($K913,'[5]FECs - good data'!$C$1:$Z$574,16,FALSE)</f>
        <v>0</v>
      </c>
      <c r="BK913" s="16">
        <f>BJ913/AS913</f>
        <v>0</v>
      </c>
      <c r="BL913" s="16">
        <f>IF(BM913&gt;0,1,0)</f>
        <v>1</v>
      </c>
      <c r="BM913" s="16">
        <f>SUM(BR913,BU913,BX913,CA913,CD913,CG913,CJ913,CM913,CP913)</f>
        <v>2</v>
      </c>
      <c r="BN913" s="16">
        <f>SUM(BW913,BZ913,CC913,CF913,CI913,CL913,CO913,CR913,BT913)</f>
        <v>6.0060060060060065</v>
      </c>
      <c r="BO913" s="16">
        <f>IF(BP913&gt;0,1,0)</f>
        <v>1</v>
      </c>
      <c r="BP913" s="16">
        <f>SUM(BU913,BX913,CA913,CD913,BR913)</f>
        <v>2</v>
      </c>
      <c r="BQ913" s="16">
        <f>SUM(BZ913,CC913,CF913,BT913,BW913)</f>
        <v>6.0060060060060065</v>
      </c>
      <c r="BR913" s="16">
        <f>IF(BS913&gt;0,1,0)</f>
        <v>0</v>
      </c>
      <c r="BS913" s="16">
        <f>VLOOKUP($K913,'[5]FECs - good data'!$C$1:$Z$574,17,FALSE)</f>
        <v>0</v>
      </c>
      <c r="BT913" s="77">
        <f>BS913/AS913</f>
        <v>0</v>
      </c>
      <c r="BU913" s="16">
        <f>IF(BV913&gt;0,1,0)</f>
        <v>0</v>
      </c>
      <c r="BV913" s="16">
        <f>VLOOKUP($K913,'[5]FECs - good data'!$C$1:$Z$574,18,FALSE)</f>
        <v>0</v>
      </c>
      <c r="BW913" s="16">
        <f>BV913/AS913</f>
        <v>0</v>
      </c>
      <c r="BX913" s="16">
        <f>IF(BY913&gt;0,1,0)</f>
        <v>1</v>
      </c>
      <c r="BY913" s="16">
        <f>VLOOKUP($K913,'[5]FECs - good data'!$C$1:$Z$574,19,FALSE)</f>
        <v>1</v>
      </c>
      <c r="BZ913" s="16">
        <f>BY913/AS913</f>
        <v>3.0030030030030033</v>
      </c>
      <c r="CA913" s="16">
        <f>IF(CB913&gt;0,1,0)</f>
        <v>0</v>
      </c>
      <c r="CB913" s="16">
        <f>VLOOKUP($K913,'[5]FECs - good data'!$C$1:$Z$574,20,FALSE)</f>
        <v>0</v>
      </c>
      <c r="CC913" s="16">
        <f>CB913/AS913</f>
        <v>0</v>
      </c>
      <c r="CD913" s="77">
        <f>IF(CE913&gt;0,1,0)</f>
        <v>1</v>
      </c>
      <c r="CE913" s="16">
        <f>VLOOKUP($K913,'[5]FECs - good data'!$C$1:$Z$574,21,FALSE)</f>
        <v>1</v>
      </c>
      <c r="CF913" s="16">
        <f>CE913/AS913</f>
        <v>3.0030030030030033</v>
      </c>
      <c r="CG913" s="16">
        <f>IF(CH913&gt;0,1,0)</f>
        <v>0</v>
      </c>
      <c r="CH913" s="16">
        <f>VLOOKUP($K913,'[5]FECs - good data'!$C$1:$Z$574,22,FALSE)</f>
        <v>0</v>
      </c>
      <c r="CI913" s="16">
        <f>CH913/AS913</f>
        <v>0</v>
      </c>
      <c r="CJ913" s="16">
        <f>IF(CK913&gt;0,1,0)</f>
        <v>0</v>
      </c>
      <c r="CK913" s="16">
        <f>VLOOKUP($K913,'[5]FECs - good data'!$C$1:$Z$674,24,FALSE)</f>
        <v>0</v>
      </c>
      <c r="CL913" s="16">
        <f>CK913/AS913</f>
        <v>0</v>
      </c>
      <c r="CS913" s="16">
        <f>IF(CT913&gt;0,1,0)</f>
        <v>0</v>
      </c>
      <c r="CT913" s="16">
        <f>SUM(CW913+CZ913,DC913)</f>
        <v>0</v>
      </c>
      <c r="CV913" s="16">
        <f>SUM(CY913,DB913,DE913)</f>
        <v>0</v>
      </c>
      <c r="CW913" s="16">
        <f>IF(CX913&gt;0,1,0)</f>
        <v>0</v>
      </c>
      <c r="CX913" s="16">
        <f>VLOOKUP($K913,'[5]FECs - good data'!$C$1:$Z$574,22,FALSE)</f>
        <v>0</v>
      </c>
      <c r="CY913" s="16">
        <f>CX913/AS913</f>
        <v>0</v>
      </c>
      <c r="CZ913" s="16">
        <f>IF(DA913&gt;0,1,0)</f>
        <v>0</v>
      </c>
      <c r="DA913" s="16">
        <f>VLOOKUP($K913,'[5]FECs - good data'!$C$1:$Z$5982,23,FALSE)</f>
        <v>0</v>
      </c>
      <c r="DB913" s="16">
        <f>DA913/AS913</f>
        <v>0</v>
      </c>
      <c r="DC913" s="16">
        <f>IF(DD913&gt;0,1,0)</f>
        <v>0</v>
      </c>
      <c r="DD913" s="16">
        <f>VLOOKUP($K913,'[5]FECs - good data'!$C$1:$Z$574,23,FALSE)</f>
        <v>0</v>
      </c>
      <c r="DE913" s="16">
        <f>DD913/AS913</f>
        <v>0</v>
      </c>
      <c r="DF913" s="16" t="e">
        <f>VLOOKUP(K913,'[3]RNA Seq summary tables'!$V$3:$V$99,1,FALSE)</f>
        <v>#N/A</v>
      </c>
      <c r="JR913" s="27"/>
      <c r="JS913" s="27"/>
      <c r="JT913" s="27"/>
      <c r="JU913" s="27"/>
      <c r="JV913" s="27"/>
      <c r="JW913" s="27"/>
      <c r="JX913" s="27"/>
      <c r="JY913" s="27"/>
      <c r="JZ913" s="27"/>
      <c r="KA913" s="27"/>
      <c r="KB913" s="27"/>
    </row>
    <row r="914" spans="1:288" x14ac:dyDescent="0.2">
      <c r="B914" s="16">
        <v>2017</v>
      </c>
      <c r="C914" s="73">
        <v>42894</v>
      </c>
      <c r="D914" s="73" t="str">
        <f>CONCATENATE(J914,"-",C914)</f>
        <v>1079-42894</v>
      </c>
      <c r="E914" s="20" t="str">
        <f>CONCATENATE(T914,"-",U914,"-",C914)</f>
        <v>PO1-A5-42894</v>
      </c>
      <c r="F914" s="20" t="s">
        <v>106</v>
      </c>
      <c r="G914" s="43" t="s">
        <v>107</v>
      </c>
      <c r="H914" s="23"/>
      <c r="I914" s="16">
        <v>0</v>
      </c>
      <c r="J914" s="15">
        <v>1079</v>
      </c>
      <c r="K914" s="15">
        <v>1633</v>
      </c>
      <c r="L914" s="16">
        <v>1</v>
      </c>
      <c r="M914" s="21">
        <f>VLOOKUP($K914,'[4]blood tubes 2017'!$D$1:$L$647,8,FALSE)</f>
        <v>0</v>
      </c>
      <c r="N914" s="15">
        <v>0</v>
      </c>
      <c r="O914" s="15" t="s">
        <v>214</v>
      </c>
      <c r="P914" s="23" t="s">
        <v>110</v>
      </c>
      <c r="Q914" s="16">
        <v>0</v>
      </c>
      <c r="R914" s="23" t="s">
        <v>111</v>
      </c>
      <c r="S914" s="23"/>
      <c r="T914" s="23" t="s">
        <v>112</v>
      </c>
      <c r="U914" s="23" t="s">
        <v>167</v>
      </c>
      <c r="V914" s="23" t="s">
        <v>114</v>
      </c>
      <c r="W914" s="16">
        <f>AI914/AG914</f>
        <v>0.8314606741573034</v>
      </c>
      <c r="X914" s="23" t="s">
        <v>121</v>
      </c>
      <c r="Y914" s="23" t="s">
        <v>110</v>
      </c>
      <c r="Z914" s="23">
        <v>3</v>
      </c>
      <c r="AA914" s="23" t="s">
        <v>119</v>
      </c>
      <c r="AB914" s="23" t="s">
        <v>239</v>
      </c>
      <c r="AC914" s="23" t="s">
        <v>123</v>
      </c>
      <c r="AD914" s="23" t="s">
        <v>123</v>
      </c>
      <c r="AE914" s="23"/>
      <c r="AF914" s="23"/>
      <c r="AG914" s="23">
        <f>AH914-AI914</f>
        <v>89</v>
      </c>
      <c r="AH914" s="23">
        <v>163</v>
      </c>
      <c r="AI914" s="23">
        <v>74</v>
      </c>
      <c r="AJ914" s="23"/>
      <c r="AK914" s="23">
        <v>22</v>
      </c>
      <c r="AL914" s="23">
        <v>0</v>
      </c>
      <c r="AM914" s="23">
        <v>0</v>
      </c>
      <c r="AN914" s="23">
        <v>0</v>
      </c>
      <c r="AO914" s="23">
        <v>0</v>
      </c>
      <c r="AP914" s="23">
        <f>SUM(AL914:AN914)</f>
        <v>0</v>
      </c>
      <c r="AQ914" s="23">
        <v>2.1120000000000001</v>
      </c>
      <c r="AR914" s="23">
        <f>AP914-1.472</f>
        <v>-1.472</v>
      </c>
      <c r="AS914" s="23">
        <f>AQ914-1.472</f>
        <v>0.64000000000000012</v>
      </c>
      <c r="AT914" s="25" t="s">
        <v>119</v>
      </c>
      <c r="AU914" s="25"/>
      <c r="AV914" s="25"/>
      <c r="AW914" s="23">
        <f>IF(AX914&gt;0,1,0)</f>
        <v>1</v>
      </c>
      <c r="AX914" s="23">
        <f>SUM(BA914,BM914,CT914)</f>
        <v>5</v>
      </c>
      <c r="AY914" s="25">
        <f>SUM(BB914,BN914,CV914)</f>
        <v>2314.0624999999995</v>
      </c>
      <c r="AZ914" s="16">
        <f>IF(BA914&gt;0,1,0)</f>
        <v>1</v>
      </c>
      <c r="BA914" s="23">
        <f>SUM(BC914,BF914,BI914)</f>
        <v>1</v>
      </c>
      <c r="BB914" s="23">
        <f>SUM(BE914,BH914,BK914)</f>
        <v>754.68749999999989</v>
      </c>
      <c r="BC914" s="16">
        <v>0</v>
      </c>
      <c r="BD914" s="23">
        <v>0</v>
      </c>
      <c r="BE914" s="23">
        <f>BD914/AS914</f>
        <v>0</v>
      </c>
      <c r="BF914" s="16">
        <v>0</v>
      </c>
      <c r="BG914" s="77">
        <v>0</v>
      </c>
      <c r="BH914" s="23">
        <f>BG914/AS914</f>
        <v>0</v>
      </c>
      <c r="BI914" s="16">
        <v>1</v>
      </c>
      <c r="BJ914" s="23">
        <v>483</v>
      </c>
      <c r="BK914" s="23">
        <f>BJ914/AS914</f>
        <v>754.68749999999989</v>
      </c>
      <c r="BL914" s="16">
        <f>IF(BM914&gt;0,1,0)</f>
        <v>1</v>
      </c>
      <c r="BM914" s="16">
        <f>SUM(BR914,BU914,BX914,CA914,CD914,CG914,CJ914,CM914,CP914)</f>
        <v>2</v>
      </c>
      <c r="BN914" s="16">
        <f>SUM(BW914,BZ914,CC914,CF914,CI914,CL914,CO914,CR914,BT914)</f>
        <v>109.37499999999997</v>
      </c>
      <c r="BO914" s="16">
        <f>IF(BP914&gt;0,1,0)</f>
        <v>1</v>
      </c>
      <c r="BP914" s="16">
        <f>SUM(BU914,BX914,CA914,CD914,BR914)</f>
        <v>1</v>
      </c>
      <c r="BQ914" s="16">
        <f>SUM(BZ914,CC914,CF914,BT914,BW914)</f>
        <v>56.249999999999986</v>
      </c>
      <c r="BR914" s="16">
        <v>0</v>
      </c>
      <c r="BS914" s="23">
        <v>0</v>
      </c>
      <c r="BT914" s="77">
        <f>BS914/AS914</f>
        <v>0</v>
      </c>
      <c r="BU914" s="16">
        <v>0</v>
      </c>
      <c r="BV914" s="23">
        <v>0</v>
      </c>
      <c r="BW914" s="16">
        <f>BV914/AS914</f>
        <v>0</v>
      </c>
      <c r="BX914" s="16">
        <v>1</v>
      </c>
      <c r="BY914" s="23">
        <v>36</v>
      </c>
      <c r="BZ914" s="16">
        <f>BY914/AS914</f>
        <v>56.249999999999986</v>
      </c>
      <c r="CA914" s="16">
        <v>0</v>
      </c>
      <c r="CB914" s="23">
        <v>0</v>
      </c>
      <c r="CC914" s="23">
        <f>CB914/AS914</f>
        <v>0</v>
      </c>
      <c r="CD914" s="77">
        <v>0</v>
      </c>
      <c r="CE914" s="23">
        <v>0</v>
      </c>
      <c r="CF914" s="23">
        <f>CE914/AS914</f>
        <v>0</v>
      </c>
      <c r="CG914" s="23">
        <v>1</v>
      </c>
      <c r="CH914" s="23">
        <v>34</v>
      </c>
      <c r="CI914" s="23">
        <f>CH914/AS914</f>
        <v>53.124999999999993</v>
      </c>
      <c r="CJ914" s="23"/>
      <c r="CK914" s="23"/>
      <c r="CL914" s="23"/>
      <c r="CM914" s="23">
        <v>0</v>
      </c>
      <c r="CN914" s="23">
        <v>0</v>
      </c>
      <c r="CO914" s="23">
        <f>CN914/AS914</f>
        <v>0</v>
      </c>
      <c r="CP914" s="23">
        <v>0</v>
      </c>
      <c r="CQ914" s="23">
        <v>0</v>
      </c>
      <c r="CR914" s="23">
        <f>CQ914/AS914</f>
        <v>0</v>
      </c>
      <c r="CS914" s="16">
        <f>IF(CT914&gt;0,1,0)</f>
        <v>1</v>
      </c>
      <c r="CT914" s="16">
        <f>SUM(CW914,CZ914,DC914)</f>
        <v>2</v>
      </c>
      <c r="CV914" s="23">
        <f>SUM(CY914,DB914,DE914)</f>
        <v>1449.9999999999998</v>
      </c>
      <c r="CW914" s="16">
        <v>1</v>
      </c>
      <c r="CX914" s="23">
        <v>824</v>
      </c>
      <c r="CY914" s="23">
        <f>CX914/AS914</f>
        <v>1287.4999999999998</v>
      </c>
      <c r="CZ914" s="23">
        <v>1</v>
      </c>
      <c r="DA914" s="23">
        <v>104</v>
      </c>
      <c r="DB914" s="23">
        <f>DA914/AS914</f>
        <v>162.49999999999997</v>
      </c>
      <c r="DC914" s="23">
        <v>0</v>
      </c>
      <c r="DD914" s="23">
        <v>0</v>
      </c>
      <c r="DE914" s="23">
        <f>DD914/AS914</f>
        <v>0</v>
      </c>
      <c r="DF914" s="16">
        <f>VLOOKUP(K914,'[3]RNA Seq summary tables'!$V$3:$V$99,1,FALSE)</f>
        <v>1633</v>
      </c>
      <c r="DG914" s="16">
        <v>1</v>
      </c>
      <c r="DH914" s="16" t="str">
        <f>VLOOKUP(D914,'[6]workflow 3.2018'!$A$1:$S$237,2,FALSE)</f>
        <v>2017MLBS_41</v>
      </c>
      <c r="DI914" s="23">
        <v>28</v>
      </c>
      <c r="DJ914" s="23"/>
      <c r="DK914" s="23">
        <v>60</v>
      </c>
      <c r="DL914" s="23"/>
      <c r="DM914" s="23">
        <v>12</v>
      </c>
      <c r="DN914" s="23"/>
      <c r="DO914" s="23">
        <v>0</v>
      </c>
      <c r="DP914" s="23"/>
      <c r="DQ914" s="23">
        <v>0</v>
      </c>
      <c r="DR914" s="23">
        <v>100</v>
      </c>
      <c r="DS914" s="23"/>
      <c r="DT914" s="25"/>
      <c r="DU914" s="25"/>
      <c r="DV914" s="25"/>
      <c r="DW914" s="25"/>
      <c r="DX914" s="25"/>
      <c r="DY914" s="25"/>
      <c r="DZ914" s="25"/>
      <c r="EA914" s="25"/>
      <c r="EB914" s="25"/>
      <c r="EC914" s="25"/>
      <c r="ED914" s="25"/>
      <c r="EE914" s="25"/>
      <c r="JO914" s="27"/>
      <c r="JR914" s="27"/>
      <c r="JS914" s="27"/>
      <c r="JT914" s="27"/>
      <c r="JU914" s="27"/>
      <c r="JV914" s="27"/>
      <c r="JW914" s="27"/>
      <c r="JX914" s="27"/>
      <c r="JY914" s="27"/>
      <c r="JZ914" s="27"/>
      <c r="KA914" s="27"/>
      <c r="KB914" s="27"/>
    </row>
    <row r="915" spans="1:288" x14ac:dyDescent="0.2">
      <c r="B915" s="16">
        <v>2017</v>
      </c>
      <c r="C915" s="20">
        <v>42911</v>
      </c>
      <c r="D915" s="20" t="str">
        <f>CONCATENATE(J915,"-",C915)</f>
        <v>1079-42911</v>
      </c>
      <c r="E915" s="20" t="str">
        <f>CONCATENATE(T915,"-",U915,"-",C915)</f>
        <v>PO1-B5-42911</v>
      </c>
      <c r="F915" s="20" t="s">
        <v>106</v>
      </c>
      <c r="G915" s="20" t="s">
        <v>107</v>
      </c>
      <c r="I915" s="16">
        <v>0</v>
      </c>
      <c r="J915" s="21">
        <v>1079</v>
      </c>
      <c r="K915" s="21">
        <v>1725</v>
      </c>
      <c r="L915" s="16">
        <v>1</v>
      </c>
      <c r="M915" s="21">
        <f>VLOOKUP($K915,'[4]blood tubes 2017'!$D$1:$L$647,8,FALSE)</f>
        <v>0</v>
      </c>
      <c r="N915" s="15">
        <v>0</v>
      </c>
      <c r="O915" s="15" t="s">
        <v>214</v>
      </c>
      <c r="P915" s="16" t="s">
        <v>110</v>
      </c>
      <c r="Q915" s="16">
        <v>1</v>
      </c>
      <c r="R915" s="16">
        <v>17</v>
      </c>
      <c r="T915" s="16" t="s">
        <v>112</v>
      </c>
      <c r="U915" s="16" t="s">
        <v>160</v>
      </c>
      <c r="V915" s="16" t="s">
        <v>114</v>
      </c>
      <c r="W915" s="16">
        <f>AI915/AG915</f>
        <v>0.84269662921348309</v>
      </c>
      <c r="X915" s="16" t="s">
        <v>121</v>
      </c>
      <c r="Y915" s="16" t="s">
        <v>110</v>
      </c>
      <c r="Z915" s="16">
        <v>3</v>
      </c>
      <c r="AA915" s="16" t="s">
        <v>119</v>
      </c>
      <c r="AB915" s="16" t="s">
        <v>123</v>
      </c>
      <c r="AC915" s="16" t="s">
        <v>123</v>
      </c>
      <c r="AD915" s="16" t="s">
        <v>123</v>
      </c>
      <c r="AG915" s="16">
        <f>AH915-AI915</f>
        <v>89</v>
      </c>
      <c r="AH915" s="16">
        <v>164</v>
      </c>
      <c r="AI915" s="16">
        <v>75</v>
      </c>
      <c r="AK915" s="16">
        <v>19.5</v>
      </c>
      <c r="AL915" s="16">
        <v>0</v>
      </c>
      <c r="AM915" s="16">
        <v>0</v>
      </c>
      <c r="AN915" s="16">
        <v>0</v>
      </c>
      <c r="AO915" s="16">
        <v>0</v>
      </c>
      <c r="AP915" s="16">
        <f>SUM(AL915:AN915)</f>
        <v>0</v>
      </c>
      <c r="AQ915" s="16">
        <v>1.5780000000000001</v>
      </c>
      <c r="AR915" s="16">
        <f>AP915-1.472</f>
        <v>-1.472</v>
      </c>
      <c r="AS915" s="16">
        <f>AQ915-1.472</f>
        <v>0.10600000000000009</v>
      </c>
      <c r="AT915" s="16" t="s">
        <v>234</v>
      </c>
      <c r="AW915" s="16">
        <f>IF(AX915&gt;0,1,0)</f>
        <v>1</v>
      </c>
      <c r="AX915" s="16">
        <f>SUM(BA915,BM915,CT915)</f>
        <v>1</v>
      </c>
      <c r="AY915" s="18">
        <f>SUM(BB915,BN915,CV915)</f>
        <v>94.339622641509351</v>
      </c>
      <c r="AZ915" s="16">
        <f>IF(BA915&gt;0,1,0)</f>
        <v>1</v>
      </c>
      <c r="BA915" s="16">
        <f>SUM(BC915,BF915,BI915)</f>
        <v>1</v>
      </c>
      <c r="BB915" s="16">
        <f>SUM(BE915,BH915,BK915)</f>
        <v>94.339622641509351</v>
      </c>
      <c r="BC915" s="16">
        <v>0</v>
      </c>
      <c r="BD915" s="16">
        <v>0</v>
      </c>
      <c r="BE915" s="16">
        <f>BD915/AS915</f>
        <v>0</v>
      </c>
      <c r="BF915" s="16">
        <v>0</v>
      </c>
      <c r="BG915" s="77">
        <v>0</v>
      </c>
      <c r="BH915" s="16">
        <f>BG915/AS915</f>
        <v>0</v>
      </c>
      <c r="BI915" s="16">
        <v>1</v>
      </c>
      <c r="BJ915" s="16">
        <v>10</v>
      </c>
      <c r="BK915" s="16">
        <f>BJ915/AS915</f>
        <v>94.339622641509351</v>
      </c>
      <c r="BL915" s="16">
        <f>IF(BM915&gt;0,1,0)</f>
        <v>0</v>
      </c>
      <c r="BM915" s="16">
        <f>SUM(BR915,BU915,BX915,CA915,CD915,CG915,CJ915,CM915,CP915)</f>
        <v>0</v>
      </c>
      <c r="BN915" s="16">
        <f>SUM(BW915,BZ915,CC915,CF915,CI915,CL915,CO915,CR915,BT915)</f>
        <v>0</v>
      </c>
      <c r="BO915" s="16">
        <f>IF(BP915&gt;0,1,0)</f>
        <v>0</v>
      </c>
      <c r="BP915" s="16">
        <f>SUM(BU915,BX915,CA915,CD915,BR915)</f>
        <v>0</v>
      </c>
      <c r="BQ915" s="16">
        <f>SUM(BZ915,CC915,CF915,BT915,BW915)</f>
        <v>0</v>
      </c>
      <c r="BR915" s="16">
        <v>0</v>
      </c>
      <c r="BS915" s="16">
        <v>0</v>
      </c>
      <c r="BT915" s="77">
        <f>BS915/AS915</f>
        <v>0</v>
      </c>
      <c r="BU915" s="16">
        <v>0</v>
      </c>
      <c r="BV915" s="16">
        <v>0</v>
      </c>
      <c r="BW915" s="16">
        <f>BV915/AS915</f>
        <v>0</v>
      </c>
      <c r="BX915" s="16">
        <v>0</v>
      </c>
      <c r="BY915" s="16">
        <v>0</v>
      </c>
      <c r="BZ915" s="16">
        <f>BY915/AS915</f>
        <v>0</v>
      </c>
      <c r="CA915" s="16">
        <v>0</v>
      </c>
      <c r="CB915" s="16">
        <v>0</v>
      </c>
      <c r="CC915" s="16">
        <f>CB915/AS915</f>
        <v>0</v>
      </c>
      <c r="CD915" s="77">
        <v>0</v>
      </c>
      <c r="CE915" s="16">
        <v>0</v>
      </c>
      <c r="CF915" s="16">
        <f>CE915/AS915</f>
        <v>0</v>
      </c>
      <c r="CG915" s="16">
        <v>0</v>
      </c>
      <c r="CH915" s="16">
        <v>0</v>
      </c>
      <c r="CI915" s="16">
        <f>CH915/AS915</f>
        <v>0</v>
      </c>
      <c r="CM915" s="16">
        <v>0</v>
      </c>
      <c r="CN915" s="16">
        <v>0</v>
      </c>
      <c r="CO915" s="16">
        <f>CN915/AS915</f>
        <v>0</v>
      </c>
      <c r="CP915" s="16">
        <v>0</v>
      </c>
      <c r="CQ915" s="16">
        <v>0</v>
      </c>
      <c r="CR915" s="16">
        <f>CQ915/AS915</f>
        <v>0</v>
      </c>
      <c r="CS915" s="16">
        <f>IF(CT915&gt;0,1,0)</f>
        <v>0</v>
      </c>
      <c r="CT915" s="16">
        <f>SUM(CW915,CZ915,DC915)</f>
        <v>0</v>
      </c>
      <c r="CV915" s="16">
        <f>SUM(CY915,DB915,DE915)</f>
        <v>0</v>
      </c>
      <c r="CW915" s="16">
        <v>0</v>
      </c>
      <c r="CX915" s="16">
        <v>0</v>
      </c>
      <c r="CY915" s="16">
        <f>CX915/AS915</f>
        <v>0</v>
      </c>
      <c r="CZ915" s="16">
        <v>0</v>
      </c>
      <c r="DA915" s="16">
        <v>0</v>
      </c>
      <c r="DB915" s="16">
        <f>DA915/AS915</f>
        <v>0</v>
      </c>
      <c r="DC915" s="16">
        <v>0</v>
      </c>
      <c r="DD915" s="16">
        <v>0</v>
      </c>
      <c r="DE915" s="16">
        <f>DD915/AS915</f>
        <v>0</v>
      </c>
      <c r="DF915" s="16">
        <f>VLOOKUP(K915,'[3]RNA Seq summary tables'!$V$3:$V$99,1,FALSE)</f>
        <v>1725</v>
      </c>
      <c r="DI915" s="16">
        <v>15</v>
      </c>
      <c r="DK915" s="16">
        <v>83</v>
      </c>
      <c r="DM915" s="16">
        <v>2</v>
      </c>
      <c r="DO915" s="16">
        <v>0</v>
      </c>
      <c r="DQ915" s="16">
        <v>0</v>
      </c>
      <c r="DR915" s="16">
        <f>SUM(DI915:DQ915)</f>
        <v>100</v>
      </c>
    </row>
    <row r="916" spans="1:288" x14ac:dyDescent="0.2">
      <c r="B916" s="16">
        <v>2017</v>
      </c>
      <c r="C916" s="20">
        <v>42927</v>
      </c>
      <c r="D916" s="20" t="str">
        <f>CONCATENATE(J916,"-",C916)</f>
        <v>1079-42927</v>
      </c>
      <c r="E916" s="20" t="str">
        <f>CONCATENATE(T916,"-",U916,"-",C916)</f>
        <v>PO1-B1-42927</v>
      </c>
      <c r="F916" s="20" t="s">
        <v>106</v>
      </c>
      <c r="G916" s="20" t="s">
        <v>107</v>
      </c>
      <c r="I916" s="16">
        <v>1</v>
      </c>
      <c r="J916" s="21">
        <v>1079</v>
      </c>
      <c r="K916" s="21">
        <v>1851</v>
      </c>
      <c r="L916" s="18">
        <v>0</v>
      </c>
      <c r="M916" s="21">
        <f>VLOOKUP($K916,'[4]blood tubes 2017'!$D$1:$L$647,8,FALSE)</f>
        <v>0</v>
      </c>
      <c r="N916" s="15">
        <v>0</v>
      </c>
      <c r="O916" s="15" t="s">
        <v>214</v>
      </c>
      <c r="P916" s="16" t="s">
        <v>110</v>
      </c>
      <c r="Q916" s="16">
        <v>1</v>
      </c>
      <c r="R916" s="16">
        <v>16</v>
      </c>
      <c r="T916" s="16" t="s">
        <v>112</v>
      </c>
      <c r="U916" s="16" t="s">
        <v>113</v>
      </c>
      <c r="V916" s="16" t="s">
        <v>114</v>
      </c>
      <c r="W916" s="16">
        <f>AI916/AG916</f>
        <v>0.82417582417582413</v>
      </c>
      <c r="X916" s="16" t="s">
        <v>121</v>
      </c>
      <c r="Y916" s="16" t="s">
        <v>110</v>
      </c>
      <c r="Z916" s="16">
        <v>3</v>
      </c>
      <c r="AA916" s="16" t="s">
        <v>119</v>
      </c>
      <c r="AB916" s="16" t="s">
        <v>123</v>
      </c>
      <c r="AC916" s="16" t="s">
        <v>123</v>
      </c>
      <c r="AD916" s="16" t="s">
        <v>123</v>
      </c>
      <c r="AG916" s="16">
        <f>AH916-AI916</f>
        <v>91</v>
      </c>
      <c r="AH916" s="16">
        <v>166</v>
      </c>
      <c r="AI916" s="16">
        <v>75</v>
      </c>
      <c r="AK916" s="16">
        <v>18.5</v>
      </c>
      <c r="AL916" s="16">
        <v>1</v>
      </c>
      <c r="AM916" s="16">
        <v>0</v>
      </c>
      <c r="AN916" s="16">
        <v>0</v>
      </c>
      <c r="AO916" s="16">
        <v>1</v>
      </c>
      <c r="AP916" s="16">
        <f>SUM(AL916:AN916)</f>
        <v>1</v>
      </c>
      <c r="AQ916" s="16">
        <v>1.7589999999999999</v>
      </c>
      <c r="AR916" s="16">
        <f>AP916-1.472</f>
        <v>-0.47199999999999998</v>
      </c>
      <c r="AS916" s="16">
        <f>AQ916-1.472</f>
        <v>0.28699999999999992</v>
      </c>
      <c r="AT916" s="30" t="str">
        <f>VLOOKUP(K916,'[5]FECs - good data'!$C$1:$P$575,13,FALSE)</f>
        <v>duplicate, can't use</v>
      </c>
      <c r="AU916" s="18"/>
      <c r="AW916" s="18"/>
      <c r="AX916" s="18"/>
      <c r="AY916" s="18"/>
      <c r="AZ916" s="18"/>
      <c r="BA916" s="18"/>
      <c r="BB916" s="18"/>
      <c r="BC916" s="18"/>
      <c r="BD916" s="18"/>
      <c r="BE916" s="18"/>
      <c r="BF916" s="18"/>
      <c r="BG916" s="78"/>
      <c r="BT916" s="77"/>
      <c r="CD916" s="77">
        <f>IF(CE916&gt;0,1,0)</f>
        <v>0</v>
      </c>
      <c r="CE916" s="16">
        <f>VLOOKUP($K916,'[5]FECs - good data'!$C$1:$Z$574,21,FALSE)</f>
        <v>0</v>
      </c>
      <c r="CF916" s="16">
        <f>CE916/AS916</f>
        <v>0</v>
      </c>
      <c r="CG916" s="16">
        <f>IF(CH916&gt;0,1,0)</f>
        <v>0</v>
      </c>
      <c r="CH916" s="16">
        <f>VLOOKUP($K916,'[5]FECs - good data'!$C$1:$Z$574,22,FALSE)</f>
        <v>0</v>
      </c>
      <c r="CI916" s="16">
        <f>CH916/AS916</f>
        <v>0</v>
      </c>
      <c r="CJ916" s="16">
        <f>IF(CK916&gt;0,1,0)</f>
        <v>1</v>
      </c>
      <c r="CK916" s="16">
        <f>VLOOKUP($K916,'[5]FECs - good data'!$C$1:$Z$674,24,FALSE)</f>
        <v>2</v>
      </c>
      <c r="CL916" s="16">
        <f>CK916/AS916</f>
        <v>6.9686411149825807</v>
      </c>
      <c r="CS916" s="16">
        <f>IF(CT916&gt;0,1,0)</f>
        <v>0</v>
      </c>
      <c r="CT916" s="16">
        <f>SUM(CW916+CZ916,DC916)</f>
        <v>0</v>
      </c>
      <c r="CV916" s="16">
        <f>SUM(CY916,DB916,DE916)</f>
        <v>0</v>
      </c>
      <c r="CW916" s="16">
        <f>IF(CX916&gt;0,1,0)</f>
        <v>0</v>
      </c>
      <c r="CX916" s="16">
        <f>VLOOKUP($K916,'[5]FECs - good data'!$C$1:$Z$574,22,FALSE)</f>
        <v>0</v>
      </c>
      <c r="CY916" s="16">
        <f>CX916/AS916</f>
        <v>0</v>
      </c>
      <c r="CZ916" s="16">
        <f>IF(DA916&gt;0,1,0)</f>
        <v>0</v>
      </c>
      <c r="DA916" s="16">
        <f>VLOOKUP($K916,'[5]FECs - good data'!$C$1:$Z$5982,23,FALSE)</f>
        <v>0</v>
      </c>
      <c r="DB916" s="16">
        <f>DA916/AS916</f>
        <v>0</v>
      </c>
      <c r="DC916" s="16">
        <f>IF(DD916&gt;0,1,0)</f>
        <v>0</v>
      </c>
      <c r="DD916" s="16">
        <f>VLOOKUP($K916,'[5]FECs - good data'!$C$1:$Z$574,23,FALSE)</f>
        <v>0</v>
      </c>
      <c r="DE916" s="16">
        <f>DD916/AS916</f>
        <v>0</v>
      </c>
      <c r="DF916" s="16" t="e">
        <f>VLOOKUP(K916,'[3]RNA Seq summary tables'!$V$3:$V$99,1,FALSE)</f>
        <v>#N/A</v>
      </c>
      <c r="JR916" s="27"/>
      <c r="JS916" s="27"/>
      <c r="JT916" s="27"/>
      <c r="JU916" s="27"/>
      <c r="JV916" s="27"/>
      <c r="JW916" s="27"/>
      <c r="JX916" s="27"/>
      <c r="JY916" s="27"/>
      <c r="JZ916" s="27"/>
      <c r="KA916" s="27"/>
      <c r="KB916" s="27"/>
    </row>
    <row r="917" spans="1:288" x14ac:dyDescent="0.2">
      <c r="B917" s="16">
        <v>2017</v>
      </c>
      <c r="C917" s="20">
        <v>42945</v>
      </c>
      <c r="D917" s="20" t="str">
        <f>CONCATENATE(J917,"-",C917)</f>
        <v>1079-42945</v>
      </c>
      <c r="E917" s="20" t="str">
        <f>CONCATENATE(T917,"-",U917,"-",C917)</f>
        <v>PO1-B3-42945</v>
      </c>
      <c r="F917" s="20" t="s">
        <v>106</v>
      </c>
      <c r="G917" s="20" t="s">
        <v>107</v>
      </c>
      <c r="I917" s="16">
        <v>0</v>
      </c>
      <c r="J917" s="21">
        <v>1079</v>
      </c>
      <c r="K917" s="21">
        <v>1994</v>
      </c>
      <c r="L917" s="18">
        <v>0</v>
      </c>
      <c r="M917" s="21">
        <f>VLOOKUP($K917,'[4]blood tubes 2017'!$D$1:$L$647,8,FALSE)</f>
        <v>0</v>
      </c>
      <c r="N917" s="15">
        <v>0</v>
      </c>
      <c r="O917" s="15" t="s">
        <v>214</v>
      </c>
      <c r="P917" s="16" t="s">
        <v>110</v>
      </c>
      <c r="Q917" s="16">
        <v>1</v>
      </c>
      <c r="R917" s="16">
        <v>18</v>
      </c>
      <c r="T917" s="16" t="s">
        <v>112</v>
      </c>
      <c r="U917" s="16" t="s">
        <v>131</v>
      </c>
      <c r="V917" s="16" t="s">
        <v>114</v>
      </c>
      <c r="W917" s="16">
        <f>AI917/AG917</f>
        <v>0.84615384615384615</v>
      </c>
      <c r="X917" s="16" t="s">
        <v>121</v>
      </c>
      <c r="Y917" s="16" t="s">
        <v>110</v>
      </c>
      <c r="Z917" s="16">
        <v>3</v>
      </c>
      <c r="AA917" s="16" t="s">
        <v>119</v>
      </c>
      <c r="AB917" s="16" t="s">
        <v>239</v>
      </c>
      <c r="AC917" s="16" t="s">
        <v>116</v>
      </c>
      <c r="AD917" s="16" t="s">
        <v>116</v>
      </c>
      <c r="AG917" s="16">
        <f>AH917-AI917</f>
        <v>91</v>
      </c>
      <c r="AH917" s="16">
        <v>168</v>
      </c>
      <c r="AI917" s="16">
        <v>77</v>
      </c>
      <c r="AK917" s="16">
        <v>24.5</v>
      </c>
      <c r="AL917" s="16">
        <v>0</v>
      </c>
      <c r="AM917" s="16">
        <v>0</v>
      </c>
      <c r="AN917" s="16">
        <v>0</v>
      </c>
      <c r="AO917" s="16">
        <v>0</v>
      </c>
      <c r="AP917" s="16">
        <f>SUM(AL917:AN917)</f>
        <v>0</v>
      </c>
      <c r="AQ917" s="16">
        <v>2.2679999999999998</v>
      </c>
      <c r="AR917" s="16">
        <f>AP917-1.472</f>
        <v>-1.472</v>
      </c>
      <c r="AS917" s="16">
        <f>AQ917-1.472</f>
        <v>0.79599999999999982</v>
      </c>
      <c r="AT917" s="16" t="str">
        <f>VLOOKUP(K917,'[5]FECs - good data'!$C$1:$P$575,13,FALSE)</f>
        <v>SB</v>
      </c>
      <c r="AW917" s="18">
        <f>IF(AX917&gt;0,1,0)</f>
        <v>1</v>
      </c>
      <c r="AX917" s="18">
        <f>SUM(BA917,BM917,CT917)</f>
        <v>4</v>
      </c>
      <c r="AY917" s="18">
        <f>SUM(BB917,BN917,CV917)</f>
        <v>13.819095477386938</v>
      </c>
      <c r="AZ917" s="18">
        <f>IF(BA917&gt;0,1,0)</f>
        <v>1</v>
      </c>
      <c r="BA917" s="18">
        <f>SUM(BC917,BF917,BI917)</f>
        <v>1</v>
      </c>
      <c r="BB917" s="18">
        <f>SUM(BE917,BH917,BK917)</f>
        <v>2.5125628140703524</v>
      </c>
      <c r="BC917" s="18">
        <f>IF(BD917&gt;0,1,0)</f>
        <v>1</v>
      </c>
      <c r="BD917" s="18">
        <f>VLOOKUP($K917,'[5]FECs - good data'!$C$1:$Z$574,14,FALSE)</f>
        <v>2</v>
      </c>
      <c r="BE917" s="16">
        <f>BD917/AS917</f>
        <v>2.5125628140703524</v>
      </c>
      <c r="BF917" s="16">
        <f>IF(BG917&gt;0,1,0)</f>
        <v>0</v>
      </c>
      <c r="BG917" s="77">
        <f>VLOOKUP($K917,'[5]FECs - good data'!$C$1:$Z$574,15,FALSE)</f>
        <v>0</v>
      </c>
      <c r="BH917" s="16">
        <f>BG917/AS917</f>
        <v>0</v>
      </c>
      <c r="BI917" s="16">
        <f>IF(BJ917&gt;0,1,0)</f>
        <v>0</v>
      </c>
      <c r="BJ917" s="16">
        <f>VLOOKUP($K917,'[5]FECs - good data'!$C$1:$Z$574,16,FALSE)</f>
        <v>0</v>
      </c>
      <c r="BK917" s="16">
        <f>BJ917/AS917</f>
        <v>0</v>
      </c>
      <c r="BL917" s="16">
        <f>IF(BM917&gt;0,1,0)</f>
        <v>1</v>
      </c>
      <c r="BM917" s="16">
        <f>SUM(BR917,BU917,BX917,CA917,CD917,CG917,CJ917,CM917,CP917)</f>
        <v>3</v>
      </c>
      <c r="BN917" s="16">
        <f>SUM(BW917,BZ917,CC917,CF917,CI917,CL917,CO917,CR917,BT917)</f>
        <v>11.306532663316586</v>
      </c>
      <c r="BO917" s="16">
        <f>IF(BP917&gt;0,1,0)</f>
        <v>1</v>
      </c>
      <c r="BP917" s="16">
        <f>SUM(BU917,BX917,CA917,CD917,BR917)</f>
        <v>2</v>
      </c>
      <c r="BQ917" s="16">
        <f>SUM(BZ917,CC917,CF917,BT917,BW917)</f>
        <v>3.7688442211055286</v>
      </c>
      <c r="BR917" s="16">
        <f>IF(BS917&gt;0,1,0)</f>
        <v>0</v>
      </c>
      <c r="BS917" s="16">
        <f>VLOOKUP($K917,'[5]FECs - good data'!$C$1:$Z$574,17,FALSE)</f>
        <v>0</v>
      </c>
      <c r="BT917" s="77">
        <f>BS917/AS917</f>
        <v>0</v>
      </c>
      <c r="BU917" s="16">
        <f>IF(BV917&gt;0,1,0)</f>
        <v>0</v>
      </c>
      <c r="BV917" s="16">
        <f>VLOOKUP($K917,'[5]FECs - good data'!$C$1:$Z$574,18,FALSE)</f>
        <v>0</v>
      </c>
      <c r="BW917" s="16">
        <f>BV917/AS917</f>
        <v>0</v>
      </c>
      <c r="BX917" s="16">
        <f>IF(BY917&gt;0,1,0)</f>
        <v>0</v>
      </c>
      <c r="BY917" s="16">
        <f>VLOOKUP($K917,'[5]FECs - good data'!$C$1:$Z$574,19,FALSE)</f>
        <v>0</v>
      </c>
      <c r="BZ917" s="16">
        <f>BY917/AS917</f>
        <v>0</v>
      </c>
      <c r="CA917" s="16">
        <f>IF(CB917&gt;0,1,0)</f>
        <v>1</v>
      </c>
      <c r="CB917" s="16">
        <f>VLOOKUP($K917,'[5]FECs - good data'!$C$1:$Z$574,20,FALSE)</f>
        <v>1</v>
      </c>
      <c r="CC917" s="16">
        <f>CB917/AS917</f>
        <v>1.2562814070351762</v>
      </c>
      <c r="CD917" s="77">
        <f>IF(CE917&gt;0,1,0)</f>
        <v>1</v>
      </c>
      <c r="CE917" s="16">
        <f>VLOOKUP($K917,'[5]FECs - good data'!$C$1:$Z$574,21,FALSE)</f>
        <v>2</v>
      </c>
      <c r="CF917" s="16">
        <f>CE917/AS917</f>
        <v>2.5125628140703524</v>
      </c>
      <c r="CG917" s="16">
        <f>IF(CH917&gt;0,1,0)</f>
        <v>0</v>
      </c>
      <c r="CH917" s="16">
        <f>VLOOKUP($K917,'[5]FECs - good data'!$C$1:$Z$574,22,FALSE)</f>
        <v>0</v>
      </c>
      <c r="CI917" s="16">
        <f>CH917/AS917</f>
        <v>0</v>
      </c>
      <c r="CJ917" s="16">
        <f>IF(CK917&gt;0,1,0)</f>
        <v>1</v>
      </c>
      <c r="CK917" s="16">
        <f>VLOOKUP($K917,'[5]FECs - good data'!$C$1:$Z$674,24,FALSE)</f>
        <v>6</v>
      </c>
      <c r="CL917" s="16">
        <f>CK917/AS917</f>
        <v>7.5376884422110573</v>
      </c>
      <c r="CS917" s="16">
        <f>IF(CT917&gt;0,1,0)</f>
        <v>0</v>
      </c>
      <c r="CT917" s="16">
        <f>SUM(CW917+CZ917,DC917)</f>
        <v>0</v>
      </c>
      <c r="CV917" s="16">
        <f>SUM(CY917,DB917,DE917)</f>
        <v>0</v>
      </c>
      <c r="CW917" s="16">
        <f>IF(CX917&gt;0,1,0)</f>
        <v>0</v>
      </c>
      <c r="CX917" s="16">
        <f>VLOOKUP($K917,'[5]FECs - good data'!$C$1:$Z$574,22,FALSE)</f>
        <v>0</v>
      </c>
      <c r="CY917" s="16">
        <f>CX917/AS917</f>
        <v>0</v>
      </c>
      <c r="CZ917" s="16">
        <f>IF(DA917&gt;0,1,0)</f>
        <v>0</v>
      </c>
      <c r="DA917" s="16">
        <f>VLOOKUP($K917,'[5]FECs - good data'!$C$1:$Z$5982,23,FALSE)</f>
        <v>0</v>
      </c>
      <c r="DB917" s="16">
        <f>DA917/AS917</f>
        <v>0</v>
      </c>
      <c r="DC917" s="16">
        <f>IF(DD917&gt;0,1,0)</f>
        <v>0</v>
      </c>
      <c r="DD917" s="16">
        <f>VLOOKUP($K917,'[5]FECs - good data'!$C$1:$Z$574,23,FALSE)</f>
        <v>0</v>
      </c>
      <c r="DE917" s="16">
        <f>DD917/AS917</f>
        <v>0</v>
      </c>
      <c r="DF917" s="16" t="e">
        <f>VLOOKUP(K917,'[3]RNA Seq summary tables'!$V$3:$V$99,1,FALSE)</f>
        <v>#N/A</v>
      </c>
      <c r="DG917" s="16">
        <v>1</v>
      </c>
      <c r="DH917" s="16" t="str">
        <f>VLOOKUP(D917,'[6]workflow 3.2018'!$A$1:$S$237,2,FALSE)</f>
        <v>2017MLBS_106</v>
      </c>
      <c r="JP917" s="30"/>
      <c r="JQ917" s="30"/>
    </row>
    <row r="918" spans="1:288" x14ac:dyDescent="0.2">
      <c r="B918" s="16">
        <v>2017</v>
      </c>
      <c r="C918" s="20">
        <v>42963</v>
      </c>
      <c r="D918" s="20" t="str">
        <f>CONCATENATE(J918,"-",C918)</f>
        <v>1079-42963</v>
      </c>
      <c r="E918" s="20" t="str">
        <f>CONCATENATE(T918,"-",U918,"-",C918)</f>
        <v>PO1-B5-42963</v>
      </c>
      <c r="F918" s="20" t="s">
        <v>106</v>
      </c>
      <c r="G918" s="20" t="s">
        <v>107</v>
      </c>
      <c r="I918" s="16">
        <v>0</v>
      </c>
      <c r="J918" s="21">
        <v>1079</v>
      </c>
      <c r="K918" s="21">
        <v>2148</v>
      </c>
      <c r="L918" s="16">
        <v>1</v>
      </c>
      <c r="M918" s="21">
        <f>VLOOKUP($K918,'[4]blood tubes 2017'!$D$1:$L$647,8,FALSE)</f>
        <v>0</v>
      </c>
      <c r="N918" s="15">
        <v>0</v>
      </c>
      <c r="O918" s="15" t="s">
        <v>214</v>
      </c>
      <c r="P918" s="16" t="s">
        <v>110</v>
      </c>
      <c r="Q918" s="16">
        <v>1</v>
      </c>
      <c r="R918" s="16">
        <v>18</v>
      </c>
      <c r="T918" s="16" t="s">
        <v>112</v>
      </c>
      <c r="U918" s="16" t="s">
        <v>160</v>
      </c>
      <c r="V918" s="16" t="s">
        <v>114</v>
      </c>
      <c r="W918" s="16">
        <f>AI918/AG918</f>
        <v>0.87356321839080464</v>
      </c>
      <c r="X918" s="16" t="s">
        <v>121</v>
      </c>
      <c r="Y918" s="16" t="s">
        <v>110</v>
      </c>
      <c r="Z918" s="16">
        <v>3</v>
      </c>
      <c r="AA918" s="16" t="s">
        <v>119</v>
      </c>
      <c r="AB918" s="16" t="s">
        <v>240</v>
      </c>
      <c r="AC918" s="16" t="s">
        <v>123</v>
      </c>
      <c r="AD918" s="16" t="s">
        <v>123</v>
      </c>
      <c r="AG918" s="16">
        <f>AH918-AI918</f>
        <v>87</v>
      </c>
      <c r="AH918" s="16">
        <v>163</v>
      </c>
      <c r="AI918" s="16">
        <v>76</v>
      </c>
      <c r="AK918" s="16">
        <v>24</v>
      </c>
      <c r="AL918" s="16">
        <v>1</v>
      </c>
      <c r="AM918" s="16">
        <v>0</v>
      </c>
      <c r="AN918" s="16">
        <v>0</v>
      </c>
      <c r="AO918" s="16">
        <v>1</v>
      </c>
      <c r="AP918" s="16">
        <f>SUM(AL918:AN918)</f>
        <v>1</v>
      </c>
      <c r="AQ918" s="16">
        <v>2.097</v>
      </c>
      <c r="AR918" s="16">
        <f>AP918-1.472</f>
        <v>-0.47199999999999998</v>
      </c>
      <c r="AS918" s="16">
        <f>AQ918-1.472</f>
        <v>0.625</v>
      </c>
      <c r="AT918" s="16" t="str">
        <f>VLOOKUP(K918,'[5]FECs - good data'!$C$1:$P$575,13,FALSE)</f>
        <v>JB</v>
      </c>
      <c r="AW918" s="18">
        <f>IF(AX918&gt;0,1,0)</f>
        <v>1</v>
      </c>
      <c r="AX918" s="18">
        <f>SUM(BA918,BM918,CT918)</f>
        <v>3</v>
      </c>
      <c r="AY918" s="18">
        <f>SUM(BB918,BN918,CV918)</f>
        <v>22.4</v>
      </c>
      <c r="AZ918" s="18">
        <f>IF(BA918&gt;0,1,0)</f>
        <v>0</v>
      </c>
      <c r="BA918" s="18">
        <f>SUM(BC918,BF918,BI918)</f>
        <v>0</v>
      </c>
      <c r="BB918" s="18">
        <f>SUM(BE918,BH918,BK918)</f>
        <v>0</v>
      </c>
      <c r="BC918" s="18">
        <f>IF(BD918&gt;0,1,0)</f>
        <v>0</v>
      </c>
      <c r="BD918" s="18">
        <f>VLOOKUP($K918,'[5]FECs - good data'!$C$1:$Z$574,14,FALSE)</f>
        <v>0</v>
      </c>
      <c r="BE918" s="16">
        <f>BD918/AS918</f>
        <v>0</v>
      </c>
      <c r="BF918" s="16">
        <f>IF(BG918&gt;0,1,0)</f>
        <v>0</v>
      </c>
      <c r="BG918" s="77">
        <f>VLOOKUP($K918,'[5]FECs - good data'!$C$1:$Z$574,15,FALSE)</f>
        <v>0</v>
      </c>
      <c r="BH918" s="16">
        <f>BG918/AS918</f>
        <v>0</v>
      </c>
      <c r="BI918" s="16">
        <f>IF(BJ918&gt;0,1,0)</f>
        <v>0</v>
      </c>
      <c r="BJ918" s="16">
        <f>VLOOKUP($K918,'[5]FECs - good data'!$C$1:$Z$574,16,FALSE)</f>
        <v>0</v>
      </c>
      <c r="BK918" s="16">
        <f>BJ918/AS918</f>
        <v>0</v>
      </c>
      <c r="BL918" s="16">
        <f>IF(BM918&gt;0,1,0)</f>
        <v>1</v>
      </c>
      <c r="BM918" s="16">
        <f>SUM(BR918,BU918,BX918,CA918,CD918,CG918,CJ918,CM918,CP918)</f>
        <v>3</v>
      </c>
      <c r="BN918" s="16">
        <f>SUM(BW918,BZ918,CC918,CF918,CI918,CL918,CO918,CR918,BT918)</f>
        <v>22.4</v>
      </c>
      <c r="BO918" s="16">
        <f>IF(BP918&gt;0,1,0)</f>
        <v>1</v>
      </c>
      <c r="BP918" s="16">
        <f>SUM(BU918,BX918,CA918,CD918,BR918)</f>
        <v>2</v>
      </c>
      <c r="BQ918" s="16">
        <f>SUM(BZ918,CC918,CF918,BT918,BW918)</f>
        <v>11.2</v>
      </c>
      <c r="BR918" s="16">
        <f>IF(BS918&gt;0,1,0)</f>
        <v>0</v>
      </c>
      <c r="BS918" s="16">
        <f>VLOOKUP($K918,'[5]FECs - good data'!$C$1:$Z$574,17,FALSE)</f>
        <v>0</v>
      </c>
      <c r="BT918" s="77">
        <f>BS918/AS918</f>
        <v>0</v>
      </c>
      <c r="BU918" s="16">
        <f>IF(BV918&gt;0,1,0)</f>
        <v>0</v>
      </c>
      <c r="BV918" s="16">
        <f>VLOOKUP($K918,'[5]FECs - good data'!$C$1:$Z$574,18,FALSE)</f>
        <v>0</v>
      </c>
      <c r="BW918" s="16">
        <f>BV918/AS918</f>
        <v>0</v>
      </c>
      <c r="BX918" s="16">
        <f>IF(BY918&gt;0,1,0)</f>
        <v>0</v>
      </c>
      <c r="BY918" s="16">
        <f>VLOOKUP($K918,'[5]FECs - good data'!$C$1:$Z$574,19,FALSE)</f>
        <v>0</v>
      </c>
      <c r="BZ918" s="16">
        <f>BY918/AS918</f>
        <v>0</v>
      </c>
      <c r="CA918" s="16">
        <f>IF(CB918&gt;0,1,0)</f>
        <v>1</v>
      </c>
      <c r="CB918" s="16">
        <f>VLOOKUP($K918,'[5]FECs - good data'!$C$1:$Z$574,20,FALSE)</f>
        <v>3</v>
      </c>
      <c r="CC918" s="16">
        <f>CB918/AS918</f>
        <v>4.8</v>
      </c>
      <c r="CD918" s="77">
        <f>IF(CE918&gt;0,1,0)</f>
        <v>1</v>
      </c>
      <c r="CE918" s="16">
        <f>VLOOKUP($K918,'[5]FECs - good data'!$C$1:$Z$574,21,FALSE)</f>
        <v>4</v>
      </c>
      <c r="CF918" s="16">
        <f>CE918/AS918</f>
        <v>6.4</v>
      </c>
      <c r="CG918" s="16">
        <f>IF(CH918&gt;0,1,0)</f>
        <v>0</v>
      </c>
      <c r="CH918" s="16">
        <f>VLOOKUP($K918,'[5]FECs - good data'!$C$1:$Z$574,22,FALSE)</f>
        <v>0</v>
      </c>
      <c r="CI918" s="16">
        <f>CH918/AS918</f>
        <v>0</v>
      </c>
      <c r="CJ918" s="16">
        <f>IF(CK918&gt;0,1,0)</f>
        <v>1</v>
      </c>
      <c r="CK918" s="16">
        <f>VLOOKUP($K918,'[5]FECs - good data'!$C$1:$Z$674,24,FALSE)</f>
        <v>7</v>
      </c>
      <c r="CL918" s="16">
        <f>CK918/AS918</f>
        <v>11.2</v>
      </c>
      <c r="CS918" s="16">
        <f>IF(CT918&gt;0,1,0)</f>
        <v>0</v>
      </c>
      <c r="CT918" s="16">
        <f>SUM(CW918+CZ918,DC918)</f>
        <v>0</v>
      </c>
      <c r="CV918" s="16">
        <f>SUM(CY918,DB918,DE918)</f>
        <v>0</v>
      </c>
      <c r="CW918" s="16">
        <f>IF(CX918&gt;0,1,0)</f>
        <v>0</v>
      </c>
      <c r="CX918" s="16">
        <f>VLOOKUP($K918,'[5]FECs - good data'!$C$1:$Z$574,22,FALSE)</f>
        <v>0</v>
      </c>
      <c r="CY918" s="16">
        <f>CX918/AS918</f>
        <v>0</v>
      </c>
      <c r="CZ918" s="16">
        <f>IF(DA918&gt;0,1,0)</f>
        <v>0</v>
      </c>
      <c r="DA918" s="16">
        <f>VLOOKUP($K918,'[5]FECs - good data'!$C$1:$Z$5982,23,FALSE)</f>
        <v>0</v>
      </c>
      <c r="DB918" s="16">
        <f>DA918/AS918</f>
        <v>0</v>
      </c>
      <c r="DC918" s="16">
        <f>IF(DD918&gt;0,1,0)</f>
        <v>0</v>
      </c>
      <c r="DD918" s="16">
        <f>VLOOKUP($K918,'[5]FECs - good data'!$C$1:$Z$574,23,FALSE)</f>
        <v>0</v>
      </c>
      <c r="DE918" s="16">
        <f>DD918/AS918</f>
        <v>0</v>
      </c>
      <c r="DF918" s="16">
        <f>VLOOKUP(K918,'[3]RNA Seq summary tables'!$V$3:$V$99,1,FALSE)</f>
        <v>2148</v>
      </c>
      <c r="DG918" s="16">
        <v>1</v>
      </c>
      <c r="DH918" s="16" t="str">
        <f>VLOOKUP(D918,'[6]workflow 3.2018'!$A$1:$S$237,2,FALSE)</f>
        <v>2017MLBS_147</v>
      </c>
      <c r="JO918" s="38"/>
    </row>
    <row r="919" spans="1:288" ht="16" x14ac:dyDescent="0.2">
      <c r="B919" s="16">
        <v>2017</v>
      </c>
      <c r="C919" s="43">
        <v>42977</v>
      </c>
      <c r="D919" s="43" t="str">
        <f>CONCATENATE(J919,"-",C919)</f>
        <v>1079-42977</v>
      </c>
      <c r="E919" s="37" t="str">
        <f>CONCATENATE(T919,"-",U919,"-",C919)</f>
        <v>PO1-B5-42977</v>
      </c>
      <c r="F919" s="37" t="s">
        <v>224</v>
      </c>
      <c r="G919" s="43" t="s">
        <v>107</v>
      </c>
      <c r="H919" s="23"/>
      <c r="I919" s="16">
        <v>0</v>
      </c>
      <c r="J919" s="15">
        <v>1079</v>
      </c>
      <c r="K919" s="15">
        <v>2313</v>
      </c>
      <c r="L919" s="18">
        <v>0</v>
      </c>
      <c r="M919" s="21">
        <f>VLOOKUP($K919,'[4]blood tubes 2017'!$D$1:$L$947,8,FALSE)</f>
        <v>0</v>
      </c>
      <c r="N919" s="15">
        <v>0</v>
      </c>
      <c r="O919" s="15" t="s">
        <v>214</v>
      </c>
      <c r="P919" s="23" t="s">
        <v>110</v>
      </c>
      <c r="Q919" s="16">
        <v>1</v>
      </c>
      <c r="R919" s="23">
        <v>14</v>
      </c>
      <c r="S919" s="23"/>
      <c r="T919" s="23" t="s">
        <v>112</v>
      </c>
      <c r="U919" s="23" t="s">
        <v>160</v>
      </c>
      <c r="V919" s="23" t="s">
        <v>114</v>
      </c>
      <c r="W919" s="16">
        <f>AI919/AG919</f>
        <v>0.8125</v>
      </c>
      <c r="X919" s="23" t="s">
        <v>121</v>
      </c>
      <c r="Y919" s="23" t="s">
        <v>110</v>
      </c>
      <c r="Z919" s="23">
        <v>3</v>
      </c>
      <c r="AA919" s="23" t="s">
        <v>119</v>
      </c>
      <c r="AB919" s="23" t="s">
        <v>240</v>
      </c>
      <c r="AC919" s="23" t="s">
        <v>116</v>
      </c>
      <c r="AD919" s="23" t="s">
        <v>116</v>
      </c>
      <c r="AE919" s="23"/>
      <c r="AF919" s="23"/>
      <c r="AG919" s="23">
        <f>AH919-AI919</f>
        <v>96</v>
      </c>
      <c r="AH919" s="23">
        <v>174</v>
      </c>
      <c r="AI919" s="23">
        <v>78</v>
      </c>
      <c r="AJ919" s="23"/>
      <c r="AK919" s="23">
        <v>31</v>
      </c>
      <c r="AL919" s="23">
        <v>0</v>
      </c>
      <c r="AM919" s="23">
        <v>0</v>
      </c>
      <c r="AN919" s="23">
        <v>0</v>
      </c>
      <c r="AO919" s="23">
        <v>0</v>
      </c>
      <c r="AP919" s="23">
        <f>SUM(AL919:AN919)</f>
        <v>0</v>
      </c>
      <c r="AQ919" s="23">
        <v>1.802</v>
      </c>
      <c r="AR919" s="23">
        <f>AP919-1.472</f>
        <v>-1.472</v>
      </c>
      <c r="AS919" s="23">
        <f>AQ919-1.472</f>
        <v>0.33000000000000007</v>
      </c>
      <c r="AT919" s="16" t="str">
        <f>VLOOKUP(E919,[2]Current!$A$1:$W$435,7,FALSE)</f>
        <v>LV</v>
      </c>
      <c r="AU919" s="16" t="s">
        <v>1288</v>
      </c>
      <c r="AV919" s="23"/>
      <c r="AW919" s="128">
        <f>IF(AX919&gt;0,1,0)</f>
        <v>1</v>
      </c>
      <c r="AX919" s="128">
        <f>SUM(BA919,BM919,CU919)</f>
        <v>2</v>
      </c>
      <c r="AY919" s="128">
        <f>SUM(BB919,BN919,CV919)</f>
        <v>224.24242424242419</v>
      </c>
      <c r="AZ919" s="128">
        <f>IF(BA919&gt;0,1,0)</f>
        <v>1</v>
      </c>
      <c r="BA919" s="128">
        <f>SUM(BC919+BF919+BI919)</f>
        <v>2</v>
      </c>
      <c r="BB919" s="128">
        <f>SUM(BE919,BH919,BK919)</f>
        <v>224.24242424242419</v>
      </c>
      <c r="BC919" s="130">
        <f>IF(BD919&gt;0,1,0)</f>
        <v>1</v>
      </c>
      <c r="BD919" s="128">
        <f>VLOOKUP($E919,[2]Current!$A:$AC,26,FALSE)</f>
        <v>4</v>
      </c>
      <c r="BE919" s="128">
        <f>BD919/$AS919</f>
        <v>12.121212121212119</v>
      </c>
      <c r="BF919" s="130">
        <f>IF(BG919&gt;0,1,0)</f>
        <v>1</v>
      </c>
      <c r="BG919" s="137">
        <f>VLOOKUP($E919,[2]Current!$A:$AC,27,FALSE)</f>
        <v>70</v>
      </c>
      <c r="BH919" s="128">
        <f>BG919/$AS919</f>
        <v>212.12121212121207</v>
      </c>
      <c r="BI919" s="130">
        <f>IF(BJ919&gt;0,1,0)</f>
        <v>0</v>
      </c>
      <c r="BJ919" s="128">
        <f>VLOOKUP($E919,[2]Current!$A:$AC,28,FALSE)</f>
        <v>0</v>
      </c>
      <c r="BK919" s="128">
        <f>BJ919/$AS919</f>
        <v>0</v>
      </c>
      <c r="BL919" s="128">
        <f>IF(BM919&gt;0,1,0)</f>
        <v>0</v>
      </c>
      <c r="BM919" s="128">
        <f>SUM(BR919,BU919,BX919,CA919,CD919)</f>
        <v>0</v>
      </c>
      <c r="BN919" s="131">
        <f>SUM(BT919,BW919,BZ919,CC919,CF919)</f>
        <v>0</v>
      </c>
      <c r="BO919" s="128">
        <f>IF(BP919&gt;0,1,0)</f>
        <v>1</v>
      </c>
      <c r="BP919" s="128">
        <f>BM919+CJ919</f>
        <v>1</v>
      </c>
      <c r="BQ919" s="128">
        <f>BN919+CL919</f>
        <v>42.424242424242415</v>
      </c>
      <c r="BR919" s="130">
        <f>IF(BS919&gt;0,1,0)</f>
        <v>0</v>
      </c>
      <c r="BS919" s="128">
        <f>VLOOKUP($E919,[2]Current!$A:$AC,12,FALSE)</f>
        <v>0</v>
      </c>
      <c r="BT919" s="137">
        <f>BS919/$AS919</f>
        <v>0</v>
      </c>
      <c r="BU919" s="130">
        <f>IF(BV919&gt;0,1,0)</f>
        <v>0</v>
      </c>
      <c r="BV919" s="128">
        <f>VLOOKUP($E919,[2]Current!$A:$AC,13,FALSE)</f>
        <v>0</v>
      </c>
      <c r="BW919" s="128">
        <f>BV919/$AS919</f>
        <v>0</v>
      </c>
      <c r="BX919" s="130">
        <f>IF(BY919&gt;0,1,0)</f>
        <v>0</v>
      </c>
      <c r="BY919" s="128">
        <f>VLOOKUP($E919,[2]Current!$A:$AC,14,FALSE)</f>
        <v>0</v>
      </c>
      <c r="BZ919" s="128">
        <f>BY919/$AS919</f>
        <v>0</v>
      </c>
      <c r="CA919" s="130">
        <f>IF(CB919&gt;0,1,0)</f>
        <v>0</v>
      </c>
      <c r="CB919" s="128">
        <f>VLOOKUP($E919,[2]Current!$A:$AC,15,FALSE)</f>
        <v>0</v>
      </c>
      <c r="CC919" s="128">
        <f>CB919/$AS919</f>
        <v>0</v>
      </c>
      <c r="CD919" s="174">
        <f>IF(CE919&gt;0,1,0)</f>
        <v>0</v>
      </c>
      <c r="CE919" s="128">
        <f>VLOOKUP($E919,[2]Current!$A:$AC,16,FALSE)</f>
        <v>0</v>
      </c>
      <c r="CF919" s="128">
        <f>CE919/$AS919</f>
        <v>0</v>
      </c>
      <c r="CG919" s="18"/>
      <c r="CH919" s="18"/>
      <c r="CI919" s="18"/>
      <c r="CJ919" s="130">
        <f>IF(CK919&gt;0,1,0)</f>
        <v>1</v>
      </c>
      <c r="CK919" s="128">
        <f>VLOOKUP($E919,[2]Current!$A:$AC,18,FALSE)</f>
        <v>14</v>
      </c>
      <c r="CL919" s="128">
        <f>CK919/$AS919</f>
        <v>42.424242424242415</v>
      </c>
      <c r="CS919" s="130">
        <f>IF(CU919&gt;0,1,0)</f>
        <v>0</v>
      </c>
      <c r="CU919" s="128">
        <f>VLOOKUP($E919,[2]Current!$A:$AC,17,FALSE)</f>
        <v>0</v>
      </c>
      <c r="CV919" s="128">
        <f>CU919/$AS919</f>
        <v>0</v>
      </c>
      <c r="CW919" s="18"/>
      <c r="CX919" s="18"/>
      <c r="CY919" s="18"/>
      <c r="DF919" s="16" t="e">
        <f>VLOOKUP(K919,'[3]RNA Seq summary tables'!$V$3:$V$99,1,FALSE)</f>
        <v>#N/A</v>
      </c>
      <c r="DG919" s="16">
        <v>1</v>
      </c>
      <c r="DH919" s="16" t="str">
        <f>VLOOKUP(D919,'[6]workflow 3.2018'!$A$1:$S$237,2,FALSE)</f>
        <v>2017MLBS_222</v>
      </c>
      <c r="DI919" s="23"/>
      <c r="DJ919" s="23"/>
      <c r="DK919" s="23"/>
      <c r="DL919" s="23"/>
      <c r="DM919" s="23"/>
      <c r="DN919" s="23"/>
      <c r="DO919" s="23"/>
      <c r="DP919" s="23"/>
      <c r="DQ919" s="23"/>
      <c r="DR919" s="23"/>
      <c r="DS919" s="23"/>
      <c r="DT919" s="25"/>
      <c r="DU919" s="25"/>
      <c r="DV919" s="25"/>
      <c r="DW919" s="25"/>
      <c r="DX919" s="25"/>
      <c r="DY919" s="25"/>
      <c r="DZ919" s="25"/>
      <c r="EA919" s="25"/>
      <c r="EB919" s="25"/>
      <c r="EC919" s="25"/>
      <c r="ED919" s="25"/>
      <c r="EE919" s="25"/>
      <c r="EF919" s="25"/>
      <c r="EG919" s="25"/>
      <c r="EH919" s="25"/>
      <c r="EI919" s="25"/>
      <c r="EJ919" s="25"/>
      <c r="EK919" s="25"/>
      <c r="EL919" s="25"/>
      <c r="EM919" s="25"/>
      <c r="EN919" s="25"/>
      <c r="EO919" s="25"/>
      <c r="EP919" s="25"/>
      <c r="EQ919" s="25"/>
      <c r="ER919" s="25"/>
      <c r="ES919" s="25"/>
      <c r="ET919" s="25"/>
      <c r="EU919" s="25"/>
      <c r="EV919" s="25"/>
      <c r="EW919" s="25"/>
      <c r="EX919" s="25"/>
      <c r="EY919" s="25"/>
      <c r="EZ919" s="25"/>
      <c r="FA919" s="25"/>
      <c r="FB919" s="25"/>
      <c r="FC919" s="25"/>
      <c r="FD919" s="25"/>
      <c r="FE919" s="25"/>
      <c r="FF919" s="25"/>
      <c r="FG919" s="25"/>
      <c r="FH919" s="25"/>
      <c r="FI919" s="25"/>
      <c r="FJ919" s="25"/>
      <c r="FK919" s="25"/>
      <c r="FL919" s="25"/>
      <c r="FM919" s="25"/>
      <c r="FN919" s="25"/>
      <c r="FO919" s="25"/>
      <c r="FP919" s="25"/>
      <c r="FQ919" s="25"/>
      <c r="FR919" s="25"/>
      <c r="FS919" s="25"/>
      <c r="FT919" s="25"/>
      <c r="FU919" s="25"/>
      <c r="FV919" s="25"/>
      <c r="FW919" s="25"/>
      <c r="FX919" s="25"/>
      <c r="FY919" s="25"/>
      <c r="FZ919" s="25"/>
      <c r="GA919" s="25"/>
      <c r="GB919" s="25"/>
      <c r="GC919" s="25"/>
      <c r="GD919" s="25"/>
      <c r="GE919" s="25"/>
      <c r="GF919" s="25"/>
      <c r="GG919" s="25"/>
      <c r="GH919" s="25"/>
      <c r="GI919" s="25"/>
      <c r="GJ919" s="25"/>
      <c r="GK919" s="25"/>
      <c r="GL919" s="25"/>
      <c r="GM919" s="25"/>
      <c r="GN919" s="25"/>
      <c r="GO919" s="25"/>
      <c r="GP919" s="25"/>
      <c r="GQ919" s="25"/>
      <c r="GR919" s="25"/>
      <c r="GS919" s="25"/>
      <c r="GT919" s="25"/>
      <c r="GU919" s="25"/>
      <c r="GV919" s="25"/>
      <c r="GW919" s="25"/>
      <c r="GX919" s="25"/>
      <c r="GY919" s="25"/>
      <c r="GZ919" s="25"/>
      <c r="HA919" s="25"/>
      <c r="HB919" s="25"/>
      <c r="HC919" s="25"/>
      <c r="HD919" s="25"/>
      <c r="HE919" s="25"/>
      <c r="HF919" s="25"/>
      <c r="HG919" s="25"/>
      <c r="HH919" s="25"/>
      <c r="HI919" s="25"/>
      <c r="HJ919" s="25"/>
      <c r="HK919" s="25"/>
      <c r="HL919" s="25"/>
      <c r="HM919" s="25"/>
      <c r="HN919" s="25"/>
      <c r="HO919" s="25"/>
      <c r="HP919" s="25"/>
      <c r="HQ919" s="25"/>
      <c r="HR919" s="25"/>
      <c r="HS919" s="25"/>
      <c r="HT919" s="25"/>
      <c r="HU919" s="25"/>
      <c r="HV919" s="25"/>
      <c r="HW919" s="25"/>
      <c r="HX919" s="25"/>
      <c r="HY919" s="25"/>
      <c r="HZ919" s="25"/>
      <c r="IA919" s="25"/>
      <c r="IB919" s="25"/>
      <c r="IC919" s="25"/>
      <c r="ID919" s="25"/>
      <c r="IE919" s="25"/>
      <c r="IF919" s="25"/>
      <c r="IG919" s="25"/>
      <c r="IH919" s="25"/>
      <c r="II919" s="25"/>
      <c r="IJ919" s="25"/>
      <c r="IK919" s="25"/>
      <c r="IL919" s="25"/>
      <c r="IM919" s="25"/>
      <c r="IN919" s="25"/>
      <c r="IO919" s="25"/>
      <c r="IP919" s="25"/>
      <c r="IQ919" s="25"/>
      <c r="IR919" s="25"/>
      <c r="IS919" s="25"/>
      <c r="IT919" s="25"/>
      <c r="IU919" s="25"/>
      <c r="IV919" s="25"/>
      <c r="IW919" s="25"/>
      <c r="IX919" s="25"/>
      <c r="IY919" s="25"/>
      <c r="IZ919" s="25"/>
      <c r="JA919" s="25"/>
      <c r="JB919" s="25"/>
      <c r="JC919" s="25"/>
      <c r="JD919" s="25"/>
      <c r="JE919" s="25"/>
      <c r="JF919" s="25"/>
      <c r="JG919" s="25"/>
      <c r="JH919" s="25"/>
      <c r="JI919" s="25"/>
      <c r="JJ919" s="25"/>
      <c r="JK919" s="25"/>
      <c r="JL919" s="25"/>
      <c r="JM919" s="25"/>
      <c r="JN919" s="25"/>
    </row>
    <row r="920" spans="1:288" x14ac:dyDescent="0.2">
      <c r="B920" s="16">
        <v>2017</v>
      </c>
      <c r="C920" s="66">
        <v>42894</v>
      </c>
      <c r="D920" s="66" t="str">
        <f>CONCATENATE(J920,"-",C920)</f>
        <v>1081-42894</v>
      </c>
      <c r="E920" s="20" t="str">
        <f>CONCATENATE(T920,"-",U920,"-",C920)</f>
        <v>PO1-F4-42894</v>
      </c>
      <c r="F920" s="20" t="s">
        <v>106</v>
      </c>
      <c r="G920" s="20" t="s">
        <v>107</v>
      </c>
      <c r="I920" s="16">
        <v>0</v>
      </c>
      <c r="J920" s="21">
        <v>1081</v>
      </c>
      <c r="K920" s="21">
        <v>1635</v>
      </c>
      <c r="L920" s="18">
        <v>0</v>
      </c>
      <c r="M920" s="21">
        <f>VLOOKUP($K920,'[4]blood tubes 2017'!$D$1:$L$647,8,FALSE)</f>
        <v>0</v>
      </c>
      <c r="N920" s="15">
        <v>0</v>
      </c>
      <c r="O920" s="15" t="s">
        <v>214</v>
      </c>
      <c r="P920" s="16" t="s">
        <v>110</v>
      </c>
      <c r="Q920" s="16">
        <v>0</v>
      </c>
      <c r="R920" s="16" t="s">
        <v>111</v>
      </c>
      <c r="T920" s="16" t="s">
        <v>112</v>
      </c>
      <c r="U920" s="16" t="s">
        <v>184</v>
      </c>
      <c r="V920" s="16" t="s">
        <v>114</v>
      </c>
      <c r="W920" s="16">
        <f>AI920/AG920</f>
        <v>0.78409090909090906</v>
      </c>
      <c r="X920" s="16" t="s">
        <v>115</v>
      </c>
      <c r="Y920" s="16" t="s">
        <v>110</v>
      </c>
      <c r="Z920" s="16">
        <v>3</v>
      </c>
      <c r="AE920" s="16" t="s">
        <v>116</v>
      </c>
      <c r="AF920" s="16" t="s">
        <v>116</v>
      </c>
      <c r="AG920" s="16">
        <f>AH920-AI920</f>
        <v>88</v>
      </c>
      <c r="AH920" s="16">
        <v>157</v>
      </c>
      <c r="AI920" s="16">
        <v>69</v>
      </c>
      <c r="AK920" s="16">
        <v>19.5</v>
      </c>
      <c r="AL920" s="16">
        <v>1</v>
      </c>
      <c r="AM920" s="16">
        <v>0</v>
      </c>
      <c r="AN920" s="16">
        <v>0</v>
      </c>
      <c r="AO920" s="16">
        <v>1</v>
      </c>
      <c r="AP920" s="16">
        <f>SUM(AL920:AN920)</f>
        <v>1</v>
      </c>
      <c r="AQ920" s="16">
        <v>1.631</v>
      </c>
      <c r="AR920" s="16">
        <f>AP920-1.472</f>
        <v>-0.47199999999999998</v>
      </c>
      <c r="AS920" s="16">
        <f>AQ920-1.472</f>
        <v>0.15900000000000003</v>
      </c>
      <c r="AT920" s="18" t="s">
        <v>233</v>
      </c>
      <c r="AU920" s="18"/>
      <c r="AV920" s="18"/>
      <c r="AW920" s="16">
        <f>IF(AX920&gt;0,1,0)</f>
        <v>1</v>
      </c>
      <c r="AX920" s="16">
        <f>SUM(BA920,BM920,CT920)</f>
        <v>1</v>
      </c>
      <c r="AY920" s="18">
        <f>SUM(BB920,BN920,CV920)</f>
        <v>6.2893081761006275</v>
      </c>
      <c r="AZ920" s="16">
        <f>IF(BA920&gt;0,1,0)</f>
        <v>0</v>
      </c>
      <c r="BA920" s="16">
        <f>SUM(BC920,BF920,BI920)</f>
        <v>0</v>
      </c>
      <c r="BB920" s="16">
        <f>SUM(BE920,BH920,BK920)</f>
        <v>0</v>
      </c>
      <c r="BC920" s="16">
        <v>0</v>
      </c>
      <c r="BD920" s="16">
        <v>0</v>
      </c>
      <c r="BE920" s="16">
        <f>BD920/AS920</f>
        <v>0</v>
      </c>
      <c r="BF920" s="16">
        <v>0</v>
      </c>
      <c r="BG920" s="77">
        <v>0</v>
      </c>
      <c r="BH920" s="16">
        <f>BG920/AS920</f>
        <v>0</v>
      </c>
      <c r="BI920" s="16">
        <v>0</v>
      </c>
      <c r="BJ920" s="16">
        <v>0</v>
      </c>
      <c r="BK920" s="16">
        <f>BJ920/AS920</f>
        <v>0</v>
      </c>
      <c r="BL920" s="16">
        <f>IF(BM920&gt;0,1,0)</f>
        <v>0</v>
      </c>
      <c r="BM920" s="16">
        <f>SUM(BR920,BU920,BX920,CA920,CD920,CG920,CJ920,CM920,CP920)</f>
        <v>0</v>
      </c>
      <c r="BN920" s="16">
        <f>SUM(BW920,BZ920,CC920,CF920,CI920,CL920,CO920,CR920,BT920)</f>
        <v>0</v>
      </c>
      <c r="BO920" s="16">
        <f>IF(BP920&gt;0,1,0)</f>
        <v>0</v>
      </c>
      <c r="BP920" s="16">
        <f>SUM(BU920,BX920,CA920,CD920,BR920)</f>
        <v>0</v>
      </c>
      <c r="BQ920" s="16">
        <f>SUM(BZ920,CC920,CF920,BT920,BW920)</f>
        <v>0</v>
      </c>
      <c r="BR920" s="16">
        <v>0</v>
      </c>
      <c r="BS920" s="16">
        <v>0</v>
      </c>
      <c r="BT920" s="77">
        <f>BS920/AS920</f>
        <v>0</v>
      </c>
      <c r="BU920" s="16">
        <v>0</v>
      </c>
      <c r="BV920" s="16">
        <v>0</v>
      </c>
      <c r="BW920" s="16">
        <f>BV920/AS920</f>
        <v>0</v>
      </c>
      <c r="BX920" s="16">
        <v>0</v>
      </c>
      <c r="BY920" s="16">
        <v>0</v>
      </c>
      <c r="BZ920" s="16">
        <f>BY920/AS920</f>
        <v>0</v>
      </c>
      <c r="CA920" s="16">
        <v>0</v>
      </c>
      <c r="CB920" s="16">
        <v>0</v>
      </c>
      <c r="CC920" s="16">
        <f>CB920/AS920</f>
        <v>0</v>
      </c>
      <c r="CD920" s="77">
        <v>0</v>
      </c>
      <c r="CE920" s="16">
        <v>0</v>
      </c>
      <c r="CF920" s="16">
        <f>CE920/AS920</f>
        <v>0</v>
      </c>
      <c r="CG920" s="16">
        <v>0</v>
      </c>
      <c r="CH920" s="16">
        <v>0</v>
      </c>
      <c r="CI920" s="16">
        <f>CH920/AS920</f>
        <v>0</v>
      </c>
      <c r="CM920" s="16">
        <v>0</v>
      </c>
      <c r="CN920" s="16">
        <v>0</v>
      </c>
      <c r="CO920" s="16">
        <f>CN920/AS920</f>
        <v>0</v>
      </c>
      <c r="CP920" s="16">
        <v>0</v>
      </c>
      <c r="CQ920" s="16">
        <v>0</v>
      </c>
      <c r="CR920" s="16">
        <f>CQ920/AS920</f>
        <v>0</v>
      </c>
      <c r="CS920" s="16">
        <f>IF(CT920&gt;0,1,0)</f>
        <v>1</v>
      </c>
      <c r="CT920" s="16">
        <f>SUM(CW920,CZ920,DC920)</f>
        <v>1</v>
      </c>
      <c r="CV920" s="16">
        <f>SUM(CY920,DB920,DE920)</f>
        <v>6.2893081761006275</v>
      </c>
      <c r="CW920" s="16">
        <v>1</v>
      </c>
      <c r="CX920" s="16">
        <v>1</v>
      </c>
      <c r="CY920" s="16">
        <f>CX920/AS920</f>
        <v>6.2893081761006275</v>
      </c>
      <c r="CZ920" s="16">
        <v>0</v>
      </c>
      <c r="DA920" s="16">
        <v>0</v>
      </c>
      <c r="DB920" s="16">
        <f>DA920/AS920</f>
        <v>0</v>
      </c>
      <c r="DC920" s="16">
        <v>0</v>
      </c>
      <c r="DD920" s="16">
        <v>0</v>
      </c>
      <c r="DE920" s="16">
        <f>DD920/AS920</f>
        <v>0</v>
      </c>
      <c r="DF920" s="16" t="e">
        <f>VLOOKUP(K920,'[3]RNA Seq summary tables'!$V$3:$V$99,1,FALSE)</f>
        <v>#N/A</v>
      </c>
      <c r="DG920" s="16">
        <v>1</v>
      </c>
      <c r="DH920" s="16" t="str">
        <f>VLOOKUP(D920,'[6]workflow 3.2018'!$A$1:$S$237,2,FALSE)</f>
        <v>2017MLBS_42</v>
      </c>
      <c r="DI920" s="16">
        <v>39</v>
      </c>
      <c r="DK920" s="16">
        <v>56</v>
      </c>
      <c r="DM920" s="16">
        <v>5</v>
      </c>
      <c r="DO920" s="16">
        <v>0</v>
      </c>
      <c r="DQ920" s="16">
        <v>0</v>
      </c>
      <c r="DR920" s="16">
        <v>100</v>
      </c>
      <c r="JO920" s="27"/>
    </row>
    <row r="921" spans="1:288" x14ac:dyDescent="0.2">
      <c r="B921" s="16">
        <v>2017</v>
      </c>
      <c r="C921" s="20">
        <v>42911</v>
      </c>
      <c r="D921" s="20" t="str">
        <f>CONCATENATE(J921,"-",C921)</f>
        <v>1081-42911</v>
      </c>
      <c r="E921" s="20" t="str">
        <f>CONCATENATE(T921,"-",U921,"-",C921)</f>
        <v>PO1-F4-42911</v>
      </c>
      <c r="F921" s="20" t="s">
        <v>106</v>
      </c>
      <c r="G921" s="20" t="s">
        <v>107</v>
      </c>
      <c r="I921" s="16">
        <v>0</v>
      </c>
      <c r="J921" s="21">
        <v>1081</v>
      </c>
      <c r="K921" s="21">
        <v>1731</v>
      </c>
      <c r="L921" s="18">
        <v>0</v>
      </c>
      <c r="M921" s="21">
        <f>VLOOKUP($K921,'[4]blood tubes 2017'!$D$1:$L$647,8,FALSE)</f>
        <v>0</v>
      </c>
      <c r="N921" s="15">
        <v>0</v>
      </c>
      <c r="O921" s="15" t="s">
        <v>214</v>
      </c>
      <c r="P921" s="16" t="s">
        <v>110</v>
      </c>
      <c r="Q921" s="16">
        <v>1</v>
      </c>
      <c r="R921" s="16">
        <v>17</v>
      </c>
      <c r="T921" s="16" t="s">
        <v>112</v>
      </c>
      <c r="U921" s="16" t="s">
        <v>184</v>
      </c>
      <c r="V921" s="16" t="s">
        <v>114</v>
      </c>
      <c r="W921" s="16">
        <f>AI921/AG921</f>
        <v>0.75555555555555554</v>
      </c>
      <c r="X921" s="16" t="s">
        <v>115</v>
      </c>
      <c r="Y921" s="16" t="s">
        <v>110</v>
      </c>
      <c r="Z921" s="16">
        <v>3</v>
      </c>
      <c r="AE921" s="16" t="s">
        <v>123</v>
      </c>
      <c r="AF921" s="16" t="s">
        <v>123</v>
      </c>
      <c r="AG921" s="16">
        <f>AH921-AI921</f>
        <v>90</v>
      </c>
      <c r="AH921" s="16">
        <v>158</v>
      </c>
      <c r="AI921" s="16">
        <v>68</v>
      </c>
      <c r="AK921" s="16">
        <v>18.5</v>
      </c>
      <c r="AL921" s="16">
        <v>1</v>
      </c>
      <c r="AM921" s="16">
        <v>0</v>
      </c>
      <c r="AN921" s="16">
        <v>0</v>
      </c>
      <c r="AO921" s="16">
        <v>1</v>
      </c>
      <c r="AP921" s="16">
        <f>SUM(AL921:AN921)</f>
        <v>1</v>
      </c>
      <c r="AQ921" s="16">
        <v>1.702</v>
      </c>
      <c r="AR921" s="16">
        <f>AP921-1.472</f>
        <v>-0.47199999999999998</v>
      </c>
      <c r="AS921" s="16">
        <f>AQ921-1.472</f>
        <v>0.22999999999999998</v>
      </c>
      <c r="AT921" s="16" t="s">
        <v>233</v>
      </c>
      <c r="AV921" s="16">
        <v>1</v>
      </c>
      <c r="AW921" s="16">
        <f>IF(AX921&gt;0,1,0)</f>
        <v>0</v>
      </c>
      <c r="AX921" s="16">
        <f>SUM(BA921,BM921,CT921)</f>
        <v>0</v>
      </c>
      <c r="AY921" s="18">
        <f>SUM(BB921,BN921,CV921)</f>
        <v>0</v>
      </c>
      <c r="AZ921" s="16">
        <f>IF(BA921&gt;0,1,0)</f>
        <v>0</v>
      </c>
      <c r="BA921" s="16">
        <f>SUM(BC921,BF921,BI921)</f>
        <v>0</v>
      </c>
      <c r="BB921" s="16">
        <f>SUM(BE921,BH921,BK921)</f>
        <v>0</v>
      </c>
      <c r="BC921" s="16">
        <v>0</v>
      </c>
      <c r="BD921" s="16">
        <v>0</v>
      </c>
      <c r="BE921" s="16">
        <f>BD921/AS921</f>
        <v>0</v>
      </c>
      <c r="BF921" s="16">
        <v>0</v>
      </c>
      <c r="BG921" s="77">
        <v>0</v>
      </c>
      <c r="BH921" s="16">
        <f>BG921/AS921</f>
        <v>0</v>
      </c>
      <c r="BI921" s="16">
        <v>0</v>
      </c>
      <c r="BJ921" s="16">
        <v>0</v>
      </c>
      <c r="BK921" s="16">
        <f>BJ921/AS921</f>
        <v>0</v>
      </c>
      <c r="BL921" s="16">
        <f>IF(BM921&gt;0,1,0)</f>
        <v>0</v>
      </c>
      <c r="BM921" s="16">
        <f>SUM(BR921,BU921,BX921,CA921,CD921,CG921,CJ921,CM921,CP921)</f>
        <v>0</v>
      </c>
      <c r="BN921" s="16">
        <f>SUM(BW921,BZ921,CC921,CF921,CI921,CL921,CO921,CR921,BT921)</f>
        <v>0</v>
      </c>
      <c r="BO921" s="16">
        <f>IF(BP921&gt;0,1,0)</f>
        <v>0</v>
      </c>
      <c r="BP921" s="16">
        <f>SUM(BU921,BX921,CA921,CD921,BR921)</f>
        <v>0</v>
      </c>
      <c r="BQ921" s="16">
        <f>SUM(BZ921,CC921,CF921,BT921,BW921)</f>
        <v>0</v>
      </c>
      <c r="BR921" s="16">
        <v>0</v>
      </c>
      <c r="BS921" s="16">
        <v>0</v>
      </c>
      <c r="BT921" s="77">
        <f>BS921/AS921</f>
        <v>0</v>
      </c>
      <c r="BU921" s="16">
        <v>0</v>
      </c>
      <c r="BV921" s="16">
        <v>0</v>
      </c>
      <c r="BW921" s="16">
        <f>BV921/AS921</f>
        <v>0</v>
      </c>
      <c r="BX921" s="16">
        <v>0</v>
      </c>
      <c r="BY921" s="16">
        <v>0</v>
      </c>
      <c r="BZ921" s="16">
        <f>BY921/AS921</f>
        <v>0</v>
      </c>
      <c r="CA921" s="16">
        <v>0</v>
      </c>
      <c r="CB921" s="16">
        <v>0</v>
      </c>
      <c r="CC921" s="16">
        <f>CB921/AS921</f>
        <v>0</v>
      </c>
      <c r="CD921" s="77">
        <v>0</v>
      </c>
      <c r="CE921" s="16">
        <v>0</v>
      </c>
      <c r="CF921" s="16">
        <f>CE921/AS921</f>
        <v>0</v>
      </c>
      <c r="CG921" s="16">
        <v>0</v>
      </c>
      <c r="CH921" s="16">
        <v>0</v>
      </c>
      <c r="CI921" s="16">
        <f>CH921/AS921</f>
        <v>0</v>
      </c>
      <c r="CM921" s="16">
        <v>0</v>
      </c>
      <c r="CN921" s="16">
        <v>0</v>
      </c>
      <c r="CO921" s="16">
        <f>CN921/AS921</f>
        <v>0</v>
      </c>
      <c r="CP921" s="16">
        <v>0</v>
      </c>
      <c r="CQ921" s="16">
        <v>0</v>
      </c>
      <c r="CR921" s="16">
        <f>CQ921/AS921</f>
        <v>0</v>
      </c>
      <c r="CS921" s="16">
        <f>IF(CT921&gt;0,1,0)</f>
        <v>0</v>
      </c>
      <c r="CT921" s="16">
        <f>SUM(CW921,CZ921,DC921)</f>
        <v>0</v>
      </c>
      <c r="CV921" s="16">
        <f>SUM(CY921,DB921,DE921)</f>
        <v>0</v>
      </c>
      <c r="CW921" s="16">
        <v>0</v>
      </c>
      <c r="CX921" s="16">
        <v>0</v>
      </c>
      <c r="CY921" s="16">
        <f>CX921/AS921</f>
        <v>0</v>
      </c>
      <c r="CZ921" s="16">
        <v>0</v>
      </c>
      <c r="DA921" s="16">
        <v>0</v>
      </c>
      <c r="DB921" s="16">
        <f>DA921/AS921</f>
        <v>0</v>
      </c>
      <c r="DC921" s="16">
        <v>0</v>
      </c>
      <c r="DD921" s="16">
        <v>0</v>
      </c>
      <c r="DE921" s="16">
        <f>DD921/AS921</f>
        <v>0</v>
      </c>
      <c r="DF921" s="16" t="e">
        <f>VLOOKUP(K921,'[3]RNA Seq summary tables'!$V$3:$V$99,1,FALSE)</f>
        <v>#N/A</v>
      </c>
      <c r="DI921" s="16">
        <v>38</v>
      </c>
      <c r="DK921" s="16">
        <v>45</v>
      </c>
      <c r="DM921" s="16">
        <v>15</v>
      </c>
      <c r="DO921" s="16">
        <v>0</v>
      </c>
      <c r="DQ921" s="16">
        <v>2</v>
      </c>
      <c r="DR921" s="16">
        <f>SUM(DI921:DQ921)</f>
        <v>100</v>
      </c>
      <c r="JO921" s="18"/>
    </row>
    <row r="922" spans="1:288" x14ac:dyDescent="0.2">
      <c r="B922" s="16">
        <v>2017</v>
      </c>
      <c r="C922" s="20">
        <v>42946</v>
      </c>
      <c r="D922" s="20" t="str">
        <f>CONCATENATE(J922,"-",C922)</f>
        <v>1081-42946</v>
      </c>
      <c r="E922" s="20" t="str">
        <f>CONCATENATE(T922,"-",U922,"-",C922)</f>
        <v>PO1-H5-42946</v>
      </c>
      <c r="F922" s="20" t="s">
        <v>106</v>
      </c>
      <c r="G922" s="20" t="s">
        <v>107</v>
      </c>
      <c r="I922" s="16">
        <v>0</v>
      </c>
      <c r="J922" s="21">
        <v>1081</v>
      </c>
      <c r="K922" s="21">
        <v>2005</v>
      </c>
      <c r="L922" s="16">
        <v>1</v>
      </c>
      <c r="M922" s="21">
        <f>VLOOKUP($K922,'[4]blood tubes 2017'!$D$1:$L$647,8,FALSE)</f>
        <v>0</v>
      </c>
      <c r="N922" s="15">
        <v>0</v>
      </c>
      <c r="O922" s="15" t="s">
        <v>214</v>
      </c>
      <c r="P922" s="16" t="s">
        <v>110</v>
      </c>
      <c r="Q922" s="16">
        <v>1</v>
      </c>
      <c r="R922" s="16">
        <v>35</v>
      </c>
      <c r="T922" s="16" t="s">
        <v>112</v>
      </c>
      <c r="U922" s="16" t="s">
        <v>180</v>
      </c>
      <c r="V922" s="16" t="s">
        <v>114</v>
      </c>
      <c r="W922" s="16">
        <f>AI922/AG922</f>
        <v>0.7528089887640449</v>
      </c>
      <c r="X922" s="16" t="s">
        <v>115</v>
      </c>
      <c r="Y922" s="16" t="s">
        <v>110</v>
      </c>
      <c r="Z922" s="16">
        <v>3</v>
      </c>
      <c r="AE922" s="16" t="s">
        <v>116</v>
      </c>
      <c r="AF922" s="16" t="s">
        <v>116</v>
      </c>
      <c r="AG922" s="16">
        <f>AH922-AI922</f>
        <v>89</v>
      </c>
      <c r="AH922" s="16">
        <v>156</v>
      </c>
      <c r="AI922" s="16">
        <v>67</v>
      </c>
      <c r="AK922" s="16">
        <v>20.5</v>
      </c>
      <c r="AL922" s="16">
        <v>1</v>
      </c>
      <c r="AM922" s="16">
        <v>0</v>
      </c>
      <c r="AN922" s="16">
        <v>0</v>
      </c>
      <c r="AO922" s="16">
        <v>1</v>
      </c>
      <c r="AP922" s="16">
        <f>SUM(AL922:AN922)</f>
        <v>1</v>
      </c>
      <c r="AQ922" s="16">
        <v>2.806</v>
      </c>
      <c r="AR922" s="16">
        <f>AP922-1.472</f>
        <v>-0.47199999999999998</v>
      </c>
      <c r="AS922" s="16">
        <f>AQ922-1.472</f>
        <v>1.3340000000000001</v>
      </c>
      <c r="AT922" s="16" t="str">
        <f>VLOOKUP(K922,'[5]FECs - good data'!$C$1:$P$575,13,FALSE)</f>
        <v>SB</v>
      </c>
      <c r="AW922" s="18">
        <f>IF(AX922&gt;0,1,0)</f>
        <v>1</v>
      </c>
      <c r="AX922" s="18">
        <f>SUM(BA922,BM922,CT922)</f>
        <v>1</v>
      </c>
      <c r="AY922" s="18">
        <f>SUM(BB922,BN922,CV922)</f>
        <v>2.2488755622188905</v>
      </c>
      <c r="AZ922" s="18">
        <f>IF(BA922&gt;0,1,0)</f>
        <v>1</v>
      </c>
      <c r="BA922" s="18">
        <f>SUM(BC922,BF922,BI922)</f>
        <v>1</v>
      </c>
      <c r="BB922" s="18">
        <f>SUM(BE922,BH922,BK922)</f>
        <v>2.2488755622188905</v>
      </c>
      <c r="BC922" s="18">
        <f>IF(BD922&gt;0,1,0)</f>
        <v>0</v>
      </c>
      <c r="BD922" s="18">
        <f>VLOOKUP($K922,'[5]FECs - good data'!$C$1:$Z$574,14,FALSE)</f>
        <v>0</v>
      </c>
      <c r="BE922" s="16">
        <f>BD922/AS922</f>
        <v>0</v>
      </c>
      <c r="BF922" s="16">
        <f>IF(BG922&gt;0,1,0)</f>
        <v>0</v>
      </c>
      <c r="BG922" s="77">
        <f>VLOOKUP($K922,'[5]FECs - good data'!$C$1:$Z$574,15,FALSE)</f>
        <v>0</v>
      </c>
      <c r="BH922" s="16">
        <f>BG922/AS922</f>
        <v>0</v>
      </c>
      <c r="BI922" s="16">
        <f>IF(BJ922&gt;0,1,0)</f>
        <v>1</v>
      </c>
      <c r="BJ922" s="16">
        <f>VLOOKUP($K922,'[5]FECs - good data'!$C$1:$Z$574,16,FALSE)</f>
        <v>3</v>
      </c>
      <c r="BK922" s="16">
        <f>BJ922/AS922</f>
        <v>2.2488755622188905</v>
      </c>
      <c r="BL922" s="16">
        <f>IF(BM922&gt;0,1,0)</f>
        <v>0</v>
      </c>
      <c r="BM922" s="16">
        <f>SUM(BR922,BU922,BX922,CA922,CD922,CG922,CJ922,CM922,CP922)</f>
        <v>0</v>
      </c>
      <c r="BN922" s="16">
        <f>SUM(BW922,BZ922,CC922,CF922,CI922,CL922,CO922,CR922,BT922)</f>
        <v>0</v>
      </c>
      <c r="BO922" s="16">
        <f>IF(BP922&gt;0,1,0)</f>
        <v>0</v>
      </c>
      <c r="BP922" s="16">
        <f>SUM(BU922,BX922,CA922,CD922,BR922)</f>
        <v>0</v>
      </c>
      <c r="BQ922" s="16">
        <f>SUM(BZ922,CC922,CF922,BT922,BW922)</f>
        <v>0</v>
      </c>
      <c r="BR922" s="16">
        <f>IF(BS922&gt;0,1,0)</f>
        <v>0</v>
      </c>
      <c r="BS922" s="16">
        <f>VLOOKUP($K922,'[5]FECs - good data'!$C$1:$Z$574,17,FALSE)</f>
        <v>0</v>
      </c>
      <c r="BT922" s="77">
        <f>BS922/AS922</f>
        <v>0</v>
      </c>
      <c r="BU922" s="16">
        <f>IF(BV922&gt;0,1,0)</f>
        <v>0</v>
      </c>
      <c r="BV922" s="16">
        <f>VLOOKUP($K922,'[5]FECs - good data'!$C$1:$Z$574,18,FALSE)</f>
        <v>0</v>
      </c>
      <c r="BW922" s="16">
        <f>BV922/AS922</f>
        <v>0</v>
      </c>
      <c r="BX922" s="16">
        <f>IF(BY922&gt;0,1,0)</f>
        <v>0</v>
      </c>
      <c r="BY922" s="16">
        <f>VLOOKUP($K922,'[5]FECs - good data'!$C$1:$Z$574,19,FALSE)</f>
        <v>0</v>
      </c>
      <c r="BZ922" s="16">
        <f>BY922/AS922</f>
        <v>0</v>
      </c>
      <c r="CA922" s="16">
        <f>IF(CB922&gt;0,1,0)</f>
        <v>0</v>
      </c>
      <c r="CB922" s="16">
        <f>VLOOKUP($K922,'[5]FECs - good data'!$C$1:$Z$574,20,FALSE)</f>
        <v>0</v>
      </c>
      <c r="CC922" s="16">
        <f>CB922/AS922</f>
        <v>0</v>
      </c>
      <c r="CD922" s="77">
        <f>IF(CE922&gt;0,1,0)</f>
        <v>0</v>
      </c>
      <c r="CE922" s="16">
        <f>VLOOKUP($K922,'[5]FECs - good data'!$C$1:$Z$574,21,FALSE)</f>
        <v>0</v>
      </c>
      <c r="CF922" s="16">
        <f>CE922/AS922</f>
        <v>0</v>
      </c>
      <c r="CG922" s="16">
        <f>IF(CH922&gt;0,1,0)</f>
        <v>0</v>
      </c>
      <c r="CH922" s="16">
        <f>VLOOKUP($K922,'[5]FECs - good data'!$C$1:$Z$574,22,FALSE)</f>
        <v>0</v>
      </c>
      <c r="CI922" s="16">
        <f>CH922/AS922</f>
        <v>0</v>
      </c>
      <c r="CJ922" s="16">
        <f>IF(CK922&gt;0,1,0)</f>
        <v>0</v>
      </c>
      <c r="CK922" s="16">
        <f>VLOOKUP($K922,'[5]FECs - good data'!$C$1:$Z$674,24,FALSE)</f>
        <v>0</v>
      </c>
      <c r="CL922" s="16">
        <f>CK922/AS922</f>
        <v>0</v>
      </c>
      <c r="CS922" s="16">
        <f>IF(CT922&gt;0,1,0)</f>
        <v>0</v>
      </c>
      <c r="CT922" s="16">
        <f>SUM(CW922+CZ922,DC922)</f>
        <v>0</v>
      </c>
      <c r="CV922" s="16">
        <f>SUM(CY922,DB922,DE922)</f>
        <v>0</v>
      </c>
      <c r="CW922" s="16">
        <f>IF(CX922&gt;0,1,0)</f>
        <v>0</v>
      </c>
      <c r="CX922" s="16">
        <f>VLOOKUP($K922,'[5]FECs - good data'!$C$1:$Z$574,22,FALSE)</f>
        <v>0</v>
      </c>
      <c r="CY922" s="16">
        <f>CX922/AS922</f>
        <v>0</v>
      </c>
      <c r="CZ922" s="16">
        <f>IF(DA922&gt;0,1,0)</f>
        <v>0</v>
      </c>
      <c r="DA922" s="16">
        <f>VLOOKUP($K922,'[5]FECs - good data'!$C$1:$Z$5982,23,FALSE)</f>
        <v>0</v>
      </c>
      <c r="DB922" s="16">
        <f>DA922/AS922</f>
        <v>0</v>
      </c>
      <c r="DC922" s="16">
        <f>IF(DD922&gt;0,1,0)</f>
        <v>0</v>
      </c>
      <c r="DD922" s="16">
        <f>VLOOKUP($K922,'[5]FECs - good data'!$C$1:$Z$574,23,FALSE)</f>
        <v>0</v>
      </c>
      <c r="DE922" s="16">
        <f>DD922/AS922</f>
        <v>0</v>
      </c>
      <c r="DF922" s="16">
        <f>VLOOKUP(K922,'[3]RNA Seq summary tables'!$V$3:$V$99,1,FALSE)</f>
        <v>2005</v>
      </c>
      <c r="DG922" s="16">
        <v>1</v>
      </c>
      <c r="DH922" s="16" t="str">
        <f>VLOOKUP(D922,'[6]workflow 3.2018'!$A$1:$S$237,2,FALSE)</f>
        <v>2017MLBS_49</v>
      </c>
      <c r="JP922" s="39"/>
      <c r="JQ922" s="39"/>
    </row>
    <row r="923" spans="1:288" ht="16" x14ac:dyDescent="0.2">
      <c r="B923" s="16">
        <v>2017</v>
      </c>
      <c r="C923" s="20">
        <v>42976</v>
      </c>
      <c r="D923" s="20" t="str">
        <f>CONCATENATE(J923,"-",C923)</f>
        <v>1081-42976</v>
      </c>
      <c r="E923" s="37" t="str">
        <f>CONCATENATE(T923,"-",U923,"-",C923)</f>
        <v>PO1-F5-42976</v>
      </c>
      <c r="F923" s="37" t="s">
        <v>224</v>
      </c>
      <c r="G923" s="20" t="s">
        <v>107</v>
      </c>
      <c r="I923" s="16">
        <v>0</v>
      </c>
      <c r="J923" s="21">
        <v>1081</v>
      </c>
      <c r="K923" s="21">
        <v>2301</v>
      </c>
      <c r="L923" s="18">
        <v>0</v>
      </c>
      <c r="M923" s="21">
        <f>VLOOKUP($K923,'[4]blood tubes 2017'!$D$1:$L$947,8,FALSE)</f>
        <v>0</v>
      </c>
      <c r="N923" s="15">
        <v>0</v>
      </c>
      <c r="O923" s="15" t="s">
        <v>214</v>
      </c>
      <c r="P923" s="16" t="s">
        <v>110</v>
      </c>
      <c r="Q923" s="16">
        <v>1</v>
      </c>
      <c r="R923" s="16">
        <v>30</v>
      </c>
      <c r="T923" s="16" t="s">
        <v>112</v>
      </c>
      <c r="U923" s="16" t="s">
        <v>185</v>
      </c>
      <c r="V923" s="16" t="s">
        <v>114</v>
      </c>
      <c r="W923" s="16">
        <f>AI923/AG923</f>
        <v>0.74725274725274726</v>
      </c>
      <c r="X923" s="16" t="s">
        <v>115</v>
      </c>
      <c r="Y923" s="16" t="s">
        <v>110</v>
      </c>
      <c r="Z923" s="16">
        <v>3</v>
      </c>
      <c r="AE923" s="16" t="s">
        <v>116</v>
      </c>
      <c r="AF923" s="16" t="s">
        <v>116</v>
      </c>
      <c r="AG923" s="16">
        <f>AH923-AI923</f>
        <v>91</v>
      </c>
      <c r="AH923" s="16">
        <v>159</v>
      </c>
      <c r="AI923" s="16">
        <v>68</v>
      </c>
      <c r="AK923" s="16">
        <v>22.5</v>
      </c>
      <c r="AL923" s="16">
        <v>0</v>
      </c>
      <c r="AM923" s="16">
        <v>0</v>
      </c>
      <c r="AN923" s="16">
        <v>0</v>
      </c>
      <c r="AO923" s="16">
        <v>0</v>
      </c>
      <c r="AP923" s="16">
        <f>SUM(AL923:AN923)</f>
        <v>0</v>
      </c>
      <c r="AQ923" s="16">
        <v>1.984</v>
      </c>
      <c r="AR923" s="16">
        <f>AP923-1.472</f>
        <v>-1.472</v>
      </c>
      <c r="AS923" s="16">
        <f>AQ923-1.472</f>
        <v>0.51200000000000001</v>
      </c>
      <c r="AT923" s="16" t="str">
        <f>VLOOKUP(E923,[2]Current!$A$1:$W$435,7,FALSE)</f>
        <v>LV</v>
      </c>
      <c r="AU923" s="16" t="s">
        <v>1288</v>
      </c>
      <c r="AV923" s="23"/>
      <c r="AW923" s="128">
        <f>IF(AX923&gt;0,1,0)</f>
        <v>1</v>
      </c>
      <c r="AX923" s="128">
        <f>SUM(BA923,BM923,CU923)</f>
        <v>2</v>
      </c>
      <c r="AY923" s="128">
        <f>SUM(BB923,BN923,CV923)</f>
        <v>246.09375</v>
      </c>
      <c r="AZ923" s="128">
        <f>IF(BA923&gt;0,1,0)</f>
        <v>1</v>
      </c>
      <c r="BA923" s="128">
        <f>SUM(BC923+BF923+BI923)</f>
        <v>1</v>
      </c>
      <c r="BB923" s="128">
        <f>SUM(BE923,BH923,BK923)</f>
        <v>19.53125</v>
      </c>
      <c r="BC923" s="130">
        <f>IF(BD923&gt;0,1,0)</f>
        <v>0</v>
      </c>
      <c r="BD923" s="128">
        <f>VLOOKUP($E923,[2]Current!$A:$AC,26,FALSE)</f>
        <v>0</v>
      </c>
      <c r="BE923" s="128">
        <f>BD923/$AS923</f>
        <v>0</v>
      </c>
      <c r="BF923" s="130">
        <f>IF(BG923&gt;0,1,0)</f>
        <v>1</v>
      </c>
      <c r="BG923" s="137">
        <f>VLOOKUP($E923,[2]Current!$A:$AC,27,FALSE)</f>
        <v>10</v>
      </c>
      <c r="BH923" s="128">
        <f>BG923/$AS923</f>
        <v>19.53125</v>
      </c>
      <c r="BI923" s="130">
        <f>IF(BJ923&gt;0,1,0)</f>
        <v>0</v>
      </c>
      <c r="BJ923" s="128">
        <f>VLOOKUP($E923,[2]Current!$A:$AC,28,FALSE)</f>
        <v>0</v>
      </c>
      <c r="BK923" s="128">
        <f>BJ923/$AS923</f>
        <v>0</v>
      </c>
      <c r="BL923" s="128">
        <f>IF(BM923&gt;0,1,0)</f>
        <v>1</v>
      </c>
      <c r="BM923" s="128">
        <f>SUM(BR923,BU923,BX923,CA923,CD923)</f>
        <v>1</v>
      </c>
      <c r="BN923" s="131">
        <f>SUM(BT923,BW923,BZ923,CC923,CF923)</f>
        <v>226.5625</v>
      </c>
      <c r="BO923" s="128">
        <f>IF(BP923&gt;0,1,0)</f>
        <v>1</v>
      </c>
      <c r="BP923" s="128">
        <f>BM923+CJ923</f>
        <v>1</v>
      </c>
      <c r="BQ923" s="128">
        <f>BN923+CL923</f>
        <v>226.5625</v>
      </c>
      <c r="BR923" s="130">
        <f>IF(BS923&gt;0,1,0)</f>
        <v>0</v>
      </c>
      <c r="BS923" s="128">
        <f>VLOOKUP($E923,[2]Current!$A:$AC,12,FALSE)</f>
        <v>0</v>
      </c>
      <c r="BT923" s="137">
        <f>BS923/$AS923</f>
        <v>0</v>
      </c>
      <c r="BU923" s="130">
        <f>IF(BV923&gt;0,1,0)</f>
        <v>0</v>
      </c>
      <c r="BV923" s="128">
        <f>VLOOKUP($E923,[2]Current!$A:$AC,13,FALSE)</f>
        <v>0</v>
      </c>
      <c r="BW923" s="128">
        <f>BV923/$AS923</f>
        <v>0</v>
      </c>
      <c r="BX923" s="130">
        <f>IF(BY923&gt;0,1,0)</f>
        <v>1</v>
      </c>
      <c r="BY923" s="128">
        <f>VLOOKUP($E923,[2]Current!$A:$AC,14,FALSE)</f>
        <v>116</v>
      </c>
      <c r="BZ923" s="128">
        <f>BY923/$AS923</f>
        <v>226.5625</v>
      </c>
      <c r="CA923" s="130">
        <f>IF(CB923&gt;0,1,0)</f>
        <v>0</v>
      </c>
      <c r="CB923" s="128">
        <f>VLOOKUP($E923,[2]Current!$A:$AC,15,FALSE)</f>
        <v>0</v>
      </c>
      <c r="CC923" s="128">
        <f>CB923/$AS923</f>
        <v>0</v>
      </c>
      <c r="CD923" s="174">
        <f>IF(CE923&gt;0,1,0)</f>
        <v>0</v>
      </c>
      <c r="CE923" s="128">
        <f>VLOOKUP($E923,[2]Current!$A:$AC,16,FALSE)</f>
        <v>0</v>
      </c>
      <c r="CF923" s="128">
        <f>CE923/$AS923</f>
        <v>0</v>
      </c>
      <c r="CG923" s="18"/>
      <c r="CH923" s="18"/>
      <c r="CI923" s="18"/>
      <c r="CJ923" s="130">
        <f>IF(CK923&gt;0,1,0)</f>
        <v>0</v>
      </c>
      <c r="CK923" s="128">
        <f>VLOOKUP($E923,[2]Current!$A:$AC,18,FALSE)</f>
        <v>0</v>
      </c>
      <c r="CL923" s="128">
        <f>CK923/$AS923</f>
        <v>0</v>
      </c>
      <c r="CS923" s="130">
        <f>IF(CU923&gt;0,1,0)</f>
        <v>0</v>
      </c>
      <c r="CU923" s="128">
        <f>VLOOKUP($E923,[2]Current!$A:$AC,17,FALSE)</f>
        <v>0</v>
      </c>
      <c r="CV923" s="128">
        <f>CU923/$AS923</f>
        <v>0</v>
      </c>
      <c r="CW923" s="18"/>
      <c r="CX923" s="18"/>
      <c r="CY923" s="18"/>
      <c r="DF923" s="16" t="e">
        <f>VLOOKUP(K923,'[3]RNA Seq summary tables'!$V$3:$V$99,1,FALSE)</f>
        <v>#N/A</v>
      </c>
      <c r="DG923" s="16">
        <v>1</v>
      </c>
      <c r="DH923" s="16" t="str">
        <f>VLOOKUP(D923,'[6]workflow 3.2018'!$A$1:$S$237,2,FALSE)</f>
        <v>2017MLBS_215</v>
      </c>
    </row>
    <row r="924" spans="1:288" x14ac:dyDescent="0.2">
      <c r="B924" s="16">
        <v>2017</v>
      </c>
      <c r="C924" s="20">
        <v>42894</v>
      </c>
      <c r="D924" s="20" t="str">
        <f>CONCATENATE(J924,"-",C924)</f>
        <v>1083-42894</v>
      </c>
      <c r="E924" s="20" t="str">
        <f>CONCATENATE(T924,"-",U924,"-",C924)</f>
        <v>PO1-G3-42894</v>
      </c>
      <c r="F924" s="20" t="s">
        <v>106</v>
      </c>
      <c r="G924" s="20" t="s">
        <v>107</v>
      </c>
      <c r="I924" s="16">
        <v>0</v>
      </c>
      <c r="J924" s="21">
        <v>1083</v>
      </c>
      <c r="K924" s="21" t="s">
        <v>153</v>
      </c>
      <c r="L924" s="18">
        <v>0</v>
      </c>
      <c r="O924" s="15" t="s">
        <v>214</v>
      </c>
      <c r="P924" s="16" t="s">
        <v>110</v>
      </c>
      <c r="Q924" s="16">
        <v>0</v>
      </c>
      <c r="R924" s="16" t="s">
        <v>111</v>
      </c>
      <c r="T924" s="16" t="s">
        <v>112</v>
      </c>
      <c r="U924" s="16" t="s">
        <v>179</v>
      </c>
      <c r="V924" s="16" t="s">
        <v>114</v>
      </c>
      <c r="W924" s="16">
        <f>AI924/AG924</f>
        <v>0.81111111111111112</v>
      </c>
      <c r="X924" s="16" t="s">
        <v>121</v>
      </c>
      <c r="Y924" s="16" t="s">
        <v>110</v>
      </c>
      <c r="Z924" s="16">
        <v>3</v>
      </c>
      <c r="AA924" s="16" t="s">
        <v>119</v>
      </c>
      <c r="AB924" s="16" t="s">
        <v>239</v>
      </c>
      <c r="AC924" s="16" t="s">
        <v>123</v>
      </c>
      <c r="AD924" s="16" t="s">
        <v>123</v>
      </c>
      <c r="AG924" s="16">
        <f>AH924-AI924</f>
        <v>90</v>
      </c>
      <c r="AH924" s="16">
        <v>163</v>
      </c>
      <c r="AI924" s="16">
        <v>73</v>
      </c>
      <c r="AK924" s="16">
        <v>21</v>
      </c>
      <c r="AL924" s="16">
        <v>0</v>
      </c>
      <c r="AM924" s="16">
        <v>0</v>
      </c>
      <c r="AN924" s="16">
        <v>0</v>
      </c>
      <c r="AO924" s="16">
        <v>0</v>
      </c>
      <c r="AP924" s="16">
        <f>SUM(AL924:AN924)</f>
        <v>0</v>
      </c>
      <c r="AQ924" s="16">
        <v>1.8240000000000001</v>
      </c>
      <c r="AR924" s="16">
        <f>AP924-1.472</f>
        <v>-1.472</v>
      </c>
      <c r="AS924" s="16">
        <f>AQ924-1.472</f>
        <v>0.35200000000000009</v>
      </c>
      <c r="AT924" s="16" t="s">
        <v>233</v>
      </c>
      <c r="AV924" s="16">
        <v>1</v>
      </c>
      <c r="AW924" s="16">
        <f>IF(AX924&gt;0,1,0)</f>
        <v>0</v>
      </c>
      <c r="AX924" s="16">
        <f>SUM(BA924,BM924,CT924)</f>
        <v>0</v>
      </c>
      <c r="AY924" s="18">
        <f>SUM(BB924,BN924,CV924)</f>
        <v>0</v>
      </c>
      <c r="AZ924" s="16">
        <f>IF(BA924&gt;0,1,0)</f>
        <v>0</v>
      </c>
      <c r="BA924" s="16">
        <f>SUM(BC924,BF924,BI924)</f>
        <v>0</v>
      </c>
      <c r="BB924" s="16">
        <f>SUM(BE924,BH924,BK924)</f>
        <v>0</v>
      </c>
      <c r="BC924" s="16">
        <v>0</v>
      </c>
      <c r="BD924" s="16">
        <v>0</v>
      </c>
      <c r="BE924" s="16">
        <f>BD924/AS924</f>
        <v>0</v>
      </c>
      <c r="BF924" s="16">
        <v>0</v>
      </c>
      <c r="BG924" s="77">
        <v>0</v>
      </c>
      <c r="BH924" s="16">
        <f>BG924/AS924</f>
        <v>0</v>
      </c>
      <c r="BI924" s="16">
        <v>0</v>
      </c>
      <c r="BJ924" s="16">
        <v>0</v>
      </c>
      <c r="BK924" s="16">
        <f>BJ924/AS924</f>
        <v>0</v>
      </c>
      <c r="BL924" s="16">
        <f>IF(BM924&gt;0,1,0)</f>
        <v>0</v>
      </c>
      <c r="BM924" s="16">
        <f>SUM(BR924,BU924,BX924,CA924,CD924,CG924,CJ924,CM924,CP924)</f>
        <v>0</v>
      </c>
      <c r="BN924" s="16">
        <f>SUM(BW924,BZ924,CC924,CF924,CI924,CL924,CO924,CR924,BT924)</f>
        <v>0</v>
      </c>
      <c r="BO924" s="16">
        <f>IF(BP924&gt;0,1,0)</f>
        <v>0</v>
      </c>
      <c r="BP924" s="16">
        <f>SUM(BU924,BX924,CA924,CD924,BR924)</f>
        <v>0</v>
      </c>
      <c r="BQ924" s="16">
        <f>SUM(BZ924,CC924,CF924,BT924,BW924)</f>
        <v>0</v>
      </c>
      <c r="BR924" s="16">
        <v>0</v>
      </c>
      <c r="BS924" s="16">
        <v>0</v>
      </c>
      <c r="BT924" s="77">
        <f>BS924/AS924</f>
        <v>0</v>
      </c>
      <c r="BU924" s="16">
        <v>0</v>
      </c>
      <c r="BV924" s="16">
        <v>0</v>
      </c>
      <c r="BW924" s="16">
        <f>BV924/AS924</f>
        <v>0</v>
      </c>
      <c r="BX924" s="16">
        <v>0</v>
      </c>
      <c r="BY924" s="16">
        <v>0</v>
      </c>
      <c r="BZ924" s="16">
        <f>BY924/AS924</f>
        <v>0</v>
      </c>
      <c r="CA924" s="16">
        <v>0</v>
      </c>
      <c r="CB924" s="16">
        <v>0</v>
      </c>
      <c r="CC924" s="16">
        <f>CB924/AS924</f>
        <v>0</v>
      </c>
      <c r="CD924" s="77">
        <v>0</v>
      </c>
      <c r="CE924" s="16">
        <v>0</v>
      </c>
      <c r="CF924" s="16">
        <f>CE924/AS924</f>
        <v>0</v>
      </c>
      <c r="CG924" s="16">
        <v>0</v>
      </c>
      <c r="CH924" s="16">
        <v>0</v>
      </c>
      <c r="CI924" s="16">
        <f>CH924/AS924</f>
        <v>0</v>
      </c>
      <c r="CM924" s="16">
        <v>0</v>
      </c>
      <c r="CN924" s="16">
        <v>0</v>
      </c>
      <c r="CO924" s="16">
        <f>CN924/AS924</f>
        <v>0</v>
      </c>
      <c r="CP924" s="16">
        <v>0</v>
      </c>
      <c r="CQ924" s="16">
        <v>0</v>
      </c>
      <c r="CR924" s="16">
        <f>CQ924/AS924</f>
        <v>0</v>
      </c>
      <c r="CS924" s="16">
        <f>IF(CT924&gt;0,1,0)</f>
        <v>0</v>
      </c>
      <c r="CT924" s="16">
        <f>SUM(CW924,CZ924,DC924)</f>
        <v>0</v>
      </c>
      <c r="CV924" s="16">
        <f>SUM(CY924,DB924,DE924)</f>
        <v>0</v>
      </c>
      <c r="CW924" s="16">
        <v>0</v>
      </c>
      <c r="CX924" s="16">
        <v>0</v>
      </c>
      <c r="CY924" s="16">
        <f>CX924/AS924</f>
        <v>0</v>
      </c>
      <c r="CZ924" s="16">
        <v>0</v>
      </c>
      <c r="DA924" s="16">
        <v>0</v>
      </c>
      <c r="DB924" s="16">
        <f>DA924/AS924</f>
        <v>0</v>
      </c>
      <c r="DC924" s="16">
        <v>0</v>
      </c>
      <c r="DD924" s="16">
        <v>0</v>
      </c>
      <c r="DE924" s="16">
        <f>DD924/AS924</f>
        <v>0</v>
      </c>
      <c r="DF924" s="16" t="e">
        <f>VLOOKUP(K924,'[3]RNA Seq summary tables'!$V$3:$V$99,1,FALSE)</f>
        <v>#N/A</v>
      </c>
      <c r="DG924" s="16">
        <v>1</v>
      </c>
      <c r="DH924" s="16" t="str">
        <f>VLOOKUP(D924,'[6]workflow 3.2018'!$A$1:$S$237,2,FALSE)</f>
        <v>2017MLBS_44</v>
      </c>
      <c r="JO924" s="29"/>
    </row>
    <row r="925" spans="1:288" x14ac:dyDescent="0.2">
      <c r="B925" s="16">
        <v>2017</v>
      </c>
      <c r="C925" s="20">
        <v>42911</v>
      </c>
      <c r="D925" s="20" t="str">
        <f>CONCATENATE(J925,"-",C925)</f>
        <v>1083-42911</v>
      </c>
      <c r="E925" s="20" t="str">
        <f>CONCATENATE(T925,"-",U925,"-",C925)</f>
        <v>PO1-G2-42911</v>
      </c>
      <c r="F925" s="20" t="s">
        <v>106</v>
      </c>
      <c r="G925" s="20" t="s">
        <v>107</v>
      </c>
      <c r="I925" s="16">
        <v>0</v>
      </c>
      <c r="J925" s="21">
        <v>1083</v>
      </c>
      <c r="K925" s="21">
        <v>1733</v>
      </c>
      <c r="L925" s="18">
        <v>0</v>
      </c>
      <c r="M925" s="21">
        <f>VLOOKUP($K925,'[4]blood tubes 2017'!$D$1:$L$647,8,FALSE)</f>
        <v>0</v>
      </c>
      <c r="N925" s="15">
        <v>0</v>
      </c>
      <c r="O925" s="15" t="s">
        <v>214</v>
      </c>
      <c r="P925" s="16" t="s">
        <v>110</v>
      </c>
      <c r="Q925" s="16">
        <v>1</v>
      </c>
      <c r="R925" s="16">
        <v>17</v>
      </c>
      <c r="T925" s="16" t="s">
        <v>112</v>
      </c>
      <c r="U925" s="16" t="s">
        <v>128</v>
      </c>
      <c r="V925" s="16" t="s">
        <v>114</v>
      </c>
      <c r="W925" s="16">
        <f>AI925/AG925</f>
        <v>0.77894736842105261</v>
      </c>
      <c r="X925" s="16" t="s">
        <v>121</v>
      </c>
      <c r="Y925" s="16" t="s">
        <v>110</v>
      </c>
      <c r="Z925" s="16">
        <v>3</v>
      </c>
      <c r="AA925" s="16" t="s">
        <v>119</v>
      </c>
      <c r="AB925" s="16" t="s">
        <v>239</v>
      </c>
      <c r="AC925" s="16" t="s">
        <v>123</v>
      </c>
      <c r="AD925" s="16" t="s">
        <v>123</v>
      </c>
      <c r="AG925" s="16">
        <f>AH925-AI925</f>
        <v>95</v>
      </c>
      <c r="AH925" s="16">
        <v>169</v>
      </c>
      <c r="AI925" s="16">
        <v>74</v>
      </c>
      <c r="AK925" s="16">
        <v>19</v>
      </c>
      <c r="AL925" s="16">
        <v>0</v>
      </c>
      <c r="AM925" s="16">
        <v>0</v>
      </c>
      <c r="AN925" s="16">
        <v>0</v>
      </c>
      <c r="AO925" s="16">
        <v>0</v>
      </c>
      <c r="AP925" s="16">
        <f>SUM(AL925:AN925)</f>
        <v>0</v>
      </c>
      <c r="AQ925" s="16">
        <v>2.14</v>
      </c>
      <c r="AR925" s="16">
        <f>AP925-1.472</f>
        <v>-1.472</v>
      </c>
      <c r="AS925" s="16">
        <f>AQ925-1.472</f>
        <v>0.66800000000000015</v>
      </c>
      <c r="AT925" s="16" t="s">
        <v>233</v>
      </c>
      <c r="AW925" s="16">
        <f>IF(AX925&gt;0,1,0)</f>
        <v>1</v>
      </c>
      <c r="AX925" s="16">
        <f>SUM(BA925,BM925,CT925)</f>
        <v>1</v>
      </c>
      <c r="AY925" s="18">
        <f>SUM(BB925,BN925,CV925)</f>
        <v>1.4970059880239517</v>
      </c>
      <c r="AZ925" s="16">
        <f>IF(BA925&gt;0,1,0)</f>
        <v>1</v>
      </c>
      <c r="BA925" s="16">
        <f>SUM(BC925,BF925,BI925)</f>
        <v>1</v>
      </c>
      <c r="BB925" s="16">
        <f>SUM(BE925,BH925,BK925)</f>
        <v>1.4970059880239517</v>
      </c>
      <c r="BC925" s="16">
        <v>0</v>
      </c>
      <c r="BD925" s="16">
        <v>0</v>
      </c>
      <c r="BE925" s="16">
        <f>BD925/AS925</f>
        <v>0</v>
      </c>
      <c r="BF925" s="16">
        <v>1</v>
      </c>
      <c r="BG925" s="77">
        <v>1</v>
      </c>
      <c r="BH925" s="16">
        <f>BG925/AS925</f>
        <v>1.4970059880239517</v>
      </c>
      <c r="BI925" s="16">
        <v>0</v>
      </c>
      <c r="BJ925" s="16">
        <v>0</v>
      </c>
      <c r="BK925" s="16">
        <f>BJ925/AS925</f>
        <v>0</v>
      </c>
      <c r="BL925" s="16">
        <f>IF(BM925&gt;0,1,0)</f>
        <v>0</v>
      </c>
      <c r="BM925" s="16">
        <f>SUM(BR925,BU925,BX925,CA925,CD925,CG925,CJ925,CM925,CP925)</f>
        <v>0</v>
      </c>
      <c r="BN925" s="16">
        <f>SUM(BW925,BZ925,CC925,CF925,CI925,CL925,CO925,CR925,BT925)</f>
        <v>0</v>
      </c>
      <c r="BO925" s="16">
        <f>IF(BP925&gt;0,1,0)</f>
        <v>0</v>
      </c>
      <c r="BP925" s="16">
        <f>SUM(BU925,BX925,CA925,CD925,BR925)</f>
        <v>0</v>
      </c>
      <c r="BQ925" s="16">
        <f>SUM(BZ925,CC925,CF925,BT925,BW925)</f>
        <v>0</v>
      </c>
      <c r="BR925" s="16">
        <v>0</v>
      </c>
      <c r="BS925" s="16">
        <v>0</v>
      </c>
      <c r="BT925" s="77">
        <f>BS925/AS925</f>
        <v>0</v>
      </c>
      <c r="BU925" s="16">
        <v>0</v>
      </c>
      <c r="BV925" s="16">
        <v>0</v>
      </c>
      <c r="BW925" s="16">
        <f>BV925/AS925</f>
        <v>0</v>
      </c>
      <c r="BX925" s="16">
        <v>0</v>
      </c>
      <c r="BY925" s="16">
        <v>0</v>
      </c>
      <c r="BZ925" s="16">
        <f>BY925/AS925</f>
        <v>0</v>
      </c>
      <c r="CA925" s="16">
        <v>0</v>
      </c>
      <c r="CB925" s="16">
        <v>0</v>
      </c>
      <c r="CC925" s="16">
        <f>CB925/AS925</f>
        <v>0</v>
      </c>
      <c r="CD925" s="77">
        <v>0</v>
      </c>
      <c r="CE925" s="16">
        <v>0</v>
      </c>
      <c r="CF925" s="16">
        <f>CE925/AS925</f>
        <v>0</v>
      </c>
      <c r="CG925" s="16">
        <v>0</v>
      </c>
      <c r="CH925" s="16">
        <v>0</v>
      </c>
      <c r="CI925" s="16">
        <f>CH925/AS925</f>
        <v>0</v>
      </c>
      <c r="CM925" s="16">
        <v>0</v>
      </c>
      <c r="CN925" s="16">
        <v>0</v>
      </c>
      <c r="CO925" s="16">
        <f>CN925/AS925</f>
        <v>0</v>
      </c>
      <c r="CP925" s="16">
        <v>0</v>
      </c>
      <c r="CQ925" s="16">
        <v>0</v>
      </c>
      <c r="CR925" s="16">
        <f>CQ925/AS925</f>
        <v>0</v>
      </c>
      <c r="CS925" s="16">
        <f>IF(CT925&gt;0,1,0)</f>
        <v>0</v>
      </c>
      <c r="CT925" s="16">
        <f>SUM(CW925,CZ925,DC925)</f>
        <v>0</v>
      </c>
      <c r="CV925" s="16">
        <f>SUM(CY925,DB925,DE925)</f>
        <v>0</v>
      </c>
      <c r="CW925" s="16">
        <v>0</v>
      </c>
      <c r="CX925" s="16">
        <v>0</v>
      </c>
      <c r="CY925" s="16">
        <f>CX925/AS925</f>
        <v>0</v>
      </c>
      <c r="CZ925" s="16">
        <v>0</v>
      </c>
      <c r="DA925" s="16">
        <v>0</v>
      </c>
      <c r="DB925" s="16">
        <f>DA925/AS925</f>
        <v>0</v>
      </c>
      <c r="DC925" s="16">
        <v>0</v>
      </c>
      <c r="DD925" s="16">
        <v>0</v>
      </c>
      <c r="DE925" s="16">
        <f>DD925/AS925</f>
        <v>0</v>
      </c>
      <c r="DF925" s="16" t="e">
        <f>VLOOKUP(K925,'[3]RNA Seq summary tables'!$V$3:$V$99,1,FALSE)</f>
        <v>#N/A</v>
      </c>
      <c r="DI925" s="16">
        <v>27</v>
      </c>
      <c r="DK925" s="16">
        <v>69</v>
      </c>
      <c r="DM925" s="16">
        <v>4</v>
      </c>
      <c r="DO925" s="16">
        <v>0</v>
      </c>
      <c r="DQ925" s="16">
        <v>0</v>
      </c>
      <c r="DR925" s="16">
        <f>SUM(DI925:DQ925)</f>
        <v>100</v>
      </c>
    </row>
    <row r="926" spans="1:288" x14ac:dyDescent="0.2">
      <c r="A926" s="51">
        <v>1</v>
      </c>
      <c r="B926" s="16">
        <v>2017</v>
      </c>
      <c r="C926" s="20">
        <v>42927</v>
      </c>
      <c r="D926" s="20" t="str">
        <f>CONCATENATE(J926,"-",C926)</f>
        <v>1083-42927</v>
      </c>
      <c r="E926" s="20" t="str">
        <f>CONCATENATE(T926,"-",U926,"-",C926)</f>
        <v>PO1-E2-42927</v>
      </c>
      <c r="F926" s="20" t="s">
        <v>106</v>
      </c>
      <c r="G926" s="20" t="s">
        <v>107</v>
      </c>
      <c r="H926" s="16" t="s">
        <v>243</v>
      </c>
      <c r="I926" s="16">
        <v>0</v>
      </c>
      <c r="J926" s="21">
        <v>1083</v>
      </c>
      <c r="K926" s="21" t="s">
        <v>153</v>
      </c>
      <c r="L926" s="18">
        <v>0</v>
      </c>
      <c r="O926" s="15" t="s">
        <v>214</v>
      </c>
      <c r="P926" s="16" t="s">
        <v>110</v>
      </c>
      <c r="Q926" s="16">
        <v>1</v>
      </c>
      <c r="R926" s="16">
        <v>16</v>
      </c>
      <c r="T926" s="16" t="s">
        <v>112</v>
      </c>
      <c r="U926" s="16" t="s">
        <v>136</v>
      </c>
      <c r="V926" s="16" t="s">
        <v>114</v>
      </c>
      <c r="W926" s="16">
        <f>AI926/AG926</f>
        <v>0.77659574468085102</v>
      </c>
      <c r="X926" s="16" t="s">
        <v>121</v>
      </c>
      <c r="Y926" s="16" t="s">
        <v>110</v>
      </c>
      <c r="Z926" s="16">
        <v>3</v>
      </c>
      <c r="AA926" s="16" t="s">
        <v>119</v>
      </c>
      <c r="AB926" s="16" t="s">
        <v>239</v>
      </c>
      <c r="AC926" s="16" t="s">
        <v>123</v>
      </c>
      <c r="AD926" s="16" t="s">
        <v>123</v>
      </c>
      <c r="AG926" s="16">
        <f>AH926-AI926</f>
        <v>94</v>
      </c>
      <c r="AH926" s="16">
        <v>167</v>
      </c>
      <c r="AI926" s="16">
        <v>73</v>
      </c>
      <c r="AK926" s="16">
        <v>22</v>
      </c>
      <c r="AL926" s="16">
        <v>0</v>
      </c>
      <c r="AM926" s="16">
        <v>0</v>
      </c>
      <c r="AN926" s="16">
        <v>0</v>
      </c>
      <c r="AO926" s="16">
        <v>0</v>
      </c>
      <c r="AP926" s="16">
        <f>SUM(AL926:AN926)</f>
        <v>0</v>
      </c>
      <c r="AQ926" s="16">
        <v>1.706</v>
      </c>
      <c r="AR926" s="16">
        <f>AP926-1.472</f>
        <v>-1.472</v>
      </c>
      <c r="AS926" s="16">
        <f>AQ926-1.472</f>
        <v>0.23399999999999999</v>
      </c>
      <c r="AT926" s="41" t="s">
        <v>153</v>
      </c>
      <c r="AU926" s="41"/>
      <c r="AV926" s="41"/>
      <c r="AW926" s="41"/>
      <c r="AX926" s="41"/>
      <c r="AY926" s="41"/>
      <c r="AZ926" s="41"/>
      <c r="BA926" s="41"/>
      <c r="BB926" s="41"/>
      <c r="BC926" s="41"/>
      <c r="BD926" s="41"/>
      <c r="BE926" s="41"/>
      <c r="BF926" s="41"/>
      <c r="BG926" s="84"/>
      <c r="BH926" s="41"/>
      <c r="BI926" s="41"/>
      <c r="BJ926" s="41"/>
      <c r="BK926" s="41"/>
      <c r="BL926" s="41"/>
      <c r="BM926" s="41"/>
      <c r="BN926" s="41"/>
      <c r="BO926" s="41"/>
      <c r="BP926" s="41"/>
      <c r="BQ926" s="41"/>
      <c r="BR926" s="41"/>
      <c r="BS926" s="41"/>
      <c r="BT926" s="84"/>
      <c r="BU926" s="41"/>
      <c r="BV926" s="41"/>
      <c r="BW926" s="41"/>
      <c r="BX926" s="41"/>
      <c r="BY926" s="41"/>
      <c r="BZ926" s="41"/>
      <c r="CA926" s="41"/>
      <c r="CB926" s="41"/>
      <c r="CC926" s="41"/>
      <c r="CD926" s="84"/>
      <c r="CE926" s="41"/>
      <c r="CF926" s="41"/>
      <c r="CG926" s="41"/>
      <c r="CH926" s="41"/>
      <c r="CI926" s="41"/>
      <c r="CJ926" s="41"/>
      <c r="CK926" s="41"/>
      <c r="CL926" s="41"/>
      <c r="CM926" s="41"/>
      <c r="CN926" s="41"/>
      <c r="CO926" s="41"/>
      <c r="CP926" s="41"/>
      <c r="CQ926" s="41"/>
      <c r="CR926" s="41"/>
      <c r="CS926" s="41"/>
      <c r="CT926" s="41"/>
      <c r="CU926" s="41"/>
      <c r="CV926" s="41"/>
      <c r="CW926" s="41"/>
      <c r="CX926" s="41"/>
      <c r="CY926" s="41"/>
      <c r="CZ926" s="41"/>
      <c r="DA926" s="41"/>
      <c r="DB926" s="41"/>
      <c r="DC926" s="41"/>
      <c r="DD926" s="41"/>
      <c r="DE926" s="41"/>
      <c r="DF926" s="16" t="e">
        <f>VLOOKUP(K926,'[3]RNA Seq summary tables'!$V$3:$V$99,1,FALSE)</f>
        <v>#N/A</v>
      </c>
      <c r="JR926" s="27"/>
      <c r="JS926" s="27"/>
      <c r="JT926" s="27"/>
      <c r="JU926" s="27"/>
      <c r="JV926" s="27"/>
      <c r="JW926" s="27"/>
      <c r="JX926" s="27"/>
      <c r="JY926" s="27"/>
      <c r="JZ926" s="27"/>
      <c r="KA926" s="27"/>
      <c r="KB926" s="27"/>
    </row>
    <row r="927" spans="1:288" ht="16" x14ac:dyDescent="0.2">
      <c r="A927" s="25"/>
      <c r="B927" s="16">
        <v>2017</v>
      </c>
      <c r="C927" s="43">
        <v>42947</v>
      </c>
      <c r="D927" s="43" t="str">
        <f>CONCATENATE(J927,"-",C927)</f>
        <v>1083-42947</v>
      </c>
      <c r="E927" s="37" t="str">
        <f>CONCATENATE(T927,"-",U927,"-",C927)</f>
        <v>PO1-G3-42947</v>
      </c>
      <c r="F927" s="20" t="s">
        <v>106</v>
      </c>
      <c r="G927" s="43" t="s">
        <v>107</v>
      </c>
      <c r="H927" s="23"/>
      <c r="I927" s="16">
        <v>0</v>
      </c>
      <c r="J927" s="15">
        <v>1083</v>
      </c>
      <c r="K927" s="15">
        <v>2016</v>
      </c>
      <c r="L927" s="18">
        <v>0</v>
      </c>
      <c r="M927" s="21">
        <f>VLOOKUP($K927,'[4]blood tubes 2017'!$D$1:$L$647,8,FALSE)</f>
        <v>0</v>
      </c>
      <c r="N927" s="15">
        <v>0</v>
      </c>
      <c r="O927" s="15" t="s">
        <v>214</v>
      </c>
      <c r="P927" s="23" t="s">
        <v>110</v>
      </c>
      <c r="Q927" s="16">
        <v>1</v>
      </c>
      <c r="R927" s="23">
        <v>20</v>
      </c>
      <c r="S927" s="23"/>
      <c r="T927" s="23" t="s">
        <v>112</v>
      </c>
      <c r="U927" s="23" t="s">
        <v>179</v>
      </c>
      <c r="V927" s="23" t="s">
        <v>114</v>
      </c>
      <c r="W927" s="16">
        <f>AI927/AG927</f>
        <v>0.79166666666666663</v>
      </c>
      <c r="X927" s="23" t="s">
        <v>121</v>
      </c>
      <c r="Y927" s="23" t="s">
        <v>110</v>
      </c>
      <c r="Z927" s="23">
        <v>3</v>
      </c>
      <c r="AA927" s="23" t="s">
        <v>119</v>
      </c>
      <c r="AB927" s="23" t="s">
        <v>239</v>
      </c>
      <c r="AC927" s="23" t="s">
        <v>123</v>
      </c>
      <c r="AD927" s="23" t="s">
        <v>123</v>
      </c>
      <c r="AE927" s="23"/>
      <c r="AF927" s="23"/>
      <c r="AG927" s="23">
        <f>AH927-AI927</f>
        <v>96</v>
      </c>
      <c r="AH927" s="23">
        <v>172</v>
      </c>
      <c r="AI927" s="23">
        <v>76</v>
      </c>
      <c r="AJ927" s="23"/>
      <c r="AK927" s="23">
        <v>21.5</v>
      </c>
      <c r="AL927" s="23">
        <v>0</v>
      </c>
      <c r="AM927" s="23">
        <v>0</v>
      </c>
      <c r="AN927" s="23">
        <v>0</v>
      </c>
      <c r="AO927" s="23">
        <v>0</v>
      </c>
      <c r="AP927" s="23">
        <f>SUM(AL927:AN927)</f>
        <v>0</v>
      </c>
      <c r="AQ927" s="23">
        <v>2.3839999999999999</v>
      </c>
      <c r="AR927" s="23">
        <f>AP927-1.472</f>
        <v>-1.472</v>
      </c>
      <c r="AS927" s="23">
        <f>AQ927-1.472</f>
        <v>0.91199999999999992</v>
      </c>
      <c r="AT927" s="16" t="str">
        <f>VLOOKUP(E927,[2]Current!$A$1:$W$435,7,FALSE)</f>
        <v>TE</v>
      </c>
      <c r="AU927" s="16" t="s">
        <v>1288</v>
      </c>
      <c r="AV927" s="23"/>
      <c r="AW927" s="128">
        <f>IF(AX927&gt;0,1,0)</f>
        <v>1</v>
      </c>
      <c r="AX927" s="128">
        <f>SUM(BA927,BM927,CU927)</f>
        <v>154</v>
      </c>
      <c r="AY927" s="128">
        <f>SUM(BB927,BN927,CV927)</f>
        <v>233.5526315789474</v>
      </c>
      <c r="AZ927" s="128">
        <f>IF(BA927&gt;0,1,0)</f>
        <v>1</v>
      </c>
      <c r="BA927" s="128">
        <f>SUM(BC927+BF927+BI927)</f>
        <v>1</v>
      </c>
      <c r="BB927" s="128">
        <f>SUM(BE927,BH927,BK927)</f>
        <v>65.789473684210535</v>
      </c>
      <c r="BC927" s="130">
        <f>IF(BD927&gt;0,1,0)</f>
        <v>0</v>
      </c>
      <c r="BD927" s="128">
        <f>VLOOKUP($E927,[2]Current!$A:$AC,26,FALSE)</f>
        <v>0</v>
      </c>
      <c r="BE927" s="128">
        <f>BD927/$AS927</f>
        <v>0</v>
      </c>
      <c r="BF927" s="130">
        <f>IF(BG927&gt;0,1,0)</f>
        <v>0</v>
      </c>
      <c r="BG927" s="137">
        <f>VLOOKUP($E927,[2]Current!$A:$AC,27,FALSE)</f>
        <v>0</v>
      </c>
      <c r="BH927" s="128">
        <f>BG927/$AS927</f>
        <v>0</v>
      </c>
      <c r="BI927" s="130">
        <f>IF(BJ927&gt;0,1,0)</f>
        <v>1</v>
      </c>
      <c r="BJ927" s="128">
        <f>VLOOKUP($E927,[2]Current!$A:$AC,28,FALSE)</f>
        <v>60</v>
      </c>
      <c r="BK927" s="128">
        <f>BJ927/$AS927</f>
        <v>65.789473684210535</v>
      </c>
      <c r="BL927" s="128">
        <f>IF(BM927&gt;0,1,0)</f>
        <v>0</v>
      </c>
      <c r="BM927" s="128">
        <f>SUM(BR927,BU927,BX927,CA927,CD927)</f>
        <v>0</v>
      </c>
      <c r="BN927" s="131">
        <f>SUM(BT927,BW927,BZ927,CC927,CF927)</f>
        <v>0</v>
      </c>
      <c r="BO927" s="128">
        <f>IF(BP927&gt;0,1,0)</f>
        <v>0</v>
      </c>
      <c r="BP927" s="128">
        <f>BM927+CJ927</f>
        <v>0</v>
      </c>
      <c r="BQ927" s="128">
        <f>BN927+CL927</f>
        <v>0</v>
      </c>
      <c r="BR927" s="130">
        <f>IF(BS927&gt;0,1,0)</f>
        <v>0</v>
      </c>
      <c r="BS927" s="128">
        <f>VLOOKUP($E927,[2]Current!$A:$AC,12,FALSE)</f>
        <v>0</v>
      </c>
      <c r="BT927" s="137">
        <f>BS927/$AS927</f>
        <v>0</v>
      </c>
      <c r="BU927" s="130">
        <f>IF(BV927&gt;0,1,0)</f>
        <v>0</v>
      </c>
      <c r="BV927" s="128">
        <f>VLOOKUP($E927,[2]Current!$A:$AC,13,FALSE)</f>
        <v>0</v>
      </c>
      <c r="BW927" s="128">
        <f>BV927/$AS927</f>
        <v>0</v>
      </c>
      <c r="BX927" s="130">
        <f>IF(BY927&gt;0,1,0)</f>
        <v>0</v>
      </c>
      <c r="BY927" s="128">
        <f>VLOOKUP($E927,[2]Current!$A:$AC,14,FALSE)</f>
        <v>0</v>
      </c>
      <c r="BZ927" s="128">
        <f>BY927/$AS927</f>
        <v>0</v>
      </c>
      <c r="CA927" s="130">
        <f>IF(CB927&gt;0,1,0)</f>
        <v>0</v>
      </c>
      <c r="CB927" s="128">
        <f>VLOOKUP($E927,[2]Current!$A:$AC,15,FALSE)</f>
        <v>0</v>
      </c>
      <c r="CC927" s="128">
        <f>CB927/$AS927</f>
        <v>0</v>
      </c>
      <c r="CD927" s="174">
        <f>IF(CE927&gt;0,1,0)</f>
        <v>0</v>
      </c>
      <c r="CE927" s="128">
        <f>VLOOKUP($E927,[2]Current!$A:$AC,16,FALSE)</f>
        <v>0</v>
      </c>
      <c r="CF927" s="128">
        <f>CE927/$AS927</f>
        <v>0</v>
      </c>
      <c r="CG927" s="18"/>
      <c r="CH927" s="18"/>
      <c r="CI927" s="18"/>
      <c r="CJ927" s="130">
        <f>IF(CK927&gt;0,1,0)</f>
        <v>0</v>
      </c>
      <c r="CK927" s="128">
        <f>VLOOKUP($E927,[2]Current!$A:$AC,18,FALSE)</f>
        <v>0</v>
      </c>
      <c r="CL927" s="128">
        <f>CK927/$AS927</f>
        <v>0</v>
      </c>
      <c r="CS927" s="130">
        <f>IF(CU927&gt;0,1,0)</f>
        <v>1</v>
      </c>
      <c r="CT927" s="18"/>
      <c r="CU927" s="128">
        <f>VLOOKUP($E927,[2]Current!$A:$AC,17,FALSE)</f>
        <v>153</v>
      </c>
      <c r="CV927" s="128">
        <f>CU927/$AS927</f>
        <v>167.76315789473685</v>
      </c>
      <c r="CW927" s="18"/>
      <c r="CX927" s="18"/>
      <c r="CY927" s="18"/>
      <c r="DF927" s="16" t="e">
        <f>VLOOKUP(K927,'[3]RNA Seq summary tables'!$V$3:$V$99,1,FALSE)</f>
        <v>#N/A</v>
      </c>
      <c r="DG927" s="16">
        <v>1</v>
      </c>
      <c r="DH927" s="16" t="str">
        <f>VLOOKUP(D927,'[6]workflow 3.2018'!$A$1:$S$237,2,FALSE)</f>
        <v>2017MLBS_92</v>
      </c>
      <c r="DI927" s="23"/>
      <c r="DJ927" s="23"/>
      <c r="DK927" s="23"/>
      <c r="DL927" s="23"/>
      <c r="DM927" s="23"/>
      <c r="DN927" s="23"/>
      <c r="DO927" s="23"/>
      <c r="DP927" s="23"/>
      <c r="DQ927" s="23"/>
      <c r="DR927" s="23"/>
      <c r="DS927" s="23"/>
    </row>
    <row r="928" spans="1:288" ht="16" x14ac:dyDescent="0.2">
      <c r="B928" s="16">
        <v>2017</v>
      </c>
      <c r="C928" s="20">
        <v>42964</v>
      </c>
      <c r="D928" s="20" t="str">
        <f>CONCATENATE(J928,"-",C928)</f>
        <v>1083-42964</v>
      </c>
      <c r="E928" s="37" t="str">
        <f>CONCATENATE(T928,"-",U928,"-",C928)</f>
        <v>PO1-G1-42964</v>
      </c>
      <c r="F928" s="20" t="s">
        <v>106</v>
      </c>
      <c r="G928" s="20" t="s">
        <v>107</v>
      </c>
      <c r="I928" s="16">
        <v>0</v>
      </c>
      <c r="J928" s="21">
        <v>1083</v>
      </c>
      <c r="K928" s="21">
        <v>2172</v>
      </c>
      <c r="L928" s="18">
        <v>0</v>
      </c>
      <c r="M928" s="21">
        <f>VLOOKUP($K928,'[4]blood tubes 2017'!$D$1:$L$647,8,FALSE)</f>
        <v>0</v>
      </c>
      <c r="N928" s="15">
        <v>0</v>
      </c>
      <c r="O928" s="15" t="s">
        <v>214</v>
      </c>
      <c r="P928" s="16" t="s">
        <v>110</v>
      </c>
      <c r="Q928" s="16">
        <v>1</v>
      </c>
      <c r="R928" s="16">
        <v>17</v>
      </c>
      <c r="T928" s="16" t="s">
        <v>112</v>
      </c>
      <c r="U928" s="16" t="s">
        <v>155</v>
      </c>
      <c r="V928" s="16" t="s">
        <v>114</v>
      </c>
      <c r="W928" s="16">
        <f>AI928/AG928</f>
        <v>0.80645161290322576</v>
      </c>
      <c r="X928" s="16" t="s">
        <v>121</v>
      </c>
      <c r="Y928" s="16" t="s">
        <v>110</v>
      </c>
      <c r="Z928" s="16">
        <v>3</v>
      </c>
      <c r="AA928" s="16" t="s">
        <v>119</v>
      </c>
      <c r="AB928" s="16" t="s">
        <v>239</v>
      </c>
      <c r="AC928" s="16" t="s">
        <v>123</v>
      </c>
      <c r="AD928" s="16" t="s">
        <v>123</v>
      </c>
      <c r="AG928" s="16">
        <f>AH928-AI928</f>
        <v>93</v>
      </c>
      <c r="AH928" s="16">
        <v>168</v>
      </c>
      <c r="AI928" s="16">
        <v>75</v>
      </c>
      <c r="AK928" s="16">
        <v>20.5</v>
      </c>
      <c r="AL928" s="16">
        <v>0</v>
      </c>
      <c r="AM928" s="16">
        <v>0</v>
      </c>
      <c r="AN928" s="16">
        <v>0</v>
      </c>
      <c r="AO928" s="16">
        <v>0</v>
      </c>
      <c r="AP928" s="16">
        <f>SUM(AL928:AN928)</f>
        <v>0</v>
      </c>
      <c r="AQ928" s="16">
        <v>1.9039999999999999</v>
      </c>
      <c r="AR928" s="16">
        <f>AP928-1.472</f>
        <v>-1.472</v>
      </c>
      <c r="AS928" s="16">
        <f>AQ928-1.472</f>
        <v>0.43199999999999994</v>
      </c>
      <c r="AT928" s="16" t="str">
        <f>VLOOKUP(E928,[2]Current!$A$1:$W$435,7,FALSE)</f>
        <v>NB</v>
      </c>
      <c r="AU928" s="16" t="s">
        <v>1288</v>
      </c>
      <c r="AW928" s="128">
        <f>IF(AX928&gt;0,1,0)</f>
        <v>1</v>
      </c>
      <c r="AX928" s="128">
        <f>SUM(BA928,BM928,CU928)</f>
        <v>461</v>
      </c>
      <c r="AY928" s="128">
        <f>SUM(BB928,BN928,CV928)</f>
        <v>3395.8333333333339</v>
      </c>
      <c r="AZ928" s="128">
        <f>IF(BA928&gt;0,1,0)</f>
        <v>1</v>
      </c>
      <c r="BA928" s="128">
        <f>SUM(BC928+BF928+BI928)</f>
        <v>2</v>
      </c>
      <c r="BB928" s="128">
        <f>SUM(BE928,BH928,BK928)</f>
        <v>2333.3333333333339</v>
      </c>
      <c r="BC928" s="130">
        <f>IF(BD928&gt;0,1,0)</f>
        <v>1</v>
      </c>
      <c r="BD928" s="128">
        <f>VLOOKUP($E928,[2]Current!$A:$AC,26,FALSE)</f>
        <v>64</v>
      </c>
      <c r="BE928" s="128">
        <f>BD928/$AS928</f>
        <v>148.14814814814818</v>
      </c>
      <c r="BF928" s="130">
        <f>IF(BG928&gt;0,1,0)</f>
        <v>1</v>
      </c>
      <c r="BG928" s="137">
        <f>VLOOKUP($E928,[2]Current!$A:$AC,27,FALSE)</f>
        <v>944</v>
      </c>
      <c r="BH928" s="128">
        <f>BG928/$AS928</f>
        <v>2185.1851851851857</v>
      </c>
      <c r="BI928" s="130">
        <f>IF(BJ928&gt;0,1,0)</f>
        <v>0</v>
      </c>
      <c r="BJ928" s="128">
        <f>VLOOKUP($E928,[2]Current!$A:$AC,28,FALSE)</f>
        <v>0</v>
      </c>
      <c r="BK928" s="128">
        <f>BJ928/$AS928</f>
        <v>0</v>
      </c>
      <c r="BL928" s="128">
        <f>IF(BM928&gt;0,1,0)</f>
        <v>0</v>
      </c>
      <c r="BM928" s="128">
        <f>SUM(BR928,BU928,BX928,CA928,CD928)</f>
        <v>0</v>
      </c>
      <c r="BN928" s="131">
        <f>SUM(BT928,BW928,BZ928,CC928,CF928)</f>
        <v>0</v>
      </c>
      <c r="BO928" s="128">
        <f>IF(BP928&gt;0,1,0)</f>
        <v>1</v>
      </c>
      <c r="BP928" s="128">
        <f>BM928+CJ928</f>
        <v>1</v>
      </c>
      <c r="BQ928" s="128">
        <f>BN928+CL928</f>
        <v>4.6296296296296306</v>
      </c>
      <c r="BR928" s="130">
        <f>IF(BS928&gt;0,1,0)</f>
        <v>0</v>
      </c>
      <c r="BS928" s="128">
        <f>VLOOKUP($E928,[2]Current!$A:$AC,12,FALSE)</f>
        <v>0</v>
      </c>
      <c r="BT928" s="137">
        <f>BS928/$AS928</f>
        <v>0</v>
      </c>
      <c r="BU928" s="130">
        <f>IF(BV928&gt;0,1,0)</f>
        <v>0</v>
      </c>
      <c r="BV928" s="128">
        <f>VLOOKUP($E928,[2]Current!$A:$AC,13,FALSE)</f>
        <v>0</v>
      </c>
      <c r="BW928" s="128">
        <f>BV928/$AS928</f>
        <v>0</v>
      </c>
      <c r="BX928" s="130">
        <f>IF(BY928&gt;0,1,0)</f>
        <v>0</v>
      </c>
      <c r="BY928" s="128">
        <f>VLOOKUP($E928,[2]Current!$A:$AC,14,FALSE)</f>
        <v>0</v>
      </c>
      <c r="BZ928" s="128">
        <f>BY928/$AS928</f>
        <v>0</v>
      </c>
      <c r="CA928" s="130">
        <f>IF(CB928&gt;0,1,0)</f>
        <v>0</v>
      </c>
      <c r="CB928" s="128">
        <f>VLOOKUP($E928,[2]Current!$A:$AC,15,FALSE)</f>
        <v>0</v>
      </c>
      <c r="CC928" s="128">
        <f>CB928/$AS928</f>
        <v>0</v>
      </c>
      <c r="CD928" s="174">
        <f>IF(CE928&gt;0,1,0)</f>
        <v>0</v>
      </c>
      <c r="CE928" s="128">
        <f>VLOOKUP($E928,[2]Current!$A:$AC,16,FALSE)</f>
        <v>0</v>
      </c>
      <c r="CF928" s="128">
        <f>CE928/$AS928</f>
        <v>0</v>
      </c>
      <c r="CG928" s="18"/>
      <c r="CH928" s="18"/>
      <c r="CI928" s="18"/>
      <c r="CJ928" s="130">
        <f>IF(CK928&gt;0,1,0)</f>
        <v>1</v>
      </c>
      <c r="CK928" s="128">
        <f>VLOOKUP($E928,[2]Current!$A:$AC,18,FALSE)</f>
        <v>2</v>
      </c>
      <c r="CL928" s="128">
        <f>CK928/$AS928</f>
        <v>4.6296296296296306</v>
      </c>
      <c r="CS928" s="130">
        <f>IF(CU928&gt;0,1,0)</f>
        <v>1</v>
      </c>
      <c r="CT928" s="27"/>
      <c r="CU928" s="128">
        <f>VLOOKUP($E928,[2]Current!$A:$AC,17,FALSE)</f>
        <v>459</v>
      </c>
      <c r="CV928" s="128">
        <f>CU928/$AS928</f>
        <v>1062.5000000000002</v>
      </c>
      <c r="CW928" s="18"/>
      <c r="CX928" s="18"/>
      <c r="CY928" s="18"/>
      <c r="DF928" s="16" t="e">
        <f>VLOOKUP(K928,'[3]RNA Seq summary tables'!$V$3:$V$99,1,FALSE)</f>
        <v>#N/A</v>
      </c>
      <c r="DG928" s="16">
        <v>1</v>
      </c>
      <c r="DH928" s="16" t="str">
        <f>VLOOKUP(D928,'[6]workflow 3.2018'!$A$1:$S$237,2,FALSE)</f>
        <v>2017MLBS_163</v>
      </c>
      <c r="JP928" s="38"/>
      <c r="JQ928" s="38"/>
      <c r="JR928" s="26"/>
      <c r="JS928" s="26"/>
      <c r="JT928" s="26"/>
      <c r="JU928" s="26"/>
      <c r="JV928" s="26"/>
      <c r="JW928" s="26"/>
      <c r="JX928" s="26"/>
      <c r="JY928" s="26"/>
      <c r="JZ928" s="26"/>
      <c r="KA928" s="26"/>
      <c r="KB928" s="26"/>
    </row>
    <row r="929" spans="2:288" ht="16" x14ac:dyDescent="0.2">
      <c r="B929" s="16">
        <v>2017</v>
      </c>
      <c r="C929" s="20">
        <v>42976</v>
      </c>
      <c r="D929" s="20" t="str">
        <f>CONCATENATE(J929,"-",C929)</f>
        <v>1083-42976</v>
      </c>
      <c r="E929" s="37" t="str">
        <f>CONCATENATE(T929,"-",U929,"-",C929)</f>
        <v>PO1-E4-42976</v>
      </c>
      <c r="F929" s="37" t="s">
        <v>224</v>
      </c>
      <c r="G929" s="20" t="s">
        <v>107</v>
      </c>
      <c r="I929" s="16">
        <v>0</v>
      </c>
      <c r="J929" s="21">
        <v>1083</v>
      </c>
      <c r="K929" s="21">
        <v>2299</v>
      </c>
      <c r="L929" s="18">
        <v>0</v>
      </c>
      <c r="M929" s="21">
        <f>VLOOKUP($K929,'[4]blood tubes 2017'!$D$1:$L$947,8,FALSE)</f>
        <v>0</v>
      </c>
      <c r="N929" s="15">
        <v>0</v>
      </c>
      <c r="O929" s="15" t="s">
        <v>214</v>
      </c>
      <c r="P929" s="16" t="s">
        <v>110</v>
      </c>
      <c r="Q929" s="16">
        <v>1</v>
      </c>
      <c r="R929" s="16">
        <v>12</v>
      </c>
      <c r="T929" s="16" t="s">
        <v>112</v>
      </c>
      <c r="U929" s="16" t="s">
        <v>206</v>
      </c>
      <c r="V929" s="16" t="s">
        <v>114</v>
      </c>
      <c r="W929" s="16">
        <f>AI929/AG929</f>
        <v>0.81914893617021278</v>
      </c>
      <c r="X929" s="16" t="s">
        <v>121</v>
      </c>
      <c r="Y929" s="16" t="s">
        <v>110</v>
      </c>
      <c r="Z929" s="16">
        <v>3</v>
      </c>
      <c r="AA929" s="16" t="s">
        <v>161</v>
      </c>
      <c r="AB929" s="16" t="s">
        <v>240</v>
      </c>
      <c r="AC929" s="16" t="s">
        <v>123</v>
      </c>
      <c r="AD929" s="16" t="s">
        <v>116</v>
      </c>
      <c r="AG929" s="16">
        <f>AH929-AI929</f>
        <v>94</v>
      </c>
      <c r="AH929" s="16">
        <v>171</v>
      </c>
      <c r="AI929" s="16">
        <v>77</v>
      </c>
      <c r="AK929" s="16">
        <v>29</v>
      </c>
      <c r="AL929" s="16">
        <v>0</v>
      </c>
      <c r="AM929" s="16">
        <v>0</v>
      </c>
      <c r="AN929" s="16">
        <v>0</v>
      </c>
      <c r="AO929" s="16">
        <v>0</v>
      </c>
      <c r="AP929" s="16">
        <f>SUM(AL929:AN929)</f>
        <v>0</v>
      </c>
      <c r="AQ929" s="16">
        <v>2.012</v>
      </c>
      <c r="AR929" s="16">
        <f>AP929-1.472</f>
        <v>-1.472</v>
      </c>
      <c r="AS929" s="16">
        <f>AQ929-1.472</f>
        <v>0.54</v>
      </c>
      <c r="AT929" s="16" t="str">
        <f>VLOOKUP(E929,[2]Current!$A$1:$W$435,7,FALSE)</f>
        <v>LV</v>
      </c>
      <c r="AU929" s="16" t="s">
        <v>1288</v>
      </c>
      <c r="AV929" s="23"/>
      <c r="AW929" s="128">
        <f>IF(AX929&gt;0,1,0)</f>
        <v>1</v>
      </c>
      <c r="AX929" s="128">
        <f>SUM(BA929,BM929,CU929)</f>
        <v>1</v>
      </c>
      <c r="AY929" s="128">
        <f>SUM(BB929,BN929,CV929)</f>
        <v>118.5185185185185</v>
      </c>
      <c r="AZ929" s="128">
        <f>IF(BA929&gt;0,1,0)</f>
        <v>1</v>
      </c>
      <c r="BA929" s="128">
        <f>SUM(BC929+BF929+BI929)</f>
        <v>1</v>
      </c>
      <c r="BB929" s="128">
        <f>SUM(BE929,BH929,BK929)</f>
        <v>118.5185185185185</v>
      </c>
      <c r="BC929" s="130">
        <f>IF(BD929&gt;0,1,0)</f>
        <v>0</v>
      </c>
      <c r="BD929" s="128">
        <f>VLOOKUP($E929,[2]Current!$A:$AC,26,FALSE)</f>
        <v>0</v>
      </c>
      <c r="BE929" s="128">
        <f>BD929/$AS929</f>
        <v>0</v>
      </c>
      <c r="BF929" s="130">
        <f>IF(BG929&gt;0,1,0)</f>
        <v>1</v>
      </c>
      <c r="BG929" s="137">
        <f>VLOOKUP($E929,[2]Current!$A:$AC,27,FALSE)</f>
        <v>64</v>
      </c>
      <c r="BH929" s="128">
        <f>BG929/$AS929</f>
        <v>118.5185185185185</v>
      </c>
      <c r="BI929" s="130">
        <f>IF(BJ929&gt;0,1,0)</f>
        <v>0</v>
      </c>
      <c r="BJ929" s="128">
        <f>VLOOKUP($E929,[2]Current!$A:$AC,28,FALSE)</f>
        <v>0</v>
      </c>
      <c r="BK929" s="128">
        <f>BJ929/$AS929</f>
        <v>0</v>
      </c>
      <c r="BL929" s="128">
        <f>IF(BM929&gt;0,1,0)</f>
        <v>0</v>
      </c>
      <c r="BM929" s="128">
        <f>SUM(BR929,BU929,BX929,CA929,CD929)</f>
        <v>0</v>
      </c>
      <c r="BN929" s="131">
        <f>SUM(BT929,BW929,BZ929,CC929,CF929)</f>
        <v>0</v>
      </c>
      <c r="BO929" s="128">
        <f>IF(BP929&gt;0,1,0)</f>
        <v>0</v>
      </c>
      <c r="BP929" s="128">
        <f>BM929+CJ929</f>
        <v>0</v>
      </c>
      <c r="BQ929" s="128">
        <f>BN929+CL929</f>
        <v>0</v>
      </c>
      <c r="BR929" s="130">
        <f>IF(BS929&gt;0,1,0)</f>
        <v>0</v>
      </c>
      <c r="BS929" s="128">
        <f>VLOOKUP($E929,[2]Current!$A:$AC,12,FALSE)</f>
        <v>0</v>
      </c>
      <c r="BT929" s="137">
        <f>BS929/$AS929</f>
        <v>0</v>
      </c>
      <c r="BU929" s="130">
        <f>IF(BV929&gt;0,1,0)</f>
        <v>0</v>
      </c>
      <c r="BV929" s="128">
        <f>VLOOKUP($E929,[2]Current!$A:$AC,13,FALSE)</f>
        <v>0</v>
      </c>
      <c r="BW929" s="128">
        <f>BV929/$AS929</f>
        <v>0</v>
      </c>
      <c r="BX929" s="130">
        <f>IF(BY929&gt;0,1,0)</f>
        <v>0</v>
      </c>
      <c r="BY929" s="128">
        <f>VLOOKUP($E929,[2]Current!$A:$AC,14,FALSE)</f>
        <v>0</v>
      </c>
      <c r="BZ929" s="128">
        <f>BY929/$AS929</f>
        <v>0</v>
      </c>
      <c r="CA929" s="130">
        <f>IF(CB929&gt;0,1,0)</f>
        <v>0</v>
      </c>
      <c r="CB929" s="128">
        <f>VLOOKUP($E929,[2]Current!$A:$AC,15,FALSE)</f>
        <v>0</v>
      </c>
      <c r="CC929" s="128">
        <f>CB929/$AS929</f>
        <v>0</v>
      </c>
      <c r="CD929" s="174">
        <f>IF(CE929&gt;0,1,0)</f>
        <v>0</v>
      </c>
      <c r="CE929" s="128">
        <f>VLOOKUP($E929,[2]Current!$A:$AC,16,FALSE)</f>
        <v>0</v>
      </c>
      <c r="CF929" s="128">
        <f>CE929/$AS929</f>
        <v>0</v>
      </c>
      <c r="CG929" s="18"/>
      <c r="CH929" s="18"/>
      <c r="CI929" s="18"/>
      <c r="CJ929" s="130">
        <f>IF(CK929&gt;0,1,0)</f>
        <v>0</v>
      </c>
      <c r="CK929" s="128">
        <f>VLOOKUP($E929,[2]Current!$A:$AC,18,FALSE)</f>
        <v>0</v>
      </c>
      <c r="CL929" s="128">
        <f>CK929/$AS929</f>
        <v>0</v>
      </c>
      <c r="CS929" s="130">
        <f>IF(CU929&gt;0,1,0)</f>
        <v>0</v>
      </c>
      <c r="CU929" s="128">
        <f>VLOOKUP($E929,[2]Current!$A:$AC,17,FALSE)</f>
        <v>0</v>
      </c>
      <c r="CV929" s="128">
        <f>CU929/$AS929</f>
        <v>0</v>
      </c>
      <c r="CW929" s="18"/>
      <c r="CX929" s="18"/>
      <c r="CY929" s="18"/>
      <c r="DF929" s="16" t="e">
        <f>VLOOKUP(K929,'[3]RNA Seq summary tables'!$V$3:$V$99,1,FALSE)</f>
        <v>#N/A</v>
      </c>
      <c r="DG929" s="16">
        <v>1</v>
      </c>
      <c r="DH929" s="16" t="str">
        <f>VLOOKUP(D929,'[6]workflow 3.2018'!$A$1:$S$237,2,FALSE)</f>
        <v>2017MLBS_213</v>
      </c>
    </row>
    <row r="930" spans="2:288" x14ac:dyDescent="0.2">
      <c r="B930" s="16">
        <v>2017</v>
      </c>
      <c r="C930" s="20">
        <v>42894</v>
      </c>
      <c r="D930" s="20" t="str">
        <f>CONCATENATE(J930,"-",C930)</f>
        <v>1085-42894</v>
      </c>
      <c r="E930" s="20" t="str">
        <f>CONCATENATE(T930,"-",U930,"-",C930)</f>
        <v>PO2-A5-42894</v>
      </c>
      <c r="F930" s="20" t="s">
        <v>106</v>
      </c>
      <c r="G930" s="20" t="s">
        <v>107</v>
      </c>
      <c r="I930" s="16">
        <v>0</v>
      </c>
      <c r="J930" s="21">
        <v>1085</v>
      </c>
      <c r="K930" s="21">
        <v>1638</v>
      </c>
      <c r="L930" s="18">
        <v>0</v>
      </c>
      <c r="M930" s="21">
        <f>VLOOKUP($K930,'[4]blood tubes 2017'!$D$1:$L$647,8,FALSE)</f>
        <v>0</v>
      </c>
      <c r="N930" s="15">
        <v>0</v>
      </c>
      <c r="O930" s="15" t="s">
        <v>214</v>
      </c>
      <c r="P930" s="16" t="s">
        <v>110</v>
      </c>
      <c r="Q930" s="16">
        <v>0</v>
      </c>
      <c r="R930" s="16" t="s">
        <v>111</v>
      </c>
      <c r="T930" s="16" t="s">
        <v>127</v>
      </c>
      <c r="U930" s="16" t="s">
        <v>167</v>
      </c>
      <c r="V930" s="16" t="s">
        <v>114</v>
      </c>
      <c r="W930" s="16">
        <f>AI930/AG930</f>
        <v>0.8045977011494253</v>
      </c>
      <c r="X930" s="16" t="s">
        <v>121</v>
      </c>
      <c r="Y930" s="16" t="s">
        <v>122</v>
      </c>
      <c r="Z930" s="16">
        <v>2.6</v>
      </c>
      <c r="AA930" s="16" t="s">
        <v>119</v>
      </c>
      <c r="AB930" s="16" t="s">
        <v>123</v>
      </c>
      <c r="AC930" s="16" t="s">
        <v>123</v>
      </c>
      <c r="AD930" s="16" t="s">
        <v>123</v>
      </c>
      <c r="AG930" s="16">
        <f>AH930-AI930</f>
        <v>87</v>
      </c>
      <c r="AH930" s="16">
        <v>157</v>
      </c>
      <c r="AI930" s="16">
        <v>70</v>
      </c>
      <c r="AK930" s="16">
        <v>18.5</v>
      </c>
      <c r="AL930" s="16">
        <v>0</v>
      </c>
      <c r="AM930" s="16">
        <v>0</v>
      </c>
      <c r="AN930" s="16">
        <v>0</v>
      </c>
      <c r="AO930" s="16">
        <v>0</v>
      </c>
      <c r="AP930" s="16">
        <f>SUM(AL930:AN930)</f>
        <v>0</v>
      </c>
      <c r="AQ930" s="16">
        <v>1.903</v>
      </c>
      <c r="AR930" s="16">
        <f>AP930-1.472</f>
        <v>-1.472</v>
      </c>
      <c r="AS930" s="16">
        <f>AQ930-1.472</f>
        <v>0.43100000000000005</v>
      </c>
      <c r="AT930" s="16" t="s">
        <v>234</v>
      </c>
      <c r="AW930" s="16">
        <f>IF(AX930&gt;0,1,0)</f>
        <v>1</v>
      </c>
      <c r="AX930" s="16">
        <f>SUM(BA930,BM930,CT930)</f>
        <v>3</v>
      </c>
      <c r="AY930" s="18">
        <f>SUM(BB930,BN930,CV930)</f>
        <v>129.9303944315545</v>
      </c>
      <c r="AZ930" s="16">
        <f>IF(BA930&gt;0,1,0)</f>
        <v>1</v>
      </c>
      <c r="BA930" s="16">
        <f>SUM(BC930,BF930,BI930)</f>
        <v>3</v>
      </c>
      <c r="BB930" s="16">
        <f>SUM(BE930,BH930,BK930)</f>
        <v>129.9303944315545</v>
      </c>
      <c r="BC930" s="16">
        <v>1</v>
      </c>
      <c r="BD930" s="16">
        <v>15</v>
      </c>
      <c r="BE930" s="16">
        <f>BD930/AS930</f>
        <v>34.802784222737813</v>
      </c>
      <c r="BF930" s="16">
        <v>1</v>
      </c>
      <c r="BG930" s="77">
        <v>39</v>
      </c>
      <c r="BH930" s="16">
        <f>BG930/AS930</f>
        <v>90.487238979118317</v>
      </c>
      <c r="BI930" s="16">
        <v>1</v>
      </c>
      <c r="BJ930" s="16">
        <v>2</v>
      </c>
      <c r="BK930" s="16">
        <f>BJ930/AS930</f>
        <v>4.640371229698375</v>
      </c>
      <c r="BL930" s="16">
        <f>IF(BM930&gt;0,1,0)</f>
        <v>0</v>
      </c>
      <c r="BM930" s="16">
        <f>SUM(BR930,BU930,BX930,CA930,CD930,CG930,CJ930,CM930,CP930)</f>
        <v>0</v>
      </c>
      <c r="BN930" s="16">
        <f>SUM(BW930,BZ930,CC930,CF930,CI930,CL930,CO930,CR930,BT930)</f>
        <v>0</v>
      </c>
      <c r="BO930" s="16">
        <f>IF(BP930&gt;0,1,0)</f>
        <v>0</v>
      </c>
      <c r="BP930" s="16">
        <f>SUM(BU930,BX930,CA930,CD930,BR930)</f>
        <v>0</v>
      </c>
      <c r="BQ930" s="16">
        <f>SUM(BZ930,CC930,CF930,BT930,BW930)</f>
        <v>0</v>
      </c>
      <c r="BR930" s="16">
        <v>0</v>
      </c>
      <c r="BS930" s="16">
        <v>0</v>
      </c>
      <c r="BT930" s="77">
        <f>BS930/AS930</f>
        <v>0</v>
      </c>
      <c r="BU930" s="16">
        <v>0</v>
      </c>
      <c r="BV930" s="16">
        <v>0</v>
      </c>
      <c r="BW930" s="16">
        <f>BV930/AS930</f>
        <v>0</v>
      </c>
      <c r="BX930" s="16">
        <v>0</v>
      </c>
      <c r="BY930" s="16">
        <v>0</v>
      </c>
      <c r="BZ930" s="16">
        <f>BY930/AS930</f>
        <v>0</v>
      </c>
      <c r="CA930" s="16">
        <v>0</v>
      </c>
      <c r="CB930" s="16">
        <v>0</v>
      </c>
      <c r="CC930" s="16">
        <f>CB930/AS930</f>
        <v>0</v>
      </c>
      <c r="CD930" s="77">
        <v>0</v>
      </c>
      <c r="CE930" s="16">
        <v>0</v>
      </c>
      <c r="CF930" s="16">
        <f>CE930/AS930</f>
        <v>0</v>
      </c>
      <c r="CG930" s="22">
        <v>0</v>
      </c>
      <c r="CH930" s="22">
        <v>0</v>
      </c>
      <c r="CI930" s="16">
        <f>CH930/AS930</f>
        <v>0</v>
      </c>
      <c r="CM930" s="22">
        <v>0</v>
      </c>
      <c r="CN930" s="22">
        <v>0</v>
      </c>
      <c r="CO930" s="16">
        <f>CN930/AS930</f>
        <v>0</v>
      </c>
      <c r="CP930" s="22">
        <v>0</v>
      </c>
      <c r="CQ930" s="22">
        <v>0</v>
      </c>
      <c r="CR930" s="16">
        <f>CQ930/AS930</f>
        <v>0</v>
      </c>
      <c r="CS930" s="16">
        <f>IF(CT930&gt;0,1,0)</f>
        <v>0</v>
      </c>
      <c r="CT930" s="16">
        <f>SUM(CW930,CZ930,DC930)</f>
        <v>0</v>
      </c>
      <c r="CV930" s="16">
        <f>SUM(CY930,DB930,DE930)</f>
        <v>0</v>
      </c>
      <c r="CW930" s="16">
        <v>0</v>
      </c>
      <c r="CX930" s="16">
        <v>0</v>
      </c>
      <c r="CY930" s="16">
        <f>CX930/AS930</f>
        <v>0</v>
      </c>
      <c r="CZ930" s="16">
        <v>0</v>
      </c>
      <c r="DA930" s="16">
        <v>0</v>
      </c>
      <c r="DB930" s="16">
        <f>DA930/AS930</f>
        <v>0</v>
      </c>
      <c r="DC930" s="16">
        <v>0</v>
      </c>
      <c r="DD930" s="16">
        <v>0</v>
      </c>
      <c r="DE930" s="16">
        <f>DD930/AS930</f>
        <v>0</v>
      </c>
      <c r="DF930" s="16" t="e">
        <f>VLOOKUP(K930,'[3]RNA Seq summary tables'!$V$3:$V$99,1,FALSE)</f>
        <v>#N/A</v>
      </c>
      <c r="DI930" s="16">
        <v>65</v>
      </c>
      <c r="DK930" s="16">
        <v>13</v>
      </c>
      <c r="DM930" s="16">
        <v>20</v>
      </c>
      <c r="DO930" s="16">
        <v>0</v>
      </c>
      <c r="DQ930" s="16">
        <v>2</v>
      </c>
      <c r="DR930" s="16">
        <v>100</v>
      </c>
    </row>
    <row r="931" spans="2:288" x14ac:dyDescent="0.2">
      <c r="B931" s="16">
        <v>2017</v>
      </c>
      <c r="C931" s="20">
        <v>42912</v>
      </c>
      <c r="D931" s="20" t="str">
        <f>CONCATENATE(J931,"-",C931)</f>
        <v>1085-42912</v>
      </c>
      <c r="E931" s="20" t="str">
        <f>CONCATENATE(T931,"-",U931,"-",C931)</f>
        <v>PO2-A6-42912</v>
      </c>
      <c r="F931" s="20" t="s">
        <v>106</v>
      </c>
      <c r="G931" s="20" t="s">
        <v>107</v>
      </c>
      <c r="I931" s="16">
        <v>0</v>
      </c>
      <c r="J931" s="21">
        <v>1085</v>
      </c>
      <c r="K931" s="21">
        <v>1751</v>
      </c>
      <c r="L931" s="18">
        <v>0</v>
      </c>
      <c r="M931" s="21">
        <f>VLOOKUP($K931,'[4]blood tubes 2017'!$D$1:$L$647,8,FALSE)</f>
        <v>0</v>
      </c>
      <c r="N931" s="15">
        <v>0</v>
      </c>
      <c r="O931" s="15" t="s">
        <v>214</v>
      </c>
      <c r="P931" s="16" t="s">
        <v>110</v>
      </c>
      <c r="Q931" s="16">
        <v>1</v>
      </c>
      <c r="R931" s="16">
        <v>18</v>
      </c>
      <c r="T931" s="16" t="s">
        <v>127</v>
      </c>
      <c r="U931" s="16" t="s">
        <v>147</v>
      </c>
      <c r="V931" s="16" t="s">
        <v>114</v>
      </c>
      <c r="W931" s="16">
        <f>AI931/AG931</f>
        <v>0.72916666666666663</v>
      </c>
      <c r="X931" s="16" t="s">
        <v>121</v>
      </c>
      <c r="Y931" s="16" t="s">
        <v>110</v>
      </c>
      <c r="Z931" s="16">
        <v>3</v>
      </c>
      <c r="AA931" s="16" t="s">
        <v>119</v>
      </c>
      <c r="AB931" s="16" t="s">
        <v>123</v>
      </c>
      <c r="AC931" s="16" t="s">
        <v>123</v>
      </c>
      <c r="AD931" s="16" t="s">
        <v>123</v>
      </c>
      <c r="AG931" s="16">
        <f>AH931-AI931</f>
        <v>96</v>
      </c>
      <c r="AH931" s="16">
        <v>166</v>
      </c>
      <c r="AI931" s="16">
        <v>70</v>
      </c>
      <c r="AK931" s="16">
        <v>18</v>
      </c>
      <c r="AL931" s="16">
        <v>1</v>
      </c>
      <c r="AM931" s="16">
        <v>0</v>
      </c>
      <c r="AN931" s="16">
        <v>0</v>
      </c>
      <c r="AO931" s="16">
        <v>1</v>
      </c>
      <c r="AP931" s="16">
        <f>SUM(AL931:AN931)</f>
        <v>1</v>
      </c>
      <c r="AQ931" s="16">
        <v>1.988</v>
      </c>
      <c r="AR931" s="16">
        <f>AP931-1.472</f>
        <v>-0.47199999999999998</v>
      </c>
      <c r="AS931" s="16">
        <f>AQ931-1.472</f>
        <v>0.51600000000000001</v>
      </c>
      <c r="AT931" s="16" t="s">
        <v>119</v>
      </c>
      <c r="AW931" s="16">
        <f>IF(AX931&gt;0,1,0)</f>
        <v>1</v>
      </c>
      <c r="AX931" s="16">
        <f>SUM(BA931,BM931,CT931)</f>
        <v>2</v>
      </c>
      <c r="AY931" s="18">
        <f>SUM(BB931,BN931,CV931)</f>
        <v>110.46511627906976</v>
      </c>
      <c r="AZ931" s="16">
        <f>IF(BA931&gt;0,1,0)</f>
        <v>1</v>
      </c>
      <c r="BA931" s="16">
        <f>SUM(BC931,BF931,BI931)</f>
        <v>1</v>
      </c>
      <c r="BB931" s="16">
        <f>SUM(BE931,BH931,BK931)</f>
        <v>108.52713178294573</v>
      </c>
      <c r="BC931" s="16">
        <v>1</v>
      </c>
      <c r="BD931" s="16">
        <v>56</v>
      </c>
      <c r="BE931" s="16">
        <f>BD931/AS931</f>
        <v>108.52713178294573</v>
      </c>
      <c r="BF931" s="16">
        <v>0</v>
      </c>
      <c r="BG931" s="77">
        <v>0</v>
      </c>
      <c r="BH931" s="16">
        <f>BG931/AS931</f>
        <v>0</v>
      </c>
      <c r="BI931" s="16">
        <v>0</v>
      </c>
      <c r="BJ931" s="16">
        <v>0</v>
      </c>
      <c r="BK931" s="16">
        <f>BJ931/AS931</f>
        <v>0</v>
      </c>
      <c r="BL931" s="16">
        <f>IF(BM931&gt;0,1,0)</f>
        <v>1</v>
      </c>
      <c r="BM931" s="16">
        <f>SUM(BR931,BU931,BX931,CA931,CD931,CG931,CJ931,CM931,CP931)</f>
        <v>1</v>
      </c>
      <c r="BN931" s="16">
        <f>SUM(BW931,BZ931,CC931,CF931,CI931,CL931,CO931,CR931,BT931)</f>
        <v>1.9379844961240309</v>
      </c>
      <c r="BO931" s="16">
        <f>IF(BP931&gt;0,1,0)</f>
        <v>0</v>
      </c>
      <c r="BP931" s="16">
        <f>SUM(BU931,BX931,CA931,CD931,BR931)</f>
        <v>0</v>
      </c>
      <c r="BQ931" s="16">
        <f>SUM(BZ931,CC931,CF931,BT931,BW931)</f>
        <v>0</v>
      </c>
      <c r="BR931" s="16">
        <v>0</v>
      </c>
      <c r="BS931" s="16">
        <v>0</v>
      </c>
      <c r="BT931" s="77">
        <f>BS931/AS931</f>
        <v>0</v>
      </c>
      <c r="BU931" s="16">
        <v>0</v>
      </c>
      <c r="BV931" s="16">
        <v>0</v>
      </c>
      <c r="BW931" s="16">
        <f>BV931/AS931</f>
        <v>0</v>
      </c>
      <c r="BX931" s="16">
        <v>0</v>
      </c>
      <c r="BY931" s="16">
        <v>0</v>
      </c>
      <c r="BZ931" s="16">
        <f>BY931/AS931</f>
        <v>0</v>
      </c>
      <c r="CA931" s="16">
        <v>0</v>
      </c>
      <c r="CB931" s="16">
        <v>0</v>
      </c>
      <c r="CC931" s="16">
        <f>CB931/AS931</f>
        <v>0</v>
      </c>
      <c r="CD931" s="77">
        <v>0</v>
      </c>
      <c r="CE931" s="16">
        <v>0</v>
      </c>
      <c r="CF931" s="16">
        <f>CE931/AS931</f>
        <v>0</v>
      </c>
      <c r="CG931" s="16">
        <v>0</v>
      </c>
      <c r="CH931" s="16">
        <v>0</v>
      </c>
      <c r="CI931" s="16">
        <f>CH931/AS931</f>
        <v>0</v>
      </c>
      <c r="CM931" s="16">
        <v>1</v>
      </c>
      <c r="CN931" s="16">
        <v>1</v>
      </c>
      <c r="CO931" s="16">
        <f>CN931/AS931</f>
        <v>1.9379844961240309</v>
      </c>
      <c r="CP931" s="16">
        <v>0</v>
      </c>
      <c r="CQ931" s="16">
        <v>0</v>
      </c>
      <c r="CR931" s="16">
        <f>CQ931/AS931</f>
        <v>0</v>
      </c>
      <c r="CS931" s="16">
        <v>0</v>
      </c>
      <c r="CT931" s="16">
        <f>SUM(CW931,CZ931,DC931)</f>
        <v>0</v>
      </c>
      <c r="CV931" s="16">
        <f>SUM(CY931,DB931,DE931)</f>
        <v>0</v>
      </c>
      <c r="CW931" s="16">
        <v>0</v>
      </c>
      <c r="CX931" s="16">
        <v>0</v>
      </c>
      <c r="CY931" s="16">
        <f>CX931/AS931</f>
        <v>0</v>
      </c>
      <c r="CZ931" s="16">
        <v>0</v>
      </c>
      <c r="DA931" s="16">
        <v>0</v>
      </c>
      <c r="DB931" s="16">
        <f>DA931/AS931</f>
        <v>0</v>
      </c>
      <c r="DC931" s="16">
        <v>0</v>
      </c>
      <c r="DD931" s="16">
        <v>0</v>
      </c>
      <c r="DE931" s="16">
        <f>DD931/AS931</f>
        <v>0</v>
      </c>
      <c r="DF931" s="16" t="e">
        <f>VLOOKUP(K931,'[3]RNA Seq summary tables'!$V$3:$V$99,1,FALSE)</f>
        <v>#N/A</v>
      </c>
      <c r="DI931" s="16">
        <v>30</v>
      </c>
      <c r="DK931" s="16">
        <v>64</v>
      </c>
      <c r="DM931" s="16">
        <v>6</v>
      </c>
      <c r="DO931" s="16">
        <v>0</v>
      </c>
      <c r="DQ931" s="16">
        <v>0</v>
      </c>
      <c r="DR931" s="16">
        <f>SUM(DI931:DQ931)</f>
        <v>100</v>
      </c>
    </row>
    <row r="932" spans="2:288" x14ac:dyDescent="0.2">
      <c r="B932" s="16">
        <v>2017</v>
      </c>
      <c r="C932" s="66">
        <v>42894</v>
      </c>
      <c r="D932" s="66" t="str">
        <f>CONCATENATE(J932,"-",C932)</f>
        <v>1087-42894</v>
      </c>
      <c r="E932" s="20" t="str">
        <f>CONCATENATE(T932,"-",U932,"-",C932)</f>
        <v>PO2-B5-42894</v>
      </c>
      <c r="F932" s="20" t="s">
        <v>106</v>
      </c>
      <c r="G932" s="20" t="s">
        <v>107</v>
      </c>
      <c r="I932" s="16">
        <v>0</v>
      </c>
      <c r="J932" s="21">
        <v>1087</v>
      </c>
      <c r="K932" s="21">
        <v>1640</v>
      </c>
      <c r="L932" s="16">
        <v>1</v>
      </c>
      <c r="M932" s="21">
        <f>VLOOKUP($K932,'[4]blood tubes 2017'!$D$1:$L$647,8,FALSE)</f>
        <v>0</v>
      </c>
      <c r="N932" s="15">
        <v>0</v>
      </c>
      <c r="O932" s="15" t="s">
        <v>214</v>
      </c>
      <c r="P932" s="16" t="s">
        <v>110</v>
      </c>
      <c r="Q932" s="16">
        <v>0</v>
      </c>
      <c r="R932" s="16" t="s">
        <v>111</v>
      </c>
      <c r="T932" s="16" t="s">
        <v>127</v>
      </c>
      <c r="U932" s="16" t="s">
        <v>160</v>
      </c>
      <c r="V932" s="16" t="s">
        <v>114</v>
      </c>
      <c r="W932" s="16">
        <f>AI932/AG932</f>
        <v>0.83333333333333337</v>
      </c>
      <c r="X932" s="16" t="s">
        <v>115</v>
      </c>
      <c r="Y932" s="16" t="s">
        <v>110</v>
      </c>
      <c r="Z932" s="16">
        <v>3</v>
      </c>
      <c r="AE932" s="16" t="s">
        <v>123</v>
      </c>
      <c r="AF932" s="16" t="s">
        <v>123</v>
      </c>
      <c r="AG932" s="16">
        <f>AH932-AI932</f>
        <v>84</v>
      </c>
      <c r="AH932" s="16">
        <v>154</v>
      </c>
      <c r="AI932" s="16">
        <v>70</v>
      </c>
      <c r="AK932" s="16">
        <v>18</v>
      </c>
      <c r="AL932" s="16">
        <v>1</v>
      </c>
      <c r="AM932" s="16">
        <v>0</v>
      </c>
      <c r="AN932" s="16">
        <v>0</v>
      </c>
      <c r="AO932" s="16">
        <v>1</v>
      </c>
      <c r="AP932" s="16">
        <f>SUM(AL932:AN932)</f>
        <v>1</v>
      </c>
      <c r="AQ932" s="16">
        <v>1.57</v>
      </c>
      <c r="AR932" s="16">
        <f>AP932-1.472</f>
        <v>-0.47199999999999998</v>
      </c>
      <c r="AS932" s="16">
        <f>AQ932-1.472</f>
        <v>9.8000000000000087E-2</v>
      </c>
      <c r="AT932" s="16" t="s">
        <v>164</v>
      </c>
      <c r="AW932" s="16">
        <f>IF(AX932&gt;0,1,0)</f>
        <v>1</v>
      </c>
      <c r="AX932" s="16">
        <f>SUM(BA932,BM932,CT932)</f>
        <v>1</v>
      </c>
      <c r="AY932" s="18">
        <f>SUM(BB932,BN932,CV932)</f>
        <v>30.612244897959158</v>
      </c>
      <c r="AZ932" s="16">
        <f>IF(BA932&gt;0,1,0)</f>
        <v>0</v>
      </c>
      <c r="BA932" s="16">
        <f>SUM(BC932,BF932,BI932)</f>
        <v>0</v>
      </c>
      <c r="BB932" s="16">
        <f>SUM(BE932,BH932,BK932)</f>
        <v>0</v>
      </c>
      <c r="BC932" s="16">
        <v>0</v>
      </c>
      <c r="BD932" s="16">
        <v>0</v>
      </c>
      <c r="BE932" s="16">
        <f>BD932/AS932</f>
        <v>0</v>
      </c>
      <c r="BF932" s="16">
        <v>0</v>
      </c>
      <c r="BG932" s="77">
        <v>0</v>
      </c>
      <c r="BH932" s="16">
        <f>BG932/AS932</f>
        <v>0</v>
      </c>
      <c r="BI932" s="16">
        <v>0</v>
      </c>
      <c r="BJ932" s="16">
        <v>0</v>
      </c>
      <c r="BK932" s="16">
        <f>BJ932/AS932</f>
        <v>0</v>
      </c>
      <c r="BL932" s="16">
        <f>IF(BM932&gt;0,1,0)</f>
        <v>1</v>
      </c>
      <c r="BM932" s="16">
        <f>SUM(BR932,BU932,BX932,CA932,CD932,CG932,CJ932,CM932,CP932)</f>
        <v>1</v>
      </c>
      <c r="BN932" s="16">
        <f>SUM(BW932,BZ932,CC932,CF932,CI932,CL932,CO932,CR932,BT932)</f>
        <v>30.612244897959158</v>
      </c>
      <c r="BO932" s="16">
        <f>IF(BP932&gt;0,1,0)</f>
        <v>0</v>
      </c>
      <c r="BP932" s="16">
        <f>SUM(BU932,BX932,CA932,CD932,BR932)</f>
        <v>0</v>
      </c>
      <c r="BQ932" s="16">
        <f>SUM(BZ932,CC932,CF932,BT932,BW932)</f>
        <v>0</v>
      </c>
      <c r="BR932" s="16">
        <v>0</v>
      </c>
      <c r="BS932" s="16">
        <v>0</v>
      </c>
      <c r="BT932" s="77">
        <f>BS932/AS932</f>
        <v>0</v>
      </c>
      <c r="BU932" s="16">
        <v>0</v>
      </c>
      <c r="BV932" s="16">
        <v>0</v>
      </c>
      <c r="BW932" s="16">
        <f>BV932/AS932</f>
        <v>0</v>
      </c>
      <c r="BX932" s="16">
        <v>0</v>
      </c>
      <c r="BY932" s="16">
        <v>0</v>
      </c>
      <c r="BZ932" s="16">
        <f>BY932/AS932</f>
        <v>0</v>
      </c>
      <c r="CA932" s="16">
        <v>0</v>
      </c>
      <c r="CB932" s="16">
        <v>0</v>
      </c>
      <c r="CC932" s="16">
        <f>CB932/AS932</f>
        <v>0</v>
      </c>
      <c r="CD932" s="77">
        <v>0</v>
      </c>
      <c r="CE932" s="16">
        <v>0</v>
      </c>
      <c r="CF932" s="16">
        <f>CE932/AS932</f>
        <v>0</v>
      </c>
      <c r="CG932" s="16">
        <v>1</v>
      </c>
      <c r="CH932" s="16">
        <v>3</v>
      </c>
      <c r="CI932" s="16">
        <f>CH932/AS932</f>
        <v>30.612244897959158</v>
      </c>
      <c r="CM932" s="16">
        <v>0</v>
      </c>
      <c r="CN932" s="16">
        <v>0</v>
      </c>
      <c r="CO932" s="16">
        <f>CN932/AS932</f>
        <v>0</v>
      </c>
      <c r="CP932" s="16">
        <v>0</v>
      </c>
      <c r="CQ932" s="16">
        <v>0</v>
      </c>
      <c r="CR932" s="16">
        <f>CQ932/AS932</f>
        <v>0</v>
      </c>
      <c r="CS932" s="16">
        <f>IF(CT932&gt;0,1,0)</f>
        <v>0</v>
      </c>
      <c r="CT932" s="16">
        <f>SUM(CW932,CZ932,DC932)</f>
        <v>0</v>
      </c>
      <c r="CV932" s="16">
        <f>SUM(CY932,DB932,DE932)</f>
        <v>0</v>
      </c>
      <c r="CW932" s="16">
        <v>0</v>
      </c>
      <c r="CX932" s="16">
        <v>0</v>
      </c>
      <c r="CY932" s="16">
        <f>CX932/AS932</f>
        <v>0</v>
      </c>
      <c r="CZ932" s="16">
        <v>0</v>
      </c>
      <c r="DA932" s="16">
        <v>0</v>
      </c>
      <c r="DB932" s="16">
        <f>DA932/AS932</f>
        <v>0</v>
      </c>
      <c r="DC932" s="16">
        <v>0</v>
      </c>
      <c r="DD932" s="16">
        <v>0</v>
      </c>
      <c r="DE932" s="16">
        <f>DD932/AS932</f>
        <v>0</v>
      </c>
      <c r="DF932" s="16">
        <f>VLOOKUP(K932,'[3]RNA Seq summary tables'!$V$3:$V$99,1,FALSE)</f>
        <v>1640</v>
      </c>
      <c r="DG932" s="16">
        <v>1</v>
      </c>
      <c r="DH932" s="16" t="str">
        <f>VLOOKUP(D932,'[6]workflow 3.2018'!$A$1:$S$237,2,FALSE)</f>
        <v>2017MLBS_51</v>
      </c>
      <c r="DI932" s="16">
        <v>54</v>
      </c>
      <c r="DK932" s="16">
        <v>30</v>
      </c>
      <c r="DM932" s="16">
        <v>16</v>
      </c>
      <c r="DO932" s="16">
        <v>0</v>
      </c>
      <c r="DQ932" s="16">
        <v>0</v>
      </c>
      <c r="DR932" s="16">
        <v>100</v>
      </c>
    </row>
    <row r="933" spans="2:288" x14ac:dyDescent="0.2">
      <c r="B933" s="16">
        <v>2017</v>
      </c>
      <c r="C933" s="20">
        <v>42912</v>
      </c>
      <c r="D933" s="20" t="str">
        <f>CONCATENATE(J933,"-",C933)</f>
        <v>1087-42912</v>
      </c>
      <c r="E933" s="20" t="str">
        <f>CONCATENATE(T933,"-",U933,"-",C933)</f>
        <v>PO2-A7-42912</v>
      </c>
      <c r="F933" s="20" t="s">
        <v>106</v>
      </c>
      <c r="G933" s="20" t="s">
        <v>107</v>
      </c>
      <c r="I933" s="16">
        <v>0</v>
      </c>
      <c r="J933" s="21">
        <v>1087</v>
      </c>
      <c r="K933" s="21">
        <v>1752</v>
      </c>
      <c r="L933" s="18">
        <v>0</v>
      </c>
      <c r="M933" s="21">
        <f>VLOOKUP($K933,'[4]blood tubes 2017'!$D$1:$L$647,8,FALSE)</f>
        <v>0</v>
      </c>
      <c r="N933" s="15">
        <v>0</v>
      </c>
      <c r="O933" s="15" t="s">
        <v>214</v>
      </c>
      <c r="P933" s="16" t="s">
        <v>110</v>
      </c>
      <c r="Q933" s="16">
        <v>1</v>
      </c>
      <c r="R933" s="16">
        <v>18</v>
      </c>
      <c r="T933" s="16" t="s">
        <v>127</v>
      </c>
      <c r="U933" s="16" t="s">
        <v>120</v>
      </c>
      <c r="V933" s="16" t="s">
        <v>114</v>
      </c>
      <c r="W933" s="16">
        <f>AI933/AG933</f>
        <v>0.77777777777777779</v>
      </c>
      <c r="X933" s="16" t="s">
        <v>115</v>
      </c>
      <c r="Y933" s="16" t="s">
        <v>110</v>
      </c>
      <c r="Z933" s="16">
        <v>3</v>
      </c>
      <c r="AE933" s="16" t="s">
        <v>123</v>
      </c>
      <c r="AF933" s="16" t="s">
        <v>123</v>
      </c>
      <c r="AG933" s="16">
        <f>AH933-AI933</f>
        <v>90</v>
      </c>
      <c r="AH933" s="16">
        <v>160</v>
      </c>
      <c r="AI933" s="16">
        <v>70</v>
      </c>
      <c r="AK933" s="16">
        <v>22.5</v>
      </c>
      <c r="AL933" s="16">
        <v>0</v>
      </c>
      <c r="AM933" s="16">
        <v>0</v>
      </c>
      <c r="AN933" s="16">
        <v>0</v>
      </c>
      <c r="AO933" s="16">
        <v>0</v>
      </c>
      <c r="AP933" s="16">
        <f>SUM(AL933:AN933)</f>
        <v>0</v>
      </c>
      <c r="AQ933" s="16">
        <v>1.6850000000000001</v>
      </c>
      <c r="AR933" s="16">
        <f>AP933-1.472</f>
        <v>-1.472</v>
      </c>
      <c r="AS933" s="16">
        <f>AQ933-1.472</f>
        <v>0.21300000000000008</v>
      </c>
      <c r="AT933" s="16" t="s">
        <v>234</v>
      </c>
      <c r="AW933" s="16">
        <f>IF(AX933&gt;0,1,0)</f>
        <v>1</v>
      </c>
      <c r="AX933" s="16">
        <f>SUM(BA933,BM933,CT933)</f>
        <v>2</v>
      </c>
      <c r="AY933" s="18">
        <f>SUM(BB933,BN933,CV933)</f>
        <v>10150.234741784034</v>
      </c>
      <c r="AZ933" s="16">
        <f>IF(BA933&gt;0,1,0)</f>
        <v>1</v>
      </c>
      <c r="BA933" s="16">
        <f>SUM(BC933,BF933,BI933)</f>
        <v>2</v>
      </c>
      <c r="BB933" s="16">
        <f>SUM(BE933,BH933,BK933)</f>
        <v>10150.234741784034</v>
      </c>
      <c r="BC933" s="16">
        <v>1</v>
      </c>
      <c r="BD933" s="16">
        <v>80</v>
      </c>
      <c r="BE933" s="16">
        <f>BD933/AS933</f>
        <v>375.58685446009378</v>
      </c>
      <c r="BF933" s="16">
        <v>1</v>
      </c>
      <c r="BG933" s="77">
        <v>2082</v>
      </c>
      <c r="BH933" s="16">
        <f>BG933/AS933</f>
        <v>9774.6478873239394</v>
      </c>
      <c r="BI933" s="16">
        <v>0</v>
      </c>
      <c r="BJ933" s="16">
        <v>0</v>
      </c>
      <c r="BK933" s="16">
        <f>BJ933/AS933</f>
        <v>0</v>
      </c>
      <c r="BL933" s="16">
        <f>IF(BM933&gt;0,1,0)</f>
        <v>0</v>
      </c>
      <c r="BM933" s="16">
        <f>SUM(BR933,BU933,BX933,CA933,CD933,CG933,CJ933,CM933,CP933)</f>
        <v>0</v>
      </c>
      <c r="BN933" s="16">
        <f>SUM(BW933,BZ933,CC933,CF933,CI933,CL933,CO933,CR933,BT933)</f>
        <v>0</v>
      </c>
      <c r="BO933" s="16">
        <f>IF(BP933&gt;0,1,0)</f>
        <v>0</v>
      </c>
      <c r="BP933" s="16">
        <f>SUM(BU933,BX933,CA933,CD933,BR933)</f>
        <v>0</v>
      </c>
      <c r="BQ933" s="16">
        <f>SUM(BZ933,CC933,CF933,BT933,BW933)</f>
        <v>0</v>
      </c>
      <c r="BR933" s="16">
        <v>0</v>
      </c>
      <c r="BS933" s="16">
        <v>0</v>
      </c>
      <c r="BT933" s="77">
        <f>BS933/AS933</f>
        <v>0</v>
      </c>
      <c r="BU933" s="16">
        <v>0</v>
      </c>
      <c r="BV933" s="16">
        <v>0</v>
      </c>
      <c r="BW933" s="16">
        <f>BV933/AS933</f>
        <v>0</v>
      </c>
      <c r="BX933" s="16">
        <v>0</v>
      </c>
      <c r="BY933" s="16">
        <v>0</v>
      </c>
      <c r="BZ933" s="16">
        <f>BY933/AS933</f>
        <v>0</v>
      </c>
      <c r="CA933" s="16">
        <v>0</v>
      </c>
      <c r="CB933" s="16">
        <v>0</v>
      </c>
      <c r="CC933" s="16">
        <f>CB933/AS933</f>
        <v>0</v>
      </c>
      <c r="CD933" s="77">
        <v>0</v>
      </c>
      <c r="CE933" s="16">
        <v>0</v>
      </c>
      <c r="CF933" s="16">
        <f>CE933/AS933</f>
        <v>0</v>
      </c>
      <c r="CG933" s="16">
        <v>0</v>
      </c>
      <c r="CH933" s="16">
        <v>0</v>
      </c>
      <c r="CI933" s="16">
        <f>CH933/AS933</f>
        <v>0</v>
      </c>
      <c r="CM933" s="16">
        <v>0</v>
      </c>
      <c r="CN933" s="16">
        <v>0</v>
      </c>
      <c r="CO933" s="16">
        <f>CN933/AS933</f>
        <v>0</v>
      </c>
      <c r="CP933" s="16">
        <v>0</v>
      </c>
      <c r="CQ933" s="16">
        <v>0</v>
      </c>
      <c r="CR933" s="16">
        <f>CQ933/AS933</f>
        <v>0</v>
      </c>
      <c r="CS933" s="16">
        <f>IF(CT933&gt;0,1,0)</f>
        <v>0</v>
      </c>
      <c r="CT933" s="16">
        <f>SUM(CW933,CZ933,DC933)</f>
        <v>0</v>
      </c>
      <c r="CV933" s="16">
        <f>SUM(CY933,DB933,DE933)</f>
        <v>0</v>
      </c>
      <c r="CW933" s="16">
        <v>0</v>
      </c>
      <c r="CX933" s="16">
        <v>0</v>
      </c>
      <c r="CY933" s="16">
        <f>CX933/AS933</f>
        <v>0</v>
      </c>
      <c r="CZ933" s="16">
        <v>0</v>
      </c>
      <c r="DA933" s="16">
        <v>0</v>
      </c>
      <c r="DB933" s="16">
        <f>DA933/AS933</f>
        <v>0</v>
      </c>
      <c r="DC933" s="16">
        <v>0</v>
      </c>
      <c r="DD933" s="16">
        <v>0</v>
      </c>
      <c r="DE933" s="16">
        <f>DD933/AS933</f>
        <v>0</v>
      </c>
      <c r="DF933" s="16" t="e">
        <f>VLOOKUP(K933,'[3]RNA Seq summary tables'!$V$3:$V$99,1,FALSE)</f>
        <v>#N/A</v>
      </c>
      <c r="DI933" s="16">
        <v>39</v>
      </c>
      <c r="DK933" s="16">
        <v>45</v>
      </c>
      <c r="DM933" s="16">
        <v>16</v>
      </c>
      <c r="DO933" s="16">
        <v>0</v>
      </c>
      <c r="DQ933" s="16">
        <v>0</v>
      </c>
      <c r="DR933" s="16">
        <f>SUM(DI933:DQ933)</f>
        <v>100</v>
      </c>
      <c r="JP933" s="18"/>
      <c r="JQ933" s="18"/>
    </row>
    <row r="934" spans="2:288" x14ac:dyDescent="0.2">
      <c r="B934" s="16">
        <v>2017</v>
      </c>
      <c r="C934" s="20">
        <v>42927</v>
      </c>
      <c r="D934" s="20" t="str">
        <f>CONCATENATE(J934,"-",C934)</f>
        <v>1087-42927</v>
      </c>
      <c r="E934" s="20" t="str">
        <f>CONCATENATE(T934,"-",U934,"-",C934)</f>
        <v>PO2-C8-42927</v>
      </c>
      <c r="F934" s="20" t="s">
        <v>106</v>
      </c>
      <c r="G934" s="20" t="s">
        <v>107</v>
      </c>
      <c r="I934" s="16">
        <v>0</v>
      </c>
      <c r="J934" s="21">
        <v>1087</v>
      </c>
      <c r="K934" s="21">
        <v>1868</v>
      </c>
      <c r="L934" s="16">
        <v>1</v>
      </c>
      <c r="M934" s="21">
        <f>VLOOKUP($K934,'[4]blood tubes 2017'!$D$1:$L$647,8,FALSE)</f>
        <v>0</v>
      </c>
      <c r="N934" s="15">
        <v>0</v>
      </c>
      <c r="O934" s="15" t="s">
        <v>214</v>
      </c>
      <c r="P934" s="16" t="s">
        <v>110</v>
      </c>
      <c r="Q934" s="16">
        <v>1</v>
      </c>
      <c r="R934" s="16">
        <v>15</v>
      </c>
      <c r="T934" s="16" t="s">
        <v>127</v>
      </c>
      <c r="U934" s="16" t="s">
        <v>188</v>
      </c>
      <c r="V934" s="16" t="s">
        <v>114</v>
      </c>
      <c r="W934" s="16">
        <f>AI934/AG934</f>
        <v>0.7931034482758621</v>
      </c>
      <c r="X934" s="16" t="s">
        <v>115</v>
      </c>
      <c r="Y934" s="16" t="s">
        <v>110</v>
      </c>
      <c r="Z934" s="16">
        <v>3</v>
      </c>
      <c r="AE934" s="16" t="s">
        <v>116</v>
      </c>
      <c r="AF934" s="16" t="s">
        <v>116</v>
      </c>
      <c r="AG934" s="16">
        <f>AH934-AI934</f>
        <v>87</v>
      </c>
      <c r="AH934" s="16">
        <v>156</v>
      </c>
      <c r="AI934" s="16">
        <v>69</v>
      </c>
      <c r="AK934" s="16">
        <v>18</v>
      </c>
      <c r="AL934" s="16">
        <v>1</v>
      </c>
      <c r="AM934" s="16">
        <v>0</v>
      </c>
      <c r="AN934" s="16">
        <v>0</v>
      </c>
      <c r="AO934" s="16">
        <v>1</v>
      </c>
      <c r="AP934" s="16">
        <f>SUM(AL934:AN934)</f>
        <v>1</v>
      </c>
      <c r="AQ934" s="16">
        <v>1.734</v>
      </c>
      <c r="AR934" s="16">
        <f>AP934-1.472</f>
        <v>-0.47199999999999998</v>
      </c>
      <c r="AS934" s="16">
        <f>AQ934-1.472</f>
        <v>0.26200000000000001</v>
      </c>
      <c r="AT934" s="16" t="str">
        <f>VLOOKUP(K934,'[5]FECs - good data'!$C$1:$P$575,13,FALSE)</f>
        <v>JY</v>
      </c>
      <c r="AW934" s="18">
        <f>IF(AX934&gt;0,1,0)</f>
        <v>1</v>
      </c>
      <c r="AX934" s="18">
        <f>SUM(BA934,BM934,CT934)</f>
        <v>1</v>
      </c>
      <c r="AY934" s="18">
        <f>SUM(BB934,BN934,CV934)</f>
        <v>152.67175572519082</v>
      </c>
      <c r="AZ934" s="18">
        <f>IF(BA934&gt;0,1,0)</f>
        <v>1</v>
      </c>
      <c r="BA934" s="18">
        <f>SUM(BC934,BF934,BI934)</f>
        <v>1</v>
      </c>
      <c r="BB934" s="18">
        <f>SUM(BE934,BH934,BK934)</f>
        <v>152.67175572519082</v>
      </c>
      <c r="BC934" s="18">
        <f>IF(BD934&gt;0,1,0)</f>
        <v>0</v>
      </c>
      <c r="BD934" s="18">
        <f>VLOOKUP($K934,'[5]FECs - good data'!$C$1:$Z$574,14,FALSE)</f>
        <v>0</v>
      </c>
      <c r="BE934" s="16">
        <f>BD934/AS934</f>
        <v>0</v>
      </c>
      <c r="BF934" s="16">
        <f>IF(BG934&gt;0,1,0)</f>
        <v>1</v>
      </c>
      <c r="BG934" s="77">
        <f>VLOOKUP($K934,'[5]FECs - good data'!$C$1:$Z$574,15,FALSE)</f>
        <v>40</v>
      </c>
      <c r="BH934" s="16">
        <f>BG934/AS934</f>
        <v>152.67175572519082</v>
      </c>
      <c r="BI934" s="16">
        <f>IF(BJ934&gt;0,1,0)</f>
        <v>0</v>
      </c>
      <c r="BJ934" s="16">
        <f>VLOOKUP($K934,'[5]FECs - good data'!$C$1:$Z$574,16,FALSE)</f>
        <v>0</v>
      </c>
      <c r="BK934" s="16">
        <f>BJ934/AS934</f>
        <v>0</v>
      </c>
      <c r="BL934" s="16">
        <f>IF(BM934&gt;0,1,0)</f>
        <v>0</v>
      </c>
      <c r="BM934" s="16">
        <f>SUM(BR934,BU934,BX934,CA934,CD934,CG934,CJ934,CM934,CP934)</f>
        <v>0</v>
      </c>
      <c r="BN934" s="16">
        <f>SUM(BW934,BZ934,CC934,CF934,CI934,CL934,CO934,CR934,BT934)</f>
        <v>0</v>
      </c>
      <c r="BO934" s="16">
        <f>IF(BP934&gt;0,1,0)</f>
        <v>0</v>
      </c>
      <c r="BP934" s="16">
        <f>SUM(BU934,BX934,CA934,CD934,BR934)</f>
        <v>0</v>
      </c>
      <c r="BQ934" s="16">
        <f>SUM(BZ934,CC934,CF934,BT934,BW934)</f>
        <v>0</v>
      </c>
      <c r="BR934" s="16">
        <f>IF(BS934&gt;0,1,0)</f>
        <v>0</v>
      </c>
      <c r="BS934" s="16">
        <f>VLOOKUP($K934,'[5]FECs - good data'!$C$1:$Z$574,17,FALSE)</f>
        <v>0</v>
      </c>
      <c r="BT934" s="77">
        <f>BS934/AS934</f>
        <v>0</v>
      </c>
      <c r="BU934" s="16">
        <f>IF(BV934&gt;0,1,0)</f>
        <v>0</v>
      </c>
      <c r="BV934" s="16">
        <f>VLOOKUP($K934,'[5]FECs - good data'!$C$1:$Z$574,18,FALSE)</f>
        <v>0</v>
      </c>
      <c r="BW934" s="16">
        <f>BV934/AS934</f>
        <v>0</v>
      </c>
      <c r="BX934" s="16">
        <f>IF(BY934&gt;0,1,0)</f>
        <v>0</v>
      </c>
      <c r="BY934" s="16">
        <f>VLOOKUP($K934,'[5]FECs - good data'!$C$1:$Z$574,19,FALSE)</f>
        <v>0</v>
      </c>
      <c r="BZ934" s="16">
        <f>BY934/AS934</f>
        <v>0</v>
      </c>
      <c r="CA934" s="16">
        <f>IF(CB934&gt;0,1,0)</f>
        <v>0</v>
      </c>
      <c r="CB934" s="16">
        <f>VLOOKUP($K934,'[5]FECs - good data'!$C$1:$Z$574,20,FALSE)</f>
        <v>0</v>
      </c>
      <c r="CC934" s="16">
        <f>CB934/AS934</f>
        <v>0</v>
      </c>
      <c r="CD934" s="77">
        <f>IF(CE934&gt;0,1,0)</f>
        <v>0</v>
      </c>
      <c r="CE934" s="16">
        <f>VLOOKUP($K934,'[5]FECs - good data'!$C$1:$Z$574,21,FALSE)</f>
        <v>0</v>
      </c>
      <c r="CF934" s="16">
        <f>CE934/AS934</f>
        <v>0</v>
      </c>
      <c r="CG934" s="16">
        <f>IF(CH934&gt;0,1,0)</f>
        <v>0</v>
      </c>
      <c r="CH934" s="16">
        <f>VLOOKUP($K934,'[5]FECs - good data'!$C$1:$Z$574,22,FALSE)</f>
        <v>0</v>
      </c>
      <c r="CI934" s="16">
        <f>CH934/AS934</f>
        <v>0</v>
      </c>
      <c r="CJ934" s="16">
        <f>IF(CK934&gt;0,1,0)</f>
        <v>0</v>
      </c>
      <c r="CK934" s="16">
        <f>VLOOKUP($K934,'[5]FECs - good data'!$C$1:$Z$674,24,FALSE)</f>
        <v>0</v>
      </c>
      <c r="CL934" s="16">
        <f>CK934/AS934</f>
        <v>0</v>
      </c>
      <c r="CS934" s="16">
        <f>IF(CT934&gt;0,1,0)</f>
        <v>0</v>
      </c>
      <c r="CT934" s="16">
        <f>SUM(CW934+CZ934,DC934)</f>
        <v>0</v>
      </c>
      <c r="CV934" s="16">
        <f>SUM(CY934,DB934,DE934)</f>
        <v>0</v>
      </c>
      <c r="CW934" s="16">
        <f>IF(CX934&gt;0,1,0)</f>
        <v>0</v>
      </c>
      <c r="CX934" s="16">
        <f>VLOOKUP($K934,'[5]FECs - good data'!$C$1:$Z$574,22,FALSE)</f>
        <v>0</v>
      </c>
      <c r="CY934" s="16">
        <f>CX934/AS934</f>
        <v>0</v>
      </c>
      <c r="CZ934" s="16">
        <f>IF(DA934&gt;0,1,0)</f>
        <v>0</v>
      </c>
      <c r="DA934" s="16">
        <f>VLOOKUP($K934,'[5]FECs - good data'!$C$1:$Z$5982,23,FALSE)</f>
        <v>0</v>
      </c>
      <c r="DB934" s="16">
        <f>DA934/AS934</f>
        <v>0</v>
      </c>
      <c r="DC934" s="16">
        <f>IF(DD934&gt;0,1,0)</f>
        <v>0</v>
      </c>
      <c r="DD934" s="16">
        <f>VLOOKUP($K934,'[5]FECs - good data'!$C$1:$Z$574,23,FALSE)</f>
        <v>0</v>
      </c>
      <c r="DE934" s="16">
        <f>DD934/AS934</f>
        <v>0</v>
      </c>
      <c r="DF934" s="16">
        <f>VLOOKUP(K934,'[3]RNA Seq summary tables'!$V$3:$V$99,1,FALSE)</f>
        <v>1868</v>
      </c>
      <c r="JR934" s="27"/>
      <c r="JS934" s="27"/>
      <c r="JT934" s="27"/>
      <c r="JU934" s="27"/>
      <c r="JV934" s="27"/>
      <c r="JW934" s="27"/>
      <c r="JX934" s="27"/>
      <c r="JY934" s="27"/>
      <c r="JZ934" s="27"/>
      <c r="KA934" s="27"/>
      <c r="KB934" s="27"/>
    </row>
    <row r="935" spans="2:288" x14ac:dyDescent="0.2">
      <c r="B935" s="16">
        <v>2017</v>
      </c>
      <c r="C935" s="66">
        <v>42894</v>
      </c>
      <c r="D935" s="66" t="str">
        <f>CONCATENATE(J935,"-",C935)</f>
        <v>1090-42894</v>
      </c>
      <c r="E935" s="20" t="str">
        <f>CONCATENATE(T935,"-",U935,"-",C935)</f>
        <v>PO2-D8-42894</v>
      </c>
      <c r="F935" s="20" t="s">
        <v>106</v>
      </c>
      <c r="G935" s="20" t="s">
        <v>107</v>
      </c>
      <c r="I935" s="16">
        <v>0</v>
      </c>
      <c r="J935" s="21">
        <v>1090</v>
      </c>
      <c r="K935" s="21">
        <v>1642</v>
      </c>
      <c r="L935" s="18">
        <v>0</v>
      </c>
      <c r="M935" s="21">
        <f>VLOOKUP($K935,'[4]blood tubes 2017'!$D$1:$L$647,8,FALSE)</f>
        <v>0</v>
      </c>
      <c r="N935" s="15">
        <v>0</v>
      </c>
      <c r="O935" s="15" t="s">
        <v>214</v>
      </c>
      <c r="P935" s="16" t="s">
        <v>110</v>
      </c>
      <c r="Q935" s="16">
        <v>0</v>
      </c>
      <c r="R935" s="16" t="s">
        <v>111</v>
      </c>
      <c r="T935" s="16" t="s">
        <v>127</v>
      </c>
      <c r="U935" s="16" t="s">
        <v>178</v>
      </c>
      <c r="V935" s="16" t="s">
        <v>114</v>
      </c>
      <c r="W935" s="16">
        <f>AI935/AG935</f>
        <v>0.85227272727272729</v>
      </c>
      <c r="X935" s="16" t="s">
        <v>121</v>
      </c>
      <c r="Y935" s="16" t="s">
        <v>110</v>
      </c>
      <c r="Z935" s="16">
        <v>3</v>
      </c>
      <c r="AA935" s="16" t="s">
        <v>119</v>
      </c>
      <c r="AB935" s="16" t="s">
        <v>239</v>
      </c>
      <c r="AC935" s="16" t="s">
        <v>123</v>
      </c>
      <c r="AD935" s="16" t="s">
        <v>123</v>
      </c>
      <c r="AG935" s="16">
        <f>AH935-AI935</f>
        <v>88</v>
      </c>
      <c r="AH935" s="16">
        <v>163</v>
      </c>
      <c r="AI935" s="16">
        <v>75</v>
      </c>
      <c r="AK935" s="16">
        <v>21</v>
      </c>
      <c r="AL935" s="16">
        <v>0</v>
      </c>
      <c r="AM935" s="16">
        <v>0</v>
      </c>
      <c r="AN935" s="16">
        <v>0</v>
      </c>
      <c r="AO935" s="16">
        <v>0</v>
      </c>
      <c r="AP935" s="16">
        <f>SUM(AL935:AN935)</f>
        <v>0</v>
      </c>
      <c r="AQ935" s="16">
        <v>1.9019999999999999</v>
      </c>
      <c r="AR935" s="16">
        <f>AP935-1.472</f>
        <v>-1.472</v>
      </c>
      <c r="AS935" s="16">
        <f>AQ935-1.472</f>
        <v>0.42999999999999994</v>
      </c>
      <c r="AT935" s="16" t="s">
        <v>233</v>
      </c>
      <c r="AW935" s="16">
        <f>IF(AX935&gt;0,1,0)</f>
        <v>1</v>
      </c>
      <c r="AX935" s="16">
        <f>SUM(BA935,BM935,CT935)</f>
        <v>1</v>
      </c>
      <c r="AY935" s="18">
        <f>SUM(BB935,BN935,CV935)</f>
        <v>3969.7674418604656</v>
      </c>
      <c r="AZ935" s="16">
        <f>IF(BA935&gt;0,1,0)</f>
        <v>1</v>
      </c>
      <c r="BA935" s="16">
        <f>SUM(BC935,BF935,BI935)</f>
        <v>1</v>
      </c>
      <c r="BB935" s="16">
        <f>SUM(BE935,BH935,BK935)</f>
        <v>3969.7674418604656</v>
      </c>
      <c r="BC935" s="16">
        <v>0</v>
      </c>
      <c r="BD935" s="16">
        <v>0</v>
      </c>
      <c r="BE935" s="16">
        <f>BD935/AS935</f>
        <v>0</v>
      </c>
      <c r="BF935" s="16">
        <v>1</v>
      </c>
      <c r="BG935" s="77">
        <v>1707</v>
      </c>
      <c r="BH935" s="16">
        <f>BG935/AS935</f>
        <v>3969.7674418604656</v>
      </c>
      <c r="BI935" s="16">
        <v>0</v>
      </c>
      <c r="BJ935" s="16">
        <v>0</v>
      </c>
      <c r="BK935" s="16">
        <f>BJ935/AS935</f>
        <v>0</v>
      </c>
      <c r="BL935" s="16">
        <f>IF(BM935&gt;0,1,0)</f>
        <v>0</v>
      </c>
      <c r="BM935" s="16">
        <f>SUM(BR935,BU935,BX935,CA935,CD935,CG935,CJ935,CM935,CP935)</f>
        <v>0</v>
      </c>
      <c r="BN935" s="16">
        <f>SUM(BW935,BZ935,CC935,CF935,CI935,CL935,CO935,CR935,BT935)</f>
        <v>0</v>
      </c>
      <c r="BO935" s="16">
        <f>IF(BP935&gt;0,1,0)</f>
        <v>0</v>
      </c>
      <c r="BP935" s="16">
        <f>SUM(BU935,BX935,CA935,CD935,BR935)</f>
        <v>0</v>
      </c>
      <c r="BQ935" s="16">
        <f>SUM(BZ935,CC935,CF935,BT935,BW935)</f>
        <v>0</v>
      </c>
      <c r="BR935" s="16">
        <v>0</v>
      </c>
      <c r="BS935" s="16">
        <v>0</v>
      </c>
      <c r="BT935" s="77">
        <f>BS935/AS935</f>
        <v>0</v>
      </c>
      <c r="BU935" s="16">
        <v>0</v>
      </c>
      <c r="BV935" s="16">
        <v>0</v>
      </c>
      <c r="BW935" s="16">
        <f>BV935/AS935</f>
        <v>0</v>
      </c>
      <c r="BX935" s="16">
        <v>0</v>
      </c>
      <c r="BY935" s="16">
        <v>0</v>
      </c>
      <c r="BZ935" s="16">
        <f>BY935/AS935</f>
        <v>0</v>
      </c>
      <c r="CA935" s="16">
        <v>0</v>
      </c>
      <c r="CB935" s="16">
        <v>0</v>
      </c>
      <c r="CC935" s="16">
        <f>CB935/AS935</f>
        <v>0</v>
      </c>
      <c r="CD935" s="77">
        <v>0</v>
      </c>
      <c r="CE935" s="16">
        <v>0</v>
      </c>
      <c r="CF935" s="16">
        <f>CE935/AS935</f>
        <v>0</v>
      </c>
      <c r="CG935" s="16">
        <v>0</v>
      </c>
      <c r="CH935" s="16">
        <v>0</v>
      </c>
      <c r="CI935" s="16">
        <f>CH935/AS935</f>
        <v>0</v>
      </c>
      <c r="CM935" s="16">
        <v>0</v>
      </c>
      <c r="CN935" s="16">
        <v>0</v>
      </c>
      <c r="CO935" s="16">
        <f>CN935/AS935</f>
        <v>0</v>
      </c>
      <c r="CP935" s="16">
        <v>0</v>
      </c>
      <c r="CQ935" s="16">
        <v>0</v>
      </c>
      <c r="CR935" s="16">
        <f>CQ935/AS935</f>
        <v>0</v>
      </c>
      <c r="CS935" s="16">
        <f>IF(CT935&gt;0,1,0)</f>
        <v>0</v>
      </c>
      <c r="CT935" s="16">
        <f>SUM(CW935,CZ935,DC935)</f>
        <v>0</v>
      </c>
      <c r="CV935" s="16">
        <f>SUM(CY935,DB935,DE935)</f>
        <v>0</v>
      </c>
      <c r="CW935" s="16">
        <v>0</v>
      </c>
      <c r="CX935" s="16">
        <v>0</v>
      </c>
      <c r="CY935" s="16">
        <f>CX935/AS935</f>
        <v>0</v>
      </c>
      <c r="CZ935" s="16">
        <v>0</v>
      </c>
      <c r="DA935" s="16">
        <v>0</v>
      </c>
      <c r="DB935" s="16">
        <f>DA935/AS935</f>
        <v>0</v>
      </c>
      <c r="DC935" s="16">
        <v>0</v>
      </c>
      <c r="DD935" s="16">
        <v>0</v>
      </c>
      <c r="DE935" s="16">
        <f>DD935/AS935</f>
        <v>0</v>
      </c>
      <c r="DF935" s="16" t="e">
        <f>VLOOKUP(K935,'[3]RNA Seq summary tables'!$V$3:$V$99,1,FALSE)</f>
        <v>#N/A</v>
      </c>
      <c r="DG935" s="16">
        <v>1</v>
      </c>
      <c r="DH935" s="16" t="str">
        <f>VLOOKUP(D935,'[6]workflow 3.2018'!$A$1:$S$237,2,FALSE)</f>
        <v>2017MLBS_53</v>
      </c>
      <c r="DI935" s="16">
        <v>51</v>
      </c>
      <c r="DK935" s="16">
        <v>40</v>
      </c>
      <c r="DM935" s="16">
        <v>7</v>
      </c>
      <c r="DO935" s="16">
        <v>0</v>
      </c>
      <c r="DQ935" s="16">
        <v>2</v>
      </c>
      <c r="DR935" s="16">
        <v>100</v>
      </c>
    </row>
    <row r="936" spans="2:288" x14ac:dyDescent="0.2">
      <c r="B936" s="16">
        <v>2017</v>
      </c>
      <c r="C936" s="20">
        <v>42912</v>
      </c>
      <c r="D936" s="20" t="str">
        <f>CONCATENATE(J936,"-",C936)</f>
        <v>1090-42912</v>
      </c>
      <c r="E936" s="20" t="str">
        <f>CONCATENATE(T936,"-",U936,"-",C936)</f>
        <v>PO2-F5-42912</v>
      </c>
      <c r="F936" s="20" t="s">
        <v>106</v>
      </c>
      <c r="G936" s="20" t="s">
        <v>107</v>
      </c>
      <c r="I936" s="16">
        <v>0</v>
      </c>
      <c r="J936" s="21">
        <v>1090</v>
      </c>
      <c r="K936" s="21">
        <v>1756</v>
      </c>
      <c r="L936" s="18">
        <v>0</v>
      </c>
      <c r="M936" s="21">
        <f>VLOOKUP($K936,'[4]blood tubes 2017'!$D$1:$L$647,8,FALSE)</f>
        <v>0</v>
      </c>
      <c r="N936" s="15">
        <v>0</v>
      </c>
      <c r="O936" s="15" t="s">
        <v>214</v>
      </c>
      <c r="P936" s="16" t="s">
        <v>110</v>
      </c>
      <c r="Q936" s="16">
        <v>1</v>
      </c>
      <c r="R936" s="16">
        <v>18</v>
      </c>
      <c r="T936" s="16" t="s">
        <v>127</v>
      </c>
      <c r="U936" s="16" t="s">
        <v>185</v>
      </c>
      <c r="V936" s="16" t="s">
        <v>114</v>
      </c>
      <c r="W936" s="16">
        <f>AI936/AG936</f>
        <v>0.81720430107526887</v>
      </c>
      <c r="X936" s="16" t="s">
        <v>121</v>
      </c>
      <c r="Y936" s="16" t="s">
        <v>110</v>
      </c>
      <c r="Z936" s="16">
        <v>3</v>
      </c>
      <c r="AA936" s="16" t="s">
        <v>161</v>
      </c>
      <c r="AB936" s="16" t="s">
        <v>123</v>
      </c>
      <c r="AC936" s="16" t="s">
        <v>123</v>
      </c>
      <c r="AD936" s="16" t="s">
        <v>116</v>
      </c>
      <c r="AG936" s="16">
        <f>AH936-AI936</f>
        <v>93</v>
      </c>
      <c r="AH936" s="16">
        <v>169</v>
      </c>
      <c r="AI936" s="16">
        <v>76</v>
      </c>
      <c r="AK936" s="16">
        <v>23</v>
      </c>
      <c r="AL936" s="16">
        <v>0</v>
      </c>
      <c r="AM936" s="16">
        <v>0</v>
      </c>
      <c r="AN936" s="16">
        <v>0</v>
      </c>
      <c r="AO936" s="16">
        <v>0</v>
      </c>
      <c r="AP936" s="16">
        <f>SUM(AL936:AN936)</f>
        <v>0</v>
      </c>
      <c r="AQ936" s="16">
        <v>1.8640000000000001</v>
      </c>
      <c r="AR936" s="16">
        <f>AP936-1.472</f>
        <v>-1.472</v>
      </c>
      <c r="AS936" s="16">
        <f>AQ936-1.472</f>
        <v>0.39200000000000013</v>
      </c>
      <c r="AT936" s="16" t="s">
        <v>119</v>
      </c>
      <c r="AW936" s="16">
        <f>IF(AX936&gt;0,1,0)</f>
        <v>1</v>
      </c>
      <c r="AX936" s="16">
        <f>SUM(BA936,BM936,CT936)</f>
        <v>5</v>
      </c>
      <c r="AY936" s="18">
        <f>SUM(BB936,BN936,CV936)</f>
        <v>456.63265306122435</v>
      </c>
      <c r="AZ936" s="16">
        <f>IF(BA936&gt;0,1,0)</f>
        <v>1</v>
      </c>
      <c r="BA936" s="16">
        <f>SUM(BC936,BF936,BI936)</f>
        <v>3</v>
      </c>
      <c r="BB936" s="16">
        <f>SUM(BE936,BH936,BK936)</f>
        <v>15.306122448979586</v>
      </c>
      <c r="BC936" s="16">
        <v>1</v>
      </c>
      <c r="BD936" s="16">
        <v>1</v>
      </c>
      <c r="BE936" s="16">
        <f>BD936/AS936</f>
        <v>2.5510204081632644</v>
      </c>
      <c r="BF936" s="16">
        <v>1</v>
      </c>
      <c r="BG936" s="77">
        <v>2</v>
      </c>
      <c r="BH936" s="16">
        <f>BG936/AS936</f>
        <v>5.1020408163265287</v>
      </c>
      <c r="BI936" s="16">
        <v>1</v>
      </c>
      <c r="BJ936" s="16">
        <v>3</v>
      </c>
      <c r="BK936" s="16">
        <f>BJ936/AS936</f>
        <v>7.6530612244897931</v>
      </c>
      <c r="BL936" s="16">
        <f>IF(BM936&gt;0,1,0)</f>
        <v>0</v>
      </c>
      <c r="BM936" s="16">
        <f>SUM(BR936,BU936,BX936,CA936,CD936,CG936,CJ936,CM936,CP936)</f>
        <v>0</v>
      </c>
      <c r="BN936" s="16">
        <f>SUM(BW936,BZ936,CC936,CF936,CI936,CL936,CO936,CR936,BT936)</f>
        <v>0</v>
      </c>
      <c r="BO936" s="16">
        <f>IF(BP936&gt;0,1,0)</f>
        <v>0</v>
      </c>
      <c r="BP936" s="16">
        <f>SUM(BU936,BX936,CA936,CD936,BR936)</f>
        <v>0</v>
      </c>
      <c r="BQ936" s="16">
        <f>SUM(BZ936,CC936,CF936,BT936,BW936)</f>
        <v>0</v>
      </c>
      <c r="BR936" s="16">
        <v>0</v>
      </c>
      <c r="BS936" s="16">
        <v>0</v>
      </c>
      <c r="BT936" s="77">
        <f>BS936/AS936</f>
        <v>0</v>
      </c>
      <c r="BU936" s="16">
        <v>0</v>
      </c>
      <c r="BV936" s="16">
        <v>0</v>
      </c>
      <c r="BW936" s="16">
        <f>BV936/AS936</f>
        <v>0</v>
      </c>
      <c r="BX936" s="16">
        <v>0</v>
      </c>
      <c r="BY936" s="16">
        <v>0</v>
      </c>
      <c r="BZ936" s="16">
        <f>BY936/AS936</f>
        <v>0</v>
      </c>
      <c r="CA936" s="16">
        <v>0</v>
      </c>
      <c r="CB936" s="16">
        <v>0</v>
      </c>
      <c r="CC936" s="16">
        <f>CB936/AS936</f>
        <v>0</v>
      </c>
      <c r="CD936" s="77">
        <v>0</v>
      </c>
      <c r="CE936" s="16">
        <v>0</v>
      </c>
      <c r="CF936" s="16">
        <f>CE936/AS936</f>
        <v>0</v>
      </c>
      <c r="CG936" s="16">
        <v>0</v>
      </c>
      <c r="CH936" s="16">
        <v>0</v>
      </c>
      <c r="CI936" s="16">
        <f>CH936/AS936</f>
        <v>0</v>
      </c>
      <c r="CM936" s="16">
        <v>0</v>
      </c>
      <c r="CN936" s="16">
        <v>0</v>
      </c>
      <c r="CO936" s="16">
        <f>CN936/AS936</f>
        <v>0</v>
      </c>
      <c r="CP936" s="16">
        <v>0</v>
      </c>
      <c r="CQ936" s="16">
        <v>0</v>
      </c>
      <c r="CR936" s="16">
        <f>CQ936/AS936</f>
        <v>0</v>
      </c>
      <c r="CS936" s="16">
        <f>IF(CT936&gt;0,1,0)</f>
        <v>1</v>
      </c>
      <c r="CT936" s="16">
        <f>SUM(CW936,CZ936,DC936)</f>
        <v>2</v>
      </c>
      <c r="CV936" s="16">
        <f>SUM(CY936,DB936,DE936)</f>
        <v>441.32653061224477</v>
      </c>
      <c r="CW936" s="16">
        <v>1</v>
      </c>
      <c r="CX936" s="16">
        <v>137</v>
      </c>
      <c r="CY936" s="16">
        <f>CX936/AS936</f>
        <v>349.48979591836724</v>
      </c>
      <c r="CZ936" s="16">
        <v>1</v>
      </c>
      <c r="DA936" s="16">
        <v>36</v>
      </c>
      <c r="DB936" s="16">
        <f>DA936/AS936</f>
        <v>91.836734693877517</v>
      </c>
      <c r="DC936" s="16">
        <v>0</v>
      </c>
      <c r="DD936" s="16">
        <v>0</v>
      </c>
      <c r="DE936" s="16">
        <f>DD936/AS936</f>
        <v>0</v>
      </c>
      <c r="DF936" s="16" t="e">
        <f>VLOOKUP(K936,'[3]RNA Seq summary tables'!$V$3:$V$99,1,FALSE)</f>
        <v>#N/A</v>
      </c>
      <c r="DI936" s="16">
        <v>37</v>
      </c>
      <c r="DK936" s="16">
        <v>51</v>
      </c>
      <c r="DM936" s="16">
        <v>12</v>
      </c>
      <c r="DO936" s="16">
        <v>0</v>
      </c>
      <c r="DQ936" s="16">
        <v>0</v>
      </c>
      <c r="DR936" s="16">
        <f>SUM(DI936:DQ936)</f>
        <v>100</v>
      </c>
      <c r="JP936" s="18"/>
      <c r="JQ936" s="18"/>
    </row>
    <row r="937" spans="2:288" x14ac:dyDescent="0.2">
      <c r="B937" s="16">
        <v>2017</v>
      </c>
      <c r="C937" s="20">
        <v>42927</v>
      </c>
      <c r="D937" s="20" t="str">
        <f>CONCATENATE(J937,"-",C937)</f>
        <v>1090-42927</v>
      </c>
      <c r="E937" s="20" t="str">
        <f>CONCATENATE(T937,"-",U937,"-",C937)</f>
        <v>PO2-G5-42927</v>
      </c>
      <c r="F937" s="20" t="s">
        <v>106</v>
      </c>
      <c r="G937" s="20" t="s">
        <v>107</v>
      </c>
      <c r="I937" s="16">
        <v>0</v>
      </c>
      <c r="J937" s="21">
        <v>1090</v>
      </c>
      <c r="K937" s="21">
        <v>1873</v>
      </c>
      <c r="L937" s="18">
        <v>0</v>
      </c>
      <c r="M937" s="21">
        <f>VLOOKUP($K937,'[4]blood tubes 2017'!$D$1:$L$647,8,FALSE)</f>
        <v>0</v>
      </c>
      <c r="N937" s="15">
        <v>0</v>
      </c>
      <c r="O937" s="15" t="s">
        <v>214</v>
      </c>
      <c r="P937" s="16" t="s">
        <v>110</v>
      </c>
      <c r="Q937" s="16">
        <v>1</v>
      </c>
      <c r="R937" s="16">
        <v>15</v>
      </c>
      <c r="T937" s="16" t="s">
        <v>127</v>
      </c>
      <c r="U937" s="16" t="s">
        <v>200</v>
      </c>
      <c r="V937" s="16" t="s">
        <v>114</v>
      </c>
      <c r="W937" s="16">
        <f>AI937/AG937</f>
        <v>0.85555555555555551</v>
      </c>
      <c r="X937" s="16" t="s">
        <v>121</v>
      </c>
      <c r="Y937" s="16" t="s">
        <v>110</v>
      </c>
      <c r="Z937" s="16">
        <v>3</v>
      </c>
      <c r="AA937" s="16" t="s">
        <v>161</v>
      </c>
      <c r="AB937" s="16" t="s">
        <v>239</v>
      </c>
      <c r="AC937" s="16" t="s">
        <v>123</v>
      </c>
      <c r="AD937" s="16" t="s">
        <v>116</v>
      </c>
      <c r="AG937" s="16">
        <f>AH937-AI937</f>
        <v>90</v>
      </c>
      <c r="AH937" s="16">
        <v>167</v>
      </c>
      <c r="AI937" s="16">
        <v>77</v>
      </c>
      <c r="AK937" s="16">
        <v>21</v>
      </c>
      <c r="AL937" s="16">
        <v>0</v>
      </c>
      <c r="AM937" s="16">
        <v>0</v>
      </c>
      <c r="AN937" s="16">
        <v>0</v>
      </c>
      <c r="AO937" s="16">
        <v>0</v>
      </c>
      <c r="AP937" s="16">
        <f>SUM(AL937:AN937)</f>
        <v>0</v>
      </c>
      <c r="AQ937" s="16">
        <v>1.6539999999999999</v>
      </c>
      <c r="AR937" s="16">
        <f>AP937-1.472</f>
        <v>-1.472</v>
      </c>
      <c r="AS937" s="16">
        <f>AQ937-1.472</f>
        <v>0.18199999999999994</v>
      </c>
      <c r="AT937" s="16" t="str">
        <f>VLOOKUP(K937,'[5]FECs - good data'!$C$1:$P$575,13,FALSE)</f>
        <v>SB</v>
      </c>
      <c r="AU937" s="18" t="s">
        <v>1293</v>
      </c>
      <c r="AV937" s="16">
        <v>0</v>
      </c>
      <c r="AW937" s="18">
        <f>IF(AX937&gt;0,1,0)</f>
        <v>0</v>
      </c>
      <c r="AX937" s="18">
        <f>SUM(BA937,BM937,CT937)</f>
        <v>0</v>
      </c>
      <c r="AY937" s="18">
        <f>SUM(BB937,BN937,CV937)</f>
        <v>0</v>
      </c>
      <c r="AZ937" s="18">
        <f>IF(BA937&gt;0,1,0)</f>
        <v>0</v>
      </c>
      <c r="BA937" s="18">
        <f>SUM(BC937,BF937,BI937)</f>
        <v>0</v>
      </c>
      <c r="BB937" s="18">
        <f>SUM(BE937,BH937,BK937)</f>
        <v>0</v>
      </c>
      <c r="BC937" s="18">
        <f>IF(BD937&gt;0,1,0)</f>
        <v>0</v>
      </c>
      <c r="BD937" s="18">
        <f>VLOOKUP($K937,'[5]FECs - good data'!$C$1:$Z$574,14,FALSE)</f>
        <v>0</v>
      </c>
      <c r="BE937" s="16">
        <f>BD937/AS937</f>
        <v>0</v>
      </c>
      <c r="BF937" s="16">
        <f>IF(BG937&gt;0,1,0)</f>
        <v>0</v>
      </c>
      <c r="BG937" s="77">
        <f>VLOOKUP($K937,'[5]FECs - good data'!$C$1:$Z$574,15,FALSE)</f>
        <v>0</v>
      </c>
      <c r="BH937" s="16">
        <f>BG937/AS937</f>
        <v>0</v>
      </c>
      <c r="BI937" s="16">
        <f>IF(BJ937&gt;0,1,0)</f>
        <v>0</v>
      </c>
      <c r="BJ937" s="16">
        <f>VLOOKUP($K937,'[5]FECs - good data'!$C$1:$Z$574,16,FALSE)</f>
        <v>0</v>
      </c>
      <c r="BK937" s="16">
        <f>BJ937/AS937</f>
        <v>0</v>
      </c>
      <c r="BL937" s="16">
        <f>IF(BM937&gt;0,1,0)</f>
        <v>0</v>
      </c>
      <c r="BM937" s="16">
        <f>SUM(BR937,BU937,BX937,CA937,CD937,CG937,CJ937,CM937,CP937)</f>
        <v>0</v>
      </c>
      <c r="BN937" s="16">
        <f>SUM(BW937,BZ937,CC937,CF937,CI937,CL937,CO937,CR937,BT937)</f>
        <v>0</v>
      </c>
      <c r="BO937" s="16">
        <f>IF(BP937&gt;0,1,0)</f>
        <v>0</v>
      </c>
      <c r="BP937" s="16">
        <f>SUM(BU937,BX937,CA937,CD937,BR937)</f>
        <v>0</v>
      </c>
      <c r="BQ937" s="16">
        <f>SUM(BZ937,CC937,CF937,BT937,BW937)</f>
        <v>0</v>
      </c>
      <c r="BR937" s="16">
        <f>IF(BS937&gt;0,1,0)</f>
        <v>0</v>
      </c>
      <c r="BS937" s="16">
        <f>VLOOKUP($K937,'[5]FECs - good data'!$C$1:$Z$574,17,FALSE)</f>
        <v>0</v>
      </c>
      <c r="BT937" s="77">
        <f>BS937/AS937</f>
        <v>0</v>
      </c>
      <c r="BU937" s="16">
        <f>IF(BV937&gt;0,1,0)</f>
        <v>0</v>
      </c>
      <c r="BV937" s="16">
        <f>VLOOKUP($K937,'[5]FECs - good data'!$C$1:$Z$574,18,FALSE)</f>
        <v>0</v>
      </c>
      <c r="BW937" s="16">
        <f>BV937/AS937</f>
        <v>0</v>
      </c>
      <c r="BX937" s="16">
        <f>IF(BY937&gt;0,1,0)</f>
        <v>0</v>
      </c>
      <c r="BY937" s="16">
        <f>VLOOKUP($K937,'[5]FECs - good data'!$C$1:$Z$574,19,FALSE)</f>
        <v>0</v>
      </c>
      <c r="BZ937" s="16">
        <f>BY937/AS937</f>
        <v>0</v>
      </c>
      <c r="CA937" s="16">
        <f>IF(CB937&gt;0,1,0)</f>
        <v>0</v>
      </c>
      <c r="CB937" s="16">
        <f>VLOOKUP($K937,'[5]FECs - good data'!$C$1:$Z$574,20,FALSE)</f>
        <v>0</v>
      </c>
      <c r="CC937" s="16">
        <f>CB937/AS937</f>
        <v>0</v>
      </c>
      <c r="CD937" s="77">
        <f>IF(CE937&gt;0,1,0)</f>
        <v>0</v>
      </c>
      <c r="CE937" s="16">
        <f>VLOOKUP($K937,'[5]FECs - good data'!$C$1:$Z$574,21,FALSE)</f>
        <v>0</v>
      </c>
      <c r="CF937" s="16">
        <f>CE937/AS937</f>
        <v>0</v>
      </c>
      <c r="CG937" s="16">
        <f>IF(CH937&gt;0,1,0)</f>
        <v>0</v>
      </c>
      <c r="CH937" s="16">
        <f>VLOOKUP($K937,'[5]FECs - good data'!$C$1:$Z$574,22,FALSE)</f>
        <v>0</v>
      </c>
      <c r="CI937" s="16">
        <f>CH937/AS937</f>
        <v>0</v>
      </c>
      <c r="CJ937" s="16">
        <f>IF(CK937&gt;0,1,0)</f>
        <v>0</v>
      </c>
      <c r="CK937" s="16">
        <f>VLOOKUP($K937,'[5]FECs - good data'!$C$1:$Z$674,24,FALSE)</f>
        <v>0</v>
      </c>
      <c r="CL937" s="16">
        <f>CK937/AS937</f>
        <v>0</v>
      </c>
      <c r="CS937" s="16">
        <f>IF(CT937&gt;0,1,0)</f>
        <v>0</v>
      </c>
      <c r="CT937" s="16">
        <f>SUM(CW937+CZ937,DC937)</f>
        <v>0</v>
      </c>
      <c r="CV937" s="16">
        <f>SUM(CY937,DB937,DE937)</f>
        <v>0</v>
      </c>
      <c r="CW937" s="16">
        <f>IF(CX937&gt;0,1,0)</f>
        <v>0</v>
      </c>
      <c r="CX937" s="16">
        <f>VLOOKUP($K937,'[5]FECs - good data'!$C$1:$Z$574,22,FALSE)</f>
        <v>0</v>
      </c>
      <c r="CY937" s="16">
        <f>CX937/AS937</f>
        <v>0</v>
      </c>
      <c r="CZ937" s="16">
        <f>IF(DA937&gt;0,1,0)</f>
        <v>0</v>
      </c>
      <c r="DA937" s="16">
        <f>VLOOKUP($K937,'[5]FECs - good data'!$C$1:$Z$5982,23,FALSE)</f>
        <v>0</v>
      </c>
      <c r="DB937" s="16">
        <f>DA937/AS937</f>
        <v>0</v>
      </c>
      <c r="DC937" s="16">
        <f>IF(DD937&gt;0,1,0)</f>
        <v>0</v>
      </c>
      <c r="DD937" s="16">
        <f>VLOOKUP($K937,'[5]FECs - good data'!$C$1:$Z$574,23,FALSE)</f>
        <v>0</v>
      </c>
      <c r="DE937" s="16">
        <f>DD937/AS937</f>
        <v>0</v>
      </c>
      <c r="DF937" s="16" t="e">
        <f>VLOOKUP(K937,'[3]RNA Seq summary tables'!$V$3:$V$99,1,FALSE)</f>
        <v>#N/A</v>
      </c>
      <c r="JR937" s="27"/>
      <c r="JS937" s="27"/>
      <c r="JT937" s="27"/>
      <c r="JU937" s="27"/>
      <c r="JV937" s="27"/>
      <c r="JW937" s="27"/>
      <c r="JX937" s="27"/>
      <c r="JY937" s="27"/>
      <c r="JZ937" s="27"/>
      <c r="KA937" s="27"/>
      <c r="KB937" s="27"/>
    </row>
    <row r="938" spans="2:288" x14ac:dyDescent="0.2">
      <c r="B938" s="16">
        <v>2017</v>
      </c>
      <c r="C938" s="20">
        <v>42947</v>
      </c>
      <c r="D938" s="20" t="str">
        <f>CONCATENATE(J938,"-",C938)</f>
        <v>1090-42947</v>
      </c>
      <c r="E938" s="20" t="str">
        <f>CONCATENATE(T938,"-",U938,"-",C938)</f>
        <v>PO2-G5-42947</v>
      </c>
      <c r="F938" s="20" t="s">
        <v>106</v>
      </c>
      <c r="G938" s="20" t="s">
        <v>107</v>
      </c>
      <c r="I938" s="16">
        <v>0</v>
      </c>
      <c r="J938" s="21">
        <v>1090</v>
      </c>
      <c r="K938" s="21">
        <v>2025</v>
      </c>
      <c r="L938" s="18">
        <v>0</v>
      </c>
      <c r="M938" s="21">
        <f>VLOOKUP($K938,'[4]blood tubes 2017'!$D$1:$L$647,8,FALSE)</f>
        <v>0</v>
      </c>
      <c r="N938" s="15">
        <v>0</v>
      </c>
      <c r="O938" s="15" t="s">
        <v>214</v>
      </c>
      <c r="P938" s="16" t="s">
        <v>110</v>
      </c>
      <c r="Q938" s="16">
        <v>1</v>
      </c>
      <c r="R938" s="16">
        <v>20</v>
      </c>
      <c r="T938" s="16" t="s">
        <v>127</v>
      </c>
      <c r="U938" s="16" t="s">
        <v>200</v>
      </c>
      <c r="V938" s="16" t="s">
        <v>114</v>
      </c>
      <c r="W938" s="16">
        <f>AI938/AG938</f>
        <v>0.81914893617021278</v>
      </c>
      <c r="X938" s="16" t="s">
        <v>121</v>
      </c>
      <c r="Y938" s="16" t="s">
        <v>110</v>
      </c>
      <c r="Z938" s="16">
        <v>3</v>
      </c>
      <c r="AA938" s="16" t="s">
        <v>161</v>
      </c>
      <c r="AB938" s="16" t="s">
        <v>239</v>
      </c>
      <c r="AC938" s="16" t="s">
        <v>123</v>
      </c>
      <c r="AD938" s="16" t="s">
        <v>116</v>
      </c>
      <c r="AG938" s="16">
        <f>AH938-AI938</f>
        <v>94</v>
      </c>
      <c r="AH938" s="16">
        <v>171</v>
      </c>
      <c r="AI938" s="16">
        <v>77</v>
      </c>
      <c r="AK938" s="16">
        <v>21.5</v>
      </c>
      <c r="AL938" s="16">
        <v>0</v>
      </c>
      <c r="AM938" s="16">
        <v>0</v>
      </c>
      <c r="AN938" s="16">
        <v>1</v>
      </c>
      <c r="AO938" s="16">
        <v>1</v>
      </c>
      <c r="AP938" s="16">
        <f>SUM(AL938:AN938)</f>
        <v>1</v>
      </c>
      <c r="AQ938" s="16">
        <v>1.8140000000000001</v>
      </c>
      <c r="AR938" s="16">
        <f>AP938-1.472</f>
        <v>-0.47199999999999998</v>
      </c>
      <c r="AS938" s="16">
        <f>AQ938-1.472</f>
        <v>0.34200000000000008</v>
      </c>
      <c r="AT938" s="16" t="str">
        <f>VLOOKUP(K938,'[5]FECs - good data'!$C$1:$P$575,13,FALSE)</f>
        <v>NB</v>
      </c>
      <c r="AU938" s="18" t="s">
        <v>1293</v>
      </c>
      <c r="AV938" s="16">
        <v>0</v>
      </c>
      <c r="AW938" s="18">
        <f>IF(AX938&gt;0,1,0)</f>
        <v>0</v>
      </c>
      <c r="AX938" s="18">
        <f>SUM(BA938,BM938,CT938)</f>
        <v>0</v>
      </c>
      <c r="AY938" s="18">
        <f>SUM(BB938,BN938,CV938)</f>
        <v>0</v>
      </c>
      <c r="AZ938" s="18">
        <f>IF(BA938&gt;0,1,0)</f>
        <v>0</v>
      </c>
      <c r="BA938" s="18">
        <f>SUM(BC938,BF938,BI938)</f>
        <v>0</v>
      </c>
      <c r="BB938" s="18">
        <f>SUM(BE938,BH938,BK938)</f>
        <v>0</v>
      </c>
      <c r="BC938" s="18">
        <f>IF(BD938&gt;0,1,0)</f>
        <v>0</v>
      </c>
      <c r="BD938" s="18">
        <f>VLOOKUP($K938,'[5]FECs - good data'!$C$1:$Z$574,14,FALSE)</f>
        <v>0</v>
      </c>
      <c r="BE938" s="16">
        <f>BD938/AS938</f>
        <v>0</v>
      </c>
      <c r="BF938" s="16">
        <f>IF(BG938&gt;0,1,0)</f>
        <v>0</v>
      </c>
      <c r="BG938" s="77">
        <f>VLOOKUP($K938,'[5]FECs - good data'!$C$1:$Z$574,15,FALSE)</f>
        <v>0</v>
      </c>
      <c r="BH938" s="16">
        <f>BG938/AS938</f>
        <v>0</v>
      </c>
      <c r="BI938" s="16">
        <f>IF(BJ938&gt;0,1,0)</f>
        <v>0</v>
      </c>
      <c r="BJ938" s="16">
        <f>VLOOKUP($K938,'[5]FECs - good data'!$C$1:$Z$574,16,FALSE)</f>
        <v>0</v>
      </c>
      <c r="BK938" s="16">
        <f>BJ938/AS938</f>
        <v>0</v>
      </c>
      <c r="BL938" s="16">
        <f>IF(BM938&gt;0,1,0)</f>
        <v>0</v>
      </c>
      <c r="BM938" s="16">
        <f>SUM(BR938,BU938,BX938,CA938,CD938,CG938,CJ938,CM938,CP938)</f>
        <v>0</v>
      </c>
      <c r="BN938" s="16">
        <f>SUM(BW938,BZ938,CC938,CF938,CI938,CL938,CO938,CR938,BT938)</f>
        <v>0</v>
      </c>
      <c r="BO938" s="16">
        <f>IF(BP938&gt;0,1,0)</f>
        <v>0</v>
      </c>
      <c r="BP938" s="16">
        <f>SUM(BU938,BX938,CA938,CD938,BR938)</f>
        <v>0</v>
      </c>
      <c r="BQ938" s="16">
        <f>SUM(BZ938,CC938,CF938,BT938,BW938)</f>
        <v>0</v>
      </c>
      <c r="BR938" s="16">
        <f>IF(BS938&gt;0,1,0)</f>
        <v>0</v>
      </c>
      <c r="BS938" s="16">
        <f>VLOOKUP($K938,'[5]FECs - good data'!$C$1:$Z$574,17,FALSE)</f>
        <v>0</v>
      </c>
      <c r="BT938" s="77">
        <f>BS938/AS938</f>
        <v>0</v>
      </c>
      <c r="BU938" s="16">
        <f>IF(BV938&gt;0,1,0)</f>
        <v>0</v>
      </c>
      <c r="BV938" s="16">
        <f>VLOOKUP($K938,'[5]FECs - good data'!$C$1:$Z$574,18,FALSE)</f>
        <v>0</v>
      </c>
      <c r="BW938" s="16">
        <f>BV938/AS938</f>
        <v>0</v>
      </c>
      <c r="BX938" s="16">
        <f>IF(BY938&gt;0,1,0)</f>
        <v>0</v>
      </c>
      <c r="BY938" s="16">
        <f>VLOOKUP($K938,'[5]FECs - good data'!$C$1:$Z$574,19,FALSE)</f>
        <v>0</v>
      </c>
      <c r="BZ938" s="16">
        <f>BY938/AS938</f>
        <v>0</v>
      </c>
      <c r="CA938" s="16">
        <f>IF(CB938&gt;0,1,0)</f>
        <v>0</v>
      </c>
      <c r="CB938" s="16">
        <f>VLOOKUP($K938,'[5]FECs - good data'!$C$1:$Z$574,20,FALSE)</f>
        <v>0</v>
      </c>
      <c r="CC938" s="16">
        <f>CB938/AS938</f>
        <v>0</v>
      </c>
      <c r="CD938" s="77">
        <f>IF(CE938&gt;0,1,0)</f>
        <v>0</v>
      </c>
      <c r="CE938" s="16">
        <f>VLOOKUP($K938,'[5]FECs - good data'!$C$1:$Z$574,21,FALSE)</f>
        <v>0</v>
      </c>
      <c r="CF938" s="16">
        <f>CE938/AS938</f>
        <v>0</v>
      </c>
      <c r="CG938" s="16">
        <f>IF(CH938&gt;0,1,0)</f>
        <v>0</v>
      </c>
      <c r="CH938" s="16">
        <f>VLOOKUP($K938,'[5]FECs - good data'!$C$1:$Z$574,22,FALSE)</f>
        <v>0</v>
      </c>
      <c r="CI938" s="16">
        <f>CH938/AS938</f>
        <v>0</v>
      </c>
      <c r="CJ938" s="16">
        <f>IF(CK938&gt;0,1,0)</f>
        <v>0</v>
      </c>
      <c r="CK938" s="16">
        <f>VLOOKUP($K938,'[5]FECs - good data'!$C$1:$Z$674,24,FALSE)</f>
        <v>0</v>
      </c>
      <c r="CL938" s="16">
        <f>CK938/AS938</f>
        <v>0</v>
      </c>
      <c r="CS938" s="16">
        <f>IF(CT938&gt;0,1,0)</f>
        <v>0</v>
      </c>
      <c r="CT938" s="16">
        <f>SUM(CW938+CZ938,DC938)</f>
        <v>0</v>
      </c>
      <c r="CV938" s="16">
        <f>SUM(CY938,DB938,DE938)</f>
        <v>0</v>
      </c>
      <c r="CW938" s="16">
        <f>IF(CX938&gt;0,1,0)</f>
        <v>0</v>
      </c>
      <c r="CX938" s="16">
        <f>VLOOKUP($K938,'[5]FECs - good data'!$C$1:$Z$574,22,FALSE)</f>
        <v>0</v>
      </c>
      <c r="CY938" s="16">
        <f>CX938/AS938</f>
        <v>0</v>
      </c>
      <c r="CZ938" s="16">
        <f>IF(DA938&gt;0,1,0)</f>
        <v>0</v>
      </c>
      <c r="DA938" s="16">
        <f>VLOOKUP($K938,'[5]FECs - good data'!$C$1:$Z$5982,23,FALSE)</f>
        <v>0</v>
      </c>
      <c r="DB938" s="16">
        <f>DA938/AS938</f>
        <v>0</v>
      </c>
      <c r="DC938" s="16">
        <f>IF(DD938&gt;0,1,0)</f>
        <v>0</v>
      </c>
      <c r="DD938" s="16">
        <f>VLOOKUP($K938,'[5]FECs - good data'!$C$1:$Z$574,23,FALSE)</f>
        <v>0</v>
      </c>
      <c r="DE938" s="16">
        <f>DD938/AS938</f>
        <v>0</v>
      </c>
      <c r="DF938" s="16" t="e">
        <f>VLOOKUP(K938,'[3]RNA Seq summary tables'!$V$3:$V$99,1,FALSE)</f>
        <v>#N/A</v>
      </c>
      <c r="DG938" s="16">
        <v>1</v>
      </c>
      <c r="DH938" s="16" t="str">
        <f>VLOOKUP(D938,'[6]workflow 3.2018'!$A$1:$S$237,2,FALSE)</f>
        <v>2017MLBS_89</v>
      </c>
      <c r="DT938" s="25"/>
      <c r="DU938" s="25"/>
      <c r="DV938" s="25"/>
      <c r="DW938" s="25"/>
      <c r="DX938" s="25"/>
      <c r="DY938" s="25"/>
      <c r="DZ938" s="25"/>
      <c r="EA938" s="25"/>
      <c r="EB938" s="25"/>
      <c r="EC938" s="25"/>
      <c r="ED938" s="25"/>
    </row>
    <row r="939" spans="2:288" x14ac:dyDescent="0.2">
      <c r="B939" s="16">
        <v>2017</v>
      </c>
      <c r="C939" s="20">
        <v>42963</v>
      </c>
      <c r="D939" s="20" t="str">
        <f>CONCATENATE(J939,"-",C939)</f>
        <v>1090-42963</v>
      </c>
      <c r="E939" s="20" t="str">
        <f>CONCATENATE(T939,"-",U939,"-",C939)</f>
        <v>PO2-F5-42963</v>
      </c>
      <c r="F939" s="20" t="s">
        <v>106</v>
      </c>
      <c r="G939" s="20" t="s">
        <v>107</v>
      </c>
      <c r="I939" s="16">
        <v>0</v>
      </c>
      <c r="J939" s="21">
        <v>1090</v>
      </c>
      <c r="K939" s="21">
        <v>2162</v>
      </c>
      <c r="L939" s="18">
        <v>0</v>
      </c>
      <c r="M939" s="21">
        <f>VLOOKUP($K939,'[4]blood tubes 2017'!$D$1:$L$647,8,FALSE)</f>
        <v>0</v>
      </c>
      <c r="N939" s="15">
        <v>0</v>
      </c>
      <c r="O939" s="15" t="s">
        <v>214</v>
      </c>
      <c r="P939" s="16" t="s">
        <v>110</v>
      </c>
      <c r="Q939" s="16">
        <v>1</v>
      </c>
      <c r="R939" s="16">
        <v>16</v>
      </c>
      <c r="T939" s="16" t="s">
        <v>127</v>
      </c>
      <c r="U939" s="16" t="s">
        <v>185</v>
      </c>
      <c r="V939" s="16" t="s">
        <v>114</v>
      </c>
      <c r="W939" s="16">
        <f>AI939/AG939</f>
        <v>0.8125</v>
      </c>
      <c r="X939" s="16" t="s">
        <v>121</v>
      </c>
      <c r="Y939" s="16" t="s">
        <v>110</v>
      </c>
      <c r="Z939" s="16">
        <v>3</v>
      </c>
      <c r="AA939" s="16" t="s">
        <v>161</v>
      </c>
      <c r="AB939" s="16" t="s">
        <v>239</v>
      </c>
      <c r="AC939" s="16" t="s">
        <v>123</v>
      </c>
      <c r="AD939" s="16" t="s">
        <v>116</v>
      </c>
      <c r="AG939" s="16">
        <f>AH939-AI939</f>
        <v>96</v>
      </c>
      <c r="AH939" s="16">
        <v>174</v>
      </c>
      <c r="AI939" s="16">
        <v>78</v>
      </c>
      <c r="AK939" s="16">
        <v>24</v>
      </c>
      <c r="AL939" s="16">
        <v>0</v>
      </c>
      <c r="AM939" s="16">
        <v>0</v>
      </c>
      <c r="AN939" s="16">
        <v>1</v>
      </c>
      <c r="AO939" s="16">
        <v>1</v>
      </c>
      <c r="AP939" s="16">
        <f>SUM(AL939:AN939)</f>
        <v>1</v>
      </c>
      <c r="AQ939" s="16">
        <v>1.619</v>
      </c>
      <c r="AR939" s="16">
        <f>AP939-1.472</f>
        <v>-0.47199999999999998</v>
      </c>
      <c r="AS939" s="16">
        <f>AQ939-1.472</f>
        <v>0.14700000000000002</v>
      </c>
      <c r="AT939" s="16" t="str">
        <f>VLOOKUP(K939,'[5]FECs - good data'!$C$1:$P$575,13,FALSE)</f>
        <v>NB</v>
      </c>
      <c r="AU939" s="18" t="s">
        <v>1293</v>
      </c>
      <c r="AV939" s="16">
        <v>0</v>
      </c>
      <c r="AW939" s="18">
        <f>IF(AX939&gt;0,1,0)</f>
        <v>0</v>
      </c>
      <c r="AX939" s="18">
        <f>SUM(BA939,BM939,CT939)</f>
        <v>0</v>
      </c>
      <c r="AY939" s="18">
        <f>SUM(BB939,BN939,CV939)</f>
        <v>0</v>
      </c>
      <c r="AZ939" s="18">
        <f>IF(BA939&gt;0,1,0)</f>
        <v>0</v>
      </c>
      <c r="BA939" s="18">
        <f>SUM(BC939,BF939,BI939)</f>
        <v>0</v>
      </c>
      <c r="BB939" s="18">
        <f>SUM(BE939,BH939,BK939)</f>
        <v>0</v>
      </c>
      <c r="BC939" s="18">
        <f>IF(BD939&gt;0,1,0)</f>
        <v>0</v>
      </c>
      <c r="BD939" s="18">
        <f>VLOOKUP($K939,'[5]FECs - good data'!$C$1:$Z$574,14,FALSE)</f>
        <v>0</v>
      </c>
      <c r="BE939" s="16">
        <f>BD939/AS939</f>
        <v>0</v>
      </c>
      <c r="BF939" s="16">
        <f>IF(BG939&gt;0,1,0)</f>
        <v>0</v>
      </c>
      <c r="BG939" s="77">
        <f>VLOOKUP($K939,'[5]FECs - good data'!$C$1:$Z$574,15,FALSE)</f>
        <v>0</v>
      </c>
      <c r="BH939" s="16">
        <f>BG939/AS939</f>
        <v>0</v>
      </c>
      <c r="BI939" s="16">
        <f>IF(BJ939&gt;0,1,0)</f>
        <v>0</v>
      </c>
      <c r="BJ939" s="16">
        <f>VLOOKUP($K939,'[5]FECs - good data'!$C$1:$Z$574,16,FALSE)</f>
        <v>0</v>
      </c>
      <c r="BK939" s="16">
        <f>BJ939/AS939</f>
        <v>0</v>
      </c>
      <c r="BL939" s="16">
        <f>IF(BM939&gt;0,1,0)</f>
        <v>0</v>
      </c>
      <c r="BM939" s="16">
        <f>SUM(BR939,BU939,BX939,CA939,CD939,CG939,CJ939,CM939,CP939)</f>
        <v>0</v>
      </c>
      <c r="BN939" s="16">
        <f>SUM(BW939,BZ939,CC939,CF939,CI939,CL939,CO939,CR939,BT939)</f>
        <v>0</v>
      </c>
      <c r="BO939" s="16">
        <f>IF(BP939&gt;0,1,0)</f>
        <v>0</v>
      </c>
      <c r="BP939" s="16">
        <f>SUM(BU939,BX939,CA939,CD939,BR939)</f>
        <v>0</v>
      </c>
      <c r="BQ939" s="16">
        <f>SUM(BZ939,CC939,CF939,BT939,BW939)</f>
        <v>0</v>
      </c>
      <c r="BR939" s="16">
        <f>IF(BS939&gt;0,1,0)</f>
        <v>0</v>
      </c>
      <c r="BS939" s="16">
        <f>VLOOKUP($K939,'[5]FECs - good data'!$C$1:$Z$574,17,FALSE)</f>
        <v>0</v>
      </c>
      <c r="BT939" s="77">
        <f>BS939/AS939</f>
        <v>0</v>
      </c>
      <c r="BU939" s="16">
        <f>IF(BV939&gt;0,1,0)</f>
        <v>0</v>
      </c>
      <c r="BV939" s="16">
        <f>VLOOKUP($K939,'[5]FECs - good data'!$C$1:$Z$574,18,FALSE)</f>
        <v>0</v>
      </c>
      <c r="BW939" s="16">
        <f>BV939/AS939</f>
        <v>0</v>
      </c>
      <c r="BX939" s="16">
        <f>IF(BY939&gt;0,1,0)</f>
        <v>0</v>
      </c>
      <c r="BY939" s="16">
        <f>VLOOKUP($K939,'[5]FECs - good data'!$C$1:$Z$574,19,FALSE)</f>
        <v>0</v>
      </c>
      <c r="BZ939" s="16">
        <f>BY939/AS939</f>
        <v>0</v>
      </c>
      <c r="CA939" s="16">
        <f>IF(CB939&gt;0,1,0)</f>
        <v>0</v>
      </c>
      <c r="CB939" s="16">
        <f>VLOOKUP($K939,'[5]FECs - good data'!$C$1:$Z$574,20,FALSE)</f>
        <v>0</v>
      </c>
      <c r="CC939" s="16">
        <f>CB939/AS939</f>
        <v>0</v>
      </c>
      <c r="CD939" s="77">
        <f>IF(CE939&gt;0,1,0)</f>
        <v>0</v>
      </c>
      <c r="CE939" s="16">
        <f>VLOOKUP($K939,'[5]FECs - good data'!$C$1:$Z$574,21,FALSE)</f>
        <v>0</v>
      </c>
      <c r="CF939" s="16">
        <f>CE939/AS939</f>
        <v>0</v>
      </c>
      <c r="CG939" s="16">
        <f>IF(CH939&gt;0,1,0)</f>
        <v>0</v>
      </c>
      <c r="CH939" s="16">
        <f>VLOOKUP($K939,'[5]FECs - good data'!$C$1:$Z$574,22,FALSE)</f>
        <v>0</v>
      </c>
      <c r="CI939" s="16">
        <f>CH939/AS939</f>
        <v>0</v>
      </c>
      <c r="CJ939" s="16">
        <f>IF(CK939&gt;0,1,0)</f>
        <v>0</v>
      </c>
      <c r="CK939" s="16">
        <f>VLOOKUP($K939,'[5]FECs - good data'!$C$1:$Z$674,24,FALSE)</f>
        <v>0</v>
      </c>
      <c r="CL939" s="16">
        <f>CK939/AS939</f>
        <v>0</v>
      </c>
      <c r="CS939" s="16">
        <f>IF(CT939&gt;0,1,0)</f>
        <v>0</v>
      </c>
      <c r="CT939" s="16">
        <f>SUM(CW939+CZ939,DC939)</f>
        <v>0</v>
      </c>
      <c r="CV939" s="16">
        <f>SUM(CY939,DB939,DE939)</f>
        <v>0</v>
      </c>
      <c r="CW939" s="16">
        <f>IF(CX939&gt;0,1,0)</f>
        <v>0</v>
      </c>
      <c r="CX939" s="16">
        <f>VLOOKUP($K939,'[5]FECs - good data'!$C$1:$Z$574,22,FALSE)</f>
        <v>0</v>
      </c>
      <c r="CY939" s="16">
        <f>CX939/AS939</f>
        <v>0</v>
      </c>
      <c r="CZ939" s="16">
        <f>IF(DA939&gt;0,1,0)</f>
        <v>0</v>
      </c>
      <c r="DA939" s="16">
        <f>VLOOKUP($K939,'[5]FECs - good data'!$C$1:$Z$5982,23,FALSE)</f>
        <v>0</v>
      </c>
      <c r="DB939" s="16">
        <f>DA939/AS939</f>
        <v>0</v>
      </c>
      <c r="DC939" s="16">
        <f>IF(DD939&gt;0,1,0)</f>
        <v>0</v>
      </c>
      <c r="DD939" s="16">
        <f>VLOOKUP($K939,'[5]FECs - good data'!$C$1:$Z$574,23,FALSE)</f>
        <v>0</v>
      </c>
      <c r="DE939" s="16">
        <f>DD939/AS939</f>
        <v>0</v>
      </c>
      <c r="DF939" s="16" t="e">
        <f>VLOOKUP(K939,'[3]RNA Seq summary tables'!$V$3:$V$99,1,FALSE)</f>
        <v>#N/A</v>
      </c>
      <c r="DG939" s="16">
        <v>1</v>
      </c>
      <c r="DH939" s="16" t="str">
        <f>VLOOKUP(D939,'[6]workflow 3.2018'!$A$1:$S$237,2,FALSE)</f>
        <v>2017MLBS_155</v>
      </c>
      <c r="JO939" s="38"/>
      <c r="JP939" s="38"/>
      <c r="JQ939" s="38"/>
    </row>
    <row r="940" spans="2:288" ht="16" x14ac:dyDescent="0.2">
      <c r="B940" s="16">
        <v>2017</v>
      </c>
      <c r="C940" s="20">
        <v>42975</v>
      </c>
      <c r="D940" s="20" t="str">
        <f>CONCATENATE(J940,"-",C940)</f>
        <v>1090-42975</v>
      </c>
      <c r="E940" s="37" t="str">
        <f>CONCATENATE(T940,"-",U940,"-",C940)</f>
        <v>PO2-G7-42975</v>
      </c>
      <c r="F940" s="37" t="s">
        <v>224</v>
      </c>
      <c r="G940" s="20" t="s">
        <v>107</v>
      </c>
      <c r="H940" s="16" t="s">
        <v>264</v>
      </c>
      <c r="I940" s="16">
        <v>0</v>
      </c>
      <c r="J940" s="36">
        <v>1090</v>
      </c>
      <c r="K940" s="36">
        <v>2294</v>
      </c>
      <c r="L940" s="18">
        <v>0</v>
      </c>
      <c r="M940" s="36">
        <f>VLOOKUP($K940,'[4]blood tubes 2017'!$D$1:$L$947,8,FALSE)</f>
        <v>0</v>
      </c>
      <c r="N940" s="42">
        <v>0</v>
      </c>
      <c r="O940" s="15" t="s">
        <v>214</v>
      </c>
      <c r="P940" s="18" t="s">
        <v>110</v>
      </c>
      <c r="Q940" s="18">
        <v>1</v>
      </c>
      <c r="R940" s="18">
        <v>12</v>
      </c>
      <c r="S940" s="18"/>
      <c r="T940" s="18" t="s">
        <v>127</v>
      </c>
      <c r="U940" s="18" t="s">
        <v>156</v>
      </c>
      <c r="V940" s="18" t="s">
        <v>114</v>
      </c>
      <c r="W940" s="16">
        <f>AI940/AG940</f>
        <v>0.95348837209302328</v>
      </c>
      <c r="X940" s="16" t="s">
        <v>121</v>
      </c>
      <c r="Y940" s="16" t="s">
        <v>110</v>
      </c>
      <c r="Z940" s="16">
        <v>3</v>
      </c>
      <c r="AA940" s="16" t="s">
        <v>161</v>
      </c>
      <c r="AB940" s="16" t="s">
        <v>115</v>
      </c>
      <c r="AC940" s="16" t="s">
        <v>123</v>
      </c>
      <c r="AD940" s="16" t="s">
        <v>116</v>
      </c>
      <c r="AG940" s="16">
        <f>AH940-AI940</f>
        <v>86</v>
      </c>
      <c r="AH940" s="16">
        <v>168</v>
      </c>
      <c r="AI940" s="16">
        <v>82</v>
      </c>
      <c r="AK940" s="16">
        <v>22.5</v>
      </c>
      <c r="AL940" s="16">
        <v>0</v>
      </c>
      <c r="AM940" s="16">
        <v>0</v>
      </c>
      <c r="AN940" s="16">
        <v>0</v>
      </c>
      <c r="AO940" s="16">
        <v>0</v>
      </c>
      <c r="AP940" s="16">
        <f>SUM(AL940:AN940)</f>
        <v>0</v>
      </c>
      <c r="AQ940" s="16">
        <v>1.6659999999999999</v>
      </c>
      <c r="AR940" s="16">
        <f>AP940-1.472</f>
        <v>-1.472</v>
      </c>
      <c r="AS940" s="16">
        <f>AQ940-1.472</f>
        <v>0.19399999999999995</v>
      </c>
      <c r="AT940" s="16" t="str">
        <f>VLOOKUP(E940,[2]Current!$A$1:$W$435,7,FALSE)</f>
        <v>NB</v>
      </c>
      <c r="AU940" s="16" t="s">
        <v>1288</v>
      </c>
      <c r="AV940" s="23">
        <v>1</v>
      </c>
      <c r="AW940" s="128">
        <f>IF(AX940&gt;0,1,0)</f>
        <v>0</v>
      </c>
      <c r="AX940" s="128">
        <f>SUM(BA940,BM940,CU940)</f>
        <v>0</v>
      </c>
      <c r="AY940" s="128">
        <f>SUM(BB940,BN940,CV940)</f>
        <v>0</v>
      </c>
      <c r="AZ940" s="128">
        <f>IF(BA940&gt;0,1,0)</f>
        <v>0</v>
      </c>
      <c r="BA940" s="128">
        <f>SUM(BC940+BF940+BI940)</f>
        <v>0</v>
      </c>
      <c r="BB940" s="128">
        <f>SUM(BE940,BH940,BK940)</f>
        <v>0</v>
      </c>
      <c r="BC940" s="130">
        <f>IF(BD940&gt;0,1,0)</f>
        <v>0</v>
      </c>
      <c r="BD940" s="128">
        <f>VLOOKUP($E940,[2]Current!$A:$AC,26,FALSE)</f>
        <v>0</v>
      </c>
      <c r="BE940" s="128">
        <f>BD940/$AS940</f>
        <v>0</v>
      </c>
      <c r="BF940" s="130">
        <f>IF(BG940&gt;0,1,0)</f>
        <v>0</v>
      </c>
      <c r="BG940" s="137">
        <f>VLOOKUP($E940,[2]Current!$A:$AC,27,FALSE)</f>
        <v>0</v>
      </c>
      <c r="BH940" s="128">
        <f>BG940/$AS940</f>
        <v>0</v>
      </c>
      <c r="BI940" s="130">
        <f>IF(BJ940&gt;0,1,0)</f>
        <v>0</v>
      </c>
      <c r="BJ940" s="128">
        <f>VLOOKUP($E940,[2]Current!$A:$AC,28,FALSE)</f>
        <v>0</v>
      </c>
      <c r="BK940" s="128">
        <f>BJ940/$AS940</f>
        <v>0</v>
      </c>
      <c r="BL940" s="128">
        <f>IF(BM940&gt;0,1,0)</f>
        <v>0</v>
      </c>
      <c r="BM940" s="128">
        <f>SUM(BR940,BU940,BX940,CA940,CD940)</f>
        <v>0</v>
      </c>
      <c r="BN940" s="131">
        <f>SUM(BT940,BW940,BZ940,CC940,CF940)</f>
        <v>0</v>
      </c>
      <c r="BO940" s="128">
        <f>IF(BP940&gt;0,1,0)</f>
        <v>0</v>
      </c>
      <c r="BP940" s="128">
        <f>BM940+CJ940</f>
        <v>0</v>
      </c>
      <c r="BQ940" s="128">
        <f>BN940+CL940</f>
        <v>0</v>
      </c>
      <c r="BR940" s="130">
        <f>IF(BS940&gt;0,1,0)</f>
        <v>0</v>
      </c>
      <c r="BS940" s="128">
        <f>VLOOKUP($E940,[2]Current!$A:$AC,12,FALSE)</f>
        <v>0</v>
      </c>
      <c r="BT940" s="137">
        <f>BS940/$AS940</f>
        <v>0</v>
      </c>
      <c r="BU940" s="130">
        <f>IF(BV940&gt;0,1,0)</f>
        <v>0</v>
      </c>
      <c r="BV940" s="128">
        <f>VLOOKUP($E940,[2]Current!$A:$AC,13,FALSE)</f>
        <v>0</v>
      </c>
      <c r="BW940" s="128">
        <f>BV940/$AS940</f>
        <v>0</v>
      </c>
      <c r="BX940" s="130">
        <f>IF(BY940&gt;0,1,0)</f>
        <v>0</v>
      </c>
      <c r="BY940" s="128">
        <f>VLOOKUP($E940,[2]Current!$A:$AC,14,FALSE)</f>
        <v>0</v>
      </c>
      <c r="BZ940" s="128">
        <f>BY940/$AS940</f>
        <v>0</v>
      </c>
      <c r="CA940" s="130">
        <f>IF(CB940&gt;0,1,0)</f>
        <v>0</v>
      </c>
      <c r="CB940" s="128">
        <f>VLOOKUP($E940,[2]Current!$A:$AC,15,FALSE)</f>
        <v>0</v>
      </c>
      <c r="CC940" s="128">
        <f>CB940/$AS940</f>
        <v>0</v>
      </c>
      <c r="CD940" s="174">
        <f>IF(CE940&gt;0,1,0)</f>
        <v>0</v>
      </c>
      <c r="CE940" s="128">
        <f>VLOOKUP($E940,[2]Current!$A:$AC,16,FALSE)</f>
        <v>0</v>
      </c>
      <c r="CF940" s="128">
        <f>CE940/$AS940</f>
        <v>0</v>
      </c>
      <c r="CG940" s="18"/>
      <c r="CH940" s="18"/>
      <c r="CI940" s="18"/>
      <c r="CJ940" s="130">
        <f>IF(CK940&gt;0,1,0)</f>
        <v>0</v>
      </c>
      <c r="CK940" s="128">
        <f>VLOOKUP($E940,[2]Current!$A:$AC,18,FALSE)</f>
        <v>0</v>
      </c>
      <c r="CL940" s="128">
        <f>CK940/$AS940</f>
        <v>0</v>
      </c>
      <c r="CS940" s="130">
        <f>IF(CU940&gt;0,1,0)</f>
        <v>0</v>
      </c>
      <c r="CU940" s="128">
        <f>VLOOKUP($E940,[2]Current!$A:$AC,17,FALSE)</f>
        <v>0</v>
      </c>
      <c r="CV940" s="128">
        <f>CU940/$AS940</f>
        <v>0</v>
      </c>
      <c r="CW940" s="18"/>
      <c r="CX940" s="18"/>
      <c r="CY940" s="18"/>
      <c r="DF940" s="16" t="e">
        <f>VLOOKUP(K940,'[3]RNA Seq summary tables'!$V$3:$V$99,1,FALSE)</f>
        <v>#N/A</v>
      </c>
      <c r="DG940" s="16">
        <v>1</v>
      </c>
      <c r="DH940" s="16" t="str">
        <f>VLOOKUP(D940,'[6]workflow 3.2018'!$A$1:$S$237,2,FALSE)</f>
        <v>2017MLBS_212</v>
      </c>
    </row>
    <row r="941" spans="2:288" x14ac:dyDescent="0.2">
      <c r="B941" s="16">
        <v>2017</v>
      </c>
      <c r="C941" s="66">
        <v>42894</v>
      </c>
      <c r="D941" s="66" t="str">
        <f>CONCATENATE(J941,"-",C941)</f>
        <v>1091-42894</v>
      </c>
      <c r="E941" s="20" t="str">
        <f>CONCATENATE(T941,"-",U941,"-",C941)</f>
        <v>PO2-G6-42894</v>
      </c>
      <c r="F941" s="20" t="s">
        <v>106</v>
      </c>
      <c r="G941" s="20" t="s">
        <v>107</v>
      </c>
      <c r="I941" s="16">
        <v>0</v>
      </c>
      <c r="J941" s="21">
        <v>1091</v>
      </c>
      <c r="K941" s="21">
        <v>1643</v>
      </c>
      <c r="L941" s="18">
        <v>0</v>
      </c>
      <c r="M941" s="21">
        <f>VLOOKUP($K941,'[4]blood tubes 2017'!$D$1:$L$647,8,FALSE)</f>
        <v>0</v>
      </c>
      <c r="N941" s="15">
        <v>0</v>
      </c>
      <c r="O941" s="15" t="s">
        <v>214</v>
      </c>
      <c r="P941" s="16" t="s">
        <v>110</v>
      </c>
      <c r="Q941" s="16">
        <v>0</v>
      </c>
      <c r="R941" s="16" t="s">
        <v>111</v>
      </c>
      <c r="T941" s="16" t="s">
        <v>127</v>
      </c>
      <c r="U941" s="16" t="s">
        <v>218</v>
      </c>
      <c r="V941" s="16" t="s">
        <v>114</v>
      </c>
      <c r="W941" s="16">
        <f>AI941/AG941</f>
        <v>0.80246913580246915</v>
      </c>
      <c r="X941" s="16" t="s">
        <v>115</v>
      </c>
      <c r="Y941" s="16" t="s">
        <v>110</v>
      </c>
      <c r="Z941" s="16">
        <v>3</v>
      </c>
      <c r="AE941" s="16" t="s">
        <v>123</v>
      </c>
      <c r="AF941" s="16" t="s">
        <v>123</v>
      </c>
      <c r="AG941" s="16">
        <f>AH941-AI941</f>
        <v>81</v>
      </c>
      <c r="AH941" s="16">
        <v>146</v>
      </c>
      <c r="AI941" s="16">
        <v>65</v>
      </c>
      <c r="AK941" s="16">
        <v>17</v>
      </c>
      <c r="AL941" s="16">
        <v>0</v>
      </c>
      <c r="AM941" s="16">
        <v>0</v>
      </c>
      <c r="AN941" s="16">
        <v>0</v>
      </c>
      <c r="AO941" s="16">
        <v>0</v>
      </c>
      <c r="AP941" s="16">
        <f>SUM(AL941:AN941)</f>
        <v>0</v>
      </c>
      <c r="AQ941" s="16">
        <v>1.651</v>
      </c>
      <c r="AR941" s="16">
        <f>AP941-1.472</f>
        <v>-1.472</v>
      </c>
      <c r="AS941" s="16">
        <f>AQ941-1.472</f>
        <v>0.17900000000000005</v>
      </c>
      <c r="AT941" s="16" t="s">
        <v>234</v>
      </c>
      <c r="AW941" s="16">
        <f>IF(AX941&gt;0,1,0)</f>
        <v>1</v>
      </c>
      <c r="AX941" s="16">
        <f>SUM(BA941,BM941,CT941)</f>
        <v>4</v>
      </c>
      <c r="AY941" s="18">
        <f>SUM(BB941,BN941,CV941)</f>
        <v>569.83240223463667</v>
      </c>
      <c r="AZ941" s="16">
        <f>IF(BA941&gt;0,1,0)</f>
        <v>1</v>
      </c>
      <c r="BA941" s="16">
        <f>SUM(BC941,BF941,BI941)</f>
        <v>3</v>
      </c>
      <c r="BB941" s="16">
        <f>SUM(BE941,BH941,BK941)</f>
        <v>558.65921787709476</v>
      </c>
      <c r="BC941" s="16">
        <v>1</v>
      </c>
      <c r="BD941" s="16">
        <v>5</v>
      </c>
      <c r="BE941" s="16">
        <f>BD941/AS941</f>
        <v>27.932960893854741</v>
      </c>
      <c r="BF941" s="16">
        <v>1</v>
      </c>
      <c r="BG941" s="77">
        <v>42</v>
      </c>
      <c r="BH941" s="16">
        <f>BG941/AS941</f>
        <v>234.63687150837981</v>
      </c>
      <c r="BI941" s="16">
        <v>1</v>
      </c>
      <c r="BJ941" s="16">
        <v>53</v>
      </c>
      <c r="BK941" s="16">
        <f>BJ941/AS941</f>
        <v>296.08938547486025</v>
      </c>
      <c r="BL941" s="16">
        <f>IF(BM941&gt;0,1,0)</f>
        <v>1</v>
      </c>
      <c r="BM941" s="16">
        <f>SUM(BR941,BU941,BX941,CA941,CD941,CG941,CJ941,CM941,CP941)</f>
        <v>1</v>
      </c>
      <c r="BN941" s="16">
        <f>SUM(BW941,BZ941,CC941,CF941,CI941,CL941,CO941,CR941,BT941)</f>
        <v>11.173184357541896</v>
      </c>
      <c r="BO941" s="16">
        <f>IF(BP941&gt;0,1,0)</f>
        <v>1</v>
      </c>
      <c r="BP941" s="16">
        <f>SUM(BU941,BX941,CA941,CD941,BR941)</f>
        <v>1</v>
      </c>
      <c r="BQ941" s="16">
        <f>SUM(BZ941,CC941,CF941,BT941,BW941)</f>
        <v>11.173184357541896</v>
      </c>
      <c r="BR941" s="16">
        <v>0</v>
      </c>
      <c r="BS941" s="16">
        <v>0</v>
      </c>
      <c r="BT941" s="77">
        <f>BS941/AS941</f>
        <v>0</v>
      </c>
      <c r="BU941" s="16">
        <v>0</v>
      </c>
      <c r="BV941" s="16">
        <v>0</v>
      </c>
      <c r="BW941" s="16">
        <f>BV941/AS941</f>
        <v>0</v>
      </c>
      <c r="BX941" s="16">
        <v>1</v>
      </c>
      <c r="BY941" s="16">
        <v>2</v>
      </c>
      <c r="BZ941" s="16">
        <f>BY941/AS941</f>
        <v>11.173184357541896</v>
      </c>
      <c r="CA941" s="16">
        <v>0</v>
      </c>
      <c r="CB941" s="16">
        <v>0</v>
      </c>
      <c r="CC941" s="16">
        <f>CB941/AS941</f>
        <v>0</v>
      </c>
      <c r="CD941" s="77">
        <v>0</v>
      </c>
      <c r="CE941" s="16">
        <v>0</v>
      </c>
      <c r="CF941" s="16">
        <f>CE941/AS941</f>
        <v>0</v>
      </c>
      <c r="CG941" s="22">
        <v>0</v>
      </c>
      <c r="CH941" s="22">
        <v>0</v>
      </c>
      <c r="CI941" s="16">
        <f>CH941/AS941</f>
        <v>0</v>
      </c>
      <c r="CM941" s="22">
        <v>0</v>
      </c>
      <c r="CN941" s="22">
        <v>0</v>
      </c>
      <c r="CO941" s="16">
        <f>CN941/AS941</f>
        <v>0</v>
      </c>
      <c r="CP941" s="22">
        <v>0</v>
      </c>
      <c r="CQ941" s="22">
        <v>0</v>
      </c>
      <c r="CR941" s="16">
        <f>CQ941/AS941</f>
        <v>0</v>
      </c>
      <c r="CS941" s="16">
        <f>IF(CT941&gt;0,1,0)</f>
        <v>0</v>
      </c>
      <c r="CT941" s="16">
        <f>SUM(CW941,CZ941,DC941)</f>
        <v>0</v>
      </c>
      <c r="CV941" s="16">
        <f>SUM(CY941,DB941,DE941)</f>
        <v>0</v>
      </c>
      <c r="CW941" s="16">
        <v>0</v>
      </c>
      <c r="CX941" s="16">
        <v>0</v>
      </c>
      <c r="CY941" s="16">
        <f>CX941/AS941</f>
        <v>0</v>
      </c>
      <c r="CZ941" s="16">
        <v>0</v>
      </c>
      <c r="DA941" s="16">
        <v>0</v>
      </c>
      <c r="DB941" s="16">
        <f>DA941/AS941</f>
        <v>0</v>
      </c>
      <c r="DC941" s="16">
        <v>0</v>
      </c>
      <c r="DD941" s="16">
        <v>0</v>
      </c>
      <c r="DE941" s="16">
        <f>DD941/AS941</f>
        <v>0</v>
      </c>
      <c r="DF941" s="16" t="e">
        <f>VLOOKUP(K941,'[3]RNA Seq summary tables'!$V$3:$V$99,1,FALSE)</f>
        <v>#N/A</v>
      </c>
      <c r="DG941" s="16">
        <v>1</v>
      </c>
      <c r="DH941" s="16" t="str">
        <f>VLOOKUP(D941,'[6]workflow 3.2018'!$A$1:$S$237,2,FALSE)</f>
        <v>2017MLBS_54</v>
      </c>
      <c r="DI941" s="16">
        <v>60</v>
      </c>
      <c r="DK941" s="16">
        <v>31</v>
      </c>
      <c r="DM941" s="16">
        <v>9</v>
      </c>
      <c r="DO941" s="16">
        <v>0</v>
      </c>
      <c r="DQ941" s="16">
        <v>0</v>
      </c>
      <c r="DR941" s="16">
        <v>100</v>
      </c>
    </row>
    <row r="942" spans="2:288" x14ac:dyDescent="0.2">
      <c r="B942" s="16">
        <v>2017</v>
      </c>
      <c r="C942" s="66">
        <v>42895</v>
      </c>
      <c r="D942" s="66" t="str">
        <f>CONCATENATE(J942,"-",C942)</f>
        <v>1093-42895</v>
      </c>
      <c r="E942" s="20" t="str">
        <f>CONCATENATE(T942,"-",U942,"-",C942)</f>
        <v>PO1-C8-42895</v>
      </c>
      <c r="F942" s="20" t="s">
        <v>106</v>
      </c>
      <c r="G942" s="20" t="s">
        <v>107</v>
      </c>
      <c r="I942" s="16">
        <v>0</v>
      </c>
      <c r="J942" s="21">
        <v>1093</v>
      </c>
      <c r="K942" s="21">
        <v>1645</v>
      </c>
      <c r="L942" s="18">
        <v>0</v>
      </c>
      <c r="M942" s="21">
        <f>VLOOKUP($K942,'[4]blood tubes 2017'!$D$1:$L$647,8,FALSE)</f>
        <v>0</v>
      </c>
      <c r="N942" s="15">
        <v>0</v>
      </c>
      <c r="O942" s="15" t="s">
        <v>214</v>
      </c>
      <c r="P942" s="16" t="s">
        <v>110</v>
      </c>
      <c r="Q942" s="16">
        <v>0</v>
      </c>
      <c r="R942" s="16" t="s">
        <v>111</v>
      </c>
      <c r="T942" s="16" t="s">
        <v>112</v>
      </c>
      <c r="U942" s="16" t="s">
        <v>188</v>
      </c>
      <c r="V942" s="16" t="s">
        <v>114</v>
      </c>
      <c r="W942" s="16">
        <f>AI942/AG942</f>
        <v>0.82857142857142863</v>
      </c>
      <c r="X942" s="16" t="s">
        <v>115</v>
      </c>
      <c r="Y942" s="16" t="s">
        <v>145</v>
      </c>
      <c r="Z942" s="16">
        <v>1</v>
      </c>
      <c r="AE942" s="16" t="s">
        <v>123</v>
      </c>
      <c r="AF942" s="16" t="s">
        <v>123</v>
      </c>
      <c r="AG942" s="16">
        <f>AH942-AI942</f>
        <v>70</v>
      </c>
      <c r="AH942" s="16">
        <v>128</v>
      </c>
      <c r="AI942" s="16">
        <v>58</v>
      </c>
      <c r="AK942" s="16">
        <v>11</v>
      </c>
      <c r="AL942" s="16">
        <v>0</v>
      </c>
      <c r="AM942" s="16">
        <v>0</v>
      </c>
      <c r="AN942" s="16">
        <v>0</v>
      </c>
      <c r="AO942" s="16">
        <v>0</v>
      </c>
      <c r="AP942" s="16">
        <f>SUM(AL942:AN942)</f>
        <v>0</v>
      </c>
      <c r="AQ942" s="16">
        <v>1.724</v>
      </c>
      <c r="AR942" s="16">
        <f>AP942-1.472</f>
        <v>-1.472</v>
      </c>
      <c r="AS942" s="16">
        <f>AQ942-1.472</f>
        <v>0.252</v>
      </c>
      <c r="AT942" s="16" t="s">
        <v>233</v>
      </c>
      <c r="AW942" s="16">
        <f>IF(AX942&gt;0,1,0)</f>
        <v>1</v>
      </c>
      <c r="AX942" s="16">
        <f>SUM(BA942,BM942,CT942)</f>
        <v>1</v>
      </c>
      <c r="AY942" s="18">
        <f>SUM(BB942,BN942,CV942)</f>
        <v>1337.3015873015872</v>
      </c>
      <c r="AZ942" s="16">
        <f>IF(BA942&gt;0,1,0)</f>
        <v>0</v>
      </c>
      <c r="BA942" s="16">
        <f>SUM(BC942,BF942,BI942)</f>
        <v>0</v>
      </c>
      <c r="BB942" s="16">
        <f>SUM(BE942,BH942,BK942)</f>
        <v>0</v>
      </c>
      <c r="BC942" s="16">
        <v>0</v>
      </c>
      <c r="BD942" s="16">
        <v>0</v>
      </c>
      <c r="BE942" s="16">
        <f>BD942/AS942</f>
        <v>0</v>
      </c>
      <c r="BF942" s="16">
        <v>0</v>
      </c>
      <c r="BG942" s="77">
        <v>0</v>
      </c>
      <c r="BH942" s="16">
        <f>BG942/AS942</f>
        <v>0</v>
      </c>
      <c r="BI942" s="16">
        <v>0</v>
      </c>
      <c r="BJ942" s="16">
        <v>0</v>
      </c>
      <c r="BK942" s="16">
        <f>BJ942/AS942</f>
        <v>0</v>
      </c>
      <c r="BL942" s="16">
        <f>IF(BM942&gt;0,1,0)</f>
        <v>1</v>
      </c>
      <c r="BM942" s="16">
        <f>SUM(BR942,BU942,BX942,CA942,CD942,CG942,CJ942,CM942,CP942)</f>
        <v>1</v>
      </c>
      <c r="BN942" s="16">
        <f>SUM(BW942,BZ942,CC942,CF942,CI942,CL942,CO942,CR942,BT942)</f>
        <v>1337.3015873015872</v>
      </c>
      <c r="BO942" s="16">
        <f>IF(BP942&gt;0,1,0)</f>
        <v>1</v>
      </c>
      <c r="BP942" s="16">
        <f>SUM(BU942,BX942,CA942,CD942,BR942)</f>
        <v>1</v>
      </c>
      <c r="BQ942" s="16">
        <f>SUM(BZ942,CC942,CF942,BT942,BW942)</f>
        <v>1337.3015873015872</v>
      </c>
      <c r="BR942" s="16">
        <v>0</v>
      </c>
      <c r="BS942" s="16">
        <v>0</v>
      </c>
      <c r="BT942" s="77">
        <f>BS942/AS942</f>
        <v>0</v>
      </c>
      <c r="BU942" s="16">
        <v>0</v>
      </c>
      <c r="BV942" s="16">
        <v>0</v>
      </c>
      <c r="BW942" s="16">
        <f>BV942/AS942</f>
        <v>0</v>
      </c>
      <c r="BX942" s="16">
        <v>0</v>
      </c>
      <c r="BY942" s="16">
        <v>0</v>
      </c>
      <c r="BZ942" s="16">
        <f>BY942/AS942</f>
        <v>0</v>
      </c>
      <c r="CA942" s="16">
        <v>0</v>
      </c>
      <c r="CB942" s="16">
        <v>0</v>
      </c>
      <c r="CC942" s="16">
        <f>CB942/AS942</f>
        <v>0</v>
      </c>
      <c r="CD942" s="77">
        <v>1</v>
      </c>
      <c r="CE942" s="16">
        <v>337</v>
      </c>
      <c r="CF942" s="16">
        <f>CE942/AS942</f>
        <v>1337.3015873015872</v>
      </c>
      <c r="CG942" s="16">
        <v>0</v>
      </c>
      <c r="CH942" s="16">
        <v>0</v>
      </c>
      <c r="CI942" s="16">
        <f>CH942/AS942</f>
        <v>0</v>
      </c>
      <c r="CM942" s="16">
        <v>0</v>
      </c>
      <c r="CN942" s="16">
        <v>0</v>
      </c>
      <c r="CO942" s="16">
        <f>CN942/AS942</f>
        <v>0</v>
      </c>
      <c r="CP942" s="16">
        <v>0</v>
      </c>
      <c r="CQ942" s="16">
        <v>0</v>
      </c>
      <c r="CR942" s="16">
        <f>CQ942/AS942</f>
        <v>0</v>
      </c>
      <c r="CS942" s="16">
        <f>IF(CT942&gt;0,1,0)</f>
        <v>0</v>
      </c>
      <c r="CT942" s="16">
        <f>SUM(CW942,CZ942,DC942)</f>
        <v>0</v>
      </c>
      <c r="CV942" s="16">
        <f>SUM(CY942,DB942,DE942)</f>
        <v>0</v>
      </c>
      <c r="CW942" s="16">
        <v>0</v>
      </c>
      <c r="CX942" s="16">
        <v>0</v>
      </c>
      <c r="CY942" s="16">
        <f>CX942/AS942</f>
        <v>0</v>
      </c>
      <c r="CZ942" s="16">
        <v>0</v>
      </c>
      <c r="DA942" s="16">
        <v>0</v>
      </c>
      <c r="DB942" s="16">
        <f>DA942/AS942</f>
        <v>0</v>
      </c>
      <c r="DC942" s="16">
        <v>0</v>
      </c>
      <c r="DD942" s="16">
        <v>0</v>
      </c>
      <c r="DE942" s="16">
        <f>DD942/AS942</f>
        <v>0</v>
      </c>
      <c r="DF942" s="16" t="e">
        <f>VLOOKUP(K942,'[3]RNA Seq summary tables'!$V$3:$V$99,1,FALSE)</f>
        <v>#N/A</v>
      </c>
      <c r="DI942" s="16">
        <v>27</v>
      </c>
      <c r="DK942" s="16">
        <v>69</v>
      </c>
      <c r="DM942" s="16">
        <v>4</v>
      </c>
      <c r="DO942" s="16">
        <v>0</v>
      </c>
      <c r="DQ942" s="16">
        <v>0</v>
      </c>
      <c r="DR942" s="16">
        <v>100</v>
      </c>
      <c r="JO942" s="27"/>
      <c r="JP942" s="18"/>
      <c r="JQ942" s="18"/>
    </row>
    <row r="943" spans="2:288" x14ac:dyDescent="0.2">
      <c r="B943" s="16">
        <v>2017</v>
      </c>
      <c r="C943" s="66">
        <v>42895</v>
      </c>
      <c r="D943" s="66" t="str">
        <f>CONCATENATE(J943,"-",C943)</f>
        <v>1095-42895</v>
      </c>
      <c r="E943" s="20" t="str">
        <f>CONCATENATE(T943,"-",U943,"-",C943)</f>
        <v>PO1-F2-42895</v>
      </c>
      <c r="F943" s="20" t="s">
        <v>106</v>
      </c>
      <c r="G943" s="20" t="s">
        <v>107</v>
      </c>
      <c r="I943" s="16">
        <v>0</v>
      </c>
      <c r="J943" s="21">
        <v>1095</v>
      </c>
      <c r="K943" s="21">
        <v>1646</v>
      </c>
      <c r="L943" s="18">
        <v>0</v>
      </c>
      <c r="M943" s="21">
        <f>VLOOKUP($K943,'[4]blood tubes 2017'!$D$1:$L$647,8,FALSE)</f>
        <v>0</v>
      </c>
      <c r="N943" s="15">
        <v>0</v>
      </c>
      <c r="O943" s="15" t="s">
        <v>214</v>
      </c>
      <c r="P943" s="16" t="s">
        <v>110</v>
      </c>
      <c r="Q943" s="16">
        <v>0</v>
      </c>
      <c r="R943" s="16" t="s">
        <v>111</v>
      </c>
      <c r="T943" s="16" t="s">
        <v>112</v>
      </c>
      <c r="U943" s="16" t="s">
        <v>187</v>
      </c>
      <c r="V943" s="16" t="s">
        <v>114</v>
      </c>
      <c r="W943" s="16">
        <f>AI943/AG943</f>
        <v>0.70408163265306123</v>
      </c>
      <c r="X943" s="16" t="s">
        <v>121</v>
      </c>
      <c r="Y943" s="16" t="s">
        <v>110</v>
      </c>
      <c r="Z943" s="16">
        <v>3</v>
      </c>
      <c r="AA943" s="16" t="s">
        <v>119</v>
      </c>
      <c r="AB943" s="16" t="s">
        <v>123</v>
      </c>
      <c r="AC943" s="16" t="s">
        <v>123</v>
      </c>
      <c r="AD943" s="16" t="s">
        <v>123</v>
      </c>
      <c r="AG943" s="16">
        <f>AH943-AI943</f>
        <v>98</v>
      </c>
      <c r="AH943" s="16">
        <v>167</v>
      </c>
      <c r="AI943" s="16">
        <v>69</v>
      </c>
      <c r="AK943" s="16">
        <v>19.5</v>
      </c>
      <c r="AL943" s="16">
        <v>0</v>
      </c>
      <c r="AM943" s="16">
        <v>0</v>
      </c>
      <c r="AN943" s="16">
        <v>0</v>
      </c>
      <c r="AO943" s="16">
        <v>0</v>
      </c>
      <c r="AP943" s="16">
        <f>SUM(AL943:AN943)</f>
        <v>0</v>
      </c>
      <c r="AQ943" s="16">
        <v>1.7310000000000001</v>
      </c>
      <c r="AR943" s="16">
        <f>AP943-1.472</f>
        <v>-1.472</v>
      </c>
      <c r="AS943" s="16">
        <f>AQ943-1.472</f>
        <v>0.25900000000000012</v>
      </c>
      <c r="AT943" s="16" t="s">
        <v>233</v>
      </c>
      <c r="AV943" s="16">
        <v>1</v>
      </c>
      <c r="AW943" s="16">
        <f>IF(AX943&gt;0,1,0)</f>
        <v>0</v>
      </c>
      <c r="AX943" s="16">
        <f>SUM(BA943,BM943,CT943)</f>
        <v>0</v>
      </c>
      <c r="AY943" s="18">
        <f>SUM(BB943,BN943,CV943)</f>
        <v>0</v>
      </c>
      <c r="AZ943" s="16">
        <f>IF(BA943&gt;0,1,0)</f>
        <v>0</v>
      </c>
      <c r="BA943" s="16">
        <f>SUM(BC943,BF943,BI943)</f>
        <v>0</v>
      </c>
      <c r="BB943" s="16">
        <f>SUM(BE943,BH943,BK943)</f>
        <v>0</v>
      </c>
      <c r="BC943" s="16">
        <v>0</v>
      </c>
      <c r="BD943" s="16">
        <v>0</v>
      </c>
      <c r="BE943" s="16">
        <f>BD943/AS943</f>
        <v>0</v>
      </c>
      <c r="BF943" s="16">
        <v>0</v>
      </c>
      <c r="BG943" s="77">
        <v>0</v>
      </c>
      <c r="BH943" s="16">
        <f>BG943/AS943</f>
        <v>0</v>
      </c>
      <c r="BI943" s="16">
        <v>0</v>
      </c>
      <c r="BJ943" s="16">
        <v>0</v>
      </c>
      <c r="BK943" s="16">
        <f>BJ943/AS943</f>
        <v>0</v>
      </c>
      <c r="BL943" s="16">
        <f>IF(BM943&gt;0,1,0)</f>
        <v>0</v>
      </c>
      <c r="BM943" s="16">
        <f>SUM(BR943,BU943,BX943,CA943,CD943,CG943,CJ943,CM943,CP943)</f>
        <v>0</v>
      </c>
      <c r="BN943" s="16">
        <f>SUM(BW943,BZ943,CC943,CF943,CI943,CL943,CO943,CR943,BT943)</f>
        <v>0</v>
      </c>
      <c r="BO943" s="16">
        <f>IF(BP943&gt;0,1,0)</f>
        <v>0</v>
      </c>
      <c r="BP943" s="16">
        <f>SUM(BU943,BX943,CA943,CD943,BR943)</f>
        <v>0</v>
      </c>
      <c r="BQ943" s="16">
        <f>SUM(BZ943,CC943,CF943,BT943,BW943)</f>
        <v>0</v>
      </c>
      <c r="BR943" s="16">
        <v>0</v>
      </c>
      <c r="BS943" s="16">
        <v>0</v>
      </c>
      <c r="BT943" s="77">
        <f>BS943/AS943</f>
        <v>0</v>
      </c>
      <c r="BU943" s="16">
        <v>0</v>
      </c>
      <c r="BV943" s="16">
        <v>0</v>
      </c>
      <c r="BW943" s="16">
        <f>BV943/AS943</f>
        <v>0</v>
      </c>
      <c r="BX943" s="16">
        <v>0</v>
      </c>
      <c r="BY943" s="16">
        <v>0</v>
      </c>
      <c r="BZ943" s="16">
        <f>BY943/AS943</f>
        <v>0</v>
      </c>
      <c r="CA943" s="16">
        <v>0</v>
      </c>
      <c r="CB943" s="16">
        <v>0</v>
      </c>
      <c r="CC943" s="16">
        <f>CB943/AS943</f>
        <v>0</v>
      </c>
      <c r="CD943" s="77">
        <v>0</v>
      </c>
      <c r="CE943" s="16">
        <v>0</v>
      </c>
      <c r="CF943" s="16">
        <f>CE943/AS943</f>
        <v>0</v>
      </c>
      <c r="CG943" s="16">
        <v>0</v>
      </c>
      <c r="CH943" s="16">
        <v>0</v>
      </c>
      <c r="CI943" s="16">
        <f>CH943/AS943</f>
        <v>0</v>
      </c>
      <c r="CM943" s="16">
        <v>0</v>
      </c>
      <c r="CN943" s="16">
        <v>0</v>
      </c>
      <c r="CO943" s="16">
        <f>CN943/AS943</f>
        <v>0</v>
      </c>
      <c r="CP943" s="16">
        <v>0</v>
      </c>
      <c r="CQ943" s="16">
        <v>0</v>
      </c>
      <c r="CR943" s="16">
        <f>CQ943/AS943</f>
        <v>0</v>
      </c>
      <c r="CS943" s="16">
        <f>IF(CT943&gt;0,1,0)</f>
        <v>0</v>
      </c>
      <c r="CT943" s="16">
        <f>SUM(CW943,CZ943,DC943)</f>
        <v>0</v>
      </c>
      <c r="CV943" s="16">
        <f>SUM(CY943,DB943,DE943)</f>
        <v>0</v>
      </c>
      <c r="CW943" s="16">
        <v>0</v>
      </c>
      <c r="CX943" s="16">
        <v>0</v>
      </c>
      <c r="CY943" s="16">
        <f>CX943/AS943</f>
        <v>0</v>
      </c>
      <c r="CZ943" s="16">
        <v>0</v>
      </c>
      <c r="DA943" s="16">
        <v>0</v>
      </c>
      <c r="DB943" s="16">
        <f>DA943/AS943</f>
        <v>0</v>
      </c>
      <c r="DC943" s="16">
        <v>0</v>
      </c>
      <c r="DD943" s="16">
        <v>0</v>
      </c>
      <c r="DE943" s="16">
        <f>DD943/AS943</f>
        <v>0</v>
      </c>
      <c r="DF943" s="16" t="e">
        <f>VLOOKUP(K943,'[3]RNA Seq summary tables'!$V$3:$V$99,1,FALSE)</f>
        <v>#N/A</v>
      </c>
      <c r="DG943" s="16">
        <v>1</v>
      </c>
      <c r="DH943" s="16" t="str">
        <f>VLOOKUP(D943,'[6]workflow 3.2018'!$A$1:$S$237,2,FALSE)</f>
        <v>2017MLBS_55</v>
      </c>
      <c r="DI943" s="16">
        <v>70</v>
      </c>
      <c r="DK943" s="16">
        <v>16</v>
      </c>
      <c r="DM943" s="16">
        <v>13</v>
      </c>
      <c r="DO943" s="16">
        <v>0</v>
      </c>
      <c r="DQ943" s="16">
        <v>1</v>
      </c>
      <c r="DR943" s="16">
        <v>100</v>
      </c>
      <c r="JR943" s="18"/>
      <c r="JS943" s="18"/>
      <c r="JT943" s="18"/>
      <c r="JU943" s="18"/>
      <c r="JV943" s="18"/>
      <c r="JW943" s="18"/>
      <c r="JX943" s="18"/>
      <c r="JY943" s="18"/>
      <c r="JZ943" s="18"/>
      <c r="KA943" s="18"/>
      <c r="KB943" s="18"/>
    </row>
    <row r="944" spans="2:288" x14ac:dyDescent="0.2">
      <c r="B944" s="16">
        <v>2017</v>
      </c>
      <c r="C944" s="66">
        <v>42895</v>
      </c>
      <c r="D944" s="66" t="str">
        <f>CONCATENATE(J944,"-",C944)</f>
        <v>1097-42895</v>
      </c>
      <c r="E944" s="20" t="str">
        <f>CONCATENATE(T944,"-",U944,"-",C944)</f>
        <v>PO2-A3-42895</v>
      </c>
      <c r="F944" s="20" t="s">
        <v>106</v>
      </c>
      <c r="G944" s="20" t="s">
        <v>107</v>
      </c>
      <c r="I944" s="16">
        <v>0</v>
      </c>
      <c r="J944" s="21">
        <v>1097</v>
      </c>
      <c r="K944" s="21">
        <v>1648</v>
      </c>
      <c r="L944" s="18">
        <v>0</v>
      </c>
      <c r="M944" s="21">
        <f>VLOOKUP($K944,'[4]blood tubes 2017'!$D$1:$L$647,8,FALSE)</f>
        <v>0</v>
      </c>
      <c r="N944" s="15">
        <v>0</v>
      </c>
      <c r="O944" s="15" t="s">
        <v>214</v>
      </c>
      <c r="P944" s="16" t="s">
        <v>110</v>
      </c>
      <c r="Q944" s="16">
        <v>0</v>
      </c>
      <c r="R944" s="16" t="s">
        <v>111</v>
      </c>
      <c r="T944" s="16" t="s">
        <v>127</v>
      </c>
      <c r="U944" s="16" t="s">
        <v>201</v>
      </c>
      <c r="V944" s="16" t="s">
        <v>114</v>
      </c>
      <c r="W944" s="16">
        <f>AI944/AG944</f>
        <v>0.78888888888888886</v>
      </c>
      <c r="X944" s="16" t="s">
        <v>115</v>
      </c>
      <c r="Y944" s="16" t="s">
        <v>110</v>
      </c>
      <c r="Z944" s="16">
        <v>3</v>
      </c>
      <c r="AE944" s="16" t="s">
        <v>123</v>
      </c>
      <c r="AF944" s="16" t="s">
        <v>123</v>
      </c>
      <c r="AG944" s="16">
        <f>AH944-AI944</f>
        <v>90</v>
      </c>
      <c r="AH944" s="16">
        <v>161</v>
      </c>
      <c r="AI944" s="16">
        <v>71</v>
      </c>
      <c r="AK944" s="16">
        <v>22.5</v>
      </c>
      <c r="AL944" s="16">
        <v>1</v>
      </c>
      <c r="AM944" s="16">
        <v>0</v>
      </c>
      <c r="AN944" s="16">
        <v>0</v>
      </c>
      <c r="AO944" s="16">
        <v>1</v>
      </c>
      <c r="AP944" s="16">
        <f>SUM(AL944:AN944)</f>
        <v>1</v>
      </c>
      <c r="AQ944" s="16">
        <v>1.615</v>
      </c>
      <c r="AR944" s="16">
        <f>AP944-1.472</f>
        <v>-0.47199999999999998</v>
      </c>
      <c r="AS944" s="16">
        <f>AQ944-1.472</f>
        <v>0.14300000000000002</v>
      </c>
      <c r="AT944" s="16" t="s">
        <v>234</v>
      </c>
      <c r="AW944" s="16">
        <f>IF(AX944&gt;0,1,0)</f>
        <v>1</v>
      </c>
      <c r="AX944" s="16">
        <f>SUM(BA944,BM944,CT944)</f>
        <v>1</v>
      </c>
      <c r="AY944" s="18">
        <f>SUM(BB944,BN944,CV944)</f>
        <v>447.55244755244752</v>
      </c>
      <c r="AZ944" s="16">
        <f>IF(BA944&gt;0,1,0)</f>
        <v>1</v>
      </c>
      <c r="BA944" s="16">
        <f>SUM(BC944,BF944,BI944)</f>
        <v>1</v>
      </c>
      <c r="BB944" s="16">
        <f>SUM(BE944,BH944,BK944)</f>
        <v>447.55244755244752</v>
      </c>
      <c r="BC944" s="16">
        <v>0</v>
      </c>
      <c r="BD944" s="16">
        <v>0</v>
      </c>
      <c r="BE944" s="16">
        <f>BD944/AS944</f>
        <v>0</v>
      </c>
      <c r="BF944" s="16">
        <v>1</v>
      </c>
      <c r="BG944" s="77">
        <v>64</v>
      </c>
      <c r="BH944" s="16">
        <f>BG944/AS944</f>
        <v>447.55244755244752</v>
      </c>
      <c r="BI944" s="16">
        <v>0</v>
      </c>
      <c r="BJ944" s="16">
        <v>0</v>
      </c>
      <c r="BK944" s="16">
        <f>BJ944/AS944</f>
        <v>0</v>
      </c>
      <c r="BL944" s="16">
        <f>IF(BM944&gt;0,1,0)</f>
        <v>0</v>
      </c>
      <c r="BM944" s="16">
        <f>SUM(BR944,BU944,BX944,CA944,CD944,CG944,CJ944,CM944,CP944)</f>
        <v>0</v>
      </c>
      <c r="BN944" s="16">
        <f>SUM(BW944,BZ944,CC944,CF944,CI944,CL944,CO944,CR944,BT944)</f>
        <v>0</v>
      </c>
      <c r="BO944" s="16">
        <f>IF(BP944&gt;0,1,0)</f>
        <v>0</v>
      </c>
      <c r="BP944" s="16">
        <f>SUM(BU944,BX944,CA944,CD944,BR944)</f>
        <v>0</v>
      </c>
      <c r="BQ944" s="16">
        <f>SUM(BZ944,CC944,CF944,BT944,BW944)</f>
        <v>0</v>
      </c>
      <c r="BR944" s="16">
        <v>0</v>
      </c>
      <c r="BS944" s="16">
        <v>0</v>
      </c>
      <c r="BT944" s="77">
        <f>BS944/AS944</f>
        <v>0</v>
      </c>
      <c r="BU944" s="16">
        <v>0</v>
      </c>
      <c r="BV944" s="16">
        <v>0</v>
      </c>
      <c r="BW944" s="16">
        <f>BV944/AS944</f>
        <v>0</v>
      </c>
      <c r="BX944" s="16">
        <v>0</v>
      </c>
      <c r="BY944" s="16">
        <v>0</v>
      </c>
      <c r="BZ944" s="16">
        <f>BY944/AS944</f>
        <v>0</v>
      </c>
      <c r="CA944" s="16">
        <v>0</v>
      </c>
      <c r="CB944" s="16">
        <v>0</v>
      </c>
      <c r="CC944" s="16">
        <f>CB944/AS944</f>
        <v>0</v>
      </c>
      <c r="CD944" s="77">
        <v>0</v>
      </c>
      <c r="CE944" s="16">
        <v>0</v>
      </c>
      <c r="CF944" s="16">
        <f>CE944/AS944</f>
        <v>0</v>
      </c>
      <c r="CG944" s="16">
        <v>0</v>
      </c>
      <c r="CH944" s="16">
        <v>0</v>
      </c>
      <c r="CI944" s="16">
        <f>CH944/AS944</f>
        <v>0</v>
      </c>
      <c r="CM944" s="16">
        <v>0</v>
      </c>
      <c r="CN944" s="16">
        <v>0</v>
      </c>
      <c r="CO944" s="16">
        <f>CN944/AS944</f>
        <v>0</v>
      </c>
      <c r="CP944" s="16">
        <v>0</v>
      </c>
      <c r="CQ944" s="16">
        <v>0</v>
      </c>
      <c r="CR944" s="16">
        <f>CQ944/AS944</f>
        <v>0</v>
      </c>
      <c r="CS944" s="16">
        <f>IF(CT944&gt;0,1,0)</f>
        <v>0</v>
      </c>
      <c r="CT944" s="16">
        <f>SUM(CW944,CZ944,DC944)</f>
        <v>0</v>
      </c>
      <c r="CV944" s="16">
        <f>SUM(CY944,DB944,DE944)</f>
        <v>0</v>
      </c>
      <c r="CW944" s="16">
        <v>0</v>
      </c>
      <c r="CX944" s="16">
        <v>0</v>
      </c>
      <c r="CY944" s="16">
        <f>CX944/AS944</f>
        <v>0</v>
      </c>
      <c r="CZ944" s="16">
        <v>0</v>
      </c>
      <c r="DA944" s="16">
        <v>0</v>
      </c>
      <c r="DB944" s="16">
        <f>DA944/AS944</f>
        <v>0</v>
      </c>
      <c r="DC944" s="16">
        <v>0</v>
      </c>
      <c r="DD944" s="16">
        <v>0</v>
      </c>
      <c r="DE944" s="16">
        <f>DD944/AS944</f>
        <v>0</v>
      </c>
      <c r="DF944" s="16" t="e">
        <f>VLOOKUP(K944,'[3]RNA Seq summary tables'!$V$3:$V$99,1,FALSE)</f>
        <v>#N/A</v>
      </c>
      <c r="DG944" s="16">
        <v>1</v>
      </c>
      <c r="DH944" s="16" t="str">
        <f>VLOOKUP(D944,'[6]workflow 3.2018'!$A$1:$S$237,2,FALSE)</f>
        <v>2017MLBS_56</v>
      </c>
      <c r="DI944" s="16">
        <v>64</v>
      </c>
      <c r="DK944" s="16">
        <v>17</v>
      </c>
      <c r="DM944" s="16">
        <v>18</v>
      </c>
      <c r="DO944" s="16">
        <v>0</v>
      </c>
      <c r="DQ944" s="16">
        <v>1</v>
      </c>
      <c r="DR944" s="16">
        <v>100</v>
      </c>
      <c r="JO944" s="18"/>
      <c r="JP944" s="18"/>
      <c r="JQ944" s="18"/>
    </row>
    <row r="945" spans="2:288" x14ac:dyDescent="0.2">
      <c r="B945" s="16">
        <v>2017</v>
      </c>
      <c r="C945" s="20">
        <v>42911</v>
      </c>
      <c r="D945" s="20" t="str">
        <f>CONCATENATE(J945,"-",C945)</f>
        <v>1097-42911</v>
      </c>
      <c r="E945" s="20" t="str">
        <f>CONCATENATE(T945,"-",U945,"-",C945)</f>
        <v>PO2-C4-42911</v>
      </c>
      <c r="F945" s="20" t="s">
        <v>106</v>
      </c>
      <c r="G945" s="20" t="s">
        <v>107</v>
      </c>
      <c r="I945" s="16">
        <v>0</v>
      </c>
      <c r="J945" s="21">
        <v>1097</v>
      </c>
      <c r="K945" s="21">
        <v>1737</v>
      </c>
      <c r="L945" s="18">
        <v>0</v>
      </c>
      <c r="M945" s="21">
        <f>VLOOKUP($K945,'[4]blood tubes 2017'!$D$1:$L$647,8,FALSE)</f>
        <v>0</v>
      </c>
      <c r="N945" s="15">
        <v>0</v>
      </c>
      <c r="O945" s="15" t="s">
        <v>214</v>
      </c>
      <c r="P945" s="16" t="s">
        <v>110</v>
      </c>
      <c r="Q945" s="16">
        <v>1</v>
      </c>
      <c r="R945" s="16">
        <v>16</v>
      </c>
      <c r="T945" s="16" t="s">
        <v>127</v>
      </c>
      <c r="U945" s="16" t="s">
        <v>229</v>
      </c>
      <c r="V945" s="16" t="s">
        <v>114</v>
      </c>
      <c r="W945" s="16">
        <f>AI945/AG945</f>
        <v>0.78494623655913975</v>
      </c>
      <c r="X945" s="16" t="s">
        <v>115</v>
      </c>
      <c r="Y945" s="16" t="s">
        <v>110</v>
      </c>
      <c r="Z945" s="16">
        <v>3</v>
      </c>
      <c r="AE945" s="16" t="s">
        <v>116</v>
      </c>
      <c r="AF945" s="16" t="s">
        <v>116</v>
      </c>
      <c r="AG945" s="16">
        <f>AH945-AI945</f>
        <v>93</v>
      </c>
      <c r="AH945" s="16">
        <v>166</v>
      </c>
      <c r="AI945" s="16">
        <v>73</v>
      </c>
      <c r="AK945" s="16">
        <v>23</v>
      </c>
      <c r="AL945" s="16">
        <v>1</v>
      </c>
      <c r="AM945" s="16">
        <v>0</v>
      </c>
      <c r="AN945" s="16">
        <v>0</v>
      </c>
      <c r="AO945" s="16">
        <v>1</v>
      </c>
      <c r="AP945" s="16">
        <f>SUM(AL945:AN945)</f>
        <v>1</v>
      </c>
      <c r="AQ945" s="16">
        <v>1.615</v>
      </c>
      <c r="AR945" s="16">
        <f>AP945-1.472</f>
        <v>-0.47199999999999998</v>
      </c>
      <c r="AS945" s="16">
        <f>AQ945-1.472</f>
        <v>0.14300000000000002</v>
      </c>
      <c r="AT945" s="16" t="s">
        <v>119</v>
      </c>
      <c r="AW945" s="16">
        <f>IF(AX945&gt;0,1,0)</f>
        <v>1</v>
      </c>
      <c r="AX945" s="16">
        <f>SUM(BA945,BM945,CT945)</f>
        <v>3</v>
      </c>
      <c r="AY945" s="18">
        <f>SUM(BB945,BN945,CV945)</f>
        <v>181.81818181818178</v>
      </c>
      <c r="AZ945" s="16">
        <f>IF(BA945&gt;0,1,0)</f>
        <v>1</v>
      </c>
      <c r="BA945" s="16">
        <f>SUM(BC945,BF945,BI945)</f>
        <v>2</v>
      </c>
      <c r="BB945" s="16">
        <f>SUM(BE945,BH945,BK945)</f>
        <v>174.8251748251748</v>
      </c>
      <c r="BC945" s="16">
        <v>1</v>
      </c>
      <c r="BD945" s="16">
        <v>10</v>
      </c>
      <c r="BE945" s="16">
        <f>BD945/AS945</f>
        <v>69.930069930069919</v>
      </c>
      <c r="BF945" s="16">
        <v>1</v>
      </c>
      <c r="BG945" s="77">
        <v>15</v>
      </c>
      <c r="BH945" s="16">
        <f>BG945/AS945</f>
        <v>104.89510489510488</v>
      </c>
      <c r="BI945" s="16">
        <v>0</v>
      </c>
      <c r="BJ945" s="16">
        <v>0</v>
      </c>
      <c r="BK945" s="16">
        <f>BJ945/AS945</f>
        <v>0</v>
      </c>
      <c r="BL945" s="16">
        <f>IF(BM945&gt;0,1,0)</f>
        <v>1</v>
      </c>
      <c r="BM945" s="16">
        <f>SUM(BR945,BU945,BX945,CA945,CD945,CG945,CJ945,CM945,CP945)</f>
        <v>1</v>
      </c>
      <c r="BN945" s="16">
        <f>SUM(BW945,BZ945,CC945,CF945,CI945,CL945,CO945,CR945,BT945)</f>
        <v>6.9930069930069925</v>
      </c>
      <c r="BO945" s="16">
        <f>IF(BP945&gt;0,1,0)</f>
        <v>0</v>
      </c>
      <c r="BP945" s="16">
        <f>SUM(BU945,BX945,CA945,CD945,BR945)</f>
        <v>0</v>
      </c>
      <c r="BQ945" s="16">
        <f>SUM(BZ945,CC945,CF945,BT945,BW945)</f>
        <v>0</v>
      </c>
      <c r="BR945" s="16">
        <v>0</v>
      </c>
      <c r="BS945" s="16">
        <v>0</v>
      </c>
      <c r="BT945" s="77">
        <f>BS945/AS945</f>
        <v>0</v>
      </c>
      <c r="BU945" s="16">
        <v>0</v>
      </c>
      <c r="BV945" s="16">
        <v>0</v>
      </c>
      <c r="BW945" s="16">
        <f>BV945/AS945</f>
        <v>0</v>
      </c>
      <c r="BX945" s="16">
        <v>0</v>
      </c>
      <c r="BY945" s="16">
        <v>0</v>
      </c>
      <c r="BZ945" s="16">
        <f>BY945/AS945</f>
        <v>0</v>
      </c>
      <c r="CA945" s="16">
        <v>0</v>
      </c>
      <c r="CB945" s="16">
        <v>0</v>
      </c>
      <c r="CC945" s="16">
        <f>CB945/AS945</f>
        <v>0</v>
      </c>
      <c r="CD945" s="77">
        <v>0</v>
      </c>
      <c r="CE945" s="16">
        <v>0</v>
      </c>
      <c r="CF945" s="16">
        <f>CE945/AS945</f>
        <v>0</v>
      </c>
      <c r="CG945" s="16">
        <v>1</v>
      </c>
      <c r="CH945" s="16">
        <v>1</v>
      </c>
      <c r="CI945" s="16">
        <f>CH945/AS945</f>
        <v>6.9930069930069925</v>
      </c>
      <c r="CM945" s="16">
        <v>0</v>
      </c>
      <c r="CN945" s="16">
        <v>0</v>
      </c>
      <c r="CO945" s="16">
        <f>CN945/AS945</f>
        <v>0</v>
      </c>
      <c r="CP945" s="16">
        <v>0</v>
      </c>
      <c r="CQ945" s="16">
        <v>0</v>
      </c>
      <c r="CR945" s="16">
        <f>CQ945/AS945</f>
        <v>0</v>
      </c>
      <c r="CS945" s="16">
        <f>IF(CT945&gt;0,1,0)</f>
        <v>0</v>
      </c>
      <c r="CT945" s="16">
        <f>SUM(CW945,CZ945,DC945)</f>
        <v>0</v>
      </c>
      <c r="CV945" s="16">
        <f>SUM(CY945,DB945,DE945)</f>
        <v>0</v>
      </c>
      <c r="CW945" s="16">
        <v>0</v>
      </c>
      <c r="CX945" s="16">
        <v>0</v>
      </c>
      <c r="CY945" s="16">
        <f>CX945/AS945</f>
        <v>0</v>
      </c>
      <c r="CZ945" s="16">
        <v>0</v>
      </c>
      <c r="DA945" s="16">
        <v>0</v>
      </c>
      <c r="DB945" s="16">
        <f>DA945/AS945</f>
        <v>0</v>
      </c>
      <c r="DC945" s="16">
        <v>0</v>
      </c>
      <c r="DD945" s="16">
        <v>0</v>
      </c>
      <c r="DE945" s="16">
        <f>DD945/AS945</f>
        <v>0</v>
      </c>
      <c r="DF945" s="16" t="e">
        <f>VLOOKUP(K945,'[3]RNA Seq summary tables'!$V$3:$V$99,1,FALSE)</f>
        <v>#N/A</v>
      </c>
      <c r="DI945" s="16">
        <v>59</v>
      </c>
      <c r="DK945" s="16">
        <v>24</v>
      </c>
      <c r="DM945" s="16">
        <v>17</v>
      </c>
      <c r="DO945" s="16">
        <v>0</v>
      </c>
      <c r="DQ945" s="16">
        <v>0</v>
      </c>
      <c r="DR945" s="16">
        <f>SUM(DI945:DQ945)</f>
        <v>100</v>
      </c>
      <c r="JO945" s="18"/>
      <c r="JP945" s="18"/>
      <c r="JQ945" s="18"/>
    </row>
    <row r="946" spans="2:288" x14ac:dyDescent="0.2">
      <c r="B946" s="16">
        <v>2017</v>
      </c>
      <c r="C946" s="73">
        <v>42895</v>
      </c>
      <c r="D946" s="66" t="str">
        <f>CONCATENATE(J946,"-",C946)</f>
        <v>1098-42895</v>
      </c>
      <c r="E946" s="20" t="str">
        <f>CONCATENATE(T946,"-",U946,"-",C946)</f>
        <v>PO2-H1-42895</v>
      </c>
      <c r="F946" s="20" t="s">
        <v>106</v>
      </c>
      <c r="G946" s="43" t="s">
        <v>107</v>
      </c>
      <c r="H946" s="23"/>
      <c r="I946" s="16">
        <v>0</v>
      </c>
      <c r="J946" s="15">
        <v>1098</v>
      </c>
      <c r="K946" s="15">
        <v>1649</v>
      </c>
      <c r="L946" s="18">
        <v>0</v>
      </c>
      <c r="M946" s="21">
        <f>VLOOKUP($K946,'[4]blood tubes 2017'!$D$1:$L$647,8,FALSE)</f>
        <v>0</v>
      </c>
      <c r="N946" s="15">
        <v>0</v>
      </c>
      <c r="O946" s="15" t="s">
        <v>214</v>
      </c>
      <c r="P946" s="23" t="s">
        <v>110</v>
      </c>
      <c r="Q946" s="16">
        <v>0</v>
      </c>
      <c r="R946" s="23" t="s">
        <v>111</v>
      </c>
      <c r="S946" s="23"/>
      <c r="T946" s="23" t="s">
        <v>127</v>
      </c>
      <c r="U946" s="23" t="s">
        <v>191</v>
      </c>
      <c r="V946" s="23" t="s">
        <v>114</v>
      </c>
      <c r="W946" s="16">
        <f>AI946/AG946</f>
        <v>0.83333333333333337</v>
      </c>
      <c r="X946" s="23" t="s">
        <v>115</v>
      </c>
      <c r="Y946" s="23" t="s">
        <v>110</v>
      </c>
      <c r="Z946" s="23">
        <v>3</v>
      </c>
      <c r="AA946" s="23"/>
      <c r="AB946" s="23"/>
      <c r="AC946" s="23"/>
      <c r="AD946" s="23"/>
      <c r="AE946" s="23" t="s">
        <v>123</v>
      </c>
      <c r="AF946" s="23" t="s">
        <v>123</v>
      </c>
      <c r="AG946" s="23">
        <f>AH946-AI946</f>
        <v>84</v>
      </c>
      <c r="AH946" s="23">
        <v>154</v>
      </c>
      <c r="AI946" s="23">
        <v>70</v>
      </c>
      <c r="AJ946" s="23"/>
      <c r="AK946" s="23">
        <v>19.5</v>
      </c>
      <c r="AL946" s="23">
        <v>0</v>
      </c>
      <c r="AM946" s="23">
        <v>0</v>
      </c>
      <c r="AN946" s="23">
        <v>0</v>
      </c>
      <c r="AO946" s="23">
        <v>0</v>
      </c>
      <c r="AP946" s="23">
        <f>SUM(AL946:AN946)</f>
        <v>0</v>
      </c>
      <c r="AQ946" s="23">
        <v>1.613</v>
      </c>
      <c r="AR946" s="23">
        <f>AP946-1.472</f>
        <v>-1.472</v>
      </c>
      <c r="AS946" s="23">
        <f>AQ946-1.472</f>
        <v>0.14100000000000001</v>
      </c>
      <c r="AT946" s="23" t="s">
        <v>234</v>
      </c>
      <c r="AU946" s="23"/>
      <c r="AV946" s="23"/>
      <c r="AW946" s="23">
        <f>IF(AX946&gt;0,1,0)</f>
        <v>1</v>
      </c>
      <c r="AX946" s="23">
        <f>SUM(BA946,BM946,CT946)</f>
        <v>5</v>
      </c>
      <c r="AY946" s="25">
        <f>SUM(BB946,BN946,CV946)</f>
        <v>30014.184397163117</v>
      </c>
      <c r="AZ946" s="16">
        <f>IF(BA946&gt;0,1,0)</f>
        <v>1</v>
      </c>
      <c r="BA946" s="23">
        <f>SUM(BC946,BF946,BI946)</f>
        <v>3</v>
      </c>
      <c r="BB946" s="23">
        <f>SUM(BE946,BH946,BK946)</f>
        <v>29992.907801418438</v>
      </c>
      <c r="BC946" s="16">
        <v>1</v>
      </c>
      <c r="BD946" s="23">
        <v>231</v>
      </c>
      <c r="BE946" s="23">
        <f>BD946/AS946</f>
        <v>1638.2978723404253</v>
      </c>
      <c r="BF946" s="16">
        <v>1</v>
      </c>
      <c r="BG946" s="77">
        <v>3993</v>
      </c>
      <c r="BH946" s="23">
        <f>BG946/AS946</f>
        <v>28319.148936170212</v>
      </c>
      <c r="BI946" s="16">
        <v>1</v>
      </c>
      <c r="BJ946" s="23">
        <v>5</v>
      </c>
      <c r="BK946" s="23">
        <f>BJ946/AS946</f>
        <v>35.460992907801412</v>
      </c>
      <c r="BL946" s="16">
        <f>IF(BM946&gt;0,1,0)</f>
        <v>0</v>
      </c>
      <c r="BM946" s="16">
        <f>SUM(BR946,BU946,BX946,CA946,CD946,CG946,CJ946,CM946,CP946)</f>
        <v>0</v>
      </c>
      <c r="BN946" s="16">
        <f>SUM(BW946,BZ946,CC946,CF946,CI946,CL946,CO946,CR946,BT946)</f>
        <v>0</v>
      </c>
      <c r="BO946" s="16">
        <f>IF(BP946&gt;0,1,0)</f>
        <v>0</v>
      </c>
      <c r="BP946" s="16">
        <f>SUM(BU946,BX946,CA946,CD946,BR946)</f>
        <v>0</v>
      </c>
      <c r="BQ946" s="16">
        <f>SUM(BZ946,CC946,CF946,BT946,BW946)</f>
        <v>0</v>
      </c>
      <c r="BR946" s="16">
        <v>0</v>
      </c>
      <c r="BS946" s="23">
        <v>0</v>
      </c>
      <c r="BT946" s="77">
        <f>BS946/AS946</f>
        <v>0</v>
      </c>
      <c r="BU946" s="16">
        <v>0</v>
      </c>
      <c r="BV946" s="23">
        <v>0</v>
      </c>
      <c r="BW946" s="16">
        <f>BV946/AS946</f>
        <v>0</v>
      </c>
      <c r="BX946" s="16">
        <v>0</v>
      </c>
      <c r="BY946" s="23">
        <v>0</v>
      </c>
      <c r="BZ946" s="16">
        <f>BY946/AS946</f>
        <v>0</v>
      </c>
      <c r="CA946" s="16">
        <v>0</v>
      </c>
      <c r="CB946" s="23">
        <v>0</v>
      </c>
      <c r="CC946" s="23">
        <f>CB946/AS946</f>
        <v>0</v>
      </c>
      <c r="CD946" s="77">
        <v>0</v>
      </c>
      <c r="CE946" s="23">
        <v>0</v>
      </c>
      <c r="CF946" s="23">
        <f>CE946/AS946</f>
        <v>0</v>
      </c>
      <c r="CG946" s="23">
        <v>0</v>
      </c>
      <c r="CH946" s="23">
        <v>0</v>
      </c>
      <c r="CI946" s="23">
        <f>CH946/AS946</f>
        <v>0</v>
      </c>
      <c r="CJ946" s="23"/>
      <c r="CK946" s="23"/>
      <c r="CL946" s="23"/>
      <c r="CM946" s="23">
        <v>0</v>
      </c>
      <c r="CN946" s="23">
        <v>0</v>
      </c>
      <c r="CO946" s="23">
        <f>CN946/AS946</f>
        <v>0</v>
      </c>
      <c r="CP946" s="23">
        <v>0</v>
      </c>
      <c r="CQ946" s="23">
        <v>0</v>
      </c>
      <c r="CR946" s="23">
        <f>CQ946/AS946</f>
        <v>0</v>
      </c>
      <c r="CS946" s="16">
        <f>IF(CT946&gt;0,1,0)</f>
        <v>1</v>
      </c>
      <c r="CT946" s="16">
        <f>SUM(CW946,CZ946,DC946)</f>
        <v>2</v>
      </c>
      <c r="CV946" s="23">
        <f>SUM(CY946,DB946,DE946)</f>
        <v>21.276595744680851</v>
      </c>
      <c r="CW946" s="16">
        <v>1</v>
      </c>
      <c r="CX946" s="23">
        <v>2</v>
      </c>
      <c r="CY946" s="23">
        <f>CX946/AS946</f>
        <v>14.184397163120567</v>
      </c>
      <c r="CZ946" s="23">
        <v>1</v>
      </c>
      <c r="DA946" s="23">
        <v>1</v>
      </c>
      <c r="DB946" s="23">
        <f>DA946/AS946</f>
        <v>7.0921985815602833</v>
      </c>
      <c r="DC946" s="23">
        <v>0</v>
      </c>
      <c r="DD946" s="23">
        <v>0</v>
      </c>
      <c r="DE946" s="23">
        <f>DD946/AS946</f>
        <v>0</v>
      </c>
      <c r="DF946" s="16" t="e">
        <f>VLOOKUP(K946,'[3]RNA Seq summary tables'!$V$3:$V$99,1,FALSE)</f>
        <v>#N/A</v>
      </c>
      <c r="DG946" s="16">
        <v>1</v>
      </c>
      <c r="DH946" s="16" t="str">
        <f>VLOOKUP(D946,'[6]workflow 3.2018'!$A$1:$S$237,2,FALSE)</f>
        <v>2017MLBS_57</v>
      </c>
      <c r="DI946" s="23">
        <v>71</v>
      </c>
      <c r="DJ946" s="23"/>
      <c r="DK946" s="23">
        <v>19</v>
      </c>
      <c r="DL946" s="23"/>
      <c r="DM946" s="23">
        <v>10</v>
      </c>
      <c r="DN946" s="23"/>
      <c r="DO946" s="23">
        <v>0</v>
      </c>
      <c r="DP946" s="23"/>
      <c r="DQ946" s="23">
        <v>0</v>
      </c>
      <c r="DR946" s="23">
        <v>100</v>
      </c>
      <c r="DS946" s="23"/>
      <c r="DT946" s="25"/>
      <c r="DU946" s="25"/>
      <c r="DV946" s="25"/>
      <c r="DW946" s="25"/>
      <c r="DX946" s="25"/>
      <c r="DY946" s="25"/>
      <c r="DZ946" s="25"/>
      <c r="EA946" s="25"/>
      <c r="EB946" s="25"/>
      <c r="EC946" s="25"/>
      <c r="ED946" s="25"/>
      <c r="EE946" s="25"/>
      <c r="EF946" s="25"/>
      <c r="EG946" s="25"/>
      <c r="EH946" s="25"/>
      <c r="EI946" s="25"/>
      <c r="EJ946" s="25"/>
      <c r="EK946" s="25"/>
      <c r="EL946" s="25"/>
      <c r="EM946" s="25"/>
      <c r="EN946" s="25"/>
      <c r="EO946" s="25"/>
      <c r="EP946" s="25"/>
      <c r="EQ946" s="25"/>
      <c r="ER946" s="25"/>
      <c r="ES946" s="25"/>
      <c r="ET946" s="25"/>
      <c r="EU946" s="25"/>
      <c r="EV946" s="25"/>
      <c r="EW946" s="25"/>
      <c r="EX946" s="25"/>
      <c r="EY946" s="25"/>
      <c r="EZ946" s="25"/>
      <c r="FA946" s="25"/>
      <c r="FB946" s="25"/>
      <c r="FC946" s="25"/>
      <c r="FD946" s="25"/>
      <c r="FE946" s="25"/>
      <c r="FF946" s="25"/>
      <c r="FG946" s="25"/>
      <c r="FH946" s="25"/>
      <c r="FI946" s="25"/>
      <c r="FJ946" s="25"/>
      <c r="FK946" s="25"/>
      <c r="FL946" s="25"/>
      <c r="FM946" s="25"/>
      <c r="FN946" s="25"/>
      <c r="FO946" s="25"/>
      <c r="FP946" s="25"/>
      <c r="FQ946" s="25"/>
      <c r="FR946" s="25"/>
      <c r="FS946" s="25"/>
      <c r="FT946" s="25"/>
      <c r="FU946" s="25"/>
      <c r="FV946" s="25"/>
      <c r="FW946" s="25"/>
      <c r="FX946" s="25"/>
      <c r="FY946" s="25"/>
      <c r="FZ946" s="25"/>
      <c r="GA946" s="25"/>
      <c r="GB946" s="25"/>
      <c r="GC946" s="25"/>
      <c r="GD946" s="25"/>
      <c r="GE946" s="25"/>
      <c r="GF946" s="25"/>
      <c r="GG946" s="25"/>
      <c r="GH946" s="25"/>
      <c r="GI946" s="25"/>
      <c r="GJ946" s="25"/>
      <c r="GK946" s="25"/>
      <c r="GL946" s="25"/>
      <c r="GM946" s="25"/>
      <c r="GN946" s="25"/>
      <c r="GO946" s="25"/>
      <c r="GP946" s="25"/>
      <c r="GQ946" s="25"/>
      <c r="GR946" s="25"/>
      <c r="GS946" s="25"/>
      <c r="GT946" s="25"/>
      <c r="GU946" s="25"/>
      <c r="GV946" s="25"/>
      <c r="GW946" s="25"/>
      <c r="GX946" s="25"/>
      <c r="GY946" s="25"/>
      <c r="GZ946" s="25"/>
      <c r="HA946" s="25"/>
      <c r="HB946" s="25"/>
      <c r="HC946" s="25"/>
      <c r="HD946" s="25"/>
      <c r="HE946" s="25"/>
      <c r="HF946" s="25"/>
      <c r="HG946" s="25"/>
      <c r="HH946" s="25"/>
      <c r="HI946" s="25"/>
      <c r="HJ946" s="25"/>
      <c r="HK946" s="25"/>
      <c r="HL946" s="25"/>
      <c r="HM946" s="25"/>
      <c r="HN946" s="25"/>
      <c r="HO946" s="25"/>
      <c r="HP946" s="25"/>
      <c r="HQ946" s="25"/>
      <c r="HR946" s="25"/>
      <c r="HS946" s="25"/>
      <c r="HT946" s="25"/>
      <c r="HU946" s="25"/>
      <c r="HV946" s="25"/>
      <c r="HW946" s="25"/>
      <c r="HX946" s="25"/>
      <c r="HY946" s="25"/>
      <c r="HZ946" s="25"/>
      <c r="IA946" s="25"/>
      <c r="IB946" s="25"/>
      <c r="IC946" s="25"/>
      <c r="ID946" s="25"/>
      <c r="IE946" s="25"/>
      <c r="IF946" s="25"/>
      <c r="IG946" s="25"/>
      <c r="IH946" s="25"/>
      <c r="II946" s="25"/>
      <c r="IJ946" s="25"/>
      <c r="IK946" s="25"/>
      <c r="IL946" s="25"/>
      <c r="IM946" s="25"/>
      <c r="IN946" s="25"/>
      <c r="IO946" s="25"/>
      <c r="IP946" s="25"/>
      <c r="IQ946" s="25"/>
      <c r="IR946" s="25"/>
      <c r="IS946" s="25"/>
      <c r="IT946" s="25"/>
      <c r="IU946" s="25"/>
      <c r="IV946" s="25"/>
      <c r="IW946" s="25"/>
      <c r="IX946" s="25"/>
      <c r="IY946" s="25"/>
      <c r="IZ946" s="25"/>
      <c r="JA946" s="25"/>
      <c r="JB946" s="25"/>
      <c r="JC946" s="25"/>
      <c r="JD946" s="25"/>
      <c r="JE946" s="25"/>
      <c r="JF946" s="25"/>
      <c r="JG946" s="25"/>
      <c r="JH946" s="25"/>
      <c r="JI946" s="25"/>
      <c r="JJ946" s="25"/>
      <c r="JK946" s="25"/>
      <c r="JL946" s="25"/>
      <c r="JM946" s="25"/>
      <c r="JN946" s="25"/>
      <c r="JO946" s="23"/>
      <c r="JP946" s="23"/>
      <c r="JQ946" s="23"/>
      <c r="JR946" s="23"/>
      <c r="JS946" s="23"/>
      <c r="JT946" s="23"/>
      <c r="JU946" s="23"/>
      <c r="JV946" s="23"/>
      <c r="JW946" s="23"/>
      <c r="JX946" s="23"/>
      <c r="JY946" s="23"/>
      <c r="JZ946" s="23"/>
      <c r="KA946" s="23"/>
      <c r="KB946" s="23"/>
    </row>
    <row r="947" spans="2:288" x14ac:dyDescent="0.2">
      <c r="B947" s="16">
        <v>2017</v>
      </c>
      <c r="C947" s="20">
        <v>42929</v>
      </c>
      <c r="D947" s="20" t="str">
        <f>CONCATENATE(J947,"-",C947)</f>
        <v>1098-42929</v>
      </c>
      <c r="E947" s="20" t="str">
        <f>CONCATENATE(T947,"-",U947,"-",C947)</f>
        <v>PO2-H1-42929</v>
      </c>
      <c r="F947" s="20" t="s">
        <v>106</v>
      </c>
      <c r="G947" s="20" t="s">
        <v>107</v>
      </c>
      <c r="I947" s="16">
        <v>0</v>
      </c>
      <c r="J947" s="21">
        <v>1098</v>
      </c>
      <c r="K947" s="21">
        <v>1893</v>
      </c>
      <c r="L947" s="18">
        <v>0</v>
      </c>
      <c r="M947" s="21">
        <f>VLOOKUP($K947,'[4]blood tubes 2017'!$D$1:$L$647,8,FALSE)</f>
        <v>0</v>
      </c>
      <c r="N947" s="15">
        <v>0</v>
      </c>
      <c r="O947" s="15" t="s">
        <v>214</v>
      </c>
      <c r="P947" s="16" t="s">
        <v>110</v>
      </c>
      <c r="Q947" s="16">
        <v>1</v>
      </c>
      <c r="R947" s="16">
        <v>34</v>
      </c>
      <c r="T947" s="16" t="s">
        <v>127</v>
      </c>
      <c r="U947" s="16" t="s">
        <v>191</v>
      </c>
      <c r="V947" s="16" t="s">
        <v>114</v>
      </c>
      <c r="W947" s="16">
        <f>AI947/AG947</f>
        <v>0.8</v>
      </c>
      <c r="X947" s="16" t="s">
        <v>115</v>
      </c>
      <c r="Y947" s="16" t="s">
        <v>110</v>
      </c>
      <c r="Z947" s="16">
        <v>3</v>
      </c>
      <c r="AE947" s="16" t="s">
        <v>116</v>
      </c>
      <c r="AF947" s="16" t="s">
        <v>116</v>
      </c>
      <c r="AG947" s="16">
        <f>AH947-AI947</f>
        <v>95</v>
      </c>
      <c r="AH947" s="16">
        <v>171</v>
      </c>
      <c r="AI947" s="16">
        <v>76</v>
      </c>
      <c r="AK947" s="16">
        <v>22</v>
      </c>
      <c r="AL947" s="16">
        <v>1</v>
      </c>
      <c r="AM947" s="16">
        <v>0</v>
      </c>
      <c r="AN947" s="16">
        <v>0</v>
      </c>
      <c r="AO947" s="16">
        <v>1</v>
      </c>
      <c r="AP947" s="16">
        <f>SUM(AL947:AN947)</f>
        <v>1</v>
      </c>
      <c r="AQ947" s="16">
        <v>1.6240000000000001</v>
      </c>
      <c r="AR947" s="16">
        <f>AP947-1.472</f>
        <v>-0.47199999999999998</v>
      </c>
      <c r="AS947" s="16">
        <f>AQ947-1.472</f>
        <v>0.15200000000000014</v>
      </c>
      <c r="AT947" s="16" t="str">
        <f>VLOOKUP(K947,'[5]FECs - good data'!$C$1:$P$575,13,FALSE)</f>
        <v>SB</v>
      </c>
      <c r="AU947" s="18" t="s">
        <v>1293</v>
      </c>
      <c r="AV947" s="16">
        <v>0</v>
      </c>
      <c r="AW947" s="18">
        <f>IF(AX947&gt;0,1,0)</f>
        <v>0</v>
      </c>
      <c r="AX947" s="18">
        <f>SUM(BA947,BM947,CT947)</f>
        <v>0</v>
      </c>
      <c r="AY947" s="18">
        <f>SUM(BB947,BN947,CV947)</f>
        <v>0</v>
      </c>
      <c r="AZ947" s="18">
        <f>IF(BA947&gt;0,1,0)</f>
        <v>0</v>
      </c>
      <c r="BA947" s="18">
        <f>SUM(BC947,BF947,BI947)</f>
        <v>0</v>
      </c>
      <c r="BB947" s="18">
        <f>SUM(BE947,BH947,BK947)</f>
        <v>0</v>
      </c>
      <c r="BC947" s="18">
        <f>IF(BD947&gt;0,1,0)</f>
        <v>0</v>
      </c>
      <c r="BD947" s="18">
        <f>VLOOKUP($K947,'[5]FECs - good data'!$C$1:$Z$574,14,FALSE)</f>
        <v>0</v>
      </c>
      <c r="BE947" s="16">
        <f>BD947/AS947</f>
        <v>0</v>
      </c>
      <c r="BF947" s="16">
        <f>IF(BG947&gt;0,1,0)</f>
        <v>0</v>
      </c>
      <c r="BG947" s="77">
        <f>VLOOKUP($K947,'[5]FECs - good data'!$C$1:$Z$574,15,FALSE)</f>
        <v>0</v>
      </c>
      <c r="BH947" s="16">
        <f>BG947/AS947</f>
        <v>0</v>
      </c>
      <c r="BI947" s="16">
        <f>IF(BJ947&gt;0,1,0)</f>
        <v>0</v>
      </c>
      <c r="BJ947" s="16">
        <f>VLOOKUP($K947,'[5]FECs - good data'!$C$1:$Z$574,16,FALSE)</f>
        <v>0</v>
      </c>
      <c r="BK947" s="16">
        <f>BJ947/AS947</f>
        <v>0</v>
      </c>
      <c r="BL947" s="16">
        <f>IF(BM947&gt;0,1,0)</f>
        <v>0</v>
      </c>
      <c r="BM947" s="16">
        <f>SUM(BR947,BU947,BX947,CA947,CD947,CG947,CJ947,CM947,CP947)</f>
        <v>0</v>
      </c>
      <c r="BN947" s="16">
        <f>SUM(BW947,BZ947,CC947,CF947,CI947,CL947,CO947,CR947,BT947)</f>
        <v>0</v>
      </c>
      <c r="BO947" s="16">
        <f>IF(BP947&gt;0,1,0)</f>
        <v>0</v>
      </c>
      <c r="BP947" s="16">
        <f>SUM(BU947,BX947,CA947,CD947,BR947)</f>
        <v>0</v>
      </c>
      <c r="BQ947" s="16">
        <f>SUM(BZ947,CC947,CF947,BT947,BW947)</f>
        <v>0</v>
      </c>
      <c r="BR947" s="16">
        <f>IF(BS947&gt;0,1,0)</f>
        <v>0</v>
      </c>
      <c r="BS947" s="16">
        <f>VLOOKUP($K947,'[5]FECs - good data'!$C$1:$Z$574,17,FALSE)</f>
        <v>0</v>
      </c>
      <c r="BT947" s="77">
        <f>BS947/AS947</f>
        <v>0</v>
      </c>
      <c r="BU947" s="16">
        <f>IF(BV947&gt;0,1,0)</f>
        <v>0</v>
      </c>
      <c r="BV947" s="16">
        <f>VLOOKUP($K947,'[5]FECs - good data'!$C$1:$Z$574,18,FALSE)</f>
        <v>0</v>
      </c>
      <c r="BW947" s="16">
        <f>BV947/AS947</f>
        <v>0</v>
      </c>
      <c r="BX947" s="16">
        <f>IF(BY947&gt;0,1,0)</f>
        <v>0</v>
      </c>
      <c r="BY947" s="16">
        <f>VLOOKUP($K947,'[5]FECs - good data'!$C$1:$Z$574,19,FALSE)</f>
        <v>0</v>
      </c>
      <c r="BZ947" s="16">
        <f>BY947/AS947</f>
        <v>0</v>
      </c>
      <c r="CA947" s="16">
        <f>IF(CB947&gt;0,1,0)</f>
        <v>0</v>
      </c>
      <c r="CB947" s="16">
        <f>VLOOKUP($K947,'[5]FECs - good data'!$C$1:$Z$574,20,FALSE)</f>
        <v>0</v>
      </c>
      <c r="CC947" s="16">
        <f>CB947/AS947</f>
        <v>0</v>
      </c>
      <c r="CD947" s="77">
        <f>IF(CE947&gt;0,1,0)</f>
        <v>0</v>
      </c>
      <c r="CE947" s="16">
        <f>VLOOKUP($K947,'[5]FECs - good data'!$C$1:$Z$574,21,FALSE)</f>
        <v>0</v>
      </c>
      <c r="CF947" s="16">
        <f>CE947/AS947</f>
        <v>0</v>
      </c>
      <c r="CG947" s="16">
        <f>IF(CH947&gt;0,1,0)</f>
        <v>0</v>
      </c>
      <c r="CH947" s="16">
        <f>VLOOKUP($K947,'[5]FECs - good data'!$C$1:$Z$574,22,FALSE)</f>
        <v>0</v>
      </c>
      <c r="CI947" s="16">
        <f>CH947/AS947</f>
        <v>0</v>
      </c>
      <c r="CJ947" s="16">
        <f>IF(CK947&gt;0,1,0)</f>
        <v>0</v>
      </c>
      <c r="CK947" s="16">
        <f>VLOOKUP($K947,'[5]FECs - good data'!$C$1:$Z$674,24,FALSE)</f>
        <v>0</v>
      </c>
      <c r="CL947" s="16">
        <f>CK947/AS947</f>
        <v>0</v>
      </c>
      <c r="CS947" s="16">
        <f>IF(CT947&gt;0,1,0)</f>
        <v>0</v>
      </c>
      <c r="CT947" s="16">
        <f>SUM(CW947+CZ947,DC947)</f>
        <v>0</v>
      </c>
      <c r="CV947" s="16">
        <f>SUM(CY947,DB947,DE947)</f>
        <v>0</v>
      </c>
      <c r="CW947" s="16">
        <f>IF(CX947&gt;0,1,0)</f>
        <v>0</v>
      </c>
      <c r="CX947" s="16">
        <f>VLOOKUP($K947,'[5]FECs - good data'!$C$1:$Z$574,22,FALSE)</f>
        <v>0</v>
      </c>
      <c r="CY947" s="16">
        <f>CX947/AS947</f>
        <v>0</v>
      </c>
      <c r="CZ947" s="16">
        <f>IF(DA947&gt;0,1,0)</f>
        <v>0</v>
      </c>
      <c r="DA947" s="16">
        <f>VLOOKUP($K947,'[5]FECs - good data'!$C$1:$Z$5982,23,FALSE)</f>
        <v>0</v>
      </c>
      <c r="DB947" s="16">
        <f>DA947/AS947</f>
        <v>0</v>
      </c>
      <c r="DC947" s="16">
        <f>IF(DD947&gt;0,1,0)</f>
        <v>0</v>
      </c>
      <c r="DD947" s="16">
        <f>VLOOKUP($K947,'[5]FECs - good data'!$C$1:$Z$574,23,FALSE)</f>
        <v>0</v>
      </c>
      <c r="DE947" s="16">
        <f>DD947/AS947</f>
        <v>0</v>
      </c>
      <c r="DF947" s="16" t="e">
        <f>VLOOKUP(K947,'[3]RNA Seq summary tables'!$V$3:$V$99,1,FALSE)</f>
        <v>#N/A</v>
      </c>
      <c r="JR947" s="27"/>
      <c r="JS947" s="27"/>
      <c r="JT947" s="27"/>
      <c r="JU947" s="27"/>
      <c r="JV947" s="27"/>
      <c r="JW947" s="27"/>
      <c r="JX947" s="27"/>
      <c r="JY947" s="27"/>
      <c r="JZ947" s="27"/>
      <c r="KA947" s="27"/>
      <c r="KB947" s="27"/>
    </row>
    <row r="948" spans="2:288" x14ac:dyDescent="0.2">
      <c r="B948" s="16">
        <v>2017</v>
      </c>
      <c r="C948" s="66">
        <v>42896</v>
      </c>
      <c r="D948" s="66" t="str">
        <f>CONCATENATE(J948,"-",C948)</f>
        <v>1100-42896</v>
      </c>
      <c r="E948" s="20" t="str">
        <f>CONCATENATE(T948,"-",U948,"-",C948)</f>
        <v>HW2-A8-42896</v>
      </c>
      <c r="F948" s="20" t="s">
        <v>106</v>
      </c>
      <c r="G948" s="20" t="s">
        <v>107</v>
      </c>
      <c r="I948" s="16">
        <v>0</v>
      </c>
      <c r="J948" s="21">
        <v>1100</v>
      </c>
      <c r="K948" s="21">
        <v>1650</v>
      </c>
      <c r="L948" s="18">
        <v>0</v>
      </c>
      <c r="M948" s="21">
        <f>VLOOKUP($K948,'[4]blood tubes 2017'!$D$1:$L$647,8,FALSE)</f>
        <v>0</v>
      </c>
      <c r="N948" s="15">
        <v>0</v>
      </c>
      <c r="O948" s="15" t="s">
        <v>214</v>
      </c>
      <c r="P948" s="16" t="s">
        <v>110</v>
      </c>
      <c r="Q948" s="16">
        <v>0</v>
      </c>
      <c r="R948" s="16" t="s">
        <v>111</v>
      </c>
      <c r="T948" s="16" t="s">
        <v>129</v>
      </c>
      <c r="U948" s="16" t="s">
        <v>194</v>
      </c>
      <c r="V948" s="16" t="s">
        <v>114</v>
      </c>
      <c r="W948" s="16">
        <f>AI948/AG948</f>
        <v>0.85106382978723405</v>
      </c>
      <c r="X948" s="16" t="s">
        <v>121</v>
      </c>
      <c r="Y948" s="16" t="s">
        <v>110</v>
      </c>
      <c r="Z948" s="16">
        <v>3</v>
      </c>
      <c r="AA948" s="16" t="s">
        <v>119</v>
      </c>
      <c r="AB948" s="16" t="s">
        <v>115</v>
      </c>
      <c r="AC948" s="16" t="s">
        <v>123</v>
      </c>
      <c r="AD948" s="16" t="s">
        <v>123</v>
      </c>
      <c r="AG948" s="16">
        <f>AH948-AI948</f>
        <v>94</v>
      </c>
      <c r="AH948" s="16">
        <v>174</v>
      </c>
      <c r="AI948" s="16">
        <v>80</v>
      </c>
      <c r="AK948" s="16">
        <v>20</v>
      </c>
      <c r="AL948" s="16">
        <v>0</v>
      </c>
      <c r="AM948" s="16">
        <v>0</v>
      </c>
      <c r="AN948" s="16">
        <v>0</v>
      </c>
      <c r="AO948" s="16">
        <v>0</v>
      </c>
      <c r="AP948" s="16">
        <f>SUM(AL948:AN948)</f>
        <v>0</v>
      </c>
      <c r="AQ948" s="16">
        <v>1.845</v>
      </c>
      <c r="AR948" s="16">
        <f>AP948-1.472</f>
        <v>-1.472</v>
      </c>
      <c r="AS948" s="16">
        <f>AQ948-1.472</f>
        <v>0.373</v>
      </c>
      <c r="AT948" s="18" t="s">
        <v>235</v>
      </c>
      <c r="AU948" s="18"/>
      <c r="AW948" s="40"/>
      <c r="AX948" s="40"/>
      <c r="AY948" s="40"/>
      <c r="AZ948" s="40"/>
      <c r="BA948" s="40"/>
      <c r="BB948" s="40"/>
      <c r="BC948" s="40"/>
      <c r="BD948" s="40"/>
      <c r="BE948" s="40"/>
      <c r="BF948" s="40"/>
      <c r="BG948" s="79"/>
      <c r="BH948" s="40"/>
      <c r="BI948" s="40"/>
      <c r="BJ948" s="40"/>
      <c r="BK948" s="40"/>
      <c r="BL948" s="40"/>
      <c r="BM948" s="40"/>
      <c r="BN948" s="40"/>
      <c r="BO948" s="40"/>
      <c r="BP948" s="40"/>
      <c r="BQ948" s="40"/>
      <c r="BR948" s="40"/>
      <c r="BS948" s="40"/>
      <c r="BT948" s="79"/>
      <c r="BU948" s="40"/>
      <c r="BV948" s="40"/>
      <c r="BW948" s="40"/>
      <c r="BX948" s="40"/>
      <c r="BY948" s="40"/>
      <c r="BZ948" s="40"/>
      <c r="CA948" s="40"/>
      <c r="CB948" s="40"/>
      <c r="CC948" s="40"/>
      <c r="CD948" s="79"/>
      <c r="CE948" s="40"/>
      <c r="CF948" s="40"/>
      <c r="CG948" s="40"/>
      <c r="CH948" s="40"/>
      <c r="CI948" s="40"/>
      <c r="CJ948" s="40"/>
      <c r="CK948" s="40"/>
      <c r="CL948" s="40"/>
      <c r="CM948" s="40"/>
      <c r="CN948" s="40"/>
      <c r="CO948" s="40"/>
      <c r="CP948" s="40"/>
      <c r="CQ948" s="40"/>
      <c r="CR948" s="40"/>
      <c r="CS948" s="40"/>
      <c r="CT948" s="40"/>
      <c r="CU948" s="40"/>
      <c r="CV948" s="40"/>
      <c r="CW948" s="40"/>
      <c r="CX948" s="40"/>
      <c r="CY948" s="40"/>
      <c r="CZ948" s="40"/>
      <c r="DA948" s="40"/>
      <c r="DB948" s="40"/>
      <c r="DC948" s="40"/>
      <c r="DD948" s="40"/>
      <c r="DE948" s="40"/>
      <c r="DF948" s="16" t="e">
        <f>VLOOKUP(K948,'[3]RNA Seq summary tables'!$V$3:$V$99,1,FALSE)</f>
        <v>#N/A</v>
      </c>
      <c r="DI948" s="40"/>
      <c r="DK948" s="16">
        <v>21</v>
      </c>
      <c r="DM948" s="16">
        <v>1</v>
      </c>
      <c r="DO948" s="16">
        <v>0</v>
      </c>
      <c r="DQ948" s="16">
        <v>0</v>
      </c>
      <c r="DR948" s="16">
        <v>45</v>
      </c>
    </row>
    <row r="949" spans="2:288" x14ac:dyDescent="0.2">
      <c r="B949" s="16">
        <v>2017</v>
      </c>
      <c r="C949" s="66">
        <v>42896</v>
      </c>
      <c r="D949" s="66" t="str">
        <f>CONCATENATE(J949,"-",C949)</f>
        <v>1102-42896</v>
      </c>
      <c r="E949" s="20" t="str">
        <f>CONCATENATE(T949,"-",U949,"-",C949)</f>
        <v>HW2-D3-42896</v>
      </c>
      <c r="F949" s="20" t="s">
        <v>106</v>
      </c>
      <c r="G949" s="20" t="s">
        <v>107</v>
      </c>
      <c r="I949" s="16">
        <v>0</v>
      </c>
      <c r="J949" s="21">
        <v>1102</v>
      </c>
      <c r="K949" s="21">
        <v>1652</v>
      </c>
      <c r="L949" s="18">
        <v>0</v>
      </c>
      <c r="M949" s="21">
        <f>VLOOKUP($K949,'[4]blood tubes 2017'!$D$1:$L$647,8,FALSE)</f>
        <v>0</v>
      </c>
      <c r="N949" s="15">
        <v>0</v>
      </c>
      <c r="O949" s="15" t="s">
        <v>214</v>
      </c>
      <c r="P949" s="16" t="s">
        <v>110</v>
      </c>
      <c r="Q949" s="16">
        <v>0</v>
      </c>
      <c r="R949" s="16" t="s">
        <v>111</v>
      </c>
      <c r="T949" s="16" t="s">
        <v>129</v>
      </c>
      <c r="U949" s="16" t="s">
        <v>149</v>
      </c>
      <c r="V949" s="16" t="s">
        <v>114</v>
      </c>
      <c r="W949" s="16">
        <f>AI949/AG949</f>
        <v>0.90217391304347827</v>
      </c>
      <c r="X949" s="16" t="s">
        <v>115</v>
      </c>
      <c r="Y949" s="16" t="s">
        <v>110</v>
      </c>
      <c r="Z949" s="16">
        <v>3</v>
      </c>
      <c r="AE949" s="16" t="s">
        <v>123</v>
      </c>
      <c r="AF949" s="16" t="s">
        <v>123</v>
      </c>
      <c r="AG949" s="16">
        <f>AH949-AI949</f>
        <v>92</v>
      </c>
      <c r="AH949" s="16">
        <v>175</v>
      </c>
      <c r="AI949" s="16">
        <v>83</v>
      </c>
      <c r="AK949" s="16">
        <v>23.5</v>
      </c>
      <c r="AL949" s="16">
        <v>0</v>
      </c>
      <c r="AM949" s="16">
        <v>0</v>
      </c>
      <c r="AN949" s="16">
        <v>0</v>
      </c>
      <c r="AO949" s="16">
        <v>0</v>
      </c>
      <c r="AP949" s="16">
        <f>SUM(AL949:AN949)</f>
        <v>0</v>
      </c>
      <c r="AQ949" s="16">
        <v>1.6739999999999999</v>
      </c>
      <c r="AR949" s="16">
        <f>AP949-1.472</f>
        <v>-1.472</v>
      </c>
      <c r="AS949" s="16">
        <f>AQ949-1.472</f>
        <v>0.20199999999999996</v>
      </c>
      <c r="AT949" s="16" t="s">
        <v>119</v>
      </c>
      <c r="AW949" s="16">
        <f>IF(AX949&gt;0,1,0)</f>
        <v>1</v>
      </c>
      <c r="AX949" s="16">
        <f>SUM(BA949,BM949,CT949)</f>
        <v>6</v>
      </c>
      <c r="AY949" s="18">
        <f>SUM(BB949,BN949,CV949)</f>
        <v>4074.2574257425749</v>
      </c>
      <c r="AZ949" s="16">
        <f>IF(BA949&gt;0,1,0)</f>
        <v>1</v>
      </c>
      <c r="BA949" s="16">
        <f>SUM(BC949,BF949,BI949)</f>
        <v>1</v>
      </c>
      <c r="BB949" s="16">
        <f>SUM(BE949,BH949,BK949)</f>
        <v>133.66336633663369</v>
      </c>
      <c r="BC949" s="16">
        <v>0</v>
      </c>
      <c r="BD949" s="16">
        <v>0</v>
      </c>
      <c r="BE949" s="16">
        <f>BD949/AS949</f>
        <v>0</v>
      </c>
      <c r="BF949" s="16">
        <v>1</v>
      </c>
      <c r="BG949" s="77">
        <v>27</v>
      </c>
      <c r="BH949" s="16">
        <f>BG949/AS949</f>
        <v>133.66336633663369</v>
      </c>
      <c r="BI949" s="16">
        <v>0</v>
      </c>
      <c r="BJ949" s="16">
        <v>0</v>
      </c>
      <c r="BK949" s="16">
        <f>BJ949/AS949</f>
        <v>0</v>
      </c>
      <c r="BL949" s="16">
        <f>IF(BM949&gt;0,1,0)</f>
        <v>1</v>
      </c>
      <c r="BM949" s="16">
        <f>SUM(BR949,BU949,BX949,CA949,CD949,CG949,CJ949,CM949,CP949)</f>
        <v>5</v>
      </c>
      <c r="BN949" s="16">
        <f>SUM(BW949,BZ949,CC949,CF949,CI949,CL949,CO949,CR949,BT949)</f>
        <v>3940.5940594059412</v>
      </c>
      <c r="BO949" s="16">
        <f>IF(BP949&gt;0,1,0)</f>
        <v>1</v>
      </c>
      <c r="BP949" s="16">
        <f>SUM(BU949,BX949,CA949,CD949,BR949)</f>
        <v>4</v>
      </c>
      <c r="BQ949" s="16">
        <f>SUM(BZ949,CC949,CF949,BT949,BW949)</f>
        <v>3935.6435643564364</v>
      </c>
      <c r="BR949" s="16">
        <v>1</v>
      </c>
      <c r="BS949" s="16">
        <v>4</v>
      </c>
      <c r="BT949" s="77">
        <f>BS949/AS949</f>
        <v>19.801980198019805</v>
      </c>
      <c r="BU949" s="16">
        <v>1</v>
      </c>
      <c r="BV949" s="16">
        <v>787</v>
      </c>
      <c r="BW949" s="16">
        <f>BV949/AS949</f>
        <v>3896.039603960397</v>
      </c>
      <c r="BX949" s="16">
        <v>1</v>
      </c>
      <c r="BY949" s="16">
        <v>3</v>
      </c>
      <c r="BZ949" s="16">
        <f>BY949/AS949</f>
        <v>14.851485148514854</v>
      </c>
      <c r="CA949" s="16">
        <v>1</v>
      </c>
      <c r="CB949" s="16">
        <v>1</v>
      </c>
      <c r="CC949" s="16">
        <f>CB949/AS949</f>
        <v>4.9504950495049513</v>
      </c>
      <c r="CD949" s="77">
        <v>0</v>
      </c>
      <c r="CE949" s="16">
        <v>0</v>
      </c>
      <c r="CF949" s="16">
        <f>CE949/AS949</f>
        <v>0</v>
      </c>
      <c r="CG949" s="16">
        <v>1</v>
      </c>
      <c r="CH949" s="16">
        <v>1</v>
      </c>
      <c r="CI949" s="16">
        <f>CH949/AS949</f>
        <v>4.9504950495049513</v>
      </c>
      <c r="CM949" s="16">
        <v>0</v>
      </c>
      <c r="CN949" s="16">
        <v>0</v>
      </c>
      <c r="CO949" s="16">
        <f>CN949/AS949</f>
        <v>0</v>
      </c>
      <c r="CP949" s="16">
        <v>0</v>
      </c>
      <c r="CQ949" s="16">
        <v>0</v>
      </c>
      <c r="CR949" s="16">
        <f>CQ949/AS949</f>
        <v>0</v>
      </c>
      <c r="CS949" s="16">
        <f>IF(CT949&gt;0,1,0)</f>
        <v>0</v>
      </c>
      <c r="CT949" s="16">
        <f>SUM(CW949,CZ949,DC949)</f>
        <v>0</v>
      </c>
      <c r="CV949" s="16">
        <f>SUM(CY949,DB949,DE949)</f>
        <v>0</v>
      </c>
      <c r="CW949" s="16">
        <v>0</v>
      </c>
      <c r="CX949" s="16">
        <v>0</v>
      </c>
      <c r="CY949" s="16">
        <f>CX949/AS949</f>
        <v>0</v>
      </c>
      <c r="CZ949" s="16">
        <v>0</v>
      </c>
      <c r="DA949" s="16">
        <v>0</v>
      </c>
      <c r="DB949" s="16">
        <f>DA949/AS949</f>
        <v>0</v>
      </c>
      <c r="DC949" s="16">
        <v>0</v>
      </c>
      <c r="DD949" s="16">
        <v>0</v>
      </c>
      <c r="DE949" s="16">
        <f>DD949/AS949</f>
        <v>0</v>
      </c>
      <c r="DF949" s="16" t="e">
        <f>VLOOKUP(K949,'[3]RNA Seq summary tables'!$V$3:$V$99,1,FALSE)</f>
        <v>#N/A</v>
      </c>
      <c r="DI949" s="16">
        <v>54</v>
      </c>
      <c r="DK949" s="16">
        <v>42</v>
      </c>
      <c r="DM949" s="16">
        <v>2</v>
      </c>
      <c r="DO949" s="16">
        <v>0</v>
      </c>
      <c r="DQ949" s="16">
        <v>2</v>
      </c>
      <c r="DR949" s="16">
        <v>100</v>
      </c>
    </row>
    <row r="950" spans="2:288" x14ac:dyDescent="0.2">
      <c r="B950" s="16">
        <v>2017</v>
      </c>
      <c r="C950" s="20">
        <v>42914</v>
      </c>
      <c r="D950" s="20" t="str">
        <f>CONCATENATE(J950,"-",C950)</f>
        <v>1102-42914</v>
      </c>
      <c r="E950" s="20" t="str">
        <f>CONCATENATE(T950,"-",U950,"-",C950)</f>
        <v>HW2-B1-42914</v>
      </c>
      <c r="F950" s="20" t="s">
        <v>106</v>
      </c>
      <c r="G950" s="20" t="s">
        <v>107</v>
      </c>
      <c r="I950" s="16">
        <v>0</v>
      </c>
      <c r="J950" s="21">
        <v>1102</v>
      </c>
      <c r="K950" s="21">
        <v>1767</v>
      </c>
      <c r="L950" s="18">
        <v>0</v>
      </c>
      <c r="M950" s="21">
        <f>VLOOKUP($K950,'[4]blood tubes 2017'!$D$1:$L$647,8,FALSE)</f>
        <v>0</v>
      </c>
      <c r="N950" s="15">
        <v>0</v>
      </c>
      <c r="O950" s="15" t="s">
        <v>214</v>
      </c>
      <c r="P950" s="16" t="s">
        <v>110</v>
      </c>
      <c r="Q950" s="16">
        <v>1</v>
      </c>
      <c r="R950" s="16">
        <v>18</v>
      </c>
      <c r="T950" s="16" t="s">
        <v>129</v>
      </c>
      <c r="U950" s="16" t="s">
        <v>113</v>
      </c>
      <c r="V950" s="16" t="s">
        <v>114</v>
      </c>
      <c r="W950" s="16">
        <f>AI950/AG950</f>
        <v>0.86315789473684212</v>
      </c>
      <c r="X950" s="16" t="s">
        <v>115</v>
      </c>
      <c r="Y950" s="16" t="s">
        <v>110</v>
      </c>
      <c r="Z950" s="16">
        <v>3</v>
      </c>
      <c r="AE950" s="16" t="s">
        <v>123</v>
      </c>
      <c r="AF950" s="16" t="s">
        <v>123</v>
      </c>
      <c r="AG950" s="16">
        <f>AH950-AI950</f>
        <v>95</v>
      </c>
      <c r="AH950" s="16">
        <v>177</v>
      </c>
      <c r="AI950" s="16">
        <v>82</v>
      </c>
      <c r="AK950" s="16">
        <v>22.5</v>
      </c>
      <c r="AL950" s="16">
        <v>0</v>
      </c>
      <c r="AM950" s="16">
        <v>0</v>
      </c>
      <c r="AN950" s="16">
        <v>0</v>
      </c>
      <c r="AO950" s="16">
        <v>0</v>
      </c>
      <c r="AP950" s="16">
        <f>SUM(AL950:AN950)</f>
        <v>0</v>
      </c>
      <c r="AQ950" s="16">
        <v>1.7350000000000001</v>
      </c>
      <c r="AR950" s="16">
        <f>AP950-1.472</f>
        <v>-1.472</v>
      </c>
      <c r="AS950" s="16">
        <f>AQ950-1.472</f>
        <v>0.26300000000000012</v>
      </c>
      <c r="AT950" s="16" t="s">
        <v>119</v>
      </c>
      <c r="AW950" s="16">
        <f>IF(AX950&gt;0,1,0)</f>
        <v>1</v>
      </c>
      <c r="AX950" s="16">
        <f>SUM(BA950,BM950,CT950)</f>
        <v>4</v>
      </c>
      <c r="AY950" s="18">
        <f>SUM(BB950,BN950,CV950)</f>
        <v>1193.9163498098853</v>
      </c>
      <c r="AZ950" s="16">
        <v>1</v>
      </c>
      <c r="BA950" s="16">
        <v>2</v>
      </c>
      <c r="BB950" s="16">
        <f>SUM(BE950,BH950,BK950)</f>
        <v>1186.3117870722429</v>
      </c>
      <c r="BC950" s="16">
        <v>1</v>
      </c>
      <c r="BD950" s="16">
        <v>1</v>
      </c>
      <c r="BE950" s="16">
        <f>BD950/AS950</f>
        <v>3.8022813688212911</v>
      </c>
      <c r="BF950" s="16">
        <v>1</v>
      </c>
      <c r="BG950" s="77">
        <v>311</v>
      </c>
      <c r="BH950" s="16">
        <f>BG950/AS950</f>
        <v>1182.5095057034216</v>
      </c>
      <c r="BI950" s="16">
        <v>0</v>
      </c>
      <c r="BJ950" s="16">
        <v>0</v>
      </c>
      <c r="BK950" s="16">
        <f>BJ950/AS950</f>
        <v>0</v>
      </c>
      <c r="BL950" s="16">
        <f>IF(BM950&gt;0,1,0)</f>
        <v>1</v>
      </c>
      <c r="BM950" s="16">
        <f>SUM(BR950,BU950,BX950,CA950,CD950,CG950,CJ950,CM950,CP950)</f>
        <v>2</v>
      </c>
      <c r="BN950" s="16">
        <f>SUM(BW950,BZ950,CC950,CF950,CI950,CL950,CO950,CR950,BT950)</f>
        <v>7.6045627376425822</v>
      </c>
      <c r="BO950" s="16">
        <f>IF(BP950&gt;0,1,0)</f>
        <v>1</v>
      </c>
      <c r="BP950" s="16">
        <f>SUM(BU950,BX950,CA950,CD950,BR950)</f>
        <v>1</v>
      </c>
      <c r="BQ950" s="16">
        <f>SUM(BZ950,CC950,CF950,BT950,BW950)</f>
        <v>3.8022813688212911</v>
      </c>
      <c r="BR950" s="16">
        <v>0</v>
      </c>
      <c r="BS950" s="16">
        <v>0</v>
      </c>
      <c r="BT950" s="77">
        <f>BS950/AS950</f>
        <v>0</v>
      </c>
      <c r="BU950" s="16">
        <v>0</v>
      </c>
      <c r="BV950" s="16">
        <v>0</v>
      </c>
      <c r="BW950" s="16">
        <f>BV950/AS950</f>
        <v>0</v>
      </c>
      <c r="BX950" s="16">
        <v>1</v>
      </c>
      <c r="BY950" s="16">
        <v>1</v>
      </c>
      <c r="BZ950" s="16">
        <f>BY950/AS950</f>
        <v>3.8022813688212911</v>
      </c>
      <c r="CA950" s="16">
        <v>0</v>
      </c>
      <c r="CB950" s="16">
        <v>0</v>
      </c>
      <c r="CC950" s="16">
        <f>CB950/AS950</f>
        <v>0</v>
      </c>
      <c r="CD950" s="77">
        <v>0</v>
      </c>
      <c r="CE950" s="16">
        <v>0</v>
      </c>
      <c r="CF950" s="16">
        <f>CE950/AS950</f>
        <v>0</v>
      </c>
      <c r="CG950" s="16">
        <v>1</v>
      </c>
      <c r="CH950" s="16">
        <v>1</v>
      </c>
      <c r="CI950" s="16">
        <f>CH950/AS950</f>
        <v>3.8022813688212911</v>
      </c>
      <c r="CM950" s="16">
        <v>0</v>
      </c>
      <c r="CN950" s="16">
        <v>0</v>
      </c>
      <c r="CO950" s="16">
        <f>CN950/AS950</f>
        <v>0</v>
      </c>
      <c r="CP950" s="16">
        <v>0</v>
      </c>
      <c r="CQ950" s="16">
        <v>0</v>
      </c>
      <c r="CR950" s="16">
        <f>CQ950/AS950</f>
        <v>0</v>
      </c>
      <c r="CS950" s="16">
        <v>0</v>
      </c>
      <c r="CT950" s="16">
        <v>0</v>
      </c>
      <c r="CV950" s="16">
        <f>SUM(CY950,DB950,DE950)</f>
        <v>0</v>
      </c>
      <c r="CW950" s="16">
        <v>0</v>
      </c>
      <c r="CX950" s="16">
        <v>0</v>
      </c>
      <c r="CY950" s="16">
        <f>CX950/AS950</f>
        <v>0</v>
      </c>
      <c r="CZ950" s="16">
        <v>0</v>
      </c>
      <c r="DA950" s="16">
        <v>0</v>
      </c>
      <c r="DB950" s="16">
        <f>DA950/AS950</f>
        <v>0</v>
      </c>
      <c r="DC950" s="16">
        <v>0</v>
      </c>
      <c r="DD950" s="16">
        <v>0</v>
      </c>
      <c r="DE950" s="16">
        <f>DD950/AS950</f>
        <v>0</v>
      </c>
      <c r="DF950" s="16" t="e">
        <f>VLOOKUP(K950,'[3]RNA Seq summary tables'!$V$3:$V$99,1,FALSE)</f>
        <v>#N/A</v>
      </c>
      <c r="DI950" s="16">
        <v>59</v>
      </c>
      <c r="DK950" s="16">
        <v>33</v>
      </c>
      <c r="DM950" s="16">
        <v>8</v>
      </c>
      <c r="DO950" s="16">
        <v>0</v>
      </c>
      <c r="DQ950" s="16">
        <v>0</v>
      </c>
      <c r="DR950" s="16">
        <f>SUM(DI950:DQ950)</f>
        <v>100</v>
      </c>
      <c r="JR950" s="27"/>
      <c r="JS950" s="27"/>
      <c r="JT950" s="27"/>
      <c r="JU950" s="27"/>
      <c r="JV950" s="27"/>
      <c r="JW950" s="27"/>
      <c r="JX950" s="27"/>
      <c r="JY950" s="27"/>
      <c r="JZ950" s="27"/>
      <c r="KA950" s="27"/>
      <c r="KB950" s="27"/>
    </row>
    <row r="951" spans="2:288" ht="16" x14ac:dyDescent="0.2">
      <c r="B951" s="16">
        <v>2017</v>
      </c>
      <c r="C951" s="20">
        <v>42930</v>
      </c>
      <c r="D951" s="20" t="str">
        <f>CONCATENATE(J951,"-",C951)</f>
        <v>1102-42930</v>
      </c>
      <c r="E951" s="37" t="str">
        <f>CONCATENATE(T951,"-",U951,"-",C951)</f>
        <v>HW2-H3-42930</v>
      </c>
      <c r="F951" s="20" t="s">
        <v>106</v>
      </c>
      <c r="G951" s="20" t="s">
        <v>107</v>
      </c>
      <c r="I951" s="16">
        <v>0</v>
      </c>
      <c r="J951" s="21">
        <v>1102</v>
      </c>
      <c r="K951" s="21">
        <v>1902</v>
      </c>
      <c r="L951" s="18">
        <v>0</v>
      </c>
      <c r="M951" s="21">
        <f>VLOOKUP($K951,'[4]blood tubes 2017'!$D$1:$L$647,8,FALSE)</f>
        <v>0</v>
      </c>
      <c r="N951" s="15">
        <v>0</v>
      </c>
      <c r="O951" s="15" t="s">
        <v>214</v>
      </c>
      <c r="P951" s="16" t="s">
        <v>110</v>
      </c>
      <c r="Q951" s="16">
        <v>1</v>
      </c>
      <c r="R951" s="16">
        <v>16</v>
      </c>
      <c r="T951" s="16" t="s">
        <v>129</v>
      </c>
      <c r="U951" s="16" t="s">
        <v>174</v>
      </c>
      <c r="V951" s="16" t="s">
        <v>114</v>
      </c>
      <c r="W951" s="16">
        <f>AI951/AG951</f>
        <v>0.90322580645161288</v>
      </c>
      <c r="X951" s="16" t="s">
        <v>115</v>
      </c>
      <c r="Y951" s="16" t="s">
        <v>110</v>
      </c>
      <c r="Z951" s="16">
        <v>3</v>
      </c>
      <c r="AE951" s="16" t="s">
        <v>123</v>
      </c>
      <c r="AF951" s="16" t="s">
        <v>123</v>
      </c>
      <c r="AG951" s="16">
        <f>AH951-AI951</f>
        <v>93</v>
      </c>
      <c r="AH951" s="16">
        <v>177</v>
      </c>
      <c r="AI951" s="16">
        <v>84</v>
      </c>
      <c r="AK951" s="16">
        <v>23.5</v>
      </c>
      <c r="AL951" s="16">
        <v>0</v>
      </c>
      <c r="AM951" s="16">
        <v>0</v>
      </c>
      <c r="AN951" s="16">
        <v>0</v>
      </c>
      <c r="AO951" s="16">
        <v>0</v>
      </c>
      <c r="AP951" s="16">
        <f>SUM(AL951:AN951)</f>
        <v>0</v>
      </c>
      <c r="AQ951" s="16">
        <v>2.0230000000000001</v>
      </c>
      <c r="AR951" s="16">
        <f>AP951-1.472</f>
        <v>-1.472</v>
      </c>
      <c r="AS951" s="16">
        <f>AQ951-1.472</f>
        <v>0.55100000000000016</v>
      </c>
      <c r="AT951" s="16" t="str">
        <f>VLOOKUP(E951,[2]Current!$A$1:$W$435,7,FALSE)</f>
        <v>LV</v>
      </c>
      <c r="AU951" s="16" t="s">
        <v>1288</v>
      </c>
      <c r="AV951" s="23"/>
      <c r="AW951" s="128">
        <f>IF(AX951&gt;0,1,0)</f>
        <v>1</v>
      </c>
      <c r="AX951" s="128">
        <f>SUM(BA951,BM951,CU951)</f>
        <v>2</v>
      </c>
      <c r="AY951" s="128">
        <f>SUM(BB951,BN951,CV951)</f>
        <v>882.03266787658777</v>
      </c>
      <c r="AZ951" s="128">
        <f>IF(BA951&gt;0,1,0)</f>
        <v>1</v>
      </c>
      <c r="BA951" s="128">
        <f>SUM(BC951+BF951+BI951)</f>
        <v>2</v>
      </c>
      <c r="BB951" s="128">
        <f>SUM(BE951,BH951,BK951)</f>
        <v>882.03266787658777</v>
      </c>
      <c r="BC951" s="130">
        <f>IF(BD951&gt;0,1,0)</f>
        <v>1</v>
      </c>
      <c r="BD951" s="128">
        <f>VLOOKUP($E951,[2]Current!$A:$AC,26,FALSE)</f>
        <v>33</v>
      </c>
      <c r="BE951" s="128">
        <f>BD951/$AS951</f>
        <v>59.891107078039909</v>
      </c>
      <c r="BF951" s="130">
        <f>IF(BG951&gt;0,1,0)</f>
        <v>1</v>
      </c>
      <c r="BG951" s="137">
        <f>VLOOKUP($E951,[2]Current!$A:$AC,27,FALSE)</f>
        <v>453</v>
      </c>
      <c r="BH951" s="128">
        <f>BG951/$AS951</f>
        <v>822.14156079854786</v>
      </c>
      <c r="BI951" s="130">
        <f>IF(BJ951&gt;0,1,0)</f>
        <v>0</v>
      </c>
      <c r="BJ951" s="128">
        <f>VLOOKUP($E951,[2]Current!$A:$AC,28,FALSE)</f>
        <v>0</v>
      </c>
      <c r="BK951" s="128">
        <f>BJ951/$AS951</f>
        <v>0</v>
      </c>
      <c r="BL951" s="128">
        <f>IF(BM951&gt;0,1,0)</f>
        <v>0</v>
      </c>
      <c r="BM951" s="128">
        <f>SUM(BR951,BU951,BX951,CA951,CD951)</f>
        <v>0</v>
      </c>
      <c r="BN951" s="131">
        <f>SUM(BT951,BW951,BZ951,CC951,CF951)</f>
        <v>0</v>
      </c>
      <c r="BO951" s="128">
        <f>IF(BP951&gt;0,1,0)</f>
        <v>0</v>
      </c>
      <c r="BP951" s="128">
        <f>BM951+CJ951</f>
        <v>0</v>
      </c>
      <c r="BQ951" s="128">
        <f>BN951+CL951</f>
        <v>0</v>
      </c>
      <c r="BR951" s="130">
        <f>IF(BS951&gt;0,1,0)</f>
        <v>0</v>
      </c>
      <c r="BS951" s="128">
        <f>VLOOKUP($E951,[2]Current!$A:$AC,12,FALSE)</f>
        <v>0</v>
      </c>
      <c r="BT951" s="137">
        <f>BS951/$AS951</f>
        <v>0</v>
      </c>
      <c r="BU951" s="130">
        <f>IF(BV951&gt;0,1,0)</f>
        <v>0</v>
      </c>
      <c r="BV951" s="128">
        <f>VLOOKUP($E951,[2]Current!$A:$AC,13,FALSE)</f>
        <v>0</v>
      </c>
      <c r="BW951" s="128">
        <f>BV951/$AS951</f>
        <v>0</v>
      </c>
      <c r="BX951" s="130">
        <f>IF(BY951&gt;0,1,0)</f>
        <v>0</v>
      </c>
      <c r="BY951" s="128">
        <f>VLOOKUP($E951,[2]Current!$A:$AC,14,FALSE)</f>
        <v>0</v>
      </c>
      <c r="BZ951" s="128">
        <f>BY951/$AS951</f>
        <v>0</v>
      </c>
      <c r="CA951" s="130">
        <f>IF(CB951&gt;0,1,0)</f>
        <v>0</v>
      </c>
      <c r="CB951" s="128">
        <f>VLOOKUP($E951,[2]Current!$A:$AC,15,FALSE)</f>
        <v>0</v>
      </c>
      <c r="CC951" s="128">
        <f>CB951/$AS951</f>
        <v>0</v>
      </c>
      <c r="CD951" s="174">
        <f>IF(CE951&gt;0,1,0)</f>
        <v>0</v>
      </c>
      <c r="CE951" s="128">
        <f>VLOOKUP($E951,[2]Current!$A:$AC,16,FALSE)</f>
        <v>0</v>
      </c>
      <c r="CF951" s="128">
        <f>CE951/$AS951</f>
        <v>0</v>
      </c>
      <c r="CG951" s="18"/>
      <c r="CH951" s="18"/>
      <c r="CI951" s="18"/>
      <c r="CJ951" s="130">
        <f>IF(CK951&gt;0,1,0)</f>
        <v>0</v>
      </c>
      <c r="CK951" s="128">
        <f>VLOOKUP($E951,[2]Current!$A:$AC,18,FALSE)</f>
        <v>0</v>
      </c>
      <c r="CL951" s="128">
        <f>CK951/$AS951</f>
        <v>0</v>
      </c>
      <c r="CS951" s="130">
        <f>IF(CU951&gt;0,1,0)</f>
        <v>0</v>
      </c>
      <c r="CU951" s="128">
        <f>VLOOKUP($E951,[2]Current!$A:$AC,17,FALSE)</f>
        <v>0</v>
      </c>
      <c r="CV951" s="128">
        <f>CU951/$AS951</f>
        <v>0</v>
      </c>
      <c r="CW951" s="18"/>
      <c r="CX951" s="18"/>
      <c r="CY951" s="18"/>
      <c r="DF951" s="16" t="e">
        <f>VLOOKUP(K951,'[3]RNA Seq summary tables'!$V$3:$V$99,1,FALSE)</f>
        <v>#N/A</v>
      </c>
      <c r="JR951" s="26"/>
      <c r="JS951" s="26"/>
      <c r="JT951" s="26"/>
      <c r="JU951" s="26"/>
      <c r="JV951" s="26"/>
      <c r="JW951" s="26"/>
      <c r="JX951" s="26"/>
      <c r="JY951" s="26"/>
      <c r="JZ951" s="26"/>
      <c r="KA951" s="26"/>
      <c r="KB951" s="26"/>
    </row>
    <row r="952" spans="2:288" x14ac:dyDescent="0.2">
      <c r="B952" s="16">
        <v>2017</v>
      </c>
      <c r="C952" s="20">
        <v>42949</v>
      </c>
      <c r="D952" s="20" t="str">
        <f>CONCATENATE(J952,"-",C952)</f>
        <v>1102-42949</v>
      </c>
      <c r="E952" s="142" t="str">
        <f>CONCATENATE(T952,"-",U952,"-",C952)</f>
        <v>HW2-G3-42949</v>
      </c>
      <c r="F952" s="20" t="s">
        <v>106</v>
      </c>
      <c r="G952" s="20" t="s">
        <v>107</v>
      </c>
      <c r="J952" s="21">
        <v>1102</v>
      </c>
      <c r="K952" s="21">
        <v>2060</v>
      </c>
      <c r="L952" s="18">
        <v>0</v>
      </c>
      <c r="M952" s="21">
        <f>VLOOKUP($K952,'[4]blood tubes 2017'!$D$1:$L$647,8,FALSE)</f>
        <v>0</v>
      </c>
      <c r="N952" s="15">
        <v>0</v>
      </c>
      <c r="O952" s="15" t="s">
        <v>214</v>
      </c>
      <c r="P952" s="16" t="s">
        <v>110</v>
      </c>
      <c r="Q952" s="16">
        <v>1</v>
      </c>
      <c r="R952" s="16">
        <v>19</v>
      </c>
      <c r="T952" s="16" t="s">
        <v>129</v>
      </c>
      <c r="U952" s="16" t="s">
        <v>179</v>
      </c>
      <c r="V952" s="16" t="s">
        <v>114</v>
      </c>
      <c r="W952" s="16">
        <f>AI952/AG952</f>
        <v>0.90526315789473688</v>
      </c>
      <c r="X952" s="16" t="s">
        <v>115</v>
      </c>
      <c r="Y952" s="16" t="s">
        <v>110</v>
      </c>
      <c r="Z952" s="16">
        <v>3</v>
      </c>
      <c r="AE952" s="16" t="s">
        <v>123</v>
      </c>
      <c r="AF952" s="16" t="s">
        <v>123</v>
      </c>
      <c r="AG952" s="16">
        <f>AH952-AI952</f>
        <v>95</v>
      </c>
      <c r="AH952" s="16">
        <v>181</v>
      </c>
      <c r="AI952" s="16">
        <v>86</v>
      </c>
      <c r="AK952" s="16">
        <v>25</v>
      </c>
      <c r="AL952" s="16">
        <v>0</v>
      </c>
      <c r="AM952" s="16">
        <v>0</v>
      </c>
      <c r="AN952" s="16">
        <v>0</v>
      </c>
      <c r="AO952" s="16">
        <v>0</v>
      </c>
      <c r="AP952" s="16">
        <f>SUM(AL952:AN952)</f>
        <v>0</v>
      </c>
      <c r="AQ952" s="16">
        <v>2.028</v>
      </c>
      <c r="AR952" s="16">
        <f>AP952-1.472</f>
        <v>-1.472</v>
      </c>
      <c r="AS952" s="16">
        <f>AQ952-1.472</f>
        <v>0.55600000000000005</v>
      </c>
      <c r="AT952" s="16" t="e">
        <f>VLOOKUP(E952,[2]Current!$A$1:$W$435,7,FALSE)</f>
        <v>#N/A</v>
      </c>
      <c r="AU952" s="16">
        <v>0</v>
      </c>
      <c r="AW952" s="18"/>
      <c r="AX952" s="18"/>
      <c r="AY952" s="18"/>
      <c r="AZ952" s="18"/>
      <c r="BA952" s="18"/>
      <c r="BB952" s="18"/>
      <c r="BC952" s="18"/>
      <c r="BD952" s="18"/>
      <c r="BG952" s="77"/>
      <c r="BT952" s="77"/>
      <c r="CD952" s="77"/>
      <c r="DF952" s="16" t="e">
        <f>VLOOKUP(K952,'[3]RNA Seq summary tables'!$V$3:$V$99,1,FALSE)</f>
        <v>#N/A</v>
      </c>
    </row>
    <row r="953" spans="2:288" x14ac:dyDescent="0.2">
      <c r="B953" s="16">
        <v>2017</v>
      </c>
      <c r="C953" s="20">
        <v>42966</v>
      </c>
      <c r="D953" s="20" t="str">
        <f>CONCATENATE(J953,"-",C953)</f>
        <v>1102-42966</v>
      </c>
      <c r="E953" s="142" t="str">
        <f>CONCATENATE(T953,"-",U953,"-",C953)</f>
        <v>HW2-F2-42966</v>
      </c>
      <c r="F953" s="20" t="s">
        <v>106</v>
      </c>
      <c r="G953" s="20" t="s">
        <v>107</v>
      </c>
      <c r="J953" s="21">
        <v>1102</v>
      </c>
      <c r="K953" s="21">
        <v>2198</v>
      </c>
      <c r="L953" s="18">
        <v>0</v>
      </c>
      <c r="M953" s="21">
        <f>VLOOKUP($K953,'[4]blood tubes 2017'!$D$1:$L$647,8,FALSE)</f>
        <v>0</v>
      </c>
      <c r="N953" s="15">
        <v>0</v>
      </c>
      <c r="O953" s="15" t="s">
        <v>214</v>
      </c>
      <c r="P953" s="16" t="s">
        <v>110</v>
      </c>
      <c r="Q953" s="16">
        <v>1</v>
      </c>
      <c r="R953" s="16">
        <v>17</v>
      </c>
      <c r="T953" s="16" t="s">
        <v>129</v>
      </c>
      <c r="U953" s="16" t="s">
        <v>187</v>
      </c>
      <c r="V953" s="16" t="s">
        <v>114</v>
      </c>
      <c r="W953" s="16">
        <f>AI953/AG953</f>
        <v>0.87628865979381443</v>
      </c>
      <c r="X953" s="16" t="s">
        <v>115</v>
      </c>
      <c r="Y953" s="16" t="s">
        <v>110</v>
      </c>
      <c r="Z953" s="16">
        <v>3</v>
      </c>
      <c r="AE953" s="16" t="s">
        <v>123</v>
      </c>
      <c r="AF953" s="16" t="s">
        <v>123</v>
      </c>
      <c r="AG953" s="16">
        <f>AH953-AI953</f>
        <v>97</v>
      </c>
      <c r="AH953" s="16">
        <v>182</v>
      </c>
      <c r="AI953" s="16">
        <v>85</v>
      </c>
      <c r="AK953" s="16">
        <v>26</v>
      </c>
      <c r="AL953" s="16">
        <v>0</v>
      </c>
      <c r="AM953" s="16">
        <v>0</v>
      </c>
      <c r="AN953" s="16">
        <v>0</v>
      </c>
      <c r="AO953" s="16">
        <v>0</v>
      </c>
      <c r="AP953" s="16">
        <f>SUM(AL953:AN953)</f>
        <v>0</v>
      </c>
      <c r="AQ953" s="16">
        <v>1.7969999999999999</v>
      </c>
      <c r="AR953" s="16">
        <f>AP953-1.472</f>
        <v>-1.472</v>
      </c>
      <c r="AS953" s="16">
        <f>AQ953-1.472</f>
        <v>0.32499999999999996</v>
      </c>
      <c r="AT953" s="16" t="e">
        <f>VLOOKUP(E953,[2]Current!$A$1:$W$435,7,FALSE)</f>
        <v>#N/A</v>
      </c>
      <c r="AU953" s="16">
        <v>0</v>
      </c>
      <c r="AW953" s="18"/>
      <c r="AX953" s="18"/>
      <c r="AY953" s="18"/>
      <c r="AZ953" s="18"/>
      <c r="BA953" s="18"/>
      <c r="BB953" s="18"/>
      <c r="BC953" s="18"/>
      <c r="BD953" s="18"/>
      <c r="BG953" s="77"/>
      <c r="BT953" s="77"/>
      <c r="CD953" s="77"/>
      <c r="DF953" s="16" t="e">
        <f>VLOOKUP(K953,'[3]RNA Seq summary tables'!$V$3:$V$99,1,FALSE)</f>
        <v>#N/A</v>
      </c>
      <c r="JR953" s="18"/>
      <c r="JS953" s="18"/>
      <c r="JT953" s="18"/>
      <c r="JU953" s="18"/>
      <c r="JV953" s="18"/>
      <c r="JW953" s="18"/>
      <c r="JX953" s="18"/>
      <c r="JY953" s="18"/>
      <c r="JZ953" s="18"/>
      <c r="KA953" s="18"/>
      <c r="KB953" s="18"/>
    </row>
    <row r="954" spans="2:288" x14ac:dyDescent="0.2">
      <c r="B954" s="16">
        <v>2017</v>
      </c>
      <c r="C954" s="66">
        <v>42896</v>
      </c>
      <c r="D954" s="66" t="str">
        <f>CONCATENATE(J954,"-",C954)</f>
        <v>1104-42896</v>
      </c>
      <c r="E954" s="20" t="str">
        <f>CONCATENATE(T954,"-",U954,"-",C954)</f>
        <v>HW2-D6-42896</v>
      </c>
      <c r="F954" s="20" t="s">
        <v>106</v>
      </c>
      <c r="G954" s="20" t="s">
        <v>107</v>
      </c>
      <c r="I954" s="16">
        <v>0</v>
      </c>
      <c r="J954" s="21">
        <v>1104</v>
      </c>
      <c r="K954" s="21">
        <v>1654</v>
      </c>
      <c r="L954" s="18">
        <v>0</v>
      </c>
      <c r="M954" s="21">
        <f>VLOOKUP($K954,'[4]blood tubes 2017'!$D$1:$L$647,8,FALSE)</f>
        <v>0</v>
      </c>
      <c r="N954" s="15">
        <v>0</v>
      </c>
      <c r="O954" s="15" t="s">
        <v>214</v>
      </c>
      <c r="P954" s="16" t="s">
        <v>110</v>
      </c>
      <c r="Q954" s="16">
        <v>0</v>
      </c>
      <c r="R954" s="16" t="s">
        <v>111</v>
      </c>
      <c r="T954" s="16" t="s">
        <v>129</v>
      </c>
      <c r="U954" s="16" t="s">
        <v>186</v>
      </c>
      <c r="V954" s="16" t="s">
        <v>114</v>
      </c>
      <c r="W954" s="16">
        <f>AI954/AG954</f>
        <v>0.83333333333333337</v>
      </c>
      <c r="X954" s="16" t="s">
        <v>121</v>
      </c>
      <c r="Y954" s="16" t="s">
        <v>110</v>
      </c>
      <c r="Z954" s="16">
        <v>3</v>
      </c>
      <c r="AA954" s="16" t="s">
        <v>161</v>
      </c>
      <c r="AB954" s="16" t="s">
        <v>239</v>
      </c>
      <c r="AC954" s="16" t="s">
        <v>123</v>
      </c>
      <c r="AD954" s="16" t="s">
        <v>116</v>
      </c>
      <c r="AG954" s="16">
        <f>AH954-AI954</f>
        <v>102</v>
      </c>
      <c r="AH954" s="16">
        <v>187</v>
      </c>
      <c r="AI954" s="16">
        <v>85</v>
      </c>
      <c r="AK954" s="16">
        <v>28</v>
      </c>
      <c r="AL954" s="16">
        <v>0</v>
      </c>
      <c r="AM954" s="16">
        <v>0</v>
      </c>
      <c r="AN954" s="16">
        <v>0</v>
      </c>
      <c r="AO954" s="16">
        <v>0</v>
      </c>
      <c r="AP954" s="16">
        <f>SUM(AL954:AN954)</f>
        <v>0</v>
      </c>
      <c r="AQ954" s="16">
        <v>1.6459999999999999</v>
      </c>
      <c r="AR954" s="16">
        <f>AP954-1.472</f>
        <v>-1.472</v>
      </c>
      <c r="AS954" s="16">
        <f>AQ954-1.472</f>
        <v>0.17399999999999993</v>
      </c>
      <c r="AT954" s="16" t="s">
        <v>233</v>
      </c>
      <c r="AW954" s="16">
        <f>IF(AX954&gt;0,1,0)</f>
        <v>1</v>
      </c>
      <c r="AX954" s="16">
        <f>SUM(BA954,BM954,CT954)</f>
        <v>4</v>
      </c>
      <c r="AY954" s="18">
        <f>SUM(BB954,BN954,CV954)</f>
        <v>103.44827586206901</v>
      </c>
      <c r="AZ954" s="16">
        <f>IF(BA954&gt;0,1,0)</f>
        <v>1</v>
      </c>
      <c r="BA954" s="16">
        <f>SUM(BC954,BF954,BI954)</f>
        <v>1</v>
      </c>
      <c r="BB954" s="16">
        <f>SUM(BE954,BH954,BK954)</f>
        <v>34.482758620689665</v>
      </c>
      <c r="BC954" s="16">
        <v>0</v>
      </c>
      <c r="BD954" s="16">
        <v>0</v>
      </c>
      <c r="BE954" s="16">
        <f>BD954/AS954</f>
        <v>0</v>
      </c>
      <c r="BF954" s="16">
        <v>1</v>
      </c>
      <c r="BG954" s="77">
        <v>6</v>
      </c>
      <c r="BH954" s="16">
        <f>BG954/AS954</f>
        <v>34.482758620689665</v>
      </c>
      <c r="BI954" s="16">
        <v>0</v>
      </c>
      <c r="BJ954" s="16">
        <v>0</v>
      </c>
      <c r="BK954" s="16">
        <f>BJ954/AS954</f>
        <v>0</v>
      </c>
      <c r="BL954" s="16">
        <f>IF(BM954&gt;0,1,0)</f>
        <v>1</v>
      </c>
      <c r="BM954" s="16">
        <f>SUM(BR954,BU954,BX954,CA954,CD954,CG954,CJ954,CM954,CP954)</f>
        <v>2</v>
      </c>
      <c r="BN954" s="16">
        <f>SUM(BW954,BZ954,CC954,CF954,CI954,CL954,CO954,CR954,BT954)</f>
        <v>28.735632183908059</v>
      </c>
      <c r="BO954" s="16">
        <f>IF(BP954&gt;0,1,0)</f>
        <v>1</v>
      </c>
      <c r="BP954" s="16">
        <f>SUM(BU954,BX954,CA954,CD954,BR954)</f>
        <v>2</v>
      </c>
      <c r="BQ954" s="16">
        <f>SUM(BZ954,CC954,CF954,BT954,BW954)</f>
        <v>28.735632183908059</v>
      </c>
      <c r="BR954" s="16">
        <v>0</v>
      </c>
      <c r="BS954" s="16">
        <v>0</v>
      </c>
      <c r="BT954" s="77">
        <f>BS954/AS954</f>
        <v>0</v>
      </c>
      <c r="BU954" s="16">
        <v>0</v>
      </c>
      <c r="BV954" s="16">
        <v>0</v>
      </c>
      <c r="BW954" s="16">
        <f>BV954/AS954</f>
        <v>0</v>
      </c>
      <c r="BX954" s="16">
        <v>0</v>
      </c>
      <c r="BY954" s="16">
        <v>0</v>
      </c>
      <c r="BZ954" s="16">
        <f>BY954/AS954</f>
        <v>0</v>
      </c>
      <c r="CA954" s="16">
        <v>1</v>
      </c>
      <c r="CB954" s="16">
        <v>4</v>
      </c>
      <c r="CC954" s="16">
        <f>CB954/AS954</f>
        <v>22.988505747126446</v>
      </c>
      <c r="CD954" s="77">
        <v>1</v>
      </c>
      <c r="CE954" s="16">
        <v>1</v>
      </c>
      <c r="CF954" s="16">
        <f>CE954/AS954</f>
        <v>5.7471264367816115</v>
      </c>
      <c r="CG954" s="16">
        <v>0</v>
      </c>
      <c r="CH954" s="16">
        <v>0</v>
      </c>
      <c r="CI954" s="16">
        <f>CH954/AS954</f>
        <v>0</v>
      </c>
      <c r="CM954" s="16">
        <v>0</v>
      </c>
      <c r="CN954" s="16">
        <v>0</v>
      </c>
      <c r="CO954" s="16">
        <f>CN954/AS954</f>
        <v>0</v>
      </c>
      <c r="CP954" s="16">
        <v>0</v>
      </c>
      <c r="CQ954" s="16">
        <v>0</v>
      </c>
      <c r="CR954" s="16">
        <f>CQ954/AS954</f>
        <v>0</v>
      </c>
      <c r="CS954" s="16">
        <f>IF(CT954&gt;0,1,0)</f>
        <v>1</v>
      </c>
      <c r="CT954" s="16">
        <f>SUM(CW954,CZ954,DC954)</f>
        <v>1</v>
      </c>
      <c r="CV954" s="16">
        <f>SUM(CY954,DB954,DE954)</f>
        <v>40.229885057471279</v>
      </c>
      <c r="CW954" s="16">
        <v>1</v>
      </c>
      <c r="CX954" s="16">
        <v>7</v>
      </c>
      <c r="CY954" s="16">
        <f>CX954/AS954</f>
        <v>40.229885057471279</v>
      </c>
      <c r="CZ954" s="16">
        <v>0</v>
      </c>
      <c r="DA954" s="16">
        <v>0</v>
      </c>
      <c r="DB954" s="16">
        <f>DA954/AS954</f>
        <v>0</v>
      </c>
      <c r="DC954" s="16">
        <v>0</v>
      </c>
      <c r="DD954" s="16">
        <v>0</v>
      </c>
      <c r="DE954" s="16">
        <f>DD954/AS954</f>
        <v>0</v>
      </c>
      <c r="DF954" s="16" t="e">
        <f>VLOOKUP(K954,'[3]RNA Seq summary tables'!$V$3:$V$99,1,FALSE)</f>
        <v>#N/A</v>
      </c>
      <c r="DI954" s="16">
        <v>81</v>
      </c>
      <c r="DK954" s="16">
        <v>13</v>
      </c>
      <c r="DM954" s="16">
        <v>6</v>
      </c>
      <c r="DO954" s="16">
        <v>0</v>
      </c>
      <c r="DQ954" s="16">
        <v>0</v>
      </c>
      <c r="DR954" s="16">
        <f>SUM(DI954:DQ954)</f>
        <v>100</v>
      </c>
      <c r="JP954" s="18"/>
      <c r="JQ954" s="18"/>
    </row>
    <row r="955" spans="2:288" x14ac:dyDescent="0.2">
      <c r="B955" s="16">
        <v>2017</v>
      </c>
      <c r="C955" s="20">
        <v>42914</v>
      </c>
      <c r="D955" s="20" t="str">
        <f>CONCATENATE(J955,"-",C955)</f>
        <v>1104-42914</v>
      </c>
      <c r="E955" s="20" t="str">
        <f>CONCATENATE(T955,"-",U955,"-",C955)</f>
        <v>HW2-D7-42914</v>
      </c>
      <c r="F955" s="20" t="s">
        <v>106</v>
      </c>
      <c r="G955" s="20" t="s">
        <v>107</v>
      </c>
      <c r="I955" s="16">
        <v>0</v>
      </c>
      <c r="J955" s="21">
        <v>1104</v>
      </c>
      <c r="K955" s="21">
        <v>1771</v>
      </c>
      <c r="L955" s="18">
        <v>0</v>
      </c>
      <c r="M955" s="21">
        <f>VLOOKUP($K955,'[4]blood tubes 2017'!$D$1:$L$647,8,FALSE)</f>
        <v>0</v>
      </c>
      <c r="N955" s="15">
        <v>0</v>
      </c>
      <c r="O955" s="15" t="s">
        <v>214</v>
      </c>
      <c r="P955" s="16" t="s">
        <v>110</v>
      </c>
      <c r="Q955" s="16">
        <v>1</v>
      </c>
      <c r="R955" s="16">
        <v>18</v>
      </c>
      <c r="T955" s="16" t="s">
        <v>129</v>
      </c>
      <c r="U955" s="16" t="s">
        <v>177</v>
      </c>
      <c r="V955" s="16" t="s">
        <v>114</v>
      </c>
      <c r="W955" s="16">
        <f>AI955/AG955</f>
        <v>0.80769230769230771</v>
      </c>
      <c r="X955" s="16" t="s">
        <v>121</v>
      </c>
      <c r="Y955" s="16" t="s">
        <v>110</v>
      </c>
      <c r="Z955" s="16">
        <v>3</v>
      </c>
      <c r="AA955" s="16" t="s">
        <v>119</v>
      </c>
      <c r="AB955" s="16" t="s">
        <v>115</v>
      </c>
      <c r="AC955" s="16" t="s">
        <v>123</v>
      </c>
      <c r="AD955" s="16" t="s">
        <v>123</v>
      </c>
      <c r="AG955" s="16">
        <f>AH955-AI955</f>
        <v>104</v>
      </c>
      <c r="AH955" s="16">
        <v>188</v>
      </c>
      <c r="AI955" s="16">
        <v>84</v>
      </c>
      <c r="AK955" s="16">
        <v>29.5</v>
      </c>
      <c r="AL955" s="16">
        <v>0</v>
      </c>
      <c r="AM955" s="16">
        <v>0</v>
      </c>
      <c r="AN955" s="16">
        <v>0</v>
      </c>
      <c r="AO955" s="16">
        <v>0</v>
      </c>
      <c r="AP955" s="16">
        <f>SUM(AL955:AN955)</f>
        <v>0</v>
      </c>
      <c r="AQ955" s="16">
        <v>2.101</v>
      </c>
      <c r="AR955" s="16">
        <f>AP955-1.472</f>
        <v>-1.472</v>
      </c>
      <c r="AS955" s="16">
        <f>AQ955-1.472</f>
        <v>0.629</v>
      </c>
      <c r="AT955" s="16" t="s">
        <v>233</v>
      </c>
      <c r="AW955" s="16">
        <f>IF(AX955&gt;0,1,0)</f>
        <v>1</v>
      </c>
      <c r="AX955" s="16">
        <f>SUM(BA955,BM955,CT955)</f>
        <v>3</v>
      </c>
      <c r="AY955" s="18">
        <f>SUM(BB955,BN955,CV955)</f>
        <v>3391.0969793322738</v>
      </c>
      <c r="AZ955" s="16">
        <v>1</v>
      </c>
      <c r="BA955" s="16">
        <v>1</v>
      </c>
      <c r="BB955" s="16">
        <f>SUM(BE955,BH955,BK955)</f>
        <v>3282.9888712241655</v>
      </c>
      <c r="BC955" s="16">
        <v>0</v>
      </c>
      <c r="BD955" s="16">
        <v>0</v>
      </c>
      <c r="BE955" s="16">
        <f>BD955/AS955</f>
        <v>0</v>
      </c>
      <c r="BF955" s="16">
        <v>1</v>
      </c>
      <c r="BG955" s="77">
        <v>2065</v>
      </c>
      <c r="BH955" s="16">
        <f>BG955/AS955</f>
        <v>3282.9888712241655</v>
      </c>
      <c r="BI955" s="16">
        <v>0</v>
      </c>
      <c r="BJ955" s="16">
        <v>0</v>
      </c>
      <c r="BK955" s="16">
        <f>BJ955/AS955</f>
        <v>0</v>
      </c>
      <c r="BL955" s="16">
        <f>IF(BM955&gt;0,1,0)</f>
        <v>1</v>
      </c>
      <c r="BM955" s="16">
        <f>SUM(BR955,BU955,BX955,CA955,CD955,CG955,CJ955,CM955,CP955)</f>
        <v>1</v>
      </c>
      <c r="BN955" s="16">
        <f>SUM(BW955,BZ955,CC955,CF955,CI955,CL955,CO955,CR955,BT955)</f>
        <v>89.030206677265497</v>
      </c>
      <c r="BO955" s="16">
        <f>IF(BP955&gt;0,1,0)</f>
        <v>0</v>
      </c>
      <c r="BP955" s="16">
        <f>SUM(BU955,BX955,CA955,CD955,BR955)</f>
        <v>0</v>
      </c>
      <c r="BQ955" s="16">
        <f>SUM(BZ955,CC955,CF955,BT955,BW955)</f>
        <v>0</v>
      </c>
      <c r="BR955" s="16">
        <v>0</v>
      </c>
      <c r="BS955" s="16">
        <v>0</v>
      </c>
      <c r="BT955" s="77">
        <f>BS955/AS955</f>
        <v>0</v>
      </c>
      <c r="BU955" s="16">
        <v>0</v>
      </c>
      <c r="BV955" s="16">
        <v>0</v>
      </c>
      <c r="BW955" s="16">
        <f>BV955/AS955</f>
        <v>0</v>
      </c>
      <c r="BX955" s="16">
        <v>0</v>
      </c>
      <c r="BY955" s="16">
        <v>0</v>
      </c>
      <c r="BZ955" s="16">
        <f>BY955/AS955</f>
        <v>0</v>
      </c>
      <c r="CA955" s="16">
        <v>0</v>
      </c>
      <c r="CB955" s="16">
        <v>0</v>
      </c>
      <c r="CC955" s="16">
        <f>CB955/AS955</f>
        <v>0</v>
      </c>
      <c r="CD955" s="77">
        <v>0</v>
      </c>
      <c r="CE955" s="16">
        <v>0</v>
      </c>
      <c r="CF955" s="16">
        <f>CE955/AS955</f>
        <v>0</v>
      </c>
      <c r="CG955" s="16">
        <v>1</v>
      </c>
      <c r="CH955" s="16">
        <v>56</v>
      </c>
      <c r="CI955" s="16">
        <f>CH955/AS955</f>
        <v>89.030206677265497</v>
      </c>
      <c r="CM955" s="16">
        <v>0</v>
      </c>
      <c r="CN955" s="16">
        <v>0</v>
      </c>
      <c r="CO955" s="16">
        <f>CN955/AS955</f>
        <v>0</v>
      </c>
      <c r="CP955" s="16">
        <v>0</v>
      </c>
      <c r="CQ955" s="16">
        <v>0</v>
      </c>
      <c r="CR955" s="16">
        <f>CQ955/AS955</f>
        <v>0</v>
      </c>
      <c r="CS955" s="16">
        <v>1</v>
      </c>
      <c r="CT955" s="16">
        <v>1</v>
      </c>
      <c r="CV955" s="16">
        <f>SUM(CY955,DB955,DE955)</f>
        <v>19.077901430842608</v>
      </c>
      <c r="CW955" s="16">
        <v>1</v>
      </c>
      <c r="CX955" s="16">
        <v>12</v>
      </c>
      <c r="CY955" s="16">
        <f>CX955/AS955</f>
        <v>19.077901430842608</v>
      </c>
      <c r="CZ955" s="16">
        <v>0</v>
      </c>
      <c r="DA955" s="16">
        <v>0</v>
      </c>
      <c r="DB955" s="16">
        <f>DA955/AS955</f>
        <v>0</v>
      </c>
      <c r="DC955" s="16">
        <v>0</v>
      </c>
      <c r="DD955" s="16">
        <v>0</v>
      </c>
      <c r="DE955" s="16">
        <f>DD955/AS955</f>
        <v>0</v>
      </c>
      <c r="DF955" s="16" t="e">
        <f>VLOOKUP(K955,'[3]RNA Seq summary tables'!$V$3:$V$99,1,FALSE)</f>
        <v>#N/A</v>
      </c>
      <c r="DI955" s="16">
        <v>29</v>
      </c>
      <c r="DK955" s="16">
        <v>59</v>
      </c>
      <c r="DM955" s="16">
        <v>12</v>
      </c>
      <c r="DO955" s="16">
        <v>0</v>
      </c>
      <c r="DQ955" s="16">
        <v>0</v>
      </c>
      <c r="DR955" s="16">
        <f>SUM(DI955:DQ955)</f>
        <v>100</v>
      </c>
      <c r="JP955" s="18"/>
      <c r="JQ955" s="18"/>
      <c r="JR955" s="27"/>
      <c r="JS955" s="27"/>
      <c r="JT955" s="27"/>
      <c r="JU955" s="27"/>
      <c r="JV955" s="27"/>
      <c r="JW955" s="27"/>
      <c r="JX955" s="27"/>
      <c r="JY955" s="27"/>
      <c r="JZ955" s="27"/>
      <c r="KA955" s="27"/>
      <c r="KB955" s="27"/>
    </row>
    <row r="956" spans="2:288" ht="16" x14ac:dyDescent="0.2">
      <c r="B956" s="16">
        <v>2017</v>
      </c>
      <c r="C956" s="20">
        <v>42930</v>
      </c>
      <c r="D956" s="20" t="str">
        <f>CONCATENATE(J956,"-",C956)</f>
        <v>1104-42930</v>
      </c>
      <c r="E956" s="37" t="str">
        <f>CONCATENATE(T956,"-",U956,"-",C956)</f>
        <v>HW2-C7-42930</v>
      </c>
      <c r="F956" s="20" t="s">
        <v>106</v>
      </c>
      <c r="G956" s="20" t="s">
        <v>107</v>
      </c>
      <c r="I956" s="16">
        <v>0</v>
      </c>
      <c r="J956" s="21">
        <v>1104</v>
      </c>
      <c r="K956" s="21">
        <v>1897</v>
      </c>
      <c r="L956" s="18">
        <v>0</v>
      </c>
      <c r="M956" s="21">
        <f>VLOOKUP($K956,'[4]blood tubes 2017'!$D$1:$L$647,8,FALSE)</f>
        <v>0</v>
      </c>
      <c r="N956" s="15">
        <v>0</v>
      </c>
      <c r="O956" s="15" t="s">
        <v>214</v>
      </c>
      <c r="P956" s="16" t="s">
        <v>110</v>
      </c>
      <c r="Q956" s="16">
        <v>1</v>
      </c>
      <c r="R956" s="16">
        <v>16</v>
      </c>
      <c r="T956" s="16" t="s">
        <v>129</v>
      </c>
      <c r="U956" s="16" t="s">
        <v>207</v>
      </c>
      <c r="V956" s="16" t="s">
        <v>114</v>
      </c>
      <c r="W956" s="16">
        <f>AI956/AG956</f>
        <v>0.83333333333333337</v>
      </c>
      <c r="X956" s="16" t="s">
        <v>121</v>
      </c>
      <c r="Y956" s="16" t="s">
        <v>110</v>
      </c>
      <c r="Z956" s="16">
        <v>3</v>
      </c>
      <c r="AA956" s="16" t="s">
        <v>119</v>
      </c>
      <c r="AB956" s="16" t="s">
        <v>239</v>
      </c>
      <c r="AC956" s="16" t="s">
        <v>123</v>
      </c>
      <c r="AD956" s="16" t="s">
        <v>123</v>
      </c>
      <c r="AG956" s="16">
        <f>AH956-AI956</f>
        <v>102</v>
      </c>
      <c r="AH956" s="16">
        <v>187</v>
      </c>
      <c r="AI956" s="16">
        <v>85</v>
      </c>
      <c r="AK956" s="16">
        <v>27.5</v>
      </c>
      <c r="AL956" s="16">
        <v>0</v>
      </c>
      <c r="AM956" s="16">
        <v>0</v>
      </c>
      <c r="AN956" s="16">
        <v>0</v>
      </c>
      <c r="AO956" s="16">
        <v>0</v>
      </c>
      <c r="AP956" s="16">
        <f>SUM(AL956:AN956)</f>
        <v>0</v>
      </c>
      <c r="AQ956" s="16">
        <v>2.5049999999999999</v>
      </c>
      <c r="AR956" s="16">
        <f>AP956-1.472</f>
        <v>-1.472</v>
      </c>
      <c r="AS956" s="16">
        <f>AQ956-1.472</f>
        <v>1.0329999999999999</v>
      </c>
      <c r="AT956" s="16" t="str">
        <f>VLOOKUP(E956,[2]Current!$A$1:$W$435,7,FALSE)</f>
        <v>LV</v>
      </c>
      <c r="AU956" s="16" t="s">
        <v>1288</v>
      </c>
      <c r="AV956" s="23"/>
      <c r="AW956" s="128">
        <f>IF(AX956&gt;0,1,0)</f>
        <v>1</v>
      </c>
      <c r="AX956" s="128">
        <f>SUM(BA956,BM956,CU956)</f>
        <v>1</v>
      </c>
      <c r="AY956" s="128">
        <f>SUM(BB956,BN956,CV956)</f>
        <v>0.96805421103581812</v>
      </c>
      <c r="AZ956" s="128">
        <f>IF(BA956&gt;0,1,0)</f>
        <v>1</v>
      </c>
      <c r="BA956" s="128">
        <f>SUM(BC956+BF956+BI956)</f>
        <v>1</v>
      </c>
      <c r="BB956" s="128">
        <f>SUM(BE956,BH956,BK956)</f>
        <v>0.96805421103581812</v>
      </c>
      <c r="BC956" s="130">
        <f>IF(BD956&gt;0,1,0)</f>
        <v>0</v>
      </c>
      <c r="BD956" s="128">
        <f>VLOOKUP($E956,[2]Current!$A:$AC,26,FALSE)</f>
        <v>0</v>
      </c>
      <c r="BE956" s="128">
        <f>BD956/$AS956</f>
        <v>0</v>
      </c>
      <c r="BF956" s="130">
        <f>IF(BG956&gt;0,1,0)</f>
        <v>1</v>
      </c>
      <c r="BG956" s="137">
        <f>VLOOKUP($E956,[2]Current!$A:$AC,27,FALSE)</f>
        <v>1</v>
      </c>
      <c r="BH956" s="128">
        <f>BG956/$AS956</f>
        <v>0.96805421103581812</v>
      </c>
      <c r="BI956" s="130">
        <f>IF(BJ956&gt;0,1,0)</f>
        <v>0</v>
      </c>
      <c r="BJ956" s="128">
        <f>VLOOKUP($E956,[2]Current!$A:$AC,28,FALSE)</f>
        <v>0</v>
      </c>
      <c r="BK956" s="128">
        <f>BJ956/$AS956</f>
        <v>0</v>
      </c>
      <c r="BL956" s="128">
        <f>IF(BM956&gt;0,1,0)</f>
        <v>0</v>
      </c>
      <c r="BM956" s="128">
        <f>SUM(BR956,BU956,BX956,CA956,CD956)</f>
        <v>0</v>
      </c>
      <c r="BN956" s="131">
        <f>SUM(BT956,BW956,BZ956,CC956,CF956)</f>
        <v>0</v>
      </c>
      <c r="BO956" s="128">
        <f>IF(BP956&gt;0,1,0)</f>
        <v>0</v>
      </c>
      <c r="BP956" s="128">
        <f>BM956+CJ956</f>
        <v>0</v>
      </c>
      <c r="BQ956" s="128">
        <f>BN956+CL956</f>
        <v>0</v>
      </c>
      <c r="BR956" s="130">
        <f>IF(BS956&gt;0,1,0)</f>
        <v>0</v>
      </c>
      <c r="BS956" s="128">
        <f>VLOOKUP($E956,[2]Current!$A:$AC,12,FALSE)</f>
        <v>0</v>
      </c>
      <c r="BT956" s="137">
        <f>BS956/$AS956</f>
        <v>0</v>
      </c>
      <c r="BU956" s="130">
        <f>IF(BV956&gt;0,1,0)</f>
        <v>0</v>
      </c>
      <c r="BV956" s="128">
        <f>VLOOKUP($E956,[2]Current!$A:$AC,13,FALSE)</f>
        <v>0</v>
      </c>
      <c r="BW956" s="128">
        <f>BV956/$AS956</f>
        <v>0</v>
      </c>
      <c r="BX956" s="130">
        <f>IF(BY956&gt;0,1,0)</f>
        <v>0</v>
      </c>
      <c r="BY956" s="128">
        <f>VLOOKUP($E956,[2]Current!$A:$AC,14,FALSE)</f>
        <v>0</v>
      </c>
      <c r="BZ956" s="128">
        <f>BY956/$AS956</f>
        <v>0</v>
      </c>
      <c r="CA956" s="130">
        <f>IF(CB956&gt;0,1,0)</f>
        <v>0</v>
      </c>
      <c r="CB956" s="128">
        <f>VLOOKUP($E956,[2]Current!$A:$AC,15,FALSE)</f>
        <v>0</v>
      </c>
      <c r="CC956" s="128">
        <f>CB956/$AS956</f>
        <v>0</v>
      </c>
      <c r="CD956" s="174">
        <f>IF(CE956&gt;0,1,0)</f>
        <v>0</v>
      </c>
      <c r="CE956" s="128">
        <f>VLOOKUP($E956,[2]Current!$A:$AC,16,FALSE)</f>
        <v>0</v>
      </c>
      <c r="CF956" s="128">
        <f>CE956/$AS956</f>
        <v>0</v>
      </c>
      <c r="CG956" s="18"/>
      <c r="CH956" s="18"/>
      <c r="CI956" s="18"/>
      <c r="CJ956" s="130">
        <f>IF(CK956&gt;0,1,0)</f>
        <v>0</v>
      </c>
      <c r="CK956" s="128">
        <f>VLOOKUP($E956,[2]Current!$A:$AC,18,FALSE)</f>
        <v>0</v>
      </c>
      <c r="CL956" s="128">
        <f>CK956/$AS956</f>
        <v>0</v>
      </c>
      <c r="CS956" s="130">
        <f>IF(CU956&gt;0,1,0)</f>
        <v>0</v>
      </c>
      <c r="CT956" s="18"/>
      <c r="CU956" s="128">
        <f>VLOOKUP($E956,[2]Current!$A:$AC,17,FALSE)</f>
        <v>0</v>
      </c>
      <c r="CV956" s="128">
        <f>CU956/$AS956</f>
        <v>0</v>
      </c>
      <c r="CW956" s="18"/>
      <c r="CX956" s="18"/>
      <c r="CY956" s="18"/>
      <c r="DF956" s="16" t="e">
        <f>VLOOKUP(K956,'[3]RNA Seq summary tables'!$V$3:$V$99,1,FALSE)</f>
        <v>#N/A</v>
      </c>
      <c r="JR956" s="19"/>
      <c r="JS956" s="19"/>
      <c r="JT956" s="19"/>
      <c r="JU956" s="19"/>
      <c r="JV956" s="19"/>
      <c r="JW956" s="19"/>
      <c r="JX956" s="19"/>
      <c r="JY956" s="19"/>
      <c r="JZ956" s="19"/>
      <c r="KA956" s="19"/>
      <c r="KB956" s="19"/>
    </row>
    <row r="957" spans="2:288" ht="16" x14ac:dyDescent="0.2">
      <c r="B957" s="16">
        <v>2017</v>
      </c>
      <c r="C957" s="20">
        <v>42948</v>
      </c>
      <c r="D957" s="20" t="str">
        <f>CONCATENATE(J957,"-",C957)</f>
        <v>1104-42948</v>
      </c>
      <c r="E957" s="37" t="str">
        <f>CONCATENATE(T957,"-",U957,"-",C957)</f>
        <v>HW2-B4-42948</v>
      </c>
      <c r="F957" s="20" t="s">
        <v>106</v>
      </c>
      <c r="G957" s="20" t="s">
        <v>107</v>
      </c>
      <c r="I957" s="16">
        <v>0</v>
      </c>
      <c r="J957" s="21">
        <v>1104</v>
      </c>
      <c r="K957" s="21">
        <v>2032</v>
      </c>
      <c r="L957" s="18">
        <v>0</v>
      </c>
      <c r="M957" s="21">
        <f>VLOOKUP($K957,'[4]blood tubes 2017'!$D$1:$L$647,8,FALSE)</f>
        <v>0</v>
      </c>
      <c r="N957" s="15">
        <v>0</v>
      </c>
      <c r="O957" s="15" t="s">
        <v>214</v>
      </c>
      <c r="P957" s="16" t="s">
        <v>110</v>
      </c>
      <c r="Q957" s="16">
        <v>1</v>
      </c>
      <c r="R957" s="16">
        <v>18</v>
      </c>
      <c r="T957" s="16" t="s">
        <v>129</v>
      </c>
      <c r="U957" s="16" t="s">
        <v>144</v>
      </c>
      <c r="V957" s="16" t="s">
        <v>114</v>
      </c>
      <c r="W957" s="16">
        <f>AI957/AG957</f>
        <v>0.86868686868686873</v>
      </c>
      <c r="X957" s="16" t="s">
        <v>121</v>
      </c>
      <c r="Y957" s="16" t="s">
        <v>110</v>
      </c>
      <c r="Z957" s="16">
        <v>3</v>
      </c>
      <c r="AA957" s="16" t="s">
        <v>119</v>
      </c>
      <c r="AB957" s="16" t="s">
        <v>123</v>
      </c>
      <c r="AC957" s="16" t="s">
        <v>123</v>
      </c>
      <c r="AD957" s="16" t="s">
        <v>123</v>
      </c>
      <c r="AG957" s="16">
        <f>AH957-AI957</f>
        <v>99</v>
      </c>
      <c r="AH957" s="16">
        <v>185</v>
      </c>
      <c r="AI957" s="16">
        <v>86</v>
      </c>
      <c r="AK957" s="16">
        <v>28.5</v>
      </c>
      <c r="AL957" s="16">
        <v>1</v>
      </c>
      <c r="AM957" s="16">
        <v>0</v>
      </c>
      <c r="AN957" s="16">
        <v>0</v>
      </c>
      <c r="AO957" s="16">
        <v>1</v>
      </c>
      <c r="AP957" s="16">
        <f>SUM(AL957:AN957)</f>
        <v>1</v>
      </c>
      <c r="AQ957" s="16">
        <v>1.8240000000000001</v>
      </c>
      <c r="AR957" s="16">
        <f>AP957-1.472</f>
        <v>-0.47199999999999998</v>
      </c>
      <c r="AS957" s="16">
        <f>AQ957-1.472</f>
        <v>0.35200000000000009</v>
      </c>
      <c r="AT957" s="16" t="str">
        <f>VLOOKUP(E957,[2]Current!$A$1:$W$435,7,FALSE)</f>
        <v>TE</v>
      </c>
      <c r="AU957" s="16" t="s">
        <v>1288</v>
      </c>
      <c r="AW957" s="128">
        <f>IF(AX957&gt;0,1,0)</f>
        <v>1</v>
      </c>
      <c r="AX957" s="128">
        <f>SUM(BA957,BM957,CU957)</f>
        <v>1</v>
      </c>
      <c r="AY957" s="128">
        <f>SUM(BB957,BN957,CV957)</f>
        <v>176.1363636363636</v>
      </c>
      <c r="AZ957" s="128">
        <f>IF(BA957&gt;0,1,0)</f>
        <v>1</v>
      </c>
      <c r="BA957" s="128">
        <f>SUM(BC957+BF957+BI957)</f>
        <v>1</v>
      </c>
      <c r="BB957" s="128">
        <f>SUM(BE957,BH957,BK957)</f>
        <v>176.1363636363636</v>
      </c>
      <c r="BC957" s="130">
        <f>IF(BD957&gt;0,1,0)</f>
        <v>0</v>
      </c>
      <c r="BD957" s="128">
        <f>VLOOKUP($E957,[2]Current!$A:$AC,26,FALSE)</f>
        <v>0</v>
      </c>
      <c r="BE957" s="128">
        <f>BD957/$AS957</f>
        <v>0</v>
      </c>
      <c r="BF957" s="130">
        <f>IF(BG957&gt;0,1,0)</f>
        <v>1</v>
      </c>
      <c r="BG957" s="137">
        <f>VLOOKUP($E957,[2]Current!$A:$AC,27,FALSE)</f>
        <v>62</v>
      </c>
      <c r="BH957" s="128">
        <f>BG957/$AS957</f>
        <v>176.1363636363636</v>
      </c>
      <c r="BI957" s="130">
        <f>IF(BJ957&gt;0,1,0)</f>
        <v>0</v>
      </c>
      <c r="BJ957" s="128">
        <f>VLOOKUP($E957,[2]Current!$A:$AC,28,FALSE)</f>
        <v>0</v>
      </c>
      <c r="BK957" s="128">
        <f>BJ957/$AS957</f>
        <v>0</v>
      </c>
      <c r="BL957" s="128">
        <f>IF(BM957&gt;0,1,0)</f>
        <v>0</v>
      </c>
      <c r="BM957" s="128">
        <f>SUM(BR957,BU957,BX957,CA957,CD957)</f>
        <v>0</v>
      </c>
      <c r="BN957" s="131">
        <f>SUM(BT957,BW957,BZ957,CC957,CF957)</f>
        <v>0</v>
      </c>
      <c r="BO957" s="128">
        <f>IF(BP957&gt;0,1,0)</f>
        <v>0</v>
      </c>
      <c r="BP957" s="128">
        <f>BM957+CJ957</f>
        <v>0</v>
      </c>
      <c r="BQ957" s="128">
        <f>BN957+CL957</f>
        <v>0</v>
      </c>
      <c r="BR957" s="130">
        <f>IF(BS957&gt;0,1,0)</f>
        <v>0</v>
      </c>
      <c r="BS957" s="128">
        <f>VLOOKUP($E957,[2]Current!$A:$AC,12,FALSE)</f>
        <v>0</v>
      </c>
      <c r="BT957" s="137">
        <f>BS957/$AS957</f>
        <v>0</v>
      </c>
      <c r="BU957" s="130">
        <f>IF(BV957&gt;0,1,0)</f>
        <v>0</v>
      </c>
      <c r="BV957" s="128">
        <f>VLOOKUP($E957,[2]Current!$A:$AC,13,FALSE)</f>
        <v>0</v>
      </c>
      <c r="BW957" s="128">
        <f>BV957/$AS957</f>
        <v>0</v>
      </c>
      <c r="BX957" s="130">
        <f>IF(BY957&gt;0,1,0)</f>
        <v>0</v>
      </c>
      <c r="BY957" s="128">
        <f>VLOOKUP($E957,[2]Current!$A:$AC,14,FALSE)</f>
        <v>0</v>
      </c>
      <c r="BZ957" s="128">
        <f>BY957/$AS957</f>
        <v>0</v>
      </c>
      <c r="CA957" s="130">
        <f>IF(CB957&gt;0,1,0)</f>
        <v>0</v>
      </c>
      <c r="CB957" s="128">
        <f>VLOOKUP($E957,[2]Current!$A:$AC,15,FALSE)</f>
        <v>0</v>
      </c>
      <c r="CC957" s="128">
        <f>CB957/$AS957</f>
        <v>0</v>
      </c>
      <c r="CD957" s="174">
        <f>IF(CE957&gt;0,1,0)</f>
        <v>0</v>
      </c>
      <c r="CE957" s="128">
        <f>VLOOKUP($E957,[2]Current!$A:$AC,16,FALSE)</f>
        <v>0</v>
      </c>
      <c r="CF957" s="128">
        <f>CE957/$AS957</f>
        <v>0</v>
      </c>
      <c r="CG957" s="18"/>
      <c r="CH957" s="18"/>
      <c r="CI957" s="18"/>
      <c r="CJ957" s="130">
        <f>IF(CK957&gt;0,1,0)</f>
        <v>0</v>
      </c>
      <c r="CK957" s="128">
        <f>VLOOKUP($E957,[2]Current!$A:$AC,18,FALSE)</f>
        <v>0</v>
      </c>
      <c r="CL957" s="128">
        <f>CK957/$AS957</f>
        <v>0</v>
      </c>
      <c r="CS957" s="130">
        <f>IF(CU957&gt;0,1,0)</f>
        <v>0</v>
      </c>
      <c r="CU957" s="128">
        <f>VLOOKUP($E957,[2]Current!$A:$AC,17,FALSE)</f>
        <v>0</v>
      </c>
      <c r="CV957" s="128">
        <f>CU957/$AS957</f>
        <v>0</v>
      </c>
      <c r="CW957" s="18"/>
      <c r="CX957" s="18"/>
      <c r="CY957" s="18"/>
      <c r="DF957" s="16" t="e">
        <f>VLOOKUP(K957,'[3]RNA Seq summary tables'!$V$3:$V$99,1,FALSE)</f>
        <v>#N/A</v>
      </c>
      <c r="JO957" s="18"/>
    </row>
    <row r="958" spans="2:288" ht="16" x14ac:dyDescent="0.2">
      <c r="B958" s="16">
        <v>2017</v>
      </c>
      <c r="C958" s="20">
        <v>42966</v>
      </c>
      <c r="D958" s="20" t="str">
        <f>CONCATENATE(J958,"-",C958)</f>
        <v>1104-42966</v>
      </c>
      <c r="E958" s="37" t="str">
        <f>CONCATENATE(T958,"-",U958,"-",C958)</f>
        <v>HW2-D4-42966</v>
      </c>
      <c r="F958" s="20" t="s">
        <v>106</v>
      </c>
      <c r="G958" s="20" t="s">
        <v>107</v>
      </c>
      <c r="I958" s="16">
        <v>0</v>
      </c>
      <c r="J958" s="21">
        <v>1104</v>
      </c>
      <c r="K958" s="21">
        <v>2192</v>
      </c>
      <c r="L958" s="18">
        <v>0</v>
      </c>
      <c r="M958" s="21">
        <f>VLOOKUP($K958,'[4]blood tubes 2017'!$D$1:$L$647,8,FALSE)</f>
        <v>0</v>
      </c>
      <c r="N958" s="15">
        <v>0</v>
      </c>
      <c r="O958" s="15" t="s">
        <v>214</v>
      </c>
      <c r="P958" s="16" t="s">
        <v>110</v>
      </c>
      <c r="Q958" s="16">
        <v>1</v>
      </c>
      <c r="R958" s="16">
        <v>18</v>
      </c>
      <c r="T958" s="16" t="s">
        <v>129</v>
      </c>
      <c r="U958" s="16" t="s">
        <v>221</v>
      </c>
      <c r="V958" s="16" t="s">
        <v>114</v>
      </c>
      <c r="W958" s="16">
        <f>AI958/AG958</f>
        <v>0.8529411764705882</v>
      </c>
      <c r="X958" s="16" t="s">
        <v>121</v>
      </c>
      <c r="Y958" s="16" t="s">
        <v>110</v>
      </c>
      <c r="Z958" s="16">
        <v>3</v>
      </c>
      <c r="AA958" s="16" t="s">
        <v>161</v>
      </c>
      <c r="AB958" s="16" t="s">
        <v>123</v>
      </c>
      <c r="AC958" s="16" t="s">
        <v>123</v>
      </c>
      <c r="AD958" s="16" t="s">
        <v>116</v>
      </c>
      <c r="AG958" s="16">
        <f>AH958-AI958</f>
        <v>102</v>
      </c>
      <c r="AH958" s="16">
        <v>189</v>
      </c>
      <c r="AI958" s="16">
        <v>87</v>
      </c>
      <c r="AK958" s="16">
        <v>29.5</v>
      </c>
      <c r="AL958" s="16">
        <v>0</v>
      </c>
      <c r="AM958" s="16">
        <v>0</v>
      </c>
      <c r="AN958" s="16">
        <v>0</v>
      </c>
      <c r="AO958" s="16">
        <v>0</v>
      </c>
      <c r="AP958" s="16">
        <f>SUM(AL958:AN958)</f>
        <v>0</v>
      </c>
      <c r="AQ958" s="16">
        <v>1.8520000000000001</v>
      </c>
      <c r="AR958" s="16">
        <f>AP958-1.472</f>
        <v>-1.472</v>
      </c>
      <c r="AS958" s="16">
        <f>AQ958-1.472</f>
        <v>0.38000000000000012</v>
      </c>
      <c r="AT958" s="16" t="str">
        <f>VLOOKUP(E958,[2]Current!$A$1:$W$435,7,FALSE)</f>
        <v>TE</v>
      </c>
      <c r="AU958" s="16" t="s">
        <v>1288</v>
      </c>
      <c r="AV958" s="23">
        <v>1</v>
      </c>
      <c r="AW958" s="128">
        <f>IF(AX958&gt;0,1,0)</f>
        <v>0</v>
      </c>
      <c r="AX958" s="128">
        <f>SUM(BA958,BM958,CU958)</f>
        <v>0</v>
      </c>
      <c r="AY958" s="128">
        <f>SUM(BB958,BN958,CV958)</f>
        <v>0</v>
      </c>
      <c r="AZ958" s="128">
        <f>IF(BA958&gt;0,1,0)</f>
        <v>0</v>
      </c>
      <c r="BA958" s="128">
        <f>SUM(BC958+BF958+BI958)</f>
        <v>0</v>
      </c>
      <c r="BB958" s="128">
        <f>SUM(BE958,BH958,BK958)</f>
        <v>0</v>
      </c>
      <c r="BC958" s="130">
        <f>IF(BD958&gt;0,1,0)</f>
        <v>0</v>
      </c>
      <c r="BD958" s="128">
        <f>VLOOKUP($E958,[2]Current!$A:$AC,26,FALSE)</f>
        <v>0</v>
      </c>
      <c r="BE958" s="128">
        <f>BD958/$AS958</f>
        <v>0</v>
      </c>
      <c r="BF958" s="130">
        <f>IF(BG958&gt;0,1,0)</f>
        <v>0</v>
      </c>
      <c r="BG958" s="137">
        <f>VLOOKUP($E958,[2]Current!$A:$AC,27,FALSE)</f>
        <v>0</v>
      </c>
      <c r="BH958" s="128">
        <f>BG958/$AS958</f>
        <v>0</v>
      </c>
      <c r="BI958" s="130">
        <f>IF(BJ958&gt;0,1,0)</f>
        <v>0</v>
      </c>
      <c r="BJ958" s="128">
        <f>VLOOKUP($E958,[2]Current!$A:$AC,28,FALSE)</f>
        <v>0</v>
      </c>
      <c r="BK958" s="128">
        <f>BJ958/$AS958</f>
        <v>0</v>
      </c>
      <c r="BL958" s="128">
        <f>IF(BM958&gt;0,1,0)</f>
        <v>0</v>
      </c>
      <c r="BM958" s="128">
        <f>SUM(BR958,BU958,BX958,CA958,CD958)</f>
        <v>0</v>
      </c>
      <c r="BN958" s="131">
        <f>SUM(BT958,BW958,BZ958,CC958,CF958)</f>
        <v>0</v>
      </c>
      <c r="BO958" s="128">
        <f>IF(BP958&gt;0,1,0)</f>
        <v>0</v>
      </c>
      <c r="BP958" s="128">
        <f>BM958+CJ958</f>
        <v>0</v>
      </c>
      <c r="BQ958" s="128">
        <f>BN958+CL958</f>
        <v>0</v>
      </c>
      <c r="BR958" s="130">
        <f>IF(BS958&gt;0,1,0)</f>
        <v>0</v>
      </c>
      <c r="BS958" s="128">
        <f>VLOOKUP($E958,[2]Current!$A:$AC,12,FALSE)</f>
        <v>0</v>
      </c>
      <c r="BT958" s="137">
        <f>BS958/$AS958</f>
        <v>0</v>
      </c>
      <c r="BU958" s="130">
        <f>IF(BV958&gt;0,1,0)</f>
        <v>0</v>
      </c>
      <c r="BV958" s="128">
        <f>VLOOKUP($E958,[2]Current!$A:$AC,13,FALSE)</f>
        <v>0</v>
      </c>
      <c r="BW958" s="128">
        <f>BV958/$AS958</f>
        <v>0</v>
      </c>
      <c r="BX958" s="130">
        <f>IF(BY958&gt;0,1,0)</f>
        <v>0</v>
      </c>
      <c r="BY958" s="128">
        <f>VLOOKUP($E958,[2]Current!$A:$AC,14,FALSE)</f>
        <v>0</v>
      </c>
      <c r="BZ958" s="128">
        <f>BY958/$AS958</f>
        <v>0</v>
      </c>
      <c r="CA958" s="130">
        <f>IF(CB958&gt;0,1,0)</f>
        <v>0</v>
      </c>
      <c r="CB958" s="128">
        <f>VLOOKUP($E958,[2]Current!$A:$AC,15,FALSE)</f>
        <v>0</v>
      </c>
      <c r="CC958" s="128">
        <f>CB958/$AS958</f>
        <v>0</v>
      </c>
      <c r="CD958" s="174">
        <f>IF(CE958&gt;0,1,0)</f>
        <v>0</v>
      </c>
      <c r="CE958" s="128">
        <f>VLOOKUP($E958,[2]Current!$A:$AC,16,FALSE)</f>
        <v>0</v>
      </c>
      <c r="CF958" s="128">
        <f>CE958/$AS958</f>
        <v>0</v>
      </c>
      <c r="CG958" s="18"/>
      <c r="CH958" s="18"/>
      <c r="CI958" s="18"/>
      <c r="CJ958" s="130">
        <f>IF(CK958&gt;0,1,0)</f>
        <v>0</v>
      </c>
      <c r="CK958" s="128">
        <f>VLOOKUP($E958,[2]Current!$A:$AC,18,FALSE)</f>
        <v>0</v>
      </c>
      <c r="CL958" s="128">
        <f>CK958/$AS958</f>
        <v>0</v>
      </c>
      <c r="CS958" s="130">
        <f>IF(CU958&gt;0,1,0)</f>
        <v>0</v>
      </c>
      <c r="CU958" s="128">
        <f>VLOOKUP($E958,[2]Current!$A:$AC,17,FALSE)</f>
        <v>0</v>
      </c>
      <c r="CV958" s="128">
        <f>CU958/$AS958</f>
        <v>0</v>
      </c>
      <c r="CW958" s="18"/>
      <c r="CX958" s="18"/>
      <c r="CY958" s="18"/>
      <c r="DF958" s="16" t="e">
        <f>VLOOKUP(K958,'[3]RNA Seq summary tables'!$V$3:$V$99,1,FALSE)</f>
        <v>#N/A</v>
      </c>
      <c r="JR958" s="18"/>
      <c r="JS958" s="18"/>
      <c r="JT958" s="18"/>
      <c r="JU958" s="18"/>
      <c r="JV958" s="18"/>
      <c r="JW958" s="18"/>
      <c r="JX958" s="18"/>
      <c r="JY958" s="18"/>
      <c r="JZ958" s="18"/>
      <c r="KA958" s="18"/>
      <c r="KB958" s="18"/>
    </row>
    <row r="959" spans="2:288" x14ac:dyDescent="0.2">
      <c r="B959" s="16">
        <v>2017</v>
      </c>
      <c r="C959" s="66">
        <v>42896</v>
      </c>
      <c r="D959" s="66" t="str">
        <f>CONCATENATE(J959,"-",C959)</f>
        <v>1106-42896</v>
      </c>
      <c r="E959" s="20" t="str">
        <f>CONCATENATE(T959,"-",U959,"-",C959)</f>
        <v>HW2-G2-42896</v>
      </c>
      <c r="F959" s="20" t="s">
        <v>106</v>
      </c>
      <c r="G959" s="20" t="s">
        <v>107</v>
      </c>
      <c r="I959" s="16">
        <v>0</v>
      </c>
      <c r="J959" s="21">
        <v>1106</v>
      </c>
      <c r="K959" s="21">
        <v>1656</v>
      </c>
      <c r="L959" s="18">
        <v>0</v>
      </c>
      <c r="M959" s="21">
        <f>VLOOKUP($K959,'[4]blood tubes 2017'!$D$1:$L$647,8,FALSE)</f>
        <v>0</v>
      </c>
      <c r="N959" s="15">
        <v>0</v>
      </c>
      <c r="O959" s="15" t="s">
        <v>214</v>
      </c>
      <c r="P959" s="16" t="s">
        <v>110</v>
      </c>
      <c r="Q959" s="16">
        <v>0</v>
      </c>
      <c r="R959" s="16" t="s">
        <v>111</v>
      </c>
      <c r="T959" s="16" t="s">
        <v>129</v>
      </c>
      <c r="U959" s="16" t="s">
        <v>128</v>
      </c>
      <c r="V959" s="16" t="s">
        <v>114</v>
      </c>
      <c r="W959" s="16">
        <f>AI959/AG959</f>
        <v>0.82608695652173914</v>
      </c>
      <c r="X959" s="16" t="s">
        <v>115</v>
      </c>
      <c r="Y959" s="16" t="s">
        <v>110</v>
      </c>
      <c r="Z959" s="16">
        <v>3</v>
      </c>
      <c r="AE959" s="16" t="s">
        <v>123</v>
      </c>
      <c r="AF959" s="16" t="s">
        <v>123</v>
      </c>
      <c r="AG959" s="16">
        <f>AH959-AI959</f>
        <v>92</v>
      </c>
      <c r="AH959" s="16">
        <v>168</v>
      </c>
      <c r="AI959" s="16">
        <v>76</v>
      </c>
      <c r="AK959" s="16">
        <v>24</v>
      </c>
      <c r="AL959" s="16">
        <v>0</v>
      </c>
      <c r="AM959" s="16">
        <v>0</v>
      </c>
      <c r="AN959" s="16">
        <v>0</v>
      </c>
      <c r="AO959" s="16">
        <v>0</v>
      </c>
      <c r="AP959" s="16">
        <f>SUM(AL959:AN959)</f>
        <v>0</v>
      </c>
      <c r="AQ959" s="16">
        <v>1.6739999999999999</v>
      </c>
      <c r="AR959" s="16">
        <f>AP959-1.472</f>
        <v>-1.472</v>
      </c>
      <c r="AS959" s="16">
        <f>AQ959-1.472</f>
        <v>0.20199999999999996</v>
      </c>
      <c r="AT959" s="16" t="s">
        <v>233</v>
      </c>
      <c r="AW959" s="16">
        <f>IF(AX959&gt;0,1,0)</f>
        <v>1</v>
      </c>
      <c r="AX959" s="16">
        <f>SUM(BA959,BM959,CT959)</f>
        <v>1</v>
      </c>
      <c r="AY959" s="18">
        <f>SUM(BB959,BN959,CV959)</f>
        <v>3539.6039603960403</v>
      </c>
      <c r="AZ959" s="16">
        <f>IF(BA959&gt;0,1,0)</f>
        <v>1</v>
      </c>
      <c r="BA959" s="16">
        <f>SUM(BC959,BF959,BI959)</f>
        <v>1</v>
      </c>
      <c r="BB959" s="16">
        <f>SUM(BE959,BH959,BK959)</f>
        <v>3539.6039603960403</v>
      </c>
      <c r="BC959" s="16">
        <v>0</v>
      </c>
      <c r="BD959" s="16">
        <v>0</v>
      </c>
      <c r="BE959" s="16">
        <f>BD959/AS959</f>
        <v>0</v>
      </c>
      <c r="BF959" s="16">
        <v>1</v>
      </c>
      <c r="BG959" s="77">
        <v>715</v>
      </c>
      <c r="BH959" s="16">
        <f>BG959/AS959</f>
        <v>3539.6039603960403</v>
      </c>
      <c r="BI959" s="16">
        <v>0</v>
      </c>
      <c r="BJ959" s="16">
        <v>0</v>
      </c>
      <c r="BK959" s="16">
        <f>BJ959/AS959</f>
        <v>0</v>
      </c>
      <c r="BL959" s="16">
        <f>IF(BM959&gt;0,1,0)</f>
        <v>0</v>
      </c>
      <c r="BM959" s="16">
        <f>SUM(BR959,BU959,BX959,CA959,CD959,CG959,CJ959,CM959,CP959)</f>
        <v>0</v>
      </c>
      <c r="BN959" s="16">
        <f>SUM(BW959,BZ959,CC959,CF959,CI959,CL959,CO959,CR959,BT959)</f>
        <v>0</v>
      </c>
      <c r="BO959" s="16">
        <f>IF(BP959&gt;0,1,0)</f>
        <v>0</v>
      </c>
      <c r="BP959" s="16">
        <f>SUM(BU959,BX959,CA959,CD959,BR959)</f>
        <v>0</v>
      </c>
      <c r="BQ959" s="16">
        <f>SUM(BZ959,CC959,CF959,BT959,BW959)</f>
        <v>0</v>
      </c>
      <c r="BR959" s="16">
        <v>0</v>
      </c>
      <c r="BS959" s="16">
        <v>0</v>
      </c>
      <c r="BT959" s="77">
        <f>BS959/AS959</f>
        <v>0</v>
      </c>
      <c r="BU959" s="16">
        <v>0</v>
      </c>
      <c r="BV959" s="16">
        <v>0</v>
      </c>
      <c r="BW959" s="16">
        <f>BV959/AS959</f>
        <v>0</v>
      </c>
      <c r="BX959" s="16">
        <v>0</v>
      </c>
      <c r="BY959" s="16">
        <v>0</v>
      </c>
      <c r="BZ959" s="16">
        <f>BY959/AS959</f>
        <v>0</v>
      </c>
      <c r="CA959" s="16">
        <v>0</v>
      </c>
      <c r="CB959" s="16">
        <v>0</v>
      </c>
      <c r="CC959" s="16">
        <f>CB959/AS959</f>
        <v>0</v>
      </c>
      <c r="CD959" s="77">
        <v>0</v>
      </c>
      <c r="CE959" s="16">
        <v>0</v>
      </c>
      <c r="CF959" s="16">
        <f>CE959/AS959</f>
        <v>0</v>
      </c>
      <c r="CG959" s="16">
        <v>0</v>
      </c>
      <c r="CH959" s="16">
        <v>0</v>
      </c>
      <c r="CI959" s="16">
        <f>CH959/AS959</f>
        <v>0</v>
      </c>
      <c r="CM959" s="16">
        <v>0</v>
      </c>
      <c r="CN959" s="16">
        <v>0</v>
      </c>
      <c r="CO959" s="16">
        <f>CN959/AS959</f>
        <v>0</v>
      </c>
      <c r="CP959" s="16">
        <v>0</v>
      </c>
      <c r="CQ959" s="16">
        <v>0</v>
      </c>
      <c r="CR959" s="16">
        <f>CQ959/AS959</f>
        <v>0</v>
      </c>
      <c r="CS959" s="16">
        <f>IF(CT959&gt;0,1,0)</f>
        <v>0</v>
      </c>
      <c r="CT959" s="16">
        <f>SUM(CW959,CZ959,DC959)</f>
        <v>0</v>
      </c>
      <c r="CV959" s="16">
        <f>SUM(CY959,DB959,DE959)</f>
        <v>0</v>
      </c>
      <c r="CW959" s="16">
        <v>0</v>
      </c>
      <c r="CX959" s="16">
        <v>0</v>
      </c>
      <c r="CY959" s="16">
        <f>CX959/AS959</f>
        <v>0</v>
      </c>
      <c r="CZ959" s="16">
        <v>0</v>
      </c>
      <c r="DA959" s="16">
        <v>0</v>
      </c>
      <c r="DB959" s="16">
        <f>DA959/AS959</f>
        <v>0</v>
      </c>
      <c r="DC959" s="16">
        <v>0</v>
      </c>
      <c r="DD959" s="16">
        <v>0</v>
      </c>
      <c r="DE959" s="16">
        <f>DD959/AS959</f>
        <v>0</v>
      </c>
      <c r="DF959" s="16" t="e">
        <f>VLOOKUP(K959,'[3]RNA Seq summary tables'!$V$3:$V$99,1,FALSE)</f>
        <v>#N/A</v>
      </c>
      <c r="DI959" s="16">
        <v>28</v>
      </c>
      <c r="DK959" s="16">
        <v>65</v>
      </c>
      <c r="DM959" s="16">
        <v>4</v>
      </c>
      <c r="DO959" s="16">
        <v>0</v>
      </c>
      <c r="DQ959" s="16">
        <v>3</v>
      </c>
      <c r="DR959" s="16">
        <f>SUM(DI959:DQ959)</f>
        <v>100</v>
      </c>
      <c r="JP959" s="18"/>
      <c r="JQ959" s="18"/>
    </row>
    <row r="960" spans="2:288" x14ac:dyDescent="0.2">
      <c r="B960" s="16">
        <v>2017</v>
      </c>
      <c r="C960" s="20">
        <v>42915</v>
      </c>
      <c r="D960" s="20" t="str">
        <f>CONCATENATE(J960,"-",C960)</f>
        <v>1106-42915</v>
      </c>
      <c r="E960" s="20" t="str">
        <f>CONCATENATE(T960,"-",U960,"-",C960)</f>
        <v>HW2-H4-42915</v>
      </c>
      <c r="F960" s="20" t="s">
        <v>106</v>
      </c>
      <c r="G960" s="20" t="s">
        <v>107</v>
      </c>
      <c r="I960" s="16">
        <v>0</v>
      </c>
      <c r="J960" s="21">
        <v>1106</v>
      </c>
      <c r="K960" s="21">
        <v>1800</v>
      </c>
      <c r="L960" s="18">
        <v>0</v>
      </c>
      <c r="M960" s="21">
        <f>VLOOKUP($K960,'[4]blood tubes 2017'!$D$1:$L$647,8,FALSE)</f>
        <v>0</v>
      </c>
      <c r="N960" s="15">
        <v>0</v>
      </c>
      <c r="O960" s="15" t="s">
        <v>214</v>
      </c>
      <c r="P960" s="16" t="s">
        <v>110</v>
      </c>
      <c r="Q960" s="16">
        <v>1</v>
      </c>
      <c r="R960" s="16">
        <v>19</v>
      </c>
      <c r="T960" s="16" t="s">
        <v>129</v>
      </c>
      <c r="U960" s="16" t="s">
        <v>151</v>
      </c>
      <c r="V960" s="16" t="s">
        <v>114</v>
      </c>
      <c r="W960" s="16">
        <f>AI960/AG960</f>
        <v>0.8651685393258427</v>
      </c>
      <c r="X960" s="16" t="s">
        <v>115</v>
      </c>
      <c r="Y960" s="16" t="s">
        <v>110</v>
      </c>
      <c r="Z960" s="16">
        <v>3</v>
      </c>
      <c r="AE960" s="16" t="s">
        <v>116</v>
      </c>
      <c r="AF960" s="16" t="s">
        <v>116</v>
      </c>
      <c r="AG960" s="16">
        <f>AH960-AI960</f>
        <v>89</v>
      </c>
      <c r="AH960" s="16">
        <v>166</v>
      </c>
      <c r="AI960" s="16">
        <v>77</v>
      </c>
      <c r="AK960" s="16">
        <v>22</v>
      </c>
      <c r="AL960" s="16">
        <v>0</v>
      </c>
      <c r="AM960" s="16">
        <v>0</v>
      </c>
      <c r="AN960" s="16">
        <v>0</v>
      </c>
      <c r="AO960" s="16">
        <v>0</v>
      </c>
      <c r="AP960" s="16">
        <f>SUM(AL960:AN960)</f>
        <v>0</v>
      </c>
      <c r="AQ960" s="16">
        <v>1.625</v>
      </c>
      <c r="AR960" s="16">
        <f>AP960-1.472</f>
        <v>-1.472</v>
      </c>
      <c r="AS960" s="16">
        <f>AQ960-1.472</f>
        <v>0.15300000000000002</v>
      </c>
      <c r="AT960" s="16" t="s">
        <v>119</v>
      </c>
      <c r="AW960" s="16">
        <f>IF(AX960&gt;0,1,0)</f>
        <v>1</v>
      </c>
      <c r="AX960" s="16">
        <f>SUM(BA960,BM960,CT960)</f>
        <v>2</v>
      </c>
      <c r="AY960" s="18">
        <f>SUM(BB960,BN960,CV960)</f>
        <v>2797.3856209150322</v>
      </c>
      <c r="AZ960" s="16">
        <v>1</v>
      </c>
      <c r="BA960" s="16">
        <v>2</v>
      </c>
      <c r="BB960" s="16">
        <f>SUM(BE960,BH960,BK960)</f>
        <v>2797.3856209150322</v>
      </c>
      <c r="BC960" s="16">
        <v>1</v>
      </c>
      <c r="BD960" s="16">
        <v>114</v>
      </c>
      <c r="BE960" s="16">
        <f>BD960/AS960</f>
        <v>745.09803921568619</v>
      </c>
      <c r="BF960" s="16">
        <v>1</v>
      </c>
      <c r="BG960" s="77">
        <v>314</v>
      </c>
      <c r="BH960" s="16">
        <f>BG960/AS960</f>
        <v>2052.287581699346</v>
      </c>
      <c r="BI960" s="16">
        <v>0</v>
      </c>
      <c r="BJ960" s="16">
        <v>0</v>
      </c>
      <c r="BK960" s="16">
        <f>BJ960/AS960</f>
        <v>0</v>
      </c>
      <c r="BL960" s="16">
        <f>IF(BM960&gt;0,1,0)</f>
        <v>0</v>
      </c>
      <c r="BM960" s="16">
        <f>SUM(BR960,BU960,BX960,CA960,CD960,CG960,CJ960,CM960,CP960)</f>
        <v>0</v>
      </c>
      <c r="BN960" s="16">
        <f>SUM(BW960,BZ960,CC960,CF960,CI960,CL960,CO960,CR960,BT960)</f>
        <v>0</v>
      </c>
      <c r="BO960" s="16">
        <f>IF(BP960&gt;0,1,0)</f>
        <v>0</v>
      </c>
      <c r="BP960" s="16">
        <f>SUM(BU960,BX960,CA960,CD960,BR960)</f>
        <v>0</v>
      </c>
      <c r="BQ960" s="16">
        <f>SUM(BZ960,CC960,CF960,BT960,BW960)</f>
        <v>0</v>
      </c>
      <c r="BR960" s="16">
        <v>0</v>
      </c>
      <c r="BS960" s="16">
        <v>0</v>
      </c>
      <c r="BT960" s="77">
        <f>BS960/AS960</f>
        <v>0</v>
      </c>
      <c r="BU960" s="16">
        <v>0</v>
      </c>
      <c r="BV960" s="16">
        <v>0</v>
      </c>
      <c r="BW960" s="16">
        <f>BV960/AS960</f>
        <v>0</v>
      </c>
      <c r="BX960" s="16">
        <v>0</v>
      </c>
      <c r="BY960" s="16">
        <v>0</v>
      </c>
      <c r="BZ960" s="16">
        <f>BY960/AS960</f>
        <v>0</v>
      </c>
      <c r="CA960" s="16">
        <v>0</v>
      </c>
      <c r="CB960" s="16">
        <v>0</v>
      </c>
      <c r="CC960" s="16">
        <f>CB960/AS960</f>
        <v>0</v>
      </c>
      <c r="CD960" s="77">
        <v>0</v>
      </c>
      <c r="CE960" s="16">
        <v>0</v>
      </c>
      <c r="CF960" s="16">
        <f>CE960/AS960</f>
        <v>0</v>
      </c>
      <c r="CG960" s="16">
        <v>0</v>
      </c>
      <c r="CH960" s="16">
        <v>0</v>
      </c>
      <c r="CI960" s="16">
        <f>CH960/AS960</f>
        <v>0</v>
      </c>
      <c r="CM960" s="16">
        <v>0</v>
      </c>
      <c r="CN960" s="16">
        <v>0</v>
      </c>
      <c r="CO960" s="16">
        <f>CN960/AS960</f>
        <v>0</v>
      </c>
      <c r="CP960" s="16">
        <v>0</v>
      </c>
      <c r="CQ960" s="16">
        <v>0</v>
      </c>
      <c r="CR960" s="16">
        <f>CQ960/AS960</f>
        <v>0</v>
      </c>
      <c r="CS960" s="16">
        <v>0</v>
      </c>
      <c r="CT960" s="16">
        <v>0</v>
      </c>
      <c r="CV960" s="16">
        <f>SUM(CY960,DB960,DE960)</f>
        <v>0</v>
      </c>
      <c r="CW960" s="16">
        <v>0</v>
      </c>
      <c r="CX960" s="16">
        <v>0</v>
      </c>
      <c r="CY960" s="16">
        <f>CX960/AS960</f>
        <v>0</v>
      </c>
      <c r="CZ960" s="16">
        <v>0</v>
      </c>
      <c r="DA960" s="16">
        <v>0</v>
      </c>
      <c r="DB960" s="16">
        <f>DA960/AS960</f>
        <v>0</v>
      </c>
      <c r="DC960" s="16">
        <v>0</v>
      </c>
      <c r="DD960" s="16">
        <v>0</v>
      </c>
      <c r="DE960" s="16">
        <f>DD960/AS960</f>
        <v>0</v>
      </c>
      <c r="DF960" s="16" t="e">
        <f>VLOOKUP(K960,'[3]RNA Seq summary tables'!$V$3:$V$99,1,FALSE)</f>
        <v>#N/A</v>
      </c>
      <c r="DI960" s="16">
        <v>46</v>
      </c>
      <c r="DK960" s="16">
        <v>47</v>
      </c>
      <c r="DM960" s="16">
        <v>7</v>
      </c>
      <c r="DO960" s="16">
        <v>0</v>
      </c>
      <c r="DQ960" s="16">
        <v>0</v>
      </c>
      <c r="DR960" s="16">
        <f>SUM(DI960:DQ960)</f>
        <v>100</v>
      </c>
      <c r="JO960" s="18"/>
      <c r="JP960" s="18"/>
      <c r="JQ960" s="18"/>
      <c r="JR960" s="27"/>
      <c r="JS960" s="27"/>
      <c r="JT960" s="27"/>
      <c r="JU960" s="27"/>
      <c r="JV960" s="27"/>
      <c r="JW960" s="27"/>
      <c r="JX960" s="27"/>
      <c r="JY960" s="27"/>
      <c r="JZ960" s="27"/>
      <c r="KA960" s="27"/>
      <c r="KB960" s="27"/>
    </row>
    <row r="961" spans="2:288" x14ac:dyDescent="0.2">
      <c r="B961" s="16">
        <v>2017</v>
      </c>
      <c r="C961" s="66">
        <v>42896</v>
      </c>
      <c r="D961" s="66" t="str">
        <f>CONCATENATE(J961,"-",C961)</f>
        <v>1108-42896</v>
      </c>
      <c r="E961" s="20" t="str">
        <f>CONCATENATE(T961,"-",U961,"-",C961)</f>
        <v>HW1-A8-42896</v>
      </c>
      <c r="F961" s="20" t="s">
        <v>106</v>
      </c>
      <c r="G961" s="20" t="s">
        <v>107</v>
      </c>
      <c r="I961" s="16">
        <v>0</v>
      </c>
      <c r="J961" s="21">
        <v>1108</v>
      </c>
      <c r="K961" s="21">
        <v>1658</v>
      </c>
      <c r="L961" s="18">
        <v>0</v>
      </c>
      <c r="M961" s="21">
        <f>VLOOKUP($K961,'[4]blood tubes 2017'!$D$1:$L$647,8,FALSE)</f>
        <v>0</v>
      </c>
      <c r="N961" s="15">
        <v>0</v>
      </c>
      <c r="O961" s="15" t="s">
        <v>214</v>
      </c>
      <c r="P961" s="16" t="s">
        <v>110</v>
      </c>
      <c r="Q961" s="16">
        <v>0</v>
      </c>
      <c r="R961" s="16" t="s">
        <v>111</v>
      </c>
      <c r="T961" s="16" t="s">
        <v>133</v>
      </c>
      <c r="U961" s="16" t="s">
        <v>194</v>
      </c>
      <c r="V961" s="16" t="s">
        <v>114</v>
      </c>
      <c r="W961" s="16">
        <f>AI961/AG961</f>
        <v>0.81111111111111112</v>
      </c>
      <c r="X961" s="16" t="s">
        <v>121</v>
      </c>
      <c r="Y961" s="16" t="s">
        <v>110</v>
      </c>
      <c r="Z961" s="16">
        <v>3</v>
      </c>
      <c r="AA961" s="16" t="s">
        <v>119</v>
      </c>
      <c r="AB961" s="16" t="s">
        <v>123</v>
      </c>
      <c r="AC961" s="16" t="s">
        <v>123</v>
      </c>
      <c r="AD961" s="16" t="s">
        <v>123</v>
      </c>
      <c r="AG961" s="16">
        <f>AH961-AI961</f>
        <v>90</v>
      </c>
      <c r="AH961" s="16">
        <v>163</v>
      </c>
      <c r="AI961" s="16">
        <v>73</v>
      </c>
      <c r="AK961" s="16">
        <v>17</v>
      </c>
      <c r="AL961" s="16">
        <v>0</v>
      </c>
      <c r="AM961" s="16">
        <v>0</v>
      </c>
      <c r="AN961" s="16">
        <v>0</v>
      </c>
      <c r="AO961" s="16">
        <v>0</v>
      </c>
      <c r="AP961" s="16">
        <f>SUM(AL961:AN961)</f>
        <v>0</v>
      </c>
      <c r="AQ961" s="16">
        <v>1.905</v>
      </c>
      <c r="AR961" s="16">
        <f>AP961-1.472</f>
        <v>-1.472</v>
      </c>
      <c r="AS961" s="16">
        <f>AQ961-1.472</f>
        <v>0.43300000000000005</v>
      </c>
      <c r="AT961" s="18" t="s">
        <v>235</v>
      </c>
      <c r="AU961" s="18"/>
      <c r="AW961" s="40"/>
      <c r="AX961" s="40"/>
      <c r="AY961" s="40"/>
      <c r="AZ961" s="40"/>
      <c r="BA961" s="40"/>
      <c r="BB961" s="40"/>
      <c r="BC961" s="40"/>
      <c r="BD961" s="40"/>
      <c r="BE961" s="40"/>
      <c r="BF961" s="40"/>
      <c r="BG961" s="79"/>
      <c r="BH961" s="40"/>
      <c r="BI961" s="40"/>
      <c r="BJ961" s="40"/>
      <c r="BK961" s="40"/>
      <c r="BL961" s="40"/>
      <c r="BM961" s="40"/>
      <c r="BN961" s="40"/>
      <c r="BO961" s="40"/>
      <c r="BP961" s="40"/>
      <c r="BQ961" s="40"/>
      <c r="BR961" s="40"/>
      <c r="BS961" s="40"/>
      <c r="BT961" s="79"/>
      <c r="BU961" s="40"/>
      <c r="BV961" s="40"/>
      <c r="BW961" s="40"/>
      <c r="BX961" s="40"/>
      <c r="BY961" s="40"/>
      <c r="BZ961" s="40"/>
      <c r="CA961" s="40"/>
      <c r="CB961" s="40"/>
      <c r="CC961" s="40"/>
      <c r="CD961" s="79"/>
      <c r="CE961" s="40"/>
      <c r="CF961" s="40"/>
      <c r="CG961" s="40"/>
      <c r="CH961" s="40"/>
      <c r="CI961" s="40"/>
      <c r="CJ961" s="40"/>
      <c r="CK961" s="40"/>
      <c r="CL961" s="40"/>
      <c r="CM961" s="40"/>
      <c r="CN961" s="40"/>
      <c r="CO961" s="40"/>
      <c r="CP961" s="40"/>
      <c r="CQ961" s="40"/>
      <c r="CR961" s="40"/>
      <c r="CS961" s="40"/>
      <c r="CT961" s="40"/>
      <c r="CU961" s="40"/>
      <c r="CV961" s="40"/>
      <c r="CW961" s="40"/>
      <c r="CX961" s="40"/>
      <c r="CY961" s="40"/>
      <c r="CZ961" s="40"/>
      <c r="DA961" s="40"/>
      <c r="DB961" s="40"/>
      <c r="DC961" s="40"/>
      <c r="DD961" s="40"/>
      <c r="DE961" s="40"/>
      <c r="DF961" s="16" t="e">
        <f>VLOOKUP(K961,'[3]RNA Seq summary tables'!$V$3:$V$99,1,FALSE)</f>
        <v>#N/A</v>
      </c>
      <c r="DI961" s="40"/>
      <c r="DK961" s="16">
        <v>55</v>
      </c>
      <c r="DM961" s="16">
        <v>3</v>
      </c>
      <c r="DO961" s="16">
        <v>0</v>
      </c>
      <c r="DQ961" s="16">
        <v>0</v>
      </c>
      <c r="DR961" s="16">
        <f>SUM(DI961:DQ961)</f>
        <v>58</v>
      </c>
    </row>
    <row r="962" spans="2:288" x14ac:dyDescent="0.2">
      <c r="B962" s="16">
        <v>2017</v>
      </c>
      <c r="C962" s="20">
        <v>42914</v>
      </c>
      <c r="D962" s="20" t="str">
        <f>CONCATENATE(J962,"-",C962)</f>
        <v>1108-42914</v>
      </c>
      <c r="E962" s="20" t="str">
        <f>CONCATENATE(T962,"-",U962,"-",C962)</f>
        <v>HW1-A8-42914</v>
      </c>
      <c r="F962" s="20" t="s">
        <v>106</v>
      </c>
      <c r="G962" s="20" t="s">
        <v>107</v>
      </c>
      <c r="I962" s="16">
        <v>0</v>
      </c>
      <c r="J962" s="21">
        <v>1108</v>
      </c>
      <c r="K962" s="21">
        <v>1775</v>
      </c>
      <c r="L962" s="18">
        <v>0</v>
      </c>
      <c r="M962" s="21">
        <f>VLOOKUP($K962,'[4]blood tubes 2017'!$D$1:$L$647,8,FALSE)</f>
        <v>0</v>
      </c>
      <c r="N962" s="15">
        <v>0</v>
      </c>
      <c r="O962" s="15" t="s">
        <v>214</v>
      </c>
      <c r="P962" s="16" t="s">
        <v>110</v>
      </c>
      <c r="Q962" s="16">
        <v>1</v>
      </c>
      <c r="R962" s="16">
        <v>18</v>
      </c>
      <c r="T962" s="16" t="s">
        <v>133</v>
      </c>
      <c r="U962" s="16" t="s">
        <v>194</v>
      </c>
      <c r="V962" s="16" t="s">
        <v>114</v>
      </c>
      <c r="W962" s="16">
        <f>AI962/AG962</f>
        <v>0.81521739130434778</v>
      </c>
      <c r="X962" s="16" t="s">
        <v>121</v>
      </c>
      <c r="Y962" s="16" t="s">
        <v>110</v>
      </c>
      <c r="Z962" s="16">
        <v>3</v>
      </c>
      <c r="AA962" s="16" t="s">
        <v>119</v>
      </c>
      <c r="AB962" s="16" t="s">
        <v>240</v>
      </c>
      <c r="AC962" s="16" t="s">
        <v>123</v>
      </c>
      <c r="AD962" s="16" t="s">
        <v>123</v>
      </c>
      <c r="AG962" s="16">
        <f>AH962-AI962</f>
        <v>92</v>
      </c>
      <c r="AH962" s="16">
        <v>167</v>
      </c>
      <c r="AI962" s="16">
        <v>75</v>
      </c>
      <c r="AK962" s="16">
        <v>18</v>
      </c>
      <c r="AL962" s="16">
        <v>0</v>
      </c>
      <c r="AM962" s="16">
        <v>0</v>
      </c>
      <c r="AN962" s="16">
        <v>0</v>
      </c>
      <c r="AO962" s="16">
        <v>0</v>
      </c>
      <c r="AP962" s="16">
        <f>SUM(AL962:AN962)</f>
        <v>0</v>
      </c>
      <c r="AQ962" s="16">
        <v>2.1139999999999999</v>
      </c>
      <c r="AR962" s="16">
        <f>AP962-1.472</f>
        <v>-1.472</v>
      </c>
      <c r="AS962" s="16">
        <f>AQ962-1.472</f>
        <v>0.6419999999999999</v>
      </c>
      <c r="AT962" s="16" t="s">
        <v>233</v>
      </c>
      <c r="AV962" s="16">
        <v>1</v>
      </c>
      <c r="AW962" s="16">
        <f>IF(AX962&gt;0,1,0)</f>
        <v>0</v>
      </c>
      <c r="AX962" s="16">
        <f>SUM(BA962,BM962,CT962)</f>
        <v>0</v>
      </c>
      <c r="AY962" s="18">
        <f>SUM(BB962,BN962,CV962)</f>
        <v>0</v>
      </c>
      <c r="AZ962" s="16">
        <v>0</v>
      </c>
      <c r="BA962" s="16">
        <v>0</v>
      </c>
      <c r="BB962" s="16">
        <f>SUM(BE962,BH962,BK962)</f>
        <v>0</v>
      </c>
      <c r="BC962" s="16">
        <v>0</v>
      </c>
      <c r="BD962" s="16">
        <v>0</v>
      </c>
      <c r="BE962" s="16">
        <f>BD962/AS962</f>
        <v>0</v>
      </c>
      <c r="BF962" s="16">
        <v>0</v>
      </c>
      <c r="BG962" s="77">
        <v>0</v>
      </c>
      <c r="BH962" s="16">
        <f>BG962/AS962</f>
        <v>0</v>
      </c>
      <c r="BI962" s="16">
        <v>0</v>
      </c>
      <c r="BJ962" s="16">
        <v>0</v>
      </c>
      <c r="BK962" s="16">
        <f>BJ962/AS962</f>
        <v>0</v>
      </c>
      <c r="BL962" s="16">
        <f>IF(BM962&gt;0,1,0)</f>
        <v>0</v>
      </c>
      <c r="BM962" s="16">
        <f>SUM(BR962,BU962,BX962,CA962,CD962,CG962,CJ962,CM962,CP962)</f>
        <v>0</v>
      </c>
      <c r="BN962" s="16">
        <f>SUM(BW962,BZ962,CC962,CF962,CI962,CL962,CO962,CR962,BT962)</f>
        <v>0</v>
      </c>
      <c r="BO962" s="16">
        <f>IF(BP962&gt;0,1,0)</f>
        <v>0</v>
      </c>
      <c r="BP962" s="16">
        <f>SUM(BU962,BX962,CA962,CD962,BR962)</f>
        <v>0</v>
      </c>
      <c r="BQ962" s="16">
        <f>SUM(BZ962,CC962,CF962,BT962,BW962)</f>
        <v>0</v>
      </c>
      <c r="BR962" s="16">
        <v>0</v>
      </c>
      <c r="BS962" s="16">
        <v>0</v>
      </c>
      <c r="BT962" s="77">
        <f>BS962/AS962</f>
        <v>0</v>
      </c>
      <c r="BU962" s="16">
        <v>0</v>
      </c>
      <c r="BV962" s="16">
        <v>0</v>
      </c>
      <c r="BW962" s="16">
        <f>BV962/AS962</f>
        <v>0</v>
      </c>
      <c r="BX962" s="16">
        <v>0</v>
      </c>
      <c r="BY962" s="16">
        <v>0</v>
      </c>
      <c r="BZ962" s="16">
        <f>BY962/AS962</f>
        <v>0</v>
      </c>
      <c r="CA962" s="16">
        <v>0</v>
      </c>
      <c r="CB962" s="16">
        <v>0</v>
      </c>
      <c r="CC962" s="16">
        <f>CB962/AS962</f>
        <v>0</v>
      </c>
      <c r="CD962" s="77">
        <v>0</v>
      </c>
      <c r="CE962" s="16">
        <v>0</v>
      </c>
      <c r="CF962" s="16">
        <f>CE962/AS962</f>
        <v>0</v>
      </c>
      <c r="CG962" s="16">
        <v>0</v>
      </c>
      <c r="CH962" s="16">
        <v>0</v>
      </c>
      <c r="CI962" s="16">
        <f>CH962/AS962</f>
        <v>0</v>
      </c>
      <c r="CM962" s="16">
        <v>0</v>
      </c>
      <c r="CN962" s="16">
        <v>0</v>
      </c>
      <c r="CO962" s="16">
        <f>CN962/AS962</f>
        <v>0</v>
      </c>
      <c r="CP962" s="16">
        <v>0</v>
      </c>
      <c r="CQ962" s="16">
        <v>0</v>
      </c>
      <c r="CR962" s="16">
        <f>CQ962/AS962</f>
        <v>0</v>
      </c>
      <c r="CS962" s="16">
        <v>0</v>
      </c>
      <c r="CT962" s="16">
        <v>0</v>
      </c>
      <c r="CV962" s="16">
        <f>SUM(CY962,DB962,DE962)</f>
        <v>0</v>
      </c>
      <c r="CW962" s="16">
        <v>0</v>
      </c>
      <c r="CX962" s="16">
        <v>0</v>
      </c>
      <c r="CY962" s="16">
        <f>CX962/AS962</f>
        <v>0</v>
      </c>
      <c r="CZ962" s="16">
        <v>0</v>
      </c>
      <c r="DA962" s="16">
        <v>0</v>
      </c>
      <c r="DB962" s="16">
        <f>DA962/AS962</f>
        <v>0</v>
      </c>
      <c r="DC962" s="16">
        <v>0</v>
      </c>
      <c r="DD962" s="16">
        <v>0</v>
      </c>
      <c r="DE962" s="16">
        <f>DD962/AS962</f>
        <v>0</v>
      </c>
      <c r="DF962" s="16" t="e">
        <f>VLOOKUP(K962,'[3]RNA Seq summary tables'!$V$3:$V$99,1,FALSE)</f>
        <v>#N/A</v>
      </c>
      <c r="DI962" s="16">
        <v>7</v>
      </c>
      <c r="DK962" s="16">
        <v>87</v>
      </c>
      <c r="DM962" s="16">
        <v>6</v>
      </c>
      <c r="DO962" s="16">
        <v>0</v>
      </c>
      <c r="DQ962" s="16">
        <v>0</v>
      </c>
      <c r="DR962" s="16">
        <f>SUM(DI962:DQ962)</f>
        <v>100</v>
      </c>
      <c r="JR962" s="27"/>
      <c r="JS962" s="27"/>
      <c r="JT962" s="27"/>
      <c r="JU962" s="27"/>
      <c r="JV962" s="27"/>
      <c r="JW962" s="27"/>
      <c r="JX962" s="27"/>
      <c r="JY962" s="27"/>
      <c r="JZ962" s="27"/>
      <c r="KA962" s="27"/>
      <c r="KB962" s="27"/>
    </row>
    <row r="963" spans="2:288" ht="16" x14ac:dyDescent="0.2">
      <c r="B963" s="16">
        <v>2017</v>
      </c>
      <c r="C963" s="20">
        <v>42948</v>
      </c>
      <c r="D963" s="20" t="str">
        <f>CONCATENATE(J963,"-",C963)</f>
        <v>1108-42948</v>
      </c>
      <c r="E963" s="37" t="str">
        <f>CONCATENATE(T963,"-",U963,"-",C963)</f>
        <v>HW1-A6-42948</v>
      </c>
      <c r="F963" s="20" t="s">
        <v>106</v>
      </c>
      <c r="G963" s="20" t="s">
        <v>107</v>
      </c>
      <c r="I963" s="16">
        <v>0</v>
      </c>
      <c r="J963" s="21">
        <v>1108</v>
      </c>
      <c r="K963" s="21">
        <v>2045</v>
      </c>
      <c r="L963" s="18">
        <v>0</v>
      </c>
      <c r="M963" s="21">
        <f>VLOOKUP($K963,'[4]blood tubes 2017'!$D$1:$L$647,8,FALSE)</f>
        <v>0</v>
      </c>
      <c r="N963" s="15">
        <v>0</v>
      </c>
      <c r="O963" s="15" t="s">
        <v>214</v>
      </c>
      <c r="P963" s="16" t="s">
        <v>110</v>
      </c>
      <c r="Q963" s="16">
        <v>1</v>
      </c>
      <c r="R963" s="16">
        <v>34</v>
      </c>
      <c r="T963" s="16" t="s">
        <v>133</v>
      </c>
      <c r="U963" s="16" t="s">
        <v>147</v>
      </c>
      <c r="V963" s="16" t="s">
        <v>114</v>
      </c>
      <c r="W963" s="16">
        <f>AI963/AG963</f>
        <v>0.74736842105263157</v>
      </c>
      <c r="X963" s="16" t="s">
        <v>121</v>
      </c>
      <c r="Y963" s="16" t="s">
        <v>110</v>
      </c>
      <c r="Z963" s="16">
        <v>3</v>
      </c>
      <c r="AA963" s="16" t="s">
        <v>119</v>
      </c>
      <c r="AB963" s="16" t="s">
        <v>239</v>
      </c>
      <c r="AC963" s="16" t="s">
        <v>123</v>
      </c>
      <c r="AD963" s="16" t="s">
        <v>123</v>
      </c>
      <c r="AG963" s="16">
        <f>AH963-AI963</f>
        <v>95</v>
      </c>
      <c r="AH963" s="16">
        <v>166</v>
      </c>
      <c r="AI963" s="16">
        <v>71</v>
      </c>
      <c r="AK963" s="16">
        <v>24.5</v>
      </c>
      <c r="AL963" s="16">
        <v>1</v>
      </c>
      <c r="AM963" s="16">
        <v>0</v>
      </c>
      <c r="AN963" s="16">
        <v>1</v>
      </c>
      <c r="AO963" s="16">
        <v>1</v>
      </c>
      <c r="AP963" s="16">
        <f>SUM(AL963:AN963)</f>
        <v>2</v>
      </c>
      <c r="AQ963" s="16">
        <v>2.0430000000000001</v>
      </c>
      <c r="AR963" s="16">
        <f>AP963-1.472</f>
        <v>0.52800000000000002</v>
      </c>
      <c r="AS963" s="16">
        <f>AQ963-1.472</f>
        <v>0.57100000000000017</v>
      </c>
      <c r="AT963" s="16" t="str">
        <f>VLOOKUP(E963,[2]Current!$A$1:$W$435,7,FALSE)</f>
        <v>TE</v>
      </c>
      <c r="AU963" s="16" t="s">
        <v>1288</v>
      </c>
      <c r="AV963" s="23"/>
      <c r="AW963" s="128">
        <f>IF(AX963&gt;0,1,0)</f>
        <v>1</v>
      </c>
      <c r="AX963" s="128">
        <f>SUM(BA963,BM963,CU963)</f>
        <v>3</v>
      </c>
      <c r="AY963" s="128">
        <f>SUM(BB963,BN963,CV963)</f>
        <v>99.824868651488586</v>
      </c>
      <c r="AZ963" s="128">
        <f>IF(BA963&gt;0,1,0)</f>
        <v>1</v>
      </c>
      <c r="BA963" s="128">
        <f>SUM(BC963+BF963+BI963)</f>
        <v>2</v>
      </c>
      <c r="BB963" s="128">
        <f>SUM(BE963,BH963,BK963)</f>
        <v>94.570928196147079</v>
      </c>
      <c r="BC963" s="130">
        <f>IF(BD963&gt;0,1,0)</f>
        <v>0</v>
      </c>
      <c r="BD963" s="128">
        <f>VLOOKUP($E963,[2]Current!$A:$AC,26,FALSE)</f>
        <v>0</v>
      </c>
      <c r="BE963" s="128">
        <f>BD963/$AS963</f>
        <v>0</v>
      </c>
      <c r="BF963" s="130">
        <f>IF(BG963&gt;0,1,0)</f>
        <v>1</v>
      </c>
      <c r="BG963" s="137">
        <f>VLOOKUP($E963,[2]Current!$A:$AC,27,FALSE)</f>
        <v>12</v>
      </c>
      <c r="BH963" s="128">
        <f>BG963/$AS963</f>
        <v>21.015761821366016</v>
      </c>
      <c r="BI963" s="130">
        <f>IF(BJ963&gt;0,1,0)</f>
        <v>1</v>
      </c>
      <c r="BJ963" s="128">
        <f>VLOOKUP($E963,[2]Current!$A:$AC,28,FALSE)</f>
        <v>42</v>
      </c>
      <c r="BK963" s="128">
        <f>BJ963/$AS963</f>
        <v>73.555166374781066</v>
      </c>
      <c r="BL963" s="128">
        <f>IF(BM963&gt;0,1,0)</f>
        <v>1</v>
      </c>
      <c r="BM963" s="128">
        <f>SUM(BR963,BU963,BX963,CA963,CD963)</f>
        <v>1</v>
      </c>
      <c r="BN963" s="131">
        <f>SUM(BT963,BW963,BZ963,CC963,CF963)</f>
        <v>5.2539404553415041</v>
      </c>
      <c r="BO963" s="128">
        <f>IF(BP963&gt;0,1,0)</f>
        <v>1</v>
      </c>
      <c r="BP963" s="128">
        <f>BM963+CJ963</f>
        <v>1</v>
      </c>
      <c r="BQ963" s="128">
        <f>BN963+CL963</f>
        <v>5.2539404553415041</v>
      </c>
      <c r="BR963" s="130">
        <f>IF(BS963&gt;0,1,0)</f>
        <v>0</v>
      </c>
      <c r="BS963" s="128">
        <f>VLOOKUP($E963,[2]Current!$A:$AC,12,FALSE)</f>
        <v>0</v>
      </c>
      <c r="BT963" s="137">
        <f>BS963/$AS963</f>
        <v>0</v>
      </c>
      <c r="BU963" s="130">
        <f>IF(BV963&gt;0,1,0)</f>
        <v>1</v>
      </c>
      <c r="BV963" s="128">
        <f>VLOOKUP($E963,[2]Current!$A:$AC,13,FALSE)</f>
        <v>3</v>
      </c>
      <c r="BW963" s="128">
        <f>BV963/$AS963</f>
        <v>5.2539404553415041</v>
      </c>
      <c r="BX963" s="130">
        <f>IF(BY963&gt;0,1,0)</f>
        <v>0</v>
      </c>
      <c r="BY963" s="128">
        <f>VLOOKUP($E963,[2]Current!$A:$AC,14,FALSE)</f>
        <v>0</v>
      </c>
      <c r="BZ963" s="128">
        <f>BY963/$AS963</f>
        <v>0</v>
      </c>
      <c r="CA963" s="130">
        <f>IF(CB963&gt;0,1,0)</f>
        <v>0</v>
      </c>
      <c r="CB963" s="128">
        <f>VLOOKUP($E963,[2]Current!$A:$AC,15,FALSE)</f>
        <v>0</v>
      </c>
      <c r="CC963" s="128">
        <f>CB963/$AS963</f>
        <v>0</v>
      </c>
      <c r="CD963" s="174">
        <f>IF(CE963&gt;0,1,0)</f>
        <v>0</v>
      </c>
      <c r="CE963" s="128">
        <f>VLOOKUP($E963,[2]Current!$A:$AC,16,FALSE)</f>
        <v>0</v>
      </c>
      <c r="CF963" s="128">
        <f>CE963/$AS963</f>
        <v>0</v>
      </c>
      <c r="CG963" s="18"/>
      <c r="CH963" s="18"/>
      <c r="CI963" s="18"/>
      <c r="CJ963" s="130">
        <f>IF(CK963&gt;0,1,0)</f>
        <v>0</v>
      </c>
      <c r="CK963" s="128">
        <f>VLOOKUP($E963,[2]Current!$A:$AC,18,FALSE)</f>
        <v>0</v>
      </c>
      <c r="CL963" s="128">
        <f>CK963/$AS963</f>
        <v>0</v>
      </c>
      <c r="CS963" s="130">
        <f>IF(CU963&gt;0,1,0)</f>
        <v>0</v>
      </c>
      <c r="CU963" s="128">
        <f>VLOOKUP($E963,[2]Current!$A:$AC,17,FALSE)</f>
        <v>0</v>
      </c>
      <c r="CV963" s="128">
        <f>CU963/$AS963</f>
        <v>0</v>
      </c>
      <c r="CW963" s="18"/>
      <c r="CX963" s="18"/>
      <c r="CY963" s="18"/>
      <c r="DF963" s="16" t="e">
        <f>VLOOKUP(K963,'[3]RNA Seq summary tables'!$V$3:$V$99,1,FALSE)</f>
        <v>#N/A</v>
      </c>
    </row>
    <row r="964" spans="2:288" ht="16" x14ac:dyDescent="0.2">
      <c r="B964" s="16">
        <v>2017</v>
      </c>
      <c r="C964" s="20">
        <v>42966</v>
      </c>
      <c r="D964" s="20" t="str">
        <f>CONCATENATE(J964,"-",C964)</f>
        <v>1108-42966</v>
      </c>
      <c r="E964" s="37" t="str">
        <f>CONCATENATE(T964,"-",U964,"-",C964)</f>
        <v>HW1-A8-42966</v>
      </c>
      <c r="F964" s="20" t="s">
        <v>106</v>
      </c>
      <c r="G964" s="20" t="s">
        <v>107</v>
      </c>
      <c r="I964" s="16">
        <v>0</v>
      </c>
      <c r="J964" s="21">
        <v>1108</v>
      </c>
      <c r="K964" s="21">
        <v>2206</v>
      </c>
      <c r="L964" s="18">
        <v>0</v>
      </c>
      <c r="M964" s="21">
        <f>VLOOKUP($K964,'[4]blood tubes 2017'!$D$1:$L$647,8,FALSE)</f>
        <v>0</v>
      </c>
      <c r="N964" s="15">
        <v>0</v>
      </c>
      <c r="O964" s="15" t="s">
        <v>214</v>
      </c>
      <c r="P964" s="16" t="s">
        <v>110</v>
      </c>
      <c r="Q964" s="16">
        <v>1</v>
      </c>
      <c r="R964" s="16">
        <v>18</v>
      </c>
      <c r="T964" s="16" t="s">
        <v>133</v>
      </c>
      <c r="U964" s="16" t="s">
        <v>194</v>
      </c>
      <c r="V964" s="16" t="s">
        <v>114</v>
      </c>
      <c r="W964" s="16">
        <f>AI964/AG964</f>
        <v>0.79569892473118276</v>
      </c>
      <c r="X964" s="16" t="s">
        <v>121</v>
      </c>
      <c r="Y964" s="16" t="s">
        <v>110</v>
      </c>
      <c r="Z964" s="16">
        <v>3</v>
      </c>
      <c r="AA964" s="16" t="s">
        <v>161</v>
      </c>
      <c r="AB964" s="16" t="s">
        <v>239</v>
      </c>
      <c r="AC964" s="16" t="s">
        <v>123</v>
      </c>
      <c r="AD964" s="16" t="s">
        <v>116</v>
      </c>
      <c r="AG964" s="16">
        <f>AH964-AI964</f>
        <v>93</v>
      </c>
      <c r="AH964" s="16">
        <v>167</v>
      </c>
      <c r="AI964" s="16">
        <v>74</v>
      </c>
      <c r="AK964" s="16">
        <v>19.5</v>
      </c>
      <c r="AL964" s="16">
        <v>1</v>
      </c>
      <c r="AM964" s="16">
        <v>0</v>
      </c>
      <c r="AN964" s="16">
        <v>0</v>
      </c>
      <c r="AO964" s="16">
        <v>1</v>
      </c>
      <c r="AP964" s="16">
        <f>SUM(AL964:AN964)</f>
        <v>1</v>
      </c>
      <c r="AQ964" s="16">
        <v>1.7769999999999999</v>
      </c>
      <c r="AR964" s="16">
        <f>AP964-1.472</f>
        <v>-0.47199999999999998</v>
      </c>
      <c r="AS964" s="16">
        <f>AQ964-1.472</f>
        <v>0.30499999999999994</v>
      </c>
      <c r="AT964" s="16" t="str">
        <f>VLOOKUP(E964,[2]Current!$A$1:$W$435,7,FALSE)</f>
        <v>TE</v>
      </c>
      <c r="AU964" s="16" t="s">
        <v>1288</v>
      </c>
      <c r="AV964" s="23">
        <v>1</v>
      </c>
      <c r="AW964" s="128">
        <f>IF(AX964&gt;0,1,0)</f>
        <v>0</v>
      </c>
      <c r="AX964" s="128">
        <f>SUM(BA964,BM964,CU964)</f>
        <v>0</v>
      </c>
      <c r="AY964" s="128">
        <f>SUM(BB964,BN964,CV964)</f>
        <v>0</v>
      </c>
      <c r="AZ964" s="128">
        <f>IF(BA964&gt;0,1,0)</f>
        <v>0</v>
      </c>
      <c r="BA964" s="128">
        <f>SUM(BC964+BF964+BI964)</f>
        <v>0</v>
      </c>
      <c r="BB964" s="128">
        <f>SUM(BE964,BH964,BK964)</f>
        <v>0</v>
      </c>
      <c r="BC964" s="130">
        <f>IF(BD964&gt;0,1,0)</f>
        <v>0</v>
      </c>
      <c r="BD964" s="128">
        <f>VLOOKUP($E964,[2]Current!$A:$AC,26,FALSE)</f>
        <v>0</v>
      </c>
      <c r="BE964" s="128">
        <f>BD964/$AS964</f>
        <v>0</v>
      </c>
      <c r="BF964" s="130">
        <f>IF(BG964&gt;0,1,0)</f>
        <v>0</v>
      </c>
      <c r="BG964" s="137">
        <f>VLOOKUP($E964,[2]Current!$A:$AC,27,FALSE)</f>
        <v>0</v>
      </c>
      <c r="BH964" s="128">
        <f>BG964/$AS964</f>
        <v>0</v>
      </c>
      <c r="BI964" s="130">
        <f>IF(BJ964&gt;0,1,0)</f>
        <v>0</v>
      </c>
      <c r="BJ964" s="128">
        <f>VLOOKUP($E964,[2]Current!$A:$AC,28,FALSE)</f>
        <v>0</v>
      </c>
      <c r="BK964" s="128">
        <f>BJ964/$AS964</f>
        <v>0</v>
      </c>
      <c r="BL964" s="128">
        <f>IF(BM964&gt;0,1,0)</f>
        <v>0</v>
      </c>
      <c r="BM964" s="128">
        <f>SUM(BR964,BU964,BX964,CA964,CD964)</f>
        <v>0</v>
      </c>
      <c r="BN964" s="131">
        <f>SUM(BT964,BW964,BZ964,CC964,CF964)</f>
        <v>0</v>
      </c>
      <c r="BO964" s="128">
        <f>IF(BP964&gt;0,1,0)</f>
        <v>0</v>
      </c>
      <c r="BP964" s="128">
        <f>BM964+CJ964</f>
        <v>0</v>
      </c>
      <c r="BQ964" s="128">
        <f>BN964+CL964</f>
        <v>0</v>
      </c>
      <c r="BR964" s="130">
        <f>IF(BS964&gt;0,1,0)</f>
        <v>0</v>
      </c>
      <c r="BS964" s="128">
        <f>VLOOKUP($E964,[2]Current!$A:$AC,12,FALSE)</f>
        <v>0</v>
      </c>
      <c r="BT964" s="137">
        <f>BS964/$AS964</f>
        <v>0</v>
      </c>
      <c r="BU964" s="130">
        <f>IF(BV964&gt;0,1,0)</f>
        <v>0</v>
      </c>
      <c r="BV964" s="128">
        <f>VLOOKUP($E964,[2]Current!$A:$AC,13,FALSE)</f>
        <v>0</v>
      </c>
      <c r="BW964" s="128">
        <f>BV964/$AS964</f>
        <v>0</v>
      </c>
      <c r="BX964" s="130">
        <f>IF(BY964&gt;0,1,0)</f>
        <v>0</v>
      </c>
      <c r="BY964" s="128">
        <f>VLOOKUP($E964,[2]Current!$A:$AC,14,FALSE)</f>
        <v>0</v>
      </c>
      <c r="BZ964" s="128">
        <f>BY964/$AS964</f>
        <v>0</v>
      </c>
      <c r="CA964" s="130">
        <f>IF(CB964&gt;0,1,0)</f>
        <v>0</v>
      </c>
      <c r="CB964" s="128">
        <f>VLOOKUP($E964,[2]Current!$A:$AC,15,FALSE)</f>
        <v>0</v>
      </c>
      <c r="CC964" s="128">
        <f>CB964/$AS964</f>
        <v>0</v>
      </c>
      <c r="CD964" s="174">
        <f>IF(CE964&gt;0,1,0)</f>
        <v>0</v>
      </c>
      <c r="CE964" s="128">
        <f>VLOOKUP($E964,[2]Current!$A:$AC,16,FALSE)</f>
        <v>0</v>
      </c>
      <c r="CF964" s="128">
        <f>CE964/$AS964</f>
        <v>0</v>
      </c>
      <c r="CG964" s="18"/>
      <c r="CH964" s="18"/>
      <c r="CI964" s="18"/>
      <c r="CJ964" s="130">
        <f>IF(CK964&gt;0,1,0)</f>
        <v>0</v>
      </c>
      <c r="CK964" s="128">
        <f>VLOOKUP($E964,[2]Current!$A:$AC,18,FALSE)</f>
        <v>0</v>
      </c>
      <c r="CL964" s="128">
        <f>CK964/$AS964</f>
        <v>0</v>
      </c>
      <c r="CS964" s="130">
        <f>IF(CU964&gt;0,1,0)</f>
        <v>0</v>
      </c>
      <c r="CU964" s="128">
        <f>VLOOKUP($E964,[2]Current!$A:$AC,17,FALSE)</f>
        <v>0</v>
      </c>
      <c r="CV964" s="128">
        <f>CU964/$AS964</f>
        <v>0</v>
      </c>
      <c r="CW964" s="18"/>
      <c r="CX964" s="18"/>
      <c r="CY964" s="18"/>
      <c r="DF964" s="16" t="e">
        <f>VLOOKUP(K964,'[3]RNA Seq summary tables'!$V$3:$V$99,1,FALSE)</f>
        <v>#N/A</v>
      </c>
    </row>
    <row r="965" spans="2:288" x14ac:dyDescent="0.2">
      <c r="B965" s="16">
        <v>2017</v>
      </c>
      <c r="C965" s="66">
        <v>42896</v>
      </c>
      <c r="D965" s="66" t="str">
        <f>CONCATENATE(J965,"-",C965)</f>
        <v>1110-42896</v>
      </c>
      <c r="E965" s="20" t="str">
        <f>CONCATENATE(T965,"-",U965,"-",C965)</f>
        <v>HW1-B6-42896</v>
      </c>
      <c r="F965" s="20" t="s">
        <v>106</v>
      </c>
      <c r="G965" s="20" t="s">
        <v>107</v>
      </c>
      <c r="I965" s="16">
        <v>0</v>
      </c>
      <c r="J965" s="21">
        <v>1110</v>
      </c>
      <c r="K965" s="21">
        <v>1660</v>
      </c>
      <c r="L965" s="18">
        <v>0</v>
      </c>
      <c r="M965" s="21">
        <f>VLOOKUP($K965,'[4]blood tubes 2017'!$D$1:$L$647,8,FALSE)</f>
        <v>0</v>
      </c>
      <c r="N965" s="15">
        <v>0</v>
      </c>
      <c r="O965" s="15" t="s">
        <v>214</v>
      </c>
      <c r="P965" s="16" t="s">
        <v>110</v>
      </c>
      <c r="Q965" s="16">
        <v>0</v>
      </c>
      <c r="R965" s="16" t="s">
        <v>111</v>
      </c>
      <c r="T965" s="16" t="s">
        <v>133</v>
      </c>
      <c r="U965" s="16" t="s">
        <v>132</v>
      </c>
      <c r="V965" s="16" t="s">
        <v>114</v>
      </c>
      <c r="W965" s="16">
        <f>AI965/AG965</f>
        <v>0.7816091954022989</v>
      </c>
      <c r="X965" s="16" t="s">
        <v>115</v>
      </c>
      <c r="Y965" s="16" t="s">
        <v>110</v>
      </c>
      <c r="Z965" s="16">
        <v>3</v>
      </c>
      <c r="AE965" s="16" t="s">
        <v>123</v>
      </c>
      <c r="AF965" s="16" t="s">
        <v>123</v>
      </c>
      <c r="AG965" s="16">
        <f>AH965-AI965</f>
        <v>87</v>
      </c>
      <c r="AH965" s="16">
        <v>155</v>
      </c>
      <c r="AI965" s="16">
        <v>68</v>
      </c>
      <c r="AK965" s="16">
        <v>22</v>
      </c>
      <c r="AL965" s="16">
        <v>0</v>
      </c>
      <c r="AM965" s="16">
        <v>0</v>
      </c>
      <c r="AN965" s="16">
        <v>0</v>
      </c>
      <c r="AO965" s="16">
        <v>0</v>
      </c>
      <c r="AP965" s="16">
        <f>SUM(AL965:AN965)</f>
        <v>0</v>
      </c>
      <c r="AQ965" s="16">
        <v>1.633</v>
      </c>
      <c r="AR965" s="16">
        <f>AP965-1.472</f>
        <v>-1.472</v>
      </c>
      <c r="AS965" s="16">
        <f>AQ965-1.472</f>
        <v>0.16100000000000003</v>
      </c>
      <c r="AT965" s="16" t="s">
        <v>164</v>
      </c>
      <c r="AV965" s="16">
        <v>1</v>
      </c>
      <c r="AW965" s="16">
        <f>IF(AX965&gt;0,1,0)</f>
        <v>0</v>
      </c>
      <c r="AX965" s="16">
        <f>SUM(BA965,BM965,CT965)</f>
        <v>0</v>
      </c>
      <c r="AY965" s="18">
        <f>SUM(BB965,BN965,CV965)</f>
        <v>0</v>
      </c>
      <c r="AZ965" s="16">
        <f>IF(BA965&gt;0,1,0)</f>
        <v>0</v>
      </c>
      <c r="BA965" s="16">
        <f>SUM(BC965,BF965,BI965)</f>
        <v>0</v>
      </c>
      <c r="BB965" s="16">
        <f>SUM(BE965,BH965,BK965)</f>
        <v>0</v>
      </c>
      <c r="BC965" s="16">
        <v>0</v>
      </c>
      <c r="BD965" s="16">
        <v>0</v>
      </c>
      <c r="BE965" s="16">
        <f>BD965/AS965</f>
        <v>0</v>
      </c>
      <c r="BF965" s="16">
        <v>0</v>
      </c>
      <c r="BG965" s="77">
        <v>0</v>
      </c>
      <c r="BH965" s="16">
        <f>BG965/AS965</f>
        <v>0</v>
      </c>
      <c r="BI965" s="16">
        <v>0</v>
      </c>
      <c r="BJ965" s="16">
        <v>0</v>
      </c>
      <c r="BK965" s="16">
        <f>BJ965/AS965</f>
        <v>0</v>
      </c>
      <c r="BL965" s="16">
        <f>IF(BM965&gt;0,1,0)</f>
        <v>0</v>
      </c>
      <c r="BM965" s="16">
        <f>SUM(BR965,BU965,BX965,CA965,CD965,CG965,CJ965,CM965,CP965)</f>
        <v>0</v>
      </c>
      <c r="BN965" s="16">
        <f>SUM(BW965,BZ965,CC965,CF965,CI965,CL965,CO965,CR965,BT965)</f>
        <v>0</v>
      </c>
      <c r="BO965" s="16">
        <f>IF(BP965&gt;0,1,0)</f>
        <v>0</v>
      </c>
      <c r="BP965" s="16">
        <f>SUM(BU965,BX965,CA965,CD965,BR965)</f>
        <v>0</v>
      </c>
      <c r="BQ965" s="16">
        <f>SUM(BZ965,CC965,CF965,BT965,BW965)</f>
        <v>0</v>
      </c>
      <c r="BR965" s="16">
        <v>0</v>
      </c>
      <c r="BS965" s="16">
        <v>0</v>
      </c>
      <c r="BT965" s="77">
        <f>BS965/AS965</f>
        <v>0</v>
      </c>
      <c r="BU965" s="16">
        <v>0</v>
      </c>
      <c r="BV965" s="16">
        <v>0</v>
      </c>
      <c r="BW965" s="16">
        <f>BV965/AS965</f>
        <v>0</v>
      </c>
      <c r="BX965" s="16">
        <v>0</v>
      </c>
      <c r="BY965" s="16">
        <v>0</v>
      </c>
      <c r="BZ965" s="16">
        <f>BY965/AS965</f>
        <v>0</v>
      </c>
      <c r="CA965" s="16">
        <v>0</v>
      </c>
      <c r="CB965" s="16">
        <v>0</v>
      </c>
      <c r="CC965" s="16">
        <f>CB965/AS965</f>
        <v>0</v>
      </c>
      <c r="CD965" s="77">
        <v>0</v>
      </c>
      <c r="CE965" s="16">
        <v>0</v>
      </c>
      <c r="CF965" s="16">
        <f>CE965/AS965</f>
        <v>0</v>
      </c>
      <c r="CG965" s="16">
        <v>0</v>
      </c>
      <c r="CH965" s="16">
        <v>0</v>
      </c>
      <c r="CI965" s="16">
        <f>CH965/AS965</f>
        <v>0</v>
      </c>
      <c r="CM965" s="16">
        <v>0</v>
      </c>
      <c r="CN965" s="16">
        <v>0</v>
      </c>
      <c r="CO965" s="16">
        <f>CN965/AS965</f>
        <v>0</v>
      </c>
      <c r="CP965" s="16">
        <v>0</v>
      </c>
      <c r="CQ965" s="16">
        <v>0</v>
      </c>
      <c r="CR965" s="16">
        <f>CQ965/AS965</f>
        <v>0</v>
      </c>
      <c r="CS965" s="16">
        <f>IF(CT965&gt;0,1,0)</f>
        <v>0</v>
      </c>
      <c r="CT965" s="16">
        <f>SUM(CW965,CZ965,DC965)</f>
        <v>0</v>
      </c>
      <c r="CV965" s="16">
        <f>SUM(CY965,DB965,DE965)</f>
        <v>0</v>
      </c>
      <c r="CW965" s="16">
        <v>0</v>
      </c>
      <c r="CX965" s="16">
        <v>0</v>
      </c>
      <c r="CY965" s="16">
        <f>CX965/AS965</f>
        <v>0</v>
      </c>
      <c r="CZ965" s="16">
        <v>0</v>
      </c>
      <c r="DA965" s="16">
        <v>0</v>
      </c>
      <c r="DB965" s="16">
        <f>DA965/AS965</f>
        <v>0</v>
      </c>
      <c r="DC965" s="16">
        <v>0</v>
      </c>
      <c r="DD965" s="16">
        <v>0</v>
      </c>
      <c r="DE965" s="16">
        <f>DD965/AS965</f>
        <v>0</v>
      </c>
      <c r="DF965" s="16" t="e">
        <f>VLOOKUP(K965,'[3]RNA Seq summary tables'!$V$3:$V$99,1,FALSE)</f>
        <v>#N/A</v>
      </c>
      <c r="DI965" s="16">
        <v>56</v>
      </c>
      <c r="DK965" s="16">
        <v>32</v>
      </c>
      <c r="DM965" s="16">
        <v>9</v>
      </c>
      <c r="DO965" s="16">
        <v>0</v>
      </c>
      <c r="DQ965" s="16">
        <v>3</v>
      </c>
      <c r="DR965" s="16">
        <f>SUM(DI965:DQ965)</f>
        <v>100</v>
      </c>
    </row>
    <row r="966" spans="2:288" x14ac:dyDescent="0.2">
      <c r="B966" s="16">
        <v>2017</v>
      </c>
      <c r="C966" s="66">
        <v>42896</v>
      </c>
      <c r="D966" s="66" t="str">
        <f>CONCATENATE(J966,"-",C966)</f>
        <v>1112-42896</v>
      </c>
      <c r="E966" s="20" t="str">
        <f>CONCATENATE(T966,"-",U966,"-",C966)</f>
        <v>HW1-D7-42896</v>
      </c>
      <c r="F966" s="20" t="s">
        <v>106</v>
      </c>
      <c r="G966" s="20" t="s">
        <v>107</v>
      </c>
      <c r="I966" s="16">
        <v>0</v>
      </c>
      <c r="J966" s="21">
        <v>1112</v>
      </c>
      <c r="K966" s="21">
        <v>1662</v>
      </c>
      <c r="L966" s="18">
        <v>0</v>
      </c>
      <c r="M966" s="21">
        <f>VLOOKUP($K966,'[4]blood tubes 2017'!$D$1:$L$647,8,FALSE)</f>
        <v>0</v>
      </c>
      <c r="N966" s="15">
        <v>0</v>
      </c>
      <c r="O966" s="15" t="s">
        <v>214</v>
      </c>
      <c r="P966" s="16" t="s">
        <v>110</v>
      </c>
      <c r="Q966" s="16">
        <v>0</v>
      </c>
      <c r="R966" s="16" t="s">
        <v>111</v>
      </c>
      <c r="T966" s="16" t="s">
        <v>133</v>
      </c>
      <c r="U966" s="16" t="s">
        <v>177</v>
      </c>
      <c r="V966" s="16" t="s">
        <v>114</v>
      </c>
      <c r="W966" s="16">
        <f>AI966/AG966</f>
        <v>0.85057471264367812</v>
      </c>
      <c r="X966" s="16" t="s">
        <v>121</v>
      </c>
      <c r="Y966" s="16" t="s">
        <v>110</v>
      </c>
      <c r="Z966" s="16">
        <v>3</v>
      </c>
      <c r="AA966" s="16" t="s">
        <v>119</v>
      </c>
      <c r="AB966" s="16" t="s">
        <v>240</v>
      </c>
      <c r="AC966" s="16" t="s">
        <v>123</v>
      </c>
      <c r="AD966" s="16" t="s">
        <v>123</v>
      </c>
      <c r="AG966" s="16">
        <f>AH966-AI966</f>
        <v>87</v>
      </c>
      <c r="AH966" s="16">
        <v>161</v>
      </c>
      <c r="AI966" s="16">
        <v>74</v>
      </c>
      <c r="AK966" s="16">
        <v>25.5</v>
      </c>
      <c r="AL966" s="16">
        <v>0</v>
      </c>
      <c r="AM966" s="16">
        <v>0</v>
      </c>
      <c r="AN966" s="16">
        <v>0</v>
      </c>
      <c r="AO966" s="16">
        <v>0</v>
      </c>
      <c r="AP966" s="16">
        <f>SUM(AL966:AN966)</f>
        <v>0</v>
      </c>
      <c r="AQ966" s="16">
        <v>1.804</v>
      </c>
      <c r="AR966" s="16">
        <f>AP966-1.472</f>
        <v>-1.472</v>
      </c>
      <c r="AS966" s="16">
        <f>AQ966-1.472</f>
        <v>0.33200000000000007</v>
      </c>
      <c r="AT966" s="16" t="s">
        <v>233</v>
      </c>
      <c r="AW966" s="16">
        <f>IF(AX966&gt;0,1,0)</f>
        <v>1</v>
      </c>
      <c r="AX966" s="16">
        <f>SUM(BA966,BM966,CT966)</f>
        <v>1</v>
      </c>
      <c r="AY966" s="18">
        <f>SUM(BB966,BN966,CV966)</f>
        <v>3.0120481927710836</v>
      </c>
      <c r="AZ966" s="16">
        <f>IF(BA966&gt;0,1,0)</f>
        <v>1</v>
      </c>
      <c r="BA966" s="16">
        <f>SUM(BC966,BF966,BI966)</f>
        <v>1</v>
      </c>
      <c r="BB966" s="16">
        <f>SUM(BE966,BH966,BK966)</f>
        <v>3.0120481927710836</v>
      </c>
      <c r="BC966" s="16">
        <v>0</v>
      </c>
      <c r="BD966" s="16">
        <v>0</v>
      </c>
      <c r="BE966" s="16">
        <f>BD966/AS966</f>
        <v>0</v>
      </c>
      <c r="BF966" s="16">
        <v>1</v>
      </c>
      <c r="BG966" s="77">
        <v>1</v>
      </c>
      <c r="BH966" s="16">
        <f>BG966/AS966</f>
        <v>3.0120481927710836</v>
      </c>
      <c r="BI966" s="16">
        <v>0</v>
      </c>
      <c r="BJ966" s="16">
        <v>0</v>
      </c>
      <c r="BK966" s="16">
        <f>BJ966/AS966</f>
        <v>0</v>
      </c>
      <c r="BL966" s="16">
        <f>IF(BM966&gt;0,1,0)</f>
        <v>0</v>
      </c>
      <c r="BM966" s="16">
        <f>SUM(BR966,BU966,BX966,CA966,CD966,CG966,CJ966,CM966,CP966)</f>
        <v>0</v>
      </c>
      <c r="BN966" s="16">
        <f>SUM(BW966,BZ966,CC966,CF966,CI966,CL966,CO966,CR966,BT966)</f>
        <v>0</v>
      </c>
      <c r="BO966" s="16">
        <f>IF(BP966&gt;0,1,0)</f>
        <v>0</v>
      </c>
      <c r="BP966" s="16">
        <f>SUM(BU966,BX966,CA966,CD966,BR966)</f>
        <v>0</v>
      </c>
      <c r="BQ966" s="16">
        <f>SUM(BZ966,CC966,CF966,BT966,BW966)</f>
        <v>0</v>
      </c>
      <c r="BR966" s="16">
        <v>0</v>
      </c>
      <c r="BS966" s="16">
        <v>0</v>
      </c>
      <c r="BT966" s="77">
        <f>BS966/AS966</f>
        <v>0</v>
      </c>
      <c r="BU966" s="16">
        <v>0</v>
      </c>
      <c r="BV966" s="16">
        <v>0</v>
      </c>
      <c r="BW966" s="16">
        <f>BV966/AS966</f>
        <v>0</v>
      </c>
      <c r="BX966" s="16">
        <v>0</v>
      </c>
      <c r="BY966" s="16">
        <v>0</v>
      </c>
      <c r="BZ966" s="16">
        <f>BY966/AS966</f>
        <v>0</v>
      </c>
      <c r="CA966" s="16">
        <v>0</v>
      </c>
      <c r="CB966" s="16">
        <v>0</v>
      </c>
      <c r="CC966" s="16">
        <f>CB966/AS966</f>
        <v>0</v>
      </c>
      <c r="CD966" s="77">
        <v>0</v>
      </c>
      <c r="CE966" s="16">
        <v>0</v>
      </c>
      <c r="CF966" s="16">
        <f>CE966/AS966</f>
        <v>0</v>
      </c>
      <c r="CG966" s="16">
        <v>0</v>
      </c>
      <c r="CH966" s="16">
        <v>0</v>
      </c>
      <c r="CI966" s="16">
        <f>CH966/AS966</f>
        <v>0</v>
      </c>
      <c r="CM966" s="16">
        <v>0</v>
      </c>
      <c r="CN966" s="16">
        <v>0</v>
      </c>
      <c r="CO966" s="16">
        <f>CN966/AS966</f>
        <v>0</v>
      </c>
      <c r="CP966" s="16">
        <v>0</v>
      </c>
      <c r="CQ966" s="16">
        <v>0</v>
      </c>
      <c r="CR966" s="16">
        <f>CQ966/AS966</f>
        <v>0</v>
      </c>
      <c r="CS966" s="16">
        <f>IF(CT966&gt;0,1,0)</f>
        <v>0</v>
      </c>
      <c r="CT966" s="16">
        <f>SUM(CW966,CZ966,DC966)</f>
        <v>0</v>
      </c>
      <c r="CV966" s="16">
        <f>SUM(CY966,DB966,DE966)</f>
        <v>0</v>
      </c>
      <c r="CW966" s="16">
        <v>0</v>
      </c>
      <c r="CX966" s="16">
        <v>0</v>
      </c>
      <c r="CY966" s="16">
        <f>CX966/AS966</f>
        <v>0</v>
      </c>
      <c r="CZ966" s="16">
        <v>0</v>
      </c>
      <c r="DA966" s="16">
        <v>0</v>
      </c>
      <c r="DB966" s="16">
        <f>DA966/AS966</f>
        <v>0</v>
      </c>
      <c r="DC966" s="16">
        <v>0</v>
      </c>
      <c r="DD966" s="16">
        <v>0</v>
      </c>
      <c r="DE966" s="16">
        <f>DD966/AS966</f>
        <v>0</v>
      </c>
      <c r="DF966" s="16" t="e">
        <f>VLOOKUP(K966,'[3]RNA Seq summary tables'!$V$3:$V$99,1,FALSE)</f>
        <v>#N/A</v>
      </c>
      <c r="DI966" s="16">
        <v>39</v>
      </c>
      <c r="DK966" s="16">
        <v>42</v>
      </c>
      <c r="DM966" s="16">
        <v>17</v>
      </c>
      <c r="DO966" s="16">
        <v>0</v>
      </c>
      <c r="DQ966" s="16">
        <v>2</v>
      </c>
      <c r="DR966" s="16">
        <f>SUM(DI966:DQ966)</f>
        <v>100</v>
      </c>
    </row>
    <row r="967" spans="2:288" x14ac:dyDescent="0.2">
      <c r="B967" s="16">
        <v>2017</v>
      </c>
      <c r="C967" s="20">
        <v>42914</v>
      </c>
      <c r="D967" s="20" t="str">
        <f>CONCATENATE(J967,"-",C967)</f>
        <v>1112-42914</v>
      </c>
      <c r="E967" s="20" t="str">
        <f>CONCATENATE(T967,"-",U967,"-",C967)</f>
        <v>HW1-B7-42914</v>
      </c>
      <c r="F967" s="20" t="s">
        <v>106</v>
      </c>
      <c r="G967" s="20" t="s">
        <v>107</v>
      </c>
      <c r="I967" s="16">
        <v>0</v>
      </c>
      <c r="J967" s="21">
        <v>1112</v>
      </c>
      <c r="K967" s="21">
        <v>1779</v>
      </c>
      <c r="L967" s="18">
        <v>0</v>
      </c>
      <c r="M967" s="21">
        <f>VLOOKUP($K967,'[4]blood tubes 2017'!$D$1:$L$647,8,FALSE)</f>
        <v>0</v>
      </c>
      <c r="N967" s="15">
        <v>0</v>
      </c>
      <c r="O967" s="15" t="s">
        <v>214</v>
      </c>
      <c r="P967" s="16" t="s">
        <v>110</v>
      </c>
      <c r="Q967" s="16">
        <v>1</v>
      </c>
      <c r="R967" s="16">
        <v>18</v>
      </c>
      <c r="T967" s="16" t="s">
        <v>133</v>
      </c>
      <c r="U967" s="16" t="s">
        <v>168</v>
      </c>
      <c r="V967" s="16" t="s">
        <v>114</v>
      </c>
      <c r="W967" s="16">
        <f>AI967/AG967</f>
        <v>0.75789473684210529</v>
      </c>
      <c r="X967" s="16" t="s">
        <v>121</v>
      </c>
      <c r="Y967" s="16" t="s">
        <v>110</v>
      </c>
      <c r="Z967" s="16">
        <v>3</v>
      </c>
      <c r="AA967" s="16" t="s">
        <v>119</v>
      </c>
      <c r="AB967" s="16" t="s">
        <v>239</v>
      </c>
      <c r="AC967" s="16" t="s">
        <v>123</v>
      </c>
      <c r="AD967" s="16" t="s">
        <v>123</v>
      </c>
      <c r="AG967" s="16">
        <f>AH967-AI967</f>
        <v>95</v>
      </c>
      <c r="AH967" s="16">
        <v>167</v>
      </c>
      <c r="AI967" s="16">
        <v>72</v>
      </c>
      <c r="AK967" s="16">
        <v>23.5</v>
      </c>
      <c r="AL967" s="16">
        <v>0</v>
      </c>
      <c r="AM967" s="16">
        <v>0</v>
      </c>
      <c r="AN967" s="16">
        <v>0</v>
      </c>
      <c r="AO967" s="16">
        <v>0</v>
      </c>
      <c r="AP967" s="16">
        <f>SUM(AL967:AN967)</f>
        <v>0</v>
      </c>
      <c r="AQ967" s="16">
        <v>1.694</v>
      </c>
      <c r="AR967" s="16">
        <f>AP967-1.472</f>
        <v>-1.472</v>
      </c>
      <c r="AS967" s="16">
        <f>AQ967-1.472</f>
        <v>0.22199999999999998</v>
      </c>
      <c r="AT967" s="16" t="s">
        <v>234</v>
      </c>
      <c r="AV967" s="16">
        <v>1</v>
      </c>
      <c r="AW967" s="16">
        <f>IF(AX967&gt;0,1,0)</f>
        <v>0</v>
      </c>
      <c r="AX967" s="16">
        <f>SUM(BA967,BM967,CT967)</f>
        <v>0</v>
      </c>
      <c r="AY967" s="18">
        <f>SUM(BB967,BN967,CV967)</f>
        <v>0</v>
      </c>
      <c r="AZ967" s="16">
        <v>0</v>
      </c>
      <c r="BA967" s="16">
        <v>0</v>
      </c>
      <c r="BB967" s="16">
        <f>SUM(BE967,BH967,BK967)</f>
        <v>0</v>
      </c>
      <c r="BC967" s="16">
        <v>0</v>
      </c>
      <c r="BD967" s="16">
        <v>0</v>
      </c>
      <c r="BE967" s="16">
        <f>BD967/AS967</f>
        <v>0</v>
      </c>
      <c r="BF967" s="16">
        <v>0</v>
      </c>
      <c r="BG967" s="77">
        <v>0</v>
      </c>
      <c r="BH967" s="16">
        <f>BG967/AS967</f>
        <v>0</v>
      </c>
      <c r="BI967" s="16">
        <v>0</v>
      </c>
      <c r="BJ967" s="16">
        <v>0</v>
      </c>
      <c r="BK967" s="16">
        <f>BJ967/AS967</f>
        <v>0</v>
      </c>
      <c r="BL967" s="16">
        <v>0</v>
      </c>
      <c r="BM967" s="16">
        <f>SUM(BR967,BU967,BX967,CA967,CD967,CG967,CJ967,CM967,CP967)</f>
        <v>0</v>
      </c>
      <c r="BN967" s="16">
        <f>SUM(BW967,BZ967,CC967,CF967,CI967,CL967,CO967,CR967,BT967)</f>
        <v>0</v>
      </c>
      <c r="BO967" s="16">
        <f>IF(BP967&gt;0,1,0)</f>
        <v>0</v>
      </c>
      <c r="BP967" s="16">
        <f>SUM(BU967,BX967,CA967,CD967,BR967)</f>
        <v>0</v>
      </c>
      <c r="BQ967" s="16">
        <f>SUM(BZ967,CC967,CF967,BT967,BW967)</f>
        <v>0</v>
      </c>
      <c r="BR967" s="16">
        <v>0</v>
      </c>
      <c r="BS967" s="16">
        <v>0</v>
      </c>
      <c r="BT967" s="77">
        <f>BS967/AS967</f>
        <v>0</v>
      </c>
      <c r="BU967" s="16">
        <v>0</v>
      </c>
      <c r="BV967" s="16">
        <v>0</v>
      </c>
      <c r="BW967" s="16">
        <f>BV967/AS967</f>
        <v>0</v>
      </c>
      <c r="BX967" s="16">
        <v>0</v>
      </c>
      <c r="BY967" s="16">
        <v>0</v>
      </c>
      <c r="BZ967" s="16">
        <f>BY967/AS967</f>
        <v>0</v>
      </c>
      <c r="CA967" s="16">
        <v>0</v>
      </c>
      <c r="CB967" s="16">
        <v>0</v>
      </c>
      <c r="CC967" s="16">
        <f>CB967/AS967</f>
        <v>0</v>
      </c>
      <c r="CD967" s="77">
        <v>0</v>
      </c>
      <c r="CE967" s="16">
        <v>0</v>
      </c>
      <c r="CF967" s="16">
        <f>CE967/AS967</f>
        <v>0</v>
      </c>
      <c r="CG967" s="16">
        <v>0</v>
      </c>
      <c r="CH967" s="16">
        <v>0</v>
      </c>
      <c r="CI967" s="16">
        <f>CH967/AS967</f>
        <v>0</v>
      </c>
      <c r="CM967" s="16">
        <v>0</v>
      </c>
      <c r="CN967" s="16">
        <v>0</v>
      </c>
      <c r="CO967" s="16">
        <f>CN967/AS967</f>
        <v>0</v>
      </c>
      <c r="CP967" s="16">
        <v>0</v>
      </c>
      <c r="CQ967" s="16">
        <v>0</v>
      </c>
      <c r="CR967" s="16">
        <f>CQ967/AS967</f>
        <v>0</v>
      </c>
      <c r="CS967" s="16">
        <v>0</v>
      </c>
      <c r="CT967" s="16">
        <v>0</v>
      </c>
      <c r="CV967" s="16">
        <f>SUM(CY967,DB967,DE967)</f>
        <v>0</v>
      </c>
      <c r="CW967" s="16">
        <v>0</v>
      </c>
      <c r="CX967" s="16">
        <v>0</v>
      </c>
      <c r="CY967" s="16">
        <f>CX967/AS967</f>
        <v>0</v>
      </c>
      <c r="CZ967" s="16">
        <v>0</v>
      </c>
      <c r="DA967" s="16">
        <v>0</v>
      </c>
      <c r="DB967" s="16">
        <f>DA967/AS967</f>
        <v>0</v>
      </c>
      <c r="DC967" s="16">
        <v>0</v>
      </c>
      <c r="DD967" s="16">
        <v>0</v>
      </c>
      <c r="DE967" s="16">
        <f>DD967/AS967</f>
        <v>0</v>
      </c>
      <c r="DF967" s="16" t="e">
        <f>VLOOKUP(K967,'[3]RNA Seq summary tables'!$V$3:$V$99,1,FALSE)</f>
        <v>#N/A</v>
      </c>
      <c r="DI967" s="16">
        <v>66</v>
      </c>
      <c r="DK967" s="16">
        <v>23</v>
      </c>
      <c r="DM967" s="16">
        <v>11</v>
      </c>
      <c r="DO967" s="16">
        <v>0</v>
      </c>
      <c r="DQ967" s="16">
        <v>0</v>
      </c>
      <c r="DR967" s="16">
        <f>SUM(DI967:DQ967)</f>
        <v>100</v>
      </c>
      <c r="JR967" s="27"/>
      <c r="JS967" s="27"/>
      <c r="JT967" s="27"/>
      <c r="JU967" s="27"/>
      <c r="JV967" s="27"/>
      <c r="JW967" s="27"/>
      <c r="JX967" s="27"/>
      <c r="JY967" s="27"/>
      <c r="JZ967" s="27"/>
      <c r="KA967" s="27"/>
      <c r="KB967" s="27"/>
    </row>
    <row r="968" spans="2:288" ht="16" x14ac:dyDescent="0.2">
      <c r="B968" s="16">
        <v>2017</v>
      </c>
      <c r="C968" s="20">
        <v>42930</v>
      </c>
      <c r="D968" s="20" t="str">
        <f>CONCATENATE(J968,"-",C968)</f>
        <v>1112-42930</v>
      </c>
      <c r="E968" s="37" t="str">
        <f>CONCATENATE(T968,"-",U968,"-",C968)</f>
        <v>HW1-C8-42930</v>
      </c>
      <c r="F968" s="20" t="s">
        <v>106</v>
      </c>
      <c r="G968" s="20" t="s">
        <v>107</v>
      </c>
      <c r="I968" s="16">
        <v>0</v>
      </c>
      <c r="J968" s="21">
        <v>1112</v>
      </c>
      <c r="K968" s="21">
        <v>1907</v>
      </c>
      <c r="L968" s="18">
        <v>0</v>
      </c>
      <c r="M968" s="21">
        <f>VLOOKUP($K968,'[4]blood tubes 2017'!$D$1:$L$647,8,FALSE)</f>
        <v>0</v>
      </c>
      <c r="N968" s="15">
        <v>0</v>
      </c>
      <c r="O968" s="15" t="s">
        <v>214</v>
      </c>
      <c r="P968" s="16" t="s">
        <v>110</v>
      </c>
      <c r="Q968" s="16">
        <v>1</v>
      </c>
      <c r="R968" s="16">
        <v>16</v>
      </c>
      <c r="T968" s="16" t="s">
        <v>133</v>
      </c>
      <c r="U968" s="16" t="s">
        <v>188</v>
      </c>
      <c r="V968" s="16" t="s">
        <v>114</v>
      </c>
      <c r="W968" s="16">
        <f>AI968/AG968</f>
        <v>0.80645161290322576</v>
      </c>
      <c r="X968" s="16" t="s">
        <v>121</v>
      </c>
      <c r="Y968" s="16" t="s">
        <v>110</v>
      </c>
      <c r="Z968" s="16">
        <v>3</v>
      </c>
      <c r="AA968" s="16" t="s">
        <v>119</v>
      </c>
      <c r="AB968" s="16" t="s">
        <v>123</v>
      </c>
      <c r="AC968" s="16" t="s">
        <v>123</v>
      </c>
      <c r="AD968" s="16" t="s">
        <v>123</v>
      </c>
      <c r="AG968" s="16">
        <f>AH968-AI968</f>
        <v>93</v>
      </c>
      <c r="AH968" s="16">
        <v>168</v>
      </c>
      <c r="AI968" s="16">
        <v>75</v>
      </c>
      <c r="AK968" s="16">
        <v>23</v>
      </c>
      <c r="AL968" s="16">
        <v>0</v>
      </c>
      <c r="AM968" s="16">
        <v>0</v>
      </c>
      <c r="AN968" s="16">
        <v>0</v>
      </c>
      <c r="AO968" s="16">
        <v>0</v>
      </c>
      <c r="AP968" s="16">
        <f>SUM(AL968:AN968)</f>
        <v>0</v>
      </c>
      <c r="AQ968" s="16">
        <v>2.0630000000000002</v>
      </c>
      <c r="AR968" s="16">
        <f>AP968-1.472</f>
        <v>-1.472</v>
      </c>
      <c r="AS968" s="16">
        <f>AQ968-1.472</f>
        <v>0.59100000000000019</v>
      </c>
      <c r="AT968" s="16" t="str">
        <f>VLOOKUP(E968,[2]Current!$A$1:$W$435,7,FALSE)</f>
        <v>NB</v>
      </c>
      <c r="AU968" s="16" t="s">
        <v>1288</v>
      </c>
      <c r="AV968" s="23"/>
      <c r="AW968" s="128">
        <f>IF(AX968&gt;0,1,0)</f>
        <v>1</v>
      </c>
      <c r="AX968" s="128">
        <f>SUM(BA968,BM968,CU968)</f>
        <v>3</v>
      </c>
      <c r="AY968" s="128">
        <f>SUM(BB968,BN968,CV968)</f>
        <v>8.4602368866328224</v>
      </c>
      <c r="AZ968" s="128">
        <f>IF(BA968&gt;0,1,0)</f>
        <v>1</v>
      </c>
      <c r="BA968" s="128">
        <f>SUM(BC968+BF968+BI968)</f>
        <v>2</v>
      </c>
      <c r="BB968" s="128">
        <f>SUM(BE968,BH968,BK968)</f>
        <v>6.7681895093062581</v>
      </c>
      <c r="BC968" s="130">
        <f>IF(BD968&gt;0,1,0)</f>
        <v>1</v>
      </c>
      <c r="BD968" s="128">
        <f>VLOOKUP($E968,[2]Current!$A:$AC,26,FALSE)</f>
        <v>1</v>
      </c>
      <c r="BE968" s="128">
        <f>BD968/$AS968</f>
        <v>1.6920473773265645</v>
      </c>
      <c r="BF968" s="130">
        <f>IF(BG968&gt;0,1,0)</f>
        <v>0</v>
      </c>
      <c r="BG968" s="137">
        <f>VLOOKUP($E968,[2]Current!$A:$AC,27,FALSE)</f>
        <v>0</v>
      </c>
      <c r="BH968" s="128">
        <f>BG968/$AS968</f>
        <v>0</v>
      </c>
      <c r="BI968" s="130">
        <f>IF(BJ968&gt;0,1,0)</f>
        <v>1</v>
      </c>
      <c r="BJ968" s="128">
        <f>VLOOKUP($E968,[2]Current!$A:$AC,28,FALSE)</f>
        <v>3</v>
      </c>
      <c r="BK968" s="128">
        <f>BJ968/$AS968</f>
        <v>5.0761421319796938</v>
      </c>
      <c r="BL968" s="128">
        <f>IF(BM968&gt;0,1,0)</f>
        <v>1</v>
      </c>
      <c r="BM968" s="128">
        <f>SUM(BR968,BU968,BX968,CA968,CD968)</f>
        <v>1</v>
      </c>
      <c r="BN968" s="131">
        <f>SUM(BT968,BW968,BZ968,CC968,CF968)</f>
        <v>1.6920473773265645</v>
      </c>
      <c r="BO968" s="128">
        <f>IF(BP968&gt;0,1,0)</f>
        <v>1</v>
      </c>
      <c r="BP968" s="128">
        <f>BM968+CJ968</f>
        <v>2</v>
      </c>
      <c r="BQ968" s="128">
        <f>BN968+CL968</f>
        <v>10.152284263959388</v>
      </c>
      <c r="BR968" s="130">
        <f>IF(BS968&gt;0,1,0)</f>
        <v>0</v>
      </c>
      <c r="BS968" s="128">
        <f>VLOOKUP($E968,[2]Current!$A:$AC,12,FALSE)</f>
        <v>0</v>
      </c>
      <c r="BT968" s="137">
        <f>BS968/$AS968</f>
        <v>0</v>
      </c>
      <c r="BU968" s="130">
        <f>IF(BV968&gt;0,1,0)</f>
        <v>0</v>
      </c>
      <c r="BV968" s="128">
        <f>VLOOKUP($E968,[2]Current!$A:$AC,13,FALSE)</f>
        <v>0</v>
      </c>
      <c r="BW968" s="128">
        <f>BV968/$AS968</f>
        <v>0</v>
      </c>
      <c r="BX968" s="130">
        <f>IF(BY968&gt;0,1,0)</f>
        <v>1</v>
      </c>
      <c r="BY968" s="128">
        <f>VLOOKUP($E968,[2]Current!$A:$AC,14,FALSE)</f>
        <v>1</v>
      </c>
      <c r="BZ968" s="128">
        <f>BY968/$AS968</f>
        <v>1.6920473773265645</v>
      </c>
      <c r="CA968" s="130">
        <f>IF(CB968&gt;0,1,0)</f>
        <v>0</v>
      </c>
      <c r="CB968" s="128">
        <f>VLOOKUP($E968,[2]Current!$A:$AC,15,FALSE)</f>
        <v>0</v>
      </c>
      <c r="CC968" s="128">
        <f>CB968/$AS968</f>
        <v>0</v>
      </c>
      <c r="CD968" s="174">
        <f>IF(CE968&gt;0,1,0)</f>
        <v>0</v>
      </c>
      <c r="CE968" s="128">
        <f>VLOOKUP($E968,[2]Current!$A:$AC,16,FALSE)</f>
        <v>0</v>
      </c>
      <c r="CF968" s="128">
        <f>CE968/$AS968</f>
        <v>0</v>
      </c>
      <c r="CG968" s="18"/>
      <c r="CH968" s="18"/>
      <c r="CI968" s="18"/>
      <c r="CJ968" s="130">
        <f>IF(CK968&gt;0,1,0)</f>
        <v>1</v>
      </c>
      <c r="CK968" s="128">
        <f>VLOOKUP($E968,[2]Current!$A:$AC,18,FALSE)</f>
        <v>5</v>
      </c>
      <c r="CL968" s="128">
        <f>CK968/$AS968</f>
        <v>8.4602368866328224</v>
      </c>
      <c r="CS968" s="130">
        <f>IF(CU968&gt;0,1,0)</f>
        <v>0</v>
      </c>
      <c r="CU968" s="128">
        <f>VLOOKUP($E968,[2]Current!$A:$AC,17,FALSE)</f>
        <v>0</v>
      </c>
      <c r="CV968" s="128">
        <f>CU968/$AS968</f>
        <v>0</v>
      </c>
      <c r="CW968" s="18"/>
      <c r="CX968" s="18"/>
      <c r="CY968" s="18"/>
      <c r="DF968" s="16" t="e">
        <f>VLOOKUP(K968,'[3]RNA Seq summary tables'!$V$3:$V$99,1,FALSE)</f>
        <v>#N/A</v>
      </c>
      <c r="JR968" s="19"/>
      <c r="JS968" s="19"/>
      <c r="JT968" s="19"/>
      <c r="JU968" s="19"/>
      <c r="JV968" s="19"/>
      <c r="JW968" s="19"/>
      <c r="JX968" s="19"/>
      <c r="JY968" s="19"/>
      <c r="JZ968" s="19"/>
      <c r="KA968" s="19"/>
      <c r="KB968" s="19"/>
    </row>
    <row r="969" spans="2:288" ht="16" x14ac:dyDescent="0.2">
      <c r="B969" s="16">
        <v>2017</v>
      </c>
      <c r="C969" s="20">
        <v>42948</v>
      </c>
      <c r="D969" s="20" t="str">
        <f>CONCATENATE(J969,"-",C969)</f>
        <v>1112-42948</v>
      </c>
      <c r="E969" s="37" t="str">
        <f>CONCATENATE(T969,"-",U969,"-",C969)</f>
        <v>HW1-C8-42948</v>
      </c>
      <c r="F969" s="20" t="s">
        <v>106</v>
      </c>
      <c r="G969" s="20" t="s">
        <v>107</v>
      </c>
      <c r="I969" s="16">
        <v>0</v>
      </c>
      <c r="J969" s="21">
        <v>1112</v>
      </c>
      <c r="K969" s="21">
        <v>2049</v>
      </c>
      <c r="L969" s="18">
        <v>0</v>
      </c>
      <c r="M969" s="21">
        <f>VLOOKUP($K969,'[4]blood tubes 2017'!$D$1:$L$647,8,FALSE)</f>
        <v>0</v>
      </c>
      <c r="N969" s="15">
        <v>0</v>
      </c>
      <c r="O969" s="15" t="s">
        <v>214</v>
      </c>
      <c r="P969" s="16" t="s">
        <v>110</v>
      </c>
      <c r="Q969" s="16">
        <v>1</v>
      </c>
      <c r="R969" s="16">
        <v>18</v>
      </c>
      <c r="T969" s="16" t="s">
        <v>133</v>
      </c>
      <c r="U969" s="16" t="s">
        <v>188</v>
      </c>
      <c r="V969" s="16" t="s">
        <v>114</v>
      </c>
      <c r="W969" s="16">
        <f>AI969/AG969</f>
        <v>0.88235294117647056</v>
      </c>
      <c r="X969" s="16" t="s">
        <v>121</v>
      </c>
      <c r="Y969" s="16" t="s">
        <v>110</v>
      </c>
      <c r="Z969" s="16">
        <v>3</v>
      </c>
      <c r="AA969" s="16" t="s">
        <v>161</v>
      </c>
      <c r="AB969" s="16" t="s">
        <v>123</v>
      </c>
      <c r="AC969" s="16" t="s">
        <v>123</v>
      </c>
      <c r="AD969" s="16" t="s">
        <v>116</v>
      </c>
      <c r="AG969" s="16">
        <f>AH969-AI969</f>
        <v>85</v>
      </c>
      <c r="AH969" s="16">
        <v>160</v>
      </c>
      <c r="AI969" s="16">
        <v>75</v>
      </c>
      <c r="AK969" s="16">
        <v>24</v>
      </c>
      <c r="AL969" s="16">
        <v>1</v>
      </c>
      <c r="AM969" s="16">
        <v>0</v>
      </c>
      <c r="AN969" s="16">
        <v>0</v>
      </c>
      <c r="AO969" s="16">
        <v>1</v>
      </c>
      <c r="AP969" s="16">
        <f>SUM(AL969:AN969)</f>
        <v>1</v>
      </c>
      <c r="AQ969" s="16">
        <v>1.9059999999999999</v>
      </c>
      <c r="AR969" s="16">
        <f>AP969-1.472</f>
        <v>-0.47199999999999998</v>
      </c>
      <c r="AS969" s="16">
        <f>AQ969-1.472</f>
        <v>0.43399999999999994</v>
      </c>
      <c r="AT969" s="16" t="str">
        <f>VLOOKUP(E969,[2]Current!$A$1:$W$435,7,FALSE)</f>
        <v>TE</v>
      </c>
      <c r="AU969" s="16" t="s">
        <v>1288</v>
      </c>
      <c r="AW969" s="128">
        <f>IF(AX969&gt;0,1,0)</f>
        <v>1</v>
      </c>
      <c r="AX969" s="128">
        <f>SUM(BA969,BM969,CU969)</f>
        <v>3</v>
      </c>
      <c r="AY969" s="128">
        <f>SUM(BB969,BN969,CV969)</f>
        <v>119.815668202765</v>
      </c>
      <c r="AZ969" s="128">
        <f>IF(BA969&gt;0,1,0)</f>
        <v>1</v>
      </c>
      <c r="BA969" s="128">
        <f>SUM(BC969+BF969+BI969)</f>
        <v>3</v>
      </c>
      <c r="BB969" s="128">
        <f>SUM(BE969,BH969,BK969)</f>
        <v>119.815668202765</v>
      </c>
      <c r="BC969" s="130">
        <f>IF(BD969&gt;0,1,0)</f>
        <v>1</v>
      </c>
      <c r="BD969" s="128">
        <f>VLOOKUP($E969,[2]Current!$A:$AC,26,FALSE)</f>
        <v>20</v>
      </c>
      <c r="BE969" s="128">
        <f>BD969/$AS969</f>
        <v>46.082949308755765</v>
      </c>
      <c r="BF969" s="130">
        <f>IF(BG969&gt;0,1,0)</f>
        <v>1</v>
      </c>
      <c r="BG969" s="137">
        <f>VLOOKUP($E969,[2]Current!$A:$AC,27,FALSE)</f>
        <v>4</v>
      </c>
      <c r="BH969" s="128">
        <f>BG969/$AS969</f>
        <v>9.216589861751153</v>
      </c>
      <c r="BI969" s="130">
        <f>IF(BJ969&gt;0,1,0)</f>
        <v>1</v>
      </c>
      <c r="BJ969" s="128">
        <f>VLOOKUP($E969,[2]Current!$A:$AC,28,FALSE)</f>
        <v>28</v>
      </c>
      <c r="BK969" s="128">
        <f>BJ969/$AS969</f>
        <v>64.516129032258078</v>
      </c>
      <c r="BL969" s="128">
        <f>IF(BM969&gt;0,1,0)</f>
        <v>0</v>
      </c>
      <c r="BM969" s="128">
        <f>SUM(BR969,BU969,BX969,CA969,CD969)</f>
        <v>0</v>
      </c>
      <c r="BN969" s="131">
        <f>SUM(BT969,BW969,BZ969,CC969,CF969)</f>
        <v>0</v>
      </c>
      <c r="BO969" s="128">
        <f>IF(BP969&gt;0,1,0)</f>
        <v>1</v>
      </c>
      <c r="BP969" s="128">
        <f>BM969+CJ969</f>
        <v>1</v>
      </c>
      <c r="BQ969" s="128">
        <f>BN969+CL969</f>
        <v>29.953917050691249</v>
      </c>
      <c r="BR969" s="130">
        <f>IF(BS969&gt;0,1,0)</f>
        <v>0</v>
      </c>
      <c r="BS969" s="128">
        <f>VLOOKUP($E969,[2]Current!$A:$AC,12,FALSE)</f>
        <v>0</v>
      </c>
      <c r="BT969" s="137">
        <f>BS969/$AS969</f>
        <v>0</v>
      </c>
      <c r="BU969" s="130">
        <f>IF(BV969&gt;0,1,0)</f>
        <v>0</v>
      </c>
      <c r="BV969" s="128">
        <f>VLOOKUP($E969,[2]Current!$A:$AC,13,FALSE)</f>
        <v>0</v>
      </c>
      <c r="BW969" s="128">
        <f>BV969/$AS969</f>
        <v>0</v>
      </c>
      <c r="BX969" s="130">
        <f>IF(BY969&gt;0,1,0)</f>
        <v>0</v>
      </c>
      <c r="BY969" s="128">
        <f>VLOOKUP($E969,[2]Current!$A:$AC,14,FALSE)</f>
        <v>0</v>
      </c>
      <c r="BZ969" s="128">
        <f>BY969/$AS969</f>
        <v>0</v>
      </c>
      <c r="CA969" s="130">
        <f>IF(CB969&gt;0,1,0)</f>
        <v>0</v>
      </c>
      <c r="CB969" s="128">
        <f>VLOOKUP($E969,[2]Current!$A:$AC,15,FALSE)</f>
        <v>0</v>
      </c>
      <c r="CC969" s="128">
        <f>CB969/$AS969</f>
        <v>0</v>
      </c>
      <c r="CD969" s="174">
        <f>IF(CE969&gt;0,1,0)</f>
        <v>0</v>
      </c>
      <c r="CE969" s="128">
        <f>VLOOKUP($E969,[2]Current!$A:$AC,16,FALSE)</f>
        <v>0</v>
      </c>
      <c r="CF969" s="128">
        <f>CE969/$AS969</f>
        <v>0</v>
      </c>
      <c r="CG969" s="18"/>
      <c r="CH969" s="18"/>
      <c r="CI969" s="18"/>
      <c r="CJ969" s="130">
        <f>IF(CK969&gt;0,1,0)</f>
        <v>1</v>
      </c>
      <c r="CK969" s="128">
        <f>VLOOKUP($E969,[2]Current!$A:$AC,18,FALSE)</f>
        <v>13</v>
      </c>
      <c r="CL969" s="128">
        <f>CK969/$AS969</f>
        <v>29.953917050691249</v>
      </c>
      <c r="CS969" s="130">
        <f>IF(CU969&gt;0,1,0)</f>
        <v>0</v>
      </c>
      <c r="CU969" s="128">
        <f>VLOOKUP($E969,[2]Current!$A:$AC,17,FALSE)</f>
        <v>0</v>
      </c>
      <c r="CV969" s="128">
        <f>CU969/$AS969</f>
        <v>0</v>
      </c>
      <c r="CW969" s="18"/>
      <c r="CX969" s="18"/>
      <c r="CY969" s="18"/>
      <c r="DF969" s="16" t="e">
        <f>VLOOKUP(K969,'[3]RNA Seq summary tables'!$V$3:$V$99,1,FALSE)</f>
        <v>#N/A</v>
      </c>
    </row>
    <row r="970" spans="2:288" ht="16" x14ac:dyDescent="0.2">
      <c r="B970" s="16">
        <v>2017</v>
      </c>
      <c r="C970" s="20">
        <v>42966</v>
      </c>
      <c r="D970" s="20" t="str">
        <f>CONCATENATE(J970,"-",C970)</f>
        <v>1112-42966</v>
      </c>
      <c r="E970" s="37" t="str">
        <f>CONCATENATE(T970,"-",U970,"-",C970)</f>
        <v>HW1-C7-42966</v>
      </c>
      <c r="F970" s="20" t="s">
        <v>106</v>
      </c>
      <c r="G970" s="20" t="s">
        <v>107</v>
      </c>
      <c r="I970" s="16">
        <v>0</v>
      </c>
      <c r="J970" s="21">
        <v>1112</v>
      </c>
      <c r="K970" s="21">
        <v>2208</v>
      </c>
      <c r="L970" s="18">
        <v>0</v>
      </c>
      <c r="M970" s="21">
        <f>VLOOKUP($K970,'[4]blood tubes 2017'!$D$1:$L$647,8,FALSE)</f>
        <v>0</v>
      </c>
      <c r="N970" s="15">
        <v>0</v>
      </c>
      <c r="O970" s="15" t="s">
        <v>214</v>
      </c>
      <c r="P970" s="16" t="s">
        <v>110</v>
      </c>
      <c r="Q970" s="16">
        <v>1</v>
      </c>
      <c r="R970" s="16">
        <v>18</v>
      </c>
      <c r="T970" s="16" t="s">
        <v>133</v>
      </c>
      <c r="U970" s="16" t="s">
        <v>207</v>
      </c>
      <c r="V970" s="16" t="s">
        <v>114</v>
      </c>
      <c r="W970" s="16">
        <f>AI970/AG970</f>
        <v>0.83333333333333337</v>
      </c>
      <c r="X970" s="16" t="s">
        <v>121</v>
      </c>
      <c r="Y970" s="16" t="s">
        <v>110</v>
      </c>
      <c r="Z970" s="16">
        <v>3</v>
      </c>
      <c r="AA970" s="16" t="s">
        <v>119</v>
      </c>
      <c r="AB970" s="16" t="s">
        <v>239</v>
      </c>
      <c r="AC970" s="16" t="s">
        <v>123</v>
      </c>
      <c r="AD970" s="16" t="s">
        <v>123</v>
      </c>
      <c r="AG970" s="16">
        <f>AH970-AI970</f>
        <v>90</v>
      </c>
      <c r="AH970" s="16">
        <v>165</v>
      </c>
      <c r="AI970" s="16">
        <v>75</v>
      </c>
      <c r="AK970" s="16">
        <v>22.5</v>
      </c>
      <c r="AL970" s="16">
        <v>0</v>
      </c>
      <c r="AM970" s="16">
        <v>0</v>
      </c>
      <c r="AN970" s="16">
        <v>0</v>
      </c>
      <c r="AO970" s="16">
        <v>0</v>
      </c>
      <c r="AP970" s="16">
        <f>SUM(AL970:AN970)</f>
        <v>0</v>
      </c>
      <c r="AQ970" s="16">
        <v>2.25</v>
      </c>
      <c r="AR970" s="16">
        <f>AP970-1.472</f>
        <v>-1.472</v>
      </c>
      <c r="AS970" s="16">
        <f>AQ970-1.472</f>
        <v>0.77800000000000002</v>
      </c>
      <c r="AT970" s="16" t="str">
        <f>VLOOKUP(E970,[2]Current!$A$1:$W$435,7,FALSE)</f>
        <v>TE</v>
      </c>
      <c r="AU970" s="16" t="s">
        <v>1288</v>
      </c>
      <c r="AV970" s="23"/>
      <c r="AW970" s="128">
        <f>IF(AX970&gt;0,1,0)</f>
        <v>1</v>
      </c>
      <c r="AX970" s="128">
        <f>SUM(BA970,BM970,CU970)</f>
        <v>3</v>
      </c>
      <c r="AY970" s="128">
        <f>SUM(BB970,BN970,CV970)</f>
        <v>61.696658097686381</v>
      </c>
      <c r="AZ970" s="128">
        <f>IF(BA970&gt;0,1,0)</f>
        <v>1</v>
      </c>
      <c r="BA970" s="128">
        <f>SUM(BC970+BF970+BI970)</f>
        <v>3</v>
      </c>
      <c r="BB970" s="128">
        <f>SUM(BE970,BH970,BK970)</f>
        <v>61.696658097686381</v>
      </c>
      <c r="BC970" s="130">
        <f>IF(BD970&gt;0,1,0)</f>
        <v>1</v>
      </c>
      <c r="BD970" s="128">
        <f>VLOOKUP($E970,[2]Current!$A:$AC,26,FALSE)</f>
        <v>12</v>
      </c>
      <c r="BE970" s="128">
        <f>BD970/$AS970</f>
        <v>15.424164524421593</v>
      </c>
      <c r="BF970" s="130">
        <f>IF(BG970&gt;0,1,0)</f>
        <v>1</v>
      </c>
      <c r="BG970" s="137">
        <f>VLOOKUP($E970,[2]Current!$A:$AC,27,FALSE)</f>
        <v>8</v>
      </c>
      <c r="BH970" s="128">
        <f>BG970/$AS970</f>
        <v>10.282776349614396</v>
      </c>
      <c r="BI970" s="130">
        <f>IF(BJ970&gt;0,1,0)</f>
        <v>1</v>
      </c>
      <c r="BJ970" s="128">
        <f>VLOOKUP($E970,[2]Current!$A:$AC,28,FALSE)</f>
        <v>28</v>
      </c>
      <c r="BK970" s="128">
        <f>BJ970/$AS970</f>
        <v>35.989717223650388</v>
      </c>
      <c r="BL970" s="128">
        <f>IF(BM970&gt;0,1,0)</f>
        <v>0</v>
      </c>
      <c r="BM970" s="128">
        <f>SUM(BR970,BU970,BX970,CA970,CD970)</f>
        <v>0</v>
      </c>
      <c r="BN970" s="131">
        <f>SUM(BT970,BW970,BZ970,CC970,CF970)</f>
        <v>0</v>
      </c>
      <c r="BO970" s="128">
        <f>IF(BP970&gt;0,1,0)</f>
        <v>0</v>
      </c>
      <c r="BP970" s="128">
        <f>BM970+CJ970</f>
        <v>0</v>
      </c>
      <c r="BQ970" s="128">
        <f>BN970+CL970</f>
        <v>0</v>
      </c>
      <c r="BR970" s="130">
        <f>IF(BS970&gt;0,1,0)</f>
        <v>0</v>
      </c>
      <c r="BS970" s="128">
        <f>VLOOKUP($E970,[2]Current!$A:$AC,12,FALSE)</f>
        <v>0</v>
      </c>
      <c r="BT970" s="137">
        <f>BS970/$AS970</f>
        <v>0</v>
      </c>
      <c r="BU970" s="130">
        <f>IF(BV970&gt;0,1,0)</f>
        <v>0</v>
      </c>
      <c r="BV970" s="128">
        <f>VLOOKUP($E970,[2]Current!$A:$AC,13,FALSE)</f>
        <v>0</v>
      </c>
      <c r="BW970" s="128">
        <f>BV970/$AS970</f>
        <v>0</v>
      </c>
      <c r="BX970" s="130">
        <f>IF(BY970&gt;0,1,0)</f>
        <v>0</v>
      </c>
      <c r="BY970" s="128">
        <f>VLOOKUP($E970,[2]Current!$A:$AC,14,FALSE)</f>
        <v>0</v>
      </c>
      <c r="BZ970" s="128">
        <f>BY970/$AS970</f>
        <v>0</v>
      </c>
      <c r="CA970" s="130">
        <f>IF(CB970&gt;0,1,0)</f>
        <v>0</v>
      </c>
      <c r="CB970" s="128">
        <f>VLOOKUP($E970,[2]Current!$A:$AC,15,FALSE)</f>
        <v>0</v>
      </c>
      <c r="CC970" s="128">
        <f>CB970/$AS970</f>
        <v>0</v>
      </c>
      <c r="CD970" s="174">
        <f>IF(CE970&gt;0,1,0)</f>
        <v>0</v>
      </c>
      <c r="CE970" s="128">
        <f>VLOOKUP($E970,[2]Current!$A:$AC,16,FALSE)</f>
        <v>0</v>
      </c>
      <c r="CF970" s="128">
        <f>CE970/$AS970</f>
        <v>0</v>
      </c>
      <c r="CG970" s="18"/>
      <c r="CH970" s="18"/>
      <c r="CI970" s="18"/>
      <c r="CJ970" s="130">
        <f>IF(CK970&gt;0,1,0)</f>
        <v>0</v>
      </c>
      <c r="CK970" s="128">
        <f>VLOOKUP($E970,[2]Current!$A:$AC,18,FALSE)</f>
        <v>0</v>
      </c>
      <c r="CL970" s="128">
        <f>CK970/$AS970</f>
        <v>0</v>
      </c>
      <c r="CS970" s="130">
        <f>IF(CU970&gt;0,1,0)</f>
        <v>0</v>
      </c>
      <c r="CU970" s="128">
        <f>VLOOKUP($E970,[2]Current!$A:$AC,17,FALSE)</f>
        <v>0</v>
      </c>
      <c r="CV970" s="128">
        <f>CU970/$AS970</f>
        <v>0</v>
      </c>
      <c r="CW970" s="18"/>
      <c r="CX970" s="18"/>
      <c r="CY970" s="18"/>
      <c r="DF970" s="16" t="e">
        <f>VLOOKUP(K970,'[3]RNA Seq summary tables'!$V$3:$V$99,1,FALSE)</f>
        <v>#N/A</v>
      </c>
    </row>
    <row r="971" spans="2:288" x14ac:dyDescent="0.2">
      <c r="B971" s="16">
        <v>2017</v>
      </c>
      <c r="C971" s="20">
        <v>42896</v>
      </c>
      <c r="D971" s="20" t="str">
        <f>CONCATENATE(J971,"-",C971)</f>
        <v>1114-42896</v>
      </c>
      <c r="E971" s="20" t="str">
        <f>CONCATENATE(T971,"-",U971,"-",C971)</f>
        <v>HW1-F5-42896</v>
      </c>
      <c r="F971" s="20" t="s">
        <v>106</v>
      </c>
      <c r="G971" s="20" t="s">
        <v>107</v>
      </c>
      <c r="I971" s="16">
        <v>0</v>
      </c>
      <c r="J971" s="21">
        <v>1114</v>
      </c>
      <c r="K971" s="21">
        <v>1664</v>
      </c>
      <c r="L971" s="18">
        <v>0</v>
      </c>
      <c r="M971" s="21">
        <f>VLOOKUP($K971,'[4]blood tubes 2017'!$D$1:$L$647,8,FALSE)</f>
        <v>0</v>
      </c>
      <c r="N971" s="15">
        <v>0</v>
      </c>
      <c r="O971" s="15" t="s">
        <v>214</v>
      </c>
      <c r="P971" s="16" t="s">
        <v>110</v>
      </c>
      <c r="Q971" s="16">
        <v>0</v>
      </c>
      <c r="R971" s="16" t="s">
        <v>111</v>
      </c>
      <c r="T971" s="16" t="s">
        <v>133</v>
      </c>
      <c r="U971" s="16" t="s">
        <v>185</v>
      </c>
      <c r="V971" s="16" t="s">
        <v>114</v>
      </c>
      <c r="W971" s="16">
        <f>AI971/AG971</f>
        <v>0.86363636363636365</v>
      </c>
      <c r="X971" s="16" t="s">
        <v>121</v>
      </c>
      <c r="Y971" s="16" t="s">
        <v>110</v>
      </c>
      <c r="Z971" s="16">
        <v>3</v>
      </c>
      <c r="AA971" s="16" t="s">
        <v>119</v>
      </c>
      <c r="AB971" s="16" t="s">
        <v>239</v>
      </c>
      <c r="AC971" s="16" t="s">
        <v>123</v>
      </c>
      <c r="AD971" s="16" t="s">
        <v>123</v>
      </c>
      <c r="AG971" s="16">
        <f>AH971-AI971</f>
        <v>88</v>
      </c>
      <c r="AH971" s="16">
        <v>164</v>
      </c>
      <c r="AI971" s="16">
        <v>76</v>
      </c>
      <c r="AK971" s="16">
        <v>24.5</v>
      </c>
      <c r="AL971" s="16">
        <v>0</v>
      </c>
      <c r="AM971" s="16">
        <v>0</v>
      </c>
      <c r="AN971" s="16">
        <v>0</v>
      </c>
      <c r="AO971" s="16">
        <v>0</v>
      </c>
      <c r="AP971" s="16">
        <f>SUM(AL971:AN971)</f>
        <v>0</v>
      </c>
      <c r="AQ971" s="16">
        <v>1.9810000000000001</v>
      </c>
      <c r="AR971" s="16">
        <f>AP971-1.472</f>
        <v>-1.472</v>
      </c>
      <c r="AS971" s="16">
        <f>AQ971-1.472</f>
        <v>0.50900000000000012</v>
      </c>
      <c r="AT971" s="16" t="s">
        <v>233</v>
      </c>
      <c r="AW971" s="16">
        <f>IF(AX971&gt;0,1,0)</f>
        <v>1</v>
      </c>
      <c r="AX971" s="16">
        <f>SUM(BA971,BM971,CT971)</f>
        <v>1</v>
      </c>
      <c r="AY971" s="18">
        <f>SUM(BB971,BN971,CV971)</f>
        <v>7053.0451866404701</v>
      </c>
      <c r="AZ971" s="16">
        <f>IF(BA971&gt;0,1,0)</f>
        <v>1</v>
      </c>
      <c r="BA971" s="16">
        <f>SUM(BC971,BF971,BI971)</f>
        <v>1</v>
      </c>
      <c r="BB971" s="16">
        <f>SUM(BE971,BH971,BK971)</f>
        <v>7053.0451866404701</v>
      </c>
      <c r="BC971" s="16">
        <v>0</v>
      </c>
      <c r="BD971" s="16">
        <v>0</v>
      </c>
      <c r="BE971" s="16">
        <f>BD971/AS971</f>
        <v>0</v>
      </c>
      <c r="BF971" s="16">
        <v>1</v>
      </c>
      <c r="BG971" s="77">
        <v>3590</v>
      </c>
      <c r="BH971" s="16">
        <f>BG971/AS971</f>
        <v>7053.0451866404701</v>
      </c>
      <c r="BI971" s="16">
        <v>0</v>
      </c>
      <c r="BJ971" s="16">
        <v>0</v>
      </c>
      <c r="BK971" s="16">
        <f>BJ971/AS971</f>
        <v>0</v>
      </c>
      <c r="BL971" s="16">
        <f>IF(BM971&gt;0,1,0)</f>
        <v>0</v>
      </c>
      <c r="BM971" s="16">
        <f>SUM(BR971,BU971,BX971,CA971,CD971,CG971,CJ971,CM971,CP971)</f>
        <v>0</v>
      </c>
      <c r="BN971" s="16">
        <f>SUM(BW971,BZ971,CC971,CF971,CI971,CL971,CO971,CR971,BT971)</f>
        <v>0</v>
      </c>
      <c r="BO971" s="16">
        <f>IF(BP971&gt;0,1,0)</f>
        <v>0</v>
      </c>
      <c r="BP971" s="16">
        <f>SUM(BU971,BX971,CA971,CD971,BR971)</f>
        <v>0</v>
      </c>
      <c r="BQ971" s="16">
        <f>SUM(BZ971,CC971,CF971,BT971,BW971)</f>
        <v>0</v>
      </c>
      <c r="BR971" s="16">
        <v>0</v>
      </c>
      <c r="BS971" s="16">
        <v>0</v>
      </c>
      <c r="BT971" s="77">
        <f>BS971/AS971</f>
        <v>0</v>
      </c>
      <c r="BU971" s="16">
        <v>0</v>
      </c>
      <c r="BV971" s="16">
        <v>0</v>
      </c>
      <c r="BW971" s="16">
        <f>BV971/AS971</f>
        <v>0</v>
      </c>
      <c r="BX971" s="16">
        <v>0</v>
      </c>
      <c r="BY971" s="16">
        <v>0</v>
      </c>
      <c r="BZ971" s="16">
        <f>BY971/AS971</f>
        <v>0</v>
      </c>
      <c r="CA971" s="16">
        <v>0</v>
      </c>
      <c r="CB971" s="16">
        <v>0</v>
      </c>
      <c r="CC971" s="16">
        <f>CB971/AS971</f>
        <v>0</v>
      </c>
      <c r="CD971" s="77">
        <v>0</v>
      </c>
      <c r="CE971" s="16">
        <v>0</v>
      </c>
      <c r="CF971" s="16">
        <f>CE971/AS971</f>
        <v>0</v>
      </c>
      <c r="CG971" s="16">
        <v>0</v>
      </c>
      <c r="CH971" s="16">
        <v>0</v>
      </c>
      <c r="CI971" s="16">
        <f>CH971/AS971</f>
        <v>0</v>
      </c>
      <c r="CM971" s="16">
        <v>0</v>
      </c>
      <c r="CN971" s="16">
        <v>0</v>
      </c>
      <c r="CO971" s="16">
        <f>CN971/AS971</f>
        <v>0</v>
      </c>
      <c r="CP971" s="16">
        <v>0</v>
      </c>
      <c r="CQ971" s="16">
        <v>0</v>
      </c>
      <c r="CR971" s="16">
        <f>CQ971/AS971</f>
        <v>0</v>
      </c>
      <c r="CS971" s="16">
        <f>IF(CT971&gt;0,1,0)</f>
        <v>0</v>
      </c>
      <c r="CT971" s="16">
        <f>SUM(CW971,CZ971,DC971)</f>
        <v>0</v>
      </c>
      <c r="CV971" s="16">
        <f>SUM(CY971,DB971,DE971)</f>
        <v>0</v>
      </c>
      <c r="CW971" s="16">
        <v>0</v>
      </c>
      <c r="CX971" s="16">
        <v>0</v>
      </c>
      <c r="CY971" s="16">
        <f>CX971/AS971</f>
        <v>0</v>
      </c>
      <c r="CZ971" s="16">
        <v>0</v>
      </c>
      <c r="DA971" s="16">
        <v>0</v>
      </c>
      <c r="DB971" s="16">
        <f>DA971/AS971</f>
        <v>0</v>
      </c>
      <c r="DC971" s="16">
        <v>0</v>
      </c>
      <c r="DD971" s="16">
        <v>0</v>
      </c>
      <c r="DE971" s="16">
        <f>DD971/AS971</f>
        <v>0</v>
      </c>
      <c r="DF971" s="16" t="e">
        <f>VLOOKUP(K971,'[3]RNA Seq summary tables'!$V$3:$V$99,1,FALSE)</f>
        <v>#N/A</v>
      </c>
      <c r="DI971" s="16">
        <v>39</v>
      </c>
      <c r="DK971" s="16">
        <v>57</v>
      </c>
      <c r="DM971" s="16">
        <v>2</v>
      </c>
      <c r="DO971" s="16">
        <v>0</v>
      </c>
      <c r="DQ971" s="16">
        <v>2</v>
      </c>
      <c r="DR971" s="16">
        <f>SUM(DI971:DQ971)</f>
        <v>100</v>
      </c>
    </row>
    <row r="972" spans="2:288" x14ac:dyDescent="0.2">
      <c r="B972" s="16">
        <v>2017</v>
      </c>
      <c r="C972" s="20">
        <v>42914</v>
      </c>
      <c r="D972" s="20" t="str">
        <f>CONCATENATE(J972,"-",C972)</f>
        <v>1114-42914</v>
      </c>
      <c r="E972" s="20" t="str">
        <f>CONCATENATE(T972,"-",U972,"-",C972)</f>
        <v>HW1-F5-42914</v>
      </c>
      <c r="F972" s="20" t="s">
        <v>106</v>
      </c>
      <c r="G972" s="20" t="s">
        <v>107</v>
      </c>
      <c r="I972" s="16">
        <v>0</v>
      </c>
      <c r="J972" s="21">
        <v>1114</v>
      </c>
      <c r="K972" s="21">
        <v>1787</v>
      </c>
      <c r="L972" s="18">
        <v>0</v>
      </c>
      <c r="M972" s="21">
        <f>VLOOKUP($K972,'[4]blood tubes 2017'!$D$1:$L$647,8,FALSE)</f>
        <v>0</v>
      </c>
      <c r="N972" s="15">
        <v>0</v>
      </c>
      <c r="O972" s="15" t="s">
        <v>214</v>
      </c>
      <c r="P972" s="16" t="s">
        <v>110</v>
      </c>
      <c r="Q972" s="16">
        <v>1</v>
      </c>
      <c r="R972" s="16">
        <v>18</v>
      </c>
      <c r="T972" s="16" t="s">
        <v>133</v>
      </c>
      <c r="U972" s="16" t="s">
        <v>185</v>
      </c>
      <c r="V972" s="16" t="s">
        <v>114</v>
      </c>
      <c r="W972" s="16">
        <f>AI972/AG972</f>
        <v>0.79591836734693877</v>
      </c>
      <c r="X972" s="16" t="s">
        <v>121</v>
      </c>
      <c r="Y972" s="16" t="s">
        <v>110</v>
      </c>
      <c r="Z972" s="16">
        <v>3</v>
      </c>
      <c r="AA972" s="16" t="s">
        <v>119</v>
      </c>
      <c r="AB972" s="16" t="s">
        <v>239</v>
      </c>
      <c r="AC972" s="16" t="s">
        <v>123</v>
      </c>
      <c r="AD972" s="16" t="s">
        <v>123</v>
      </c>
      <c r="AG972" s="16">
        <f>AH972-AI972</f>
        <v>98</v>
      </c>
      <c r="AH972" s="16">
        <v>176</v>
      </c>
      <c r="AI972" s="16">
        <v>78</v>
      </c>
      <c r="AK972" s="16">
        <v>23</v>
      </c>
      <c r="AL972" s="16">
        <v>0</v>
      </c>
      <c r="AM972" s="16">
        <v>0</v>
      </c>
      <c r="AN972" s="16">
        <v>0</v>
      </c>
      <c r="AO972" s="16">
        <v>0</v>
      </c>
      <c r="AP972" s="16">
        <f>SUM(AL972:AN972)</f>
        <v>0</v>
      </c>
      <c r="AQ972" s="16">
        <v>2.129</v>
      </c>
      <c r="AR972" s="16">
        <f>AP972-1.472</f>
        <v>-1.472</v>
      </c>
      <c r="AS972" s="16">
        <f>AQ972-1.472</f>
        <v>0.65700000000000003</v>
      </c>
      <c r="AT972" s="16" t="s">
        <v>164</v>
      </c>
      <c r="AW972" s="16">
        <f>IF(AX972&gt;0,1,0)</f>
        <v>1</v>
      </c>
      <c r="AX972" s="16">
        <f>SUM(BA972,BM972,CT972)</f>
        <v>2</v>
      </c>
      <c r="AY972" s="18">
        <f>SUM(BB972,BN972,CV972)</f>
        <v>16.7427701674277</v>
      </c>
      <c r="AZ972" s="16">
        <v>1</v>
      </c>
      <c r="BA972" s="16">
        <v>1</v>
      </c>
      <c r="BB972" s="16">
        <f>SUM(BE972,BH972,BK972)</f>
        <v>4.5662100456621006</v>
      </c>
      <c r="BC972" s="16">
        <v>1</v>
      </c>
      <c r="BD972" s="16">
        <v>3</v>
      </c>
      <c r="BE972" s="16">
        <f>BD972/AS972</f>
        <v>4.5662100456621006</v>
      </c>
      <c r="BF972" s="16">
        <v>0</v>
      </c>
      <c r="BG972" s="77">
        <v>0</v>
      </c>
      <c r="BH972" s="16">
        <v>0</v>
      </c>
      <c r="BI972" s="16">
        <v>0</v>
      </c>
      <c r="BJ972" s="16">
        <v>0</v>
      </c>
      <c r="BK972" s="16">
        <f>BJ972/AS972</f>
        <v>0</v>
      </c>
      <c r="BL972" s="16">
        <f>IF(BM972&gt;0,1,0)</f>
        <v>1</v>
      </c>
      <c r="BM972" s="16">
        <f>SUM(BR972,BU972,BX972,CA972,CD972,CG972,CJ972,CM972,CP972)</f>
        <v>1</v>
      </c>
      <c r="BN972" s="16">
        <f>SUM(BW972,BZ972,CC972,CF972,CI972,CL972,CO972,CR972,BT972)</f>
        <v>12.176560121765601</v>
      </c>
      <c r="BO972" s="16">
        <f>IF(BP972&gt;0,1,0)</f>
        <v>0</v>
      </c>
      <c r="BP972" s="16">
        <f>SUM(BU972,BX972,CA972,CD972,BR972)</f>
        <v>0</v>
      </c>
      <c r="BQ972" s="16">
        <f>SUM(BZ972,CC972,CF972,BT972,BW972)</f>
        <v>0</v>
      </c>
      <c r="BR972" s="16">
        <v>0</v>
      </c>
      <c r="BS972" s="16">
        <v>0</v>
      </c>
      <c r="BT972" s="77">
        <f>BS972/AS972</f>
        <v>0</v>
      </c>
      <c r="BU972" s="16">
        <v>0</v>
      </c>
      <c r="BV972" s="16">
        <v>0</v>
      </c>
      <c r="BW972" s="16">
        <f>BV972/AS972</f>
        <v>0</v>
      </c>
      <c r="BX972" s="16">
        <v>0</v>
      </c>
      <c r="BY972" s="16">
        <v>0</v>
      </c>
      <c r="BZ972" s="16">
        <f>BY972/AS972</f>
        <v>0</v>
      </c>
      <c r="CA972" s="16">
        <v>0</v>
      </c>
      <c r="CB972" s="16">
        <v>0</v>
      </c>
      <c r="CC972" s="16">
        <f>CB972/AS972</f>
        <v>0</v>
      </c>
      <c r="CD972" s="77">
        <v>0</v>
      </c>
      <c r="CE972" s="16">
        <v>0</v>
      </c>
      <c r="CF972" s="16">
        <f>CE972/AS972</f>
        <v>0</v>
      </c>
      <c r="CG972" s="16">
        <v>1</v>
      </c>
      <c r="CH972" s="16">
        <v>8</v>
      </c>
      <c r="CI972" s="16">
        <f>CH972/AS972</f>
        <v>12.176560121765601</v>
      </c>
      <c r="CM972" s="16">
        <v>0</v>
      </c>
      <c r="CN972" s="16">
        <v>0</v>
      </c>
      <c r="CO972" s="16">
        <f>CN972/AS972</f>
        <v>0</v>
      </c>
      <c r="CP972" s="16">
        <v>0</v>
      </c>
      <c r="CQ972" s="16">
        <v>0</v>
      </c>
      <c r="CR972" s="16">
        <f>CQ972/AS972</f>
        <v>0</v>
      </c>
      <c r="CS972" s="16">
        <v>0</v>
      </c>
      <c r="CT972" s="16">
        <v>0</v>
      </c>
      <c r="CV972" s="16">
        <f>SUM(CY972,DB972,DE972)</f>
        <v>0</v>
      </c>
      <c r="CW972" s="16">
        <v>0</v>
      </c>
      <c r="CX972" s="16">
        <v>0</v>
      </c>
      <c r="CY972" s="16">
        <f>CX972/AS972</f>
        <v>0</v>
      </c>
      <c r="CZ972" s="16">
        <v>0</v>
      </c>
      <c r="DA972" s="16">
        <v>0</v>
      </c>
      <c r="DB972" s="16">
        <f>DA972/AS972</f>
        <v>0</v>
      </c>
      <c r="DC972" s="16">
        <v>0</v>
      </c>
      <c r="DD972" s="16">
        <v>0</v>
      </c>
      <c r="DE972" s="16">
        <f>DD972/AS972</f>
        <v>0</v>
      </c>
      <c r="DF972" s="16" t="e">
        <f>VLOOKUP(K972,'[3]RNA Seq summary tables'!$V$3:$V$99,1,FALSE)</f>
        <v>#N/A</v>
      </c>
      <c r="DI972" s="16">
        <v>47</v>
      </c>
      <c r="DK972" s="16">
        <v>39</v>
      </c>
      <c r="DM972" s="16">
        <v>14</v>
      </c>
      <c r="DO972" s="16">
        <v>0</v>
      </c>
      <c r="DQ972" s="16">
        <v>0</v>
      </c>
      <c r="DR972" s="16">
        <f>SUM(DI972:DQ972)</f>
        <v>100</v>
      </c>
      <c r="JO972" s="18"/>
      <c r="JR972" s="27"/>
      <c r="JS972" s="27"/>
      <c r="JT972" s="27"/>
      <c r="JU972" s="27"/>
      <c r="JV972" s="27"/>
      <c r="JW972" s="27"/>
      <c r="JX972" s="27"/>
      <c r="JY972" s="27"/>
      <c r="JZ972" s="27"/>
      <c r="KA972" s="27"/>
      <c r="KB972" s="27"/>
    </row>
    <row r="973" spans="2:288" ht="16" x14ac:dyDescent="0.2">
      <c r="B973" s="16">
        <v>2017</v>
      </c>
      <c r="C973" s="20">
        <v>42930</v>
      </c>
      <c r="D973" s="20" t="str">
        <f>CONCATENATE(J973,"-",C973)</f>
        <v>1114-42930</v>
      </c>
      <c r="E973" s="37" t="str">
        <f>CONCATENATE(T973,"-",U973,"-",C973)</f>
        <v>HW1-C5-42930</v>
      </c>
      <c r="F973" s="20" t="s">
        <v>106</v>
      </c>
      <c r="G973" s="20" t="s">
        <v>107</v>
      </c>
      <c r="I973" s="16">
        <v>0</v>
      </c>
      <c r="J973" s="21">
        <v>1114</v>
      </c>
      <c r="K973" s="21">
        <v>1906</v>
      </c>
      <c r="L973" s="18">
        <v>0</v>
      </c>
      <c r="M973" s="21">
        <f>VLOOKUP($K973,'[4]blood tubes 2017'!$D$1:$L$647,8,FALSE)</f>
        <v>0</v>
      </c>
      <c r="N973" s="15">
        <v>0</v>
      </c>
      <c r="O973" s="15" t="s">
        <v>214</v>
      </c>
      <c r="P973" s="16" t="s">
        <v>110</v>
      </c>
      <c r="Q973" s="16">
        <v>1</v>
      </c>
      <c r="R973" s="16">
        <v>16</v>
      </c>
      <c r="T973" s="16" t="s">
        <v>133</v>
      </c>
      <c r="U973" s="16" t="s">
        <v>172</v>
      </c>
      <c r="V973" s="16" t="s">
        <v>114</v>
      </c>
      <c r="W973" s="16">
        <f>AI973/AG973</f>
        <v>0.7857142857142857</v>
      </c>
      <c r="X973" s="16" t="s">
        <v>121</v>
      </c>
      <c r="Y973" s="16" t="s">
        <v>110</v>
      </c>
      <c r="Z973" s="16">
        <v>3</v>
      </c>
      <c r="AA973" s="16" t="s">
        <v>119</v>
      </c>
      <c r="AB973" s="16" t="s">
        <v>115</v>
      </c>
      <c r="AC973" s="16" t="s">
        <v>123</v>
      </c>
      <c r="AD973" s="16" t="s">
        <v>123</v>
      </c>
      <c r="AG973" s="16">
        <f>AH973-AI973</f>
        <v>98</v>
      </c>
      <c r="AH973" s="16">
        <v>175</v>
      </c>
      <c r="AI973" s="16">
        <v>77</v>
      </c>
      <c r="AK973" s="16">
        <v>23</v>
      </c>
      <c r="AL973" s="16">
        <v>0</v>
      </c>
      <c r="AM973" s="16">
        <v>0</v>
      </c>
      <c r="AN973" s="16">
        <v>0</v>
      </c>
      <c r="AO973" s="16">
        <v>0</v>
      </c>
      <c r="AP973" s="16">
        <f>SUM(AL973:AN973)</f>
        <v>0</v>
      </c>
      <c r="AQ973" s="16">
        <v>2.4980000000000002</v>
      </c>
      <c r="AR973" s="16">
        <f>AP973-1.472</f>
        <v>-1.472</v>
      </c>
      <c r="AS973" s="16">
        <f>AQ973-1.472</f>
        <v>1.0260000000000002</v>
      </c>
      <c r="AT973" s="16" t="str">
        <f>VLOOKUP(E973,[2]Current!$A$1:$W$435,7,FALSE)</f>
        <v>JB</v>
      </c>
      <c r="AU973" s="16" t="s">
        <v>1288</v>
      </c>
      <c r="AV973" s="23"/>
      <c r="AW973" s="128">
        <f>IF(AX973&gt;0,1,0)</f>
        <v>1</v>
      </c>
      <c r="AX973" s="128">
        <f>SUM(BA973,BM973,CU973)</f>
        <v>2</v>
      </c>
      <c r="AY973" s="128">
        <f>SUM(BB973,BN973,CV973)</f>
        <v>185.18518518518513</v>
      </c>
      <c r="AZ973" s="128">
        <f>IF(BA973&gt;0,1,0)</f>
        <v>1</v>
      </c>
      <c r="BA973" s="128">
        <f>SUM(BC973+BF973+BI973)</f>
        <v>2</v>
      </c>
      <c r="BB973" s="128">
        <f>SUM(BE973,BH973,BK973)</f>
        <v>185.18518518518513</v>
      </c>
      <c r="BC973" s="130">
        <f>IF(BD973&gt;0,1,0)</f>
        <v>0</v>
      </c>
      <c r="BD973" s="128">
        <f>VLOOKUP($E973,[2]Current!$A:$AC,26,FALSE)</f>
        <v>0</v>
      </c>
      <c r="BE973" s="128">
        <f>BD973/$AS973</f>
        <v>0</v>
      </c>
      <c r="BF973" s="130">
        <f>IF(BG973&gt;0,1,0)</f>
        <v>1</v>
      </c>
      <c r="BG973" s="137">
        <f>VLOOKUP($E973,[2]Current!$A:$AC,27,FALSE)</f>
        <v>176</v>
      </c>
      <c r="BH973" s="128">
        <f>BG973/$AS973</f>
        <v>171.53996101364518</v>
      </c>
      <c r="BI973" s="130">
        <f>IF(BJ973&gt;0,1,0)</f>
        <v>1</v>
      </c>
      <c r="BJ973" s="128">
        <f>VLOOKUP($E973,[2]Current!$A:$AC,28,FALSE)</f>
        <v>14</v>
      </c>
      <c r="BK973" s="128">
        <f>BJ973/$AS973</f>
        <v>13.645224171539958</v>
      </c>
      <c r="BL973" s="128">
        <f>IF(BM973&gt;0,1,0)</f>
        <v>0</v>
      </c>
      <c r="BM973" s="128">
        <f>SUM(BR973,BU973,BX973,CA973,CD973)</f>
        <v>0</v>
      </c>
      <c r="BN973" s="131">
        <f>SUM(BT973,BW973,BZ973,CC973,CF973)</f>
        <v>0</v>
      </c>
      <c r="BO973" s="128">
        <f>IF(BP973&gt;0,1,0)</f>
        <v>0</v>
      </c>
      <c r="BP973" s="128">
        <f>BM973+CJ973</f>
        <v>0</v>
      </c>
      <c r="BQ973" s="128">
        <f>BN973+CL973</f>
        <v>0</v>
      </c>
      <c r="BR973" s="130">
        <f>IF(BS973&gt;0,1,0)</f>
        <v>0</v>
      </c>
      <c r="BS973" s="128">
        <f>VLOOKUP($E973,[2]Current!$A:$AC,12,FALSE)</f>
        <v>0</v>
      </c>
      <c r="BT973" s="137">
        <f>BS973/$AS973</f>
        <v>0</v>
      </c>
      <c r="BU973" s="130">
        <f>IF(BV973&gt;0,1,0)</f>
        <v>0</v>
      </c>
      <c r="BV973" s="128">
        <f>VLOOKUP($E973,[2]Current!$A:$AC,13,FALSE)</f>
        <v>0</v>
      </c>
      <c r="BW973" s="128">
        <f>BV973/$AS973</f>
        <v>0</v>
      </c>
      <c r="BX973" s="130">
        <f>IF(BY973&gt;0,1,0)</f>
        <v>0</v>
      </c>
      <c r="BY973" s="128">
        <f>VLOOKUP($E973,[2]Current!$A:$AC,14,FALSE)</f>
        <v>0</v>
      </c>
      <c r="BZ973" s="128">
        <f>BY973/$AS973</f>
        <v>0</v>
      </c>
      <c r="CA973" s="130">
        <f>IF(CB973&gt;0,1,0)</f>
        <v>0</v>
      </c>
      <c r="CB973" s="128">
        <f>VLOOKUP($E973,[2]Current!$A:$AC,15,FALSE)</f>
        <v>0</v>
      </c>
      <c r="CC973" s="128">
        <f>CB973/$AS973</f>
        <v>0</v>
      </c>
      <c r="CD973" s="174">
        <f>IF(CE973&gt;0,1,0)</f>
        <v>0</v>
      </c>
      <c r="CE973" s="128">
        <f>VLOOKUP($E973,[2]Current!$A:$AC,16,FALSE)</f>
        <v>0</v>
      </c>
      <c r="CF973" s="128">
        <f>CE973/$AS973</f>
        <v>0</v>
      </c>
      <c r="CG973" s="18"/>
      <c r="CH973" s="18"/>
      <c r="CI973" s="18"/>
      <c r="CJ973" s="130">
        <f>IF(CK973&gt;0,1,0)</f>
        <v>0</v>
      </c>
      <c r="CK973" s="128">
        <f>VLOOKUP($E973,[2]Current!$A:$AC,18,FALSE)</f>
        <v>0</v>
      </c>
      <c r="CL973" s="128">
        <f>CK973/$AS973</f>
        <v>0</v>
      </c>
      <c r="CS973" s="130">
        <f>IF(CU973&gt;0,1,0)</f>
        <v>0</v>
      </c>
      <c r="CU973" s="128">
        <f>VLOOKUP($E973,[2]Current!$A:$AC,17,FALSE)</f>
        <v>0</v>
      </c>
      <c r="CV973" s="128">
        <f>CU973/$AS973</f>
        <v>0</v>
      </c>
      <c r="CW973" s="18"/>
      <c r="CX973" s="18"/>
      <c r="CY973" s="18"/>
      <c r="DF973" s="16" t="e">
        <f>VLOOKUP(K973,'[3]RNA Seq summary tables'!$V$3:$V$99,1,FALSE)</f>
        <v>#N/A</v>
      </c>
      <c r="JP973" s="18"/>
      <c r="JQ973" s="18"/>
      <c r="JR973" s="26"/>
      <c r="JS973" s="26"/>
      <c r="JT973" s="26"/>
      <c r="JU973" s="26"/>
      <c r="JV973" s="26"/>
      <c r="JW973" s="26"/>
      <c r="JX973" s="26"/>
      <c r="JY973" s="26"/>
      <c r="JZ973" s="26"/>
      <c r="KA973" s="26"/>
      <c r="KB973" s="26"/>
    </row>
    <row r="974" spans="2:288" ht="16" x14ac:dyDescent="0.2">
      <c r="B974" s="16">
        <v>2017</v>
      </c>
      <c r="C974" s="20">
        <v>42949</v>
      </c>
      <c r="D974" s="20" t="str">
        <f>CONCATENATE(J974,"-",C974)</f>
        <v>1114-42949</v>
      </c>
      <c r="E974" s="37" t="str">
        <f>CONCATENATE(T974,"-",U974,"-",C974)</f>
        <v>HW1-D6-42949</v>
      </c>
      <c r="F974" s="20" t="s">
        <v>106</v>
      </c>
      <c r="G974" s="20" t="s">
        <v>107</v>
      </c>
      <c r="I974" s="16">
        <v>0</v>
      </c>
      <c r="J974" s="21">
        <v>1114</v>
      </c>
      <c r="K974" s="21">
        <v>2063</v>
      </c>
      <c r="L974" s="18">
        <v>0</v>
      </c>
      <c r="M974" s="21">
        <f>VLOOKUP($K974,'[4]blood tubes 2017'!$D$1:$L$647,8,FALSE)</f>
        <v>0</v>
      </c>
      <c r="N974" s="15">
        <v>0</v>
      </c>
      <c r="O974" s="15" t="s">
        <v>214</v>
      </c>
      <c r="P974" s="16" t="s">
        <v>110</v>
      </c>
      <c r="Q974" s="16">
        <v>1</v>
      </c>
      <c r="R974" s="16">
        <v>19</v>
      </c>
      <c r="T974" s="16" t="s">
        <v>133</v>
      </c>
      <c r="U974" s="16" t="s">
        <v>186</v>
      </c>
      <c r="V974" s="16" t="s">
        <v>114</v>
      </c>
      <c r="W974" s="16">
        <f>AI974/AG974</f>
        <v>0.86170212765957444</v>
      </c>
      <c r="X974" s="16" t="s">
        <v>121</v>
      </c>
      <c r="Y974" s="16" t="s">
        <v>110</v>
      </c>
      <c r="Z974" s="16">
        <v>3</v>
      </c>
      <c r="AA974" s="16" t="s">
        <v>161</v>
      </c>
      <c r="AB974" s="16" t="s">
        <v>239</v>
      </c>
      <c r="AC974" s="16" t="s">
        <v>123</v>
      </c>
      <c r="AD974" s="16" t="s">
        <v>116</v>
      </c>
      <c r="AG974" s="16">
        <f>AH974-AI974</f>
        <v>94</v>
      </c>
      <c r="AH974" s="16">
        <v>175</v>
      </c>
      <c r="AI974" s="16">
        <v>81</v>
      </c>
      <c r="AK974" s="16">
        <v>22.5</v>
      </c>
      <c r="AL974" s="16">
        <v>0</v>
      </c>
      <c r="AM974" s="16">
        <v>0</v>
      </c>
      <c r="AN974" s="16">
        <v>0</v>
      </c>
      <c r="AO974" s="16">
        <v>0</v>
      </c>
      <c r="AP974" s="16">
        <f>SUM(AL974:AO974)</f>
        <v>0</v>
      </c>
      <c r="AQ974" s="16">
        <v>2.2200000000000002</v>
      </c>
      <c r="AR974" s="16">
        <f>AP974-1.472</f>
        <v>-1.472</v>
      </c>
      <c r="AS974" s="16">
        <f>AQ974-1.472</f>
        <v>0.74800000000000022</v>
      </c>
      <c r="AT974" s="16" t="str">
        <f>VLOOKUP(E974,[2]Current!$A$1:$W$435,7,FALSE)</f>
        <v>TE</v>
      </c>
      <c r="AU974" s="16" t="s">
        <v>1288</v>
      </c>
      <c r="AV974" s="23">
        <v>1</v>
      </c>
      <c r="AW974" s="128">
        <f>IF(AX974&gt;0,1,0)</f>
        <v>0</v>
      </c>
      <c r="AX974" s="128">
        <f>SUM(BA974,BM974,CU974)</f>
        <v>0</v>
      </c>
      <c r="AY974" s="128">
        <f>SUM(BB974,BN974,CV974)</f>
        <v>0</v>
      </c>
      <c r="AZ974" s="128">
        <f>IF(BA974&gt;0,1,0)</f>
        <v>0</v>
      </c>
      <c r="BA974" s="128">
        <f>SUM(BC974+BF974+BI974)</f>
        <v>0</v>
      </c>
      <c r="BB974" s="128">
        <f>SUM(BE974,BH974,BK974)</f>
        <v>0</v>
      </c>
      <c r="BC974" s="130">
        <f>IF(BD974&gt;0,1,0)</f>
        <v>0</v>
      </c>
      <c r="BD974" s="128">
        <f>VLOOKUP($E974,[2]Current!$A:$AC,26,FALSE)</f>
        <v>0</v>
      </c>
      <c r="BE974" s="128">
        <f>BD974/$AS974</f>
        <v>0</v>
      </c>
      <c r="BF974" s="130">
        <f>IF(BG974&gt;0,1,0)</f>
        <v>0</v>
      </c>
      <c r="BG974" s="137">
        <f>VLOOKUP($E974,[2]Current!$A:$AC,27,FALSE)</f>
        <v>0</v>
      </c>
      <c r="BH974" s="128">
        <f>BG974/$AS974</f>
        <v>0</v>
      </c>
      <c r="BI974" s="130">
        <f>IF(BJ974&gt;0,1,0)</f>
        <v>0</v>
      </c>
      <c r="BJ974" s="128">
        <f>VLOOKUP($E974,[2]Current!$A:$AC,28,FALSE)</f>
        <v>0</v>
      </c>
      <c r="BK974" s="128">
        <f>BJ974/$AS974</f>
        <v>0</v>
      </c>
      <c r="BL974" s="128">
        <f>IF(BM974&gt;0,1,0)</f>
        <v>0</v>
      </c>
      <c r="BM974" s="128">
        <f>SUM(BR974,BU974,BX974,CA974,CD974)</f>
        <v>0</v>
      </c>
      <c r="BN974" s="131">
        <f>SUM(BT974,BW974,BZ974,CC974,CF974)</f>
        <v>0</v>
      </c>
      <c r="BO974" s="128">
        <f>IF(BP974&gt;0,1,0)</f>
        <v>0</v>
      </c>
      <c r="BP974" s="128">
        <f>BM974+CJ974</f>
        <v>0</v>
      </c>
      <c r="BQ974" s="128">
        <f>BN974+CL974</f>
        <v>0</v>
      </c>
      <c r="BR974" s="130">
        <f>IF(BS974&gt;0,1,0)</f>
        <v>0</v>
      </c>
      <c r="BS974" s="128">
        <f>VLOOKUP($E974,[2]Current!$A:$AC,12,FALSE)</f>
        <v>0</v>
      </c>
      <c r="BT974" s="137">
        <f>BS974/$AS974</f>
        <v>0</v>
      </c>
      <c r="BU974" s="130">
        <f>IF(BV974&gt;0,1,0)</f>
        <v>0</v>
      </c>
      <c r="BV974" s="128">
        <f>VLOOKUP($E974,[2]Current!$A:$AC,13,FALSE)</f>
        <v>0</v>
      </c>
      <c r="BW974" s="128">
        <f>BV974/$AS974</f>
        <v>0</v>
      </c>
      <c r="BX974" s="130">
        <f>IF(BY974&gt;0,1,0)</f>
        <v>0</v>
      </c>
      <c r="BY974" s="128">
        <f>VLOOKUP($E974,[2]Current!$A:$AC,14,FALSE)</f>
        <v>0</v>
      </c>
      <c r="BZ974" s="128">
        <f>BY974/$AS974</f>
        <v>0</v>
      </c>
      <c r="CA974" s="130">
        <f>IF(CB974&gt;0,1,0)</f>
        <v>0</v>
      </c>
      <c r="CB974" s="128">
        <f>VLOOKUP($E974,[2]Current!$A:$AC,15,FALSE)</f>
        <v>0</v>
      </c>
      <c r="CC974" s="128">
        <f>CB974/$AS974</f>
        <v>0</v>
      </c>
      <c r="CD974" s="174">
        <f>IF(CE974&gt;0,1,0)</f>
        <v>0</v>
      </c>
      <c r="CE974" s="128">
        <f>VLOOKUP($E974,[2]Current!$A:$AC,16,FALSE)</f>
        <v>0</v>
      </c>
      <c r="CF974" s="128">
        <f>CE974/$AS974</f>
        <v>0</v>
      </c>
      <c r="CG974" s="18"/>
      <c r="CH974" s="18"/>
      <c r="CI974" s="18"/>
      <c r="CJ974" s="130">
        <f>IF(CK974&gt;0,1,0)</f>
        <v>0</v>
      </c>
      <c r="CK974" s="128">
        <f>VLOOKUP($E974,[2]Current!$A:$AC,18,FALSE)</f>
        <v>0</v>
      </c>
      <c r="CL974" s="128">
        <f>CK974/$AS974</f>
        <v>0</v>
      </c>
      <c r="CS974" s="130">
        <f>IF(CU974&gt;0,1,0)</f>
        <v>0</v>
      </c>
      <c r="CU974" s="128">
        <f>VLOOKUP($E974,[2]Current!$A:$AC,17,FALSE)</f>
        <v>0</v>
      </c>
      <c r="CV974" s="128">
        <f>CU974/$AS974</f>
        <v>0</v>
      </c>
      <c r="CW974" s="18"/>
      <c r="CX974" s="18"/>
      <c r="CY974" s="18"/>
      <c r="DF974" s="16" t="e">
        <f>VLOOKUP(K974,'[3]RNA Seq summary tables'!$V$3:$V$99,1,FALSE)</f>
        <v>#N/A</v>
      </c>
    </row>
    <row r="975" spans="2:288" ht="16" x14ac:dyDescent="0.2">
      <c r="B975" s="16">
        <v>2017</v>
      </c>
      <c r="C975" s="20">
        <v>42966</v>
      </c>
      <c r="D975" s="20" t="str">
        <f>CONCATENATE(J975,"-",C975)</f>
        <v>1114-42966</v>
      </c>
      <c r="E975" s="37" t="str">
        <f>CONCATENATE(T975,"-",U975,"-",C975)</f>
        <v>HW1-E7-42966</v>
      </c>
      <c r="F975" s="20" t="s">
        <v>106</v>
      </c>
      <c r="G975" s="20" t="s">
        <v>107</v>
      </c>
      <c r="I975" s="16">
        <v>0</v>
      </c>
      <c r="J975" s="21">
        <v>1114</v>
      </c>
      <c r="K975" s="21">
        <v>2211</v>
      </c>
      <c r="L975" s="18">
        <v>0</v>
      </c>
      <c r="M975" s="21">
        <f>VLOOKUP($K975,'[4]blood tubes 2017'!$D$1:$L$647,8,FALSE)</f>
        <v>0</v>
      </c>
      <c r="N975" s="15">
        <v>0</v>
      </c>
      <c r="O975" s="15" t="s">
        <v>214</v>
      </c>
      <c r="P975" s="16" t="s">
        <v>110</v>
      </c>
      <c r="Q975" s="16">
        <v>1</v>
      </c>
      <c r="R975" s="16">
        <v>17</v>
      </c>
      <c r="T975" s="16" t="s">
        <v>133</v>
      </c>
      <c r="U975" s="16" t="s">
        <v>135</v>
      </c>
      <c r="V975" s="16" t="s">
        <v>114</v>
      </c>
      <c r="W975" s="16">
        <f>AI975/AG975</f>
        <v>0.82105263157894737</v>
      </c>
      <c r="X975" s="16" t="s">
        <v>121</v>
      </c>
      <c r="Y975" s="16" t="s">
        <v>110</v>
      </c>
      <c r="Z975" s="16">
        <v>3</v>
      </c>
      <c r="AA975" s="16" t="s">
        <v>119</v>
      </c>
      <c r="AB975" s="16" t="s">
        <v>239</v>
      </c>
      <c r="AC975" s="16" t="s">
        <v>116</v>
      </c>
      <c r="AD975" s="16" t="s">
        <v>116</v>
      </c>
      <c r="AG975" s="16">
        <f>AH975-AI975</f>
        <v>95</v>
      </c>
      <c r="AH975" s="16">
        <v>173</v>
      </c>
      <c r="AI975" s="16">
        <v>78</v>
      </c>
      <c r="AK975" s="16">
        <v>29</v>
      </c>
      <c r="AL975" s="16">
        <v>0</v>
      </c>
      <c r="AM975" s="16">
        <v>0</v>
      </c>
      <c r="AN975" s="16">
        <v>0</v>
      </c>
      <c r="AO975" s="16">
        <v>0</v>
      </c>
      <c r="AP975" s="16">
        <f>SUM(AL975:AN975)</f>
        <v>0</v>
      </c>
      <c r="AQ975" s="16">
        <v>1.794</v>
      </c>
      <c r="AR975" s="16">
        <f>AP975-1.472</f>
        <v>-1.472</v>
      </c>
      <c r="AS975" s="16">
        <f>AQ975-1.472</f>
        <v>0.32200000000000006</v>
      </c>
      <c r="AT975" s="16" t="str">
        <f>VLOOKUP(E975,[2]Current!$A$1:$W$435,7,FALSE)</f>
        <v>TE</v>
      </c>
      <c r="AU975" s="16" t="s">
        <v>1288</v>
      </c>
      <c r="AV975" s="23">
        <v>1</v>
      </c>
      <c r="AW975" s="128">
        <f>IF(AX975&gt;0,1,0)</f>
        <v>0</v>
      </c>
      <c r="AX975" s="128">
        <f>SUM(BA975,BM975,CU975)</f>
        <v>0</v>
      </c>
      <c r="AY975" s="128">
        <f>SUM(BB975,BN975,CV975)</f>
        <v>0</v>
      </c>
      <c r="AZ975" s="128">
        <f>IF(BA975&gt;0,1,0)</f>
        <v>0</v>
      </c>
      <c r="BA975" s="128">
        <f>SUM(BC975+BF975+BI975)</f>
        <v>0</v>
      </c>
      <c r="BB975" s="128">
        <f>SUM(BE975,BH975,BK975)</f>
        <v>0</v>
      </c>
      <c r="BC975" s="130">
        <f>IF(BD975&gt;0,1,0)</f>
        <v>0</v>
      </c>
      <c r="BD975" s="128">
        <f>VLOOKUP($E975,[2]Current!$A:$AC,26,FALSE)</f>
        <v>0</v>
      </c>
      <c r="BE975" s="128">
        <f>BD975/$AS975</f>
        <v>0</v>
      </c>
      <c r="BF975" s="130">
        <f>IF(BG975&gt;0,1,0)</f>
        <v>0</v>
      </c>
      <c r="BG975" s="137">
        <f>VLOOKUP($E975,[2]Current!$A:$AC,27,FALSE)</f>
        <v>0</v>
      </c>
      <c r="BH975" s="128">
        <f>BG975/$AS975</f>
        <v>0</v>
      </c>
      <c r="BI975" s="130">
        <f>IF(BJ975&gt;0,1,0)</f>
        <v>0</v>
      </c>
      <c r="BJ975" s="128">
        <f>VLOOKUP($E975,[2]Current!$A:$AC,28,FALSE)</f>
        <v>0</v>
      </c>
      <c r="BK975" s="128">
        <f>BJ975/$AS975</f>
        <v>0</v>
      </c>
      <c r="BL975" s="128">
        <f>IF(BM975&gt;0,1,0)</f>
        <v>0</v>
      </c>
      <c r="BM975" s="128">
        <f>SUM(BR975,BU975,BX975,CA975,CD975)</f>
        <v>0</v>
      </c>
      <c r="BN975" s="131">
        <f>SUM(BT975,BW975,BZ975,CC975,CF975)</f>
        <v>0</v>
      </c>
      <c r="BO975" s="128">
        <f>IF(BP975&gt;0,1,0)</f>
        <v>0</v>
      </c>
      <c r="BP975" s="128">
        <f>BM975+CJ975</f>
        <v>0</v>
      </c>
      <c r="BQ975" s="128">
        <f>BN975+CL975</f>
        <v>0</v>
      </c>
      <c r="BR975" s="130">
        <f>IF(BS975&gt;0,1,0)</f>
        <v>0</v>
      </c>
      <c r="BS975" s="128">
        <f>VLOOKUP($E975,[2]Current!$A:$AC,12,FALSE)</f>
        <v>0</v>
      </c>
      <c r="BT975" s="137">
        <f>BS975/$AS975</f>
        <v>0</v>
      </c>
      <c r="BU975" s="130">
        <f>IF(BV975&gt;0,1,0)</f>
        <v>0</v>
      </c>
      <c r="BV975" s="128">
        <f>VLOOKUP($E975,[2]Current!$A:$AC,13,FALSE)</f>
        <v>0</v>
      </c>
      <c r="BW975" s="128">
        <f>BV975/$AS975</f>
        <v>0</v>
      </c>
      <c r="BX975" s="130">
        <f>IF(BY975&gt;0,1,0)</f>
        <v>0</v>
      </c>
      <c r="BY975" s="128">
        <f>VLOOKUP($E975,[2]Current!$A:$AC,14,FALSE)</f>
        <v>0</v>
      </c>
      <c r="BZ975" s="128">
        <f>BY975/$AS975</f>
        <v>0</v>
      </c>
      <c r="CA975" s="130">
        <f>IF(CB975&gt;0,1,0)</f>
        <v>0</v>
      </c>
      <c r="CB975" s="128">
        <f>VLOOKUP($E975,[2]Current!$A:$AC,15,FALSE)</f>
        <v>0</v>
      </c>
      <c r="CC975" s="128">
        <f>CB975/$AS975</f>
        <v>0</v>
      </c>
      <c r="CD975" s="174">
        <f>IF(CE975&gt;0,1,0)</f>
        <v>0</v>
      </c>
      <c r="CE975" s="128">
        <f>VLOOKUP($E975,[2]Current!$A:$AC,16,FALSE)</f>
        <v>0</v>
      </c>
      <c r="CF975" s="128">
        <f>CE975/$AS975</f>
        <v>0</v>
      </c>
      <c r="CG975" s="18"/>
      <c r="CH975" s="18"/>
      <c r="CI975" s="18"/>
      <c r="CJ975" s="130">
        <f>IF(CK975&gt;0,1,0)</f>
        <v>0</v>
      </c>
      <c r="CK975" s="128">
        <f>VLOOKUP($E975,[2]Current!$A:$AC,18,FALSE)</f>
        <v>0</v>
      </c>
      <c r="CL975" s="128">
        <f>CK975/$AS975</f>
        <v>0</v>
      </c>
      <c r="CS975" s="130">
        <f>IF(CU975&gt;0,1,0)</f>
        <v>0</v>
      </c>
      <c r="CT975" s="18"/>
      <c r="CU975" s="128">
        <f>VLOOKUP($E975,[2]Current!$A:$AC,17,FALSE)</f>
        <v>0</v>
      </c>
      <c r="CV975" s="128">
        <f>CU975/$AS975</f>
        <v>0</v>
      </c>
      <c r="CW975" s="18"/>
      <c r="CX975" s="18"/>
      <c r="CY975" s="18"/>
      <c r="DF975" s="16" t="e">
        <f>VLOOKUP(K975,'[3]RNA Seq summary tables'!$V$3:$V$99,1,FALSE)</f>
        <v>#N/A</v>
      </c>
    </row>
    <row r="976" spans="2:288" x14ac:dyDescent="0.2">
      <c r="B976" s="16">
        <v>2017</v>
      </c>
      <c r="C976" s="66">
        <v>42897</v>
      </c>
      <c r="D976" s="66" t="str">
        <f>CONCATENATE(J976,"-",C976)</f>
        <v>1116-42897</v>
      </c>
      <c r="E976" s="20" t="str">
        <f>CONCATENATE(T976,"-",U976,"-",C976)</f>
        <v>HW1-A4-42897</v>
      </c>
      <c r="F976" s="20" t="s">
        <v>106</v>
      </c>
      <c r="G976" s="20" t="s">
        <v>107</v>
      </c>
      <c r="I976" s="16">
        <v>0</v>
      </c>
      <c r="J976" s="21">
        <v>1116</v>
      </c>
      <c r="K976" s="21">
        <v>1666</v>
      </c>
      <c r="L976" s="18">
        <v>0</v>
      </c>
      <c r="M976" s="21">
        <f>VLOOKUP($K976,'[4]blood tubes 2017'!$D$1:$L$647,8,FALSE)</f>
        <v>0</v>
      </c>
      <c r="N976" s="15">
        <v>0</v>
      </c>
      <c r="O976" s="15" t="s">
        <v>214</v>
      </c>
      <c r="P976" s="16" t="s">
        <v>110</v>
      </c>
      <c r="Q976" s="16">
        <v>0</v>
      </c>
      <c r="R976" s="16" t="s">
        <v>111</v>
      </c>
      <c r="T976" s="16" t="s">
        <v>133</v>
      </c>
      <c r="U976" s="16" t="s">
        <v>134</v>
      </c>
      <c r="V976" s="16" t="s">
        <v>114</v>
      </c>
      <c r="W976" s="16">
        <f>AI976/AG976</f>
        <v>0.86585365853658536</v>
      </c>
      <c r="X976" s="16" t="s">
        <v>115</v>
      </c>
      <c r="Y976" s="16" t="s">
        <v>110</v>
      </c>
      <c r="Z976" s="16">
        <v>3</v>
      </c>
      <c r="AE976" s="16" t="s">
        <v>123</v>
      </c>
      <c r="AF976" s="16" t="s">
        <v>123</v>
      </c>
      <c r="AG976" s="16">
        <f>AH976-AI976</f>
        <v>82</v>
      </c>
      <c r="AH976" s="16">
        <v>153</v>
      </c>
      <c r="AI976" s="16">
        <v>71</v>
      </c>
      <c r="AK976" s="16">
        <v>17.5</v>
      </c>
      <c r="AL976" s="16">
        <v>0</v>
      </c>
      <c r="AM976" s="16">
        <v>0</v>
      </c>
      <c r="AN976" s="16">
        <v>0</v>
      </c>
      <c r="AO976" s="16">
        <v>0</v>
      </c>
      <c r="AP976" s="16">
        <f>SUM(AL976:AN976)</f>
        <v>0</v>
      </c>
      <c r="AQ976" s="16">
        <v>1.7430000000000001</v>
      </c>
      <c r="AR976" s="16">
        <f>AP976-1.472</f>
        <v>-1.472</v>
      </c>
      <c r="AS976" s="16">
        <f>AQ976-1.472</f>
        <v>0.27100000000000013</v>
      </c>
      <c r="AT976" s="16" t="s">
        <v>233</v>
      </c>
      <c r="AW976" s="16">
        <f>IF(AX976&gt;0,1,0)</f>
        <v>1</v>
      </c>
      <c r="AX976" s="16">
        <f>SUM(BA976,BM976,CT976)</f>
        <v>2</v>
      </c>
      <c r="AY976" s="18">
        <f>SUM(BB976,BN976,CV976)</f>
        <v>1678.9667896678959</v>
      </c>
      <c r="AZ976" s="16">
        <f>IF(BA976&gt;0,1,0)</f>
        <v>1</v>
      </c>
      <c r="BA976" s="16">
        <f>SUM(BC976,BF976,BI976)</f>
        <v>2</v>
      </c>
      <c r="BB976" s="16">
        <f>SUM(BE976,BH976,BK976)</f>
        <v>1678.9667896678959</v>
      </c>
      <c r="BC976" s="16">
        <v>0</v>
      </c>
      <c r="BD976" s="16">
        <v>0</v>
      </c>
      <c r="BE976" s="16">
        <f>BD976/AS976</f>
        <v>0</v>
      </c>
      <c r="BF976" s="16">
        <v>1</v>
      </c>
      <c r="BG976" s="77">
        <v>359</v>
      </c>
      <c r="BH976" s="16">
        <f>BG976/AS976</f>
        <v>1324.7232472324717</v>
      </c>
      <c r="BI976" s="16">
        <v>1</v>
      </c>
      <c r="BJ976" s="16">
        <v>96</v>
      </c>
      <c r="BK976" s="16">
        <f>BJ976/AS976</f>
        <v>354.24354243542416</v>
      </c>
      <c r="BL976" s="16">
        <f>IF(BM976&gt;0,1,0)</f>
        <v>0</v>
      </c>
      <c r="BM976" s="16">
        <f>SUM(BR976,BU976,BX976,CA976,CD976,CG976,CJ976,CM976,CP976)</f>
        <v>0</v>
      </c>
      <c r="BN976" s="16">
        <f>SUM(BW976,BZ976,CC976,CF976,CI976,CL976,CO976,CR976,BT976)</f>
        <v>0</v>
      </c>
      <c r="BO976" s="16">
        <f>IF(BP976&gt;0,1,0)</f>
        <v>0</v>
      </c>
      <c r="BP976" s="16">
        <f>SUM(BU976,BX976,CA976,CD976,BR976)</f>
        <v>0</v>
      </c>
      <c r="BQ976" s="16">
        <f>SUM(BZ976,CC976,CF976,BT976,BW976)</f>
        <v>0</v>
      </c>
      <c r="BR976" s="16">
        <v>0</v>
      </c>
      <c r="BS976" s="16">
        <v>0</v>
      </c>
      <c r="BT976" s="77">
        <f>BS976/AS976</f>
        <v>0</v>
      </c>
      <c r="BU976" s="16">
        <v>0</v>
      </c>
      <c r="BV976" s="16">
        <v>0</v>
      </c>
      <c r="BW976" s="16">
        <f>BV976/AS976</f>
        <v>0</v>
      </c>
      <c r="BX976" s="16">
        <v>0</v>
      </c>
      <c r="BY976" s="16">
        <v>0</v>
      </c>
      <c r="BZ976" s="16">
        <f>BY976/AS976</f>
        <v>0</v>
      </c>
      <c r="CA976" s="16">
        <v>0</v>
      </c>
      <c r="CB976" s="16">
        <v>0</v>
      </c>
      <c r="CC976" s="16">
        <f>CB976/AS976</f>
        <v>0</v>
      </c>
      <c r="CD976" s="77">
        <v>0</v>
      </c>
      <c r="CE976" s="16">
        <v>0</v>
      </c>
      <c r="CF976" s="16">
        <f>CE976/AS976</f>
        <v>0</v>
      </c>
      <c r="CG976" s="16">
        <v>0</v>
      </c>
      <c r="CH976" s="16">
        <v>0</v>
      </c>
      <c r="CI976" s="16">
        <f>CH976/AS976</f>
        <v>0</v>
      </c>
      <c r="CM976" s="16">
        <v>0</v>
      </c>
      <c r="CN976" s="16">
        <v>0</v>
      </c>
      <c r="CO976" s="16">
        <f>CN976/AS976</f>
        <v>0</v>
      </c>
      <c r="CP976" s="16">
        <v>0</v>
      </c>
      <c r="CQ976" s="16">
        <v>0</v>
      </c>
      <c r="CR976" s="16">
        <f>CQ976/AS976</f>
        <v>0</v>
      </c>
      <c r="CS976" s="16">
        <f>IF(CT976&gt;0,1,0)</f>
        <v>0</v>
      </c>
      <c r="CT976" s="16">
        <f>SUM(CW976,CZ976,DC976)</f>
        <v>0</v>
      </c>
      <c r="CV976" s="16">
        <f>SUM(CY976,DB976,DE976)</f>
        <v>0</v>
      </c>
      <c r="CW976" s="16">
        <v>0</v>
      </c>
      <c r="CX976" s="16">
        <v>0</v>
      </c>
      <c r="CY976" s="16">
        <f>CX976/AS976</f>
        <v>0</v>
      </c>
      <c r="CZ976" s="16">
        <v>0</v>
      </c>
      <c r="DA976" s="16">
        <v>0</v>
      </c>
      <c r="DB976" s="16">
        <f>DA976/AS976</f>
        <v>0</v>
      </c>
      <c r="DC976" s="16">
        <v>0</v>
      </c>
      <c r="DD976" s="16">
        <v>0</v>
      </c>
      <c r="DE976" s="16">
        <f>DD976/AS976</f>
        <v>0</v>
      </c>
      <c r="DF976" s="16" t="e">
        <f>VLOOKUP(K976,'[3]RNA Seq summary tables'!$V$3:$V$99,1,FALSE)</f>
        <v>#N/A</v>
      </c>
      <c r="DI976" s="16">
        <v>58</v>
      </c>
      <c r="DK976" s="16">
        <v>37</v>
      </c>
      <c r="DM976" s="16">
        <v>4</v>
      </c>
      <c r="DO976" s="16">
        <v>0</v>
      </c>
      <c r="DQ976" s="16">
        <v>1</v>
      </c>
      <c r="DR976" s="16">
        <f>SUM(DI976:DQ976)</f>
        <v>100</v>
      </c>
      <c r="JP976" s="18"/>
      <c r="JQ976" s="18"/>
    </row>
    <row r="977" spans="2:288" x14ac:dyDescent="0.2">
      <c r="B977" s="16">
        <v>2017</v>
      </c>
      <c r="C977" s="66">
        <v>42897</v>
      </c>
      <c r="D977" s="66" t="str">
        <f>CONCATENATE(J977,"-",C977)</f>
        <v>1118-42897</v>
      </c>
      <c r="E977" s="20" t="str">
        <f>CONCATENATE(T977,"-",U977,"-",C977)</f>
        <v>HW1-E6-42897</v>
      </c>
      <c r="F977" s="20" t="s">
        <v>106</v>
      </c>
      <c r="G977" s="20" t="s">
        <v>107</v>
      </c>
      <c r="I977" s="16">
        <v>0</v>
      </c>
      <c r="J977" s="21">
        <v>1118</v>
      </c>
      <c r="K977" s="21">
        <v>1668</v>
      </c>
      <c r="L977" s="18">
        <v>0</v>
      </c>
      <c r="M977" s="21">
        <f>VLOOKUP($K977,'[4]blood tubes 2017'!$D$1:$L$647,8,FALSE)</f>
        <v>0</v>
      </c>
      <c r="N977" s="15">
        <v>0</v>
      </c>
      <c r="O977" s="15" t="s">
        <v>214</v>
      </c>
      <c r="P977" s="16" t="s">
        <v>110</v>
      </c>
      <c r="Q977" s="16">
        <v>0</v>
      </c>
      <c r="R977" s="16" t="s">
        <v>111</v>
      </c>
      <c r="T977" s="16" t="s">
        <v>133</v>
      </c>
      <c r="U977" s="16" t="s">
        <v>232</v>
      </c>
      <c r="V977" s="16" t="s">
        <v>114</v>
      </c>
      <c r="W977" s="16">
        <f>AI977/AG977</f>
        <v>0.81707317073170727</v>
      </c>
      <c r="X977" s="16" t="s">
        <v>115</v>
      </c>
      <c r="Y977" s="16" t="s">
        <v>110</v>
      </c>
      <c r="Z977" s="16">
        <v>3</v>
      </c>
      <c r="AE977" s="16" t="s">
        <v>123</v>
      </c>
      <c r="AF977" s="16" t="s">
        <v>123</v>
      </c>
      <c r="AG977" s="16">
        <f>AH977-AI977</f>
        <v>82</v>
      </c>
      <c r="AH977" s="16">
        <v>149</v>
      </c>
      <c r="AI977" s="16">
        <v>67</v>
      </c>
      <c r="AK977" s="16">
        <v>15.5</v>
      </c>
      <c r="AL977" s="16">
        <v>0</v>
      </c>
      <c r="AM977" s="16">
        <v>0</v>
      </c>
      <c r="AN977" s="16">
        <v>0</v>
      </c>
      <c r="AO977" s="16">
        <v>0</v>
      </c>
      <c r="AP977" s="16">
        <f>SUM(AL977:AN977)</f>
        <v>0</v>
      </c>
      <c r="AQ977" s="16">
        <v>1.5289999999999999</v>
      </c>
      <c r="AR977" s="16">
        <f>AP977-1.472</f>
        <v>-1.472</v>
      </c>
      <c r="AS977" s="16">
        <f>AQ977-1.472</f>
        <v>5.699999999999994E-2</v>
      </c>
      <c r="AT977" s="16" t="s">
        <v>234</v>
      </c>
      <c r="AW977" s="16">
        <f>IF(AX977&gt;0,1,0)</f>
        <v>1</v>
      </c>
      <c r="AX977" s="16">
        <f>SUM(BA977,BM977,CT977)</f>
        <v>2</v>
      </c>
      <c r="AY977" s="18">
        <f>SUM(BB977,BN977,CV977)</f>
        <v>280.70175438596522</v>
      </c>
      <c r="AZ977" s="16">
        <f>IF(BA977&gt;0,1,0)</f>
        <v>1</v>
      </c>
      <c r="BA977" s="16">
        <f>SUM(BC977,BF977,BI977)</f>
        <v>2</v>
      </c>
      <c r="BB977" s="16">
        <f>SUM(BE977,BH977,BK977)</f>
        <v>280.70175438596522</v>
      </c>
      <c r="BC977" s="16">
        <v>0</v>
      </c>
      <c r="BD977" s="16">
        <v>0</v>
      </c>
      <c r="BE977" s="16">
        <f>BD977/AS977</f>
        <v>0</v>
      </c>
      <c r="BF977" s="16">
        <v>1</v>
      </c>
      <c r="BG977" s="77">
        <v>1</v>
      </c>
      <c r="BH977" s="16">
        <f>BG977/AS977</f>
        <v>17.543859649122826</v>
      </c>
      <c r="BI977" s="16">
        <v>1</v>
      </c>
      <c r="BJ977" s="16">
        <v>15</v>
      </c>
      <c r="BK977" s="16">
        <f>BJ977/AS977</f>
        <v>263.15789473684237</v>
      </c>
      <c r="BL977" s="16">
        <f>IF(BM977&gt;0,1,0)</f>
        <v>0</v>
      </c>
      <c r="BM977" s="16">
        <f>SUM(BR977,BU977,BX977,CA977,CD977,CG977,CJ977,CM977,CP977)</f>
        <v>0</v>
      </c>
      <c r="BN977" s="16">
        <f>SUM(BW977,BZ977,CC977,CF977,CI977,CL977,CO977,CR977,BT977)</f>
        <v>0</v>
      </c>
      <c r="BO977" s="16">
        <f>IF(BP977&gt;0,1,0)</f>
        <v>0</v>
      </c>
      <c r="BP977" s="16">
        <f>SUM(BU977,BX977,CA977,CD977,BR977)</f>
        <v>0</v>
      </c>
      <c r="BQ977" s="16">
        <f>SUM(BZ977,CC977,CF977,BT977,BW977)</f>
        <v>0</v>
      </c>
      <c r="BR977" s="16">
        <v>0</v>
      </c>
      <c r="BS977" s="16">
        <v>0</v>
      </c>
      <c r="BT977" s="77">
        <f>BS977/AS977</f>
        <v>0</v>
      </c>
      <c r="BU977" s="16">
        <v>0</v>
      </c>
      <c r="BV977" s="16">
        <v>0</v>
      </c>
      <c r="BW977" s="16">
        <f>BV977/AS977</f>
        <v>0</v>
      </c>
      <c r="BX977" s="16">
        <v>0</v>
      </c>
      <c r="BY977" s="16">
        <v>0</v>
      </c>
      <c r="BZ977" s="16">
        <f>BY977/AS977</f>
        <v>0</v>
      </c>
      <c r="CA977" s="16">
        <v>0</v>
      </c>
      <c r="CB977" s="16">
        <v>0</v>
      </c>
      <c r="CC977" s="16">
        <f>CB977/AS977</f>
        <v>0</v>
      </c>
      <c r="CD977" s="77">
        <v>0</v>
      </c>
      <c r="CE977" s="16">
        <v>0</v>
      </c>
      <c r="CF977" s="16">
        <f>CE977/AS977</f>
        <v>0</v>
      </c>
      <c r="CG977" s="16">
        <v>0</v>
      </c>
      <c r="CH977" s="16">
        <v>0</v>
      </c>
      <c r="CI977" s="16">
        <f>CH977/AS977</f>
        <v>0</v>
      </c>
      <c r="CM977" s="16">
        <v>0</v>
      </c>
      <c r="CN977" s="16">
        <v>0</v>
      </c>
      <c r="CO977" s="16">
        <f>CN977/AS977</f>
        <v>0</v>
      </c>
      <c r="CP977" s="16">
        <v>0</v>
      </c>
      <c r="CQ977" s="16">
        <v>0</v>
      </c>
      <c r="CR977" s="16">
        <f>CQ977/AS977</f>
        <v>0</v>
      </c>
      <c r="CS977" s="16">
        <f>IF(CT977&gt;0,1,0)</f>
        <v>0</v>
      </c>
      <c r="CT977" s="16">
        <f>SUM(CW977,CZ977,DC977)</f>
        <v>0</v>
      </c>
      <c r="CV977" s="16">
        <f>SUM(CY977,DB977,DE977)</f>
        <v>0</v>
      </c>
      <c r="CW977" s="16">
        <v>0</v>
      </c>
      <c r="CX977" s="16">
        <v>0</v>
      </c>
      <c r="CY977" s="16">
        <f>CX977/AS977</f>
        <v>0</v>
      </c>
      <c r="CZ977" s="16">
        <v>0</v>
      </c>
      <c r="DA977" s="16">
        <v>0</v>
      </c>
      <c r="DB977" s="16">
        <f>DA977/AS977</f>
        <v>0</v>
      </c>
      <c r="DC977" s="16">
        <v>0</v>
      </c>
      <c r="DD977" s="16">
        <v>0</v>
      </c>
      <c r="DE977" s="16">
        <f>DD977/AS977</f>
        <v>0</v>
      </c>
      <c r="DF977" s="16" t="e">
        <f>VLOOKUP(K977,'[3]RNA Seq summary tables'!$V$3:$V$99,1,FALSE)</f>
        <v>#N/A</v>
      </c>
      <c r="DI977" s="16">
        <v>61</v>
      </c>
      <c r="DK977" s="16">
        <v>30</v>
      </c>
      <c r="DM977" s="16">
        <v>9</v>
      </c>
      <c r="DO977" s="16">
        <v>0</v>
      </c>
      <c r="DQ977" s="16">
        <v>0</v>
      </c>
      <c r="DR977" s="16">
        <f>SUM(DI977:DQ977)</f>
        <v>100</v>
      </c>
      <c r="JP977" s="18"/>
      <c r="JQ977" s="18"/>
    </row>
    <row r="978" spans="2:288" x14ac:dyDescent="0.2">
      <c r="B978" s="16">
        <v>2017</v>
      </c>
      <c r="C978" s="20">
        <v>42914</v>
      </c>
      <c r="D978" s="20" t="str">
        <f>CONCATENATE(J978,"-",C978)</f>
        <v>1118-42914</v>
      </c>
      <c r="E978" s="20" t="str">
        <f>CONCATENATE(T978,"-",U978,"-",C978)</f>
        <v>HW1-E2-42914</v>
      </c>
      <c r="F978" s="20" t="s">
        <v>106</v>
      </c>
      <c r="G978" s="20" t="s">
        <v>107</v>
      </c>
      <c r="I978" s="16">
        <v>0</v>
      </c>
      <c r="J978" s="21">
        <v>1118</v>
      </c>
      <c r="K978" s="21">
        <v>1786</v>
      </c>
      <c r="L978" s="18">
        <v>0</v>
      </c>
      <c r="M978" s="21">
        <f>VLOOKUP($K978,'[4]blood tubes 2017'!$D$1:$L$647,8,FALSE)</f>
        <v>0</v>
      </c>
      <c r="N978" s="15">
        <v>0</v>
      </c>
      <c r="O978" s="15" t="s">
        <v>214</v>
      </c>
      <c r="P978" s="16" t="s">
        <v>110</v>
      </c>
      <c r="Q978" s="16">
        <v>1</v>
      </c>
      <c r="R978" s="16">
        <v>17</v>
      </c>
      <c r="T978" s="16" t="s">
        <v>133</v>
      </c>
      <c r="U978" s="16" t="s">
        <v>136</v>
      </c>
      <c r="V978" s="16" t="s">
        <v>114</v>
      </c>
      <c r="W978" s="16">
        <f>AI978/AG978</f>
        <v>0.79069767441860461</v>
      </c>
      <c r="X978" s="16" t="s">
        <v>115</v>
      </c>
      <c r="Y978" s="16" t="s">
        <v>110</v>
      </c>
      <c r="Z978" s="16">
        <v>3</v>
      </c>
      <c r="AE978" s="16" t="s">
        <v>123</v>
      </c>
      <c r="AF978" s="16" t="s">
        <v>123</v>
      </c>
      <c r="AG978" s="16">
        <f>AH978-AI978</f>
        <v>86</v>
      </c>
      <c r="AH978" s="16">
        <v>154</v>
      </c>
      <c r="AI978" s="16">
        <v>68</v>
      </c>
      <c r="AK978" s="16">
        <v>16.5</v>
      </c>
      <c r="AL978" s="16">
        <v>0</v>
      </c>
      <c r="AM978" s="16">
        <v>0</v>
      </c>
      <c r="AN978" s="16">
        <v>0</v>
      </c>
      <c r="AO978" s="16">
        <v>0</v>
      </c>
      <c r="AP978" s="16">
        <f>SUM(AL978:AN978)</f>
        <v>0</v>
      </c>
      <c r="AQ978" s="16">
        <v>1.6160000000000001</v>
      </c>
      <c r="AR978" s="16">
        <f>AP978-1.472</f>
        <v>-1.472</v>
      </c>
      <c r="AS978" s="16">
        <f>AQ978-1.472</f>
        <v>0.14400000000000013</v>
      </c>
      <c r="AT978" s="16" t="s">
        <v>234</v>
      </c>
      <c r="AW978" s="16">
        <f>IF(AX978&gt;0,1,0)</f>
        <v>1</v>
      </c>
      <c r="AX978" s="16">
        <f>SUM(BA978,BM978,CT978)</f>
        <v>2</v>
      </c>
      <c r="AY978" s="18">
        <f>SUM(BB978,BN978,CV978)</f>
        <v>340.27777777777749</v>
      </c>
      <c r="AZ978" s="16">
        <v>1</v>
      </c>
      <c r="BA978" s="16">
        <v>2</v>
      </c>
      <c r="BB978" s="16">
        <f>SUM(BE978,BH978,BK978)</f>
        <v>340.27777777777749</v>
      </c>
      <c r="BC978" s="16">
        <v>1</v>
      </c>
      <c r="BD978" s="16">
        <v>42</v>
      </c>
      <c r="BE978" s="16">
        <f>BD978/AS978</f>
        <v>291.6666666666664</v>
      </c>
      <c r="BF978" s="16">
        <v>1</v>
      </c>
      <c r="BG978" s="77">
        <v>7</v>
      </c>
      <c r="BH978" s="16">
        <f>BG978/AS978</f>
        <v>48.611111111111065</v>
      </c>
      <c r="BI978" s="16">
        <v>0</v>
      </c>
      <c r="BJ978" s="16">
        <v>0</v>
      </c>
      <c r="BK978" s="16">
        <f>BJ978/AS978</f>
        <v>0</v>
      </c>
      <c r="BL978" s="16">
        <f>IF(BM978&gt;0,1,0)</f>
        <v>0</v>
      </c>
      <c r="BM978" s="16">
        <f>SUM(BR978,BU978,BX978,CA978,CD978,CG978,CJ978,CM978,CP978)</f>
        <v>0</v>
      </c>
      <c r="BN978" s="16">
        <f>SUM(BW978,BZ978,CC978,CF978,CI978,CL978,CO978,CR978,BT978)</f>
        <v>0</v>
      </c>
      <c r="BO978" s="16">
        <f>IF(BP978&gt;0,1,0)</f>
        <v>0</v>
      </c>
      <c r="BP978" s="16">
        <f>SUM(BU978,BX978,CA978,CD978,BR978)</f>
        <v>0</v>
      </c>
      <c r="BQ978" s="16">
        <f>SUM(BZ978,CC978,CF978,BT978,BW978)</f>
        <v>0</v>
      </c>
      <c r="BR978" s="16">
        <v>0</v>
      </c>
      <c r="BS978" s="16">
        <v>0</v>
      </c>
      <c r="BT978" s="77">
        <f>BS978/AS978</f>
        <v>0</v>
      </c>
      <c r="BU978" s="16">
        <v>0</v>
      </c>
      <c r="BV978" s="16">
        <v>0</v>
      </c>
      <c r="BW978" s="16">
        <f>BV978/AS978</f>
        <v>0</v>
      </c>
      <c r="BX978" s="16">
        <v>0</v>
      </c>
      <c r="BY978" s="16">
        <v>0</v>
      </c>
      <c r="BZ978" s="16">
        <f>BY978/AS978</f>
        <v>0</v>
      </c>
      <c r="CA978" s="16">
        <v>0</v>
      </c>
      <c r="CB978" s="16">
        <v>0</v>
      </c>
      <c r="CC978" s="16">
        <f>CB978/AS978</f>
        <v>0</v>
      </c>
      <c r="CD978" s="77">
        <v>0</v>
      </c>
      <c r="CE978" s="16">
        <v>0</v>
      </c>
      <c r="CF978" s="16">
        <f>CE978/AS978</f>
        <v>0</v>
      </c>
      <c r="CG978" s="16">
        <v>0</v>
      </c>
      <c r="CH978" s="16">
        <v>0</v>
      </c>
      <c r="CI978" s="16">
        <f>CH978/AS978</f>
        <v>0</v>
      </c>
      <c r="CM978" s="16">
        <v>0</v>
      </c>
      <c r="CN978" s="16">
        <v>0</v>
      </c>
      <c r="CO978" s="16">
        <f>CN978/AS978</f>
        <v>0</v>
      </c>
      <c r="CP978" s="16">
        <v>0</v>
      </c>
      <c r="CQ978" s="16">
        <v>0</v>
      </c>
      <c r="CR978" s="16">
        <f>CQ978/AS978</f>
        <v>0</v>
      </c>
      <c r="CS978" s="16">
        <v>0</v>
      </c>
      <c r="CT978" s="16">
        <v>0</v>
      </c>
      <c r="CV978" s="16">
        <f>SUM(CY978,DB978,DE978)</f>
        <v>0</v>
      </c>
      <c r="CW978" s="16">
        <v>0</v>
      </c>
      <c r="CX978" s="16">
        <v>0</v>
      </c>
      <c r="CY978" s="16">
        <f>CX978/AS978</f>
        <v>0</v>
      </c>
      <c r="CZ978" s="16">
        <v>0</v>
      </c>
      <c r="DA978" s="16">
        <v>0</v>
      </c>
      <c r="DB978" s="16">
        <f>DA978/AS978</f>
        <v>0</v>
      </c>
      <c r="DC978" s="16">
        <v>0</v>
      </c>
      <c r="DD978" s="16">
        <v>0</v>
      </c>
      <c r="DE978" s="16">
        <f>DD978/AS978</f>
        <v>0</v>
      </c>
      <c r="DF978" s="16" t="e">
        <f>VLOOKUP(K978,'[3]RNA Seq summary tables'!$V$3:$V$99,1,FALSE)</f>
        <v>#N/A</v>
      </c>
      <c r="DI978" s="16">
        <v>67</v>
      </c>
      <c r="DK978" s="16">
        <v>20</v>
      </c>
      <c r="DM978" s="16">
        <v>13</v>
      </c>
      <c r="DO978" s="16">
        <v>0</v>
      </c>
      <c r="DQ978" s="16">
        <v>0</v>
      </c>
      <c r="DR978" s="16">
        <f>SUM(DI978:DQ978)</f>
        <v>100</v>
      </c>
      <c r="JR978" s="27"/>
      <c r="JS978" s="27"/>
      <c r="JT978" s="27"/>
      <c r="JU978" s="27"/>
      <c r="JV978" s="27"/>
      <c r="JW978" s="27"/>
      <c r="JX978" s="27"/>
      <c r="JY978" s="27"/>
      <c r="JZ978" s="27"/>
      <c r="KA978" s="27"/>
      <c r="KB978" s="27"/>
    </row>
    <row r="979" spans="2:288" x14ac:dyDescent="0.2">
      <c r="B979" s="16">
        <v>2017</v>
      </c>
      <c r="C979" s="66">
        <v>42897</v>
      </c>
      <c r="D979" s="66" t="str">
        <f>CONCATENATE(J979,"-",C979)</f>
        <v>1120-42897</v>
      </c>
      <c r="E979" s="20" t="str">
        <f>CONCATENATE(T979,"-",U979,"-",C979)</f>
        <v>HW1-F8-42897</v>
      </c>
      <c r="F979" s="20" t="s">
        <v>106</v>
      </c>
      <c r="G979" s="20" t="s">
        <v>107</v>
      </c>
      <c r="I979" s="16">
        <v>0</v>
      </c>
      <c r="J979" s="21">
        <v>1120</v>
      </c>
      <c r="K979" s="21">
        <v>1670</v>
      </c>
      <c r="L979" s="18">
        <v>0</v>
      </c>
      <c r="M979" s="21">
        <f>VLOOKUP($K979,'[4]blood tubes 2017'!$D$1:$L$647,8,FALSE)</f>
        <v>0</v>
      </c>
      <c r="N979" s="15">
        <v>0</v>
      </c>
      <c r="O979" s="15" t="s">
        <v>214</v>
      </c>
      <c r="P979" s="16" t="s">
        <v>110</v>
      </c>
      <c r="Q979" s="16">
        <v>0</v>
      </c>
      <c r="R979" s="16" t="s">
        <v>111</v>
      </c>
      <c r="T979" s="16" t="s">
        <v>133</v>
      </c>
      <c r="U979" s="16" t="s">
        <v>138</v>
      </c>
      <c r="V979" s="16" t="s">
        <v>114</v>
      </c>
      <c r="W979" s="16">
        <f>AI979/AG979</f>
        <v>0.84042553191489366</v>
      </c>
      <c r="X979" s="16" t="s">
        <v>115</v>
      </c>
      <c r="Y979" s="16" t="s">
        <v>110</v>
      </c>
      <c r="Z979" s="16">
        <v>3</v>
      </c>
      <c r="AE979" s="16" t="s">
        <v>123</v>
      </c>
      <c r="AF979" s="16" t="s">
        <v>123</v>
      </c>
      <c r="AG979" s="16">
        <f>AH979-AI979</f>
        <v>94</v>
      </c>
      <c r="AH979" s="16">
        <v>173</v>
      </c>
      <c r="AI979" s="16">
        <v>79</v>
      </c>
      <c r="AK979" s="16">
        <v>25.5</v>
      </c>
      <c r="AL979" s="16">
        <v>0</v>
      </c>
      <c r="AM979" s="16">
        <v>0</v>
      </c>
      <c r="AN979" s="16">
        <v>0</v>
      </c>
      <c r="AO979" s="16">
        <v>0</v>
      </c>
      <c r="AP979" s="16">
        <f>SUM(AL979:AN979)</f>
        <v>0</v>
      </c>
      <c r="AQ979" s="16">
        <v>1.627</v>
      </c>
      <c r="AR979" s="16">
        <f>AP979-1.472</f>
        <v>-1.472</v>
      </c>
      <c r="AS979" s="16">
        <f>AQ979-1.472</f>
        <v>0.15500000000000003</v>
      </c>
      <c r="AT979" s="16" t="s">
        <v>233</v>
      </c>
      <c r="AV979" s="16">
        <v>1</v>
      </c>
      <c r="AW979" s="16">
        <f>IF(AX979&gt;0,1,0)</f>
        <v>0</v>
      </c>
      <c r="AX979" s="16">
        <f>SUM(BA979,BM979,CT979)</f>
        <v>0</v>
      </c>
      <c r="AY979" s="18">
        <f>SUM(BB979,BN979,CV979)</f>
        <v>0</v>
      </c>
      <c r="AZ979" s="16">
        <f>IF(BA979&gt;0,1,0)</f>
        <v>0</v>
      </c>
      <c r="BA979" s="16">
        <f>SUM(BC979,BF979,BI979)</f>
        <v>0</v>
      </c>
      <c r="BB979" s="16">
        <f>SUM(BE979,BH979,BK979)</f>
        <v>0</v>
      </c>
      <c r="BC979" s="16">
        <v>0</v>
      </c>
      <c r="BD979" s="16">
        <v>0</v>
      </c>
      <c r="BE979" s="16">
        <f>BD979/AS979</f>
        <v>0</v>
      </c>
      <c r="BF979" s="16">
        <v>0</v>
      </c>
      <c r="BG979" s="77">
        <v>0</v>
      </c>
      <c r="BH979" s="16">
        <f>BG979/AS979</f>
        <v>0</v>
      </c>
      <c r="BI979" s="16">
        <v>0</v>
      </c>
      <c r="BJ979" s="16">
        <v>0</v>
      </c>
      <c r="BK979" s="16">
        <f>BJ979/AS979</f>
        <v>0</v>
      </c>
      <c r="BL979" s="16">
        <f>IF(BM979&gt;0,1,0)</f>
        <v>0</v>
      </c>
      <c r="BM979" s="16">
        <f>SUM(BR979,BU979,BX979,CA979,CD979,CG979,CJ979,CM979,CP979)</f>
        <v>0</v>
      </c>
      <c r="BN979" s="16">
        <f>SUM(BW979,BZ979,CC979,CF979,CI979,CL979,CO979,CR979,BT979)</f>
        <v>0</v>
      </c>
      <c r="BO979" s="16">
        <f>IF(BP979&gt;0,1,0)</f>
        <v>0</v>
      </c>
      <c r="BP979" s="16">
        <f>SUM(BU979,BX979,CA979,CD979,BR979)</f>
        <v>0</v>
      </c>
      <c r="BQ979" s="16">
        <f>SUM(BZ979,CC979,CF979,BT979,BW979)</f>
        <v>0</v>
      </c>
      <c r="BR979" s="16">
        <v>0</v>
      </c>
      <c r="BS979" s="16">
        <v>0</v>
      </c>
      <c r="BT979" s="77">
        <f>BS979/AS979</f>
        <v>0</v>
      </c>
      <c r="BU979" s="16">
        <v>0</v>
      </c>
      <c r="BV979" s="16">
        <v>0</v>
      </c>
      <c r="BW979" s="16">
        <f>BV979/AS979</f>
        <v>0</v>
      </c>
      <c r="BX979" s="16">
        <v>0</v>
      </c>
      <c r="BY979" s="16">
        <v>0</v>
      </c>
      <c r="BZ979" s="16">
        <f>BY979/AS979</f>
        <v>0</v>
      </c>
      <c r="CA979" s="16">
        <v>0</v>
      </c>
      <c r="CB979" s="16">
        <v>0</v>
      </c>
      <c r="CC979" s="16">
        <f>CB979/AS979</f>
        <v>0</v>
      </c>
      <c r="CD979" s="77">
        <v>0</v>
      </c>
      <c r="CE979" s="16">
        <v>0</v>
      </c>
      <c r="CF979" s="16">
        <f>CE979/AS979</f>
        <v>0</v>
      </c>
      <c r="CG979" s="16">
        <v>0</v>
      </c>
      <c r="CH979" s="16">
        <v>0</v>
      </c>
      <c r="CI979" s="16">
        <f>CH979/AS979</f>
        <v>0</v>
      </c>
      <c r="CM979" s="16">
        <v>0</v>
      </c>
      <c r="CN979" s="16">
        <v>0</v>
      </c>
      <c r="CO979" s="16">
        <f>CN979/AS979</f>
        <v>0</v>
      </c>
      <c r="CP979" s="16">
        <v>0</v>
      </c>
      <c r="CQ979" s="16">
        <v>0</v>
      </c>
      <c r="CR979" s="16">
        <f>CQ979/AS979</f>
        <v>0</v>
      </c>
      <c r="CS979" s="16">
        <f>IF(CT979&gt;0,1,0)</f>
        <v>0</v>
      </c>
      <c r="CT979" s="16">
        <f>SUM(CW979,CZ979,DC979)</f>
        <v>0</v>
      </c>
      <c r="CV979" s="16">
        <f>SUM(CY979,DB979,DE979)</f>
        <v>0</v>
      </c>
      <c r="CW979" s="16">
        <v>0</v>
      </c>
      <c r="CX979" s="16">
        <v>0</v>
      </c>
      <c r="CY979" s="16">
        <f>CX979/AS979</f>
        <v>0</v>
      </c>
      <c r="CZ979" s="16">
        <v>0</v>
      </c>
      <c r="DA979" s="16">
        <v>0</v>
      </c>
      <c r="DB979" s="16">
        <f>DA979/AS979</f>
        <v>0</v>
      </c>
      <c r="DC979" s="16">
        <v>0</v>
      </c>
      <c r="DD979" s="16">
        <v>0</v>
      </c>
      <c r="DE979" s="16">
        <f>DD979/AS979</f>
        <v>0</v>
      </c>
      <c r="DF979" s="16" t="e">
        <f>VLOOKUP(K979,'[3]RNA Seq summary tables'!$V$3:$V$99,1,FALSE)</f>
        <v>#N/A</v>
      </c>
      <c r="DI979" s="16">
        <v>55</v>
      </c>
      <c r="DK979" s="16">
        <v>40</v>
      </c>
      <c r="DM979" s="16">
        <v>5</v>
      </c>
      <c r="DO979" s="16">
        <v>0</v>
      </c>
      <c r="DQ979" s="16">
        <v>0</v>
      </c>
      <c r="DR979" s="16">
        <f>SUM(DI979:DQ979)</f>
        <v>100</v>
      </c>
    </row>
    <row r="980" spans="2:288" x14ac:dyDescent="0.2">
      <c r="B980" s="16">
        <v>2017</v>
      </c>
      <c r="C980" s="20">
        <v>42914</v>
      </c>
      <c r="D980" s="20" t="str">
        <f>CONCATENATE(J980,"-",C980)</f>
        <v>1120-42914</v>
      </c>
      <c r="E980" s="20" t="str">
        <f>CONCATENATE(T980,"-",U980,"-",C980)</f>
        <v>HW1-C8-42914</v>
      </c>
      <c r="F980" s="20" t="s">
        <v>106</v>
      </c>
      <c r="G980" s="20" t="s">
        <v>107</v>
      </c>
      <c r="I980" s="16">
        <v>0</v>
      </c>
      <c r="J980" s="21">
        <v>1120</v>
      </c>
      <c r="K980" s="21">
        <v>1783</v>
      </c>
      <c r="L980" s="18">
        <v>0</v>
      </c>
      <c r="M980" s="21">
        <f>VLOOKUP($K980,'[4]blood tubes 2017'!$D$1:$L$647,8,FALSE)</f>
        <v>0</v>
      </c>
      <c r="N980" s="15">
        <v>0</v>
      </c>
      <c r="O980" s="15" t="s">
        <v>214</v>
      </c>
      <c r="P980" s="16" t="s">
        <v>110</v>
      </c>
      <c r="Q980" s="16">
        <v>1</v>
      </c>
      <c r="R980" s="16">
        <v>17</v>
      </c>
      <c r="T980" s="16" t="s">
        <v>133</v>
      </c>
      <c r="U980" s="16" t="s">
        <v>188</v>
      </c>
      <c r="V980" s="16" t="s">
        <v>114</v>
      </c>
      <c r="W980" s="16">
        <f>AI980/AG980</f>
        <v>0.82474226804123707</v>
      </c>
      <c r="X980" s="16" t="s">
        <v>115</v>
      </c>
      <c r="Y980" s="16" t="s">
        <v>110</v>
      </c>
      <c r="Z980" s="16">
        <v>3</v>
      </c>
      <c r="AE980" s="16" t="s">
        <v>123</v>
      </c>
      <c r="AF980" s="16" t="s">
        <v>123</v>
      </c>
      <c r="AG980" s="16">
        <f>AH980-AI980</f>
        <v>97</v>
      </c>
      <c r="AH980" s="16">
        <v>177</v>
      </c>
      <c r="AI980" s="16">
        <v>80</v>
      </c>
      <c r="AK980" s="16">
        <v>25</v>
      </c>
      <c r="AL980" s="16">
        <v>0</v>
      </c>
      <c r="AM980" s="16">
        <v>0</v>
      </c>
      <c r="AN980" s="16">
        <v>0</v>
      </c>
      <c r="AO980" s="16">
        <v>0</v>
      </c>
      <c r="AP980" s="16">
        <f>SUM(AL980:AN980)</f>
        <v>0</v>
      </c>
      <c r="AQ980" s="16">
        <v>1.764</v>
      </c>
      <c r="AR980" s="16">
        <f>AP980-1.472</f>
        <v>-1.472</v>
      </c>
      <c r="AS980" s="16">
        <f>AQ980-1.472</f>
        <v>0.29200000000000004</v>
      </c>
      <c r="AT980" s="16" t="s">
        <v>164</v>
      </c>
      <c r="AW980" s="16">
        <f>IF(AX980&gt;0,1,0)</f>
        <v>1</v>
      </c>
      <c r="AX980" s="16">
        <f>SUM(BA980,BM980,CT980)</f>
        <v>3</v>
      </c>
      <c r="AY980" s="18">
        <f>SUM(BB980,BN980,CV980)</f>
        <v>10582.191780821917</v>
      </c>
      <c r="AZ980" s="16">
        <v>1</v>
      </c>
      <c r="BA980" s="16">
        <v>3</v>
      </c>
      <c r="BB980" s="16">
        <f>SUM(BE980,BH980,BK980)</f>
        <v>10582.191780821917</v>
      </c>
      <c r="BC980" s="16">
        <v>1</v>
      </c>
      <c r="BD980" s="16">
        <v>1031</v>
      </c>
      <c r="BE980" s="16">
        <f>BD980/AS980</f>
        <v>3530.8219178082186</v>
      </c>
      <c r="BF980" s="16">
        <v>1</v>
      </c>
      <c r="BG980" s="77">
        <v>2050</v>
      </c>
      <c r="BH980" s="16">
        <f>BG980/AS980</f>
        <v>7020.5479452054788</v>
      </c>
      <c r="BI980" s="16">
        <v>1</v>
      </c>
      <c r="BJ980" s="16">
        <v>9</v>
      </c>
      <c r="BK980" s="16">
        <f>BJ980/AS980</f>
        <v>30.821917808219172</v>
      </c>
      <c r="BL980" s="16">
        <f>IF(BM980&gt;0,1,0)</f>
        <v>0</v>
      </c>
      <c r="BM980" s="16">
        <f>SUM(BR980,BU980,BX980,CA980,CD980,CG980,CJ980,CM980,CP980)</f>
        <v>0</v>
      </c>
      <c r="BN980" s="16">
        <f>SUM(BW980,BZ980,CC980,CF980,CI980,CL980,CO980,CR980,BT980)</f>
        <v>0</v>
      </c>
      <c r="BO980" s="16">
        <f>IF(BP980&gt;0,1,0)</f>
        <v>0</v>
      </c>
      <c r="BP980" s="16">
        <f>SUM(BU980,BX980,CA980,CD980,BR980)</f>
        <v>0</v>
      </c>
      <c r="BQ980" s="16">
        <f>SUM(BZ980,CC980,CF980,BT980,BW980)</f>
        <v>0</v>
      </c>
      <c r="BR980" s="16">
        <v>0</v>
      </c>
      <c r="BS980" s="16">
        <v>0</v>
      </c>
      <c r="BT980" s="77">
        <f>BS980/AS980</f>
        <v>0</v>
      </c>
      <c r="BU980" s="16">
        <v>0</v>
      </c>
      <c r="BV980" s="16">
        <v>0</v>
      </c>
      <c r="BW980" s="16">
        <f>BV980/AS980</f>
        <v>0</v>
      </c>
      <c r="BX980" s="16">
        <v>0</v>
      </c>
      <c r="BY980" s="16">
        <v>0</v>
      </c>
      <c r="BZ980" s="16">
        <v>0</v>
      </c>
      <c r="CA980" s="16">
        <v>0</v>
      </c>
      <c r="CB980" s="16">
        <v>0</v>
      </c>
      <c r="CC980" s="16">
        <f>CB980/AS980</f>
        <v>0</v>
      </c>
      <c r="CD980" s="77">
        <v>0</v>
      </c>
      <c r="CE980" s="16">
        <v>0</v>
      </c>
      <c r="CF980" s="16">
        <f>CE980/AS980</f>
        <v>0</v>
      </c>
      <c r="CG980" s="16">
        <v>0</v>
      </c>
      <c r="CH980" s="16">
        <v>0</v>
      </c>
      <c r="CI980" s="16">
        <f>CH980/AS980</f>
        <v>0</v>
      </c>
      <c r="CM980" s="16">
        <v>0</v>
      </c>
      <c r="CN980" s="16">
        <v>0</v>
      </c>
      <c r="CO980" s="16">
        <f>CN980/AS980</f>
        <v>0</v>
      </c>
      <c r="CP980" s="16">
        <v>0</v>
      </c>
      <c r="CQ980" s="16">
        <v>0</v>
      </c>
      <c r="CR980" s="16">
        <f>CQ980/AS980</f>
        <v>0</v>
      </c>
      <c r="CS980" s="16">
        <v>0</v>
      </c>
      <c r="CT980" s="16">
        <v>0</v>
      </c>
      <c r="CV980" s="16">
        <f>SUM(CY980,DB980,DE980)</f>
        <v>0</v>
      </c>
      <c r="CW980" s="16">
        <v>0</v>
      </c>
      <c r="CX980" s="16">
        <v>0</v>
      </c>
      <c r="CY980" s="16">
        <f>CX980/AS980</f>
        <v>0</v>
      </c>
      <c r="CZ980" s="16">
        <v>0</v>
      </c>
      <c r="DA980" s="16">
        <v>0</v>
      </c>
      <c r="DB980" s="16">
        <f>DA980/AS980</f>
        <v>0</v>
      </c>
      <c r="DC980" s="16">
        <v>0</v>
      </c>
      <c r="DD980" s="16">
        <v>0</v>
      </c>
      <c r="DE980" s="16">
        <f>DD980/AS980</f>
        <v>0</v>
      </c>
      <c r="DF980" s="16" t="e">
        <f>VLOOKUP(K980,'[3]RNA Seq summary tables'!$V$3:$V$99,1,FALSE)</f>
        <v>#N/A</v>
      </c>
      <c r="DI980" s="16">
        <v>75</v>
      </c>
      <c r="DK980" s="16">
        <v>18</v>
      </c>
      <c r="DM980" s="16">
        <v>7</v>
      </c>
      <c r="DO980" s="16">
        <v>0</v>
      </c>
      <c r="DQ980" s="16">
        <v>0</v>
      </c>
      <c r="DR980" s="16">
        <f>SUM(DI980:DQ980)</f>
        <v>100</v>
      </c>
      <c r="JR980" s="27"/>
      <c r="JS980" s="27"/>
      <c r="JT980" s="27"/>
      <c r="JU980" s="27"/>
      <c r="JV980" s="27"/>
      <c r="JW980" s="27"/>
      <c r="JX980" s="27"/>
      <c r="JY980" s="27"/>
      <c r="JZ980" s="27"/>
      <c r="KA980" s="27"/>
      <c r="KB980" s="27"/>
    </row>
    <row r="981" spans="2:288" ht="16" x14ac:dyDescent="0.2">
      <c r="B981" s="16">
        <v>2017</v>
      </c>
      <c r="C981" s="20">
        <v>42931</v>
      </c>
      <c r="D981" s="20" t="str">
        <f>CONCATENATE(J981,"-",C981)</f>
        <v>1120-42931</v>
      </c>
      <c r="E981" s="37" t="str">
        <f>CONCATENATE(T981,"-",U981,"-",C981)</f>
        <v>HW1-C8-42931</v>
      </c>
      <c r="F981" s="20" t="s">
        <v>106</v>
      </c>
      <c r="G981" s="20" t="s">
        <v>107</v>
      </c>
      <c r="I981" s="16">
        <v>0</v>
      </c>
      <c r="J981" s="21">
        <v>1120</v>
      </c>
      <c r="K981" s="21">
        <v>1922</v>
      </c>
      <c r="L981" s="18">
        <v>0</v>
      </c>
      <c r="M981" s="21">
        <f>VLOOKUP($K981,'[4]blood tubes 2017'!$D$1:$L$647,8,FALSE)</f>
        <v>0</v>
      </c>
      <c r="N981" s="15">
        <v>0</v>
      </c>
      <c r="O981" s="15" t="s">
        <v>214</v>
      </c>
      <c r="P981" s="16" t="s">
        <v>110</v>
      </c>
      <c r="Q981" s="16">
        <v>1</v>
      </c>
      <c r="R981" s="16">
        <v>17</v>
      </c>
      <c r="T981" s="16" t="s">
        <v>133</v>
      </c>
      <c r="U981" s="16" t="s">
        <v>188</v>
      </c>
      <c r="V981" s="16" t="s">
        <v>114</v>
      </c>
      <c r="W981" s="16">
        <f>AI981/AG981</f>
        <v>0.81632653061224492</v>
      </c>
      <c r="X981" s="16" t="s">
        <v>115</v>
      </c>
      <c r="Y981" s="16" t="s">
        <v>110</v>
      </c>
      <c r="Z981" s="16">
        <v>3</v>
      </c>
      <c r="AE981" s="16" t="s">
        <v>123</v>
      </c>
      <c r="AF981" s="16" t="s">
        <v>123</v>
      </c>
      <c r="AG981" s="16">
        <f>AH981-AI981</f>
        <v>98</v>
      </c>
      <c r="AH981" s="16">
        <v>178</v>
      </c>
      <c r="AI981" s="16">
        <v>80</v>
      </c>
      <c r="AK981" s="16">
        <v>25.5</v>
      </c>
      <c r="AL981" s="16">
        <v>0</v>
      </c>
      <c r="AM981" s="16">
        <v>0</v>
      </c>
      <c r="AN981" s="16">
        <v>0</v>
      </c>
      <c r="AO981" s="16">
        <v>0</v>
      </c>
      <c r="AP981" s="16">
        <f>SUM(AL981:AN981)</f>
        <v>0</v>
      </c>
      <c r="AQ981" s="18">
        <v>3.3969999999999998</v>
      </c>
      <c r="AR981" s="16">
        <f>AP981-1.472-1.243</f>
        <v>-2.7149999999999999</v>
      </c>
      <c r="AS981" s="16">
        <f>AQ981-1.472-1.243</f>
        <v>0.68199999999999972</v>
      </c>
      <c r="AT981" s="16" t="str">
        <f>VLOOKUP(E981,[2]Current!$A$1:$W$435,7,FALSE)</f>
        <v>JB</v>
      </c>
      <c r="AU981" s="16" t="s">
        <v>1288</v>
      </c>
      <c r="AV981" s="23">
        <v>1</v>
      </c>
      <c r="AW981" s="128">
        <f>IF(AX981&gt;0,1,0)</f>
        <v>0</v>
      </c>
      <c r="AX981" s="128">
        <f>SUM(BA981,BM981,CU981)</f>
        <v>0</v>
      </c>
      <c r="AY981" s="128">
        <f>SUM(BB981,BN981,CV981)</f>
        <v>0</v>
      </c>
      <c r="AZ981" s="128">
        <f>IF(BA981&gt;0,1,0)</f>
        <v>0</v>
      </c>
      <c r="BA981" s="128">
        <f>SUM(BC981+BF981+BI981)</f>
        <v>0</v>
      </c>
      <c r="BB981" s="128">
        <f>SUM(BE981,BH981,BK981)</f>
        <v>0</v>
      </c>
      <c r="BC981" s="130">
        <f>IF(BD981&gt;0,1,0)</f>
        <v>0</v>
      </c>
      <c r="BD981" s="128">
        <f>VLOOKUP($E981,[2]Current!$A:$AC,26,FALSE)</f>
        <v>0</v>
      </c>
      <c r="BE981" s="128">
        <f>BD981/$AS981</f>
        <v>0</v>
      </c>
      <c r="BF981" s="130">
        <f>IF(BG981&gt;0,1,0)</f>
        <v>0</v>
      </c>
      <c r="BG981" s="137">
        <f>VLOOKUP($E981,[2]Current!$A:$AC,27,FALSE)</f>
        <v>0</v>
      </c>
      <c r="BH981" s="128">
        <f>BG981/$AS981</f>
        <v>0</v>
      </c>
      <c r="BI981" s="130">
        <f>IF(BJ981&gt;0,1,0)</f>
        <v>0</v>
      </c>
      <c r="BJ981" s="128">
        <f>VLOOKUP($E981,[2]Current!$A:$AC,28,FALSE)</f>
        <v>0</v>
      </c>
      <c r="BK981" s="128">
        <f>BJ981/$AS981</f>
        <v>0</v>
      </c>
      <c r="BL981" s="128">
        <f>IF(BM981&gt;0,1,0)</f>
        <v>0</v>
      </c>
      <c r="BM981" s="128">
        <f>SUM(BR981,BU981,BX981,CA981,CD981)</f>
        <v>0</v>
      </c>
      <c r="BN981" s="131">
        <f>SUM(BT981,BW981,BZ981,CC981,CF981)</f>
        <v>0</v>
      </c>
      <c r="BO981" s="128">
        <f>IF(BP981&gt;0,1,0)</f>
        <v>0</v>
      </c>
      <c r="BP981" s="128">
        <f>BM981+CJ981</f>
        <v>0</v>
      </c>
      <c r="BQ981" s="128">
        <f>BN981+CL981</f>
        <v>0</v>
      </c>
      <c r="BR981" s="130">
        <f>IF(BS981&gt;0,1,0)</f>
        <v>0</v>
      </c>
      <c r="BS981" s="128">
        <f>VLOOKUP($E981,[2]Current!$A:$AC,12,FALSE)</f>
        <v>0</v>
      </c>
      <c r="BT981" s="137">
        <f>BS981/$AS981</f>
        <v>0</v>
      </c>
      <c r="BU981" s="130">
        <f>IF(BV981&gt;0,1,0)</f>
        <v>0</v>
      </c>
      <c r="BV981" s="128">
        <f>VLOOKUP($E981,[2]Current!$A:$AC,13,FALSE)</f>
        <v>0</v>
      </c>
      <c r="BW981" s="128">
        <f>BV981/$AS981</f>
        <v>0</v>
      </c>
      <c r="BX981" s="130">
        <f>IF(BY981&gt;0,1,0)</f>
        <v>0</v>
      </c>
      <c r="BY981" s="128">
        <f>VLOOKUP($E981,[2]Current!$A:$AC,14,FALSE)</f>
        <v>0</v>
      </c>
      <c r="BZ981" s="128">
        <f>BY981/$AS981</f>
        <v>0</v>
      </c>
      <c r="CA981" s="130">
        <f>IF(CB981&gt;0,1,0)</f>
        <v>0</v>
      </c>
      <c r="CB981" s="128">
        <f>VLOOKUP($E981,[2]Current!$A:$AC,15,FALSE)</f>
        <v>0</v>
      </c>
      <c r="CC981" s="128">
        <f>CB981/$AS981</f>
        <v>0</v>
      </c>
      <c r="CD981" s="174">
        <f>IF(CE981&gt;0,1,0)</f>
        <v>0</v>
      </c>
      <c r="CE981" s="128">
        <f>VLOOKUP($E981,[2]Current!$A:$AC,16,FALSE)</f>
        <v>0</v>
      </c>
      <c r="CF981" s="128">
        <f>CE981/$AS981</f>
        <v>0</v>
      </c>
      <c r="CG981" s="18"/>
      <c r="CH981" s="18"/>
      <c r="CI981" s="18"/>
      <c r="CJ981" s="130">
        <f>IF(CK981&gt;0,1,0)</f>
        <v>0</v>
      </c>
      <c r="CK981" s="128">
        <f>VLOOKUP($E981,[2]Current!$A:$AC,18,FALSE)</f>
        <v>0</v>
      </c>
      <c r="CL981" s="128">
        <f>CK981/$AS981</f>
        <v>0</v>
      </c>
      <c r="CS981" s="130">
        <f>IF(CU981&gt;0,1,0)</f>
        <v>0</v>
      </c>
      <c r="CU981" s="128">
        <f>VLOOKUP($E981,[2]Current!$A:$AC,17,FALSE)</f>
        <v>0</v>
      </c>
      <c r="CV981" s="128">
        <f>CU981/$AS981</f>
        <v>0</v>
      </c>
      <c r="CW981" s="18"/>
      <c r="CX981" s="18"/>
      <c r="CY981" s="18"/>
      <c r="DF981" s="16" t="e">
        <f>VLOOKUP(K981,'[3]RNA Seq summary tables'!$V$3:$V$99,1,FALSE)</f>
        <v>#N/A</v>
      </c>
      <c r="JO981" s="18"/>
      <c r="JR981" s="30"/>
      <c r="JS981" s="30"/>
      <c r="JT981" s="30"/>
      <c r="JU981" s="30"/>
      <c r="JV981" s="30"/>
      <c r="JW981" s="30"/>
      <c r="JX981" s="30"/>
      <c r="JY981" s="30"/>
      <c r="JZ981" s="30"/>
      <c r="KA981" s="30"/>
      <c r="KB981" s="30"/>
    </row>
    <row r="982" spans="2:288" x14ac:dyDescent="0.2">
      <c r="B982" s="16">
        <v>2017</v>
      </c>
      <c r="C982" s="20">
        <v>42950</v>
      </c>
      <c r="D982" s="20" t="str">
        <f>CONCATENATE(J982,"-",C982)</f>
        <v>1120-42950</v>
      </c>
      <c r="E982" s="142" t="str">
        <f>CONCATENATE(T982,"-",U982,"-",C982)</f>
        <v>HW1-D8-42950</v>
      </c>
      <c r="F982" s="20" t="s">
        <v>106</v>
      </c>
      <c r="G982" s="20" t="s">
        <v>107</v>
      </c>
      <c r="J982" s="21">
        <v>1120</v>
      </c>
      <c r="K982" s="21">
        <v>2070</v>
      </c>
      <c r="L982" s="18">
        <v>0</v>
      </c>
      <c r="M982" s="21">
        <f>VLOOKUP($K982,'[4]blood tubes 2017'!$D$1:$L$647,8,FALSE)</f>
        <v>0</v>
      </c>
      <c r="N982" s="15">
        <v>0</v>
      </c>
      <c r="O982" s="15" t="s">
        <v>214</v>
      </c>
      <c r="P982" s="16" t="s">
        <v>110</v>
      </c>
      <c r="Q982" s="16">
        <v>1</v>
      </c>
      <c r="R982" s="16">
        <v>19</v>
      </c>
      <c r="T982" s="16" t="s">
        <v>133</v>
      </c>
      <c r="U982" s="16" t="s">
        <v>178</v>
      </c>
      <c r="V982" s="16" t="s">
        <v>114</v>
      </c>
      <c r="W982" s="16">
        <f>AI982/AG982</f>
        <v>0.77450980392156865</v>
      </c>
      <c r="X982" s="16" t="s">
        <v>115</v>
      </c>
      <c r="Y982" s="16" t="s">
        <v>110</v>
      </c>
      <c r="Z982" s="16">
        <v>3</v>
      </c>
      <c r="AE982" s="16" t="s">
        <v>123</v>
      </c>
      <c r="AF982" s="16" t="s">
        <v>123</v>
      </c>
      <c r="AG982" s="16">
        <f>AH982-AI982</f>
        <v>102</v>
      </c>
      <c r="AH982" s="16">
        <v>181</v>
      </c>
      <c r="AI982" s="16">
        <v>79</v>
      </c>
      <c r="AK982" s="16">
        <v>27</v>
      </c>
      <c r="AL982" s="16">
        <v>1</v>
      </c>
      <c r="AM982" s="16">
        <v>0</v>
      </c>
      <c r="AN982" s="16">
        <v>0</v>
      </c>
      <c r="AO982" s="16">
        <v>1</v>
      </c>
      <c r="AP982" s="16">
        <f>SUM(AL982:AN982)</f>
        <v>1</v>
      </c>
      <c r="AQ982" s="16">
        <v>1.7549999999999999</v>
      </c>
      <c r="AR982" s="16">
        <f>AP982-1.472</f>
        <v>-0.47199999999999998</v>
      </c>
      <c r="AS982" s="16">
        <f>AQ982-1.472</f>
        <v>0.28299999999999992</v>
      </c>
      <c r="AT982" s="16" t="e">
        <f>VLOOKUP(E982,[2]Current!$A$1:$W$435,7,FALSE)</f>
        <v>#N/A</v>
      </c>
      <c r="AU982" s="16">
        <v>0</v>
      </c>
      <c r="AW982" s="18"/>
      <c r="AX982" s="18"/>
      <c r="AY982" s="18"/>
      <c r="AZ982" s="18"/>
      <c r="BA982" s="18"/>
      <c r="BB982" s="18"/>
      <c r="BC982" s="18"/>
      <c r="BD982" s="18"/>
      <c r="BG982" s="77"/>
      <c r="BT982" s="77"/>
      <c r="CD982" s="77"/>
      <c r="DF982" s="16" t="e">
        <f>VLOOKUP(K982,'[3]RNA Seq summary tables'!$V$3:$V$99,1,FALSE)</f>
        <v>#N/A</v>
      </c>
      <c r="JR982" s="18"/>
      <c r="JS982" s="18"/>
      <c r="JT982" s="18"/>
      <c r="JU982" s="18"/>
      <c r="JV982" s="18"/>
      <c r="JW982" s="18"/>
      <c r="JX982" s="18"/>
      <c r="JY982" s="18"/>
      <c r="JZ982" s="18"/>
      <c r="KA982" s="18"/>
      <c r="KB982" s="18"/>
    </row>
    <row r="983" spans="2:288" x14ac:dyDescent="0.2">
      <c r="B983" s="16">
        <v>2017</v>
      </c>
      <c r="C983" s="20">
        <v>42966</v>
      </c>
      <c r="D983" s="20" t="str">
        <f>CONCATENATE(J983,"-",C983)</f>
        <v>1120-42966</v>
      </c>
      <c r="E983" s="142" t="str">
        <f>CONCATENATE(T983,"-",U983,"-",C983)</f>
        <v>HW1-E8-42966</v>
      </c>
      <c r="F983" s="20" t="s">
        <v>106</v>
      </c>
      <c r="G983" s="20" t="s">
        <v>107</v>
      </c>
      <c r="J983" s="21">
        <v>1120</v>
      </c>
      <c r="K983" s="21">
        <v>2212</v>
      </c>
      <c r="L983" s="18">
        <v>0</v>
      </c>
      <c r="M983" s="21">
        <f>VLOOKUP($K983,'[4]blood tubes 2017'!$D$1:$L$647,8,FALSE)</f>
        <v>0</v>
      </c>
      <c r="N983" s="15">
        <v>0</v>
      </c>
      <c r="O983" s="15" t="s">
        <v>214</v>
      </c>
      <c r="P983" s="16" t="s">
        <v>110</v>
      </c>
      <c r="Q983" s="16">
        <v>1</v>
      </c>
      <c r="R983" s="16">
        <v>16</v>
      </c>
      <c r="T983" s="16" t="s">
        <v>133</v>
      </c>
      <c r="U983" s="16" t="s">
        <v>181</v>
      </c>
      <c r="V983" s="16" t="s">
        <v>114</v>
      </c>
      <c r="W983" s="16">
        <f>AI983/AG983</f>
        <v>0.82474226804123707</v>
      </c>
      <c r="X983" s="16" t="s">
        <v>115</v>
      </c>
      <c r="Y983" s="16" t="s">
        <v>110</v>
      </c>
      <c r="Z983" s="16">
        <v>3</v>
      </c>
      <c r="AE983" s="16" t="s">
        <v>116</v>
      </c>
      <c r="AF983" s="16" t="s">
        <v>116</v>
      </c>
      <c r="AG983" s="16">
        <f>AH983-AI983</f>
        <v>97</v>
      </c>
      <c r="AH983" s="16">
        <v>177</v>
      </c>
      <c r="AI983" s="16">
        <v>80</v>
      </c>
      <c r="AK983" s="16">
        <v>26</v>
      </c>
      <c r="AL983" s="16">
        <v>1</v>
      </c>
      <c r="AM983" s="16">
        <v>0</v>
      </c>
      <c r="AN983" s="16">
        <v>0</v>
      </c>
      <c r="AO983" s="16">
        <v>1</v>
      </c>
      <c r="AP983" s="16">
        <f>SUM(AL983:AN983)</f>
        <v>1</v>
      </c>
      <c r="AQ983" s="16">
        <v>1.9410000000000001</v>
      </c>
      <c r="AR983" s="16">
        <f>AP983-1.472</f>
        <v>-0.47199999999999998</v>
      </c>
      <c r="AS983" s="16">
        <f>AQ983-1.472</f>
        <v>0.46900000000000008</v>
      </c>
      <c r="AT983" s="16" t="e">
        <f>VLOOKUP(E983,[2]Current!$A$1:$W$435,7,FALSE)</f>
        <v>#N/A</v>
      </c>
      <c r="AU983" s="16">
        <v>0</v>
      </c>
      <c r="AW983" s="18"/>
      <c r="AX983" s="18"/>
      <c r="AY983" s="18"/>
      <c r="AZ983" s="18"/>
      <c r="BA983" s="18"/>
      <c r="BB983" s="18"/>
      <c r="BC983" s="18"/>
      <c r="BD983" s="18"/>
      <c r="BG983" s="77"/>
      <c r="BT983" s="77"/>
      <c r="CD983" s="77"/>
      <c r="DF983" s="16" t="e">
        <f>VLOOKUP(K983,'[3]RNA Seq summary tables'!$V$3:$V$99,1,FALSE)</f>
        <v>#N/A</v>
      </c>
    </row>
    <row r="984" spans="2:288" x14ac:dyDescent="0.2">
      <c r="B984" s="16">
        <v>2017</v>
      </c>
      <c r="C984" s="66">
        <v>42897</v>
      </c>
      <c r="D984" s="66" t="str">
        <f>CONCATENATE(J984,"-",C984)</f>
        <v>1122-42897</v>
      </c>
      <c r="E984" s="20" t="str">
        <f>CONCATENATE(T984,"-",U984,"-",C984)</f>
        <v>HW1-G8-42897</v>
      </c>
      <c r="F984" s="20" t="s">
        <v>106</v>
      </c>
      <c r="G984" s="20" t="s">
        <v>107</v>
      </c>
      <c r="I984" s="16">
        <v>0</v>
      </c>
      <c r="J984" s="21">
        <v>1122</v>
      </c>
      <c r="K984" s="21">
        <v>1672</v>
      </c>
      <c r="L984" s="18">
        <v>0</v>
      </c>
      <c r="M984" s="21">
        <f>VLOOKUP($K984,'[4]blood tubes 2017'!$D$1:$L$647,8,FALSE)</f>
        <v>0</v>
      </c>
      <c r="N984" s="15">
        <v>0</v>
      </c>
      <c r="O984" s="15" t="s">
        <v>214</v>
      </c>
      <c r="P984" s="16" t="s">
        <v>110</v>
      </c>
      <c r="Q984" s="16">
        <v>0</v>
      </c>
      <c r="R984" s="16" t="s">
        <v>111</v>
      </c>
      <c r="T984" s="16" t="s">
        <v>133</v>
      </c>
      <c r="U984" s="16" t="s">
        <v>216</v>
      </c>
      <c r="V984" s="16" t="s">
        <v>114</v>
      </c>
      <c r="W984" s="16">
        <f>AI984/AG984</f>
        <v>0.77380952380952384</v>
      </c>
      <c r="X984" s="16" t="s">
        <v>115</v>
      </c>
      <c r="Y984" s="16" t="s">
        <v>110</v>
      </c>
      <c r="Z984" s="16">
        <v>3</v>
      </c>
      <c r="AE984" s="16" t="s">
        <v>123</v>
      </c>
      <c r="AF984" s="16" t="s">
        <v>123</v>
      </c>
      <c r="AG984" s="16">
        <f>AH984-AI984</f>
        <v>84</v>
      </c>
      <c r="AH984" s="16">
        <v>149</v>
      </c>
      <c r="AI984" s="16">
        <v>65</v>
      </c>
      <c r="AK984" s="16">
        <v>16</v>
      </c>
      <c r="AL984" s="16">
        <v>0</v>
      </c>
      <c r="AM984" s="16">
        <v>0</v>
      </c>
      <c r="AN984" s="16">
        <v>0</v>
      </c>
      <c r="AO984" s="16">
        <v>0</v>
      </c>
      <c r="AP984" s="16">
        <f>SUM(AL984:AN984)</f>
        <v>0</v>
      </c>
      <c r="AQ984" s="16">
        <v>1.6479999999999999</v>
      </c>
      <c r="AR984" s="16">
        <f>AP984-1.472</f>
        <v>-1.472</v>
      </c>
      <c r="AS984" s="16">
        <f>AQ984-1.472</f>
        <v>0.17599999999999993</v>
      </c>
      <c r="AT984" s="18" t="s">
        <v>233</v>
      </c>
      <c r="AU984" s="18"/>
      <c r="AW984" s="16">
        <f>IF(AX984&gt;0,1,0)</f>
        <v>1</v>
      </c>
      <c r="AX984" s="16">
        <f>SUM(BA984,BM984,CT984)</f>
        <v>3</v>
      </c>
      <c r="AY984" s="18">
        <f>SUM(BB984,BN984,CV984)</f>
        <v>54835.227272727294</v>
      </c>
      <c r="AZ984" s="16">
        <f>IF(BA984&gt;0,1,0)</f>
        <v>1</v>
      </c>
      <c r="BA984" s="16">
        <f>SUM(BC984,BF984,BI984)</f>
        <v>2</v>
      </c>
      <c r="BB984" s="16">
        <f>SUM(BE984,BH984,BK984)</f>
        <v>54772.727272727294</v>
      </c>
      <c r="BC984" s="16">
        <v>0</v>
      </c>
      <c r="BD984" s="16">
        <v>0</v>
      </c>
      <c r="BE984" s="16">
        <f>BD984/AS984</f>
        <v>0</v>
      </c>
      <c r="BF984" s="16">
        <v>1</v>
      </c>
      <c r="BG984" s="77">
        <v>9617</v>
      </c>
      <c r="BH984" s="16">
        <f>BG984/AS984</f>
        <v>54642.045454545478</v>
      </c>
      <c r="BI984" s="16">
        <v>1</v>
      </c>
      <c r="BJ984" s="16">
        <v>23</v>
      </c>
      <c r="BK984" s="16">
        <f>BJ984/AS984</f>
        <v>130.68181818181824</v>
      </c>
      <c r="BL984" s="16">
        <f>IF(BM984&gt;0,1,0)</f>
        <v>1</v>
      </c>
      <c r="BM984" s="16">
        <f>SUM(BR984,BU984,BX984,CA984,CD984,CG984,CJ984,CM984,CP984)</f>
        <v>1</v>
      </c>
      <c r="BN984" s="16">
        <f>SUM(BW984,BZ984,CC984,CF984,CI984,CL984,CO984,CR984,BT984)</f>
        <v>62.500000000000021</v>
      </c>
      <c r="BO984" s="16">
        <f>IF(BP984&gt;0,1,0)</f>
        <v>1</v>
      </c>
      <c r="BP984" s="16">
        <f>SUM(BU984,BX984,CA984,CD984,BR984)</f>
        <v>1</v>
      </c>
      <c r="BQ984" s="16">
        <f>SUM(BZ984,CC984,CF984,BT984,BW984)</f>
        <v>62.500000000000021</v>
      </c>
      <c r="BR984" s="16">
        <v>1</v>
      </c>
      <c r="BS984" s="16">
        <v>11</v>
      </c>
      <c r="BT984" s="77">
        <f>BS984/AS984</f>
        <v>62.500000000000021</v>
      </c>
      <c r="BU984" s="16">
        <v>0</v>
      </c>
      <c r="BV984" s="16">
        <v>0</v>
      </c>
      <c r="BW984" s="16">
        <f>BV984/AS984</f>
        <v>0</v>
      </c>
      <c r="BX984" s="16">
        <v>0</v>
      </c>
      <c r="BY984" s="16">
        <v>0</v>
      </c>
      <c r="BZ984" s="16">
        <f>BY984/AS984</f>
        <v>0</v>
      </c>
      <c r="CA984" s="16">
        <v>0</v>
      </c>
      <c r="CB984" s="16">
        <v>0</v>
      </c>
      <c r="CC984" s="16">
        <f>CB984/AS984</f>
        <v>0</v>
      </c>
      <c r="CD984" s="77">
        <v>0</v>
      </c>
      <c r="CE984" s="16">
        <v>0</v>
      </c>
      <c r="CF984" s="16">
        <f>CE984/AS984</f>
        <v>0</v>
      </c>
      <c r="CG984" s="16">
        <v>0</v>
      </c>
      <c r="CH984" s="16">
        <v>0</v>
      </c>
      <c r="CI984" s="16">
        <f>CH984/AS984</f>
        <v>0</v>
      </c>
      <c r="CM984" s="16">
        <v>0</v>
      </c>
      <c r="CN984" s="16">
        <v>0</v>
      </c>
      <c r="CO984" s="16">
        <f>CN984/AS984</f>
        <v>0</v>
      </c>
      <c r="CP984" s="16">
        <v>0</v>
      </c>
      <c r="CQ984" s="16">
        <v>0</v>
      </c>
      <c r="CR984" s="16">
        <f>CQ984/AS984</f>
        <v>0</v>
      </c>
      <c r="CS984" s="16">
        <f>IF(CT984&gt;0,1,0)</f>
        <v>0</v>
      </c>
      <c r="CT984" s="16">
        <f>SUM(CW984,CZ984,DC984)</f>
        <v>0</v>
      </c>
      <c r="CV984" s="16">
        <f>SUM(CY984,DB984,DE984)</f>
        <v>0</v>
      </c>
      <c r="CW984" s="16">
        <v>0</v>
      </c>
      <c r="CX984" s="16">
        <v>0</v>
      </c>
      <c r="CY984" s="16">
        <f>CX984/AS984</f>
        <v>0</v>
      </c>
      <c r="CZ984" s="16">
        <v>0</v>
      </c>
      <c r="DA984" s="16">
        <v>0</v>
      </c>
      <c r="DB984" s="16">
        <f>DA984/AS984</f>
        <v>0</v>
      </c>
      <c r="DC984" s="16">
        <v>0</v>
      </c>
      <c r="DD984" s="16">
        <v>0</v>
      </c>
      <c r="DE984" s="16">
        <f>DD984/AS984</f>
        <v>0</v>
      </c>
      <c r="DF984" s="16" t="e">
        <f>VLOOKUP(K984,'[3]RNA Seq summary tables'!$V$3:$V$99,1,FALSE)</f>
        <v>#N/A</v>
      </c>
      <c r="DI984" s="16">
        <v>70</v>
      </c>
      <c r="DK984" s="16">
        <v>13</v>
      </c>
      <c r="DM984" s="16">
        <v>16</v>
      </c>
      <c r="DO984" s="16">
        <v>0</v>
      </c>
      <c r="DQ984" s="16">
        <v>1</v>
      </c>
      <c r="DR984" s="16">
        <f>SUM(DI984:DQ984)</f>
        <v>100</v>
      </c>
      <c r="JO984" s="18"/>
    </row>
    <row r="985" spans="2:288" x14ac:dyDescent="0.2">
      <c r="B985" s="16">
        <v>2017</v>
      </c>
      <c r="C985" s="66">
        <v>42897</v>
      </c>
      <c r="D985" s="66" t="str">
        <f>CONCATENATE(J985,"-",C985)</f>
        <v>1124-42897</v>
      </c>
      <c r="E985" s="20" t="str">
        <f>CONCATENATE(T985,"-",U985,"-",C985)</f>
        <v>HW1-H4-42897</v>
      </c>
      <c r="F985" s="20" t="s">
        <v>106</v>
      </c>
      <c r="G985" s="20" t="s">
        <v>107</v>
      </c>
      <c r="I985" s="16">
        <v>0</v>
      </c>
      <c r="J985" s="21">
        <v>1124</v>
      </c>
      <c r="K985" s="21">
        <v>1674</v>
      </c>
      <c r="L985" s="18">
        <v>0</v>
      </c>
      <c r="M985" s="21">
        <f>VLOOKUP($K985,'[4]blood tubes 2017'!$D$1:$L$647,8,FALSE)</f>
        <v>0</v>
      </c>
      <c r="N985" s="15">
        <v>0</v>
      </c>
      <c r="O985" s="15" t="s">
        <v>214</v>
      </c>
      <c r="P985" s="16" t="s">
        <v>110</v>
      </c>
      <c r="Q985" s="16">
        <v>0</v>
      </c>
      <c r="R985" s="16" t="s">
        <v>111</v>
      </c>
      <c r="T985" s="16" t="s">
        <v>133</v>
      </c>
      <c r="U985" s="16" t="s">
        <v>151</v>
      </c>
      <c r="V985" s="16" t="s">
        <v>114</v>
      </c>
      <c r="W985" s="16">
        <f>AI985/AG985</f>
        <v>0.7931034482758621</v>
      </c>
      <c r="X985" s="16" t="s">
        <v>115</v>
      </c>
      <c r="Y985" s="16" t="s">
        <v>110</v>
      </c>
      <c r="Z985" s="16">
        <v>3</v>
      </c>
      <c r="AE985" s="16" t="s">
        <v>123</v>
      </c>
      <c r="AF985" s="16" t="s">
        <v>123</v>
      </c>
      <c r="AG985" s="16">
        <f>AH985-AI985</f>
        <v>87</v>
      </c>
      <c r="AH985" s="16">
        <v>156</v>
      </c>
      <c r="AI985" s="16">
        <v>69</v>
      </c>
      <c r="AK985" s="16">
        <v>16.5</v>
      </c>
      <c r="AL985" s="16">
        <v>0</v>
      </c>
      <c r="AM985" s="16">
        <v>0</v>
      </c>
      <c r="AN985" s="16">
        <v>0</v>
      </c>
      <c r="AO985" s="16">
        <v>0</v>
      </c>
      <c r="AP985" s="16">
        <f>SUM(AL985:AN985)</f>
        <v>0</v>
      </c>
      <c r="AQ985" s="16">
        <v>1.6850000000000001</v>
      </c>
      <c r="AR985" s="16">
        <f>AP985-1.472</f>
        <v>-1.472</v>
      </c>
      <c r="AS985" s="16">
        <f>AQ985-1.472</f>
        <v>0.21300000000000008</v>
      </c>
      <c r="AT985" s="16" t="s">
        <v>233</v>
      </c>
      <c r="AW985" s="16">
        <f>IF(AX985&gt;0,1,0)</f>
        <v>1</v>
      </c>
      <c r="AX985" s="16">
        <f>SUM(BA985,BM985,CT985)</f>
        <v>1</v>
      </c>
      <c r="AY985" s="18">
        <f>SUM(BB985,BN985,CV985)</f>
        <v>159.62441314553985</v>
      </c>
      <c r="AZ985" s="16">
        <f>IF(BA985&gt;0,1,0)</f>
        <v>1</v>
      </c>
      <c r="BA985" s="16">
        <f>SUM(BC985,BF985,BI985)</f>
        <v>1</v>
      </c>
      <c r="BB985" s="16">
        <f>SUM(BE985,BH985,BK985)</f>
        <v>159.62441314553985</v>
      </c>
      <c r="BC985" s="16">
        <v>0</v>
      </c>
      <c r="BD985" s="16">
        <v>0</v>
      </c>
      <c r="BE985" s="16">
        <f>BD985/AS985</f>
        <v>0</v>
      </c>
      <c r="BF985" s="16">
        <v>1</v>
      </c>
      <c r="BG985" s="77">
        <v>34</v>
      </c>
      <c r="BH985" s="16">
        <f>BG985/AS985</f>
        <v>159.62441314553985</v>
      </c>
      <c r="BI985" s="16">
        <v>0</v>
      </c>
      <c r="BJ985" s="16">
        <v>0</v>
      </c>
      <c r="BK985" s="16">
        <f>BJ985/AS985</f>
        <v>0</v>
      </c>
      <c r="BL985" s="16">
        <f>IF(BM985&gt;0,1,0)</f>
        <v>0</v>
      </c>
      <c r="BM985" s="16">
        <f>SUM(BR985,BU985,BX985,CA985,CD985,CG985,CJ985,CM985,CP985)</f>
        <v>0</v>
      </c>
      <c r="BN985" s="16">
        <f>SUM(BW985,BZ985,CC985,CF985,CI985,CL985,CO985,CR985,BT985)</f>
        <v>0</v>
      </c>
      <c r="BO985" s="16">
        <f>IF(BP985&gt;0,1,0)</f>
        <v>0</v>
      </c>
      <c r="BP985" s="16">
        <f>SUM(BU985,BX985,CA985,CD985,BR985)</f>
        <v>0</v>
      </c>
      <c r="BQ985" s="16">
        <f>SUM(BZ985,CC985,CF985,BT985,BW985)</f>
        <v>0</v>
      </c>
      <c r="BR985" s="16">
        <v>0</v>
      </c>
      <c r="BS985" s="16">
        <v>0</v>
      </c>
      <c r="BT985" s="77">
        <f>BS985/AS985</f>
        <v>0</v>
      </c>
      <c r="BU985" s="16">
        <v>0</v>
      </c>
      <c r="BV985" s="16">
        <v>0</v>
      </c>
      <c r="BW985" s="16">
        <f>BV985/AS985</f>
        <v>0</v>
      </c>
      <c r="BX985" s="16">
        <v>0</v>
      </c>
      <c r="BY985" s="16">
        <v>0</v>
      </c>
      <c r="BZ985" s="16">
        <f>BY985/AS985</f>
        <v>0</v>
      </c>
      <c r="CA985" s="16">
        <v>0</v>
      </c>
      <c r="CB985" s="16">
        <v>0</v>
      </c>
      <c r="CC985" s="16">
        <f>CB985/AS985</f>
        <v>0</v>
      </c>
      <c r="CD985" s="77">
        <v>0</v>
      </c>
      <c r="CE985" s="16">
        <v>0</v>
      </c>
      <c r="CF985" s="16">
        <f>CE985/AS985</f>
        <v>0</v>
      </c>
      <c r="CG985" s="16">
        <v>0</v>
      </c>
      <c r="CH985" s="16">
        <v>0</v>
      </c>
      <c r="CI985" s="16">
        <f>CH985/AS985</f>
        <v>0</v>
      </c>
      <c r="CM985" s="16">
        <v>0</v>
      </c>
      <c r="CN985" s="16">
        <v>0</v>
      </c>
      <c r="CO985" s="16">
        <f>CN985/AS985</f>
        <v>0</v>
      </c>
      <c r="CP985" s="16">
        <v>0</v>
      </c>
      <c r="CQ985" s="16">
        <v>0</v>
      </c>
      <c r="CR985" s="16">
        <f>CQ985/AS985</f>
        <v>0</v>
      </c>
      <c r="CS985" s="16">
        <f>IF(CT985&gt;0,1,0)</f>
        <v>0</v>
      </c>
      <c r="CT985" s="16">
        <f>SUM(CW985,CZ985,DC985)</f>
        <v>0</v>
      </c>
      <c r="CV985" s="16">
        <f>SUM(CY985,DB985,DE985)</f>
        <v>0</v>
      </c>
      <c r="CW985" s="16">
        <v>0</v>
      </c>
      <c r="CX985" s="16">
        <v>0</v>
      </c>
      <c r="CY985" s="16">
        <f>CX985/AS985</f>
        <v>0</v>
      </c>
      <c r="CZ985" s="16">
        <v>0</v>
      </c>
      <c r="DA985" s="16">
        <v>0</v>
      </c>
      <c r="DB985" s="16">
        <f>DA985/AS985</f>
        <v>0</v>
      </c>
      <c r="DC985" s="16">
        <v>0</v>
      </c>
      <c r="DD985" s="16">
        <v>0</v>
      </c>
      <c r="DE985" s="16">
        <f>DD985/AS985</f>
        <v>0</v>
      </c>
      <c r="DF985" s="16" t="e">
        <f>VLOOKUP(K985,'[3]RNA Seq summary tables'!$V$3:$V$99,1,FALSE)</f>
        <v>#N/A</v>
      </c>
      <c r="DI985" s="16">
        <v>68</v>
      </c>
      <c r="DK985" s="16">
        <v>23</v>
      </c>
      <c r="DM985" s="16">
        <v>9</v>
      </c>
      <c r="DO985" s="16">
        <v>0</v>
      </c>
      <c r="DQ985" s="16">
        <v>0</v>
      </c>
      <c r="DR985" s="16">
        <f>SUM(DI985:DQ985)</f>
        <v>100</v>
      </c>
      <c r="JO985" s="18"/>
      <c r="JP985" s="18"/>
      <c r="JQ985" s="18"/>
    </row>
    <row r="986" spans="2:288" x14ac:dyDescent="0.2">
      <c r="B986" s="16">
        <v>2017</v>
      </c>
      <c r="C986" s="20">
        <v>42914</v>
      </c>
      <c r="D986" s="20" t="str">
        <f>CONCATENATE(J986,"-",C986)</f>
        <v>1124-42914</v>
      </c>
      <c r="E986" s="20" t="str">
        <f>CONCATENATE(T986,"-",U986,"-",C986)</f>
        <v>HW1-G3-42914</v>
      </c>
      <c r="F986" s="20" t="s">
        <v>106</v>
      </c>
      <c r="G986" s="20" t="s">
        <v>107</v>
      </c>
      <c r="I986" s="16">
        <v>0</v>
      </c>
      <c r="J986" s="21">
        <v>1124</v>
      </c>
      <c r="K986" s="21">
        <v>1791</v>
      </c>
      <c r="L986" s="18">
        <v>0</v>
      </c>
      <c r="M986" s="21">
        <f>VLOOKUP($K986,'[4]blood tubes 2017'!$D$1:$L$647,8,FALSE)</f>
        <v>0</v>
      </c>
      <c r="N986" s="15">
        <v>0</v>
      </c>
      <c r="O986" s="15" t="s">
        <v>214</v>
      </c>
      <c r="P986" s="16" t="s">
        <v>110</v>
      </c>
      <c r="Q986" s="16">
        <v>1</v>
      </c>
      <c r="R986" s="16">
        <v>17</v>
      </c>
      <c r="T986" s="16" t="s">
        <v>133</v>
      </c>
      <c r="U986" s="16" t="s">
        <v>179</v>
      </c>
      <c r="V986" s="16" t="s">
        <v>114</v>
      </c>
      <c r="W986" s="16">
        <f>AI986/AG986</f>
        <v>0.797752808988764</v>
      </c>
      <c r="X986" s="16" t="s">
        <v>115</v>
      </c>
      <c r="Y986" s="16" t="s">
        <v>110</v>
      </c>
      <c r="Z986" s="16">
        <v>3</v>
      </c>
      <c r="AE986" s="16" t="s">
        <v>123</v>
      </c>
      <c r="AF986" s="16" t="s">
        <v>123</v>
      </c>
      <c r="AG986" s="16">
        <f>AH986-AI986</f>
        <v>89</v>
      </c>
      <c r="AH986" s="16">
        <v>160</v>
      </c>
      <c r="AI986" s="16">
        <v>71</v>
      </c>
      <c r="AK986" s="16">
        <v>16.5</v>
      </c>
      <c r="AL986" s="16">
        <v>0</v>
      </c>
      <c r="AM986" s="16">
        <v>0</v>
      </c>
      <c r="AN986" s="16">
        <v>0</v>
      </c>
      <c r="AO986" s="16">
        <v>0</v>
      </c>
      <c r="AP986" s="16">
        <f>SUM(AL986:AN986)</f>
        <v>0</v>
      </c>
      <c r="AQ986" s="16">
        <v>1.6619999999999999</v>
      </c>
      <c r="AR986" s="16">
        <f>AP986-1.472</f>
        <v>-1.472</v>
      </c>
      <c r="AS986" s="16">
        <f>AQ986-1.472</f>
        <v>0.18999999999999995</v>
      </c>
      <c r="AT986" s="16" t="s">
        <v>233</v>
      </c>
      <c r="AW986" s="16">
        <f>IF(AX986&gt;0,1,0)</f>
        <v>1</v>
      </c>
      <c r="AX986" s="16">
        <f>SUM(BA986,BM986,CT986)</f>
        <v>1</v>
      </c>
      <c r="AY986" s="18">
        <f>SUM(BB986,BN986,CV986)</f>
        <v>18994.736842105267</v>
      </c>
      <c r="AZ986" s="16">
        <v>1</v>
      </c>
      <c r="BA986" s="16">
        <v>1</v>
      </c>
      <c r="BB986" s="16">
        <f>SUM(BE986,BH986,BK986)</f>
        <v>18994.736842105267</v>
      </c>
      <c r="BC986" s="16">
        <v>0</v>
      </c>
      <c r="BD986" s="16">
        <v>0</v>
      </c>
      <c r="BE986" s="16">
        <f>BD986/AS986</f>
        <v>0</v>
      </c>
      <c r="BF986" s="16">
        <v>1</v>
      </c>
      <c r="BG986" s="77">
        <v>3609</v>
      </c>
      <c r="BH986" s="16">
        <f>BG986/AS986</f>
        <v>18994.736842105267</v>
      </c>
      <c r="BI986" s="16">
        <v>0</v>
      </c>
      <c r="BJ986" s="16">
        <v>0</v>
      </c>
      <c r="BK986" s="16">
        <f>BJ986/AS986</f>
        <v>0</v>
      </c>
      <c r="BL986" s="16">
        <f>IF(BM986&gt;0,1,0)</f>
        <v>0</v>
      </c>
      <c r="BM986" s="16">
        <f>SUM(BR986,BU986,BX986,CA986,CD986,CG986,CJ986,CM986,CP986)</f>
        <v>0</v>
      </c>
      <c r="BN986" s="16">
        <f>SUM(BW986,BZ986,CC986,CF986,CI986,CL986,CO986,CR986,BT986)</f>
        <v>0</v>
      </c>
      <c r="BO986" s="16">
        <f>IF(BP986&gt;0,1,0)</f>
        <v>0</v>
      </c>
      <c r="BP986" s="16">
        <f>SUM(BU986,BX986,CA986,CD986,BR986)</f>
        <v>0</v>
      </c>
      <c r="BQ986" s="16">
        <f>SUM(BZ986,CC986,CF986,BT986,BW986)</f>
        <v>0</v>
      </c>
      <c r="BR986" s="16">
        <v>0</v>
      </c>
      <c r="BS986" s="16">
        <v>0</v>
      </c>
      <c r="BT986" s="77">
        <f>BS986/AS986</f>
        <v>0</v>
      </c>
      <c r="BU986" s="16">
        <v>0</v>
      </c>
      <c r="BV986" s="16">
        <v>0</v>
      </c>
      <c r="BW986" s="16">
        <f>BV986/AS986</f>
        <v>0</v>
      </c>
      <c r="BX986" s="16">
        <v>0</v>
      </c>
      <c r="BY986" s="16">
        <v>0</v>
      </c>
      <c r="BZ986" s="16">
        <f>BY986/AS986</f>
        <v>0</v>
      </c>
      <c r="CA986" s="16">
        <v>0</v>
      </c>
      <c r="CB986" s="16">
        <v>0</v>
      </c>
      <c r="CC986" s="16">
        <f>CB986/AS986</f>
        <v>0</v>
      </c>
      <c r="CD986" s="77">
        <v>0</v>
      </c>
      <c r="CE986" s="16">
        <v>0</v>
      </c>
      <c r="CF986" s="16">
        <f>CE986/AS986</f>
        <v>0</v>
      </c>
      <c r="CG986" s="16">
        <v>0</v>
      </c>
      <c r="CH986" s="16">
        <v>0</v>
      </c>
      <c r="CI986" s="16">
        <f>CH986/AS986</f>
        <v>0</v>
      </c>
      <c r="CM986" s="16">
        <v>0</v>
      </c>
      <c r="CN986" s="16">
        <v>0</v>
      </c>
      <c r="CO986" s="16">
        <f>CN986/AS986</f>
        <v>0</v>
      </c>
      <c r="CP986" s="16">
        <v>0</v>
      </c>
      <c r="CQ986" s="16">
        <v>0</v>
      </c>
      <c r="CR986" s="16">
        <f>CQ986/AS986</f>
        <v>0</v>
      </c>
      <c r="CS986" s="16">
        <v>0</v>
      </c>
      <c r="CT986" s="16">
        <v>0</v>
      </c>
      <c r="CV986" s="16">
        <f>SUM(CY986,DB986,DE986)</f>
        <v>0</v>
      </c>
      <c r="CW986" s="16">
        <v>0</v>
      </c>
      <c r="CX986" s="16">
        <v>0</v>
      </c>
      <c r="CY986" s="16">
        <f>CX986/AS986</f>
        <v>0</v>
      </c>
      <c r="CZ986" s="16">
        <v>0</v>
      </c>
      <c r="DA986" s="16">
        <v>0</v>
      </c>
      <c r="DB986" s="16">
        <f>DA986/AS986</f>
        <v>0</v>
      </c>
      <c r="DC986" s="16">
        <v>0</v>
      </c>
      <c r="DD986" s="16">
        <v>0</v>
      </c>
      <c r="DE986" s="16">
        <f>DD986/AS986</f>
        <v>0</v>
      </c>
      <c r="DF986" s="16" t="e">
        <f>VLOOKUP(K986,'[3]RNA Seq summary tables'!$V$3:$V$99,1,FALSE)</f>
        <v>#N/A</v>
      </c>
      <c r="DI986" s="16">
        <v>73</v>
      </c>
      <c r="DK986" s="16">
        <v>20</v>
      </c>
      <c r="DM986" s="16">
        <v>7</v>
      </c>
      <c r="DO986" s="16">
        <v>0</v>
      </c>
      <c r="DQ986" s="16">
        <v>0</v>
      </c>
      <c r="DR986" s="16">
        <f>SUM(DI986:DQ986)</f>
        <v>100</v>
      </c>
      <c r="JP986" s="18"/>
      <c r="JQ986" s="18"/>
      <c r="JR986" s="27"/>
      <c r="JS986" s="27"/>
      <c r="JT986" s="27"/>
      <c r="JU986" s="27"/>
      <c r="JV986" s="27"/>
      <c r="JW986" s="27"/>
      <c r="JX986" s="27"/>
      <c r="JY986" s="27"/>
      <c r="JZ986" s="27"/>
      <c r="KA986" s="27"/>
      <c r="KB986" s="27"/>
    </row>
    <row r="987" spans="2:288" ht="16" x14ac:dyDescent="0.2">
      <c r="B987" s="16">
        <v>2017</v>
      </c>
      <c r="C987" s="20">
        <v>42932</v>
      </c>
      <c r="D987" s="20" t="str">
        <f>CONCATENATE(J987,"-",C987)</f>
        <v>1124-42932</v>
      </c>
      <c r="E987" s="37" t="str">
        <f>CONCATENATE(T987,"-",U987,"-",C987)</f>
        <v>HW1-E3-42932</v>
      </c>
      <c r="F987" s="20" t="s">
        <v>106</v>
      </c>
      <c r="G987" s="20" t="s">
        <v>107</v>
      </c>
      <c r="I987" s="16">
        <v>0</v>
      </c>
      <c r="J987" s="21">
        <v>1124</v>
      </c>
      <c r="K987" s="21">
        <v>1928</v>
      </c>
      <c r="L987" s="18">
        <v>0</v>
      </c>
      <c r="M987" s="21">
        <f>VLOOKUP($K987,'[4]blood tubes 2017'!$D$1:$L$647,8,FALSE)</f>
        <v>0</v>
      </c>
      <c r="N987" s="15">
        <v>0</v>
      </c>
      <c r="O987" s="15" t="s">
        <v>214</v>
      </c>
      <c r="P987" s="16" t="s">
        <v>110</v>
      </c>
      <c r="Q987" s="16">
        <v>1</v>
      </c>
      <c r="R987" s="16">
        <v>18</v>
      </c>
      <c r="T987" s="16" t="s">
        <v>133</v>
      </c>
      <c r="U987" s="16" t="s">
        <v>225</v>
      </c>
      <c r="V987" s="16" t="s">
        <v>114</v>
      </c>
      <c r="W987" s="16">
        <f>AI987/AG987</f>
        <v>0.86046511627906974</v>
      </c>
      <c r="X987" s="16" t="s">
        <v>115</v>
      </c>
      <c r="Y987" s="16" t="s">
        <v>110</v>
      </c>
      <c r="Z987" s="16">
        <v>3</v>
      </c>
      <c r="AE987" s="16" t="s">
        <v>123</v>
      </c>
      <c r="AF987" s="16" t="s">
        <v>123</v>
      </c>
      <c r="AG987" s="16">
        <f>AH987-AI987</f>
        <v>86</v>
      </c>
      <c r="AH987" s="16">
        <v>160</v>
      </c>
      <c r="AI987" s="16">
        <v>74</v>
      </c>
      <c r="AK987" s="16">
        <v>18</v>
      </c>
      <c r="AL987" s="16">
        <v>0</v>
      </c>
      <c r="AM987" s="16">
        <v>0</v>
      </c>
      <c r="AN987" s="16">
        <v>0</v>
      </c>
      <c r="AO987" s="16">
        <v>0</v>
      </c>
      <c r="AP987" s="16">
        <f>SUM(AL987:AN987)</f>
        <v>0</v>
      </c>
      <c r="AQ987" s="16">
        <v>1.831</v>
      </c>
      <c r="AR987" s="16">
        <f>AP987-1.472</f>
        <v>-1.472</v>
      </c>
      <c r="AS987" s="16">
        <f>AQ987-1.472</f>
        <v>0.35899999999999999</v>
      </c>
      <c r="AT987" s="16" t="str">
        <f>VLOOKUP(E987,[2]Current!$A$1:$W$435,7,FALSE)</f>
        <v>JY</v>
      </c>
      <c r="AU987" s="16" t="s">
        <v>1288</v>
      </c>
      <c r="AW987" s="128">
        <f>IF(AX987&gt;0,1,0)</f>
        <v>1</v>
      </c>
      <c r="AX987" s="128">
        <f>SUM(BA987,BM987,CU987)</f>
        <v>2</v>
      </c>
      <c r="AY987" s="128">
        <f>SUM(BB987,BN987,CV987)</f>
        <v>2069.6378830083563</v>
      </c>
      <c r="AZ987" s="128">
        <f>IF(BA987&gt;0,1,0)</f>
        <v>1</v>
      </c>
      <c r="BA987" s="128">
        <f>SUM(BC987+BF987+BI987)</f>
        <v>2</v>
      </c>
      <c r="BB987" s="128">
        <f>SUM(BE987,BH987,BK987)</f>
        <v>2069.6378830083563</v>
      </c>
      <c r="BC987" s="130">
        <f>IF(BD987&gt;0,1,0)</f>
        <v>1</v>
      </c>
      <c r="BD987" s="128">
        <f>VLOOKUP($E987,[2]Current!$A:$AC,26,FALSE)</f>
        <v>1</v>
      </c>
      <c r="BE987" s="128">
        <f>BD987/$AS987</f>
        <v>2.785515320334262</v>
      </c>
      <c r="BF987" s="130">
        <f>IF(BG987&gt;0,1,0)</f>
        <v>1</v>
      </c>
      <c r="BG987" s="137">
        <f>VLOOKUP($E987,[2]Current!$A:$AC,27,FALSE)</f>
        <v>742</v>
      </c>
      <c r="BH987" s="128">
        <f>BG987/$AS987</f>
        <v>2066.8523676880222</v>
      </c>
      <c r="BI987" s="130">
        <f>IF(BJ987&gt;0,1,0)</f>
        <v>0</v>
      </c>
      <c r="BJ987" s="128">
        <f>VLOOKUP($E987,[2]Current!$A:$AC,28,FALSE)</f>
        <v>0</v>
      </c>
      <c r="BK987" s="128">
        <f>BJ987/$AS987</f>
        <v>0</v>
      </c>
      <c r="BL987" s="128">
        <f>IF(BM987&gt;0,1,0)</f>
        <v>0</v>
      </c>
      <c r="BM987" s="128">
        <f>SUM(BR987,BU987,BX987,CA987,CD987)</f>
        <v>0</v>
      </c>
      <c r="BN987" s="131">
        <f>SUM(BT987,BW987,BZ987,CC987,CF987)</f>
        <v>0</v>
      </c>
      <c r="BO987" s="128">
        <f>IF(BP987&gt;0,1,0)</f>
        <v>0</v>
      </c>
      <c r="BP987" s="128">
        <f>BM987+CJ987</f>
        <v>0</v>
      </c>
      <c r="BQ987" s="128">
        <f>BN987+CL987</f>
        <v>0</v>
      </c>
      <c r="BR987" s="130">
        <f>IF(BS987&gt;0,1,0)</f>
        <v>0</v>
      </c>
      <c r="BS987" s="128">
        <f>VLOOKUP($E987,[2]Current!$A:$AC,12,FALSE)</f>
        <v>0</v>
      </c>
      <c r="BT987" s="137">
        <f>BS987/$AS987</f>
        <v>0</v>
      </c>
      <c r="BU987" s="130">
        <f>IF(BV987&gt;0,1,0)</f>
        <v>0</v>
      </c>
      <c r="BV987" s="128">
        <f>VLOOKUP($E987,[2]Current!$A:$AC,13,FALSE)</f>
        <v>0</v>
      </c>
      <c r="BW987" s="128">
        <f>BV987/$AS987</f>
        <v>0</v>
      </c>
      <c r="BX987" s="130">
        <f>IF(BY987&gt;0,1,0)</f>
        <v>0</v>
      </c>
      <c r="BY987" s="128">
        <f>VLOOKUP($E987,[2]Current!$A:$AC,14,FALSE)</f>
        <v>0</v>
      </c>
      <c r="BZ987" s="128">
        <f>BY987/$AS987</f>
        <v>0</v>
      </c>
      <c r="CA987" s="130">
        <f>IF(CB987&gt;0,1,0)</f>
        <v>0</v>
      </c>
      <c r="CB987" s="128">
        <f>VLOOKUP($E987,[2]Current!$A:$AC,15,FALSE)</f>
        <v>0</v>
      </c>
      <c r="CC987" s="128">
        <f>CB987/$AS987</f>
        <v>0</v>
      </c>
      <c r="CD987" s="174">
        <f>IF(CE987&gt;0,1,0)</f>
        <v>0</v>
      </c>
      <c r="CE987" s="128">
        <f>VLOOKUP($E987,[2]Current!$A:$AC,16,FALSE)</f>
        <v>0</v>
      </c>
      <c r="CF987" s="128">
        <f>CE987/$AS987</f>
        <v>0</v>
      </c>
      <c r="CG987" s="18"/>
      <c r="CH987" s="18"/>
      <c r="CI987" s="18"/>
      <c r="CJ987" s="130">
        <f>IF(CK987&gt;0,1,0)</f>
        <v>0</v>
      </c>
      <c r="CK987" s="128">
        <f>VLOOKUP($E987,[2]Current!$A:$AC,18,FALSE)</f>
        <v>0</v>
      </c>
      <c r="CL987" s="128">
        <f>CK987/$AS987</f>
        <v>0</v>
      </c>
      <c r="CS987" s="130">
        <f>IF(CU987&gt;0,1,0)</f>
        <v>0</v>
      </c>
      <c r="CU987" s="128">
        <f>VLOOKUP($E987,[2]Current!$A:$AC,17,FALSE)</f>
        <v>0</v>
      </c>
      <c r="CV987" s="128">
        <f>CU987/$AS987</f>
        <v>0</v>
      </c>
      <c r="CW987" s="18"/>
      <c r="CX987" s="18"/>
      <c r="CY987" s="18"/>
      <c r="DF987" s="16" t="e">
        <f>VLOOKUP(K987,'[3]RNA Seq summary tables'!$V$3:$V$99,1,FALSE)</f>
        <v>#N/A</v>
      </c>
    </row>
    <row r="988" spans="2:288" ht="16" x14ac:dyDescent="0.2">
      <c r="B988" s="16">
        <v>2017</v>
      </c>
      <c r="C988" s="20">
        <v>42948</v>
      </c>
      <c r="D988" s="20" t="str">
        <f>CONCATENATE(J988,"-",C988)</f>
        <v>1124-42948</v>
      </c>
      <c r="E988" s="37" t="str">
        <f>CONCATENATE(T988,"-",U988,"-",C988)</f>
        <v>HW1-F7-42948</v>
      </c>
      <c r="F988" s="20" t="s">
        <v>106</v>
      </c>
      <c r="G988" s="20" t="s">
        <v>107</v>
      </c>
      <c r="I988" s="16">
        <v>0</v>
      </c>
      <c r="J988" s="21">
        <v>1124</v>
      </c>
      <c r="K988" s="21">
        <v>2055</v>
      </c>
      <c r="L988" s="18">
        <v>0</v>
      </c>
      <c r="M988" s="21">
        <f>VLOOKUP($K988,'[4]blood tubes 2017'!$D$1:$L$647,8,FALSE)</f>
        <v>0</v>
      </c>
      <c r="N988" s="15">
        <v>0</v>
      </c>
      <c r="O988" s="15" t="s">
        <v>214</v>
      </c>
      <c r="P988" s="16" t="s">
        <v>110</v>
      </c>
      <c r="Q988" s="16">
        <v>1</v>
      </c>
      <c r="R988" s="16">
        <v>16</v>
      </c>
      <c r="T988" s="16" t="s">
        <v>133</v>
      </c>
      <c r="U988" s="16" t="s">
        <v>189</v>
      </c>
      <c r="V988" s="16" t="s">
        <v>114</v>
      </c>
      <c r="W988" s="16">
        <f>AI988/AG988</f>
        <v>0.82417582417582413</v>
      </c>
      <c r="X988" s="16" t="s">
        <v>115</v>
      </c>
      <c r="Y988" s="16" t="s">
        <v>110</v>
      </c>
      <c r="Z988" s="16">
        <v>3</v>
      </c>
      <c r="AE988" s="16" t="s">
        <v>123</v>
      </c>
      <c r="AF988" s="16" t="s">
        <v>123</v>
      </c>
      <c r="AG988" s="16">
        <f>AH988-AI988</f>
        <v>91</v>
      </c>
      <c r="AH988" s="16">
        <v>166</v>
      </c>
      <c r="AI988" s="16">
        <v>75</v>
      </c>
      <c r="AK988" s="16">
        <v>19.5</v>
      </c>
      <c r="AL988" s="16">
        <v>1</v>
      </c>
      <c r="AM988" s="16">
        <v>0</v>
      </c>
      <c r="AN988" s="16">
        <v>0</v>
      </c>
      <c r="AO988" s="16">
        <v>1</v>
      </c>
      <c r="AP988" s="16">
        <f>SUM(AL988:AN988)</f>
        <v>1</v>
      </c>
      <c r="AQ988" s="16">
        <v>1.64</v>
      </c>
      <c r="AR988" s="16">
        <f>AP988-1.472</f>
        <v>-0.47199999999999998</v>
      </c>
      <c r="AS988" s="16">
        <f>AQ988-1.472</f>
        <v>0.16799999999999993</v>
      </c>
      <c r="AT988" s="16" t="str">
        <f>VLOOKUP(E988,[2]Current!$A$1:$W$435,7,FALSE)</f>
        <v>NB</v>
      </c>
      <c r="AU988" s="16" t="s">
        <v>1288</v>
      </c>
      <c r="AW988" s="128">
        <f>IF(AX988&gt;0,1,0)</f>
        <v>1</v>
      </c>
      <c r="AX988" s="128">
        <f>SUM(BA988,BM988,CU988)</f>
        <v>2</v>
      </c>
      <c r="AY988" s="128">
        <f>SUM(BB988,BN988,CV988)</f>
        <v>8446.4285714285761</v>
      </c>
      <c r="AZ988" s="128">
        <f>IF(BA988&gt;0,1,0)</f>
        <v>1</v>
      </c>
      <c r="BA988" s="128">
        <f>SUM(BC988+BF988+BI988)</f>
        <v>1</v>
      </c>
      <c r="BB988" s="128">
        <f>SUM(BE988,BH988,BK988)</f>
        <v>8428.571428571433</v>
      </c>
      <c r="BC988" s="130">
        <f>IF(BD988&gt;0,1,0)</f>
        <v>1</v>
      </c>
      <c r="BD988" s="128">
        <f>VLOOKUP($E988,[2]Current!$A:$AC,26,FALSE)</f>
        <v>1416</v>
      </c>
      <c r="BE988" s="128">
        <f>BD988/$AS988</f>
        <v>8428.571428571433</v>
      </c>
      <c r="BF988" s="130">
        <f>IF(BG988&gt;0,1,0)</f>
        <v>0</v>
      </c>
      <c r="BG988" s="137">
        <f>VLOOKUP($E988,[2]Current!$A:$AC,27,FALSE)</f>
        <v>0</v>
      </c>
      <c r="BH988" s="128">
        <f>BG988/$AS988</f>
        <v>0</v>
      </c>
      <c r="BI988" s="130">
        <f>IF(BJ988&gt;0,1,0)</f>
        <v>0</v>
      </c>
      <c r="BJ988" s="128">
        <f>VLOOKUP($E988,[2]Current!$A:$AC,28,FALSE)</f>
        <v>0</v>
      </c>
      <c r="BK988" s="128">
        <f>BJ988/$AS988</f>
        <v>0</v>
      </c>
      <c r="BL988" s="128">
        <f>IF(BM988&gt;0,1,0)</f>
        <v>1</v>
      </c>
      <c r="BM988" s="128">
        <f>SUM(BR988,BU988,BX988,CA988,CD988)</f>
        <v>1</v>
      </c>
      <c r="BN988" s="131">
        <f>SUM(BT988,BW988,BZ988,CC988,CF988)</f>
        <v>17.857142857142865</v>
      </c>
      <c r="BO988" s="128">
        <f>IF(BP988&gt;0,1,0)</f>
        <v>1</v>
      </c>
      <c r="BP988" s="128">
        <f>BM988+CJ988</f>
        <v>1</v>
      </c>
      <c r="BQ988" s="128">
        <f>BN988+CL988</f>
        <v>17.857142857142865</v>
      </c>
      <c r="BR988" s="130">
        <f>IF(BS988&gt;0,1,0)</f>
        <v>0</v>
      </c>
      <c r="BS988" s="128">
        <f>VLOOKUP($E988,[2]Current!$A:$AC,12,FALSE)</f>
        <v>0</v>
      </c>
      <c r="BT988" s="137">
        <f>BS988/$AS988</f>
        <v>0</v>
      </c>
      <c r="BU988" s="130">
        <f>IF(BV988&gt;0,1,0)</f>
        <v>0</v>
      </c>
      <c r="BV988" s="128">
        <f>VLOOKUP($E988,[2]Current!$A:$AC,13,FALSE)</f>
        <v>0</v>
      </c>
      <c r="BW988" s="128">
        <f>BV988/$AS988</f>
        <v>0</v>
      </c>
      <c r="BX988" s="130">
        <f>IF(BY988&gt;0,1,0)</f>
        <v>0</v>
      </c>
      <c r="BY988" s="128">
        <f>VLOOKUP($E988,[2]Current!$A:$AC,14,FALSE)</f>
        <v>0</v>
      </c>
      <c r="BZ988" s="128">
        <f>BY988/$AS988</f>
        <v>0</v>
      </c>
      <c r="CA988" s="130">
        <f>IF(CB988&gt;0,1,0)</f>
        <v>1</v>
      </c>
      <c r="CB988" s="128">
        <f>VLOOKUP($E988,[2]Current!$A:$AC,15,FALSE)</f>
        <v>3</v>
      </c>
      <c r="CC988" s="128">
        <f>CB988/$AS988</f>
        <v>17.857142857142865</v>
      </c>
      <c r="CD988" s="174">
        <f>IF(CE988&gt;0,1,0)</f>
        <v>0</v>
      </c>
      <c r="CE988" s="128">
        <f>VLOOKUP($E988,[2]Current!$A:$AC,16,FALSE)</f>
        <v>0</v>
      </c>
      <c r="CF988" s="128">
        <f>CE988/$AS988</f>
        <v>0</v>
      </c>
      <c r="CG988" s="18"/>
      <c r="CH988" s="18"/>
      <c r="CI988" s="18"/>
      <c r="CJ988" s="130">
        <f>IF(CK988&gt;0,1,0)</f>
        <v>0</v>
      </c>
      <c r="CK988" s="128">
        <f>VLOOKUP($E988,[2]Current!$A:$AC,18,FALSE)</f>
        <v>0</v>
      </c>
      <c r="CL988" s="128">
        <f>CK988/$AS988</f>
        <v>0</v>
      </c>
      <c r="CS988" s="130">
        <f>IF(CU988&gt;0,1,0)</f>
        <v>0</v>
      </c>
      <c r="CU988" s="128">
        <f>VLOOKUP($E988,[2]Current!$A:$AC,17,FALSE)</f>
        <v>0</v>
      </c>
      <c r="CV988" s="128">
        <f>CU988/$AS988</f>
        <v>0</v>
      </c>
      <c r="CW988" s="18"/>
      <c r="CX988" s="18"/>
      <c r="CY988" s="18"/>
      <c r="DF988" s="16" t="e">
        <f>VLOOKUP(K988,'[3]RNA Seq summary tables'!$V$3:$V$99,1,FALSE)</f>
        <v>#N/A</v>
      </c>
    </row>
    <row r="989" spans="2:288" x14ac:dyDescent="0.2">
      <c r="B989" s="16">
        <v>2017</v>
      </c>
      <c r="C989" s="20">
        <v>42898</v>
      </c>
      <c r="D989" s="20" t="str">
        <f>CONCATENATE(J989,"-",C989)</f>
        <v>1126-42898</v>
      </c>
      <c r="E989" s="20" t="str">
        <f>CONCATENATE(T989,"-",U989,"-",C989)</f>
        <v>HW2-C5-42898</v>
      </c>
      <c r="F989" s="20" t="s">
        <v>106</v>
      </c>
      <c r="G989" s="20" t="s">
        <v>107</v>
      </c>
      <c r="H989" s="16" t="s">
        <v>244</v>
      </c>
      <c r="I989" s="16">
        <v>0</v>
      </c>
      <c r="J989" s="21">
        <v>1126</v>
      </c>
      <c r="K989" s="21">
        <v>1676</v>
      </c>
      <c r="L989" s="18">
        <v>0</v>
      </c>
      <c r="M989" s="21">
        <f>VLOOKUP($K989,'[4]blood tubes 2017'!$D$1:$L$647,8,FALSE)</f>
        <v>0</v>
      </c>
      <c r="N989" s="15">
        <v>0</v>
      </c>
      <c r="O989" s="15" t="s">
        <v>214</v>
      </c>
      <c r="P989" s="16" t="s">
        <v>110</v>
      </c>
      <c r="Q989" s="16">
        <v>0</v>
      </c>
      <c r="R989" s="16" t="s">
        <v>111</v>
      </c>
      <c r="T989" s="16" t="s">
        <v>129</v>
      </c>
      <c r="U989" s="16" t="s">
        <v>172</v>
      </c>
      <c r="V989" s="16" t="s">
        <v>114</v>
      </c>
      <c r="W989" s="16">
        <f>AI989/AG989</f>
        <v>0.88461538461538458</v>
      </c>
      <c r="X989" s="16" t="s">
        <v>121</v>
      </c>
      <c r="Y989" s="16" t="s">
        <v>110</v>
      </c>
      <c r="Z989" s="16">
        <v>3</v>
      </c>
      <c r="AA989" s="16" t="s">
        <v>119</v>
      </c>
      <c r="AB989" s="16" t="s">
        <v>123</v>
      </c>
      <c r="AC989" s="16" t="s">
        <v>123</v>
      </c>
      <c r="AD989" s="16" t="s">
        <v>123</v>
      </c>
      <c r="AG989" s="16">
        <f>AH989-AI989</f>
        <v>78</v>
      </c>
      <c r="AH989" s="16">
        <v>147</v>
      </c>
      <c r="AI989" s="16">
        <v>69</v>
      </c>
      <c r="AK989" s="16">
        <v>16</v>
      </c>
      <c r="AL989" s="16">
        <v>0</v>
      </c>
      <c r="AM989" s="16">
        <v>0</v>
      </c>
      <c r="AN989" s="16">
        <v>0</v>
      </c>
      <c r="AO989" s="16">
        <v>0</v>
      </c>
      <c r="AP989" s="16">
        <f>SUM(AL989:AN989)</f>
        <v>0</v>
      </c>
      <c r="AQ989" s="16">
        <v>1.605</v>
      </c>
      <c r="AR989" s="16">
        <f>AP989-1.472</f>
        <v>-1.472</v>
      </c>
      <c r="AS989" s="16">
        <f>AQ989-1.472</f>
        <v>0.13300000000000001</v>
      </c>
      <c r="AT989" s="16" t="s">
        <v>234</v>
      </c>
      <c r="AW989" s="16">
        <f>IF(AX989&gt;0,1,0)</f>
        <v>1</v>
      </c>
      <c r="AX989" s="16">
        <f>SUM(BA989,BM989,CT989)</f>
        <v>2</v>
      </c>
      <c r="AY989" s="18">
        <f>SUM(BB989,BN989,CV989)</f>
        <v>45.112781954887218</v>
      </c>
      <c r="AZ989" s="16">
        <f>IF(BA989&gt;0,1,0)</f>
        <v>1</v>
      </c>
      <c r="BA989" s="16">
        <f>SUM(BC989,BF989,BI989)</f>
        <v>2</v>
      </c>
      <c r="BB989" s="16">
        <f>SUM(BE989,BH989,BK989)</f>
        <v>45.112781954887218</v>
      </c>
      <c r="BC989" s="16">
        <v>0</v>
      </c>
      <c r="BD989" s="16">
        <v>0</v>
      </c>
      <c r="BE989" s="16">
        <f>BD989/AS989</f>
        <v>0</v>
      </c>
      <c r="BF989" s="16">
        <v>1</v>
      </c>
      <c r="BG989" s="77">
        <v>4</v>
      </c>
      <c r="BH989" s="16">
        <f>BG989/AS989</f>
        <v>30.075187969924812</v>
      </c>
      <c r="BI989" s="16">
        <v>1</v>
      </c>
      <c r="BJ989" s="16">
        <v>2</v>
      </c>
      <c r="BK989" s="16">
        <f>BJ989/AS989</f>
        <v>15.037593984962406</v>
      </c>
      <c r="BL989" s="16">
        <f>IF(BM989&gt;0,1,0)</f>
        <v>0</v>
      </c>
      <c r="BM989" s="16">
        <f>SUM(BR989,BU989,BX989,CA989,CD989,CG989,CJ989,CM989,CP989)</f>
        <v>0</v>
      </c>
      <c r="BN989" s="16">
        <f>SUM(BW989,BZ989,CC989,CF989,CI989,CL989,CO989,CR989,BT989)</f>
        <v>0</v>
      </c>
      <c r="BO989" s="16">
        <f>IF(BP989&gt;0,1,0)</f>
        <v>0</v>
      </c>
      <c r="BP989" s="16">
        <f>SUM(BU989,BX989,CA989,CD989,BR989)</f>
        <v>0</v>
      </c>
      <c r="BQ989" s="16">
        <f>SUM(BZ989,CC989,CF989,BT989,BW989)</f>
        <v>0</v>
      </c>
      <c r="BR989" s="16">
        <v>0</v>
      </c>
      <c r="BS989" s="16">
        <v>0</v>
      </c>
      <c r="BT989" s="77">
        <f>BS989/AS989</f>
        <v>0</v>
      </c>
      <c r="BU989" s="16">
        <v>0</v>
      </c>
      <c r="BV989" s="16">
        <v>0</v>
      </c>
      <c r="BW989" s="16">
        <f>BV989/AS989</f>
        <v>0</v>
      </c>
      <c r="BX989" s="16">
        <v>0</v>
      </c>
      <c r="BY989" s="16">
        <v>0</v>
      </c>
      <c r="BZ989" s="16">
        <f>BY989/AS989</f>
        <v>0</v>
      </c>
      <c r="CA989" s="16">
        <v>0</v>
      </c>
      <c r="CB989" s="16">
        <v>0</v>
      </c>
      <c r="CC989" s="16">
        <f>CB989/AS989</f>
        <v>0</v>
      </c>
      <c r="CD989" s="77">
        <v>0</v>
      </c>
      <c r="CE989" s="16">
        <v>0</v>
      </c>
      <c r="CF989" s="16">
        <f>CE989/AS989</f>
        <v>0</v>
      </c>
      <c r="CG989" s="16">
        <v>0</v>
      </c>
      <c r="CH989" s="16">
        <v>0</v>
      </c>
      <c r="CI989" s="16">
        <f>CH989/AS989</f>
        <v>0</v>
      </c>
      <c r="CM989" s="16">
        <v>0</v>
      </c>
      <c r="CN989" s="16">
        <v>0</v>
      </c>
      <c r="CO989" s="16">
        <f>CN989/AS989</f>
        <v>0</v>
      </c>
      <c r="CP989" s="16">
        <v>0</v>
      </c>
      <c r="CQ989" s="16">
        <v>0</v>
      </c>
      <c r="CR989" s="16">
        <f>CQ989/AS989</f>
        <v>0</v>
      </c>
      <c r="CS989" s="16">
        <f>IF(CT989&gt;0,1,0)</f>
        <v>0</v>
      </c>
      <c r="CT989" s="16">
        <f>SUM(CW989,CZ989,DC989)</f>
        <v>0</v>
      </c>
      <c r="CV989" s="16">
        <f>SUM(CY989,DB989,DE989)</f>
        <v>0</v>
      </c>
      <c r="CW989" s="16">
        <v>0</v>
      </c>
      <c r="CX989" s="16">
        <v>0</v>
      </c>
      <c r="CY989" s="16">
        <f>CX989/AS989</f>
        <v>0</v>
      </c>
      <c r="CZ989" s="16">
        <v>0</v>
      </c>
      <c r="DA989" s="16">
        <v>0</v>
      </c>
      <c r="DB989" s="16">
        <f>DA989/AS989</f>
        <v>0</v>
      </c>
      <c r="DC989" s="16">
        <v>0</v>
      </c>
      <c r="DD989" s="16">
        <v>0</v>
      </c>
      <c r="DE989" s="16">
        <f>DD989/AS989</f>
        <v>0</v>
      </c>
      <c r="DF989" s="16" t="e">
        <f>VLOOKUP(K989,'[3]RNA Seq summary tables'!$V$3:$V$99,1,FALSE)</f>
        <v>#N/A</v>
      </c>
      <c r="DI989" s="16">
        <v>22</v>
      </c>
      <c r="DK989" s="16">
        <v>26</v>
      </c>
      <c r="DM989" s="16">
        <v>2</v>
      </c>
      <c r="DO989" s="16">
        <v>0</v>
      </c>
      <c r="DQ989" s="16">
        <v>0</v>
      </c>
      <c r="DR989" s="16">
        <f>SUM(DI989:DQ989)</f>
        <v>50</v>
      </c>
      <c r="JP989" s="18"/>
      <c r="JQ989" s="18"/>
    </row>
    <row r="990" spans="2:288" s="18" customFormat="1" x14ac:dyDescent="0.2">
      <c r="B990" s="16">
        <v>2017</v>
      </c>
      <c r="C990" s="20">
        <v>42898</v>
      </c>
      <c r="D990" s="20" t="str">
        <f>CONCATENATE(J990,"-",C990)</f>
        <v>1128-42898</v>
      </c>
      <c r="E990" s="20" t="str">
        <f>CONCATENATE(T990,"-",U990,"-",C990)</f>
        <v>HW1-F5-42898</v>
      </c>
      <c r="F990" s="20" t="s">
        <v>106</v>
      </c>
      <c r="G990" s="20" t="s">
        <v>107</v>
      </c>
      <c r="H990" s="16"/>
      <c r="I990" s="16">
        <v>0</v>
      </c>
      <c r="J990" s="21">
        <v>1128</v>
      </c>
      <c r="K990" s="21">
        <v>1679</v>
      </c>
      <c r="L990" s="18">
        <v>0</v>
      </c>
      <c r="M990" s="21">
        <f>VLOOKUP($K990,'[4]blood tubes 2017'!$D$1:$L$647,8,FALSE)</f>
        <v>0</v>
      </c>
      <c r="N990" s="15">
        <v>0</v>
      </c>
      <c r="O990" s="15" t="s">
        <v>214</v>
      </c>
      <c r="P990" s="16" t="s">
        <v>110</v>
      </c>
      <c r="Q990" s="16">
        <v>0</v>
      </c>
      <c r="R990" s="16" t="s">
        <v>111</v>
      </c>
      <c r="S990" s="16"/>
      <c r="T990" s="16" t="s">
        <v>133</v>
      </c>
      <c r="U990" s="16" t="s">
        <v>185</v>
      </c>
      <c r="V990" s="16" t="s">
        <v>114</v>
      </c>
      <c r="W990" s="16">
        <f>AI990/AG990</f>
        <v>0.82926829268292679</v>
      </c>
      <c r="X990" s="16" t="s">
        <v>115</v>
      </c>
      <c r="Y990" s="16" t="s">
        <v>110</v>
      </c>
      <c r="Z990" s="16">
        <v>3</v>
      </c>
      <c r="AA990" s="16"/>
      <c r="AB990" s="16"/>
      <c r="AC990" s="16"/>
      <c r="AD990" s="16"/>
      <c r="AE990" s="16" t="s">
        <v>123</v>
      </c>
      <c r="AF990" s="16" t="s">
        <v>123</v>
      </c>
      <c r="AG990" s="16">
        <f>AH990-AI990</f>
        <v>82</v>
      </c>
      <c r="AH990" s="16">
        <v>150</v>
      </c>
      <c r="AI990" s="16">
        <v>68</v>
      </c>
      <c r="AJ990" s="16"/>
      <c r="AK990" s="16">
        <v>18</v>
      </c>
      <c r="AL990" s="16">
        <v>1</v>
      </c>
      <c r="AM990" s="16">
        <v>0</v>
      </c>
      <c r="AN990" s="16">
        <v>0</v>
      </c>
      <c r="AO990" s="16">
        <v>1</v>
      </c>
      <c r="AP990" s="16">
        <f>SUM(AL990:AN990)</f>
        <v>1</v>
      </c>
      <c r="AQ990" s="16">
        <v>1.506</v>
      </c>
      <c r="AR990" s="16">
        <f>AP990-1.472</f>
        <v>-0.47199999999999998</v>
      </c>
      <c r="AS990" s="16">
        <f>AQ990-1.472</f>
        <v>3.400000000000003E-2</v>
      </c>
      <c r="AT990" s="16" t="s">
        <v>164</v>
      </c>
      <c r="AU990" s="16"/>
      <c r="AV990" s="16">
        <v>1</v>
      </c>
      <c r="AW990" s="16">
        <f>IF(AX990&gt;0,1,0)</f>
        <v>0</v>
      </c>
      <c r="AX990" s="16">
        <f>SUM(BA990,BM990,CT990)</f>
        <v>0</v>
      </c>
      <c r="AY990" s="18">
        <f>SUM(BB990,BN990,CV990)</f>
        <v>0</v>
      </c>
      <c r="AZ990" s="16">
        <f>IF(BA990&gt;0,1,0)</f>
        <v>0</v>
      </c>
      <c r="BA990" s="16">
        <f>SUM(BC990,BF990,BI990)</f>
        <v>0</v>
      </c>
      <c r="BB990" s="16">
        <f>SUM(BE990,BH990,BK990)</f>
        <v>0</v>
      </c>
      <c r="BC990" s="16">
        <v>0</v>
      </c>
      <c r="BD990" s="16">
        <v>0</v>
      </c>
      <c r="BE990" s="16">
        <f>BD990/AS990</f>
        <v>0</v>
      </c>
      <c r="BF990" s="16">
        <v>0</v>
      </c>
      <c r="BG990" s="77">
        <v>0</v>
      </c>
      <c r="BH990" s="16">
        <f>BG990/AS990</f>
        <v>0</v>
      </c>
      <c r="BI990" s="16">
        <v>0</v>
      </c>
      <c r="BJ990" s="16">
        <v>0</v>
      </c>
      <c r="BK990" s="16">
        <f>BJ990/AS990</f>
        <v>0</v>
      </c>
      <c r="BL990" s="16">
        <f>IF(BM990&gt;0,1,0)</f>
        <v>0</v>
      </c>
      <c r="BM990" s="16">
        <f>SUM(BR990,BU990,BX990,CA990,CD990,CG990,CJ990,CM990,CP990)</f>
        <v>0</v>
      </c>
      <c r="BN990" s="16">
        <f>SUM(BW990,BZ990,CC990,CF990,CI990,CL990,CO990,CR990,BT990)</f>
        <v>0</v>
      </c>
      <c r="BO990" s="16">
        <f>IF(BP990&gt;0,1,0)</f>
        <v>0</v>
      </c>
      <c r="BP990" s="16">
        <f>SUM(BU990,BX990,CA990,CD990,BR990)</f>
        <v>0</v>
      </c>
      <c r="BQ990" s="16">
        <f>SUM(BZ990,CC990,CF990,BT990,BW990)</f>
        <v>0</v>
      </c>
      <c r="BR990" s="16">
        <v>0</v>
      </c>
      <c r="BS990" s="16">
        <v>0</v>
      </c>
      <c r="BT990" s="77">
        <f>BS990/AS990</f>
        <v>0</v>
      </c>
      <c r="BU990" s="16">
        <v>0</v>
      </c>
      <c r="BV990" s="16">
        <v>0</v>
      </c>
      <c r="BW990" s="16">
        <f>BV990/AS990</f>
        <v>0</v>
      </c>
      <c r="BX990" s="16">
        <v>0</v>
      </c>
      <c r="BY990" s="16">
        <v>0</v>
      </c>
      <c r="BZ990" s="16">
        <f>BY990/AS990</f>
        <v>0</v>
      </c>
      <c r="CA990" s="16">
        <v>0</v>
      </c>
      <c r="CB990" s="16">
        <v>0</v>
      </c>
      <c r="CC990" s="16">
        <f>CB990/AS990</f>
        <v>0</v>
      </c>
      <c r="CD990" s="77">
        <v>0</v>
      </c>
      <c r="CE990" s="16">
        <v>0</v>
      </c>
      <c r="CF990" s="16">
        <f>CE990/AS990</f>
        <v>0</v>
      </c>
      <c r="CG990" s="16">
        <v>0</v>
      </c>
      <c r="CH990" s="16">
        <v>0</v>
      </c>
      <c r="CI990" s="16">
        <f>CH990/AS990</f>
        <v>0</v>
      </c>
      <c r="CJ990" s="16"/>
      <c r="CK990" s="16"/>
      <c r="CL990" s="16"/>
      <c r="CM990" s="16">
        <v>0</v>
      </c>
      <c r="CN990" s="16">
        <v>0</v>
      </c>
      <c r="CO990" s="16">
        <f>CN990/AS990</f>
        <v>0</v>
      </c>
      <c r="CP990" s="16">
        <v>0</v>
      </c>
      <c r="CQ990" s="16">
        <v>0</v>
      </c>
      <c r="CR990" s="16">
        <f>CQ990/AS990</f>
        <v>0</v>
      </c>
      <c r="CS990" s="16">
        <f>IF(CT990&gt;0,1,0)</f>
        <v>0</v>
      </c>
      <c r="CT990" s="16">
        <f>SUM(CW990,CZ990,DC990)</f>
        <v>0</v>
      </c>
      <c r="CU990" s="16"/>
      <c r="CV990" s="16">
        <f>SUM(CY990,DB990,DE990)</f>
        <v>0</v>
      </c>
      <c r="CW990" s="16">
        <v>0</v>
      </c>
      <c r="CX990" s="16">
        <v>0</v>
      </c>
      <c r="CY990" s="16">
        <f>CX990/AS990</f>
        <v>0</v>
      </c>
      <c r="CZ990" s="16">
        <v>0</v>
      </c>
      <c r="DA990" s="16">
        <v>0</v>
      </c>
      <c r="DB990" s="16">
        <f>DA990/AS990</f>
        <v>0</v>
      </c>
      <c r="DC990" s="16">
        <v>0</v>
      </c>
      <c r="DD990" s="16">
        <v>0</v>
      </c>
      <c r="DE990" s="16">
        <f>DD990/AS990</f>
        <v>0</v>
      </c>
      <c r="DF990" s="16" t="e">
        <f>VLOOKUP(K990,'[3]RNA Seq summary tables'!$V$3:$V$99,1,FALSE)</f>
        <v>#N/A</v>
      </c>
      <c r="DG990" s="16"/>
      <c r="DH990" s="16"/>
      <c r="DI990" s="16">
        <v>56</v>
      </c>
      <c r="DJ990" s="16"/>
      <c r="DK990" s="16">
        <v>33</v>
      </c>
      <c r="DL990" s="16"/>
      <c r="DM990" s="16">
        <v>11</v>
      </c>
      <c r="DN990" s="16"/>
      <c r="DO990" s="16">
        <v>0</v>
      </c>
      <c r="DP990" s="16"/>
      <c r="DQ990" s="16">
        <v>0</v>
      </c>
      <c r="DR990" s="16">
        <f>SUM(DI990:DQ990)</f>
        <v>100</v>
      </c>
      <c r="DS990" s="16"/>
      <c r="JO990" s="16"/>
      <c r="JP990" s="16"/>
      <c r="JQ990" s="16"/>
      <c r="JR990" s="16"/>
      <c r="JS990" s="16"/>
      <c r="JT990" s="16"/>
      <c r="JU990" s="16"/>
      <c r="JV990" s="16"/>
      <c r="JW990" s="16"/>
      <c r="JX990" s="16"/>
      <c r="JY990" s="16"/>
      <c r="JZ990" s="16"/>
      <c r="KA990" s="16"/>
      <c r="KB990" s="16"/>
    </row>
    <row r="991" spans="2:288" x14ac:dyDescent="0.2">
      <c r="B991" s="16">
        <v>2017</v>
      </c>
      <c r="C991" s="20">
        <v>42898</v>
      </c>
      <c r="D991" s="20" t="str">
        <f>CONCATENATE(J991,"-",C991)</f>
        <v>1130-42898</v>
      </c>
      <c r="E991" s="20" t="str">
        <f>CONCATENATE(T991,"-",U991,"-",C991)</f>
        <v>HW1-G8-42898</v>
      </c>
      <c r="F991" s="20" t="s">
        <v>106</v>
      </c>
      <c r="G991" s="20" t="s">
        <v>107</v>
      </c>
      <c r="I991" s="16">
        <v>0</v>
      </c>
      <c r="J991" s="21">
        <v>1130</v>
      </c>
      <c r="K991" s="21">
        <v>1681</v>
      </c>
      <c r="L991" s="18">
        <v>0</v>
      </c>
      <c r="M991" s="21">
        <f>VLOOKUP($K991,'[4]blood tubes 2017'!$D$1:$L$647,8,FALSE)</f>
        <v>0</v>
      </c>
      <c r="N991" s="15">
        <v>0</v>
      </c>
      <c r="O991" s="15" t="s">
        <v>214</v>
      </c>
      <c r="P991" s="16" t="s">
        <v>110</v>
      </c>
      <c r="Q991" s="16">
        <v>0</v>
      </c>
      <c r="R991" s="16" t="s">
        <v>111</v>
      </c>
      <c r="T991" s="16" t="s">
        <v>133</v>
      </c>
      <c r="U991" s="16" t="s">
        <v>216</v>
      </c>
      <c r="V991" s="16" t="s">
        <v>114</v>
      </c>
      <c r="W991" s="16">
        <f>AI991/AG991</f>
        <v>0.87058823529411766</v>
      </c>
      <c r="X991" s="16" t="s">
        <v>121</v>
      </c>
      <c r="Y991" s="16" t="s">
        <v>110</v>
      </c>
      <c r="Z991" s="16">
        <v>3</v>
      </c>
      <c r="AA991" s="16" t="s">
        <v>119</v>
      </c>
      <c r="AB991" s="16" t="s">
        <v>239</v>
      </c>
      <c r="AC991" s="16" t="s">
        <v>123</v>
      </c>
      <c r="AD991" s="16" t="s">
        <v>123</v>
      </c>
      <c r="AG991" s="16">
        <f>AH991-AI991</f>
        <v>85</v>
      </c>
      <c r="AH991" s="16">
        <v>159</v>
      </c>
      <c r="AI991" s="16">
        <v>74</v>
      </c>
      <c r="AK991" s="16">
        <v>25.5</v>
      </c>
      <c r="AL991" s="16">
        <v>0</v>
      </c>
      <c r="AM991" s="16">
        <v>0</v>
      </c>
      <c r="AN991" s="16">
        <v>0</v>
      </c>
      <c r="AO991" s="16">
        <v>0</v>
      </c>
      <c r="AP991" s="16">
        <f>SUM(AL991:AN991)</f>
        <v>0</v>
      </c>
      <c r="AQ991" s="16">
        <v>2.1040000000000001</v>
      </c>
      <c r="AR991" s="16">
        <f>AP991-1.472</f>
        <v>-1.472</v>
      </c>
      <c r="AS991" s="16">
        <f>AQ991-1.472</f>
        <v>0.63200000000000012</v>
      </c>
      <c r="AT991" s="16" t="s">
        <v>119</v>
      </c>
      <c r="AV991" s="16">
        <v>1</v>
      </c>
      <c r="AW991" s="16">
        <f>IF(AX991&gt;0,1,0)</f>
        <v>0</v>
      </c>
      <c r="AX991" s="16">
        <f>SUM(BA991,BM991,CT991)</f>
        <v>0</v>
      </c>
      <c r="AY991" s="18">
        <f>SUM(BB991,BN991,CV991)</f>
        <v>0</v>
      </c>
      <c r="AZ991" s="16">
        <f>IF(BA991&gt;0,1,0)</f>
        <v>0</v>
      </c>
      <c r="BA991" s="16">
        <f>SUM(BC991,BF991,BI991)</f>
        <v>0</v>
      </c>
      <c r="BB991" s="16">
        <f>SUM(BE991,BH991,BK991)</f>
        <v>0</v>
      </c>
      <c r="BC991" s="16">
        <v>0</v>
      </c>
      <c r="BD991" s="16">
        <v>0</v>
      </c>
      <c r="BE991" s="16">
        <f>BD991/AS991</f>
        <v>0</v>
      </c>
      <c r="BF991" s="16">
        <v>0</v>
      </c>
      <c r="BG991" s="77">
        <v>0</v>
      </c>
      <c r="BH991" s="16">
        <f>BG991/AS991</f>
        <v>0</v>
      </c>
      <c r="BI991" s="16">
        <v>0</v>
      </c>
      <c r="BJ991" s="16">
        <v>0</v>
      </c>
      <c r="BK991" s="16">
        <f>BJ991/AS991</f>
        <v>0</v>
      </c>
      <c r="BL991" s="16">
        <f>IF(BM991&gt;0,1,0)</f>
        <v>0</v>
      </c>
      <c r="BM991" s="16">
        <f>SUM(BR991,BU991,BX991,CA991,CD991,CG991,CJ991,CM991,CP991)</f>
        <v>0</v>
      </c>
      <c r="BN991" s="16">
        <f>SUM(BW991,BZ991,CC991,CF991,CI991,CL991,CO991,CR991,BT991)</f>
        <v>0</v>
      </c>
      <c r="BO991" s="16">
        <f>IF(BP991&gt;0,1,0)</f>
        <v>0</v>
      </c>
      <c r="BP991" s="16">
        <f>SUM(BU991,BX991,CA991,CD991,BR991)</f>
        <v>0</v>
      </c>
      <c r="BQ991" s="16">
        <f>SUM(BZ991,CC991,CF991,BT991,BW991)</f>
        <v>0</v>
      </c>
      <c r="BR991" s="16">
        <v>0</v>
      </c>
      <c r="BS991" s="16">
        <v>0</v>
      </c>
      <c r="BT991" s="77">
        <f>BS991/AS991</f>
        <v>0</v>
      </c>
      <c r="BU991" s="16">
        <v>0</v>
      </c>
      <c r="BV991" s="16">
        <v>0</v>
      </c>
      <c r="BW991" s="16">
        <f>BV991/AS991</f>
        <v>0</v>
      </c>
      <c r="BX991" s="16">
        <v>0</v>
      </c>
      <c r="BY991" s="16">
        <v>0</v>
      </c>
      <c r="BZ991" s="16">
        <f>BY991/AS991</f>
        <v>0</v>
      </c>
      <c r="CA991" s="16">
        <v>0</v>
      </c>
      <c r="CB991" s="16">
        <v>0</v>
      </c>
      <c r="CC991" s="16">
        <f>CB991/AS991</f>
        <v>0</v>
      </c>
      <c r="CD991" s="77">
        <v>0</v>
      </c>
      <c r="CE991" s="16">
        <v>0</v>
      </c>
      <c r="CF991" s="16">
        <f>CE991/AS991</f>
        <v>0</v>
      </c>
      <c r="CG991" s="16">
        <v>0</v>
      </c>
      <c r="CH991" s="16">
        <v>0</v>
      </c>
      <c r="CI991" s="16">
        <f>CH991/AS991</f>
        <v>0</v>
      </c>
      <c r="CM991" s="16">
        <v>0</v>
      </c>
      <c r="CN991" s="16">
        <v>0</v>
      </c>
      <c r="CO991" s="16">
        <f>CN991/AS991</f>
        <v>0</v>
      </c>
      <c r="CP991" s="16">
        <v>0</v>
      </c>
      <c r="CQ991" s="16">
        <v>0</v>
      </c>
      <c r="CR991" s="16">
        <f>CQ991/AS991</f>
        <v>0</v>
      </c>
      <c r="CS991" s="16">
        <f>IF(CT991&gt;0,1,0)</f>
        <v>0</v>
      </c>
      <c r="CT991" s="16">
        <f>SUM(CW991,CZ991,DC991)</f>
        <v>0</v>
      </c>
      <c r="CV991" s="16">
        <f>SUM(CY991,DB991,DE991)</f>
        <v>0</v>
      </c>
      <c r="CW991" s="16">
        <v>0</v>
      </c>
      <c r="CX991" s="16">
        <v>0</v>
      </c>
      <c r="CY991" s="16">
        <f>CX991/AS991</f>
        <v>0</v>
      </c>
      <c r="CZ991" s="16">
        <v>0</v>
      </c>
      <c r="DA991" s="16">
        <v>0</v>
      </c>
      <c r="DB991" s="16">
        <f>DA991/AS991</f>
        <v>0</v>
      </c>
      <c r="DC991" s="16">
        <v>0</v>
      </c>
      <c r="DD991" s="16">
        <v>0</v>
      </c>
      <c r="DE991" s="16">
        <f>DD991/AS991</f>
        <v>0</v>
      </c>
      <c r="DF991" s="16" t="e">
        <f>VLOOKUP(K991,'[3]RNA Seq summary tables'!$V$3:$V$99,1,FALSE)</f>
        <v>#N/A</v>
      </c>
      <c r="DI991" s="16">
        <v>25</v>
      </c>
      <c r="DK991" s="16">
        <v>62</v>
      </c>
      <c r="DM991" s="16">
        <v>13</v>
      </c>
      <c r="DO991" s="16">
        <v>0</v>
      </c>
      <c r="DQ991" s="16">
        <v>0</v>
      </c>
      <c r="DR991" s="16">
        <f>SUM(DI991:DQ991)</f>
        <v>100</v>
      </c>
      <c r="JP991" s="18"/>
      <c r="JQ991" s="18"/>
    </row>
    <row r="992" spans="2:288" x14ac:dyDescent="0.2">
      <c r="B992" s="16">
        <v>2017</v>
      </c>
      <c r="C992" s="20">
        <v>42914</v>
      </c>
      <c r="D992" s="20" t="str">
        <f>CONCATENATE(J992,"-",C992)</f>
        <v>1130-42914</v>
      </c>
      <c r="E992" s="20" t="str">
        <f>CONCATENATE(T992,"-",U992,"-",C992)</f>
        <v>HW1-F7-42914</v>
      </c>
      <c r="F992" s="20" t="s">
        <v>106</v>
      </c>
      <c r="G992" s="20" t="s">
        <v>107</v>
      </c>
      <c r="I992" s="16">
        <v>0</v>
      </c>
      <c r="J992" s="21">
        <v>1130</v>
      </c>
      <c r="K992" s="21">
        <v>1788</v>
      </c>
      <c r="L992" s="18">
        <v>0</v>
      </c>
      <c r="M992" s="21">
        <f>VLOOKUP($K992,'[4]blood tubes 2017'!$D$1:$L$647,8,FALSE)</f>
        <v>0</v>
      </c>
      <c r="N992" s="15">
        <v>0</v>
      </c>
      <c r="O992" s="15" t="s">
        <v>214</v>
      </c>
      <c r="P992" s="16" t="s">
        <v>110</v>
      </c>
      <c r="Q992" s="16">
        <v>1</v>
      </c>
      <c r="R992" s="16">
        <v>16</v>
      </c>
      <c r="T992" s="16" t="s">
        <v>133</v>
      </c>
      <c r="U992" s="16" t="s">
        <v>189</v>
      </c>
      <c r="V992" s="16" t="s">
        <v>114</v>
      </c>
      <c r="W992" s="16">
        <f>AI992/AG992</f>
        <v>0.75</v>
      </c>
      <c r="X992" s="16" t="s">
        <v>121</v>
      </c>
      <c r="Y992" s="16" t="s">
        <v>110</v>
      </c>
      <c r="Z992" s="16">
        <v>3</v>
      </c>
      <c r="AA992" s="16" t="s">
        <v>119</v>
      </c>
      <c r="AB992" s="16" t="s">
        <v>240</v>
      </c>
      <c r="AC992" s="16" t="s">
        <v>116</v>
      </c>
      <c r="AD992" s="16" t="s">
        <v>116</v>
      </c>
      <c r="AG992" s="16">
        <f>AH992-AI992</f>
        <v>96</v>
      </c>
      <c r="AH992" s="16">
        <v>168</v>
      </c>
      <c r="AI992" s="16">
        <v>72</v>
      </c>
      <c r="AK992" s="16">
        <v>28</v>
      </c>
      <c r="AL992" s="16">
        <v>0</v>
      </c>
      <c r="AM992" s="16">
        <v>0</v>
      </c>
      <c r="AN992" s="16">
        <v>0</v>
      </c>
      <c r="AO992" s="16">
        <v>0</v>
      </c>
      <c r="AP992" s="16">
        <f>SUM(AL992:AN992)</f>
        <v>0</v>
      </c>
      <c r="AQ992" s="16">
        <v>1.9219999999999999</v>
      </c>
      <c r="AR992" s="16">
        <f>AP992-1.472</f>
        <v>-1.472</v>
      </c>
      <c r="AS992" s="16">
        <f>AQ992-1.472</f>
        <v>0.44999999999999996</v>
      </c>
      <c r="AT992" s="16" t="s">
        <v>119</v>
      </c>
      <c r="AW992" s="16">
        <f>IF(AX992&gt;0,1,0)</f>
        <v>1</v>
      </c>
      <c r="AX992" s="16">
        <f>SUM(BA992,BM992,CT992)</f>
        <v>1</v>
      </c>
      <c r="AY992" s="18">
        <f>SUM(BB992,BN992,CV992)</f>
        <v>64.444444444444457</v>
      </c>
      <c r="AZ992" s="16">
        <v>1</v>
      </c>
      <c r="BA992" s="16">
        <v>1</v>
      </c>
      <c r="BB992" s="16">
        <f>SUM(BE992,BH992,BK992)</f>
        <v>64.444444444444457</v>
      </c>
      <c r="BC992" s="16">
        <v>0</v>
      </c>
      <c r="BD992" s="16">
        <v>0</v>
      </c>
      <c r="BE992" s="16">
        <f>BD992/AS992</f>
        <v>0</v>
      </c>
      <c r="BF992" s="16">
        <v>1</v>
      </c>
      <c r="BG992" s="77">
        <v>29</v>
      </c>
      <c r="BH992" s="16">
        <f>BG992/AS992</f>
        <v>64.444444444444457</v>
      </c>
      <c r="BI992" s="16">
        <v>0</v>
      </c>
      <c r="BJ992" s="16">
        <v>0</v>
      </c>
      <c r="BK992" s="16">
        <f>BJ992/AS992</f>
        <v>0</v>
      </c>
      <c r="BL992" s="16">
        <f>IF(BM992&gt;0,1,0)</f>
        <v>0</v>
      </c>
      <c r="BM992" s="16">
        <f>SUM(BR992,BU992,BX992,CA992,CD992,CG992,CJ992,CM992,CP992)</f>
        <v>0</v>
      </c>
      <c r="BN992" s="16">
        <f>SUM(BW992,BZ992,CC992,CF992,CI992,CL992,CO992,CR992,BT992)</f>
        <v>0</v>
      </c>
      <c r="BO992" s="16">
        <f>IF(BP992&gt;0,1,0)</f>
        <v>0</v>
      </c>
      <c r="BP992" s="16">
        <f>SUM(BU992,BX992,CA992,CD992,BR992)</f>
        <v>0</v>
      </c>
      <c r="BQ992" s="16">
        <f>SUM(BZ992,CC992,CF992,BT992,BW992)</f>
        <v>0</v>
      </c>
      <c r="BR992" s="16">
        <v>0</v>
      </c>
      <c r="BS992" s="16">
        <v>0</v>
      </c>
      <c r="BT992" s="77">
        <f>BS992/AS992</f>
        <v>0</v>
      </c>
      <c r="BU992" s="16">
        <v>0</v>
      </c>
      <c r="BV992" s="16">
        <v>0</v>
      </c>
      <c r="BW992" s="16">
        <f>BV992/AS992</f>
        <v>0</v>
      </c>
      <c r="BX992" s="16">
        <v>0</v>
      </c>
      <c r="BY992" s="16">
        <v>0</v>
      </c>
      <c r="BZ992" s="16">
        <f>BY992/AS992</f>
        <v>0</v>
      </c>
      <c r="CA992" s="16">
        <v>0</v>
      </c>
      <c r="CB992" s="16">
        <v>0</v>
      </c>
      <c r="CC992" s="16">
        <f>CB992/AS992</f>
        <v>0</v>
      </c>
      <c r="CD992" s="77">
        <v>0</v>
      </c>
      <c r="CE992" s="16">
        <v>0</v>
      </c>
      <c r="CF992" s="16">
        <f>CE992/AS992</f>
        <v>0</v>
      </c>
      <c r="CG992" s="16">
        <v>0</v>
      </c>
      <c r="CH992" s="16">
        <v>0</v>
      </c>
      <c r="CI992" s="16">
        <f>CH992/AS992</f>
        <v>0</v>
      </c>
      <c r="CM992" s="16">
        <v>0</v>
      </c>
      <c r="CN992" s="16">
        <v>0</v>
      </c>
      <c r="CO992" s="16">
        <f>CN992/AS992</f>
        <v>0</v>
      </c>
      <c r="CP992" s="16">
        <v>0</v>
      </c>
      <c r="CQ992" s="16">
        <v>0</v>
      </c>
      <c r="CR992" s="16">
        <f>CQ992/AS992</f>
        <v>0</v>
      </c>
      <c r="CS992" s="16">
        <v>0</v>
      </c>
      <c r="CT992" s="16">
        <v>0</v>
      </c>
      <c r="CV992" s="16">
        <f>SUM(CY992,DB992,DE992)</f>
        <v>0</v>
      </c>
      <c r="CW992" s="16">
        <v>0</v>
      </c>
      <c r="CX992" s="16">
        <v>0</v>
      </c>
      <c r="CY992" s="16">
        <f>CX992/AS992</f>
        <v>0</v>
      </c>
      <c r="CZ992" s="16">
        <v>0</v>
      </c>
      <c r="DA992" s="16">
        <v>0</v>
      </c>
      <c r="DB992" s="16">
        <f>DA992/AS992</f>
        <v>0</v>
      </c>
      <c r="DC992" s="16">
        <v>0</v>
      </c>
      <c r="DD992" s="16">
        <v>0</v>
      </c>
      <c r="DE992" s="16">
        <f>DD992/AS992</f>
        <v>0</v>
      </c>
      <c r="DF992" s="16" t="e">
        <f>VLOOKUP(K992,'[3]RNA Seq summary tables'!$V$3:$V$99,1,FALSE)</f>
        <v>#N/A</v>
      </c>
      <c r="DI992" s="16">
        <v>60</v>
      </c>
      <c r="DK992" s="16">
        <v>36</v>
      </c>
      <c r="DM992" s="16">
        <v>4</v>
      </c>
      <c r="DO992" s="16">
        <v>0</v>
      </c>
      <c r="DQ992" s="16">
        <v>0</v>
      </c>
      <c r="DR992" s="16">
        <f>SUM(DI992:DQ992)</f>
        <v>100</v>
      </c>
      <c r="JO992" s="18"/>
      <c r="JR992" s="27"/>
      <c r="JS992" s="27"/>
      <c r="JT992" s="27"/>
      <c r="JU992" s="27"/>
      <c r="JV992" s="27"/>
      <c r="JW992" s="27"/>
      <c r="JX992" s="27"/>
      <c r="JY992" s="27"/>
      <c r="JZ992" s="27"/>
      <c r="KA992" s="27"/>
      <c r="KB992" s="27"/>
    </row>
    <row r="993" spans="1:288" ht="16" x14ac:dyDescent="0.2">
      <c r="B993" s="16">
        <v>2017</v>
      </c>
      <c r="C993" s="20">
        <v>42930</v>
      </c>
      <c r="D993" s="20" t="str">
        <f>CONCATENATE(J993,"-",C993)</f>
        <v>1130-42930</v>
      </c>
      <c r="E993" s="37" t="str">
        <f>CONCATENATE(T993,"-",U993,"-",C993)</f>
        <v>HW1-H5-42930</v>
      </c>
      <c r="F993" s="20" t="s">
        <v>106</v>
      </c>
      <c r="G993" s="20" t="s">
        <v>107</v>
      </c>
      <c r="I993" s="16">
        <v>0</v>
      </c>
      <c r="J993" s="21">
        <v>1130</v>
      </c>
      <c r="K993" s="21">
        <v>1914</v>
      </c>
      <c r="L993" s="18">
        <v>0</v>
      </c>
      <c r="M993" s="21">
        <f>VLOOKUP($K993,'[4]blood tubes 2017'!$D$1:$L$647,8,FALSE)</f>
        <v>0</v>
      </c>
      <c r="N993" s="15">
        <v>0</v>
      </c>
      <c r="O993" s="15" t="s">
        <v>214</v>
      </c>
      <c r="P993" s="16" t="s">
        <v>110</v>
      </c>
      <c r="Q993" s="16">
        <v>1</v>
      </c>
      <c r="R993" s="16">
        <v>16</v>
      </c>
      <c r="T993" s="16" t="s">
        <v>133</v>
      </c>
      <c r="U993" s="16" t="s">
        <v>180</v>
      </c>
      <c r="V993" s="16" t="s">
        <v>114</v>
      </c>
      <c r="W993" s="16">
        <f>AI993/AG993</f>
        <v>0.84090909090909094</v>
      </c>
      <c r="X993" s="16" t="s">
        <v>121</v>
      </c>
      <c r="Y993" s="16" t="s">
        <v>110</v>
      </c>
      <c r="Z993" s="16">
        <v>3</v>
      </c>
      <c r="AA993" s="16" t="s">
        <v>119</v>
      </c>
      <c r="AB993" s="16" t="s">
        <v>240</v>
      </c>
      <c r="AC993" s="16" t="s">
        <v>123</v>
      </c>
      <c r="AD993" s="16" t="s">
        <v>123</v>
      </c>
      <c r="AG993" s="16">
        <f>AH993-AI993</f>
        <v>88</v>
      </c>
      <c r="AH993" s="16">
        <v>162</v>
      </c>
      <c r="AI993" s="16">
        <v>74</v>
      </c>
      <c r="AK993" s="16">
        <v>25.5</v>
      </c>
      <c r="AL993" s="16">
        <v>1</v>
      </c>
      <c r="AM993" s="16">
        <v>0</v>
      </c>
      <c r="AN993" s="16">
        <v>0</v>
      </c>
      <c r="AO993" s="16">
        <v>1</v>
      </c>
      <c r="AP993" s="16">
        <f>SUM(AL993:AN993)</f>
        <v>1</v>
      </c>
      <c r="AQ993" s="16">
        <v>2.3650000000000002</v>
      </c>
      <c r="AR993" s="16">
        <f>AP993-1.472</f>
        <v>-0.47199999999999998</v>
      </c>
      <c r="AS993" s="16">
        <f>AQ993-1.472</f>
        <v>0.89300000000000024</v>
      </c>
      <c r="AT993" s="16" t="str">
        <f>VLOOKUP(E993,[2]Current!$A$1:$W$435,7,FALSE)</f>
        <v>JY</v>
      </c>
      <c r="AU993" s="16" t="s">
        <v>1288</v>
      </c>
      <c r="AV993" s="23"/>
      <c r="AW993" s="128">
        <f>IF(AX993&gt;0,1,0)</f>
        <v>1</v>
      </c>
      <c r="AX993" s="128">
        <f>SUM(BA993,BM993,CU993)</f>
        <v>1</v>
      </c>
      <c r="AY993" s="128">
        <f>SUM(BB993,BN993,CV993)</f>
        <v>116.46136618141094</v>
      </c>
      <c r="AZ993" s="128">
        <f>IF(BA993&gt;0,1,0)</f>
        <v>1</v>
      </c>
      <c r="BA993" s="128">
        <f>SUM(BC993+BF993+BI993)</f>
        <v>1</v>
      </c>
      <c r="BB993" s="128">
        <f>SUM(BE993,BH993,BK993)</f>
        <v>116.46136618141094</v>
      </c>
      <c r="BC993" s="130">
        <f>IF(BD993&gt;0,1,0)</f>
        <v>0</v>
      </c>
      <c r="BD993" s="128">
        <f>VLOOKUP($E993,[2]Current!$A:$AC,26,FALSE)</f>
        <v>0</v>
      </c>
      <c r="BE993" s="128">
        <f>BD993/$AS993</f>
        <v>0</v>
      </c>
      <c r="BF993" s="130">
        <f>IF(BG993&gt;0,1,0)</f>
        <v>1</v>
      </c>
      <c r="BG993" s="137">
        <f>VLOOKUP($E993,[2]Current!$A:$AC,27,FALSE)</f>
        <v>104</v>
      </c>
      <c r="BH993" s="128">
        <f>BG993/$AS993</f>
        <v>116.46136618141094</v>
      </c>
      <c r="BI993" s="130">
        <f>IF(BJ993&gt;0,1,0)</f>
        <v>0</v>
      </c>
      <c r="BJ993" s="128">
        <f>VLOOKUP($E993,[2]Current!$A:$AC,28,FALSE)</f>
        <v>0</v>
      </c>
      <c r="BK993" s="128">
        <f>BJ993/$AS993</f>
        <v>0</v>
      </c>
      <c r="BL993" s="128">
        <f>IF(BM993&gt;0,1,0)</f>
        <v>0</v>
      </c>
      <c r="BM993" s="128">
        <f>SUM(BR993,BU993,BX993,CA993,CD993)</f>
        <v>0</v>
      </c>
      <c r="BN993" s="131">
        <f>SUM(BT993,BW993,BZ993,CC993,CF993)</f>
        <v>0</v>
      </c>
      <c r="BO993" s="128">
        <f>IF(BP993&gt;0,1,0)</f>
        <v>0</v>
      </c>
      <c r="BP993" s="128">
        <f>BM993+CJ993</f>
        <v>0</v>
      </c>
      <c r="BQ993" s="128">
        <f>BN993+CL993</f>
        <v>0</v>
      </c>
      <c r="BR993" s="130">
        <f>IF(BS993&gt;0,1,0)</f>
        <v>0</v>
      </c>
      <c r="BS993" s="128">
        <f>VLOOKUP($E993,[2]Current!$A:$AC,12,FALSE)</f>
        <v>0</v>
      </c>
      <c r="BT993" s="137">
        <f>BS993/$AS993</f>
        <v>0</v>
      </c>
      <c r="BU993" s="130">
        <f>IF(BV993&gt;0,1,0)</f>
        <v>0</v>
      </c>
      <c r="BV993" s="128">
        <f>VLOOKUP($E993,[2]Current!$A:$AC,13,FALSE)</f>
        <v>0</v>
      </c>
      <c r="BW993" s="128">
        <f>BV993/$AS993</f>
        <v>0</v>
      </c>
      <c r="BX993" s="130">
        <f>IF(BY993&gt;0,1,0)</f>
        <v>0</v>
      </c>
      <c r="BY993" s="128">
        <f>VLOOKUP($E993,[2]Current!$A:$AC,14,FALSE)</f>
        <v>0</v>
      </c>
      <c r="BZ993" s="128">
        <f>BY993/$AS993</f>
        <v>0</v>
      </c>
      <c r="CA993" s="130">
        <f>IF(CB993&gt;0,1,0)</f>
        <v>0</v>
      </c>
      <c r="CB993" s="128">
        <f>VLOOKUP($E993,[2]Current!$A:$AC,15,FALSE)</f>
        <v>0</v>
      </c>
      <c r="CC993" s="128">
        <f>CB993/$AS993</f>
        <v>0</v>
      </c>
      <c r="CD993" s="174">
        <f>IF(CE993&gt;0,1,0)</f>
        <v>0</v>
      </c>
      <c r="CE993" s="128">
        <f>VLOOKUP($E993,[2]Current!$A:$AC,16,FALSE)</f>
        <v>0</v>
      </c>
      <c r="CF993" s="128">
        <f>CE993/$AS993</f>
        <v>0</v>
      </c>
      <c r="CG993" s="18"/>
      <c r="CH993" s="18"/>
      <c r="CI993" s="18"/>
      <c r="CJ993" s="130">
        <f>IF(CK993&gt;0,1,0)</f>
        <v>0</v>
      </c>
      <c r="CK993" s="128">
        <f>VLOOKUP($E993,[2]Current!$A:$AC,18,FALSE)</f>
        <v>0</v>
      </c>
      <c r="CL993" s="128">
        <f>CK993/$AS993</f>
        <v>0</v>
      </c>
      <c r="CS993" s="130">
        <f>IF(CU993&gt;0,1,0)</f>
        <v>0</v>
      </c>
      <c r="CU993" s="128">
        <f>VLOOKUP($E993,[2]Current!$A:$AC,17,FALSE)</f>
        <v>0</v>
      </c>
      <c r="CV993" s="128">
        <f>CU993/$AS993</f>
        <v>0</v>
      </c>
      <c r="CW993" s="18"/>
      <c r="CX993" s="18"/>
      <c r="CY993" s="18"/>
      <c r="DF993" s="16" t="e">
        <f>VLOOKUP(K993,'[3]RNA Seq summary tables'!$V$3:$V$99,1,FALSE)</f>
        <v>#N/A</v>
      </c>
      <c r="JR993" s="26"/>
      <c r="JS993" s="26"/>
      <c r="JT993" s="26"/>
      <c r="JU993" s="26"/>
      <c r="JV993" s="26"/>
      <c r="JW993" s="26"/>
      <c r="JX993" s="26"/>
      <c r="JY993" s="26"/>
      <c r="JZ993" s="26"/>
      <c r="KA993" s="26"/>
      <c r="KB993" s="26"/>
    </row>
    <row r="994" spans="1:288" ht="16" x14ac:dyDescent="0.2">
      <c r="B994" s="16">
        <v>2017</v>
      </c>
      <c r="C994" s="20">
        <v>42948</v>
      </c>
      <c r="D994" s="20" t="str">
        <f>CONCATENATE(J994,"-",C994)</f>
        <v>1130-42948</v>
      </c>
      <c r="E994" s="37" t="str">
        <f>CONCATENATE(T994,"-",U994,"-",C994)</f>
        <v>HW1-H4-42948</v>
      </c>
      <c r="F994" s="20" t="s">
        <v>106</v>
      </c>
      <c r="G994" s="20" t="s">
        <v>107</v>
      </c>
      <c r="I994" s="16">
        <v>0</v>
      </c>
      <c r="J994" s="21">
        <v>1130</v>
      </c>
      <c r="K994" s="21">
        <v>2058</v>
      </c>
      <c r="L994" s="18">
        <v>0</v>
      </c>
      <c r="M994" s="21">
        <f>VLOOKUP($K994,'[4]blood tubes 2017'!$D$1:$L$647,8,FALSE)</f>
        <v>0</v>
      </c>
      <c r="N994" s="15">
        <v>0</v>
      </c>
      <c r="O994" s="15" t="s">
        <v>214</v>
      </c>
      <c r="P994" s="16" t="s">
        <v>110</v>
      </c>
      <c r="Q994" s="16">
        <v>1</v>
      </c>
      <c r="R994" s="16">
        <v>18</v>
      </c>
      <c r="T994" s="16" t="s">
        <v>133</v>
      </c>
      <c r="U994" s="16" t="s">
        <v>151</v>
      </c>
      <c r="V994" s="16" t="s">
        <v>114</v>
      </c>
      <c r="W994" s="16">
        <f>AI994/AG994</f>
        <v>0.81720430107526887</v>
      </c>
      <c r="X994" s="16" t="s">
        <v>121</v>
      </c>
      <c r="Y994" s="16" t="s">
        <v>110</v>
      </c>
      <c r="Z994" s="16">
        <v>3</v>
      </c>
      <c r="AA994" s="16" t="s">
        <v>119</v>
      </c>
      <c r="AB994" s="16" t="s">
        <v>239</v>
      </c>
      <c r="AC994" s="16" t="s">
        <v>123</v>
      </c>
      <c r="AD994" s="16" t="s">
        <v>123</v>
      </c>
      <c r="AG994" s="16">
        <f>AH994-AI994</f>
        <v>93</v>
      </c>
      <c r="AH994" s="16">
        <v>169</v>
      </c>
      <c r="AI994" s="16">
        <v>76</v>
      </c>
      <c r="AK994" s="16">
        <v>25.5</v>
      </c>
      <c r="AL994" s="16">
        <v>0</v>
      </c>
      <c r="AM994" s="16">
        <v>0</v>
      </c>
      <c r="AN994" s="16">
        <v>0</v>
      </c>
      <c r="AO994" s="16">
        <v>0</v>
      </c>
      <c r="AP994" s="16">
        <f>SUM(AL994:AN994)</f>
        <v>0</v>
      </c>
      <c r="AQ994" s="16">
        <v>2.0550000000000002</v>
      </c>
      <c r="AR994" s="16">
        <f>AP994-1.472</f>
        <v>-1.472</v>
      </c>
      <c r="AS994" s="16">
        <f>AQ994-1.472</f>
        <v>0.58300000000000018</v>
      </c>
      <c r="AT994" s="16" t="str">
        <f>VLOOKUP(E994,[2]Current!$A$1:$W$435,7,FALSE)</f>
        <v>TE</v>
      </c>
      <c r="AU994" s="16" t="s">
        <v>1288</v>
      </c>
      <c r="AV994" s="23"/>
      <c r="AW994" s="128">
        <f>IF(AX994&gt;0,1,0)</f>
        <v>1</v>
      </c>
      <c r="AX994" s="128">
        <f>SUM(BA994,BM994,CU994)</f>
        <v>3</v>
      </c>
      <c r="AY994" s="128">
        <f>SUM(BB994,BN994,CV994)</f>
        <v>425.38593481989699</v>
      </c>
      <c r="AZ994" s="128">
        <f>IF(BA994&gt;0,1,0)</f>
        <v>1</v>
      </c>
      <c r="BA994" s="128">
        <f>SUM(BC994+BF994+BI994)</f>
        <v>3</v>
      </c>
      <c r="BB994" s="128">
        <f>SUM(BE994,BH994,BK994)</f>
        <v>425.38593481989699</v>
      </c>
      <c r="BC994" s="130">
        <f>IF(BD994&gt;0,1,0)</f>
        <v>1</v>
      </c>
      <c r="BD994" s="128">
        <f>VLOOKUP($E994,[2]Current!$A:$AC,26,FALSE)</f>
        <v>62</v>
      </c>
      <c r="BE994" s="128">
        <f>BD994/$AS994</f>
        <v>106.34648370497423</v>
      </c>
      <c r="BF994" s="130">
        <f>IF(BG994&gt;0,1,0)</f>
        <v>1</v>
      </c>
      <c r="BG994" s="137">
        <f>VLOOKUP($E994,[2]Current!$A:$AC,27,FALSE)</f>
        <v>48</v>
      </c>
      <c r="BH994" s="128">
        <f>BG994/$AS994</f>
        <v>82.332761578044568</v>
      </c>
      <c r="BI994" s="130">
        <f>IF(BJ994&gt;0,1,0)</f>
        <v>1</v>
      </c>
      <c r="BJ994" s="128">
        <f>VLOOKUP($E994,[2]Current!$A:$AC,28,FALSE)</f>
        <v>138</v>
      </c>
      <c r="BK994" s="128">
        <f>BJ994/$AS994</f>
        <v>236.70668953687814</v>
      </c>
      <c r="BL994" s="128">
        <f>IF(BM994&gt;0,1,0)</f>
        <v>0</v>
      </c>
      <c r="BM994" s="128">
        <f>SUM(BR994,BU994,BX994,CA994,CD994)</f>
        <v>0</v>
      </c>
      <c r="BN994" s="131">
        <f>SUM(BT994,BW994,BZ994,CC994,CF994)</f>
        <v>0</v>
      </c>
      <c r="BO994" s="128">
        <f>IF(BP994&gt;0,1,0)</f>
        <v>0</v>
      </c>
      <c r="BP994" s="128">
        <f>BM994+CJ994</f>
        <v>0</v>
      </c>
      <c r="BQ994" s="128">
        <f>BN994+CL994</f>
        <v>0</v>
      </c>
      <c r="BR994" s="130">
        <f>IF(BS994&gt;0,1,0)</f>
        <v>0</v>
      </c>
      <c r="BS994" s="128">
        <f>VLOOKUP($E994,[2]Current!$A:$AC,12,FALSE)</f>
        <v>0</v>
      </c>
      <c r="BT994" s="137">
        <f>BS994/$AS994</f>
        <v>0</v>
      </c>
      <c r="BU994" s="130">
        <f>IF(BV994&gt;0,1,0)</f>
        <v>0</v>
      </c>
      <c r="BV994" s="128">
        <f>VLOOKUP($E994,[2]Current!$A:$AC,13,FALSE)</f>
        <v>0</v>
      </c>
      <c r="BW994" s="128">
        <f>BV994/$AS994</f>
        <v>0</v>
      </c>
      <c r="BX994" s="130">
        <f>IF(BY994&gt;0,1,0)</f>
        <v>0</v>
      </c>
      <c r="BY994" s="128">
        <f>VLOOKUP($E994,[2]Current!$A:$AC,14,FALSE)</f>
        <v>0</v>
      </c>
      <c r="BZ994" s="128">
        <f>BY994/$AS994</f>
        <v>0</v>
      </c>
      <c r="CA994" s="130">
        <f>IF(CB994&gt;0,1,0)</f>
        <v>0</v>
      </c>
      <c r="CB994" s="128">
        <f>VLOOKUP($E994,[2]Current!$A:$AC,15,FALSE)</f>
        <v>0</v>
      </c>
      <c r="CC994" s="128">
        <f>CB994/$AS994</f>
        <v>0</v>
      </c>
      <c r="CD994" s="174">
        <f>IF(CE994&gt;0,1,0)</f>
        <v>0</v>
      </c>
      <c r="CE994" s="128">
        <f>VLOOKUP($E994,[2]Current!$A:$AC,16,FALSE)</f>
        <v>0</v>
      </c>
      <c r="CF994" s="128">
        <f>CE994/$AS994</f>
        <v>0</v>
      </c>
      <c r="CG994" s="18"/>
      <c r="CH994" s="18"/>
      <c r="CI994" s="18"/>
      <c r="CJ994" s="130">
        <f>IF(CK994&gt;0,1,0)</f>
        <v>0</v>
      </c>
      <c r="CK994" s="128">
        <f>VLOOKUP($E994,[2]Current!$A:$AC,18,FALSE)</f>
        <v>0</v>
      </c>
      <c r="CL994" s="128">
        <f>CK994/$AS994</f>
        <v>0</v>
      </c>
      <c r="CS994" s="130">
        <f>IF(CU994&gt;0,1,0)</f>
        <v>0</v>
      </c>
      <c r="CU994" s="128">
        <f>VLOOKUP($E994,[2]Current!$A:$AC,17,FALSE)</f>
        <v>0</v>
      </c>
      <c r="CV994" s="128">
        <f>CU994/$AS994</f>
        <v>0</v>
      </c>
      <c r="CW994" s="18"/>
      <c r="CX994" s="18"/>
      <c r="CY994" s="18"/>
      <c r="DF994" s="16" t="e">
        <f>VLOOKUP(K994,'[3]RNA Seq summary tables'!$V$3:$V$99,1,FALSE)</f>
        <v>#N/A</v>
      </c>
    </row>
    <row r="995" spans="1:288" x14ac:dyDescent="0.2">
      <c r="B995" s="16">
        <v>2017</v>
      </c>
      <c r="C995" s="20">
        <v>42903</v>
      </c>
      <c r="D995" s="20" t="str">
        <f>CONCATENATE(J995,"-",C995)</f>
        <v>1131-42903</v>
      </c>
      <c r="E995" s="20" t="str">
        <f>CONCATENATE(T995,"-",U995,"-",C995)</f>
        <v>BC2-G5-42903</v>
      </c>
      <c r="F995" s="20" t="s">
        <v>106</v>
      </c>
      <c r="G995" s="20" t="s">
        <v>107</v>
      </c>
      <c r="I995" s="16">
        <v>0</v>
      </c>
      <c r="J995" s="21">
        <v>1131</v>
      </c>
      <c r="K995" s="21">
        <v>1683</v>
      </c>
      <c r="L995" s="18">
        <v>0</v>
      </c>
      <c r="M995" s="21">
        <f>VLOOKUP($K995,'[4]blood tubes 2017'!$D$1:$L$647,8,FALSE)</f>
        <v>0</v>
      </c>
      <c r="N995" s="15">
        <v>0</v>
      </c>
      <c r="O995" s="15" t="s">
        <v>214</v>
      </c>
      <c r="P995" s="16" t="s">
        <v>110</v>
      </c>
      <c r="Q995" s="16">
        <v>0</v>
      </c>
      <c r="R995" s="16" t="s">
        <v>111</v>
      </c>
      <c r="T995" s="16" t="s">
        <v>154</v>
      </c>
      <c r="U995" s="16" t="s">
        <v>200</v>
      </c>
      <c r="V995" s="16" t="s">
        <v>114</v>
      </c>
      <c r="W995" s="16">
        <f>AI995/AG995</f>
        <v>0.80487804878048785</v>
      </c>
      <c r="X995" s="16" t="s">
        <v>121</v>
      </c>
      <c r="Y995" s="16" t="s">
        <v>110</v>
      </c>
      <c r="Z995" s="16">
        <v>3</v>
      </c>
      <c r="AA995" s="16" t="s">
        <v>119</v>
      </c>
      <c r="AB995" s="16" t="s">
        <v>123</v>
      </c>
      <c r="AC995" s="16" t="s">
        <v>123</v>
      </c>
      <c r="AD995" s="16" t="s">
        <v>123</v>
      </c>
      <c r="AG995" s="16">
        <f>AH995-AI995</f>
        <v>82</v>
      </c>
      <c r="AH995" s="16">
        <v>148</v>
      </c>
      <c r="AI995" s="16">
        <v>66</v>
      </c>
      <c r="AK995" s="16">
        <v>16</v>
      </c>
      <c r="AL995" s="16">
        <v>0</v>
      </c>
      <c r="AM995" s="16">
        <v>1</v>
      </c>
      <c r="AN995" s="16">
        <v>0</v>
      </c>
      <c r="AO995" s="16">
        <v>1</v>
      </c>
      <c r="AP995" s="16">
        <f>SUM(AL995:AN995)</f>
        <v>1</v>
      </c>
      <c r="AQ995" s="16">
        <v>1.919</v>
      </c>
      <c r="AR995" s="16">
        <f>AP995-1.472</f>
        <v>-0.47199999999999998</v>
      </c>
      <c r="AS995" s="16">
        <f>AQ995-1.472</f>
        <v>0.44700000000000006</v>
      </c>
      <c r="AT995" s="16" t="s">
        <v>164</v>
      </c>
      <c r="AW995" s="16">
        <f>IF(AX995&gt;0,1,0)</f>
        <v>1</v>
      </c>
      <c r="AX995" s="16">
        <f>SUM(BA995,BM995,CT995)</f>
        <v>5</v>
      </c>
      <c r="AY995" s="18">
        <f>SUM(BB995,BN995,CV995)</f>
        <v>2926.1744966442948</v>
      </c>
      <c r="AZ995" s="16">
        <f>IF(BA995&gt;0,1,0)</f>
        <v>1</v>
      </c>
      <c r="BA995" s="16">
        <f>SUM(BC995,BF995,BI995)</f>
        <v>3</v>
      </c>
      <c r="BB995" s="16">
        <f>SUM(BE995,BH995,BK995)</f>
        <v>2921.7002237136462</v>
      </c>
      <c r="BC995" s="16">
        <v>1</v>
      </c>
      <c r="BD995" s="16">
        <v>68</v>
      </c>
      <c r="BE995" s="16">
        <f>BD995/AS995</f>
        <v>152.12527964205813</v>
      </c>
      <c r="BF995" s="16">
        <v>1</v>
      </c>
      <c r="BG995" s="77">
        <v>1206</v>
      </c>
      <c r="BH995" s="16">
        <f>BG995/AS995</f>
        <v>2697.9865771812078</v>
      </c>
      <c r="BI995" s="16">
        <v>1</v>
      </c>
      <c r="BJ995" s="16">
        <v>32</v>
      </c>
      <c r="BK995" s="16">
        <f>BJ995/AS995</f>
        <v>71.5883668903803</v>
      </c>
      <c r="BL995" s="16">
        <f>IF(BM995&gt;0,1,0)</f>
        <v>1</v>
      </c>
      <c r="BM995" s="16">
        <f>SUM(BR995,BU995,BX995,CA995,CD995,CG995,CJ995,CM995,CP995)</f>
        <v>2</v>
      </c>
      <c r="BN995" s="16">
        <f>SUM(BW995,BZ995,CC995,CF995,CI995,CL995,CO995,CR995,BT995)</f>
        <v>4.4742729306487687</v>
      </c>
      <c r="BO995" s="16">
        <f>IF(BP995&gt;0,1,0)</f>
        <v>1</v>
      </c>
      <c r="BP995" s="16">
        <f>SUM(BU995,BX995,CA995,CD995,BR995)</f>
        <v>2</v>
      </c>
      <c r="BQ995" s="16">
        <f>SUM(BZ995,CC995,CF995,BT995,BW995)</f>
        <v>4.4742729306487687</v>
      </c>
      <c r="BR995" s="16">
        <v>1</v>
      </c>
      <c r="BS995" s="16">
        <v>1</v>
      </c>
      <c r="BT995" s="77">
        <f>BS995/AS995</f>
        <v>2.2371364653243844</v>
      </c>
      <c r="BU995" s="16">
        <v>0</v>
      </c>
      <c r="BV995" s="16">
        <v>0</v>
      </c>
      <c r="BW995" s="16">
        <f>BV995/AS995</f>
        <v>0</v>
      </c>
      <c r="BX995" s="16">
        <v>0</v>
      </c>
      <c r="BY995" s="16">
        <v>0</v>
      </c>
      <c r="BZ995" s="16">
        <f>BY995/AS995</f>
        <v>0</v>
      </c>
      <c r="CA995" s="16">
        <v>0</v>
      </c>
      <c r="CB995" s="16">
        <v>0</v>
      </c>
      <c r="CC995" s="16">
        <f>CB995/AS995</f>
        <v>0</v>
      </c>
      <c r="CD995" s="77">
        <v>1</v>
      </c>
      <c r="CE995" s="16">
        <v>1</v>
      </c>
      <c r="CF995" s="16">
        <f>CE995/AS995</f>
        <v>2.2371364653243844</v>
      </c>
      <c r="CG995" s="16">
        <v>0</v>
      </c>
      <c r="CH995" s="16">
        <v>0</v>
      </c>
      <c r="CI995" s="16">
        <f>CH995/AS995</f>
        <v>0</v>
      </c>
      <c r="CM995" s="16">
        <v>0</v>
      </c>
      <c r="CN995" s="16">
        <v>0</v>
      </c>
      <c r="CO995" s="16">
        <f>CN995/AS995</f>
        <v>0</v>
      </c>
      <c r="CP995" s="16">
        <v>0</v>
      </c>
      <c r="CQ995" s="16">
        <v>0</v>
      </c>
      <c r="CR995" s="16">
        <f>CQ995/AS995</f>
        <v>0</v>
      </c>
      <c r="CS995" s="16">
        <f>IF(CT995&gt;0,1,0)</f>
        <v>0</v>
      </c>
      <c r="CT995" s="16">
        <f>SUM(CW995,CZ995,DC995)</f>
        <v>0</v>
      </c>
      <c r="CV995" s="16">
        <f>SUM(CY995,DB995,DE995)</f>
        <v>0</v>
      </c>
      <c r="CW995" s="16">
        <v>0</v>
      </c>
      <c r="CX995" s="16">
        <v>0</v>
      </c>
      <c r="CY995" s="16">
        <f>CX995/AS995</f>
        <v>0</v>
      </c>
      <c r="CZ995" s="16">
        <v>0</v>
      </c>
      <c r="DA995" s="16">
        <v>0</v>
      </c>
      <c r="DB995" s="16">
        <f>DA995/AS995</f>
        <v>0</v>
      </c>
      <c r="DC995" s="16">
        <v>0</v>
      </c>
      <c r="DD995" s="16">
        <v>0</v>
      </c>
      <c r="DE995" s="16">
        <f>DD995/AS995</f>
        <v>0</v>
      </c>
      <c r="DF995" s="16" t="e">
        <f>VLOOKUP(K995,'[3]RNA Seq summary tables'!$V$3:$V$99,1,FALSE)</f>
        <v>#N/A</v>
      </c>
      <c r="DI995" s="16">
        <v>66</v>
      </c>
      <c r="DK995" s="16">
        <v>29</v>
      </c>
      <c r="DM995" s="16">
        <v>5</v>
      </c>
      <c r="DO995" s="16">
        <v>0</v>
      </c>
      <c r="DQ995" s="16">
        <v>0</v>
      </c>
      <c r="DR995" s="16">
        <f>SUM(DI995:DQ995)</f>
        <v>100</v>
      </c>
    </row>
    <row r="996" spans="1:288" x14ac:dyDescent="0.2">
      <c r="B996" s="16">
        <v>2017</v>
      </c>
      <c r="C996" s="66">
        <v>42904</v>
      </c>
      <c r="D996" s="66" t="str">
        <f>CONCATENATE(J996,"-",C996)</f>
        <v>1133-42904</v>
      </c>
      <c r="E996" s="20" t="str">
        <f>CONCATENATE(T996,"-",U996,"-",C996)</f>
        <v>BC2-E2-42904</v>
      </c>
      <c r="F996" s="20" t="s">
        <v>106</v>
      </c>
      <c r="G996" s="20" t="s">
        <v>107</v>
      </c>
      <c r="I996" s="16">
        <v>0</v>
      </c>
      <c r="J996" s="21">
        <v>1133</v>
      </c>
      <c r="K996" s="21">
        <v>1684</v>
      </c>
      <c r="L996" s="18">
        <v>0</v>
      </c>
      <c r="M996" s="21">
        <f>VLOOKUP($K996,'[4]blood tubes 2017'!$D$1:$L$647,8,FALSE)</f>
        <v>0</v>
      </c>
      <c r="N996" s="15">
        <v>0</v>
      </c>
      <c r="O996" s="15" t="s">
        <v>214</v>
      </c>
      <c r="P996" s="16" t="s">
        <v>110</v>
      </c>
      <c r="Q996" s="16">
        <v>0</v>
      </c>
      <c r="R996" s="16" t="s">
        <v>111</v>
      </c>
      <c r="T996" s="16" t="s">
        <v>154</v>
      </c>
      <c r="U996" s="16" t="s">
        <v>136</v>
      </c>
      <c r="V996" s="16" t="s">
        <v>114</v>
      </c>
      <c r="W996" s="16">
        <f>AI996/AG996</f>
        <v>0.77894736842105261</v>
      </c>
      <c r="X996" s="16" t="s">
        <v>115</v>
      </c>
      <c r="Y996" s="16" t="s">
        <v>110</v>
      </c>
      <c r="Z996" s="16">
        <v>3</v>
      </c>
      <c r="AE996" s="16" t="s">
        <v>123</v>
      </c>
      <c r="AF996" s="16" t="s">
        <v>123</v>
      </c>
      <c r="AG996" s="16">
        <f>AH996-AI996</f>
        <v>95</v>
      </c>
      <c r="AH996" s="16">
        <v>169</v>
      </c>
      <c r="AI996" s="16">
        <v>74</v>
      </c>
      <c r="AK996" s="16">
        <v>21</v>
      </c>
      <c r="AL996" s="16">
        <v>1</v>
      </c>
      <c r="AM996" s="16">
        <v>1</v>
      </c>
      <c r="AN996" s="16">
        <v>0</v>
      </c>
      <c r="AO996" s="16">
        <v>1</v>
      </c>
      <c r="AP996" s="16">
        <f>SUM(AL996:AN996)</f>
        <v>2</v>
      </c>
      <c r="AQ996" s="16">
        <v>1.6970000000000001</v>
      </c>
      <c r="AR996" s="16">
        <f>AP996-1.472</f>
        <v>0.52800000000000002</v>
      </c>
      <c r="AS996" s="16">
        <f>AQ996-1.472</f>
        <v>0.22500000000000009</v>
      </c>
      <c r="AT996" s="16" t="s">
        <v>233</v>
      </c>
      <c r="AV996" s="16">
        <v>1</v>
      </c>
      <c r="AW996" s="16">
        <f>IF(AX996&gt;0,1,0)</f>
        <v>0</v>
      </c>
      <c r="AX996" s="16">
        <f>SUM(BA996,BM996,CT996)</f>
        <v>0</v>
      </c>
      <c r="AY996" s="18">
        <f>SUM(BB996,BN996,CV996)</f>
        <v>0</v>
      </c>
      <c r="AZ996" s="16">
        <f>IF(BA996&gt;0,1,0)</f>
        <v>0</v>
      </c>
      <c r="BA996" s="16">
        <f>SUM(BC996,BF996,BI996)</f>
        <v>0</v>
      </c>
      <c r="BB996" s="16">
        <f>SUM(BE996,BH996,BK996)</f>
        <v>0</v>
      </c>
      <c r="BC996" s="16">
        <v>0</v>
      </c>
      <c r="BD996" s="16">
        <v>0</v>
      </c>
      <c r="BE996" s="16">
        <f>BD996/AS996</f>
        <v>0</v>
      </c>
      <c r="BF996" s="16">
        <v>0</v>
      </c>
      <c r="BG996" s="77">
        <v>0</v>
      </c>
      <c r="BH996" s="16">
        <f>BG996/AS996</f>
        <v>0</v>
      </c>
      <c r="BI996" s="16">
        <v>0</v>
      </c>
      <c r="BJ996" s="16">
        <v>0</v>
      </c>
      <c r="BK996" s="16">
        <f>BJ996/AS996</f>
        <v>0</v>
      </c>
      <c r="BL996" s="16">
        <f>IF(BM996&gt;0,1,0)</f>
        <v>0</v>
      </c>
      <c r="BM996" s="16">
        <f>SUM(BR996,BU996,BX996,CA996,CD996,CG996,CJ996,CM996,CP996)</f>
        <v>0</v>
      </c>
      <c r="BN996" s="16">
        <f>SUM(BW996,BZ996,CC996,CF996,CI996,CL996,CO996,CR996,BT996)</f>
        <v>0</v>
      </c>
      <c r="BO996" s="16">
        <f>IF(BP996&gt;0,1,0)</f>
        <v>0</v>
      </c>
      <c r="BP996" s="16">
        <f>SUM(BU996,BX996,CA996,CD996,BR996)</f>
        <v>0</v>
      </c>
      <c r="BQ996" s="16">
        <f>SUM(BZ996,CC996,CF996,BT996,BW996)</f>
        <v>0</v>
      </c>
      <c r="BR996" s="16">
        <v>0</v>
      </c>
      <c r="BS996" s="16">
        <v>0</v>
      </c>
      <c r="BT996" s="77">
        <f>BS996/AS996</f>
        <v>0</v>
      </c>
      <c r="BU996" s="16">
        <v>0</v>
      </c>
      <c r="BV996" s="16">
        <v>0</v>
      </c>
      <c r="BW996" s="16">
        <f>BV996/AS996</f>
        <v>0</v>
      </c>
      <c r="BX996" s="16">
        <v>0</v>
      </c>
      <c r="BY996" s="16">
        <v>0</v>
      </c>
      <c r="BZ996" s="16">
        <f>BY996/AS996</f>
        <v>0</v>
      </c>
      <c r="CA996" s="16">
        <v>0</v>
      </c>
      <c r="CB996" s="16">
        <v>0</v>
      </c>
      <c r="CC996" s="16">
        <f>CB996/AS996</f>
        <v>0</v>
      </c>
      <c r="CD996" s="77">
        <v>0</v>
      </c>
      <c r="CE996" s="16">
        <v>0</v>
      </c>
      <c r="CF996" s="16">
        <f>CE996/AS996</f>
        <v>0</v>
      </c>
      <c r="CG996" s="16">
        <v>0</v>
      </c>
      <c r="CH996" s="16">
        <v>0</v>
      </c>
      <c r="CI996" s="16">
        <f>CH996/AS996</f>
        <v>0</v>
      </c>
      <c r="CM996" s="16">
        <v>0</v>
      </c>
      <c r="CN996" s="16">
        <v>0</v>
      </c>
      <c r="CO996" s="16">
        <f>CN996/AS996</f>
        <v>0</v>
      </c>
      <c r="CP996" s="16">
        <v>0</v>
      </c>
      <c r="CQ996" s="16">
        <v>0</v>
      </c>
      <c r="CR996" s="16">
        <f>CQ996/AS996</f>
        <v>0</v>
      </c>
      <c r="CS996" s="16">
        <f>IF(CT996&gt;0,1,0)</f>
        <v>0</v>
      </c>
      <c r="CT996" s="16">
        <f>SUM(CW996,CZ996,DC996)</f>
        <v>0</v>
      </c>
      <c r="CV996" s="16">
        <f>SUM(CY996,DB996,DE996)</f>
        <v>0</v>
      </c>
      <c r="CW996" s="16">
        <v>0</v>
      </c>
      <c r="CX996" s="16">
        <v>0</v>
      </c>
      <c r="CY996" s="16">
        <f>CX996/AS996</f>
        <v>0</v>
      </c>
      <c r="CZ996" s="16">
        <v>0</v>
      </c>
      <c r="DA996" s="16">
        <v>0</v>
      </c>
      <c r="DB996" s="16">
        <f>DA996/AS996</f>
        <v>0</v>
      </c>
      <c r="DC996" s="16">
        <v>0</v>
      </c>
      <c r="DD996" s="16">
        <v>0</v>
      </c>
      <c r="DE996" s="16">
        <f>DD996/AS996</f>
        <v>0</v>
      </c>
      <c r="DF996" s="16" t="e">
        <f>VLOOKUP(K996,'[3]RNA Seq summary tables'!$V$3:$V$99,1,FALSE)</f>
        <v>#N/A</v>
      </c>
      <c r="DI996" s="16">
        <v>51</v>
      </c>
      <c r="DK996" s="16">
        <v>41</v>
      </c>
      <c r="DM996" s="16">
        <v>8</v>
      </c>
      <c r="DO996" s="16">
        <v>0</v>
      </c>
      <c r="DQ996" s="16">
        <v>0</v>
      </c>
      <c r="DR996" s="16">
        <f>SUM(DI996:DQ996)</f>
        <v>100</v>
      </c>
    </row>
    <row r="997" spans="1:288" s="18" customFormat="1" x14ac:dyDescent="0.2">
      <c r="B997" s="16">
        <v>2017</v>
      </c>
      <c r="C997" s="66">
        <v>42919</v>
      </c>
      <c r="D997" s="66" t="str">
        <f>CONCATENATE(J997,"-",C997)</f>
        <v>1133-42919</v>
      </c>
      <c r="E997" s="20" t="str">
        <f>CONCATENATE(T997,"-",U997,"-",C997)</f>
        <v>BC2-F3-42919</v>
      </c>
      <c r="F997" s="20" t="s">
        <v>106</v>
      </c>
      <c r="G997" s="20" t="s">
        <v>107</v>
      </c>
      <c r="H997" s="16"/>
      <c r="I997" s="16">
        <v>0</v>
      </c>
      <c r="J997" s="21">
        <v>1133</v>
      </c>
      <c r="K997" s="21">
        <v>1810</v>
      </c>
      <c r="L997" s="18">
        <v>0</v>
      </c>
      <c r="M997" s="21">
        <f>VLOOKUP($K997,'[4]blood tubes 2017'!$D$1:$L$647,8,FALSE)</f>
        <v>0</v>
      </c>
      <c r="N997" s="15">
        <v>0</v>
      </c>
      <c r="O997" s="15" t="s">
        <v>214</v>
      </c>
      <c r="P997" s="16" t="s">
        <v>110</v>
      </c>
      <c r="Q997" s="16">
        <v>1</v>
      </c>
      <c r="R997" s="16">
        <v>15</v>
      </c>
      <c r="S997" s="16"/>
      <c r="T997" s="16" t="s">
        <v>154</v>
      </c>
      <c r="U997" s="16" t="s">
        <v>182</v>
      </c>
      <c r="V997" s="16" t="s">
        <v>114</v>
      </c>
      <c r="W997" s="16">
        <f>AI997/AG997</f>
        <v>0.7978723404255319</v>
      </c>
      <c r="X997" s="16" t="s">
        <v>115</v>
      </c>
      <c r="Y997" s="16" t="s">
        <v>110</v>
      </c>
      <c r="Z997" s="16">
        <v>3</v>
      </c>
      <c r="AA997" s="16"/>
      <c r="AB997" s="16"/>
      <c r="AC997" s="16"/>
      <c r="AD997" s="16"/>
      <c r="AE997" s="16" t="s">
        <v>123</v>
      </c>
      <c r="AF997" s="16" t="s">
        <v>123</v>
      </c>
      <c r="AG997" s="16">
        <f>AH997-AI997</f>
        <v>94</v>
      </c>
      <c r="AH997" s="16">
        <v>169</v>
      </c>
      <c r="AI997" s="16">
        <v>75</v>
      </c>
      <c r="AJ997" s="16"/>
      <c r="AK997" s="16">
        <v>21</v>
      </c>
      <c r="AL997" s="16">
        <v>1</v>
      </c>
      <c r="AM997" s="16">
        <v>0</v>
      </c>
      <c r="AN997" s="16">
        <v>0</v>
      </c>
      <c r="AO997" s="16">
        <v>1</v>
      </c>
      <c r="AP997" s="16">
        <f>SUM(AL997:AN997)</f>
        <v>1</v>
      </c>
      <c r="AQ997" s="16">
        <v>1.7789999999999999</v>
      </c>
      <c r="AR997" s="16">
        <f>AP997-1.472</f>
        <v>-0.47199999999999998</v>
      </c>
      <c r="AS997" s="16">
        <f>AQ997-1.472</f>
        <v>0.30699999999999994</v>
      </c>
      <c r="AT997" s="16" t="s">
        <v>119</v>
      </c>
      <c r="AU997" s="16"/>
      <c r="AV997" s="16"/>
      <c r="AW997" s="16">
        <f>IF(AX997&gt;0,1,0)</f>
        <v>1</v>
      </c>
      <c r="AX997" s="16">
        <f>SUM(BA997,BM997,CT997)</f>
        <v>1</v>
      </c>
      <c r="AY997" s="18">
        <f>SUM(BB997,BN997,CV997)</f>
        <v>15615.635179153098</v>
      </c>
      <c r="AZ997" s="16">
        <v>1</v>
      </c>
      <c r="BA997" s="16">
        <v>1</v>
      </c>
      <c r="BB997" s="16">
        <f>SUM(BE997,BH997,BK997)</f>
        <v>15615.635179153098</v>
      </c>
      <c r="BC997" s="16">
        <v>1</v>
      </c>
      <c r="BD997" s="16">
        <v>4794</v>
      </c>
      <c r="BE997" s="16">
        <f>BD997/AS997</f>
        <v>15615.635179153098</v>
      </c>
      <c r="BF997" s="16">
        <v>0</v>
      </c>
      <c r="BG997" s="77">
        <v>0</v>
      </c>
      <c r="BH997" s="16">
        <f>BG997/AS997</f>
        <v>0</v>
      </c>
      <c r="BI997" s="16">
        <v>0</v>
      </c>
      <c r="BJ997" s="16">
        <v>0</v>
      </c>
      <c r="BK997" s="16">
        <f>BJ997/AS997</f>
        <v>0</v>
      </c>
      <c r="BL997" s="16">
        <f>IF(BM997&gt;0,1,0)</f>
        <v>0</v>
      </c>
      <c r="BM997" s="16">
        <f>SUM(BR997,BU997,BX997,CA997,CD997,CG997,CJ997,CM997,CP997)</f>
        <v>0</v>
      </c>
      <c r="BN997" s="16">
        <f>SUM(BW997,BZ997,CC997,CF997,CI997,CL997,CO997,CR997,BT997)</f>
        <v>0</v>
      </c>
      <c r="BO997" s="16">
        <f>IF(BP997&gt;0,1,0)</f>
        <v>0</v>
      </c>
      <c r="BP997" s="16">
        <f>SUM(BU997,BX997,CA997,CD997,BR997)</f>
        <v>0</v>
      </c>
      <c r="BQ997" s="16">
        <f>SUM(BZ997,CC997,CF997,BT997,BW997)</f>
        <v>0</v>
      </c>
      <c r="BR997" s="16">
        <v>0</v>
      </c>
      <c r="BS997" s="16">
        <v>0</v>
      </c>
      <c r="BT997" s="77">
        <f>BS997/AS997</f>
        <v>0</v>
      </c>
      <c r="BU997" s="16">
        <v>0</v>
      </c>
      <c r="BV997" s="16">
        <v>0</v>
      </c>
      <c r="BW997" s="16">
        <f>BV997/AS997</f>
        <v>0</v>
      </c>
      <c r="BX997" s="16">
        <v>0</v>
      </c>
      <c r="BY997" s="16">
        <v>0</v>
      </c>
      <c r="BZ997" s="16">
        <f>BY997/AS997</f>
        <v>0</v>
      </c>
      <c r="CA997" s="16">
        <v>0</v>
      </c>
      <c r="CB997" s="16">
        <v>0</v>
      </c>
      <c r="CC997" s="16">
        <f>CB997/AS997</f>
        <v>0</v>
      </c>
      <c r="CD997" s="77">
        <v>0</v>
      </c>
      <c r="CE997" s="16">
        <v>0</v>
      </c>
      <c r="CF997" s="16">
        <f>CE997/AS997</f>
        <v>0</v>
      </c>
      <c r="CG997" s="16">
        <v>0</v>
      </c>
      <c r="CH997" s="16">
        <v>0</v>
      </c>
      <c r="CI997" s="16">
        <f>CH997/AS997</f>
        <v>0</v>
      </c>
      <c r="CJ997" s="16"/>
      <c r="CK997" s="16"/>
      <c r="CL997" s="16"/>
      <c r="CM997" s="16">
        <v>0</v>
      </c>
      <c r="CN997" s="16">
        <v>0</v>
      </c>
      <c r="CO997" s="16">
        <f>CN997/AS997</f>
        <v>0</v>
      </c>
      <c r="CP997" s="16">
        <v>0</v>
      </c>
      <c r="CQ997" s="16">
        <v>0</v>
      </c>
      <c r="CR997" s="16">
        <f>CQ997/AS997</f>
        <v>0</v>
      </c>
      <c r="CS997" s="16">
        <v>0</v>
      </c>
      <c r="CT997" s="16">
        <v>0</v>
      </c>
      <c r="CU997" s="16"/>
      <c r="CV997" s="16">
        <f>SUM(CY997,DB997,DE997)</f>
        <v>0</v>
      </c>
      <c r="CW997" s="16">
        <v>0</v>
      </c>
      <c r="CX997" s="16">
        <v>0</v>
      </c>
      <c r="CY997" s="16">
        <f>CX997/AS997</f>
        <v>0</v>
      </c>
      <c r="CZ997" s="16">
        <v>0</v>
      </c>
      <c r="DA997" s="16">
        <v>0</v>
      </c>
      <c r="DB997" s="16">
        <f>DA997/AS997</f>
        <v>0</v>
      </c>
      <c r="DC997" s="16">
        <v>0</v>
      </c>
      <c r="DD997" s="16">
        <v>0</v>
      </c>
      <c r="DE997" s="16">
        <f>DD997/AS997</f>
        <v>0</v>
      </c>
      <c r="DF997" s="16" t="e">
        <f>VLOOKUP(K997,'[3]RNA Seq summary tables'!$V$3:$V$99,1,FALSE)</f>
        <v>#N/A</v>
      </c>
      <c r="DG997" s="16"/>
      <c r="DH997" s="16"/>
      <c r="DI997" s="16">
        <v>17</v>
      </c>
      <c r="DJ997" s="16"/>
      <c r="DK997" s="16">
        <v>77</v>
      </c>
      <c r="DL997" s="16"/>
      <c r="DM997" s="16">
        <v>6</v>
      </c>
      <c r="DN997" s="16"/>
      <c r="DO997" s="16">
        <v>0</v>
      </c>
      <c r="DP997" s="16"/>
      <c r="DQ997" s="16">
        <v>0</v>
      </c>
      <c r="DR997" s="16">
        <f>SUM(DI997:DQ997)</f>
        <v>100</v>
      </c>
      <c r="DS997" s="16"/>
      <c r="JO997" s="16"/>
      <c r="JP997" s="16"/>
      <c r="JQ997" s="16"/>
      <c r="JR997" s="27"/>
      <c r="JS997" s="27"/>
      <c r="JT997" s="27"/>
      <c r="JU997" s="27"/>
      <c r="JV997" s="27"/>
      <c r="JW997" s="27"/>
      <c r="JX997" s="27"/>
      <c r="JY997" s="27"/>
      <c r="JZ997" s="27"/>
      <c r="KA997" s="27"/>
      <c r="KB997" s="27"/>
    </row>
    <row r="998" spans="1:288" s="18" customFormat="1" x14ac:dyDescent="0.2">
      <c r="B998" s="16">
        <v>2017</v>
      </c>
      <c r="C998" s="20">
        <v>42954</v>
      </c>
      <c r="D998" s="20" t="str">
        <f>CONCATENATE(J998,"-",C998)</f>
        <v>1133-42954</v>
      </c>
      <c r="E998" s="142" t="str">
        <f>CONCATENATE(T998,"-",U998,"-",C998)</f>
        <v>BC2-D7-42954</v>
      </c>
      <c r="F998" s="20" t="s">
        <v>106</v>
      </c>
      <c r="G998" s="20" t="s">
        <v>107</v>
      </c>
      <c r="H998" s="16"/>
      <c r="I998" s="16"/>
      <c r="J998" s="21">
        <v>1133</v>
      </c>
      <c r="K998" s="21">
        <v>2077</v>
      </c>
      <c r="L998" s="18">
        <v>0</v>
      </c>
      <c r="M998" s="21">
        <f>VLOOKUP($K998,'[4]blood tubes 2017'!$D$1:$L$647,8,FALSE)</f>
        <v>0</v>
      </c>
      <c r="N998" s="15">
        <v>0</v>
      </c>
      <c r="O998" s="15" t="s">
        <v>214</v>
      </c>
      <c r="P998" s="16" t="s">
        <v>110</v>
      </c>
      <c r="Q998" s="16">
        <v>1</v>
      </c>
      <c r="R998" s="16">
        <v>35</v>
      </c>
      <c r="S998" s="16"/>
      <c r="T998" s="16" t="s">
        <v>154</v>
      </c>
      <c r="U998" s="16" t="s">
        <v>177</v>
      </c>
      <c r="V998" s="16" t="s">
        <v>114</v>
      </c>
      <c r="W998" s="16">
        <f>AI998/AG998</f>
        <v>0.76530612244897955</v>
      </c>
      <c r="X998" s="16" t="s">
        <v>115</v>
      </c>
      <c r="Y998" s="16" t="s">
        <v>110</v>
      </c>
      <c r="Z998" s="16">
        <v>3</v>
      </c>
      <c r="AA998" s="16"/>
      <c r="AB998" s="16"/>
      <c r="AC998" s="16"/>
      <c r="AD998" s="16"/>
      <c r="AE998" s="16" t="s">
        <v>123</v>
      </c>
      <c r="AF998" s="16" t="s">
        <v>123</v>
      </c>
      <c r="AG998" s="16">
        <f>AH998-AI998</f>
        <v>98</v>
      </c>
      <c r="AH998" s="16">
        <v>173</v>
      </c>
      <c r="AI998" s="16">
        <v>75</v>
      </c>
      <c r="AJ998" s="16"/>
      <c r="AK998" s="16">
        <v>23</v>
      </c>
      <c r="AL998" s="16">
        <v>0</v>
      </c>
      <c r="AM998" s="16">
        <v>0</v>
      </c>
      <c r="AN998" s="16">
        <v>0</v>
      </c>
      <c r="AO998" s="16">
        <v>0</v>
      </c>
      <c r="AP998" s="16">
        <f>SUM(AL998:AN998)</f>
        <v>0</v>
      </c>
      <c r="AQ998" s="16">
        <v>1.901</v>
      </c>
      <c r="AR998" s="16">
        <f>AP998-1.472</f>
        <v>-1.472</v>
      </c>
      <c r="AS998" s="16">
        <f>AQ998-1.472</f>
        <v>0.42900000000000005</v>
      </c>
      <c r="AT998" s="16" t="e">
        <f>VLOOKUP(E998,[2]Current!$A$1:$W$435,7,FALSE)</f>
        <v>#N/A</v>
      </c>
      <c r="AU998" s="16">
        <v>0</v>
      </c>
      <c r="AV998" s="16"/>
      <c r="BE998" s="16"/>
      <c r="BF998" s="16"/>
      <c r="BG998" s="77"/>
      <c r="BH998" s="16"/>
      <c r="BI998" s="16"/>
      <c r="BJ998" s="16"/>
      <c r="BK998" s="16"/>
      <c r="BL998" s="16"/>
      <c r="BM998" s="16"/>
      <c r="BN998" s="16"/>
      <c r="BO998" s="16"/>
      <c r="BP998" s="16"/>
      <c r="BQ998" s="16"/>
      <c r="BR998" s="16"/>
      <c r="BS998" s="16"/>
      <c r="BT998" s="77"/>
      <c r="BU998" s="16"/>
      <c r="BV998" s="16"/>
      <c r="BW998" s="16"/>
      <c r="BX998" s="16"/>
      <c r="BY998" s="16"/>
      <c r="BZ998" s="16"/>
      <c r="CA998" s="16"/>
      <c r="CB998" s="16"/>
      <c r="CC998" s="16"/>
      <c r="CD998" s="77"/>
      <c r="CE998" s="16"/>
      <c r="CF998" s="16"/>
      <c r="CG998" s="16"/>
      <c r="CH998" s="16"/>
      <c r="CI998" s="16"/>
      <c r="CJ998" s="16"/>
      <c r="CK998" s="16"/>
      <c r="CL998" s="16"/>
      <c r="CM998" s="16"/>
      <c r="CN998" s="16"/>
      <c r="CO998" s="16"/>
      <c r="CP998" s="16"/>
      <c r="CQ998" s="16"/>
      <c r="CR998" s="16"/>
      <c r="CS998" s="16"/>
      <c r="CT998" s="16"/>
      <c r="CU998" s="16"/>
      <c r="CV998" s="16"/>
      <c r="CW998" s="16"/>
      <c r="CX998" s="16"/>
      <c r="CY998" s="16"/>
      <c r="CZ998" s="16"/>
      <c r="DA998" s="16"/>
      <c r="DB998" s="16"/>
      <c r="DC998" s="16"/>
      <c r="DD998" s="16"/>
      <c r="DE998" s="16"/>
      <c r="DF998" s="16" t="e">
        <f>VLOOKUP(K998,'[3]RNA Seq summary tables'!$V$3:$V$99,1,FALSE)</f>
        <v>#N/A</v>
      </c>
      <c r="DG998" s="16"/>
      <c r="DH998" s="16"/>
      <c r="DI998" s="16"/>
      <c r="DJ998" s="16"/>
      <c r="DK998" s="16"/>
      <c r="DL998" s="16"/>
      <c r="DM998" s="16"/>
      <c r="DN998" s="16"/>
      <c r="DO998" s="16"/>
      <c r="DP998" s="16"/>
      <c r="DQ998" s="16"/>
      <c r="DR998" s="16"/>
      <c r="DS998" s="16"/>
      <c r="JO998" s="16"/>
      <c r="JP998" s="16"/>
      <c r="JQ998" s="16"/>
      <c r="JR998" s="16"/>
      <c r="JS998" s="16"/>
      <c r="JT998" s="16"/>
      <c r="JU998" s="16"/>
      <c r="JV998" s="16"/>
      <c r="JW998" s="16"/>
      <c r="JX998" s="16"/>
      <c r="JY998" s="16"/>
      <c r="JZ998" s="16"/>
      <c r="KA998" s="16"/>
      <c r="KB998" s="16"/>
    </row>
    <row r="999" spans="1:288" x14ac:dyDescent="0.2">
      <c r="B999" s="16">
        <v>2017</v>
      </c>
      <c r="C999" s="73">
        <v>42904</v>
      </c>
      <c r="D999" s="73" t="str">
        <f>CONCATENATE(J999,"-",C999)</f>
        <v>1135-42904</v>
      </c>
      <c r="E999" s="20" t="str">
        <f>CONCATENATE(T999,"-",U999,"-",C999)</f>
        <v>BC1-A5-42904</v>
      </c>
      <c r="F999" s="20" t="s">
        <v>106</v>
      </c>
      <c r="G999" s="43" t="s">
        <v>107</v>
      </c>
      <c r="H999" s="23"/>
      <c r="I999" s="16">
        <v>0</v>
      </c>
      <c r="J999" s="15">
        <v>1135</v>
      </c>
      <c r="K999" s="15">
        <v>1687</v>
      </c>
      <c r="L999" s="18">
        <v>0</v>
      </c>
      <c r="M999" s="21">
        <f>VLOOKUP($K999,'[4]blood tubes 2017'!$D$1:$L$647,8,FALSE)</f>
        <v>0</v>
      </c>
      <c r="N999" s="15">
        <v>0</v>
      </c>
      <c r="O999" s="15" t="s">
        <v>214</v>
      </c>
      <c r="P999" s="23" t="s">
        <v>110</v>
      </c>
      <c r="Q999" s="16">
        <v>0</v>
      </c>
      <c r="R999" s="23" t="s">
        <v>111</v>
      </c>
      <c r="S999" s="23"/>
      <c r="T999" s="23" t="s">
        <v>159</v>
      </c>
      <c r="U999" s="23" t="s">
        <v>167</v>
      </c>
      <c r="V999" s="23" t="s">
        <v>114</v>
      </c>
      <c r="W999" s="16">
        <f>AI999/AG999</f>
        <v>0.7978723404255319</v>
      </c>
      <c r="X999" s="23" t="s">
        <v>115</v>
      </c>
      <c r="Y999" s="23" t="s">
        <v>110</v>
      </c>
      <c r="Z999" s="23">
        <v>3</v>
      </c>
      <c r="AA999" s="23"/>
      <c r="AB999" s="23"/>
      <c r="AC999" s="23"/>
      <c r="AD999" s="23"/>
      <c r="AE999" s="23" t="s">
        <v>116</v>
      </c>
      <c r="AF999" s="23" t="s">
        <v>116</v>
      </c>
      <c r="AG999" s="23">
        <f>AH999-AI999</f>
        <v>94</v>
      </c>
      <c r="AH999" s="23">
        <v>169</v>
      </c>
      <c r="AI999" s="23">
        <v>75</v>
      </c>
      <c r="AJ999" s="23"/>
      <c r="AK999" s="23">
        <v>19.5</v>
      </c>
      <c r="AL999" s="23">
        <v>1</v>
      </c>
      <c r="AM999" s="23">
        <v>0</v>
      </c>
      <c r="AN999" s="23">
        <v>0</v>
      </c>
      <c r="AO999" s="23">
        <v>1</v>
      </c>
      <c r="AP999" s="23">
        <f>SUM(AL999:AN999)</f>
        <v>1</v>
      </c>
      <c r="AQ999" s="23">
        <v>1.6619999999999999</v>
      </c>
      <c r="AR999" s="23">
        <f>AP999-1.472</f>
        <v>-0.47199999999999998</v>
      </c>
      <c r="AS999" s="23">
        <f>AQ999-1.472</f>
        <v>0.18999999999999995</v>
      </c>
      <c r="AT999" s="23" t="s">
        <v>234</v>
      </c>
      <c r="AU999" s="23"/>
      <c r="AV999" s="23"/>
      <c r="AW999" s="23">
        <f>IF(AX999&gt;0,1,0)</f>
        <v>1</v>
      </c>
      <c r="AX999" s="23">
        <f>SUM(BA999,BM999,CT999)</f>
        <v>2</v>
      </c>
      <c r="AY999" s="25">
        <f>SUM(BB999,BN999,CV999)</f>
        <v>10.526315789473687</v>
      </c>
      <c r="AZ999" s="23">
        <f>IF(BA999&gt;0,1,0)</f>
        <v>1</v>
      </c>
      <c r="BA999" s="23">
        <f>SUM(BC999,BF999,BI999)</f>
        <v>1</v>
      </c>
      <c r="BB999" s="23">
        <f>SUM(BE999,BH999,BK999)</f>
        <v>5.2631578947368434</v>
      </c>
      <c r="BC999" s="23">
        <v>0</v>
      </c>
      <c r="BD999" s="23">
        <v>0</v>
      </c>
      <c r="BE999" s="23">
        <f>BD999/AS999</f>
        <v>0</v>
      </c>
      <c r="BF999" s="23">
        <v>0</v>
      </c>
      <c r="BG999" s="77">
        <v>0</v>
      </c>
      <c r="BH999" s="23">
        <f>BG999/AS999</f>
        <v>0</v>
      </c>
      <c r="BI999" s="23">
        <v>1</v>
      </c>
      <c r="BJ999" s="23">
        <v>1</v>
      </c>
      <c r="BK999" s="23">
        <f>BJ999/AS999</f>
        <v>5.2631578947368434</v>
      </c>
      <c r="BL999" s="16">
        <f>IF(BM999&gt;0,1,0)</f>
        <v>1</v>
      </c>
      <c r="BM999" s="16">
        <f>SUM(BR999,BU999,BX999,CA999,CD999,CG999,CJ999,CM999,CP999)</f>
        <v>1</v>
      </c>
      <c r="BN999" s="23">
        <f>SUM(BW999,BZ999,CC999,CF999,CI999,CL999,CO999,CR999,BT999)</f>
        <v>5.2631578947368434</v>
      </c>
      <c r="BO999" s="16">
        <f>IF(BP999&gt;0,1,0)</f>
        <v>1</v>
      </c>
      <c r="BP999" s="16">
        <f>SUM(BU999,BX999,CA999,CD999,BR999)</f>
        <v>1</v>
      </c>
      <c r="BQ999" s="16">
        <f>SUM(BZ999,CC999,CF999,BT999,BW999)</f>
        <v>5.2631578947368434</v>
      </c>
      <c r="BR999" s="23">
        <v>0</v>
      </c>
      <c r="BS999" s="23">
        <v>0</v>
      </c>
      <c r="BT999" s="77">
        <f>BS999/AS999</f>
        <v>0</v>
      </c>
      <c r="BU999" s="23">
        <v>0</v>
      </c>
      <c r="BV999" s="23">
        <v>0</v>
      </c>
      <c r="BW999" s="23">
        <f>BV999/AS999</f>
        <v>0</v>
      </c>
      <c r="BX999" s="23">
        <v>1</v>
      </c>
      <c r="BY999" s="23">
        <v>1</v>
      </c>
      <c r="BZ999" s="23">
        <f>BY999/AS999</f>
        <v>5.2631578947368434</v>
      </c>
      <c r="CA999" s="23">
        <v>0</v>
      </c>
      <c r="CB999" s="23">
        <v>0</v>
      </c>
      <c r="CC999" s="23">
        <f>CB999/AS999</f>
        <v>0</v>
      </c>
      <c r="CD999" s="77">
        <v>0</v>
      </c>
      <c r="CE999" s="23">
        <v>0</v>
      </c>
      <c r="CF999" s="23">
        <f>CE999/AS999</f>
        <v>0</v>
      </c>
      <c r="CG999" s="23">
        <v>0</v>
      </c>
      <c r="CH999" s="23">
        <v>0</v>
      </c>
      <c r="CI999" s="23">
        <f>CH999/AS999</f>
        <v>0</v>
      </c>
      <c r="CJ999" s="23"/>
      <c r="CK999" s="23"/>
      <c r="CL999" s="23"/>
      <c r="CM999" s="23">
        <v>0</v>
      </c>
      <c r="CN999" s="23">
        <v>0</v>
      </c>
      <c r="CO999" s="23">
        <f>CN999/AS999</f>
        <v>0</v>
      </c>
      <c r="CP999" s="23">
        <v>0</v>
      </c>
      <c r="CQ999" s="23">
        <v>0</v>
      </c>
      <c r="CR999" s="23">
        <f>CQ999/AS999</f>
        <v>0</v>
      </c>
      <c r="CS999" s="23">
        <f>IF(CT999&gt;0,1,0)</f>
        <v>0</v>
      </c>
      <c r="CT999" s="23">
        <f>SUM(CW999,CZ999,DC999)</f>
        <v>0</v>
      </c>
      <c r="CU999" s="23"/>
      <c r="CV999" s="23">
        <f>SUM(CY999,DB999,DE999)</f>
        <v>0</v>
      </c>
      <c r="CW999" s="23">
        <v>0</v>
      </c>
      <c r="CX999" s="23">
        <v>0</v>
      </c>
      <c r="CY999" s="23">
        <f>CX999/AS999</f>
        <v>0</v>
      </c>
      <c r="CZ999" s="23">
        <v>0</v>
      </c>
      <c r="DA999" s="23">
        <v>0</v>
      </c>
      <c r="DB999" s="23">
        <f>DA999/AS999</f>
        <v>0</v>
      </c>
      <c r="DC999" s="23">
        <v>0</v>
      </c>
      <c r="DD999" s="23">
        <v>0</v>
      </c>
      <c r="DE999" s="23">
        <f>DD999/AS999</f>
        <v>0</v>
      </c>
      <c r="DF999" s="16" t="e">
        <f>VLOOKUP(K999,'[3]RNA Seq summary tables'!$V$3:$V$99,1,FALSE)</f>
        <v>#N/A</v>
      </c>
      <c r="DI999" s="23">
        <v>67</v>
      </c>
      <c r="DJ999" s="23"/>
      <c r="DK999" s="23">
        <v>24</v>
      </c>
      <c r="DL999" s="23"/>
      <c r="DM999" s="23">
        <v>9</v>
      </c>
      <c r="DN999" s="23"/>
      <c r="DO999" s="23">
        <v>0</v>
      </c>
      <c r="DP999" s="23"/>
      <c r="DQ999" s="23">
        <v>0</v>
      </c>
      <c r="DR999" s="23">
        <f>SUM(DI999:DQ999)</f>
        <v>100</v>
      </c>
      <c r="DS999" s="23"/>
      <c r="JO999" s="18"/>
    </row>
    <row r="1000" spans="1:288" x14ac:dyDescent="0.2">
      <c r="B1000" s="16">
        <v>2017</v>
      </c>
      <c r="C1000" s="66">
        <v>42919</v>
      </c>
      <c r="D1000" s="66" t="str">
        <f>CONCATENATE(J1000,"-",C1000)</f>
        <v>1135-42919</v>
      </c>
      <c r="E1000" s="20" t="str">
        <f>CONCATENATE(T1000,"-",U1000,"-",C1000)</f>
        <v>BC1-B6-42919</v>
      </c>
      <c r="F1000" s="20" t="s">
        <v>106</v>
      </c>
      <c r="G1000" s="20" t="s">
        <v>107</v>
      </c>
      <c r="I1000" s="16">
        <v>0</v>
      </c>
      <c r="J1000" s="21">
        <v>1135</v>
      </c>
      <c r="K1000" s="21">
        <v>1818</v>
      </c>
      <c r="L1000" s="18">
        <v>0</v>
      </c>
      <c r="M1000" s="21">
        <f>VLOOKUP($K1000,'[4]blood tubes 2017'!$D$1:$L$647,8,FALSE)</f>
        <v>0</v>
      </c>
      <c r="N1000" s="15">
        <v>0</v>
      </c>
      <c r="O1000" s="15" t="s">
        <v>214</v>
      </c>
      <c r="P1000" s="16" t="s">
        <v>110</v>
      </c>
      <c r="Q1000" s="16">
        <v>1</v>
      </c>
      <c r="R1000" s="16">
        <v>15</v>
      </c>
      <c r="T1000" s="16" t="s">
        <v>159</v>
      </c>
      <c r="U1000" s="16" t="s">
        <v>132</v>
      </c>
      <c r="V1000" s="16" t="s">
        <v>114</v>
      </c>
      <c r="W1000" s="16">
        <f>AI1000/AG1000</f>
        <v>0.875</v>
      </c>
      <c r="X1000" s="16" t="s">
        <v>115</v>
      </c>
      <c r="Y1000" s="16" t="s">
        <v>110</v>
      </c>
      <c r="Z1000" s="16">
        <v>3</v>
      </c>
      <c r="AE1000" s="16" t="s">
        <v>123</v>
      </c>
      <c r="AF1000" s="16" t="s">
        <v>123</v>
      </c>
      <c r="AG1000" s="16">
        <f>AH1000-AI1000</f>
        <v>88</v>
      </c>
      <c r="AH1000" s="16">
        <v>165</v>
      </c>
      <c r="AI1000" s="16">
        <v>77</v>
      </c>
      <c r="AK1000" s="16">
        <v>20.5</v>
      </c>
      <c r="AL1000" s="16">
        <v>0</v>
      </c>
      <c r="AM1000" s="16">
        <v>0</v>
      </c>
      <c r="AN1000" s="16">
        <v>0</v>
      </c>
      <c r="AO1000" s="16">
        <v>0</v>
      </c>
      <c r="AP1000" s="16">
        <f>SUM(AL1000:AN1000)</f>
        <v>0</v>
      </c>
      <c r="AQ1000" s="16">
        <v>1.7010000000000001</v>
      </c>
      <c r="AR1000" s="16">
        <f>AP1000-1.472</f>
        <v>-1.472</v>
      </c>
      <c r="AS1000" s="16">
        <f>AQ1000-1.472</f>
        <v>0.22900000000000009</v>
      </c>
      <c r="AT1000" s="16" t="s">
        <v>233</v>
      </c>
      <c r="AV1000" s="16">
        <v>1</v>
      </c>
      <c r="AW1000" s="16">
        <f>IF(AX1000&gt;0,1,0)</f>
        <v>0</v>
      </c>
      <c r="AX1000" s="16">
        <f>SUM(BA1000,BM1000,CT1000)</f>
        <v>0</v>
      </c>
      <c r="AY1000" s="18">
        <f>SUM(BB1000,BN1000,CV1000)</f>
        <v>0</v>
      </c>
      <c r="AZ1000" s="16">
        <v>0</v>
      </c>
      <c r="BA1000" s="16">
        <v>0</v>
      </c>
      <c r="BB1000" s="16">
        <f>SUM(BE1000,BH1000,BK1000)</f>
        <v>0</v>
      </c>
      <c r="BC1000" s="16">
        <v>0</v>
      </c>
      <c r="BD1000" s="16">
        <v>0</v>
      </c>
      <c r="BE1000" s="16">
        <f>BD1000/AS1000</f>
        <v>0</v>
      </c>
      <c r="BF1000" s="16">
        <v>0</v>
      </c>
      <c r="BG1000" s="77">
        <v>0</v>
      </c>
      <c r="BH1000" s="16">
        <f>BG1000/AS1000</f>
        <v>0</v>
      </c>
      <c r="BI1000" s="16">
        <v>0</v>
      </c>
      <c r="BJ1000" s="16">
        <v>0</v>
      </c>
      <c r="BK1000" s="16">
        <f>BJ1000/AS1000</f>
        <v>0</v>
      </c>
      <c r="BL1000" s="16">
        <v>0</v>
      </c>
      <c r="BM1000" s="16">
        <f>SUM(BR1000,BU1000,BX1000,CA1000,CD1000,CG1000,CJ1000,CM1000,CP1000)</f>
        <v>0</v>
      </c>
      <c r="BN1000" s="16">
        <f>SUM(BW1000,BZ1000,CC1000,CF1000,CI1000,CL1000,CO1000,CR1000,BT1000)</f>
        <v>0</v>
      </c>
      <c r="BO1000" s="16">
        <f>IF(BP1000&gt;0,1,0)</f>
        <v>0</v>
      </c>
      <c r="BP1000" s="16">
        <f>SUM(BU1000,BX1000,CA1000,CD1000,BR1000)</f>
        <v>0</v>
      </c>
      <c r="BQ1000" s="16">
        <f>SUM(BZ1000,CC1000,CF1000,BT1000,BW1000)</f>
        <v>0</v>
      </c>
      <c r="BR1000" s="16">
        <v>0</v>
      </c>
      <c r="BS1000" s="16">
        <v>0</v>
      </c>
      <c r="BT1000" s="77">
        <f>BS1000/AS1000</f>
        <v>0</v>
      </c>
      <c r="BU1000" s="16">
        <v>0</v>
      </c>
      <c r="BV1000" s="16">
        <v>0</v>
      </c>
      <c r="BW1000" s="16">
        <f>BV1000/AS1000</f>
        <v>0</v>
      </c>
      <c r="BX1000" s="16">
        <v>0</v>
      </c>
      <c r="BY1000" s="16">
        <v>0</v>
      </c>
      <c r="BZ1000" s="16">
        <f>BY1000/AS1000</f>
        <v>0</v>
      </c>
      <c r="CA1000" s="16">
        <v>0</v>
      </c>
      <c r="CB1000" s="16">
        <v>0</v>
      </c>
      <c r="CC1000" s="16">
        <f>CB1000/AS1000</f>
        <v>0</v>
      </c>
      <c r="CD1000" s="77">
        <v>0</v>
      </c>
      <c r="CE1000" s="16">
        <v>0</v>
      </c>
      <c r="CF1000" s="16">
        <f>CE1000/AS1000</f>
        <v>0</v>
      </c>
      <c r="CG1000" s="16">
        <v>0</v>
      </c>
      <c r="CH1000" s="16">
        <v>0</v>
      </c>
      <c r="CI1000" s="16">
        <f>CH1000/AS1000</f>
        <v>0</v>
      </c>
      <c r="CM1000" s="16">
        <v>0</v>
      </c>
      <c r="CN1000" s="16">
        <v>0</v>
      </c>
      <c r="CO1000" s="16">
        <f>CN1000/AS1000</f>
        <v>0</v>
      </c>
      <c r="CP1000" s="16">
        <v>0</v>
      </c>
      <c r="CQ1000" s="16">
        <v>0</v>
      </c>
      <c r="CR1000" s="16">
        <f>CQ1000/AS1000</f>
        <v>0</v>
      </c>
      <c r="CS1000" s="16">
        <v>0</v>
      </c>
      <c r="CT1000" s="16">
        <v>0</v>
      </c>
      <c r="CV1000" s="16">
        <f>SUM(CY1000,DB1000,DE1000)</f>
        <v>0</v>
      </c>
      <c r="CW1000" s="16">
        <v>0</v>
      </c>
      <c r="CX1000" s="16">
        <v>0</v>
      </c>
      <c r="CY1000" s="16">
        <f>CX1000/AS1000</f>
        <v>0</v>
      </c>
      <c r="CZ1000" s="16">
        <v>0</v>
      </c>
      <c r="DA1000" s="16">
        <v>0</v>
      </c>
      <c r="DB1000" s="16">
        <f>DA1000/AS1000</f>
        <v>0</v>
      </c>
      <c r="DC1000" s="16">
        <v>0</v>
      </c>
      <c r="DD1000" s="16">
        <v>0</v>
      </c>
      <c r="DE1000" s="16">
        <f>DD1000/AS1000</f>
        <v>0</v>
      </c>
      <c r="DF1000" s="16" t="e">
        <f>VLOOKUP(K1000,'[3]RNA Seq summary tables'!$V$3:$V$99,1,FALSE)</f>
        <v>#N/A</v>
      </c>
      <c r="DI1000" s="16">
        <v>76</v>
      </c>
      <c r="DK1000" s="16">
        <v>18</v>
      </c>
      <c r="DM1000" s="16">
        <v>6</v>
      </c>
      <c r="DO1000" s="16">
        <v>0</v>
      </c>
      <c r="DQ1000" s="16">
        <v>0</v>
      </c>
      <c r="DR1000" s="16">
        <f>SUM(DI1000:DQ1000)</f>
        <v>100</v>
      </c>
      <c r="JR1000" s="27"/>
      <c r="JS1000" s="27"/>
      <c r="JT1000" s="27"/>
      <c r="JU1000" s="27"/>
      <c r="JV1000" s="27"/>
      <c r="JW1000" s="27"/>
      <c r="JX1000" s="27"/>
      <c r="JY1000" s="27"/>
      <c r="JZ1000" s="27"/>
      <c r="KA1000" s="27"/>
      <c r="KB1000" s="27"/>
    </row>
    <row r="1001" spans="1:288" ht="16" x14ac:dyDescent="0.2">
      <c r="B1001" s="16">
        <v>2017</v>
      </c>
      <c r="C1001" s="20">
        <v>42936</v>
      </c>
      <c r="D1001" s="20" t="str">
        <f>CONCATENATE(J1001,"-",C1001)</f>
        <v>1135-42936</v>
      </c>
      <c r="E1001" s="37" t="str">
        <f>CONCATENATE(T1001,"-",U1001,"-",C1001)</f>
        <v>BC1-C3-42936</v>
      </c>
      <c r="F1001" s="20" t="s">
        <v>106</v>
      </c>
      <c r="G1001" s="20" t="s">
        <v>107</v>
      </c>
      <c r="I1001" s="16">
        <v>0</v>
      </c>
      <c r="J1001" s="21">
        <v>1135</v>
      </c>
      <c r="K1001" s="21">
        <v>1933</v>
      </c>
      <c r="L1001" s="18">
        <v>0</v>
      </c>
      <c r="M1001" s="21">
        <f>VLOOKUP($K1001,'[4]blood tubes 2017'!$D$1:$L$647,8,FALSE)</f>
        <v>0</v>
      </c>
      <c r="N1001" s="15">
        <v>0</v>
      </c>
      <c r="O1001" s="15" t="s">
        <v>214</v>
      </c>
      <c r="P1001" s="16" t="s">
        <v>110</v>
      </c>
      <c r="Q1001" s="16">
        <v>1</v>
      </c>
      <c r="R1001" s="16">
        <v>17</v>
      </c>
      <c r="T1001" s="16" t="s">
        <v>159</v>
      </c>
      <c r="U1001" s="16" t="s">
        <v>237</v>
      </c>
      <c r="V1001" s="16" t="s">
        <v>114</v>
      </c>
      <c r="W1001" s="16">
        <f>AI1001/AG1001</f>
        <v>0.82795698924731187</v>
      </c>
      <c r="X1001" s="16" t="s">
        <v>115</v>
      </c>
      <c r="Y1001" s="16" t="s">
        <v>110</v>
      </c>
      <c r="Z1001" s="16">
        <v>3</v>
      </c>
      <c r="AE1001" s="16" t="s">
        <v>116</v>
      </c>
      <c r="AF1001" s="16" t="s">
        <v>116</v>
      </c>
      <c r="AG1001" s="16">
        <f>AH1001-AI1001</f>
        <v>93</v>
      </c>
      <c r="AH1001" s="16">
        <v>170</v>
      </c>
      <c r="AI1001" s="16">
        <v>77</v>
      </c>
      <c r="AK1001" s="16">
        <v>21.5</v>
      </c>
      <c r="AL1001" s="16">
        <v>1</v>
      </c>
      <c r="AM1001" s="16">
        <v>0</v>
      </c>
      <c r="AN1001" s="16">
        <v>0</v>
      </c>
      <c r="AO1001" s="16">
        <v>1</v>
      </c>
      <c r="AP1001" s="16">
        <f>SUM(AL1001:AN1001)</f>
        <v>1</v>
      </c>
      <c r="AQ1001" s="16">
        <v>1.6830000000000001</v>
      </c>
      <c r="AR1001" s="16">
        <f>AP1001-1.472</f>
        <v>-0.47199999999999998</v>
      </c>
      <c r="AS1001" s="16">
        <f>AQ1001-1.472</f>
        <v>0.21100000000000008</v>
      </c>
      <c r="AT1001" s="16" t="str">
        <f>VLOOKUP(E1001,[2]Current!$A$1:$W$435,7,FALSE)</f>
        <v>JY</v>
      </c>
      <c r="AU1001" s="16" t="s">
        <v>1288</v>
      </c>
      <c r="AV1001" s="23">
        <v>1</v>
      </c>
      <c r="AW1001" s="128">
        <f>IF(AX1001&gt;0,1,0)</f>
        <v>0</v>
      </c>
      <c r="AX1001" s="128">
        <f>SUM(BA1001,BM1001,CU1001)</f>
        <v>0</v>
      </c>
      <c r="AY1001" s="128">
        <f>SUM(BB1001,BN1001,CV1001)</f>
        <v>0</v>
      </c>
      <c r="AZ1001" s="128">
        <f>IF(BA1001&gt;0,1,0)</f>
        <v>0</v>
      </c>
      <c r="BA1001" s="128">
        <f>SUM(BC1001+BF1001+BI1001)</f>
        <v>0</v>
      </c>
      <c r="BB1001" s="128">
        <f>SUM(BE1001,BH1001,BK1001)</f>
        <v>0</v>
      </c>
      <c r="BC1001" s="130">
        <f>IF(BD1001&gt;0,1,0)</f>
        <v>0</v>
      </c>
      <c r="BD1001" s="128">
        <f>VLOOKUP($E1001,[2]Current!$A:$AC,26,FALSE)</f>
        <v>0</v>
      </c>
      <c r="BE1001" s="128">
        <f>BD1001/$AS1001</f>
        <v>0</v>
      </c>
      <c r="BF1001" s="130">
        <f>IF(BG1001&gt;0,1,0)</f>
        <v>0</v>
      </c>
      <c r="BG1001" s="137">
        <f>VLOOKUP($E1001,[2]Current!$A:$AC,27,FALSE)</f>
        <v>0</v>
      </c>
      <c r="BH1001" s="128">
        <f>BG1001/$AS1001</f>
        <v>0</v>
      </c>
      <c r="BI1001" s="130">
        <f>IF(BJ1001&gt;0,1,0)</f>
        <v>0</v>
      </c>
      <c r="BJ1001" s="128">
        <f>VLOOKUP($E1001,[2]Current!$A:$AC,28,FALSE)</f>
        <v>0</v>
      </c>
      <c r="BK1001" s="128">
        <f>BJ1001/$AS1001</f>
        <v>0</v>
      </c>
      <c r="BL1001" s="128">
        <f>IF(BM1001&gt;0,1,0)</f>
        <v>0</v>
      </c>
      <c r="BM1001" s="128">
        <f>SUM(BR1001,BU1001,BX1001,CA1001,CD1001)</f>
        <v>0</v>
      </c>
      <c r="BN1001" s="131">
        <f>SUM(BT1001,BW1001,BZ1001,CC1001,CF1001)</f>
        <v>0</v>
      </c>
      <c r="BO1001" s="128">
        <f>IF(BP1001&gt;0,1,0)</f>
        <v>0</v>
      </c>
      <c r="BP1001" s="128">
        <f>BM1001+CJ1001</f>
        <v>0</v>
      </c>
      <c r="BQ1001" s="128">
        <f>BN1001+CL1001</f>
        <v>0</v>
      </c>
      <c r="BR1001" s="130">
        <f>IF(BS1001&gt;0,1,0)</f>
        <v>0</v>
      </c>
      <c r="BS1001" s="128">
        <f>VLOOKUP($E1001,[2]Current!$A:$AC,12,FALSE)</f>
        <v>0</v>
      </c>
      <c r="BT1001" s="137">
        <f>BS1001/$AS1001</f>
        <v>0</v>
      </c>
      <c r="BU1001" s="130">
        <f>IF(BV1001&gt;0,1,0)</f>
        <v>0</v>
      </c>
      <c r="BV1001" s="128">
        <f>VLOOKUP($E1001,[2]Current!$A:$AC,13,FALSE)</f>
        <v>0</v>
      </c>
      <c r="BW1001" s="128">
        <f>BV1001/$AS1001</f>
        <v>0</v>
      </c>
      <c r="BX1001" s="130">
        <f>IF(BY1001&gt;0,1,0)</f>
        <v>0</v>
      </c>
      <c r="BY1001" s="128">
        <f>VLOOKUP($E1001,[2]Current!$A:$AC,14,FALSE)</f>
        <v>0</v>
      </c>
      <c r="BZ1001" s="128">
        <f>BY1001/$AS1001</f>
        <v>0</v>
      </c>
      <c r="CA1001" s="130">
        <f>IF(CB1001&gt;0,1,0)</f>
        <v>0</v>
      </c>
      <c r="CB1001" s="128">
        <f>VLOOKUP($E1001,[2]Current!$A:$AC,15,FALSE)</f>
        <v>0</v>
      </c>
      <c r="CC1001" s="128">
        <f>CB1001/$AS1001</f>
        <v>0</v>
      </c>
      <c r="CD1001" s="174">
        <f>IF(CE1001&gt;0,1,0)</f>
        <v>0</v>
      </c>
      <c r="CE1001" s="128">
        <f>VLOOKUP($E1001,[2]Current!$A:$AC,16,FALSE)</f>
        <v>0</v>
      </c>
      <c r="CF1001" s="128">
        <f>CE1001/$AS1001</f>
        <v>0</v>
      </c>
      <c r="CG1001" s="18"/>
      <c r="CH1001" s="18"/>
      <c r="CI1001" s="18"/>
      <c r="CJ1001" s="130">
        <f>IF(CK1001&gt;0,1,0)</f>
        <v>0</v>
      </c>
      <c r="CK1001" s="128">
        <f>VLOOKUP($E1001,[2]Current!$A:$AC,18,FALSE)</f>
        <v>0</v>
      </c>
      <c r="CL1001" s="128">
        <f>CK1001/$AS1001</f>
        <v>0</v>
      </c>
      <c r="CS1001" s="130">
        <f>IF(CU1001&gt;0,1,0)</f>
        <v>0</v>
      </c>
      <c r="CU1001" s="128">
        <f>VLOOKUP($E1001,[2]Current!$A:$AC,17,FALSE)</f>
        <v>0</v>
      </c>
      <c r="CV1001" s="128">
        <f>CU1001/$AS1001</f>
        <v>0</v>
      </c>
      <c r="CW1001" s="18"/>
      <c r="CX1001" s="18"/>
      <c r="CY1001" s="18"/>
      <c r="DF1001" s="16" t="e">
        <f>VLOOKUP(K1001,'[3]RNA Seq summary tables'!$V$3:$V$99,1,FALSE)</f>
        <v>#N/A</v>
      </c>
    </row>
    <row r="1002" spans="1:288" x14ac:dyDescent="0.2">
      <c r="A1002" s="25"/>
      <c r="B1002" s="23">
        <v>2017</v>
      </c>
      <c r="C1002" s="73">
        <v>42904</v>
      </c>
      <c r="D1002" s="73" t="str">
        <f>CONCATENATE(J1002,"-",C1002)</f>
        <v>1137-42904</v>
      </c>
      <c r="E1002" s="43" t="str">
        <f>CONCATENATE(T1002,"-",U1002,"-",C1002)</f>
        <v>BC1-C8-42904</v>
      </c>
      <c r="F1002" s="43" t="s">
        <v>106</v>
      </c>
      <c r="G1002" s="43" t="s">
        <v>107</v>
      </c>
      <c r="H1002" s="23"/>
      <c r="I1002" s="23">
        <v>0</v>
      </c>
      <c r="J1002" s="15">
        <v>1137</v>
      </c>
      <c r="K1002" s="15">
        <v>1689</v>
      </c>
      <c r="L1002" s="25">
        <v>0</v>
      </c>
      <c r="M1002" s="15">
        <f>VLOOKUP($K1002,'[4]blood tubes 2017'!$D$1:$L$647,8,FALSE)</f>
        <v>0</v>
      </c>
      <c r="N1002" s="15">
        <v>0</v>
      </c>
      <c r="O1002" s="15" t="s">
        <v>214</v>
      </c>
      <c r="P1002" s="16" t="s">
        <v>110</v>
      </c>
      <c r="Q1002" s="16">
        <v>0</v>
      </c>
      <c r="R1002" s="16" t="s">
        <v>111</v>
      </c>
      <c r="S1002" s="23"/>
      <c r="T1002" s="23" t="s">
        <v>159</v>
      </c>
      <c r="U1002" s="23" t="s">
        <v>188</v>
      </c>
      <c r="V1002" s="23" t="s">
        <v>114</v>
      </c>
      <c r="W1002" s="23">
        <f>AI1002/AG1002</f>
        <v>0.80952380952380953</v>
      </c>
      <c r="X1002" s="23" t="s">
        <v>115</v>
      </c>
      <c r="Y1002" s="23" t="s">
        <v>122</v>
      </c>
      <c r="Z1002" s="23">
        <v>2.2999999999999998</v>
      </c>
      <c r="AA1002" s="23"/>
      <c r="AB1002" s="23"/>
      <c r="AC1002" s="23"/>
      <c r="AD1002" s="23"/>
      <c r="AE1002" s="23" t="s">
        <v>123</v>
      </c>
      <c r="AF1002" s="23" t="s">
        <v>123</v>
      </c>
      <c r="AG1002" s="23">
        <f>AH1002-AI1002</f>
        <v>84</v>
      </c>
      <c r="AH1002" s="23">
        <v>152</v>
      </c>
      <c r="AI1002" s="23">
        <v>68</v>
      </c>
      <c r="AJ1002" s="23"/>
      <c r="AK1002" s="23">
        <v>17.5</v>
      </c>
      <c r="AL1002" s="23">
        <v>0</v>
      </c>
      <c r="AM1002" s="23">
        <v>0</v>
      </c>
      <c r="AN1002" s="23">
        <v>0</v>
      </c>
      <c r="AO1002" s="23">
        <v>0</v>
      </c>
      <c r="AP1002" s="23">
        <f>SUM(AL1002:AN1002)</f>
        <v>0</v>
      </c>
      <c r="AQ1002" s="23">
        <v>1.708</v>
      </c>
      <c r="AR1002" s="23">
        <f>AP1002-1.472</f>
        <v>-1.472</v>
      </c>
      <c r="AS1002" s="23">
        <f>AQ1002-1.472</f>
        <v>0.23599999999999999</v>
      </c>
      <c r="AT1002" s="23" t="s">
        <v>234</v>
      </c>
      <c r="AU1002" s="23"/>
      <c r="AV1002" s="23"/>
      <c r="AW1002" s="16">
        <f>IF(AX1002&gt;0,1,0)</f>
        <v>1</v>
      </c>
      <c r="AX1002" s="16">
        <f>SUM(BA1002,BM1002,CT1002)</f>
        <v>3</v>
      </c>
      <c r="AY1002" s="18">
        <f>SUM(BB1002,BN1002,CV1002)</f>
        <v>16754.237288135595</v>
      </c>
      <c r="AZ1002" s="16">
        <f>IF(BA1002&gt;0,1,0)</f>
        <v>1</v>
      </c>
      <c r="BA1002" s="16">
        <f>SUM(BC1002,BF1002,BI1002)</f>
        <v>3</v>
      </c>
      <c r="BB1002" s="16">
        <f>SUM(BE1002,BH1002,BK1002)</f>
        <v>16754.237288135595</v>
      </c>
      <c r="BC1002" s="16">
        <v>1</v>
      </c>
      <c r="BD1002" s="16">
        <v>179</v>
      </c>
      <c r="BE1002" s="16">
        <f>BD1002/AS1002</f>
        <v>758.47457627118649</v>
      </c>
      <c r="BF1002" s="16">
        <v>1</v>
      </c>
      <c r="BG1002" s="77">
        <v>3773</v>
      </c>
      <c r="BH1002" s="16">
        <f>BG1002/AS1002</f>
        <v>15987.28813559322</v>
      </c>
      <c r="BI1002" s="16">
        <v>1</v>
      </c>
      <c r="BJ1002" s="16">
        <v>2</v>
      </c>
      <c r="BK1002" s="16">
        <f>BJ1002/AS1002</f>
        <v>8.4745762711864412</v>
      </c>
      <c r="BL1002" s="16">
        <f>IF(BM1002&gt;0,1,0)</f>
        <v>0</v>
      </c>
      <c r="BM1002" s="16">
        <f>SUM(BR1002,BU1002,BX1002,CA1002,CD1002,CG1002,CJ1002,CM1002,CP1002)</f>
        <v>0</v>
      </c>
      <c r="BN1002" s="16">
        <f>SUM(BW1002,BZ1002,CC1002,CF1002,CI1002,CL1002,CO1002,CR1002,BT1002)</f>
        <v>0</v>
      </c>
      <c r="BO1002" s="16">
        <f>IF(BP1002&gt;0,1,0)</f>
        <v>0</v>
      </c>
      <c r="BP1002" s="16">
        <f>SUM(BU1002,BX1002,CA1002,CD1002,BR1002)</f>
        <v>0</v>
      </c>
      <c r="BQ1002" s="16">
        <f>SUM(BZ1002,CC1002,CF1002,BT1002,BW1002)</f>
        <v>0</v>
      </c>
      <c r="BR1002" s="16">
        <v>0</v>
      </c>
      <c r="BS1002" s="16">
        <v>0</v>
      </c>
      <c r="BT1002" s="77">
        <f>BS1002/AS1002</f>
        <v>0</v>
      </c>
      <c r="BU1002" s="16">
        <v>0</v>
      </c>
      <c r="BV1002" s="16">
        <v>0</v>
      </c>
      <c r="BW1002" s="16">
        <f>BV1002/AS1002</f>
        <v>0</v>
      </c>
      <c r="BX1002" s="16">
        <v>0</v>
      </c>
      <c r="BY1002" s="16">
        <v>0</v>
      </c>
      <c r="BZ1002" s="16">
        <f>BY1002/AS1002</f>
        <v>0</v>
      </c>
      <c r="CA1002" s="16">
        <v>0</v>
      </c>
      <c r="CB1002" s="16">
        <v>0</v>
      </c>
      <c r="CC1002" s="16">
        <f>CB1002/AS1002</f>
        <v>0</v>
      </c>
      <c r="CD1002" s="77">
        <v>0</v>
      </c>
      <c r="CE1002" s="16">
        <v>0</v>
      </c>
      <c r="CF1002" s="16">
        <f>CE1002/AS1002</f>
        <v>0</v>
      </c>
      <c r="CG1002" s="16">
        <v>0</v>
      </c>
      <c r="CH1002" s="16">
        <v>0</v>
      </c>
      <c r="CI1002" s="16">
        <f>CH1002/AS1002</f>
        <v>0</v>
      </c>
      <c r="CM1002" s="16">
        <v>0</v>
      </c>
      <c r="CN1002" s="16">
        <v>0</v>
      </c>
      <c r="CO1002" s="16">
        <f>CN1002/AS1002</f>
        <v>0</v>
      </c>
      <c r="CP1002" s="16">
        <v>0</v>
      </c>
      <c r="CQ1002" s="16">
        <v>0</v>
      </c>
      <c r="CR1002" s="16">
        <f>CQ1002/AS1002</f>
        <v>0</v>
      </c>
      <c r="CS1002" s="16">
        <f>IF(CT1002&gt;0,1,0)</f>
        <v>0</v>
      </c>
      <c r="CT1002" s="16">
        <f>SUM(CW1002,CZ1002,DC1002)</f>
        <v>0</v>
      </c>
      <c r="CV1002" s="16">
        <f>SUM(CY1002,DB1002,DE1002)</f>
        <v>0</v>
      </c>
      <c r="CW1002" s="23">
        <v>0</v>
      </c>
      <c r="CX1002" s="23">
        <v>0</v>
      </c>
      <c r="CY1002" s="23">
        <f>CX1002/AS1002</f>
        <v>0</v>
      </c>
      <c r="CZ1002" s="23">
        <v>0</v>
      </c>
      <c r="DA1002" s="23">
        <v>0</v>
      </c>
      <c r="DB1002" s="23">
        <f>DA1002/AS1002</f>
        <v>0</v>
      </c>
      <c r="DC1002" s="23">
        <v>0</v>
      </c>
      <c r="DD1002" s="23">
        <v>0</v>
      </c>
      <c r="DE1002" s="23">
        <f>DD1002/AS1002</f>
        <v>0</v>
      </c>
      <c r="DF1002" s="23" t="e">
        <f>VLOOKUP(K1002,'[3]RNA Seq summary tables'!$V$3:$V$99,1,FALSE)</f>
        <v>#N/A</v>
      </c>
      <c r="DG1002" s="23"/>
      <c r="DH1002" s="23"/>
      <c r="DI1002" s="23">
        <v>72</v>
      </c>
      <c r="DJ1002" s="23"/>
      <c r="DK1002" s="23">
        <v>18</v>
      </c>
      <c r="DL1002" s="23"/>
      <c r="DM1002" s="23">
        <v>10</v>
      </c>
      <c r="DN1002" s="23"/>
      <c r="DO1002" s="23">
        <v>0</v>
      </c>
      <c r="DP1002" s="23"/>
      <c r="DQ1002" s="23">
        <v>0</v>
      </c>
      <c r="DR1002" s="23">
        <f>SUM(DI1002:DQ1002)</f>
        <v>100</v>
      </c>
      <c r="DS1002" s="23"/>
      <c r="DT1002" s="25"/>
      <c r="DU1002" s="25"/>
      <c r="DV1002" s="25"/>
      <c r="DW1002" s="25"/>
      <c r="DX1002" s="25"/>
      <c r="DY1002" s="25"/>
      <c r="DZ1002" s="25"/>
      <c r="EA1002" s="25"/>
      <c r="EB1002" s="25"/>
      <c r="EC1002" s="25"/>
      <c r="ED1002" s="25"/>
      <c r="EE1002" s="25"/>
      <c r="EF1002" s="25"/>
      <c r="EG1002" s="25"/>
      <c r="EH1002" s="25"/>
      <c r="EI1002" s="25"/>
      <c r="EJ1002" s="25"/>
      <c r="EK1002" s="25"/>
      <c r="EL1002" s="25"/>
      <c r="EM1002" s="25"/>
      <c r="EN1002" s="25"/>
      <c r="EO1002" s="25"/>
      <c r="EP1002" s="25"/>
      <c r="EQ1002" s="25"/>
      <c r="ER1002" s="25"/>
      <c r="ES1002" s="25"/>
      <c r="ET1002" s="25"/>
      <c r="EU1002" s="25"/>
      <c r="EV1002" s="25"/>
      <c r="EW1002" s="25"/>
      <c r="EX1002" s="25"/>
      <c r="EY1002" s="25"/>
      <c r="EZ1002" s="25"/>
      <c r="FA1002" s="25"/>
      <c r="FB1002" s="25"/>
      <c r="FC1002" s="25"/>
      <c r="FD1002" s="25"/>
      <c r="FE1002" s="25"/>
      <c r="FF1002" s="25"/>
      <c r="FG1002" s="25"/>
      <c r="FH1002" s="25"/>
      <c r="FI1002" s="25"/>
      <c r="FJ1002" s="25"/>
      <c r="FK1002" s="25"/>
      <c r="FL1002" s="25"/>
      <c r="FM1002" s="25"/>
      <c r="FN1002" s="25"/>
      <c r="FO1002" s="25"/>
      <c r="FP1002" s="25"/>
      <c r="FQ1002" s="25"/>
      <c r="FR1002" s="25"/>
      <c r="FS1002" s="25"/>
      <c r="FT1002" s="25"/>
      <c r="FU1002" s="25"/>
      <c r="FV1002" s="25"/>
      <c r="FW1002" s="25"/>
      <c r="FX1002" s="25"/>
      <c r="FY1002" s="25"/>
      <c r="FZ1002" s="25"/>
      <c r="GA1002" s="25"/>
      <c r="GB1002" s="25"/>
      <c r="GC1002" s="25"/>
      <c r="GD1002" s="25"/>
      <c r="GE1002" s="25"/>
      <c r="GF1002" s="25"/>
      <c r="GG1002" s="25"/>
      <c r="GH1002" s="25"/>
      <c r="GI1002" s="25"/>
      <c r="GJ1002" s="25"/>
      <c r="GK1002" s="25"/>
      <c r="GL1002" s="25"/>
      <c r="GM1002" s="25"/>
      <c r="GN1002" s="25"/>
      <c r="GO1002" s="25"/>
      <c r="GP1002" s="25"/>
      <c r="GQ1002" s="25"/>
      <c r="GR1002" s="25"/>
      <c r="GS1002" s="25"/>
      <c r="GT1002" s="25"/>
      <c r="GU1002" s="25"/>
      <c r="GV1002" s="25"/>
      <c r="GW1002" s="25"/>
      <c r="GX1002" s="25"/>
      <c r="GY1002" s="25"/>
      <c r="GZ1002" s="25"/>
      <c r="HA1002" s="25"/>
      <c r="HB1002" s="25"/>
      <c r="HC1002" s="25"/>
      <c r="HD1002" s="25"/>
      <c r="HE1002" s="25"/>
      <c r="HF1002" s="25"/>
      <c r="HG1002" s="25"/>
      <c r="HH1002" s="25"/>
      <c r="HI1002" s="25"/>
      <c r="HJ1002" s="25"/>
      <c r="HK1002" s="25"/>
      <c r="HL1002" s="25"/>
      <c r="HM1002" s="25"/>
      <c r="HN1002" s="25"/>
      <c r="HO1002" s="25"/>
      <c r="HP1002" s="25"/>
      <c r="HQ1002" s="25"/>
      <c r="HR1002" s="25"/>
      <c r="HS1002" s="25"/>
      <c r="HT1002" s="25"/>
      <c r="HU1002" s="25"/>
      <c r="HV1002" s="25"/>
      <c r="HW1002" s="25"/>
      <c r="HX1002" s="25"/>
      <c r="HY1002" s="25"/>
      <c r="HZ1002" s="25"/>
      <c r="IA1002" s="25"/>
      <c r="IB1002" s="25"/>
      <c r="IC1002" s="25"/>
      <c r="ID1002" s="25"/>
      <c r="IE1002" s="25"/>
      <c r="IF1002" s="25"/>
      <c r="IG1002" s="25"/>
      <c r="IH1002" s="25"/>
      <c r="II1002" s="25"/>
      <c r="IJ1002" s="25"/>
      <c r="IK1002" s="25"/>
      <c r="IL1002" s="25"/>
      <c r="IM1002" s="25"/>
      <c r="IN1002" s="25"/>
      <c r="IO1002" s="25"/>
      <c r="IP1002" s="25"/>
      <c r="IQ1002" s="25"/>
      <c r="IR1002" s="25"/>
      <c r="IS1002" s="25"/>
      <c r="IT1002" s="25"/>
      <c r="IU1002" s="25"/>
      <c r="IV1002" s="25"/>
      <c r="IW1002" s="25"/>
      <c r="IX1002" s="25"/>
      <c r="IY1002" s="25"/>
      <c r="IZ1002" s="25"/>
      <c r="JA1002" s="25"/>
      <c r="JB1002" s="25"/>
      <c r="JC1002" s="25"/>
      <c r="JD1002" s="25"/>
      <c r="JE1002" s="25"/>
      <c r="JF1002" s="25"/>
      <c r="JG1002" s="25"/>
      <c r="JH1002" s="25"/>
      <c r="JI1002" s="25"/>
      <c r="JJ1002" s="25"/>
      <c r="JK1002" s="25"/>
      <c r="JL1002" s="25"/>
      <c r="JM1002" s="25"/>
      <c r="JN1002" s="25"/>
      <c r="JO1002" s="23"/>
      <c r="JP1002" s="25"/>
      <c r="JQ1002" s="25"/>
      <c r="JR1002" s="23"/>
      <c r="JS1002" s="23"/>
      <c r="JT1002" s="23"/>
      <c r="JU1002" s="23"/>
      <c r="JV1002" s="23"/>
      <c r="JW1002" s="23"/>
      <c r="JX1002" s="23"/>
      <c r="JY1002" s="23"/>
      <c r="JZ1002" s="23"/>
      <c r="KA1002" s="23"/>
      <c r="KB1002" s="23"/>
    </row>
    <row r="1003" spans="1:288" x14ac:dyDescent="0.2">
      <c r="B1003" s="16">
        <v>2017</v>
      </c>
      <c r="C1003" s="20">
        <v>42919</v>
      </c>
      <c r="D1003" s="20" t="str">
        <f>CONCATENATE(J1003,"-",C1003)</f>
        <v>1137-42919</v>
      </c>
      <c r="E1003" s="20" t="str">
        <f>CONCATENATE(T1003,"-",U1003,"-",C1003)</f>
        <v>BC1-C8-42919</v>
      </c>
      <c r="F1003" s="20" t="s">
        <v>106</v>
      </c>
      <c r="G1003" s="20" t="s">
        <v>107</v>
      </c>
      <c r="I1003" s="16">
        <v>0</v>
      </c>
      <c r="J1003" s="21">
        <v>1137</v>
      </c>
      <c r="K1003" s="21">
        <v>1819</v>
      </c>
      <c r="L1003" s="18">
        <v>0</v>
      </c>
      <c r="M1003" s="21">
        <f>VLOOKUP($K1003,'[4]blood tubes 2017'!$D$1:$L$647,8,FALSE)</f>
        <v>0</v>
      </c>
      <c r="N1003" s="15">
        <v>0</v>
      </c>
      <c r="O1003" s="15" t="s">
        <v>214</v>
      </c>
      <c r="P1003" s="16" t="s">
        <v>110</v>
      </c>
      <c r="Q1003" s="16">
        <v>1</v>
      </c>
      <c r="R1003" s="16">
        <v>15</v>
      </c>
      <c r="T1003" s="16" t="s">
        <v>159</v>
      </c>
      <c r="U1003" s="16" t="s">
        <v>188</v>
      </c>
      <c r="V1003" s="16" t="s">
        <v>114</v>
      </c>
      <c r="W1003" s="16">
        <f>AI1003/AG1003</f>
        <v>0.88095238095238093</v>
      </c>
      <c r="X1003" s="16" t="s">
        <v>115</v>
      </c>
      <c r="Y1003" s="16" t="s">
        <v>110</v>
      </c>
      <c r="Z1003" s="16">
        <v>3</v>
      </c>
      <c r="AE1003" s="16" t="s">
        <v>123</v>
      </c>
      <c r="AF1003" s="16" t="s">
        <v>123</v>
      </c>
      <c r="AG1003" s="16">
        <f>AH1003-AI1003</f>
        <v>84</v>
      </c>
      <c r="AH1003" s="16">
        <v>158</v>
      </c>
      <c r="AI1003" s="16">
        <v>74</v>
      </c>
      <c r="AK1003" s="16">
        <v>18</v>
      </c>
      <c r="AL1003" s="16">
        <v>0</v>
      </c>
      <c r="AM1003" s="16">
        <v>0</v>
      </c>
      <c r="AN1003" s="16">
        <v>0</v>
      </c>
      <c r="AO1003" s="16">
        <v>0</v>
      </c>
      <c r="AP1003" s="16">
        <f>SUM(AL1003:AN1003)</f>
        <v>0</v>
      </c>
      <c r="AQ1003" s="16">
        <v>1.6659999999999999</v>
      </c>
      <c r="AR1003" s="16">
        <f>AP1003-1.472</f>
        <v>-1.472</v>
      </c>
      <c r="AS1003" s="16">
        <f>AQ1003-1.472</f>
        <v>0.19399999999999995</v>
      </c>
      <c r="AT1003" s="41" t="str">
        <f>VLOOKUP(K1003,'[5]FECs - good data'!$C$1:$P$575,13,FALSE)</f>
        <v>missing</v>
      </c>
      <c r="AU1003" s="41"/>
      <c r="AV1003" s="41"/>
      <c r="AW1003" s="41"/>
      <c r="AX1003" s="41"/>
      <c r="AY1003" s="41"/>
      <c r="AZ1003" s="41"/>
      <c r="BA1003" s="41"/>
      <c r="BB1003" s="41"/>
      <c r="BC1003" s="41"/>
      <c r="BD1003" s="41"/>
      <c r="BE1003" s="41"/>
      <c r="BF1003" s="41"/>
      <c r="BG1003" s="84"/>
      <c r="BH1003" s="41"/>
      <c r="BI1003" s="41"/>
      <c r="BJ1003" s="41"/>
      <c r="BK1003" s="41"/>
      <c r="BL1003" s="41"/>
      <c r="BM1003" s="41"/>
      <c r="BN1003" s="41"/>
      <c r="BO1003" s="41"/>
      <c r="BP1003" s="41"/>
      <c r="BQ1003" s="41"/>
      <c r="BR1003" s="41"/>
      <c r="BS1003" s="41"/>
      <c r="BT1003" s="84"/>
      <c r="BU1003" s="41"/>
      <c r="BV1003" s="41"/>
      <c r="BW1003" s="41"/>
      <c r="BX1003" s="41"/>
      <c r="BY1003" s="41"/>
      <c r="BZ1003" s="41"/>
      <c r="CA1003" s="41"/>
      <c r="CB1003" s="41"/>
      <c r="CC1003" s="41"/>
      <c r="CD1003" s="84"/>
      <c r="CE1003" s="41"/>
      <c r="CF1003" s="41"/>
      <c r="CG1003" s="41"/>
      <c r="CH1003" s="41"/>
      <c r="CI1003" s="41"/>
      <c r="CJ1003" s="41"/>
      <c r="CK1003" s="41"/>
      <c r="CL1003" s="41"/>
      <c r="CM1003" s="41"/>
      <c r="CN1003" s="41"/>
      <c r="CO1003" s="41"/>
      <c r="CP1003" s="41"/>
      <c r="CQ1003" s="41"/>
      <c r="CR1003" s="41"/>
      <c r="CS1003" s="41"/>
      <c r="CT1003" s="41"/>
      <c r="CU1003" s="41"/>
      <c r="CV1003" s="41"/>
      <c r="CW1003" s="41"/>
      <c r="CX1003" s="41"/>
      <c r="CY1003" s="41"/>
      <c r="CZ1003" s="41"/>
      <c r="DA1003" s="41"/>
      <c r="DB1003" s="41"/>
      <c r="DC1003" s="41"/>
      <c r="DD1003" s="41"/>
      <c r="DE1003" s="41"/>
      <c r="DF1003" s="16" t="e">
        <f>VLOOKUP(K1003,'[3]RNA Seq summary tables'!$V$3:$V$99,1,FALSE)</f>
        <v>#N/A</v>
      </c>
      <c r="DI1003" s="16">
        <v>83</v>
      </c>
      <c r="DK1003" s="16">
        <v>11</v>
      </c>
      <c r="DM1003" s="16">
        <v>6</v>
      </c>
      <c r="DO1003" s="16">
        <v>0</v>
      </c>
      <c r="DQ1003" s="16">
        <v>0</v>
      </c>
      <c r="DR1003" s="16">
        <f>SUM(DI1003:DQ1003)</f>
        <v>100</v>
      </c>
      <c r="JR1003" s="27"/>
      <c r="JS1003" s="27"/>
      <c r="JT1003" s="27"/>
      <c r="JU1003" s="27"/>
      <c r="JV1003" s="27"/>
      <c r="JW1003" s="27"/>
      <c r="JX1003" s="27"/>
      <c r="JY1003" s="27"/>
      <c r="JZ1003" s="27"/>
      <c r="KA1003" s="27"/>
      <c r="KB1003" s="27"/>
    </row>
    <row r="1004" spans="1:288" x14ac:dyDescent="0.2">
      <c r="B1004" s="18">
        <v>2017</v>
      </c>
      <c r="C1004" s="37">
        <v>42905</v>
      </c>
      <c r="D1004" s="37" t="str">
        <f>CONCATENATE(J1004,"-",C1004)</f>
        <v>1139-42905</v>
      </c>
      <c r="E1004" s="20" t="str">
        <f>CONCATENATE(T1004,"-",U1004,"-",C1004)</f>
        <v>SP1-D7-42905</v>
      </c>
      <c r="F1004" s="20" t="s">
        <v>106</v>
      </c>
      <c r="G1004" s="37" t="s">
        <v>107</v>
      </c>
      <c r="H1004" s="18"/>
      <c r="I1004" s="16">
        <v>0</v>
      </c>
      <c r="J1004" s="36">
        <v>1139</v>
      </c>
      <c r="K1004" s="36">
        <v>1693</v>
      </c>
      <c r="L1004" s="18">
        <v>0</v>
      </c>
      <c r="M1004" s="21">
        <f>VLOOKUP($K1004,'[4]blood tubes 2017'!$D$1:$L$647,8,FALSE)</f>
        <v>0</v>
      </c>
      <c r="N1004" s="15">
        <v>0</v>
      </c>
      <c r="O1004" s="15" t="s">
        <v>214</v>
      </c>
      <c r="P1004" s="18" t="s">
        <v>110</v>
      </c>
      <c r="Q1004" s="16">
        <v>0</v>
      </c>
      <c r="R1004" s="18" t="s">
        <v>111</v>
      </c>
      <c r="S1004" s="18"/>
      <c r="T1004" s="18" t="s">
        <v>140</v>
      </c>
      <c r="U1004" s="18" t="s">
        <v>177</v>
      </c>
      <c r="V1004" s="18" t="s">
        <v>114</v>
      </c>
      <c r="W1004" s="16">
        <f>AI1004/AG1004</f>
        <v>0.8</v>
      </c>
      <c r="X1004" s="18" t="s">
        <v>115</v>
      </c>
      <c r="Y1004" s="18" t="s">
        <v>110</v>
      </c>
      <c r="Z1004" s="18">
        <v>3</v>
      </c>
      <c r="AA1004" s="18"/>
      <c r="AB1004" s="18"/>
      <c r="AC1004" s="18"/>
      <c r="AD1004" s="18"/>
      <c r="AE1004" s="18" t="s">
        <v>123</v>
      </c>
      <c r="AF1004" s="18" t="s">
        <v>123</v>
      </c>
      <c r="AG1004" s="18">
        <f>AH1004-AI1004</f>
        <v>90</v>
      </c>
      <c r="AH1004" s="18">
        <v>162</v>
      </c>
      <c r="AI1004" s="18">
        <v>72</v>
      </c>
      <c r="AJ1004" s="18"/>
      <c r="AK1004" s="18">
        <v>19</v>
      </c>
      <c r="AL1004" s="18">
        <v>0</v>
      </c>
      <c r="AM1004" s="18">
        <v>0</v>
      </c>
      <c r="AN1004" s="18">
        <v>0</v>
      </c>
      <c r="AO1004" s="18">
        <v>0</v>
      </c>
      <c r="AP1004" s="18">
        <f>SUM(AL1004:AN1004)</f>
        <v>0</v>
      </c>
      <c r="AQ1004" s="18">
        <v>2.1280000000000001</v>
      </c>
      <c r="AR1004" s="18">
        <f>AP1004-1.472</f>
        <v>-1.472</v>
      </c>
      <c r="AS1004" s="18">
        <f>AQ1004-1.472</f>
        <v>0.65600000000000014</v>
      </c>
      <c r="AT1004" s="18" t="s">
        <v>233</v>
      </c>
      <c r="AU1004" s="18"/>
      <c r="AV1004" s="18"/>
      <c r="AW1004" s="18">
        <f>IF(AX1004&gt;0,1,0)</f>
        <v>1</v>
      </c>
      <c r="AX1004" s="18">
        <f>SUM(BA1004,BM1004,CT1004)</f>
        <v>1</v>
      </c>
      <c r="AY1004" s="18">
        <f>SUM(BB1004,BN1004,CV1004)</f>
        <v>4864.3292682926822</v>
      </c>
      <c r="AZ1004" s="18">
        <f>IF(BA1004&gt;0,1,0)</f>
        <v>1</v>
      </c>
      <c r="BA1004" s="18">
        <f>SUM(BC1004,BF1004,BI1004)</f>
        <v>1</v>
      </c>
      <c r="BB1004" s="18">
        <f>SUM(BE1004,BH1004,BK1004)</f>
        <v>4864.3292682926822</v>
      </c>
      <c r="BC1004" s="18">
        <v>0</v>
      </c>
      <c r="BD1004" s="18">
        <v>0</v>
      </c>
      <c r="BE1004" s="18">
        <f>BD1004/AS1004</f>
        <v>0</v>
      </c>
      <c r="BF1004" s="18">
        <v>1</v>
      </c>
      <c r="BG1004" s="78">
        <v>3191</v>
      </c>
      <c r="BH1004" s="18">
        <f>BG1004/AS1004</f>
        <v>4864.3292682926822</v>
      </c>
      <c r="BI1004" s="18">
        <v>0</v>
      </c>
      <c r="BJ1004" s="18">
        <v>0</v>
      </c>
      <c r="BK1004" s="18">
        <f>BJ1004/AS1004</f>
        <v>0</v>
      </c>
      <c r="BL1004" s="16">
        <f>IF(BM1004&gt;0,1,0)</f>
        <v>0</v>
      </c>
      <c r="BM1004" s="16">
        <f>SUM(BR1004,BU1004,BX1004,CA1004,CD1004,CG1004,CJ1004,CM1004,CP1004)</f>
        <v>0</v>
      </c>
      <c r="BN1004" s="18">
        <f>SUM(BW1004,BZ1004,CC1004,CF1004,CI1004,CL1004,CO1004,CR1004,BT1004)</f>
        <v>0</v>
      </c>
      <c r="BO1004" s="18">
        <f>IF(BP1004&gt;0,1,0)</f>
        <v>0</v>
      </c>
      <c r="BP1004" s="18">
        <f>SUM(BU1004,BX1004,CA1004,CD1004,BR1004)</f>
        <v>0</v>
      </c>
      <c r="BQ1004" s="18">
        <f>SUM(BZ1004,CC1004,CF1004,BT1004,BW1004)</f>
        <v>0</v>
      </c>
      <c r="BR1004" s="18">
        <v>0</v>
      </c>
      <c r="BS1004" s="18">
        <v>0</v>
      </c>
      <c r="BT1004" s="78">
        <f>BS1004/AS1004</f>
        <v>0</v>
      </c>
      <c r="BU1004" s="18">
        <v>0</v>
      </c>
      <c r="BV1004" s="18">
        <v>0</v>
      </c>
      <c r="BW1004" s="18">
        <f>BV1004/AS1004</f>
        <v>0</v>
      </c>
      <c r="BX1004" s="18">
        <v>0</v>
      </c>
      <c r="BY1004" s="18">
        <v>0</v>
      </c>
      <c r="BZ1004" s="18">
        <f>BY1004/AS1004</f>
        <v>0</v>
      </c>
      <c r="CA1004" s="18">
        <v>0</v>
      </c>
      <c r="CB1004" s="18">
        <v>0</v>
      </c>
      <c r="CC1004" s="18">
        <f>CB1004/AS1004</f>
        <v>0</v>
      </c>
      <c r="CD1004" s="78">
        <v>0</v>
      </c>
      <c r="CE1004" s="18">
        <v>0</v>
      </c>
      <c r="CF1004" s="18">
        <f>CE1004/AS1004</f>
        <v>0</v>
      </c>
      <c r="CG1004" s="18">
        <v>0</v>
      </c>
      <c r="CH1004" s="18">
        <v>0</v>
      </c>
      <c r="CI1004" s="18">
        <f>CH1004/AS1004</f>
        <v>0</v>
      </c>
      <c r="CJ1004" s="18"/>
      <c r="CK1004" s="18"/>
      <c r="CL1004" s="18"/>
      <c r="CM1004" s="18">
        <v>0</v>
      </c>
      <c r="CN1004" s="18">
        <v>0</v>
      </c>
      <c r="CO1004" s="18">
        <f>CN1004/AS1004</f>
        <v>0</v>
      </c>
      <c r="CP1004" s="18">
        <v>0</v>
      </c>
      <c r="CQ1004" s="18">
        <v>0</v>
      </c>
      <c r="CR1004" s="18">
        <f>CQ1004/AS1004</f>
        <v>0</v>
      </c>
      <c r="CS1004" s="18">
        <f>IF(CT1004&gt;0,1,0)</f>
        <v>0</v>
      </c>
      <c r="CT1004" s="18">
        <f>SUM(CW1004,CZ1004,DC1004)</f>
        <v>0</v>
      </c>
      <c r="CU1004" s="18"/>
      <c r="CV1004" s="18">
        <f>SUM(CY1004,DB1004,DE1004)</f>
        <v>0</v>
      </c>
      <c r="CW1004" s="18">
        <v>0</v>
      </c>
      <c r="CX1004" s="18">
        <v>0</v>
      </c>
      <c r="CY1004" s="18">
        <f>CX1004/AS1004</f>
        <v>0</v>
      </c>
      <c r="CZ1004" s="18">
        <v>0</v>
      </c>
      <c r="DA1004" s="18">
        <v>0</v>
      </c>
      <c r="DB1004" s="18">
        <f>DA1004/AS1004</f>
        <v>0</v>
      </c>
      <c r="DC1004" s="18">
        <v>0</v>
      </c>
      <c r="DD1004" s="18">
        <v>0</v>
      </c>
      <c r="DE1004" s="18">
        <f>DD1004/AS1004</f>
        <v>0</v>
      </c>
      <c r="DF1004" s="16" t="e">
        <f>VLOOKUP(K1004,'[3]RNA Seq summary tables'!$V$3:$V$99,1,FALSE)</f>
        <v>#N/A</v>
      </c>
      <c r="DI1004" s="18">
        <v>53</v>
      </c>
      <c r="DJ1004" s="18"/>
      <c r="DK1004" s="18">
        <v>43</v>
      </c>
      <c r="DL1004" s="18"/>
      <c r="DM1004" s="18">
        <v>4</v>
      </c>
      <c r="DN1004" s="18"/>
      <c r="DO1004" s="18">
        <v>0</v>
      </c>
      <c r="DP1004" s="18"/>
      <c r="DQ1004" s="18">
        <v>0</v>
      </c>
      <c r="DR1004" s="18">
        <f>SUM(DI1004:DQ1004)</f>
        <v>100</v>
      </c>
      <c r="DS1004" s="18"/>
    </row>
    <row r="1005" spans="1:288" x14ac:dyDescent="0.2">
      <c r="B1005" s="16">
        <v>2017</v>
      </c>
      <c r="C1005" s="20">
        <v>42905</v>
      </c>
      <c r="D1005" s="20" t="str">
        <f>CONCATENATE(J1005,"-",C1005)</f>
        <v>1141-42905</v>
      </c>
      <c r="E1005" s="20" t="str">
        <f>CONCATENATE(T1005,"-",U1005,"-",C1005)</f>
        <v>SP1-F5-42905</v>
      </c>
      <c r="F1005" s="20" t="s">
        <v>106</v>
      </c>
      <c r="G1005" s="20" t="s">
        <v>107</v>
      </c>
      <c r="I1005" s="16">
        <v>0</v>
      </c>
      <c r="J1005" s="21">
        <v>1141</v>
      </c>
      <c r="K1005" s="21">
        <v>1698</v>
      </c>
      <c r="L1005" s="18">
        <v>0</v>
      </c>
      <c r="M1005" s="21">
        <f>VLOOKUP($K1005,'[4]blood tubes 2017'!$D$1:$L$647,8,FALSE)</f>
        <v>0</v>
      </c>
      <c r="N1005" s="15">
        <v>0</v>
      </c>
      <c r="O1005" s="15" t="s">
        <v>214</v>
      </c>
      <c r="P1005" s="16" t="s">
        <v>110</v>
      </c>
      <c r="Q1005" s="16">
        <v>0</v>
      </c>
      <c r="R1005" s="16" t="s">
        <v>111</v>
      </c>
      <c r="T1005" s="16" t="s">
        <v>140</v>
      </c>
      <c r="U1005" s="16" t="s">
        <v>185</v>
      </c>
      <c r="V1005" s="16" t="s">
        <v>114</v>
      </c>
      <c r="W1005" s="16">
        <f>AI1005/AG1005</f>
        <v>0.85057471264367812</v>
      </c>
      <c r="X1005" s="16" t="s">
        <v>121</v>
      </c>
      <c r="Y1005" s="16" t="s">
        <v>110</v>
      </c>
      <c r="Z1005" s="16">
        <v>3</v>
      </c>
      <c r="AA1005" s="16" t="s">
        <v>119</v>
      </c>
      <c r="AB1005" s="16" t="s">
        <v>123</v>
      </c>
      <c r="AC1005" s="16" t="s">
        <v>123</v>
      </c>
      <c r="AD1005" s="16" t="s">
        <v>123</v>
      </c>
      <c r="AG1005" s="16">
        <f>AH1005-AI1005</f>
        <v>87</v>
      </c>
      <c r="AH1005" s="16">
        <v>161</v>
      </c>
      <c r="AI1005" s="16">
        <v>74</v>
      </c>
      <c r="AK1005" s="16">
        <v>18.5</v>
      </c>
      <c r="AL1005" s="16">
        <v>0</v>
      </c>
      <c r="AM1005" s="16">
        <v>0</v>
      </c>
      <c r="AN1005" s="16">
        <v>0</v>
      </c>
      <c r="AO1005" s="16">
        <v>0</v>
      </c>
      <c r="AP1005" s="16">
        <f>SUM(AL1005:AN1005)</f>
        <v>0</v>
      </c>
      <c r="AQ1005" s="16">
        <v>2.464</v>
      </c>
      <c r="AR1005" s="16">
        <f>AP1005-1.472</f>
        <v>-1.472</v>
      </c>
      <c r="AS1005" s="16">
        <f>AQ1005-1.472</f>
        <v>0.99199999999999999</v>
      </c>
      <c r="AT1005" s="16" t="s">
        <v>164</v>
      </c>
      <c r="AW1005" s="16">
        <f>IF(AX1005&gt;0,1,0)</f>
        <v>1</v>
      </c>
      <c r="AX1005" s="16">
        <f>SUM(BA1005,BM1005,CT1005)</f>
        <v>2</v>
      </c>
      <c r="AY1005" s="18">
        <f>SUM(BB1005,BN1005,CV1005)</f>
        <v>8.064516129032258</v>
      </c>
      <c r="AZ1005" s="16">
        <f>IF(BA1005&gt;0,1,0)</f>
        <v>1</v>
      </c>
      <c r="BA1005" s="16">
        <f>SUM(BC1005,BF1005,BI1005)</f>
        <v>2</v>
      </c>
      <c r="BB1005" s="16">
        <f>SUM(BE1005,BH1005,BK1005)</f>
        <v>8.064516129032258</v>
      </c>
      <c r="BC1005" s="16">
        <v>1</v>
      </c>
      <c r="BD1005" s="16">
        <v>2</v>
      </c>
      <c r="BE1005" s="16">
        <f>BD1005/AS1005</f>
        <v>2.0161290322580645</v>
      </c>
      <c r="BF1005" s="16">
        <v>1</v>
      </c>
      <c r="BG1005" s="77">
        <v>6</v>
      </c>
      <c r="BH1005" s="16">
        <f>BG1005/AS1005</f>
        <v>6.0483870967741939</v>
      </c>
      <c r="BI1005" s="16">
        <v>0</v>
      </c>
      <c r="BJ1005" s="16">
        <v>0</v>
      </c>
      <c r="BK1005" s="16">
        <f>BJ1005/AS1005</f>
        <v>0</v>
      </c>
      <c r="BL1005" s="16">
        <f>IF(BM1005&gt;0,1,0)</f>
        <v>0</v>
      </c>
      <c r="BM1005" s="16">
        <f>SUM(BR1005,BU1005,BX1005,CA1005,CD1005,CG1005,CJ1005,CM1005,CP1005)</f>
        <v>0</v>
      </c>
      <c r="BN1005" s="16">
        <f>SUM(BW1005,BZ1005,CC1005,CF1005,CI1005,CL1005,CO1005,CR1005,BT1005)</f>
        <v>0</v>
      </c>
      <c r="BO1005" s="16">
        <f>IF(BP1005&gt;0,1,0)</f>
        <v>0</v>
      </c>
      <c r="BP1005" s="16">
        <f>SUM(BU1005,BX1005,CA1005,CD1005,BR1005)</f>
        <v>0</v>
      </c>
      <c r="BQ1005" s="16">
        <f>SUM(BZ1005,CC1005,CF1005,BT1005,BW1005)</f>
        <v>0</v>
      </c>
      <c r="BR1005" s="16">
        <v>0</v>
      </c>
      <c r="BS1005" s="16">
        <v>0</v>
      </c>
      <c r="BT1005" s="77">
        <f>BS1005/AS1005</f>
        <v>0</v>
      </c>
      <c r="BU1005" s="16">
        <v>0</v>
      </c>
      <c r="BV1005" s="16">
        <v>0</v>
      </c>
      <c r="BW1005" s="16">
        <f>BV1005/AS1005</f>
        <v>0</v>
      </c>
      <c r="BX1005" s="16">
        <v>0</v>
      </c>
      <c r="BY1005" s="16">
        <v>0</v>
      </c>
      <c r="BZ1005" s="16">
        <f>BY1005/AS1005</f>
        <v>0</v>
      </c>
      <c r="CA1005" s="16">
        <v>0</v>
      </c>
      <c r="CB1005" s="16">
        <v>0</v>
      </c>
      <c r="CC1005" s="16">
        <f>CB1005/AS1005</f>
        <v>0</v>
      </c>
      <c r="CD1005" s="77">
        <v>0</v>
      </c>
      <c r="CE1005" s="16">
        <v>0</v>
      </c>
      <c r="CF1005" s="16">
        <f>CE1005/AS1005</f>
        <v>0</v>
      </c>
      <c r="CG1005" s="16">
        <v>0</v>
      </c>
      <c r="CH1005" s="16">
        <v>0</v>
      </c>
      <c r="CI1005" s="16">
        <f>CH1005/AS1005</f>
        <v>0</v>
      </c>
      <c r="CM1005" s="16">
        <v>0</v>
      </c>
      <c r="CN1005" s="16">
        <v>0</v>
      </c>
      <c r="CO1005" s="16">
        <f>CN1005/AS1005</f>
        <v>0</v>
      </c>
      <c r="CP1005" s="16">
        <v>0</v>
      </c>
      <c r="CQ1005" s="16">
        <v>0</v>
      </c>
      <c r="CR1005" s="16">
        <f>CQ1005/AS1005</f>
        <v>0</v>
      </c>
      <c r="CS1005" s="16">
        <f>IF(CT1005&gt;0,1,0)</f>
        <v>0</v>
      </c>
      <c r="CT1005" s="16">
        <f>SUM(CW1005,CZ1005,DC1005)</f>
        <v>0</v>
      </c>
      <c r="CV1005" s="16">
        <f>SUM(CY1005,DB1005,DE1005)</f>
        <v>0</v>
      </c>
      <c r="CW1005" s="16">
        <v>0</v>
      </c>
      <c r="CX1005" s="16">
        <v>0</v>
      </c>
      <c r="CY1005" s="16">
        <f>CX1005/AS1005</f>
        <v>0</v>
      </c>
      <c r="CZ1005" s="16">
        <v>0</v>
      </c>
      <c r="DA1005" s="16">
        <v>0</v>
      </c>
      <c r="DB1005" s="16">
        <f>DA1005/AS1005</f>
        <v>0</v>
      </c>
      <c r="DC1005" s="16">
        <v>0</v>
      </c>
      <c r="DD1005" s="16">
        <v>0</v>
      </c>
      <c r="DE1005" s="16">
        <f>DD1005/AS1005</f>
        <v>0</v>
      </c>
      <c r="DF1005" s="16" t="e">
        <f>VLOOKUP(K1005,'[3]RNA Seq summary tables'!$V$3:$V$99,1,FALSE)</f>
        <v>#N/A</v>
      </c>
      <c r="DI1005" s="16">
        <v>57</v>
      </c>
      <c r="DK1005" s="16">
        <v>40</v>
      </c>
      <c r="DM1005" s="16">
        <v>3</v>
      </c>
      <c r="DO1005" s="16">
        <v>0</v>
      </c>
      <c r="DQ1005" s="16">
        <v>0</v>
      </c>
      <c r="DR1005" s="16">
        <f>SUM(DI1005:DQ1005)</f>
        <v>100</v>
      </c>
      <c r="JP1005" s="18"/>
      <c r="JQ1005" s="18"/>
    </row>
    <row r="1006" spans="1:288" x14ac:dyDescent="0.2">
      <c r="B1006" s="16">
        <v>2017</v>
      </c>
      <c r="C1006" s="20">
        <v>42939</v>
      </c>
      <c r="D1006" s="20" t="str">
        <f>CONCATENATE(J1006,"-",C1006)</f>
        <v>1141-42939</v>
      </c>
      <c r="E1006" s="20" t="str">
        <f>CONCATENATE(T1006,"-",U1006,"-",C1006)</f>
        <v>SP1-G4-42939</v>
      </c>
      <c r="F1006" s="20" t="s">
        <v>106</v>
      </c>
      <c r="G1006" s="20" t="s">
        <v>107</v>
      </c>
      <c r="I1006" s="16">
        <v>0</v>
      </c>
      <c r="J1006" s="21">
        <v>1141</v>
      </c>
      <c r="K1006" s="21">
        <v>1961</v>
      </c>
      <c r="L1006" s="18">
        <v>0</v>
      </c>
      <c r="M1006" s="21">
        <f>VLOOKUP($K1006,'[4]blood tubes 2017'!$D$1:$L$647,8,FALSE)</f>
        <v>0</v>
      </c>
      <c r="N1006" s="15">
        <v>0</v>
      </c>
      <c r="O1006" s="15" t="s">
        <v>214</v>
      </c>
      <c r="P1006" s="16" t="s">
        <v>110</v>
      </c>
      <c r="Q1006" s="16">
        <v>1</v>
      </c>
      <c r="R1006" s="16">
        <v>34</v>
      </c>
      <c r="T1006" s="16" t="s">
        <v>140</v>
      </c>
      <c r="U1006" s="16" t="s">
        <v>173</v>
      </c>
      <c r="V1006" s="16" t="s">
        <v>114</v>
      </c>
      <c r="W1006" s="16">
        <f>AI1006/AG1006</f>
        <v>0.80645161290322576</v>
      </c>
      <c r="X1006" s="16" t="s">
        <v>121</v>
      </c>
      <c r="Y1006" s="16" t="s">
        <v>110</v>
      </c>
      <c r="Z1006" s="16">
        <v>3</v>
      </c>
      <c r="AA1006" s="16" t="s">
        <v>119</v>
      </c>
      <c r="AB1006" s="16" t="s">
        <v>123</v>
      </c>
      <c r="AC1006" s="16" t="s">
        <v>123</v>
      </c>
      <c r="AD1006" s="16" t="s">
        <v>123</v>
      </c>
      <c r="AG1006" s="16">
        <f>AH1006-AI1006</f>
        <v>93</v>
      </c>
      <c r="AH1006" s="16">
        <v>168</v>
      </c>
      <c r="AI1006" s="16">
        <v>75</v>
      </c>
      <c r="AK1006" s="16">
        <v>20.5</v>
      </c>
      <c r="AL1006" s="16">
        <v>0</v>
      </c>
      <c r="AM1006" s="16">
        <v>0</v>
      </c>
      <c r="AN1006" s="16">
        <v>0</v>
      </c>
      <c r="AO1006" s="16">
        <v>0</v>
      </c>
      <c r="AP1006" s="16">
        <f>SUM(AL1006:AN1006)</f>
        <v>0</v>
      </c>
      <c r="AQ1006" s="16">
        <v>1.9139999999999999</v>
      </c>
      <c r="AR1006" s="16">
        <f>AP1006-1.472</f>
        <v>-1.472</v>
      </c>
      <c r="AS1006" s="16">
        <f>AQ1006-1.472</f>
        <v>0.44199999999999995</v>
      </c>
      <c r="AT1006" s="16" t="str">
        <f>VLOOKUP(K1006,'[5]FECs - good data'!$C$1:$P$575,13,FALSE)</f>
        <v>JY</v>
      </c>
      <c r="AW1006" s="18">
        <f>IF(AX1006&gt;0,1,0)</f>
        <v>1</v>
      </c>
      <c r="AX1006" s="18">
        <f>SUM(BA1006,BM1006,CT1006)</f>
        <v>1</v>
      </c>
      <c r="AY1006" s="18">
        <f>SUM(BB1006,BN1006,CV1006)</f>
        <v>135.74660633484166</v>
      </c>
      <c r="AZ1006" s="18">
        <f>IF(BA1006&gt;0,1,0)</f>
        <v>1</v>
      </c>
      <c r="BA1006" s="18">
        <f>SUM(BC1006,BF1006,BI1006)</f>
        <v>1</v>
      </c>
      <c r="BB1006" s="18">
        <f>SUM(BE1006,BH1006,BK1006)</f>
        <v>135.74660633484166</v>
      </c>
      <c r="BC1006" s="18">
        <f>IF(BD1006&gt;0,1,0)</f>
        <v>0</v>
      </c>
      <c r="BD1006" s="18">
        <f>VLOOKUP($K1006,'[5]FECs - good data'!$C$1:$Z$574,14,FALSE)</f>
        <v>0</v>
      </c>
      <c r="BE1006" s="16">
        <f>BD1006/AS1006</f>
        <v>0</v>
      </c>
      <c r="BF1006" s="16">
        <f>IF(BG1006&gt;0,1,0)</f>
        <v>1</v>
      </c>
      <c r="BG1006" s="77">
        <f>VLOOKUP($K1006,'[5]FECs - good data'!$C$1:$Z$574,15,FALSE)</f>
        <v>60</v>
      </c>
      <c r="BH1006" s="16">
        <f>BG1006/AS1006</f>
        <v>135.74660633484166</v>
      </c>
      <c r="BI1006" s="16">
        <f>IF(BJ1006&gt;0,1,0)</f>
        <v>0</v>
      </c>
      <c r="BJ1006" s="16">
        <f>VLOOKUP($K1006,'[5]FECs - good data'!$C$1:$Z$574,16,FALSE)</f>
        <v>0</v>
      </c>
      <c r="BK1006" s="16">
        <f>BJ1006/AS1006</f>
        <v>0</v>
      </c>
      <c r="BL1006" s="16">
        <f>IF(BM1006&gt;0,1,0)</f>
        <v>0</v>
      </c>
      <c r="BM1006" s="16">
        <f>SUM(BR1006,BU1006,BX1006,CA1006,CD1006,CG1006,CJ1006,CM1006,CP1006)</f>
        <v>0</v>
      </c>
      <c r="BN1006" s="16">
        <f>SUM(BW1006,BZ1006,CC1006,CF1006,CI1006,CL1006,CO1006,CR1006,BT1006)</f>
        <v>0</v>
      </c>
      <c r="BO1006" s="16">
        <f>IF(BP1006&gt;0,1,0)</f>
        <v>0</v>
      </c>
      <c r="BP1006" s="16">
        <f>SUM(BU1006,BX1006,CA1006,CD1006,BR1006)</f>
        <v>0</v>
      </c>
      <c r="BQ1006" s="16">
        <f>SUM(BZ1006,CC1006,CF1006,BT1006,BW1006)</f>
        <v>0</v>
      </c>
      <c r="BR1006" s="16">
        <f>IF(BS1006&gt;0,1,0)</f>
        <v>0</v>
      </c>
      <c r="BS1006" s="16">
        <f>VLOOKUP($K1006,'[5]FECs - good data'!$C$1:$Z$574,17,FALSE)</f>
        <v>0</v>
      </c>
      <c r="BT1006" s="77">
        <f>BS1006/AS1006</f>
        <v>0</v>
      </c>
      <c r="BU1006" s="16">
        <f>IF(BV1006&gt;0,1,0)</f>
        <v>0</v>
      </c>
      <c r="BV1006" s="16">
        <f>VLOOKUP($K1006,'[5]FECs - good data'!$C$1:$Z$574,18,FALSE)</f>
        <v>0</v>
      </c>
      <c r="BW1006" s="16">
        <f>BV1006/AS1006</f>
        <v>0</v>
      </c>
      <c r="BX1006" s="16">
        <f>IF(BY1006&gt;0,1,0)</f>
        <v>0</v>
      </c>
      <c r="BY1006" s="16">
        <f>VLOOKUP($K1006,'[5]FECs - good data'!$C$1:$Z$574,19,FALSE)</f>
        <v>0</v>
      </c>
      <c r="BZ1006" s="16">
        <f>BY1006/AS1006</f>
        <v>0</v>
      </c>
      <c r="CA1006" s="16">
        <f>IF(CB1006&gt;0,1,0)</f>
        <v>0</v>
      </c>
      <c r="CB1006" s="16">
        <f>VLOOKUP($K1006,'[5]FECs - good data'!$C$1:$Z$574,20,FALSE)</f>
        <v>0</v>
      </c>
      <c r="CC1006" s="16">
        <f>CB1006/AS1006</f>
        <v>0</v>
      </c>
      <c r="CD1006" s="77">
        <f>IF(CE1006&gt;0,1,0)</f>
        <v>0</v>
      </c>
      <c r="CE1006" s="16">
        <f>VLOOKUP($K1006,'[5]FECs - good data'!$C$1:$Z$574,21,FALSE)</f>
        <v>0</v>
      </c>
      <c r="CF1006" s="16">
        <f>CE1006/AS1006</f>
        <v>0</v>
      </c>
      <c r="CG1006" s="16">
        <f>IF(CH1006&gt;0,1,0)</f>
        <v>0</v>
      </c>
      <c r="CH1006" s="16">
        <f>VLOOKUP($K1006,'[5]FECs - good data'!$C$1:$Z$574,22,FALSE)</f>
        <v>0</v>
      </c>
      <c r="CI1006" s="16">
        <f>CH1006/AS1006</f>
        <v>0</v>
      </c>
      <c r="CJ1006" s="16">
        <f>IF(CK1006&gt;0,1,0)</f>
        <v>0</v>
      </c>
      <c r="CK1006" s="16">
        <f>VLOOKUP($K1006,'[5]FECs - good data'!$C$1:$Z$674,24,FALSE)</f>
        <v>0</v>
      </c>
      <c r="CL1006" s="16">
        <f>CK1006/AS1006</f>
        <v>0</v>
      </c>
      <c r="CS1006" s="16">
        <f>IF(CT1006&gt;0,1,0)</f>
        <v>0</v>
      </c>
      <c r="CT1006" s="16">
        <f>SUM(CW1006+CZ1006,DC1006)</f>
        <v>0</v>
      </c>
      <c r="CV1006" s="16">
        <f>SUM(CY1006,DB1006,DE1006)</f>
        <v>0</v>
      </c>
      <c r="CW1006" s="16">
        <f>IF(CX1006&gt;0,1,0)</f>
        <v>0</v>
      </c>
      <c r="CX1006" s="16">
        <f>VLOOKUP($K1006,'[5]FECs - good data'!$C$1:$Z$574,22,FALSE)</f>
        <v>0</v>
      </c>
      <c r="CY1006" s="16">
        <f>CX1006/AS1006</f>
        <v>0</v>
      </c>
      <c r="CZ1006" s="16">
        <f>IF(DA1006&gt;0,1,0)</f>
        <v>0</v>
      </c>
      <c r="DA1006" s="16">
        <f>VLOOKUP($K1006,'[5]FECs - good data'!$C$1:$Z$5982,23,FALSE)</f>
        <v>0</v>
      </c>
      <c r="DB1006" s="16">
        <f>DA1006/AS1006</f>
        <v>0</v>
      </c>
      <c r="DC1006" s="16">
        <f>IF(DD1006&gt;0,1,0)</f>
        <v>0</v>
      </c>
      <c r="DD1006" s="16">
        <f>VLOOKUP($K1006,'[5]FECs - good data'!$C$1:$Z$574,23,FALSE)</f>
        <v>0</v>
      </c>
      <c r="DE1006" s="16">
        <f>DD1006/AS1006</f>
        <v>0</v>
      </c>
      <c r="DF1006" s="16" t="e">
        <f>VLOOKUP(K1006,'[3]RNA Seq summary tables'!$V$3:$V$99,1,FALSE)</f>
        <v>#N/A</v>
      </c>
      <c r="DG1006" s="16">
        <v>1</v>
      </c>
      <c r="DH1006" s="16" t="str">
        <f>VLOOKUP(D1006,'[6]workflow 3.2018'!$A$1:$S$237,2,FALSE)</f>
        <v>2017MLBS_63</v>
      </c>
    </row>
    <row r="1007" spans="1:288" s="26" customFormat="1" x14ac:dyDescent="0.2">
      <c r="A1007" s="18"/>
      <c r="B1007" s="16">
        <v>2017</v>
      </c>
      <c r="C1007" s="20">
        <v>42957</v>
      </c>
      <c r="D1007" s="20" t="str">
        <f>CONCATENATE(J1007,"-",C1007)</f>
        <v>1141-42957</v>
      </c>
      <c r="E1007" s="20" t="str">
        <f>CONCATENATE(T1007,"-",U1007,"-",C1007)</f>
        <v>SP1-H5-42957</v>
      </c>
      <c r="F1007" s="20" t="s">
        <v>106</v>
      </c>
      <c r="G1007" s="20" t="s">
        <v>107</v>
      </c>
      <c r="H1007" s="16"/>
      <c r="I1007" s="16">
        <v>0</v>
      </c>
      <c r="J1007" s="21">
        <v>1141</v>
      </c>
      <c r="K1007" s="21">
        <v>2112</v>
      </c>
      <c r="L1007" s="18">
        <v>0</v>
      </c>
      <c r="M1007" s="21">
        <f>VLOOKUP($K1007,'[4]blood tubes 2017'!$D$1:$L$647,8,FALSE)</f>
        <v>0</v>
      </c>
      <c r="N1007" s="15">
        <v>0</v>
      </c>
      <c r="O1007" s="15" t="s">
        <v>214</v>
      </c>
      <c r="P1007" s="16" t="s">
        <v>110</v>
      </c>
      <c r="Q1007" s="16">
        <v>1</v>
      </c>
      <c r="R1007" s="16">
        <v>18</v>
      </c>
      <c r="S1007" s="16"/>
      <c r="T1007" s="16" t="s">
        <v>140</v>
      </c>
      <c r="U1007" s="16" t="s">
        <v>180</v>
      </c>
      <c r="V1007" s="16" t="s">
        <v>114</v>
      </c>
      <c r="W1007" s="16">
        <f>AI1007/AG1007</f>
        <v>0.84782608695652173</v>
      </c>
      <c r="X1007" s="16" t="s">
        <v>121</v>
      </c>
      <c r="Y1007" s="16" t="s">
        <v>110</v>
      </c>
      <c r="Z1007" s="16">
        <v>3</v>
      </c>
      <c r="AA1007" s="16" t="s">
        <v>119</v>
      </c>
      <c r="AB1007" s="16" t="s">
        <v>239</v>
      </c>
      <c r="AC1007" s="16" t="s">
        <v>123</v>
      </c>
      <c r="AD1007" s="16" t="s">
        <v>123</v>
      </c>
      <c r="AE1007" s="16"/>
      <c r="AF1007" s="16"/>
      <c r="AG1007" s="16">
        <f>AH1007-AI1007</f>
        <v>92</v>
      </c>
      <c r="AH1007" s="16">
        <v>170</v>
      </c>
      <c r="AI1007" s="16">
        <v>78</v>
      </c>
      <c r="AJ1007" s="16"/>
      <c r="AK1007" s="16">
        <v>24</v>
      </c>
      <c r="AL1007" s="16">
        <v>1</v>
      </c>
      <c r="AM1007" s="16">
        <v>0</v>
      </c>
      <c r="AN1007" s="16">
        <v>0</v>
      </c>
      <c r="AO1007" s="16">
        <v>1</v>
      </c>
      <c r="AP1007" s="16">
        <f>SUM(AL1007:AN1007)</f>
        <v>1</v>
      </c>
      <c r="AQ1007" s="16">
        <v>2.2429999999999999</v>
      </c>
      <c r="AR1007" s="16">
        <f>AP1007-1.472</f>
        <v>-0.47199999999999998</v>
      </c>
      <c r="AS1007" s="16">
        <f>AQ1007-1.472</f>
        <v>0.77099999999999991</v>
      </c>
      <c r="AT1007" s="16" t="str">
        <f>VLOOKUP(K1007,'[5]FECs - good data'!$C$1:$P$575,13,FALSE)</f>
        <v>LV</v>
      </c>
      <c r="AU1007" s="18" t="s">
        <v>1293</v>
      </c>
      <c r="AV1007" s="16">
        <v>0</v>
      </c>
      <c r="AW1007" s="18">
        <f>IF(AX1007&gt;0,1,0)</f>
        <v>0</v>
      </c>
      <c r="AX1007" s="18">
        <f>SUM(BA1007,BM1007,CT1007)</f>
        <v>0</v>
      </c>
      <c r="AY1007" s="18">
        <f>SUM(BB1007,BN1007,CV1007)</f>
        <v>0</v>
      </c>
      <c r="AZ1007" s="18">
        <f>IF(BA1007&gt;0,1,0)</f>
        <v>0</v>
      </c>
      <c r="BA1007" s="18">
        <f>SUM(BC1007,BF1007,BI1007)</f>
        <v>0</v>
      </c>
      <c r="BB1007" s="18">
        <f>SUM(BE1007,BH1007,BK1007)</f>
        <v>0</v>
      </c>
      <c r="BC1007" s="18">
        <f>IF(BD1007&gt;0,1,0)</f>
        <v>0</v>
      </c>
      <c r="BD1007" s="18">
        <f>VLOOKUP($K1007,'[5]FECs - good data'!$C$1:$Z$574,14,FALSE)</f>
        <v>0</v>
      </c>
      <c r="BE1007" s="16">
        <f>BD1007/AS1007</f>
        <v>0</v>
      </c>
      <c r="BF1007" s="16">
        <f>IF(BG1007&gt;0,1,0)</f>
        <v>0</v>
      </c>
      <c r="BG1007" s="77">
        <f>VLOOKUP($K1007,'[5]FECs - good data'!$C$1:$Z$574,15,FALSE)</f>
        <v>0</v>
      </c>
      <c r="BH1007" s="16">
        <f>BG1007/AS1007</f>
        <v>0</v>
      </c>
      <c r="BI1007" s="16">
        <f>IF(BJ1007&gt;0,1,0)</f>
        <v>0</v>
      </c>
      <c r="BJ1007" s="16">
        <f>VLOOKUP($K1007,'[5]FECs - good data'!$C$1:$Z$574,16,FALSE)</f>
        <v>0</v>
      </c>
      <c r="BK1007" s="16">
        <f>BJ1007/AS1007</f>
        <v>0</v>
      </c>
      <c r="BL1007" s="16">
        <f>IF(BM1007&gt;0,1,0)</f>
        <v>0</v>
      </c>
      <c r="BM1007" s="16">
        <f>SUM(BR1007,BU1007,BX1007,CA1007,CD1007,CG1007,CJ1007,CM1007,CP1007)</f>
        <v>0</v>
      </c>
      <c r="BN1007" s="16">
        <f>SUM(BW1007,BZ1007,CC1007,CF1007,CI1007,CL1007,CO1007,CR1007,BT1007)</f>
        <v>0</v>
      </c>
      <c r="BO1007" s="16">
        <f>IF(BP1007&gt;0,1,0)</f>
        <v>0</v>
      </c>
      <c r="BP1007" s="16">
        <f>SUM(BU1007,BX1007,CA1007,CD1007,BR1007)</f>
        <v>0</v>
      </c>
      <c r="BQ1007" s="16">
        <f>SUM(BZ1007,CC1007,CF1007,BT1007,BW1007)</f>
        <v>0</v>
      </c>
      <c r="BR1007" s="16">
        <f>IF(BS1007&gt;0,1,0)</f>
        <v>0</v>
      </c>
      <c r="BS1007" s="16">
        <f>VLOOKUP($K1007,'[5]FECs - good data'!$C$1:$Z$574,17,FALSE)</f>
        <v>0</v>
      </c>
      <c r="BT1007" s="77">
        <f>BS1007/AS1007</f>
        <v>0</v>
      </c>
      <c r="BU1007" s="16">
        <f>IF(BV1007&gt;0,1,0)</f>
        <v>0</v>
      </c>
      <c r="BV1007" s="16">
        <f>VLOOKUP($K1007,'[5]FECs - good data'!$C$1:$Z$574,18,FALSE)</f>
        <v>0</v>
      </c>
      <c r="BW1007" s="16">
        <f>BV1007/AS1007</f>
        <v>0</v>
      </c>
      <c r="BX1007" s="16">
        <f>IF(BY1007&gt;0,1,0)</f>
        <v>0</v>
      </c>
      <c r="BY1007" s="16">
        <f>VLOOKUP($K1007,'[5]FECs - good data'!$C$1:$Z$574,19,FALSE)</f>
        <v>0</v>
      </c>
      <c r="BZ1007" s="16">
        <f>BY1007/AS1007</f>
        <v>0</v>
      </c>
      <c r="CA1007" s="16">
        <f>IF(CB1007&gt;0,1,0)</f>
        <v>0</v>
      </c>
      <c r="CB1007" s="16">
        <f>VLOOKUP($K1007,'[5]FECs - good data'!$C$1:$Z$574,20,FALSE)</f>
        <v>0</v>
      </c>
      <c r="CC1007" s="16">
        <f>CB1007/AS1007</f>
        <v>0</v>
      </c>
      <c r="CD1007" s="77">
        <f>IF(CE1007&gt;0,1,0)</f>
        <v>0</v>
      </c>
      <c r="CE1007" s="16">
        <f>VLOOKUP($K1007,'[5]FECs - good data'!$C$1:$Z$574,21,FALSE)</f>
        <v>0</v>
      </c>
      <c r="CF1007" s="16">
        <f>CE1007/AS1007</f>
        <v>0</v>
      </c>
      <c r="CG1007" s="16">
        <f>IF(CH1007&gt;0,1,0)</f>
        <v>0</v>
      </c>
      <c r="CH1007" s="16">
        <f>VLOOKUP($K1007,'[5]FECs - good data'!$C$1:$Z$574,22,FALSE)</f>
        <v>0</v>
      </c>
      <c r="CI1007" s="16">
        <f>CH1007/AS1007</f>
        <v>0</v>
      </c>
      <c r="CJ1007" s="16">
        <f>IF(CK1007&gt;0,1,0)</f>
        <v>0</v>
      </c>
      <c r="CK1007" s="16">
        <f>VLOOKUP($K1007,'[5]FECs - good data'!$C$1:$Z$674,24,FALSE)</f>
        <v>0</v>
      </c>
      <c r="CL1007" s="16">
        <f>CK1007/AS1007</f>
        <v>0</v>
      </c>
      <c r="CM1007" s="16"/>
      <c r="CN1007" s="16"/>
      <c r="CO1007" s="16"/>
      <c r="CP1007" s="16"/>
      <c r="CQ1007" s="16"/>
      <c r="CR1007" s="16"/>
      <c r="CS1007" s="16">
        <f>IF(CT1007&gt;0,1,0)</f>
        <v>0</v>
      </c>
      <c r="CT1007" s="16">
        <f>SUM(CW1007+CZ1007,DC1007)</f>
        <v>0</v>
      </c>
      <c r="CU1007" s="16"/>
      <c r="CV1007" s="16">
        <f>SUM(CY1007,DB1007,DE1007)</f>
        <v>0</v>
      </c>
      <c r="CW1007" s="16">
        <f>IF(CX1007&gt;0,1,0)</f>
        <v>0</v>
      </c>
      <c r="CX1007" s="16">
        <f>VLOOKUP($K1007,'[5]FECs - good data'!$C$1:$Z$574,22,FALSE)</f>
        <v>0</v>
      </c>
      <c r="CY1007" s="16">
        <f>CX1007/AS1007</f>
        <v>0</v>
      </c>
      <c r="CZ1007" s="16">
        <f>IF(DA1007&gt;0,1,0)</f>
        <v>0</v>
      </c>
      <c r="DA1007" s="16">
        <f>VLOOKUP($K1007,'[5]FECs - good data'!$C$1:$Z$5982,23,FALSE)</f>
        <v>0</v>
      </c>
      <c r="DB1007" s="16">
        <f>DA1007/AS1007</f>
        <v>0</v>
      </c>
      <c r="DC1007" s="16">
        <f>IF(DD1007&gt;0,1,0)</f>
        <v>0</v>
      </c>
      <c r="DD1007" s="16">
        <f>VLOOKUP($K1007,'[5]FECs - good data'!$C$1:$Z$574,23,FALSE)</f>
        <v>0</v>
      </c>
      <c r="DE1007" s="16">
        <f>DD1007/AS1007</f>
        <v>0</v>
      </c>
      <c r="DF1007" s="16" t="e">
        <f>VLOOKUP(K1007,'[3]RNA Seq summary tables'!$V$3:$V$99,1,FALSE)</f>
        <v>#N/A</v>
      </c>
      <c r="DG1007" s="16">
        <v>1</v>
      </c>
      <c r="DH1007" s="16" t="str">
        <f>VLOOKUP(D1007,'[6]workflow 3.2018'!$A$1:$S$237,2,FALSE)</f>
        <v>2017MLBS_130</v>
      </c>
      <c r="DI1007" s="16"/>
      <c r="DJ1007" s="16"/>
      <c r="DK1007" s="16"/>
      <c r="DL1007" s="16"/>
      <c r="DM1007" s="16"/>
      <c r="DN1007" s="16"/>
      <c r="DO1007" s="16"/>
      <c r="DP1007" s="16"/>
      <c r="DQ1007" s="16"/>
      <c r="DR1007" s="16"/>
      <c r="DS1007" s="16"/>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18"/>
      <c r="EQ1007" s="18"/>
      <c r="ER1007" s="18"/>
      <c r="ES1007" s="18"/>
      <c r="ET1007" s="18"/>
      <c r="EU1007" s="18"/>
      <c r="EV1007" s="18"/>
      <c r="EW1007" s="18"/>
      <c r="EX1007" s="18"/>
      <c r="EY1007" s="18"/>
      <c r="EZ1007" s="18"/>
      <c r="FA1007" s="18"/>
      <c r="FB1007" s="18"/>
      <c r="FC1007" s="18"/>
      <c r="FD1007" s="18"/>
      <c r="FE1007" s="18"/>
      <c r="FF1007" s="18"/>
      <c r="FG1007" s="18"/>
      <c r="FH1007" s="18"/>
      <c r="FI1007" s="18"/>
      <c r="FJ1007" s="18"/>
      <c r="FK1007" s="18"/>
      <c r="FL1007" s="18"/>
      <c r="FM1007" s="18"/>
      <c r="FN1007" s="18"/>
      <c r="FO1007" s="18"/>
      <c r="FP1007" s="18"/>
      <c r="FQ1007" s="18"/>
      <c r="FR1007" s="18"/>
      <c r="FS1007" s="18"/>
      <c r="FT1007" s="18"/>
      <c r="FU1007" s="18"/>
      <c r="FV1007" s="18"/>
      <c r="FW1007" s="18"/>
      <c r="FX1007" s="18"/>
      <c r="FY1007" s="18"/>
      <c r="FZ1007" s="18"/>
      <c r="GA1007" s="18"/>
      <c r="GB1007" s="18"/>
      <c r="GC1007" s="18"/>
      <c r="GD1007" s="18"/>
      <c r="GE1007" s="18"/>
      <c r="GF1007" s="18"/>
      <c r="GG1007" s="18"/>
      <c r="GH1007" s="18"/>
      <c r="GI1007" s="18"/>
      <c r="GJ1007" s="18"/>
      <c r="GK1007" s="18"/>
      <c r="GL1007" s="18"/>
      <c r="GM1007" s="18"/>
      <c r="GN1007" s="18"/>
      <c r="GO1007" s="18"/>
      <c r="GP1007" s="18"/>
      <c r="GQ1007" s="18"/>
      <c r="GR1007" s="18"/>
      <c r="GS1007" s="18"/>
      <c r="GT1007" s="18"/>
      <c r="GU1007" s="18"/>
      <c r="GV1007" s="18"/>
      <c r="GW1007" s="18"/>
      <c r="GX1007" s="18"/>
      <c r="GY1007" s="18"/>
      <c r="GZ1007" s="18"/>
      <c r="HA1007" s="18"/>
      <c r="HB1007" s="18"/>
      <c r="HC1007" s="18"/>
      <c r="HD1007" s="18"/>
      <c r="HE1007" s="18"/>
      <c r="HF1007" s="18"/>
      <c r="HG1007" s="18"/>
      <c r="HH1007" s="18"/>
      <c r="HI1007" s="18"/>
      <c r="HJ1007" s="18"/>
      <c r="HK1007" s="18"/>
      <c r="HL1007" s="18"/>
      <c r="HM1007" s="18"/>
      <c r="HN1007" s="18"/>
      <c r="HO1007" s="18"/>
      <c r="HP1007" s="18"/>
      <c r="HQ1007" s="18"/>
      <c r="HR1007" s="18"/>
      <c r="HS1007" s="18"/>
      <c r="HT1007" s="18"/>
      <c r="HU1007" s="18"/>
      <c r="HV1007" s="18"/>
      <c r="HW1007" s="18"/>
      <c r="HX1007" s="18"/>
      <c r="HY1007" s="18"/>
      <c r="HZ1007" s="18"/>
      <c r="IA1007" s="18"/>
      <c r="IB1007" s="18"/>
      <c r="IC1007" s="18"/>
      <c r="ID1007" s="18"/>
      <c r="IE1007" s="18"/>
      <c r="IF1007" s="18"/>
      <c r="IG1007" s="18"/>
      <c r="IH1007" s="18"/>
      <c r="II1007" s="18"/>
      <c r="IJ1007" s="18"/>
      <c r="IK1007" s="18"/>
      <c r="IL1007" s="18"/>
      <c r="IM1007" s="18"/>
      <c r="IN1007" s="18"/>
      <c r="IO1007" s="18"/>
      <c r="IP1007" s="18"/>
      <c r="IQ1007" s="18"/>
      <c r="IR1007" s="18"/>
      <c r="IS1007" s="18"/>
      <c r="IT1007" s="18"/>
      <c r="IU1007" s="18"/>
      <c r="IV1007" s="18"/>
      <c r="IW1007" s="18"/>
      <c r="IX1007" s="18"/>
      <c r="IY1007" s="18"/>
      <c r="IZ1007" s="18"/>
      <c r="JA1007" s="18"/>
      <c r="JB1007" s="18"/>
      <c r="JC1007" s="18"/>
      <c r="JD1007" s="18"/>
      <c r="JE1007" s="18"/>
      <c r="JF1007" s="18"/>
      <c r="JG1007" s="18"/>
      <c r="JH1007" s="18"/>
      <c r="JI1007" s="18"/>
      <c r="JJ1007" s="18"/>
      <c r="JK1007" s="18"/>
      <c r="JL1007" s="18"/>
      <c r="JM1007" s="18"/>
      <c r="JN1007" s="18"/>
      <c r="JO1007" s="18"/>
      <c r="JP1007" s="16"/>
      <c r="JQ1007" s="16"/>
      <c r="JR1007" s="16"/>
      <c r="JS1007" s="16"/>
      <c r="JT1007" s="16"/>
      <c r="JU1007" s="16"/>
      <c r="JV1007" s="16"/>
      <c r="JW1007" s="16"/>
      <c r="JX1007" s="16"/>
      <c r="JY1007" s="16"/>
      <c r="JZ1007" s="16"/>
      <c r="KA1007" s="16"/>
      <c r="KB1007" s="16"/>
    </row>
    <row r="1008" spans="1:288" s="26" customFormat="1" x14ac:dyDescent="0.2">
      <c r="A1008" s="18"/>
      <c r="B1008" s="16">
        <v>2017</v>
      </c>
      <c r="C1008" s="20">
        <v>42905</v>
      </c>
      <c r="D1008" s="20" t="str">
        <f>CONCATENATE(J1008,"-",C1008)</f>
        <v>1143-42905</v>
      </c>
      <c r="E1008" s="20" t="str">
        <f>CONCATENATE(T1008,"-",U1008,"-",C1008)</f>
        <v>SP2-B6-42905</v>
      </c>
      <c r="F1008" s="20" t="s">
        <v>106</v>
      </c>
      <c r="G1008" s="20" t="s">
        <v>107</v>
      </c>
      <c r="H1008" s="16"/>
      <c r="I1008" s="16">
        <v>0</v>
      </c>
      <c r="J1008" s="21">
        <v>1143</v>
      </c>
      <c r="K1008" s="21">
        <v>1703</v>
      </c>
      <c r="L1008" s="18">
        <v>0</v>
      </c>
      <c r="M1008" s="21">
        <f>VLOOKUP($K1008,'[4]blood tubes 2017'!$D$1:$L$647,8,FALSE)</f>
        <v>0</v>
      </c>
      <c r="N1008" s="15">
        <v>0</v>
      </c>
      <c r="O1008" s="15" t="s">
        <v>214</v>
      </c>
      <c r="P1008" s="16" t="s">
        <v>110</v>
      </c>
      <c r="Q1008" s="16">
        <v>0</v>
      </c>
      <c r="R1008" s="16" t="s">
        <v>111</v>
      </c>
      <c r="S1008" s="16"/>
      <c r="T1008" s="16" t="s">
        <v>137</v>
      </c>
      <c r="U1008" s="16" t="s">
        <v>132</v>
      </c>
      <c r="V1008" s="16" t="s">
        <v>114</v>
      </c>
      <c r="W1008" s="16">
        <f>AI1008/AG1008</f>
        <v>0.78205128205128205</v>
      </c>
      <c r="X1008" s="16" t="s">
        <v>121</v>
      </c>
      <c r="Y1008" s="16" t="s">
        <v>122</v>
      </c>
      <c r="Z1008" s="16">
        <v>2.2999999999999998</v>
      </c>
      <c r="AA1008" s="16" t="s">
        <v>119</v>
      </c>
      <c r="AB1008" s="16" t="s">
        <v>123</v>
      </c>
      <c r="AC1008" s="16" t="s">
        <v>123</v>
      </c>
      <c r="AD1008" s="16" t="s">
        <v>123</v>
      </c>
      <c r="AE1008" s="16"/>
      <c r="AF1008" s="16"/>
      <c r="AG1008" s="16">
        <f>AH1008-AI1008</f>
        <v>78</v>
      </c>
      <c r="AH1008" s="16">
        <v>139</v>
      </c>
      <c r="AI1008" s="16">
        <v>61</v>
      </c>
      <c r="AJ1008" s="16"/>
      <c r="AK1008" s="16">
        <v>14</v>
      </c>
      <c r="AL1008" s="16">
        <v>0</v>
      </c>
      <c r="AM1008" s="16">
        <v>0</v>
      </c>
      <c r="AN1008" s="16">
        <v>0</v>
      </c>
      <c r="AO1008" s="16">
        <v>0</v>
      </c>
      <c r="AP1008" s="16">
        <f>SUM(AL1008:AN1008)</f>
        <v>0</v>
      </c>
      <c r="AQ1008" s="16">
        <v>1.996</v>
      </c>
      <c r="AR1008" s="16">
        <f>AP1008-1.472</f>
        <v>-1.472</v>
      </c>
      <c r="AS1008" s="16">
        <f>AQ1008-1.472</f>
        <v>0.52400000000000002</v>
      </c>
      <c r="AT1008" s="16" t="s">
        <v>234</v>
      </c>
      <c r="AU1008" s="16"/>
      <c r="AV1008" s="16"/>
      <c r="AW1008" s="16">
        <f>IF(AX1008&gt;0,1,0)</f>
        <v>1</v>
      </c>
      <c r="AX1008" s="16">
        <f>SUM(BA1008,BM1008,CT1008)</f>
        <v>4</v>
      </c>
      <c r="AY1008" s="18">
        <f>SUM(BB1008,BN1008,CV1008)</f>
        <v>19425.572519083969</v>
      </c>
      <c r="AZ1008" s="16">
        <f>IF(BA1008&gt;0,1,0)</f>
        <v>1</v>
      </c>
      <c r="BA1008" s="16">
        <f>SUM(BC1008,BF1008,BI1008)</f>
        <v>3</v>
      </c>
      <c r="BB1008" s="16">
        <f>SUM(BE1008,BH1008,BK1008)</f>
        <v>19423.664122137405</v>
      </c>
      <c r="BC1008" s="16">
        <v>1</v>
      </c>
      <c r="BD1008" s="16">
        <v>10</v>
      </c>
      <c r="BE1008" s="16">
        <f>BD1008/AS1008</f>
        <v>19.083969465648853</v>
      </c>
      <c r="BF1008" s="16">
        <v>1</v>
      </c>
      <c r="BG1008" s="77">
        <v>10163</v>
      </c>
      <c r="BH1008" s="16">
        <f>BG1008/AS1008</f>
        <v>19395.038167938932</v>
      </c>
      <c r="BI1008" s="16">
        <v>1</v>
      </c>
      <c r="BJ1008" s="16">
        <v>5</v>
      </c>
      <c r="BK1008" s="16">
        <f>BJ1008/AS1008</f>
        <v>9.5419847328244263</v>
      </c>
      <c r="BL1008" s="16">
        <f>IF(BM1008&gt;0,1,0)</f>
        <v>1</v>
      </c>
      <c r="BM1008" s="16">
        <f>SUM(BR1008,BU1008,BX1008,CA1008,CD1008,CG1008,CJ1008,CM1008,CP1008)</f>
        <v>1</v>
      </c>
      <c r="BN1008" s="16">
        <f>SUM(BW1008,BZ1008,CC1008,CF1008,CI1008,CL1008,CO1008,CR1008,BT1008)</f>
        <v>1.9083969465648853</v>
      </c>
      <c r="BO1008" s="16">
        <f>IF(BP1008&gt;0,1,0)</f>
        <v>1</v>
      </c>
      <c r="BP1008" s="16">
        <f>SUM(BU1008,BX1008,CA1008,CD1008,BR1008)</f>
        <v>1</v>
      </c>
      <c r="BQ1008" s="16">
        <f>SUM(BZ1008,CC1008,CF1008,BT1008,BW1008)</f>
        <v>1.9083969465648853</v>
      </c>
      <c r="BR1008" s="16">
        <v>0</v>
      </c>
      <c r="BS1008" s="16">
        <v>0</v>
      </c>
      <c r="BT1008" s="77">
        <f>BS1008/AS1008</f>
        <v>0</v>
      </c>
      <c r="BU1008" s="16">
        <v>0</v>
      </c>
      <c r="BV1008" s="16">
        <v>0</v>
      </c>
      <c r="BW1008" s="16">
        <f>BV1008/AS1008</f>
        <v>0</v>
      </c>
      <c r="BX1008" s="16">
        <v>0</v>
      </c>
      <c r="BY1008" s="16">
        <v>0</v>
      </c>
      <c r="BZ1008" s="16">
        <f>BY1008/AS1008</f>
        <v>0</v>
      </c>
      <c r="CA1008" s="16">
        <v>1</v>
      </c>
      <c r="CB1008" s="16">
        <v>1</v>
      </c>
      <c r="CC1008" s="16">
        <f>CB1008/AS1008</f>
        <v>1.9083969465648853</v>
      </c>
      <c r="CD1008" s="77">
        <v>0</v>
      </c>
      <c r="CE1008" s="16">
        <v>0</v>
      </c>
      <c r="CF1008" s="16">
        <f>CE1008/AS1008</f>
        <v>0</v>
      </c>
      <c r="CG1008" s="16">
        <v>0</v>
      </c>
      <c r="CH1008" s="16">
        <v>0</v>
      </c>
      <c r="CI1008" s="16">
        <f>CH1008/AS1008</f>
        <v>0</v>
      </c>
      <c r="CJ1008" s="16"/>
      <c r="CK1008" s="16"/>
      <c r="CL1008" s="16"/>
      <c r="CM1008" s="16">
        <v>0</v>
      </c>
      <c r="CN1008" s="16">
        <v>0</v>
      </c>
      <c r="CO1008" s="16">
        <f>CN1008/AS1008</f>
        <v>0</v>
      </c>
      <c r="CP1008" s="16">
        <v>0</v>
      </c>
      <c r="CQ1008" s="16">
        <v>0</v>
      </c>
      <c r="CR1008" s="16">
        <f>CQ1008/AS1008</f>
        <v>0</v>
      </c>
      <c r="CS1008" s="16">
        <f>IF(CT1008&gt;0,1,0)</f>
        <v>0</v>
      </c>
      <c r="CT1008" s="16">
        <f>SUM(CW1008,CZ1008,DC1008)</f>
        <v>0</v>
      </c>
      <c r="CU1008" s="16"/>
      <c r="CV1008" s="16">
        <f>SUM(CY1008,DB1008,DE1008)</f>
        <v>0</v>
      </c>
      <c r="CW1008" s="16">
        <v>0</v>
      </c>
      <c r="CX1008" s="16">
        <v>0</v>
      </c>
      <c r="CY1008" s="16">
        <f>CX1008/AS1008</f>
        <v>0</v>
      </c>
      <c r="CZ1008" s="16">
        <v>0</v>
      </c>
      <c r="DA1008" s="16">
        <v>0</v>
      </c>
      <c r="DB1008" s="16">
        <f>DA1008/AS1008</f>
        <v>0</v>
      </c>
      <c r="DC1008" s="16">
        <v>0</v>
      </c>
      <c r="DD1008" s="16">
        <v>0</v>
      </c>
      <c r="DE1008" s="16">
        <f>DD1008/AS1008</f>
        <v>0</v>
      </c>
      <c r="DF1008" s="16" t="e">
        <f>VLOOKUP(K1008,'[3]RNA Seq summary tables'!$V$3:$V$99,1,FALSE)</f>
        <v>#N/A</v>
      </c>
      <c r="DG1008" s="16"/>
      <c r="DH1008" s="16"/>
      <c r="DI1008" s="16">
        <v>42</v>
      </c>
      <c r="DJ1008" s="16"/>
      <c r="DK1008" s="16">
        <v>57</v>
      </c>
      <c r="DL1008" s="16"/>
      <c r="DM1008" s="16">
        <v>1</v>
      </c>
      <c r="DN1008" s="16"/>
      <c r="DO1008" s="16">
        <v>0</v>
      </c>
      <c r="DP1008" s="16"/>
      <c r="DQ1008" s="16">
        <v>0</v>
      </c>
      <c r="DR1008" s="16">
        <f>SUM(DI1008:DQ1008)</f>
        <v>100</v>
      </c>
      <c r="DS1008" s="16"/>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18"/>
      <c r="EQ1008" s="18"/>
      <c r="ER1008" s="18"/>
      <c r="ES1008" s="18"/>
      <c r="ET1008" s="18"/>
      <c r="EU1008" s="18"/>
      <c r="EV1008" s="18"/>
      <c r="EW1008" s="18"/>
      <c r="EX1008" s="18"/>
      <c r="EY1008" s="18"/>
      <c r="EZ1008" s="18"/>
      <c r="FA1008" s="18"/>
      <c r="FB1008" s="18"/>
      <c r="FC1008" s="18"/>
      <c r="FD1008" s="18"/>
      <c r="FE1008" s="18"/>
      <c r="FF1008" s="18"/>
      <c r="FG1008" s="18"/>
      <c r="FH1008" s="18"/>
      <c r="FI1008" s="18"/>
      <c r="FJ1008" s="18"/>
      <c r="FK1008" s="18"/>
      <c r="FL1008" s="18"/>
      <c r="FM1008" s="18"/>
      <c r="FN1008" s="18"/>
      <c r="FO1008" s="18"/>
      <c r="FP1008" s="18"/>
      <c r="FQ1008" s="18"/>
      <c r="FR1008" s="18"/>
      <c r="FS1008" s="18"/>
      <c r="FT1008" s="18"/>
      <c r="FU1008" s="18"/>
      <c r="FV1008" s="18"/>
      <c r="FW1008" s="18"/>
      <c r="FX1008" s="18"/>
      <c r="FY1008" s="18"/>
      <c r="FZ1008" s="18"/>
      <c r="GA1008" s="18"/>
      <c r="GB1008" s="18"/>
      <c r="GC1008" s="18"/>
      <c r="GD1008" s="18"/>
      <c r="GE1008" s="18"/>
      <c r="GF1008" s="18"/>
      <c r="GG1008" s="18"/>
      <c r="GH1008" s="18"/>
      <c r="GI1008" s="18"/>
      <c r="GJ1008" s="18"/>
      <c r="GK1008" s="18"/>
      <c r="GL1008" s="18"/>
      <c r="GM1008" s="18"/>
      <c r="GN1008" s="18"/>
      <c r="GO1008" s="18"/>
      <c r="GP1008" s="18"/>
      <c r="GQ1008" s="18"/>
      <c r="GR1008" s="18"/>
      <c r="GS1008" s="18"/>
      <c r="GT1008" s="18"/>
      <c r="GU1008" s="18"/>
      <c r="GV1008" s="18"/>
      <c r="GW1008" s="18"/>
      <c r="GX1008" s="18"/>
      <c r="GY1008" s="18"/>
      <c r="GZ1008" s="18"/>
      <c r="HA1008" s="18"/>
      <c r="HB1008" s="18"/>
      <c r="HC1008" s="18"/>
      <c r="HD1008" s="18"/>
      <c r="HE1008" s="18"/>
      <c r="HF1008" s="18"/>
      <c r="HG1008" s="18"/>
      <c r="HH1008" s="18"/>
      <c r="HI1008" s="18"/>
      <c r="HJ1008" s="18"/>
      <c r="HK1008" s="18"/>
      <c r="HL1008" s="18"/>
      <c r="HM1008" s="18"/>
      <c r="HN1008" s="18"/>
      <c r="HO1008" s="18"/>
      <c r="HP1008" s="18"/>
      <c r="HQ1008" s="18"/>
      <c r="HR1008" s="18"/>
      <c r="HS1008" s="18"/>
      <c r="HT1008" s="18"/>
      <c r="HU1008" s="18"/>
      <c r="HV1008" s="18"/>
      <c r="HW1008" s="18"/>
      <c r="HX1008" s="18"/>
      <c r="HY1008" s="18"/>
      <c r="HZ1008" s="18"/>
      <c r="IA1008" s="18"/>
      <c r="IB1008" s="18"/>
      <c r="IC1008" s="18"/>
      <c r="ID1008" s="18"/>
      <c r="IE1008" s="18"/>
      <c r="IF1008" s="18"/>
      <c r="IG1008" s="18"/>
      <c r="IH1008" s="18"/>
      <c r="II1008" s="18"/>
      <c r="IJ1008" s="18"/>
      <c r="IK1008" s="18"/>
      <c r="IL1008" s="18"/>
      <c r="IM1008" s="18"/>
      <c r="IN1008" s="18"/>
      <c r="IO1008" s="18"/>
      <c r="IP1008" s="18"/>
      <c r="IQ1008" s="18"/>
      <c r="IR1008" s="18"/>
      <c r="IS1008" s="18"/>
      <c r="IT1008" s="18"/>
      <c r="IU1008" s="18"/>
      <c r="IV1008" s="18"/>
      <c r="IW1008" s="18"/>
      <c r="IX1008" s="18"/>
      <c r="IY1008" s="18"/>
      <c r="IZ1008" s="18"/>
      <c r="JA1008" s="18"/>
      <c r="JB1008" s="18"/>
      <c r="JC1008" s="18"/>
      <c r="JD1008" s="18"/>
      <c r="JE1008" s="18"/>
      <c r="JF1008" s="18"/>
      <c r="JG1008" s="18"/>
      <c r="JH1008" s="18"/>
      <c r="JI1008" s="18"/>
      <c r="JJ1008" s="18"/>
      <c r="JK1008" s="18"/>
      <c r="JL1008" s="18"/>
      <c r="JM1008" s="18"/>
      <c r="JN1008" s="18"/>
      <c r="JO1008" s="18"/>
      <c r="JP1008" s="18"/>
      <c r="JQ1008" s="18"/>
      <c r="JR1008" s="16"/>
      <c r="JS1008" s="16"/>
      <c r="JT1008" s="16"/>
      <c r="JU1008" s="16"/>
      <c r="JV1008" s="16"/>
      <c r="JW1008" s="16"/>
      <c r="JX1008" s="16"/>
      <c r="JY1008" s="16"/>
      <c r="JZ1008" s="16"/>
      <c r="KA1008" s="16"/>
      <c r="KB1008" s="16"/>
    </row>
    <row r="1009" spans="1:288" s="26" customFormat="1" x14ac:dyDescent="0.2">
      <c r="B1009" s="26">
        <v>2017</v>
      </c>
      <c r="C1009" s="44">
        <v>42905</v>
      </c>
      <c r="D1009" s="44" t="str">
        <f>CONCATENATE(J1009,"-",C1009)</f>
        <v>1145-42905</v>
      </c>
      <c r="E1009" s="20" t="str">
        <f>CONCATENATE(T1009,"-",U1009,"-",C1009)</f>
        <v>SP2-E7-42905</v>
      </c>
      <c r="F1009" s="20" t="s">
        <v>106</v>
      </c>
      <c r="G1009" s="44" t="s">
        <v>107</v>
      </c>
      <c r="I1009" s="16">
        <v>0</v>
      </c>
      <c r="J1009" s="45">
        <v>1145</v>
      </c>
      <c r="K1009" s="45">
        <v>1704</v>
      </c>
      <c r="L1009" s="16">
        <v>1</v>
      </c>
      <c r="M1009" s="45">
        <f>VLOOKUP($K1009,'[4]blood tubes 2017'!$D$1:$L$647,8,FALSE)</f>
        <v>1</v>
      </c>
      <c r="N1009" s="45">
        <f>VLOOKUP($K1009,'[4]blood tubes 2017'!$D$1:$L$647,9,FALSE)</f>
        <v>100</v>
      </c>
      <c r="O1009" s="15" t="s">
        <v>214</v>
      </c>
      <c r="P1009" s="26" t="s">
        <v>110</v>
      </c>
      <c r="Q1009" s="26">
        <v>0</v>
      </c>
      <c r="R1009" s="26" t="s">
        <v>111</v>
      </c>
      <c r="T1009" s="26" t="s">
        <v>137</v>
      </c>
      <c r="U1009" s="26" t="s">
        <v>135</v>
      </c>
      <c r="V1009" s="26" t="s">
        <v>114</v>
      </c>
      <c r="W1009" s="16">
        <f>AI1009/AG1009</f>
        <v>0.81372549019607843</v>
      </c>
      <c r="X1009" s="26" t="s">
        <v>115</v>
      </c>
      <c r="Y1009" s="26" t="s">
        <v>110</v>
      </c>
      <c r="Z1009" s="26">
        <v>3</v>
      </c>
      <c r="AE1009" s="26" t="s">
        <v>116</v>
      </c>
      <c r="AF1009" s="26" t="s">
        <v>116</v>
      </c>
      <c r="AG1009" s="26">
        <f>AH1009-AI1009</f>
        <v>102</v>
      </c>
      <c r="AH1009" s="26">
        <v>185</v>
      </c>
      <c r="AI1009" s="26">
        <v>83</v>
      </c>
      <c r="AK1009" s="26">
        <v>27.5</v>
      </c>
      <c r="AL1009" s="26">
        <v>0</v>
      </c>
      <c r="AM1009" s="26">
        <v>0</v>
      </c>
      <c r="AN1009" s="26">
        <v>0</v>
      </c>
      <c r="AO1009" s="26">
        <v>0</v>
      </c>
      <c r="AP1009" s="26">
        <f>SUM(AL1009:AN1009)</f>
        <v>0</v>
      </c>
      <c r="AQ1009" s="26">
        <v>2.214</v>
      </c>
      <c r="AR1009" s="26">
        <f>AP1009-1.472</f>
        <v>-1.472</v>
      </c>
      <c r="AS1009" s="26">
        <f>AQ1009-1.472</f>
        <v>0.74199999999999999</v>
      </c>
      <c r="AT1009" s="26" t="s">
        <v>119</v>
      </c>
      <c r="AW1009" s="26">
        <f>IF(AX1009&gt;0,1,0)</f>
        <v>1</v>
      </c>
      <c r="AX1009" s="26">
        <f>SUM(BA1009,BM1009,CT1009)</f>
        <v>1</v>
      </c>
      <c r="AY1009" s="26">
        <f>SUM(BB1009,BN1009,CV1009)</f>
        <v>1799.1913746630728</v>
      </c>
      <c r="AZ1009" s="26">
        <f>IF(BA1009&gt;0,1,0)</f>
        <v>1</v>
      </c>
      <c r="BA1009" s="26">
        <f>SUM(BC1009,BF1009,BI1009)</f>
        <v>1</v>
      </c>
      <c r="BB1009" s="26">
        <f>SUM(BE1009,BH1009,BK1009)</f>
        <v>1799.1913746630728</v>
      </c>
      <c r="BC1009" s="26">
        <v>0</v>
      </c>
      <c r="BD1009" s="26">
        <v>0</v>
      </c>
      <c r="BE1009" s="26">
        <f>BD1009/AS1009</f>
        <v>0</v>
      </c>
      <c r="BF1009" s="26">
        <v>1</v>
      </c>
      <c r="BG1009" s="82">
        <v>1335</v>
      </c>
      <c r="BH1009" s="26">
        <f>BG1009/AS1009</f>
        <v>1799.1913746630728</v>
      </c>
      <c r="BI1009" s="26">
        <v>0</v>
      </c>
      <c r="BJ1009" s="26">
        <v>0</v>
      </c>
      <c r="BK1009" s="26">
        <f>BJ1009/AS1009</f>
        <v>0</v>
      </c>
      <c r="BL1009" s="26">
        <f>IF(BM1009&gt;0,1,0)</f>
        <v>0</v>
      </c>
      <c r="BM1009" s="26">
        <f>SUM(BR1009,BU1009,BX1009,CA1009,CD1009,CG1009,CJ1009,CM1009,CP1009)</f>
        <v>0</v>
      </c>
      <c r="BN1009" s="26">
        <f>SUM(BW1009,BZ1009,CC1009,CF1009,CI1009,CL1009,CO1009,CR1009,BT1009)</f>
        <v>0</v>
      </c>
      <c r="BO1009" s="26">
        <f>IF(BP1009&gt;0,1,0)</f>
        <v>0</v>
      </c>
      <c r="BP1009" s="26">
        <f>SUM(BU1009,BX1009,CA1009,CD1009,BR1009)</f>
        <v>0</v>
      </c>
      <c r="BQ1009" s="26">
        <f>SUM(BZ1009,CC1009,CF1009,BT1009,BW1009)</f>
        <v>0</v>
      </c>
      <c r="BR1009" s="26">
        <v>0</v>
      </c>
      <c r="BS1009" s="26">
        <v>0</v>
      </c>
      <c r="BT1009" s="82">
        <f>BS1009/AS1009</f>
        <v>0</v>
      </c>
      <c r="BU1009" s="26">
        <v>0</v>
      </c>
      <c r="BV1009" s="26">
        <v>0</v>
      </c>
      <c r="BW1009" s="26">
        <f>BV1009/AS1009</f>
        <v>0</v>
      </c>
      <c r="BX1009" s="26">
        <v>0</v>
      </c>
      <c r="BY1009" s="26">
        <v>0</v>
      </c>
      <c r="BZ1009" s="26">
        <f>BY1009/AS1009</f>
        <v>0</v>
      </c>
      <c r="CA1009" s="26">
        <v>0</v>
      </c>
      <c r="CB1009" s="26">
        <v>0</v>
      </c>
      <c r="CC1009" s="26">
        <f>CB1009/AS1009</f>
        <v>0</v>
      </c>
      <c r="CD1009" s="82">
        <v>0</v>
      </c>
      <c r="CE1009" s="26">
        <v>0</v>
      </c>
      <c r="CF1009" s="26">
        <f>CE1009/AS1009</f>
        <v>0</v>
      </c>
      <c r="CG1009" s="26">
        <v>0</v>
      </c>
      <c r="CH1009" s="26">
        <v>0</v>
      </c>
      <c r="CI1009" s="26">
        <f>CH1009/AS1009</f>
        <v>0</v>
      </c>
      <c r="CM1009" s="26">
        <v>0</v>
      </c>
      <c r="CN1009" s="26">
        <v>0</v>
      </c>
      <c r="CO1009" s="26">
        <f>CN1009/AS1009</f>
        <v>0</v>
      </c>
      <c r="CP1009" s="26">
        <v>0</v>
      </c>
      <c r="CQ1009" s="26">
        <v>0</v>
      </c>
      <c r="CR1009" s="26">
        <f>CQ1009/AS1009</f>
        <v>0</v>
      </c>
      <c r="CS1009" s="26">
        <f>IF(CT1009&gt;0,1,0)</f>
        <v>0</v>
      </c>
      <c r="CT1009" s="26">
        <f>SUM(CW1009,CZ1009,DC1009)</f>
        <v>0</v>
      </c>
      <c r="CV1009" s="26">
        <f>SUM(CY1009,DB1009,DE1009)</f>
        <v>0</v>
      </c>
      <c r="CW1009" s="26">
        <v>0</v>
      </c>
      <c r="CX1009" s="26">
        <v>0</v>
      </c>
      <c r="CY1009" s="26">
        <f>CX1009/AS1009</f>
        <v>0</v>
      </c>
      <c r="CZ1009" s="26">
        <v>0</v>
      </c>
      <c r="DA1009" s="26">
        <v>0</v>
      </c>
      <c r="DB1009" s="26">
        <f>DA1009/AS1009</f>
        <v>0</v>
      </c>
      <c r="DC1009" s="26">
        <v>0</v>
      </c>
      <c r="DD1009" s="26">
        <v>0</v>
      </c>
      <c r="DE1009" s="26">
        <f>DD1009/AS1009</f>
        <v>0</v>
      </c>
      <c r="DF1009" s="16">
        <f>VLOOKUP(K1009,'[3]RNA Seq summary tables'!$V$3:$V$99,1,FALSE)</f>
        <v>1704</v>
      </c>
      <c r="DG1009" s="16"/>
      <c r="DH1009" s="16"/>
      <c r="DI1009" s="26">
        <v>63</v>
      </c>
      <c r="DK1009" s="26">
        <v>35</v>
      </c>
      <c r="DM1009" s="26">
        <v>2</v>
      </c>
      <c r="DO1009" s="26">
        <v>0</v>
      </c>
      <c r="DQ1009" s="26">
        <v>0</v>
      </c>
      <c r="DR1009" s="26">
        <f>SUM(DI1009:DQ1009)</f>
        <v>100</v>
      </c>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18"/>
      <c r="EQ1009" s="18"/>
      <c r="ER1009" s="18"/>
      <c r="ES1009" s="18"/>
      <c r="ET1009" s="18"/>
      <c r="EU1009" s="18"/>
      <c r="EV1009" s="18"/>
      <c r="EW1009" s="18"/>
      <c r="EX1009" s="18"/>
      <c r="EY1009" s="18"/>
      <c r="EZ1009" s="18"/>
      <c r="FA1009" s="18"/>
      <c r="FB1009" s="18"/>
      <c r="FC1009" s="18"/>
      <c r="FD1009" s="18"/>
      <c r="FE1009" s="18"/>
      <c r="FF1009" s="18"/>
      <c r="FG1009" s="18"/>
      <c r="FH1009" s="18"/>
      <c r="FI1009" s="18"/>
      <c r="FJ1009" s="18"/>
      <c r="FK1009" s="18"/>
      <c r="FL1009" s="18"/>
      <c r="FM1009" s="18"/>
      <c r="FN1009" s="18"/>
      <c r="FO1009" s="18"/>
      <c r="FP1009" s="18"/>
      <c r="FQ1009" s="18"/>
      <c r="FR1009" s="18"/>
      <c r="FS1009" s="18"/>
      <c r="FT1009" s="18"/>
      <c r="FU1009" s="18"/>
      <c r="FV1009" s="18"/>
      <c r="FW1009" s="18"/>
      <c r="FX1009" s="18"/>
      <c r="FY1009" s="18"/>
      <c r="FZ1009" s="18"/>
      <c r="GA1009" s="18"/>
      <c r="GB1009" s="18"/>
      <c r="GC1009" s="18"/>
      <c r="GD1009" s="18"/>
      <c r="GE1009" s="18"/>
      <c r="GF1009" s="18"/>
      <c r="GG1009" s="18"/>
      <c r="GH1009" s="18"/>
      <c r="GI1009" s="18"/>
      <c r="GJ1009" s="18"/>
      <c r="GK1009" s="18"/>
      <c r="GL1009" s="18"/>
      <c r="GM1009" s="18"/>
      <c r="GN1009" s="18"/>
      <c r="GO1009" s="18"/>
      <c r="GP1009" s="18"/>
      <c r="GQ1009" s="18"/>
      <c r="GR1009" s="18"/>
      <c r="GS1009" s="18"/>
      <c r="GT1009" s="18"/>
      <c r="GU1009" s="18"/>
      <c r="GV1009" s="18"/>
      <c r="GW1009" s="18"/>
      <c r="GX1009" s="18"/>
      <c r="GY1009" s="18"/>
      <c r="GZ1009" s="18"/>
      <c r="HA1009" s="18"/>
      <c r="HB1009" s="18"/>
      <c r="HC1009" s="18"/>
      <c r="HD1009" s="18"/>
      <c r="HE1009" s="18"/>
      <c r="HF1009" s="18"/>
      <c r="HG1009" s="18"/>
      <c r="HH1009" s="18"/>
      <c r="HI1009" s="18"/>
      <c r="HJ1009" s="18"/>
      <c r="HK1009" s="18"/>
      <c r="HL1009" s="18"/>
      <c r="HM1009" s="18"/>
      <c r="HN1009" s="18"/>
      <c r="HO1009" s="18"/>
      <c r="HP1009" s="18"/>
      <c r="HQ1009" s="18"/>
      <c r="HR1009" s="18"/>
      <c r="HS1009" s="18"/>
      <c r="HT1009" s="18"/>
      <c r="HU1009" s="18"/>
      <c r="HV1009" s="18"/>
      <c r="HW1009" s="18"/>
      <c r="HX1009" s="18"/>
      <c r="HY1009" s="18"/>
      <c r="HZ1009" s="18"/>
      <c r="IA1009" s="18"/>
      <c r="IB1009" s="18"/>
      <c r="IC1009" s="18"/>
      <c r="ID1009" s="18"/>
      <c r="IE1009" s="18"/>
      <c r="IF1009" s="18"/>
      <c r="IG1009" s="18"/>
      <c r="IH1009" s="18"/>
      <c r="II1009" s="18"/>
      <c r="IJ1009" s="18"/>
      <c r="IK1009" s="18"/>
      <c r="IL1009" s="18"/>
      <c r="IM1009" s="18"/>
      <c r="IN1009" s="18"/>
      <c r="IO1009" s="18"/>
      <c r="IP1009" s="18"/>
      <c r="IQ1009" s="18"/>
      <c r="IR1009" s="18"/>
      <c r="IS1009" s="18"/>
      <c r="IT1009" s="18"/>
      <c r="IU1009" s="18"/>
      <c r="IV1009" s="18"/>
      <c r="IW1009" s="18"/>
      <c r="IX1009" s="18"/>
      <c r="IY1009" s="18"/>
      <c r="IZ1009" s="18"/>
      <c r="JA1009" s="18"/>
      <c r="JB1009" s="18"/>
      <c r="JC1009" s="18"/>
      <c r="JD1009" s="18"/>
      <c r="JE1009" s="18"/>
      <c r="JF1009" s="18"/>
      <c r="JG1009" s="18"/>
      <c r="JH1009" s="18"/>
      <c r="JI1009" s="18"/>
      <c r="JJ1009" s="18"/>
      <c r="JK1009" s="18"/>
      <c r="JL1009" s="18"/>
      <c r="JM1009" s="18"/>
      <c r="JN1009" s="18"/>
      <c r="JO1009" s="18"/>
      <c r="JP1009" s="16"/>
      <c r="JQ1009" s="16"/>
      <c r="JR1009" s="16"/>
      <c r="JS1009" s="16"/>
      <c r="JT1009" s="16"/>
      <c r="JU1009" s="16"/>
      <c r="JV1009" s="16"/>
      <c r="JW1009" s="16"/>
      <c r="JX1009" s="16"/>
      <c r="JY1009" s="16"/>
      <c r="JZ1009" s="16"/>
      <c r="KA1009" s="16"/>
      <c r="KB1009" s="16"/>
    </row>
    <row r="1010" spans="1:288" x14ac:dyDescent="0.2">
      <c r="A1010" s="26"/>
      <c r="B1010" s="26">
        <v>2017</v>
      </c>
      <c r="C1010" s="44">
        <v>42923</v>
      </c>
      <c r="D1010" s="44" t="str">
        <f>CONCATENATE(J1010,"-",C1010)</f>
        <v>1145-42923</v>
      </c>
      <c r="E1010" s="20" t="str">
        <f>CONCATENATE(T1010,"-",U1010,"-",C1010)</f>
        <v>SP2-C8-42923</v>
      </c>
      <c r="F1010" s="20" t="s">
        <v>106</v>
      </c>
      <c r="G1010" s="44" t="s">
        <v>107</v>
      </c>
      <c r="H1010" s="26"/>
      <c r="I1010" s="16">
        <v>0</v>
      </c>
      <c r="J1010" s="45">
        <v>1145</v>
      </c>
      <c r="K1010" s="45">
        <v>1848</v>
      </c>
      <c r="L1010" s="16">
        <v>1</v>
      </c>
      <c r="M1010" s="45">
        <f>VLOOKUP($K1010,'[4]blood tubes 2017'!$D$1:$L$647,8,FALSE)</f>
        <v>1</v>
      </c>
      <c r="N1010" s="45">
        <f>VLOOKUP($K1010,'[4]blood tubes 2017'!$D$1:$L$647,9,FALSE)</f>
        <v>1600</v>
      </c>
      <c r="O1010" s="15" t="s">
        <v>214</v>
      </c>
      <c r="P1010" s="26" t="s">
        <v>110</v>
      </c>
      <c r="Q1010" s="26">
        <v>1</v>
      </c>
      <c r="R1010" s="26">
        <v>18</v>
      </c>
      <c r="S1010" s="26"/>
      <c r="T1010" s="26" t="s">
        <v>137</v>
      </c>
      <c r="U1010" s="26" t="s">
        <v>188</v>
      </c>
      <c r="V1010" s="26" t="s">
        <v>114</v>
      </c>
      <c r="W1010" s="16">
        <f>AI1010/AG1010</f>
        <v>0.81553398058252424</v>
      </c>
      <c r="X1010" s="26" t="s">
        <v>115</v>
      </c>
      <c r="Y1010" s="26" t="s">
        <v>110</v>
      </c>
      <c r="Z1010" s="26">
        <v>3</v>
      </c>
      <c r="AA1010" s="26"/>
      <c r="AB1010" s="26"/>
      <c r="AC1010" s="26"/>
      <c r="AD1010" s="26"/>
      <c r="AE1010" s="26" t="s">
        <v>116</v>
      </c>
      <c r="AF1010" s="26" t="s">
        <v>116</v>
      </c>
      <c r="AG1010" s="26">
        <f>AH1010-AI1010</f>
        <v>103</v>
      </c>
      <c r="AH1010" s="26">
        <v>187</v>
      </c>
      <c r="AI1010" s="26">
        <v>84</v>
      </c>
      <c r="AJ1010" s="26"/>
      <c r="AK1010" s="26">
        <v>27</v>
      </c>
      <c r="AL1010" s="26">
        <v>0</v>
      </c>
      <c r="AM1010" s="26">
        <v>0</v>
      </c>
      <c r="AN1010" s="26">
        <v>0</v>
      </c>
      <c r="AO1010" s="26">
        <v>0</v>
      </c>
      <c r="AP1010" s="26">
        <f>SUM(AL1010:AN1010)</f>
        <v>0</v>
      </c>
      <c r="AQ1010" s="26">
        <v>2.266</v>
      </c>
      <c r="AR1010" s="26">
        <f>AP1010-1.472</f>
        <v>-1.472</v>
      </c>
      <c r="AS1010" s="26">
        <f>AQ1010-1.472</f>
        <v>0.79400000000000004</v>
      </c>
      <c r="AT1010" s="26" t="str">
        <f>VLOOKUP(K1010,'[5]FECs - good data'!$C$1:$P$575,13,FALSE)</f>
        <v>CH</v>
      </c>
      <c r="AU1010" s="26"/>
      <c r="AV1010" s="26"/>
      <c r="AW1010" s="26">
        <f>IF(AX1010&gt;0,1,0)</f>
        <v>1</v>
      </c>
      <c r="AX1010" s="26">
        <f>SUM(BA1010,BM1010,CT1010)</f>
        <v>6</v>
      </c>
      <c r="AY1010" s="26">
        <f>SUM(BB1010,BN1010,CV1010)</f>
        <v>18.89168765743073</v>
      </c>
      <c r="AZ1010" s="26">
        <f>IF(BA1010&gt;0,1,0)</f>
        <v>0</v>
      </c>
      <c r="BA1010" s="26">
        <f>SUM(BC1010,BF1010,BI1010)</f>
        <v>0</v>
      </c>
      <c r="BB1010" s="26">
        <f>SUM(BE1010,BH1010,BK1010)</f>
        <v>0</v>
      </c>
      <c r="BC1010" s="26">
        <f>IF(BD1010&gt;0,1,0)</f>
        <v>0</v>
      </c>
      <c r="BD1010" s="26">
        <f>VLOOKUP($K1010,'[5]FECs - good data'!$C$1:$Z$574,14,FALSE)</f>
        <v>0</v>
      </c>
      <c r="BE1010" s="26">
        <f>BD1010/AS1010</f>
        <v>0</v>
      </c>
      <c r="BF1010" s="26">
        <f>IF(BG1010&gt;0,1,0)</f>
        <v>0</v>
      </c>
      <c r="BG1010" s="82">
        <f>VLOOKUP($K1010,'[5]FECs - good data'!$C$1:$Z$432,15,FALSE)</f>
        <v>0</v>
      </c>
      <c r="BH1010" s="26">
        <f>BG1010/AS1010</f>
        <v>0</v>
      </c>
      <c r="BI1010" s="26">
        <f>IF(BJ1010&gt;0,1,0)</f>
        <v>0</v>
      </c>
      <c r="BJ1010" s="26">
        <f>VLOOKUP($K1010,'[5]FECs - good data'!$C$1:$Z$432,16,FALSE)</f>
        <v>0</v>
      </c>
      <c r="BK1010" s="26">
        <f>BJ1010/AS1010</f>
        <v>0</v>
      </c>
      <c r="BL1010" s="26">
        <f>IF(BM1010&gt;0,1,0)</f>
        <v>1</v>
      </c>
      <c r="BM1010" s="26">
        <f>SUM(BR1010,BU1010,BX1010,CA1010,CD1010,CG1010,CJ1010,CM1010,CP1010)</f>
        <v>5</v>
      </c>
      <c r="BN1010" s="26">
        <f>SUM(BW1010,BZ1010,CC1010,CF1010,CI1010,CL1010,CO1010,CR1010,BT1010)</f>
        <v>17.632241813602015</v>
      </c>
      <c r="BO1010" s="16">
        <f>IF(BP1010&gt;0,1,0)</f>
        <v>1</v>
      </c>
      <c r="BP1010" s="16">
        <f>SUM(BU1010,BX1010,CA1010,CD1010,BR1010)</f>
        <v>4</v>
      </c>
      <c r="BQ1010" s="16">
        <f>SUM(BZ1010,CC1010,CF1010,BT1010,BW1010)</f>
        <v>16.3727959697733</v>
      </c>
      <c r="BR1010" s="26">
        <f>IF(BS1010&gt;0,1,0)</f>
        <v>0</v>
      </c>
      <c r="BS1010" s="26">
        <f>VLOOKUP($K1010,'[5]FECs - good data'!$C$1:$Z$432,17,FALSE)</f>
        <v>0</v>
      </c>
      <c r="BT1010" s="82">
        <f>BS1010/AS1010</f>
        <v>0</v>
      </c>
      <c r="BU1010" s="26">
        <f>IF(BV1010&gt;0,1,0)</f>
        <v>1</v>
      </c>
      <c r="BV1010" s="26">
        <f>VLOOKUP($K1010,'[5]FECs - good data'!$C$1:$Z$432,18,FALSE)</f>
        <v>1</v>
      </c>
      <c r="BW1010" s="26">
        <f>BV1010/AS1010</f>
        <v>1.2594458438287153</v>
      </c>
      <c r="BX1010" s="26">
        <f>IF(BY1010&gt;0,1,0)</f>
        <v>1</v>
      </c>
      <c r="BY1010" s="26">
        <f>VLOOKUP($K1010,'[5]FECs - good data'!$C$1:$Z$432,19,FALSE)</f>
        <v>4</v>
      </c>
      <c r="BZ1010" s="26">
        <f>BY1010/AS1010</f>
        <v>5.0377833753148611</v>
      </c>
      <c r="CA1010" s="26">
        <f>IF(CB1010&gt;0,1,0)</f>
        <v>1</v>
      </c>
      <c r="CB1010" s="26">
        <f>VLOOKUP($K1010,'[5]FECs - good data'!$C$1:$Z$432,20,FALSE)</f>
        <v>7</v>
      </c>
      <c r="CC1010" s="26">
        <f>CB1010/AS1010</f>
        <v>8.8161209068010074</v>
      </c>
      <c r="CD1010" s="82">
        <f>IF(CE1010&gt;0,1,0)</f>
        <v>1</v>
      </c>
      <c r="CE1010" s="26">
        <f>VLOOKUP($K1010,'[5]FECs - good data'!$C$1:$Z$432,21,FALSE)</f>
        <v>1</v>
      </c>
      <c r="CF1010" s="26">
        <f>CE1010/AS1010</f>
        <v>1.2594458438287153</v>
      </c>
      <c r="CG1010" s="26">
        <f>IF(CH1010&gt;0,1,0)</f>
        <v>1</v>
      </c>
      <c r="CH1010" s="26">
        <f>VLOOKUP($K1010,'[5]FECs - good data'!$C$1:$Z$432,22,FALSE)</f>
        <v>1</v>
      </c>
      <c r="CI1010" s="26">
        <f>CH1010/AS1010</f>
        <v>1.2594458438287153</v>
      </c>
      <c r="CJ1010" s="26">
        <f>IF(CK1010&gt;0,1,0)</f>
        <v>0</v>
      </c>
      <c r="CK1010" s="26">
        <f>VLOOKUP($K1010,'[5]FECs - good data'!$C$1:$Z$674,24,FALSE)</f>
        <v>0</v>
      </c>
      <c r="CL1010" s="26">
        <f>CK1010/AS1010</f>
        <v>0</v>
      </c>
      <c r="CM1010" s="26"/>
      <c r="CN1010" s="26"/>
      <c r="CO1010" s="26"/>
      <c r="CP1010" s="26"/>
      <c r="CQ1010" s="26"/>
      <c r="CR1010" s="26"/>
      <c r="CS1010" s="26">
        <f>IF(CT1010&gt;0,1,0)</f>
        <v>1</v>
      </c>
      <c r="CT1010" s="26">
        <f>SUM(CW1010+CZ1010,DC1010)</f>
        <v>1</v>
      </c>
      <c r="CU1010" s="26"/>
      <c r="CV1010" s="26">
        <f>SUM(CY1010,DB1010,DE1010)</f>
        <v>1.2594458438287153</v>
      </c>
      <c r="CW1010" s="26">
        <f>IF(CX1010&gt;0,1,0)</f>
        <v>1</v>
      </c>
      <c r="CX1010" s="26">
        <f>VLOOKUP($K1010,'[5]FECs - good data'!$C$1:$Z$432,22,FALSE)</f>
        <v>1</v>
      </c>
      <c r="CY1010" s="26">
        <f>CX1010/AS1010</f>
        <v>1.2594458438287153</v>
      </c>
      <c r="CZ1010" s="26">
        <f>IF(DA1010&gt;0,1,0)</f>
        <v>0</v>
      </c>
      <c r="DA1010" s="26">
        <f>VLOOKUP($K1010,'[5]FECs - good data'!$C$1:$Z$432,23,FALSE)</f>
        <v>0</v>
      </c>
      <c r="DB1010" s="26">
        <f>DA1010/AS1010</f>
        <v>0</v>
      </c>
      <c r="DC1010" s="26"/>
      <c r="DD1010" s="26"/>
      <c r="DE1010" s="26"/>
      <c r="DF1010" s="16">
        <f>VLOOKUP(K1010,'[3]RNA Seq summary tables'!$V$3:$V$99,1,FALSE)</f>
        <v>1848</v>
      </c>
      <c r="DI1010" s="26">
        <v>32</v>
      </c>
      <c r="DJ1010" s="26"/>
      <c r="DK1010" s="26">
        <v>64</v>
      </c>
      <c r="DL1010" s="26"/>
      <c r="DM1010" s="26">
        <v>4</v>
      </c>
      <c r="DN1010" s="26"/>
      <c r="DO1010" s="26">
        <v>0</v>
      </c>
      <c r="DP1010" s="26"/>
      <c r="DQ1010" s="26">
        <v>0</v>
      </c>
      <c r="DR1010" s="26">
        <f>SUM(DI1010:DQ1010)</f>
        <v>100</v>
      </c>
      <c r="DS1010" s="26"/>
      <c r="JR1010" s="27"/>
      <c r="JS1010" s="27"/>
      <c r="JT1010" s="27"/>
      <c r="JU1010" s="27"/>
      <c r="JV1010" s="27"/>
      <c r="JW1010" s="27"/>
      <c r="JX1010" s="27"/>
      <c r="JY1010" s="27"/>
      <c r="JZ1010" s="27"/>
      <c r="KA1010" s="27"/>
      <c r="KB1010" s="27"/>
    </row>
    <row r="1011" spans="1:288" x14ac:dyDescent="0.2">
      <c r="A1011" s="26"/>
      <c r="B1011" s="26">
        <v>2017</v>
      </c>
      <c r="C1011" s="44">
        <v>42939</v>
      </c>
      <c r="D1011" s="44" t="str">
        <f>CONCATENATE(J1011,"-",C1011)</f>
        <v>1145-42939</v>
      </c>
      <c r="E1011" s="20" t="str">
        <f>CONCATENATE(T1011,"-",U1011,"-",C1011)</f>
        <v>SP2-B8-42939</v>
      </c>
      <c r="F1011" s="20" t="s">
        <v>106</v>
      </c>
      <c r="G1011" s="44" t="s">
        <v>107</v>
      </c>
      <c r="H1011" s="26"/>
      <c r="I1011" s="16">
        <v>0</v>
      </c>
      <c r="J1011" s="45">
        <v>1145</v>
      </c>
      <c r="K1011" s="45">
        <v>1969</v>
      </c>
      <c r="L1011" s="16">
        <v>1</v>
      </c>
      <c r="M1011" s="45">
        <f>VLOOKUP($K1011,'[4]blood tubes 2017'!$D$1:$L$647,8,FALSE)</f>
        <v>1</v>
      </c>
      <c r="N1011" s="45">
        <f>VLOOKUP($K1011,'[4]blood tubes 2017'!$D$1:$L$647,9,FALSE)</f>
        <v>1600</v>
      </c>
      <c r="O1011" s="15" t="s">
        <v>214</v>
      </c>
      <c r="P1011" s="26" t="s">
        <v>110</v>
      </c>
      <c r="Q1011" s="26">
        <v>1</v>
      </c>
      <c r="R1011" s="26">
        <v>16</v>
      </c>
      <c r="S1011" s="26"/>
      <c r="T1011" s="26" t="s">
        <v>137</v>
      </c>
      <c r="U1011" s="26" t="s">
        <v>209</v>
      </c>
      <c r="V1011" s="26" t="s">
        <v>114</v>
      </c>
      <c r="W1011" s="16">
        <f>AI1011/AG1011</f>
        <v>0.77570093457943923</v>
      </c>
      <c r="X1011" s="26" t="s">
        <v>115</v>
      </c>
      <c r="Y1011" s="26" t="s">
        <v>110</v>
      </c>
      <c r="Z1011" s="26">
        <v>3</v>
      </c>
      <c r="AA1011" s="26"/>
      <c r="AB1011" s="26"/>
      <c r="AC1011" s="26"/>
      <c r="AD1011" s="26"/>
      <c r="AE1011" s="26" t="s">
        <v>116</v>
      </c>
      <c r="AF1011" s="26" t="s">
        <v>116</v>
      </c>
      <c r="AG1011" s="26">
        <f>AH1011-AI1011</f>
        <v>107</v>
      </c>
      <c r="AH1011" s="26">
        <v>190</v>
      </c>
      <c r="AI1011" s="26">
        <v>83</v>
      </c>
      <c r="AJ1011" s="26"/>
      <c r="AK1011" s="26">
        <v>28</v>
      </c>
      <c r="AL1011" s="26">
        <v>0</v>
      </c>
      <c r="AM1011" s="26">
        <v>0</v>
      </c>
      <c r="AN1011" s="26">
        <v>0</v>
      </c>
      <c r="AO1011" s="26">
        <v>0</v>
      </c>
      <c r="AP1011" s="26">
        <f>SUM(AL1011:AN1011)</f>
        <v>0</v>
      </c>
      <c r="AQ1011" s="26">
        <v>1.6879999999999999</v>
      </c>
      <c r="AR1011" s="26">
        <f>AP1011-1.472</f>
        <v>-1.472</v>
      </c>
      <c r="AS1011" s="26">
        <f>AQ1011-1.472</f>
        <v>0.21599999999999997</v>
      </c>
      <c r="AT1011" s="26" t="str">
        <f>VLOOKUP(K1011,'[5]FECs - good data'!$C$1:$P$575,13,FALSE)</f>
        <v>CH</v>
      </c>
      <c r="AU1011" s="26"/>
      <c r="AV1011" s="26"/>
      <c r="AW1011" s="26">
        <f>IF(AX1011&gt;0,1,0)</f>
        <v>1</v>
      </c>
      <c r="AX1011" s="26">
        <f>SUM(BA1011,BM1011,CT1011)</f>
        <v>6</v>
      </c>
      <c r="AY1011" s="26">
        <f>SUM(BB1011,BN1011,CV1011)</f>
        <v>666.66666666666674</v>
      </c>
      <c r="AZ1011" s="26">
        <f>IF(BA1011&gt;0,1,0)</f>
        <v>1</v>
      </c>
      <c r="BA1011" s="26">
        <f>SUM(BC1011,BF1011,BI1011)</f>
        <v>1</v>
      </c>
      <c r="BB1011" s="26">
        <f>SUM(BE1011,BH1011,BK1011)</f>
        <v>60.18518518518519</v>
      </c>
      <c r="BC1011" s="26">
        <f>IF(BD1011&gt;0,1,0)</f>
        <v>0</v>
      </c>
      <c r="BD1011" s="26">
        <f>VLOOKUP($K1011,'[5]FECs - good data'!$C$1:$Z$574,14,FALSE)</f>
        <v>0</v>
      </c>
      <c r="BE1011" s="26">
        <f>BD1011/AS1011</f>
        <v>0</v>
      </c>
      <c r="BF1011" s="26">
        <f>IF(BG1011&gt;0,1,0)</f>
        <v>0</v>
      </c>
      <c r="BG1011" s="82">
        <f>VLOOKUP($K1011,'[5]FECs - good data'!$C$1:$Z$574,15,FALSE)</f>
        <v>0</v>
      </c>
      <c r="BH1011" s="26">
        <f>BG1011/AS1011</f>
        <v>0</v>
      </c>
      <c r="BI1011" s="26">
        <f>IF(BJ1011&gt;0,1,0)</f>
        <v>1</v>
      </c>
      <c r="BJ1011" s="26">
        <f>VLOOKUP($K1011,'[5]FECs - good data'!$C$1:$Z$574,16,FALSE)</f>
        <v>13</v>
      </c>
      <c r="BK1011" s="26">
        <f>BJ1011/AS1011</f>
        <v>60.18518518518519</v>
      </c>
      <c r="BL1011" s="26">
        <f>IF(BM1011&gt;0,1,0)</f>
        <v>1</v>
      </c>
      <c r="BM1011" s="26">
        <f>SUM(BR1011,BU1011,BX1011,CA1011,CD1011,CG1011,CJ1011,CM1011,CP1011)</f>
        <v>4</v>
      </c>
      <c r="BN1011" s="26">
        <f>SUM(BW1011,BZ1011,CC1011,CF1011,CI1011,CL1011,CO1011,CR1011,BT1011)</f>
        <v>351.8518518518519</v>
      </c>
      <c r="BO1011" s="16">
        <f>IF(BP1011&gt;0,1,0)</f>
        <v>1</v>
      </c>
      <c r="BP1011" s="16">
        <f>SUM(BU1011,BX1011,CA1011,CD1011,BR1011)</f>
        <v>3</v>
      </c>
      <c r="BQ1011" s="16">
        <f>SUM(BZ1011,CC1011,CF1011,BT1011,BW1011)</f>
        <v>97.222222222222243</v>
      </c>
      <c r="BR1011" s="26">
        <f>IF(BS1011&gt;0,1,0)</f>
        <v>1</v>
      </c>
      <c r="BS1011" s="26">
        <f>VLOOKUP($K1011,'[5]FECs - good data'!$C$1:$Z$574,17,FALSE)</f>
        <v>1</v>
      </c>
      <c r="BT1011" s="82">
        <f>BS1011/AS1011</f>
        <v>4.6296296296296306</v>
      </c>
      <c r="BU1011" s="26">
        <f>IF(BV1011&gt;0,1,0)</f>
        <v>0</v>
      </c>
      <c r="BV1011" s="26">
        <f>VLOOKUP($K1011,'[5]FECs - good data'!$C$1:$Z$574,18,FALSE)</f>
        <v>0</v>
      </c>
      <c r="BW1011" s="26">
        <f>BV1011/AS1011</f>
        <v>0</v>
      </c>
      <c r="BX1011" s="26">
        <f>IF(BY1011&gt;0,1,0)</f>
        <v>1</v>
      </c>
      <c r="BY1011" s="26">
        <f>VLOOKUP($K1011,'[5]FECs - good data'!$C$1:$Z$574,19,FALSE)</f>
        <v>19</v>
      </c>
      <c r="BZ1011" s="26">
        <f>BY1011/AS1011</f>
        <v>87.962962962962976</v>
      </c>
      <c r="CA1011" s="26">
        <f>IF(CB1011&gt;0,1,0)</f>
        <v>1</v>
      </c>
      <c r="CB1011" s="26">
        <f>VLOOKUP($K1011,'[5]FECs - good data'!$C$1:$Z$574,20,FALSE)</f>
        <v>1</v>
      </c>
      <c r="CC1011" s="26">
        <f>CB1011/AS1011</f>
        <v>4.6296296296296306</v>
      </c>
      <c r="CD1011" s="82">
        <f>IF(CE1011&gt;0,1,0)</f>
        <v>0</v>
      </c>
      <c r="CE1011" s="26">
        <f>VLOOKUP($K1011,'[5]FECs - good data'!$C$1:$Z$574,21,FALSE)</f>
        <v>0</v>
      </c>
      <c r="CF1011" s="26">
        <f>CE1011/AS1011</f>
        <v>0</v>
      </c>
      <c r="CG1011" s="26">
        <f>IF(CH1011&gt;0,1,0)</f>
        <v>1</v>
      </c>
      <c r="CH1011" s="26">
        <f>VLOOKUP($K1011,'[5]FECs - good data'!$C$1:$Z$574,22,FALSE)</f>
        <v>55</v>
      </c>
      <c r="CI1011" s="26">
        <f>CH1011/AS1011</f>
        <v>254.62962962962968</v>
      </c>
      <c r="CJ1011" s="26">
        <f>IF(CK1011&gt;0,1,0)</f>
        <v>0</v>
      </c>
      <c r="CK1011" s="26">
        <f>VLOOKUP($K1011,'[5]FECs - good data'!$C$1:$Z$674,24,FALSE)</f>
        <v>0</v>
      </c>
      <c r="CL1011" s="26">
        <f>CK1011/AS1011</f>
        <v>0</v>
      </c>
      <c r="CM1011" s="26"/>
      <c r="CN1011" s="26"/>
      <c r="CO1011" s="26"/>
      <c r="CP1011" s="26"/>
      <c r="CQ1011" s="26"/>
      <c r="CR1011" s="26"/>
      <c r="CS1011" s="26">
        <f>IF(CT1011&gt;0,1,0)</f>
        <v>1</v>
      </c>
      <c r="CT1011" s="26">
        <f>SUM(CW1011+CZ1011,DC1011)</f>
        <v>1</v>
      </c>
      <c r="CU1011" s="26"/>
      <c r="CV1011" s="26">
        <f>SUM(CY1011,DB1011,DE1011)</f>
        <v>254.62962962962968</v>
      </c>
      <c r="CW1011" s="26">
        <f>IF(CX1011&gt;0,1,0)</f>
        <v>1</v>
      </c>
      <c r="CX1011" s="26">
        <f>VLOOKUP($K1011,'[5]FECs - good data'!$C$1:$Z$574,22,FALSE)</f>
        <v>55</v>
      </c>
      <c r="CY1011" s="26">
        <f>CX1011/AS1011</f>
        <v>254.62962962962968</v>
      </c>
      <c r="CZ1011" s="26">
        <f>IF(DA1011&gt;0,1,0)</f>
        <v>0</v>
      </c>
      <c r="DA1011" s="26">
        <f>VLOOKUP($K1011,'[5]FECs - good data'!$C$1:$Z$5982,23,FALSE)</f>
        <v>0</v>
      </c>
      <c r="DB1011" s="26">
        <f>DA1011/AS1011</f>
        <v>0</v>
      </c>
      <c r="DC1011" s="26">
        <f>IF(DD1011&gt;0,1,0)</f>
        <v>0</v>
      </c>
      <c r="DD1011" s="26">
        <f>VLOOKUP($K1011,'[5]FECs - good data'!$C$1:$Z$574,23,FALSE)</f>
        <v>0</v>
      </c>
      <c r="DE1011" s="26">
        <f>DD1011/AS1011</f>
        <v>0</v>
      </c>
      <c r="DF1011" s="16">
        <f>VLOOKUP(K1011,'[3]RNA Seq summary tables'!$V$3:$V$99,1,FALSE)</f>
        <v>1969</v>
      </c>
      <c r="DG1011" s="16">
        <v>1</v>
      </c>
      <c r="DH1011" s="16" t="str">
        <f>VLOOKUP(D1011,'[6]workflow 3.2018'!$A$1:$S$237,2,FALSE)</f>
        <v>2017MLBS_69</v>
      </c>
      <c r="DI1011" s="26"/>
      <c r="DJ1011" s="26"/>
      <c r="DK1011" s="26"/>
      <c r="DL1011" s="26"/>
      <c r="DM1011" s="26"/>
      <c r="DN1011" s="26"/>
      <c r="DO1011" s="26"/>
      <c r="DP1011" s="26"/>
      <c r="DQ1011" s="26"/>
      <c r="DR1011" s="26"/>
      <c r="DS1011" s="26"/>
      <c r="JP1011" s="39"/>
      <c r="JQ1011" s="39"/>
    </row>
    <row r="1012" spans="1:288" s="26" customFormat="1" x14ac:dyDescent="0.2">
      <c r="B1012" s="26">
        <v>2017</v>
      </c>
      <c r="C1012" s="44">
        <v>42959</v>
      </c>
      <c r="D1012" s="44" t="str">
        <f>CONCATENATE(J1012,"-",C1012)</f>
        <v>1145-42959</v>
      </c>
      <c r="E1012" s="20" t="str">
        <f>CONCATENATE(T1012,"-",U1012,"-",C1012)</f>
        <v>SP2-B6-42959</v>
      </c>
      <c r="F1012" s="20" t="s">
        <v>106</v>
      </c>
      <c r="G1012" s="44" t="s">
        <v>107</v>
      </c>
      <c r="I1012" s="16">
        <v>0</v>
      </c>
      <c r="J1012" s="45">
        <v>1145</v>
      </c>
      <c r="K1012" s="45">
        <v>2145</v>
      </c>
      <c r="L1012" s="16">
        <v>1</v>
      </c>
      <c r="M1012" s="45">
        <f>VLOOKUP($K1012,'[4]blood tubes 2017'!$D$1:$L$647,8,FALSE)</f>
        <v>1</v>
      </c>
      <c r="N1012" s="45">
        <f>VLOOKUP($K1012,'[4]blood tubes 2017'!$D$1:$L$647,9,FALSE)</f>
        <v>400</v>
      </c>
      <c r="O1012" s="15" t="s">
        <v>214</v>
      </c>
      <c r="P1012" s="26" t="s">
        <v>110</v>
      </c>
      <c r="Q1012" s="26">
        <v>1</v>
      </c>
      <c r="R1012" s="26">
        <v>20</v>
      </c>
      <c r="T1012" s="26" t="s">
        <v>137</v>
      </c>
      <c r="U1012" s="26" t="s">
        <v>132</v>
      </c>
      <c r="V1012" s="26" t="s">
        <v>114</v>
      </c>
      <c r="W1012" s="16">
        <f>AI1012/AG1012</f>
        <v>0.83333333333333337</v>
      </c>
      <c r="X1012" s="26" t="s">
        <v>115</v>
      </c>
      <c r="Y1012" s="26" t="s">
        <v>110</v>
      </c>
      <c r="Z1012" s="26">
        <v>3</v>
      </c>
      <c r="AE1012" s="26" t="s">
        <v>116</v>
      </c>
      <c r="AF1012" s="26" t="s">
        <v>116</v>
      </c>
      <c r="AG1012" s="26">
        <f>AH1012-AI1012</f>
        <v>102</v>
      </c>
      <c r="AH1012" s="26">
        <v>187</v>
      </c>
      <c r="AI1012" s="26">
        <v>85</v>
      </c>
      <c r="AK1012" s="26">
        <v>27</v>
      </c>
      <c r="AL1012" s="26">
        <v>0</v>
      </c>
      <c r="AM1012" s="26">
        <v>0</v>
      </c>
      <c r="AN1012" s="26">
        <v>0</v>
      </c>
      <c r="AO1012" s="26">
        <v>0</v>
      </c>
      <c r="AP1012" s="26">
        <f>SUM(AL1012:AN1012)</f>
        <v>0</v>
      </c>
      <c r="AQ1012" s="26">
        <v>1.548</v>
      </c>
      <c r="AR1012" s="26">
        <f>AP1012-1.472</f>
        <v>-1.472</v>
      </c>
      <c r="AS1012" s="26">
        <f>AQ1012-1.472</f>
        <v>7.6000000000000068E-2</v>
      </c>
      <c r="AT1012" s="26" t="str">
        <f>VLOOKUP(K1012,'[5]FECs - good data'!$C$1:$P$575,13,FALSE)</f>
        <v>SB</v>
      </c>
      <c r="AW1012" s="26">
        <f>IF(AX1012&gt;0,1,0)</f>
        <v>1</v>
      </c>
      <c r="AX1012" s="26">
        <f>SUM(BA1012,BM1012,CT1012)</f>
        <v>1</v>
      </c>
      <c r="AY1012" s="26">
        <f>SUM(BB1012,BN1012,CV1012)</f>
        <v>78.947368421052559</v>
      </c>
      <c r="AZ1012" s="26">
        <f>IF(BA1012&gt;0,1,0)</f>
        <v>1</v>
      </c>
      <c r="BA1012" s="26">
        <f>SUM(BC1012,BF1012,BI1012)</f>
        <v>1</v>
      </c>
      <c r="BB1012" s="26">
        <f>SUM(BE1012,BH1012,BK1012)</f>
        <v>78.947368421052559</v>
      </c>
      <c r="BC1012" s="26">
        <f>IF(BD1012&gt;0,1,0)</f>
        <v>0</v>
      </c>
      <c r="BD1012" s="26">
        <f>VLOOKUP($K1012,'[5]FECs - good data'!$C$1:$Z$574,14,FALSE)</f>
        <v>0</v>
      </c>
      <c r="BE1012" s="26">
        <f>BD1012/AS1012</f>
        <v>0</v>
      </c>
      <c r="BF1012" s="26">
        <f>IF(BG1012&gt;0,1,0)</f>
        <v>1</v>
      </c>
      <c r="BG1012" s="82">
        <f>VLOOKUP($K1012,'[5]FECs - good data'!$C$1:$Z$574,15,FALSE)</f>
        <v>6</v>
      </c>
      <c r="BH1012" s="26">
        <f>BG1012/AS1012</f>
        <v>78.947368421052559</v>
      </c>
      <c r="BI1012" s="26">
        <f>IF(BJ1012&gt;0,1,0)</f>
        <v>0</v>
      </c>
      <c r="BJ1012" s="26">
        <f>VLOOKUP($K1012,'[5]FECs - good data'!$C$1:$Z$574,16,FALSE)</f>
        <v>0</v>
      </c>
      <c r="BK1012" s="26">
        <f>BJ1012/AS1012</f>
        <v>0</v>
      </c>
      <c r="BL1012" s="26">
        <f>IF(BM1012&gt;0,1,0)</f>
        <v>0</v>
      </c>
      <c r="BM1012" s="26">
        <f>SUM(BR1012,BU1012,BX1012,CA1012,CD1012,CG1012,CJ1012,CM1012,CP1012)</f>
        <v>0</v>
      </c>
      <c r="BN1012" s="26">
        <f>SUM(BW1012,BZ1012,CC1012,CF1012,CI1012,CL1012,CO1012,CR1012,BT1012)</f>
        <v>0</v>
      </c>
      <c r="BO1012" s="26">
        <f>IF(BP1012&gt;0,1,0)</f>
        <v>0</v>
      </c>
      <c r="BP1012" s="26">
        <f>SUM(BU1012,BX1012,CA1012,CD1012,BR1012)</f>
        <v>0</v>
      </c>
      <c r="BQ1012" s="26">
        <f>SUM(BZ1012,CC1012,CF1012,BT1012,BW1012)</f>
        <v>0</v>
      </c>
      <c r="BR1012" s="26">
        <f>IF(BS1012&gt;0,1,0)</f>
        <v>0</v>
      </c>
      <c r="BS1012" s="26">
        <f>VLOOKUP($K1012,'[5]FECs - good data'!$C$1:$Z$574,17,FALSE)</f>
        <v>0</v>
      </c>
      <c r="BT1012" s="82">
        <f>BS1012/AS1012</f>
        <v>0</v>
      </c>
      <c r="BU1012" s="26">
        <f>IF(BV1012&gt;0,1,0)</f>
        <v>0</v>
      </c>
      <c r="BV1012" s="26">
        <f>VLOOKUP($K1012,'[5]FECs - good data'!$C$1:$Z$574,18,FALSE)</f>
        <v>0</v>
      </c>
      <c r="BW1012" s="26">
        <f>BV1012/AS1012</f>
        <v>0</v>
      </c>
      <c r="BX1012" s="26">
        <f>IF(BY1012&gt;0,1,0)</f>
        <v>0</v>
      </c>
      <c r="BY1012" s="26">
        <f>VLOOKUP($K1012,'[5]FECs - good data'!$C$1:$Z$574,19,FALSE)</f>
        <v>0</v>
      </c>
      <c r="BZ1012" s="26">
        <f>BY1012/AS1012</f>
        <v>0</v>
      </c>
      <c r="CA1012" s="26">
        <f>IF(CB1012&gt;0,1,0)</f>
        <v>0</v>
      </c>
      <c r="CB1012" s="26">
        <f>VLOOKUP($K1012,'[5]FECs - good data'!$C$1:$Z$574,20,FALSE)</f>
        <v>0</v>
      </c>
      <c r="CC1012" s="26">
        <f>CB1012/AS1012</f>
        <v>0</v>
      </c>
      <c r="CD1012" s="82">
        <f>IF(CE1012&gt;0,1,0)</f>
        <v>0</v>
      </c>
      <c r="CE1012" s="26">
        <f>VLOOKUP($K1012,'[5]FECs - good data'!$C$1:$Z$574,21,FALSE)</f>
        <v>0</v>
      </c>
      <c r="CF1012" s="26">
        <f>CE1012/AS1012</f>
        <v>0</v>
      </c>
      <c r="CG1012" s="26">
        <f>IF(CH1012&gt;0,1,0)</f>
        <v>0</v>
      </c>
      <c r="CH1012" s="26">
        <f>VLOOKUP($K1012,'[5]FECs - good data'!$C$1:$Z$574,22,FALSE)</f>
        <v>0</v>
      </c>
      <c r="CI1012" s="26">
        <f>CH1012/AS1012</f>
        <v>0</v>
      </c>
      <c r="CJ1012" s="26">
        <f>IF(CK1012&gt;0,1,0)</f>
        <v>0</v>
      </c>
      <c r="CK1012" s="26">
        <f>VLOOKUP($K1012,'[5]FECs - good data'!$C$1:$Z$674,24,FALSE)</f>
        <v>0</v>
      </c>
      <c r="CL1012" s="26">
        <f>CK1012/AS1012</f>
        <v>0</v>
      </c>
      <c r="CS1012" s="26">
        <f>IF(CT1012&gt;0,1,0)</f>
        <v>0</v>
      </c>
      <c r="CT1012" s="26">
        <f>SUM(CW1012+CZ1012,DC1012)</f>
        <v>0</v>
      </c>
      <c r="CV1012" s="26">
        <f>SUM(CY1012,DB1012,DE1012)</f>
        <v>0</v>
      </c>
      <c r="CW1012" s="26">
        <f>IF(CX1012&gt;0,1,0)</f>
        <v>0</v>
      </c>
      <c r="CX1012" s="26">
        <f>VLOOKUP($K1012,'[5]FECs - good data'!$C$1:$Z$574,22,FALSE)</f>
        <v>0</v>
      </c>
      <c r="CY1012" s="26">
        <f>CX1012/AS1012</f>
        <v>0</v>
      </c>
      <c r="CZ1012" s="26">
        <f>IF(DA1012&gt;0,1,0)</f>
        <v>0</v>
      </c>
      <c r="DA1012" s="26">
        <f>VLOOKUP($K1012,'[5]FECs - good data'!$C$1:$Z$5982,23,FALSE)</f>
        <v>0</v>
      </c>
      <c r="DB1012" s="26">
        <f>DA1012/AS1012</f>
        <v>0</v>
      </c>
      <c r="DC1012" s="26">
        <f>IF(DD1012&gt;0,1,0)</f>
        <v>0</v>
      </c>
      <c r="DD1012" s="26">
        <f>VLOOKUP($K1012,'[5]FECs - good data'!$C$1:$Z$574,23,FALSE)</f>
        <v>0</v>
      </c>
      <c r="DE1012" s="26">
        <f>DD1012/AS1012</f>
        <v>0</v>
      </c>
      <c r="DF1012" s="16">
        <f>VLOOKUP(K1012,'[3]RNA Seq summary tables'!$V$3:$V$99,1,FALSE)</f>
        <v>2145</v>
      </c>
      <c r="DG1012" s="16">
        <v>1</v>
      </c>
      <c r="DH1012" s="16" t="str">
        <f>VLOOKUP(D1012,'[6]workflow 3.2018'!$A$1:$S$237,2,FALSE)</f>
        <v>2017MLBS_143</v>
      </c>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18"/>
      <c r="EQ1012" s="18"/>
      <c r="ER1012" s="18"/>
      <c r="ES1012" s="18"/>
      <c r="ET1012" s="18"/>
      <c r="EU1012" s="18"/>
      <c r="EV1012" s="18"/>
      <c r="EW1012" s="18"/>
      <c r="EX1012" s="18"/>
      <c r="EY1012" s="18"/>
      <c r="EZ1012" s="18"/>
      <c r="FA1012" s="18"/>
      <c r="FB1012" s="18"/>
      <c r="FC1012" s="18"/>
      <c r="FD1012" s="18"/>
      <c r="FE1012" s="18"/>
      <c r="FF1012" s="18"/>
      <c r="FG1012" s="18"/>
      <c r="FH1012" s="18"/>
      <c r="FI1012" s="18"/>
      <c r="FJ1012" s="18"/>
      <c r="FK1012" s="18"/>
      <c r="FL1012" s="18"/>
      <c r="FM1012" s="18"/>
      <c r="FN1012" s="18"/>
      <c r="FO1012" s="18"/>
      <c r="FP1012" s="18"/>
      <c r="FQ1012" s="18"/>
      <c r="FR1012" s="18"/>
      <c r="FS1012" s="18"/>
      <c r="FT1012" s="18"/>
      <c r="FU1012" s="18"/>
      <c r="FV1012" s="18"/>
      <c r="FW1012" s="18"/>
      <c r="FX1012" s="18"/>
      <c r="FY1012" s="18"/>
      <c r="FZ1012" s="18"/>
      <c r="GA1012" s="18"/>
      <c r="GB1012" s="18"/>
      <c r="GC1012" s="18"/>
      <c r="GD1012" s="18"/>
      <c r="GE1012" s="18"/>
      <c r="GF1012" s="18"/>
      <c r="GG1012" s="18"/>
      <c r="GH1012" s="18"/>
      <c r="GI1012" s="18"/>
      <c r="GJ1012" s="18"/>
      <c r="GK1012" s="18"/>
      <c r="GL1012" s="18"/>
      <c r="GM1012" s="18"/>
      <c r="GN1012" s="18"/>
      <c r="GO1012" s="18"/>
      <c r="GP1012" s="18"/>
      <c r="GQ1012" s="18"/>
      <c r="GR1012" s="18"/>
      <c r="GS1012" s="18"/>
      <c r="GT1012" s="18"/>
      <c r="GU1012" s="18"/>
      <c r="GV1012" s="18"/>
      <c r="GW1012" s="18"/>
      <c r="GX1012" s="18"/>
      <c r="GY1012" s="18"/>
      <c r="GZ1012" s="18"/>
      <c r="HA1012" s="18"/>
      <c r="HB1012" s="18"/>
      <c r="HC1012" s="18"/>
      <c r="HD1012" s="18"/>
      <c r="HE1012" s="18"/>
      <c r="HF1012" s="18"/>
      <c r="HG1012" s="18"/>
      <c r="HH1012" s="18"/>
      <c r="HI1012" s="18"/>
      <c r="HJ1012" s="18"/>
      <c r="HK1012" s="18"/>
      <c r="HL1012" s="18"/>
      <c r="HM1012" s="18"/>
      <c r="HN1012" s="18"/>
      <c r="HO1012" s="18"/>
      <c r="HP1012" s="18"/>
      <c r="HQ1012" s="18"/>
      <c r="HR1012" s="18"/>
      <c r="HS1012" s="18"/>
      <c r="HT1012" s="18"/>
      <c r="HU1012" s="18"/>
      <c r="HV1012" s="18"/>
      <c r="HW1012" s="18"/>
      <c r="HX1012" s="18"/>
      <c r="HY1012" s="18"/>
      <c r="HZ1012" s="18"/>
      <c r="IA1012" s="18"/>
      <c r="IB1012" s="18"/>
      <c r="IC1012" s="18"/>
      <c r="ID1012" s="18"/>
      <c r="IE1012" s="18"/>
      <c r="IF1012" s="18"/>
      <c r="IG1012" s="18"/>
      <c r="IH1012" s="18"/>
      <c r="II1012" s="18"/>
      <c r="IJ1012" s="18"/>
      <c r="IK1012" s="18"/>
      <c r="IL1012" s="18"/>
      <c r="IM1012" s="18"/>
      <c r="IN1012" s="18"/>
      <c r="IO1012" s="18"/>
      <c r="IP1012" s="18"/>
      <c r="IQ1012" s="18"/>
      <c r="IR1012" s="18"/>
      <c r="IS1012" s="18"/>
      <c r="IT1012" s="18"/>
      <c r="IU1012" s="18"/>
      <c r="IV1012" s="18"/>
      <c r="IW1012" s="18"/>
      <c r="IX1012" s="18"/>
      <c r="IY1012" s="18"/>
      <c r="IZ1012" s="18"/>
      <c r="JA1012" s="18"/>
      <c r="JB1012" s="18"/>
      <c r="JC1012" s="18"/>
      <c r="JD1012" s="18"/>
      <c r="JE1012" s="18"/>
      <c r="JF1012" s="18"/>
      <c r="JG1012" s="18"/>
      <c r="JH1012" s="18"/>
      <c r="JI1012" s="18"/>
      <c r="JJ1012" s="18"/>
      <c r="JK1012" s="18"/>
      <c r="JL1012" s="18"/>
      <c r="JM1012" s="18"/>
      <c r="JN1012" s="18"/>
      <c r="JO1012" s="38"/>
      <c r="JP1012" s="16"/>
      <c r="JQ1012" s="16"/>
      <c r="JR1012" s="16"/>
      <c r="JS1012" s="16"/>
      <c r="JT1012" s="16"/>
      <c r="JU1012" s="16"/>
      <c r="JV1012" s="16"/>
      <c r="JW1012" s="16"/>
      <c r="JX1012" s="16"/>
      <c r="JY1012" s="16"/>
      <c r="JZ1012" s="16"/>
      <c r="KA1012" s="16"/>
      <c r="KB1012" s="16"/>
    </row>
    <row r="1013" spans="1:288" s="26" customFormat="1" x14ac:dyDescent="0.2">
      <c r="B1013" s="26">
        <v>2017</v>
      </c>
      <c r="C1013" s="44">
        <v>42972</v>
      </c>
      <c r="D1013" s="44" t="str">
        <f>CONCATENATE(J1013,"-",C1013)</f>
        <v>1145-42972</v>
      </c>
      <c r="E1013" s="20" t="str">
        <f>CONCATENATE(T1013,"-",U1013,"-",C1013)</f>
        <v>SP2-B6-42972</v>
      </c>
      <c r="F1013" s="20" t="s">
        <v>106</v>
      </c>
      <c r="G1013" s="44" t="s">
        <v>107</v>
      </c>
      <c r="I1013" s="16">
        <v>0</v>
      </c>
      <c r="J1013" s="45">
        <v>1145</v>
      </c>
      <c r="K1013" s="45">
        <v>2245</v>
      </c>
      <c r="L1013" s="16">
        <v>1</v>
      </c>
      <c r="M1013" s="45">
        <f>VLOOKUP($K1013,'[4]blood tubes 2017'!$D$1:$L$947,8,FALSE)</f>
        <v>1</v>
      </c>
      <c r="N1013" s="45">
        <f>VLOOKUP($K1013,'[4]blood tubes 2017'!$D$1:$L$947,9,FALSE)</f>
        <v>25</v>
      </c>
      <c r="O1013" s="15" t="s">
        <v>214</v>
      </c>
      <c r="P1013" s="26" t="s">
        <v>110</v>
      </c>
      <c r="Q1013" s="26">
        <v>1</v>
      </c>
      <c r="R1013" s="26">
        <v>13</v>
      </c>
      <c r="T1013" s="26" t="s">
        <v>137</v>
      </c>
      <c r="U1013" s="26" t="s">
        <v>132</v>
      </c>
      <c r="V1013" s="26" t="s">
        <v>114</v>
      </c>
      <c r="W1013" s="16">
        <f>AI1013/AG1013</f>
        <v>0.82352941176470584</v>
      </c>
      <c r="X1013" s="26" t="s">
        <v>115</v>
      </c>
      <c r="Y1013" s="26" t="s">
        <v>110</v>
      </c>
      <c r="Z1013" s="26">
        <v>3</v>
      </c>
      <c r="AE1013" s="26" t="s">
        <v>116</v>
      </c>
      <c r="AF1013" s="26" t="s">
        <v>116</v>
      </c>
      <c r="AG1013" s="26">
        <f>AH1013-AI1013</f>
        <v>102</v>
      </c>
      <c r="AH1013" s="26">
        <v>186</v>
      </c>
      <c r="AI1013" s="26">
        <v>84</v>
      </c>
      <c r="AK1013" s="26">
        <v>24.5</v>
      </c>
      <c r="AL1013" s="26">
        <v>0</v>
      </c>
      <c r="AM1013" s="26">
        <v>0</v>
      </c>
      <c r="AN1013" s="26">
        <v>0</v>
      </c>
      <c r="AO1013" s="26">
        <v>0</v>
      </c>
      <c r="AP1013" s="26">
        <f>SUM(AL1013:AN1013)</f>
        <v>0</v>
      </c>
      <c r="AQ1013" s="26">
        <v>1.5669999999999999</v>
      </c>
      <c r="AR1013" s="26">
        <f>AP1013-1.472</f>
        <v>-1.472</v>
      </c>
      <c r="AS1013" s="26">
        <f>AQ1013-1.472</f>
        <v>9.4999999999999973E-2</v>
      </c>
      <c r="AT1013" s="26" t="str">
        <f>VLOOKUP(K1013,'[5]FECs - good data'!$C$1:$P$575,13,FALSE)</f>
        <v>SB</v>
      </c>
      <c r="AW1013" s="26">
        <f>IF(AX1013&gt;0,1,0)</f>
        <v>0</v>
      </c>
      <c r="AX1013" s="26">
        <f>SUM(BA1013,BM1013,CT1013)</f>
        <v>0</v>
      </c>
      <c r="AY1013" s="26">
        <f>SUM(BB1013,BN1013,CV1013)</f>
        <v>0</v>
      </c>
      <c r="AZ1013" s="26">
        <f>IF(BA1013&gt;0,1,0)</f>
        <v>0</v>
      </c>
      <c r="BA1013" s="26">
        <f>SUM(BC1013,BF1013,BI1013)</f>
        <v>0</v>
      </c>
      <c r="BB1013" s="26">
        <f>SUM(BE1013,BH1013,BK1013)</f>
        <v>0</v>
      </c>
      <c r="BC1013" s="26">
        <f>IF(BD1013&gt;0,1,0)</f>
        <v>0</v>
      </c>
      <c r="BD1013" s="26">
        <f>VLOOKUP($K1013,'[5]FECs - good data'!$C$1:$Z$574,14,FALSE)</f>
        <v>0</v>
      </c>
      <c r="BE1013" s="26">
        <f>BD1013/AS1013</f>
        <v>0</v>
      </c>
      <c r="BF1013" s="26">
        <f>IF(BG1013&gt;0,1,0)</f>
        <v>0</v>
      </c>
      <c r="BG1013" s="82">
        <f>VLOOKUP($K1013,'[5]FECs - good data'!$C$1:$Z$574,15,FALSE)</f>
        <v>0</v>
      </c>
      <c r="BH1013" s="26">
        <f>BG1013/AS1013</f>
        <v>0</v>
      </c>
      <c r="BI1013" s="26">
        <f>IF(BJ1013&gt;0,1,0)</f>
        <v>0</v>
      </c>
      <c r="BJ1013" s="26">
        <f>VLOOKUP($K1013,'[5]FECs - good data'!$C$1:$Z$574,16,FALSE)</f>
        <v>0</v>
      </c>
      <c r="BK1013" s="26">
        <f>BJ1013/AS1013</f>
        <v>0</v>
      </c>
      <c r="BL1013" s="26">
        <f>IF(BM1013&gt;0,1,0)</f>
        <v>0</v>
      </c>
      <c r="BM1013" s="26">
        <f>SUM(BR1013,BU1013,BX1013,CA1013,CD1013,CG1013,CJ1013,CM1013,CP1013)</f>
        <v>0</v>
      </c>
      <c r="BN1013" s="26">
        <f>SUM(BW1013,BZ1013,CC1013,CF1013,CI1013,CL1013,CO1013,CR1013,BT1013)</f>
        <v>0</v>
      </c>
      <c r="BO1013" s="26">
        <f>IF(BP1013&gt;0,1,0)</f>
        <v>0</v>
      </c>
      <c r="BP1013" s="26">
        <f>SUM(BU1013,BX1013,CA1013,CD1013,BR1013)</f>
        <v>0</v>
      </c>
      <c r="BQ1013" s="26">
        <f>SUM(BZ1013,CC1013,CF1013,BT1013,BW1013)</f>
        <v>0</v>
      </c>
      <c r="BR1013" s="26">
        <f>IF(BS1013&gt;0,1,0)</f>
        <v>0</v>
      </c>
      <c r="BS1013" s="26">
        <f>VLOOKUP($K1013,'[5]FECs - good data'!$C$1:$Z$574,17,FALSE)</f>
        <v>0</v>
      </c>
      <c r="BT1013" s="82">
        <f>BS1013/AS1013</f>
        <v>0</v>
      </c>
      <c r="BU1013" s="26">
        <f>IF(BV1013&gt;0,1,0)</f>
        <v>0</v>
      </c>
      <c r="BV1013" s="26">
        <f>VLOOKUP($K1013,'[5]FECs - good data'!$C$1:$Z$574,18,FALSE)</f>
        <v>0</v>
      </c>
      <c r="BW1013" s="26">
        <f>BV1013/AS1013</f>
        <v>0</v>
      </c>
      <c r="BX1013" s="26">
        <f>IF(BY1013&gt;0,1,0)</f>
        <v>0</v>
      </c>
      <c r="BY1013" s="26">
        <f>VLOOKUP($K1013,'[5]FECs - good data'!$C$1:$Z$574,19,FALSE)</f>
        <v>0</v>
      </c>
      <c r="BZ1013" s="26">
        <f>BY1013/AS1013</f>
        <v>0</v>
      </c>
      <c r="CA1013" s="26">
        <f>IF(CB1013&gt;0,1,0)</f>
        <v>0</v>
      </c>
      <c r="CB1013" s="26">
        <f>VLOOKUP($K1013,'[5]FECs - good data'!$C$1:$Z$574,20,FALSE)</f>
        <v>0</v>
      </c>
      <c r="CC1013" s="26">
        <f>CB1013/AS1013</f>
        <v>0</v>
      </c>
      <c r="CD1013" s="82">
        <f>IF(CE1013&gt;0,1,0)</f>
        <v>0</v>
      </c>
      <c r="CE1013" s="26">
        <f>VLOOKUP($K1013,'[5]FECs - good data'!$C$1:$Z$574,21,FALSE)</f>
        <v>0</v>
      </c>
      <c r="CF1013" s="26">
        <f>CE1013/AS1013</f>
        <v>0</v>
      </c>
      <c r="CG1013" s="26">
        <f>IF(CH1013&gt;0,1,0)</f>
        <v>0</v>
      </c>
      <c r="CH1013" s="26">
        <f>VLOOKUP($K1013,'[5]FECs - good data'!$C$1:$Z$574,22,FALSE)</f>
        <v>0</v>
      </c>
      <c r="CI1013" s="26">
        <f>CH1013/AS1013</f>
        <v>0</v>
      </c>
      <c r="CJ1013" s="26">
        <f>IF(CK1013&gt;0,1,0)</f>
        <v>0</v>
      </c>
      <c r="CK1013" s="26">
        <f>VLOOKUP($K1013,'[5]FECs - good data'!$C$1:$Z$674,24,FALSE)</f>
        <v>0</v>
      </c>
      <c r="CL1013" s="26">
        <f>CK1013/AS1013</f>
        <v>0</v>
      </c>
      <c r="CS1013" s="26">
        <f>IF(CT1013&gt;0,1,0)</f>
        <v>0</v>
      </c>
      <c r="CT1013" s="26">
        <f>SUM(CW1013+CZ1013,DC1013)</f>
        <v>0</v>
      </c>
      <c r="CV1013" s="26">
        <f>SUM(CY1013,DB1013,DE1013)</f>
        <v>0</v>
      </c>
      <c r="CW1013" s="26">
        <f>IF(CX1013&gt;0,1,0)</f>
        <v>0</v>
      </c>
      <c r="CX1013" s="26">
        <f>VLOOKUP($K1013,'[5]FECs - good data'!$C$1:$Z$574,22,FALSE)</f>
        <v>0</v>
      </c>
      <c r="CY1013" s="26">
        <f>CX1013/AS1013</f>
        <v>0</v>
      </c>
      <c r="CZ1013" s="26">
        <f>IF(DA1013&gt;0,1,0)</f>
        <v>0</v>
      </c>
      <c r="DA1013" s="26">
        <f>VLOOKUP($K1013,'[5]FECs - good data'!$C$1:$Z$5982,23,FALSE)</f>
        <v>0</v>
      </c>
      <c r="DB1013" s="26">
        <f>DA1013/AS1013</f>
        <v>0</v>
      </c>
      <c r="DC1013" s="26">
        <f>IF(DD1013&gt;0,1,0)</f>
        <v>0</v>
      </c>
      <c r="DD1013" s="26">
        <f>VLOOKUP($K1013,'[5]FECs - good data'!$C$1:$Z$574,23,FALSE)</f>
        <v>0</v>
      </c>
      <c r="DE1013" s="26">
        <f>DD1013/AS1013</f>
        <v>0</v>
      </c>
      <c r="DF1013" s="16">
        <f>VLOOKUP(K1013,'[3]RNA Seq summary tables'!$V$3:$V$99,1,FALSE)</f>
        <v>2245</v>
      </c>
      <c r="DG1013" s="16">
        <v>1</v>
      </c>
      <c r="DH1013" s="16" t="str">
        <f>VLOOKUP(D1013,'[6]workflow 3.2018'!$A$1:$S$237,2,FALSE)</f>
        <v>2017MLBS_182</v>
      </c>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18"/>
      <c r="EQ1013" s="18"/>
      <c r="ER1013" s="18"/>
      <c r="ES1013" s="18"/>
      <c r="ET1013" s="18"/>
      <c r="EU1013" s="18"/>
      <c r="EV1013" s="18"/>
      <c r="EW1013" s="18"/>
      <c r="EX1013" s="18"/>
      <c r="EY1013" s="18"/>
      <c r="EZ1013" s="18"/>
      <c r="FA1013" s="18"/>
      <c r="FB1013" s="18"/>
      <c r="FC1013" s="18"/>
      <c r="FD1013" s="18"/>
      <c r="FE1013" s="18"/>
      <c r="FF1013" s="18"/>
      <c r="FG1013" s="18"/>
      <c r="FH1013" s="18"/>
      <c r="FI1013" s="18"/>
      <c r="FJ1013" s="18"/>
      <c r="FK1013" s="18"/>
      <c r="FL1013" s="18"/>
      <c r="FM1013" s="18"/>
      <c r="FN1013" s="18"/>
      <c r="FO1013" s="18"/>
      <c r="FP1013" s="18"/>
      <c r="FQ1013" s="18"/>
      <c r="FR1013" s="18"/>
      <c r="FS1013" s="18"/>
      <c r="FT1013" s="18"/>
      <c r="FU1013" s="18"/>
      <c r="FV1013" s="18"/>
      <c r="FW1013" s="18"/>
      <c r="FX1013" s="18"/>
      <c r="FY1013" s="18"/>
      <c r="FZ1013" s="18"/>
      <c r="GA1013" s="18"/>
      <c r="GB1013" s="18"/>
      <c r="GC1013" s="18"/>
      <c r="GD1013" s="18"/>
      <c r="GE1013" s="18"/>
      <c r="GF1013" s="18"/>
      <c r="GG1013" s="18"/>
      <c r="GH1013" s="18"/>
      <c r="GI1013" s="18"/>
      <c r="GJ1013" s="18"/>
      <c r="GK1013" s="18"/>
      <c r="GL1013" s="18"/>
      <c r="GM1013" s="18"/>
      <c r="GN1013" s="18"/>
      <c r="GO1013" s="18"/>
      <c r="GP1013" s="18"/>
      <c r="GQ1013" s="18"/>
      <c r="GR1013" s="18"/>
      <c r="GS1013" s="18"/>
      <c r="GT1013" s="18"/>
      <c r="GU1013" s="18"/>
      <c r="GV1013" s="18"/>
      <c r="GW1013" s="18"/>
      <c r="GX1013" s="18"/>
      <c r="GY1013" s="18"/>
      <c r="GZ1013" s="18"/>
      <c r="HA1013" s="18"/>
      <c r="HB1013" s="18"/>
      <c r="HC1013" s="18"/>
      <c r="HD1013" s="18"/>
      <c r="HE1013" s="18"/>
      <c r="HF1013" s="18"/>
      <c r="HG1013" s="18"/>
      <c r="HH1013" s="18"/>
      <c r="HI1013" s="18"/>
      <c r="HJ1013" s="18"/>
      <c r="HK1013" s="18"/>
      <c r="HL1013" s="18"/>
      <c r="HM1013" s="18"/>
      <c r="HN1013" s="18"/>
      <c r="HO1013" s="18"/>
      <c r="HP1013" s="18"/>
      <c r="HQ1013" s="18"/>
      <c r="HR1013" s="18"/>
      <c r="HS1013" s="18"/>
      <c r="HT1013" s="18"/>
      <c r="HU1013" s="18"/>
      <c r="HV1013" s="18"/>
      <c r="HW1013" s="18"/>
      <c r="HX1013" s="18"/>
      <c r="HY1013" s="18"/>
      <c r="HZ1013" s="18"/>
      <c r="IA1013" s="18"/>
      <c r="IB1013" s="18"/>
      <c r="IC1013" s="18"/>
      <c r="ID1013" s="18"/>
      <c r="IE1013" s="18"/>
      <c r="IF1013" s="18"/>
      <c r="IG1013" s="18"/>
      <c r="IH1013" s="18"/>
      <c r="II1013" s="18"/>
      <c r="IJ1013" s="18"/>
      <c r="IK1013" s="18"/>
      <c r="IL1013" s="18"/>
      <c r="IM1013" s="18"/>
      <c r="IN1013" s="18"/>
      <c r="IO1013" s="18"/>
      <c r="IP1013" s="18"/>
      <c r="IQ1013" s="18"/>
      <c r="IR1013" s="18"/>
      <c r="IS1013" s="18"/>
      <c r="IT1013" s="18"/>
      <c r="IU1013" s="18"/>
      <c r="IV1013" s="18"/>
      <c r="IW1013" s="18"/>
      <c r="IX1013" s="18"/>
      <c r="IY1013" s="18"/>
      <c r="IZ1013" s="18"/>
      <c r="JA1013" s="18"/>
      <c r="JB1013" s="18"/>
      <c r="JC1013" s="18"/>
      <c r="JD1013" s="18"/>
      <c r="JE1013" s="18"/>
      <c r="JF1013" s="18"/>
      <c r="JG1013" s="18"/>
      <c r="JH1013" s="18"/>
      <c r="JI1013" s="18"/>
      <c r="JJ1013" s="18"/>
      <c r="JK1013" s="18"/>
      <c r="JL1013" s="18"/>
      <c r="JM1013" s="18"/>
      <c r="JN1013" s="18"/>
      <c r="JO1013" s="16"/>
      <c r="JP1013" s="16"/>
      <c r="JQ1013" s="16"/>
      <c r="JR1013" s="16"/>
      <c r="JS1013" s="16"/>
      <c r="JT1013" s="16"/>
      <c r="JU1013" s="16"/>
      <c r="JV1013" s="16"/>
      <c r="JW1013" s="16"/>
      <c r="JX1013" s="16"/>
      <c r="JY1013" s="16"/>
      <c r="JZ1013" s="16"/>
      <c r="KA1013" s="16"/>
      <c r="KB1013" s="16"/>
    </row>
    <row r="1014" spans="1:288" s="26" customFormat="1" x14ac:dyDescent="0.2">
      <c r="A1014" s="18"/>
      <c r="B1014" s="16">
        <v>2017</v>
      </c>
      <c r="C1014" s="20">
        <v>42906</v>
      </c>
      <c r="D1014" s="20" t="str">
        <f>CONCATENATE(J1014,"-",C1014)</f>
        <v>1147-42906</v>
      </c>
      <c r="E1014" s="20" t="str">
        <f>CONCATENATE(T1014,"-",U1014,"-",C1014)</f>
        <v>SP2-B7-42906</v>
      </c>
      <c r="F1014" s="20" t="s">
        <v>106</v>
      </c>
      <c r="G1014" s="20" t="s">
        <v>107</v>
      </c>
      <c r="H1014" s="16"/>
      <c r="I1014" s="16">
        <v>0</v>
      </c>
      <c r="J1014" s="21">
        <v>1147</v>
      </c>
      <c r="K1014" s="21">
        <v>1709</v>
      </c>
      <c r="L1014" s="18">
        <v>0</v>
      </c>
      <c r="M1014" s="21">
        <f>VLOOKUP($K1014,'[4]blood tubes 2017'!$D$1:$L$647,8,FALSE)</f>
        <v>0</v>
      </c>
      <c r="N1014" s="15">
        <v>0</v>
      </c>
      <c r="O1014" s="15" t="s">
        <v>214</v>
      </c>
      <c r="P1014" s="16" t="s">
        <v>110</v>
      </c>
      <c r="Q1014" s="16">
        <v>0</v>
      </c>
      <c r="R1014" s="16" t="s">
        <v>111</v>
      </c>
      <c r="S1014" s="16"/>
      <c r="T1014" s="16" t="s">
        <v>137</v>
      </c>
      <c r="U1014" s="16" t="s">
        <v>168</v>
      </c>
      <c r="V1014" s="16" t="s">
        <v>114</v>
      </c>
      <c r="W1014" s="16">
        <f>AI1014/AG1014</f>
        <v>0.78205128205128205</v>
      </c>
      <c r="X1014" s="16" t="s">
        <v>121</v>
      </c>
      <c r="Y1014" s="16" t="s">
        <v>122</v>
      </c>
      <c r="Z1014" s="16">
        <v>2.2999999999999998</v>
      </c>
      <c r="AA1014" s="16" t="s">
        <v>119</v>
      </c>
      <c r="AB1014" s="16" t="s">
        <v>123</v>
      </c>
      <c r="AC1014" s="16" t="s">
        <v>123</v>
      </c>
      <c r="AD1014" s="16" t="s">
        <v>123</v>
      </c>
      <c r="AE1014" s="16"/>
      <c r="AF1014" s="16"/>
      <c r="AG1014" s="16">
        <f>AH1014-AI1014</f>
        <v>78</v>
      </c>
      <c r="AH1014" s="16">
        <v>139</v>
      </c>
      <c r="AI1014" s="16">
        <v>61</v>
      </c>
      <c r="AJ1014" s="16"/>
      <c r="AK1014" s="16">
        <v>13.5</v>
      </c>
      <c r="AL1014" s="16">
        <v>0</v>
      </c>
      <c r="AM1014" s="16">
        <v>0</v>
      </c>
      <c r="AN1014" s="16">
        <v>0</v>
      </c>
      <c r="AO1014" s="16">
        <v>0</v>
      </c>
      <c r="AP1014" s="16">
        <f>SUM(AL1014:AN1014)</f>
        <v>0</v>
      </c>
      <c r="AQ1014" s="16">
        <v>1.7230000000000001</v>
      </c>
      <c r="AR1014" s="16">
        <f>AP1014-1.472</f>
        <v>-1.472</v>
      </c>
      <c r="AS1014" s="16">
        <f>AQ1014-1.472</f>
        <v>0.25100000000000011</v>
      </c>
      <c r="AT1014" s="16" t="s">
        <v>234</v>
      </c>
      <c r="AU1014" s="16"/>
      <c r="AV1014" s="16"/>
      <c r="AW1014" s="16">
        <f>IF(AX1014&gt;0,1,0)</f>
        <v>1</v>
      </c>
      <c r="AX1014" s="16">
        <f>SUM(BA1014,BM1014,CT1014)</f>
        <v>2</v>
      </c>
      <c r="AY1014" s="18">
        <f>SUM(BB1014,BN1014,CV1014)</f>
        <v>3278.8844621513927</v>
      </c>
      <c r="AZ1014" s="16">
        <f>IF(BA1014&gt;0,1,0)</f>
        <v>1</v>
      </c>
      <c r="BA1014" s="16">
        <f>SUM(BC1014,BF1014,BI1014)</f>
        <v>2</v>
      </c>
      <c r="BB1014" s="16">
        <f>SUM(BE1014,BH1014,BK1014)</f>
        <v>3278.8844621513927</v>
      </c>
      <c r="BC1014" s="16">
        <v>0</v>
      </c>
      <c r="BD1014" s="16">
        <v>0</v>
      </c>
      <c r="BE1014" s="16">
        <f>BD1014/AS1014</f>
        <v>0</v>
      </c>
      <c r="BF1014" s="16">
        <v>1</v>
      </c>
      <c r="BG1014" s="77">
        <v>822</v>
      </c>
      <c r="BH1014" s="16">
        <f>BG1014/AS1014</f>
        <v>3274.9003984063729</v>
      </c>
      <c r="BI1014" s="16">
        <v>1</v>
      </c>
      <c r="BJ1014" s="16">
        <v>1</v>
      </c>
      <c r="BK1014" s="16">
        <f>BJ1014/AS1014</f>
        <v>3.9840637450199186</v>
      </c>
      <c r="BL1014" s="16">
        <f>IF(BM1014&gt;0,1,0)</f>
        <v>0</v>
      </c>
      <c r="BM1014" s="16">
        <f>SUM(BR1014,BU1014,BX1014,CA1014,CD1014,CG1014,CJ1014,CM1014,CP1014)</f>
        <v>0</v>
      </c>
      <c r="BN1014" s="16">
        <f>SUM(BW1014,BZ1014,CC1014,CF1014,CI1014,CL1014,CO1014,CR1014,BT1014)</f>
        <v>0</v>
      </c>
      <c r="BO1014" s="16">
        <f>IF(BP1014&gt;0,1,0)</f>
        <v>0</v>
      </c>
      <c r="BP1014" s="16">
        <f>SUM(BU1014,BX1014,CA1014,CD1014,BR1014)</f>
        <v>0</v>
      </c>
      <c r="BQ1014" s="16">
        <f>SUM(BZ1014,CC1014,CF1014,BT1014,BW1014)</f>
        <v>0</v>
      </c>
      <c r="BR1014" s="16">
        <v>0</v>
      </c>
      <c r="BS1014" s="16">
        <v>0</v>
      </c>
      <c r="BT1014" s="77">
        <f>BS1014/AS1014</f>
        <v>0</v>
      </c>
      <c r="BU1014" s="16">
        <v>0</v>
      </c>
      <c r="BV1014" s="16">
        <v>0</v>
      </c>
      <c r="BW1014" s="16">
        <f>BV1014/AS1014</f>
        <v>0</v>
      </c>
      <c r="BX1014" s="16">
        <v>0</v>
      </c>
      <c r="BY1014" s="16">
        <v>0</v>
      </c>
      <c r="BZ1014" s="16">
        <f>BY1014/AS1014</f>
        <v>0</v>
      </c>
      <c r="CA1014" s="16">
        <v>0</v>
      </c>
      <c r="CB1014" s="16">
        <v>0</v>
      </c>
      <c r="CC1014" s="16">
        <f>CB1014/AS1014</f>
        <v>0</v>
      </c>
      <c r="CD1014" s="77">
        <v>0</v>
      </c>
      <c r="CE1014" s="16">
        <v>0</v>
      </c>
      <c r="CF1014" s="16">
        <f>CE1014/AS1014</f>
        <v>0</v>
      </c>
      <c r="CG1014" s="16">
        <v>0</v>
      </c>
      <c r="CH1014" s="16">
        <v>0</v>
      </c>
      <c r="CI1014" s="16">
        <f>CH1014/AS1014</f>
        <v>0</v>
      </c>
      <c r="CJ1014" s="16"/>
      <c r="CK1014" s="16"/>
      <c r="CL1014" s="16"/>
      <c r="CM1014" s="16">
        <v>0</v>
      </c>
      <c r="CN1014" s="16">
        <v>0</v>
      </c>
      <c r="CO1014" s="16">
        <f>CN1014/AS1014</f>
        <v>0</v>
      </c>
      <c r="CP1014" s="16">
        <v>0</v>
      </c>
      <c r="CQ1014" s="16">
        <v>0</v>
      </c>
      <c r="CR1014" s="16">
        <f>CQ1014/AS1014</f>
        <v>0</v>
      </c>
      <c r="CS1014" s="16">
        <f>IF(CT1014&gt;0,1,0)</f>
        <v>0</v>
      </c>
      <c r="CT1014" s="16">
        <f>SUM(CW1014,CZ1014,DC1014)</f>
        <v>0</v>
      </c>
      <c r="CU1014" s="16"/>
      <c r="CV1014" s="16">
        <f>SUM(CY1014,DB1014,DE1014)</f>
        <v>0</v>
      </c>
      <c r="CW1014" s="16">
        <v>0</v>
      </c>
      <c r="CX1014" s="16">
        <v>0</v>
      </c>
      <c r="CY1014" s="16">
        <f>CX1014/AS1014</f>
        <v>0</v>
      </c>
      <c r="CZ1014" s="16">
        <v>0</v>
      </c>
      <c r="DA1014" s="16">
        <v>0</v>
      </c>
      <c r="DB1014" s="16">
        <f>DA1014/AS1014</f>
        <v>0</v>
      </c>
      <c r="DC1014" s="16">
        <v>0</v>
      </c>
      <c r="DD1014" s="16">
        <v>0</v>
      </c>
      <c r="DE1014" s="16">
        <f>DD1014/AS1014</f>
        <v>0</v>
      </c>
      <c r="DF1014" s="16" t="e">
        <f>VLOOKUP(K1014,'[3]RNA Seq summary tables'!$V$3:$V$99,1,FALSE)</f>
        <v>#N/A</v>
      </c>
      <c r="DG1014" s="16"/>
      <c r="DH1014" s="16"/>
      <c r="DI1014" s="16">
        <v>18</v>
      </c>
      <c r="DJ1014" s="16"/>
      <c r="DK1014" s="16">
        <v>19</v>
      </c>
      <c r="DL1014" s="16"/>
      <c r="DM1014" s="16">
        <v>5</v>
      </c>
      <c r="DN1014" s="16"/>
      <c r="DO1014" s="16">
        <v>0</v>
      </c>
      <c r="DP1014" s="16"/>
      <c r="DQ1014" s="16">
        <v>0</v>
      </c>
      <c r="DR1014" s="16">
        <f>SUM(DI1014:DQ1014)</f>
        <v>42</v>
      </c>
      <c r="DS1014" s="16"/>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18"/>
      <c r="EQ1014" s="18"/>
      <c r="ER1014" s="18"/>
      <c r="ES1014" s="18"/>
      <c r="ET1014" s="18"/>
      <c r="EU1014" s="18"/>
      <c r="EV1014" s="18"/>
      <c r="EW1014" s="18"/>
      <c r="EX1014" s="18"/>
      <c r="EY1014" s="18"/>
      <c r="EZ1014" s="18"/>
      <c r="FA1014" s="18"/>
      <c r="FB1014" s="18"/>
      <c r="FC1014" s="18"/>
      <c r="FD1014" s="18"/>
      <c r="FE1014" s="18"/>
      <c r="FF1014" s="18"/>
      <c r="FG1014" s="18"/>
      <c r="FH1014" s="18"/>
      <c r="FI1014" s="18"/>
      <c r="FJ1014" s="18"/>
      <c r="FK1014" s="18"/>
      <c r="FL1014" s="18"/>
      <c r="FM1014" s="18"/>
      <c r="FN1014" s="18"/>
      <c r="FO1014" s="18"/>
      <c r="FP1014" s="18"/>
      <c r="FQ1014" s="18"/>
      <c r="FR1014" s="18"/>
      <c r="FS1014" s="18"/>
      <c r="FT1014" s="18"/>
      <c r="FU1014" s="18"/>
      <c r="FV1014" s="18"/>
      <c r="FW1014" s="18"/>
      <c r="FX1014" s="18"/>
      <c r="FY1014" s="18"/>
      <c r="FZ1014" s="18"/>
      <c r="GA1014" s="18"/>
      <c r="GB1014" s="18"/>
      <c r="GC1014" s="18"/>
      <c r="GD1014" s="18"/>
      <c r="GE1014" s="18"/>
      <c r="GF1014" s="18"/>
      <c r="GG1014" s="18"/>
      <c r="GH1014" s="18"/>
      <c r="GI1014" s="18"/>
      <c r="GJ1014" s="18"/>
      <c r="GK1014" s="18"/>
      <c r="GL1014" s="18"/>
      <c r="GM1014" s="18"/>
      <c r="GN1014" s="18"/>
      <c r="GO1014" s="18"/>
      <c r="GP1014" s="18"/>
      <c r="GQ1014" s="18"/>
      <c r="GR1014" s="18"/>
      <c r="GS1014" s="18"/>
      <c r="GT1014" s="18"/>
      <c r="GU1014" s="18"/>
      <c r="GV1014" s="18"/>
      <c r="GW1014" s="18"/>
      <c r="GX1014" s="18"/>
      <c r="GY1014" s="18"/>
      <c r="GZ1014" s="18"/>
      <c r="HA1014" s="18"/>
      <c r="HB1014" s="18"/>
      <c r="HC1014" s="18"/>
      <c r="HD1014" s="18"/>
      <c r="HE1014" s="18"/>
      <c r="HF1014" s="18"/>
      <c r="HG1014" s="18"/>
      <c r="HH1014" s="18"/>
      <c r="HI1014" s="18"/>
      <c r="HJ1014" s="18"/>
      <c r="HK1014" s="18"/>
      <c r="HL1014" s="18"/>
      <c r="HM1014" s="18"/>
      <c r="HN1014" s="18"/>
      <c r="HO1014" s="18"/>
      <c r="HP1014" s="18"/>
      <c r="HQ1014" s="18"/>
      <c r="HR1014" s="18"/>
      <c r="HS1014" s="18"/>
      <c r="HT1014" s="18"/>
      <c r="HU1014" s="18"/>
      <c r="HV1014" s="18"/>
      <c r="HW1014" s="18"/>
      <c r="HX1014" s="18"/>
      <c r="HY1014" s="18"/>
      <c r="HZ1014" s="18"/>
      <c r="IA1014" s="18"/>
      <c r="IB1014" s="18"/>
      <c r="IC1014" s="18"/>
      <c r="ID1014" s="18"/>
      <c r="IE1014" s="18"/>
      <c r="IF1014" s="18"/>
      <c r="IG1014" s="18"/>
      <c r="IH1014" s="18"/>
      <c r="II1014" s="18"/>
      <c r="IJ1014" s="18"/>
      <c r="IK1014" s="18"/>
      <c r="IL1014" s="18"/>
      <c r="IM1014" s="18"/>
      <c r="IN1014" s="18"/>
      <c r="IO1014" s="18"/>
      <c r="IP1014" s="18"/>
      <c r="IQ1014" s="18"/>
      <c r="IR1014" s="18"/>
      <c r="IS1014" s="18"/>
      <c r="IT1014" s="18"/>
      <c r="IU1014" s="18"/>
      <c r="IV1014" s="18"/>
      <c r="IW1014" s="18"/>
      <c r="IX1014" s="18"/>
      <c r="IY1014" s="18"/>
      <c r="IZ1014" s="18"/>
      <c r="JA1014" s="18"/>
      <c r="JB1014" s="18"/>
      <c r="JC1014" s="18"/>
      <c r="JD1014" s="18"/>
      <c r="JE1014" s="18"/>
      <c r="JF1014" s="18"/>
      <c r="JG1014" s="18"/>
      <c r="JH1014" s="18"/>
      <c r="JI1014" s="18"/>
      <c r="JJ1014" s="18"/>
      <c r="JK1014" s="18"/>
      <c r="JL1014" s="18"/>
      <c r="JM1014" s="18"/>
      <c r="JN1014" s="18"/>
      <c r="JO1014" s="16"/>
      <c r="JP1014" s="16"/>
      <c r="JQ1014" s="16"/>
      <c r="JR1014" s="16"/>
      <c r="JS1014" s="16"/>
      <c r="JT1014" s="16"/>
      <c r="JU1014" s="16"/>
      <c r="JV1014" s="16"/>
      <c r="JW1014" s="16"/>
      <c r="JX1014" s="16"/>
      <c r="JY1014" s="16"/>
      <c r="JZ1014" s="16"/>
      <c r="KA1014" s="16"/>
      <c r="KB1014" s="16"/>
    </row>
    <row r="1015" spans="1:288" x14ac:dyDescent="0.2">
      <c r="B1015" s="16">
        <v>2017</v>
      </c>
      <c r="C1015" s="20">
        <v>42907</v>
      </c>
      <c r="D1015" s="20" t="str">
        <f>CONCATENATE(J1015,"-",C1015)</f>
        <v>1149-42907</v>
      </c>
      <c r="E1015" s="20" t="str">
        <f>CONCATENATE(T1015,"-",U1015,"-",C1015)</f>
        <v>SP1-G1-42907</v>
      </c>
      <c r="F1015" s="20" t="s">
        <v>106</v>
      </c>
      <c r="G1015" s="20" t="s">
        <v>107</v>
      </c>
      <c r="I1015" s="16">
        <v>0</v>
      </c>
      <c r="J1015" s="21">
        <v>1149</v>
      </c>
      <c r="K1015" s="21">
        <v>1715</v>
      </c>
      <c r="L1015" s="18">
        <v>0</v>
      </c>
      <c r="M1015" s="21">
        <f>VLOOKUP($K1015,'[4]blood tubes 2017'!$D$1:$L$647,8,FALSE)</f>
        <v>0</v>
      </c>
      <c r="N1015" s="15">
        <v>0</v>
      </c>
      <c r="O1015" s="15" t="s">
        <v>214</v>
      </c>
      <c r="P1015" s="16" t="s">
        <v>110</v>
      </c>
      <c r="Q1015" s="16">
        <v>0</v>
      </c>
      <c r="R1015" s="16" t="s">
        <v>111</v>
      </c>
      <c r="T1015" s="16" t="s">
        <v>140</v>
      </c>
      <c r="U1015" s="16" t="s">
        <v>155</v>
      </c>
      <c r="V1015" s="16" t="s">
        <v>114</v>
      </c>
      <c r="W1015" s="16">
        <f>AI1015/AG1015</f>
        <v>0.7865168539325843</v>
      </c>
      <c r="X1015" s="16" t="s">
        <v>115</v>
      </c>
      <c r="Y1015" s="16" t="s">
        <v>110</v>
      </c>
      <c r="Z1015" s="16">
        <v>3</v>
      </c>
      <c r="AE1015" s="16" t="s">
        <v>116</v>
      </c>
      <c r="AF1015" s="16" t="s">
        <v>116</v>
      </c>
      <c r="AG1015" s="16">
        <f>AH1015-AI1015</f>
        <v>89</v>
      </c>
      <c r="AH1015" s="16">
        <v>159</v>
      </c>
      <c r="AI1015" s="16">
        <v>70</v>
      </c>
      <c r="AK1015" s="16">
        <v>22.5</v>
      </c>
      <c r="AL1015" s="16">
        <v>0</v>
      </c>
      <c r="AM1015" s="16">
        <v>0</v>
      </c>
      <c r="AN1015" s="16">
        <v>0</v>
      </c>
      <c r="AO1015" s="16">
        <v>0</v>
      </c>
      <c r="AP1015" s="16">
        <f>SUM(AL1015:AN1015)</f>
        <v>0</v>
      </c>
      <c r="AQ1015" s="16">
        <v>1.99</v>
      </c>
      <c r="AR1015" s="16">
        <f>AP1015-1.472</f>
        <v>-1.472</v>
      </c>
      <c r="AS1015" s="16">
        <f>AQ1015-1.472</f>
        <v>0.51800000000000002</v>
      </c>
      <c r="AT1015" s="16" t="s">
        <v>164</v>
      </c>
      <c r="AW1015" s="16">
        <f>IF(AX1015&gt;0,1,0)</f>
        <v>1</v>
      </c>
      <c r="AX1015" s="16">
        <f>SUM(BA1015,BM1015,CT1015)</f>
        <v>2</v>
      </c>
      <c r="AY1015" s="18">
        <f>SUM(BB1015,BN1015,CV1015)</f>
        <v>3.8610038610038608</v>
      </c>
      <c r="AZ1015" s="16">
        <f>IF(BA1015&gt;0,1,0)</f>
        <v>1</v>
      </c>
      <c r="BA1015" s="16">
        <f>SUM(BC1015,BF1015,BI1015)</f>
        <v>2</v>
      </c>
      <c r="BB1015" s="16">
        <f>SUM(BE1015,BH1015,BK1015)</f>
        <v>3.8610038610038608</v>
      </c>
      <c r="BC1015" s="16">
        <v>0</v>
      </c>
      <c r="BD1015" s="16">
        <v>0</v>
      </c>
      <c r="BE1015" s="16">
        <f>BD1015/AS1015</f>
        <v>0</v>
      </c>
      <c r="BF1015" s="16">
        <v>1</v>
      </c>
      <c r="BG1015" s="77">
        <v>1</v>
      </c>
      <c r="BH1015" s="16">
        <f>BG1015/AS1015</f>
        <v>1.9305019305019304</v>
      </c>
      <c r="BI1015" s="16">
        <v>1</v>
      </c>
      <c r="BJ1015" s="16">
        <v>1</v>
      </c>
      <c r="BK1015" s="16">
        <f>BJ1015/AS1015</f>
        <v>1.9305019305019304</v>
      </c>
      <c r="BL1015" s="16">
        <f>IF(BM1015&gt;0,1,0)</f>
        <v>0</v>
      </c>
      <c r="BM1015" s="16">
        <f>SUM(BR1015,BU1015,BX1015,CA1015,CD1015,CG1015,CJ1015,CM1015,CP1015)</f>
        <v>0</v>
      </c>
      <c r="BN1015" s="16">
        <f>SUM(BW1015,BZ1015,CC1015,CF1015,CI1015,CL1015,CO1015,CR1015,BT1015)</f>
        <v>0</v>
      </c>
      <c r="BO1015" s="16">
        <f>IF(BP1015&gt;0,1,0)</f>
        <v>0</v>
      </c>
      <c r="BP1015" s="16">
        <f>SUM(BU1015,BX1015,CA1015,CD1015,BR1015)</f>
        <v>0</v>
      </c>
      <c r="BQ1015" s="16">
        <f>SUM(BZ1015,CC1015,CF1015,BT1015,BW1015)</f>
        <v>0</v>
      </c>
      <c r="BR1015" s="16">
        <v>0</v>
      </c>
      <c r="BS1015" s="16">
        <v>0</v>
      </c>
      <c r="BT1015" s="77">
        <f>BS1015/AS1015</f>
        <v>0</v>
      </c>
      <c r="BU1015" s="16">
        <v>0</v>
      </c>
      <c r="BV1015" s="16">
        <v>0</v>
      </c>
      <c r="BW1015" s="16">
        <f>BV1015/AS1015</f>
        <v>0</v>
      </c>
      <c r="BX1015" s="16">
        <v>0</v>
      </c>
      <c r="BY1015" s="16">
        <v>0</v>
      </c>
      <c r="BZ1015" s="16">
        <f>BY1015/AS1015</f>
        <v>0</v>
      </c>
      <c r="CA1015" s="16">
        <v>0</v>
      </c>
      <c r="CB1015" s="16">
        <v>0</v>
      </c>
      <c r="CC1015" s="16">
        <f>CB1015/AS1015</f>
        <v>0</v>
      </c>
      <c r="CD1015" s="77">
        <v>0</v>
      </c>
      <c r="CE1015" s="16">
        <v>0</v>
      </c>
      <c r="CF1015" s="16">
        <f>CE1015/AS1015</f>
        <v>0</v>
      </c>
      <c r="CG1015" s="16">
        <v>0</v>
      </c>
      <c r="CH1015" s="16">
        <v>0</v>
      </c>
      <c r="CI1015" s="16">
        <f>CH1015/AS1015</f>
        <v>0</v>
      </c>
      <c r="CM1015" s="16">
        <v>0</v>
      </c>
      <c r="CN1015" s="16">
        <v>0</v>
      </c>
      <c r="CO1015" s="16">
        <f>CN1015/AS1015</f>
        <v>0</v>
      </c>
      <c r="CP1015" s="16">
        <v>0</v>
      </c>
      <c r="CQ1015" s="16">
        <v>0</v>
      </c>
      <c r="CR1015" s="16">
        <f>CQ1015/AS1015</f>
        <v>0</v>
      </c>
      <c r="CS1015" s="16">
        <f>IF(CT1015&gt;0,1,0)</f>
        <v>0</v>
      </c>
      <c r="CT1015" s="16">
        <f>SUM(CW1015,CZ1015,DC1015)</f>
        <v>0</v>
      </c>
      <c r="CV1015" s="16">
        <f>SUM(CY1015,DB1015,DE1015)</f>
        <v>0</v>
      </c>
      <c r="CW1015" s="16">
        <v>0</v>
      </c>
      <c r="CX1015" s="16">
        <v>0</v>
      </c>
      <c r="CY1015" s="16">
        <f>CX1015/AS1015</f>
        <v>0</v>
      </c>
      <c r="CZ1015" s="16">
        <v>0</v>
      </c>
      <c r="DA1015" s="16">
        <v>0</v>
      </c>
      <c r="DB1015" s="16">
        <f>DA1015/AS1015</f>
        <v>0</v>
      </c>
      <c r="DC1015" s="16">
        <v>0</v>
      </c>
      <c r="DD1015" s="16">
        <v>0</v>
      </c>
      <c r="DE1015" s="16">
        <f>DD1015/AS1015</f>
        <v>0</v>
      </c>
      <c r="DF1015" s="16" t="e">
        <f>VLOOKUP(K1015,'[3]RNA Seq summary tables'!$V$3:$V$99,1,FALSE)</f>
        <v>#N/A</v>
      </c>
      <c r="DI1015" s="16">
        <v>73</v>
      </c>
      <c r="DK1015" s="16">
        <v>23</v>
      </c>
      <c r="DM1015" s="16">
        <v>4</v>
      </c>
      <c r="DO1015" s="16">
        <v>0</v>
      </c>
      <c r="DQ1015" s="16">
        <v>0</v>
      </c>
      <c r="DR1015" s="16">
        <f>SUM(DI1015:DQ1015)</f>
        <v>100</v>
      </c>
    </row>
    <row r="1016" spans="1:288" x14ac:dyDescent="0.2">
      <c r="B1016" s="16">
        <v>2017</v>
      </c>
      <c r="C1016" s="20">
        <v>42907</v>
      </c>
      <c r="D1016" s="20" t="str">
        <f>CONCATENATE(J1016,"-",C1016)</f>
        <v>1151-42907</v>
      </c>
      <c r="E1016" s="20" t="str">
        <f>CONCATENATE(T1016,"-",U1016,"-",C1016)</f>
        <v>SP2-A1-42907</v>
      </c>
      <c r="F1016" s="20" t="s">
        <v>106</v>
      </c>
      <c r="G1016" s="20" t="s">
        <v>107</v>
      </c>
      <c r="I1016" s="16">
        <v>0</v>
      </c>
      <c r="J1016" s="21">
        <v>1151</v>
      </c>
      <c r="K1016" s="21">
        <v>1717</v>
      </c>
      <c r="L1016" s="18">
        <v>0</v>
      </c>
      <c r="M1016" s="21">
        <f>VLOOKUP($K1016,'[4]blood tubes 2017'!$D$1:$L$647,8,FALSE)</f>
        <v>0</v>
      </c>
      <c r="N1016" s="15">
        <v>0</v>
      </c>
      <c r="O1016" s="15" t="s">
        <v>214</v>
      </c>
      <c r="P1016" s="16" t="s">
        <v>110</v>
      </c>
      <c r="Q1016" s="16">
        <v>0</v>
      </c>
      <c r="R1016" s="16" t="s">
        <v>111</v>
      </c>
      <c r="T1016" s="16" t="s">
        <v>137</v>
      </c>
      <c r="U1016" s="16" t="s">
        <v>210</v>
      </c>
      <c r="V1016" s="16" t="s">
        <v>114</v>
      </c>
      <c r="W1016" s="16">
        <f>AI1016/AG1016</f>
        <v>0.8</v>
      </c>
      <c r="X1016" s="16" t="s">
        <v>115</v>
      </c>
      <c r="Y1016" s="16" t="s">
        <v>110</v>
      </c>
      <c r="Z1016" s="16">
        <v>3</v>
      </c>
      <c r="AE1016" s="16" t="s">
        <v>123</v>
      </c>
      <c r="AF1016" s="16" t="s">
        <v>123</v>
      </c>
      <c r="AG1016" s="16">
        <f>AH1016-AI1016</f>
        <v>90</v>
      </c>
      <c r="AH1016" s="16">
        <v>162</v>
      </c>
      <c r="AI1016" s="16">
        <v>72</v>
      </c>
      <c r="AK1016" s="16">
        <v>19</v>
      </c>
      <c r="AL1016" s="16">
        <v>0</v>
      </c>
      <c r="AM1016" s="16">
        <v>0</v>
      </c>
      <c r="AN1016" s="16">
        <v>0</v>
      </c>
      <c r="AO1016" s="16">
        <v>0</v>
      </c>
      <c r="AP1016" s="16">
        <f>SUM(AL1016:AN1016)</f>
        <v>0</v>
      </c>
      <c r="AQ1016" s="16">
        <v>1.6830000000000001</v>
      </c>
      <c r="AR1016" s="16">
        <f>AP1016-1.472</f>
        <v>-1.472</v>
      </c>
      <c r="AS1016" s="16">
        <f>AQ1016-1.472</f>
        <v>0.21100000000000008</v>
      </c>
      <c r="AT1016" s="16" t="s">
        <v>233</v>
      </c>
      <c r="AV1016" s="16">
        <v>1</v>
      </c>
      <c r="AW1016" s="16">
        <f>IF(AX1016&gt;0,1,0)</f>
        <v>0</v>
      </c>
      <c r="AX1016" s="16">
        <f>SUM(BA1016,BM1016,CT1016)</f>
        <v>0</v>
      </c>
      <c r="AY1016" s="18">
        <f>SUM(BB1016,BN1016,CV1016)</f>
        <v>0</v>
      </c>
      <c r="AZ1016" s="16">
        <f>IF(BA1016&gt;0,1,0)</f>
        <v>0</v>
      </c>
      <c r="BA1016" s="16">
        <f>SUM(BC1016,BF1016,BI1016)</f>
        <v>0</v>
      </c>
      <c r="BB1016" s="16">
        <f>SUM(BE1016,BH1016,BK1016)</f>
        <v>0</v>
      </c>
      <c r="BC1016" s="16">
        <v>0</v>
      </c>
      <c r="BD1016" s="16">
        <v>0</v>
      </c>
      <c r="BE1016" s="16">
        <f>BD1016/AS1016</f>
        <v>0</v>
      </c>
      <c r="BF1016" s="16">
        <v>0</v>
      </c>
      <c r="BG1016" s="77">
        <v>0</v>
      </c>
      <c r="BH1016" s="16">
        <f>BG1016/AS1016</f>
        <v>0</v>
      </c>
      <c r="BI1016" s="16">
        <v>0</v>
      </c>
      <c r="BJ1016" s="16">
        <v>0</v>
      </c>
      <c r="BK1016" s="16">
        <f>BJ1016/AS1016</f>
        <v>0</v>
      </c>
      <c r="BL1016" s="16">
        <f>IF(BM1016&gt;0,1,0)</f>
        <v>0</v>
      </c>
      <c r="BM1016" s="16">
        <f>SUM(BR1016,BU1016,BX1016,CA1016,CD1016,CG1016,CJ1016,CM1016,CP1016)</f>
        <v>0</v>
      </c>
      <c r="BN1016" s="16">
        <f>SUM(BW1016,BZ1016,CC1016,CF1016,CI1016,CL1016,CO1016,CR1016,BT1016)</f>
        <v>0</v>
      </c>
      <c r="BO1016" s="16">
        <f>IF(BP1016&gt;0,1,0)</f>
        <v>0</v>
      </c>
      <c r="BP1016" s="16">
        <f>SUM(BU1016,BX1016,CA1016,CD1016,BR1016)</f>
        <v>0</v>
      </c>
      <c r="BQ1016" s="16">
        <f>SUM(BZ1016,CC1016,CF1016,BT1016,BW1016)</f>
        <v>0</v>
      </c>
      <c r="BR1016" s="16">
        <v>0</v>
      </c>
      <c r="BS1016" s="16">
        <v>0</v>
      </c>
      <c r="BT1016" s="77">
        <f>BS1016/AS1016</f>
        <v>0</v>
      </c>
      <c r="BU1016" s="16">
        <v>0</v>
      </c>
      <c r="BV1016" s="16">
        <v>0</v>
      </c>
      <c r="BW1016" s="16">
        <f>BV1016/AS1016</f>
        <v>0</v>
      </c>
      <c r="BX1016" s="16">
        <v>0</v>
      </c>
      <c r="BY1016" s="16">
        <v>0</v>
      </c>
      <c r="BZ1016" s="16">
        <f>BY1016/AS1016</f>
        <v>0</v>
      </c>
      <c r="CA1016" s="16">
        <v>0</v>
      </c>
      <c r="CB1016" s="16">
        <v>0</v>
      </c>
      <c r="CC1016" s="16">
        <f>CB1016/AS1016</f>
        <v>0</v>
      </c>
      <c r="CD1016" s="77">
        <v>0</v>
      </c>
      <c r="CE1016" s="16">
        <v>0</v>
      </c>
      <c r="CF1016" s="16">
        <f>CE1016/AS1016</f>
        <v>0</v>
      </c>
      <c r="CG1016" s="16">
        <v>0</v>
      </c>
      <c r="CH1016" s="16">
        <v>0</v>
      </c>
      <c r="CI1016" s="16">
        <f>CH1016/AS1016</f>
        <v>0</v>
      </c>
      <c r="CM1016" s="16">
        <v>0</v>
      </c>
      <c r="CN1016" s="16">
        <v>0</v>
      </c>
      <c r="CO1016" s="16">
        <f>CN1016/AS1016</f>
        <v>0</v>
      </c>
      <c r="CP1016" s="16">
        <v>0</v>
      </c>
      <c r="CQ1016" s="16">
        <v>0</v>
      </c>
      <c r="CR1016" s="16">
        <f>CQ1016/AS1016</f>
        <v>0</v>
      </c>
      <c r="CS1016" s="16">
        <f>IF(CT1016&gt;0,1,0)</f>
        <v>0</v>
      </c>
      <c r="CT1016" s="16">
        <f>SUM(CW1016,CZ1016,DC1016)</f>
        <v>0</v>
      </c>
      <c r="CV1016" s="16">
        <f>SUM(CY1016,DB1016,DE1016)</f>
        <v>0</v>
      </c>
      <c r="CW1016" s="16">
        <v>0</v>
      </c>
      <c r="CX1016" s="16">
        <v>0</v>
      </c>
      <c r="CY1016" s="16">
        <f>CX1016/AS1016</f>
        <v>0</v>
      </c>
      <c r="CZ1016" s="16">
        <v>0</v>
      </c>
      <c r="DA1016" s="16">
        <v>0</v>
      </c>
      <c r="DB1016" s="16">
        <f>DA1016/AS1016</f>
        <v>0</v>
      </c>
      <c r="DC1016" s="16">
        <v>0</v>
      </c>
      <c r="DD1016" s="16">
        <v>0</v>
      </c>
      <c r="DE1016" s="16">
        <f>DD1016/AS1016</f>
        <v>0</v>
      </c>
      <c r="DF1016" s="16" t="e">
        <f>VLOOKUP(K1016,'[3]RNA Seq summary tables'!$V$3:$V$99,1,FALSE)</f>
        <v>#N/A</v>
      </c>
      <c r="DI1016" s="16">
        <v>68</v>
      </c>
      <c r="DK1016" s="16">
        <v>27</v>
      </c>
      <c r="DM1016" s="16">
        <v>5</v>
      </c>
      <c r="DO1016" s="16">
        <v>0</v>
      </c>
      <c r="DQ1016" s="16">
        <v>0</v>
      </c>
      <c r="DR1016" s="16">
        <f>SUM(DI1016:DQ1016)</f>
        <v>100</v>
      </c>
    </row>
    <row r="1017" spans="1:288" s="26" customFormat="1" x14ac:dyDescent="0.2">
      <c r="A1017" s="18"/>
      <c r="B1017" s="16">
        <v>2017</v>
      </c>
      <c r="C1017" s="43">
        <v>42907</v>
      </c>
      <c r="D1017" s="43" t="str">
        <f>CONCATENATE(J1017,"-",C1017)</f>
        <v>1153-42907</v>
      </c>
      <c r="E1017" s="20" t="str">
        <f>CONCATENATE(T1017,"-",U1017,"-",C1017)</f>
        <v>SP2-B8-42907</v>
      </c>
      <c r="F1017" s="20" t="s">
        <v>106</v>
      </c>
      <c r="G1017" s="43" t="s">
        <v>107</v>
      </c>
      <c r="H1017" s="23"/>
      <c r="I1017" s="16">
        <v>0</v>
      </c>
      <c r="J1017" s="15">
        <v>1153</v>
      </c>
      <c r="K1017" s="15">
        <v>1719</v>
      </c>
      <c r="L1017" s="18">
        <v>0</v>
      </c>
      <c r="M1017" s="21">
        <f>VLOOKUP($K1017,'[4]blood tubes 2017'!$D$1:$L$647,8,FALSE)</f>
        <v>0</v>
      </c>
      <c r="N1017" s="15">
        <v>0</v>
      </c>
      <c r="O1017" s="15" t="s">
        <v>214</v>
      </c>
      <c r="P1017" s="23" t="s">
        <v>110</v>
      </c>
      <c r="Q1017" s="23">
        <v>0</v>
      </c>
      <c r="R1017" s="23" t="s">
        <v>111</v>
      </c>
      <c r="S1017" s="23"/>
      <c r="T1017" s="23" t="s">
        <v>137</v>
      </c>
      <c r="U1017" s="23" t="s">
        <v>209</v>
      </c>
      <c r="V1017" s="23" t="s">
        <v>114</v>
      </c>
      <c r="W1017" s="23">
        <f>AI1017/AG1017</f>
        <v>0.86585365853658536</v>
      </c>
      <c r="X1017" s="23" t="s">
        <v>115</v>
      </c>
      <c r="Y1017" s="23" t="s">
        <v>110</v>
      </c>
      <c r="Z1017" s="23">
        <v>3</v>
      </c>
      <c r="AA1017" s="23"/>
      <c r="AB1017" s="23"/>
      <c r="AC1017" s="23"/>
      <c r="AD1017" s="23"/>
      <c r="AE1017" s="23" t="s">
        <v>123</v>
      </c>
      <c r="AF1017" s="23" t="s">
        <v>123</v>
      </c>
      <c r="AG1017" s="23">
        <f>AH1017-AI1017</f>
        <v>82</v>
      </c>
      <c r="AH1017" s="23">
        <v>153</v>
      </c>
      <c r="AI1017" s="23">
        <v>71</v>
      </c>
      <c r="AJ1017" s="23"/>
      <c r="AK1017" s="23">
        <v>16</v>
      </c>
      <c r="AL1017" s="23">
        <v>1</v>
      </c>
      <c r="AM1017" s="23">
        <v>0</v>
      </c>
      <c r="AN1017" s="23">
        <v>0</v>
      </c>
      <c r="AO1017" s="23">
        <v>1</v>
      </c>
      <c r="AP1017" s="23">
        <f>SUM(AL1017:AN1017)</f>
        <v>1</v>
      </c>
      <c r="AQ1017" s="23">
        <v>1.694</v>
      </c>
      <c r="AR1017" s="23">
        <f>AP1017-1.472</f>
        <v>-0.47199999999999998</v>
      </c>
      <c r="AS1017" s="23">
        <f>AQ1017-1.472</f>
        <v>0.22199999999999998</v>
      </c>
      <c r="AT1017" s="16" t="s">
        <v>234</v>
      </c>
      <c r="AU1017" s="16"/>
      <c r="AV1017" s="16"/>
      <c r="AW1017" s="16">
        <f>IF(AX1017&gt;0,1,0)</f>
        <v>1</v>
      </c>
      <c r="AX1017" s="16">
        <f>SUM(BA1017,BM1017,CT1017)</f>
        <v>2</v>
      </c>
      <c r="AY1017" s="18">
        <f>SUM(BB1017,BN1017,CV1017)</f>
        <v>112.61261261261262</v>
      </c>
      <c r="AZ1017" s="16">
        <f>IF(BA1017&gt;0,1,0)</f>
        <v>1</v>
      </c>
      <c r="BA1017" s="16">
        <f>SUM(BC1017,BF1017,BI1017)</f>
        <v>2</v>
      </c>
      <c r="BB1017" s="16">
        <f>SUM(BE1017,BH1017,BK1017)</f>
        <v>112.61261261261262</v>
      </c>
      <c r="BC1017" s="16">
        <v>0</v>
      </c>
      <c r="BD1017" s="16">
        <v>0</v>
      </c>
      <c r="BE1017" s="16">
        <f>BD1017/AS1017</f>
        <v>0</v>
      </c>
      <c r="BF1017" s="16">
        <v>1</v>
      </c>
      <c r="BG1017" s="77">
        <v>22</v>
      </c>
      <c r="BH1017" s="16">
        <f>BG1017/AS1017</f>
        <v>99.099099099099107</v>
      </c>
      <c r="BI1017" s="16">
        <v>1</v>
      </c>
      <c r="BJ1017" s="16">
        <v>3</v>
      </c>
      <c r="BK1017" s="16">
        <f>BJ1017/AS1017</f>
        <v>13.513513513513516</v>
      </c>
      <c r="BL1017" s="16">
        <f>IF(BM1017&gt;0,1,0)</f>
        <v>0</v>
      </c>
      <c r="BM1017" s="16">
        <f>SUM(BR1017,BU1017,BX1017,CA1017,CD1017,CG1017,CJ1017,CM1017,CP1017)</f>
        <v>0</v>
      </c>
      <c r="BN1017" s="16">
        <f>SUM(BW1017,BZ1017,CC1017,CF1017,CI1017,CL1017,CO1017,CR1017,BT1017)</f>
        <v>0</v>
      </c>
      <c r="BO1017" s="16">
        <f>IF(BP1017&gt;0,1,0)</f>
        <v>0</v>
      </c>
      <c r="BP1017" s="16">
        <f>SUM(BU1017,BX1017,CA1017,CD1017,BR1017)</f>
        <v>0</v>
      </c>
      <c r="BQ1017" s="16">
        <f>SUM(BZ1017,CC1017,CF1017,BT1017,BW1017)</f>
        <v>0</v>
      </c>
      <c r="BR1017" s="16">
        <v>0</v>
      </c>
      <c r="BS1017" s="16">
        <v>0</v>
      </c>
      <c r="BT1017" s="77">
        <f>BS1017/AS1017</f>
        <v>0</v>
      </c>
      <c r="BU1017" s="16">
        <v>0</v>
      </c>
      <c r="BV1017" s="16">
        <v>0</v>
      </c>
      <c r="BW1017" s="16">
        <f>BV1017/AS1017</f>
        <v>0</v>
      </c>
      <c r="BX1017" s="16">
        <v>0</v>
      </c>
      <c r="BY1017" s="16">
        <v>0</v>
      </c>
      <c r="BZ1017" s="16">
        <f>BY1017/AS1017</f>
        <v>0</v>
      </c>
      <c r="CA1017" s="16">
        <v>0</v>
      </c>
      <c r="CB1017" s="16">
        <v>0</v>
      </c>
      <c r="CC1017" s="16">
        <f>CB1017/AS1017</f>
        <v>0</v>
      </c>
      <c r="CD1017" s="77">
        <v>0</v>
      </c>
      <c r="CE1017" s="16">
        <v>0</v>
      </c>
      <c r="CF1017" s="16">
        <f>CE1017/AS1017</f>
        <v>0</v>
      </c>
      <c r="CG1017" s="16">
        <v>0</v>
      </c>
      <c r="CH1017" s="16">
        <v>0</v>
      </c>
      <c r="CI1017" s="16">
        <f>CH1017/AS1017</f>
        <v>0</v>
      </c>
      <c r="CJ1017" s="16"/>
      <c r="CK1017" s="16"/>
      <c r="CL1017" s="16"/>
      <c r="CM1017" s="16">
        <v>0</v>
      </c>
      <c r="CN1017" s="16">
        <v>0</v>
      </c>
      <c r="CO1017" s="16">
        <f>CN1017/AS1017</f>
        <v>0</v>
      </c>
      <c r="CP1017" s="16">
        <v>0</v>
      </c>
      <c r="CQ1017" s="16">
        <v>0</v>
      </c>
      <c r="CR1017" s="16">
        <f>CQ1017/AS1017</f>
        <v>0</v>
      </c>
      <c r="CS1017" s="16">
        <f>IF(CT1017&gt;0,1,0)</f>
        <v>0</v>
      </c>
      <c r="CT1017" s="16">
        <f>SUM(CW1017,CZ1017,DC1017)</f>
        <v>0</v>
      </c>
      <c r="CU1017" s="16"/>
      <c r="CV1017" s="16">
        <f>SUM(CY1017,DB1017,DE1017)</f>
        <v>0</v>
      </c>
      <c r="CW1017" s="16">
        <v>0</v>
      </c>
      <c r="CX1017" s="16">
        <v>0</v>
      </c>
      <c r="CY1017" s="16">
        <f>CX1017/AS1017</f>
        <v>0</v>
      </c>
      <c r="CZ1017" s="16">
        <v>0</v>
      </c>
      <c r="DA1017" s="16">
        <v>0</v>
      </c>
      <c r="DB1017" s="16">
        <f>DA1017/AS1017</f>
        <v>0</v>
      </c>
      <c r="DC1017" s="23">
        <v>0</v>
      </c>
      <c r="DD1017" s="23">
        <v>0</v>
      </c>
      <c r="DE1017" s="23">
        <f>DD1017/AS1017</f>
        <v>0</v>
      </c>
      <c r="DF1017" s="16" t="e">
        <f>VLOOKUP(K1017,'[3]RNA Seq summary tables'!$V$3:$V$99,1,FALSE)</f>
        <v>#N/A</v>
      </c>
      <c r="DG1017" s="16"/>
      <c r="DH1017" s="16"/>
      <c r="DI1017" s="23">
        <v>19</v>
      </c>
      <c r="DJ1017" s="23"/>
      <c r="DK1017" s="23">
        <v>79</v>
      </c>
      <c r="DL1017" s="23"/>
      <c r="DM1017" s="23">
        <v>2</v>
      </c>
      <c r="DN1017" s="23"/>
      <c r="DO1017" s="23">
        <v>0</v>
      </c>
      <c r="DP1017" s="23"/>
      <c r="DQ1017" s="23">
        <v>0</v>
      </c>
      <c r="DR1017" s="23">
        <f>SUM(DI1017:DQ1017)</f>
        <v>100</v>
      </c>
      <c r="DS1017" s="23"/>
      <c r="DT1017" s="25"/>
      <c r="DU1017" s="25"/>
      <c r="DV1017" s="25"/>
      <c r="DW1017" s="25"/>
      <c r="DX1017" s="25"/>
      <c r="DY1017" s="25"/>
      <c r="DZ1017" s="25"/>
      <c r="EA1017" s="25"/>
      <c r="EB1017" s="25"/>
      <c r="EC1017" s="25"/>
      <c r="ED1017" s="25"/>
      <c r="EE1017" s="25"/>
      <c r="EF1017" s="18"/>
      <c r="EG1017" s="18"/>
      <c r="EH1017" s="18"/>
      <c r="EI1017" s="18"/>
      <c r="EJ1017" s="18"/>
      <c r="EK1017" s="18"/>
      <c r="EL1017" s="18"/>
      <c r="EM1017" s="18"/>
      <c r="EN1017" s="18"/>
      <c r="EO1017" s="18"/>
      <c r="EP1017" s="18"/>
      <c r="EQ1017" s="18"/>
      <c r="ER1017" s="18"/>
      <c r="ES1017" s="18"/>
      <c r="ET1017" s="18"/>
      <c r="EU1017" s="18"/>
      <c r="EV1017" s="18"/>
      <c r="EW1017" s="18"/>
      <c r="EX1017" s="18"/>
      <c r="EY1017" s="18"/>
      <c r="EZ1017" s="18"/>
      <c r="FA1017" s="18"/>
      <c r="FB1017" s="18"/>
      <c r="FC1017" s="18"/>
      <c r="FD1017" s="18"/>
      <c r="FE1017" s="18"/>
      <c r="FF1017" s="18"/>
      <c r="FG1017" s="18"/>
      <c r="FH1017" s="18"/>
      <c r="FI1017" s="18"/>
      <c r="FJ1017" s="18"/>
      <c r="FK1017" s="18"/>
      <c r="FL1017" s="18"/>
      <c r="FM1017" s="18"/>
      <c r="FN1017" s="18"/>
      <c r="FO1017" s="18"/>
      <c r="FP1017" s="18"/>
      <c r="FQ1017" s="18"/>
      <c r="FR1017" s="18"/>
      <c r="FS1017" s="18"/>
      <c r="FT1017" s="18"/>
      <c r="FU1017" s="18"/>
      <c r="FV1017" s="18"/>
      <c r="FW1017" s="18"/>
      <c r="FX1017" s="18"/>
      <c r="FY1017" s="18"/>
      <c r="FZ1017" s="18"/>
      <c r="GA1017" s="18"/>
      <c r="GB1017" s="18"/>
      <c r="GC1017" s="18"/>
      <c r="GD1017" s="18"/>
      <c r="GE1017" s="18"/>
      <c r="GF1017" s="18"/>
      <c r="GG1017" s="18"/>
      <c r="GH1017" s="18"/>
      <c r="GI1017" s="18"/>
      <c r="GJ1017" s="18"/>
      <c r="GK1017" s="18"/>
      <c r="GL1017" s="18"/>
      <c r="GM1017" s="18"/>
      <c r="GN1017" s="18"/>
      <c r="GO1017" s="18"/>
      <c r="GP1017" s="18"/>
      <c r="GQ1017" s="18"/>
      <c r="GR1017" s="18"/>
      <c r="GS1017" s="18"/>
      <c r="GT1017" s="18"/>
      <c r="GU1017" s="18"/>
      <c r="GV1017" s="18"/>
      <c r="GW1017" s="18"/>
      <c r="GX1017" s="18"/>
      <c r="GY1017" s="18"/>
      <c r="GZ1017" s="18"/>
      <c r="HA1017" s="18"/>
      <c r="HB1017" s="18"/>
      <c r="HC1017" s="18"/>
      <c r="HD1017" s="18"/>
      <c r="HE1017" s="18"/>
      <c r="HF1017" s="18"/>
      <c r="HG1017" s="18"/>
      <c r="HH1017" s="18"/>
      <c r="HI1017" s="18"/>
      <c r="HJ1017" s="18"/>
      <c r="HK1017" s="18"/>
      <c r="HL1017" s="18"/>
      <c r="HM1017" s="18"/>
      <c r="HN1017" s="18"/>
      <c r="HO1017" s="18"/>
      <c r="HP1017" s="18"/>
      <c r="HQ1017" s="18"/>
      <c r="HR1017" s="18"/>
      <c r="HS1017" s="18"/>
      <c r="HT1017" s="18"/>
      <c r="HU1017" s="18"/>
      <c r="HV1017" s="18"/>
      <c r="HW1017" s="18"/>
      <c r="HX1017" s="18"/>
      <c r="HY1017" s="18"/>
      <c r="HZ1017" s="18"/>
      <c r="IA1017" s="18"/>
      <c r="IB1017" s="18"/>
      <c r="IC1017" s="18"/>
      <c r="ID1017" s="18"/>
      <c r="IE1017" s="18"/>
      <c r="IF1017" s="18"/>
      <c r="IG1017" s="18"/>
      <c r="IH1017" s="18"/>
      <c r="II1017" s="18"/>
      <c r="IJ1017" s="18"/>
      <c r="IK1017" s="18"/>
      <c r="IL1017" s="18"/>
      <c r="IM1017" s="18"/>
      <c r="IN1017" s="18"/>
      <c r="IO1017" s="18"/>
      <c r="IP1017" s="18"/>
      <c r="IQ1017" s="18"/>
      <c r="IR1017" s="18"/>
      <c r="IS1017" s="18"/>
      <c r="IT1017" s="18"/>
      <c r="IU1017" s="18"/>
      <c r="IV1017" s="18"/>
      <c r="IW1017" s="18"/>
      <c r="IX1017" s="18"/>
      <c r="IY1017" s="18"/>
      <c r="IZ1017" s="18"/>
      <c r="JA1017" s="18"/>
      <c r="JB1017" s="18"/>
      <c r="JC1017" s="18"/>
      <c r="JD1017" s="18"/>
      <c r="JE1017" s="18"/>
      <c r="JF1017" s="18"/>
      <c r="JG1017" s="18"/>
      <c r="JH1017" s="18"/>
      <c r="JI1017" s="18"/>
      <c r="JJ1017" s="18"/>
      <c r="JK1017" s="18"/>
      <c r="JL1017" s="18"/>
      <c r="JM1017" s="18"/>
      <c r="JN1017" s="18"/>
      <c r="JO1017" s="16"/>
      <c r="JP1017" s="16"/>
      <c r="JQ1017" s="16"/>
      <c r="JR1017" s="16"/>
      <c r="JS1017" s="16"/>
      <c r="JT1017" s="16"/>
      <c r="JU1017" s="16"/>
      <c r="JV1017" s="16"/>
      <c r="JW1017" s="16"/>
      <c r="JX1017" s="16"/>
      <c r="JY1017" s="16"/>
      <c r="JZ1017" s="16"/>
      <c r="KA1017" s="16"/>
      <c r="KB1017" s="16"/>
    </row>
    <row r="1018" spans="1:288" s="26" customFormat="1" x14ac:dyDescent="0.2">
      <c r="A1018" s="18"/>
      <c r="B1018" s="16">
        <v>2017</v>
      </c>
      <c r="C1018" s="20">
        <v>42923</v>
      </c>
      <c r="D1018" s="20" t="str">
        <f>CONCATENATE(J1018,"-",C1018)</f>
        <v>1153-42923</v>
      </c>
      <c r="E1018" s="20" t="str">
        <f>CONCATENATE(T1018,"-",U1018,"-",C1018)</f>
        <v>SP2-A7-42923</v>
      </c>
      <c r="F1018" s="20" t="s">
        <v>106</v>
      </c>
      <c r="G1018" s="20" t="s">
        <v>107</v>
      </c>
      <c r="H1018" s="16"/>
      <c r="I1018" s="16">
        <v>0</v>
      </c>
      <c r="J1018" s="21">
        <v>1153</v>
      </c>
      <c r="K1018" s="21">
        <v>1846</v>
      </c>
      <c r="L1018" s="18">
        <v>0</v>
      </c>
      <c r="M1018" s="21">
        <f>VLOOKUP($K1018,'[4]blood tubes 2017'!$D$1:$L$647,8,FALSE)</f>
        <v>0</v>
      </c>
      <c r="N1018" s="15">
        <v>0</v>
      </c>
      <c r="O1018" s="15" t="s">
        <v>214</v>
      </c>
      <c r="P1018" s="16" t="s">
        <v>110</v>
      </c>
      <c r="Q1018" s="16">
        <v>1</v>
      </c>
      <c r="R1018" s="16">
        <v>16</v>
      </c>
      <c r="S1018" s="16"/>
      <c r="T1018" s="16" t="s">
        <v>137</v>
      </c>
      <c r="U1018" s="16" t="s">
        <v>120</v>
      </c>
      <c r="V1018" s="16" t="s">
        <v>114</v>
      </c>
      <c r="W1018" s="16">
        <f>AI1018/AG1018</f>
        <v>0.85227272727272729</v>
      </c>
      <c r="X1018" s="16" t="s">
        <v>115</v>
      </c>
      <c r="Y1018" s="16" t="s">
        <v>110</v>
      </c>
      <c r="Z1018" s="16">
        <v>3</v>
      </c>
      <c r="AA1018" s="16"/>
      <c r="AB1018" s="16"/>
      <c r="AC1018" s="16"/>
      <c r="AD1018" s="16"/>
      <c r="AE1018" s="16" t="s">
        <v>123</v>
      </c>
      <c r="AF1018" s="16" t="s">
        <v>123</v>
      </c>
      <c r="AG1018" s="16">
        <f>AH1018-AI1018</f>
        <v>88</v>
      </c>
      <c r="AH1018" s="16">
        <v>163</v>
      </c>
      <c r="AI1018" s="16">
        <v>75</v>
      </c>
      <c r="AJ1018" s="16"/>
      <c r="AK1018" s="16">
        <v>20</v>
      </c>
      <c r="AL1018" s="16">
        <v>0</v>
      </c>
      <c r="AM1018" s="16">
        <v>0</v>
      </c>
      <c r="AN1018" s="16">
        <v>0</v>
      </c>
      <c r="AO1018" s="16">
        <v>0</v>
      </c>
      <c r="AP1018" s="16">
        <f>SUM(AL1018:AN1018)</f>
        <v>0</v>
      </c>
      <c r="AQ1018" s="16">
        <v>2.2410000000000001</v>
      </c>
      <c r="AR1018" s="16">
        <f>AP1018-1.472</f>
        <v>-1.472</v>
      </c>
      <c r="AS1018" s="16">
        <f>AQ1018-1.472</f>
        <v>0.76900000000000013</v>
      </c>
      <c r="AT1018" s="18" t="str">
        <f>VLOOKUP(K1018,'[5]FECs - good data'!$C$1:$P$575,13,FALSE)</f>
        <v>JB</v>
      </c>
      <c r="AU1018" s="18"/>
      <c r="AV1018" s="16"/>
      <c r="AW1018" s="18">
        <f>IF(AX1018&gt;0,1,0)</f>
        <v>1</v>
      </c>
      <c r="AX1018" s="18">
        <f>SUM(BA1018,BM1018,CT1018)</f>
        <v>3</v>
      </c>
      <c r="AY1018" s="18">
        <f>SUM(BB1018,BN1018,CV1018)</f>
        <v>1289.9869960988294</v>
      </c>
      <c r="AZ1018" s="18">
        <f>IF(BA1018&gt;0,1,0)</f>
        <v>1</v>
      </c>
      <c r="BA1018" s="18">
        <f>SUM(BC1018,BF1018,BI1018)</f>
        <v>2</v>
      </c>
      <c r="BB1018" s="18">
        <f>SUM(BE1018,BH1018,BK1018)</f>
        <v>1278.2834850455135</v>
      </c>
      <c r="BC1018" s="18">
        <f>IF(BD1018&gt;0,1,0)</f>
        <v>0</v>
      </c>
      <c r="BD1018" s="18">
        <f>VLOOKUP($K1018,'[5]FECs - good data'!$C$1:$Z$574,14,FALSE)</f>
        <v>0</v>
      </c>
      <c r="BE1018" s="18">
        <f>BD1018/AS1018</f>
        <v>0</v>
      </c>
      <c r="BF1018" s="18">
        <f>IF(BG1018&gt;0,1,0)</f>
        <v>1</v>
      </c>
      <c r="BG1018" s="78">
        <f>VLOOKUP($K1018,'[5]FECs - good data'!$C$1:$Z$574,15,FALSE)</f>
        <v>149</v>
      </c>
      <c r="BH1018" s="16">
        <f>BG1018/AS1018</f>
        <v>193.75812743823144</v>
      </c>
      <c r="BI1018" s="16">
        <f>IF(BJ1018&gt;0,1,0)</f>
        <v>1</v>
      </c>
      <c r="BJ1018" s="16">
        <f>VLOOKUP($K1018,'[5]FECs - good data'!$C$1:$Z$574,16,FALSE)</f>
        <v>834</v>
      </c>
      <c r="BK1018" s="16">
        <f>BJ1018/AS1018</f>
        <v>1084.5253576072821</v>
      </c>
      <c r="BL1018" s="16">
        <f>IF(BM1018&gt;0,1,0)</f>
        <v>1</v>
      </c>
      <c r="BM1018" s="16">
        <f>SUM(BR1018,BU1018,BX1018,CA1018,CD1018,CG1018,CJ1018,CM1018,CP1018)</f>
        <v>1</v>
      </c>
      <c r="BN1018" s="16">
        <f>SUM(BW1018,BZ1018,CC1018,CF1018,CI1018,CL1018,CO1018,CR1018,BT1018)</f>
        <v>11.703511053315992</v>
      </c>
      <c r="BO1018" s="16">
        <f>IF(BP1018&gt;0,1,0)</f>
        <v>0</v>
      </c>
      <c r="BP1018" s="16">
        <f>SUM(BU1018,BX1018,CA1018,CD1018,BR1018)</f>
        <v>0</v>
      </c>
      <c r="BQ1018" s="16">
        <f>SUM(BZ1018,CC1018,CF1018,BT1018,BW1018)</f>
        <v>0</v>
      </c>
      <c r="BR1018" s="16">
        <f>IF(BS1018&gt;0,1,0)</f>
        <v>0</v>
      </c>
      <c r="BS1018" s="16">
        <f>VLOOKUP($K1018,'[5]FECs - good data'!$C$1:$Z$574,17,FALSE)</f>
        <v>0</v>
      </c>
      <c r="BT1018" s="77">
        <f>BS1018/AS1018</f>
        <v>0</v>
      </c>
      <c r="BU1018" s="16">
        <f>IF(BV1018&gt;0,1,0)</f>
        <v>0</v>
      </c>
      <c r="BV1018" s="16">
        <f>VLOOKUP($K1018,'[5]FECs - good data'!$C$1:$Z$574,18,FALSE)</f>
        <v>0</v>
      </c>
      <c r="BW1018" s="16">
        <f>BV1018/AS1018</f>
        <v>0</v>
      </c>
      <c r="BX1018" s="16">
        <f>IF(BY1018&gt;0,1,0)</f>
        <v>0</v>
      </c>
      <c r="BY1018" s="16">
        <f>VLOOKUP($K1018,'[5]FECs - good data'!$C$1:$Z$574,19,FALSE)</f>
        <v>0</v>
      </c>
      <c r="BZ1018" s="16">
        <f>BY1018/AS1018</f>
        <v>0</v>
      </c>
      <c r="CA1018" s="16">
        <f>IF(CB1018&gt;0,1,0)</f>
        <v>0</v>
      </c>
      <c r="CB1018" s="16">
        <f>VLOOKUP($K1018,'[5]FECs - good data'!$C$1:$Z$574,20,FALSE)</f>
        <v>0</v>
      </c>
      <c r="CC1018" s="16">
        <f>CB1018/AS1018</f>
        <v>0</v>
      </c>
      <c r="CD1018" s="77">
        <f>IF(CE1018&gt;0,1,0)</f>
        <v>0</v>
      </c>
      <c r="CE1018" s="16">
        <f>VLOOKUP($K1018,'[5]FECs - good data'!$C$1:$Z$574,21,FALSE)</f>
        <v>0</v>
      </c>
      <c r="CF1018" s="16">
        <f>CE1018/AS1018</f>
        <v>0</v>
      </c>
      <c r="CG1018" s="16">
        <f>IF(CH1018&gt;0,1,0)</f>
        <v>0</v>
      </c>
      <c r="CH1018" s="16">
        <f>VLOOKUP($K1018,'[5]FECs - good data'!$C$1:$Z$574,22,FALSE)</f>
        <v>0</v>
      </c>
      <c r="CI1018" s="16">
        <f>CH1018/AS1018</f>
        <v>0</v>
      </c>
      <c r="CJ1018" s="16">
        <f>IF(CK1018&gt;0,1,0)</f>
        <v>1</v>
      </c>
      <c r="CK1018" s="16">
        <f>VLOOKUP($K1018,'[5]FECs - good data'!$C$1:$Z$674,24,FALSE)</f>
        <v>9</v>
      </c>
      <c r="CL1018" s="16">
        <f>CK1018/AS1018</f>
        <v>11.703511053315992</v>
      </c>
      <c r="CM1018" s="16"/>
      <c r="CN1018" s="16"/>
      <c r="CO1018" s="16"/>
      <c r="CP1018" s="16"/>
      <c r="CQ1018" s="16"/>
      <c r="CR1018" s="16"/>
      <c r="CS1018" s="16">
        <f>IF(CT1018&gt;0,1,0)</f>
        <v>0</v>
      </c>
      <c r="CT1018" s="16">
        <f>SUM(CW1018+CZ1018,DC1018)</f>
        <v>0</v>
      </c>
      <c r="CU1018" s="16"/>
      <c r="CV1018" s="16">
        <f>SUM(CY1018,DB1018,DE1018)</f>
        <v>0</v>
      </c>
      <c r="CW1018" s="16">
        <f>IF(CX1018&gt;0,1,0)</f>
        <v>0</v>
      </c>
      <c r="CX1018" s="16">
        <f>VLOOKUP($K1018,'[5]FECs - good data'!$C$1:$Z$574,22,FALSE)</f>
        <v>0</v>
      </c>
      <c r="CY1018" s="16">
        <f>CX1018/AS1018</f>
        <v>0</v>
      </c>
      <c r="CZ1018" s="16">
        <f>IF(DA1018&gt;0,1,0)</f>
        <v>0</v>
      </c>
      <c r="DA1018" s="16">
        <f>VLOOKUP($K1018,'[5]FECs - good data'!$C$1:$Z$5982,23,FALSE)</f>
        <v>0</v>
      </c>
      <c r="DB1018" s="16">
        <f>DA1018/AS1018</f>
        <v>0</v>
      </c>
      <c r="DC1018" s="16">
        <f>IF(DD1018&gt;0,1,0)</f>
        <v>0</v>
      </c>
      <c r="DD1018" s="16">
        <f>VLOOKUP($K1018,'[5]FECs - good data'!$C$1:$Z$574,23,FALSE)</f>
        <v>0</v>
      </c>
      <c r="DE1018" s="16">
        <f>DD1018/AS1018</f>
        <v>0</v>
      </c>
      <c r="DF1018" s="16" t="e">
        <f>VLOOKUP(K1018,'[3]RNA Seq summary tables'!$V$3:$V$99,1,FALSE)</f>
        <v>#N/A</v>
      </c>
      <c r="DG1018" s="16"/>
      <c r="DH1018" s="16"/>
      <c r="DI1018" s="16">
        <v>29</v>
      </c>
      <c r="DJ1018" s="16"/>
      <c r="DK1018" s="16">
        <v>29</v>
      </c>
      <c r="DL1018" s="16"/>
      <c r="DM1018" s="16">
        <v>2</v>
      </c>
      <c r="DN1018" s="16"/>
      <c r="DO1018" s="16">
        <v>0</v>
      </c>
      <c r="DP1018" s="16"/>
      <c r="DQ1018" s="16">
        <v>0</v>
      </c>
      <c r="DR1018" s="16">
        <f>SUM(DI1018:DQ1018)</f>
        <v>60</v>
      </c>
      <c r="DS1018" s="16"/>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18"/>
      <c r="EQ1018" s="18"/>
      <c r="ER1018" s="18"/>
      <c r="ES1018" s="18"/>
      <c r="ET1018" s="18"/>
      <c r="EU1018" s="18"/>
      <c r="EV1018" s="18"/>
      <c r="EW1018" s="18"/>
      <c r="EX1018" s="18"/>
      <c r="EY1018" s="18"/>
      <c r="EZ1018" s="18"/>
      <c r="FA1018" s="18"/>
      <c r="FB1018" s="18"/>
      <c r="FC1018" s="18"/>
      <c r="FD1018" s="18"/>
      <c r="FE1018" s="18"/>
      <c r="FF1018" s="18"/>
      <c r="FG1018" s="18"/>
      <c r="FH1018" s="18"/>
      <c r="FI1018" s="18"/>
      <c r="FJ1018" s="18"/>
      <c r="FK1018" s="18"/>
      <c r="FL1018" s="18"/>
      <c r="FM1018" s="18"/>
      <c r="FN1018" s="18"/>
      <c r="FO1018" s="18"/>
      <c r="FP1018" s="18"/>
      <c r="FQ1018" s="18"/>
      <c r="FR1018" s="18"/>
      <c r="FS1018" s="18"/>
      <c r="FT1018" s="18"/>
      <c r="FU1018" s="18"/>
      <c r="FV1018" s="18"/>
      <c r="FW1018" s="18"/>
      <c r="FX1018" s="18"/>
      <c r="FY1018" s="18"/>
      <c r="FZ1018" s="18"/>
      <c r="GA1018" s="18"/>
      <c r="GB1018" s="18"/>
      <c r="GC1018" s="18"/>
      <c r="GD1018" s="18"/>
      <c r="GE1018" s="18"/>
      <c r="GF1018" s="18"/>
      <c r="GG1018" s="18"/>
      <c r="GH1018" s="18"/>
      <c r="GI1018" s="18"/>
      <c r="GJ1018" s="18"/>
      <c r="GK1018" s="18"/>
      <c r="GL1018" s="18"/>
      <c r="GM1018" s="18"/>
      <c r="GN1018" s="18"/>
      <c r="GO1018" s="18"/>
      <c r="GP1018" s="18"/>
      <c r="GQ1018" s="18"/>
      <c r="GR1018" s="18"/>
      <c r="GS1018" s="18"/>
      <c r="GT1018" s="18"/>
      <c r="GU1018" s="18"/>
      <c r="GV1018" s="18"/>
      <c r="GW1018" s="18"/>
      <c r="GX1018" s="18"/>
      <c r="GY1018" s="18"/>
      <c r="GZ1018" s="18"/>
      <c r="HA1018" s="18"/>
      <c r="HB1018" s="18"/>
      <c r="HC1018" s="18"/>
      <c r="HD1018" s="18"/>
      <c r="HE1018" s="18"/>
      <c r="HF1018" s="18"/>
      <c r="HG1018" s="18"/>
      <c r="HH1018" s="18"/>
      <c r="HI1018" s="18"/>
      <c r="HJ1018" s="18"/>
      <c r="HK1018" s="18"/>
      <c r="HL1018" s="18"/>
      <c r="HM1018" s="18"/>
      <c r="HN1018" s="18"/>
      <c r="HO1018" s="18"/>
      <c r="HP1018" s="18"/>
      <c r="HQ1018" s="18"/>
      <c r="HR1018" s="18"/>
      <c r="HS1018" s="18"/>
      <c r="HT1018" s="18"/>
      <c r="HU1018" s="18"/>
      <c r="HV1018" s="18"/>
      <c r="HW1018" s="18"/>
      <c r="HX1018" s="18"/>
      <c r="HY1018" s="18"/>
      <c r="HZ1018" s="18"/>
      <c r="IA1018" s="18"/>
      <c r="IB1018" s="18"/>
      <c r="IC1018" s="18"/>
      <c r="ID1018" s="18"/>
      <c r="IE1018" s="18"/>
      <c r="IF1018" s="18"/>
      <c r="IG1018" s="18"/>
      <c r="IH1018" s="18"/>
      <c r="II1018" s="18"/>
      <c r="IJ1018" s="18"/>
      <c r="IK1018" s="18"/>
      <c r="IL1018" s="18"/>
      <c r="IM1018" s="18"/>
      <c r="IN1018" s="18"/>
      <c r="IO1018" s="18"/>
      <c r="IP1018" s="18"/>
      <c r="IQ1018" s="18"/>
      <c r="IR1018" s="18"/>
      <c r="IS1018" s="18"/>
      <c r="IT1018" s="18"/>
      <c r="IU1018" s="18"/>
      <c r="IV1018" s="18"/>
      <c r="IW1018" s="18"/>
      <c r="IX1018" s="18"/>
      <c r="IY1018" s="18"/>
      <c r="IZ1018" s="18"/>
      <c r="JA1018" s="18"/>
      <c r="JB1018" s="18"/>
      <c r="JC1018" s="18"/>
      <c r="JD1018" s="18"/>
      <c r="JE1018" s="18"/>
      <c r="JF1018" s="18"/>
      <c r="JG1018" s="18"/>
      <c r="JH1018" s="18"/>
      <c r="JI1018" s="18"/>
      <c r="JJ1018" s="18"/>
      <c r="JK1018" s="18"/>
      <c r="JL1018" s="18"/>
      <c r="JM1018" s="18"/>
      <c r="JN1018" s="18"/>
      <c r="JO1018" s="16"/>
      <c r="JP1018" s="16"/>
      <c r="JQ1018" s="16"/>
      <c r="JR1018" s="27"/>
      <c r="JS1018" s="27"/>
      <c r="JT1018" s="27"/>
      <c r="JU1018" s="27"/>
      <c r="JV1018" s="27"/>
      <c r="JW1018" s="27"/>
      <c r="JX1018" s="27"/>
      <c r="JY1018" s="27"/>
      <c r="JZ1018" s="27"/>
      <c r="KA1018" s="27"/>
      <c r="KB1018" s="27"/>
    </row>
    <row r="1019" spans="1:288" x14ac:dyDescent="0.2">
      <c r="B1019" s="16">
        <v>2017</v>
      </c>
      <c r="C1019" s="20">
        <v>42973</v>
      </c>
      <c r="D1019" s="20" t="str">
        <f>CONCATENATE(J1019,"-",C1019)</f>
        <v>1153-42973</v>
      </c>
      <c r="E1019" s="20" t="str">
        <f>CONCATENATE(T1019,"-",U1019,"-",C1019)</f>
        <v>SP2-C7-42973</v>
      </c>
      <c r="F1019" s="37" t="s">
        <v>224</v>
      </c>
      <c r="G1019" s="20" t="s">
        <v>107</v>
      </c>
      <c r="I1019" s="16">
        <v>0</v>
      </c>
      <c r="J1019" s="21">
        <v>1153</v>
      </c>
      <c r="K1019" s="21">
        <v>2264</v>
      </c>
      <c r="L1019" s="18">
        <v>0</v>
      </c>
      <c r="M1019" s="21">
        <f>VLOOKUP($K1019,'[4]blood tubes 2017'!$D$1:$L$947,8,FALSE)</f>
        <v>0</v>
      </c>
      <c r="N1019" s="15">
        <v>0</v>
      </c>
      <c r="O1019" s="15" t="s">
        <v>214</v>
      </c>
      <c r="P1019" s="16" t="s">
        <v>110</v>
      </c>
      <c r="Q1019" s="16">
        <v>1</v>
      </c>
      <c r="R1019" s="16">
        <v>50</v>
      </c>
      <c r="T1019" s="16" t="s">
        <v>137</v>
      </c>
      <c r="U1019" s="16" t="s">
        <v>207</v>
      </c>
      <c r="V1019" s="16" t="s">
        <v>114</v>
      </c>
      <c r="W1019" s="16">
        <f>AI1019/AG1019</f>
        <v>0.84042553191489366</v>
      </c>
      <c r="X1019" s="16" t="s">
        <v>115</v>
      </c>
      <c r="Y1019" s="16" t="s">
        <v>110</v>
      </c>
      <c r="Z1019" s="16">
        <v>3</v>
      </c>
      <c r="AE1019" s="16" t="s">
        <v>116</v>
      </c>
      <c r="AF1019" s="16" t="s">
        <v>116</v>
      </c>
      <c r="AG1019" s="16">
        <f>AH1019-AI1019</f>
        <v>94</v>
      </c>
      <c r="AH1019" s="16">
        <v>173</v>
      </c>
      <c r="AI1019" s="16">
        <v>79</v>
      </c>
      <c r="AK1019" s="16">
        <v>24.5</v>
      </c>
      <c r="AL1019" s="16">
        <v>1</v>
      </c>
      <c r="AM1019" s="16">
        <v>0</v>
      </c>
      <c r="AN1019" s="16">
        <v>0</v>
      </c>
      <c r="AO1019" s="16">
        <v>1</v>
      </c>
      <c r="AP1019" s="16">
        <f>SUM(AL1019:AN1019)</f>
        <v>1</v>
      </c>
      <c r="AQ1019" s="16">
        <v>1.7669999999999999</v>
      </c>
      <c r="AR1019" s="16">
        <f>AP1019-1.472</f>
        <v>-0.47199999999999998</v>
      </c>
      <c r="AS1019" s="16">
        <f>AQ1019-1.472</f>
        <v>0.29499999999999993</v>
      </c>
      <c r="AT1019" s="16" t="str">
        <f>VLOOKUP(K1019,'[5]FECs - good data'!$C$1:$P$575,13,FALSE)</f>
        <v>SB</v>
      </c>
      <c r="AW1019" s="18">
        <f>IF(AX1019&gt;0,1,0)</f>
        <v>1</v>
      </c>
      <c r="AX1019" s="18">
        <f>SUM(BA1019,BM1019,CT1019)</f>
        <v>4</v>
      </c>
      <c r="AY1019" s="18">
        <f>SUM(BB1019,BN1019,CV1019)</f>
        <v>474.57627118644075</v>
      </c>
      <c r="AZ1019" s="18">
        <f>IF(BA1019&gt;0,1,0)</f>
        <v>1</v>
      </c>
      <c r="BA1019" s="18">
        <f>SUM(BC1019,BF1019,BI1019)</f>
        <v>2</v>
      </c>
      <c r="BB1019" s="18">
        <f>SUM(BE1019,BH1019,BK1019)</f>
        <v>464.40677966101703</v>
      </c>
      <c r="BC1019" s="18">
        <f>IF(BD1019&gt;0,1,0)</f>
        <v>1</v>
      </c>
      <c r="BD1019" s="18">
        <f>VLOOKUP($K1019,'[5]FECs - good data'!$C$1:$Z$574,14,FALSE)</f>
        <v>4</v>
      </c>
      <c r="BE1019" s="16">
        <f>BD1019/AS1019</f>
        <v>13.559322033898308</v>
      </c>
      <c r="BF1019" s="16">
        <f>IF(BG1019&gt;0,1,0)</f>
        <v>1</v>
      </c>
      <c r="BG1019" s="77">
        <f>VLOOKUP($K1019,'[5]FECs - good data'!$C$1:$Z$574,15,FALSE)</f>
        <v>133</v>
      </c>
      <c r="BH1019" s="16">
        <f>BG1019/AS1019</f>
        <v>450.84745762711873</v>
      </c>
      <c r="BI1019" s="16">
        <f>IF(BJ1019&gt;0,1,0)</f>
        <v>0</v>
      </c>
      <c r="BJ1019" s="16">
        <f>VLOOKUP($K1019,'[5]FECs - good data'!$C$1:$Z$574,16,FALSE)</f>
        <v>0</v>
      </c>
      <c r="BK1019" s="16">
        <f>BJ1019/AS1019</f>
        <v>0</v>
      </c>
      <c r="BL1019" s="16">
        <f>IF(BM1019&gt;0,1,0)</f>
        <v>1</v>
      </c>
      <c r="BM1019" s="16">
        <f>SUM(BR1019,BU1019,BX1019,CA1019,CD1019,CG1019,CJ1019,CM1019,CP1019)</f>
        <v>2</v>
      </c>
      <c r="BN1019" s="16">
        <f>SUM(BW1019,BZ1019,CC1019,CF1019,CI1019,CL1019,CO1019,CR1019,BT1019)</f>
        <v>10.16949152542373</v>
      </c>
      <c r="BO1019" s="16">
        <f>IF(BP1019&gt;0,1,0)</f>
        <v>1</v>
      </c>
      <c r="BP1019" s="16">
        <f>SUM(BU1019,BX1019,CA1019,CD1019,BR1019)</f>
        <v>1</v>
      </c>
      <c r="BQ1019" s="16">
        <f>SUM(BZ1019,CC1019,CF1019,BT1019,BW1019)</f>
        <v>3.389830508474577</v>
      </c>
      <c r="BR1019" s="16">
        <f>IF(BS1019&gt;0,1,0)</f>
        <v>0</v>
      </c>
      <c r="BS1019" s="16">
        <f>VLOOKUP($K1019,'[5]FECs - good data'!$C$1:$Z$574,17,FALSE)</f>
        <v>0</v>
      </c>
      <c r="BT1019" s="77">
        <f>BS1019/AS1019</f>
        <v>0</v>
      </c>
      <c r="BU1019" s="16">
        <f>IF(BV1019&gt;0,1,0)</f>
        <v>0</v>
      </c>
      <c r="BV1019" s="16">
        <f>VLOOKUP($K1019,'[5]FECs - good data'!$C$1:$Z$574,18,FALSE)</f>
        <v>0</v>
      </c>
      <c r="BW1019" s="16">
        <f>BV1019/AS1019</f>
        <v>0</v>
      </c>
      <c r="BX1019" s="16">
        <f>IF(BY1019&gt;0,1,0)</f>
        <v>0</v>
      </c>
      <c r="BY1019" s="16">
        <f>VLOOKUP($K1019,'[5]FECs - good data'!$C$1:$Z$574,19,FALSE)</f>
        <v>0</v>
      </c>
      <c r="BZ1019" s="16">
        <f>BY1019/AS1019</f>
        <v>0</v>
      </c>
      <c r="CA1019" s="16">
        <f>IF(CB1019&gt;0,1,0)</f>
        <v>1</v>
      </c>
      <c r="CB1019" s="16">
        <f>VLOOKUP($K1019,'[5]FECs - good data'!$C$1:$Z$574,20,FALSE)</f>
        <v>1</v>
      </c>
      <c r="CC1019" s="16">
        <f>CB1019/AS1019</f>
        <v>3.389830508474577</v>
      </c>
      <c r="CD1019" s="77">
        <f>IF(CE1019&gt;0,1,0)</f>
        <v>0</v>
      </c>
      <c r="CE1019" s="16">
        <f>VLOOKUP($K1019,'[5]FECs - good data'!$C$1:$Z$574,21,FALSE)</f>
        <v>0</v>
      </c>
      <c r="CF1019" s="16">
        <f>CE1019/AS1019</f>
        <v>0</v>
      </c>
      <c r="CG1019" s="16">
        <f>IF(CH1019&gt;0,1,0)</f>
        <v>0</v>
      </c>
      <c r="CH1019" s="16">
        <f>VLOOKUP($K1019,'[5]FECs - good data'!$C$1:$Z$574,22,FALSE)</f>
        <v>0</v>
      </c>
      <c r="CI1019" s="16">
        <f>CH1019/AS1019</f>
        <v>0</v>
      </c>
      <c r="CJ1019" s="16">
        <f>IF(CK1019&gt;0,1,0)</f>
        <v>1</v>
      </c>
      <c r="CK1019" s="16">
        <f>VLOOKUP($K1019,'[5]FECs - good data'!$C$1:$Z$674,24,FALSE)</f>
        <v>2</v>
      </c>
      <c r="CL1019" s="16">
        <f>CK1019/AS1019</f>
        <v>6.779661016949154</v>
      </c>
      <c r="CS1019" s="16">
        <f>IF(CT1019&gt;0,1,0)</f>
        <v>0</v>
      </c>
      <c r="CT1019" s="16">
        <f>SUM(CW1019+CZ1019,DC1019)</f>
        <v>0</v>
      </c>
      <c r="CV1019" s="16">
        <f>SUM(CY1019,DB1019,DE1019)</f>
        <v>0</v>
      </c>
      <c r="CW1019" s="16">
        <f>IF(CX1019&gt;0,1,0)</f>
        <v>0</v>
      </c>
      <c r="CX1019" s="16">
        <f>VLOOKUP($K1019,'[5]FECs - good data'!$C$1:$Z$574,22,FALSE)</f>
        <v>0</v>
      </c>
      <c r="CY1019" s="16">
        <f>CX1019/AS1019</f>
        <v>0</v>
      </c>
      <c r="CZ1019" s="16">
        <f>IF(DA1019&gt;0,1,0)</f>
        <v>0</v>
      </c>
      <c r="DA1019" s="16">
        <f>VLOOKUP($K1019,'[5]FECs - good data'!$C$1:$Z$5982,23,FALSE)</f>
        <v>0</v>
      </c>
      <c r="DB1019" s="16">
        <f>DA1019/AS1019</f>
        <v>0</v>
      </c>
      <c r="DC1019" s="16">
        <f>IF(DD1019&gt;0,1,0)</f>
        <v>0</v>
      </c>
      <c r="DD1019" s="16">
        <f>VLOOKUP($K1019,'[5]FECs - good data'!$C$1:$Z$574,23,FALSE)</f>
        <v>0</v>
      </c>
      <c r="DE1019" s="16">
        <f>DD1019/AS1019</f>
        <v>0</v>
      </c>
      <c r="DF1019" s="16" t="e">
        <f>VLOOKUP(K1019,'[3]RNA Seq summary tables'!$V$3:$V$99,1,FALSE)</f>
        <v>#N/A</v>
      </c>
      <c r="DG1019" s="16">
        <v>1</v>
      </c>
      <c r="DH1019" s="16" t="str">
        <f>VLOOKUP(D1019,'[6]workflow 3.2018'!$A$1:$S$237,2,FALSE)</f>
        <v>2017MLBS_194</v>
      </c>
    </row>
    <row r="1020" spans="1:288" s="30" customFormat="1" x14ac:dyDescent="0.2">
      <c r="A1020" s="18"/>
      <c r="B1020" s="18">
        <v>2017</v>
      </c>
      <c r="C1020" s="37">
        <v>42907</v>
      </c>
      <c r="D1020" s="37" t="str">
        <f>CONCATENATE(J1020,"-",C1020)</f>
        <v>1154-42907</v>
      </c>
      <c r="E1020" s="20" t="str">
        <f>CONCATENATE(T1020,"-",U1020,"-",C1020)</f>
        <v>SP2-H1-42907</v>
      </c>
      <c r="F1020" s="20" t="s">
        <v>106</v>
      </c>
      <c r="G1020" s="37" t="s">
        <v>107</v>
      </c>
      <c r="H1020" s="18"/>
      <c r="I1020" s="16">
        <v>0</v>
      </c>
      <c r="J1020" s="36">
        <v>1154</v>
      </c>
      <c r="K1020" s="36">
        <v>1721</v>
      </c>
      <c r="L1020" s="18">
        <v>0</v>
      </c>
      <c r="M1020" s="21">
        <f>VLOOKUP($K1020,'[4]blood tubes 2017'!$D$1:$L$647,8,FALSE)</f>
        <v>0</v>
      </c>
      <c r="N1020" s="15">
        <v>0</v>
      </c>
      <c r="O1020" s="15" t="s">
        <v>214</v>
      </c>
      <c r="P1020" s="18" t="s">
        <v>110</v>
      </c>
      <c r="Q1020" s="16">
        <v>0</v>
      </c>
      <c r="R1020" s="18" t="s">
        <v>111</v>
      </c>
      <c r="S1020" s="18"/>
      <c r="T1020" s="18" t="s">
        <v>137</v>
      </c>
      <c r="U1020" s="18" t="s">
        <v>191</v>
      </c>
      <c r="V1020" s="18" t="s">
        <v>114</v>
      </c>
      <c r="W1020" s="16">
        <f>AI1020/AG1020</f>
        <v>0.8045977011494253</v>
      </c>
      <c r="X1020" s="18" t="s">
        <v>115</v>
      </c>
      <c r="Y1020" s="18" t="s">
        <v>110</v>
      </c>
      <c r="Z1020" s="18">
        <v>3</v>
      </c>
      <c r="AA1020" s="18"/>
      <c r="AB1020" s="18"/>
      <c r="AC1020" s="18"/>
      <c r="AD1020" s="18"/>
      <c r="AE1020" s="18" t="s">
        <v>123</v>
      </c>
      <c r="AF1020" s="18" t="s">
        <v>123</v>
      </c>
      <c r="AG1020" s="18">
        <f>AH1020-AI1020</f>
        <v>87</v>
      </c>
      <c r="AH1020" s="18">
        <v>157</v>
      </c>
      <c r="AI1020" s="18">
        <v>70</v>
      </c>
      <c r="AJ1020" s="18"/>
      <c r="AK1020" s="18">
        <v>17</v>
      </c>
      <c r="AL1020" s="18">
        <v>1</v>
      </c>
      <c r="AM1020" s="18">
        <v>0</v>
      </c>
      <c r="AN1020" s="18">
        <v>0</v>
      </c>
      <c r="AO1020" s="18">
        <v>1</v>
      </c>
      <c r="AP1020" s="18">
        <f>SUM(AL1020:AN1020)</f>
        <v>1</v>
      </c>
      <c r="AQ1020" s="18">
        <v>1.7450000000000001</v>
      </c>
      <c r="AR1020" s="18">
        <f>AP1020-1.472</f>
        <v>-0.47199999999999998</v>
      </c>
      <c r="AS1020" s="18">
        <f>AQ1020-1.472</f>
        <v>0.27300000000000013</v>
      </c>
      <c r="AT1020" s="18" t="s">
        <v>233</v>
      </c>
      <c r="AU1020" s="18"/>
      <c r="AV1020" s="18"/>
      <c r="AW1020" s="18">
        <f>IF(AX1020&gt;0,1,0)</f>
        <v>1</v>
      </c>
      <c r="AX1020" s="18">
        <f>SUM(BA1020,BM1020,CT1020)</f>
        <v>1</v>
      </c>
      <c r="AY1020" s="18">
        <f>SUM(BB1020,BN1020,CV1020)</f>
        <v>3.6630036630036611</v>
      </c>
      <c r="AZ1020" s="18">
        <f>IF(BA1020&gt;0,1,0)</f>
        <v>0</v>
      </c>
      <c r="BA1020" s="18">
        <f>SUM(BC1020,BF1020,BI1020)</f>
        <v>0</v>
      </c>
      <c r="BB1020" s="18">
        <f>SUM(BE1020,BH1020,BK1020)</f>
        <v>0</v>
      </c>
      <c r="BC1020" s="18">
        <v>0</v>
      </c>
      <c r="BD1020" s="18">
        <v>0</v>
      </c>
      <c r="BE1020" s="18">
        <f>BD1020/AS1020</f>
        <v>0</v>
      </c>
      <c r="BF1020" s="18">
        <v>0</v>
      </c>
      <c r="BG1020" s="78">
        <v>0</v>
      </c>
      <c r="BH1020" s="18">
        <f>BG1020/AS1020</f>
        <v>0</v>
      </c>
      <c r="BI1020" s="18">
        <v>0</v>
      </c>
      <c r="BJ1020" s="18">
        <v>0</v>
      </c>
      <c r="BK1020" s="18">
        <f>BJ1020/AS1020</f>
        <v>0</v>
      </c>
      <c r="BL1020" s="16">
        <f>IF(BM1020&gt;0,1,0)</f>
        <v>1</v>
      </c>
      <c r="BM1020" s="16">
        <f>SUM(BR1020,BU1020,BX1020,CA1020,CD1020,CG1020,CJ1020,CM1020,CP1020)</f>
        <v>1</v>
      </c>
      <c r="BN1020" s="18">
        <f>SUM(BW1020,BZ1020,CC1020,CF1020,CI1020,CL1020,CO1020,CR1020,BT1020)</f>
        <v>3.6630036630036611</v>
      </c>
      <c r="BO1020" s="16">
        <f>IF(BP1020&gt;0,1,0)</f>
        <v>1</v>
      </c>
      <c r="BP1020" s="16">
        <f>SUM(BU1020,BX1020,CA1020,CD1020,BR1020)</f>
        <v>1</v>
      </c>
      <c r="BQ1020" s="16">
        <f>SUM(BZ1020,CC1020,CF1020,BT1020,BW1020)</f>
        <v>3.6630036630036611</v>
      </c>
      <c r="BR1020" s="18">
        <v>0</v>
      </c>
      <c r="BS1020" s="18">
        <v>0</v>
      </c>
      <c r="BT1020" s="78">
        <f>BS1020/AS1020</f>
        <v>0</v>
      </c>
      <c r="BU1020" s="18">
        <v>0</v>
      </c>
      <c r="BV1020" s="18">
        <v>0</v>
      </c>
      <c r="BW1020" s="18">
        <f>BV1020/AS1020</f>
        <v>0</v>
      </c>
      <c r="BX1020" s="18">
        <v>0</v>
      </c>
      <c r="BY1020" s="18">
        <v>0</v>
      </c>
      <c r="BZ1020" s="18">
        <f>BY1020/AS1020</f>
        <v>0</v>
      </c>
      <c r="CA1020" s="18">
        <v>1</v>
      </c>
      <c r="CB1020" s="18">
        <v>1</v>
      </c>
      <c r="CC1020" s="18">
        <f>CB1020/AS1020</f>
        <v>3.6630036630036611</v>
      </c>
      <c r="CD1020" s="78">
        <v>0</v>
      </c>
      <c r="CE1020" s="18">
        <v>0</v>
      </c>
      <c r="CF1020" s="18">
        <f>CE1020/AS1020</f>
        <v>0</v>
      </c>
      <c r="CG1020" s="18">
        <v>0</v>
      </c>
      <c r="CH1020" s="18">
        <v>0</v>
      </c>
      <c r="CI1020" s="18">
        <f>CH1020/AS1020</f>
        <v>0</v>
      </c>
      <c r="CJ1020" s="18"/>
      <c r="CK1020" s="18"/>
      <c r="CL1020" s="18"/>
      <c r="CM1020" s="18">
        <v>0</v>
      </c>
      <c r="CN1020" s="18">
        <v>0</v>
      </c>
      <c r="CO1020" s="18">
        <f>CN1020/AS1020</f>
        <v>0</v>
      </c>
      <c r="CP1020" s="18">
        <v>0</v>
      </c>
      <c r="CQ1020" s="18">
        <v>0</v>
      </c>
      <c r="CR1020" s="18">
        <f>CQ1020/AS1020</f>
        <v>0</v>
      </c>
      <c r="CS1020" s="18">
        <f>IF(CT1020&gt;0,1,0)</f>
        <v>0</v>
      </c>
      <c r="CT1020" s="18">
        <f>SUM(CW1020,CZ1020,DC1020)</f>
        <v>0</v>
      </c>
      <c r="CU1020" s="18"/>
      <c r="CV1020" s="18">
        <f>SUM(CY1020,DB1020,DE1020)</f>
        <v>0</v>
      </c>
      <c r="CW1020" s="18">
        <v>0</v>
      </c>
      <c r="CX1020" s="18">
        <v>0</v>
      </c>
      <c r="CY1020" s="18">
        <f>CX1020/AS1020</f>
        <v>0</v>
      </c>
      <c r="CZ1020" s="18">
        <v>0</v>
      </c>
      <c r="DA1020" s="18">
        <v>0</v>
      </c>
      <c r="DB1020" s="18">
        <f>DA1020/AS1020</f>
        <v>0</v>
      </c>
      <c r="DC1020" s="18">
        <v>0</v>
      </c>
      <c r="DD1020" s="18">
        <v>0</v>
      </c>
      <c r="DE1020" s="18">
        <f>DD1020/AS1020</f>
        <v>0</v>
      </c>
      <c r="DF1020" s="16" t="e">
        <f>VLOOKUP(K1020,'[3]RNA Seq summary tables'!$V$3:$V$99,1,FALSE)</f>
        <v>#N/A</v>
      </c>
      <c r="DG1020" s="16"/>
      <c r="DH1020" s="16"/>
      <c r="DI1020" s="18">
        <v>64</v>
      </c>
      <c r="DJ1020" s="18"/>
      <c r="DK1020" s="18">
        <v>33</v>
      </c>
      <c r="DL1020" s="18"/>
      <c r="DM1020" s="18">
        <v>3</v>
      </c>
      <c r="DN1020" s="18"/>
      <c r="DO1020" s="18">
        <v>0</v>
      </c>
      <c r="DP1020" s="18"/>
      <c r="DQ1020" s="18">
        <v>0</v>
      </c>
      <c r="DR1020" s="18">
        <f>SUM(DI1020:DQ1020)</f>
        <v>100</v>
      </c>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18"/>
      <c r="EQ1020" s="18"/>
      <c r="ER1020" s="18"/>
      <c r="ES1020" s="18"/>
      <c r="ET1020" s="18"/>
      <c r="EU1020" s="18"/>
      <c r="EV1020" s="18"/>
      <c r="EW1020" s="18"/>
      <c r="EX1020" s="18"/>
      <c r="EY1020" s="18"/>
      <c r="EZ1020" s="18"/>
      <c r="FA1020" s="18"/>
      <c r="FB1020" s="18"/>
      <c r="FC1020" s="18"/>
      <c r="FD1020" s="18"/>
      <c r="FE1020" s="18"/>
      <c r="FF1020" s="18"/>
      <c r="FG1020" s="18"/>
      <c r="FH1020" s="18"/>
      <c r="FI1020" s="18"/>
      <c r="FJ1020" s="18"/>
      <c r="FK1020" s="18"/>
      <c r="FL1020" s="18"/>
      <c r="FM1020" s="18"/>
      <c r="FN1020" s="18"/>
      <c r="FO1020" s="18"/>
      <c r="FP1020" s="18"/>
      <c r="FQ1020" s="18"/>
      <c r="FR1020" s="18"/>
      <c r="FS1020" s="18"/>
      <c r="FT1020" s="18"/>
      <c r="FU1020" s="18"/>
      <c r="FV1020" s="18"/>
      <c r="FW1020" s="18"/>
      <c r="FX1020" s="18"/>
      <c r="FY1020" s="18"/>
      <c r="FZ1020" s="18"/>
      <c r="GA1020" s="18"/>
      <c r="GB1020" s="18"/>
      <c r="GC1020" s="18"/>
      <c r="GD1020" s="18"/>
      <c r="GE1020" s="18"/>
      <c r="GF1020" s="18"/>
      <c r="GG1020" s="18"/>
      <c r="GH1020" s="18"/>
      <c r="GI1020" s="18"/>
      <c r="GJ1020" s="18"/>
      <c r="GK1020" s="18"/>
      <c r="GL1020" s="18"/>
      <c r="GM1020" s="18"/>
      <c r="GN1020" s="18"/>
      <c r="GO1020" s="18"/>
      <c r="GP1020" s="18"/>
      <c r="GQ1020" s="18"/>
      <c r="GR1020" s="18"/>
      <c r="GS1020" s="18"/>
      <c r="GT1020" s="18"/>
      <c r="GU1020" s="18"/>
      <c r="GV1020" s="18"/>
      <c r="GW1020" s="18"/>
      <c r="GX1020" s="18"/>
      <c r="GY1020" s="18"/>
      <c r="GZ1020" s="18"/>
      <c r="HA1020" s="18"/>
      <c r="HB1020" s="18"/>
      <c r="HC1020" s="18"/>
      <c r="HD1020" s="18"/>
      <c r="HE1020" s="18"/>
      <c r="HF1020" s="18"/>
      <c r="HG1020" s="18"/>
      <c r="HH1020" s="18"/>
      <c r="HI1020" s="18"/>
      <c r="HJ1020" s="18"/>
      <c r="HK1020" s="18"/>
      <c r="HL1020" s="18"/>
      <c r="HM1020" s="18"/>
      <c r="HN1020" s="18"/>
      <c r="HO1020" s="18"/>
      <c r="HP1020" s="18"/>
      <c r="HQ1020" s="18"/>
      <c r="HR1020" s="18"/>
      <c r="HS1020" s="18"/>
      <c r="HT1020" s="18"/>
      <c r="HU1020" s="18"/>
      <c r="HV1020" s="18"/>
      <c r="HW1020" s="18"/>
      <c r="HX1020" s="18"/>
      <c r="HY1020" s="18"/>
      <c r="HZ1020" s="18"/>
      <c r="IA1020" s="18"/>
      <c r="IB1020" s="18"/>
      <c r="IC1020" s="18"/>
      <c r="ID1020" s="18"/>
      <c r="IE1020" s="18"/>
      <c r="IF1020" s="18"/>
      <c r="IG1020" s="18"/>
      <c r="IH1020" s="18"/>
      <c r="II1020" s="18"/>
      <c r="IJ1020" s="18"/>
      <c r="IK1020" s="18"/>
      <c r="IL1020" s="18"/>
      <c r="IM1020" s="18"/>
      <c r="IN1020" s="18"/>
      <c r="IO1020" s="18"/>
      <c r="IP1020" s="18"/>
      <c r="IQ1020" s="18"/>
      <c r="IR1020" s="18"/>
      <c r="IS1020" s="18"/>
      <c r="IT1020" s="18"/>
      <c r="IU1020" s="18"/>
      <c r="IV1020" s="18"/>
      <c r="IW1020" s="18"/>
      <c r="IX1020" s="18"/>
      <c r="IY1020" s="18"/>
      <c r="IZ1020" s="18"/>
      <c r="JA1020" s="18"/>
      <c r="JB1020" s="18"/>
      <c r="JC1020" s="18"/>
      <c r="JD1020" s="18"/>
      <c r="JE1020" s="18"/>
      <c r="JF1020" s="18"/>
      <c r="JG1020" s="18"/>
      <c r="JH1020" s="18"/>
      <c r="JI1020" s="18"/>
      <c r="JJ1020" s="18"/>
      <c r="JK1020" s="18"/>
      <c r="JL1020" s="18"/>
      <c r="JM1020" s="18"/>
      <c r="JN1020" s="18"/>
      <c r="JO1020" s="16"/>
      <c r="JP1020" s="16"/>
      <c r="JQ1020" s="16"/>
      <c r="JR1020" s="16"/>
      <c r="JS1020" s="16"/>
      <c r="JT1020" s="16"/>
      <c r="JU1020" s="16"/>
      <c r="JV1020" s="16"/>
      <c r="JW1020" s="16"/>
      <c r="JX1020" s="16"/>
      <c r="JY1020" s="16"/>
      <c r="JZ1020" s="16"/>
      <c r="KA1020" s="16"/>
      <c r="KB1020" s="16"/>
    </row>
    <row r="1021" spans="1:288" s="30" customFormat="1" x14ac:dyDescent="0.2">
      <c r="A1021" s="18"/>
      <c r="B1021" s="16">
        <v>2017</v>
      </c>
      <c r="C1021" s="20">
        <v>42911</v>
      </c>
      <c r="D1021" s="20" t="str">
        <f>CONCATENATE(J1021,"-",C1021)</f>
        <v>1156-42911</v>
      </c>
      <c r="E1021" s="20" t="str">
        <f>CONCATENATE(T1021,"-",U1021,"-",C1021)</f>
        <v>PO2-A5-42911</v>
      </c>
      <c r="F1021" s="20" t="s">
        <v>106</v>
      </c>
      <c r="G1021" s="20" t="s">
        <v>107</v>
      </c>
      <c r="H1021" s="16"/>
      <c r="I1021" s="16">
        <v>0</v>
      </c>
      <c r="J1021" s="21">
        <v>1156</v>
      </c>
      <c r="K1021" s="21">
        <v>1736</v>
      </c>
      <c r="L1021" s="18">
        <v>0</v>
      </c>
      <c r="M1021" s="21">
        <f>VLOOKUP($K1021,'[4]blood tubes 2017'!$D$1:$L$647,8,FALSE)</f>
        <v>0</v>
      </c>
      <c r="N1021" s="15">
        <v>0</v>
      </c>
      <c r="O1021" s="15" t="s">
        <v>214</v>
      </c>
      <c r="P1021" s="16" t="s">
        <v>110</v>
      </c>
      <c r="Q1021" s="16">
        <v>0</v>
      </c>
      <c r="R1021" s="16" t="s">
        <v>111</v>
      </c>
      <c r="S1021" s="16"/>
      <c r="T1021" s="16" t="s">
        <v>127</v>
      </c>
      <c r="U1021" s="16" t="s">
        <v>167</v>
      </c>
      <c r="V1021" s="16" t="s">
        <v>114</v>
      </c>
      <c r="W1021" s="16">
        <f>AI1021/AG1021</f>
        <v>0.73809523809523814</v>
      </c>
      <c r="X1021" s="16" t="s">
        <v>121</v>
      </c>
      <c r="Y1021" s="16" t="s">
        <v>122</v>
      </c>
      <c r="Z1021" s="16">
        <v>2.2999999999999998</v>
      </c>
      <c r="AA1021" s="16" t="s">
        <v>119</v>
      </c>
      <c r="AB1021" s="16" t="s">
        <v>123</v>
      </c>
      <c r="AC1021" s="16" t="s">
        <v>123</v>
      </c>
      <c r="AD1021" s="16" t="s">
        <v>123</v>
      </c>
      <c r="AE1021" s="16"/>
      <c r="AF1021" s="16"/>
      <c r="AG1021" s="16">
        <f>AH1021-AI1021</f>
        <v>84</v>
      </c>
      <c r="AH1021" s="16">
        <v>146</v>
      </c>
      <c r="AI1021" s="16">
        <v>62</v>
      </c>
      <c r="AJ1021" s="16"/>
      <c r="AK1021" s="16">
        <v>12.5</v>
      </c>
      <c r="AL1021" s="16">
        <v>0</v>
      </c>
      <c r="AM1021" s="16">
        <v>0</v>
      </c>
      <c r="AN1021" s="16">
        <v>0</v>
      </c>
      <c r="AO1021" s="16">
        <v>0</v>
      </c>
      <c r="AP1021" s="16">
        <f>SUM(AL1021:AN1021)</f>
        <v>0</v>
      </c>
      <c r="AQ1021" s="16">
        <v>1.972</v>
      </c>
      <c r="AR1021" s="16">
        <f>AP1021-1.472</f>
        <v>-1.472</v>
      </c>
      <c r="AS1021" s="16">
        <f>AQ1021-1.472</f>
        <v>0.5</v>
      </c>
      <c r="AT1021" s="16" t="s">
        <v>233</v>
      </c>
      <c r="AU1021" s="16"/>
      <c r="AV1021" s="16">
        <v>1</v>
      </c>
      <c r="AW1021" s="16">
        <f>IF(AX1021&gt;0,1,0)</f>
        <v>0</v>
      </c>
      <c r="AX1021" s="16">
        <f>SUM(BA1021,BM1021,CT1021)</f>
        <v>0</v>
      </c>
      <c r="AY1021" s="18">
        <f>SUM(BB1021,BN1021,CV1021)</f>
        <v>0</v>
      </c>
      <c r="AZ1021" s="16">
        <f>IF(BA1021&gt;0,1,0)</f>
        <v>0</v>
      </c>
      <c r="BA1021" s="16">
        <f>SUM(BC1021,BF1021,BI1021)</f>
        <v>0</v>
      </c>
      <c r="BB1021" s="16">
        <f>SUM(BE1021,BH1021,BK1021)</f>
        <v>0</v>
      </c>
      <c r="BC1021" s="16">
        <v>0</v>
      </c>
      <c r="BD1021" s="16">
        <v>0</v>
      </c>
      <c r="BE1021" s="16">
        <f>BD1021/AS1021</f>
        <v>0</v>
      </c>
      <c r="BF1021" s="16">
        <v>0</v>
      </c>
      <c r="BG1021" s="77">
        <v>0</v>
      </c>
      <c r="BH1021" s="16">
        <f>BG1021/AS1021</f>
        <v>0</v>
      </c>
      <c r="BI1021" s="16">
        <v>0</v>
      </c>
      <c r="BJ1021" s="16">
        <v>0</v>
      </c>
      <c r="BK1021" s="16">
        <f>BJ1021/AS1021</f>
        <v>0</v>
      </c>
      <c r="BL1021" s="16">
        <f>IF(BM1021&gt;0,1,0)</f>
        <v>0</v>
      </c>
      <c r="BM1021" s="16">
        <f>SUM(BR1021,BU1021,BX1021,CA1021,CD1021,CG1021,CJ1021,CM1021,CP1021)</f>
        <v>0</v>
      </c>
      <c r="BN1021" s="16">
        <f>SUM(BW1021,BZ1021,CC1021,CF1021,CI1021,CL1021,CO1021,CR1021,BT1021)</f>
        <v>0</v>
      </c>
      <c r="BO1021" s="16">
        <f>IF(BP1021&gt;0,1,0)</f>
        <v>0</v>
      </c>
      <c r="BP1021" s="16">
        <f>SUM(BU1021,BX1021,CA1021,CD1021,BR1021)</f>
        <v>0</v>
      </c>
      <c r="BQ1021" s="16">
        <f>SUM(BZ1021,CC1021,CF1021,BT1021,BW1021)</f>
        <v>0</v>
      </c>
      <c r="BR1021" s="16">
        <v>0</v>
      </c>
      <c r="BS1021" s="16">
        <v>0</v>
      </c>
      <c r="BT1021" s="77">
        <f>BS1021/AS1021</f>
        <v>0</v>
      </c>
      <c r="BU1021" s="16">
        <v>0</v>
      </c>
      <c r="BV1021" s="16">
        <v>0</v>
      </c>
      <c r="BW1021" s="16">
        <f>BV1021/AS1021</f>
        <v>0</v>
      </c>
      <c r="BX1021" s="16">
        <v>0</v>
      </c>
      <c r="BY1021" s="16">
        <v>0</v>
      </c>
      <c r="BZ1021" s="16">
        <f>BY1021/AS1021</f>
        <v>0</v>
      </c>
      <c r="CA1021" s="16">
        <v>0</v>
      </c>
      <c r="CB1021" s="16">
        <v>0</v>
      </c>
      <c r="CC1021" s="16">
        <f>CB1021/AS1021</f>
        <v>0</v>
      </c>
      <c r="CD1021" s="77">
        <v>0</v>
      </c>
      <c r="CE1021" s="16">
        <v>0</v>
      </c>
      <c r="CF1021" s="16">
        <f>CE1021/AS1021</f>
        <v>0</v>
      </c>
      <c r="CG1021" s="16">
        <v>0</v>
      </c>
      <c r="CH1021" s="16">
        <v>0</v>
      </c>
      <c r="CI1021" s="16">
        <f>CH1021/AS1021</f>
        <v>0</v>
      </c>
      <c r="CJ1021" s="16"/>
      <c r="CK1021" s="16"/>
      <c r="CL1021" s="16"/>
      <c r="CM1021" s="16">
        <v>0</v>
      </c>
      <c r="CN1021" s="16">
        <v>0</v>
      </c>
      <c r="CO1021" s="16">
        <f>CN1021/AS1021</f>
        <v>0</v>
      </c>
      <c r="CP1021" s="16">
        <v>0</v>
      </c>
      <c r="CQ1021" s="16">
        <v>0</v>
      </c>
      <c r="CR1021" s="16">
        <f>CQ1021/AS1021</f>
        <v>0</v>
      </c>
      <c r="CS1021" s="16">
        <f>IF(CT1021&gt;0,1,0)</f>
        <v>0</v>
      </c>
      <c r="CT1021" s="16">
        <f>SUM(CW1021,CZ1021,DC1021)</f>
        <v>0</v>
      </c>
      <c r="CU1021" s="16"/>
      <c r="CV1021" s="16">
        <f>SUM(CY1021,DB1021,DE1021)</f>
        <v>0</v>
      </c>
      <c r="CW1021" s="16">
        <v>0</v>
      </c>
      <c r="CX1021" s="16">
        <v>0</v>
      </c>
      <c r="CY1021" s="16">
        <f>CX1021/AS1021</f>
        <v>0</v>
      </c>
      <c r="CZ1021" s="16">
        <v>0</v>
      </c>
      <c r="DA1021" s="16">
        <v>0</v>
      </c>
      <c r="DB1021" s="16">
        <f>DA1021/AS1021</f>
        <v>0</v>
      </c>
      <c r="DC1021" s="16">
        <v>0</v>
      </c>
      <c r="DD1021" s="16">
        <v>0</v>
      </c>
      <c r="DE1021" s="16">
        <f>DD1021/AS1021</f>
        <v>0</v>
      </c>
      <c r="DF1021" s="16" t="e">
        <f>VLOOKUP(K1021,'[3]RNA Seq summary tables'!$V$3:$V$99,1,FALSE)</f>
        <v>#N/A</v>
      </c>
      <c r="DG1021" s="16"/>
      <c r="DH1021" s="16"/>
      <c r="DI1021" s="16">
        <v>50</v>
      </c>
      <c r="DJ1021" s="16"/>
      <c r="DK1021" s="16">
        <v>45</v>
      </c>
      <c r="DL1021" s="16"/>
      <c r="DM1021" s="16">
        <v>5</v>
      </c>
      <c r="DN1021" s="16"/>
      <c r="DO1021" s="16">
        <v>0</v>
      </c>
      <c r="DP1021" s="16"/>
      <c r="DQ1021" s="16">
        <v>0</v>
      </c>
      <c r="DR1021" s="16">
        <f>SUM(DI1021:DQ1021)</f>
        <v>100</v>
      </c>
      <c r="DS1021" s="16"/>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18"/>
      <c r="EQ1021" s="18"/>
      <c r="ER1021" s="18"/>
      <c r="ES1021" s="18"/>
      <c r="ET1021" s="18"/>
      <c r="EU1021" s="18"/>
      <c r="EV1021" s="18"/>
      <c r="EW1021" s="18"/>
      <c r="EX1021" s="18"/>
      <c r="EY1021" s="18"/>
      <c r="EZ1021" s="18"/>
      <c r="FA1021" s="18"/>
      <c r="FB1021" s="18"/>
      <c r="FC1021" s="18"/>
      <c r="FD1021" s="18"/>
      <c r="FE1021" s="18"/>
      <c r="FF1021" s="18"/>
      <c r="FG1021" s="18"/>
      <c r="FH1021" s="18"/>
      <c r="FI1021" s="18"/>
      <c r="FJ1021" s="18"/>
      <c r="FK1021" s="18"/>
      <c r="FL1021" s="18"/>
      <c r="FM1021" s="18"/>
      <c r="FN1021" s="18"/>
      <c r="FO1021" s="18"/>
      <c r="FP1021" s="18"/>
      <c r="FQ1021" s="18"/>
      <c r="FR1021" s="18"/>
      <c r="FS1021" s="18"/>
      <c r="FT1021" s="18"/>
      <c r="FU1021" s="18"/>
      <c r="FV1021" s="18"/>
      <c r="FW1021" s="18"/>
      <c r="FX1021" s="18"/>
      <c r="FY1021" s="18"/>
      <c r="FZ1021" s="18"/>
      <c r="GA1021" s="18"/>
      <c r="GB1021" s="18"/>
      <c r="GC1021" s="18"/>
      <c r="GD1021" s="18"/>
      <c r="GE1021" s="18"/>
      <c r="GF1021" s="18"/>
      <c r="GG1021" s="18"/>
      <c r="GH1021" s="18"/>
      <c r="GI1021" s="18"/>
      <c r="GJ1021" s="18"/>
      <c r="GK1021" s="18"/>
      <c r="GL1021" s="18"/>
      <c r="GM1021" s="18"/>
      <c r="GN1021" s="18"/>
      <c r="GO1021" s="18"/>
      <c r="GP1021" s="18"/>
      <c r="GQ1021" s="18"/>
      <c r="GR1021" s="18"/>
      <c r="GS1021" s="18"/>
      <c r="GT1021" s="18"/>
      <c r="GU1021" s="18"/>
      <c r="GV1021" s="18"/>
      <c r="GW1021" s="18"/>
      <c r="GX1021" s="18"/>
      <c r="GY1021" s="18"/>
      <c r="GZ1021" s="18"/>
      <c r="HA1021" s="18"/>
      <c r="HB1021" s="18"/>
      <c r="HC1021" s="18"/>
      <c r="HD1021" s="18"/>
      <c r="HE1021" s="18"/>
      <c r="HF1021" s="18"/>
      <c r="HG1021" s="18"/>
      <c r="HH1021" s="18"/>
      <c r="HI1021" s="18"/>
      <c r="HJ1021" s="18"/>
      <c r="HK1021" s="18"/>
      <c r="HL1021" s="18"/>
      <c r="HM1021" s="18"/>
      <c r="HN1021" s="18"/>
      <c r="HO1021" s="18"/>
      <c r="HP1021" s="18"/>
      <c r="HQ1021" s="18"/>
      <c r="HR1021" s="18"/>
      <c r="HS1021" s="18"/>
      <c r="HT1021" s="18"/>
      <c r="HU1021" s="18"/>
      <c r="HV1021" s="18"/>
      <c r="HW1021" s="18"/>
      <c r="HX1021" s="18"/>
      <c r="HY1021" s="18"/>
      <c r="HZ1021" s="18"/>
      <c r="IA1021" s="18"/>
      <c r="IB1021" s="18"/>
      <c r="IC1021" s="18"/>
      <c r="ID1021" s="18"/>
      <c r="IE1021" s="18"/>
      <c r="IF1021" s="18"/>
      <c r="IG1021" s="18"/>
      <c r="IH1021" s="18"/>
      <c r="II1021" s="18"/>
      <c r="IJ1021" s="18"/>
      <c r="IK1021" s="18"/>
      <c r="IL1021" s="18"/>
      <c r="IM1021" s="18"/>
      <c r="IN1021" s="18"/>
      <c r="IO1021" s="18"/>
      <c r="IP1021" s="18"/>
      <c r="IQ1021" s="18"/>
      <c r="IR1021" s="18"/>
      <c r="IS1021" s="18"/>
      <c r="IT1021" s="18"/>
      <c r="IU1021" s="18"/>
      <c r="IV1021" s="18"/>
      <c r="IW1021" s="18"/>
      <c r="IX1021" s="18"/>
      <c r="IY1021" s="18"/>
      <c r="IZ1021" s="18"/>
      <c r="JA1021" s="18"/>
      <c r="JB1021" s="18"/>
      <c r="JC1021" s="18"/>
      <c r="JD1021" s="18"/>
      <c r="JE1021" s="18"/>
      <c r="JF1021" s="18"/>
      <c r="JG1021" s="18"/>
      <c r="JH1021" s="18"/>
      <c r="JI1021" s="18"/>
      <c r="JJ1021" s="18"/>
      <c r="JK1021" s="18"/>
      <c r="JL1021" s="18"/>
      <c r="JM1021" s="18"/>
      <c r="JN1021" s="18"/>
      <c r="JO1021" s="16"/>
      <c r="JP1021" s="18"/>
      <c r="JQ1021" s="18"/>
      <c r="JR1021" s="16"/>
      <c r="JS1021" s="16"/>
      <c r="JT1021" s="16"/>
      <c r="JU1021" s="16"/>
      <c r="JV1021" s="16"/>
      <c r="JW1021" s="16"/>
      <c r="JX1021" s="16"/>
      <c r="JY1021" s="16"/>
      <c r="JZ1021" s="16"/>
      <c r="KA1021" s="16"/>
      <c r="KB1021" s="16"/>
    </row>
    <row r="1022" spans="1:288" x14ac:dyDescent="0.2">
      <c r="B1022" s="16">
        <v>2017</v>
      </c>
      <c r="C1022" s="20">
        <v>42912</v>
      </c>
      <c r="D1022" s="20" t="str">
        <f>CONCATENATE(J1022,"-",C1022)</f>
        <v>1158-42912</v>
      </c>
      <c r="E1022" s="20" t="str">
        <f>CONCATENATE(T1022,"-",U1022,"-",C1022)</f>
        <v>PO1-A5-42912</v>
      </c>
      <c r="F1022" s="20" t="s">
        <v>106</v>
      </c>
      <c r="G1022" s="20" t="s">
        <v>107</v>
      </c>
      <c r="I1022" s="16">
        <v>0</v>
      </c>
      <c r="J1022" s="21">
        <v>1158</v>
      </c>
      <c r="K1022" s="21">
        <v>1745</v>
      </c>
      <c r="L1022" s="18">
        <v>0</v>
      </c>
      <c r="M1022" s="21">
        <f>VLOOKUP($K1022,'[4]blood tubes 2017'!$D$1:$L$647,8,FALSE)</f>
        <v>0</v>
      </c>
      <c r="N1022" s="15">
        <v>0</v>
      </c>
      <c r="O1022" s="15" t="s">
        <v>214</v>
      </c>
      <c r="P1022" s="16" t="s">
        <v>110</v>
      </c>
      <c r="Q1022" s="16">
        <v>0</v>
      </c>
      <c r="R1022" s="16" t="s">
        <v>111</v>
      </c>
      <c r="T1022" s="16" t="s">
        <v>112</v>
      </c>
      <c r="U1022" s="16" t="s">
        <v>167</v>
      </c>
      <c r="V1022" s="16" t="s">
        <v>114</v>
      </c>
      <c r="W1022" s="16">
        <f>AI1022/AG1022</f>
        <v>0.77777777777777779</v>
      </c>
      <c r="X1022" s="16" t="s">
        <v>115</v>
      </c>
      <c r="Y1022" s="16" t="s">
        <v>122</v>
      </c>
      <c r="Z1022" s="16">
        <v>2.2999999999999998</v>
      </c>
      <c r="AE1022" s="16" t="s">
        <v>123</v>
      </c>
      <c r="AF1022" s="16" t="s">
        <v>123</v>
      </c>
      <c r="AG1022" s="16">
        <f>AH1022-AI1022</f>
        <v>81</v>
      </c>
      <c r="AH1022" s="16">
        <v>144</v>
      </c>
      <c r="AI1022" s="16">
        <v>63</v>
      </c>
      <c r="AK1022" s="16">
        <v>14.5</v>
      </c>
      <c r="AL1022" s="16">
        <v>0</v>
      </c>
      <c r="AM1022" s="16">
        <v>0</v>
      </c>
      <c r="AN1022" s="16">
        <v>0</v>
      </c>
      <c r="AO1022" s="16">
        <v>0</v>
      </c>
      <c r="AP1022" s="16">
        <f>SUM(AL1022:AN1022)</f>
        <v>0</v>
      </c>
      <c r="AQ1022" s="16">
        <v>1.752</v>
      </c>
      <c r="AR1022" s="16">
        <f>AP1022-1.472</f>
        <v>-1.472</v>
      </c>
      <c r="AS1022" s="16">
        <f>AQ1022-1.472</f>
        <v>0.28000000000000003</v>
      </c>
      <c r="AT1022" s="16" t="s">
        <v>233</v>
      </c>
      <c r="AW1022" s="16">
        <f>IF(AX1022&gt;0,1,0)</f>
        <v>1</v>
      </c>
      <c r="AX1022" s="16">
        <f>SUM(BA1022,BM1022,CT1022)</f>
        <v>1</v>
      </c>
      <c r="AY1022" s="18">
        <f>SUM(BB1022,BN1022,CV1022)</f>
        <v>56342.857142857138</v>
      </c>
      <c r="AZ1022" s="16">
        <f>IF(BA1022&gt;0,1,0)</f>
        <v>1</v>
      </c>
      <c r="BA1022" s="16">
        <f>SUM(BC1022,BF1022,BI1022)</f>
        <v>1</v>
      </c>
      <c r="BB1022" s="16">
        <f>SUM(BE1022,BH1022,BK1022)</f>
        <v>56342.857142857138</v>
      </c>
      <c r="BC1022" s="16">
        <v>0</v>
      </c>
      <c r="BD1022" s="16">
        <v>0</v>
      </c>
      <c r="BE1022" s="16">
        <f>BD1022/AS1022</f>
        <v>0</v>
      </c>
      <c r="BF1022" s="16">
        <v>1</v>
      </c>
      <c r="BG1022" s="77">
        <v>15776</v>
      </c>
      <c r="BH1022" s="16">
        <f>BG1022/AS1022</f>
        <v>56342.857142857138</v>
      </c>
      <c r="BI1022" s="16">
        <v>0</v>
      </c>
      <c r="BJ1022" s="16">
        <v>0</v>
      </c>
      <c r="BK1022" s="16">
        <f>BJ1022/AS1022</f>
        <v>0</v>
      </c>
      <c r="BL1022" s="16">
        <f>IF(BM1022&gt;0,1,0)</f>
        <v>0</v>
      </c>
      <c r="BM1022" s="16">
        <f>SUM(BR1022,BU1022,BX1022,CA1022,CD1022,CG1022,CJ1022,CM1022,CP1022)</f>
        <v>0</v>
      </c>
      <c r="BN1022" s="16">
        <f>SUM(BW1022,BZ1022,CC1022,CF1022,CI1022,CL1022,CO1022,CR1022,BT1022)</f>
        <v>0</v>
      </c>
      <c r="BO1022" s="16">
        <f>IF(BP1022&gt;0,1,0)</f>
        <v>0</v>
      </c>
      <c r="BP1022" s="16">
        <f>SUM(BU1022,BX1022,CA1022,CD1022,BR1022)</f>
        <v>0</v>
      </c>
      <c r="BQ1022" s="16">
        <f>SUM(BZ1022,CC1022,CF1022,BT1022,BW1022)</f>
        <v>0</v>
      </c>
      <c r="BR1022" s="16">
        <v>0</v>
      </c>
      <c r="BS1022" s="16">
        <v>0</v>
      </c>
      <c r="BT1022" s="77">
        <f>BS1022/AS1022</f>
        <v>0</v>
      </c>
      <c r="BU1022" s="16">
        <v>0</v>
      </c>
      <c r="BV1022" s="16">
        <v>0</v>
      </c>
      <c r="BW1022" s="16">
        <f>BV1022/AS1022</f>
        <v>0</v>
      </c>
      <c r="BX1022" s="16">
        <v>0</v>
      </c>
      <c r="BY1022" s="16">
        <v>0</v>
      </c>
      <c r="BZ1022" s="16">
        <f>BY1022/AS1022</f>
        <v>0</v>
      </c>
      <c r="CA1022" s="16">
        <v>0</v>
      </c>
      <c r="CB1022" s="16">
        <v>0</v>
      </c>
      <c r="CC1022" s="16">
        <f>CB1022/AS1022</f>
        <v>0</v>
      </c>
      <c r="CD1022" s="77">
        <v>0</v>
      </c>
      <c r="CE1022" s="16">
        <v>0</v>
      </c>
      <c r="CF1022" s="16">
        <f>CE1022/AS1022</f>
        <v>0</v>
      </c>
      <c r="CG1022" s="16">
        <v>0</v>
      </c>
      <c r="CH1022" s="16">
        <v>0</v>
      </c>
      <c r="CI1022" s="16">
        <f>CH1022/AS1022</f>
        <v>0</v>
      </c>
      <c r="CM1022" s="16">
        <v>0</v>
      </c>
      <c r="CN1022" s="16">
        <v>0</v>
      </c>
      <c r="CO1022" s="16">
        <f>CN1022/AS1022</f>
        <v>0</v>
      </c>
      <c r="CP1022" s="16">
        <v>0</v>
      </c>
      <c r="CQ1022" s="16">
        <v>0</v>
      </c>
      <c r="CR1022" s="16">
        <f>CQ1022/AS1022</f>
        <v>0</v>
      </c>
      <c r="CS1022" s="16">
        <f>IF(CT1022&gt;0,1,0)</f>
        <v>0</v>
      </c>
      <c r="CT1022" s="16">
        <f>SUM(CW1022,CZ1022,DC1022)</f>
        <v>0</v>
      </c>
      <c r="CV1022" s="16">
        <f>SUM(CY1022,DB1022,DE1022)</f>
        <v>0</v>
      </c>
      <c r="CW1022" s="16">
        <v>0</v>
      </c>
      <c r="CX1022" s="16">
        <v>0</v>
      </c>
      <c r="CY1022" s="16">
        <f>CX1022/AS1022</f>
        <v>0</v>
      </c>
      <c r="CZ1022" s="16">
        <v>0</v>
      </c>
      <c r="DA1022" s="16">
        <v>0</v>
      </c>
      <c r="DB1022" s="16">
        <f>DA1022/AS1022</f>
        <v>0</v>
      </c>
      <c r="DC1022" s="16">
        <v>0</v>
      </c>
      <c r="DD1022" s="16">
        <v>0</v>
      </c>
      <c r="DE1022" s="16">
        <f>DD1022/AS1022</f>
        <v>0</v>
      </c>
      <c r="DF1022" s="16" t="e">
        <f>VLOOKUP(K1022,'[3]RNA Seq summary tables'!$V$3:$V$99,1,FALSE)</f>
        <v>#N/A</v>
      </c>
      <c r="DI1022" s="16">
        <v>30</v>
      </c>
      <c r="DK1022" s="16">
        <v>65</v>
      </c>
      <c r="DM1022" s="16">
        <v>5</v>
      </c>
      <c r="DO1022" s="16">
        <v>0</v>
      </c>
      <c r="DQ1022" s="16">
        <v>0</v>
      </c>
      <c r="DR1022" s="16">
        <f>SUM(DI1022:DQ1022)</f>
        <v>100</v>
      </c>
    </row>
    <row r="1023" spans="1:288" x14ac:dyDescent="0.2">
      <c r="B1023" s="16">
        <v>2017</v>
      </c>
      <c r="C1023" s="20">
        <v>42912</v>
      </c>
      <c r="D1023" s="20" t="str">
        <f>CONCATENATE(J1023,"-",C1023)</f>
        <v>1160-42912</v>
      </c>
      <c r="E1023" s="20" t="str">
        <f>CONCATENATE(T1023,"-",U1023,"-",C1023)</f>
        <v>PO1-D2-42912</v>
      </c>
      <c r="F1023" s="20" t="s">
        <v>106</v>
      </c>
      <c r="G1023" s="20" t="s">
        <v>107</v>
      </c>
      <c r="I1023" s="16">
        <v>0</v>
      </c>
      <c r="J1023" s="21">
        <v>1160</v>
      </c>
      <c r="K1023" s="21">
        <v>1747</v>
      </c>
      <c r="L1023" s="18">
        <v>0</v>
      </c>
      <c r="M1023" s="21">
        <f>VLOOKUP($K1023,'[4]blood tubes 2017'!$D$1:$L$647,8,FALSE)</f>
        <v>0</v>
      </c>
      <c r="N1023" s="15">
        <v>0</v>
      </c>
      <c r="O1023" s="15" t="s">
        <v>214</v>
      </c>
      <c r="P1023" s="16" t="s">
        <v>110</v>
      </c>
      <c r="Q1023" s="16">
        <v>0</v>
      </c>
      <c r="R1023" s="16" t="s">
        <v>111</v>
      </c>
      <c r="T1023" s="16" t="s">
        <v>112</v>
      </c>
      <c r="U1023" s="16" t="s">
        <v>198</v>
      </c>
      <c r="V1023" s="16" t="s">
        <v>142</v>
      </c>
      <c r="W1023" s="16">
        <f>AI1023/AG1023</f>
        <v>0.91463414634146345</v>
      </c>
      <c r="X1023" s="16" t="s">
        <v>121</v>
      </c>
      <c r="Y1023" s="16" t="s">
        <v>110</v>
      </c>
      <c r="Z1023" s="16">
        <v>3</v>
      </c>
      <c r="AA1023" s="16" t="s">
        <v>119</v>
      </c>
      <c r="AB1023" s="16" t="s">
        <v>123</v>
      </c>
      <c r="AC1023" s="16" t="s">
        <v>123</v>
      </c>
      <c r="AD1023" s="16" t="s">
        <v>123</v>
      </c>
      <c r="AG1023" s="16">
        <f>AH1023-AI1023</f>
        <v>82</v>
      </c>
      <c r="AH1023" s="16">
        <v>157</v>
      </c>
      <c r="AI1023" s="16">
        <v>75</v>
      </c>
      <c r="AK1023" s="16">
        <v>13</v>
      </c>
      <c r="AL1023" s="16">
        <v>0</v>
      </c>
      <c r="AM1023" s="16">
        <v>0</v>
      </c>
      <c r="AN1023" s="16">
        <v>0</v>
      </c>
      <c r="AO1023" s="16">
        <v>0</v>
      </c>
      <c r="AP1023" s="16">
        <f>SUM(AL1023:AN1023)</f>
        <v>0</v>
      </c>
      <c r="AQ1023" s="16">
        <v>1.669</v>
      </c>
      <c r="AR1023" s="16">
        <f>AP1023-1.472</f>
        <v>-1.472</v>
      </c>
      <c r="AS1023" s="16">
        <f>AQ1023-1.472</f>
        <v>0.19700000000000006</v>
      </c>
      <c r="AT1023" s="16" t="s">
        <v>233</v>
      </c>
      <c r="AV1023" s="16">
        <v>1</v>
      </c>
      <c r="AW1023" s="18">
        <f>IF(AX1023&gt;0,1,0)</f>
        <v>0</v>
      </c>
      <c r="AX1023" s="18">
        <f>SUM(BA1023,BM1023,CT1023)</f>
        <v>0</v>
      </c>
      <c r="AY1023" s="18">
        <f>SUM(BB1023,BN1023,CV1023)</f>
        <v>0</v>
      </c>
      <c r="AZ1023" s="18">
        <f>IF(BA1023&gt;0,1,0)</f>
        <v>0</v>
      </c>
      <c r="BA1023" s="18">
        <f>SUM(BC1023,BF1023,BI1023)</f>
        <v>0</v>
      </c>
      <c r="BB1023" s="18">
        <f>SUM(BE1023,BH1023,BK1023)</f>
        <v>0</v>
      </c>
      <c r="BC1023" s="18">
        <f>IF(BD1023&gt;0,1,0)</f>
        <v>0</v>
      </c>
      <c r="BD1023" s="18">
        <f>VLOOKUP($K1023,'[5]FECs - good data'!$C$1:$Z$574,14,FALSE)</f>
        <v>0</v>
      </c>
      <c r="BE1023" s="16">
        <f>BD1023/AS1023</f>
        <v>0</v>
      </c>
      <c r="BF1023" s="16">
        <f>IF(BG1023&gt;0,1,0)</f>
        <v>0</v>
      </c>
      <c r="BG1023" s="77">
        <f>VLOOKUP($K1023,'[5]FECs - good data'!$C$1:$Z$574,15,FALSE)</f>
        <v>0</v>
      </c>
      <c r="BH1023" s="16">
        <f>BG1023/AS1023</f>
        <v>0</v>
      </c>
      <c r="BI1023" s="16">
        <f>IF(BJ1023&gt;0,1,0)</f>
        <v>0</v>
      </c>
      <c r="BJ1023" s="16">
        <f>VLOOKUP($K1023,'[5]FECs - good data'!$C$1:$Z$574,16,FALSE)</f>
        <v>0</v>
      </c>
      <c r="BK1023" s="16">
        <f>BJ1023/AS1023</f>
        <v>0</v>
      </c>
      <c r="BL1023" s="16">
        <f>IF(BM1023&gt;0,1,0)</f>
        <v>0</v>
      </c>
      <c r="BM1023" s="16">
        <f>SUM(BR1023,BU1023,BX1023,CA1023,CD1023,CG1023,CJ1023,CM1023,CP1023)</f>
        <v>0</v>
      </c>
      <c r="BN1023" s="16">
        <f>SUM(BW1023,BZ1023,CC1023,CF1023,CI1023,CL1023,CO1023,CR1023,BT1023)</f>
        <v>0</v>
      </c>
      <c r="BO1023" s="16">
        <f>IF(BP1023&gt;0,1,0)</f>
        <v>0</v>
      </c>
      <c r="BP1023" s="16">
        <f>SUM(BU1023,BX1023,CA1023,CD1023,BR1023)</f>
        <v>0</v>
      </c>
      <c r="BQ1023" s="16">
        <f>SUM(BZ1023,CC1023,CF1023,BT1023,BW1023)</f>
        <v>0</v>
      </c>
      <c r="BR1023" s="16">
        <f>IF(BS1023&gt;0,1,0)</f>
        <v>0</v>
      </c>
      <c r="BS1023" s="16">
        <f>VLOOKUP($K1023,'[5]FECs - good data'!$C$1:$Z$574,17,FALSE)</f>
        <v>0</v>
      </c>
      <c r="BT1023" s="77">
        <f>BS1023/AS1023</f>
        <v>0</v>
      </c>
      <c r="BU1023" s="16">
        <f>IF(BV1023&gt;0,1,0)</f>
        <v>0</v>
      </c>
      <c r="BV1023" s="16">
        <f>VLOOKUP($K1023,'[5]FECs - good data'!$C$1:$Z$574,18,FALSE)</f>
        <v>0</v>
      </c>
      <c r="BW1023" s="16">
        <f>BV1023/AS1023</f>
        <v>0</v>
      </c>
      <c r="BX1023" s="16">
        <f>IF(BY1023&gt;0,1,0)</f>
        <v>0</v>
      </c>
      <c r="BY1023" s="16">
        <f>VLOOKUP($K1023,'[5]FECs - good data'!$C$1:$Z$574,19,FALSE)</f>
        <v>0</v>
      </c>
      <c r="BZ1023" s="16">
        <f>BY1023/AS1023</f>
        <v>0</v>
      </c>
      <c r="CA1023" s="16">
        <f>IF(CB1023&gt;0,1,0)</f>
        <v>0</v>
      </c>
      <c r="CB1023" s="16">
        <f>VLOOKUP($K1023,'[5]FECs - good data'!$C$1:$Z$574,20,FALSE)</f>
        <v>0</v>
      </c>
      <c r="CC1023" s="16">
        <f>CB1023/AS1023</f>
        <v>0</v>
      </c>
      <c r="CD1023" s="77">
        <f>IF(CE1023&gt;0,1,0)</f>
        <v>0</v>
      </c>
      <c r="CE1023" s="16">
        <f>VLOOKUP($K1023,'[5]FECs - good data'!$C$1:$Z$574,21,FALSE)</f>
        <v>0</v>
      </c>
      <c r="CF1023" s="16">
        <f>CE1023/AS1023</f>
        <v>0</v>
      </c>
      <c r="CG1023" s="16">
        <f>IF(CH1023&gt;0,1,0)</f>
        <v>0</v>
      </c>
      <c r="CH1023" s="16">
        <f>VLOOKUP($K1023,'[5]FECs - good data'!$C$1:$Z$574,22,FALSE)</f>
        <v>0</v>
      </c>
      <c r="CI1023" s="16">
        <f>CH1023/AS1023</f>
        <v>0</v>
      </c>
      <c r="CJ1023" s="16">
        <f>IF(CK1023&gt;0,1,0)</f>
        <v>0</v>
      </c>
      <c r="CK1023" s="16">
        <f>VLOOKUP($K1023,'[5]FECs - good data'!$C$1:$Z$674,24,FALSE)</f>
        <v>0</v>
      </c>
      <c r="CL1023" s="16">
        <f>CK1023/AS1023</f>
        <v>0</v>
      </c>
      <c r="CS1023" s="16">
        <f>IF(CT1023&gt;0,1,0)</f>
        <v>0</v>
      </c>
      <c r="CT1023" s="16">
        <f>SUM(CW1023+CZ1023,DC1023)</f>
        <v>0</v>
      </c>
      <c r="CV1023" s="16">
        <f>SUM(CY1023,DB1023,DE1023)</f>
        <v>0</v>
      </c>
      <c r="CW1023" s="16">
        <f>IF(CX1023&gt;0,1,0)</f>
        <v>0</v>
      </c>
      <c r="CX1023" s="16">
        <f>VLOOKUP($K1023,'[5]FECs - good data'!$C$1:$Z$574,22,FALSE)</f>
        <v>0</v>
      </c>
      <c r="CY1023" s="16">
        <f>CX1023/AS1023</f>
        <v>0</v>
      </c>
      <c r="CZ1023" s="16">
        <f>IF(DA1023&gt;0,1,0)</f>
        <v>0</v>
      </c>
      <c r="DA1023" s="16">
        <f>VLOOKUP($K1023,'[5]FECs - good data'!$C$1:$Z$5982,23,FALSE)</f>
        <v>0</v>
      </c>
      <c r="DB1023" s="16">
        <f>DA1023/AS1023</f>
        <v>0</v>
      </c>
      <c r="DC1023" s="16">
        <v>0</v>
      </c>
      <c r="DD1023" s="16">
        <f>VLOOKUP($K1023,'[5]FECs - good data'!$C$1:$Z$574,23,FALSE)</f>
        <v>0</v>
      </c>
      <c r="DE1023" s="16">
        <f>DD1023/AS1023</f>
        <v>0</v>
      </c>
      <c r="DF1023" s="16" t="e">
        <f>VLOOKUP(K1023,'[3]RNA Seq summary tables'!$V$3:$V$99,1,FALSE)</f>
        <v>#N/A</v>
      </c>
      <c r="DI1023" s="16">
        <v>55</v>
      </c>
      <c r="DK1023" s="16">
        <v>35</v>
      </c>
      <c r="DM1023" s="16">
        <v>10</v>
      </c>
      <c r="DO1023" s="16">
        <v>0</v>
      </c>
      <c r="DQ1023" s="16">
        <v>0</v>
      </c>
      <c r="DR1023" s="16">
        <f>SUM(DI1023:DQ1023)</f>
        <v>100</v>
      </c>
    </row>
    <row r="1024" spans="1:288" x14ac:dyDescent="0.2">
      <c r="A1024" s="19"/>
      <c r="B1024" s="19">
        <v>2017</v>
      </c>
      <c r="C1024" s="68">
        <v>42912</v>
      </c>
      <c r="D1024" s="68" t="str">
        <f>CONCATENATE(J1024,"-",C1024)</f>
        <v>1163-42912</v>
      </c>
      <c r="E1024" s="20" t="str">
        <f>CONCATENATE(T1024,"-",U1024,"-",C1024)</f>
        <v>PO2-B8-42912</v>
      </c>
      <c r="F1024" s="20" t="s">
        <v>106</v>
      </c>
      <c r="G1024" s="68" t="s">
        <v>107</v>
      </c>
      <c r="H1024" s="19"/>
      <c r="I1024" s="16">
        <v>0</v>
      </c>
      <c r="J1024" s="69">
        <v>1163</v>
      </c>
      <c r="K1024" s="69">
        <v>1754</v>
      </c>
      <c r="L1024" s="18">
        <v>0</v>
      </c>
      <c r="M1024" s="69">
        <f>VLOOKUP($K1024,'[4]blood tubes 2017'!$D$1:$L$647,8,FALSE)</f>
        <v>1</v>
      </c>
      <c r="N1024" s="69">
        <f>VLOOKUP($K1024,'[4]blood tubes 2017'!$D$1:$L$647,9,FALSE)</f>
        <v>13</v>
      </c>
      <c r="O1024" s="15" t="s">
        <v>214</v>
      </c>
      <c r="P1024" s="19" t="s">
        <v>110</v>
      </c>
      <c r="Q1024" s="19">
        <v>0</v>
      </c>
      <c r="R1024" s="19" t="s">
        <v>111</v>
      </c>
      <c r="S1024" s="19"/>
      <c r="T1024" s="19" t="s">
        <v>127</v>
      </c>
      <c r="U1024" s="19" t="s">
        <v>209</v>
      </c>
      <c r="V1024" s="19" t="s">
        <v>114</v>
      </c>
      <c r="W1024" s="16">
        <f>AI1024/AG1024</f>
        <v>0.79518072289156627</v>
      </c>
      <c r="X1024" s="19" t="s">
        <v>121</v>
      </c>
      <c r="Y1024" s="19" t="s">
        <v>110</v>
      </c>
      <c r="Z1024" s="19">
        <v>3</v>
      </c>
      <c r="AA1024" s="19" t="s">
        <v>161</v>
      </c>
      <c r="AB1024" s="19" t="s">
        <v>123</v>
      </c>
      <c r="AC1024" s="19" t="s">
        <v>123</v>
      </c>
      <c r="AD1024" s="19" t="s">
        <v>116</v>
      </c>
      <c r="AE1024" s="19"/>
      <c r="AF1024" s="19"/>
      <c r="AG1024" s="19">
        <f>AH1024-AI1024</f>
        <v>83</v>
      </c>
      <c r="AH1024" s="19">
        <v>149</v>
      </c>
      <c r="AI1024" s="19">
        <v>66</v>
      </c>
      <c r="AJ1024" s="19"/>
      <c r="AK1024" s="19">
        <v>15</v>
      </c>
      <c r="AL1024" s="19">
        <v>0</v>
      </c>
      <c r="AM1024" s="19">
        <v>0</v>
      </c>
      <c r="AN1024" s="19">
        <v>0</v>
      </c>
      <c r="AO1024" s="19">
        <v>0</v>
      </c>
      <c r="AP1024" s="19">
        <f>SUM(AL1024:AN1024)</f>
        <v>0</v>
      </c>
      <c r="AQ1024" s="19">
        <v>1.66</v>
      </c>
      <c r="AR1024" s="19">
        <f>AP1024-1.472</f>
        <v>-1.472</v>
      </c>
      <c r="AS1024" s="19">
        <f>AQ1024-1.472</f>
        <v>0.18799999999999994</v>
      </c>
      <c r="AT1024" s="19" t="s">
        <v>234</v>
      </c>
      <c r="AU1024" s="19"/>
      <c r="AV1024" s="19"/>
      <c r="AW1024" s="19">
        <f>IF(AX1024&gt;0,1,0)</f>
        <v>1</v>
      </c>
      <c r="AX1024" s="19">
        <f>SUM(BA1024,BM1024,CT1024)</f>
        <v>1</v>
      </c>
      <c r="AY1024" s="19">
        <f>SUM(BB1024,BN1024,CV1024)</f>
        <v>10.638297872340429</v>
      </c>
      <c r="AZ1024" s="19">
        <f>IF(BA1024&gt;0,1,0)</f>
        <v>1</v>
      </c>
      <c r="BA1024" s="19">
        <f>SUM(BC1024,BF1024,BI1024)</f>
        <v>1</v>
      </c>
      <c r="BB1024" s="19">
        <f>SUM(BE1024,BH1024,BK1024)</f>
        <v>10.638297872340429</v>
      </c>
      <c r="BC1024" s="19">
        <v>0</v>
      </c>
      <c r="BD1024" s="19">
        <v>0</v>
      </c>
      <c r="BE1024" s="19">
        <f>BD1024/AS1024</f>
        <v>0</v>
      </c>
      <c r="BF1024" s="19">
        <v>0</v>
      </c>
      <c r="BG1024" s="80">
        <v>0</v>
      </c>
      <c r="BH1024" s="19">
        <f>BG1024/AS1024</f>
        <v>0</v>
      </c>
      <c r="BI1024" s="19">
        <v>1</v>
      </c>
      <c r="BJ1024" s="19">
        <v>2</v>
      </c>
      <c r="BK1024" s="19">
        <f>BJ1024/AS1024</f>
        <v>10.638297872340429</v>
      </c>
      <c r="BL1024" s="19">
        <f>IF(BM1024&gt;0,1,0)</f>
        <v>0</v>
      </c>
      <c r="BM1024" s="19">
        <f>SUM(BR1024,BU1024,BX1024,CA1024,CD1024,CG1024,CJ1024,CM1024,CP1024)</f>
        <v>0</v>
      </c>
      <c r="BN1024" s="19">
        <f>SUM(BW1024,BZ1024,CC1024,CF1024,CI1024,CL1024,CO1024,CR1024,BT1024)</f>
        <v>0</v>
      </c>
      <c r="BO1024" s="19">
        <f>IF(BP1024&gt;0,1,0)</f>
        <v>0</v>
      </c>
      <c r="BP1024" s="19">
        <f>SUM(BU1024,BX1024,CA1024,CD1024,BR1024)</f>
        <v>0</v>
      </c>
      <c r="BQ1024" s="19">
        <f>SUM(BZ1024,CC1024,CF1024,BT1024,BW1024)</f>
        <v>0</v>
      </c>
      <c r="BR1024" s="19">
        <v>0</v>
      </c>
      <c r="BS1024" s="19">
        <v>0</v>
      </c>
      <c r="BT1024" s="80">
        <f>BS1024/AS1024</f>
        <v>0</v>
      </c>
      <c r="BU1024" s="19">
        <v>0</v>
      </c>
      <c r="BV1024" s="19">
        <v>0</v>
      </c>
      <c r="BW1024" s="19">
        <f>BV1024/AS1024</f>
        <v>0</v>
      </c>
      <c r="BX1024" s="19">
        <v>0</v>
      </c>
      <c r="BY1024" s="19">
        <v>0</v>
      </c>
      <c r="BZ1024" s="19">
        <f>BY1024/AS1024</f>
        <v>0</v>
      </c>
      <c r="CA1024" s="19">
        <v>0</v>
      </c>
      <c r="CB1024" s="19">
        <v>0</v>
      </c>
      <c r="CC1024" s="19">
        <f>CB1024/AS1024</f>
        <v>0</v>
      </c>
      <c r="CD1024" s="80">
        <v>0</v>
      </c>
      <c r="CE1024" s="19">
        <v>0</v>
      </c>
      <c r="CF1024" s="19">
        <f>CE1024/AS1024</f>
        <v>0</v>
      </c>
      <c r="CG1024" s="19">
        <v>0</v>
      </c>
      <c r="CH1024" s="19">
        <v>0</v>
      </c>
      <c r="CI1024" s="19">
        <f>CH1024/AS1024</f>
        <v>0</v>
      </c>
      <c r="CJ1024" s="19"/>
      <c r="CK1024" s="19"/>
      <c r="CL1024" s="19"/>
      <c r="CM1024" s="19">
        <v>0</v>
      </c>
      <c r="CN1024" s="19">
        <v>0</v>
      </c>
      <c r="CO1024" s="19">
        <f>CN1024/AS1024</f>
        <v>0</v>
      </c>
      <c r="CP1024" s="19">
        <v>0</v>
      </c>
      <c r="CQ1024" s="19">
        <v>0</v>
      </c>
      <c r="CR1024" s="19">
        <f>CQ1024/AS1024</f>
        <v>0</v>
      </c>
      <c r="CS1024" s="19">
        <f>IF(CT1024&gt;0,1,0)</f>
        <v>0</v>
      </c>
      <c r="CT1024" s="19">
        <f>SUM(CW1024,CZ1024,DC1024)</f>
        <v>0</v>
      </c>
      <c r="CU1024" s="19"/>
      <c r="CV1024" s="19">
        <f>SUM(CY1024,DB1024,DE1024)</f>
        <v>0</v>
      </c>
      <c r="CW1024" s="19">
        <v>0</v>
      </c>
      <c r="CX1024" s="19">
        <v>0</v>
      </c>
      <c r="CY1024" s="19">
        <f>CX1024/AS1024</f>
        <v>0</v>
      </c>
      <c r="CZ1024" s="19">
        <v>0</v>
      </c>
      <c r="DA1024" s="19">
        <v>0</v>
      </c>
      <c r="DB1024" s="19">
        <f>DA1024/AS1024</f>
        <v>0</v>
      </c>
      <c r="DC1024" s="19">
        <v>0</v>
      </c>
      <c r="DD1024" s="19">
        <v>0</v>
      </c>
      <c r="DE1024" s="19">
        <f>DD1024/AS1024</f>
        <v>0</v>
      </c>
      <c r="DF1024" s="16" t="e">
        <f>VLOOKUP(K1024,'[3]RNA Seq summary tables'!$V$3:$V$99,1,FALSE)</f>
        <v>#N/A</v>
      </c>
      <c r="DI1024" s="19">
        <v>59</v>
      </c>
      <c r="DJ1024" s="19"/>
      <c r="DK1024" s="19">
        <v>25</v>
      </c>
      <c r="DL1024" s="19"/>
      <c r="DM1024" s="19">
        <v>16</v>
      </c>
      <c r="DN1024" s="19"/>
      <c r="DO1024" s="19">
        <v>0</v>
      </c>
      <c r="DP1024" s="19"/>
      <c r="DQ1024" s="19">
        <v>0</v>
      </c>
      <c r="DR1024" s="19">
        <f>SUM(DI1024:DQ1024)</f>
        <v>100</v>
      </c>
      <c r="DS1024" s="19"/>
    </row>
    <row r="1025" spans="2:288" ht="16" x14ac:dyDescent="0.2">
      <c r="B1025" s="16">
        <v>2018</v>
      </c>
      <c r="C1025" s="124">
        <v>43231</v>
      </c>
      <c r="D1025" t="s">
        <v>701</v>
      </c>
      <c r="E1025" s="37" t="str">
        <f>CONCATENATE(T1025,"-",U1025,"-",C1025)</f>
        <v>PO2-A3-43231</v>
      </c>
      <c r="F1025" s="16" t="s">
        <v>227</v>
      </c>
      <c r="G1025" s="126" t="s">
        <v>107</v>
      </c>
      <c r="H1025" s="126"/>
      <c r="J1025" s="126">
        <v>1163</v>
      </c>
      <c r="K1025" s="126">
        <v>2333</v>
      </c>
      <c r="O1025" s="126" t="s">
        <v>214</v>
      </c>
      <c r="T1025" s="126" t="s">
        <v>127</v>
      </c>
      <c r="U1025" s="126" t="s">
        <v>201</v>
      </c>
      <c r="V1025" s="126" t="s">
        <v>114</v>
      </c>
      <c r="X1025" s="126" t="s">
        <v>121</v>
      </c>
      <c r="Y1025" s="126" t="s">
        <v>110</v>
      </c>
      <c r="Z1025" s="126">
        <v>3</v>
      </c>
      <c r="AA1025" s="126" t="s">
        <v>119</v>
      </c>
      <c r="AB1025" s="126" t="s">
        <v>123</v>
      </c>
      <c r="AC1025" s="126" t="s">
        <v>123</v>
      </c>
      <c r="AD1025" s="126"/>
      <c r="AE1025" s="126"/>
      <c r="AG1025" s="16">
        <f>AH1025-AI1025</f>
        <v>95</v>
      </c>
      <c r="AH1025" s="126">
        <v>174</v>
      </c>
      <c r="AI1025" s="126">
        <v>79</v>
      </c>
      <c r="AK1025" s="125">
        <v>23</v>
      </c>
      <c r="AL1025" s="126">
        <v>1</v>
      </c>
      <c r="AM1025" s="126">
        <v>0</v>
      </c>
      <c r="AN1025" s="126">
        <v>0</v>
      </c>
      <c r="AO1025" s="16">
        <f>IF(SUM(AL1025:AN1025)&gt;0,1,0)</f>
        <v>1</v>
      </c>
      <c r="AP1025" s="18">
        <f>SUM(AL1025:AN1025)</f>
        <v>1</v>
      </c>
      <c r="AR1025" s="16">
        <v>0.3600000000000001</v>
      </c>
      <c r="AS1025" s="16">
        <f>VLOOKUP(E1025,'[1]Feces weights'!$D$1:$H$459,5,FALSE)</f>
        <v>0.3600000000000001</v>
      </c>
      <c r="AT1025" s="16" t="str">
        <f>VLOOKUP(E1025,[9]Current!$A:$T,7,FALSE)</f>
        <v>TE</v>
      </c>
      <c r="AU1025" s="18" t="s">
        <v>1290</v>
      </c>
      <c r="AW1025" s="177">
        <f>IF(AY1025&gt;0,1,0)</f>
        <v>1</v>
      </c>
      <c r="AX1025" s="177">
        <f>SUM(BA1025,BM1025,CU1025)</f>
        <v>2</v>
      </c>
      <c r="AY1025" s="177">
        <f>SUM(BB1025,BN1025,CV1025)</f>
        <v>136.11111111111109</v>
      </c>
      <c r="AZ1025" s="177">
        <f>IF(BB1025&gt;0,1,0)</f>
        <v>1</v>
      </c>
      <c r="BA1025" s="177">
        <f>SUM(BC1025+BF1025+BI1025)</f>
        <v>1</v>
      </c>
      <c r="BB1025" s="177">
        <f>SUM(BE1025,BH1025,BK1025)</f>
        <v>127.77777777777774</v>
      </c>
      <c r="BC1025" s="178">
        <f>IF(BD1025&gt;0,1,0)</f>
        <v>0</v>
      </c>
      <c r="BD1025" s="177">
        <f>VLOOKUP($E1025,[9]Current!$1:$1048576,8,FALSE)</f>
        <v>0</v>
      </c>
      <c r="BE1025" s="177">
        <f>BD1025/$AS1025</f>
        <v>0</v>
      </c>
      <c r="BF1025" s="178">
        <f>IF(BG1025&gt;0,1,0)</f>
        <v>0</v>
      </c>
      <c r="BG1025" s="179">
        <f>VLOOKUP($E1025,[9]Current!$1:$1048576,9,FALSE)</f>
        <v>0</v>
      </c>
      <c r="BH1025" s="177">
        <f>BG1025/$AS1025</f>
        <v>0</v>
      </c>
      <c r="BI1025" s="178">
        <f>IF(BJ1025&gt;0,1,0)</f>
        <v>1</v>
      </c>
      <c r="BJ1025" s="177">
        <f>VLOOKUP($E1025,[9]Current!$1:$1048576,10,FALSE)</f>
        <v>46</v>
      </c>
      <c r="BK1025" s="177">
        <f>BJ1025/$AS1025</f>
        <v>127.77777777777774</v>
      </c>
      <c r="BL1025" s="177">
        <f>IF(BM1025&gt;0,1,0)</f>
        <v>1</v>
      </c>
      <c r="BM1025" s="177">
        <f>SUM(BR1025,BU1025,BX1025,CA1025,CD1025)</f>
        <v>1</v>
      </c>
      <c r="BN1025" s="181">
        <f>SUM(BT1025,BW1025,BZ1025,CC1025,CF1025)</f>
        <v>8.3333333333333304</v>
      </c>
      <c r="BO1025" s="177">
        <f>IF(BP1025&gt;0,1,0)</f>
        <v>1</v>
      </c>
      <c r="BP1025" s="177">
        <f>BM1025+CJ1025</f>
        <v>2</v>
      </c>
      <c r="BQ1025" s="177">
        <f>BN1025+CL1025</f>
        <v>11.111111111111107</v>
      </c>
      <c r="BR1025" s="178">
        <f>IF(BS1025&gt;0,1,0)</f>
        <v>1</v>
      </c>
      <c r="BS1025" s="177">
        <f>VLOOKUP($E1025,[9]Current!$1:$1048576,12,FALSE)</f>
        <v>3</v>
      </c>
      <c r="BT1025" s="179">
        <f>BS1025/$AS1025</f>
        <v>8.3333333333333304</v>
      </c>
      <c r="BU1025" s="178">
        <f>IF(BV1025&gt;0,1,0)</f>
        <v>0</v>
      </c>
      <c r="BV1025" s="177">
        <f>VLOOKUP($E1025,[9]Current!$1:$1048576,13,FALSE)</f>
        <v>0</v>
      </c>
      <c r="BW1025" s="177">
        <f>BV1025/$AS1025</f>
        <v>0</v>
      </c>
      <c r="BX1025" s="178">
        <f>IF(BY1025&gt;0,1,0)</f>
        <v>0</v>
      </c>
      <c r="BY1025" s="177">
        <f>VLOOKUP($E1025,[9]Current!$1:$1048576,14,FALSE)</f>
        <v>0</v>
      </c>
      <c r="BZ1025" s="177">
        <f>BY1025/$AS1025</f>
        <v>0</v>
      </c>
      <c r="CA1025" s="178">
        <f>IF(CB1025&gt;0,1,0)</f>
        <v>0</v>
      </c>
      <c r="CB1025" s="177">
        <f>VLOOKUP($E1025,[9]Current!$1:$1048576,15,FALSE)</f>
        <v>0</v>
      </c>
      <c r="CC1025" s="177">
        <f>CB1025/$AS1025</f>
        <v>0</v>
      </c>
      <c r="CD1025" s="180">
        <f>IF(CE1025&gt;0,1,0)</f>
        <v>0</v>
      </c>
      <c r="CE1025" s="177">
        <f>VLOOKUP($E1025,[9]Current!$1:$1048576,16,FALSE)</f>
        <v>0</v>
      </c>
      <c r="CF1025" s="177">
        <f>CE1025/$AS1025</f>
        <v>0</v>
      </c>
      <c r="CG1025" s="18"/>
      <c r="CH1025" s="18"/>
      <c r="CI1025" s="18"/>
      <c r="CJ1025" s="178">
        <f>IF(CK1025&gt;0,1,0)</f>
        <v>1</v>
      </c>
      <c r="CK1025" s="177">
        <f>VLOOKUP($E1025,[9]Current!$1:$1048576,18,FALSE)</f>
        <v>1</v>
      </c>
      <c r="CL1025" s="177">
        <f>CK1025/$AS1025</f>
        <v>2.7777777777777772</v>
      </c>
      <c r="CS1025" s="178">
        <f>IF(CU1025&gt;0,1,0)</f>
        <v>0</v>
      </c>
      <c r="CT1025" s="177"/>
      <c r="CU1025" s="177">
        <f>VLOOKUP($E1025,[9]Current!$1:$1048576,17,FALSE)</f>
        <v>0</v>
      </c>
      <c r="CV1025" s="177">
        <f>CU1025/$AS1025</f>
        <v>0</v>
      </c>
      <c r="DF1025" s="16" t="e">
        <f>VLOOKUP(K1025,'[3]RNA Seq summary tables'!$V$3:$V$99,1,FALSE)</f>
        <v>#N/A</v>
      </c>
      <c r="DG1025" s="126" t="s">
        <v>116</v>
      </c>
    </row>
    <row r="1026" spans="2:288" x14ac:dyDescent="0.2">
      <c r="B1026" s="16">
        <v>2017</v>
      </c>
      <c r="C1026" s="20">
        <v>42912</v>
      </c>
      <c r="D1026" s="20" t="str">
        <f>CONCATENATE(J1026,"-",C1026)</f>
        <v>1164-42912</v>
      </c>
      <c r="E1026" s="20" t="str">
        <f>CONCATENATE(T1026,"-",U1026,"-",C1026)</f>
        <v>PO2-D4-42912</v>
      </c>
      <c r="F1026" s="20" t="s">
        <v>106</v>
      </c>
      <c r="G1026" s="20" t="s">
        <v>107</v>
      </c>
      <c r="I1026" s="16">
        <v>0</v>
      </c>
      <c r="J1026" s="21">
        <v>1164</v>
      </c>
      <c r="K1026" s="21">
        <v>1755</v>
      </c>
      <c r="L1026" s="18">
        <v>0</v>
      </c>
      <c r="M1026" s="21">
        <f>VLOOKUP($K1026,'[4]blood tubes 2017'!$D$1:$L$647,8,FALSE)</f>
        <v>0</v>
      </c>
      <c r="N1026" s="15">
        <v>0</v>
      </c>
      <c r="O1026" s="15" t="s">
        <v>214</v>
      </c>
      <c r="P1026" s="16" t="s">
        <v>110</v>
      </c>
      <c r="Q1026" s="16">
        <v>0</v>
      </c>
      <c r="R1026" s="16" t="s">
        <v>111</v>
      </c>
      <c r="T1026" s="16" t="s">
        <v>127</v>
      </c>
      <c r="U1026" s="16" t="s">
        <v>221</v>
      </c>
      <c r="V1026" s="16" t="s">
        <v>114</v>
      </c>
      <c r="W1026" s="16">
        <f>AI1026/AG1026</f>
        <v>0.75</v>
      </c>
      <c r="X1026" s="16" t="s">
        <v>121</v>
      </c>
      <c r="Y1026" s="16" t="s">
        <v>145</v>
      </c>
      <c r="Z1026" s="16">
        <v>1</v>
      </c>
      <c r="AA1026" s="16" t="s">
        <v>119</v>
      </c>
      <c r="AB1026" s="16" t="s">
        <v>123</v>
      </c>
      <c r="AC1026" s="16" t="s">
        <v>123</v>
      </c>
      <c r="AD1026" s="16" t="s">
        <v>123</v>
      </c>
      <c r="AG1026" s="16">
        <f>AH1026-AI1026</f>
        <v>76</v>
      </c>
      <c r="AH1026" s="16">
        <v>133</v>
      </c>
      <c r="AI1026" s="16">
        <v>57</v>
      </c>
      <c r="AK1026" s="16">
        <v>11</v>
      </c>
      <c r="AL1026" s="16">
        <v>1</v>
      </c>
      <c r="AM1026" s="16">
        <v>0</v>
      </c>
      <c r="AN1026" s="16">
        <v>0</v>
      </c>
      <c r="AO1026" s="16">
        <v>1</v>
      </c>
      <c r="AP1026" s="16">
        <f>SUM(AL1026:AN1026)</f>
        <v>1</v>
      </c>
      <c r="AQ1026" s="16">
        <v>1.6559999999999999</v>
      </c>
      <c r="AR1026" s="16">
        <f>AP1026-1.472</f>
        <v>-0.47199999999999998</v>
      </c>
      <c r="AS1026" s="16">
        <f>AQ1026-1.472</f>
        <v>0.18399999999999994</v>
      </c>
      <c r="AT1026" s="16" t="s">
        <v>233</v>
      </c>
      <c r="AV1026" s="16">
        <v>1</v>
      </c>
      <c r="AW1026" s="16">
        <f>IF(AX1026&gt;0,1,0)</f>
        <v>0</v>
      </c>
      <c r="AX1026" s="16">
        <f>SUM(BA1026,BM1026,CT1026)</f>
        <v>0</v>
      </c>
      <c r="AY1026" s="18">
        <f>SUM(BB1026,BN1026,CV1026)</f>
        <v>0</v>
      </c>
      <c r="AZ1026" s="16">
        <f>IF(BA1026&gt;0,1,0)</f>
        <v>0</v>
      </c>
      <c r="BA1026" s="16">
        <f>SUM(BC1026,BF1026,BI1026)</f>
        <v>0</v>
      </c>
      <c r="BB1026" s="16">
        <f>SUM(BE1026,BH1026,BK1026)</f>
        <v>0</v>
      </c>
      <c r="BC1026" s="16">
        <v>0</v>
      </c>
      <c r="BD1026" s="16">
        <v>0</v>
      </c>
      <c r="BE1026" s="16">
        <f>BD1026/AS1026</f>
        <v>0</v>
      </c>
      <c r="BF1026" s="16">
        <v>0</v>
      </c>
      <c r="BG1026" s="77">
        <v>0</v>
      </c>
      <c r="BH1026" s="16">
        <f>BG1026/AS1026</f>
        <v>0</v>
      </c>
      <c r="BI1026" s="16">
        <v>0</v>
      </c>
      <c r="BJ1026" s="16">
        <v>0</v>
      </c>
      <c r="BK1026" s="16">
        <f>BJ1026/AS1026</f>
        <v>0</v>
      </c>
      <c r="BL1026" s="16">
        <f>IF(BM1026&gt;0,1,0)</f>
        <v>0</v>
      </c>
      <c r="BM1026" s="16">
        <f>SUM(BR1026,BU1026,BX1026,CA1026,CD1026,CG1026,CJ1026,CM1026,CP1026)</f>
        <v>0</v>
      </c>
      <c r="BN1026" s="16">
        <f>SUM(BW1026,BZ1026,CC1026,CF1026,CI1026,CL1026,CO1026,CR1026,BT1026)</f>
        <v>0</v>
      </c>
      <c r="BO1026" s="16">
        <f>IF(BP1026&gt;0,1,0)</f>
        <v>0</v>
      </c>
      <c r="BP1026" s="16">
        <f>SUM(BU1026,BX1026,CA1026,CD1026,BR1026)</f>
        <v>0</v>
      </c>
      <c r="BQ1026" s="16">
        <f>SUM(BZ1026,CC1026,CF1026,BT1026,BW1026)</f>
        <v>0</v>
      </c>
      <c r="BR1026" s="16">
        <v>0</v>
      </c>
      <c r="BS1026" s="16">
        <v>0</v>
      </c>
      <c r="BT1026" s="77">
        <f>BS1026/AS1026</f>
        <v>0</v>
      </c>
      <c r="BU1026" s="16">
        <v>0</v>
      </c>
      <c r="BV1026" s="16">
        <v>0</v>
      </c>
      <c r="BW1026" s="16">
        <f>BV1026/AS1026</f>
        <v>0</v>
      </c>
      <c r="BX1026" s="16">
        <v>0</v>
      </c>
      <c r="BY1026" s="16">
        <v>0</v>
      </c>
      <c r="BZ1026" s="16">
        <f>BY1026/AS1026</f>
        <v>0</v>
      </c>
      <c r="CA1026" s="16">
        <v>0</v>
      </c>
      <c r="CB1026" s="16">
        <v>0</v>
      </c>
      <c r="CC1026" s="16">
        <f>CB1026/AS1026</f>
        <v>0</v>
      </c>
      <c r="CD1026" s="77">
        <v>0</v>
      </c>
      <c r="CE1026" s="16">
        <v>0</v>
      </c>
      <c r="CF1026" s="16">
        <f>CE1026/AS1026</f>
        <v>0</v>
      </c>
      <c r="CG1026" s="16">
        <v>0</v>
      </c>
      <c r="CH1026" s="16">
        <v>0</v>
      </c>
      <c r="CI1026" s="16">
        <f>CH1026/AS1026</f>
        <v>0</v>
      </c>
      <c r="CM1026" s="16">
        <v>0</v>
      </c>
      <c r="CN1026" s="16">
        <v>0</v>
      </c>
      <c r="CO1026" s="16">
        <f>CN1026/AS1026</f>
        <v>0</v>
      </c>
      <c r="CP1026" s="16">
        <v>0</v>
      </c>
      <c r="CQ1026" s="16">
        <v>0</v>
      </c>
      <c r="CR1026" s="16">
        <f>CQ1026/AS1026</f>
        <v>0</v>
      </c>
      <c r="CS1026" s="16">
        <f>IF(CT1026&gt;0,1,0)</f>
        <v>0</v>
      </c>
      <c r="CT1026" s="16">
        <f>SUM(CW1026,CZ1026,DC1026)</f>
        <v>0</v>
      </c>
      <c r="CV1026" s="16">
        <f>SUM(CY1026,DB1026,DE1026)</f>
        <v>0</v>
      </c>
      <c r="CW1026" s="16">
        <v>0</v>
      </c>
      <c r="CX1026" s="16">
        <v>0</v>
      </c>
      <c r="CY1026" s="16">
        <f>CX1026/AS1026</f>
        <v>0</v>
      </c>
      <c r="CZ1026" s="16">
        <v>0</v>
      </c>
      <c r="DA1026" s="16">
        <v>0</v>
      </c>
      <c r="DB1026" s="16">
        <f>DA1026/AS1026</f>
        <v>0</v>
      </c>
      <c r="DC1026" s="16">
        <v>0</v>
      </c>
      <c r="DD1026" s="16">
        <v>0</v>
      </c>
      <c r="DE1026" s="16">
        <f>DD1026/AS1026</f>
        <v>0</v>
      </c>
      <c r="DF1026" s="16" t="e">
        <f>VLOOKUP(K1026,'[3]RNA Seq summary tables'!$V$3:$V$99,1,FALSE)</f>
        <v>#N/A</v>
      </c>
      <c r="DI1026" s="16">
        <v>55</v>
      </c>
      <c r="DK1026" s="16">
        <v>26</v>
      </c>
      <c r="DM1026" s="16">
        <v>19</v>
      </c>
      <c r="DO1026" s="16">
        <v>0</v>
      </c>
      <c r="DQ1026" s="16">
        <v>0</v>
      </c>
      <c r="DR1026" s="16">
        <f>SUM(DI1026:DQ1026)</f>
        <v>100</v>
      </c>
      <c r="JO1026" s="18"/>
    </row>
    <row r="1027" spans="2:288" ht="16" x14ac:dyDescent="0.2">
      <c r="B1027" s="16">
        <v>2017</v>
      </c>
      <c r="C1027" s="20">
        <v>42963</v>
      </c>
      <c r="D1027" s="20" t="str">
        <f>CONCATENATE(J1027,"-",C1027)</f>
        <v>1164-42963</v>
      </c>
      <c r="E1027" s="37" t="str">
        <f>CONCATENATE(T1027,"-",U1027,"-",C1027)</f>
        <v>PO2-D3-42963</v>
      </c>
      <c r="F1027" s="20" t="s">
        <v>106</v>
      </c>
      <c r="G1027" s="20" t="s">
        <v>107</v>
      </c>
      <c r="I1027" s="16">
        <v>0</v>
      </c>
      <c r="J1027" s="21">
        <v>1164</v>
      </c>
      <c r="K1027" s="21">
        <v>2159</v>
      </c>
      <c r="L1027" s="18">
        <v>0</v>
      </c>
      <c r="M1027" s="21">
        <f>VLOOKUP($K1027,'[4]blood tubes 2017'!$D$1:$L$647,8,FALSE)</f>
        <v>0</v>
      </c>
      <c r="N1027" s="15">
        <v>0</v>
      </c>
      <c r="O1027" s="15" t="s">
        <v>214</v>
      </c>
      <c r="P1027" s="16" t="s">
        <v>110</v>
      </c>
      <c r="Q1027" s="16">
        <v>1</v>
      </c>
      <c r="R1027" s="16">
        <v>51</v>
      </c>
      <c r="T1027" s="16" t="s">
        <v>127</v>
      </c>
      <c r="U1027" s="16" t="s">
        <v>149</v>
      </c>
      <c r="V1027" s="16" t="s">
        <v>114</v>
      </c>
      <c r="W1027" s="16">
        <f>AI1027/AG1027</f>
        <v>0.80219780219780223</v>
      </c>
      <c r="X1027" s="16" t="s">
        <v>121</v>
      </c>
      <c r="Y1027" s="16" t="s">
        <v>110</v>
      </c>
      <c r="Z1027" s="16">
        <v>3</v>
      </c>
      <c r="AA1027" s="16" t="s">
        <v>119</v>
      </c>
      <c r="AB1027" s="16" t="s">
        <v>239</v>
      </c>
      <c r="AC1027" s="16" t="s">
        <v>123</v>
      </c>
      <c r="AD1027" s="16" t="s">
        <v>123</v>
      </c>
      <c r="AG1027" s="16">
        <f>AH1027-AI1027</f>
        <v>91</v>
      </c>
      <c r="AH1027" s="16">
        <v>164</v>
      </c>
      <c r="AI1027" s="16">
        <v>73</v>
      </c>
      <c r="AK1027" s="16">
        <v>21.5</v>
      </c>
      <c r="AL1027" s="16">
        <v>0</v>
      </c>
      <c r="AM1027" s="16">
        <v>0</v>
      </c>
      <c r="AN1027" s="16">
        <v>0</v>
      </c>
      <c r="AO1027" s="16">
        <v>0</v>
      </c>
      <c r="AP1027" s="16">
        <f>SUM(AL1027:AN1027)</f>
        <v>0</v>
      </c>
      <c r="AQ1027" s="16">
        <v>2.1480000000000001</v>
      </c>
      <c r="AR1027" s="16">
        <f>AP1027-1.472</f>
        <v>-1.472</v>
      </c>
      <c r="AS1027" s="16">
        <f>AQ1027-1.472</f>
        <v>0.67600000000000016</v>
      </c>
      <c r="AT1027" s="16" t="str">
        <f>VLOOKUP(E1027,[2]Current!$A$1:$W$435,7,FALSE)</f>
        <v>NB</v>
      </c>
      <c r="AU1027" s="16" t="s">
        <v>1288</v>
      </c>
      <c r="AV1027" s="23"/>
      <c r="AW1027" s="128">
        <f>IF(AX1027&gt;0,1,0)</f>
        <v>1</v>
      </c>
      <c r="AX1027" s="128">
        <f>SUM(BA1027,BM1027,CU1027)</f>
        <v>5</v>
      </c>
      <c r="AY1027" s="128">
        <f>SUM(BB1027,BN1027,CV1027)</f>
        <v>167.15976331360946</v>
      </c>
      <c r="AZ1027" s="128">
        <f>IF(BA1027&gt;0,1,0)</f>
        <v>1</v>
      </c>
      <c r="BA1027" s="128">
        <f>SUM(BC1027+BF1027+BI1027)</f>
        <v>2</v>
      </c>
      <c r="BB1027" s="128">
        <f>SUM(BE1027,BH1027,BK1027)</f>
        <v>63.609467455621285</v>
      </c>
      <c r="BC1027" s="130">
        <f>IF(BD1027&gt;0,1,0)</f>
        <v>0</v>
      </c>
      <c r="BD1027" s="128">
        <f>VLOOKUP($E1027,[2]Current!$A:$AC,26,FALSE)</f>
        <v>0</v>
      </c>
      <c r="BE1027" s="128">
        <f>BD1027/$AS1027</f>
        <v>0</v>
      </c>
      <c r="BF1027" s="130">
        <f>IF(BG1027&gt;0,1,0)</f>
        <v>1</v>
      </c>
      <c r="BG1027" s="137">
        <f>VLOOKUP($E1027,[2]Current!$A:$AC,27,FALSE)</f>
        <v>23</v>
      </c>
      <c r="BH1027" s="128">
        <f>BG1027/$AS1027</f>
        <v>34.023668639053248</v>
      </c>
      <c r="BI1027" s="130">
        <f>IF(BJ1027&gt;0,1,0)</f>
        <v>1</v>
      </c>
      <c r="BJ1027" s="128">
        <f>VLOOKUP($E1027,[2]Current!$A:$AC,28,FALSE)</f>
        <v>20</v>
      </c>
      <c r="BK1027" s="128">
        <f>BJ1027/$AS1027</f>
        <v>29.58579881656804</v>
      </c>
      <c r="BL1027" s="128">
        <f>IF(BM1027&gt;0,1,0)</f>
        <v>1</v>
      </c>
      <c r="BM1027" s="128">
        <f>SUM(BR1027,BU1027,BX1027,CA1027,CD1027)</f>
        <v>3</v>
      </c>
      <c r="BN1027" s="131">
        <f>SUM(BT1027,BW1027,BZ1027,CC1027,CF1027)</f>
        <v>103.55029585798816</v>
      </c>
      <c r="BO1027" s="128">
        <f>IF(BP1027&gt;0,1,0)</f>
        <v>1</v>
      </c>
      <c r="BP1027" s="128">
        <f>BM1027+CJ1027</f>
        <v>3</v>
      </c>
      <c r="BQ1027" s="128">
        <f>BN1027+CL1027</f>
        <v>103.55029585798816</v>
      </c>
      <c r="BR1027" s="130">
        <f>IF(BS1027&gt;0,1,0)</f>
        <v>1</v>
      </c>
      <c r="BS1027" s="128">
        <f>VLOOKUP($E1027,[2]Current!$A:$AC,12,FALSE)</f>
        <v>68</v>
      </c>
      <c r="BT1027" s="137">
        <f>BS1027/$AS1027</f>
        <v>100.59171597633134</v>
      </c>
      <c r="BU1027" s="130">
        <f>IF(BV1027&gt;0,1,0)</f>
        <v>1</v>
      </c>
      <c r="BV1027" s="128">
        <f>VLOOKUP($E1027,[2]Current!$A:$AC,13,FALSE)</f>
        <v>1</v>
      </c>
      <c r="BW1027" s="128">
        <f>BV1027/$AS1027</f>
        <v>1.4792899408284019</v>
      </c>
      <c r="BX1027" s="130">
        <f>IF(BY1027&gt;0,1,0)</f>
        <v>0</v>
      </c>
      <c r="BY1027" s="128">
        <f>VLOOKUP($E1027,[2]Current!$A:$AC,14,FALSE)</f>
        <v>0</v>
      </c>
      <c r="BZ1027" s="128">
        <f>BY1027/$AS1027</f>
        <v>0</v>
      </c>
      <c r="CA1027" s="130">
        <f>IF(CB1027&gt;0,1,0)</f>
        <v>1</v>
      </c>
      <c r="CB1027" s="128">
        <f>VLOOKUP($E1027,[2]Current!$A:$AC,15,FALSE)</f>
        <v>1</v>
      </c>
      <c r="CC1027" s="128">
        <f>CB1027/$AS1027</f>
        <v>1.4792899408284019</v>
      </c>
      <c r="CD1027" s="174">
        <f>IF(CE1027&gt;0,1,0)</f>
        <v>0</v>
      </c>
      <c r="CE1027" s="128">
        <f>VLOOKUP($E1027,[2]Current!$A:$AC,16,FALSE)</f>
        <v>0</v>
      </c>
      <c r="CF1027" s="128">
        <f>CE1027/$AS1027</f>
        <v>0</v>
      </c>
      <c r="CG1027" s="18"/>
      <c r="CH1027" s="18"/>
      <c r="CI1027" s="18"/>
      <c r="CJ1027" s="130">
        <f>IF(CK1027&gt;0,1,0)</f>
        <v>0</v>
      </c>
      <c r="CK1027" s="128">
        <f>VLOOKUP($E1027,[2]Current!$A:$AC,18,FALSE)</f>
        <v>0</v>
      </c>
      <c r="CL1027" s="128">
        <f>CK1027/$AS1027</f>
        <v>0</v>
      </c>
      <c r="CS1027" s="130">
        <f>IF(CU1027&gt;0,1,0)</f>
        <v>0</v>
      </c>
      <c r="CT1027" s="18"/>
      <c r="CU1027" s="128">
        <f>VLOOKUP($E1027,[2]Current!$A:$AC,17,FALSE)</f>
        <v>0</v>
      </c>
      <c r="CV1027" s="128">
        <f>CU1027/$AS1027</f>
        <v>0</v>
      </c>
      <c r="CW1027" s="18"/>
      <c r="CX1027" s="18"/>
      <c r="CY1027" s="18"/>
      <c r="DF1027" s="16" t="e">
        <f>VLOOKUP(K1027,'[3]RNA Seq summary tables'!$V$3:$V$99,1,FALSE)</f>
        <v>#N/A</v>
      </c>
      <c r="DG1027" s="16">
        <v>1</v>
      </c>
      <c r="DH1027" s="16" t="str">
        <f>VLOOKUP(D1027,'[6]workflow 3.2018'!$A$1:$S$237,2,FALSE)</f>
        <v>2017MLBS_152</v>
      </c>
      <c r="JO1027" s="38"/>
      <c r="JP1027" s="38"/>
      <c r="JQ1027" s="38"/>
      <c r="JR1027" s="18"/>
      <c r="JS1027" s="18"/>
      <c r="JT1027" s="18"/>
      <c r="JU1027" s="18"/>
      <c r="JV1027" s="18"/>
      <c r="JW1027" s="18"/>
      <c r="JX1027" s="18"/>
      <c r="JY1027" s="18"/>
      <c r="JZ1027" s="18"/>
      <c r="KA1027" s="18"/>
      <c r="KB1027" s="18"/>
    </row>
    <row r="1028" spans="2:288" ht="16" x14ac:dyDescent="0.2">
      <c r="B1028" s="16">
        <v>2017</v>
      </c>
      <c r="C1028" s="20">
        <v>42975</v>
      </c>
      <c r="D1028" s="20" t="str">
        <f>CONCATENATE(J1028,"-",C1028)</f>
        <v>1164-42975</v>
      </c>
      <c r="E1028" s="37" t="str">
        <f>CONCATENATE(T1028,"-",U1028,"-",C1028)</f>
        <v>PO2-C6-42975</v>
      </c>
      <c r="F1028" s="37" t="s">
        <v>224</v>
      </c>
      <c r="G1028" s="20" t="s">
        <v>107</v>
      </c>
      <c r="H1028" s="16" t="s">
        <v>264</v>
      </c>
      <c r="I1028" s="16">
        <v>0</v>
      </c>
      <c r="J1028" s="36">
        <v>1164</v>
      </c>
      <c r="K1028" s="36">
        <v>2286</v>
      </c>
      <c r="L1028" s="18">
        <v>0</v>
      </c>
      <c r="M1028" s="36">
        <f>VLOOKUP($K1028,'[4]blood tubes 2017'!$D$1:$L$947,8,FALSE)</f>
        <v>0</v>
      </c>
      <c r="N1028" s="42">
        <v>0</v>
      </c>
      <c r="O1028" s="15" t="s">
        <v>214</v>
      </c>
      <c r="P1028" s="18" t="s">
        <v>110</v>
      </c>
      <c r="Q1028" s="18">
        <v>1</v>
      </c>
      <c r="R1028" s="18">
        <v>12</v>
      </c>
      <c r="S1028" s="18"/>
      <c r="T1028" s="18" t="s">
        <v>127</v>
      </c>
      <c r="U1028" s="18" t="s">
        <v>213</v>
      </c>
      <c r="V1028" s="18" t="s">
        <v>114</v>
      </c>
      <c r="W1028" s="16">
        <f>AI1028/AG1028</f>
        <v>0.88764044943820219</v>
      </c>
      <c r="X1028" s="16" t="s">
        <v>121</v>
      </c>
      <c r="Y1028" s="16" t="s">
        <v>110</v>
      </c>
      <c r="Z1028" s="16">
        <v>3</v>
      </c>
      <c r="AA1028" s="16" t="s">
        <v>119</v>
      </c>
      <c r="AB1028" s="16" t="s">
        <v>240</v>
      </c>
      <c r="AC1028" s="16" t="s">
        <v>123</v>
      </c>
      <c r="AD1028" s="16" t="s">
        <v>123</v>
      </c>
      <c r="AG1028" s="16">
        <f>AH1028-AI1028</f>
        <v>89</v>
      </c>
      <c r="AH1028" s="16">
        <v>168</v>
      </c>
      <c r="AI1028" s="16">
        <v>79</v>
      </c>
      <c r="AK1028" s="16">
        <v>22.5</v>
      </c>
      <c r="AL1028" s="16">
        <v>0</v>
      </c>
      <c r="AM1028" s="16">
        <v>0</v>
      </c>
      <c r="AN1028" s="16">
        <v>0</v>
      </c>
      <c r="AO1028" s="16">
        <v>0</v>
      </c>
      <c r="AP1028" s="16">
        <f>SUM(AL1028:AN1028)</f>
        <v>0</v>
      </c>
      <c r="AQ1028" s="16">
        <v>1.8140000000000001</v>
      </c>
      <c r="AR1028" s="16">
        <f>AP1028-1.472</f>
        <v>-1.472</v>
      </c>
      <c r="AS1028" s="16">
        <f>AQ1028-1.472</f>
        <v>0.34200000000000008</v>
      </c>
      <c r="AT1028" s="16" t="str">
        <f>VLOOKUP(E1028,[2]Current!$A$1:$W$435,7,FALSE)</f>
        <v>LV</v>
      </c>
      <c r="AU1028" s="16" t="s">
        <v>1288</v>
      </c>
      <c r="AW1028" s="128">
        <f>IF(AX1028&gt;0,1,0)</f>
        <v>1</v>
      </c>
      <c r="AX1028" s="128">
        <f>SUM(BA1028,BM1028,CU1028)</f>
        <v>4</v>
      </c>
      <c r="AY1028" s="128">
        <f>SUM(BB1028,BN1028,CV1028)</f>
        <v>8327.4853801169575</v>
      </c>
      <c r="AZ1028" s="128">
        <f>IF(BA1028&gt;0,1,0)</f>
        <v>1</v>
      </c>
      <c r="BA1028" s="128">
        <f>SUM(BC1028+BF1028+BI1028)</f>
        <v>3</v>
      </c>
      <c r="BB1028" s="128">
        <f>SUM(BE1028,BH1028,BK1028)</f>
        <v>8321.6374269005828</v>
      </c>
      <c r="BC1028" s="130">
        <f>IF(BD1028&gt;0,1,0)</f>
        <v>1</v>
      </c>
      <c r="BD1028" s="128">
        <f>VLOOKUP($E1028,[2]Current!$A:$AC,26,FALSE)</f>
        <v>378</v>
      </c>
      <c r="BE1028" s="128">
        <f>BD1028/$AS1028</f>
        <v>1105.2631578947367</v>
      </c>
      <c r="BF1028" s="130">
        <f>IF(BG1028&gt;0,1,0)</f>
        <v>1</v>
      </c>
      <c r="BG1028" s="137">
        <f>VLOOKUP($E1028,[2]Current!$A:$AC,27,FALSE)</f>
        <v>2406</v>
      </c>
      <c r="BH1028" s="128">
        <f>BG1028/$AS1028</f>
        <v>7035.0877192982443</v>
      </c>
      <c r="BI1028" s="130">
        <f>IF(BJ1028&gt;0,1,0)</f>
        <v>1</v>
      </c>
      <c r="BJ1028" s="128">
        <f>VLOOKUP($E1028,[2]Current!$A:$AC,28,FALSE)</f>
        <v>62</v>
      </c>
      <c r="BK1028" s="128">
        <f>BJ1028/$AS1028</f>
        <v>181.28654970760229</v>
      </c>
      <c r="BL1028" s="128">
        <f>IF(BM1028&gt;0,1,0)</f>
        <v>1</v>
      </c>
      <c r="BM1028" s="128">
        <f>SUM(BR1028,BU1028,BX1028,CA1028,CD1028)</f>
        <v>1</v>
      </c>
      <c r="BN1028" s="131">
        <f>SUM(BT1028,BW1028,BZ1028,CC1028,CF1028)</f>
        <v>5.8479532163742673</v>
      </c>
      <c r="BO1028" s="128">
        <f>IF(BP1028&gt;0,1,0)</f>
        <v>1</v>
      </c>
      <c r="BP1028" s="128">
        <f>BM1028+CJ1028</f>
        <v>1</v>
      </c>
      <c r="BQ1028" s="128">
        <f>BN1028+CL1028</f>
        <v>5.8479532163742673</v>
      </c>
      <c r="BR1028" s="130">
        <f>IF(BS1028&gt;0,1,0)</f>
        <v>0</v>
      </c>
      <c r="BS1028" s="128">
        <f>VLOOKUP($E1028,[2]Current!$A:$AC,12,FALSE)</f>
        <v>0</v>
      </c>
      <c r="BT1028" s="137">
        <f>BS1028/$AS1028</f>
        <v>0</v>
      </c>
      <c r="BU1028" s="130">
        <f>IF(BV1028&gt;0,1,0)</f>
        <v>0</v>
      </c>
      <c r="BV1028" s="128">
        <f>VLOOKUP($E1028,[2]Current!$A:$AC,13,FALSE)</f>
        <v>0</v>
      </c>
      <c r="BW1028" s="128">
        <f>BV1028/$AS1028</f>
        <v>0</v>
      </c>
      <c r="BX1028" s="130">
        <f>IF(BY1028&gt;0,1,0)</f>
        <v>0</v>
      </c>
      <c r="BY1028" s="128">
        <f>VLOOKUP($E1028,[2]Current!$A:$AC,14,FALSE)</f>
        <v>0</v>
      </c>
      <c r="BZ1028" s="128">
        <f>BY1028/$AS1028</f>
        <v>0</v>
      </c>
      <c r="CA1028" s="130">
        <f>IF(CB1028&gt;0,1,0)</f>
        <v>1</v>
      </c>
      <c r="CB1028" s="128">
        <f>VLOOKUP($E1028,[2]Current!$A:$AC,15,FALSE)</f>
        <v>2</v>
      </c>
      <c r="CC1028" s="128">
        <f>CB1028/$AS1028</f>
        <v>5.8479532163742673</v>
      </c>
      <c r="CD1028" s="174">
        <f>IF(CE1028&gt;0,1,0)</f>
        <v>0</v>
      </c>
      <c r="CE1028" s="128">
        <f>VLOOKUP($E1028,[2]Current!$A:$AC,16,FALSE)</f>
        <v>0</v>
      </c>
      <c r="CF1028" s="128">
        <f>CE1028/$AS1028</f>
        <v>0</v>
      </c>
      <c r="CG1028" s="18"/>
      <c r="CH1028" s="18"/>
      <c r="CI1028" s="18"/>
      <c r="CJ1028" s="130">
        <f>IF(CK1028&gt;0,1,0)</f>
        <v>0</v>
      </c>
      <c r="CK1028" s="128">
        <f>VLOOKUP($E1028,[2]Current!$A:$AC,18,FALSE)</f>
        <v>0</v>
      </c>
      <c r="CL1028" s="128">
        <f>CK1028/$AS1028</f>
        <v>0</v>
      </c>
      <c r="CS1028" s="130">
        <f>IF(CU1028&gt;0,1,0)</f>
        <v>0</v>
      </c>
      <c r="CU1028" s="128">
        <f>VLOOKUP($E1028,[2]Current!$A:$AC,17,FALSE)</f>
        <v>0</v>
      </c>
      <c r="CV1028" s="128">
        <f>CU1028/$AS1028</f>
        <v>0</v>
      </c>
      <c r="CW1028" s="18"/>
      <c r="CX1028" s="18"/>
      <c r="CY1028" s="18"/>
      <c r="DF1028" s="16" t="e">
        <f>VLOOKUP(K1028,'[3]RNA Seq summary tables'!$V$3:$V$99,1,FALSE)</f>
        <v>#N/A</v>
      </c>
      <c r="DG1028" s="16">
        <v>1</v>
      </c>
      <c r="DH1028" s="16" t="str">
        <f>VLOOKUP(D1028,'[6]workflow 3.2018'!$A$1:$S$237,2,FALSE)</f>
        <v>2017MLBS_207</v>
      </c>
    </row>
    <row r="1029" spans="2:288" x14ac:dyDescent="0.2">
      <c r="B1029" s="16">
        <v>2017</v>
      </c>
      <c r="C1029" s="20">
        <v>42976</v>
      </c>
      <c r="D1029" s="20" t="str">
        <f>CONCATENATE(J1029,"-",C1029)</f>
        <v>1165-42976</v>
      </c>
      <c r="E1029" s="20" t="str">
        <f>CONCATENATE(T1029,"-",U1029,"-",C1029)</f>
        <v>PO2-H6-42976</v>
      </c>
      <c r="F1029" s="37" t="s">
        <v>224</v>
      </c>
      <c r="G1029" s="20" t="s">
        <v>107</v>
      </c>
      <c r="I1029" s="16">
        <v>0</v>
      </c>
      <c r="J1029" s="36">
        <v>1165</v>
      </c>
      <c r="K1029" s="21">
        <v>2308</v>
      </c>
      <c r="L1029" s="18">
        <v>0</v>
      </c>
      <c r="M1029" s="21">
        <f>VLOOKUP($K1029,'[4]blood tubes 2017'!$D$1:$L$947,8,FALSE)</f>
        <v>0</v>
      </c>
      <c r="N1029" s="15">
        <v>0</v>
      </c>
      <c r="O1029" s="15" t="s">
        <v>214</v>
      </c>
      <c r="P1029" s="41" t="s">
        <v>110</v>
      </c>
      <c r="Q1029" s="16">
        <v>0</v>
      </c>
      <c r="R1029" s="18">
        <v>13</v>
      </c>
      <c r="S1029" s="18"/>
      <c r="T1029" s="18" t="s">
        <v>127</v>
      </c>
      <c r="U1029" s="18" t="s">
        <v>141</v>
      </c>
      <c r="V1029" s="18" t="s">
        <v>114</v>
      </c>
      <c r="W1029" s="16">
        <f>AI1029/AG1029</f>
        <v>1.024390243902439</v>
      </c>
      <c r="X1029" s="16" t="s">
        <v>115</v>
      </c>
      <c r="Y1029" s="16" t="s">
        <v>110</v>
      </c>
      <c r="Z1029" s="16">
        <v>3</v>
      </c>
      <c r="AE1029" s="16" t="s">
        <v>116</v>
      </c>
      <c r="AF1029" s="16" t="s">
        <v>116</v>
      </c>
      <c r="AG1029" s="16">
        <f>AH1029-AI1029</f>
        <v>82</v>
      </c>
      <c r="AH1029" s="16">
        <v>166</v>
      </c>
      <c r="AI1029" s="16">
        <v>84</v>
      </c>
      <c r="AK1029" s="16">
        <v>26</v>
      </c>
      <c r="AL1029" s="16">
        <v>0</v>
      </c>
      <c r="AM1029" s="16">
        <v>0</v>
      </c>
      <c r="AN1029" s="16">
        <v>0</v>
      </c>
      <c r="AO1029" s="16">
        <v>0</v>
      </c>
      <c r="AP1029" s="16">
        <f>SUM(AL1029:AN1029)</f>
        <v>0</v>
      </c>
      <c r="AQ1029" s="16">
        <v>1.75</v>
      </c>
      <c r="AR1029" s="16">
        <f>AP1029-1.472</f>
        <v>-1.472</v>
      </c>
      <c r="AS1029" s="16">
        <f>AQ1029-1.472</f>
        <v>0.27800000000000002</v>
      </c>
      <c r="AT1029" s="16" t="str">
        <f>VLOOKUP(K1029,'[5]FECs - good data'!$C$1:$P$575,13,FALSE)</f>
        <v>SB</v>
      </c>
      <c r="AW1029" s="18">
        <f>IF(AX1029&gt;0,1,0)</f>
        <v>1</v>
      </c>
      <c r="AX1029" s="18">
        <f>SUM(BA1029,BM1029,CT1029)</f>
        <v>2</v>
      </c>
      <c r="AY1029" s="18">
        <f>SUM(BB1029,BN1029,CV1029)</f>
        <v>2953.2374100719426</v>
      </c>
      <c r="AZ1029" s="18">
        <f>IF(BA1029&gt;0,1,0)</f>
        <v>1</v>
      </c>
      <c r="BA1029" s="18">
        <f>SUM(BC1029,BF1029,BI1029)</f>
        <v>2</v>
      </c>
      <c r="BB1029" s="18">
        <f>SUM(BE1029,BH1029,BK1029)</f>
        <v>2953.2374100719426</v>
      </c>
      <c r="BC1029" s="18">
        <f>IF(BD1029&gt;0,1,0)</f>
        <v>1</v>
      </c>
      <c r="BD1029" s="18">
        <f>VLOOKUP($K1029,'[5]FECs - good data'!$C$1:$Z$574,14,FALSE)</f>
        <v>236</v>
      </c>
      <c r="BE1029" s="16">
        <f>BD1029/AS1029</f>
        <v>848.9208633093524</v>
      </c>
      <c r="BF1029" s="16">
        <f>IF(BG1029&gt;0,1,0)</f>
        <v>1</v>
      </c>
      <c r="BG1029" s="77">
        <f>VLOOKUP($K1029,'[5]FECs - good data'!$C$1:$Z$574,15,FALSE)</f>
        <v>585</v>
      </c>
      <c r="BH1029" s="16">
        <f>BG1029/AS1029</f>
        <v>2104.31654676259</v>
      </c>
      <c r="BI1029" s="16">
        <f>IF(BJ1029&gt;0,1,0)</f>
        <v>0</v>
      </c>
      <c r="BJ1029" s="16">
        <f>VLOOKUP($K1029,'[5]FECs - good data'!$C$1:$Z$574,16,FALSE)</f>
        <v>0</v>
      </c>
      <c r="BK1029" s="16">
        <f>BJ1029/AS1029</f>
        <v>0</v>
      </c>
      <c r="BL1029" s="16">
        <f>IF(BM1029&gt;0,1,0)</f>
        <v>0</v>
      </c>
      <c r="BM1029" s="16">
        <f>SUM(BR1029,BU1029,BX1029,CA1029,CD1029,CG1029,CJ1029,CM1029,CP1029)</f>
        <v>0</v>
      </c>
      <c r="BN1029" s="16">
        <f>SUM(BW1029,BZ1029,CC1029,CF1029,CI1029,CL1029,CO1029,CR1029,BT1029)</f>
        <v>0</v>
      </c>
      <c r="BO1029" s="16">
        <f>IF(BP1029&gt;0,1,0)</f>
        <v>0</v>
      </c>
      <c r="BP1029" s="16">
        <f>SUM(BU1029,BX1029,CA1029,CD1029,BR1029)</f>
        <v>0</v>
      </c>
      <c r="BQ1029" s="16">
        <f>SUM(BZ1029,CC1029,CF1029,BT1029,BW1029)</f>
        <v>0</v>
      </c>
      <c r="BR1029" s="16">
        <f>IF(BS1029&gt;0,1,0)</f>
        <v>0</v>
      </c>
      <c r="BS1029" s="16">
        <f>VLOOKUP($K1029,'[5]FECs - good data'!$C$1:$Z$574,17,FALSE)</f>
        <v>0</v>
      </c>
      <c r="BT1029" s="77">
        <f>BS1029/AS1029</f>
        <v>0</v>
      </c>
      <c r="BU1029" s="16">
        <f>IF(BV1029&gt;0,1,0)</f>
        <v>0</v>
      </c>
      <c r="BV1029" s="16">
        <f>VLOOKUP($K1029,'[5]FECs - good data'!$C$1:$Z$574,18,FALSE)</f>
        <v>0</v>
      </c>
      <c r="BW1029" s="16">
        <f>BV1029/AS1029</f>
        <v>0</v>
      </c>
      <c r="BX1029" s="16">
        <f>IF(BY1029&gt;0,1,0)</f>
        <v>0</v>
      </c>
      <c r="BY1029" s="16">
        <f>VLOOKUP($K1029,'[5]FECs - good data'!$C$1:$Z$574,19,FALSE)</f>
        <v>0</v>
      </c>
      <c r="BZ1029" s="16">
        <f>BY1029/AS1029</f>
        <v>0</v>
      </c>
      <c r="CA1029" s="16">
        <f>IF(CB1029&gt;0,1,0)</f>
        <v>0</v>
      </c>
      <c r="CB1029" s="16">
        <f>VLOOKUP($K1029,'[5]FECs - good data'!$C$1:$Z$574,20,FALSE)</f>
        <v>0</v>
      </c>
      <c r="CC1029" s="16">
        <f>CB1029/AS1029</f>
        <v>0</v>
      </c>
      <c r="CD1029" s="77">
        <f>IF(CE1029&gt;0,1,0)</f>
        <v>0</v>
      </c>
      <c r="CE1029" s="16">
        <f>VLOOKUP($K1029,'[5]FECs - good data'!$C$1:$Z$574,21,FALSE)</f>
        <v>0</v>
      </c>
      <c r="CF1029" s="16">
        <f>CE1029/AS1029</f>
        <v>0</v>
      </c>
      <c r="CG1029" s="16">
        <f>IF(CH1029&gt;0,1,0)</f>
        <v>0</v>
      </c>
      <c r="CH1029" s="16">
        <f>VLOOKUP($K1029,'[5]FECs - good data'!$C$1:$Z$574,22,FALSE)</f>
        <v>0</v>
      </c>
      <c r="CI1029" s="16">
        <f>CH1029/AS1029</f>
        <v>0</v>
      </c>
      <c r="CJ1029" s="16">
        <f>IF(CK1029&gt;0,1,0)</f>
        <v>0</v>
      </c>
      <c r="CK1029" s="16">
        <f>VLOOKUP($K1029,'[5]FECs - good data'!$C$1:$Z$674,24,FALSE)</f>
        <v>0</v>
      </c>
      <c r="CL1029" s="16">
        <f>CK1029/AS1029</f>
        <v>0</v>
      </c>
      <c r="CS1029" s="16">
        <f>IF(CT1029&gt;0,1,0)</f>
        <v>0</v>
      </c>
      <c r="CT1029" s="16">
        <f>SUM(CW1029+CZ1029,DC1029)</f>
        <v>0</v>
      </c>
      <c r="CV1029" s="16">
        <f>SUM(CY1029,DB1029,DE1029)</f>
        <v>0</v>
      </c>
      <c r="CW1029" s="16">
        <f>IF(CX1029&gt;0,1,0)</f>
        <v>0</v>
      </c>
      <c r="CX1029" s="16">
        <f>VLOOKUP($K1029,'[5]FECs - good data'!$C$1:$Z$574,22,FALSE)</f>
        <v>0</v>
      </c>
      <c r="CY1029" s="16">
        <f>CX1029/AS1029</f>
        <v>0</v>
      </c>
      <c r="CZ1029" s="16">
        <f>IF(DA1029&gt;0,1,0)</f>
        <v>0</v>
      </c>
      <c r="DA1029" s="16">
        <f>VLOOKUP($K1029,'[5]FECs - good data'!$C$1:$Z$5982,23,FALSE)</f>
        <v>0</v>
      </c>
      <c r="DB1029" s="16">
        <f>DA1029/AS1029</f>
        <v>0</v>
      </c>
      <c r="DC1029" s="16">
        <f>IF(DD1029&gt;0,1,0)</f>
        <v>0</v>
      </c>
      <c r="DD1029" s="16">
        <f>VLOOKUP($K1029,'[5]FECs - good data'!$C$1:$Z$574,23,FALSE)</f>
        <v>0</v>
      </c>
      <c r="DE1029" s="16">
        <f>DD1029/AS1029</f>
        <v>0</v>
      </c>
      <c r="DF1029" s="16" t="e">
        <f>VLOOKUP(K1029,'[3]RNA Seq summary tables'!$V$3:$V$99,1,FALSE)</f>
        <v>#N/A</v>
      </c>
      <c r="DG1029" s="16">
        <v>1</v>
      </c>
      <c r="DH1029" s="16" t="str">
        <f>VLOOKUP(D1029,'[6]workflow 3.2018'!$A$1:$S$237,2,FALSE)</f>
        <v>2017MLBS_219</v>
      </c>
      <c r="JO1029" s="18"/>
    </row>
    <row r="1030" spans="2:288" x14ac:dyDescent="0.2">
      <c r="B1030" s="16">
        <v>2017</v>
      </c>
      <c r="C1030" s="20">
        <v>42913</v>
      </c>
      <c r="D1030" s="20" t="str">
        <f>CONCATENATE(J1030,"-",C1030)</f>
        <v>1166-42913</v>
      </c>
      <c r="E1030" s="20" t="str">
        <f>CONCATENATE(T1030,"-",U1030,"-",C1030)</f>
        <v>PO1-A7-42913</v>
      </c>
      <c r="F1030" s="20" t="s">
        <v>106</v>
      </c>
      <c r="G1030" s="20" t="s">
        <v>107</v>
      </c>
      <c r="I1030" s="16">
        <v>0</v>
      </c>
      <c r="J1030" s="21">
        <v>1166</v>
      </c>
      <c r="K1030" s="21">
        <v>1758</v>
      </c>
      <c r="L1030" s="18">
        <v>0</v>
      </c>
      <c r="M1030" s="21">
        <f>VLOOKUP($K1030,'[4]blood tubes 2017'!$D$1:$L$647,8,FALSE)</f>
        <v>0</v>
      </c>
      <c r="N1030" s="15">
        <v>0</v>
      </c>
      <c r="O1030" s="15" t="s">
        <v>214</v>
      </c>
      <c r="P1030" s="16" t="s">
        <v>110</v>
      </c>
      <c r="Q1030" s="16">
        <v>0</v>
      </c>
      <c r="R1030" s="16" t="s">
        <v>111</v>
      </c>
      <c r="T1030" s="16" t="s">
        <v>112</v>
      </c>
      <c r="U1030" s="16" t="s">
        <v>120</v>
      </c>
      <c r="V1030" s="16" t="s">
        <v>142</v>
      </c>
      <c r="W1030" s="16">
        <f>AI1030/AG1030</f>
        <v>1</v>
      </c>
      <c r="X1030" s="16" t="s">
        <v>115</v>
      </c>
      <c r="Y1030" s="16" t="s">
        <v>145</v>
      </c>
      <c r="Z1030" s="16">
        <v>1</v>
      </c>
      <c r="AE1030" s="16" t="s">
        <v>123</v>
      </c>
      <c r="AF1030" s="16" t="s">
        <v>123</v>
      </c>
      <c r="AG1030" s="16">
        <f>AH1030-AI1030</f>
        <v>67</v>
      </c>
      <c r="AH1030" s="16">
        <v>134</v>
      </c>
      <c r="AI1030" s="16">
        <v>67</v>
      </c>
      <c r="AK1030" s="16">
        <v>9</v>
      </c>
      <c r="AL1030" s="16">
        <v>0</v>
      </c>
      <c r="AM1030" s="16">
        <v>0</v>
      </c>
      <c r="AN1030" s="16">
        <v>0</v>
      </c>
      <c r="AO1030" s="16">
        <v>0</v>
      </c>
      <c r="AP1030" s="16">
        <f>SUM(AL1030:AN1030)</f>
        <v>0</v>
      </c>
      <c r="AQ1030" s="16">
        <v>1.6</v>
      </c>
      <c r="AR1030" s="16">
        <f>AP1030-1.472</f>
        <v>-1.472</v>
      </c>
      <c r="AS1030" s="16">
        <f>AQ1030-1.472</f>
        <v>0.12800000000000011</v>
      </c>
      <c r="AT1030" s="16" t="s">
        <v>164</v>
      </c>
      <c r="AV1030" s="16">
        <v>1</v>
      </c>
      <c r="AW1030" s="18">
        <f>IF(AX1030&gt;0,1,0)</f>
        <v>0</v>
      </c>
      <c r="AX1030" s="18">
        <f>SUM(BA1030,BM1030,CT1030)</f>
        <v>0</v>
      </c>
      <c r="AY1030" s="18">
        <f>SUM(BB1030,BN1030,CV1030)</f>
        <v>0</v>
      </c>
      <c r="AZ1030" s="18">
        <f>IF(BA1030&gt;0,1,0)</f>
        <v>0</v>
      </c>
      <c r="BA1030" s="18">
        <f>SUM(BC1030,BF1030,BI1030)</f>
        <v>0</v>
      </c>
      <c r="BB1030" s="18">
        <f>SUM(BE1030,BH1030,BK1030)</f>
        <v>0</v>
      </c>
      <c r="BC1030" s="18">
        <f>IF(BD1030&gt;0,1,0)</f>
        <v>0</v>
      </c>
      <c r="BD1030" s="18">
        <f>VLOOKUP($K1030,'[5]FECs - good data'!$C$1:$Z$574,14,FALSE)</f>
        <v>0</v>
      </c>
      <c r="BE1030" s="16">
        <f>BD1030/AS1030</f>
        <v>0</v>
      </c>
      <c r="BF1030" s="16">
        <f>IF(BG1030&gt;0,1,0)</f>
        <v>0</v>
      </c>
      <c r="BG1030" s="77">
        <f>VLOOKUP($K1030,'[5]FECs - good data'!$C$1:$Z$574,15,FALSE)</f>
        <v>0</v>
      </c>
      <c r="BH1030" s="16">
        <f>BG1030/AS1030</f>
        <v>0</v>
      </c>
      <c r="BI1030" s="16">
        <f>IF(BJ1030&gt;0,1,0)</f>
        <v>0</v>
      </c>
      <c r="BJ1030" s="16">
        <f>VLOOKUP($K1030,'[5]FECs - good data'!$C$1:$Z$574,16,FALSE)</f>
        <v>0</v>
      </c>
      <c r="BK1030" s="16">
        <f>BJ1030/AS1030</f>
        <v>0</v>
      </c>
      <c r="BL1030" s="16">
        <f>IF(BM1030&gt;0,1,0)</f>
        <v>0</v>
      </c>
      <c r="BM1030" s="16">
        <f>SUM(BR1030,BU1030,BX1030,CA1030,CD1030,CG1030,CJ1030,CM1030,CP1030)</f>
        <v>0</v>
      </c>
      <c r="BN1030" s="16">
        <f>SUM(BW1030,BZ1030,CC1030,CF1030,CI1030,CL1030,CO1030,CR1030,BT1030)</f>
        <v>0</v>
      </c>
      <c r="BO1030" s="16">
        <f>IF(BP1030&gt;0,1,0)</f>
        <v>0</v>
      </c>
      <c r="BP1030" s="16">
        <f>SUM(BU1030,BX1030,CA1030,CD1030,BR1030)</f>
        <v>0</v>
      </c>
      <c r="BQ1030" s="16">
        <f>SUM(BZ1030,CC1030,CF1030,BT1030,BW1030)</f>
        <v>0</v>
      </c>
      <c r="BR1030" s="16">
        <f>IF(BS1030&gt;0,1,0)</f>
        <v>0</v>
      </c>
      <c r="BS1030" s="16">
        <f>VLOOKUP($K1030,'[5]FECs - good data'!$C$1:$Z$574,17,FALSE)</f>
        <v>0</v>
      </c>
      <c r="BT1030" s="77">
        <f>BS1030/AS1030</f>
        <v>0</v>
      </c>
      <c r="BU1030" s="16">
        <f>IF(BV1030&gt;0,1,0)</f>
        <v>0</v>
      </c>
      <c r="BV1030" s="16">
        <f>VLOOKUP($K1030,'[5]FECs - good data'!$C$1:$Z$574,18,FALSE)</f>
        <v>0</v>
      </c>
      <c r="BW1030" s="16">
        <f>BV1030/AS1030</f>
        <v>0</v>
      </c>
      <c r="BX1030" s="16">
        <f>IF(BY1030&gt;0,1,0)</f>
        <v>0</v>
      </c>
      <c r="BY1030" s="16">
        <f>VLOOKUP($K1030,'[5]FECs - good data'!$C$1:$Z$574,19,FALSE)</f>
        <v>0</v>
      </c>
      <c r="BZ1030" s="16">
        <f>BY1030/AS1030</f>
        <v>0</v>
      </c>
      <c r="CA1030" s="16">
        <f>IF(CB1030&gt;0,1,0)</f>
        <v>0</v>
      </c>
      <c r="CB1030" s="16">
        <f>VLOOKUP($K1030,'[5]FECs - good data'!$C$1:$Z$574,20,FALSE)</f>
        <v>0</v>
      </c>
      <c r="CC1030" s="16">
        <f>CB1030/AS1030</f>
        <v>0</v>
      </c>
      <c r="CD1030" s="77">
        <f>IF(CE1030&gt;0,1,0)</f>
        <v>0</v>
      </c>
      <c r="CE1030" s="16">
        <f>VLOOKUP($K1030,'[5]FECs - good data'!$C$1:$Z$574,21,FALSE)</f>
        <v>0</v>
      </c>
      <c r="CF1030" s="16">
        <f>CE1030/AS1030</f>
        <v>0</v>
      </c>
      <c r="CG1030" s="16">
        <f>IF(CH1030&gt;0,1,0)</f>
        <v>0</v>
      </c>
      <c r="CH1030" s="16">
        <f>VLOOKUP($K1030,'[5]FECs - good data'!$C$1:$Z$574,22,FALSE)</f>
        <v>0</v>
      </c>
      <c r="CI1030" s="16">
        <f>CH1030/AS1030</f>
        <v>0</v>
      </c>
      <c r="CJ1030" s="16">
        <f>IF(CK1030&gt;0,1,0)</f>
        <v>0</v>
      </c>
      <c r="CK1030" s="16">
        <f>VLOOKUP($K1030,'[5]FECs - good data'!$C$1:$Z$674,24,FALSE)</f>
        <v>0</v>
      </c>
      <c r="CL1030" s="16">
        <f>CK1030/AS1030</f>
        <v>0</v>
      </c>
      <c r="CS1030" s="16">
        <f>IF(CT1030&gt;0,1,0)</f>
        <v>0</v>
      </c>
      <c r="CT1030" s="16">
        <f>SUM(CW1030+CZ1030,DC1030)</f>
        <v>0</v>
      </c>
      <c r="CV1030" s="16">
        <f>SUM(CY1030,DB1030,DE1030)</f>
        <v>0</v>
      </c>
      <c r="CW1030" s="16">
        <f>IF(CX1030&gt;0,1,0)</f>
        <v>0</v>
      </c>
      <c r="CX1030" s="16">
        <f>VLOOKUP($K1030,'[5]FECs - good data'!$C$1:$Z$574,22,FALSE)</f>
        <v>0</v>
      </c>
      <c r="CY1030" s="16">
        <f>CX1030/AS1030</f>
        <v>0</v>
      </c>
      <c r="CZ1030" s="16">
        <f>IF(DA1030&gt;0,1,0)</f>
        <v>0</v>
      </c>
      <c r="DA1030" s="16">
        <f>VLOOKUP($K1030,'[5]FECs - good data'!$C$1:$Z$5982,23,FALSE)</f>
        <v>0</v>
      </c>
      <c r="DB1030" s="16">
        <f>DA1030/AS1030</f>
        <v>0</v>
      </c>
      <c r="DC1030" s="16">
        <v>0</v>
      </c>
      <c r="DD1030" s="16">
        <f>VLOOKUP($K1030,'[5]FECs - good data'!$C$1:$Z$574,23,FALSE)</f>
        <v>0</v>
      </c>
      <c r="DE1030" s="16">
        <f>DD1030/AS1030</f>
        <v>0</v>
      </c>
      <c r="DF1030" s="16" t="e">
        <f>VLOOKUP(K1030,'[3]RNA Seq summary tables'!$V$3:$V$99,1,FALSE)</f>
        <v>#N/A</v>
      </c>
      <c r="DI1030" s="16">
        <v>43</v>
      </c>
      <c r="DK1030" s="16">
        <v>41</v>
      </c>
      <c r="DM1030" s="16">
        <v>16</v>
      </c>
      <c r="DO1030" s="16">
        <v>0</v>
      </c>
      <c r="DQ1030" s="16">
        <v>0</v>
      </c>
      <c r="DR1030" s="16">
        <f>SUM(DI1030:DQ1030)</f>
        <v>100</v>
      </c>
    </row>
    <row r="1031" spans="2:288" x14ac:dyDescent="0.2">
      <c r="B1031" s="16">
        <v>2017</v>
      </c>
      <c r="C1031" s="20">
        <v>42928</v>
      </c>
      <c r="D1031" s="20" t="str">
        <f>CONCATENATE(J1031,"-",C1031)</f>
        <v>1166-42928</v>
      </c>
      <c r="E1031" s="20" t="str">
        <f>CONCATENATE(T1031,"-",U1031,"-",C1031)</f>
        <v>PO1-A7-42928</v>
      </c>
      <c r="F1031" s="20" t="s">
        <v>106</v>
      </c>
      <c r="G1031" s="20" t="s">
        <v>107</v>
      </c>
      <c r="I1031" s="16">
        <v>1</v>
      </c>
      <c r="J1031" s="21">
        <v>1166</v>
      </c>
      <c r="K1031" s="21">
        <v>1875</v>
      </c>
      <c r="L1031" s="16">
        <v>1</v>
      </c>
      <c r="M1031" s="21">
        <f>VLOOKUP($K1031,'[4]blood tubes 2017'!$D$1:$L$647,8,FALSE)</f>
        <v>0</v>
      </c>
      <c r="N1031" s="15">
        <v>0</v>
      </c>
      <c r="O1031" s="15" t="s">
        <v>214</v>
      </c>
      <c r="P1031" s="16" t="s">
        <v>110</v>
      </c>
      <c r="Q1031" s="16">
        <v>1</v>
      </c>
      <c r="R1031" s="16">
        <v>15</v>
      </c>
      <c r="T1031" s="16" t="s">
        <v>112</v>
      </c>
      <c r="U1031" s="16" t="s">
        <v>120</v>
      </c>
      <c r="V1031" s="16" t="s">
        <v>142</v>
      </c>
      <c r="W1031" s="16">
        <f>AI1031/AG1031</f>
        <v>1</v>
      </c>
      <c r="X1031" s="16" t="s">
        <v>115</v>
      </c>
      <c r="Y1031" s="16" t="s">
        <v>110</v>
      </c>
      <c r="Z1031" s="16">
        <v>3</v>
      </c>
      <c r="AE1031" s="16" t="s">
        <v>123</v>
      </c>
      <c r="AF1031" s="16" t="s">
        <v>123</v>
      </c>
      <c r="AG1031" s="16">
        <f>AH1031-AI1031</f>
        <v>79</v>
      </c>
      <c r="AH1031" s="16">
        <v>158</v>
      </c>
      <c r="AI1031" s="16">
        <v>79</v>
      </c>
      <c r="AK1031" s="16">
        <v>13</v>
      </c>
      <c r="AL1031" s="16">
        <v>0</v>
      </c>
      <c r="AM1031" s="16">
        <v>0</v>
      </c>
      <c r="AN1031" s="16">
        <v>0</v>
      </c>
      <c r="AO1031" s="16">
        <v>0</v>
      </c>
      <c r="AP1031" s="16">
        <f>SUM(AL1031:AN1031)</f>
        <v>0</v>
      </c>
      <c r="AQ1031" s="16">
        <v>1.764</v>
      </c>
      <c r="AR1031" s="16">
        <f>AP1031-1.472</f>
        <v>-1.472</v>
      </c>
      <c r="AS1031" s="16">
        <f>AQ1031-1.472</f>
        <v>0.29200000000000004</v>
      </c>
      <c r="AT1031" s="30" t="str">
        <f>VLOOKUP(K1031,'[5]FECs - good data'!$C$1:$P$575,13,FALSE)</f>
        <v>duplicate, can't use</v>
      </c>
      <c r="AW1031" s="18">
        <f>IF(AX1031&gt;0,1,0)</f>
        <v>0</v>
      </c>
      <c r="AX1031" s="18">
        <f>SUM(BA1031,BM1031,CT1031)</f>
        <v>0</v>
      </c>
      <c r="AY1031" s="18">
        <f>SUM(BB1031,BN1031,CV1031)</f>
        <v>0</v>
      </c>
      <c r="AZ1031" s="18">
        <f>IF(BA1031&gt;0,1,0)</f>
        <v>0</v>
      </c>
      <c r="BA1031" s="18">
        <f>SUM(BC1031,BF1031,BI1031)</f>
        <v>0</v>
      </c>
      <c r="BB1031" s="18">
        <f>SUM(BE1031,BH1031,BK1031)</f>
        <v>0</v>
      </c>
      <c r="BC1031" s="18">
        <f>IF(BD1031&gt;0,1,0)</f>
        <v>0</v>
      </c>
      <c r="BD1031" s="18">
        <f>VLOOKUP($K1031,'[5]FECs - good data'!$C$1:$Z$574,14,FALSE)</f>
        <v>0</v>
      </c>
      <c r="BE1031" s="16">
        <f>BD1031/AS1031</f>
        <v>0</v>
      </c>
      <c r="BF1031" s="16">
        <f>IF(BG1031&gt;0,1,0)</f>
        <v>0</v>
      </c>
      <c r="BG1031" s="77">
        <f>VLOOKUP($K1031,'[5]FECs - good data'!$C$1:$Z$574,15,FALSE)</f>
        <v>0</v>
      </c>
      <c r="BH1031" s="16">
        <f>BG1031/AS1031</f>
        <v>0</v>
      </c>
      <c r="BI1031" s="16">
        <f>IF(BJ1031&gt;0,1,0)</f>
        <v>0</v>
      </c>
      <c r="BJ1031" s="16">
        <f>VLOOKUP($K1031,'[5]FECs - good data'!$C$1:$Z$574,16,FALSE)</f>
        <v>0</v>
      </c>
      <c r="BK1031" s="16">
        <f>BJ1031/AS1031</f>
        <v>0</v>
      </c>
      <c r="BL1031" s="16">
        <f>IF(BM1031&gt;0,1,0)</f>
        <v>0</v>
      </c>
      <c r="BM1031" s="16">
        <f>SUM(BR1031,BU1031,BX1031,CA1031,CD1031,CG1031,CJ1031,CM1031,CP1031)</f>
        <v>0</v>
      </c>
      <c r="BN1031" s="16">
        <f>SUM(BW1031,BZ1031,CC1031,CF1031,CI1031,CL1031,CO1031,CR1031,BT1031)</f>
        <v>0</v>
      </c>
      <c r="BO1031" s="16">
        <f>IF(BP1031&gt;0,1,0)</f>
        <v>0</v>
      </c>
      <c r="BP1031" s="16">
        <f>SUM(BU1031,BX1031,CA1031,CD1031,BR1031)</f>
        <v>0</v>
      </c>
      <c r="BQ1031" s="16">
        <f>SUM(BZ1031,CC1031,CF1031,BT1031,BW1031)</f>
        <v>0</v>
      </c>
      <c r="BR1031" s="16">
        <f>IF(BS1031&gt;0,1,0)</f>
        <v>0</v>
      </c>
      <c r="BS1031" s="16">
        <f>VLOOKUP($K1031,'[5]FECs - good data'!$C$1:$Z$574,17,FALSE)</f>
        <v>0</v>
      </c>
      <c r="BT1031" s="77">
        <f>BS1031/AS1031</f>
        <v>0</v>
      </c>
      <c r="BU1031" s="16">
        <f>IF(BV1031&gt;0,1,0)</f>
        <v>0</v>
      </c>
      <c r="BV1031" s="16">
        <f>VLOOKUP($K1031,'[5]FECs - good data'!$C$1:$Z$574,18,FALSE)</f>
        <v>0</v>
      </c>
      <c r="BW1031" s="16">
        <f>BV1031/AS1031</f>
        <v>0</v>
      </c>
      <c r="BX1031" s="16">
        <f>IF(BY1031&gt;0,1,0)</f>
        <v>0</v>
      </c>
      <c r="BY1031" s="16">
        <f>VLOOKUP($K1031,'[5]FECs - good data'!$C$1:$Z$574,19,FALSE)</f>
        <v>0</v>
      </c>
      <c r="BZ1031" s="16">
        <f>BY1031/AS1031</f>
        <v>0</v>
      </c>
      <c r="CA1031" s="16">
        <f>IF(CB1031&gt;0,1,0)</f>
        <v>0</v>
      </c>
      <c r="CB1031" s="16">
        <f>VLOOKUP($K1031,'[5]FECs - good data'!$C$1:$Z$574,20,FALSE)</f>
        <v>0</v>
      </c>
      <c r="CC1031" s="16">
        <f>CB1031/AS1031</f>
        <v>0</v>
      </c>
      <c r="CD1031" s="77">
        <f>IF(CE1031&gt;0,1,0)</f>
        <v>0</v>
      </c>
      <c r="CE1031" s="16">
        <f>VLOOKUP($K1031,'[5]FECs - good data'!$C$1:$Z$574,21,FALSE)</f>
        <v>0</v>
      </c>
      <c r="CF1031" s="16">
        <f>CE1031/AS1031</f>
        <v>0</v>
      </c>
      <c r="CG1031" s="16">
        <f>IF(CH1031&gt;0,1,0)</f>
        <v>0</v>
      </c>
      <c r="CH1031" s="16">
        <f>VLOOKUP($K1031,'[5]FECs - good data'!$C$1:$Z$574,22,FALSE)</f>
        <v>0</v>
      </c>
      <c r="CI1031" s="16">
        <f>CH1031/AS1031</f>
        <v>0</v>
      </c>
      <c r="CJ1031" s="16">
        <f>IF(CK1031&gt;0,1,0)</f>
        <v>0</v>
      </c>
      <c r="CK1031" s="16">
        <f>VLOOKUP($K1031,'[5]FECs - good data'!$C$1:$Z$674,24,FALSE)</f>
        <v>0</v>
      </c>
      <c r="CL1031" s="16">
        <f>CK1031/AS1031</f>
        <v>0</v>
      </c>
      <c r="CS1031" s="16">
        <f>IF(CT1031&gt;0,1,0)</f>
        <v>0</v>
      </c>
      <c r="CT1031" s="16">
        <f>SUM(CW1031+CZ1031,DC1031)</f>
        <v>0</v>
      </c>
      <c r="CV1031" s="16">
        <f>SUM(CY1031,DB1031,DE1031)</f>
        <v>0</v>
      </c>
      <c r="CW1031" s="16">
        <f>IF(CX1031&gt;0,1,0)</f>
        <v>0</v>
      </c>
      <c r="CX1031" s="16">
        <f>VLOOKUP($K1031,'[5]FECs - good data'!$C$1:$Z$574,22,FALSE)</f>
        <v>0</v>
      </c>
      <c r="CY1031" s="16">
        <f>CX1031/AS1031</f>
        <v>0</v>
      </c>
      <c r="CZ1031" s="16">
        <f>IF(DA1031&gt;0,1,0)</f>
        <v>0</v>
      </c>
      <c r="DA1031" s="16">
        <f>VLOOKUP($K1031,'[5]FECs - good data'!$C$1:$Z$5982,23,FALSE)</f>
        <v>0</v>
      </c>
      <c r="DB1031" s="16">
        <f>DA1031/AS1031</f>
        <v>0</v>
      </c>
      <c r="DE1031" s="16">
        <f>DD1031/AS1031</f>
        <v>0</v>
      </c>
      <c r="DF1031" s="16">
        <f>VLOOKUP(K1031,'[3]RNA Seq summary tables'!$V$3:$V$99,1,FALSE)</f>
        <v>1875</v>
      </c>
      <c r="JR1031" s="27"/>
      <c r="JS1031" s="27"/>
      <c r="JT1031" s="27"/>
      <c r="JU1031" s="27"/>
      <c r="JV1031" s="27"/>
      <c r="JW1031" s="27"/>
      <c r="JX1031" s="27"/>
      <c r="JY1031" s="27"/>
      <c r="JZ1031" s="27"/>
      <c r="KA1031" s="27"/>
      <c r="KB1031" s="27"/>
    </row>
    <row r="1032" spans="2:288" x14ac:dyDescent="0.2">
      <c r="B1032" s="16">
        <v>2017</v>
      </c>
      <c r="C1032" s="20">
        <v>42913</v>
      </c>
      <c r="D1032" s="20" t="str">
        <f>CONCATENATE(J1032,"-",C1032)</f>
        <v>1168-42913</v>
      </c>
      <c r="E1032" s="20" t="str">
        <f>CONCATENATE(T1032,"-",U1032,"-",C1032)</f>
        <v>PO2-A3-42913</v>
      </c>
      <c r="F1032" s="20" t="s">
        <v>106</v>
      </c>
      <c r="G1032" s="20" t="s">
        <v>107</v>
      </c>
      <c r="I1032" s="16">
        <v>0</v>
      </c>
      <c r="J1032" s="21">
        <v>1168</v>
      </c>
      <c r="K1032" s="21">
        <v>1760</v>
      </c>
      <c r="L1032" s="18">
        <v>0</v>
      </c>
      <c r="M1032" s="21">
        <f>VLOOKUP($K1032,'[4]blood tubes 2017'!$D$1:$L$647,8,FALSE)</f>
        <v>0</v>
      </c>
      <c r="N1032" s="15">
        <v>0</v>
      </c>
      <c r="O1032" s="15" t="s">
        <v>214</v>
      </c>
      <c r="P1032" s="16" t="s">
        <v>110</v>
      </c>
      <c r="Q1032" s="16">
        <v>0</v>
      </c>
      <c r="R1032" s="16" t="s">
        <v>111</v>
      </c>
      <c r="T1032" s="16" t="s">
        <v>127</v>
      </c>
      <c r="U1032" s="16" t="s">
        <v>201</v>
      </c>
      <c r="V1032" s="16" t="s">
        <v>114</v>
      </c>
      <c r="W1032" s="16">
        <f>AI1032/AG1032</f>
        <v>0.82474226804123707</v>
      </c>
      <c r="X1032" s="16" t="s">
        <v>121</v>
      </c>
      <c r="Y1032" s="16" t="s">
        <v>110</v>
      </c>
      <c r="Z1032" s="16">
        <v>3</v>
      </c>
      <c r="AA1032" s="16" t="s">
        <v>119</v>
      </c>
      <c r="AB1032" s="16" t="s">
        <v>115</v>
      </c>
      <c r="AC1032" s="16" t="s">
        <v>123</v>
      </c>
      <c r="AD1032" s="16" t="s">
        <v>123</v>
      </c>
      <c r="AG1032" s="16">
        <f>AH1032-AI1032</f>
        <v>97</v>
      </c>
      <c r="AH1032" s="16">
        <v>177</v>
      </c>
      <c r="AI1032" s="16">
        <v>80</v>
      </c>
      <c r="AK1032" s="16">
        <v>24.5</v>
      </c>
      <c r="AL1032" s="16">
        <v>0</v>
      </c>
      <c r="AM1032" s="16">
        <v>0</v>
      </c>
      <c r="AN1032" s="16">
        <v>0</v>
      </c>
      <c r="AO1032" s="16">
        <v>0</v>
      </c>
      <c r="AP1032" s="16">
        <f>SUM(AL1032:AN1032)</f>
        <v>0</v>
      </c>
      <c r="AQ1032" s="16">
        <v>1.8149999999999999</v>
      </c>
      <c r="AR1032" s="16">
        <f>AP1032-1.472</f>
        <v>-1.472</v>
      </c>
      <c r="AS1032" s="16">
        <f>AQ1032-1.472</f>
        <v>0.34299999999999997</v>
      </c>
      <c r="AT1032" s="16" t="s">
        <v>233</v>
      </c>
      <c r="AV1032" s="16">
        <v>1</v>
      </c>
      <c r="AW1032" s="16">
        <f>IF(AX1032&gt;0,1,0)</f>
        <v>0</v>
      </c>
      <c r="AX1032" s="16">
        <f>SUM(BA1032,BM1032,CT1032)</f>
        <v>0</v>
      </c>
      <c r="AY1032" s="18">
        <f>SUM(BB1032,BN1032,CV1032)</f>
        <v>0</v>
      </c>
      <c r="AZ1032" s="16">
        <v>0</v>
      </c>
      <c r="BA1032" s="16">
        <v>0</v>
      </c>
      <c r="BB1032" s="16">
        <f>SUM(BE1032,BH1032,BK1032)</f>
        <v>0</v>
      </c>
      <c r="BC1032" s="16">
        <v>0</v>
      </c>
      <c r="BD1032" s="16">
        <v>0</v>
      </c>
      <c r="BE1032" s="16">
        <f>BD1032/AS1032</f>
        <v>0</v>
      </c>
      <c r="BF1032" s="16">
        <v>0</v>
      </c>
      <c r="BG1032" s="77">
        <v>0</v>
      </c>
      <c r="BH1032" s="16">
        <f>BG1032/AS1032</f>
        <v>0</v>
      </c>
      <c r="BI1032" s="16">
        <v>0</v>
      </c>
      <c r="BJ1032" s="16">
        <v>0</v>
      </c>
      <c r="BK1032" s="16">
        <f>BJ1032/AS1032</f>
        <v>0</v>
      </c>
      <c r="BL1032" s="16">
        <f>IF(BM1032&gt;0,1,0)</f>
        <v>0</v>
      </c>
      <c r="BM1032" s="16">
        <f>SUM(BR1032,BU1032,BX1032,CA1032,CD1032,CG1032,CJ1032,CM1032,CP1032)</f>
        <v>0</v>
      </c>
      <c r="BN1032" s="16">
        <f>SUM(BW1032,BZ1032,CC1032,CF1032,CI1032,CL1032,CO1032,CR1032,BT1032)</f>
        <v>0</v>
      </c>
      <c r="BO1032" s="16">
        <f>IF(BP1032&gt;0,1,0)</f>
        <v>0</v>
      </c>
      <c r="BP1032" s="16">
        <f>SUM(BU1032,BX1032,CA1032,CD1032,BR1032)</f>
        <v>0</v>
      </c>
      <c r="BQ1032" s="16">
        <f>SUM(BZ1032,CC1032,CF1032,BT1032,BW1032)</f>
        <v>0</v>
      </c>
      <c r="BR1032" s="16">
        <v>0</v>
      </c>
      <c r="BS1032" s="16">
        <v>0</v>
      </c>
      <c r="BT1032" s="77">
        <f>BS1032/AS1032</f>
        <v>0</v>
      </c>
      <c r="BU1032" s="16">
        <v>0</v>
      </c>
      <c r="BV1032" s="16">
        <v>0</v>
      </c>
      <c r="BW1032" s="16">
        <f>BV1032/AS1032</f>
        <v>0</v>
      </c>
      <c r="BX1032" s="16">
        <v>0</v>
      </c>
      <c r="BY1032" s="16">
        <v>0</v>
      </c>
      <c r="BZ1032" s="16">
        <f>BY1032/AS1032</f>
        <v>0</v>
      </c>
      <c r="CA1032" s="16">
        <v>0</v>
      </c>
      <c r="CB1032" s="16">
        <v>0</v>
      </c>
      <c r="CC1032" s="16">
        <f>CB1032/AS1032</f>
        <v>0</v>
      </c>
      <c r="CD1032" s="77">
        <v>0</v>
      </c>
      <c r="CE1032" s="16">
        <v>0</v>
      </c>
      <c r="CF1032" s="16">
        <f>CE1032/AS1032</f>
        <v>0</v>
      </c>
      <c r="CG1032" s="16">
        <v>0</v>
      </c>
      <c r="CH1032" s="16">
        <v>0</v>
      </c>
      <c r="CI1032" s="16">
        <f>CH1032/AS1032</f>
        <v>0</v>
      </c>
      <c r="CM1032" s="16">
        <v>0</v>
      </c>
      <c r="CN1032" s="16">
        <v>0</v>
      </c>
      <c r="CO1032" s="16">
        <f>CN1032/AS1032</f>
        <v>0</v>
      </c>
      <c r="CP1032" s="16">
        <v>0</v>
      </c>
      <c r="CQ1032" s="16">
        <v>0</v>
      </c>
      <c r="CR1032" s="16">
        <f>CQ1032/AS1032</f>
        <v>0</v>
      </c>
      <c r="CS1032" s="16">
        <v>0</v>
      </c>
      <c r="CT1032" s="16">
        <v>0</v>
      </c>
      <c r="CV1032" s="16">
        <f>SUM(CY1032,DB1032,DE1032)</f>
        <v>0</v>
      </c>
      <c r="CW1032" s="23">
        <v>0</v>
      </c>
      <c r="CX1032" s="23">
        <v>0</v>
      </c>
      <c r="CY1032" s="23">
        <f>CX1032/AS1032</f>
        <v>0</v>
      </c>
      <c r="CZ1032" s="23">
        <v>0</v>
      </c>
      <c r="DA1032" s="23">
        <v>0</v>
      </c>
      <c r="DB1032" s="23">
        <f>DA1032/AS1032</f>
        <v>0</v>
      </c>
      <c r="DC1032" s="23">
        <v>0</v>
      </c>
      <c r="DD1032" s="23">
        <v>0</v>
      </c>
      <c r="DE1032" s="23">
        <f>DD1032/AS1032</f>
        <v>0</v>
      </c>
      <c r="DF1032" s="16" t="e">
        <f>VLOOKUP(K1032,'[3]RNA Seq summary tables'!$V$3:$V$99,1,FALSE)</f>
        <v>#N/A</v>
      </c>
      <c r="DI1032" s="16">
        <v>46</v>
      </c>
      <c r="DK1032" s="16">
        <v>38</v>
      </c>
      <c r="DM1032" s="16">
        <v>14</v>
      </c>
      <c r="DO1032" s="16">
        <v>0</v>
      </c>
      <c r="DQ1032" s="16">
        <v>2</v>
      </c>
      <c r="DR1032" s="16">
        <f>SUM(DI1032:DQ1032)</f>
        <v>100</v>
      </c>
      <c r="JO1032" s="18"/>
      <c r="JP1032" s="18"/>
      <c r="JQ1032" s="18"/>
    </row>
    <row r="1033" spans="2:288" x14ac:dyDescent="0.2">
      <c r="B1033" s="16">
        <v>2017</v>
      </c>
      <c r="C1033" s="20">
        <v>42964</v>
      </c>
      <c r="D1033" s="20" t="str">
        <f>CONCATENATE(J1033,"-",C1033)</f>
        <v>1168-42964</v>
      </c>
      <c r="E1033" s="20" t="str">
        <f>CONCATENATE(T1033,"-",U1033,"-",C1033)</f>
        <v>PO2-A3-42964</v>
      </c>
      <c r="F1033" s="20" t="s">
        <v>106</v>
      </c>
      <c r="G1033" s="20" t="s">
        <v>107</v>
      </c>
      <c r="I1033" s="16">
        <v>0</v>
      </c>
      <c r="J1033" s="21">
        <v>1168</v>
      </c>
      <c r="K1033" s="21">
        <v>2175</v>
      </c>
      <c r="L1033" s="18">
        <v>0</v>
      </c>
      <c r="M1033" s="21">
        <f>VLOOKUP($K1033,'[4]blood tubes 2017'!$D$1:$L$647,8,FALSE)</f>
        <v>0</v>
      </c>
      <c r="N1033" s="15">
        <v>0</v>
      </c>
      <c r="O1033" s="15" t="s">
        <v>214</v>
      </c>
      <c r="P1033" s="16" t="s">
        <v>110</v>
      </c>
      <c r="Q1033" s="16">
        <v>1</v>
      </c>
      <c r="R1033" s="16">
        <v>51</v>
      </c>
      <c r="T1033" s="16" t="s">
        <v>127</v>
      </c>
      <c r="U1033" s="16" t="s">
        <v>201</v>
      </c>
      <c r="V1033" s="16" t="s">
        <v>114</v>
      </c>
      <c r="W1033" s="16">
        <f>AI1033/AG1033</f>
        <v>0.89130434782608692</v>
      </c>
      <c r="X1033" s="16" t="s">
        <v>121</v>
      </c>
      <c r="Y1033" s="16" t="s">
        <v>110</v>
      </c>
      <c r="Z1033" s="16">
        <v>3</v>
      </c>
      <c r="AA1033" s="16" t="s">
        <v>119</v>
      </c>
      <c r="AB1033" s="16" t="s">
        <v>239</v>
      </c>
      <c r="AC1033" s="16" t="s">
        <v>123</v>
      </c>
      <c r="AD1033" s="16" t="s">
        <v>123</v>
      </c>
      <c r="AG1033" s="16">
        <f>AH1033-AI1033</f>
        <v>92</v>
      </c>
      <c r="AH1033" s="16">
        <v>174</v>
      </c>
      <c r="AI1033" s="16">
        <v>82</v>
      </c>
      <c r="AK1033" s="16">
        <v>25</v>
      </c>
      <c r="AL1033" s="16">
        <v>0</v>
      </c>
      <c r="AM1033" s="16">
        <v>0</v>
      </c>
      <c r="AN1033" s="16">
        <v>0</v>
      </c>
      <c r="AO1033" s="16">
        <v>0</v>
      </c>
      <c r="AP1033" s="16">
        <f>SUM(AL1033:AN1033)</f>
        <v>0</v>
      </c>
      <c r="AQ1033" s="16">
        <v>1.9790000000000001</v>
      </c>
      <c r="AR1033" s="16">
        <f>AP1033-1.472</f>
        <v>-1.472</v>
      </c>
      <c r="AS1033" s="16">
        <f>AQ1033-1.472</f>
        <v>0.50700000000000012</v>
      </c>
      <c r="AT1033" s="16" t="str">
        <f>VLOOKUP(K1033,'[5]FECs - good data'!$C$1:$P$575,13,FALSE)</f>
        <v>JY</v>
      </c>
      <c r="AW1033" s="18">
        <f>IF(AX1033&gt;0,1,0)</f>
        <v>1</v>
      </c>
      <c r="AX1033" s="18">
        <f>SUM(BA1033,BM1033,CT1033)</f>
        <v>2</v>
      </c>
      <c r="AY1033" s="18">
        <f>SUM(BB1033,BN1033,CV1033)</f>
        <v>57.199211045364883</v>
      </c>
      <c r="AZ1033" s="18">
        <f>IF(BA1033&gt;0,1,0)</f>
        <v>1</v>
      </c>
      <c r="BA1033" s="18">
        <f>SUM(BC1033,BF1033,BI1033)</f>
        <v>1</v>
      </c>
      <c r="BB1033" s="18">
        <f>SUM(BE1033,BH1033,BK1033)</f>
        <v>55.226824457593679</v>
      </c>
      <c r="BC1033" s="18">
        <f>IF(BD1033&gt;0,1,0)</f>
        <v>0</v>
      </c>
      <c r="BD1033" s="18">
        <f>VLOOKUP($K1033,'[5]FECs - good data'!$C$1:$Z$574,14,FALSE)</f>
        <v>0</v>
      </c>
      <c r="BE1033" s="16">
        <f>BD1033/AS1033</f>
        <v>0</v>
      </c>
      <c r="BF1033" s="16">
        <f>IF(BG1033&gt;0,1,0)</f>
        <v>1</v>
      </c>
      <c r="BG1033" s="77">
        <f>VLOOKUP($K1033,'[5]FECs - good data'!$C$1:$Z$574,15,FALSE)</f>
        <v>28</v>
      </c>
      <c r="BH1033" s="16">
        <f>BG1033/AS1033</f>
        <v>55.226824457593679</v>
      </c>
      <c r="BI1033" s="16">
        <f>IF(BJ1033&gt;0,1,0)</f>
        <v>0</v>
      </c>
      <c r="BJ1033" s="16">
        <f>VLOOKUP($K1033,'[5]FECs - good data'!$C$1:$Z$574,16,FALSE)</f>
        <v>0</v>
      </c>
      <c r="BK1033" s="16">
        <f>BJ1033/AS1033</f>
        <v>0</v>
      </c>
      <c r="BL1033" s="16">
        <f>IF(BM1033&gt;0,1,0)</f>
        <v>1</v>
      </c>
      <c r="BM1033" s="16">
        <f>SUM(BR1033,BU1033,BX1033,CA1033,CD1033,CG1033,CJ1033,CM1033,CP1033)</f>
        <v>1</v>
      </c>
      <c r="BN1033" s="16">
        <f>SUM(BW1033,BZ1033,CC1033,CF1033,CI1033,CL1033,CO1033,CR1033,BT1033)</f>
        <v>1.9723865877712028</v>
      </c>
      <c r="BO1033" s="16">
        <f>IF(BP1033&gt;0,1,0)</f>
        <v>1</v>
      </c>
      <c r="BP1033" s="16">
        <f>SUM(BU1033,BX1033,CA1033,CD1033,BR1033)</f>
        <v>1</v>
      </c>
      <c r="BQ1033" s="16">
        <f>SUM(BZ1033,CC1033,CF1033,BT1033,BW1033)</f>
        <v>1.9723865877712028</v>
      </c>
      <c r="BR1033" s="16">
        <f>IF(BS1033&gt;0,1,0)</f>
        <v>0</v>
      </c>
      <c r="BS1033" s="16">
        <f>VLOOKUP($K1033,'[5]FECs - good data'!$C$1:$Z$574,17,FALSE)</f>
        <v>0</v>
      </c>
      <c r="BT1033" s="77">
        <f>BS1033/AS1033</f>
        <v>0</v>
      </c>
      <c r="BU1033" s="16">
        <f>IF(BV1033&gt;0,1,0)</f>
        <v>0</v>
      </c>
      <c r="BV1033" s="16">
        <f>VLOOKUP($K1033,'[5]FECs - good data'!$C$1:$Z$574,18,FALSE)</f>
        <v>0</v>
      </c>
      <c r="BW1033" s="16">
        <f>BV1033/AS1033</f>
        <v>0</v>
      </c>
      <c r="BX1033" s="16">
        <f>IF(BY1033&gt;0,1,0)</f>
        <v>1</v>
      </c>
      <c r="BY1033" s="16">
        <f>VLOOKUP($K1033,'[5]FECs - good data'!$C$1:$Z$574,19,FALSE)</f>
        <v>1</v>
      </c>
      <c r="BZ1033" s="16">
        <f>BY1033/AS1033</f>
        <v>1.9723865877712028</v>
      </c>
      <c r="CA1033" s="16">
        <f>IF(CB1033&gt;0,1,0)</f>
        <v>0</v>
      </c>
      <c r="CB1033" s="16">
        <f>VLOOKUP($K1033,'[5]FECs - good data'!$C$1:$Z$574,20,FALSE)</f>
        <v>0</v>
      </c>
      <c r="CC1033" s="16">
        <f>CB1033/AS1033</f>
        <v>0</v>
      </c>
      <c r="CD1033" s="77">
        <f>IF(CE1033&gt;0,1,0)</f>
        <v>0</v>
      </c>
      <c r="CE1033" s="16">
        <f>VLOOKUP($K1033,'[5]FECs - good data'!$C$1:$Z$574,21,FALSE)</f>
        <v>0</v>
      </c>
      <c r="CF1033" s="16">
        <f>CE1033/AS1033</f>
        <v>0</v>
      </c>
      <c r="CG1033" s="16">
        <f>IF(CH1033&gt;0,1,0)</f>
        <v>0</v>
      </c>
      <c r="CH1033" s="16">
        <f>VLOOKUP($K1033,'[5]FECs - good data'!$C$1:$Z$574,22,FALSE)</f>
        <v>0</v>
      </c>
      <c r="CI1033" s="16">
        <f>CH1033/AS1033</f>
        <v>0</v>
      </c>
      <c r="CJ1033" s="16">
        <f>IF(CK1033&gt;0,1,0)</f>
        <v>0</v>
      </c>
      <c r="CK1033" s="16">
        <f>VLOOKUP($K1033,'[5]FECs - good data'!$C$1:$Z$674,24,FALSE)</f>
        <v>0</v>
      </c>
      <c r="CL1033" s="16">
        <f>CK1033/AS1033</f>
        <v>0</v>
      </c>
      <c r="CS1033" s="16">
        <f>IF(CT1033&gt;0,1,0)</f>
        <v>0</v>
      </c>
      <c r="CT1033" s="16">
        <f>SUM(CW1033+CZ1033,DC1033)</f>
        <v>0</v>
      </c>
      <c r="CV1033" s="16">
        <f>SUM(CY1033,DB1033,DE1033)</f>
        <v>0</v>
      </c>
      <c r="CW1033" s="23">
        <f>IF(CX1033&gt;0,1,0)</f>
        <v>0</v>
      </c>
      <c r="CX1033" s="23">
        <f>VLOOKUP($K1033,'[5]FECs - good data'!$C$1:$Z$574,22,FALSE)</f>
        <v>0</v>
      </c>
      <c r="CY1033" s="23">
        <f>CX1033/AS1033</f>
        <v>0</v>
      </c>
      <c r="CZ1033" s="23">
        <f>IF(DA1033&gt;0,1,0)</f>
        <v>0</v>
      </c>
      <c r="DA1033" s="16">
        <f>VLOOKUP($K1033,'[5]FECs - good data'!$C$1:$Z$5982,23,FALSE)</f>
        <v>0</v>
      </c>
      <c r="DB1033" s="16">
        <f>DA1033/AS1033</f>
        <v>0</v>
      </c>
      <c r="DC1033" s="16">
        <f>IF(DD1033&gt;0,1,0)</f>
        <v>0</v>
      </c>
      <c r="DD1033" s="16">
        <f>VLOOKUP($K1033,'[5]FECs - good data'!$C$1:$Z$574,23,FALSE)</f>
        <v>0</v>
      </c>
      <c r="DE1033" s="16">
        <f>DD1033/AS1033</f>
        <v>0</v>
      </c>
      <c r="DF1033" s="16" t="e">
        <f>VLOOKUP(K1033,'[3]RNA Seq summary tables'!$V$3:$V$99,1,FALSE)</f>
        <v>#N/A</v>
      </c>
      <c r="DG1033" s="16">
        <v>1</v>
      </c>
      <c r="DH1033" s="16" t="str">
        <f>VLOOKUP(D1033,'[6]workflow 3.2018'!$A$1:$S$237,2,FALSE)</f>
        <v>2017MLBS_164</v>
      </c>
    </row>
    <row r="1034" spans="2:288" ht="16" x14ac:dyDescent="0.2">
      <c r="B1034" s="16">
        <v>2017</v>
      </c>
      <c r="C1034" s="20">
        <v>42975</v>
      </c>
      <c r="D1034" s="20" t="str">
        <f>CONCATENATE(J1034,"-",C1034)</f>
        <v>1168-42975</v>
      </c>
      <c r="E1034" s="37" t="str">
        <f>CONCATENATE(T1034,"-",U1034,"-",C1034)</f>
        <v>PO2-A5-42975</v>
      </c>
      <c r="F1034" s="37" t="s">
        <v>224</v>
      </c>
      <c r="G1034" s="20" t="s">
        <v>107</v>
      </c>
      <c r="H1034" s="16" t="s">
        <v>264</v>
      </c>
      <c r="I1034" s="16">
        <v>0</v>
      </c>
      <c r="J1034" s="36">
        <v>1168</v>
      </c>
      <c r="K1034" s="36">
        <v>2282</v>
      </c>
      <c r="L1034" s="18">
        <v>0</v>
      </c>
      <c r="M1034" s="36">
        <f>VLOOKUP($K1034,'[4]blood tubes 2017'!$D$1:$L$947,8,FALSE)</f>
        <v>0</v>
      </c>
      <c r="N1034" s="42">
        <v>0</v>
      </c>
      <c r="O1034" s="15" t="s">
        <v>214</v>
      </c>
      <c r="P1034" s="18" t="s">
        <v>110</v>
      </c>
      <c r="Q1034" s="18">
        <v>1</v>
      </c>
      <c r="R1034" s="18">
        <v>11</v>
      </c>
      <c r="S1034" s="18"/>
      <c r="T1034" s="18" t="s">
        <v>127</v>
      </c>
      <c r="U1034" s="18" t="s">
        <v>167</v>
      </c>
      <c r="V1034" s="18" t="s">
        <v>114</v>
      </c>
      <c r="W1034" s="16">
        <f>AI1034/AG1034</f>
        <v>0.87234042553191493</v>
      </c>
      <c r="X1034" s="16" t="s">
        <v>121</v>
      </c>
      <c r="Y1034" s="16" t="s">
        <v>110</v>
      </c>
      <c r="Z1034" s="16">
        <v>3</v>
      </c>
      <c r="AA1034" s="16" t="s">
        <v>161</v>
      </c>
      <c r="AB1034" s="16" t="s">
        <v>240</v>
      </c>
      <c r="AC1034" s="16" t="s">
        <v>123</v>
      </c>
      <c r="AD1034" s="16" t="s">
        <v>116</v>
      </c>
      <c r="AG1034" s="16">
        <f>AH1034-AI1034</f>
        <v>94</v>
      </c>
      <c r="AH1034" s="16">
        <v>176</v>
      </c>
      <c r="AI1034" s="16">
        <v>82</v>
      </c>
      <c r="AK1034" s="16">
        <v>38.5</v>
      </c>
      <c r="AL1034" s="16">
        <v>0</v>
      </c>
      <c r="AM1034" s="16">
        <v>0</v>
      </c>
      <c r="AN1034" s="16">
        <v>0</v>
      </c>
      <c r="AO1034" s="16">
        <v>0</v>
      </c>
      <c r="AP1034" s="16">
        <f>SUM(AL1034:AN1034)</f>
        <v>0</v>
      </c>
      <c r="AQ1034" s="16">
        <v>1.8140000000000001</v>
      </c>
      <c r="AR1034" s="16">
        <f>AP1034-1.472</f>
        <v>-1.472</v>
      </c>
      <c r="AS1034" s="16">
        <f>AQ1034-1.472</f>
        <v>0.34200000000000008</v>
      </c>
      <c r="AT1034" s="16" t="str">
        <f>VLOOKUP(E1034,[2]Current!$A$1:$W$435,7,FALSE)</f>
        <v>NB</v>
      </c>
      <c r="AU1034" s="16" t="s">
        <v>1288</v>
      </c>
      <c r="AV1034" s="23">
        <v>1</v>
      </c>
      <c r="AW1034" s="128">
        <f>IF(AX1034&gt;0,1,0)</f>
        <v>0</v>
      </c>
      <c r="AX1034" s="128">
        <f>SUM(BA1034,BM1034,CU1034)</f>
        <v>0</v>
      </c>
      <c r="AY1034" s="128">
        <f>SUM(BB1034,BN1034,CV1034)</f>
        <v>0</v>
      </c>
      <c r="AZ1034" s="128">
        <f>IF(BA1034&gt;0,1,0)</f>
        <v>0</v>
      </c>
      <c r="BA1034" s="128">
        <f>SUM(BC1034+BF1034+BI1034)</f>
        <v>0</v>
      </c>
      <c r="BB1034" s="128">
        <f>SUM(BE1034,BH1034,BK1034)</f>
        <v>0</v>
      </c>
      <c r="BC1034" s="130">
        <f>IF(BD1034&gt;0,1,0)</f>
        <v>0</v>
      </c>
      <c r="BD1034" s="128">
        <f>VLOOKUP($E1034,[2]Current!$A:$AC,26,FALSE)</f>
        <v>0</v>
      </c>
      <c r="BE1034" s="128">
        <f>BD1034/$AS1034</f>
        <v>0</v>
      </c>
      <c r="BF1034" s="130">
        <f>IF(BG1034&gt;0,1,0)</f>
        <v>0</v>
      </c>
      <c r="BG1034" s="137">
        <f>VLOOKUP($E1034,[2]Current!$A:$AC,27,FALSE)</f>
        <v>0</v>
      </c>
      <c r="BH1034" s="128">
        <f>BG1034/$AS1034</f>
        <v>0</v>
      </c>
      <c r="BI1034" s="130">
        <f>IF(BJ1034&gt;0,1,0)</f>
        <v>0</v>
      </c>
      <c r="BJ1034" s="128">
        <f>VLOOKUP($E1034,[2]Current!$A:$AC,28,FALSE)</f>
        <v>0</v>
      </c>
      <c r="BK1034" s="128">
        <f>BJ1034/$AS1034</f>
        <v>0</v>
      </c>
      <c r="BL1034" s="128">
        <f>IF(BM1034&gt;0,1,0)</f>
        <v>0</v>
      </c>
      <c r="BM1034" s="128">
        <f>SUM(BR1034,BU1034,BX1034,CA1034,CD1034)</f>
        <v>0</v>
      </c>
      <c r="BN1034" s="131">
        <f>SUM(BT1034,BW1034,BZ1034,CC1034,CF1034)</f>
        <v>0</v>
      </c>
      <c r="BO1034" s="128">
        <f>IF(BP1034&gt;0,1,0)</f>
        <v>0</v>
      </c>
      <c r="BP1034" s="128">
        <f>BM1034+CJ1034</f>
        <v>0</v>
      </c>
      <c r="BQ1034" s="128">
        <f>BN1034+CL1034</f>
        <v>0</v>
      </c>
      <c r="BR1034" s="130">
        <f>IF(BS1034&gt;0,1,0)</f>
        <v>0</v>
      </c>
      <c r="BS1034" s="128">
        <f>VLOOKUP($E1034,[2]Current!$A:$AC,12,FALSE)</f>
        <v>0</v>
      </c>
      <c r="BT1034" s="137">
        <f>BS1034/$AS1034</f>
        <v>0</v>
      </c>
      <c r="BU1034" s="130">
        <f>IF(BV1034&gt;0,1,0)</f>
        <v>0</v>
      </c>
      <c r="BV1034" s="128">
        <f>VLOOKUP($E1034,[2]Current!$A:$AC,13,FALSE)</f>
        <v>0</v>
      </c>
      <c r="BW1034" s="128">
        <f>BV1034/$AS1034</f>
        <v>0</v>
      </c>
      <c r="BX1034" s="130">
        <f>IF(BY1034&gt;0,1,0)</f>
        <v>0</v>
      </c>
      <c r="BY1034" s="128">
        <f>VLOOKUP($E1034,[2]Current!$A:$AC,14,FALSE)</f>
        <v>0</v>
      </c>
      <c r="BZ1034" s="128">
        <f>BY1034/$AS1034</f>
        <v>0</v>
      </c>
      <c r="CA1034" s="130">
        <f>IF(CB1034&gt;0,1,0)</f>
        <v>0</v>
      </c>
      <c r="CB1034" s="128">
        <f>VLOOKUP($E1034,[2]Current!$A:$AC,15,FALSE)</f>
        <v>0</v>
      </c>
      <c r="CC1034" s="128">
        <f>CB1034/$AS1034</f>
        <v>0</v>
      </c>
      <c r="CD1034" s="174">
        <f>IF(CE1034&gt;0,1,0)</f>
        <v>0</v>
      </c>
      <c r="CE1034" s="128">
        <f>VLOOKUP($E1034,[2]Current!$A:$AC,16,FALSE)</f>
        <v>0</v>
      </c>
      <c r="CF1034" s="128">
        <f>CE1034/$AS1034</f>
        <v>0</v>
      </c>
      <c r="CG1034" s="18"/>
      <c r="CH1034" s="18"/>
      <c r="CI1034" s="18"/>
      <c r="CJ1034" s="130">
        <f>IF(CK1034&gt;0,1,0)</f>
        <v>0</v>
      </c>
      <c r="CK1034" s="128">
        <f>VLOOKUP($E1034,[2]Current!$A:$AC,18,FALSE)</f>
        <v>0</v>
      </c>
      <c r="CL1034" s="128">
        <f>CK1034/$AS1034</f>
        <v>0</v>
      </c>
      <c r="CS1034" s="130">
        <f>IF(CU1034&gt;0,1,0)</f>
        <v>0</v>
      </c>
      <c r="CU1034" s="128">
        <f>VLOOKUP($E1034,[2]Current!$A:$AC,17,FALSE)</f>
        <v>0</v>
      </c>
      <c r="CV1034" s="128">
        <f>CU1034/$AS1034</f>
        <v>0</v>
      </c>
      <c r="CW1034" s="25"/>
      <c r="CX1034" s="25"/>
      <c r="CY1034" s="25"/>
      <c r="CZ1034" s="23"/>
      <c r="DF1034" s="16" t="e">
        <f>VLOOKUP(K1034,'[3]RNA Seq summary tables'!$V$3:$V$99,1,FALSE)</f>
        <v>#N/A</v>
      </c>
      <c r="DG1034" s="16">
        <v>1</v>
      </c>
      <c r="DH1034" s="16" t="str">
        <f>VLOOKUP(D1034,'[6]workflow 3.2018'!$A$1:$S$237,2,FALSE)</f>
        <v>2017MLBS_203</v>
      </c>
    </row>
    <row r="1035" spans="2:288" x14ac:dyDescent="0.2">
      <c r="B1035" s="16">
        <v>2017</v>
      </c>
      <c r="C1035" s="20">
        <v>42913</v>
      </c>
      <c r="D1035" s="20" t="str">
        <f>CONCATENATE(J1035,"-",C1035)</f>
        <v>1170-42913</v>
      </c>
      <c r="E1035" s="20" t="str">
        <f>CONCATENATE(T1035,"-",U1035,"-",C1035)</f>
        <v>PO2-C6-42913</v>
      </c>
      <c r="F1035" s="20" t="s">
        <v>106</v>
      </c>
      <c r="G1035" s="20" t="s">
        <v>107</v>
      </c>
      <c r="I1035" s="16">
        <v>0</v>
      </c>
      <c r="J1035" s="21">
        <v>1170</v>
      </c>
      <c r="K1035" s="21">
        <v>1762</v>
      </c>
      <c r="L1035" s="18">
        <v>0</v>
      </c>
      <c r="M1035" s="21">
        <f>VLOOKUP($K1035,'[4]blood tubes 2017'!$D$1:$L$647,8,FALSE)</f>
        <v>0</v>
      </c>
      <c r="N1035" s="15">
        <v>0</v>
      </c>
      <c r="O1035" s="15" t="s">
        <v>214</v>
      </c>
      <c r="P1035" s="16" t="s">
        <v>110</v>
      </c>
      <c r="Q1035" s="16">
        <v>0</v>
      </c>
      <c r="R1035" s="16" t="s">
        <v>111</v>
      </c>
      <c r="T1035" s="16" t="s">
        <v>127</v>
      </c>
      <c r="U1035" s="16" t="s">
        <v>213</v>
      </c>
      <c r="V1035" s="16" t="s">
        <v>114</v>
      </c>
      <c r="W1035" s="16">
        <f>AI1035/AG1035</f>
        <v>0.7640449438202247</v>
      </c>
      <c r="X1035" s="16" t="s">
        <v>115</v>
      </c>
      <c r="Y1035" s="16" t="s">
        <v>110</v>
      </c>
      <c r="Z1035" s="16">
        <v>3</v>
      </c>
      <c r="AE1035" s="16" t="s">
        <v>116</v>
      </c>
      <c r="AF1035" s="16" t="s">
        <v>116</v>
      </c>
      <c r="AG1035" s="16">
        <f>AH1035-AI1035</f>
        <v>89</v>
      </c>
      <c r="AH1035" s="16">
        <v>157</v>
      </c>
      <c r="AI1035" s="16">
        <v>68</v>
      </c>
      <c r="AK1035" s="16">
        <v>20</v>
      </c>
      <c r="AL1035" s="16">
        <v>0</v>
      </c>
      <c r="AM1035" s="16">
        <v>0</v>
      </c>
      <c r="AN1035" s="16">
        <v>0</v>
      </c>
      <c r="AO1035" s="16">
        <v>0</v>
      </c>
      <c r="AP1035" s="16">
        <f>SUM(AL1035:AN1035)</f>
        <v>0</v>
      </c>
      <c r="AQ1035" s="16">
        <v>1.667</v>
      </c>
      <c r="AR1035" s="16">
        <f>AP1035-1.472</f>
        <v>-1.472</v>
      </c>
      <c r="AS1035" s="16">
        <f>AQ1035-1.472</f>
        <v>0.19500000000000006</v>
      </c>
      <c r="AT1035" s="16" t="s">
        <v>234</v>
      </c>
      <c r="AV1035" s="16">
        <v>1</v>
      </c>
      <c r="AW1035" s="16">
        <f>IF(AX1035&gt;0,1,0)</f>
        <v>0</v>
      </c>
      <c r="AX1035" s="16">
        <f>SUM(BA1035,BM1035,CT1035)</f>
        <v>0</v>
      </c>
      <c r="AY1035" s="18">
        <f>SUM(BB1035,BN1035,CV1035)</f>
        <v>0</v>
      </c>
      <c r="AZ1035" s="16">
        <v>0</v>
      </c>
      <c r="BA1035" s="16">
        <v>0</v>
      </c>
      <c r="BB1035" s="16">
        <f>SUM(BE1035,BH1035,BK1035)</f>
        <v>0</v>
      </c>
      <c r="BC1035" s="16">
        <v>0</v>
      </c>
      <c r="BD1035" s="16">
        <v>0</v>
      </c>
      <c r="BE1035" s="16">
        <f>BD1035/AS1035</f>
        <v>0</v>
      </c>
      <c r="BF1035" s="16">
        <v>0</v>
      </c>
      <c r="BG1035" s="77">
        <v>0</v>
      </c>
      <c r="BH1035" s="16">
        <f>BG1035/AS1035</f>
        <v>0</v>
      </c>
      <c r="BI1035" s="16">
        <v>0</v>
      </c>
      <c r="BJ1035" s="16">
        <v>0</v>
      </c>
      <c r="BK1035" s="16">
        <f>BJ1035/AS1035</f>
        <v>0</v>
      </c>
      <c r="BL1035" s="16">
        <v>0</v>
      </c>
      <c r="BM1035" s="16">
        <f>SUM(BR1035,BU1035,BX1035,CA1035,CD1035,CG1035,CJ1035,CM1035,CP1035)</f>
        <v>0</v>
      </c>
      <c r="BN1035" s="16">
        <f>SUM(BW1035,BZ1035,CC1035,CF1035,CI1035,CL1035,CO1035,CR1035,BT1035)</f>
        <v>0</v>
      </c>
      <c r="BO1035" s="16">
        <f>IF(BP1035&gt;0,1,0)</f>
        <v>0</v>
      </c>
      <c r="BP1035" s="16">
        <f>SUM(BU1035,BX1035,CA1035,CD1035,BR1035)</f>
        <v>0</v>
      </c>
      <c r="BQ1035" s="16">
        <f>SUM(BZ1035,CC1035,CF1035,BT1035,BW1035)</f>
        <v>0</v>
      </c>
      <c r="BR1035" s="16">
        <v>0</v>
      </c>
      <c r="BS1035" s="16">
        <v>0</v>
      </c>
      <c r="BT1035" s="77">
        <f>BS1035/AS1035</f>
        <v>0</v>
      </c>
      <c r="BU1035" s="16">
        <v>0</v>
      </c>
      <c r="BV1035" s="16">
        <v>0</v>
      </c>
      <c r="BW1035" s="16">
        <f>BV1035/AS1035</f>
        <v>0</v>
      </c>
      <c r="BX1035" s="16">
        <v>0</v>
      </c>
      <c r="BY1035" s="16">
        <v>0</v>
      </c>
      <c r="BZ1035" s="16">
        <f>BY1035/AS1035</f>
        <v>0</v>
      </c>
      <c r="CA1035" s="16">
        <v>0</v>
      </c>
      <c r="CB1035" s="16">
        <v>0</v>
      </c>
      <c r="CC1035" s="16">
        <f>CB1035/AS1035</f>
        <v>0</v>
      </c>
      <c r="CD1035" s="77">
        <v>0</v>
      </c>
      <c r="CE1035" s="16">
        <v>0</v>
      </c>
      <c r="CF1035" s="16">
        <f>CE1035/AS1035</f>
        <v>0</v>
      </c>
      <c r="CG1035" s="16">
        <v>0</v>
      </c>
      <c r="CH1035" s="16">
        <v>0</v>
      </c>
      <c r="CI1035" s="16">
        <f>CH1035/AS1035</f>
        <v>0</v>
      </c>
      <c r="CM1035" s="16">
        <v>0</v>
      </c>
      <c r="CN1035" s="16">
        <v>0</v>
      </c>
      <c r="CO1035" s="16">
        <f>CN1035/AS1035</f>
        <v>0</v>
      </c>
      <c r="CP1035" s="16">
        <v>0</v>
      </c>
      <c r="CQ1035" s="16">
        <v>0</v>
      </c>
      <c r="CR1035" s="16">
        <f>CQ1035/AS1035</f>
        <v>0</v>
      </c>
      <c r="CS1035" s="16">
        <v>0</v>
      </c>
      <c r="CT1035" s="16">
        <v>0</v>
      </c>
      <c r="CV1035" s="16">
        <f>SUM(CY1035,DB1035,DE1035)</f>
        <v>0</v>
      </c>
      <c r="CW1035" s="16">
        <v>0</v>
      </c>
      <c r="CX1035" s="16">
        <v>0</v>
      </c>
      <c r="CY1035" s="16">
        <f>CX1035/AS1035</f>
        <v>0</v>
      </c>
      <c r="CZ1035" s="16">
        <v>0</v>
      </c>
      <c r="DA1035" s="16">
        <v>0</v>
      </c>
      <c r="DB1035" s="16">
        <f>DA1035/AS1035</f>
        <v>0</v>
      </c>
      <c r="DC1035" s="16">
        <v>0</v>
      </c>
      <c r="DD1035" s="16">
        <v>0</v>
      </c>
      <c r="DE1035" s="16">
        <f>DD1035/AS1035</f>
        <v>0</v>
      </c>
      <c r="DF1035" s="16" t="e">
        <f>VLOOKUP(K1035,'[3]RNA Seq summary tables'!$V$3:$V$99,1,FALSE)</f>
        <v>#N/A</v>
      </c>
      <c r="DI1035" s="16">
        <v>47</v>
      </c>
      <c r="DK1035" s="16">
        <v>42</v>
      </c>
      <c r="DM1035" s="16">
        <v>11</v>
      </c>
      <c r="DO1035" s="16">
        <v>0</v>
      </c>
      <c r="DQ1035" s="16">
        <v>0</v>
      </c>
      <c r="DR1035" s="16">
        <f>SUM(DI1035:DQ1035)</f>
        <v>100</v>
      </c>
      <c r="JO1035" s="18"/>
      <c r="JR1035" s="27"/>
      <c r="JS1035" s="27"/>
      <c r="JT1035" s="27"/>
      <c r="JU1035" s="27"/>
      <c r="JV1035" s="27"/>
      <c r="JW1035" s="27"/>
      <c r="JX1035" s="27"/>
      <c r="JY1035" s="27"/>
      <c r="JZ1035" s="27"/>
      <c r="KA1035" s="27"/>
      <c r="KB1035" s="27"/>
    </row>
    <row r="1036" spans="2:288" x14ac:dyDescent="0.2">
      <c r="B1036" s="16">
        <v>2017</v>
      </c>
      <c r="C1036" s="20">
        <v>42927</v>
      </c>
      <c r="D1036" s="20" t="str">
        <f>CONCATENATE(J1036,"-",C1036)</f>
        <v>1170-42927</v>
      </c>
      <c r="E1036" s="20" t="str">
        <f>CONCATENATE(T1036,"-",U1036,"-",C1036)</f>
        <v>PO2-B5-42927</v>
      </c>
      <c r="F1036" s="20" t="s">
        <v>106</v>
      </c>
      <c r="G1036" s="20" t="s">
        <v>107</v>
      </c>
      <c r="I1036" s="16">
        <v>0</v>
      </c>
      <c r="J1036" s="21">
        <v>1170</v>
      </c>
      <c r="K1036" s="21">
        <v>1866</v>
      </c>
      <c r="L1036" s="18">
        <v>0</v>
      </c>
      <c r="M1036" s="21">
        <f>VLOOKUP($K1036,'[4]blood tubes 2017'!$D$1:$L$647,8,FALSE)</f>
        <v>0</v>
      </c>
      <c r="N1036" s="15">
        <v>0</v>
      </c>
      <c r="O1036" s="15" t="s">
        <v>214</v>
      </c>
      <c r="P1036" s="16" t="s">
        <v>110</v>
      </c>
      <c r="Q1036" s="16">
        <v>1</v>
      </c>
      <c r="R1036" s="16">
        <v>14</v>
      </c>
      <c r="T1036" s="16" t="s">
        <v>127</v>
      </c>
      <c r="U1036" s="16" t="s">
        <v>160</v>
      </c>
      <c r="V1036" s="16" t="s">
        <v>114</v>
      </c>
      <c r="W1036" s="16">
        <f>AI1036/AG1036</f>
        <v>0.81609195402298851</v>
      </c>
      <c r="X1036" s="16" t="s">
        <v>115</v>
      </c>
      <c r="Y1036" s="16" t="s">
        <v>110</v>
      </c>
      <c r="Z1036" s="16">
        <v>3</v>
      </c>
      <c r="AE1036" s="16" t="s">
        <v>116</v>
      </c>
      <c r="AF1036" s="16" t="s">
        <v>116</v>
      </c>
      <c r="AG1036" s="16">
        <f>AH1036-AI1036</f>
        <v>87</v>
      </c>
      <c r="AH1036" s="16">
        <v>158</v>
      </c>
      <c r="AI1036" s="16">
        <v>71</v>
      </c>
      <c r="AK1036" s="16">
        <v>18</v>
      </c>
      <c r="AL1036" s="16">
        <v>0</v>
      </c>
      <c r="AM1036" s="16">
        <v>0</v>
      </c>
      <c r="AN1036" s="16">
        <v>0</v>
      </c>
      <c r="AO1036" s="16">
        <v>0</v>
      </c>
      <c r="AP1036" s="16">
        <f>SUM(AL1036:AN1036)</f>
        <v>0</v>
      </c>
      <c r="AQ1036" s="16">
        <v>1.681</v>
      </c>
      <c r="AR1036" s="16">
        <f>AP1036-1.472</f>
        <v>-1.472</v>
      </c>
      <c r="AS1036" s="16">
        <f>AQ1036-1.472</f>
        <v>0.20900000000000007</v>
      </c>
      <c r="AT1036" s="16" t="str">
        <f>VLOOKUP(K1036,'[5]FECs - good data'!$C$1:$P$575,13,FALSE)</f>
        <v>JY</v>
      </c>
      <c r="AW1036" s="18">
        <f>IF(AX1036&gt;0,1,0)</f>
        <v>1</v>
      </c>
      <c r="AX1036" s="18">
        <f>SUM(BA1036,BM1036,CT1036)</f>
        <v>2</v>
      </c>
      <c r="AY1036" s="18">
        <f>SUM(BB1036,BN1036,CV1036)</f>
        <v>2277.5119617224873</v>
      </c>
      <c r="AZ1036" s="18">
        <f>IF(BA1036&gt;0,1,0)</f>
        <v>1</v>
      </c>
      <c r="BA1036" s="18">
        <f>SUM(BC1036,BF1036,BI1036)</f>
        <v>2</v>
      </c>
      <c r="BB1036" s="18">
        <f>SUM(BE1036,BH1036,BK1036)</f>
        <v>2277.5119617224873</v>
      </c>
      <c r="BC1036" s="18">
        <f>IF(BD1036&gt;0,1,0)</f>
        <v>1</v>
      </c>
      <c r="BD1036" s="18">
        <f>VLOOKUP($K1036,'[5]FECs - good data'!$C$1:$Z$574,14,FALSE)</f>
        <v>62</v>
      </c>
      <c r="BE1036" s="16">
        <f>BD1036/AS1036</f>
        <v>296.65071770334919</v>
      </c>
      <c r="BF1036" s="16">
        <f>IF(BG1036&gt;0,1,0)</f>
        <v>1</v>
      </c>
      <c r="BG1036" s="77">
        <f>VLOOKUP($K1036,'[5]FECs - good data'!$C$1:$Z$574,15,FALSE)</f>
        <v>414</v>
      </c>
      <c r="BH1036" s="16">
        <f>BG1036/AS1036</f>
        <v>1980.861244019138</v>
      </c>
      <c r="BI1036" s="16">
        <f>IF(BJ1036&gt;0,1,0)</f>
        <v>0</v>
      </c>
      <c r="BJ1036" s="16">
        <f>VLOOKUP($K1036,'[5]FECs - good data'!$C$1:$Z$574,16,FALSE)</f>
        <v>0</v>
      </c>
      <c r="BK1036" s="16">
        <f>BJ1036/AS1036</f>
        <v>0</v>
      </c>
      <c r="BL1036" s="16">
        <f>IF(BM1036&gt;0,1,0)</f>
        <v>0</v>
      </c>
      <c r="BM1036" s="16">
        <f>SUM(BR1036,BU1036,BX1036,CA1036,CD1036,CG1036,CJ1036,CM1036,CP1036)</f>
        <v>0</v>
      </c>
      <c r="BN1036" s="16">
        <f>SUM(BW1036,BZ1036,CC1036,CF1036,CI1036,CL1036,CO1036,CR1036,BT1036)</f>
        <v>0</v>
      </c>
      <c r="BO1036" s="16">
        <f>IF(BP1036&gt;0,1,0)</f>
        <v>0</v>
      </c>
      <c r="BP1036" s="16">
        <f>SUM(BU1036,BX1036,CA1036,CD1036,BR1036)</f>
        <v>0</v>
      </c>
      <c r="BQ1036" s="16">
        <f>SUM(BZ1036,CC1036,CF1036,BT1036,BW1036)</f>
        <v>0</v>
      </c>
      <c r="BR1036" s="16">
        <f>IF(BS1036&gt;0,1,0)</f>
        <v>0</v>
      </c>
      <c r="BS1036" s="16">
        <f>VLOOKUP($K1036,'[5]FECs - good data'!$C$1:$Z$574,17,FALSE)</f>
        <v>0</v>
      </c>
      <c r="BT1036" s="77">
        <f>BS1036/AS1036</f>
        <v>0</v>
      </c>
      <c r="BU1036" s="16">
        <f>IF(BV1036&gt;0,1,0)</f>
        <v>0</v>
      </c>
      <c r="BV1036" s="16">
        <f>VLOOKUP($K1036,'[5]FECs - good data'!$C$1:$Z$574,18,FALSE)</f>
        <v>0</v>
      </c>
      <c r="BW1036" s="16">
        <f>BV1036/AS1036</f>
        <v>0</v>
      </c>
      <c r="BX1036" s="16">
        <f>IF(BY1036&gt;0,1,0)</f>
        <v>0</v>
      </c>
      <c r="BY1036" s="16">
        <f>VLOOKUP($K1036,'[5]FECs - good data'!$C$1:$Z$574,19,FALSE)</f>
        <v>0</v>
      </c>
      <c r="BZ1036" s="16">
        <f>BY1036/AS1036</f>
        <v>0</v>
      </c>
      <c r="CA1036" s="16">
        <f>IF(CB1036&gt;0,1,0)</f>
        <v>0</v>
      </c>
      <c r="CB1036" s="16">
        <f>VLOOKUP($K1036,'[5]FECs - good data'!$C$1:$Z$574,20,FALSE)</f>
        <v>0</v>
      </c>
      <c r="CC1036" s="16">
        <f>CB1036/AS1036</f>
        <v>0</v>
      </c>
      <c r="CD1036" s="77">
        <f>IF(CE1036&gt;0,1,0)</f>
        <v>0</v>
      </c>
      <c r="CE1036" s="16">
        <f>VLOOKUP($K1036,'[5]FECs - good data'!$C$1:$Z$574,21,FALSE)</f>
        <v>0</v>
      </c>
      <c r="CF1036" s="16">
        <f>CE1036/AS1036</f>
        <v>0</v>
      </c>
      <c r="CG1036" s="16">
        <f>IF(CH1036&gt;0,1,0)</f>
        <v>0</v>
      </c>
      <c r="CH1036" s="16">
        <f>VLOOKUP($K1036,'[5]FECs - good data'!$C$1:$Z$574,22,FALSE)</f>
        <v>0</v>
      </c>
      <c r="CI1036" s="16">
        <f>CH1036/AS1036</f>
        <v>0</v>
      </c>
      <c r="CJ1036" s="16">
        <f>IF(CK1036&gt;0,1,0)</f>
        <v>0</v>
      </c>
      <c r="CK1036" s="16">
        <f>VLOOKUP($K1036,'[5]FECs - good data'!$C$1:$Z$674,24,FALSE)</f>
        <v>0</v>
      </c>
      <c r="CL1036" s="16">
        <f>CK1036/AS1036</f>
        <v>0</v>
      </c>
      <c r="CS1036" s="16">
        <f>IF(CT1036&gt;0,1,0)</f>
        <v>0</v>
      </c>
      <c r="CT1036" s="16">
        <f>SUM(CW1036+CZ1036,DC1036)</f>
        <v>0</v>
      </c>
      <c r="CV1036" s="16">
        <f>SUM(CY1036,DB1036,DE1036)</f>
        <v>0</v>
      </c>
      <c r="CW1036" s="16">
        <f>IF(CX1036&gt;0,1,0)</f>
        <v>0</v>
      </c>
      <c r="CX1036" s="16">
        <f>VLOOKUP($K1036,'[5]FECs - good data'!$C$1:$Z$574,22,FALSE)</f>
        <v>0</v>
      </c>
      <c r="CY1036" s="16">
        <f>CX1036/AS1036</f>
        <v>0</v>
      </c>
      <c r="CZ1036" s="16">
        <f>IF(DA1036&gt;0,1,0)</f>
        <v>0</v>
      </c>
      <c r="DA1036" s="16">
        <f>VLOOKUP($K1036,'[5]FECs - good data'!$C$1:$Z$5982,23,FALSE)</f>
        <v>0</v>
      </c>
      <c r="DB1036" s="16">
        <f>DA1036/AS1036</f>
        <v>0</v>
      </c>
      <c r="DC1036" s="16">
        <f>IF(DD1036&gt;0,1,0)</f>
        <v>0</v>
      </c>
      <c r="DD1036" s="16">
        <f>VLOOKUP($K1036,'[5]FECs - good data'!$C$1:$Z$574,23,FALSE)</f>
        <v>0</v>
      </c>
      <c r="DE1036" s="16">
        <f>DD1036/AS1036</f>
        <v>0</v>
      </c>
      <c r="DF1036" s="16" t="e">
        <f>VLOOKUP(K1036,'[3]RNA Seq summary tables'!$V$3:$V$99,1,FALSE)</f>
        <v>#N/A</v>
      </c>
      <c r="JR1036" s="27"/>
      <c r="JS1036" s="27"/>
      <c r="JT1036" s="27"/>
      <c r="JU1036" s="27"/>
      <c r="JV1036" s="27"/>
      <c r="JW1036" s="27"/>
      <c r="JX1036" s="27"/>
      <c r="JY1036" s="27"/>
      <c r="JZ1036" s="27"/>
      <c r="KA1036" s="27"/>
      <c r="KB1036" s="27"/>
    </row>
    <row r="1037" spans="2:288" x14ac:dyDescent="0.2">
      <c r="B1037" s="16">
        <v>2017</v>
      </c>
      <c r="C1037" s="20">
        <v>42946</v>
      </c>
      <c r="D1037" s="20" t="str">
        <f>CONCATENATE(J1037,"-",C1037)</f>
        <v>1170-42946</v>
      </c>
      <c r="E1037" s="20" t="str">
        <f>CONCATENATE(T1037,"-",U1037,"-",C1037)</f>
        <v>PO2-C2-42946</v>
      </c>
      <c r="F1037" s="20" t="s">
        <v>106</v>
      </c>
      <c r="G1037" s="20" t="s">
        <v>107</v>
      </c>
      <c r="I1037" s="16">
        <v>0</v>
      </c>
      <c r="J1037" s="21">
        <v>1170</v>
      </c>
      <c r="K1037" s="21">
        <v>2007</v>
      </c>
      <c r="L1037" s="18">
        <v>0</v>
      </c>
      <c r="M1037" s="21">
        <f>VLOOKUP($K1037,'[4]blood tubes 2017'!$D$1:$L$647,8,FALSE)</f>
        <v>0</v>
      </c>
      <c r="N1037" s="15">
        <v>0</v>
      </c>
      <c r="O1037" s="15" t="s">
        <v>214</v>
      </c>
      <c r="P1037" s="16" t="s">
        <v>110</v>
      </c>
      <c r="Q1037" s="16">
        <v>1</v>
      </c>
      <c r="R1037" s="16">
        <v>19</v>
      </c>
      <c r="T1037" s="16" t="s">
        <v>127</v>
      </c>
      <c r="U1037" s="16" t="s">
        <v>162</v>
      </c>
      <c r="V1037" s="16" t="s">
        <v>114</v>
      </c>
      <c r="W1037" s="16">
        <f>AI1037/AG1037</f>
        <v>0.8202247191011236</v>
      </c>
      <c r="X1037" s="16" t="s">
        <v>115</v>
      </c>
      <c r="Y1037" s="16" t="s">
        <v>110</v>
      </c>
      <c r="Z1037" s="16">
        <v>3</v>
      </c>
      <c r="AE1037" s="16" t="s">
        <v>116</v>
      </c>
      <c r="AF1037" s="16" t="s">
        <v>116</v>
      </c>
      <c r="AG1037" s="16">
        <f>AH1037-AI1037</f>
        <v>89</v>
      </c>
      <c r="AH1037" s="16">
        <v>162</v>
      </c>
      <c r="AI1037" s="16">
        <v>73</v>
      </c>
      <c r="AK1037" s="16">
        <v>20.5</v>
      </c>
      <c r="AL1037" s="16">
        <v>0</v>
      </c>
      <c r="AM1037" s="16">
        <v>0</v>
      </c>
      <c r="AN1037" s="16">
        <v>0</v>
      </c>
      <c r="AO1037" s="16">
        <v>0</v>
      </c>
      <c r="AP1037" s="16">
        <f>SUM(AL1037:AN1037)</f>
        <v>0</v>
      </c>
      <c r="AQ1037" s="16">
        <v>1.7789999999999999</v>
      </c>
      <c r="AR1037" s="16">
        <f>AP1037-1.472</f>
        <v>-1.472</v>
      </c>
      <c r="AS1037" s="16">
        <f>AQ1037-1.472</f>
        <v>0.30699999999999994</v>
      </c>
      <c r="AT1037" s="16" t="str">
        <f>VLOOKUP(K1037,'[5]FECs - good data'!$C$1:$P$575,13,FALSE)</f>
        <v>SB</v>
      </c>
      <c r="AW1037" s="18">
        <f>IF(AX1037&gt;0,1,0)</f>
        <v>1</v>
      </c>
      <c r="AX1037" s="18">
        <f>SUM(BA1037,BM1037,CT1037)</f>
        <v>4</v>
      </c>
      <c r="AY1037" s="18">
        <f>SUM(BB1037,BN1037,CV1037)</f>
        <v>351.79153094462544</v>
      </c>
      <c r="AZ1037" s="18">
        <f>IF(BA1037&gt;0,1,0)</f>
        <v>1</v>
      </c>
      <c r="BA1037" s="18">
        <f>SUM(BC1037,BF1037,BI1037)</f>
        <v>2</v>
      </c>
      <c r="BB1037" s="18">
        <f>SUM(BE1037,BH1037,BK1037)</f>
        <v>345.2768729641694</v>
      </c>
      <c r="BC1037" s="18">
        <f>IF(BD1037&gt;0,1,0)</f>
        <v>1</v>
      </c>
      <c r="BD1037" s="18">
        <f>VLOOKUP($K1037,'[5]FECs - good data'!$C$1:$Z$574,14,FALSE)</f>
        <v>8</v>
      </c>
      <c r="BE1037" s="16">
        <f>BD1037/AS1037</f>
        <v>26.058631921824109</v>
      </c>
      <c r="BF1037" s="16">
        <f>IF(BG1037&gt;0,1,0)</f>
        <v>1</v>
      </c>
      <c r="BG1037" s="77">
        <f>VLOOKUP($K1037,'[5]FECs - good data'!$C$1:$Z$574,15,FALSE)</f>
        <v>98</v>
      </c>
      <c r="BH1037" s="16">
        <f>BG1037/AS1037</f>
        <v>319.21824104234531</v>
      </c>
      <c r="BI1037" s="16">
        <f>IF(BJ1037&gt;0,1,0)</f>
        <v>0</v>
      </c>
      <c r="BJ1037" s="16">
        <f>VLOOKUP($K1037,'[5]FECs - good data'!$C$1:$Z$574,16,FALSE)</f>
        <v>0</v>
      </c>
      <c r="BK1037" s="16">
        <f>BJ1037/AS1037</f>
        <v>0</v>
      </c>
      <c r="BL1037" s="16">
        <f>IF(BM1037&gt;0,1,0)</f>
        <v>1</v>
      </c>
      <c r="BM1037" s="16">
        <f>SUM(BR1037,BU1037,BX1037,CA1037,CD1037,CG1037,CJ1037,CM1037,CP1037)</f>
        <v>2</v>
      </c>
      <c r="BN1037" s="16">
        <f>SUM(BW1037,BZ1037,CC1037,CF1037,CI1037,CL1037,CO1037,CR1037,BT1037)</f>
        <v>6.5146579804560272</v>
      </c>
      <c r="BO1037" s="16">
        <f>IF(BP1037&gt;0,1,0)</f>
        <v>1</v>
      </c>
      <c r="BP1037" s="16">
        <f>SUM(BU1037,BX1037,CA1037,CD1037,BR1037)</f>
        <v>1</v>
      </c>
      <c r="BQ1037" s="16">
        <f>SUM(BZ1037,CC1037,CF1037,BT1037,BW1037)</f>
        <v>3.2573289902280136</v>
      </c>
      <c r="BR1037" s="16">
        <f>IF(BS1037&gt;0,1,0)</f>
        <v>0</v>
      </c>
      <c r="BS1037" s="16">
        <f>VLOOKUP($K1037,'[5]FECs - good data'!$C$1:$Z$574,17,FALSE)</f>
        <v>0</v>
      </c>
      <c r="BT1037" s="77">
        <f>BS1037/AS1037</f>
        <v>0</v>
      </c>
      <c r="BU1037" s="16">
        <f>IF(BV1037&gt;0,1,0)</f>
        <v>0</v>
      </c>
      <c r="BV1037" s="16">
        <f>VLOOKUP($K1037,'[5]FECs - good data'!$C$1:$Z$574,18,FALSE)</f>
        <v>0</v>
      </c>
      <c r="BW1037" s="16">
        <f>BV1037/AS1037</f>
        <v>0</v>
      </c>
      <c r="BX1037" s="16">
        <f>IF(BY1037&gt;0,1,0)</f>
        <v>0</v>
      </c>
      <c r="BY1037" s="16">
        <f>VLOOKUP($K1037,'[5]FECs - good data'!$C$1:$Z$574,19,FALSE)</f>
        <v>0</v>
      </c>
      <c r="BZ1037" s="16">
        <f>BY1037/AS1037</f>
        <v>0</v>
      </c>
      <c r="CA1037" s="16">
        <f>IF(CB1037&gt;0,1,0)</f>
        <v>0</v>
      </c>
      <c r="CB1037" s="16">
        <f>VLOOKUP($K1037,'[5]FECs - good data'!$C$1:$Z$574,20,FALSE)</f>
        <v>0</v>
      </c>
      <c r="CC1037" s="16">
        <f>CB1037/AS1037</f>
        <v>0</v>
      </c>
      <c r="CD1037" s="77">
        <f>IF(CE1037&gt;0,1,0)</f>
        <v>1</v>
      </c>
      <c r="CE1037" s="16">
        <f>VLOOKUP($K1037,'[5]FECs - good data'!$C$1:$Z$574,21,FALSE)</f>
        <v>1</v>
      </c>
      <c r="CF1037" s="16">
        <f>CE1037/AS1037</f>
        <v>3.2573289902280136</v>
      </c>
      <c r="CG1037" s="16">
        <f>IF(CH1037&gt;0,1,0)</f>
        <v>0</v>
      </c>
      <c r="CH1037" s="16">
        <f>VLOOKUP($K1037,'[5]FECs - good data'!$C$1:$Z$574,22,FALSE)</f>
        <v>0</v>
      </c>
      <c r="CI1037" s="16">
        <f>CH1037/AS1037</f>
        <v>0</v>
      </c>
      <c r="CJ1037" s="16">
        <f>IF(CK1037&gt;0,1,0)</f>
        <v>1</v>
      </c>
      <c r="CK1037" s="16">
        <f>VLOOKUP($K1037,'[5]FECs - good data'!$C$1:$Z$674,24,FALSE)</f>
        <v>1</v>
      </c>
      <c r="CL1037" s="16">
        <f>CK1037/AS1037</f>
        <v>3.2573289902280136</v>
      </c>
      <c r="CS1037" s="16">
        <f>IF(CT1037&gt;0,1,0)</f>
        <v>0</v>
      </c>
      <c r="CT1037" s="16">
        <f>SUM(CW1037+CZ1037,DC1037)</f>
        <v>0</v>
      </c>
      <c r="CV1037" s="16">
        <f>SUM(CY1037,DB1037,DE1037)</f>
        <v>0</v>
      </c>
      <c r="CW1037" s="16">
        <f>IF(CX1037&gt;0,1,0)</f>
        <v>0</v>
      </c>
      <c r="CX1037" s="16">
        <f>VLOOKUP($K1037,'[5]FECs - good data'!$C$1:$Z$574,22,FALSE)</f>
        <v>0</v>
      </c>
      <c r="CY1037" s="16">
        <f>CX1037/AS1037</f>
        <v>0</v>
      </c>
      <c r="CZ1037" s="16">
        <f>IF(DA1037&gt;0,1,0)</f>
        <v>0</v>
      </c>
      <c r="DA1037" s="16">
        <f>VLOOKUP($K1037,'[5]FECs - good data'!$C$1:$Z$5982,23,FALSE)</f>
        <v>0</v>
      </c>
      <c r="DB1037" s="16">
        <f>DA1037/AS1037</f>
        <v>0</v>
      </c>
      <c r="DC1037" s="16">
        <f>IF(DD1037&gt;0,1,0)</f>
        <v>0</v>
      </c>
      <c r="DD1037" s="16">
        <f>VLOOKUP($K1037,'[5]FECs - good data'!$C$1:$Z$574,23,FALSE)</f>
        <v>0</v>
      </c>
      <c r="DE1037" s="16">
        <f>DD1037/AS1037</f>
        <v>0</v>
      </c>
      <c r="DF1037" s="16" t="e">
        <f>VLOOKUP(K1037,'[3]RNA Seq summary tables'!$V$3:$V$99,1,FALSE)</f>
        <v>#N/A</v>
      </c>
      <c r="DG1037" s="16">
        <v>1</v>
      </c>
      <c r="DH1037" s="16" t="str">
        <f>VLOOKUP(D1037,'[6]workflow 3.2018'!$A$1:$S$237,2,FALSE)</f>
        <v>2017MLBS_113</v>
      </c>
    </row>
    <row r="1038" spans="2:288" x14ac:dyDescent="0.2">
      <c r="B1038" s="16">
        <v>2017</v>
      </c>
      <c r="C1038" s="43">
        <v>42914</v>
      </c>
      <c r="D1038" s="20" t="str">
        <f>CONCATENATE(J1038,"-",C1038)</f>
        <v>1171-42914</v>
      </c>
      <c r="E1038" s="20" t="str">
        <f>CONCATENATE(T1038,"-",U1038,"-",C1038)</f>
        <v>HW2-A1-42914</v>
      </c>
      <c r="F1038" s="20" t="s">
        <v>106</v>
      </c>
      <c r="G1038" s="43" t="s">
        <v>107</v>
      </c>
      <c r="H1038" s="23"/>
      <c r="I1038" s="16">
        <v>0</v>
      </c>
      <c r="J1038" s="15">
        <v>1171</v>
      </c>
      <c r="K1038" s="15">
        <v>1765</v>
      </c>
      <c r="L1038" s="18">
        <v>0</v>
      </c>
      <c r="M1038" s="21">
        <f>VLOOKUP($K1038,'[4]blood tubes 2017'!$D$1:$L$647,8,FALSE)</f>
        <v>0</v>
      </c>
      <c r="N1038" s="15">
        <v>0</v>
      </c>
      <c r="O1038" s="15" t="s">
        <v>214</v>
      </c>
      <c r="P1038" s="16" t="s">
        <v>110</v>
      </c>
      <c r="Q1038" s="16">
        <v>0</v>
      </c>
      <c r="R1038" s="16" t="s">
        <v>111</v>
      </c>
      <c r="S1038" s="23"/>
      <c r="T1038" s="23" t="s">
        <v>129</v>
      </c>
      <c r="U1038" s="23" t="s">
        <v>210</v>
      </c>
      <c r="V1038" s="23" t="s">
        <v>114</v>
      </c>
      <c r="W1038" s="16">
        <f>AI1038/AG1038</f>
        <v>0.81818181818181823</v>
      </c>
      <c r="X1038" s="23" t="s">
        <v>115</v>
      </c>
      <c r="Y1038" s="23" t="s">
        <v>110</v>
      </c>
      <c r="Z1038" s="23">
        <v>3</v>
      </c>
      <c r="AA1038" s="23"/>
      <c r="AB1038" s="23"/>
      <c r="AC1038" s="23"/>
      <c r="AD1038" s="23"/>
      <c r="AE1038" s="23" t="s">
        <v>123</v>
      </c>
      <c r="AF1038" s="23" t="s">
        <v>123</v>
      </c>
      <c r="AG1038" s="25">
        <f>AH1038-AI1038</f>
        <v>88</v>
      </c>
      <c r="AH1038" s="25">
        <v>160</v>
      </c>
      <c r="AI1038" s="25">
        <v>72</v>
      </c>
      <c r="AJ1038" s="25"/>
      <c r="AK1038" s="23">
        <v>18.5</v>
      </c>
      <c r="AL1038" s="23">
        <v>0</v>
      </c>
      <c r="AM1038" s="23">
        <v>0</v>
      </c>
      <c r="AN1038" s="23">
        <v>0</v>
      </c>
      <c r="AO1038" s="23">
        <v>0</v>
      </c>
      <c r="AP1038" s="23">
        <f>SUM(AL1038:AN1038)</f>
        <v>0</v>
      </c>
      <c r="AQ1038" s="23">
        <v>1.58</v>
      </c>
      <c r="AR1038" s="23">
        <f>AP1038-1.472</f>
        <v>-1.472</v>
      </c>
      <c r="AS1038" s="23">
        <f>AQ1038-1.472</f>
        <v>0.1080000000000001</v>
      </c>
      <c r="AT1038" s="23" t="s">
        <v>164</v>
      </c>
      <c r="AU1038" s="23"/>
      <c r="AV1038" s="23"/>
      <c r="AW1038" s="23">
        <f>IF(AX1038&gt;0,1,0)</f>
        <v>1</v>
      </c>
      <c r="AX1038" s="23">
        <f>SUM(BA1038,BM1038,CT1038)</f>
        <v>1</v>
      </c>
      <c r="AY1038" s="25">
        <f>SUM(BB1038,BN1038,CV1038)</f>
        <v>101.85185185185176</v>
      </c>
      <c r="AZ1038" s="16">
        <v>1</v>
      </c>
      <c r="BA1038" s="23">
        <v>1</v>
      </c>
      <c r="BB1038" s="23">
        <f>SUM(BE1038,BH1038,BK1038)</f>
        <v>101.85185185185176</v>
      </c>
      <c r="BC1038" s="16">
        <v>1</v>
      </c>
      <c r="BD1038" s="23">
        <v>11</v>
      </c>
      <c r="BE1038" s="23">
        <f>BD1038/AS1038</f>
        <v>101.85185185185176</v>
      </c>
      <c r="BF1038" s="16">
        <v>0</v>
      </c>
      <c r="BG1038" s="77">
        <v>0</v>
      </c>
      <c r="BH1038" s="23">
        <f>BG1038/AS1038</f>
        <v>0</v>
      </c>
      <c r="BI1038" s="16">
        <v>0</v>
      </c>
      <c r="BJ1038" s="23">
        <v>0</v>
      </c>
      <c r="BK1038" s="23">
        <f>BJ1038/AS1038</f>
        <v>0</v>
      </c>
      <c r="BL1038" s="16">
        <f>IF(BM1038&gt;0,1,0)</f>
        <v>0</v>
      </c>
      <c r="BM1038" s="16">
        <f>SUM(BR1038,BU1038,BX1038,CA1038,CD1038,CG1038,CJ1038,CM1038,CP1038)</f>
        <v>0</v>
      </c>
      <c r="BN1038" s="16">
        <f>SUM(BW1038,BZ1038,CC1038,CF1038,CI1038,CL1038,CO1038,CR1038,BT1038)</f>
        <v>0</v>
      </c>
      <c r="BO1038" s="16">
        <f>IF(BP1038&gt;0,1,0)</f>
        <v>0</v>
      </c>
      <c r="BP1038" s="16">
        <f>SUM(BU1038,BX1038,CA1038,CD1038,BR1038)</f>
        <v>0</v>
      </c>
      <c r="BQ1038" s="16">
        <f>SUM(BZ1038,CC1038,CF1038,BT1038,BW1038)</f>
        <v>0</v>
      </c>
      <c r="BR1038" s="16">
        <v>0</v>
      </c>
      <c r="BS1038" s="23">
        <v>0</v>
      </c>
      <c r="BT1038" s="77">
        <f>BS1038/AS1038</f>
        <v>0</v>
      </c>
      <c r="BU1038" s="16">
        <v>0</v>
      </c>
      <c r="BV1038" s="23">
        <v>0</v>
      </c>
      <c r="BW1038" s="16">
        <f>BV1038/AS1038</f>
        <v>0</v>
      </c>
      <c r="BX1038" s="16">
        <v>0</v>
      </c>
      <c r="BY1038" s="23">
        <v>0</v>
      </c>
      <c r="BZ1038" s="16">
        <f>BY1038/AS1038</f>
        <v>0</v>
      </c>
      <c r="CA1038" s="16">
        <v>0</v>
      </c>
      <c r="CB1038" s="23">
        <v>0</v>
      </c>
      <c r="CC1038" s="23">
        <f>CB1038/AS1038</f>
        <v>0</v>
      </c>
      <c r="CD1038" s="77">
        <v>0</v>
      </c>
      <c r="CE1038" s="23">
        <v>0</v>
      </c>
      <c r="CF1038" s="23">
        <f>CE1038/AS1038</f>
        <v>0</v>
      </c>
      <c r="CG1038" s="23">
        <v>0</v>
      </c>
      <c r="CH1038" s="23">
        <v>0</v>
      </c>
      <c r="CI1038" s="23">
        <f>CH1038/AS1038</f>
        <v>0</v>
      </c>
      <c r="CJ1038" s="23"/>
      <c r="CK1038" s="23"/>
      <c r="CL1038" s="23"/>
      <c r="CM1038" s="23">
        <v>0</v>
      </c>
      <c r="CN1038" s="23">
        <v>0</v>
      </c>
      <c r="CO1038" s="23">
        <f>CN1038/AS1038</f>
        <v>0</v>
      </c>
      <c r="CP1038" s="23">
        <v>0</v>
      </c>
      <c r="CQ1038" s="23">
        <v>0</v>
      </c>
      <c r="CR1038" s="23">
        <f>CQ1038/AS1038</f>
        <v>0</v>
      </c>
      <c r="CS1038" s="16">
        <v>0</v>
      </c>
      <c r="CT1038" s="16">
        <v>0</v>
      </c>
      <c r="CV1038" s="23">
        <f>SUM(CY1038,DB1038,DE1038)</f>
        <v>0</v>
      </c>
      <c r="CW1038" s="16">
        <v>0</v>
      </c>
      <c r="CX1038" s="23">
        <v>0</v>
      </c>
      <c r="CY1038" s="23">
        <f>CX1038/AS1038</f>
        <v>0</v>
      </c>
      <c r="CZ1038" s="23">
        <v>0</v>
      </c>
      <c r="DA1038" s="23">
        <v>0</v>
      </c>
      <c r="DB1038" s="23">
        <f>DA1038/AS1038</f>
        <v>0</v>
      </c>
      <c r="DC1038" s="23">
        <v>0</v>
      </c>
      <c r="DD1038" s="23">
        <v>0</v>
      </c>
      <c r="DE1038" s="23">
        <f>DD1038/AS1038</f>
        <v>0</v>
      </c>
      <c r="DF1038" s="16" t="e">
        <f>VLOOKUP(K1038,'[3]RNA Seq summary tables'!$V$3:$V$99,1,FALSE)</f>
        <v>#N/A</v>
      </c>
      <c r="DI1038" s="23">
        <v>73</v>
      </c>
      <c r="DJ1038" s="23"/>
      <c r="DK1038" s="23">
        <v>16</v>
      </c>
      <c r="DL1038" s="23"/>
      <c r="DM1038" s="23">
        <v>11</v>
      </c>
      <c r="DN1038" s="23"/>
      <c r="DO1038" s="23">
        <v>0</v>
      </c>
      <c r="DP1038" s="23"/>
      <c r="DQ1038" s="23">
        <v>0</v>
      </c>
      <c r="DR1038" s="23">
        <f>SUM(DI1038:DQ1038)</f>
        <v>100</v>
      </c>
      <c r="DS1038" s="23"/>
      <c r="DT1038" s="25"/>
      <c r="DU1038" s="25"/>
      <c r="DV1038" s="25"/>
      <c r="DW1038" s="25"/>
      <c r="DX1038" s="25"/>
      <c r="DY1038" s="25"/>
      <c r="DZ1038" s="25"/>
      <c r="EA1038" s="25"/>
      <c r="EB1038" s="25"/>
      <c r="EC1038" s="25"/>
      <c r="ED1038" s="25"/>
      <c r="EE1038" s="25"/>
      <c r="EF1038" s="25"/>
      <c r="EG1038" s="25"/>
      <c r="EH1038" s="25"/>
      <c r="EI1038" s="25"/>
      <c r="EJ1038" s="25"/>
      <c r="EK1038" s="25"/>
      <c r="EL1038" s="25"/>
      <c r="EM1038" s="25"/>
      <c r="EN1038" s="25"/>
      <c r="EO1038" s="25"/>
      <c r="EP1038" s="25"/>
      <c r="EQ1038" s="25"/>
      <c r="ER1038" s="25"/>
      <c r="ES1038" s="25"/>
      <c r="ET1038" s="25"/>
      <c r="EU1038" s="25"/>
      <c r="EV1038" s="25"/>
      <c r="EW1038" s="25"/>
      <c r="EX1038" s="25"/>
      <c r="EY1038" s="25"/>
      <c r="EZ1038" s="25"/>
      <c r="FA1038" s="25"/>
      <c r="FB1038" s="25"/>
      <c r="FC1038" s="25"/>
      <c r="FD1038" s="25"/>
      <c r="FE1038" s="25"/>
      <c r="FF1038" s="25"/>
      <c r="FG1038" s="25"/>
      <c r="FH1038" s="25"/>
      <c r="FI1038" s="25"/>
      <c r="FJ1038" s="25"/>
      <c r="FK1038" s="25"/>
      <c r="FL1038" s="25"/>
      <c r="FM1038" s="25"/>
      <c r="FN1038" s="25"/>
      <c r="FO1038" s="25"/>
      <c r="FP1038" s="25"/>
      <c r="FQ1038" s="25"/>
      <c r="FR1038" s="25"/>
      <c r="FS1038" s="25"/>
      <c r="FT1038" s="25"/>
      <c r="FU1038" s="25"/>
      <c r="FV1038" s="25"/>
      <c r="FW1038" s="25"/>
      <c r="FX1038" s="25"/>
      <c r="FY1038" s="25"/>
      <c r="FZ1038" s="25"/>
      <c r="GA1038" s="25"/>
      <c r="GB1038" s="25"/>
      <c r="GC1038" s="25"/>
      <c r="GD1038" s="25"/>
      <c r="GE1038" s="25"/>
      <c r="GF1038" s="25"/>
      <c r="GG1038" s="25"/>
      <c r="GH1038" s="25"/>
      <c r="GI1038" s="25"/>
      <c r="GJ1038" s="25"/>
      <c r="GK1038" s="25"/>
      <c r="GL1038" s="25"/>
      <c r="GM1038" s="25"/>
      <c r="GN1038" s="25"/>
      <c r="GO1038" s="25"/>
      <c r="GP1038" s="25"/>
      <c r="GQ1038" s="25"/>
      <c r="GR1038" s="25"/>
      <c r="GS1038" s="25"/>
      <c r="GT1038" s="25"/>
      <c r="GU1038" s="25"/>
      <c r="GV1038" s="25"/>
      <c r="GW1038" s="25"/>
      <c r="GX1038" s="25"/>
      <c r="GY1038" s="25"/>
      <c r="GZ1038" s="25"/>
      <c r="HA1038" s="25"/>
      <c r="HB1038" s="25"/>
      <c r="HC1038" s="25"/>
      <c r="HD1038" s="25"/>
      <c r="HE1038" s="25"/>
      <c r="HF1038" s="25"/>
      <c r="HG1038" s="25"/>
      <c r="HH1038" s="25"/>
      <c r="HI1038" s="25"/>
      <c r="HJ1038" s="25"/>
      <c r="HK1038" s="25"/>
      <c r="HL1038" s="25"/>
      <c r="HM1038" s="25"/>
      <c r="HN1038" s="25"/>
      <c r="HO1038" s="25"/>
      <c r="HP1038" s="25"/>
      <c r="HQ1038" s="25"/>
      <c r="HR1038" s="25"/>
      <c r="HS1038" s="25"/>
      <c r="HT1038" s="25"/>
      <c r="HU1038" s="25"/>
      <c r="HV1038" s="25"/>
      <c r="HW1038" s="25"/>
      <c r="HX1038" s="25"/>
      <c r="HY1038" s="25"/>
      <c r="HZ1038" s="25"/>
      <c r="IA1038" s="25"/>
      <c r="IB1038" s="25"/>
      <c r="IC1038" s="25"/>
      <c r="ID1038" s="25"/>
      <c r="IE1038" s="25"/>
      <c r="IF1038" s="25"/>
      <c r="IG1038" s="25"/>
      <c r="IH1038" s="25"/>
      <c r="II1038" s="25"/>
      <c r="IJ1038" s="25"/>
      <c r="IK1038" s="25"/>
      <c r="IL1038" s="25"/>
      <c r="IM1038" s="25"/>
      <c r="IN1038" s="25"/>
      <c r="IO1038" s="25"/>
      <c r="IP1038" s="25"/>
      <c r="IQ1038" s="25"/>
      <c r="IR1038" s="25"/>
      <c r="IS1038" s="25"/>
      <c r="IT1038" s="25"/>
      <c r="IU1038" s="25"/>
      <c r="IV1038" s="25"/>
      <c r="IW1038" s="25"/>
      <c r="IX1038" s="25"/>
      <c r="IY1038" s="25"/>
      <c r="IZ1038" s="25"/>
      <c r="JA1038" s="25"/>
      <c r="JB1038" s="25"/>
      <c r="JC1038" s="25"/>
      <c r="JD1038" s="25"/>
      <c r="JE1038" s="25"/>
      <c r="JF1038" s="25"/>
      <c r="JG1038" s="25"/>
      <c r="JH1038" s="25"/>
      <c r="JI1038" s="25"/>
      <c r="JJ1038" s="25"/>
      <c r="JK1038" s="25"/>
      <c r="JL1038" s="25"/>
      <c r="JM1038" s="25"/>
      <c r="JN1038" s="25"/>
      <c r="JO1038" s="23"/>
      <c r="JP1038" s="23"/>
      <c r="JQ1038" s="23"/>
      <c r="JR1038" s="144"/>
      <c r="JS1038" s="144"/>
      <c r="JT1038" s="144"/>
      <c r="JU1038" s="144"/>
      <c r="JV1038" s="144"/>
      <c r="JW1038" s="144"/>
      <c r="JX1038" s="144"/>
      <c r="JY1038" s="144"/>
      <c r="JZ1038" s="144"/>
      <c r="KA1038" s="144"/>
      <c r="KB1038" s="144"/>
    </row>
    <row r="1039" spans="2:288" s="18" customFormat="1" ht="16" x14ac:dyDescent="0.2">
      <c r="B1039" s="16">
        <v>2017</v>
      </c>
      <c r="C1039" s="20">
        <v>42932</v>
      </c>
      <c r="D1039" s="20" t="str">
        <f>CONCATENATE(J1039,"-",C1039)</f>
        <v>1171-42932</v>
      </c>
      <c r="E1039" s="37" t="str">
        <f>CONCATENATE(T1039,"-",U1039,"-",C1039)</f>
        <v>HW2-B2-42932</v>
      </c>
      <c r="F1039" s="20" t="s">
        <v>106</v>
      </c>
      <c r="G1039" s="20" t="s">
        <v>107</v>
      </c>
      <c r="H1039" s="16"/>
      <c r="I1039" s="16">
        <v>0</v>
      </c>
      <c r="J1039" s="21">
        <v>1171</v>
      </c>
      <c r="K1039" s="21">
        <v>1924</v>
      </c>
      <c r="L1039" s="18">
        <v>0</v>
      </c>
      <c r="M1039" s="21">
        <f>VLOOKUP($K1039,'[4]blood tubes 2017'!$D$1:$L$647,8,FALSE)</f>
        <v>0</v>
      </c>
      <c r="N1039" s="15">
        <v>0</v>
      </c>
      <c r="O1039" s="15" t="s">
        <v>214</v>
      </c>
      <c r="P1039" s="16" t="s">
        <v>110</v>
      </c>
      <c r="Q1039" s="16">
        <v>1</v>
      </c>
      <c r="R1039" s="16">
        <v>18</v>
      </c>
      <c r="S1039" s="16"/>
      <c r="T1039" s="16" t="s">
        <v>129</v>
      </c>
      <c r="U1039" s="16" t="s">
        <v>130</v>
      </c>
      <c r="V1039" s="16" t="s">
        <v>114</v>
      </c>
      <c r="W1039" s="16">
        <f>AI1039/AG1039</f>
        <v>0.83908045977011492</v>
      </c>
      <c r="X1039" s="16" t="s">
        <v>115</v>
      </c>
      <c r="Y1039" s="16" t="s">
        <v>110</v>
      </c>
      <c r="Z1039" s="16">
        <v>3</v>
      </c>
      <c r="AA1039" s="16"/>
      <c r="AB1039" s="16"/>
      <c r="AC1039" s="16"/>
      <c r="AD1039" s="16"/>
      <c r="AE1039" s="16" t="s">
        <v>123</v>
      </c>
      <c r="AF1039" s="16" t="s">
        <v>123</v>
      </c>
      <c r="AG1039" s="16">
        <f>AH1039-AI1039</f>
        <v>87</v>
      </c>
      <c r="AH1039" s="16">
        <v>160</v>
      </c>
      <c r="AI1039" s="16">
        <v>73</v>
      </c>
      <c r="AJ1039" s="16"/>
      <c r="AK1039" s="16">
        <v>19</v>
      </c>
      <c r="AL1039" s="16">
        <v>0</v>
      </c>
      <c r="AM1039" s="16">
        <v>0</v>
      </c>
      <c r="AN1039" s="16">
        <v>0</v>
      </c>
      <c r="AO1039" s="16">
        <v>0</v>
      </c>
      <c r="AP1039" s="16">
        <f>SUM(AL1039:AN1039)</f>
        <v>0</v>
      </c>
      <c r="AQ1039" s="16">
        <v>1.988</v>
      </c>
      <c r="AR1039" s="16">
        <f>AP1039-1.472</f>
        <v>-1.472</v>
      </c>
      <c r="AS1039" s="16">
        <f>AQ1039-1.472</f>
        <v>0.51600000000000001</v>
      </c>
      <c r="AT1039" s="16" t="str">
        <f>VLOOKUP(E1039,[2]Current!$A$1:$W$435,7,FALSE)</f>
        <v>JY</v>
      </c>
      <c r="AU1039" s="16" t="s">
        <v>1288</v>
      </c>
      <c r="AV1039" s="23"/>
      <c r="AW1039" s="128">
        <f>IF(AX1039&gt;0,1,0)</f>
        <v>1</v>
      </c>
      <c r="AX1039" s="128">
        <f>SUM(BA1039,BM1039,CU1039)</f>
        <v>1</v>
      </c>
      <c r="AY1039" s="128">
        <f>SUM(BB1039,BN1039,CV1039)</f>
        <v>40.697674418604649</v>
      </c>
      <c r="AZ1039" s="128">
        <f>IF(BA1039&gt;0,1,0)</f>
        <v>1</v>
      </c>
      <c r="BA1039" s="128">
        <f>SUM(BC1039+BF1039+BI1039)</f>
        <v>1</v>
      </c>
      <c r="BB1039" s="128">
        <f>SUM(BE1039,BH1039,BK1039)</f>
        <v>40.697674418604649</v>
      </c>
      <c r="BC1039" s="130">
        <f>IF(BD1039&gt;0,1,0)</f>
        <v>0</v>
      </c>
      <c r="BD1039" s="128">
        <f>VLOOKUP($E1039,[2]Current!$A:$AC,26,FALSE)</f>
        <v>0</v>
      </c>
      <c r="BE1039" s="128">
        <f>BD1039/$AS1039</f>
        <v>0</v>
      </c>
      <c r="BF1039" s="130">
        <f>IF(BG1039&gt;0,1,0)</f>
        <v>1</v>
      </c>
      <c r="BG1039" s="137">
        <f>VLOOKUP($E1039,[2]Current!$A:$AC,27,FALSE)</f>
        <v>21</v>
      </c>
      <c r="BH1039" s="128">
        <f>BG1039/$AS1039</f>
        <v>40.697674418604649</v>
      </c>
      <c r="BI1039" s="130">
        <f>IF(BJ1039&gt;0,1,0)</f>
        <v>0</v>
      </c>
      <c r="BJ1039" s="128">
        <f>VLOOKUP($E1039,[2]Current!$A:$AC,28,FALSE)</f>
        <v>0</v>
      </c>
      <c r="BK1039" s="128">
        <f>BJ1039/$AS1039</f>
        <v>0</v>
      </c>
      <c r="BL1039" s="128">
        <f>IF(BM1039&gt;0,1,0)</f>
        <v>0</v>
      </c>
      <c r="BM1039" s="128">
        <f>SUM(BR1039,BU1039,BX1039,CA1039,CD1039)</f>
        <v>0</v>
      </c>
      <c r="BN1039" s="131">
        <f>SUM(BT1039,BW1039,BZ1039,CC1039,CF1039)</f>
        <v>0</v>
      </c>
      <c r="BO1039" s="128">
        <f>IF(BP1039&gt;0,1,0)</f>
        <v>0</v>
      </c>
      <c r="BP1039" s="128">
        <f>BM1039+CJ1039</f>
        <v>0</v>
      </c>
      <c r="BQ1039" s="128">
        <f>BN1039+CL1039</f>
        <v>0</v>
      </c>
      <c r="BR1039" s="130">
        <f>IF(BS1039&gt;0,1,0)</f>
        <v>0</v>
      </c>
      <c r="BS1039" s="128">
        <f>VLOOKUP($E1039,[2]Current!$A:$AC,12,FALSE)</f>
        <v>0</v>
      </c>
      <c r="BT1039" s="137">
        <f>BS1039/$AS1039</f>
        <v>0</v>
      </c>
      <c r="BU1039" s="130">
        <f>IF(BV1039&gt;0,1,0)</f>
        <v>0</v>
      </c>
      <c r="BV1039" s="128">
        <f>VLOOKUP($E1039,[2]Current!$A:$AC,13,FALSE)</f>
        <v>0</v>
      </c>
      <c r="BW1039" s="128">
        <f>BV1039/$AS1039</f>
        <v>0</v>
      </c>
      <c r="BX1039" s="130">
        <f>IF(BY1039&gt;0,1,0)</f>
        <v>0</v>
      </c>
      <c r="BY1039" s="128">
        <f>VLOOKUP($E1039,[2]Current!$A:$AC,14,FALSE)</f>
        <v>0</v>
      </c>
      <c r="BZ1039" s="128">
        <f>BY1039/$AS1039</f>
        <v>0</v>
      </c>
      <c r="CA1039" s="130">
        <f>IF(CB1039&gt;0,1,0)</f>
        <v>0</v>
      </c>
      <c r="CB1039" s="128">
        <f>VLOOKUP($E1039,[2]Current!$A:$AC,15,FALSE)</f>
        <v>0</v>
      </c>
      <c r="CC1039" s="128">
        <f>CB1039/$AS1039</f>
        <v>0</v>
      </c>
      <c r="CD1039" s="174">
        <f>IF(CE1039&gt;0,1,0)</f>
        <v>0</v>
      </c>
      <c r="CE1039" s="128">
        <f>VLOOKUP($E1039,[2]Current!$A:$AC,16,FALSE)</f>
        <v>0</v>
      </c>
      <c r="CF1039" s="128">
        <f>CE1039/$AS1039</f>
        <v>0</v>
      </c>
      <c r="CJ1039" s="130">
        <f>IF(CK1039&gt;0,1,0)</f>
        <v>0</v>
      </c>
      <c r="CK1039" s="128">
        <f>VLOOKUP($E1039,[2]Current!$A:$AC,18,FALSE)</f>
        <v>0</v>
      </c>
      <c r="CL1039" s="128">
        <f>CK1039/$AS1039</f>
        <v>0</v>
      </c>
      <c r="CM1039" s="16"/>
      <c r="CN1039" s="16"/>
      <c r="CO1039" s="16"/>
      <c r="CP1039" s="16"/>
      <c r="CQ1039" s="16"/>
      <c r="CR1039" s="16"/>
      <c r="CS1039" s="130">
        <f>IF(CU1039&gt;0,1,0)</f>
        <v>0</v>
      </c>
      <c r="CT1039" s="16"/>
      <c r="CU1039" s="128">
        <f>VLOOKUP($E1039,[2]Current!$A:$AC,17,FALSE)</f>
        <v>0</v>
      </c>
      <c r="CV1039" s="128">
        <f>CU1039/$AS1039</f>
        <v>0</v>
      </c>
      <c r="CZ1039" s="16"/>
      <c r="DA1039" s="16"/>
      <c r="DB1039" s="16"/>
      <c r="DC1039" s="16"/>
      <c r="DD1039" s="16"/>
      <c r="DE1039" s="16"/>
      <c r="DF1039" s="16" t="e">
        <f>VLOOKUP(K1039,'[3]RNA Seq summary tables'!$V$3:$V$99,1,FALSE)</f>
        <v>#N/A</v>
      </c>
      <c r="DG1039" s="16"/>
      <c r="DH1039" s="16"/>
      <c r="DI1039" s="16"/>
      <c r="DJ1039" s="16"/>
      <c r="DK1039" s="16"/>
      <c r="DL1039" s="16"/>
      <c r="DM1039" s="16"/>
      <c r="DN1039" s="16"/>
      <c r="DO1039" s="16"/>
      <c r="DP1039" s="16"/>
      <c r="DQ1039" s="16"/>
      <c r="DR1039" s="16"/>
      <c r="DS1039" s="16"/>
      <c r="JO1039" s="16"/>
      <c r="JP1039" s="16"/>
      <c r="JQ1039" s="16"/>
      <c r="JR1039" s="16"/>
      <c r="JS1039" s="16"/>
      <c r="JT1039" s="16"/>
      <c r="JU1039" s="16"/>
      <c r="JV1039" s="16"/>
      <c r="JW1039" s="16"/>
      <c r="JX1039" s="16"/>
      <c r="JY1039" s="16"/>
      <c r="JZ1039" s="16"/>
      <c r="KA1039" s="16"/>
      <c r="KB1039" s="16"/>
    </row>
    <row r="1040" spans="2:288" x14ac:dyDescent="0.2">
      <c r="B1040" s="16">
        <v>2017</v>
      </c>
      <c r="C1040" s="20">
        <v>42948</v>
      </c>
      <c r="D1040" s="20" t="str">
        <f>CONCATENATE(J1040,"-",C1040)</f>
        <v>1171-42948</v>
      </c>
      <c r="E1040" s="142" t="str">
        <f>CONCATENATE(T1040,"-",U1040,"-",C1040)</f>
        <v>HW2-E2-42948</v>
      </c>
      <c r="F1040" s="20" t="s">
        <v>106</v>
      </c>
      <c r="G1040" s="20" t="s">
        <v>107</v>
      </c>
      <c r="J1040" s="21">
        <v>1171</v>
      </c>
      <c r="K1040" s="21">
        <v>2036</v>
      </c>
      <c r="L1040" s="18">
        <v>0</v>
      </c>
      <c r="M1040" s="21">
        <f>VLOOKUP($K1040,'[4]blood tubes 2017'!$D$1:$L$647,8,FALSE)</f>
        <v>0</v>
      </c>
      <c r="N1040" s="15">
        <v>0</v>
      </c>
      <c r="O1040" s="15" t="s">
        <v>214</v>
      </c>
      <c r="P1040" s="16" t="s">
        <v>110</v>
      </c>
      <c r="Q1040" s="16">
        <v>1</v>
      </c>
      <c r="R1040" s="16">
        <v>16</v>
      </c>
      <c r="T1040" s="16" t="s">
        <v>129</v>
      </c>
      <c r="U1040" s="16" t="s">
        <v>136</v>
      </c>
      <c r="V1040" s="16" t="s">
        <v>114</v>
      </c>
      <c r="W1040" s="16">
        <f>AI1040/AG1040</f>
        <v>0.80219780219780223</v>
      </c>
      <c r="X1040" s="16" t="s">
        <v>115</v>
      </c>
      <c r="Y1040" s="16" t="s">
        <v>110</v>
      </c>
      <c r="Z1040" s="16">
        <v>3</v>
      </c>
      <c r="AE1040" s="16" t="s">
        <v>123</v>
      </c>
      <c r="AF1040" s="16" t="s">
        <v>123</v>
      </c>
      <c r="AG1040" s="16">
        <f>AH1040-AI1040</f>
        <v>91</v>
      </c>
      <c r="AH1040" s="16">
        <v>164</v>
      </c>
      <c r="AI1040" s="16">
        <v>73</v>
      </c>
      <c r="AK1040" s="16">
        <v>21.5</v>
      </c>
      <c r="AL1040" s="16">
        <v>0</v>
      </c>
      <c r="AM1040" s="16">
        <v>0</v>
      </c>
      <c r="AN1040" s="16">
        <v>0</v>
      </c>
      <c r="AO1040" s="16">
        <v>0</v>
      </c>
      <c r="AP1040" s="16">
        <f>SUM(AL1040:AN1040)</f>
        <v>0</v>
      </c>
      <c r="AQ1040" s="16">
        <v>2.0369999999999999</v>
      </c>
      <c r="AR1040" s="16">
        <f>AP1040-1.472</f>
        <v>-1.472</v>
      </c>
      <c r="AS1040" s="16">
        <f>AQ1040-1.472</f>
        <v>0.56499999999999995</v>
      </c>
      <c r="AT1040" s="16" t="e">
        <f>VLOOKUP(E1040,[2]Current!$A$1:$W$435,7,FALSE)</f>
        <v>#N/A</v>
      </c>
      <c r="AU1040" s="16">
        <v>0</v>
      </c>
      <c r="AW1040" s="18"/>
      <c r="AX1040" s="18"/>
      <c r="AY1040" s="18"/>
      <c r="AZ1040" s="18"/>
      <c r="BA1040" s="18"/>
      <c r="BB1040" s="18"/>
      <c r="BC1040" s="18"/>
      <c r="BD1040" s="18"/>
      <c r="BG1040" s="77"/>
      <c r="BT1040" s="77"/>
      <c r="CD1040" s="77"/>
      <c r="DF1040" s="16" t="e">
        <f>VLOOKUP(K1040,'[3]RNA Seq summary tables'!$V$3:$V$99,1,FALSE)</f>
        <v>#N/A</v>
      </c>
    </row>
    <row r="1041" spans="2:288" x14ac:dyDescent="0.2">
      <c r="B1041" s="16">
        <v>2017</v>
      </c>
      <c r="C1041" s="20">
        <v>42966</v>
      </c>
      <c r="D1041" s="20" t="str">
        <f>CONCATENATE(J1041,"-",C1041)</f>
        <v>1171-42966</v>
      </c>
      <c r="E1041" s="142" t="str">
        <f>CONCATENATE(T1041,"-",U1041,"-",C1041)</f>
        <v>HW2-E2-42966</v>
      </c>
      <c r="F1041" s="20" t="s">
        <v>106</v>
      </c>
      <c r="G1041" s="20" t="s">
        <v>107</v>
      </c>
      <c r="J1041" s="21">
        <v>1171</v>
      </c>
      <c r="K1041" s="21">
        <v>2196</v>
      </c>
      <c r="L1041" s="18">
        <v>0</v>
      </c>
      <c r="M1041" s="21">
        <f>VLOOKUP($K1041,'[4]blood tubes 2017'!$D$1:$L$647,8,FALSE)</f>
        <v>0</v>
      </c>
      <c r="N1041" s="15">
        <v>0</v>
      </c>
      <c r="O1041" s="15" t="s">
        <v>214</v>
      </c>
      <c r="P1041" s="16" t="s">
        <v>110</v>
      </c>
      <c r="Q1041" s="16">
        <v>1</v>
      </c>
      <c r="R1041" s="16">
        <v>18</v>
      </c>
      <c r="T1041" s="16" t="s">
        <v>129</v>
      </c>
      <c r="U1041" s="16" t="s">
        <v>136</v>
      </c>
      <c r="V1041" s="16" t="s">
        <v>114</v>
      </c>
      <c r="W1041" s="16">
        <f>AI1041/AG1041</f>
        <v>0.8539325842696629</v>
      </c>
      <c r="X1041" s="16" t="s">
        <v>115</v>
      </c>
      <c r="Y1041" s="16" t="s">
        <v>110</v>
      </c>
      <c r="Z1041" s="16">
        <v>3</v>
      </c>
      <c r="AE1041" s="16" t="s">
        <v>123</v>
      </c>
      <c r="AF1041" s="16" t="s">
        <v>123</v>
      </c>
      <c r="AG1041" s="16">
        <f>AH1041-AI1041</f>
        <v>89</v>
      </c>
      <c r="AH1041" s="16">
        <v>165</v>
      </c>
      <c r="AI1041" s="16">
        <v>76</v>
      </c>
      <c r="AK1041" s="16">
        <v>22</v>
      </c>
      <c r="AL1041" s="16">
        <v>0</v>
      </c>
      <c r="AM1041" s="16">
        <v>0</v>
      </c>
      <c r="AN1041" s="16">
        <v>0</v>
      </c>
      <c r="AO1041" s="16">
        <v>0</v>
      </c>
      <c r="AP1041" s="16">
        <f>SUM(AL1041:AN1041)</f>
        <v>0</v>
      </c>
      <c r="AQ1041" s="16">
        <v>1.8080000000000001</v>
      </c>
      <c r="AR1041" s="16">
        <f>AP1041-1.472</f>
        <v>-1.472</v>
      </c>
      <c r="AS1041" s="16">
        <f>AQ1041-1.472</f>
        <v>0.33600000000000008</v>
      </c>
      <c r="AT1041" s="16" t="e">
        <f>VLOOKUP(E1041,[2]Current!$A$1:$W$435,7,FALSE)</f>
        <v>#N/A</v>
      </c>
      <c r="AU1041" s="16">
        <v>0</v>
      </c>
      <c r="AW1041" s="18"/>
      <c r="AX1041" s="18"/>
      <c r="AY1041" s="18"/>
      <c r="AZ1041" s="18"/>
      <c r="BA1041" s="18"/>
      <c r="BB1041" s="18"/>
      <c r="BC1041" s="18"/>
      <c r="BD1041" s="18"/>
      <c r="BG1041" s="77"/>
      <c r="BT1041" s="77"/>
      <c r="CD1041" s="77"/>
      <c r="DF1041" s="16" t="e">
        <f>VLOOKUP(K1041,'[3]RNA Seq summary tables'!$V$3:$V$99,1,FALSE)</f>
        <v>#N/A</v>
      </c>
      <c r="JR1041" s="30"/>
      <c r="JS1041" s="30"/>
      <c r="JT1041" s="30"/>
      <c r="JU1041" s="30"/>
      <c r="JV1041" s="30"/>
      <c r="JW1041" s="30"/>
      <c r="JX1041" s="30"/>
      <c r="JY1041" s="30"/>
      <c r="JZ1041" s="30"/>
      <c r="KA1041" s="30"/>
      <c r="KB1041" s="30"/>
    </row>
    <row r="1042" spans="2:288" x14ac:dyDescent="0.2">
      <c r="B1042" s="16">
        <v>2017</v>
      </c>
      <c r="C1042" s="43">
        <v>42914</v>
      </c>
      <c r="D1042" s="20" t="str">
        <f>CONCATENATE(J1042,"-",C1042)</f>
        <v>1173-42914</v>
      </c>
      <c r="E1042" s="20" t="str">
        <f>CONCATENATE(T1042,"-",U1042,"-",C1042)</f>
        <v>HW2-B7-42914</v>
      </c>
      <c r="F1042" s="20" t="s">
        <v>106</v>
      </c>
      <c r="G1042" s="43" t="s">
        <v>107</v>
      </c>
      <c r="H1042" s="23"/>
      <c r="I1042" s="16">
        <v>0</v>
      </c>
      <c r="J1042" s="15">
        <v>1173</v>
      </c>
      <c r="K1042" s="15">
        <v>1768</v>
      </c>
      <c r="L1042" s="18">
        <v>0</v>
      </c>
      <c r="M1042" s="21">
        <f>VLOOKUP($K1042,'[4]blood tubes 2017'!$D$1:$L$647,8,FALSE)</f>
        <v>0</v>
      </c>
      <c r="N1042" s="15">
        <v>0</v>
      </c>
      <c r="O1042" s="15" t="s">
        <v>214</v>
      </c>
      <c r="P1042" s="23" t="s">
        <v>110</v>
      </c>
      <c r="Q1042" s="16">
        <v>0</v>
      </c>
      <c r="R1042" s="23" t="s">
        <v>111</v>
      </c>
      <c r="S1042" s="23"/>
      <c r="T1042" s="23" t="s">
        <v>129</v>
      </c>
      <c r="U1042" s="23" t="s">
        <v>168</v>
      </c>
      <c r="V1042" s="23" t="s">
        <v>114</v>
      </c>
      <c r="W1042" s="16">
        <f>AI1042/AG1042</f>
        <v>0.90789473684210531</v>
      </c>
      <c r="X1042" s="23" t="s">
        <v>115</v>
      </c>
      <c r="Y1042" s="23" t="s">
        <v>122</v>
      </c>
      <c r="Z1042" s="23">
        <v>2.2999999999999998</v>
      </c>
      <c r="AA1042" s="23"/>
      <c r="AB1042" s="23"/>
      <c r="AC1042" s="23"/>
      <c r="AD1042" s="23"/>
      <c r="AE1042" s="23" t="s">
        <v>123</v>
      </c>
      <c r="AF1042" s="23" t="s">
        <v>123</v>
      </c>
      <c r="AG1042" s="23">
        <f>AH1042-AI1042</f>
        <v>76</v>
      </c>
      <c r="AH1042" s="23">
        <v>145</v>
      </c>
      <c r="AI1042" s="23">
        <v>69</v>
      </c>
      <c r="AJ1042" s="23"/>
      <c r="AK1042" s="23">
        <v>12.5</v>
      </c>
      <c r="AL1042" s="23">
        <v>0</v>
      </c>
      <c r="AM1042" s="23">
        <v>0</v>
      </c>
      <c r="AN1042" s="23">
        <v>0</v>
      </c>
      <c r="AO1042" s="23">
        <v>0</v>
      </c>
      <c r="AP1042" s="23">
        <f>SUM(AL1042:AN1042)</f>
        <v>0</v>
      </c>
      <c r="AQ1042" s="23">
        <v>1.7210000000000001</v>
      </c>
      <c r="AR1042" s="23">
        <f>AP1042-1.472</f>
        <v>-1.472</v>
      </c>
      <c r="AS1042" s="23">
        <f>AQ1042-1.472</f>
        <v>0.24900000000000011</v>
      </c>
      <c r="AT1042" s="23" t="s">
        <v>164</v>
      </c>
      <c r="AU1042" s="23"/>
      <c r="AV1042" s="23">
        <v>1</v>
      </c>
      <c r="AW1042" s="23">
        <f>IF(AX1042&gt;0,1,0)</f>
        <v>0</v>
      </c>
      <c r="AX1042" s="23">
        <f>SUM(BA1042,BM1042,CT1042)</f>
        <v>0</v>
      </c>
      <c r="AY1042" s="25">
        <f>SUM(BB1042,BN1042,CV1042)</f>
        <v>0</v>
      </c>
      <c r="AZ1042" s="16">
        <v>0</v>
      </c>
      <c r="BA1042" s="23">
        <v>0</v>
      </c>
      <c r="BB1042" s="23">
        <f>SUM(BE1042,BH1042,BK1042)</f>
        <v>0</v>
      </c>
      <c r="BC1042" s="16">
        <v>0</v>
      </c>
      <c r="BD1042" s="23">
        <v>0</v>
      </c>
      <c r="BE1042" s="23">
        <v>0</v>
      </c>
      <c r="BF1042" s="16">
        <v>0</v>
      </c>
      <c r="BG1042" s="77">
        <v>0</v>
      </c>
      <c r="BH1042" s="23">
        <v>0</v>
      </c>
      <c r="BI1042" s="16">
        <v>0</v>
      </c>
      <c r="BJ1042" s="23">
        <v>0</v>
      </c>
      <c r="BK1042" s="23">
        <v>0</v>
      </c>
      <c r="BL1042" s="16">
        <f>IF(BM1042&gt;0,1,0)</f>
        <v>0</v>
      </c>
      <c r="BM1042" s="16">
        <f>SUM(BR1042,BU1042,BX1042,CA1042,CD1042,CG1042,CJ1042,CM1042,CP1042)</f>
        <v>0</v>
      </c>
      <c r="BN1042" s="16">
        <f>SUM(BW1042,BZ1042,CC1042,CF1042,CI1042,CL1042,CO1042,CR1042,BT1042)</f>
        <v>0</v>
      </c>
      <c r="BO1042" s="16">
        <f>IF(BP1042&gt;0,1,0)</f>
        <v>0</v>
      </c>
      <c r="BP1042" s="16">
        <f>SUM(BU1042,BX1042,CA1042,CD1042,BR1042)</f>
        <v>0</v>
      </c>
      <c r="BQ1042" s="16">
        <f>SUM(BZ1042,CC1042,CF1042,BT1042,BW1042)</f>
        <v>0</v>
      </c>
      <c r="BR1042" s="16">
        <v>0</v>
      </c>
      <c r="BS1042" s="23">
        <v>0</v>
      </c>
      <c r="BT1042" s="77">
        <f>BS1042/AS1042</f>
        <v>0</v>
      </c>
      <c r="BU1042" s="16">
        <v>0</v>
      </c>
      <c r="BV1042" s="23">
        <v>0</v>
      </c>
      <c r="BW1042" s="16">
        <f>BV1042/AS1042</f>
        <v>0</v>
      </c>
      <c r="BX1042" s="16">
        <v>0</v>
      </c>
      <c r="BY1042" s="23">
        <v>0</v>
      </c>
      <c r="BZ1042" s="16">
        <f>BY1042/AS1042</f>
        <v>0</v>
      </c>
      <c r="CA1042" s="16">
        <v>0</v>
      </c>
      <c r="CB1042" s="23">
        <v>0</v>
      </c>
      <c r="CC1042" s="23">
        <f>CB1042/AS1042</f>
        <v>0</v>
      </c>
      <c r="CD1042" s="77">
        <v>0</v>
      </c>
      <c r="CE1042" s="23">
        <v>0</v>
      </c>
      <c r="CF1042" s="23">
        <f>CE1042/AS1042</f>
        <v>0</v>
      </c>
      <c r="CG1042" s="23">
        <v>0</v>
      </c>
      <c r="CH1042" s="23">
        <v>0</v>
      </c>
      <c r="CI1042" s="23">
        <f>CH1042/AS1042</f>
        <v>0</v>
      </c>
      <c r="CJ1042" s="23"/>
      <c r="CK1042" s="23"/>
      <c r="CL1042" s="23"/>
      <c r="CM1042" s="23">
        <v>0</v>
      </c>
      <c r="CN1042" s="23">
        <v>0</v>
      </c>
      <c r="CO1042" s="23">
        <f>CN1042/AS1042</f>
        <v>0</v>
      </c>
      <c r="CP1042" s="23">
        <v>0</v>
      </c>
      <c r="CQ1042" s="23">
        <v>0</v>
      </c>
      <c r="CR1042" s="23">
        <f>CQ1042/AS1042</f>
        <v>0</v>
      </c>
      <c r="CS1042" s="16">
        <v>0</v>
      </c>
      <c r="CT1042" s="16">
        <v>0</v>
      </c>
      <c r="CV1042" s="23">
        <f>SUM(CY1042,DB1042,DE1042)</f>
        <v>0</v>
      </c>
      <c r="CW1042" s="16">
        <v>0</v>
      </c>
      <c r="CX1042" s="23">
        <v>0</v>
      </c>
      <c r="CY1042" s="23">
        <f>CX1042/AS1042</f>
        <v>0</v>
      </c>
      <c r="CZ1042" s="23">
        <v>0</v>
      </c>
      <c r="DA1042" s="23">
        <v>0</v>
      </c>
      <c r="DB1042" s="23">
        <f>DA1042/AS1042</f>
        <v>0</v>
      </c>
      <c r="DC1042" s="23">
        <v>0</v>
      </c>
      <c r="DD1042" s="23">
        <v>0</v>
      </c>
      <c r="DE1042" s="23">
        <f>DD1042/AS1042</f>
        <v>0</v>
      </c>
      <c r="DF1042" s="16" t="e">
        <f>VLOOKUP(K1042,'[3]RNA Seq summary tables'!$V$3:$V$99,1,FALSE)</f>
        <v>#N/A</v>
      </c>
      <c r="DI1042" s="23">
        <v>60</v>
      </c>
      <c r="DJ1042" s="23"/>
      <c r="DK1042" s="23">
        <v>24</v>
      </c>
      <c r="DL1042" s="23"/>
      <c r="DM1042" s="23">
        <v>16</v>
      </c>
      <c r="DN1042" s="23"/>
      <c r="DO1042" s="23">
        <v>0</v>
      </c>
      <c r="DP1042" s="23"/>
      <c r="DQ1042" s="23">
        <v>0</v>
      </c>
      <c r="DR1042" s="23">
        <f>SUM(DI1042:DQ1042)</f>
        <v>100</v>
      </c>
      <c r="DS1042" s="23"/>
      <c r="DT1042" s="25"/>
      <c r="DU1042" s="25"/>
      <c r="DV1042" s="25"/>
      <c r="DW1042" s="25"/>
      <c r="DX1042" s="25"/>
      <c r="DY1042" s="25"/>
      <c r="DZ1042" s="25"/>
      <c r="EA1042" s="25"/>
      <c r="EB1042" s="25"/>
      <c r="EC1042" s="25"/>
      <c r="ED1042" s="25"/>
      <c r="EE1042" s="25"/>
      <c r="EF1042" s="25"/>
      <c r="EG1042" s="25"/>
      <c r="EH1042" s="25"/>
      <c r="EI1042" s="25"/>
      <c r="EJ1042" s="25"/>
      <c r="EK1042" s="25"/>
      <c r="EL1042" s="25"/>
      <c r="EM1042" s="25"/>
      <c r="EN1042" s="25"/>
      <c r="EO1042" s="25"/>
      <c r="EP1042" s="25"/>
      <c r="EQ1042" s="25"/>
      <c r="ER1042" s="25"/>
      <c r="ES1042" s="25"/>
      <c r="ET1042" s="25"/>
      <c r="EU1042" s="25"/>
      <c r="EV1042" s="25"/>
      <c r="EW1042" s="25"/>
      <c r="EX1042" s="25"/>
      <c r="EY1042" s="25"/>
      <c r="EZ1042" s="25"/>
      <c r="FA1042" s="25"/>
      <c r="FB1042" s="25"/>
      <c r="FC1042" s="25"/>
      <c r="FD1042" s="25"/>
      <c r="FE1042" s="25"/>
      <c r="FF1042" s="25"/>
      <c r="FG1042" s="25"/>
      <c r="FH1042" s="25"/>
      <c r="FI1042" s="25"/>
      <c r="FJ1042" s="25"/>
      <c r="FK1042" s="25"/>
      <c r="FL1042" s="25"/>
      <c r="FM1042" s="25"/>
      <c r="FN1042" s="25"/>
      <c r="FO1042" s="25"/>
      <c r="FP1042" s="25"/>
      <c r="FQ1042" s="25"/>
      <c r="FR1042" s="25"/>
      <c r="FS1042" s="25"/>
      <c r="FT1042" s="25"/>
      <c r="FU1042" s="25"/>
      <c r="FV1042" s="25"/>
      <c r="FW1042" s="25"/>
      <c r="FX1042" s="25"/>
      <c r="FY1042" s="25"/>
      <c r="FZ1042" s="25"/>
      <c r="GA1042" s="25"/>
      <c r="GB1042" s="25"/>
      <c r="GC1042" s="25"/>
      <c r="GD1042" s="25"/>
      <c r="GE1042" s="25"/>
      <c r="GF1042" s="25"/>
      <c r="GG1042" s="25"/>
      <c r="GH1042" s="25"/>
      <c r="GI1042" s="25"/>
      <c r="GJ1042" s="25"/>
      <c r="GK1042" s="25"/>
      <c r="GL1042" s="25"/>
      <c r="GM1042" s="25"/>
      <c r="GN1042" s="25"/>
      <c r="GO1042" s="25"/>
      <c r="GP1042" s="25"/>
      <c r="GQ1042" s="25"/>
      <c r="GR1042" s="25"/>
      <c r="GS1042" s="25"/>
      <c r="GT1042" s="25"/>
      <c r="GU1042" s="25"/>
      <c r="GV1042" s="25"/>
      <c r="GW1042" s="25"/>
      <c r="GX1042" s="25"/>
      <c r="GY1042" s="25"/>
      <c r="GZ1042" s="25"/>
      <c r="HA1042" s="25"/>
      <c r="HB1042" s="25"/>
      <c r="HC1042" s="25"/>
      <c r="HD1042" s="25"/>
      <c r="HE1042" s="25"/>
      <c r="HF1042" s="25"/>
      <c r="HG1042" s="25"/>
      <c r="HH1042" s="25"/>
      <c r="HI1042" s="25"/>
      <c r="HJ1042" s="25"/>
      <c r="HK1042" s="25"/>
      <c r="HL1042" s="25"/>
      <c r="HM1042" s="25"/>
      <c r="HN1042" s="25"/>
      <c r="HO1042" s="25"/>
      <c r="HP1042" s="25"/>
      <c r="HQ1042" s="25"/>
      <c r="HR1042" s="25"/>
      <c r="HS1042" s="25"/>
      <c r="HT1042" s="25"/>
      <c r="HU1042" s="25"/>
      <c r="HV1042" s="25"/>
      <c r="HW1042" s="25"/>
      <c r="HX1042" s="25"/>
      <c r="HY1042" s="25"/>
      <c r="HZ1042" s="25"/>
      <c r="IA1042" s="25"/>
      <c r="IB1042" s="25"/>
      <c r="IC1042" s="25"/>
      <c r="ID1042" s="25"/>
      <c r="IE1042" s="25"/>
      <c r="IF1042" s="25"/>
      <c r="IG1042" s="25"/>
      <c r="IH1042" s="25"/>
      <c r="II1042" s="25"/>
      <c r="IJ1042" s="25"/>
      <c r="IK1042" s="25"/>
      <c r="IL1042" s="25"/>
      <c r="IM1042" s="25"/>
      <c r="IN1042" s="25"/>
      <c r="IO1042" s="25"/>
      <c r="IP1042" s="25"/>
      <c r="IQ1042" s="25"/>
      <c r="IR1042" s="25"/>
      <c r="IS1042" s="25"/>
      <c r="IT1042" s="25"/>
      <c r="IU1042" s="25"/>
      <c r="IV1042" s="25"/>
      <c r="IW1042" s="25"/>
      <c r="IX1042" s="25"/>
      <c r="IY1042" s="25"/>
      <c r="IZ1042" s="25"/>
      <c r="JA1042" s="25"/>
      <c r="JB1042" s="25"/>
      <c r="JC1042" s="25"/>
      <c r="JD1042" s="25"/>
      <c r="JE1042" s="25"/>
      <c r="JF1042" s="25"/>
      <c r="JG1042" s="25"/>
      <c r="JH1042" s="25"/>
      <c r="JI1042" s="25"/>
      <c r="JJ1042" s="25"/>
      <c r="JK1042" s="25"/>
      <c r="JL1042" s="25"/>
      <c r="JM1042" s="25"/>
      <c r="JN1042" s="25"/>
      <c r="JP1042" s="18"/>
      <c r="JQ1042" s="18"/>
      <c r="JR1042" s="27"/>
      <c r="JS1042" s="27"/>
      <c r="JT1042" s="27"/>
      <c r="JU1042" s="27"/>
      <c r="JV1042" s="27"/>
      <c r="JW1042" s="27"/>
      <c r="JX1042" s="27"/>
      <c r="JY1042" s="27"/>
      <c r="JZ1042" s="27"/>
      <c r="KA1042" s="27"/>
      <c r="KB1042" s="27"/>
    </row>
    <row r="1043" spans="2:288" x14ac:dyDescent="0.2">
      <c r="B1043" s="16">
        <v>2017</v>
      </c>
      <c r="C1043" s="20">
        <v>42914</v>
      </c>
      <c r="D1043" s="20" t="str">
        <f>CONCATENATE(J1043,"-",C1043)</f>
        <v>1175-42914</v>
      </c>
      <c r="E1043" s="20" t="str">
        <f>CONCATENATE(T1043,"-",U1043,"-",C1043)</f>
        <v>HW2-H2-42914</v>
      </c>
      <c r="F1043" s="20" t="s">
        <v>106</v>
      </c>
      <c r="G1043" s="20" t="s">
        <v>107</v>
      </c>
      <c r="I1043" s="16">
        <v>0</v>
      </c>
      <c r="J1043" s="21">
        <v>1175</v>
      </c>
      <c r="K1043" s="21">
        <v>1772</v>
      </c>
      <c r="L1043" s="18">
        <v>0</v>
      </c>
      <c r="M1043" s="21">
        <f>VLOOKUP($K1043,'[4]blood tubes 2017'!$D$1:$L$647,8,FALSE)</f>
        <v>0</v>
      </c>
      <c r="N1043" s="15">
        <v>0</v>
      </c>
      <c r="O1043" s="15" t="s">
        <v>214</v>
      </c>
      <c r="P1043" s="16" t="s">
        <v>110</v>
      </c>
      <c r="Q1043" s="16">
        <v>0</v>
      </c>
      <c r="R1043" s="16" t="s">
        <v>111</v>
      </c>
      <c r="T1043" s="16" t="s">
        <v>129</v>
      </c>
      <c r="U1043" s="16" t="s">
        <v>190</v>
      </c>
      <c r="V1043" s="16" t="s">
        <v>114</v>
      </c>
      <c r="W1043" s="16">
        <f>AI1043/AG1043</f>
        <v>0.92207792207792205</v>
      </c>
      <c r="X1043" s="16" t="s">
        <v>115</v>
      </c>
      <c r="Y1043" s="16" t="s">
        <v>110</v>
      </c>
      <c r="Z1043" s="16">
        <v>3</v>
      </c>
      <c r="AE1043" s="16" t="s">
        <v>123</v>
      </c>
      <c r="AF1043" s="16" t="s">
        <v>123</v>
      </c>
      <c r="AG1043" s="16">
        <f>AH1043-AI1043</f>
        <v>77</v>
      </c>
      <c r="AH1043" s="16">
        <v>148</v>
      </c>
      <c r="AI1043" s="16">
        <v>71</v>
      </c>
      <c r="AK1043" s="16">
        <v>16.5</v>
      </c>
      <c r="AL1043" s="16">
        <v>0</v>
      </c>
      <c r="AM1043" s="16">
        <v>0</v>
      </c>
      <c r="AN1043" s="16">
        <v>0</v>
      </c>
      <c r="AO1043" s="16">
        <v>0</v>
      </c>
      <c r="AP1043" s="16">
        <f>SUM(AL1043:AN1043)</f>
        <v>0</v>
      </c>
      <c r="AQ1043" s="16">
        <v>1.504</v>
      </c>
      <c r="AR1043" s="16">
        <f>AP1043-1.472</f>
        <v>-1.472</v>
      </c>
      <c r="AS1043" s="16">
        <f>AQ1043-1.472</f>
        <v>3.2000000000000028E-2</v>
      </c>
      <c r="AT1043" s="16" t="s">
        <v>164</v>
      </c>
      <c r="AW1043" s="16">
        <f>IF(AX1043&gt;0,1,0)</f>
        <v>1</v>
      </c>
      <c r="AX1043" s="16">
        <f>SUM(BA1043,BM1043,CT1043)</f>
        <v>2</v>
      </c>
      <c r="AY1043" s="18">
        <f>SUM(BB1043,BN1043,CV1043)</f>
        <v>2343.7499999999977</v>
      </c>
      <c r="AZ1043" s="16">
        <v>1</v>
      </c>
      <c r="BA1043" s="16">
        <v>2</v>
      </c>
      <c r="BB1043" s="16">
        <f>SUM(BE1043,BH1043,BK1043)</f>
        <v>2343.7499999999977</v>
      </c>
      <c r="BC1043" s="16">
        <v>1</v>
      </c>
      <c r="BD1043" s="16">
        <v>63</v>
      </c>
      <c r="BE1043" s="16">
        <f>BD1043/AS1043</f>
        <v>1968.7499999999982</v>
      </c>
      <c r="BF1043" s="16">
        <v>1</v>
      </c>
      <c r="BG1043" s="77">
        <v>12</v>
      </c>
      <c r="BH1043" s="16">
        <f>BG1043/AS1043</f>
        <v>374.99999999999966</v>
      </c>
      <c r="BI1043" s="16">
        <v>0</v>
      </c>
      <c r="BJ1043" s="16">
        <v>0</v>
      </c>
      <c r="BK1043" s="16">
        <v>0</v>
      </c>
      <c r="BL1043" s="16">
        <f>IF(BM1043&gt;0,1,0)</f>
        <v>0</v>
      </c>
      <c r="BM1043" s="16">
        <f>SUM(BR1043,BU1043,BX1043,CA1043,CD1043,CG1043,CJ1043,CM1043,CP1043)</f>
        <v>0</v>
      </c>
      <c r="BN1043" s="16">
        <f>SUM(BW1043,BZ1043,CC1043,CF1043,CI1043,CL1043,CO1043,CR1043,BT1043)</f>
        <v>0</v>
      </c>
      <c r="BO1043" s="16">
        <f>IF(BP1043&gt;0,1,0)</f>
        <v>0</v>
      </c>
      <c r="BP1043" s="16">
        <f>SUM(BU1043,BX1043,CA1043,CD1043,BR1043)</f>
        <v>0</v>
      </c>
      <c r="BQ1043" s="16">
        <f>SUM(BZ1043,CC1043,CF1043,BT1043,BW1043)</f>
        <v>0</v>
      </c>
      <c r="BR1043" s="16">
        <v>0</v>
      </c>
      <c r="BS1043" s="16">
        <v>0</v>
      </c>
      <c r="BT1043" s="77">
        <f>BS1043/AS1043</f>
        <v>0</v>
      </c>
      <c r="BU1043" s="16">
        <v>0</v>
      </c>
      <c r="BV1043" s="16">
        <v>0</v>
      </c>
      <c r="BW1043" s="16">
        <f>BV1043/AS1043</f>
        <v>0</v>
      </c>
      <c r="BX1043" s="16">
        <v>0</v>
      </c>
      <c r="BY1043" s="16">
        <v>0</v>
      </c>
      <c r="BZ1043" s="16">
        <f>BY1043/AS1043</f>
        <v>0</v>
      </c>
      <c r="CA1043" s="16">
        <v>0</v>
      </c>
      <c r="CB1043" s="16">
        <v>0</v>
      </c>
      <c r="CC1043" s="16">
        <f>CB1043/AS1043</f>
        <v>0</v>
      </c>
      <c r="CD1043" s="77">
        <v>0</v>
      </c>
      <c r="CE1043" s="16">
        <v>0</v>
      </c>
      <c r="CF1043" s="16">
        <f>CE1043/AS1043</f>
        <v>0</v>
      </c>
      <c r="CG1043" s="16">
        <v>0</v>
      </c>
      <c r="CH1043" s="16">
        <v>0</v>
      </c>
      <c r="CI1043" s="16">
        <f>CH1043/AS1043</f>
        <v>0</v>
      </c>
      <c r="CM1043" s="16">
        <v>0</v>
      </c>
      <c r="CN1043" s="16">
        <v>0</v>
      </c>
      <c r="CO1043" s="16">
        <f>CN1043/AS1043</f>
        <v>0</v>
      </c>
      <c r="CP1043" s="16">
        <v>0</v>
      </c>
      <c r="CQ1043" s="16">
        <v>0</v>
      </c>
      <c r="CR1043" s="16">
        <f>CQ1043/AS1043</f>
        <v>0</v>
      </c>
      <c r="CS1043" s="16">
        <v>0</v>
      </c>
      <c r="CT1043" s="16">
        <v>0</v>
      </c>
      <c r="CV1043" s="16">
        <v>0</v>
      </c>
      <c r="CW1043" s="16">
        <v>0</v>
      </c>
      <c r="CX1043" s="16">
        <v>0</v>
      </c>
      <c r="CY1043" s="16">
        <f>CX1043/AS1043</f>
        <v>0</v>
      </c>
      <c r="CZ1043" s="16">
        <v>0</v>
      </c>
      <c r="DA1043" s="16">
        <v>0</v>
      </c>
      <c r="DB1043" s="16">
        <f>DA1043/AS1043</f>
        <v>0</v>
      </c>
      <c r="DC1043" s="16">
        <v>0</v>
      </c>
      <c r="DD1043" s="16">
        <v>0</v>
      </c>
      <c r="DE1043" s="16">
        <f>DD1043/AS1043</f>
        <v>0</v>
      </c>
      <c r="DF1043" s="16" t="e">
        <f>VLOOKUP(K1043,'[3]RNA Seq summary tables'!$V$3:$V$99,1,FALSE)</f>
        <v>#N/A</v>
      </c>
      <c r="DI1043" s="16">
        <v>50</v>
      </c>
      <c r="DK1043" s="16">
        <v>24</v>
      </c>
      <c r="DM1043" s="16">
        <v>26</v>
      </c>
      <c r="DO1043" s="16">
        <v>0</v>
      </c>
      <c r="DQ1043" s="16">
        <v>0</v>
      </c>
      <c r="DR1043" s="16">
        <f>SUM(DI1043:DQ1043)</f>
        <v>100</v>
      </c>
      <c r="JR1043" s="30"/>
      <c r="JS1043" s="30"/>
      <c r="JT1043" s="30"/>
      <c r="JU1043" s="30"/>
      <c r="JV1043" s="30"/>
      <c r="JW1043" s="30"/>
      <c r="JX1043" s="30"/>
      <c r="JY1043" s="30"/>
      <c r="JZ1043" s="30"/>
      <c r="KA1043" s="30"/>
      <c r="KB1043" s="30"/>
    </row>
    <row r="1044" spans="2:288" x14ac:dyDescent="0.2">
      <c r="B1044" s="16">
        <v>2017</v>
      </c>
      <c r="C1044" s="20">
        <v>42914</v>
      </c>
      <c r="D1044" s="20" t="str">
        <f>CONCATENATE(J1044,"-",C1044)</f>
        <v>1177-42914</v>
      </c>
      <c r="E1044" s="20" t="str">
        <f>CONCATENATE(T1044,"-",U1044,"-",C1044)</f>
        <v>HW1-B1-42914</v>
      </c>
      <c r="F1044" s="20" t="s">
        <v>106</v>
      </c>
      <c r="G1044" s="20" t="s">
        <v>107</v>
      </c>
      <c r="I1044" s="16">
        <v>0</v>
      </c>
      <c r="J1044" s="21">
        <v>1177</v>
      </c>
      <c r="K1044" s="21">
        <v>1776</v>
      </c>
      <c r="L1044" s="18">
        <v>0</v>
      </c>
      <c r="M1044" s="21">
        <f>VLOOKUP($K1044,'[4]blood tubes 2017'!$D$1:$L$647,8,FALSE)</f>
        <v>0</v>
      </c>
      <c r="N1044" s="15">
        <v>0</v>
      </c>
      <c r="O1044" s="15" t="s">
        <v>214</v>
      </c>
      <c r="P1044" s="16" t="s">
        <v>110</v>
      </c>
      <c r="Q1044" s="16">
        <v>0</v>
      </c>
      <c r="R1044" s="16" t="s">
        <v>111</v>
      </c>
      <c r="T1044" s="16" t="s">
        <v>133</v>
      </c>
      <c r="U1044" s="16" t="s">
        <v>113</v>
      </c>
      <c r="V1044" s="16" t="s">
        <v>114</v>
      </c>
      <c r="W1044" s="16">
        <f>AI1044/AG1044</f>
        <v>0.83544303797468356</v>
      </c>
      <c r="X1044" s="16" t="s">
        <v>115</v>
      </c>
      <c r="Y1044" s="16" t="s">
        <v>122</v>
      </c>
      <c r="Z1044" s="16">
        <v>2.6</v>
      </c>
      <c r="AE1044" s="16" t="s">
        <v>123</v>
      </c>
      <c r="AF1044" s="16" t="s">
        <v>123</v>
      </c>
      <c r="AG1044" s="16">
        <f>AH1044-AI1044</f>
        <v>79</v>
      </c>
      <c r="AH1044" s="16">
        <v>145</v>
      </c>
      <c r="AI1044" s="16">
        <v>66</v>
      </c>
      <c r="AK1044" s="16">
        <v>15.5</v>
      </c>
      <c r="AL1044" s="16">
        <v>0</v>
      </c>
      <c r="AM1044" s="16">
        <v>0</v>
      </c>
      <c r="AN1044" s="16">
        <v>0</v>
      </c>
      <c r="AO1044" s="16">
        <v>0</v>
      </c>
      <c r="AP1044" s="16">
        <f>SUM(AL1044:AN1044)</f>
        <v>0</v>
      </c>
      <c r="AQ1044" s="16">
        <v>1.728</v>
      </c>
      <c r="AR1044" s="16">
        <f>AP1044-1.472</f>
        <v>-1.472</v>
      </c>
      <c r="AS1044" s="16">
        <f>AQ1044-1.472</f>
        <v>0.25600000000000001</v>
      </c>
      <c r="AT1044" s="16" t="s">
        <v>164</v>
      </c>
      <c r="AW1044" s="16">
        <f>IF(AX1044&gt;0,1,0)</f>
        <v>1</v>
      </c>
      <c r="AX1044" s="16">
        <f>SUM(BA1044,BM1044,CT1044)</f>
        <v>1</v>
      </c>
      <c r="AY1044" s="18">
        <f>SUM(BB1044,BN1044,CV1044)</f>
        <v>214.84375</v>
      </c>
      <c r="AZ1044" s="16">
        <v>1</v>
      </c>
      <c r="BA1044" s="16">
        <v>1</v>
      </c>
      <c r="BB1044" s="16">
        <f>SUM(BE1044,BH1044,BK1044)</f>
        <v>214.84375</v>
      </c>
      <c r="BC1044" s="16">
        <v>1</v>
      </c>
      <c r="BD1044" s="16">
        <v>55</v>
      </c>
      <c r="BE1044" s="16">
        <f>BD1044/AS1044</f>
        <v>214.84375</v>
      </c>
      <c r="BF1044" s="16">
        <v>0</v>
      </c>
      <c r="BG1044" s="77">
        <v>0</v>
      </c>
      <c r="BH1044" s="16">
        <v>0</v>
      </c>
      <c r="BI1044" s="16">
        <v>0</v>
      </c>
      <c r="BJ1044" s="16">
        <v>0</v>
      </c>
      <c r="BK1044" s="16">
        <f>BJ1044/AS1044</f>
        <v>0</v>
      </c>
      <c r="BL1044" s="16">
        <f>IF(BM1044&gt;0,1,0)</f>
        <v>0</v>
      </c>
      <c r="BM1044" s="16">
        <f>SUM(BR1044,BU1044,BX1044,CA1044,CD1044,CG1044,CJ1044,CM1044,CP1044)</f>
        <v>0</v>
      </c>
      <c r="BN1044" s="16">
        <f>SUM(BW1044,BZ1044,CC1044,CF1044,CI1044,CL1044,CO1044,CR1044,BT1044)</f>
        <v>0</v>
      </c>
      <c r="BO1044" s="16">
        <f>IF(BP1044&gt;0,1,0)</f>
        <v>0</v>
      </c>
      <c r="BP1044" s="16">
        <f>SUM(BU1044,BX1044,CA1044,CD1044,BR1044)</f>
        <v>0</v>
      </c>
      <c r="BQ1044" s="16">
        <f>SUM(BZ1044,CC1044,CF1044,BT1044,BW1044)</f>
        <v>0</v>
      </c>
      <c r="BR1044" s="16">
        <v>0</v>
      </c>
      <c r="BS1044" s="16">
        <v>0</v>
      </c>
      <c r="BT1044" s="77">
        <f>BS1044/AS1044</f>
        <v>0</v>
      </c>
      <c r="BU1044" s="16">
        <v>0</v>
      </c>
      <c r="BV1044" s="16">
        <v>0</v>
      </c>
      <c r="BW1044" s="16">
        <f>BV1044/AS1044</f>
        <v>0</v>
      </c>
      <c r="BX1044" s="16">
        <v>0</v>
      </c>
      <c r="BY1044" s="16">
        <v>0</v>
      </c>
      <c r="BZ1044" s="16">
        <f>BY1044/AS1044</f>
        <v>0</v>
      </c>
      <c r="CA1044" s="16">
        <v>0</v>
      </c>
      <c r="CB1044" s="16">
        <v>0</v>
      </c>
      <c r="CC1044" s="16">
        <f>CB1044/AS1044</f>
        <v>0</v>
      </c>
      <c r="CD1044" s="77">
        <v>0</v>
      </c>
      <c r="CE1044" s="16">
        <v>0</v>
      </c>
      <c r="CF1044" s="16">
        <f>CE1044/AS1044</f>
        <v>0</v>
      </c>
      <c r="CG1044" s="16">
        <v>0</v>
      </c>
      <c r="CH1044" s="16">
        <v>0</v>
      </c>
      <c r="CI1044" s="16">
        <f>CH1044/AS1044</f>
        <v>0</v>
      </c>
      <c r="CM1044" s="16">
        <v>0</v>
      </c>
      <c r="CN1044" s="16">
        <v>0</v>
      </c>
      <c r="CO1044" s="16">
        <f>CN1044/AS1044</f>
        <v>0</v>
      </c>
      <c r="CP1044" s="16">
        <v>0</v>
      </c>
      <c r="CQ1044" s="16">
        <v>0</v>
      </c>
      <c r="CR1044" s="16">
        <f>CQ1044/AS1044</f>
        <v>0</v>
      </c>
      <c r="CS1044" s="16">
        <v>0</v>
      </c>
      <c r="CT1044" s="16">
        <v>0</v>
      </c>
      <c r="CV1044" s="16">
        <f>SUM(CY1044,DB1044,DE1044)</f>
        <v>0</v>
      </c>
      <c r="CW1044" s="16">
        <v>0</v>
      </c>
      <c r="CX1044" s="16">
        <v>0</v>
      </c>
      <c r="CY1044" s="16">
        <f>CX1044/AS1044</f>
        <v>0</v>
      </c>
      <c r="CZ1044" s="16">
        <v>0</v>
      </c>
      <c r="DA1044" s="16">
        <v>0</v>
      </c>
      <c r="DB1044" s="16">
        <f>DA1044/AS1044</f>
        <v>0</v>
      </c>
      <c r="DC1044" s="16">
        <v>0</v>
      </c>
      <c r="DD1044" s="16">
        <v>0</v>
      </c>
      <c r="DE1044" s="16">
        <f>DD1044/AS1044</f>
        <v>0</v>
      </c>
      <c r="DF1044" s="16" t="e">
        <f>VLOOKUP(K1044,'[3]RNA Seq summary tables'!$V$3:$V$99,1,FALSE)</f>
        <v>#N/A</v>
      </c>
      <c r="DI1044" s="16">
        <v>46</v>
      </c>
      <c r="DK1044" s="16">
        <v>39</v>
      </c>
      <c r="DM1044" s="16">
        <v>15</v>
      </c>
      <c r="DO1044" s="16">
        <v>0</v>
      </c>
      <c r="DQ1044" s="16">
        <v>0</v>
      </c>
      <c r="DR1044" s="16">
        <f>SUM(DI1044:DQ1044)</f>
        <v>100</v>
      </c>
      <c r="JR1044" s="27"/>
      <c r="JS1044" s="27"/>
      <c r="JT1044" s="27"/>
      <c r="JU1044" s="27"/>
      <c r="JV1044" s="27"/>
      <c r="JW1044" s="27"/>
      <c r="JX1044" s="27"/>
      <c r="JY1044" s="27"/>
      <c r="JZ1044" s="27"/>
      <c r="KA1044" s="27"/>
      <c r="KB1044" s="27"/>
    </row>
    <row r="1045" spans="2:288" s="18" customFormat="1" x14ac:dyDescent="0.2">
      <c r="B1045" s="16">
        <v>2017</v>
      </c>
      <c r="C1045" s="20">
        <v>42914</v>
      </c>
      <c r="D1045" s="20" t="str">
        <f>CONCATENATE(J1045,"-",C1045)</f>
        <v>1179-42914</v>
      </c>
      <c r="E1045" s="20" t="str">
        <f>CONCATENATE(T1045,"-",U1045,"-",C1045)</f>
        <v>HW1-B5-42914</v>
      </c>
      <c r="F1045" s="20" t="s">
        <v>106</v>
      </c>
      <c r="G1045" s="20" t="s">
        <v>107</v>
      </c>
      <c r="H1045" s="16"/>
      <c r="I1045" s="16">
        <v>0</v>
      </c>
      <c r="J1045" s="21">
        <v>1179</v>
      </c>
      <c r="K1045" s="21">
        <v>1778</v>
      </c>
      <c r="L1045" s="18">
        <v>0</v>
      </c>
      <c r="M1045" s="21">
        <f>VLOOKUP($K1045,'[4]blood tubes 2017'!$D$1:$L$647,8,FALSE)</f>
        <v>0</v>
      </c>
      <c r="N1045" s="15">
        <v>0</v>
      </c>
      <c r="O1045" s="15" t="s">
        <v>214</v>
      </c>
      <c r="P1045" s="16" t="s">
        <v>110</v>
      </c>
      <c r="Q1045" s="16">
        <v>0</v>
      </c>
      <c r="R1045" s="16" t="s">
        <v>111</v>
      </c>
      <c r="S1045" s="16"/>
      <c r="T1045" s="16" t="s">
        <v>133</v>
      </c>
      <c r="U1045" s="16" t="s">
        <v>160</v>
      </c>
      <c r="V1045" s="16" t="s">
        <v>114</v>
      </c>
      <c r="W1045" s="16">
        <f>AI1045/AG1045</f>
        <v>0.84337349397590367</v>
      </c>
      <c r="X1045" s="16" t="s">
        <v>115</v>
      </c>
      <c r="Y1045" s="16" t="s">
        <v>110</v>
      </c>
      <c r="Z1045" s="16">
        <v>3</v>
      </c>
      <c r="AA1045" s="16"/>
      <c r="AB1045" s="16"/>
      <c r="AC1045" s="16"/>
      <c r="AD1045" s="16"/>
      <c r="AE1045" s="16" t="s">
        <v>123</v>
      </c>
      <c r="AF1045" s="16" t="s">
        <v>123</v>
      </c>
      <c r="AG1045" s="16">
        <f>AH1045-AI1045</f>
        <v>83</v>
      </c>
      <c r="AH1045" s="16">
        <v>153</v>
      </c>
      <c r="AI1045" s="16">
        <v>70</v>
      </c>
      <c r="AJ1045" s="16"/>
      <c r="AK1045" s="16">
        <v>16.5</v>
      </c>
      <c r="AL1045" s="16">
        <v>0</v>
      </c>
      <c r="AM1045" s="16">
        <v>0</v>
      </c>
      <c r="AN1045" s="16">
        <v>0</v>
      </c>
      <c r="AO1045" s="16">
        <v>0</v>
      </c>
      <c r="AP1045" s="16">
        <f>SUM(AL1045:AN1045)</f>
        <v>0</v>
      </c>
      <c r="AQ1045" s="16">
        <v>1.59</v>
      </c>
      <c r="AR1045" s="16">
        <f>AP1045-1.472</f>
        <v>-1.472</v>
      </c>
      <c r="AS1045" s="16">
        <f>AQ1045-1.472</f>
        <v>0.1180000000000001</v>
      </c>
      <c r="AT1045" s="16" t="s">
        <v>233</v>
      </c>
      <c r="AU1045" s="16"/>
      <c r="AV1045" s="16">
        <v>1</v>
      </c>
      <c r="AW1045" s="16">
        <f>IF(AX1045&gt;0,1,0)</f>
        <v>0</v>
      </c>
      <c r="AX1045" s="16">
        <f>SUM(BA1045,BM1045,CT1045)</f>
        <v>0</v>
      </c>
      <c r="AY1045" s="18">
        <f>SUM(BB1045,BN1045,CV1045)</f>
        <v>0</v>
      </c>
      <c r="AZ1045" s="16"/>
      <c r="BA1045" s="16"/>
      <c r="BB1045" s="16">
        <f>SUM(BE1045,BH1045,BK1045)</f>
        <v>0</v>
      </c>
      <c r="BC1045" s="16">
        <v>0</v>
      </c>
      <c r="BD1045" s="16">
        <v>0</v>
      </c>
      <c r="BE1045" s="16">
        <f>BD1045/AS1045</f>
        <v>0</v>
      </c>
      <c r="BF1045" s="16">
        <v>0</v>
      </c>
      <c r="BG1045" s="77">
        <v>0</v>
      </c>
      <c r="BH1045" s="16">
        <f>BG1045/AS1045</f>
        <v>0</v>
      </c>
      <c r="BI1045" s="16">
        <v>0</v>
      </c>
      <c r="BJ1045" s="16">
        <v>0</v>
      </c>
      <c r="BK1045" s="16">
        <f>BJ1045/AS1045</f>
        <v>0</v>
      </c>
      <c r="BL1045" s="16">
        <f>IF(BM1045&gt;0,1,0)</f>
        <v>0</v>
      </c>
      <c r="BM1045" s="16">
        <f>SUM(BR1045,BU1045,BX1045,CA1045,CD1045,CG1045,CJ1045,CM1045,CP1045)</f>
        <v>0</v>
      </c>
      <c r="BN1045" s="16">
        <f>SUM(BW1045,BZ1045,CC1045,CF1045,CI1045,CL1045,CO1045,CR1045,BT1045)</f>
        <v>0</v>
      </c>
      <c r="BO1045" s="16">
        <f>IF(BP1045&gt;0,1,0)</f>
        <v>0</v>
      </c>
      <c r="BP1045" s="16">
        <f>SUM(BU1045,BX1045,CA1045,CD1045,BR1045)</f>
        <v>0</v>
      </c>
      <c r="BQ1045" s="16">
        <f>SUM(BZ1045,CC1045,CF1045,BT1045,BW1045)</f>
        <v>0</v>
      </c>
      <c r="BR1045" s="16">
        <v>0</v>
      </c>
      <c r="BS1045" s="16">
        <v>0</v>
      </c>
      <c r="BT1045" s="77">
        <f>BS1045/AS1045</f>
        <v>0</v>
      </c>
      <c r="BU1045" s="16">
        <v>0</v>
      </c>
      <c r="BV1045" s="16">
        <v>0</v>
      </c>
      <c r="BW1045" s="16">
        <f>BV1045/AS1045</f>
        <v>0</v>
      </c>
      <c r="BX1045" s="16">
        <v>0</v>
      </c>
      <c r="BY1045" s="16">
        <v>0</v>
      </c>
      <c r="BZ1045" s="16">
        <f>BY1045/AS1045</f>
        <v>0</v>
      </c>
      <c r="CA1045" s="16">
        <v>0</v>
      </c>
      <c r="CB1045" s="16">
        <v>0</v>
      </c>
      <c r="CC1045" s="16">
        <f>CB1045/AS1045</f>
        <v>0</v>
      </c>
      <c r="CD1045" s="77">
        <v>0</v>
      </c>
      <c r="CE1045" s="16">
        <v>0</v>
      </c>
      <c r="CF1045" s="16">
        <f>CE1045/AS1045</f>
        <v>0</v>
      </c>
      <c r="CG1045" s="16">
        <v>0</v>
      </c>
      <c r="CH1045" s="16">
        <v>0</v>
      </c>
      <c r="CI1045" s="16">
        <f>CH1045/AS1045</f>
        <v>0</v>
      </c>
      <c r="CJ1045" s="16"/>
      <c r="CK1045" s="16"/>
      <c r="CL1045" s="16"/>
      <c r="CM1045" s="16">
        <v>0</v>
      </c>
      <c r="CN1045" s="16">
        <v>0</v>
      </c>
      <c r="CO1045" s="16">
        <f>CN1045/AS1045</f>
        <v>0</v>
      </c>
      <c r="CP1045" s="16">
        <v>0</v>
      </c>
      <c r="CQ1045" s="16">
        <v>0</v>
      </c>
      <c r="CR1045" s="16">
        <f>CQ1045/AS1045</f>
        <v>0</v>
      </c>
      <c r="CS1045" s="16">
        <v>0</v>
      </c>
      <c r="CT1045" s="16">
        <v>0</v>
      </c>
      <c r="CU1045" s="16"/>
      <c r="CV1045" s="16">
        <f>SUM(CY1045,DB1045,DE1045)</f>
        <v>0</v>
      </c>
      <c r="CW1045" s="16">
        <v>0</v>
      </c>
      <c r="CX1045" s="16">
        <v>0</v>
      </c>
      <c r="CY1045" s="16">
        <f>CX1045/AS1045</f>
        <v>0</v>
      </c>
      <c r="CZ1045" s="16">
        <v>0</v>
      </c>
      <c r="DA1045" s="16">
        <v>0</v>
      </c>
      <c r="DB1045" s="16">
        <f>DA1045/AS1045</f>
        <v>0</v>
      </c>
      <c r="DC1045" s="16">
        <v>0</v>
      </c>
      <c r="DD1045" s="16">
        <v>0</v>
      </c>
      <c r="DE1045" s="16">
        <f>DD1045/AS1045</f>
        <v>0</v>
      </c>
      <c r="DF1045" s="16" t="e">
        <f>VLOOKUP(K1045,'[3]RNA Seq summary tables'!$V$3:$V$99,1,FALSE)</f>
        <v>#N/A</v>
      </c>
      <c r="DG1045" s="16"/>
      <c r="DH1045" s="16"/>
      <c r="DI1045" s="16">
        <v>73</v>
      </c>
      <c r="DJ1045" s="16"/>
      <c r="DK1045" s="16">
        <v>6</v>
      </c>
      <c r="DL1045" s="16"/>
      <c r="DM1045" s="16">
        <v>21</v>
      </c>
      <c r="DN1045" s="16"/>
      <c r="DO1045" s="16">
        <v>0</v>
      </c>
      <c r="DP1045" s="16"/>
      <c r="DQ1045" s="16">
        <v>0</v>
      </c>
      <c r="DR1045" s="16">
        <f>SUM(DI1045:DQ1045)</f>
        <v>100</v>
      </c>
      <c r="DS1045" s="16"/>
      <c r="JO1045" s="16"/>
      <c r="JP1045" s="16"/>
      <c r="JQ1045" s="16"/>
      <c r="JR1045" s="27"/>
      <c r="JS1045" s="27"/>
      <c r="JT1045" s="27"/>
      <c r="JU1045" s="27"/>
      <c r="JV1045" s="27"/>
      <c r="JW1045" s="27"/>
      <c r="JX1045" s="27"/>
      <c r="JY1045" s="27"/>
      <c r="JZ1045" s="27"/>
      <c r="KA1045" s="27"/>
      <c r="KB1045" s="27"/>
    </row>
    <row r="1046" spans="2:288" ht="16" x14ac:dyDescent="0.2">
      <c r="B1046" s="16">
        <v>2017</v>
      </c>
      <c r="C1046" s="20">
        <v>42930</v>
      </c>
      <c r="D1046" s="20" t="str">
        <f>CONCATENATE(J1046,"-",C1046)</f>
        <v>1179-42930</v>
      </c>
      <c r="E1046" s="37" t="str">
        <f>CONCATENATE(T1046,"-",U1046,"-",C1046)</f>
        <v>HW1-E6-42930</v>
      </c>
      <c r="F1046" s="20" t="s">
        <v>106</v>
      </c>
      <c r="G1046" s="20" t="s">
        <v>107</v>
      </c>
      <c r="I1046" s="16">
        <v>0</v>
      </c>
      <c r="J1046" s="21">
        <v>1179</v>
      </c>
      <c r="K1046" s="21">
        <v>1908</v>
      </c>
      <c r="L1046" s="18">
        <v>0</v>
      </c>
      <c r="M1046" s="21">
        <f>VLOOKUP($K1046,'[4]blood tubes 2017'!$D$1:$L$647,8,FALSE)</f>
        <v>0</v>
      </c>
      <c r="N1046" s="15">
        <v>0</v>
      </c>
      <c r="O1046" s="15" t="s">
        <v>214</v>
      </c>
      <c r="P1046" s="16" t="s">
        <v>110</v>
      </c>
      <c r="Q1046" s="16">
        <v>1</v>
      </c>
      <c r="R1046" s="16">
        <v>16</v>
      </c>
      <c r="T1046" s="16" t="s">
        <v>133</v>
      </c>
      <c r="U1046" s="16" t="s">
        <v>232</v>
      </c>
      <c r="V1046" s="16" t="s">
        <v>114</v>
      </c>
      <c r="W1046" s="16">
        <f>AI1046/AG1046</f>
        <v>0.82352941176470584</v>
      </c>
      <c r="X1046" s="16" t="s">
        <v>115</v>
      </c>
      <c r="Y1046" s="16" t="s">
        <v>110</v>
      </c>
      <c r="Z1046" s="16">
        <v>3</v>
      </c>
      <c r="AE1046" s="16" t="s">
        <v>123</v>
      </c>
      <c r="AF1046" s="16" t="s">
        <v>123</v>
      </c>
      <c r="AG1046" s="16">
        <f>AH1046-AI1046</f>
        <v>85</v>
      </c>
      <c r="AH1046" s="16">
        <v>155</v>
      </c>
      <c r="AI1046" s="16">
        <v>70</v>
      </c>
      <c r="AK1046" s="16">
        <v>16.5</v>
      </c>
      <c r="AL1046" s="16">
        <v>0</v>
      </c>
      <c r="AM1046" s="16">
        <v>0</v>
      </c>
      <c r="AN1046" s="16">
        <v>0</v>
      </c>
      <c r="AO1046" s="16">
        <v>0</v>
      </c>
      <c r="AP1046" s="16">
        <f>SUM(AL1046:AN1046)</f>
        <v>0</v>
      </c>
      <c r="AQ1046" s="16">
        <v>1.6639999999999999</v>
      </c>
      <c r="AR1046" s="16">
        <f>AP1046-1.472</f>
        <v>-1.472</v>
      </c>
      <c r="AS1046" s="16">
        <f>AQ1046-1.472</f>
        <v>0.19199999999999995</v>
      </c>
      <c r="AT1046" s="16" t="str">
        <f>VLOOKUP(E1046,[2]Current!$A$1:$W$435,7,FALSE)</f>
        <v>NB</v>
      </c>
      <c r="AU1046" s="16" t="s">
        <v>1288</v>
      </c>
      <c r="AW1046" s="128">
        <f>IF(AX1046&gt;0,1,0)</f>
        <v>1</v>
      </c>
      <c r="AX1046" s="128">
        <f>SUM(BA1046,BM1046,CU1046)</f>
        <v>2</v>
      </c>
      <c r="AY1046" s="128">
        <f>SUM(BB1046,BN1046,CV1046)</f>
        <v>20.833333333333339</v>
      </c>
      <c r="AZ1046" s="128">
        <f>IF(BA1046&gt;0,1,0)</f>
        <v>1</v>
      </c>
      <c r="BA1046" s="128">
        <f>SUM(BC1046+BF1046+BI1046)</f>
        <v>2</v>
      </c>
      <c r="BB1046" s="128">
        <f>SUM(BE1046,BH1046,BK1046)</f>
        <v>20.833333333333339</v>
      </c>
      <c r="BC1046" s="130">
        <f>IF(BD1046&gt;0,1,0)</f>
        <v>0</v>
      </c>
      <c r="BD1046" s="128">
        <f>VLOOKUP($E1046,[2]Current!$A:$AC,26,FALSE)</f>
        <v>0</v>
      </c>
      <c r="BE1046" s="128">
        <f>BD1046/$AS1046</f>
        <v>0</v>
      </c>
      <c r="BF1046" s="130">
        <f>IF(BG1046&gt;0,1,0)</f>
        <v>1</v>
      </c>
      <c r="BG1046" s="137">
        <f>VLOOKUP($E1046,[2]Current!$A:$AC,27,FALSE)</f>
        <v>2</v>
      </c>
      <c r="BH1046" s="128">
        <f>BG1046/$AS1046</f>
        <v>10.41666666666667</v>
      </c>
      <c r="BI1046" s="130">
        <f>IF(BJ1046&gt;0,1,0)</f>
        <v>1</v>
      </c>
      <c r="BJ1046" s="128">
        <f>VLOOKUP($E1046,[2]Current!$A:$AC,28,FALSE)</f>
        <v>2</v>
      </c>
      <c r="BK1046" s="128">
        <f>BJ1046/$AS1046</f>
        <v>10.41666666666667</v>
      </c>
      <c r="BL1046" s="128">
        <f>IF(BM1046&gt;0,1,0)</f>
        <v>0</v>
      </c>
      <c r="BM1046" s="128">
        <f>SUM(BR1046,BU1046,BX1046,CA1046,CD1046)</f>
        <v>0</v>
      </c>
      <c r="BN1046" s="131">
        <f>SUM(BT1046,BW1046,BZ1046,CC1046,CF1046)</f>
        <v>0</v>
      </c>
      <c r="BO1046" s="128">
        <f>IF(BP1046&gt;0,1,0)</f>
        <v>1</v>
      </c>
      <c r="BP1046" s="128">
        <f>BM1046+CJ1046</f>
        <v>1</v>
      </c>
      <c r="BQ1046" s="128">
        <f>BN1046+CL1046</f>
        <v>5.2083333333333348</v>
      </c>
      <c r="BR1046" s="130">
        <f>IF(BS1046&gt;0,1,0)</f>
        <v>0</v>
      </c>
      <c r="BS1046" s="128">
        <f>VLOOKUP($E1046,[2]Current!$A:$AC,12,FALSE)</f>
        <v>0</v>
      </c>
      <c r="BT1046" s="137">
        <f>BS1046/$AS1046</f>
        <v>0</v>
      </c>
      <c r="BU1046" s="130">
        <f>IF(BV1046&gt;0,1,0)</f>
        <v>0</v>
      </c>
      <c r="BV1046" s="128">
        <f>VLOOKUP($E1046,[2]Current!$A:$AC,13,FALSE)</f>
        <v>0</v>
      </c>
      <c r="BW1046" s="128">
        <f>BV1046/$AS1046</f>
        <v>0</v>
      </c>
      <c r="BX1046" s="130">
        <f>IF(BY1046&gt;0,1,0)</f>
        <v>0</v>
      </c>
      <c r="BY1046" s="128">
        <f>VLOOKUP($E1046,[2]Current!$A:$AC,14,FALSE)</f>
        <v>0</v>
      </c>
      <c r="BZ1046" s="128">
        <f>BY1046/$AS1046</f>
        <v>0</v>
      </c>
      <c r="CA1046" s="130">
        <f>IF(CB1046&gt;0,1,0)</f>
        <v>0</v>
      </c>
      <c r="CB1046" s="128">
        <f>VLOOKUP($E1046,[2]Current!$A:$AC,15,FALSE)</f>
        <v>0</v>
      </c>
      <c r="CC1046" s="128">
        <f>CB1046/$AS1046</f>
        <v>0</v>
      </c>
      <c r="CD1046" s="174">
        <f>IF(CE1046&gt;0,1,0)</f>
        <v>0</v>
      </c>
      <c r="CE1046" s="128">
        <f>VLOOKUP($E1046,[2]Current!$A:$AC,16,FALSE)</f>
        <v>0</v>
      </c>
      <c r="CF1046" s="128">
        <f>CE1046/$AS1046</f>
        <v>0</v>
      </c>
      <c r="CG1046" s="18"/>
      <c r="CH1046" s="18"/>
      <c r="CI1046" s="18"/>
      <c r="CJ1046" s="130">
        <f>IF(CK1046&gt;0,1,0)</f>
        <v>1</v>
      </c>
      <c r="CK1046" s="128">
        <f>VLOOKUP($E1046,[2]Current!$A:$AC,18,FALSE)</f>
        <v>1</v>
      </c>
      <c r="CL1046" s="128">
        <f>CK1046/$AS1046</f>
        <v>5.2083333333333348</v>
      </c>
      <c r="CS1046" s="130">
        <f>IF(CU1046&gt;0,1,0)</f>
        <v>0</v>
      </c>
      <c r="CU1046" s="128">
        <f>VLOOKUP($E1046,[2]Current!$A:$AC,17,FALSE)</f>
        <v>0</v>
      </c>
      <c r="CV1046" s="128">
        <f>CU1046/$AS1046</f>
        <v>0</v>
      </c>
      <c r="CW1046" s="18"/>
      <c r="CX1046" s="18"/>
      <c r="CY1046" s="18"/>
      <c r="DF1046" s="16" t="e">
        <f>VLOOKUP(K1046,'[3]RNA Seq summary tables'!$V$3:$V$99,1,FALSE)</f>
        <v>#N/A</v>
      </c>
      <c r="JR1046" s="19"/>
      <c r="JS1046" s="19"/>
      <c r="JT1046" s="19"/>
      <c r="JU1046" s="19"/>
      <c r="JV1046" s="19"/>
      <c r="JW1046" s="19"/>
      <c r="JX1046" s="19"/>
      <c r="JY1046" s="19"/>
      <c r="JZ1046" s="19"/>
      <c r="KA1046" s="19"/>
      <c r="KB1046" s="19"/>
    </row>
    <row r="1047" spans="2:288" x14ac:dyDescent="0.2">
      <c r="B1047" s="16">
        <v>2017</v>
      </c>
      <c r="C1047" s="20">
        <v>42966</v>
      </c>
      <c r="D1047" s="20" t="str">
        <f>CONCATENATE(J1047,"-",C1047)</f>
        <v>1179-42966</v>
      </c>
      <c r="E1047" s="142" t="str">
        <f>CONCATENATE(T1047,"-",U1047,"-",C1047)</f>
        <v>HW1-B4-42966</v>
      </c>
      <c r="F1047" s="20" t="s">
        <v>106</v>
      </c>
      <c r="G1047" s="20" t="s">
        <v>107</v>
      </c>
      <c r="J1047" s="21">
        <v>1179</v>
      </c>
      <c r="K1047" s="21">
        <v>2203</v>
      </c>
      <c r="L1047" s="18">
        <v>0</v>
      </c>
      <c r="M1047" s="21">
        <f>VLOOKUP($K1047,'[4]blood tubes 2017'!$D$1:$L$647,8,FALSE)</f>
        <v>0</v>
      </c>
      <c r="N1047" s="15">
        <v>0</v>
      </c>
      <c r="O1047" s="15" t="s">
        <v>214</v>
      </c>
      <c r="P1047" s="16" t="s">
        <v>110</v>
      </c>
      <c r="Q1047" s="16">
        <v>1</v>
      </c>
      <c r="R1047" s="16">
        <v>36</v>
      </c>
      <c r="T1047" s="16" t="s">
        <v>133</v>
      </c>
      <c r="U1047" s="16" t="s">
        <v>144</v>
      </c>
      <c r="V1047" s="16" t="s">
        <v>114</v>
      </c>
      <c r="W1047" s="16">
        <f>AI1047/AG1047</f>
        <v>0.79120879120879117</v>
      </c>
      <c r="X1047" s="16" t="s">
        <v>115</v>
      </c>
      <c r="Y1047" s="16" t="s">
        <v>110</v>
      </c>
      <c r="Z1047" s="16">
        <v>3</v>
      </c>
      <c r="AE1047" s="16" t="s">
        <v>116</v>
      </c>
      <c r="AF1047" s="16" t="s">
        <v>116</v>
      </c>
      <c r="AG1047" s="16">
        <f>AH1047-AI1047</f>
        <v>91</v>
      </c>
      <c r="AH1047" s="16">
        <v>163</v>
      </c>
      <c r="AI1047" s="16">
        <v>72</v>
      </c>
      <c r="AK1047" s="16">
        <v>20</v>
      </c>
      <c r="AL1047" s="16">
        <v>0</v>
      </c>
      <c r="AM1047" s="16">
        <v>0</v>
      </c>
      <c r="AN1047" s="16">
        <v>0</v>
      </c>
      <c r="AO1047" s="16">
        <v>0</v>
      </c>
      <c r="AP1047" s="16">
        <f>SUM(AL1047:AN1047)</f>
        <v>0</v>
      </c>
      <c r="AQ1047" s="16">
        <v>1.516</v>
      </c>
      <c r="AR1047" s="16">
        <f>AP1047-1.472</f>
        <v>-1.472</v>
      </c>
      <c r="AS1047" s="16">
        <f>AQ1047-1.472</f>
        <v>4.4000000000000039E-2</v>
      </c>
      <c r="AT1047" s="16" t="e">
        <f>VLOOKUP(E1047,[2]Current!$A$1:$W$435,7,FALSE)</f>
        <v>#N/A</v>
      </c>
      <c r="AU1047" s="16">
        <v>0</v>
      </c>
      <c r="AW1047" s="18"/>
      <c r="AX1047" s="18"/>
      <c r="AY1047" s="18"/>
      <c r="AZ1047" s="18"/>
      <c r="BA1047" s="18"/>
      <c r="BB1047" s="18"/>
      <c r="BC1047" s="18"/>
      <c r="BD1047" s="18"/>
      <c r="BG1047" s="77"/>
      <c r="BT1047" s="77"/>
      <c r="CD1047" s="77"/>
      <c r="DF1047" s="16" t="e">
        <f>VLOOKUP(K1047,'[3]RNA Seq summary tables'!$V$3:$V$99,1,FALSE)</f>
        <v>#N/A</v>
      </c>
      <c r="JR1047" s="30"/>
      <c r="JS1047" s="30"/>
      <c r="JT1047" s="30"/>
      <c r="JU1047" s="30"/>
      <c r="JV1047" s="30"/>
      <c r="JW1047" s="30"/>
      <c r="JX1047" s="30"/>
      <c r="JY1047" s="30"/>
      <c r="JZ1047" s="30"/>
      <c r="KA1047" s="30"/>
      <c r="KB1047" s="30"/>
    </row>
    <row r="1048" spans="2:288" x14ac:dyDescent="0.2">
      <c r="B1048" s="16">
        <v>2017</v>
      </c>
      <c r="C1048" s="20">
        <v>42914</v>
      </c>
      <c r="D1048" s="20" t="str">
        <f>CONCATENATE(J1048,"-",C1048)</f>
        <v>1181-42914</v>
      </c>
      <c r="E1048" s="20" t="str">
        <f>CONCATENATE(T1048,"-",U1048,"-",C1048)</f>
        <v>HW1-E1-42914</v>
      </c>
      <c r="F1048" s="20" t="s">
        <v>106</v>
      </c>
      <c r="G1048" s="20" t="s">
        <v>107</v>
      </c>
      <c r="I1048" s="16">
        <v>0</v>
      </c>
      <c r="J1048" s="21">
        <v>1181</v>
      </c>
      <c r="K1048" s="21">
        <v>1785</v>
      </c>
      <c r="L1048" s="18">
        <v>0</v>
      </c>
      <c r="M1048" s="21">
        <f>VLOOKUP($K1048,'[4]blood tubes 2017'!$D$1:$L$647,8,FALSE)</f>
        <v>0</v>
      </c>
      <c r="N1048" s="15">
        <v>0</v>
      </c>
      <c r="O1048" s="15" t="s">
        <v>214</v>
      </c>
      <c r="P1048" s="16" t="s">
        <v>110</v>
      </c>
      <c r="Q1048" s="16">
        <v>0</v>
      </c>
      <c r="R1048" s="16" t="s">
        <v>111</v>
      </c>
      <c r="T1048" s="16" t="s">
        <v>133</v>
      </c>
      <c r="U1048" s="16" t="s">
        <v>222</v>
      </c>
      <c r="V1048" s="16" t="s">
        <v>114</v>
      </c>
      <c r="W1048" s="16">
        <f>AI1048/AG1048</f>
        <v>0.79746835443037978</v>
      </c>
      <c r="X1048" s="16" t="s">
        <v>121</v>
      </c>
      <c r="Y1048" s="16" t="s">
        <v>122</v>
      </c>
      <c r="Z1048" s="16">
        <v>2.2999999999999998</v>
      </c>
      <c r="AA1048" s="16" t="s">
        <v>119</v>
      </c>
      <c r="AB1048" s="16" t="s">
        <v>123</v>
      </c>
      <c r="AC1048" s="16" t="s">
        <v>123</v>
      </c>
      <c r="AD1048" s="16" t="s">
        <v>123</v>
      </c>
      <c r="AG1048" s="16">
        <f>AH1048-AI1048</f>
        <v>79</v>
      </c>
      <c r="AH1048" s="16">
        <v>142</v>
      </c>
      <c r="AI1048" s="16">
        <v>63</v>
      </c>
      <c r="AK1048" s="16">
        <v>14</v>
      </c>
      <c r="AL1048" s="16">
        <v>0</v>
      </c>
      <c r="AM1048" s="16">
        <v>0</v>
      </c>
      <c r="AN1048" s="16">
        <v>0</v>
      </c>
      <c r="AO1048" s="16">
        <v>0</v>
      </c>
      <c r="AP1048" s="16">
        <f>SUM(AL1048:AN1048)</f>
        <v>0</v>
      </c>
      <c r="AQ1048" s="16">
        <v>1.7170000000000001</v>
      </c>
      <c r="AR1048" s="16">
        <f>AP1048-1.472</f>
        <v>-1.472</v>
      </c>
      <c r="AS1048" s="16">
        <f>AQ1048-1.472</f>
        <v>0.24500000000000011</v>
      </c>
      <c r="AT1048" s="16" t="s">
        <v>233</v>
      </c>
      <c r="AW1048" s="16">
        <f>IF(AX1048&gt;0,1,0)</f>
        <v>1</v>
      </c>
      <c r="AX1048" s="16">
        <f>SUM(BA1048,BM1048,CT1048)</f>
        <v>3</v>
      </c>
      <c r="AY1048" s="18">
        <f>SUM(BB1048,BN1048,CV1048)</f>
        <v>2726.5306122448965</v>
      </c>
      <c r="AZ1048" s="16">
        <v>1</v>
      </c>
      <c r="BA1048" s="16">
        <v>1</v>
      </c>
      <c r="BB1048" s="16">
        <f>SUM(BE1048,BH1048,BK1048)</f>
        <v>857.14285714285677</v>
      </c>
      <c r="BC1048" s="16">
        <v>0</v>
      </c>
      <c r="BD1048" s="16">
        <v>0</v>
      </c>
      <c r="BE1048" s="16">
        <f>BD1048/AS1048</f>
        <v>0</v>
      </c>
      <c r="BF1048" s="16">
        <v>1</v>
      </c>
      <c r="BG1048" s="77">
        <v>210</v>
      </c>
      <c r="BH1048" s="16">
        <f>BG1048/AS1048</f>
        <v>857.14285714285677</v>
      </c>
      <c r="BI1048" s="16">
        <v>0</v>
      </c>
      <c r="BJ1048" s="16">
        <v>0</v>
      </c>
      <c r="BK1048" s="16">
        <f>BJ1048/AS1048</f>
        <v>0</v>
      </c>
      <c r="BL1048" s="16">
        <f>IF(BM1048&gt;0,1,0)</f>
        <v>1</v>
      </c>
      <c r="BM1048" s="16">
        <f>SUM(BR1048,BU1048,BX1048,CA1048,CD1048,CG1048,CJ1048,CM1048,CP1048)</f>
        <v>1</v>
      </c>
      <c r="BN1048" s="16">
        <f>SUM(BW1048,BZ1048,CC1048,CF1048,CI1048,CL1048,CO1048,CR1048,BT1048)</f>
        <v>261.22448979591826</v>
      </c>
      <c r="BO1048" s="16">
        <f>IF(BP1048&gt;0,1,0)</f>
        <v>1</v>
      </c>
      <c r="BP1048" s="16">
        <f>SUM(BU1048,BX1048,CA1048,CD1048,BR1048)</f>
        <v>1</v>
      </c>
      <c r="BQ1048" s="16">
        <f>SUM(BZ1048,CC1048,CF1048,BT1048,BW1048)</f>
        <v>261.22448979591826</v>
      </c>
      <c r="BR1048" s="16">
        <v>0</v>
      </c>
      <c r="BS1048" s="16">
        <v>0</v>
      </c>
      <c r="BT1048" s="77">
        <f>BS1048/AS1048</f>
        <v>0</v>
      </c>
      <c r="BU1048" s="16">
        <v>0</v>
      </c>
      <c r="BV1048" s="16">
        <v>0</v>
      </c>
      <c r="BW1048" s="16">
        <f>BV1048/AS1048</f>
        <v>0</v>
      </c>
      <c r="BX1048" s="16">
        <v>1</v>
      </c>
      <c r="BY1048" s="16">
        <v>64</v>
      </c>
      <c r="BZ1048" s="16">
        <f>BY1048/AS1048</f>
        <v>261.22448979591826</v>
      </c>
      <c r="CA1048" s="16">
        <v>0</v>
      </c>
      <c r="CB1048" s="16">
        <v>0</v>
      </c>
      <c r="CC1048" s="16">
        <f>CB1048/AS1048</f>
        <v>0</v>
      </c>
      <c r="CD1048" s="77">
        <v>0</v>
      </c>
      <c r="CE1048" s="16">
        <v>0</v>
      </c>
      <c r="CF1048" s="16">
        <f>CE1048/AS1048</f>
        <v>0</v>
      </c>
      <c r="CG1048" s="16">
        <v>0</v>
      </c>
      <c r="CH1048" s="16">
        <v>0</v>
      </c>
      <c r="CI1048" s="16">
        <f>CH1048/AS1048</f>
        <v>0</v>
      </c>
      <c r="CM1048" s="16">
        <v>0</v>
      </c>
      <c r="CN1048" s="16">
        <v>0</v>
      </c>
      <c r="CO1048" s="16">
        <f>CN1048/AS1048</f>
        <v>0</v>
      </c>
      <c r="CP1048" s="16">
        <v>0</v>
      </c>
      <c r="CQ1048" s="16">
        <v>0</v>
      </c>
      <c r="CR1048" s="16">
        <f>CQ1048/AS1048</f>
        <v>0</v>
      </c>
      <c r="CS1048" s="16">
        <v>1</v>
      </c>
      <c r="CT1048" s="16">
        <v>1</v>
      </c>
      <c r="CV1048" s="16">
        <f>SUM(CY1048,DB1048,DE1048)</f>
        <v>1608.1632653061217</v>
      </c>
      <c r="CW1048" s="16">
        <v>1</v>
      </c>
      <c r="CX1048" s="16">
        <v>394</v>
      </c>
      <c r="CY1048" s="16">
        <f>CX1048/AS1048</f>
        <v>1608.1632653061217</v>
      </c>
      <c r="CZ1048" s="16">
        <v>0</v>
      </c>
      <c r="DA1048" s="16">
        <v>0</v>
      </c>
      <c r="DB1048" s="16">
        <f>DA1048/AS1048</f>
        <v>0</v>
      </c>
      <c r="DC1048" s="16">
        <v>0</v>
      </c>
      <c r="DD1048" s="16">
        <v>0</v>
      </c>
      <c r="DE1048" s="16">
        <f>DD1048/AS1048</f>
        <v>0</v>
      </c>
      <c r="DF1048" s="16" t="e">
        <f>VLOOKUP(K1048,'[3]RNA Seq summary tables'!$V$3:$V$99,1,FALSE)</f>
        <v>#N/A</v>
      </c>
      <c r="DI1048" s="16">
        <v>78</v>
      </c>
      <c r="DK1048" s="16">
        <v>12</v>
      </c>
      <c r="DM1048" s="16">
        <v>10</v>
      </c>
      <c r="DO1048" s="16">
        <v>0</v>
      </c>
      <c r="DQ1048" s="16">
        <v>0</v>
      </c>
      <c r="DR1048" s="16">
        <f>SUM(DI1048:DQ1048)</f>
        <v>100</v>
      </c>
      <c r="JR1048" s="27"/>
      <c r="JS1048" s="27"/>
      <c r="JT1048" s="27"/>
      <c r="JU1048" s="27"/>
      <c r="JV1048" s="27"/>
      <c r="JW1048" s="27"/>
      <c r="JX1048" s="27"/>
      <c r="JY1048" s="27"/>
      <c r="JZ1048" s="27"/>
      <c r="KA1048" s="27"/>
      <c r="KB1048" s="27"/>
    </row>
    <row r="1049" spans="2:288" x14ac:dyDescent="0.2">
      <c r="B1049" s="16">
        <v>2017</v>
      </c>
      <c r="C1049" s="20">
        <v>42930</v>
      </c>
      <c r="D1049" s="20" t="str">
        <f>CONCATENATE(J1049,"-",C1049)</f>
        <v>1181-42930</v>
      </c>
      <c r="E1049" s="142" t="str">
        <f>CONCATENATE(T1049,"-",U1049,"-",C1049)</f>
        <v>HW1-H2-42930</v>
      </c>
      <c r="F1049" s="20" t="s">
        <v>106</v>
      </c>
      <c r="G1049" s="20" t="s">
        <v>107</v>
      </c>
      <c r="J1049" s="21">
        <v>1181</v>
      </c>
      <c r="K1049" s="21">
        <v>1913</v>
      </c>
      <c r="L1049" s="18">
        <v>0</v>
      </c>
      <c r="M1049" s="21">
        <f>VLOOKUP($K1049,'[4]blood tubes 2017'!$D$1:$L$647,8,FALSE)</f>
        <v>0</v>
      </c>
      <c r="N1049" s="15">
        <v>0</v>
      </c>
      <c r="O1049" s="15" t="s">
        <v>214</v>
      </c>
      <c r="P1049" s="16" t="s">
        <v>110</v>
      </c>
      <c r="Q1049" s="16">
        <v>1</v>
      </c>
      <c r="R1049" s="16">
        <v>16</v>
      </c>
      <c r="T1049" s="16" t="s">
        <v>133</v>
      </c>
      <c r="U1049" s="16" t="s">
        <v>190</v>
      </c>
      <c r="V1049" s="16" t="s">
        <v>114</v>
      </c>
      <c r="W1049" s="16">
        <f>AI1049/AG1049</f>
        <v>0.76470588235294112</v>
      </c>
      <c r="X1049" s="16" t="s">
        <v>121</v>
      </c>
      <c r="Y1049" s="16" t="s">
        <v>110</v>
      </c>
      <c r="Z1049" s="16">
        <v>3</v>
      </c>
      <c r="AA1049" s="16" t="s">
        <v>119</v>
      </c>
      <c r="AB1049" s="16" t="s">
        <v>123</v>
      </c>
      <c r="AC1049" s="16" t="s">
        <v>123</v>
      </c>
      <c r="AD1049" s="16" t="s">
        <v>123</v>
      </c>
      <c r="AG1049" s="16">
        <f>AH1049-AI1049</f>
        <v>85</v>
      </c>
      <c r="AH1049" s="16">
        <v>150</v>
      </c>
      <c r="AI1049" s="16">
        <v>65</v>
      </c>
      <c r="AK1049" s="16">
        <v>17.5</v>
      </c>
      <c r="AL1049" s="16">
        <v>1</v>
      </c>
      <c r="AM1049" s="16">
        <v>0</v>
      </c>
      <c r="AN1049" s="16">
        <v>0</v>
      </c>
      <c r="AO1049" s="16">
        <v>1</v>
      </c>
      <c r="AP1049" s="16">
        <f>SUM(AL1049:AN1049)</f>
        <v>1</v>
      </c>
      <c r="AQ1049" s="16">
        <v>2.242</v>
      </c>
      <c r="AR1049" s="16">
        <f>AP1049-1.472</f>
        <v>-0.47199999999999998</v>
      </c>
      <c r="AS1049" s="16">
        <f>AQ1049-1.472</f>
        <v>0.77</v>
      </c>
      <c r="AT1049" s="16" t="e">
        <f>VLOOKUP(E1049,[2]Current!$A$1:$W$435,7,FALSE)</f>
        <v>#N/A</v>
      </c>
      <c r="AU1049" s="16">
        <v>0</v>
      </c>
      <c r="AW1049" s="18"/>
      <c r="AX1049" s="18"/>
      <c r="AY1049" s="18"/>
      <c r="AZ1049" s="18"/>
      <c r="BA1049" s="18"/>
      <c r="BB1049" s="18"/>
      <c r="BC1049" s="18"/>
      <c r="BD1049" s="18"/>
      <c r="BG1049" s="77"/>
      <c r="BT1049" s="77"/>
      <c r="CD1049" s="77"/>
      <c r="DF1049" s="16" t="e">
        <f>VLOOKUP(K1049,'[3]RNA Seq summary tables'!$V$3:$V$99,1,FALSE)</f>
        <v>#N/A</v>
      </c>
      <c r="JR1049" s="18"/>
      <c r="JS1049" s="18"/>
      <c r="JT1049" s="18"/>
      <c r="JU1049" s="18"/>
      <c r="JV1049" s="18"/>
      <c r="JW1049" s="18"/>
      <c r="JX1049" s="18"/>
      <c r="JY1049" s="18"/>
      <c r="JZ1049" s="18"/>
      <c r="KA1049" s="18"/>
      <c r="KB1049" s="18"/>
    </row>
    <row r="1050" spans="2:288" ht="16" x14ac:dyDescent="0.2">
      <c r="B1050" s="16">
        <v>2017</v>
      </c>
      <c r="C1050" s="20">
        <v>42966</v>
      </c>
      <c r="D1050" s="20" t="str">
        <f>CONCATENATE(J1050,"-",C1050)</f>
        <v>1181-42966</v>
      </c>
      <c r="E1050" s="37" t="str">
        <f>CONCATENATE(T1050,"-",U1050,"-",C1050)</f>
        <v>HW1-G1-42966</v>
      </c>
      <c r="F1050" s="20" t="s">
        <v>106</v>
      </c>
      <c r="G1050" s="20" t="s">
        <v>107</v>
      </c>
      <c r="I1050" s="16">
        <v>0</v>
      </c>
      <c r="J1050" s="36">
        <v>1181</v>
      </c>
      <c r="K1050" s="36">
        <v>2215</v>
      </c>
      <c r="L1050" s="18">
        <v>0</v>
      </c>
      <c r="M1050" s="36">
        <f>VLOOKUP($K1050,'[4]blood tubes 2017'!$D$1:$L$647,8,FALSE)</f>
        <v>0</v>
      </c>
      <c r="N1050" s="42">
        <v>0</v>
      </c>
      <c r="O1050" s="15" t="s">
        <v>214</v>
      </c>
      <c r="P1050" s="18" t="s">
        <v>110</v>
      </c>
      <c r="Q1050" s="18">
        <v>1</v>
      </c>
      <c r="R1050" s="18">
        <v>36</v>
      </c>
      <c r="S1050" s="18"/>
      <c r="T1050" s="18" t="s">
        <v>133</v>
      </c>
      <c r="U1050" s="18" t="s">
        <v>155</v>
      </c>
      <c r="V1050" s="18" t="s">
        <v>114</v>
      </c>
      <c r="W1050" s="16">
        <f>AI1050/AG1050</f>
        <v>1.04</v>
      </c>
      <c r="X1050" s="16" t="s">
        <v>121</v>
      </c>
      <c r="Y1050" s="16" t="s">
        <v>110</v>
      </c>
      <c r="Z1050" s="16">
        <v>3</v>
      </c>
      <c r="AA1050" s="16" t="s">
        <v>119</v>
      </c>
      <c r="AB1050" s="16" t="s">
        <v>123</v>
      </c>
      <c r="AC1050" s="16" t="s">
        <v>123</v>
      </c>
      <c r="AD1050" s="16" t="s">
        <v>123</v>
      </c>
      <c r="AG1050" s="16">
        <f>AH1050-AI1050</f>
        <v>75</v>
      </c>
      <c r="AH1050" s="16">
        <v>153</v>
      </c>
      <c r="AI1050" s="16">
        <v>78</v>
      </c>
      <c r="AK1050" s="16">
        <v>18</v>
      </c>
      <c r="AL1050" s="16">
        <v>0</v>
      </c>
      <c r="AM1050" s="16">
        <v>0</v>
      </c>
      <c r="AN1050" s="16">
        <v>0</v>
      </c>
      <c r="AO1050" s="16">
        <v>0</v>
      </c>
      <c r="AP1050" s="16">
        <f>SUM(AL1050:AN1050)</f>
        <v>0</v>
      </c>
      <c r="AQ1050" s="16">
        <v>1.698</v>
      </c>
      <c r="AR1050" s="16">
        <f>AP1050-1.472</f>
        <v>-1.472</v>
      </c>
      <c r="AS1050" s="16">
        <f>AQ1050-1.472</f>
        <v>0.22599999999999998</v>
      </c>
      <c r="AT1050" s="16" t="str">
        <f>VLOOKUP(E1050,[2]Current!$A$1:$W$435,7,FALSE)</f>
        <v>NB</v>
      </c>
      <c r="AU1050" s="16" t="s">
        <v>1288</v>
      </c>
      <c r="AW1050" s="128">
        <f>IF(AX1050&gt;0,1,0)</f>
        <v>1</v>
      </c>
      <c r="AX1050" s="128">
        <f>SUM(BA1050,BM1050,CU1050)</f>
        <v>1</v>
      </c>
      <c r="AY1050" s="128">
        <f>SUM(BB1050,BN1050,CV1050)</f>
        <v>8.8495575221238951</v>
      </c>
      <c r="AZ1050" s="128">
        <f>IF(BA1050&gt;0,1,0)</f>
        <v>0</v>
      </c>
      <c r="BA1050" s="128">
        <f>SUM(BC1050+BF1050+BI1050)</f>
        <v>0</v>
      </c>
      <c r="BB1050" s="128">
        <f>SUM(BE1050,BH1050,BK1050)</f>
        <v>0</v>
      </c>
      <c r="BC1050" s="130">
        <f>IF(BD1050&gt;0,1,0)</f>
        <v>0</v>
      </c>
      <c r="BD1050" s="128">
        <f>VLOOKUP($E1050,[2]Current!$A:$AC,26,FALSE)</f>
        <v>0</v>
      </c>
      <c r="BE1050" s="128">
        <f>BD1050/$AS1050</f>
        <v>0</v>
      </c>
      <c r="BF1050" s="130">
        <f>IF(BG1050&gt;0,1,0)</f>
        <v>0</v>
      </c>
      <c r="BG1050" s="137">
        <f>VLOOKUP($E1050,[2]Current!$A:$AC,27,FALSE)</f>
        <v>0</v>
      </c>
      <c r="BH1050" s="128">
        <f>BG1050/$AS1050</f>
        <v>0</v>
      </c>
      <c r="BI1050" s="130">
        <f>IF(BJ1050&gt;0,1,0)</f>
        <v>0</v>
      </c>
      <c r="BJ1050" s="128">
        <f>VLOOKUP($E1050,[2]Current!$A:$AC,28,FALSE)</f>
        <v>0</v>
      </c>
      <c r="BK1050" s="128">
        <f>BJ1050/$AS1050</f>
        <v>0</v>
      </c>
      <c r="BL1050" s="128">
        <f>IF(BM1050&gt;0,1,0)</f>
        <v>1</v>
      </c>
      <c r="BM1050" s="128">
        <f>SUM(BR1050,BU1050,BX1050,CA1050,CD1050)</f>
        <v>1</v>
      </c>
      <c r="BN1050" s="131">
        <f>SUM(BT1050,BW1050,BZ1050,CC1050,CF1050)</f>
        <v>8.8495575221238951</v>
      </c>
      <c r="BO1050" s="128">
        <f>IF(BP1050&gt;0,1,0)</f>
        <v>1</v>
      </c>
      <c r="BP1050" s="128">
        <f>BM1050+CJ1050</f>
        <v>1</v>
      </c>
      <c r="BQ1050" s="128">
        <f>BN1050+CL1050</f>
        <v>8.8495575221238951</v>
      </c>
      <c r="BR1050" s="130">
        <f>IF(BS1050&gt;0,1,0)</f>
        <v>0</v>
      </c>
      <c r="BS1050" s="128">
        <f>VLOOKUP($E1050,[2]Current!$A:$AC,12,FALSE)</f>
        <v>0</v>
      </c>
      <c r="BT1050" s="137">
        <f>BS1050/$AS1050</f>
        <v>0</v>
      </c>
      <c r="BU1050" s="130">
        <f>IF(BV1050&gt;0,1,0)</f>
        <v>0</v>
      </c>
      <c r="BV1050" s="128">
        <f>VLOOKUP($E1050,[2]Current!$A:$AC,13,FALSE)</f>
        <v>0</v>
      </c>
      <c r="BW1050" s="128">
        <f>BV1050/$AS1050</f>
        <v>0</v>
      </c>
      <c r="BX1050" s="130">
        <f>IF(BY1050&gt;0,1,0)</f>
        <v>0</v>
      </c>
      <c r="BY1050" s="128">
        <f>VLOOKUP($E1050,[2]Current!$A:$AC,14,FALSE)</f>
        <v>0</v>
      </c>
      <c r="BZ1050" s="128">
        <f>BY1050/$AS1050</f>
        <v>0</v>
      </c>
      <c r="CA1050" s="130">
        <f>IF(CB1050&gt;0,1,0)</f>
        <v>1</v>
      </c>
      <c r="CB1050" s="128">
        <f>VLOOKUP($E1050,[2]Current!$A:$AC,15,FALSE)</f>
        <v>2</v>
      </c>
      <c r="CC1050" s="128">
        <f>CB1050/$AS1050</f>
        <v>8.8495575221238951</v>
      </c>
      <c r="CD1050" s="174">
        <f>IF(CE1050&gt;0,1,0)</f>
        <v>0</v>
      </c>
      <c r="CE1050" s="128">
        <f>VLOOKUP($E1050,[2]Current!$A:$AC,16,FALSE)</f>
        <v>0</v>
      </c>
      <c r="CF1050" s="128">
        <f>CE1050/$AS1050</f>
        <v>0</v>
      </c>
      <c r="CG1050" s="18"/>
      <c r="CH1050" s="18"/>
      <c r="CI1050" s="18"/>
      <c r="CJ1050" s="130">
        <f>IF(CK1050&gt;0,1,0)</f>
        <v>0</v>
      </c>
      <c r="CK1050" s="128">
        <f>VLOOKUP($E1050,[2]Current!$A:$AC,18,FALSE)</f>
        <v>0</v>
      </c>
      <c r="CL1050" s="128">
        <f>CK1050/$AS1050</f>
        <v>0</v>
      </c>
      <c r="CS1050" s="130">
        <f>IF(CU1050&gt;0,1,0)</f>
        <v>0</v>
      </c>
      <c r="CT1050" s="18"/>
      <c r="CU1050" s="128">
        <f>VLOOKUP($E1050,[2]Current!$A:$AC,17,FALSE)</f>
        <v>0</v>
      </c>
      <c r="CV1050" s="128">
        <f>CU1050/$AS1050</f>
        <v>0</v>
      </c>
      <c r="CW1050" s="18"/>
      <c r="CX1050" s="18"/>
      <c r="CY1050" s="18"/>
      <c r="DF1050" s="16" t="e">
        <f>VLOOKUP(K1050,'[3]RNA Seq summary tables'!$V$3:$V$99,1,FALSE)</f>
        <v>#N/A</v>
      </c>
    </row>
    <row r="1051" spans="2:288" x14ac:dyDescent="0.2">
      <c r="B1051" s="16">
        <v>2017</v>
      </c>
      <c r="C1051" s="20">
        <v>42914</v>
      </c>
      <c r="D1051" s="20" t="str">
        <f>CONCATENATE(J1051,"-",C1051)</f>
        <v>1183-42914</v>
      </c>
      <c r="E1051" s="20" t="str">
        <f>CONCATENATE(T1051,"-",U1051,"-",C1051)</f>
        <v>HW1-G5-42914</v>
      </c>
      <c r="F1051" s="20" t="s">
        <v>106</v>
      </c>
      <c r="G1051" s="20" t="s">
        <v>107</v>
      </c>
      <c r="I1051" s="16">
        <v>0</v>
      </c>
      <c r="J1051" s="21">
        <v>1183</v>
      </c>
      <c r="K1051" s="21">
        <v>1792</v>
      </c>
      <c r="L1051" s="18">
        <v>0</v>
      </c>
      <c r="M1051" s="21">
        <f>VLOOKUP($K1051,'[4]blood tubes 2017'!$D$1:$L$647,8,FALSE)</f>
        <v>0</v>
      </c>
      <c r="N1051" s="15">
        <v>0</v>
      </c>
      <c r="O1051" s="15" t="s">
        <v>214</v>
      </c>
      <c r="P1051" s="16" t="s">
        <v>110</v>
      </c>
      <c r="Q1051" s="16">
        <v>0</v>
      </c>
      <c r="R1051" s="16" t="s">
        <v>111</v>
      </c>
      <c r="T1051" s="16" t="s">
        <v>133</v>
      </c>
      <c r="U1051" s="16" t="s">
        <v>200</v>
      </c>
      <c r="V1051" s="16" t="s">
        <v>114</v>
      </c>
      <c r="W1051" s="16">
        <f>AI1051/AG1051</f>
        <v>0.77647058823529413</v>
      </c>
      <c r="X1051" s="16" t="s">
        <v>121</v>
      </c>
      <c r="Y1051" s="16" t="s">
        <v>110</v>
      </c>
      <c r="Z1051" s="16">
        <v>3</v>
      </c>
      <c r="AA1051" s="16" t="s">
        <v>119</v>
      </c>
      <c r="AB1051" s="16" t="s">
        <v>123</v>
      </c>
      <c r="AC1051" s="16" t="s">
        <v>123</v>
      </c>
      <c r="AD1051" s="16" t="s">
        <v>123</v>
      </c>
      <c r="AG1051" s="16">
        <f>AH1051-AI1051</f>
        <v>85</v>
      </c>
      <c r="AH1051" s="16">
        <v>151</v>
      </c>
      <c r="AI1051" s="16">
        <v>66</v>
      </c>
      <c r="AK1051" s="16">
        <v>15</v>
      </c>
      <c r="AL1051" s="16">
        <v>0</v>
      </c>
      <c r="AM1051" s="16">
        <v>0</v>
      </c>
      <c r="AN1051" s="16">
        <v>0</v>
      </c>
      <c r="AO1051" s="16">
        <v>0</v>
      </c>
      <c r="AP1051" s="16">
        <f>SUM(AL1051:AN1051)</f>
        <v>0</v>
      </c>
      <c r="AQ1051" s="16">
        <v>1.8220000000000001</v>
      </c>
      <c r="AR1051" s="16">
        <f>AP1051-1.472</f>
        <v>-1.472</v>
      </c>
      <c r="AS1051" s="16">
        <f>AQ1051-1.472</f>
        <v>0.35000000000000009</v>
      </c>
      <c r="AT1051" s="16" t="s">
        <v>233</v>
      </c>
      <c r="AW1051" s="16">
        <f>IF(AX1051&gt;0,1,0)</f>
        <v>1</v>
      </c>
      <c r="AX1051" s="16">
        <f>SUM(BA1051,BM1051,CT1051)</f>
        <v>2</v>
      </c>
      <c r="AY1051" s="18">
        <f>SUM(BB1051,BN1051,CV1051)</f>
        <v>13245.714285714283</v>
      </c>
      <c r="AZ1051" s="16">
        <v>1</v>
      </c>
      <c r="BA1051" s="16">
        <v>1</v>
      </c>
      <c r="BB1051" s="16">
        <f>SUM(BE1051,BH1051,BK1051)</f>
        <v>12594.285714285712</v>
      </c>
      <c r="BC1051" s="16">
        <v>0</v>
      </c>
      <c r="BD1051" s="16">
        <v>0</v>
      </c>
      <c r="BE1051" s="16">
        <f>BD1051/AS1051</f>
        <v>0</v>
      </c>
      <c r="BF1051" s="16">
        <v>1</v>
      </c>
      <c r="BG1051" s="77">
        <v>4408</v>
      </c>
      <c r="BH1051" s="16">
        <f>BG1051/AS1051</f>
        <v>12594.285714285712</v>
      </c>
      <c r="BI1051" s="16">
        <v>0</v>
      </c>
      <c r="BJ1051" s="16">
        <v>0</v>
      </c>
      <c r="BK1051" s="16">
        <f>BJ1051/AS1051</f>
        <v>0</v>
      </c>
      <c r="BL1051" s="16">
        <f>IF(BM1051&gt;0,1,0)</f>
        <v>1</v>
      </c>
      <c r="BM1051" s="16">
        <f>SUM(BR1051,BU1051,BX1051,CA1051,CD1051,CG1051,CJ1051,CM1051,CP1051)</f>
        <v>1</v>
      </c>
      <c r="BN1051" s="16">
        <f>SUM(BW1051,BZ1051,CC1051,CF1051,CI1051,CL1051,CO1051,CR1051,BT1051)</f>
        <v>651.42857142857122</v>
      </c>
      <c r="BO1051" s="16">
        <f>IF(BP1051&gt;0,1,0)</f>
        <v>0</v>
      </c>
      <c r="BP1051" s="16">
        <f>SUM(BU1051,BX1051,CA1051,CD1051,BR1051)</f>
        <v>0</v>
      </c>
      <c r="BQ1051" s="16">
        <f>SUM(BZ1051,CC1051,CF1051,BT1051,BW1051)</f>
        <v>0</v>
      </c>
      <c r="BR1051" s="16">
        <v>0</v>
      </c>
      <c r="BS1051" s="16">
        <v>0</v>
      </c>
      <c r="BT1051" s="77">
        <f>BS1051/AS1051</f>
        <v>0</v>
      </c>
      <c r="BU1051" s="16">
        <v>0</v>
      </c>
      <c r="BV1051" s="16">
        <v>0</v>
      </c>
      <c r="BW1051" s="16">
        <f>BV1051/AS1051</f>
        <v>0</v>
      </c>
      <c r="BX1051" s="16">
        <v>0</v>
      </c>
      <c r="BY1051" s="16">
        <v>0</v>
      </c>
      <c r="BZ1051" s="16">
        <f>BY1051/AS1051</f>
        <v>0</v>
      </c>
      <c r="CA1051" s="16">
        <v>0</v>
      </c>
      <c r="CB1051" s="16">
        <v>0</v>
      </c>
      <c r="CC1051" s="16">
        <f>CB1051/AS1051</f>
        <v>0</v>
      </c>
      <c r="CD1051" s="77">
        <v>0</v>
      </c>
      <c r="CE1051" s="16">
        <v>0</v>
      </c>
      <c r="CF1051" s="16">
        <f>CE1051/AS1051</f>
        <v>0</v>
      </c>
      <c r="CG1051" s="16">
        <v>1</v>
      </c>
      <c r="CH1051" s="16">
        <v>228</v>
      </c>
      <c r="CI1051" s="16">
        <f>CH1051/AS1051</f>
        <v>651.42857142857122</v>
      </c>
      <c r="CM1051" s="16">
        <v>0</v>
      </c>
      <c r="CN1051" s="16">
        <v>0</v>
      </c>
      <c r="CO1051" s="16">
        <v>0</v>
      </c>
      <c r="CP1051" s="16">
        <v>0</v>
      </c>
      <c r="CQ1051" s="16">
        <v>0</v>
      </c>
      <c r="CR1051" s="16">
        <f>CQ1051/AS1051</f>
        <v>0</v>
      </c>
      <c r="CS1051" s="16">
        <v>0</v>
      </c>
      <c r="CT1051" s="16">
        <v>0</v>
      </c>
      <c r="CV1051" s="16">
        <f>SUM(CY1051,DB1051,DE1051)</f>
        <v>0</v>
      </c>
      <c r="CW1051" s="16">
        <v>0</v>
      </c>
      <c r="CX1051" s="16">
        <v>0</v>
      </c>
      <c r="CY1051" s="16">
        <f>CX1051/AS1051</f>
        <v>0</v>
      </c>
      <c r="CZ1051" s="16">
        <v>0</v>
      </c>
      <c r="DA1051" s="16">
        <v>0</v>
      </c>
      <c r="DB1051" s="16">
        <f>DA1051/AS1051</f>
        <v>0</v>
      </c>
      <c r="DC1051" s="16">
        <v>0</v>
      </c>
      <c r="DD1051" s="16">
        <v>0</v>
      </c>
      <c r="DE1051" s="16">
        <f>DD1051/AS1051</f>
        <v>0</v>
      </c>
      <c r="DF1051" s="16" t="e">
        <f>VLOOKUP(K1051,'[3]RNA Seq summary tables'!$V$3:$V$99,1,FALSE)</f>
        <v>#N/A</v>
      </c>
      <c r="DI1051" s="16">
        <v>78</v>
      </c>
      <c r="DK1051" s="16">
        <v>21</v>
      </c>
      <c r="DM1051" s="16">
        <v>1</v>
      </c>
      <c r="DO1051" s="16">
        <v>0</v>
      </c>
      <c r="DQ1051" s="16">
        <v>0</v>
      </c>
      <c r="DR1051" s="16">
        <f>SUM(DI1051:DQ1051)</f>
        <v>100</v>
      </c>
      <c r="JR1051" s="27"/>
      <c r="JS1051" s="27"/>
      <c r="JT1051" s="27"/>
      <c r="JU1051" s="27"/>
      <c r="JV1051" s="27"/>
      <c r="JW1051" s="27"/>
      <c r="JX1051" s="27"/>
      <c r="JY1051" s="27"/>
      <c r="JZ1051" s="27"/>
      <c r="KA1051" s="27"/>
      <c r="KB1051" s="27"/>
    </row>
    <row r="1052" spans="2:288" ht="16" x14ac:dyDescent="0.2">
      <c r="B1052" s="16">
        <v>2017</v>
      </c>
      <c r="C1052" s="20">
        <v>42930</v>
      </c>
      <c r="D1052" s="20" t="str">
        <f>CONCATENATE(J1052,"-",C1052)</f>
        <v>1183-42930</v>
      </c>
      <c r="E1052" s="37" t="str">
        <f>CONCATENATE(T1052,"-",U1052,"-",C1052)</f>
        <v>HW1-F5-42930</v>
      </c>
      <c r="F1052" s="20" t="s">
        <v>106</v>
      </c>
      <c r="G1052" s="20" t="s">
        <v>107</v>
      </c>
      <c r="I1052" s="16">
        <v>0</v>
      </c>
      <c r="J1052" s="21">
        <v>1183</v>
      </c>
      <c r="K1052" s="21">
        <v>1909</v>
      </c>
      <c r="L1052" s="18">
        <v>0</v>
      </c>
      <c r="M1052" s="21">
        <f>VLOOKUP($K1052,'[4]blood tubes 2017'!$D$1:$L$647,8,FALSE)</f>
        <v>0</v>
      </c>
      <c r="N1052" s="15">
        <v>0</v>
      </c>
      <c r="O1052" s="15" t="s">
        <v>214</v>
      </c>
      <c r="P1052" s="16" t="s">
        <v>110</v>
      </c>
      <c r="Q1052" s="16">
        <v>1</v>
      </c>
      <c r="R1052" s="16">
        <v>16</v>
      </c>
      <c r="T1052" s="16" t="s">
        <v>133</v>
      </c>
      <c r="U1052" s="16" t="s">
        <v>185</v>
      </c>
      <c r="V1052" s="16" t="s">
        <v>114</v>
      </c>
      <c r="W1052" s="16">
        <f>AI1052/AG1052</f>
        <v>0.76136363636363635</v>
      </c>
      <c r="X1052" s="16" t="s">
        <v>121</v>
      </c>
      <c r="Y1052" s="16" t="s">
        <v>110</v>
      </c>
      <c r="Z1052" s="16">
        <v>3</v>
      </c>
      <c r="AA1052" s="16" t="s">
        <v>161</v>
      </c>
      <c r="AB1052" s="16" t="s">
        <v>123</v>
      </c>
      <c r="AC1052" s="16" t="s">
        <v>123</v>
      </c>
      <c r="AD1052" s="16" t="s">
        <v>116</v>
      </c>
      <c r="AG1052" s="16">
        <f>AH1052-AI1052</f>
        <v>88</v>
      </c>
      <c r="AH1052" s="16">
        <v>155</v>
      </c>
      <c r="AI1052" s="16">
        <v>67</v>
      </c>
      <c r="AK1052" s="16">
        <v>17</v>
      </c>
      <c r="AL1052" s="16">
        <v>0</v>
      </c>
      <c r="AM1052" s="16">
        <v>0</v>
      </c>
      <c r="AN1052" s="16">
        <v>0</v>
      </c>
      <c r="AO1052" s="16">
        <v>0</v>
      </c>
      <c r="AP1052" s="16">
        <f>SUM(AL1052:AN1052)</f>
        <v>0</v>
      </c>
      <c r="AQ1052" s="16">
        <v>2.399</v>
      </c>
      <c r="AR1052" s="16">
        <f>AP1052-1.472</f>
        <v>-1.472</v>
      </c>
      <c r="AS1052" s="16">
        <f>AQ1052-1.472</f>
        <v>0.92700000000000005</v>
      </c>
      <c r="AT1052" s="16" t="str">
        <f>VLOOKUP(E1052,[2]Current!$A$1:$W$435,7,FALSE)</f>
        <v>JY</v>
      </c>
      <c r="AU1052" s="16" t="s">
        <v>1288</v>
      </c>
      <c r="AV1052" s="23">
        <v>1</v>
      </c>
      <c r="AW1052" s="128">
        <f>IF(AX1052&gt;0,1,0)</f>
        <v>0</v>
      </c>
      <c r="AX1052" s="128">
        <f>SUM(BA1052,BM1052,CU1052)</f>
        <v>0</v>
      </c>
      <c r="AY1052" s="128">
        <f>SUM(BB1052,BN1052,CV1052)</f>
        <v>0</v>
      </c>
      <c r="AZ1052" s="128">
        <f>IF(BA1052&gt;0,1,0)</f>
        <v>0</v>
      </c>
      <c r="BA1052" s="128">
        <f>SUM(BC1052+BF1052+BI1052)</f>
        <v>0</v>
      </c>
      <c r="BB1052" s="128">
        <f>SUM(BE1052,BH1052,BK1052)</f>
        <v>0</v>
      </c>
      <c r="BC1052" s="130">
        <f>IF(BD1052&gt;0,1,0)</f>
        <v>0</v>
      </c>
      <c r="BD1052" s="128">
        <f>VLOOKUP($E1052,[2]Current!$A:$AC,26,FALSE)</f>
        <v>0</v>
      </c>
      <c r="BE1052" s="128">
        <f>BD1052/$AS1052</f>
        <v>0</v>
      </c>
      <c r="BF1052" s="130">
        <f>IF(BG1052&gt;0,1,0)</f>
        <v>0</v>
      </c>
      <c r="BG1052" s="137">
        <f>VLOOKUP($E1052,[2]Current!$A:$AC,27,FALSE)</f>
        <v>0</v>
      </c>
      <c r="BH1052" s="128">
        <f>BG1052/$AS1052</f>
        <v>0</v>
      </c>
      <c r="BI1052" s="130">
        <f>IF(BJ1052&gt;0,1,0)</f>
        <v>0</v>
      </c>
      <c r="BJ1052" s="128">
        <f>VLOOKUP($E1052,[2]Current!$A:$AC,28,FALSE)</f>
        <v>0</v>
      </c>
      <c r="BK1052" s="128">
        <f>BJ1052/$AS1052</f>
        <v>0</v>
      </c>
      <c r="BL1052" s="128">
        <f>IF(BM1052&gt;0,1,0)</f>
        <v>0</v>
      </c>
      <c r="BM1052" s="128">
        <f>SUM(BR1052,BU1052,BX1052,CA1052,CD1052)</f>
        <v>0</v>
      </c>
      <c r="BN1052" s="131">
        <f>SUM(BT1052,BW1052,BZ1052,CC1052,CF1052)</f>
        <v>0</v>
      </c>
      <c r="BO1052" s="128">
        <f>IF(BP1052&gt;0,1,0)</f>
        <v>0</v>
      </c>
      <c r="BP1052" s="128">
        <f>BM1052+CJ1052</f>
        <v>0</v>
      </c>
      <c r="BQ1052" s="128">
        <f>BN1052+CL1052</f>
        <v>0</v>
      </c>
      <c r="BR1052" s="130">
        <f>IF(BS1052&gt;0,1,0)</f>
        <v>0</v>
      </c>
      <c r="BS1052" s="128">
        <f>VLOOKUP($E1052,[2]Current!$A:$AC,12,FALSE)</f>
        <v>0</v>
      </c>
      <c r="BT1052" s="137">
        <f>BS1052/$AS1052</f>
        <v>0</v>
      </c>
      <c r="BU1052" s="130">
        <f>IF(BV1052&gt;0,1,0)</f>
        <v>0</v>
      </c>
      <c r="BV1052" s="128">
        <f>VLOOKUP($E1052,[2]Current!$A:$AC,13,FALSE)</f>
        <v>0</v>
      </c>
      <c r="BW1052" s="128">
        <f>BV1052/$AS1052</f>
        <v>0</v>
      </c>
      <c r="BX1052" s="130">
        <f>IF(BY1052&gt;0,1,0)</f>
        <v>0</v>
      </c>
      <c r="BY1052" s="128">
        <f>VLOOKUP($E1052,[2]Current!$A:$AC,14,FALSE)</f>
        <v>0</v>
      </c>
      <c r="BZ1052" s="128">
        <f>BY1052/$AS1052</f>
        <v>0</v>
      </c>
      <c r="CA1052" s="130">
        <f>IF(CB1052&gt;0,1,0)</f>
        <v>0</v>
      </c>
      <c r="CB1052" s="128">
        <f>VLOOKUP($E1052,[2]Current!$A:$AC,15,FALSE)</f>
        <v>0</v>
      </c>
      <c r="CC1052" s="128">
        <f>CB1052/$AS1052</f>
        <v>0</v>
      </c>
      <c r="CD1052" s="174">
        <f>IF(CE1052&gt;0,1,0)</f>
        <v>0</v>
      </c>
      <c r="CE1052" s="128">
        <f>VLOOKUP($E1052,[2]Current!$A:$AC,16,FALSE)</f>
        <v>0</v>
      </c>
      <c r="CF1052" s="128">
        <f>CE1052/$AS1052</f>
        <v>0</v>
      </c>
      <c r="CG1052" s="18"/>
      <c r="CH1052" s="18"/>
      <c r="CI1052" s="18"/>
      <c r="CJ1052" s="130">
        <f>IF(CK1052&gt;0,1,0)</f>
        <v>0</v>
      </c>
      <c r="CK1052" s="128">
        <f>VLOOKUP($E1052,[2]Current!$A:$AC,18,FALSE)</f>
        <v>0</v>
      </c>
      <c r="CL1052" s="128">
        <f>CK1052/$AS1052</f>
        <v>0</v>
      </c>
      <c r="CS1052" s="130">
        <f>IF(CU1052&gt;0,1,0)</f>
        <v>0</v>
      </c>
      <c r="CU1052" s="128">
        <f>VLOOKUP($E1052,[2]Current!$A:$AC,17,FALSE)</f>
        <v>0</v>
      </c>
      <c r="CV1052" s="128">
        <f>CU1052/$AS1052</f>
        <v>0</v>
      </c>
      <c r="CW1052" s="18"/>
      <c r="CX1052" s="18"/>
      <c r="CY1052" s="18"/>
      <c r="DF1052" s="16" t="e">
        <f>VLOOKUP(K1052,'[3]RNA Seq summary tables'!$V$3:$V$99,1,FALSE)</f>
        <v>#N/A</v>
      </c>
      <c r="JR1052" s="26"/>
      <c r="JS1052" s="26"/>
      <c r="JT1052" s="26"/>
      <c r="JU1052" s="26"/>
      <c r="JV1052" s="26"/>
      <c r="JW1052" s="26"/>
      <c r="JX1052" s="26"/>
      <c r="JY1052" s="26"/>
      <c r="JZ1052" s="26"/>
      <c r="KA1052" s="26"/>
      <c r="KB1052" s="26"/>
    </row>
    <row r="1053" spans="2:288" ht="16" x14ac:dyDescent="0.2">
      <c r="B1053" s="16">
        <v>2017</v>
      </c>
      <c r="C1053" s="20">
        <v>42948</v>
      </c>
      <c r="D1053" s="20" t="str">
        <f>CONCATENATE(J1053,"-",C1053)</f>
        <v>1183-42948</v>
      </c>
      <c r="E1053" s="37" t="str">
        <f>CONCATENATE(T1053,"-",U1053,"-",C1053)</f>
        <v>HW1-F4-42948</v>
      </c>
      <c r="F1053" s="20" t="s">
        <v>106</v>
      </c>
      <c r="G1053" s="20" t="s">
        <v>107</v>
      </c>
      <c r="I1053" s="16">
        <v>0</v>
      </c>
      <c r="J1053" s="21">
        <v>1183</v>
      </c>
      <c r="K1053" s="21">
        <v>2054</v>
      </c>
      <c r="L1053" s="18">
        <v>0</v>
      </c>
      <c r="M1053" s="21">
        <f>VLOOKUP($K1053,'[4]blood tubes 2017'!$D$1:$L$647,8,FALSE)</f>
        <v>0</v>
      </c>
      <c r="N1053" s="15">
        <v>0</v>
      </c>
      <c r="O1053" s="15" t="s">
        <v>214</v>
      </c>
      <c r="P1053" s="16" t="s">
        <v>110</v>
      </c>
      <c r="Q1053" s="16">
        <v>1</v>
      </c>
      <c r="R1053" s="16">
        <v>18</v>
      </c>
      <c r="T1053" s="16" t="s">
        <v>133</v>
      </c>
      <c r="U1053" s="16" t="s">
        <v>184</v>
      </c>
      <c r="V1053" s="16" t="s">
        <v>114</v>
      </c>
      <c r="W1053" s="16">
        <f>AI1053/AG1053</f>
        <v>0.75824175824175821</v>
      </c>
      <c r="X1053" s="16" t="s">
        <v>121</v>
      </c>
      <c r="Y1053" s="16" t="s">
        <v>110</v>
      </c>
      <c r="Z1053" s="16">
        <v>3</v>
      </c>
      <c r="AA1053" s="16" t="s">
        <v>161</v>
      </c>
      <c r="AB1053" s="16" t="s">
        <v>123</v>
      </c>
      <c r="AC1053" s="16" t="s">
        <v>123</v>
      </c>
      <c r="AD1053" s="16" t="s">
        <v>116</v>
      </c>
      <c r="AG1053" s="16">
        <f>AH1053-AI1053</f>
        <v>91</v>
      </c>
      <c r="AH1053" s="16">
        <v>160</v>
      </c>
      <c r="AI1053" s="16">
        <v>69</v>
      </c>
      <c r="AK1053" s="16">
        <v>19.5</v>
      </c>
      <c r="AL1053" s="16">
        <v>0</v>
      </c>
      <c r="AM1053" s="16">
        <v>0</v>
      </c>
      <c r="AN1053" s="16">
        <v>0</v>
      </c>
      <c r="AO1053" s="16">
        <v>0</v>
      </c>
      <c r="AP1053" s="16">
        <f>SUM(AL1053:AN1053)</f>
        <v>0</v>
      </c>
      <c r="AQ1053" s="16">
        <v>1.89</v>
      </c>
      <c r="AR1053" s="16">
        <f>AP1053-1.472</f>
        <v>-1.472</v>
      </c>
      <c r="AS1053" s="16">
        <f>AQ1053-1.472</f>
        <v>0.41799999999999993</v>
      </c>
      <c r="AT1053" s="16" t="str">
        <f>VLOOKUP(E1053,[2]Current!$A$1:$W$435,7,FALSE)</f>
        <v>TE</v>
      </c>
      <c r="AU1053" s="16" t="s">
        <v>1288</v>
      </c>
      <c r="AW1053" s="128">
        <f>IF(AX1053&gt;0,1,0)</f>
        <v>1</v>
      </c>
      <c r="AX1053" s="128">
        <f>SUM(BA1053,BM1053,CU1053)</f>
        <v>3</v>
      </c>
      <c r="AY1053" s="128">
        <f>SUM(BB1053,BN1053,CV1053)</f>
        <v>492.82296650717711</v>
      </c>
      <c r="AZ1053" s="128">
        <f>IF(BA1053&gt;0,1,0)</f>
        <v>1</v>
      </c>
      <c r="BA1053" s="128">
        <f>SUM(BC1053+BF1053+BI1053)</f>
        <v>3</v>
      </c>
      <c r="BB1053" s="128">
        <f>SUM(BE1053,BH1053,BK1053)</f>
        <v>492.82296650717711</v>
      </c>
      <c r="BC1053" s="130">
        <f>IF(BD1053&gt;0,1,0)</f>
        <v>1</v>
      </c>
      <c r="BD1053" s="128">
        <f>VLOOKUP($E1053,[2]Current!$A:$AC,26,FALSE)</f>
        <v>6</v>
      </c>
      <c r="BE1053" s="128">
        <f>BD1053/$AS1053</f>
        <v>14.354066985645936</v>
      </c>
      <c r="BF1053" s="130">
        <f>IF(BG1053&gt;0,1,0)</f>
        <v>1</v>
      </c>
      <c r="BG1053" s="137">
        <f>VLOOKUP($E1053,[2]Current!$A:$AC,27,FALSE)</f>
        <v>48</v>
      </c>
      <c r="BH1053" s="128">
        <f>BG1053/$AS1053</f>
        <v>114.83253588516749</v>
      </c>
      <c r="BI1053" s="130">
        <f>IF(BJ1053&gt;0,1,0)</f>
        <v>1</v>
      </c>
      <c r="BJ1053" s="128">
        <f>VLOOKUP($E1053,[2]Current!$A:$AC,28,FALSE)</f>
        <v>152</v>
      </c>
      <c r="BK1053" s="128">
        <f>BJ1053/$AS1053</f>
        <v>363.63636363636368</v>
      </c>
      <c r="BL1053" s="128">
        <f>IF(BM1053&gt;0,1,0)</f>
        <v>0</v>
      </c>
      <c r="BM1053" s="128">
        <f>SUM(BR1053,BU1053,BX1053,CA1053,CD1053)</f>
        <v>0</v>
      </c>
      <c r="BN1053" s="131">
        <f>SUM(BT1053,BW1053,BZ1053,CC1053,CF1053)</f>
        <v>0</v>
      </c>
      <c r="BO1053" s="128">
        <f>IF(BP1053&gt;0,1,0)</f>
        <v>0</v>
      </c>
      <c r="BP1053" s="128">
        <f>BM1053+CJ1053</f>
        <v>0</v>
      </c>
      <c r="BQ1053" s="128">
        <f>BN1053+CL1053</f>
        <v>0</v>
      </c>
      <c r="BR1053" s="130">
        <f>IF(BS1053&gt;0,1,0)</f>
        <v>0</v>
      </c>
      <c r="BS1053" s="128">
        <f>VLOOKUP($E1053,[2]Current!$A:$AC,12,FALSE)</f>
        <v>0</v>
      </c>
      <c r="BT1053" s="137">
        <f>BS1053/$AS1053</f>
        <v>0</v>
      </c>
      <c r="BU1053" s="130">
        <f>IF(BV1053&gt;0,1,0)</f>
        <v>0</v>
      </c>
      <c r="BV1053" s="128">
        <f>VLOOKUP($E1053,[2]Current!$A:$AC,13,FALSE)</f>
        <v>0</v>
      </c>
      <c r="BW1053" s="128">
        <f>BV1053/$AS1053</f>
        <v>0</v>
      </c>
      <c r="BX1053" s="130">
        <f>IF(BY1053&gt;0,1,0)</f>
        <v>0</v>
      </c>
      <c r="BY1053" s="128">
        <f>VLOOKUP($E1053,[2]Current!$A:$AC,14,FALSE)</f>
        <v>0</v>
      </c>
      <c r="BZ1053" s="128">
        <f>BY1053/$AS1053</f>
        <v>0</v>
      </c>
      <c r="CA1053" s="130">
        <f>IF(CB1053&gt;0,1,0)</f>
        <v>0</v>
      </c>
      <c r="CB1053" s="128">
        <f>VLOOKUP($E1053,[2]Current!$A:$AC,15,FALSE)</f>
        <v>0</v>
      </c>
      <c r="CC1053" s="128">
        <f>CB1053/$AS1053</f>
        <v>0</v>
      </c>
      <c r="CD1053" s="174">
        <f>IF(CE1053&gt;0,1,0)</f>
        <v>0</v>
      </c>
      <c r="CE1053" s="128">
        <f>VLOOKUP($E1053,[2]Current!$A:$AC,16,FALSE)</f>
        <v>0</v>
      </c>
      <c r="CF1053" s="128">
        <f>CE1053/$AS1053</f>
        <v>0</v>
      </c>
      <c r="CG1053" s="18"/>
      <c r="CH1053" s="18"/>
      <c r="CI1053" s="18"/>
      <c r="CJ1053" s="130">
        <f>IF(CK1053&gt;0,1,0)</f>
        <v>0</v>
      </c>
      <c r="CK1053" s="128">
        <f>VLOOKUP($E1053,[2]Current!$A:$AC,18,FALSE)</f>
        <v>0</v>
      </c>
      <c r="CL1053" s="128">
        <f>CK1053/$AS1053</f>
        <v>0</v>
      </c>
      <c r="CS1053" s="130">
        <f>IF(CU1053&gt;0,1,0)</f>
        <v>0</v>
      </c>
      <c r="CU1053" s="128">
        <f>VLOOKUP($E1053,[2]Current!$A:$AC,17,FALSE)</f>
        <v>0</v>
      </c>
      <c r="CV1053" s="128">
        <f>CU1053/$AS1053</f>
        <v>0</v>
      </c>
      <c r="CW1053" s="18"/>
      <c r="CX1053" s="18"/>
      <c r="CY1053" s="18"/>
      <c r="DF1053" s="16" t="e">
        <f>VLOOKUP(K1053,'[3]RNA Seq summary tables'!$V$3:$V$99,1,FALSE)</f>
        <v>#N/A</v>
      </c>
    </row>
    <row r="1054" spans="2:288" ht="16" x14ac:dyDescent="0.2">
      <c r="B1054" s="16">
        <v>2017</v>
      </c>
      <c r="C1054" s="20">
        <v>42966</v>
      </c>
      <c r="D1054" s="20" t="str">
        <f>CONCATENATE(J1054,"-",C1054)</f>
        <v>1183-42966</v>
      </c>
      <c r="E1054" s="37" t="str">
        <f>CONCATENATE(T1054,"-",U1054,"-",C1054)</f>
        <v>HW1-F4-42966</v>
      </c>
      <c r="F1054" s="20" t="s">
        <v>106</v>
      </c>
      <c r="G1054" s="20" t="s">
        <v>107</v>
      </c>
      <c r="I1054" s="16">
        <v>0</v>
      </c>
      <c r="J1054" s="21">
        <v>1183</v>
      </c>
      <c r="K1054" s="21">
        <v>2213</v>
      </c>
      <c r="L1054" s="18">
        <v>0</v>
      </c>
      <c r="M1054" s="21">
        <f>VLOOKUP($K1054,'[4]blood tubes 2017'!$D$1:$L$647,8,FALSE)</f>
        <v>0</v>
      </c>
      <c r="N1054" s="15">
        <v>0</v>
      </c>
      <c r="O1054" s="15" t="s">
        <v>214</v>
      </c>
      <c r="P1054" s="16" t="s">
        <v>110</v>
      </c>
      <c r="Q1054" s="16">
        <v>1</v>
      </c>
      <c r="R1054" s="16">
        <v>18</v>
      </c>
      <c r="T1054" s="16" t="s">
        <v>133</v>
      </c>
      <c r="U1054" s="16" t="s">
        <v>184</v>
      </c>
      <c r="V1054" s="16" t="s">
        <v>114</v>
      </c>
      <c r="W1054" s="16">
        <f>AI1054/AG1054</f>
        <v>0.82954545454545459</v>
      </c>
      <c r="X1054" s="16" t="s">
        <v>121</v>
      </c>
      <c r="Y1054" s="16" t="s">
        <v>110</v>
      </c>
      <c r="Z1054" s="16">
        <v>3</v>
      </c>
      <c r="AA1054" s="16" t="s">
        <v>119</v>
      </c>
      <c r="AB1054" s="16" t="s">
        <v>123</v>
      </c>
      <c r="AC1054" s="16" t="s">
        <v>123</v>
      </c>
      <c r="AD1054" s="16" t="s">
        <v>123</v>
      </c>
      <c r="AG1054" s="16">
        <f>AH1054-AI1054</f>
        <v>88</v>
      </c>
      <c r="AH1054" s="16">
        <v>161</v>
      </c>
      <c r="AI1054" s="16">
        <v>73</v>
      </c>
      <c r="AK1054" s="16">
        <v>22</v>
      </c>
      <c r="AL1054" s="16">
        <v>0</v>
      </c>
      <c r="AM1054" s="16">
        <v>0</v>
      </c>
      <c r="AN1054" s="16">
        <v>0</v>
      </c>
      <c r="AO1054" s="16">
        <v>0</v>
      </c>
      <c r="AP1054" s="16">
        <f>SUM(AL1054:AN1054)</f>
        <v>0</v>
      </c>
      <c r="AQ1054" s="16">
        <v>1.8680000000000001</v>
      </c>
      <c r="AR1054" s="16">
        <f>AP1054-1.472</f>
        <v>-1.472</v>
      </c>
      <c r="AS1054" s="16">
        <f>AQ1054-1.472</f>
        <v>0.39600000000000013</v>
      </c>
      <c r="AT1054" s="16" t="str">
        <f>VLOOKUP(E1054,[2]Current!$A$1:$W$435,7,FALSE)</f>
        <v>NB</v>
      </c>
      <c r="AU1054" s="16" t="s">
        <v>1288</v>
      </c>
      <c r="AW1054" s="128">
        <f>IF(AX1054&gt;0,1,0)</f>
        <v>1</v>
      </c>
      <c r="AX1054" s="128">
        <f>SUM(BA1054,BM1054,CU1054)</f>
        <v>2</v>
      </c>
      <c r="AY1054" s="128">
        <f>SUM(BB1054,BN1054,CV1054)</f>
        <v>7749.9999999999973</v>
      </c>
      <c r="AZ1054" s="128">
        <f>IF(BA1054&gt;0,1,0)</f>
        <v>1</v>
      </c>
      <c r="BA1054" s="128">
        <f>SUM(BC1054+BF1054+BI1054)</f>
        <v>1</v>
      </c>
      <c r="BB1054" s="128">
        <f>SUM(BE1054,BH1054,BK1054)</f>
        <v>7747.4747474747446</v>
      </c>
      <c r="BC1054" s="130">
        <f>IF(BD1054&gt;0,1,0)</f>
        <v>1</v>
      </c>
      <c r="BD1054" s="128">
        <f>VLOOKUP($E1054,[2]Current!$A:$AC,26,FALSE)</f>
        <v>3068</v>
      </c>
      <c r="BE1054" s="128">
        <f>BD1054/$AS1054</f>
        <v>7747.4747474747446</v>
      </c>
      <c r="BF1054" s="130">
        <f>IF(BG1054&gt;0,1,0)</f>
        <v>0</v>
      </c>
      <c r="BG1054" s="137">
        <f>VLOOKUP($E1054,[2]Current!$A:$AC,27,FALSE)</f>
        <v>0</v>
      </c>
      <c r="BH1054" s="128">
        <f>BG1054/$AS1054</f>
        <v>0</v>
      </c>
      <c r="BI1054" s="130">
        <f>IF(BJ1054&gt;0,1,0)</f>
        <v>0</v>
      </c>
      <c r="BJ1054" s="128">
        <f>VLOOKUP($E1054,[2]Current!$A:$AC,28,FALSE)</f>
        <v>0</v>
      </c>
      <c r="BK1054" s="128">
        <f>BJ1054/$AS1054</f>
        <v>0</v>
      </c>
      <c r="BL1054" s="128">
        <f>IF(BM1054&gt;0,1,0)</f>
        <v>1</v>
      </c>
      <c r="BM1054" s="128">
        <f>SUM(BR1054,BU1054,BX1054,CA1054,CD1054)</f>
        <v>1</v>
      </c>
      <c r="BN1054" s="131">
        <f>SUM(BT1054,BW1054,BZ1054,CC1054,CF1054)</f>
        <v>2.5252525252525246</v>
      </c>
      <c r="BO1054" s="128">
        <f>IF(BP1054&gt;0,1,0)</f>
        <v>1</v>
      </c>
      <c r="BP1054" s="128">
        <f>BM1054+CJ1054</f>
        <v>1</v>
      </c>
      <c r="BQ1054" s="128">
        <f>BN1054+CL1054</f>
        <v>2.5252525252525246</v>
      </c>
      <c r="BR1054" s="130">
        <f>IF(BS1054&gt;0,1,0)</f>
        <v>0</v>
      </c>
      <c r="BS1054" s="128">
        <f>VLOOKUP($E1054,[2]Current!$A:$AC,12,FALSE)</f>
        <v>0</v>
      </c>
      <c r="BT1054" s="137">
        <f>BS1054/$AS1054</f>
        <v>0</v>
      </c>
      <c r="BU1054" s="130">
        <f>IF(BV1054&gt;0,1,0)</f>
        <v>0</v>
      </c>
      <c r="BV1054" s="128">
        <f>VLOOKUP($E1054,[2]Current!$A:$AC,13,FALSE)</f>
        <v>0</v>
      </c>
      <c r="BW1054" s="128">
        <f>BV1054/$AS1054</f>
        <v>0</v>
      </c>
      <c r="BX1054" s="130">
        <f>IF(BY1054&gt;0,1,0)</f>
        <v>0</v>
      </c>
      <c r="BY1054" s="128">
        <f>VLOOKUP($E1054,[2]Current!$A:$AC,14,FALSE)</f>
        <v>0</v>
      </c>
      <c r="BZ1054" s="128">
        <f>BY1054/$AS1054</f>
        <v>0</v>
      </c>
      <c r="CA1054" s="130">
        <f>IF(CB1054&gt;0,1,0)</f>
        <v>1</v>
      </c>
      <c r="CB1054" s="128">
        <f>VLOOKUP($E1054,[2]Current!$A:$AC,15,FALSE)</f>
        <v>1</v>
      </c>
      <c r="CC1054" s="128">
        <f>CB1054/$AS1054</f>
        <v>2.5252525252525246</v>
      </c>
      <c r="CD1054" s="174">
        <f>IF(CE1054&gt;0,1,0)</f>
        <v>0</v>
      </c>
      <c r="CE1054" s="128">
        <f>VLOOKUP($E1054,[2]Current!$A:$AC,16,FALSE)</f>
        <v>0</v>
      </c>
      <c r="CF1054" s="128">
        <f>CE1054/$AS1054</f>
        <v>0</v>
      </c>
      <c r="CG1054" s="18"/>
      <c r="CH1054" s="18"/>
      <c r="CI1054" s="18"/>
      <c r="CJ1054" s="130">
        <f>IF(CK1054&gt;0,1,0)</f>
        <v>0</v>
      </c>
      <c r="CK1054" s="128">
        <f>VLOOKUP($E1054,[2]Current!$A:$AC,18,FALSE)</f>
        <v>0</v>
      </c>
      <c r="CL1054" s="128">
        <f>CK1054/$AS1054</f>
        <v>0</v>
      </c>
      <c r="CS1054" s="130">
        <f>IF(CU1054&gt;0,1,0)</f>
        <v>0</v>
      </c>
      <c r="CU1054" s="128">
        <f>VLOOKUP($E1054,[2]Current!$A:$AC,17,FALSE)</f>
        <v>0</v>
      </c>
      <c r="CV1054" s="128">
        <f>CU1054/$AS1054</f>
        <v>0</v>
      </c>
      <c r="CW1054" s="18"/>
      <c r="CX1054" s="18"/>
      <c r="CY1054" s="18"/>
      <c r="DF1054" s="16" t="e">
        <f>VLOOKUP(K1054,'[3]RNA Seq summary tables'!$V$3:$V$99,1,FALSE)</f>
        <v>#N/A</v>
      </c>
    </row>
    <row r="1055" spans="2:288" x14ac:dyDescent="0.2">
      <c r="B1055" s="16">
        <v>2017</v>
      </c>
      <c r="C1055" s="20">
        <v>42915</v>
      </c>
      <c r="D1055" s="20" t="str">
        <f>CONCATENATE(J1055,"-",C1055)</f>
        <v>1185-42915</v>
      </c>
      <c r="E1055" s="20" t="str">
        <f>CONCATENATE(T1055,"-",U1055,"-",C1055)</f>
        <v>HW2-A7-42915</v>
      </c>
      <c r="F1055" s="20" t="s">
        <v>106</v>
      </c>
      <c r="G1055" s="20" t="s">
        <v>107</v>
      </c>
      <c r="I1055" s="16">
        <v>0</v>
      </c>
      <c r="J1055" s="21">
        <v>1185</v>
      </c>
      <c r="K1055" s="21">
        <v>1795</v>
      </c>
      <c r="L1055" s="18">
        <v>0</v>
      </c>
      <c r="M1055" s="21">
        <f>VLOOKUP($K1055,'[4]blood tubes 2017'!$D$1:$L$647,8,FALSE)</f>
        <v>0</v>
      </c>
      <c r="N1055" s="15">
        <v>0</v>
      </c>
      <c r="O1055" s="15" t="s">
        <v>214</v>
      </c>
      <c r="P1055" s="16" t="s">
        <v>110</v>
      </c>
      <c r="Q1055" s="16">
        <v>0</v>
      </c>
      <c r="R1055" s="16" t="s">
        <v>111</v>
      </c>
      <c r="T1055" s="16" t="s">
        <v>129</v>
      </c>
      <c r="U1055" s="16" t="s">
        <v>120</v>
      </c>
      <c r="V1055" s="16" t="s">
        <v>142</v>
      </c>
      <c r="W1055" s="16">
        <f>AI1055/AG1055</f>
        <v>1</v>
      </c>
      <c r="X1055" s="16" t="s">
        <v>115</v>
      </c>
      <c r="Y1055" s="16" t="s">
        <v>110</v>
      </c>
      <c r="Z1055" s="16">
        <v>3</v>
      </c>
      <c r="AE1055" s="16" t="s">
        <v>123</v>
      </c>
      <c r="AF1055" s="16" t="s">
        <v>123</v>
      </c>
      <c r="AG1055" s="16">
        <f>AH1055-AI1055</f>
        <v>75</v>
      </c>
      <c r="AH1055" s="16">
        <v>150</v>
      </c>
      <c r="AI1055" s="16">
        <v>75</v>
      </c>
      <c r="AK1055" s="16">
        <v>14.5</v>
      </c>
      <c r="AL1055" s="16">
        <v>1</v>
      </c>
      <c r="AM1055" s="16">
        <v>0</v>
      </c>
      <c r="AN1055" s="16">
        <v>0</v>
      </c>
      <c r="AO1055" s="16">
        <v>1</v>
      </c>
      <c r="AP1055" s="16">
        <f>SUM(AL1055:AN1055)</f>
        <v>1</v>
      </c>
      <c r="AQ1055" s="16">
        <v>1.58</v>
      </c>
      <c r="AR1055" s="16">
        <f>AP1055-1.472</f>
        <v>-0.47199999999999998</v>
      </c>
      <c r="AS1055" s="16">
        <f>AQ1055-1.472</f>
        <v>0.1080000000000001</v>
      </c>
      <c r="AT1055" s="18" t="s">
        <v>234</v>
      </c>
      <c r="AU1055" s="18"/>
      <c r="AV1055" s="18"/>
      <c r="AW1055" s="16">
        <f>IF(AX1055&gt;0,1,0)</f>
        <v>1</v>
      </c>
      <c r="AX1055" s="16">
        <f>SUM(BA1055,BM1055,CT1055)</f>
        <v>1</v>
      </c>
      <c r="AY1055" s="18">
        <f>SUM(BB1055,BN1055,CV1055)</f>
        <v>9.2592592592592506</v>
      </c>
      <c r="AZ1055" s="16">
        <v>0</v>
      </c>
      <c r="BA1055" s="16">
        <v>0</v>
      </c>
      <c r="BB1055" s="16">
        <f>SUM(BE1055,BH1055,BK1055)</f>
        <v>0</v>
      </c>
      <c r="BC1055" s="16">
        <v>0</v>
      </c>
      <c r="BD1055" s="16">
        <v>0</v>
      </c>
      <c r="BE1055" s="16">
        <f>BD1055/AS1055</f>
        <v>0</v>
      </c>
      <c r="BF1055" s="16">
        <v>0</v>
      </c>
      <c r="BG1055" s="77">
        <v>0</v>
      </c>
      <c r="BH1055" s="16">
        <f>BG1055/AS1055</f>
        <v>0</v>
      </c>
      <c r="BI1055" s="16">
        <v>0</v>
      </c>
      <c r="BJ1055" s="16">
        <v>0</v>
      </c>
      <c r="BK1055" s="16">
        <f>BJ1055/AS1055</f>
        <v>0</v>
      </c>
      <c r="BL1055" s="16">
        <f>IF(BM1055&gt;0,1,0)</f>
        <v>0</v>
      </c>
      <c r="BM1055" s="16">
        <f>SUM(BR1055,BU1055,BX1055,CA1055,CD1055,CG1055,CJ1055,CM1055,CP1055)</f>
        <v>0</v>
      </c>
      <c r="BN1055" s="16">
        <f>SUM(BW1055,BZ1055,CC1055,CF1055,CI1055,CL1055,CO1055,CR1055,BT1055)</f>
        <v>0</v>
      </c>
      <c r="BO1055" s="16">
        <f>IF(BP1055&gt;0,1,0)</f>
        <v>0</v>
      </c>
      <c r="BP1055" s="16">
        <f>SUM(BU1055,BX1055,CA1055,CD1055,BR1055)</f>
        <v>0</v>
      </c>
      <c r="BQ1055" s="16">
        <f>SUM(BZ1055,CC1055,CF1055,BT1055,BW1055)</f>
        <v>0</v>
      </c>
      <c r="BR1055" s="16">
        <v>0</v>
      </c>
      <c r="BS1055" s="16">
        <v>0</v>
      </c>
      <c r="BT1055" s="77">
        <f>BS1055/AS1055</f>
        <v>0</v>
      </c>
      <c r="BU1055" s="16">
        <v>0</v>
      </c>
      <c r="BV1055" s="16">
        <v>0</v>
      </c>
      <c r="BW1055" s="16">
        <f>BV1055/AS1055</f>
        <v>0</v>
      </c>
      <c r="BX1055" s="16">
        <v>0</v>
      </c>
      <c r="BY1055" s="16">
        <v>0</v>
      </c>
      <c r="BZ1055" s="16">
        <f>BY1055/AS1055</f>
        <v>0</v>
      </c>
      <c r="CA1055" s="16">
        <v>0</v>
      </c>
      <c r="CB1055" s="16">
        <v>0</v>
      </c>
      <c r="CC1055" s="16">
        <f>CB1055/AS1055</f>
        <v>0</v>
      </c>
      <c r="CD1055" s="77">
        <v>0</v>
      </c>
      <c r="CE1055" s="16">
        <v>0</v>
      </c>
      <c r="CF1055" s="16">
        <f>CE1055/AS1055</f>
        <v>0</v>
      </c>
      <c r="CG1055" s="16">
        <v>0</v>
      </c>
      <c r="CH1055" s="16">
        <v>0</v>
      </c>
      <c r="CI1055" s="16">
        <f>CH1055/AS1055</f>
        <v>0</v>
      </c>
      <c r="CM1055" s="16">
        <v>0</v>
      </c>
      <c r="CN1055" s="16">
        <v>0</v>
      </c>
      <c r="CO1055" s="16">
        <f>CN1055/AS1055</f>
        <v>0</v>
      </c>
      <c r="CP1055" s="16">
        <v>0</v>
      </c>
      <c r="CQ1055" s="16">
        <v>0</v>
      </c>
      <c r="CR1055" s="16">
        <f>CQ1055/AS1055</f>
        <v>0</v>
      </c>
      <c r="CS1055" s="16">
        <v>1</v>
      </c>
      <c r="CT1055" s="16">
        <v>1</v>
      </c>
      <c r="CV1055" s="16">
        <f>SUM(CY1055,DB1055,DE1055)</f>
        <v>9.2592592592592506</v>
      </c>
      <c r="CW1055" s="16">
        <v>1</v>
      </c>
      <c r="CX1055" s="16">
        <v>1</v>
      </c>
      <c r="CY1055" s="16">
        <f>CX1055/AS1055</f>
        <v>9.2592592592592506</v>
      </c>
      <c r="CZ1055" s="16">
        <v>0</v>
      </c>
      <c r="DA1055" s="16">
        <v>0</v>
      </c>
      <c r="DB1055" s="16">
        <f>DA1055/AS1055</f>
        <v>0</v>
      </c>
      <c r="DC1055" s="16">
        <v>0</v>
      </c>
      <c r="DD1055" s="16">
        <v>0</v>
      </c>
      <c r="DE1055" s="16">
        <f>DD1055/AS1055</f>
        <v>0</v>
      </c>
      <c r="DF1055" s="16" t="e">
        <f>VLOOKUP(K1055,'[3]RNA Seq summary tables'!$V$3:$V$99,1,FALSE)</f>
        <v>#N/A</v>
      </c>
      <c r="DI1055" s="16">
        <v>44</v>
      </c>
      <c r="DK1055" s="16">
        <v>38</v>
      </c>
      <c r="DM1055" s="16">
        <v>18</v>
      </c>
      <c r="DO1055" s="16">
        <v>0</v>
      </c>
      <c r="DQ1055" s="16">
        <v>0</v>
      </c>
      <c r="DR1055" s="16">
        <f>SUM(DI1055:DQ1055)</f>
        <v>100</v>
      </c>
      <c r="DT1055" s="25"/>
      <c r="DU1055" s="25"/>
      <c r="DV1055" s="25"/>
      <c r="DW1055" s="25"/>
      <c r="DX1055" s="25"/>
      <c r="DY1055" s="25"/>
      <c r="DZ1055" s="25"/>
      <c r="EA1055" s="25"/>
      <c r="EB1055" s="25"/>
      <c r="EC1055" s="25"/>
      <c r="ED1055" s="25"/>
      <c r="JP1055" s="30"/>
      <c r="JQ1055" s="30"/>
      <c r="JR1055" s="27"/>
      <c r="JS1055" s="27"/>
      <c r="JT1055" s="27"/>
      <c r="JU1055" s="27"/>
      <c r="JV1055" s="27"/>
      <c r="JW1055" s="27"/>
      <c r="JX1055" s="27"/>
      <c r="JY1055" s="27"/>
      <c r="JZ1055" s="27"/>
      <c r="KA1055" s="27"/>
      <c r="KB1055" s="27"/>
    </row>
    <row r="1056" spans="2:288" x14ac:dyDescent="0.2">
      <c r="B1056" s="16">
        <v>2017</v>
      </c>
      <c r="C1056" s="20">
        <v>42948</v>
      </c>
      <c r="D1056" s="20" t="str">
        <f>CONCATENATE(J1056,"-",C1056)</f>
        <v>1185-42948</v>
      </c>
      <c r="E1056" s="142" t="str">
        <f>CONCATENATE(T1056,"-",U1056,"-",C1056)</f>
        <v>HW2-A8-42948</v>
      </c>
      <c r="F1056" s="20" t="s">
        <v>106</v>
      </c>
      <c r="G1056" s="20" t="s">
        <v>107</v>
      </c>
      <c r="J1056" s="21">
        <v>1185</v>
      </c>
      <c r="K1056" s="21">
        <v>2031</v>
      </c>
      <c r="L1056" s="18">
        <v>0</v>
      </c>
      <c r="M1056" s="21">
        <f>VLOOKUP($K1056,'[4]blood tubes 2017'!$D$1:$L$647,8,FALSE)</f>
        <v>0</v>
      </c>
      <c r="N1056" s="15">
        <v>0</v>
      </c>
      <c r="O1056" s="15" t="s">
        <v>214</v>
      </c>
      <c r="P1056" s="16" t="s">
        <v>110</v>
      </c>
      <c r="Q1056" s="16">
        <v>1</v>
      </c>
      <c r="R1056" s="16">
        <v>33</v>
      </c>
      <c r="T1056" s="16" t="s">
        <v>129</v>
      </c>
      <c r="U1056" s="16" t="s">
        <v>194</v>
      </c>
      <c r="V1056" s="16" t="s">
        <v>142</v>
      </c>
      <c r="W1056" s="16">
        <f>AI1056/AG1056</f>
        <v>0.98750000000000004</v>
      </c>
      <c r="X1056" s="16" t="s">
        <v>115</v>
      </c>
      <c r="Y1056" s="16" t="s">
        <v>110</v>
      </c>
      <c r="Z1056" s="16">
        <v>3</v>
      </c>
      <c r="AE1056" s="16" t="s">
        <v>116</v>
      </c>
      <c r="AF1056" s="16" t="s">
        <v>116</v>
      </c>
      <c r="AG1056" s="16">
        <f>AH1056-AI1056</f>
        <v>80</v>
      </c>
      <c r="AH1056" s="16">
        <v>159</v>
      </c>
      <c r="AI1056" s="16">
        <v>79</v>
      </c>
      <c r="AK1056" s="16">
        <v>13.5</v>
      </c>
      <c r="AL1056" s="16">
        <v>0</v>
      </c>
      <c r="AM1056" s="16">
        <v>0</v>
      </c>
      <c r="AN1056" s="16">
        <v>0</v>
      </c>
      <c r="AO1056" s="16">
        <v>0</v>
      </c>
      <c r="AP1056" s="16">
        <f>SUM(AL1056:AN1056)</f>
        <v>0</v>
      </c>
      <c r="AQ1056" s="16">
        <v>1.6140000000000001</v>
      </c>
      <c r="AR1056" s="16">
        <f>AP1056-1.472</f>
        <v>-1.472</v>
      </c>
      <c r="AS1056" s="16">
        <f>AQ1056-1.472</f>
        <v>0.14200000000000013</v>
      </c>
      <c r="AT1056" s="16" t="e">
        <f>VLOOKUP(E1056,[2]Current!$A$1:$W$435,7,FALSE)</f>
        <v>#N/A</v>
      </c>
      <c r="AU1056" s="16">
        <v>0</v>
      </c>
      <c r="AW1056" s="18"/>
      <c r="AX1056" s="18"/>
      <c r="AY1056" s="18"/>
      <c r="AZ1056" s="18"/>
      <c r="BA1056" s="18"/>
      <c r="BB1056" s="18"/>
      <c r="BC1056" s="18"/>
      <c r="BD1056" s="18"/>
      <c r="BG1056" s="77"/>
      <c r="BT1056" s="77"/>
      <c r="CD1056" s="77"/>
      <c r="DF1056" s="16" t="e">
        <f>VLOOKUP(K1056,'[3]RNA Seq summary tables'!$V$3:$V$99,1,FALSE)</f>
        <v>#N/A</v>
      </c>
    </row>
    <row r="1057" spans="2:288" s="18" customFormat="1" x14ac:dyDescent="0.2">
      <c r="B1057" s="16">
        <v>2017</v>
      </c>
      <c r="C1057" s="20">
        <v>42966</v>
      </c>
      <c r="D1057" s="20" t="str">
        <f>CONCATENATE(J1057,"-",C1057)</f>
        <v>1185-42966</v>
      </c>
      <c r="E1057" s="142" t="str">
        <f>CONCATENATE(T1057,"-",U1057,"-",C1057)</f>
        <v>HW2-D6-42966</v>
      </c>
      <c r="F1057" s="20" t="s">
        <v>106</v>
      </c>
      <c r="G1057" s="20" t="s">
        <v>107</v>
      </c>
      <c r="H1057" s="16"/>
      <c r="I1057" s="16"/>
      <c r="J1057" s="21">
        <v>1185</v>
      </c>
      <c r="K1057" s="21">
        <v>2193</v>
      </c>
      <c r="L1057" s="18">
        <v>0</v>
      </c>
      <c r="M1057" s="21">
        <f>VLOOKUP($K1057,'[4]blood tubes 2017'!$D$1:$L$647,8,FALSE)</f>
        <v>0</v>
      </c>
      <c r="N1057" s="15">
        <v>0</v>
      </c>
      <c r="O1057" s="15" t="s">
        <v>214</v>
      </c>
      <c r="P1057" s="16" t="s">
        <v>110</v>
      </c>
      <c r="Q1057" s="16">
        <v>1</v>
      </c>
      <c r="R1057" s="16">
        <v>18</v>
      </c>
      <c r="S1057" s="16"/>
      <c r="T1057" s="16" t="s">
        <v>129</v>
      </c>
      <c r="U1057" s="16" t="s">
        <v>186</v>
      </c>
      <c r="V1057" s="16" t="s">
        <v>142</v>
      </c>
      <c r="W1057" s="16">
        <f>AI1057/AG1057</f>
        <v>1</v>
      </c>
      <c r="X1057" s="16" t="s">
        <v>115</v>
      </c>
      <c r="Y1057" s="16" t="s">
        <v>110</v>
      </c>
      <c r="Z1057" s="16">
        <v>3</v>
      </c>
      <c r="AA1057" s="16"/>
      <c r="AB1057" s="16"/>
      <c r="AC1057" s="16"/>
      <c r="AD1057" s="16"/>
      <c r="AE1057" s="16" t="s">
        <v>116</v>
      </c>
      <c r="AF1057" s="16" t="s">
        <v>116</v>
      </c>
      <c r="AG1057" s="16">
        <f>AH1057-AI1057</f>
        <v>80</v>
      </c>
      <c r="AH1057" s="16">
        <v>160</v>
      </c>
      <c r="AI1057" s="16">
        <v>80</v>
      </c>
      <c r="AJ1057" s="16"/>
      <c r="AK1057" s="16">
        <v>15.5</v>
      </c>
      <c r="AL1057" s="16">
        <v>0</v>
      </c>
      <c r="AM1057" s="16">
        <v>0</v>
      </c>
      <c r="AN1057" s="16">
        <v>0</v>
      </c>
      <c r="AO1057" s="16">
        <v>0</v>
      </c>
      <c r="AP1057" s="16">
        <f>SUM(AL1057:AN1057)</f>
        <v>0</v>
      </c>
      <c r="AQ1057" s="16">
        <v>1.5209999999999999</v>
      </c>
      <c r="AR1057" s="16">
        <f>AP1057-1.472</f>
        <v>-1.472</v>
      </c>
      <c r="AS1057" s="16">
        <f>AQ1057-1.472</f>
        <v>4.8999999999999932E-2</v>
      </c>
      <c r="AT1057" s="16" t="e">
        <f>VLOOKUP(E1057,[2]Current!$A$1:$W$435,7,FALSE)</f>
        <v>#N/A</v>
      </c>
      <c r="AU1057" s="16">
        <v>0</v>
      </c>
      <c r="AV1057" s="16"/>
      <c r="BE1057" s="16"/>
      <c r="BF1057" s="16"/>
      <c r="BG1057" s="77"/>
      <c r="BH1057" s="16"/>
      <c r="BI1057" s="16"/>
      <c r="BJ1057" s="16"/>
      <c r="BK1057" s="16"/>
      <c r="BL1057" s="16"/>
      <c r="BM1057" s="16"/>
      <c r="BN1057" s="16"/>
      <c r="BO1057" s="16"/>
      <c r="BP1057" s="16"/>
      <c r="BQ1057" s="16"/>
      <c r="BR1057" s="16"/>
      <c r="BS1057" s="16"/>
      <c r="BT1057" s="77"/>
      <c r="BU1057" s="16"/>
      <c r="BV1057" s="16"/>
      <c r="BW1057" s="16"/>
      <c r="BX1057" s="16"/>
      <c r="BY1057" s="16"/>
      <c r="BZ1057" s="16"/>
      <c r="CA1057" s="16"/>
      <c r="CB1057" s="16"/>
      <c r="CC1057" s="16"/>
      <c r="CD1057" s="77"/>
      <c r="CE1057" s="16"/>
      <c r="CF1057" s="16"/>
      <c r="CG1057" s="16"/>
      <c r="CH1057" s="16"/>
      <c r="CI1057" s="16"/>
      <c r="CJ1057" s="16"/>
      <c r="CK1057" s="16"/>
      <c r="CL1057" s="16"/>
      <c r="CM1057" s="16"/>
      <c r="CN1057" s="16"/>
      <c r="CO1057" s="16"/>
      <c r="CP1057" s="16"/>
      <c r="CQ1057" s="16"/>
      <c r="CR1057" s="16"/>
      <c r="CS1057" s="16"/>
      <c r="CT1057" s="16"/>
      <c r="CU1057" s="16"/>
      <c r="CV1057" s="16"/>
      <c r="CW1057" s="16"/>
      <c r="CX1057" s="16"/>
      <c r="CY1057" s="16"/>
      <c r="CZ1057" s="16"/>
      <c r="DA1057" s="16"/>
      <c r="DB1057" s="16"/>
      <c r="DC1057" s="16"/>
      <c r="DD1057" s="16"/>
      <c r="DE1057" s="16"/>
      <c r="DF1057" s="16" t="e">
        <f>VLOOKUP(K1057,'[3]RNA Seq summary tables'!$V$3:$V$99,1,FALSE)</f>
        <v>#N/A</v>
      </c>
      <c r="DG1057" s="16"/>
      <c r="DH1057" s="16"/>
      <c r="DI1057" s="16"/>
      <c r="DJ1057" s="16"/>
      <c r="DK1057" s="16"/>
      <c r="DL1057" s="16"/>
      <c r="DM1057" s="16"/>
      <c r="DN1057" s="16"/>
      <c r="DO1057" s="16"/>
      <c r="DP1057" s="16"/>
      <c r="DQ1057" s="16"/>
      <c r="DR1057" s="16"/>
      <c r="DS1057" s="16"/>
      <c r="JO1057" s="16"/>
      <c r="JP1057" s="16"/>
      <c r="JQ1057" s="16"/>
      <c r="JR1057" s="30"/>
      <c r="JS1057" s="30"/>
      <c r="JT1057" s="30"/>
      <c r="JU1057" s="30"/>
      <c r="JV1057" s="30"/>
      <c r="JW1057" s="30"/>
      <c r="JX1057" s="30"/>
      <c r="JY1057" s="30"/>
      <c r="JZ1057" s="30"/>
      <c r="KA1057" s="30"/>
      <c r="KB1057" s="30"/>
    </row>
    <row r="1058" spans="2:288" x14ac:dyDescent="0.2">
      <c r="B1058" s="16">
        <v>2017</v>
      </c>
      <c r="C1058" s="20">
        <v>42915</v>
      </c>
      <c r="D1058" s="20" t="str">
        <f>CONCATENATE(J1058,"-",C1058)</f>
        <v>1187-42915</v>
      </c>
      <c r="E1058" s="20" t="str">
        <f>CONCATENATE(T1058,"-",U1058,"-",C1058)</f>
        <v>HW2-E8-42915</v>
      </c>
      <c r="F1058" s="20" t="s">
        <v>106</v>
      </c>
      <c r="G1058" s="20" t="s">
        <v>107</v>
      </c>
      <c r="I1058" s="16">
        <v>0</v>
      </c>
      <c r="J1058" s="21">
        <v>1187</v>
      </c>
      <c r="K1058" s="21">
        <v>1797</v>
      </c>
      <c r="L1058" s="18">
        <v>0</v>
      </c>
      <c r="M1058" s="21">
        <f>VLOOKUP($K1058,'[4]blood tubes 2017'!$D$1:$L$647,8,FALSE)</f>
        <v>0</v>
      </c>
      <c r="N1058" s="15">
        <v>0</v>
      </c>
      <c r="O1058" s="15" t="s">
        <v>214</v>
      </c>
      <c r="P1058" s="16" t="s">
        <v>110</v>
      </c>
      <c r="Q1058" s="16">
        <v>0</v>
      </c>
      <c r="R1058" s="16" t="s">
        <v>111</v>
      </c>
      <c r="T1058" s="16" t="s">
        <v>129</v>
      </c>
      <c r="U1058" s="16" t="s">
        <v>181</v>
      </c>
      <c r="V1058" s="16" t="s">
        <v>114</v>
      </c>
      <c r="W1058" s="16">
        <f>AI1058/AG1058</f>
        <v>0.810126582278481</v>
      </c>
      <c r="X1058" s="16" t="s">
        <v>121</v>
      </c>
      <c r="Y1058" s="16" t="s">
        <v>122</v>
      </c>
      <c r="Z1058" s="16">
        <v>2.2999999999999998</v>
      </c>
      <c r="AA1058" s="16" t="s">
        <v>119</v>
      </c>
      <c r="AB1058" s="16" t="s">
        <v>123</v>
      </c>
      <c r="AC1058" s="16" t="s">
        <v>123</v>
      </c>
      <c r="AD1058" s="16" t="s">
        <v>123</v>
      </c>
      <c r="AG1058" s="16">
        <f>AH1058-AI1058</f>
        <v>79</v>
      </c>
      <c r="AH1058" s="16">
        <v>143</v>
      </c>
      <c r="AI1058" s="16">
        <v>64</v>
      </c>
      <c r="AK1058" s="16">
        <v>13.5</v>
      </c>
      <c r="AL1058" s="16">
        <v>0</v>
      </c>
      <c r="AM1058" s="16">
        <v>0</v>
      </c>
      <c r="AN1058" s="16">
        <v>0</v>
      </c>
      <c r="AO1058" s="16">
        <v>0</v>
      </c>
      <c r="AP1058" s="16">
        <f>SUM(AL1058:AN1058)</f>
        <v>0</v>
      </c>
      <c r="AQ1058" s="16">
        <v>1.6339999999999999</v>
      </c>
      <c r="AR1058" s="16">
        <f>AP1058-1.472</f>
        <v>-1.472</v>
      </c>
      <c r="AS1058" s="16">
        <f>AQ1058-1.472</f>
        <v>0.16199999999999992</v>
      </c>
      <c r="AT1058" s="16" t="s">
        <v>233</v>
      </c>
      <c r="AW1058" s="16">
        <v>1</v>
      </c>
      <c r="AX1058" s="16">
        <f>SUM(BA1058,BM1058,CT1058)</f>
        <v>1</v>
      </c>
      <c r="AY1058" s="18">
        <f>SUM(BB1058,BN1058,CV1058)</f>
        <v>16388.888888888898</v>
      </c>
      <c r="AZ1058" s="16">
        <v>1</v>
      </c>
      <c r="BA1058" s="16">
        <v>1</v>
      </c>
      <c r="BB1058" s="16">
        <f>SUM(BE1058,BH1058,BK1058)</f>
        <v>16388.888888888898</v>
      </c>
      <c r="BC1058" s="16">
        <v>0</v>
      </c>
      <c r="BD1058" s="16">
        <v>0</v>
      </c>
      <c r="BE1058" s="16">
        <f>BD1058/AS1058</f>
        <v>0</v>
      </c>
      <c r="BF1058" s="16">
        <v>1</v>
      </c>
      <c r="BG1058" s="77">
        <v>2655</v>
      </c>
      <c r="BH1058" s="16">
        <f>BG1058/AS1058</f>
        <v>16388.888888888898</v>
      </c>
      <c r="BI1058" s="16">
        <v>0</v>
      </c>
      <c r="BJ1058" s="16">
        <v>0</v>
      </c>
      <c r="BK1058" s="16">
        <f>BJ1058/AS1058</f>
        <v>0</v>
      </c>
      <c r="BL1058" s="16">
        <v>0</v>
      </c>
      <c r="BM1058" s="16">
        <f>SUM(BR1058,BU1058,BX1058,CA1058,CD1058,CG1058,CJ1058,CM1058,CP1058)</f>
        <v>0</v>
      </c>
      <c r="BN1058" s="16">
        <f>SUM(BW1058,BZ1058,CC1058,CF1058,CI1058,CL1058,CO1058,CR1058,BT1058)</f>
        <v>0</v>
      </c>
      <c r="BO1058" s="16">
        <f>IF(BP1058&gt;0,1,0)</f>
        <v>0</v>
      </c>
      <c r="BP1058" s="16">
        <f>SUM(BU1058,BX1058,CA1058,CD1058,BR1058)</f>
        <v>0</v>
      </c>
      <c r="BQ1058" s="16">
        <f>SUM(BZ1058,CC1058,CF1058,BT1058,BW1058)</f>
        <v>0</v>
      </c>
      <c r="BR1058" s="16">
        <v>0</v>
      </c>
      <c r="BS1058" s="16">
        <v>0</v>
      </c>
      <c r="BT1058" s="77">
        <f>BS1058/AS1058</f>
        <v>0</v>
      </c>
      <c r="BU1058" s="16">
        <v>0</v>
      </c>
      <c r="BV1058" s="16">
        <v>0</v>
      </c>
      <c r="BW1058" s="16">
        <f>BV1058/AS1058</f>
        <v>0</v>
      </c>
      <c r="BX1058" s="16">
        <v>0</v>
      </c>
      <c r="BY1058" s="16">
        <v>0</v>
      </c>
      <c r="BZ1058" s="16">
        <f>BY1058/AS1058</f>
        <v>0</v>
      </c>
      <c r="CA1058" s="16">
        <v>0</v>
      </c>
      <c r="CB1058" s="16">
        <v>0</v>
      </c>
      <c r="CC1058" s="16">
        <f>CB1058/AS1058</f>
        <v>0</v>
      </c>
      <c r="CD1058" s="77">
        <v>0</v>
      </c>
      <c r="CE1058" s="16">
        <v>0</v>
      </c>
      <c r="CF1058" s="16">
        <f>CE1058/AS1058</f>
        <v>0</v>
      </c>
      <c r="CG1058" s="16">
        <v>0</v>
      </c>
      <c r="CH1058" s="16">
        <v>0</v>
      </c>
      <c r="CI1058" s="16">
        <f>CH1058/AS1058</f>
        <v>0</v>
      </c>
      <c r="CM1058" s="16">
        <v>0</v>
      </c>
      <c r="CN1058" s="16">
        <v>0</v>
      </c>
      <c r="CO1058" s="16">
        <f>CN1058/AS1058</f>
        <v>0</v>
      </c>
      <c r="CP1058" s="16">
        <v>0</v>
      </c>
      <c r="CQ1058" s="16">
        <v>0</v>
      </c>
      <c r="CR1058" s="16">
        <f>CQ1058/AS1058</f>
        <v>0</v>
      </c>
      <c r="CS1058" s="16">
        <v>0</v>
      </c>
      <c r="CT1058" s="16">
        <v>0</v>
      </c>
      <c r="CV1058" s="16">
        <f>SUM(CY1058,DB1058,DE1058)</f>
        <v>0</v>
      </c>
      <c r="CW1058" s="16">
        <v>0</v>
      </c>
      <c r="CX1058" s="16">
        <v>0</v>
      </c>
      <c r="CY1058" s="16">
        <f>CX1058/AS1058</f>
        <v>0</v>
      </c>
      <c r="CZ1058" s="16">
        <v>0</v>
      </c>
      <c r="DA1058" s="16">
        <v>0</v>
      </c>
      <c r="DB1058" s="16">
        <f>DA1058/AS1058</f>
        <v>0</v>
      </c>
      <c r="DC1058" s="16">
        <v>0</v>
      </c>
      <c r="DD1058" s="16">
        <v>0</v>
      </c>
      <c r="DE1058" s="16">
        <f>DD1058/AS1058</f>
        <v>0</v>
      </c>
      <c r="DF1058" s="16" t="e">
        <f>VLOOKUP(K1058,'[3]RNA Seq summary tables'!$V$3:$V$99,1,FALSE)</f>
        <v>#N/A</v>
      </c>
      <c r="DI1058" s="16">
        <v>56</v>
      </c>
      <c r="DK1058" s="16">
        <v>24</v>
      </c>
      <c r="DM1058" s="16">
        <v>19</v>
      </c>
      <c r="DO1058" s="16">
        <v>1</v>
      </c>
      <c r="DQ1058" s="16">
        <v>0</v>
      </c>
      <c r="DR1058" s="16">
        <f>SUM(DI1058:DQ1058)</f>
        <v>100</v>
      </c>
      <c r="JR1058" s="27"/>
      <c r="JS1058" s="27"/>
      <c r="JT1058" s="27"/>
      <c r="JU1058" s="27"/>
      <c r="JV1058" s="27"/>
      <c r="JW1058" s="27"/>
      <c r="JX1058" s="27"/>
      <c r="JY1058" s="27"/>
      <c r="JZ1058" s="27"/>
      <c r="KA1058" s="27"/>
      <c r="KB1058" s="27"/>
    </row>
    <row r="1059" spans="2:288" ht="16" x14ac:dyDescent="0.2">
      <c r="B1059" s="16">
        <v>2017</v>
      </c>
      <c r="C1059" s="20">
        <v>42930</v>
      </c>
      <c r="D1059" s="20" t="str">
        <f>CONCATENATE(J1059,"-",C1059)</f>
        <v>1187-42930</v>
      </c>
      <c r="E1059" s="37" t="str">
        <f>CONCATENATE(T1059,"-",U1059,"-",C1059)</f>
        <v>HW2-D8-42930</v>
      </c>
      <c r="F1059" s="20" t="s">
        <v>106</v>
      </c>
      <c r="G1059" s="20" t="s">
        <v>107</v>
      </c>
      <c r="I1059" s="16">
        <v>0</v>
      </c>
      <c r="J1059" s="21">
        <v>1187</v>
      </c>
      <c r="K1059" s="21">
        <v>1899</v>
      </c>
      <c r="L1059" s="18">
        <v>0</v>
      </c>
      <c r="M1059" s="21">
        <f>VLOOKUP($K1059,'[4]blood tubes 2017'!$D$1:$L$647,8,FALSE)</f>
        <v>0</v>
      </c>
      <c r="N1059" s="15">
        <v>0</v>
      </c>
      <c r="O1059" s="15" t="s">
        <v>214</v>
      </c>
      <c r="P1059" s="16" t="s">
        <v>110</v>
      </c>
      <c r="Q1059" s="16">
        <v>1</v>
      </c>
      <c r="R1059" s="16">
        <v>15</v>
      </c>
      <c r="T1059" s="16" t="s">
        <v>129</v>
      </c>
      <c r="U1059" s="16" t="s">
        <v>178</v>
      </c>
      <c r="V1059" s="16" t="s">
        <v>114</v>
      </c>
      <c r="W1059" s="16">
        <f>AI1059/AG1059</f>
        <v>0.83333333333333337</v>
      </c>
      <c r="X1059" s="16" t="s">
        <v>121</v>
      </c>
      <c r="Y1059" s="16" t="s">
        <v>122</v>
      </c>
      <c r="Z1059" s="16">
        <v>2.6</v>
      </c>
      <c r="AA1059" s="16" t="s">
        <v>119</v>
      </c>
      <c r="AB1059" s="16" t="s">
        <v>123</v>
      </c>
      <c r="AC1059" s="16" t="s">
        <v>123</v>
      </c>
      <c r="AD1059" s="16" t="s">
        <v>123</v>
      </c>
      <c r="AG1059" s="16">
        <f>AH1059-AI1059</f>
        <v>84</v>
      </c>
      <c r="AH1059" s="16">
        <v>154</v>
      </c>
      <c r="AI1059" s="16">
        <v>70</v>
      </c>
      <c r="AK1059" s="16">
        <v>17</v>
      </c>
      <c r="AL1059" s="16">
        <v>0</v>
      </c>
      <c r="AM1059" s="16">
        <v>0</v>
      </c>
      <c r="AN1059" s="16">
        <v>0</v>
      </c>
      <c r="AO1059" s="16">
        <v>0</v>
      </c>
      <c r="AP1059" s="16">
        <f>SUM(AL1059:AN1059)</f>
        <v>0</v>
      </c>
      <c r="AQ1059" s="16">
        <v>2.1539999999999999</v>
      </c>
      <c r="AR1059" s="16">
        <f>AP1059-1.472</f>
        <v>-1.472</v>
      </c>
      <c r="AS1059" s="16">
        <f>AQ1059-1.472</f>
        <v>0.68199999999999994</v>
      </c>
      <c r="AT1059" s="16" t="str">
        <f>VLOOKUP(E1059,[2]Current!$A$1:$W$435,7,FALSE)</f>
        <v>NB</v>
      </c>
      <c r="AU1059" s="16" t="s">
        <v>1288</v>
      </c>
      <c r="AV1059" s="23"/>
      <c r="AW1059" s="128">
        <f>IF(AX1059&gt;0,1,0)</f>
        <v>1</v>
      </c>
      <c r="AX1059" s="128">
        <f>SUM(BA1059,BM1059,CU1059)</f>
        <v>3</v>
      </c>
      <c r="AY1059" s="128">
        <f>SUM(BB1059,BN1059,CV1059)</f>
        <v>39.589442815249278</v>
      </c>
      <c r="AZ1059" s="128">
        <f>IF(BA1059&gt;0,1,0)</f>
        <v>1</v>
      </c>
      <c r="BA1059" s="128">
        <f>SUM(BC1059+BF1059+BI1059)</f>
        <v>1</v>
      </c>
      <c r="BB1059" s="128">
        <f>SUM(BE1059,BH1059,BK1059)</f>
        <v>36.65689149560118</v>
      </c>
      <c r="BC1059" s="130">
        <f>IF(BD1059&gt;0,1,0)</f>
        <v>0</v>
      </c>
      <c r="BD1059" s="128">
        <f>VLOOKUP($E1059,[2]Current!$A:$AC,26,FALSE)</f>
        <v>0</v>
      </c>
      <c r="BE1059" s="128">
        <f>BD1059/$AS1059</f>
        <v>0</v>
      </c>
      <c r="BF1059" s="130">
        <f>IF(BG1059&gt;0,1,0)</f>
        <v>1</v>
      </c>
      <c r="BG1059" s="137">
        <f>VLOOKUP($E1059,[2]Current!$A:$AC,27,FALSE)</f>
        <v>25</v>
      </c>
      <c r="BH1059" s="128">
        <f>BG1059/$AS1059</f>
        <v>36.65689149560118</v>
      </c>
      <c r="BI1059" s="130">
        <f>IF(BJ1059&gt;0,1,0)</f>
        <v>0</v>
      </c>
      <c r="BJ1059" s="128">
        <f>VLOOKUP($E1059,[2]Current!$A:$AC,28,FALSE)</f>
        <v>0</v>
      </c>
      <c r="BK1059" s="128">
        <f>BJ1059/$AS1059</f>
        <v>0</v>
      </c>
      <c r="BL1059" s="128">
        <f>IF(BM1059&gt;0,1,0)</f>
        <v>1</v>
      </c>
      <c r="BM1059" s="128">
        <f>SUM(BR1059,BU1059,BX1059,CA1059,CD1059)</f>
        <v>1</v>
      </c>
      <c r="BN1059" s="131">
        <f>SUM(BT1059,BW1059,BZ1059,CC1059,CF1059)</f>
        <v>1.466275659824047</v>
      </c>
      <c r="BO1059" s="128">
        <f>IF(BP1059&gt;0,1,0)</f>
        <v>1</v>
      </c>
      <c r="BP1059" s="128">
        <f>BM1059+CJ1059</f>
        <v>1</v>
      </c>
      <c r="BQ1059" s="128">
        <f>BN1059+CL1059</f>
        <v>1.466275659824047</v>
      </c>
      <c r="BR1059" s="130">
        <f>IF(BS1059&gt;0,1,0)</f>
        <v>0</v>
      </c>
      <c r="BS1059" s="128">
        <f>VLOOKUP($E1059,[2]Current!$A:$AC,12,FALSE)</f>
        <v>0</v>
      </c>
      <c r="BT1059" s="137">
        <f>BS1059/$AS1059</f>
        <v>0</v>
      </c>
      <c r="BU1059" s="130">
        <f>IF(BV1059&gt;0,1,0)</f>
        <v>0</v>
      </c>
      <c r="BV1059" s="128">
        <f>VLOOKUP($E1059,[2]Current!$A:$AC,13,FALSE)</f>
        <v>0</v>
      </c>
      <c r="BW1059" s="128">
        <f>BV1059/$AS1059</f>
        <v>0</v>
      </c>
      <c r="BX1059" s="130">
        <f>IF(BY1059&gt;0,1,0)</f>
        <v>0</v>
      </c>
      <c r="BY1059" s="128">
        <f>VLOOKUP($E1059,[2]Current!$A:$AC,14,FALSE)</f>
        <v>0</v>
      </c>
      <c r="BZ1059" s="128">
        <f>BY1059/$AS1059</f>
        <v>0</v>
      </c>
      <c r="CA1059" s="130">
        <f>IF(CB1059&gt;0,1,0)</f>
        <v>1</v>
      </c>
      <c r="CB1059" s="128">
        <f>VLOOKUP($E1059,[2]Current!$A:$AC,15,FALSE)</f>
        <v>1</v>
      </c>
      <c r="CC1059" s="128">
        <f>CB1059/$AS1059</f>
        <v>1.466275659824047</v>
      </c>
      <c r="CD1059" s="174">
        <f>IF(CE1059&gt;0,1,0)</f>
        <v>0</v>
      </c>
      <c r="CE1059" s="128">
        <f>VLOOKUP($E1059,[2]Current!$A:$AC,16,FALSE)</f>
        <v>0</v>
      </c>
      <c r="CF1059" s="128">
        <f>CE1059/$AS1059</f>
        <v>0</v>
      </c>
      <c r="CG1059" s="18"/>
      <c r="CH1059" s="18"/>
      <c r="CI1059" s="18"/>
      <c r="CJ1059" s="130">
        <f>IF(CK1059&gt;0,1,0)</f>
        <v>0</v>
      </c>
      <c r="CK1059" s="128">
        <f>VLOOKUP($E1059,[2]Current!$A:$AC,18,FALSE)</f>
        <v>0</v>
      </c>
      <c r="CL1059" s="128">
        <f>CK1059/$AS1059</f>
        <v>0</v>
      </c>
      <c r="CS1059" s="130">
        <f>IF(CU1059&gt;0,1,0)</f>
        <v>1</v>
      </c>
      <c r="CU1059" s="128">
        <f>VLOOKUP($E1059,[2]Current!$A:$AC,17,FALSE)</f>
        <v>1</v>
      </c>
      <c r="CV1059" s="128">
        <f>CU1059/$AS1059</f>
        <v>1.466275659824047</v>
      </c>
      <c r="CW1059" s="18"/>
      <c r="CX1059" s="18"/>
      <c r="CY1059" s="18"/>
      <c r="DF1059" s="16" t="e">
        <f>VLOOKUP(K1059,'[3]RNA Seq summary tables'!$V$3:$V$99,1,FALSE)</f>
        <v>#N/A</v>
      </c>
      <c r="JR1059" s="19"/>
      <c r="JS1059" s="19"/>
      <c r="JT1059" s="19"/>
      <c r="JU1059" s="19"/>
      <c r="JV1059" s="19"/>
      <c r="JW1059" s="19"/>
      <c r="JX1059" s="19"/>
      <c r="JY1059" s="19"/>
      <c r="JZ1059" s="19"/>
      <c r="KA1059" s="19"/>
      <c r="KB1059" s="19"/>
    </row>
    <row r="1060" spans="2:288" ht="16" x14ac:dyDescent="0.2">
      <c r="B1060" s="16">
        <v>2017</v>
      </c>
      <c r="C1060" s="20">
        <v>42949</v>
      </c>
      <c r="D1060" s="20" t="str">
        <f>CONCATENATE(J1060,"-",C1060)</f>
        <v>1187-42949</v>
      </c>
      <c r="E1060" s="37" t="str">
        <f>CONCATENATE(T1060,"-",U1060,"-",C1060)</f>
        <v>HW2-H7-42949</v>
      </c>
      <c r="F1060" s="20" t="s">
        <v>106</v>
      </c>
      <c r="G1060" s="20" t="s">
        <v>107</v>
      </c>
      <c r="I1060" s="16">
        <v>0</v>
      </c>
      <c r="J1060" s="21">
        <v>1187</v>
      </c>
      <c r="K1060" s="21">
        <v>2062</v>
      </c>
      <c r="L1060" s="18">
        <v>0</v>
      </c>
      <c r="M1060" s="21">
        <f>VLOOKUP($K1060,'[4]blood tubes 2017'!$D$1:$L$647,8,FALSE)</f>
        <v>0</v>
      </c>
      <c r="N1060" s="15">
        <v>0</v>
      </c>
      <c r="O1060" s="15" t="s">
        <v>214</v>
      </c>
      <c r="P1060" s="16" t="s">
        <v>110</v>
      </c>
      <c r="Q1060" s="16">
        <v>1</v>
      </c>
      <c r="R1060" s="16">
        <v>19</v>
      </c>
      <c r="T1060" s="16" t="s">
        <v>129</v>
      </c>
      <c r="U1060" s="16" t="s">
        <v>202</v>
      </c>
      <c r="V1060" s="16" t="s">
        <v>114</v>
      </c>
      <c r="W1060" s="16">
        <f>AI1060/AG1060</f>
        <v>0.84883720930232553</v>
      </c>
      <c r="X1060" s="16" t="s">
        <v>121</v>
      </c>
      <c r="Y1060" s="16" t="s">
        <v>110</v>
      </c>
      <c r="Z1060" s="16">
        <v>3</v>
      </c>
      <c r="AA1060" s="16" t="s">
        <v>161</v>
      </c>
      <c r="AB1060" s="16" t="s">
        <v>123</v>
      </c>
      <c r="AC1060" s="16" t="s">
        <v>123</v>
      </c>
      <c r="AD1060" s="16" t="s">
        <v>116</v>
      </c>
      <c r="AG1060" s="16">
        <f>AH1060-AI1060</f>
        <v>86</v>
      </c>
      <c r="AH1060" s="16">
        <v>159</v>
      </c>
      <c r="AI1060" s="16">
        <v>73</v>
      </c>
      <c r="AK1060" s="16">
        <v>19</v>
      </c>
      <c r="AL1060" s="16">
        <v>0</v>
      </c>
      <c r="AM1060" s="16">
        <v>0</v>
      </c>
      <c r="AN1060" s="16">
        <v>0</v>
      </c>
      <c r="AO1060" s="16">
        <v>0</v>
      </c>
      <c r="AP1060" s="16">
        <f>SUM(AL1060:AO1060)</f>
        <v>0</v>
      </c>
      <c r="AQ1060" s="16">
        <v>1.7669999999999999</v>
      </c>
      <c r="AR1060" s="16">
        <f>AP1060-1.472</f>
        <v>-1.472</v>
      </c>
      <c r="AS1060" s="16">
        <f>AQ1060-1.472</f>
        <v>0.29499999999999993</v>
      </c>
      <c r="AT1060" s="16" t="str">
        <f>VLOOKUP(E1060,[2]Current!$A$1:$W$435,7,FALSE)</f>
        <v>TE</v>
      </c>
      <c r="AU1060" s="16" t="s">
        <v>1288</v>
      </c>
      <c r="AW1060" s="128">
        <f>IF(AX1060&gt;0,1,0)</f>
        <v>1</v>
      </c>
      <c r="AX1060" s="128">
        <f>SUM(BA1060,BM1060,CU1060)</f>
        <v>3</v>
      </c>
      <c r="AY1060" s="128">
        <f>SUM(BB1060,BN1060,CV1060)</f>
        <v>1966.1016949152547</v>
      </c>
      <c r="AZ1060" s="128">
        <f>IF(BA1060&gt;0,1,0)</f>
        <v>1</v>
      </c>
      <c r="BA1060" s="128">
        <f>SUM(BC1060+BF1060+BI1060)</f>
        <v>3</v>
      </c>
      <c r="BB1060" s="128">
        <f>SUM(BE1060,BH1060,BK1060)</f>
        <v>1966.1016949152547</v>
      </c>
      <c r="BC1060" s="130">
        <f>IF(BD1060&gt;0,1,0)</f>
        <v>1</v>
      </c>
      <c r="BD1060" s="128">
        <f>VLOOKUP($E1060,[2]Current!$A:$AC,26,FALSE)</f>
        <v>132</v>
      </c>
      <c r="BE1060" s="128">
        <f>BD1060/$AS1060</f>
        <v>447.45762711864415</v>
      </c>
      <c r="BF1060" s="130">
        <f>IF(BG1060&gt;0,1,0)</f>
        <v>1</v>
      </c>
      <c r="BG1060" s="137">
        <f>VLOOKUP($E1060,[2]Current!$A:$AC,27,FALSE)</f>
        <v>38</v>
      </c>
      <c r="BH1060" s="128">
        <f>BG1060/$AS1060</f>
        <v>128.81355932203394</v>
      </c>
      <c r="BI1060" s="130">
        <f>IF(BJ1060&gt;0,1,0)</f>
        <v>1</v>
      </c>
      <c r="BJ1060" s="128">
        <f>VLOOKUP($E1060,[2]Current!$A:$AC,28,FALSE)</f>
        <v>410</v>
      </c>
      <c r="BK1060" s="128">
        <f>BJ1060/$AS1060</f>
        <v>1389.8305084745766</v>
      </c>
      <c r="BL1060" s="128">
        <f>IF(BM1060&gt;0,1,0)</f>
        <v>0</v>
      </c>
      <c r="BM1060" s="128">
        <f>SUM(BR1060,BU1060,BX1060,CA1060,CD1060)</f>
        <v>0</v>
      </c>
      <c r="BN1060" s="131">
        <f>SUM(BT1060,BW1060,BZ1060,CC1060,CF1060)</f>
        <v>0</v>
      </c>
      <c r="BO1060" s="128">
        <f>IF(BP1060&gt;0,1,0)</f>
        <v>0</v>
      </c>
      <c r="BP1060" s="128">
        <f>BM1060+CJ1060</f>
        <v>0</v>
      </c>
      <c r="BQ1060" s="128">
        <f>BN1060+CL1060</f>
        <v>0</v>
      </c>
      <c r="BR1060" s="130">
        <f>IF(BS1060&gt;0,1,0)</f>
        <v>0</v>
      </c>
      <c r="BS1060" s="128">
        <f>VLOOKUP($E1060,[2]Current!$A:$AC,12,FALSE)</f>
        <v>0</v>
      </c>
      <c r="BT1060" s="137">
        <f>BS1060/$AS1060</f>
        <v>0</v>
      </c>
      <c r="BU1060" s="130">
        <f>IF(BV1060&gt;0,1,0)</f>
        <v>0</v>
      </c>
      <c r="BV1060" s="128">
        <f>VLOOKUP($E1060,[2]Current!$A:$AC,13,FALSE)</f>
        <v>0</v>
      </c>
      <c r="BW1060" s="128">
        <f>BV1060/$AS1060</f>
        <v>0</v>
      </c>
      <c r="BX1060" s="130">
        <f>IF(BY1060&gt;0,1,0)</f>
        <v>0</v>
      </c>
      <c r="BY1060" s="128">
        <f>VLOOKUP($E1060,[2]Current!$A:$AC,14,FALSE)</f>
        <v>0</v>
      </c>
      <c r="BZ1060" s="128">
        <f>BY1060/$AS1060</f>
        <v>0</v>
      </c>
      <c r="CA1060" s="130">
        <f>IF(CB1060&gt;0,1,0)</f>
        <v>0</v>
      </c>
      <c r="CB1060" s="128">
        <f>VLOOKUP($E1060,[2]Current!$A:$AC,15,FALSE)</f>
        <v>0</v>
      </c>
      <c r="CC1060" s="128">
        <f>CB1060/$AS1060</f>
        <v>0</v>
      </c>
      <c r="CD1060" s="174">
        <f>IF(CE1060&gt;0,1,0)</f>
        <v>0</v>
      </c>
      <c r="CE1060" s="128">
        <f>VLOOKUP($E1060,[2]Current!$A:$AC,16,FALSE)</f>
        <v>0</v>
      </c>
      <c r="CF1060" s="128">
        <f>CE1060/$AS1060</f>
        <v>0</v>
      </c>
      <c r="CG1060" s="18"/>
      <c r="CH1060" s="18"/>
      <c r="CI1060" s="18"/>
      <c r="CJ1060" s="130">
        <f>IF(CK1060&gt;0,1,0)</f>
        <v>0</v>
      </c>
      <c r="CK1060" s="128">
        <f>VLOOKUP($E1060,[2]Current!$A:$AC,18,FALSE)</f>
        <v>0</v>
      </c>
      <c r="CL1060" s="128">
        <f>CK1060/$AS1060</f>
        <v>0</v>
      </c>
      <c r="CS1060" s="130">
        <f>IF(CU1060&gt;0,1,0)</f>
        <v>0</v>
      </c>
      <c r="CU1060" s="128">
        <f>VLOOKUP($E1060,[2]Current!$A:$AC,17,FALSE)</f>
        <v>0</v>
      </c>
      <c r="CV1060" s="128">
        <f>CU1060/$AS1060</f>
        <v>0</v>
      </c>
      <c r="CW1060" s="18"/>
      <c r="CX1060" s="18"/>
      <c r="CY1060" s="18"/>
      <c r="DF1060" s="16" t="e">
        <f>VLOOKUP(K1060,'[3]RNA Seq summary tables'!$V$3:$V$99,1,FALSE)</f>
        <v>#N/A</v>
      </c>
    </row>
    <row r="1061" spans="2:288" x14ac:dyDescent="0.2">
      <c r="B1061" s="18">
        <v>2017</v>
      </c>
      <c r="C1061" s="37">
        <v>42915</v>
      </c>
      <c r="D1061" s="37" t="str">
        <f>CONCATENATE(J1061,"-",C1061)</f>
        <v>1189-42915</v>
      </c>
      <c r="E1061" s="20" t="str">
        <f>CONCATENATE(T1061,"-",U1061,"-",C1061)</f>
        <v>HW2-H1-42915</v>
      </c>
      <c r="F1061" s="20" t="s">
        <v>106</v>
      </c>
      <c r="G1061" s="37" t="s">
        <v>107</v>
      </c>
      <c r="H1061" s="18"/>
      <c r="I1061" s="16">
        <v>0</v>
      </c>
      <c r="J1061" s="36">
        <v>1189</v>
      </c>
      <c r="K1061" s="36">
        <v>1799</v>
      </c>
      <c r="L1061" s="18">
        <v>0</v>
      </c>
      <c r="M1061" s="21">
        <f>VLOOKUP($K1061,'[4]blood tubes 2017'!$D$1:$L$647,8,FALSE)</f>
        <v>0</v>
      </c>
      <c r="N1061" s="15">
        <v>0</v>
      </c>
      <c r="O1061" s="15" t="s">
        <v>214</v>
      </c>
      <c r="P1061" s="18" t="s">
        <v>110</v>
      </c>
      <c r="Q1061" s="16">
        <v>0</v>
      </c>
      <c r="R1061" s="18" t="s">
        <v>111</v>
      </c>
      <c r="S1061" s="18"/>
      <c r="T1061" s="18" t="s">
        <v>129</v>
      </c>
      <c r="U1061" s="18" t="s">
        <v>191</v>
      </c>
      <c r="V1061" s="18" t="s">
        <v>114</v>
      </c>
      <c r="W1061" s="16">
        <f>AI1061/AG1061</f>
        <v>0.82795698924731187</v>
      </c>
      <c r="X1061" s="18" t="s">
        <v>121</v>
      </c>
      <c r="Y1061" s="18" t="s">
        <v>110</v>
      </c>
      <c r="Z1061" s="18">
        <v>3</v>
      </c>
      <c r="AA1061" s="18" t="s">
        <v>119</v>
      </c>
      <c r="AB1061" s="18" t="s">
        <v>123</v>
      </c>
      <c r="AC1061" s="18" t="s">
        <v>123</v>
      </c>
      <c r="AD1061" s="18" t="s">
        <v>123</v>
      </c>
      <c r="AE1061" s="18"/>
      <c r="AF1061" s="18"/>
      <c r="AG1061" s="18">
        <f>AH1061-AI1061</f>
        <v>93</v>
      </c>
      <c r="AH1061" s="18">
        <v>170</v>
      </c>
      <c r="AI1061" s="18">
        <v>77</v>
      </c>
      <c r="AJ1061" s="18"/>
      <c r="AK1061" s="18">
        <v>20.5</v>
      </c>
      <c r="AL1061" s="18">
        <v>1</v>
      </c>
      <c r="AM1061" s="18">
        <v>0</v>
      </c>
      <c r="AN1061" s="18">
        <v>0</v>
      </c>
      <c r="AO1061" s="18">
        <v>1</v>
      </c>
      <c r="AP1061" s="18">
        <f>SUM(AL1061:AN1061)</f>
        <v>1</v>
      </c>
      <c r="AQ1061" s="18">
        <v>1.8089999999999999</v>
      </c>
      <c r="AR1061" s="18">
        <f>AP1061-1.472</f>
        <v>-0.47199999999999998</v>
      </c>
      <c r="AS1061" s="18">
        <f>AQ1061-1.472</f>
        <v>0.33699999999999997</v>
      </c>
      <c r="AT1061" s="16" t="s">
        <v>164</v>
      </c>
      <c r="AV1061" s="18"/>
      <c r="AW1061" s="18">
        <f>IF(AX1061&gt;0,1,0)</f>
        <v>1</v>
      </c>
      <c r="AX1061" s="18">
        <f>SUM(BA1061,BM1061,CT1061)</f>
        <v>1</v>
      </c>
      <c r="AY1061" s="18">
        <f>SUM(BB1061,BN1061,CV1061)</f>
        <v>347.18100890207722</v>
      </c>
      <c r="AZ1061" s="18">
        <v>0</v>
      </c>
      <c r="BA1061" s="18">
        <v>0</v>
      </c>
      <c r="BB1061" s="18">
        <f>SUM(BE1061,BH1061,BK1061)</f>
        <v>335.31157270029678</v>
      </c>
      <c r="BC1061" s="18">
        <v>1</v>
      </c>
      <c r="BD1061" s="18">
        <v>45</v>
      </c>
      <c r="BE1061" s="18">
        <f>BD1061/AS1061</f>
        <v>133.53115727002969</v>
      </c>
      <c r="BF1061" s="18">
        <v>1</v>
      </c>
      <c r="BG1061" s="78">
        <v>68</v>
      </c>
      <c r="BH1061" s="18">
        <f>BG1061/AS1061</f>
        <v>201.78041543026708</v>
      </c>
      <c r="BI1061" s="18">
        <v>0</v>
      </c>
      <c r="BJ1061" s="18">
        <v>0</v>
      </c>
      <c r="BK1061" s="18">
        <f>BJ1061/AS1061</f>
        <v>0</v>
      </c>
      <c r="BL1061" s="18">
        <f>IF(BM1061&gt;0,1,0)</f>
        <v>1</v>
      </c>
      <c r="BM1061" s="18">
        <f>SUM(BR1061,BU1061,BX1061,CA1061,CD1061,CG1061,CJ1061,CM1061,CP1061)</f>
        <v>1</v>
      </c>
      <c r="BN1061" s="18">
        <f>SUM(BW1061,BZ1061,CC1061,CF1061,CI1061,CL1061,CO1061,CR1061,BT1061)</f>
        <v>11.869436201780417</v>
      </c>
      <c r="BO1061" s="16">
        <f>IF(BP1061&gt;0,1,0)</f>
        <v>1</v>
      </c>
      <c r="BP1061" s="16">
        <f>SUM(BU1061,BX1061,CA1061,CD1061,BR1061)</f>
        <v>1</v>
      </c>
      <c r="BQ1061" s="16">
        <f>SUM(BZ1061,CC1061,CF1061,BT1061,BW1061)</f>
        <v>11.869436201780417</v>
      </c>
      <c r="BR1061" s="18">
        <v>0</v>
      </c>
      <c r="BS1061" s="18">
        <v>0</v>
      </c>
      <c r="BT1061" s="78">
        <f>BS1061/AS1061</f>
        <v>0</v>
      </c>
      <c r="BU1061" s="18">
        <v>0</v>
      </c>
      <c r="BV1061" s="18">
        <v>0</v>
      </c>
      <c r="BW1061" s="18">
        <f>BV1061/AS1061</f>
        <v>0</v>
      </c>
      <c r="BX1061" s="18">
        <v>1</v>
      </c>
      <c r="BY1061" s="18">
        <v>4</v>
      </c>
      <c r="BZ1061" s="18">
        <f>BY1061/AS1061</f>
        <v>11.869436201780417</v>
      </c>
      <c r="CA1061" s="18">
        <v>0</v>
      </c>
      <c r="CB1061" s="18">
        <v>0</v>
      </c>
      <c r="CC1061" s="18">
        <f>CB1061/AS1061</f>
        <v>0</v>
      </c>
      <c r="CD1061" s="78">
        <v>0</v>
      </c>
      <c r="CE1061" s="18">
        <v>0</v>
      </c>
      <c r="CF1061" s="18">
        <f>CE1061/AS1061</f>
        <v>0</v>
      </c>
      <c r="CG1061" s="18">
        <v>0</v>
      </c>
      <c r="CH1061" s="18">
        <v>0</v>
      </c>
      <c r="CI1061" s="18">
        <f>CH1061/AS1061</f>
        <v>0</v>
      </c>
      <c r="CJ1061" s="18"/>
      <c r="CK1061" s="18"/>
      <c r="CL1061" s="18"/>
      <c r="CM1061" s="18">
        <v>0</v>
      </c>
      <c r="CN1061" s="18">
        <v>0</v>
      </c>
      <c r="CO1061" s="18">
        <f>CN1061/AS1061</f>
        <v>0</v>
      </c>
      <c r="CP1061" s="18">
        <v>0</v>
      </c>
      <c r="CQ1061" s="18">
        <v>0</v>
      </c>
      <c r="CR1061" s="18">
        <f>CQ1061/AS1061</f>
        <v>0</v>
      </c>
      <c r="CS1061" s="18">
        <v>0</v>
      </c>
      <c r="CT1061" s="18">
        <v>0</v>
      </c>
      <c r="CU1061" s="18"/>
      <c r="CV1061" s="18">
        <f>SUM(CY1061,DB1061,DE1061)</f>
        <v>0</v>
      </c>
      <c r="CW1061" s="18">
        <v>0</v>
      </c>
      <c r="CX1061" s="18">
        <v>0</v>
      </c>
      <c r="CY1061" s="18">
        <f>CX1061/AS1061</f>
        <v>0</v>
      </c>
      <c r="CZ1061" s="18">
        <v>0</v>
      </c>
      <c r="DA1061" s="18">
        <v>0</v>
      </c>
      <c r="DB1061" s="18">
        <f>DA1061/AS1061</f>
        <v>0</v>
      </c>
      <c r="DC1061" s="18">
        <v>0</v>
      </c>
      <c r="DD1061" s="18">
        <v>0</v>
      </c>
      <c r="DE1061" s="18">
        <f>DD1061/AS1061</f>
        <v>0</v>
      </c>
      <c r="DF1061" s="16" t="e">
        <f>VLOOKUP(K1061,'[3]RNA Seq summary tables'!$V$3:$V$99,1,FALSE)</f>
        <v>#N/A</v>
      </c>
      <c r="DI1061" s="18">
        <v>45</v>
      </c>
      <c r="DJ1061" s="18"/>
      <c r="DK1061" s="18">
        <v>43</v>
      </c>
      <c r="DL1061" s="18"/>
      <c r="DM1061" s="18">
        <v>11</v>
      </c>
      <c r="DN1061" s="18"/>
      <c r="DO1061" s="18">
        <v>0</v>
      </c>
      <c r="DP1061" s="18"/>
      <c r="DQ1061" s="18">
        <v>1</v>
      </c>
      <c r="DR1061" s="18">
        <f>SUM(DI1061:DQ1061)</f>
        <v>100</v>
      </c>
      <c r="DS1061" s="18"/>
      <c r="JR1061" s="27"/>
      <c r="JS1061" s="27"/>
      <c r="JT1061" s="27"/>
      <c r="JU1061" s="27"/>
      <c r="JV1061" s="27"/>
      <c r="JW1061" s="27"/>
      <c r="JX1061" s="27"/>
      <c r="JY1061" s="27"/>
      <c r="JZ1061" s="27"/>
      <c r="KA1061" s="27"/>
      <c r="KB1061" s="27"/>
    </row>
    <row r="1062" spans="2:288" ht="16" x14ac:dyDescent="0.2">
      <c r="B1062" s="16">
        <v>2017</v>
      </c>
      <c r="C1062" s="20">
        <v>42930</v>
      </c>
      <c r="D1062" s="20" t="str">
        <f>CONCATENATE(J1062,"-",C1062)</f>
        <v>1189-42930</v>
      </c>
      <c r="E1062" s="37" t="str">
        <f>CONCATENATE(T1062,"-",U1062,"-",C1062)</f>
        <v>HW2-H4-42930</v>
      </c>
      <c r="F1062" s="20" t="s">
        <v>106</v>
      </c>
      <c r="G1062" s="20" t="s">
        <v>107</v>
      </c>
      <c r="I1062" s="16">
        <v>0</v>
      </c>
      <c r="J1062" s="21">
        <v>1189</v>
      </c>
      <c r="K1062" s="21">
        <v>1903</v>
      </c>
      <c r="L1062" s="18">
        <v>0</v>
      </c>
      <c r="M1062" s="21">
        <f>VLOOKUP($K1062,'[4]blood tubes 2017'!$D$1:$L$647,8,FALSE)</f>
        <v>0</v>
      </c>
      <c r="N1062" s="15">
        <v>0</v>
      </c>
      <c r="O1062" s="15" t="s">
        <v>214</v>
      </c>
      <c r="P1062" s="16" t="s">
        <v>110</v>
      </c>
      <c r="Q1062" s="16">
        <v>1</v>
      </c>
      <c r="R1062" s="16">
        <v>15</v>
      </c>
      <c r="T1062" s="16" t="s">
        <v>129</v>
      </c>
      <c r="U1062" s="16" t="s">
        <v>151</v>
      </c>
      <c r="V1062" s="16" t="s">
        <v>114</v>
      </c>
      <c r="W1062" s="16">
        <f>AI1062/AG1062</f>
        <v>0.82795698924731187</v>
      </c>
      <c r="X1062" s="16" t="s">
        <v>121</v>
      </c>
      <c r="Y1062" s="16" t="s">
        <v>110</v>
      </c>
      <c r="Z1062" s="16">
        <v>3</v>
      </c>
      <c r="AA1062" s="16" t="s">
        <v>119</v>
      </c>
      <c r="AB1062" s="16" t="s">
        <v>239</v>
      </c>
      <c r="AC1062" s="16" t="s">
        <v>123</v>
      </c>
      <c r="AD1062" s="16" t="s">
        <v>123</v>
      </c>
      <c r="AG1062" s="16">
        <f>AH1062-AI1062</f>
        <v>93</v>
      </c>
      <c r="AH1062" s="16">
        <v>170</v>
      </c>
      <c r="AI1062" s="16">
        <v>77</v>
      </c>
      <c r="AK1062" s="16">
        <v>21.5</v>
      </c>
      <c r="AL1062" s="16">
        <v>0</v>
      </c>
      <c r="AM1062" s="16">
        <v>0</v>
      </c>
      <c r="AN1062" s="16">
        <v>0</v>
      </c>
      <c r="AO1062" s="16">
        <v>0</v>
      </c>
      <c r="AP1062" s="16">
        <f>SUM(AL1062:AN1062)</f>
        <v>0</v>
      </c>
      <c r="AQ1062" s="16">
        <v>2.1629999999999998</v>
      </c>
      <c r="AR1062" s="16">
        <f>AP1062-1.472</f>
        <v>-1.472</v>
      </c>
      <c r="AS1062" s="16">
        <f>AQ1062-1.472</f>
        <v>0.69099999999999984</v>
      </c>
      <c r="AT1062" s="16" t="str">
        <f>VLOOKUP(E1062,[2]Current!$A$1:$W$435,7,FALSE)</f>
        <v>JB</v>
      </c>
      <c r="AU1062" s="16" t="s">
        <v>1288</v>
      </c>
      <c r="AV1062" s="23"/>
      <c r="AW1062" s="128">
        <f>IF(AX1062&gt;0,1,0)</f>
        <v>1</v>
      </c>
      <c r="AX1062" s="128">
        <f>SUM(BA1062,BM1062,CU1062)</f>
        <v>1</v>
      </c>
      <c r="AY1062" s="128">
        <f>SUM(BB1062,BN1062,CV1062)</f>
        <v>22972.503617945014</v>
      </c>
      <c r="AZ1062" s="128">
        <f>IF(BA1062&gt;0,1,0)</f>
        <v>1</v>
      </c>
      <c r="BA1062" s="128">
        <f>SUM(BC1062+BF1062+BI1062)</f>
        <v>1</v>
      </c>
      <c r="BB1062" s="128">
        <f>SUM(BE1062,BH1062,BK1062)</f>
        <v>22972.503617945014</v>
      </c>
      <c r="BC1062" s="130">
        <f>IF(BD1062&gt;0,1,0)</f>
        <v>0</v>
      </c>
      <c r="BD1062" s="128">
        <f>VLOOKUP($E1062,[2]Current!$A:$AC,26,FALSE)</f>
        <v>0</v>
      </c>
      <c r="BE1062" s="128">
        <f>BD1062/$AS1062</f>
        <v>0</v>
      </c>
      <c r="BF1062" s="130">
        <f>IF(BG1062&gt;0,1,0)</f>
        <v>1</v>
      </c>
      <c r="BG1062" s="137">
        <f>VLOOKUP($E1062,[2]Current!$A:$AC,27,FALSE)</f>
        <v>15874</v>
      </c>
      <c r="BH1062" s="128">
        <f>BG1062/$AS1062</f>
        <v>22972.503617945014</v>
      </c>
      <c r="BI1062" s="130">
        <f>IF(BJ1062&gt;0,1,0)</f>
        <v>0</v>
      </c>
      <c r="BJ1062" s="128">
        <f>VLOOKUP($E1062,[2]Current!$A:$AC,28,FALSE)</f>
        <v>0</v>
      </c>
      <c r="BK1062" s="128">
        <f>BJ1062/$AS1062</f>
        <v>0</v>
      </c>
      <c r="BL1062" s="128">
        <f>IF(BM1062&gt;0,1,0)</f>
        <v>0</v>
      </c>
      <c r="BM1062" s="128">
        <f>SUM(BR1062,BU1062,BX1062,CA1062,CD1062)</f>
        <v>0</v>
      </c>
      <c r="BN1062" s="131">
        <f>SUM(BT1062,BW1062,BZ1062,CC1062,CF1062)</f>
        <v>0</v>
      </c>
      <c r="BO1062" s="128">
        <f>IF(BP1062&gt;0,1,0)</f>
        <v>0</v>
      </c>
      <c r="BP1062" s="128">
        <f>BM1062+CJ1062</f>
        <v>0</v>
      </c>
      <c r="BQ1062" s="128">
        <f>BN1062+CL1062</f>
        <v>0</v>
      </c>
      <c r="BR1062" s="130">
        <f>IF(BS1062&gt;0,1,0)</f>
        <v>0</v>
      </c>
      <c r="BS1062" s="128">
        <f>VLOOKUP($E1062,[2]Current!$A:$AC,12,FALSE)</f>
        <v>0</v>
      </c>
      <c r="BT1062" s="137">
        <f>BS1062/$AS1062</f>
        <v>0</v>
      </c>
      <c r="BU1062" s="130">
        <f>IF(BV1062&gt;0,1,0)</f>
        <v>0</v>
      </c>
      <c r="BV1062" s="128">
        <f>VLOOKUP($E1062,[2]Current!$A:$AC,13,FALSE)</f>
        <v>0</v>
      </c>
      <c r="BW1062" s="128">
        <f>BV1062/$AS1062</f>
        <v>0</v>
      </c>
      <c r="BX1062" s="130">
        <f>IF(BY1062&gt;0,1,0)</f>
        <v>0</v>
      </c>
      <c r="BY1062" s="128">
        <f>VLOOKUP($E1062,[2]Current!$A:$AC,14,FALSE)</f>
        <v>0</v>
      </c>
      <c r="BZ1062" s="128">
        <f>BY1062/$AS1062</f>
        <v>0</v>
      </c>
      <c r="CA1062" s="130">
        <f>IF(CB1062&gt;0,1,0)</f>
        <v>0</v>
      </c>
      <c r="CB1062" s="128">
        <f>VLOOKUP($E1062,[2]Current!$A:$AC,15,FALSE)</f>
        <v>0</v>
      </c>
      <c r="CC1062" s="128">
        <f>CB1062/$AS1062</f>
        <v>0</v>
      </c>
      <c r="CD1062" s="174">
        <f>IF(CE1062&gt;0,1,0)</f>
        <v>0</v>
      </c>
      <c r="CE1062" s="128">
        <f>VLOOKUP($E1062,[2]Current!$A:$AC,16,FALSE)</f>
        <v>0</v>
      </c>
      <c r="CF1062" s="128">
        <f>CE1062/$AS1062</f>
        <v>0</v>
      </c>
      <c r="CG1062" s="18"/>
      <c r="CH1062" s="18"/>
      <c r="CI1062" s="18"/>
      <c r="CJ1062" s="130">
        <f>IF(CK1062&gt;0,1,0)</f>
        <v>0</v>
      </c>
      <c r="CK1062" s="128">
        <f>VLOOKUP($E1062,[2]Current!$A:$AC,18,FALSE)</f>
        <v>0</v>
      </c>
      <c r="CL1062" s="128">
        <f>CK1062/$AS1062</f>
        <v>0</v>
      </c>
      <c r="CS1062" s="130">
        <f>IF(CU1062&gt;0,1,0)</f>
        <v>0</v>
      </c>
      <c r="CT1062" s="18"/>
      <c r="CU1062" s="128">
        <f>VLOOKUP($E1062,[2]Current!$A:$AC,17,FALSE)</f>
        <v>0</v>
      </c>
      <c r="CV1062" s="128">
        <f>CU1062/$AS1062</f>
        <v>0</v>
      </c>
      <c r="CW1062" s="18"/>
      <c r="CX1062" s="18"/>
      <c r="CY1062" s="18"/>
      <c r="DF1062" s="16" t="e">
        <f>VLOOKUP(K1062,'[3]RNA Seq summary tables'!$V$3:$V$99,1,FALSE)</f>
        <v>#N/A</v>
      </c>
      <c r="JR1062" s="26"/>
      <c r="JS1062" s="26"/>
      <c r="JT1062" s="26"/>
      <c r="JU1062" s="26"/>
      <c r="JV1062" s="26"/>
      <c r="JW1062" s="26"/>
      <c r="JX1062" s="26"/>
      <c r="JY1062" s="26"/>
      <c r="JZ1062" s="26"/>
      <c r="KA1062" s="26"/>
      <c r="KB1062" s="26"/>
    </row>
    <row r="1063" spans="2:288" ht="16" x14ac:dyDescent="0.2">
      <c r="B1063" s="16">
        <v>2017</v>
      </c>
      <c r="C1063" s="43">
        <v>42948</v>
      </c>
      <c r="D1063" s="20" t="str">
        <f>CONCATENATE(J1063,"-",C1063)</f>
        <v>1189-42948</v>
      </c>
      <c r="E1063" s="37" t="str">
        <f>CONCATENATE(T1063,"-",U1063,"-",C1063)</f>
        <v>HW2-H2-42948</v>
      </c>
      <c r="F1063" s="20" t="s">
        <v>106</v>
      </c>
      <c r="G1063" s="43" t="s">
        <v>107</v>
      </c>
      <c r="H1063" s="23"/>
      <c r="I1063" s="16">
        <v>0</v>
      </c>
      <c r="J1063" s="15">
        <v>1189</v>
      </c>
      <c r="K1063" s="15">
        <v>2041</v>
      </c>
      <c r="L1063" s="18">
        <v>0</v>
      </c>
      <c r="M1063" s="21">
        <f>VLOOKUP($K1063,'[4]blood tubes 2017'!$D$1:$L$647,8,FALSE)</f>
        <v>0</v>
      </c>
      <c r="N1063" s="15">
        <v>0</v>
      </c>
      <c r="O1063" s="15" t="s">
        <v>214</v>
      </c>
      <c r="P1063" s="23" t="s">
        <v>110</v>
      </c>
      <c r="Q1063" s="16">
        <v>1</v>
      </c>
      <c r="R1063" s="23">
        <v>18</v>
      </c>
      <c r="S1063" s="23"/>
      <c r="T1063" s="23" t="s">
        <v>129</v>
      </c>
      <c r="U1063" s="23" t="s">
        <v>190</v>
      </c>
      <c r="V1063" s="23" t="s">
        <v>114</v>
      </c>
      <c r="W1063" s="16">
        <f>AI1063/AG1063</f>
        <v>0.8125</v>
      </c>
      <c r="X1063" s="23" t="s">
        <v>121</v>
      </c>
      <c r="Y1063" s="23" t="s">
        <v>110</v>
      </c>
      <c r="Z1063" s="23">
        <v>3</v>
      </c>
      <c r="AA1063" s="23" t="s">
        <v>161</v>
      </c>
      <c r="AB1063" s="23" t="s">
        <v>240</v>
      </c>
      <c r="AC1063" s="23" t="s">
        <v>116</v>
      </c>
      <c r="AD1063" s="23" t="s">
        <v>116</v>
      </c>
      <c r="AE1063" s="23"/>
      <c r="AF1063" s="23"/>
      <c r="AG1063" s="23">
        <f>AH1063-AI1063</f>
        <v>96</v>
      </c>
      <c r="AH1063" s="23">
        <v>174</v>
      </c>
      <c r="AI1063" s="23">
        <v>78</v>
      </c>
      <c r="AJ1063" s="23"/>
      <c r="AK1063" s="23">
        <v>25.5</v>
      </c>
      <c r="AL1063" s="23">
        <v>0</v>
      </c>
      <c r="AM1063" s="23">
        <v>0</v>
      </c>
      <c r="AN1063" s="23">
        <v>0</v>
      </c>
      <c r="AO1063" s="23">
        <v>0</v>
      </c>
      <c r="AP1063" s="23">
        <f>SUM(AL1063:AN1063)</f>
        <v>0</v>
      </c>
      <c r="AQ1063" s="23">
        <v>1.9159999999999999</v>
      </c>
      <c r="AR1063" s="23">
        <f>AP1063-1.472</f>
        <v>-1.472</v>
      </c>
      <c r="AS1063" s="23">
        <f>AQ1063-1.472</f>
        <v>0.44399999999999995</v>
      </c>
      <c r="AT1063" s="16" t="str">
        <f>VLOOKUP(E1063,[2]Current!$A$1:$W$435,7,FALSE)</f>
        <v>TE</v>
      </c>
      <c r="AU1063" s="16" t="s">
        <v>1288</v>
      </c>
      <c r="AV1063" s="23">
        <v>1</v>
      </c>
      <c r="AW1063" s="128">
        <f>IF(AX1063&gt;0,1,0)</f>
        <v>0</v>
      </c>
      <c r="AX1063" s="128">
        <f>SUM(BA1063,BM1063,CU1063)</f>
        <v>0</v>
      </c>
      <c r="AY1063" s="128">
        <f>SUM(BB1063,BN1063,CV1063)</f>
        <v>0</v>
      </c>
      <c r="AZ1063" s="128">
        <f>IF(BA1063&gt;0,1,0)</f>
        <v>0</v>
      </c>
      <c r="BA1063" s="128">
        <f>SUM(BC1063+BF1063+BI1063)</f>
        <v>0</v>
      </c>
      <c r="BB1063" s="128">
        <f>SUM(BE1063,BH1063,BK1063)</f>
        <v>0</v>
      </c>
      <c r="BC1063" s="130">
        <f>IF(BD1063&gt;0,1,0)</f>
        <v>0</v>
      </c>
      <c r="BD1063" s="128">
        <f>VLOOKUP($E1063,[2]Current!$A:$AC,26,FALSE)</f>
        <v>0</v>
      </c>
      <c r="BE1063" s="128">
        <f>BD1063/$AS1063</f>
        <v>0</v>
      </c>
      <c r="BF1063" s="130">
        <f>IF(BG1063&gt;0,1,0)</f>
        <v>0</v>
      </c>
      <c r="BG1063" s="137">
        <f>VLOOKUP($E1063,[2]Current!$A:$AC,27,FALSE)</f>
        <v>0</v>
      </c>
      <c r="BH1063" s="128">
        <f>BG1063/$AS1063</f>
        <v>0</v>
      </c>
      <c r="BI1063" s="130">
        <f>IF(BJ1063&gt;0,1,0)</f>
        <v>0</v>
      </c>
      <c r="BJ1063" s="128">
        <f>VLOOKUP($E1063,[2]Current!$A:$AC,28,FALSE)</f>
        <v>0</v>
      </c>
      <c r="BK1063" s="128">
        <f>BJ1063/$AS1063</f>
        <v>0</v>
      </c>
      <c r="BL1063" s="128">
        <f>IF(BM1063&gt;0,1,0)</f>
        <v>0</v>
      </c>
      <c r="BM1063" s="128">
        <f>SUM(BR1063,BU1063,BX1063,CA1063,CD1063)</f>
        <v>0</v>
      </c>
      <c r="BN1063" s="131">
        <f>SUM(BT1063,BW1063,BZ1063,CC1063,CF1063)</f>
        <v>0</v>
      </c>
      <c r="BO1063" s="128">
        <f>IF(BP1063&gt;0,1,0)</f>
        <v>1</v>
      </c>
      <c r="BP1063" s="128">
        <f>BM1063+CJ1063</f>
        <v>1</v>
      </c>
      <c r="BQ1063" s="128">
        <f>BN1063+CL1063</f>
        <v>6.7567567567567579</v>
      </c>
      <c r="BR1063" s="130">
        <f>IF(BS1063&gt;0,1,0)</f>
        <v>0</v>
      </c>
      <c r="BS1063" s="128">
        <f>VLOOKUP($E1063,[2]Current!$A:$AC,12,FALSE)</f>
        <v>0</v>
      </c>
      <c r="BT1063" s="137">
        <f>BS1063/$AS1063</f>
        <v>0</v>
      </c>
      <c r="BU1063" s="130">
        <f>IF(BV1063&gt;0,1,0)</f>
        <v>0</v>
      </c>
      <c r="BV1063" s="128">
        <f>VLOOKUP($E1063,[2]Current!$A:$AC,13,FALSE)</f>
        <v>0</v>
      </c>
      <c r="BW1063" s="128">
        <f>BV1063/$AS1063</f>
        <v>0</v>
      </c>
      <c r="BX1063" s="130">
        <f>IF(BY1063&gt;0,1,0)</f>
        <v>0</v>
      </c>
      <c r="BY1063" s="128">
        <f>VLOOKUP($E1063,[2]Current!$A:$AC,14,FALSE)</f>
        <v>0</v>
      </c>
      <c r="BZ1063" s="128">
        <f>BY1063/$AS1063</f>
        <v>0</v>
      </c>
      <c r="CA1063" s="130">
        <f>IF(CB1063&gt;0,1,0)</f>
        <v>0</v>
      </c>
      <c r="CB1063" s="128">
        <f>VLOOKUP($E1063,[2]Current!$A:$AC,15,FALSE)</f>
        <v>0</v>
      </c>
      <c r="CC1063" s="128">
        <f>CB1063/$AS1063</f>
        <v>0</v>
      </c>
      <c r="CD1063" s="174">
        <f>IF(CE1063&gt;0,1,0)</f>
        <v>0</v>
      </c>
      <c r="CE1063" s="128">
        <f>VLOOKUP($E1063,[2]Current!$A:$AC,16,FALSE)</f>
        <v>0</v>
      </c>
      <c r="CF1063" s="128">
        <f>CE1063/$AS1063</f>
        <v>0</v>
      </c>
      <c r="CG1063" s="18"/>
      <c r="CH1063" s="18"/>
      <c r="CI1063" s="18"/>
      <c r="CJ1063" s="130">
        <f>IF(CK1063&gt;0,1,0)</f>
        <v>1</v>
      </c>
      <c r="CK1063" s="128">
        <f>VLOOKUP($E1063,[2]Current!$A:$AC,18,FALSE)</f>
        <v>3</v>
      </c>
      <c r="CL1063" s="128">
        <f>CK1063/$AS1063</f>
        <v>6.7567567567567579</v>
      </c>
      <c r="CS1063" s="130">
        <f>IF(CU1063&gt;0,1,0)</f>
        <v>0</v>
      </c>
      <c r="CU1063" s="128">
        <f>VLOOKUP($E1063,[2]Current!$A:$AC,17,FALSE)</f>
        <v>0</v>
      </c>
      <c r="CV1063" s="128">
        <f>CU1063/$AS1063</f>
        <v>0</v>
      </c>
      <c r="CW1063" s="18"/>
      <c r="CX1063" s="18"/>
      <c r="CY1063" s="18"/>
      <c r="DF1063" s="16" t="e">
        <f>VLOOKUP(K1063,'[3]RNA Seq summary tables'!$V$3:$V$99,1,FALSE)</f>
        <v>#N/A</v>
      </c>
      <c r="DI1063" s="23"/>
      <c r="DJ1063" s="23"/>
      <c r="DK1063" s="23"/>
      <c r="DL1063" s="23"/>
      <c r="DM1063" s="23"/>
      <c r="DN1063" s="23"/>
      <c r="DO1063" s="23"/>
      <c r="DP1063" s="23"/>
      <c r="DQ1063" s="23"/>
      <c r="DR1063" s="23"/>
      <c r="DS1063" s="23"/>
      <c r="DT1063" s="25"/>
      <c r="DU1063" s="25"/>
      <c r="DV1063" s="25"/>
      <c r="DW1063" s="25"/>
      <c r="DX1063" s="25"/>
      <c r="DY1063" s="25"/>
      <c r="DZ1063" s="25"/>
      <c r="EA1063" s="25"/>
      <c r="EB1063" s="25"/>
      <c r="EC1063" s="25"/>
      <c r="ED1063" s="25"/>
      <c r="EE1063" s="25"/>
      <c r="EF1063" s="25"/>
      <c r="EG1063" s="25"/>
      <c r="EH1063" s="25"/>
      <c r="EI1063" s="25"/>
      <c r="EJ1063" s="25"/>
      <c r="EK1063" s="25"/>
      <c r="EL1063" s="25"/>
      <c r="EM1063" s="25"/>
      <c r="EN1063" s="25"/>
      <c r="EO1063" s="25"/>
      <c r="EP1063" s="25"/>
      <c r="EQ1063" s="25"/>
      <c r="ER1063" s="25"/>
      <c r="ES1063" s="25"/>
      <c r="ET1063" s="25"/>
      <c r="EU1063" s="25"/>
      <c r="EV1063" s="25"/>
      <c r="EW1063" s="25"/>
      <c r="EX1063" s="25"/>
      <c r="EY1063" s="25"/>
      <c r="EZ1063" s="25"/>
      <c r="FA1063" s="25"/>
      <c r="FB1063" s="25"/>
      <c r="FC1063" s="25"/>
      <c r="FD1063" s="25"/>
      <c r="FE1063" s="25"/>
      <c r="FF1063" s="25"/>
      <c r="FG1063" s="25"/>
      <c r="FH1063" s="25"/>
      <c r="FI1063" s="25"/>
      <c r="FJ1063" s="25"/>
      <c r="FK1063" s="25"/>
      <c r="FL1063" s="25"/>
      <c r="FM1063" s="25"/>
      <c r="FN1063" s="25"/>
      <c r="FO1063" s="25"/>
      <c r="FP1063" s="25"/>
      <c r="FQ1063" s="25"/>
      <c r="FR1063" s="25"/>
      <c r="FS1063" s="25"/>
      <c r="FT1063" s="25"/>
      <c r="FU1063" s="25"/>
      <c r="FV1063" s="25"/>
      <c r="FW1063" s="25"/>
      <c r="FX1063" s="25"/>
      <c r="FY1063" s="25"/>
      <c r="FZ1063" s="25"/>
      <c r="GA1063" s="25"/>
      <c r="GB1063" s="25"/>
      <c r="GC1063" s="25"/>
      <c r="GD1063" s="25"/>
      <c r="GE1063" s="25"/>
      <c r="GF1063" s="25"/>
      <c r="GG1063" s="25"/>
      <c r="GH1063" s="25"/>
      <c r="GI1063" s="25"/>
      <c r="GJ1063" s="25"/>
      <c r="GK1063" s="25"/>
      <c r="GL1063" s="25"/>
      <c r="GM1063" s="25"/>
      <c r="GN1063" s="25"/>
      <c r="GO1063" s="25"/>
      <c r="GP1063" s="25"/>
      <c r="GQ1063" s="25"/>
      <c r="GR1063" s="25"/>
      <c r="GS1063" s="25"/>
      <c r="GT1063" s="25"/>
      <c r="GU1063" s="25"/>
      <c r="GV1063" s="25"/>
      <c r="GW1063" s="25"/>
      <c r="GX1063" s="25"/>
      <c r="GY1063" s="25"/>
      <c r="GZ1063" s="25"/>
      <c r="HA1063" s="25"/>
      <c r="HB1063" s="25"/>
      <c r="HC1063" s="25"/>
      <c r="HD1063" s="25"/>
      <c r="HE1063" s="25"/>
      <c r="HF1063" s="25"/>
      <c r="HG1063" s="25"/>
      <c r="HH1063" s="25"/>
      <c r="HI1063" s="25"/>
      <c r="HJ1063" s="25"/>
      <c r="HK1063" s="25"/>
      <c r="HL1063" s="25"/>
      <c r="HM1063" s="25"/>
      <c r="HN1063" s="25"/>
      <c r="HO1063" s="25"/>
      <c r="HP1063" s="25"/>
      <c r="HQ1063" s="25"/>
      <c r="HR1063" s="25"/>
      <c r="HS1063" s="25"/>
      <c r="HT1063" s="25"/>
      <c r="HU1063" s="25"/>
      <c r="HV1063" s="25"/>
      <c r="HW1063" s="25"/>
      <c r="HX1063" s="25"/>
      <c r="HY1063" s="25"/>
      <c r="HZ1063" s="25"/>
      <c r="IA1063" s="25"/>
      <c r="IB1063" s="25"/>
      <c r="IC1063" s="25"/>
      <c r="ID1063" s="25"/>
      <c r="IE1063" s="25"/>
      <c r="IF1063" s="25"/>
      <c r="IG1063" s="25"/>
      <c r="IH1063" s="25"/>
      <c r="II1063" s="25"/>
      <c r="IJ1063" s="25"/>
      <c r="IK1063" s="25"/>
      <c r="IL1063" s="25"/>
      <c r="IM1063" s="25"/>
      <c r="IN1063" s="25"/>
      <c r="IO1063" s="25"/>
      <c r="IP1063" s="25"/>
      <c r="IQ1063" s="25"/>
      <c r="IR1063" s="25"/>
      <c r="IS1063" s="25"/>
      <c r="IT1063" s="25"/>
      <c r="IU1063" s="25"/>
      <c r="IV1063" s="25"/>
      <c r="IW1063" s="25"/>
      <c r="IX1063" s="25"/>
      <c r="IY1063" s="25"/>
      <c r="IZ1063" s="25"/>
      <c r="JA1063" s="25"/>
      <c r="JB1063" s="25"/>
      <c r="JC1063" s="25"/>
      <c r="JD1063" s="25"/>
      <c r="JE1063" s="25"/>
      <c r="JF1063" s="25"/>
      <c r="JG1063" s="25"/>
      <c r="JH1063" s="25"/>
      <c r="JI1063" s="25"/>
      <c r="JJ1063" s="25"/>
      <c r="JK1063" s="25"/>
      <c r="JL1063" s="25"/>
      <c r="JM1063" s="25"/>
      <c r="JN1063" s="25"/>
      <c r="JO1063" s="23"/>
      <c r="JP1063" s="23"/>
      <c r="JQ1063" s="23"/>
    </row>
    <row r="1064" spans="2:288" ht="16" x14ac:dyDescent="0.2">
      <c r="B1064" s="16">
        <v>2017</v>
      </c>
      <c r="C1064" s="20">
        <v>42966</v>
      </c>
      <c r="D1064" s="20" t="str">
        <f>CONCATENATE(J1064,"-",C1064)</f>
        <v>1189-42966</v>
      </c>
      <c r="E1064" s="37" t="str">
        <f>CONCATENATE(T1064,"-",U1064,"-",C1064)</f>
        <v>HW2-H4-42966</v>
      </c>
      <c r="F1064" s="20" t="s">
        <v>106</v>
      </c>
      <c r="G1064" s="20" t="s">
        <v>107</v>
      </c>
      <c r="I1064" s="16">
        <v>0</v>
      </c>
      <c r="J1064" s="21">
        <v>1189</v>
      </c>
      <c r="K1064" s="21">
        <v>2201</v>
      </c>
      <c r="L1064" s="18">
        <v>0</v>
      </c>
      <c r="M1064" s="21">
        <f>VLOOKUP($K1064,'[4]blood tubes 2017'!$D$1:$L$647,8,FALSE)</f>
        <v>0</v>
      </c>
      <c r="N1064" s="15">
        <v>0</v>
      </c>
      <c r="O1064" s="15" t="s">
        <v>214</v>
      </c>
      <c r="P1064" s="16" t="s">
        <v>110</v>
      </c>
      <c r="Q1064" s="16">
        <v>1</v>
      </c>
      <c r="R1064" s="16">
        <v>18</v>
      </c>
      <c r="T1064" s="16" t="s">
        <v>129</v>
      </c>
      <c r="U1064" s="16" t="s">
        <v>151</v>
      </c>
      <c r="V1064" s="16" t="s">
        <v>114</v>
      </c>
      <c r="W1064" s="16">
        <f>AI1064/AG1064</f>
        <v>0.81443298969072164</v>
      </c>
      <c r="X1064" s="16" t="s">
        <v>121</v>
      </c>
      <c r="Y1064" s="16" t="s">
        <v>110</v>
      </c>
      <c r="Z1064" s="16">
        <v>3</v>
      </c>
      <c r="AA1064" s="16" t="s">
        <v>161</v>
      </c>
      <c r="AB1064" s="16" t="s">
        <v>239</v>
      </c>
      <c r="AC1064" s="16" t="s">
        <v>123</v>
      </c>
      <c r="AD1064" s="16" t="s">
        <v>116</v>
      </c>
      <c r="AG1064" s="16">
        <f>AH1064-AI1064</f>
        <v>97</v>
      </c>
      <c r="AH1064" s="16">
        <v>176</v>
      </c>
      <c r="AI1064" s="16">
        <v>79</v>
      </c>
      <c r="AK1064" s="16">
        <v>24.5</v>
      </c>
      <c r="AL1064" s="16">
        <v>0</v>
      </c>
      <c r="AM1064" s="16">
        <v>0</v>
      </c>
      <c r="AN1064" s="16">
        <v>0</v>
      </c>
      <c r="AO1064" s="16">
        <v>0</v>
      </c>
      <c r="AP1064" s="16">
        <f>SUM(AL1064:AN1064)</f>
        <v>0</v>
      </c>
      <c r="AQ1064" s="16">
        <v>1.758</v>
      </c>
      <c r="AR1064" s="16">
        <f>AP1064-1.472</f>
        <v>-1.472</v>
      </c>
      <c r="AS1064" s="16">
        <f>AQ1064-1.472</f>
        <v>0.28600000000000003</v>
      </c>
      <c r="AT1064" s="16" t="str">
        <f>VLOOKUP(E1064,[2]Current!$A$1:$W$435,7,FALSE)</f>
        <v>TE</v>
      </c>
      <c r="AU1064" s="16" t="s">
        <v>1288</v>
      </c>
      <c r="AW1064" s="128">
        <f>IF(AX1064&gt;0,1,0)</f>
        <v>1</v>
      </c>
      <c r="AX1064" s="128">
        <f>SUM(BA1064,BM1064,CU1064)</f>
        <v>1</v>
      </c>
      <c r="AY1064" s="128">
        <f>SUM(BB1064,BN1064,CV1064)</f>
        <v>3.4965034965034962</v>
      </c>
      <c r="AZ1064" s="128">
        <f>IF(BA1064&gt;0,1,0)</f>
        <v>0</v>
      </c>
      <c r="BA1064" s="128">
        <f>SUM(BC1064+BF1064+BI1064)</f>
        <v>0</v>
      </c>
      <c r="BB1064" s="128">
        <f>SUM(BE1064,BH1064,BK1064)</f>
        <v>0</v>
      </c>
      <c r="BC1064" s="130">
        <f>IF(BD1064&gt;0,1,0)</f>
        <v>0</v>
      </c>
      <c r="BD1064" s="128">
        <f>VLOOKUP($E1064,[2]Current!$A:$AC,26,FALSE)</f>
        <v>0</v>
      </c>
      <c r="BE1064" s="128">
        <f>BD1064/$AS1064</f>
        <v>0</v>
      </c>
      <c r="BF1064" s="130">
        <f>IF(BG1064&gt;0,1,0)</f>
        <v>0</v>
      </c>
      <c r="BG1064" s="137">
        <f>VLOOKUP($E1064,[2]Current!$A:$AC,27,FALSE)</f>
        <v>0</v>
      </c>
      <c r="BH1064" s="128">
        <f>BG1064/$AS1064</f>
        <v>0</v>
      </c>
      <c r="BI1064" s="130">
        <f>IF(BJ1064&gt;0,1,0)</f>
        <v>0</v>
      </c>
      <c r="BJ1064" s="128">
        <f>VLOOKUP($E1064,[2]Current!$A:$AC,28,FALSE)</f>
        <v>0</v>
      </c>
      <c r="BK1064" s="128">
        <f>BJ1064/$AS1064</f>
        <v>0</v>
      </c>
      <c r="BL1064" s="128">
        <f>IF(BM1064&gt;0,1,0)</f>
        <v>1</v>
      </c>
      <c r="BM1064" s="128">
        <f>SUM(BR1064,BU1064,BX1064,CA1064,CD1064)</f>
        <v>1</v>
      </c>
      <c r="BN1064" s="131">
        <f>SUM(BT1064,BW1064,BZ1064,CC1064,CF1064)</f>
        <v>3.4965034965034962</v>
      </c>
      <c r="BO1064" s="128">
        <f>IF(BP1064&gt;0,1,0)</f>
        <v>1</v>
      </c>
      <c r="BP1064" s="128">
        <f>BM1064+CJ1064</f>
        <v>2</v>
      </c>
      <c r="BQ1064" s="128">
        <f>BN1064+CL1064</f>
        <v>31.468531468531467</v>
      </c>
      <c r="BR1064" s="130">
        <f>IF(BS1064&gt;0,1,0)</f>
        <v>1</v>
      </c>
      <c r="BS1064" s="128">
        <f>VLOOKUP($E1064,[2]Current!$A:$AC,12,FALSE)</f>
        <v>1</v>
      </c>
      <c r="BT1064" s="137">
        <f>BS1064/$AS1064</f>
        <v>3.4965034965034962</v>
      </c>
      <c r="BU1064" s="130">
        <f>IF(BV1064&gt;0,1,0)</f>
        <v>0</v>
      </c>
      <c r="BV1064" s="128">
        <f>VLOOKUP($E1064,[2]Current!$A:$AC,13,FALSE)</f>
        <v>0</v>
      </c>
      <c r="BW1064" s="128">
        <f>BV1064/$AS1064</f>
        <v>0</v>
      </c>
      <c r="BX1064" s="130">
        <f>IF(BY1064&gt;0,1,0)</f>
        <v>0</v>
      </c>
      <c r="BY1064" s="128">
        <f>VLOOKUP($E1064,[2]Current!$A:$AC,14,FALSE)</f>
        <v>0</v>
      </c>
      <c r="BZ1064" s="128">
        <f>BY1064/$AS1064</f>
        <v>0</v>
      </c>
      <c r="CA1064" s="130">
        <f>IF(CB1064&gt;0,1,0)</f>
        <v>0</v>
      </c>
      <c r="CB1064" s="128">
        <f>VLOOKUP($E1064,[2]Current!$A:$AC,15,FALSE)</f>
        <v>0</v>
      </c>
      <c r="CC1064" s="128">
        <f>CB1064/$AS1064</f>
        <v>0</v>
      </c>
      <c r="CD1064" s="174">
        <f>IF(CE1064&gt;0,1,0)</f>
        <v>0</v>
      </c>
      <c r="CE1064" s="128">
        <f>VLOOKUP($E1064,[2]Current!$A:$AC,16,FALSE)</f>
        <v>0</v>
      </c>
      <c r="CF1064" s="128">
        <f>CE1064/$AS1064</f>
        <v>0</v>
      </c>
      <c r="CG1064" s="18"/>
      <c r="CH1064" s="18"/>
      <c r="CI1064" s="18"/>
      <c r="CJ1064" s="130">
        <f>IF(CK1064&gt;0,1,0)</f>
        <v>1</v>
      </c>
      <c r="CK1064" s="128">
        <f>VLOOKUP($E1064,[2]Current!$A:$AC,18,FALSE)</f>
        <v>8</v>
      </c>
      <c r="CL1064" s="128">
        <f>CK1064/$AS1064</f>
        <v>27.97202797202797</v>
      </c>
      <c r="CS1064" s="130">
        <f>IF(CU1064&gt;0,1,0)</f>
        <v>0</v>
      </c>
      <c r="CU1064" s="128">
        <f>VLOOKUP($E1064,[2]Current!$A:$AC,17,FALSE)</f>
        <v>0</v>
      </c>
      <c r="CV1064" s="128">
        <f>CU1064/$AS1064</f>
        <v>0</v>
      </c>
      <c r="CW1064" s="18"/>
      <c r="CX1064" s="18"/>
      <c r="CY1064" s="18"/>
      <c r="DF1064" s="16" t="e">
        <f>VLOOKUP(K1064,'[3]RNA Seq summary tables'!$V$3:$V$99,1,FALSE)</f>
        <v>#N/A</v>
      </c>
    </row>
    <row r="1065" spans="2:288" x14ac:dyDescent="0.2">
      <c r="B1065" s="16">
        <v>2017</v>
      </c>
      <c r="C1065" s="20">
        <v>42916</v>
      </c>
      <c r="D1065" s="20" t="str">
        <f>CONCATENATE(J1065,"-",C1065)</f>
        <v>1191-42916</v>
      </c>
      <c r="E1065" s="20" t="str">
        <f>CONCATENATE(T1065,"-",U1065,"-",C1065)</f>
        <v>HW2-E3-42916</v>
      </c>
      <c r="F1065" s="20" t="s">
        <v>106</v>
      </c>
      <c r="G1065" s="20" t="s">
        <v>107</v>
      </c>
      <c r="I1065" s="16">
        <v>0</v>
      </c>
      <c r="J1065" s="21">
        <v>1191</v>
      </c>
      <c r="K1065" s="21">
        <v>1802</v>
      </c>
      <c r="L1065" s="18">
        <v>0</v>
      </c>
      <c r="M1065" s="21">
        <f>VLOOKUP($K1065,'[4]blood tubes 2017'!$D$1:$L$647,8,FALSE)</f>
        <v>0</v>
      </c>
      <c r="N1065" s="15">
        <v>0</v>
      </c>
      <c r="O1065" s="15" t="s">
        <v>214</v>
      </c>
      <c r="P1065" s="16" t="s">
        <v>110</v>
      </c>
      <c r="Q1065" s="16">
        <v>0</v>
      </c>
      <c r="R1065" s="16" t="s">
        <v>111</v>
      </c>
      <c r="T1065" s="16" t="s">
        <v>129</v>
      </c>
      <c r="U1065" s="16" t="s">
        <v>225</v>
      </c>
      <c r="V1065" s="16" t="s">
        <v>114</v>
      </c>
      <c r="W1065" s="16">
        <f>AI1065/AG1065</f>
        <v>0.84</v>
      </c>
      <c r="X1065" s="16" t="s">
        <v>115</v>
      </c>
      <c r="Y1065" s="16" t="s">
        <v>145</v>
      </c>
      <c r="Z1065" s="16">
        <v>1</v>
      </c>
      <c r="AE1065" s="16" t="s">
        <v>123</v>
      </c>
      <c r="AF1065" s="16" t="s">
        <v>123</v>
      </c>
      <c r="AG1065" s="16">
        <f>AH1065-AI1065</f>
        <v>75</v>
      </c>
      <c r="AH1065" s="16">
        <v>138</v>
      </c>
      <c r="AI1065" s="18">
        <v>63</v>
      </c>
      <c r="AJ1065" s="18"/>
      <c r="AK1065" s="16">
        <v>11.5</v>
      </c>
      <c r="AL1065" s="16">
        <v>0</v>
      </c>
      <c r="AM1065" s="16">
        <v>0</v>
      </c>
      <c r="AN1065" s="16">
        <v>0</v>
      </c>
      <c r="AO1065" s="16">
        <v>0</v>
      </c>
      <c r="AP1065" s="16">
        <f>SUM(AL1065:AN1065)</f>
        <v>0</v>
      </c>
      <c r="AQ1065" s="16">
        <v>1.665</v>
      </c>
      <c r="AR1065" s="16">
        <f>AP1065-1.472</f>
        <v>-1.472</v>
      </c>
      <c r="AS1065" s="16">
        <f>AQ1065-1.472</f>
        <v>0.19300000000000006</v>
      </c>
      <c r="AT1065" s="16" t="s">
        <v>234</v>
      </c>
      <c r="AW1065" s="16">
        <f>IF(AX1065&gt;0,1,0)</f>
        <v>1</v>
      </c>
      <c r="AX1065" s="16">
        <f>SUM(BA1065,BM1065,CT1065)</f>
        <v>2</v>
      </c>
      <c r="AY1065" s="18">
        <f>SUM(BB1065,BN1065,CV1065)</f>
        <v>105134.71502590671</v>
      </c>
      <c r="AZ1065" s="16">
        <v>1</v>
      </c>
      <c r="BA1065" s="16">
        <v>2</v>
      </c>
      <c r="BB1065" s="16">
        <f>SUM(BE1065,BH1065,BK1065)</f>
        <v>105134.71502590671</v>
      </c>
      <c r="BC1065" s="16">
        <v>1</v>
      </c>
      <c r="BD1065" s="16">
        <v>6633</v>
      </c>
      <c r="BE1065" s="16">
        <f>BD1065/AS1065</f>
        <v>34367.875647668385</v>
      </c>
      <c r="BF1065" s="16">
        <v>0</v>
      </c>
      <c r="BG1065" s="77">
        <v>0</v>
      </c>
      <c r="BH1065" s="16">
        <f>BG1065/AS1065</f>
        <v>0</v>
      </c>
      <c r="BI1065" s="16">
        <v>1</v>
      </c>
      <c r="BJ1065" s="16">
        <v>13658</v>
      </c>
      <c r="BK1065" s="16">
        <f>BJ1065/AS1065</f>
        <v>70766.839378238321</v>
      </c>
      <c r="BL1065" s="16">
        <f>IF(BM1065&gt;0,1,0)</f>
        <v>0</v>
      </c>
      <c r="BM1065" s="16">
        <f>SUM(BR1065,BU1065,BX1065,CA1065,CD1065,CG1065,CJ1065,CM1065,CP1065)</f>
        <v>0</v>
      </c>
      <c r="BN1065" s="16">
        <f>SUM(BW1065,BZ1065,CC1065,CF1065,CI1065,CL1065,CO1065,CR1065,BT1065)</f>
        <v>0</v>
      </c>
      <c r="BO1065" s="16">
        <f>IF(BP1065&gt;0,1,0)</f>
        <v>0</v>
      </c>
      <c r="BP1065" s="16">
        <f>SUM(BU1065,BX1065,CA1065,CD1065,BR1065)</f>
        <v>0</v>
      </c>
      <c r="BQ1065" s="16">
        <f>SUM(BZ1065,CC1065,CF1065,BT1065,BW1065)</f>
        <v>0</v>
      </c>
      <c r="BR1065" s="16">
        <v>0</v>
      </c>
      <c r="BS1065" s="16">
        <v>0</v>
      </c>
      <c r="BT1065" s="77">
        <f>BS1065/AS1065</f>
        <v>0</v>
      </c>
      <c r="BU1065" s="16">
        <v>0</v>
      </c>
      <c r="BV1065" s="16">
        <v>0</v>
      </c>
      <c r="BW1065" s="16">
        <f>BV1065/AS1065</f>
        <v>0</v>
      </c>
      <c r="BX1065" s="16">
        <v>0</v>
      </c>
      <c r="BY1065" s="16">
        <v>0</v>
      </c>
      <c r="BZ1065" s="16">
        <f>BY1065/AS1065</f>
        <v>0</v>
      </c>
      <c r="CA1065" s="16">
        <v>0</v>
      </c>
      <c r="CB1065" s="16">
        <v>0</v>
      </c>
      <c r="CC1065" s="16">
        <f>CB1065/AS1065</f>
        <v>0</v>
      </c>
      <c r="CD1065" s="77">
        <v>0</v>
      </c>
      <c r="CE1065" s="16">
        <v>0</v>
      </c>
      <c r="CF1065" s="16">
        <f>CE1065/AS1065</f>
        <v>0</v>
      </c>
      <c r="CG1065" s="16">
        <v>0</v>
      </c>
      <c r="CH1065" s="16">
        <v>0</v>
      </c>
      <c r="CI1065" s="16">
        <f>CH1065/AS1065</f>
        <v>0</v>
      </c>
      <c r="CM1065" s="16">
        <v>0</v>
      </c>
      <c r="CN1065" s="16">
        <v>0</v>
      </c>
      <c r="CO1065" s="16">
        <f>CN1065/AS1065</f>
        <v>0</v>
      </c>
      <c r="CP1065" s="16">
        <v>0</v>
      </c>
      <c r="CQ1065" s="16">
        <v>0</v>
      </c>
      <c r="CR1065" s="16">
        <f>CQ1065/AS1065</f>
        <v>0</v>
      </c>
      <c r="CS1065" s="16">
        <v>0</v>
      </c>
      <c r="CT1065" s="16">
        <v>0</v>
      </c>
      <c r="CV1065" s="16">
        <f>SUM(CY1065,DB1065,DE1065)</f>
        <v>0</v>
      </c>
      <c r="CW1065" s="16">
        <v>0</v>
      </c>
      <c r="CX1065" s="16">
        <v>0</v>
      </c>
      <c r="CY1065" s="16">
        <f>CX1065/AS1065</f>
        <v>0</v>
      </c>
      <c r="CZ1065" s="16">
        <v>0</v>
      </c>
      <c r="DA1065" s="16">
        <v>0</v>
      </c>
      <c r="DB1065" s="16">
        <f>DA1065/AS1065</f>
        <v>0</v>
      </c>
      <c r="DC1065" s="16">
        <v>0</v>
      </c>
      <c r="DD1065" s="16">
        <v>0</v>
      </c>
      <c r="DE1065" s="16">
        <f>DD1065/AS1065</f>
        <v>0</v>
      </c>
      <c r="DF1065" s="16" t="e">
        <f>VLOOKUP(K1065,'[3]RNA Seq summary tables'!$V$3:$V$99,1,FALSE)</f>
        <v>#N/A</v>
      </c>
      <c r="DI1065" s="16">
        <v>53</v>
      </c>
      <c r="DK1065" s="16">
        <v>43</v>
      </c>
      <c r="DM1065" s="16">
        <v>4</v>
      </c>
      <c r="DO1065" s="16">
        <v>0</v>
      </c>
      <c r="DQ1065" s="16">
        <v>0</v>
      </c>
      <c r="DR1065" s="16">
        <f>SUM(DI1065:DQ1065)</f>
        <v>100</v>
      </c>
      <c r="JP1065" s="30"/>
      <c r="JQ1065" s="30"/>
      <c r="JR1065" s="27"/>
      <c r="JS1065" s="27"/>
      <c r="JT1065" s="27"/>
      <c r="JU1065" s="27"/>
      <c r="JV1065" s="27"/>
      <c r="JW1065" s="27"/>
      <c r="JX1065" s="27"/>
      <c r="JY1065" s="27"/>
      <c r="JZ1065" s="27"/>
      <c r="KA1065" s="27"/>
      <c r="KB1065" s="27"/>
    </row>
    <row r="1066" spans="2:288" x14ac:dyDescent="0.2">
      <c r="B1066" s="16">
        <v>2017</v>
      </c>
      <c r="C1066" s="20">
        <v>42916</v>
      </c>
      <c r="D1066" s="20" t="str">
        <f>CONCATENATE(J1066,"-",C1066)</f>
        <v>1193-42916</v>
      </c>
      <c r="E1066" s="20" t="str">
        <f>CONCATENATE(T1066,"-",U1066,"-",C1066)</f>
        <v>HW1-B7-42916</v>
      </c>
      <c r="F1066" s="20" t="s">
        <v>106</v>
      </c>
      <c r="G1066" s="20" t="s">
        <v>107</v>
      </c>
      <c r="H1066" s="40" t="s">
        <v>165</v>
      </c>
      <c r="I1066" s="16">
        <v>0</v>
      </c>
      <c r="J1066" s="21">
        <v>1193</v>
      </c>
      <c r="K1066" s="21">
        <v>1804</v>
      </c>
      <c r="L1066" s="18">
        <v>0</v>
      </c>
      <c r="M1066" s="21">
        <f>VLOOKUP($K1066,'[4]blood tubes 2017'!$D$1:$L$647,8,FALSE)</f>
        <v>0</v>
      </c>
      <c r="N1066" s="15">
        <v>0</v>
      </c>
      <c r="O1066" s="15" t="s">
        <v>214</v>
      </c>
      <c r="P1066" s="16" t="s">
        <v>110</v>
      </c>
      <c r="Q1066" s="16">
        <v>0</v>
      </c>
      <c r="R1066" s="16" t="s">
        <v>111</v>
      </c>
      <c r="T1066" s="16" t="s">
        <v>133</v>
      </c>
      <c r="U1066" s="16" t="s">
        <v>168</v>
      </c>
      <c r="V1066" s="16" t="s">
        <v>114</v>
      </c>
      <c r="W1066" s="16">
        <f>AI1066/AG1066</f>
        <v>0.72131147540983609</v>
      </c>
      <c r="X1066" s="16" t="s">
        <v>115</v>
      </c>
      <c r="Y1066" s="16" t="s">
        <v>145</v>
      </c>
      <c r="Z1066" s="16">
        <v>1</v>
      </c>
      <c r="AE1066" s="16" t="s">
        <v>123</v>
      </c>
      <c r="AF1066" s="16" t="s">
        <v>123</v>
      </c>
      <c r="AG1066" s="16">
        <f>AH1066-AI1066</f>
        <v>61</v>
      </c>
      <c r="AH1066" s="16">
        <v>105</v>
      </c>
      <c r="AI1066" s="18">
        <v>44</v>
      </c>
      <c r="AJ1066" s="18" t="s">
        <v>320</v>
      </c>
      <c r="AK1066" s="16">
        <v>7</v>
      </c>
      <c r="AL1066" s="16">
        <v>1</v>
      </c>
      <c r="AM1066" s="16">
        <v>0</v>
      </c>
      <c r="AN1066" s="16">
        <v>0</v>
      </c>
      <c r="AO1066" s="16">
        <v>1</v>
      </c>
      <c r="AP1066" s="16">
        <f>SUM(AL1066:AN1066)</f>
        <v>1</v>
      </c>
      <c r="AQ1066" s="16">
        <v>1.61</v>
      </c>
      <c r="AR1066" s="16">
        <f>AP1066-1.472</f>
        <v>-0.47199999999999998</v>
      </c>
      <c r="AS1066" s="16">
        <f>AQ1066-1.472</f>
        <v>0.13800000000000012</v>
      </c>
      <c r="AT1066" s="16" t="s">
        <v>119</v>
      </c>
      <c r="AW1066" s="16">
        <f>IF(AX1066&gt;0,1,0)</f>
        <v>1</v>
      </c>
      <c r="AX1066" s="16">
        <f>SUM(BA1066,BM1066,CT1066)</f>
        <v>1</v>
      </c>
      <c r="AY1066" s="18">
        <f>SUM(BB1066,BN1066,CV1066)</f>
        <v>7.2463768115941969</v>
      </c>
      <c r="AZ1066" s="16">
        <v>1</v>
      </c>
      <c r="BA1066" s="16">
        <v>1</v>
      </c>
      <c r="BB1066" s="16">
        <f>SUM(BE1066,BH1066,BK1066)</f>
        <v>7.2463768115941969</v>
      </c>
      <c r="BC1066" s="16">
        <v>0</v>
      </c>
      <c r="BD1066" s="16">
        <v>0</v>
      </c>
      <c r="BE1066" s="16">
        <f>BD1066/AS1066</f>
        <v>0</v>
      </c>
      <c r="BF1066" s="16">
        <v>1</v>
      </c>
      <c r="BG1066" s="77">
        <v>1</v>
      </c>
      <c r="BH1066" s="16">
        <f>BG1066/AS1066</f>
        <v>7.2463768115941969</v>
      </c>
      <c r="BI1066" s="16">
        <v>0</v>
      </c>
      <c r="BJ1066" s="16">
        <v>0</v>
      </c>
      <c r="BK1066" s="16">
        <f>BJ1066/AS1066</f>
        <v>0</v>
      </c>
      <c r="BL1066" s="16">
        <f>IF(BM1066&gt;0,1,0)</f>
        <v>0</v>
      </c>
      <c r="BM1066" s="16">
        <f>SUM(BR1066,BU1066,BX1066,CA1066,CD1066,CG1066,CJ1066,CM1066,CP1066)</f>
        <v>0</v>
      </c>
      <c r="BN1066" s="16">
        <f>SUM(BW1066,BZ1066,CC1066,CF1066,CI1066,CL1066,CO1066,CR1066,BT1066)</f>
        <v>0</v>
      </c>
      <c r="BO1066" s="16">
        <f>IF(BP1066&gt;0,1,0)</f>
        <v>0</v>
      </c>
      <c r="BP1066" s="16">
        <f>SUM(BU1066,BX1066,CA1066,CD1066,BR1066)</f>
        <v>0</v>
      </c>
      <c r="BQ1066" s="16">
        <f>SUM(BZ1066,CC1066,CF1066,BT1066,BW1066)</f>
        <v>0</v>
      </c>
      <c r="BR1066" s="16">
        <v>0</v>
      </c>
      <c r="BS1066" s="16">
        <v>0</v>
      </c>
      <c r="BT1066" s="77">
        <f>BS1066/AS1066</f>
        <v>0</v>
      </c>
      <c r="BU1066" s="16">
        <v>0</v>
      </c>
      <c r="BV1066" s="16">
        <v>0</v>
      </c>
      <c r="BW1066" s="16">
        <f>BV1066/AS1066</f>
        <v>0</v>
      </c>
      <c r="BX1066" s="16">
        <v>0</v>
      </c>
      <c r="BY1066" s="16">
        <v>0</v>
      </c>
      <c r="BZ1066" s="16">
        <f>BY1066/AS1066</f>
        <v>0</v>
      </c>
      <c r="CA1066" s="16">
        <v>0</v>
      </c>
      <c r="CB1066" s="16">
        <v>0</v>
      </c>
      <c r="CC1066" s="16">
        <f>CB1066/AS1066</f>
        <v>0</v>
      </c>
      <c r="CD1066" s="77">
        <v>0</v>
      </c>
      <c r="CE1066" s="16">
        <v>0</v>
      </c>
      <c r="CF1066" s="16">
        <f>CE1066/AS1066</f>
        <v>0</v>
      </c>
      <c r="CG1066" s="16">
        <v>0</v>
      </c>
      <c r="CH1066" s="16">
        <v>0</v>
      </c>
      <c r="CI1066" s="16">
        <f>CH1066/AS1066</f>
        <v>0</v>
      </c>
      <c r="CM1066" s="16">
        <v>0</v>
      </c>
      <c r="CN1066" s="16">
        <v>0</v>
      </c>
      <c r="CO1066" s="16">
        <f>CN1066/AS1066</f>
        <v>0</v>
      </c>
      <c r="CP1066" s="16">
        <v>0</v>
      </c>
      <c r="CQ1066" s="16">
        <v>0</v>
      </c>
      <c r="CR1066" s="16">
        <f>CQ1066/AS1066</f>
        <v>0</v>
      </c>
      <c r="CS1066" s="16">
        <v>0</v>
      </c>
      <c r="CT1066" s="16">
        <v>0</v>
      </c>
      <c r="CV1066" s="16">
        <f>SUM(CY1066,DB1066,DE1066)</f>
        <v>0</v>
      </c>
      <c r="CW1066" s="16">
        <v>0</v>
      </c>
      <c r="CX1066" s="16">
        <v>0</v>
      </c>
      <c r="CY1066" s="16">
        <f>CX1066/AS1066</f>
        <v>0</v>
      </c>
      <c r="CZ1066" s="16">
        <v>0</v>
      </c>
      <c r="DA1066" s="16">
        <v>0</v>
      </c>
      <c r="DB1066" s="16">
        <f>DA1066/AS1066</f>
        <v>0</v>
      </c>
      <c r="DC1066" s="16">
        <v>0</v>
      </c>
      <c r="DD1066" s="16">
        <v>0</v>
      </c>
      <c r="DE1066" s="16">
        <f>DD1066/AS1066</f>
        <v>0</v>
      </c>
      <c r="DF1066" s="16" t="e">
        <f>VLOOKUP(K1066,'[3]RNA Seq summary tables'!$V$3:$V$99,1,FALSE)</f>
        <v>#N/A</v>
      </c>
      <c r="DI1066" s="16">
        <v>17</v>
      </c>
      <c r="DK1066" s="16">
        <v>33</v>
      </c>
      <c r="DM1066" s="16">
        <v>2</v>
      </c>
      <c r="DO1066" s="16">
        <v>0</v>
      </c>
      <c r="DQ1066" s="16">
        <v>0</v>
      </c>
      <c r="DR1066" s="16">
        <f>SUM(DI1066:DQ1066)</f>
        <v>52</v>
      </c>
      <c r="JP1066" s="30"/>
      <c r="JQ1066" s="30"/>
      <c r="JR1066" s="27"/>
      <c r="JS1066" s="27"/>
      <c r="JT1066" s="27"/>
      <c r="JU1066" s="27"/>
      <c r="JV1066" s="27"/>
      <c r="JW1066" s="27"/>
      <c r="JX1066" s="27"/>
      <c r="JY1066" s="27"/>
      <c r="JZ1066" s="27"/>
      <c r="KA1066" s="27"/>
      <c r="KB1066" s="27"/>
    </row>
    <row r="1067" spans="2:288" x14ac:dyDescent="0.2">
      <c r="B1067" s="16">
        <v>2017</v>
      </c>
      <c r="C1067" s="66">
        <v>42919</v>
      </c>
      <c r="D1067" s="66" t="str">
        <f>CONCATENATE(J1067,"-",C1067)</f>
        <v>1195-42919</v>
      </c>
      <c r="E1067" s="20" t="str">
        <f>CONCATENATE(T1067,"-",U1067,"-",C1067)</f>
        <v>BC2-A5-42919</v>
      </c>
      <c r="F1067" s="20" t="s">
        <v>106</v>
      </c>
      <c r="G1067" s="20" t="s">
        <v>107</v>
      </c>
      <c r="I1067" s="16">
        <v>0</v>
      </c>
      <c r="J1067" s="21">
        <v>1195</v>
      </c>
      <c r="K1067" s="21">
        <v>1806</v>
      </c>
      <c r="L1067" s="18">
        <v>0</v>
      </c>
      <c r="M1067" s="21">
        <f>VLOOKUP($K1067,'[4]blood tubes 2017'!$D$1:$L$647,8,FALSE)</f>
        <v>0</v>
      </c>
      <c r="N1067" s="15">
        <v>0</v>
      </c>
      <c r="O1067" s="15" t="s">
        <v>214</v>
      </c>
      <c r="P1067" s="16" t="s">
        <v>110</v>
      </c>
      <c r="Q1067" s="16">
        <v>0</v>
      </c>
      <c r="R1067" s="16" t="s">
        <v>111</v>
      </c>
      <c r="T1067" s="16" t="s">
        <v>154</v>
      </c>
      <c r="U1067" s="16" t="s">
        <v>167</v>
      </c>
      <c r="V1067" s="16" t="s">
        <v>114</v>
      </c>
      <c r="W1067" s="16">
        <f>AI1067/AG1067</f>
        <v>0.75757575757575757</v>
      </c>
      <c r="X1067" s="16" t="s">
        <v>121</v>
      </c>
      <c r="Y1067" s="16" t="s">
        <v>110</v>
      </c>
      <c r="Z1067" s="16">
        <v>3</v>
      </c>
      <c r="AA1067" s="16" t="s">
        <v>119</v>
      </c>
      <c r="AB1067" s="16" t="s">
        <v>240</v>
      </c>
      <c r="AC1067" s="16" t="s">
        <v>123</v>
      </c>
      <c r="AD1067" s="16" t="s">
        <v>123</v>
      </c>
      <c r="AG1067" s="16">
        <f>AH1067-AI1067</f>
        <v>99</v>
      </c>
      <c r="AH1067" s="16">
        <v>174</v>
      </c>
      <c r="AI1067" s="18">
        <v>75</v>
      </c>
      <c r="AJ1067" s="18"/>
      <c r="AK1067" s="16">
        <v>32.5</v>
      </c>
      <c r="AL1067" s="16">
        <v>1</v>
      </c>
      <c r="AM1067" s="16">
        <v>0</v>
      </c>
      <c r="AN1067" s="16">
        <v>0</v>
      </c>
      <c r="AO1067" s="16">
        <v>1</v>
      </c>
      <c r="AP1067" s="16">
        <f>SUM(AL1067:AN1067)</f>
        <v>1</v>
      </c>
      <c r="AQ1067" s="16">
        <v>1.708</v>
      </c>
      <c r="AR1067" s="16">
        <f>AP1067-1.472</f>
        <v>-0.47199999999999998</v>
      </c>
      <c r="AS1067" s="16">
        <f>AQ1067-1.472</f>
        <v>0.23599999999999999</v>
      </c>
      <c r="AT1067" s="18" t="s">
        <v>119</v>
      </c>
      <c r="AU1067" s="18"/>
      <c r="AV1067" s="18"/>
      <c r="AW1067" s="18">
        <f>IF(AX1067&gt;0,1,0)</f>
        <v>1</v>
      </c>
      <c r="AX1067" s="18">
        <f>SUM(BA1067,BM1067,CT1067)</f>
        <v>2</v>
      </c>
      <c r="AY1067" s="18">
        <f>SUM(BB1067,BN1067,CV1067)</f>
        <v>5288.1355932203387</v>
      </c>
      <c r="AZ1067" s="18">
        <f>IF(BA1067&gt;0,1,0)</f>
        <v>1</v>
      </c>
      <c r="BA1067" s="18">
        <f>SUM(BC1067,BF1067,BI1067)</f>
        <v>1</v>
      </c>
      <c r="BB1067" s="18">
        <f>SUM(BE1067,BH1067,BK1067)</f>
        <v>5271.1864406779659</v>
      </c>
      <c r="BC1067" s="18">
        <f>IF(BD1067&gt;0,1,0)</f>
        <v>0</v>
      </c>
      <c r="BD1067" s="18">
        <v>0</v>
      </c>
      <c r="BE1067" s="16">
        <f>BD1067/AS1067</f>
        <v>0</v>
      </c>
      <c r="BF1067" s="16">
        <f>IF(BG1067&gt;0,1,0)</f>
        <v>1</v>
      </c>
      <c r="BG1067" s="77">
        <v>1244</v>
      </c>
      <c r="BH1067" s="16">
        <f>BG1067/AS1067</f>
        <v>5271.1864406779659</v>
      </c>
      <c r="BI1067" s="16">
        <f>IF(BJ1067&gt;0,1,0)</f>
        <v>0</v>
      </c>
      <c r="BJ1067" s="16">
        <v>0</v>
      </c>
      <c r="BK1067" s="16">
        <f>BJ1067/AS1067</f>
        <v>0</v>
      </c>
      <c r="BL1067" s="16">
        <f>IF(BM1067&gt;0,1,0)</f>
        <v>1</v>
      </c>
      <c r="BM1067" s="16">
        <f>SUM(BR1067,BU1067,BX1067,CA1067,CD1067,CG1067,CJ1067,CM1067,CP1067)</f>
        <v>1</v>
      </c>
      <c r="BN1067" s="16">
        <f>SUM(BW1067,BZ1067,CC1067,CF1067,CI1067,CL1067,CO1067,CR1067,BT1067)</f>
        <v>16.949152542372882</v>
      </c>
      <c r="BO1067" s="16">
        <f>IF(BP1067&gt;0,1,0)</f>
        <v>1</v>
      </c>
      <c r="BP1067" s="16">
        <f>SUM(BU1067,BX1067,CA1067,CD1067,BR1067)</f>
        <v>1</v>
      </c>
      <c r="BQ1067" s="16">
        <f>SUM(BZ1067,CC1067,CF1067,BT1067,BW1067)</f>
        <v>16.949152542372882</v>
      </c>
      <c r="BR1067" s="16">
        <f>IF(BS1067&gt;0,1,0)</f>
        <v>0</v>
      </c>
      <c r="BS1067" s="16">
        <v>0</v>
      </c>
      <c r="BT1067" s="77">
        <f>BS1067/AS1067</f>
        <v>0</v>
      </c>
      <c r="BU1067" s="16">
        <f>IF(BV1067&gt;0,1,0)</f>
        <v>0</v>
      </c>
      <c r="BV1067" s="16">
        <v>0</v>
      </c>
      <c r="BW1067" s="16">
        <f>BV1067/AS1067</f>
        <v>0</v>
      </c>
      <c r="BX1067" s="16">
        <f>IF(BY1067&gt;0,1,0)</f>
        <v>1</v>
      </c>
      <c r="BY1067" s="16">
        <v>4</v>
      </c>
      <c r="BZ1067" s="16">
        <f>BY1067/AS1067</f>
        <v>16.949152542372882</v>
      </c>
      <c r="CA1067" s="16">
        <f>IF(CB1067&gt;0,1,0)</f>
        <v>0</v>
      </c>
      <c r="CB1067" s="16">
        <v>0</v>
      </c>
      <c r="CC1067" s="16">
        <f>CB1067/AS1067</f>
        <v>0</v>
      </c>
      <c r="CD1067" s="77">
        <f>IF(CE1067&gt;0,1,0)</f>
        <v>0</v>
      </c>
      <c r="CE1067" s="16">
        <v>0</v>
      </c>
      <c r="CF1067" s="16">
        <f>CE1067/AS1067</f>
        <v>0</v>
      </c>
      <c r="CG1067" s="16">
        <f>IF(CH1067&gt;0,1,0)</f>
        <v>0</v>
      </c>
      <c r="CH1067" s="16">
        <v>0</v>
      </c>
      <c r="CI1067" s="16">
        <f>CH1067/AS1067</f>
        <v>0</v>
      </c>
      <c r="CJ1067" s="18">
        <v>0</v>
      </c>
      <c r="CK1067" s="18">
        <v>0</v>
      </c>
      <c r="CL1067" s="18">
        <v>0</v>
      </c>
      <c r="CS1067" s="16">
        <f>IF(CT1067&gt;0,1,0)</f>
        <v>0</v>
      </c>
      <c r="CT1067" s="16">
        <f>SUM(CW1067+CZ1067,DC1067)</f>
        <v>0</v>
      </c>
      <c r="CV1067" s="16">
        <f>SUM(CY1067,DB1067,DE1067)</f>
        <v>0</v>
      </c>
      <c r="CW1067" s="16">
        <f>IF(CX1067&gt;0,1,0)</f>
        <v>0</v>
      </c>
      <c r="CX1067" s="16">
        <v>0</v>
      </c>
      <c r="CY1067" s="16">
        <f>CX1067/AS1067</f>
        <v>0</v>
      </c>
      <c r="CZ1067" s="16">
        <f>IF(DA1067&gt;0,1,0)</f>
        <v>0</v>
      </c>
      <c r="DA1067" s="16">
        <v>0</v>
      </c>
      <c r="DB1067" s="16">
        <f>DA1067/AS1067</f>
        <v>0</v>
      </c>
      <c r="DC1067" s="16">
        <v>0</v>
      </c>
      <c r="DD1067" s="16">
        <v>0</v>
      </c>
      <c r="DE1067" s="16">
        <f>DD1067/AS1067</f>
        <v>0</v>
      </c>
      <c r="DF1067" s="16" t="e">
        <f>VLOOKUP(K1067,'[3]RNA Seq summary tables'!$V$3:$V$99,1,FALSE)</f>
        <v>#N/A</v>
      </c>
      <c r="DI1067" s="16">
        <v>19</v>
      </c>
      <c r="DK1067" s="16">
        <v>77</v>
      </c>
      <c r="DM1067" s="16">
        <v>4</v>
      </c>
      <c r="DO1067" s="16">
        <v>0</v>
      </c>
      <c r="DQ1067" s="16">
        <v>0</v>
      </c>
      <c r="DR1067" s="16">
        <f>SUM(DI1067:DQ1067)</f>
        <v>100</v>
      </c>
      <c r="JP1067" s="30"/>
      <c r="JQ1067" s="30"/>
      <c r="JR1067" s="27"/>
      <c r="JS1067" s="27"/>
      <c r="JT1067" s="27"/>
      <c r="JU1067" s="27"/>
      <c r="JV1067" s="27"/>
      <c r="JW1067" s="27"/>
      <c r="JX1067" s="27"/>
      <c r="JY1067" s="27"/>
      <c r="JZ1067" s="27"/>
      <c r="KA1067" s="27"/>
      <c r="KB1067" s="27"/>
    </row>
    <row r="1068" spans="2:288" ht="16" x14ac:dyDescent="0.2">
      <c r="B1068" s="16">
        <v>2017</v>
      </c>
      <c r="C1068" s="20">
        <v>42936</v>
      </c>
      <c r="D1068" s="20" t="str">
        <f>CONCATENATE(J1068,"-",C1068)</f>
        <v>1195-42936</v>
      </c>
      <c r="E1068" s="37" t="str">
        <f>CONCATENATE(T1068,"-",U1068,"-",C1068)</f>
        <v>BC1-H1-42936</v>
      </c>
      <c r="F1068" s="20" t="s">
        <v>106</v>
      </c>
      <c r="G1068" s="20" t="s">
        <v>107</v>
      </c>
      <c r="I1068" s="16">
        <v>0</v>
      </c>
      <c r="J1068" s="21">
        <v>1195</v>
      </c>
      <c r="K1068" s="21">
        <v>1939</v>
      </c>
      <c r="L1068" s="18">
        <v>0</v>
      </c>
      <c r="M1068" s="21">
        <f>VLOOKUP($K1068,'[4]blood tubes 2017'!$D$1:$L$647,8,FALSE)</f>
        <v>0</v>
      </c>
      <c r="N1068" s="15">
        <v>0</v>
      </c>
      <c r="O1068" s="15" t="s">
        <v>214</v>
      </c>
      <c r="P1068" s="16" t="s">
        <v>110</v>
      </c>
      <c r="Q1068" s="16">
        <v>1</v>
      </c>
      <c r="R1068" s="16">
        <v>17</v>
      </c>
      <c r="T1068" s="16" t="s">
        <v>159</v>
      </c>
      <c r="U1068" s="16" t="s">
        <v>191</v>
      </c>
      <c r="V1068" s="16" t="s">
        <v>114</v>
      </c>
      <c r="W1068" s="16">
        <f>AI1068/AG1068</f>
        <v>0.77319587628865982</v>
      </c>
      <c r="X1068" s="16" t="s">
        <v>121</v>
      </c>
      <c r="Y1068" s="16" t="s">
        <v>110</v>
      </c>
      <c r="Z1068" s="16">
        <v>3</v>
      </c>
      <c r="AA1068" s="16" t="s">
        <v>119</v>
      </c>
      <c r="AB1068" s="16" t="s">
        <v>240</v>
      </c>
      <c r="AC1068" s="16" t="s">
        <v>123</v>
      </c>
      <c r="AD1068" s="16" t="s">
        <v>123</v>
      </c>
      <c r="AG1068" s="16">
        <f>AH1068-AI1068</f>
        <v>97</v>
      </c>
      <c r="AH1068" s="16">
        <v>172</v>
      </c>
      <c r="AI1068" s="18">
        <v>75</v>
      </c>
      <c r="AJ1068" s="18"/>
      <c r="AK1068" s="16">
        <v>26.5</v>
      </c>
      <c r="AL1068" s="16">
        <v>0</v>
      </c>
      <c r="AM1068" s="16">
        <v>0</v>
      </c>
      <c r="AN1068" s="16">
        <v>0</v>
      </c>
      <c r="AO1068" s="16">
        <v>0</v>
      </c>
      <c r="AP1068" s="16">
        <f>SUM(AL1068:AN1068)</f>
        <v>0</v>
      </c>
      <c r="AQ1068" s="16">
        <v>1.9630000000000001</v>
      </c>
      <c r="AR1068" s="16">
        <f>AP1068-1.472</f>
        <v>-1.472</v>
      </c>
      <c r="AS1068" s="16">
        <f>AQ1068-1.472</f>
        <v>0.4910000000000001</v>
      </c>
      <c r="AT1068" s="16" t="str">
        <f>VLOOKUP(E1068,[2]Current!$A$1:$W$435,7,FALSE)</f>
        <v>NB</v>
      </c>
      <c r="AU1068" s="16" t="s">
        <v>1288</v>
      </c>
      <c r="AV1068" s="23"/>
      <c r="AW1068" s="128">
        <f>IF(AX1068&gt;0,1,0)</f>
        <v>1</v>
      </c>
      <c r="AX1068" s="128">
        <f>SUM(BA1068,BM1068,CU1068)</f>
        <v>1</v>
      </c>
      <c r="AY1068" s="128">
        <f>SUM(BB1068,BN1068,CV1068)</f>
        <v>743.38085539714848</v>
      </c>
      <c r="AZ1068" s="128">
        <f>IF(BA1068&gt;0,1,0)</f>
        <v>1</v>
      </c>
      <c r="BA1068" s="128">
        <f>SUM(BC1068+BF1068+BI1068)</f>
        <v>1</v>
      </c>
      <c r="BB1068" s="128">
        <f>SUM(BE1068,BH1068,BK1068)</f>
        <v>743.38085539714848</v>
      </c>
      <c r="BC1068" s="130">
        <f>IF(BD1068&gt;0,1,0)</f>
        <v>0</v>
      </c>
      <c r="BD1068" s="128">
        <f>VLOOKUP($E1068,[2]Current!$A:$AC,26,FALSE)</f>
        <v>0</v>
      </c>
      <c r="BE1068" s="128">
        <f>BD1068/$AS1068</f>
        <v>0</v>
      </c>
      <c r="BF1068" s="130">
        <f>IF(BG1068&gt;0,1,0)</f>
        <v>1</v>
      </c>
      <c r="BG1068" s="137">
        <f>VLOOKUP($E1068,[2]Current!$A:$AC,27,FALSE)</f>
        <v>365</v>
      </c>
      <c r="BH1068" s="128">
        <f>BG1068/$AS1068</f>
        <v>743.38085539714848</v>
      </c>
      <c r="BI1068" s="130">
        <f>IF(BJ1068&gt;0,1,0)</f>
        <v>0</v>
      </c>
      <c r="BJ1068" s="128">
        <f>VLOOKUP($E1068,[2]Current!$A:$AC,28,FALSE)</f>
        <v>0</v>
      </c>
      <c r="BK1068" s="128">
        <f>BJ1068/$AS1068</f>
        <v>0</v>
      </c>
      <c r="BL1068" s="128">
        <f>IF(BM1068&gt;0,1,0)</f>
        <v>0</v>
      </c>
      <c r="BM1068" s="128">
        <f>SUM(BR1068,BU1068,BX1068,CA1068,CD1068)</f>
        <v>0</v>
      </c>
      <c r="BN1068" s="131">
        <f>SUM(BT1068,BW1068,BZ1068,CC1068,CF1068)</f>
        <v>0</v>
      </c>
      <c r="BO1068" s="128">
        <f>IF(BP1068&gt;0,1,0)</f>
        <v>0</v>
      </c>
      <c r="BP1068" s="128">
        <f>BM1068+CJ1068</f>
        <v>0</v>
      </c>
      <c r="BQ1068" s="128">
        <f>BN1068+CL1068</f>
        <v>0</v>
      </c>
      <c r="BR1068" s="130">
        <f>IF(BS1068&gt;0,1,0)</f>
        <v>0</v>
      </c>
      <c r="BS1068" s="128">
        <f>VLOOKUP($E1068,[2]Current!$A:$AC,12,FALSE)</f>
        <v>0</v>
      </c>
      <c r="BT1068" s="137">
        <f>BS1068/$AS1068</f>
        <v>0</v>
      </c>
      <c r="BU1068" s="130">
        <f>IF(BV1068&gt;0,1,0)</f>
        <v>0</v>
      </c>
      <c r="BV1068" s="128">
        <f>VLOOKUP($E1068,[2]Current!$A:$AC,13,FALSE)</f>
        <v>0</v>
      </c>
      <c r="BW1068" s="128">
        <f>BV1068/$AS1068</f>
        <v>0</v>
      </c>
      <c r="BX1068" s="130">
        <f>IF(BY1068&gt;0,1,0)</f>
        <v>0</v>
      </c>
      <c r="BY1068" s="128">
        <f>VLOOKUP($E1068,[2]Current!$A:$AC,14,FALSE)</f>
        <v>0</v>
      </c>
      <c r="BZ1068" s="128">
        <f>BY1068/$AS1068</f>
        <v>0</v>
      </c>
      <c r="CA1068" s="130">
        <f>IF(CB1068&gt;0,1,0)</f>
        <v>0</v>
      </c>
      <c r="CB1068" s="128">
        <f>VLOOKUP($E1068,[2]Current!$A:$AC,15,FALSE)</f>
        <v>0</v>
      </c>
      <c r="CC1068" s="128">
        <f>CB1068/$AS1068</f>
        <v>0</v>
      </c>
      <c r="CD1068" s="174">
        <f>IF(CE1068&gt;0,1,0)</f>
        <v>0</v>
      </c>
      <c r="CE1068" s="128">
        <f>VLOOKUP($E1068,[2]Current!$A:$AC,16,FALSE)</f>
        <v>0</v>
      </c>
      <c r="CF1068" s="128">
        <f>CE1068/$AS1068</f>
        <v>0</v>
      </c>
      <c r="CG1068" s="18"/>
      <c r="CH1068" s="18"/>
      <c r="CI1068" s="18"/>
      <c r="CJ1068" s="130">
        <f>IF(CK1068&gt;0,1,0)</f>
        <v>0</v>
      </c>
      <c r="CK1068" s="128">
        <f>VLOOKUP($E1068,[2]Current!$A:$AC,18,FALSE)</f>
        <v>0</v>
      </c>
      <c r="CL1068" s="128">
        <f>CK1068/$AS1068</f>
        <v>0</v>
      </c>
      <c r="CS1068" s="130">
        <f>IF(CU1068&gt;0,1,0)</f>
        <v>0</v>
      </c>
      <c r="CT1068" s="18"/>
      <c r="CU1068" s="128">
        <f>VLOOKUP($E1068,[2]Current!$A:$AC,17,FALSE)</f>
        <v>0</v>
      </c>
      <c r="CV1068" s="128">
        <f>CU1068/$AS1068</f>
        <v>0</v>
      </c>
      <c r="CW1068" s="18"/>
      <c r="CX1068" s="18"/>
      <c r="CY1068" s="18"/>
      <c r="DF1068" s="16" t="e">
        <f>VLOOKUP(K1068,'[3]RNA Seq summary tables'!$V$3:$V$99,1,FALSE)</f>
        <v>#N/A</v>
      </c>
    </row>
    <row r="1069" spans="2:288" x14ac:dyDescent="0.2">
      <c r="B1069" s="16">
        <v>2017</v>
      </c>
      <c r="C1069" s="20">
        <v>42919</v>
      </c>
      <c r="D1069" s="20" t="str">
        <f>CONCATENATE(J1069,"-",C1069)</f>
        <v>1197-42919</v>
      </c>
      <c r="E1069" s="20" t="str">
        <f>CONCATENATE(T1069,"-",U1069,"-",C1069)</f>
        <v>BC2-D3-42919</v>
      </c>
      <c r="F1069" s="20" t="s">
        <v>106</v>
      </c>
      <c r="G1069" s="20" t="s">
        <v>107</v>
      </c>
      <c r="I1069" s="16">
        <v>0</v>
      </c>
      <c r="J1069" s="21">
        <v>1197</v>
      </c>
      <c r="K1069" s="21">
        <v>1808</v>
      </c>
      <c r="L1069" s="18">
        <v>0</v>
      </c>
      <c r="M1069" s="21">
        <f>VLOOKUP($K1069,'[4]blood tubes 2017'!$D$1:$L$647,8,FALSE)</f>
        <v>0</v>
      </c>
      <c r="N1069" s="15">
        <v>0</v>
      </c>
      <c r="O1069" s="15" t="s">
        <v>214</v>
      </c>
      <c r="P1069" s="16" t="s">
        <v>110</v>
      </c>
      <c r="Q1069" s="16">
        <v>0</v>
      </c>
      <c r="R1069" s="16" t="s">
        <v>111</v>
      </c>
      <c r="T1069" s="16" t="s">
        <v>154</v>
      </c>
      <c r="U1069" s="16" t="s">
        <v>149</v>
      </c>
      <c r="V1069" s="16" t="s">
        <v>114</v>
      </c>
      <c r="W1069" s="16">
        <f>AI1069/AG1069</f>
        <v>0.76136363636363635</v>
      </c>
      <c r="X1069" s="16" t="s">
        <v>121</v>
      </c>
      <c r="Y1069" s="16" t="s">
        <v>122</v>
      </c>
      <c r="Z1069" s="16">
        <v>2.6</v>
      </c>
      <c r="AA1069" s="16" t="s">
        <v>161</v>
      </c>
      <c r="AB1069" s="16" t="s">
        <v>123</v>
      </c>
      <c r="AC1069" s="16" t="s">
        <v>123</v>
      </c>
      <c r="AD1069" s="16" t="s">
        <v>116</v>
      </c>
      <c r="AG1069" s="16">
        <f>AH1069-AI1069</f>
        <v>88</v>
      </c>
      <c r="AH1069" s="16">
        <v>155</v>
      </c>
      <c r="AI1069" s="16">
        <v>67</v>
      </c>
      <c r="AK1069" s="16">
        <v>16.5</v>
      </c>
      <c r="AL1069" s="16">
        <v>0</v>
      </c>
      <c r="AM1069" s="16">
        <v>0</v>
      </c>
      <c r="AN1069" s="16">
        <v>0</v>
      </c>
      <c r="AO1069" s="16">
        <v>0</v>
      </c>
      <c r="AP1069" s="16">
        <f>SUM(AL1069:AN1069)</f>
        <v>0</v>
      </c>
      <c r="AQ1069" s="16">
        <v>1.718</v>
      </c>
      <c r="AR1069" s="16">
        <f>AP1069-1.472</f>
        <v>-1.472</v>
      </c>
      <c r="AS1069" s="16">
        <f>AQ1069-1.472</f>
        <v>0.246</v>
      </c>
      <c r="AT1069" s="16" t="s">
        <v>234</v>
      </c>
      <c r="AV1069" s="16">
        <v>1</v>
      </c>
      <c r="AW1069" s="40">
        <v>0</v>
      </c>
      <c r="AX1069" s="40">
        <v>0</v>
      </c>
      <c r="AY1069" s="40">
        <v>0</v>
      </c>
      <c r="AZ1069" s="40">
        <v>0</v>
      </c>
      <c r="BA1069" s="40">
        <v>0</v>
      </c>
      <c r="BB1069" s="40">
        <v>0</v>
      </c>
      <c r="BC1069" s="40">
        <v>0</v>
      </c>
      <c r="BD1069" s="40">
        <v>0</v>
      </c>
      <c r="BE1069" s="40">
        <v>0</v>
      </c>
      <c r="BF1069" s="40">
        <v>0</v>
      </c>
      <c r="BG1069" s="79">
        <v>0</v>
      </c>
      <c r="BH1069" s="40">
        <v>0</v>
      </c>
      <c r="BI1069" s="40">
        <v>0</v>
      </c>
      <c r="BJ1069" s="40">
        <v>0</v>
      </c>
      <c r="BK1069" s="40">
        <v>0</v>
      </c>
      <c r="BL1069" s="40">
        <v>0</v>
      </c>
      <c r="BM1069" s="40">
        <f>SUM(BR1069,BU1069,BX1069,CA1069,CD1069,CG1069,CJ1069,CM1069,CP1069)</f>
        <v>0</v>
      </c>
      <c r="BN1069" s="40">
        <f>SUM(BW1069,BZ1069,CC1069,CF1069,CI1069,CL1069,CO1069,CR1069,BT1069)</f>
        <v>0</v>
      </c>
      <c r="BO1069" s="40">
        <f>IF(BP1069&gt;0,1,0)</f>
        <v>0</v>
      </c>
      <c r="BP1069" s="40">
        <f>SUM(BU1069,BX1069,CA1069,CD1069,BR1069)</f>
        <v>0</v>
      </c>
      <c r="BQ1069" s="40">
        <f>SUM(BZ1069,CC1069,CF1069,BT1069,BW1069)</f>
        <v>0</v>
      </c>
      <c r="BR1069" s="40">
        <v>0</v>
      </c>
      <c r="BS1069" s="40">
        <v>0</v>
      </c>
      <c r="BT1069" s="79">
        <v>0</v>
      </c>
      <c r="BU1069" s="40">
        <v>0</v>
      </c>
      <c r="BV1069" s="40">
        <v>0</v>
      </c>
      <c r="BW1069" s="40">
        <v>0</v>
      </c>
      <c r="BX1069" s="40">
        <v>0</v>
      </c>
      <c r="BY1069" s="40">
        <v>0</v>
      </c>
      <c r="BZ1069" s="40">
        <v>0</v>
      </c>
      <c r="CA1069" s="40">
        <v>0</v>
      </c>
      <c r="CB1069" s="40">
        <v>0</v>
      </c>
      <c r="CC1069" s="40">
        <v>0</v>
      </c>
      <c r="CD1069" s="79">
        <v>0</v>
      </c>
      <c r="CE1069" s="40">
        <v>0</v>
      </c>
      <c r="CF1069" s="40">
        <v>0</v>
      </c>
      <c r="CG1069" s="40">
        <v>0</v>
      </c>
      <c r="CH1069" s="40">
        <v>0</v>
      </c>
      <c r="CI1069" s="40">
        <v>0</v>
      </c>
      <c r="CJ1069" s="40"/>
      <c r="CK1069" s="40"/>
      <c r="CL1069" s="40"/>
      <c r="CM1069" s="40">
        <v>0</v>
      </c>
      <c r="CN1069" s="40">
        <v>0</v>
      </c>
      <c r="CO1069" s="40">
        <v>0</v>
      </c>
      <c r="CP1069" s="40">
        <v>0</v>
      </c>
      <c r="CQ1069" s="40">
        <v>0</v>
      </c>
      <c r="CR1069" s="40">
        <v>0</v>
      </c>
      <c r="CS1069" s="40">
        <v>0</v>
      </c>
      <c r="CT1069" s="40">
        <v>0</v>
      </c>
      <c r="CU1069" s="40"/>
      <c r="CV1069" s="40">
        <v>0</v>
      </c>
      <c r="CW1069" s="40">
        <v>0</v>
      </c>
      <c r="CX1069" s="40">
        <v>0</v>
      </c>
      <c r="CY1069" s="40">
        <v>0</v>
      </c>
      <c r="CZ1069" s="40">
        <v>0</v>
      </c>
      <c r="DA1069" s="40">
        <v>0</v>
      </c>
      <c r="DB1069" s="40">
        <v>0</v>
      </c>
      <c r="DC1069" s="40">
        <v>0</v>
      </c>
      <c r="DD1069" s="40">
        <v>0</v>
      </c>
      <c r="DE1069" s="40">
        <v>0</v>
      </c>
      <c r="DF1069" s="16" t="e">
        <f>VLOOKUP(K1069,'[3]RNA Seq summary tables'!$V$3:$V$99,1,FALSE)</f>
        <v>#N/A</v>
      </c>
      <c r="DI1069" s="16">
        <v>50</v>
      </c>
      <c r="DK1069" s="16">
        <v>43</v>
      </c>
      <c r="DM1069" s="16">
        <v>7</v>
      </c>
      <c r="DO1069" s="16">
        <v>0</v>
      </c>
      <c r="DQ1069" s="16">
        <v>0</v>
      </c>
      <c r="DR1069" s="16">
        <f>SUM(DI1069:DQ1069)</f>
        <v>100</v>
      </c>
      <c r="JO1069" s="18"/>
      <c r="JR1069" s="27"/>
      <c r="JS1069" s="27"/>
      <c r="JT1069" s="27"/>
      <c r="JU1069" s="27"/>
      <c r="JV1069" s="27"/>
      <c r="JW1069" s="27"/>
      <c r="JX1069" s="27"/>
      <c r="JY1069" s="27"/>
      <c r="JZ1069" s="27"/>
      <c r="KA1069" s="27"/>
      <c r="KB1069" s="27"/>
    </row>
    <row r="1070" spans="2:288" ht="16" x14ac:dyDescent="0.2">
      <c r="B1070" s="16">
        <v>2017</v>
      </c>
      <c r="C1070" s="20">
        <v>42937</v>
      </c>
      <c r="D1070" s="20" t="str">
        <f>CONCATENATE(J1070,"-",C1070)</f>
        <v>1197-42937</v>
      </c>
      <c r="E1070" s="37" t="str">
        <f>CONCATENATE(T1070,"-",U1070,"-",C1070)</f>
        <v>BC2-D2-42937</v>
      </c>
      <c r="F1070" s="20" t="s">
        <v>106</v>
      </c>
      <c r="G1070" s="20" t="s">
        <v>107</v>
      </c>
      <c r="I1070" s="16">
        <v>0</v>
      </c>
      <c r="J1070" s="21">
        <v>1197</v>
      </c>
      <c r="K1070" s="21">
        <v>1941</v>
      </c>
      <c r="L1070" s="18">
        <v>0</v>
      </c>
      <c r="M1070" s="21">
        <f>VLOOKUP($K1070,'[4]blood tubes 2017'!$D$1:$L$647,8,FALSE)</f>
        <v>0</v>
      </c>
      <c r="N1070" s="15">
        <v>0</v>
      </c>
      <c r="O1070" s="15" t="s">
        <v>214</v>
      </c>
      <c r="P1070" s="16" t="s">
        <v>110</v>
      </c>
      <c r="Q1070" s="16">
        <v>1</v>
      </c>
      <c r="R1070" s="16">
        <v>18</v>
      </c>
      <c r="T1070" s="16" t="s">
        <v>154</v>
      </c>
      <c r="U1070" s="16" t="s">
        <v>198</v>
      </c>
      <c r="V1070" s="16" t="s">
        <v>114</v>
      </c>
      <c r="W1070" s="16">
        <f>AI1070/AG1070</f>
        <v>0.7752808988764045</v>
      </c>
      <c r="X1070" s="16" t="s">
        <v>121</v>
      </c>
      <c r="Y1070" s="16" t="s">
        <v>110</v>
      </c>
      <c r="Z1070" s="16">
        <v>3</v>
      </c>
      <c r="AA1070" s="16" t="s">
        <v>161</v>
      </c>
      <c r="AB1070" s="16" t="s">
        <v>123</v>
      </c>
      <c r="AC1070" s="16" t="s">
        <v>123</v>
      </c>
      <c r="AD1070" s="16" t="s">
        <v>116</v>
      </c>
      <c r="AG1070" s="16">
        <f>AH1070-AI1070</f>
        <v>89</v>
      </c>
      <c r="AH1070" s="16">
        <v>158</v>
      </c>
      <c r="AI1070" s="16">
        <v>69</v>
      </c>
      <c r="AK1070" s="16">
        <v>20.5</v>
      </c>
      <c r="AL1070" s="16">
        <v>0</v>
      </c>
      <c r="AM1070" s="16">
        <v>0</v>
      </c>
      <c r="AN1070" s="16">
        <v>0</v>
      </c>
      <c r="AO1070" s="16">
        <v>0</v>
      </c>
      <c r="AP1070" s="16">
        <f>SUM(AL1070:AN1070)</f>
        <v>0</v>
      </c>
      <c r="AQ1070" s="16">
        <v>2.137</v>
      </c>
      <c r="AR1070" s="16">
        <f>AP1070-1.472</f>
        <v>-1.472</v>
      </c>
      <c r="AS1070" s="16">
        <f>AQ1070-1.472</f>
        <v>0.66500000000000004</v>
      </c>
      <c r="AT1070" s="16" t="str">
        <f>VLOOKUP(E1070,[2]Current!$A$1:$W$435,7,FALSE)</f>
        <v>LV</v>
      </c>
      <c r="AU1070" s="16" t="s">
        <v>1288</v>
      </c>
      <c r="AV1070" s="23">
        <v>1</v>
      </c>
      <c r="AW1070" s="128">
        <f>IF(AX1070&gt;0,1,0)</f>
        <v>0</v>
      </c>
      <c r="AX1070" s="128">
        <f>SUM(BA1070,BM1070,CU1070)</f>
        <v>0</v>
      </c>
      <c r="AY1070" s="128">
        <f>SUM(BB1070,BN1070,CV1070)</f>
        <v>0</v>
      </c>
      <c r="AZ1070" s="128">
        <f>IF(BA1070&gt;0,1,0)</f>
        <v>0</v>
      </c>
      <c r="BA1070" s="128">
        <f>SUM(BC1070+BF1070+BI1070)</f>
        <v>0</v>
      </c>
      <c r="BB1070" s="128">
        <f>SUM(BE1070,BH1070,BK1070)</f>
        <v>0</v>
      </c>
      <c r="BC1070" s="130">
        <f>IF(BD1070&gt;0,1,0)</f>
        <v>0</v>
      </c>
      <c r="BD1070" s="128">
        <f>VLOOKUP($E1070,[2]Current!$A:$AC,26,FALSE)</f>
        <v>0</v>
      </c>
      <c r="BE1070" s="128">
        <f>BD1070/$AS1070</f>
        <v>0</v>
      </c>
      <c r="BF1070" s="130">
        <f>IF(BG1070&gt;0,1,0)</f>
        <v>0</v>
      </c>
      <c r="BG1070" s="137">
        <f>VLOOKUP($E1070,[2]Current!$A:$AC,27,FALSE)</f>
        <v>0</v>
      </c>
      <c r="BH1070" s="128">
        <f>BG1070/$AS1070</f>
        <v>0</v>
      </c>
      <c r="BI1070" s="130">
        <f>IF(BJ1070&gt;0,1,0)</f>
        <v>0</v>
      </c>
      <c r="BJ1070" s="128">
        <f>VLOOKUP($E1070,[2]Current!$A:$AC,28,FALSE)</f>
        <v>0</v>
      </c>
      <c r="BK1070" s="128">
        <f>BJ1070/$AS1070</f>
        <v>0</v>
      </c>
      <c r="BL1070" s="128">
        <f>IF(BM1070&gt;0,1,0)</f>
        <v>0</v>
      </c>
      <c r="BM1070" s="128">
        <f>SUM(BR1070,BU1070,BX1070,CA1070,CD1070)</f>
        <v>0</v>
      </c>
      <c r="BN1070" s="131">
        <f>SUM(BT1070,BW1070,BZ1070,CC1070,CF1070)</f>
        <v>0</v>
      </c>
      <c r="BO1070" s="128">
        <f>IF(BP1070&gt;0,1,0)</f>
        <v>0</v>
      </c>
      <c r="BP1070" s="128">
        <f>BM1070+CJ1070</f>
        <v>0</v>
      </c>
      <c r="BQ1070" s="128">
        <f>BN1070+CL1070</f>
        <v>0</v>
      </c>
      <c r="BR1070" s="130">
        <f>IF(BS1070&gt;0,1,0)</f>
        <v>0</v>
      </c>
      <c r="BS1070" s="128">
        <f>VLOOKUP($E1070,[2]Current!$A:$AC,12,FALSE)</f>
        <v>0</v>
      </c>
      <c r="BT1070" s="137">
        <f>BS1070/$AS1070</f>
        <v>0</v>
      </c>
      <c r="BU1070" s="130">
        <f>IF(BV1070&gt;0,1,0)</f>
        <v>0</v>
      </c>
      <c r="BV1070" s="128">
        <f>VLOOKUP($E1070,[2]Current!$A:$AC,13,FALSE)</f>
        <v>0</v>
      </c>
      <c r="BW1070" s="128">
        <f>BV1070/$AS1070</f>
        <v>0</v>
      </c>
      <c r="BX1070" s="130">
        <f>IF(BY1070&gt;0,1,0)</f>
        <v>0</v>
      </c>
      <c r="BY1070" s="128">
        <f>VLOOKUP($E1070,[2]Current!$A:$AC,14,FALSE)</f>
        <v>0</v>
      </c>
      <c r="BZ1070" s="128">
        <f>BY1070/$AS1070</f>
        <v>0</v>
      </c>
      <c r="CA1070" s="130">
        <f>IF(CB1070&gt;0,1,0)</f>
        <v>0</v>
      </c>
      <c r="CB1070" s="128">
        <f>VLOOKUP($E1070,[2]Current!$A:$AC,15,FALSE)</f>
        <v>0</v>
      </c>
      <c r="CC1070" s="128">
        <f>CB1070/$AS1070</f>
        <v>0</v>
      </c>
      <c r="CD1070" s="174">
        <f>IF(CE1070&gt;0,1,0)</f>
        <v>0</v>
      </c>
      <c r="CE1070" s="128">
        <f>VLOOKUP($E1070,[2]Current!$A:$AC,16,FALSE)</f>
        <v>0</v>
      </c>
      <c r="CF1070" s="128">
        <f>CE1070/$AS1070</f>
        <v>0</v>
      </c>
      <c r="CG1070" s="18"/>
      <c r="CH1070" s="18"/>
      <c r="CI1070" s="18"/>
      <c r="CJ1070" s="130">
        <f>IF(CK1070&gt;0,1,0)</f>
        <v>0</v>
      </c>
      <c r="CK1070" s="128">
        <f>VLOOKUP($E1070,[2]Current!$A:$AC,18,FALSE)</f>
        <v>0</v>
      </c>
      <c r="CL1070" s="128">
        <f>CK1070/$AS1070</f>
        <v>0</v>
      </c>
      <c r="CS1070" s="130">
        <f>IF(CU1070&gt;0,1,0)</f>
        <v>0</v>
      </c>
      <c r="CU1070" s="128">
        <f>VLOOKUP($E1070,[2]Current!$A:$AC,17,FALSE)</f>
        <v>0</v>
      </c>
      <c r="CV1070" s="128">
        <f>CU1070/$AS1070</f>
        <v>0</v>
      </c>
      <c r="CW1070" s="18"/>
      <c r="CX1070" s="18"/>
      <c r="CY1070" s="18"/>
      <c r="DF1070" s="16" t="e">
        <f>VLOOKUP(K1070,'[3]RNA Seq summary tables'!$V$3:$V$99,1,FALSE)</f>
        <v>#N/A</v>
      </c>
    </row>
    <row r="1071" spans="2:288" ht="16" x14ac:dyDescent="0.2">
      <c r="B1071" s="16">
        <v>2017</v>
      </c>
      <c r="C1071" s="20">
        <v>42954</v>
      </c>
      <c r="D1071" s="20" t="str">
        <f>CONCATENATE(J1071,"-",C1071)</f>
        <v>1197-42954</v>
      </c>
      <c r="E1071" s="37" t="str">
        <f>CONCATENATE(T1071,"-",U1071,"-",C1071)</f>
        <v>BC2-D4-42954</v>
      </c>
      <c r="F1071" s="20" t="s">
        <v>106</v>
      </c>
      <c r="G1071" s="20" t="s">
        <v>107</v>
      </c>
      <c r="I1071" s="16">
        <v>0</v>
      </c>
      <c r="J1071" s="21">
        <v>1197</v>
      </c>
      <c r="K1071" s="21">
        <v>2076</v>
      </c>
      <c r="L1071" s="18">
        <v>0</v>
      </c>
      <c r="M1071" s="21">
        <f>VLOOKUP($K1071,'[4]blood tubes 2017'!$D$1:$L$647,8,FALSE)</f>
        <v>0</v>
      </c>
      <c r="N1071" s="15">
        <v>0</v>
      </c>
      <c r="O1071" s="15" t="s">
        <v>214</v>
      </c>
      <c r="P1071" s="16" t="s">
        <v>110</v>
      </c>
      <c r="Q1071" s="16">
        <v>1</v>
      </c>
      <c r="R1071" s="16">
        <v>17</v>
      </c>
      <c r="T1071" s="16" t="s">
        <v>154</v>
      </c>
      <c r="U1071" s="16" t="s">
        <v>221</v>
      </c>
      <c r="V1071" s="16" t="s">
        <v>114</v>
      </c>
      <c r="W1071" s="16">
        <f>AI1071/AG1071</f>
        <v>0.8202247191011236</v>
      </c>
      <c r="X1071" s="16" t="s">
        <v>121</v>
      </c>
      <c r="Y1071" s="16" t="s">
        <v>110</v>
      </c>
      <c r="Z1071" s="16">
        <v>3</v>
      </c>
      <c r="AA1071" s="16" t="s">
        <v>119</v>
      </c>
      <c r="AB1071" s="16" t="s">
        <v>240</v>
      </c>
      <c r="AC1071" s="16" t="s">
        <v>116</v>
      </c>
      <c r="AD1071" s="16" t="s">
        <v>116</v>
      </c>
      <c r="AG1071" s="16">
        <f>AH1071-AI1071</f>
        <v>89</v>
      </c>
      <c r="AH1071" s="16">
        <v>162</v>
      </c>
      <c r="AI1071" s="16">
        <v>73</v>
      </c>
      <c r="AK1071" s="16">
        <v>22.5</v>
      </c>
      <c r="AL1071" s="16">
        <v>0</v>
      </c>
      <c r="AM1071" s="16">
        <v>0</v>
      </c>
      <c r="AN1071" s="16">
        <v>0</v>
      </c>
      <c r="AO1071" s="16">
        <v>0</v>
      </c>
      <c r="AP1071" s="16">
        <f>SUM(AL1071:AN1071)</f>
        <v>0</v>
      </c>
      <c r="AQ1071" s="16">
        <v>2.04</v>
      </c>
      <c r="AR1071" s="16">
        <f>AP1071-1.472</f>
        <v>-1.472</v>
      </c>
      <c r="AS1071" s="16">
        <f>AQ1071-1.472</f>
        <v>0.56800000000000006</v>
      </c>
      <c r="AT1071" s="16" t="str">
        <f>VLOOKUP(E1071,[2]Current!$A$1:$W$435,7,FALSE)</f>
        <v>TE</v>
      </c>
      <c r="AU1071" s="16" t="s">
        <v>1288</v>
      </c>
      <c r="AV1071" s="23"/>
      <c r="AW1071" s="128">
        <f>IF(AX1071&gt;0,1,0)</f>
        <v>1</v>
      </c>
      <c r="AX1071" s="128">
        <f>SUM(BA1071,BM1071,CU1071)</f>
        <v>1</v>
      </c>
      <c r="AY1071" s="128">
        <f>SUM(BB1071,BN1071,CV1071)</f>
        <v>1.76056338028169</v>
      </c>
      <c r="AZ1071" s="128">
        <f>IF(BA1071&gt;0,1,0)</f>
        <v>0</v>
      </c>
      <c r="BA1071" s="128">
        <f>SUM(BC1071+BF1071+BI1071)</f>
        <v>0</v>
      </c>
      <c r="BB1071" s="128">
        <f>SUM(BE1071,BH1071,BK1071)</f>
        <v>0</v>
      </c>
      <c r="BC1071" s="130">
        <f>IF(BD1071&gt;0,1,0)</f>
        <v>0</v>
      </c>
      <c r="BD1071" s="128">
        <f>VLOOKUP($E1071,[2]Current!$A:$AC,26,FALSE)</f>
        <v>0</v>
      </c>
      <c r="BE1071" s="128">
        <f>BD1071/$AS1071</f>
        <v>0</v>
      </c>
      <c r="BF1071" s="130">
        <f>IF(BG1071&gt;0,1,0)</f>
        <v>0</v>
      </c>
      <c r="BG1071" s="137">
        <f>VLOOKUP($E1071,[2]Current!$A:$AC,27,FALSE)</f>
        <v>0</v>
      </c>
      <c r="BH1071" s="128">
        <f>BG1071/$AS1071</f>
        <v>0</v>
      </c>
      <c r="BI1071" s="130">
        <f>IF(BJ1071&gt;0,1,0)</f>
        <v>0</v>
      </c>
      <c r="BJ1071" s="128">
        <f>VLOOKUP($E1071,[2]Current!$A:$AC,28,FALSE)</f>
        <v>0</v>
      </c>
      <c r="BK1071" s="128">
        <f>BJ1071/$AS1071</f>
        <v>0</v>
      </c>
      <c r="BL1071" s="128">
        <f>IF(BM1071&gt;0,1,0)</f>
        <v>1</v>
      </c>
      <c r="BM1071" s="128">
        <f>SUM(BR1071,BU1071,BX1071,CA1071,CD1071)</f>
        <v>1</v>
      </c>
      <c r="BN1071" s="131">
        <f>SUM(BT1071,BW1071,BZ1071,CC1071,CF1071)</f>
        <v>1.76056338028169</v>
      </c>
      <c r="BO1071" s="128">
        <f>IF(BP1071&gt;0,1,0)</f>
        <v>1</v>
      </c>
      <c r="BP1071" s="128">
        <f>BM1071+CJ1071</f>
        <v>1</v>
      </c>
      <c r="BQ1071" s="128">
        <f>BN1071+CL1071</f>
        <v>1.76056338028169</v>
      </c>
      <c r="BR1071" s="130">
        <f>IF(BS1071&gt;0,1,0)</f>
        <v>0</v>
      </c>
      <c r="BS1071" s="128">
        <f>VLOOKUP($E1071,[2]Current!$A:$AC,12,FALSE)</f>
        <v>0</v>
      </c>
      <c r="BT1071" s="137">
        <f>BS1071/$AS1071</f>
        <v>0</v>
      </c>
      <c r="BU1071" s="130">
        <f>IF(BV1071&gt;0,1,0)</f>
        <v>0</v>
      </c>
      <c r="BV1071" s="128">
        <f>VLOOKUP($E1071,[2]Current!$A:$AC,13,FALSE)</f>
        <v>0</v>
      </c>
      <c r="BW1071" s="128">
        <f>BV1071/$AS1071</f>
        <v>0</v>
      </c>
      <c r="BX1071" s="130">
        <f>IF(BY1071&gt;0,1,0)</f>
        <v>0</v>
      </c>
      <c r="BY1071" s="128">
        <f>VLOOKUP($E1071,[2]Current!$A:$AC,14,FALSE)</f>
        <v>0</v>
      </c>
      <c r="BZ1071" s="128">
        <f>BY1071/$AS1071</f>
        <v>0</v>
      </c>
      <c r="CA1071" s="130">
        <f>IF(CB1071&gt;0,1,0)</f>
        <v>0</v>
      </c>
      <c r="CB1071" s="128">
        <f>VLOOKUP($E1071,[2]Current!$A:$AC,15,FALSE)</f>
        <v>0</v>
      </c>
      <c r="CC1071" s="128">
        <f>CB1071/$AS1071</f>
        <v>0</v>
      </c>
      <c r="CD1071" s="174">
        <f>IF(CE1071&gt;0,1,0)</f>
        <v>1</v>
      </c>
      <c r="CE1071" s="128">
        <f>VLOOKUP($E1071,[2]Current!$A:$AC,16,FALSE)</f>
        <v>1</v>
      </c>
      <c r="CF1071" s="128">
        <f>CE1071/$AS1071</f>
        <v>1.76056338028169</v>
      </c>
      <c r="CG1071" s="18"/>
      <c r="CH1071" s="18"/>
      <c r="CI1071" s="18"/>
      <c r="CJ1071" s="130">
        <f>IF(CK1071&gt;0,1,0)</f>
        <v>0</v>
      </c>
      <c r="CK1071" s="128">
        <f>VLOOKUP($E1071,[2]Current!$A:$AC,18,FALSE)</f>
        <v>0</v>
      </c>
      <c r="CL1071" s="128">
        <f>CK1071/$AS1071</f>
        <v>0</v>
      </c>
      <c r="CS1071" s="130">
        <f>IF(CU1071&gt;0,1,0)</f>
        <v>0</v>
      </c>
      <c r="CU1071" s="128">
        <f>VLOOKUP($E1071,[2]Current!$A:$AC,17,FALSE)</f>
        <v>0</v>
      </c>
      <c r="CV1071" s="128">
        <f>CU1071/$AS1071</f>
        <v>0</v>
      </c>
      <c r="CW1071" s="18"/>
      <c r="CX1071" s="18"/>
      <c r="CY1071" s="18"/>
      <c r="DF1071" s="16" t="e">
        <f>VLOOKUP(K1071,'[3]RNA Seq summary tables'!$V$3:$V$99,1,FALSE)</f>
        <v>#N/A</v>
      </c>
    </row>
    <row r="1072" spans="2:288" x14ac:dyDescent="0.2">
      <c r="B1072" s="16">
        <v>2017</v>
      </c>
      <c r="C1072" s="20">
        <v>42919</v>
      </c>
      <c r="D1072" s="20" t="str">
        <f>CONCATENATE(J1072,"-",C1072)</f>
        <v>1201-42919</v>
      </c>
      <c r="E1072" s="20" t="str">
        <f>CONCATENATE(T1072,"-",U1072,"-",C1072)</f>
        <v>BC1-A4-42919</v>
      </c>
      <c r="F1072" s="20" t="s">
        <v>106</v>
      </c>
      <c r="G1072" s="20" t="s">
        <v>107</v>
      </c>
      <c r="I1072" s="16">
        <v>0</v>
      </c>
      <c r="J1072" s="21">
        <v>1201</v>
      </c>
      <c r="K1072" s="21">
        <v>1814</v>
      </c>
      <c r="L1072" s="18">
        <v>0</v>
      </c>
      <c r="M1072" s="21">
        <f>VLOOKUP($K1072,'[4]blood tubes 2017'!$D$1:$L$647,8,FALSE)</f>
        <v>0</v>
      </c>
      <c r="N1072" s="15">
        <v>0</v>
      </c>
      <c r="O1072" s="15" t="s">
        <v>214</v>
      </c>
      <c r="P1072" s="16" t="s">
        <v>110</v>
      </c>
      <c r="Q1072" s="16">
        <v>0</v>
      </c>
      <c r="R1072" s="16" t="s">
        <v>111</v>
      </c>
      <c r="T1072" s="16" t="s">
        <v>159</v>
      </c>
      <c r="U1072" s="16" t="s">
        <v>134</v>
      </c>
      <c r="V1072" s="16" t="s">
        <v>114</v>
      </c>
      <c r="W1072" s="16">
        <f>AI1072/AG1072</f>
        <v>0.79761904761904767</v>
      </c>
      <c r="X1072" s="16" t="s">
        <v>121</v>
      </c>
      <c r="Y1072" s="16" t="s">
        <v>110</v>
      </c>
      <c r="Z1072" s="16">
        <v>3</v>
      </c>
      <c r="AA1072" s="16" t="s">
        <v>119</v>
      </c>
      <c r="AB1072" s="16" t="s">
        <v>123</v>
      </c>
      <c r="AC1072" s="16" t="s">
        <v>123</v>
      </c>
      <c r="AD1072" s="16" t="s">
        <v>123</v>
      </c>
      <c r="AG1072" s="16">
        <f>AH1072-AI1072</f>
        <v>84</v>
      </c>
      <c r="AH1072" s="16">
        <v>151</v>
      </c>
      <c r="AI1072" s="16">
        <v>67</v>
      </c>
      <c r="AK1072" s="16">
        <v>15</v>
      </c>
      <c r="AL1072" s="16">
        <v>1</v>
      </c>
      <c r="AM1072" s="16">
        <v>0</v>
      </c>
      <c r="AN1072" s="16">
        <v>0</v>
      </c>
      <c r="AO1072" s="16">
        <v>1</v>
      </c>
      <c r="AP1072" s="16">
        <f>SUM(AL1072:AN1072)</f>
        <v>1</v>
      </c>
      <c r="AQ1072" s="16">
        <v>1.6779999999999999</v>
      </c>
      <c r="AR1072" s="16">
        <f>AP1072-1.472</f>
        <v>-0.47199999999999998</v>
      </c>
      <c r="AS1072" s="16">
        <f>AQ1072-1.472</f>
        <v>0.20599999999999996</v>
      </c>
      <c r="AT1072" s="16" t="s">
        <v>234</v>
      </c>
      <c r="AW1072" s="16">
        <f>IF(AX1072&gt;0,1,0)</f>
        <v>1</v>
      </c>
      <c r="AX1072" s="16">
        <f>SUM(BA1072,BM1072,CT1072)</f>
        <v>1</v>
      </c>
      <c r="AY1072" s="18">
        <f>SUM(BB1072,BN1072,CV1072)</f>
        <v>33.980582524271853</v>
      </c>
      <c r="AZ1072" s="16">
        <v>1</v>
      </c>
      <c r="BA1072" s="16">
        <v>1</v>
      </c>
      <c r="BB1072" s="16">
        <f>SUM(BE1072,BH1072,BK1072)</f>
        <v>33.980582524271853</v>
      </c>
      <c r="BC1072" s="16">
        <v>1</v>
      </c>
      <c r="BD1072" s="16">
        <v>7</v>
      </c>
      <c r="BE1072" s="16">
        <f>BD1072/AS1072</f>
        <v>33.980582524271853</v>
      </c>
      <c r="BF1072" s="16">
        <v>0</v>
      </c>
      <c r="BG1072" s="77">
        <v>0</v>
      </c>
      <c r="BH1072" s="16">
        <f>BG1072/AS1072</f>
        <v>0</v>
      </c>
      <c r="BI1072" s="16">
        <v>0</v>
      </c>
      <c r="BJ1072" s="16">
        <v>0</v>
      </c>
      <c r="BK1072" s="16">
        <f>BJ1072/AS1072</f>
        <v>0</v>
      </c>
      <c r="BL1072" s="16">
        <f>IF(BM1072&gt;0,1,0)</f>
        <v>0</v>
      </c>
      <c r="BM1072" s="16">
        <f>SUM(BR1072,BU1072,BX1072,CA1072,CD1072,CG1072,CJ1072,CM1072,CP1072)</f>
        <v>0</v>
      </c>
      <c r="BN1072" s="16">
        <f>SUM(BW1072,BZ1072,CC1072,CF1072,CI1072,CL1072,CO1072,CR1072,BT1072)</f>
        <v>0</v>
      </c>
      <c r="BO1072" s="16">
        <f>IF(BP1072&gt;0,1,0)</f>
        <v>0</v>
      </c>
      <c r="BP1072" s="16">
        <f>SUM(BU1072,BX1072,CA1072,CD1072,BR1072)</f>
        <v>0</v>
      </c>
      <c r="BQ1072" s="16">
        <f>SUM(BZ1072,CC1072,CF1072,BT1072,BW1072)</f>
        <v>0</v>
      </c>
      <c r="BR1072" s="16">
        <v>0</v>
      </c>
      <c r="BS1072" s="16">
        <v>0</v>
      </c>
      <c r="BT1072" s="77">
        <f>BS1072/AS1072</f>
        <v>0</v>
      </c>
      <c r="BU1072" s="16">
        <v>0</v>
      </c>
      <c r="BV1072" s="16">
        <v>0</v>
      </c>
      <c r="BW1072" s="16">
        <f>BV1072/AS1072</f>
        <v>0</v>
      </c>
      <c r="BX1072" s="16">
        <v>0</v>
      </c>
      <c r="BY1072" s="16">
        <v>0</v>
      </c>
      <c r="BZ1072" s="16">
        <f>BY1072/AS1072</f>
        <v>0</v>
      </c>
      <c r="CA1072" s="16">
        <v>0</v>
      </c>
      <c r="CB1072" s="16">
        <v>0</v>
      </c>
      <c r="CC1072" s="16">
        <f>CB1072/AS1072</f>
        <v>0</v>
      </c>
      <c r="CD1072" s="77">
        <v>0</v>
      </c>
      <c r="CE1072" s="16">
        <v>0</v>
      </c>
      <c r="CF1072" s="16">
        <f>CE1072/AS1072</f>
        <v>0</v>
      </c>
      <c r="CG1072" s="16">
        <v>0</v>
      </c>
      <c r="CH1072" s="16">
        <v>0</v>
      </c>
      <c r="CI1072" s="16">
        <f>CH1072/AS1072</f>
        <v>0</v>
      </c>
      <c r="CM1072" s="16">
        <v>0</v>
      </c>
      <c r="CN1072" s="16">
        <v>0</v>
      </c>
      <c r="CO1072" s="16">
        <f>CN1072/AS1072</f>
        <v>0</v>
      </c>
      <c r="CP1072" s="16">
        <v>0</v>
      </c>
      <c r="CQ1072" s="16">
        <v>0</v>
      </c>
      <c r="CR1072" s="16">
        <f>CQ1072/AS1072</f>
        <v>0</v>
      </c>
      <c r="CS1072" s="16">
        <v>0</v>
      </c>
      <c r="CT1072" s="16">
        <v>0</v>
      </c>
      <c r="CV1072" s="16">
        <f>SUM(CY1072,DB1072,DE1072)</f>
        <v>0</v>
      </c>
      <c r="CW1072" s="16">
        <v>0</v>
      </c>
      <c r="CX1072" s="16">
        <v>0</v>
      </c>
      <c r="CY1072" s="16">
        <f>CX1072/AS1072</f>
        <v>0</v>
      </c>
      <c r="CZ1072" s="16">
        <v>0</v>
      </c>
      <c r="DA1072" s="16">
        <v>0</v>
      </c>
      <c r="DB1072" s="16">
        <f>DA1072/AS1072</f>
        <v>0</v>
      </c>
      <c r="DC1072" s="16">
        <v>0</v>
      </c>
      <c r="DD1072" s="16">
        <v>0</v>
      </c>
      <c r="DE1072" s="16">
        <f>DD1072/AS1072</f>
        <v>0</v>
      </c>
      <c r="DF1072" s="16" t="e">
        <f>VLOOKUP(K1072,'[3]RNA Seq summary tables'!$V$3:$V$99,1,FALSE)</f>
        <v>#N/A</v>
      </c>
      <c r="DI1072" s="16">
        <v>63</v>
      </c>
      <c r="DK1072" s="16">
        <v>32</v>
      </c>
      <c r="DM1072" s="16">
        <v>5</v>
      </c>
      <c r="DO1072" s="16">
        <v>0</v>
      </c>
      <c r="DQ1072" s="16">
        <v>0</v>
      </c>
      <c r="DR1072" s="16">
        <f>SUM(DI1072:DQ1072)</f>
        <v>100</v>
      </c>
      <c r="JR1072" s="27"/>
      <c r="JS1072" s="27"/>
      <c r="JT1072" s="27"/>
      <c r="JU1072" s="27"/>
      <c r="JV1072" s="27"/>
      <c r="JW1072" s="27"/>
      <c r="JX1072" s="27"/>
      <c r="JY1072" s="27"/>
      <c r="JZ1072" s="27"/>
      <c r="KA1072" s="27"/>
      <c r="KB1072" s="27"/>
    </row>
    <row r="1073" spans="1:288" ht="16" x14ac:dyDescent="0.2">
      <c r="B1073" s="16">
        <v>2017</v>
      </c>
      <c r="C1073" s="20">
        <v>42937</v>
      </c>
      <c r="D1073" s="20" t="str">
        <f>CONCATENATE(J1073,"-",C1073)</f>
        <v>1201-42937</v>
      </c>
      <c r="E1073" s="37" t="str">
        <f>CONCATENATE(T1073,"-",U1073,"-",C1073)</f>
        <v>BC1-A4-42937</v>
      </c>
      <c r="F1073" s="20" t="s">
        <v>106</v>
      </c>
      <c r="G1073" s="20" t="s">
        <v>107</v>
      </c>
      <c r="I1073" s="16">
        <v>0</v>
      </c>
      <c r="J1073" s="21">
        <v>1201</v>
      </c>
      <c r="K1073" s="21">
        <v>1946</v>
      </c>
      <c r="L1073" s="18">
        <v>0</v>
      </c>
      <c r="M1073" s="21">
        <f>VLOOKUP($K1073,'[4]blood tubes 2017'!$D$1:$L$647,8,FALSE)</f>
        <v>0</v>
      </c>
      <c r="N1073" s="15">
        <v>0</v>
      </c>
      <c r="O1073" s="15" t="s">
        <v>214</v>
      </c>
      <c r="P1073" s="16" t="s">
        <v>110</v>
      </c>
      <c r="Q1073" s="16">
        <v>1</v>
      </c>
      <c r="R1073" s="16">
        <v>18</v>
      </c>
      <c r="T1073" s="16" t="s">
        <v>159</v>
      </c>
      <c r="U1073" s="16" t="s">
        <v>134</v>
      </c>
      <c r="V1073" s="16" t="s">
        <v>114</v>
      </c>
      <c r="W1073" s="16">
        <f>AI1073/AG1073</f>
        <v>0.81818181818181823</v>
      </c>
      <c r="X1073" s="16" t="s">
        <v>121</v>
      </c>
      <c r="Y1073" s="16" t="s">
        <v>110</v>
      </c>
      <c r="Z1073" s="16">
        <v>3</v>
      </c>
      <c r="AA1073" s="16" t="s">
        <v>161</v>
      </c>
      <c r="AB1073" s="16" t="s">
        <v>123</v>
      </c>
      <c r="AC1073" s="16" t="s">
        <v>123</v>
      </c>
      <c r="AD1073" s="16" t="s">
        <v>116</v>
      </c>
      <c r="AG1073" s="16">
        <f>AH1073-AI1073</f>
        <v>88</v>
      </c>
      <c r="AH1073" s="16">
        <v>160</v>
      </c>
      <c r="AI1073" s="16">
        <v>72</v>
      </c>
      <c r="AK1073" s="16">
        <v>24.5</v>
      </c>
      <c r="AL1073" s="16">
        <v>0</v>
      </c>
      <c r="AM1073" s="16">
        <v>0</v>
      </c>
      <c r="AN1073" s="16">
        <v>0</v>
      </c>
      <c r="AO1073" s="16">
        <v>0</v>
      </c>
      <c r="AP1073" s="16">
        <f>SUM(AL1073:AN1073)</f>
        <v>0</v>
      </c>
      <c r="AQ1073" s="16">
        <v>1.819</v>
      </c>
      <c r="AR1073" s="16">
        <f>AP1073-1.472</f>
        <v>-1.472</v>
      </c>
      <c r="AS1073" s="16">
        <f>AQ1073-1.472</f>
        <v>0.34699999999999998</v>
      </c>
      <c r="AT1073" s="16" t="str">
        <f>VLOOKUP(E1073,[2]Current!$A$1:$W$435,7,FALSE)</f>
        <v>JY</v>
      </c>
      <c r="AU1073" s="16" t="s">
        <v>1288</v>
      </c>
      <c r="AV1073" s="23">
        <v>1</v>
      </c>
      <c r="AW1073" s="128">
        <f>IF(AX1073&gt;0,1,0)</f>
        <v>0</v>
      </c>
      <c r="AX1073" s="128">
        <f>SUM(BA1073,BM1073,CU1073)</f>
        <v>0</v>
      </c>
      <c r="AY1073" s="128">
        <f>SUM(BB1073,BN1073,CV1073)</f>
        <v>0</v>
      </c>
      <c r="AZ1073" s="128">
        <f>IF(BA1073&gt;0,1,0)</f>
        <v>0</v>
      </c>
      <c r="BA1073" s="128">
        <f>SUM(BC1073+BF1073+BI1073)</f>
        <v>0</v>
      </c>
      <c r="BB1073" s="128">
        <f>SUM(BE1073,BH1073,BK1073)</f>
        <v>0</v>
      </c>
      <c r="BC1073" s="130">
        <f>IF(BD1073&gt;0,1,0)</f>
        <v>0</v>
      </c>
      <c r="BD1073" s="128">
        <f>VLOOKUP($E1073,[2]Current!$A:$AC,26,FALSE)</f>
        <v>0</v>
      </c>
      <c r="BE1073" s="128">
        <f>BD1073/$AS1073</f>
        <v>0</v>
      </c>
      <c r="BF1073" s="130">
        <f>IF(BG1073&gt;0,1,0)</f>
        <v>0</v>
      </c>
      <c r="BG1073" s="137">
        <f>VLOOKUP($E1073,[2]Current!$A:$AC,27,FALSE)</f>
        <v>0</v>
      </c>
      <c r="BH1073" s="128">
        <f>BG1073/$AS1073</f>
        <v>0</v>
      </c>
      <c r="BI1073" s="130">
        <f>IF(BJ1073&gt;0,1,0)</f>
        <v>0</v>
      </c>
      <c r="BJ1073" s="128">
        <f>VLOOKUP($E1073,[2]Current!$A:$AC,28,FALSE)</f>
        <v>0</v>
      </c>
      <c r="BK1073" s="128">
        <f>BJ1073/$AS1073</f>
        <v>0</v>
      </c>
      <c r="BL1073" s="128">
        <f>IF(BM1073&gt;0,1,0)</f>
        <v>0</v>
      </c>
      <c r="BM1073" s="128">
        <f>SUM(BR1073,BU1073,BX1073,CA1073,CD1073)</f>
        <v>0</v>
      </c>
      <c r="BN1073" s="131">
        <f>SUM(BT1073,BW1073,BZ1073,CC1073,CF1073)</f>
        <v>0</v>
      </c>
      <c r="BO1073" s="128">
        <f>IF(BP1073&gt;0,1,0)</f>
        <v>0</v>
      </c>
      <c r="BP1073" s="128">
        <f>BM1073+CJ1073</f>
        <v>0</v>
      </c>
      <c r="BQ1073" s="128">
        <f>BN1073+CL1073</f>
        <v>0</v>
      </c>
      <c r="BR1073" s="130">
        <f>IF(BS1073&gt;0,1,0)</f>
        <v>0</v>
      </c>
      <c r="BS1073" s="128">
        <f>VLOOKUP($E1073,[2]Current!$A:$AC,12,FALSE)</f>
        <v>0</v>
      </c>
      <c r="BT1073" s="137">
        <f>BS1073/$AS1073</f>
        <v>0</v>
      </c>
      <c r="BU1073" s="130">
        <f>IF(BV1073&gt;0,1,0)</f>
        <v>0</v>
      </c>
      <c r="BV1073" s="128">
        <f>VLOOKUP($E1073,[2]Current!$A:$AC,13,FALSE)</f>
        <v>0</v>
      </c>
      <c r="BW1073" s="128">
        <f>BV1073/$AS1073</f>
        <v>0</v>
      </c>
      <c r="BX1073" s="130">
        <f>IF(BY1073&gt;0,1,0)</f>
        <v>0</v>
      </c>
      <c r="BY1073" s="128">
        <f>VLOOKUP($E1073,[2]Current!$A:$AC,14,FALSE)</f>
        <v>0</v>
      </c>
      <c r="BZ1073" s="128">
        <f>BY1073/$AS1073</f>
        <v>0</v>
      </c>
      <c r="CA1073" s="130">
        <f>IF(CB1073&gt;0,1,0)</f>
        <v>0</v>
      </c>
      <c r="CB1073" s="128">
        <f>VLOOKUP($E1073,[2]Current!$A:$AC,15,FALSE)</f>
        <v>0</v>
      </c>
      <c r="CC1073" s="128">
        <f>CB1073/$AS1073</f>
        <v>0</v>
      </c>
      <c r="CD1073" s="174">
        <f>IF(CE1073&gt;0,1,0)</f>
        <v>0</v>
      </c>
      <c r="CE1073" s="128">
        <f>VLOOKUP($E1073,[2]Current!$A:$AC,16,FALSE)</f>
        <v>0</v>
      </c>
      <c r="CF1073" s="128">
        <f>CE1073/$AS1073</f>
        <v>0</v>
      </c>
      <c r="CG1073" s="18"/>
      <c r="CH1073" s="18"/>
      <c r="CI1073" s="18"/>
      <c r="CJ1073" s="130">
        <f>IF(CK1073&gt;0,1,0)</f>
        <v>0</v>
      </c>
      <c r="CK1073" s="128">
        <f>VLOOKUP($E1073,[2]Current!$A:$AC,18,FALSE)</f>
        <v>0</v>
      </c>
      <c r="CL1073" s="128">
        <f>CK1073/$AS1073</f>
        <v>0</v>
      </c>
      <c r="CS1073" s="130">
        <f>IF(CU1073&gt;0,1,0)</f>
        <v>0</v>
      </c>
      <c r="CU1073" s="128">
        <f>VLOOKUP($E1073,[2]Current!$A:$AC,17,FALSE)</f>
        <v>0</v>
      </c>
      <c r="CV1073" s="128">
        <f>CU1073/$AS1073</f>
        <v>0</v>
      </c>
      <c r="CW1073" s="18"/>
      <c r="CX1073" s="18"/>
      <c r="CY1073" s="18"/>
      <c r="DF1073" s="16" t="e">
        <f>VLOOKUP(K1073,'[3]RNA Seq summary tables'!$V$3:$V$99,1,FALSE)</f>
        <v>#N/A</v>
      </c>
    </row>
    <row r="1074" spans="1:288" x14ac:dyDescent="0.2">
      <c r="A1074" s="51">
        <v>1</v>
      </c>
      <c r="B1074" s="16">
        <v>2017</v>
      </c>
      <c r="C1074" s="20">
        <v>42954</v>
      </c>
      <c r="D1074" s="20" t="str">
        <f>CONCATENATE(J1074,"-",C1074)</f>
        <v>1201-42954</v>
      </c>
      <c r="E1074" s="20" t="str">
        <f>CONCATENATE(T1074,"-",U1074,"-",C1074)</f>
        <v>BC1-A3-42954</v>
      </c>
      <c r="F1074" s="20" t="s">
        <v>106</v>
      </c>
      <c r="G1074" s="20" t="s">
        <v>107</v>
      </c>
      <c r="H1074" s="16" t="s">
        <v>243</v>
      </c>
      <c r="I1074" s="16">
        <v>0</v>
      </c>
      <c r="J1074" s="21">
        <v>1201</v>
      </c>
      <c r="K1074" s="21" t="s">
        <v>153</v>
      </c>
      <c r="L1074" s="18">
        <v>0</v>
      </c>
      <c r="O1074" s="15" t="s">
        <v>214</v>
      </c>
      <c r="P1074" s="16" t="s">
        <v>110</v>
      </c>
      <c r="Q1074" s="16">
        <v>1</v>
      </c>
      <c r="R1074" s="16">
        <v>17</v>
      </c>
      <c r="T1074" s="16" t="s">
        <v>159</v>
      </c>
      <c r="U1074" s="16" t="s">
        <v>201</v>
      </c>
      <c r="V1074" s="16" t="s">
        <v>114</v>
      </c>
      <c r="W1074" s="16">
        <f>AI1074/AG1074</f>
        <v>0.90588235294117647</v>
      </c>
      <c r="X1074" s="16" t="s">
        <v>121</v>
      </c>
      <c r="Y1074" s="16" t="s">
        <v>110</v>
      </c>
      <c r="Z1074" s="16">
        <v>3</v>
      </c>
      <c r="AA1074" s="16" t="s">
        <v>161</v>
      </c>
      <c r="AB1074" s="16" t="s">
        <v>123</v>
      </c>
      <c r="AC1074" s="16" t="s">
        <v>123</v>
      </c>
      <c r="AD1074" s="16" t="s">
        <v>116</v>
      </c>
      <c r="AG1074" s="16">
        <f>AH1074-AI1074</f>
        <v>85</v>
      </c>
      <c r="AH1074" s="16">
        <v>162</v>
      </c>
      <c r="AI1074" s="16">
        <v>77</v>
      </c>
      <c r="AK1074" s="16">
        <v>17.5</v>
      </c>
      <c r="AL1074" s="16">
        <v>0</v>
      </c>
      <c r="AM1074" s="16">
        <v>0</v>
      </c>
      <c r="AN1074" s="16">
        <v>0</v>
      </c>
      <c r="AO1074" s="16">
        <v>0</v>
      </c>
      <c r="AP1074" s="16">
        <f>SUM(AL1074:AN1074)</f>
        <v>0</v>
      </c>
      <c r="AQ1074" s="16">
        <v>2.0550000000000002</v>
      </c>
      <c r="AR1074" s="16">
        <f>AP1074-1.472</f>
        <v>-1.472</v>
      </c>
      <c r="AS1074" s="16">
        <f>AQ1074-1.472</f>
        <v>0.58300000000000018</v>
      </c>
      <c r="AT1074" s="41" t="s">
        <v>153</v>
      </c>
      <c r="AU1074" s="41"/>
      <c r="AV1074" s="41"/>
      <c r="AW1074" s="41"/>
      <c r="AX1074" s="41"/>
      <c r="AY1074" s="41"/>
      <c r="AZ1074" s="41"/>
      <c r="BA1074" s="41"/>
      <c r="BB1074" s="41"/>
      <c r="BC1074" s="41"/>
      <c r="BD1074" s="41"/>
      <c r="BE1074" s="41"/>
      <c r="BF1074" s="41"/>
      <c r="BG1074" s="84"/>
      <c r="BH1074" s="41"/>
      <c r="BI1074" s="41"/>
      <c r="BJ1074" s="41"/>
      <c r="BK1074" s="41"/>
      <c r="BL1074" s="41"/>
      <c r="BM1074" s="41"/>
      <c r="BN1074" s="41"/>
      <c r="BO1074" s="41"/>
      <c r="BP1074" s="41"/>
      <c r="BQ1074" s="41"/>
      <c r="BR1074" s="41"/>
      <c r="BS1074" s="41"/>
      <c r="BT1074" s="84"/>
      <c r="BU1074" s="41"/>
      <c r="BV1074" s="41"/>
      <c r="BW1074" s="41"/>
      <c r="BX1074" s="41"/>
      <c r="BY1074" s="41"/>
      <c r="BZ1074" s="41"/>
      <c r="CA1074" s="41"/>
      <c r="CB1074" s="41"/>
      <c r="CC1074" s="41"/>
      <c r="CD1074" s="84"/>
      <c r="CE1074" s="41"/>
      <c r="CF1074" s="41"/>
      <c r="CG1074" s="41"/>
      <c r="CH1074" s="41"/>
      <c r="CI1074" s="41"/>
      <c r="CJ1074" s="41"/>
      <c r="CK1074" s="41"/>
      <c r="CL1074" s="41"/>
      <c r="CM1074" s="41"/>
      <c r="CN1074" s="41"/>
      <c r="CO1074" s="41"/>
      <c r="CP1074" s="41"/>
      <c r="CQ1074" s="41"/>
      <c r="CR1074" s="41"/>
      <c r="CS1074" s="41"/>
      <c r="CT1074" s="41"/>
      <c r="CU1074" s="41"/>
      <c r="CV1074" s="41"/>
      <c r="CW1074" s="41"/>
      <c r="CX1074" s="41"/>
      <c r="CY1074" s="41"/>
      <c r="CZ1074" s="41"/>
      <c r="DA1074" s="41"/>
      <c r="DB1074" s="41"/>
      <c r="DC1074" s="41"/>
      <c r="DD1074" s="41"/>
      <c r="DE1074" s="41"/>
      <c r="DF1074" s="16" t="e">
        <f>VLOOKUP(K1074,'[3]RNA Seq summary tables'!$V$3:$V$99,1,FALSE)</f>
        <v>#N/A</v>
      </c>
    </row>
    <row r="1075" spans="1:288" x14ac:dyDescent="0.2">
      <c r="B1075" s="16">
        <v>2017</v>
      </c>
      <c r="C1075" s="20">
        <v>42919</v>
      </c>
      <c r="D1075" s="20" t="str">
        <f>CONCATENATE(J1075,"-",C1075)</f>
        <v>1203-42919</v>
      </c>
      <c r="E1075" s="20" t="str">
        <f>CONCATENATE(T1075,"-",U1075,"-",C1075)</f>
        <v>BC1-B4-42919</v>
      </c>
      <c r="F1075" s="20" t="s">
        <v>106</v>
      </c>
      <c r="G1075" s="20" t="s">
        <v>107</v>
      </c>
      <c r="I1075" s="16">
        <v>0</v>
      </c>
      <c r="J1075" s="21">
        <v>1203</v>
      </c>
      <c r="K1075" s="21">
        <v>1817</v>
      </c>
      <c r="L1075" s="18">
        <v>0</v>
      </c>
      <c r="M1075" s="21">
        <f>VLOOKUP($K1075,'[4]blood tubes 2017'!$D$1:$L$647,8,FALSE)</f>
        <v>0</v>
      </c>
      <c r="N1075" s="15">
        <v>0</v>
      </c>
      <c r="O1075" s="15" t="s">
        <v>214</v>
      </c>
      <c r="P1075" s="16" t="s">
        <v>110</v>
      </c>
      <c r="Q1075" s="16">
        <v>0</v>
      </c>
      <c r="R1075" s="16" t="s">
        <v>111</v>
      </c>
      <c r="T1075" s="16" t="s">
        <v>159</v>
      </c>
      <c r="U1075" s="16" t="s">
        <v>144</v>
      </c>
      <c r="V1075" s="16" t="s">
        <v>114</v>
      </c>
      <c r="W1075" s="16">
        <f>AI1075/AG1075</f>
        <v>0.77380952380952384</v>
      </c>
      <c r="X1075" s="16" t="s">
        <v>115</v>
      </c>
      <c r="Y1075" s="16" t="s">
        <v>110</v>
      </c>
      <c r="Z1075" s="16">
        <v>3</v>
      </c>
      <c r="AE1075" s="16" t="s">
        <v>123</v>
      </c>
      <c r="AF1075" s="16" t="s">
        <v>123</v>
      </c>
      <c r="AG1075" s="16">
        <f>AH1075-AI1075</f>
        <v>84</v>
      </c>
      <c r="AH1075" s="16">
        <v>149</v>
      </c>
      <c r="AI1075" s="16">
        <v>65</v>
      </c>
      <c r="AK1075" s="16">
        <v>15.5</v>
      </c>
      <c r="AL1075" s="16">
        <v>0</v>
      </c>
      <c r="AM1075" s="16">
        <v>0</v>
      </c>
      <c r="AN1075" s="16">
        <v>0</v>
      </c>
      <c r="AO1075" s="16">
        <v>0</v>
      </c>
      <c r="AP1075" s="16">
        <f>SUM(AL1075:AN1075)</f>
        <v>0</v>
      </c>
      <c r="AQ1075" s="16">
        <v>1.5820000000000001</v>
      </c>
      <c r="AR1075" s="16">
        <f>AP1075-1.472</f>
        <v>-1.472</v>
      </c>
      <c r="AS1075" s="16">
        <f>AQ1075-1.472</f>
        <v>0.1100000000000001</v>
      </c>
      <c r="AT1075" s="16" t="s">
        <v>119</v>
      </c>
      <c r="AV1075" s="16">
        <v>1</v>
      </c>
      <c r="AW1075" s="16">
        <f>IF(AX1075&gt;0,1,0)</f>
        <v>0</v>
      </c>
      <c r="AX1075" s="16">
        <f>SUM(BA1075,BM1075,CT1075)</f>
        <v>0</v>
      </c>
      <c r="AY1075" s="18">
        <f>SUM(BB1075,BN1075,CV1075)</f>
        <v>0</v>
      </c>
      <c r="AZ1075" s="16">
        <v>0</v>
      </c>
      <c r="BA1075" s="16">
        <v>0</v>
      </c>
      <c r="BB1075" s="16">
        <f>SUM(BE1075,BH1075,BK1075)</f>
        <v>0</v>
      </c>
      <c r="BC1075" s="16">
        <v>0</v>
      </c>
      <c r="BD1075" s="16">
        <v>0</v>
      </c>
      <c r="BE1075" s="16">
        <f>BD1075/AS1075</f>
        <v>0</v>
      </c>
      <c r="BF1075" s="16">
        <v>0</v>
      </c>
      <c r="BG1075" s="77">
        <v>0</v>
      </c>
      <c r="BH1075" s="16">
        <f>BG1075/AS1075</f>
        <v>0</v>
      </c>
      <c r="BI1075" s="16">
        <v>0</v>
      </c>
      <c r="BJ1075" s="16">
        <v>0</v>
      </c>
      <c r="BK1075" s="16">
        <f>BJ1075/AS1075</f>
        <v>0</v>
      </c>
      <c r="BL1075" s="16">
        <v>0</v>
      </c>
      <c r="BM1075" s="16">
        <f>SUM(BR1075,BU1075,BX1075,CA1075,CD1075,CG1075,CJ1075,CM1075,CP1075)</f>
        <v>0</v>
      </c>
      <c r="BN1075" s="16">
        <f>SUM(BW1075,BZ1075,CC1075,CF1075,CI1075,CL1075,CO1075,CR1075,BT1075)</f>
        <v>0</v>
      </c>
      <c r="BO1075" s="16">
        <f>IF(BP1075&gt;0,1,0)</f>
        <v>0</v>
      </c>
      <c r="BP1075" s="16">
        <f>SUM(BU1075,BX1075,CA1075,CD1075,BR1075)</f>
        <v>0</v>
      </c>
      <c r="BQ1075" s="16">
        <f>SUM(BZ1075,CC1075,CF1075,BT1075,BW1075)</f>
        <v>0</v>
      </c>
      <c r="BR1075" s="16">
        <v>0</v>
      </c>
      <c r="BS1075" s="16">
        <v>0</v>
      </c>
      <c r="BT1075" s="77">
        <f>BS1075/AS1075</f>
        <v>0</v>
      </c>
      <c r="BU1075" s="16">
        <v>0</v>
      </c>
      <c r="BV1075" s="16">
        <v>0</v>
      </c>
      <c r="BW1075" s="16">
        <f>BV1075/AS1075</f>
        <v>0</v>
      </c>
      <c r="BX1075" s="16">
        <v>0</v>
      </c>
      <c r="BY1075" s="16">
        <v>0</v>
      </c>
      <c r="BZ1075" s="16">
        <f>BY1075/AS1075</f>
        <v>0</v>
      </c>
      <c r="CA1075" s="16">
        <v>0</v>
      </c>
      <c r="CB1075" s="16">
        <v>0</v>
      </c>
      <c r="CC1075" s="16">
        <f>CB1075/AS1075</f>
        <v>0</v>
      </c>
      <c r="CD1075" s="77">
        <v>0</v>
      </c>
      <c r="CE1075" s="16">
        <v>0</v>
      </c>
      <c r="CF1075" s="16">
        <f>CE1075/AS1075</f>
        <v>0</v>
      </c>
      <c r="CG1075" s="16">
        <v>0</v>
      </c>
      <c r="CH1075" s="16">
        <v>0</v>
      </c>
      <c r="CI1075" s="16">
        <f>CH1075/AS1075</f>
        <v>0</v>
      </c>
      <c r="CM1075" s="16">
        <v>0</v>
      </c>
      <c r="CN1075" s="16">
        <v>0</v>
      </c>
      <c r="CO1075" s="16">
        <f>CN1075/AS1075</f>
        <v>0</v>
      </c>
      <c r="CP1075" s="16">
        <v>0</v>
      </c>
      <c r="CQ1075" s="16">
        <v>0</v>
      </c>
      <c r="CR1075" s="16">
        <f>CQ1075/AS1075</f>
        <v>0</v>
      </c>
      <c r="CS1075" s="16">
        <v>0</v>
      </c>
      <c r="CT1075" s="16">
        <v>0</v>
      </c>
      <c r="CV1075" s="16">
        <f>SUM(CY1075,DB1075,DE1075)</f>
        <v>0</v>
      </c>
      <c r="CW1075" s="16">
        <v>0</v>
      </c>
      <c r="CX1075" s="16">
        <v>0</v>
      </c>
      <c r="CY1075" s="16">
        <f>CX1075/AS1075</f>
        <v>0</v>
      </c>
      <c r="CZ1075" s="16">
        <v>0</v>
      </c>
      <c r="DA1075" s="16">
        <v>0</v>
      </c>
      <c r="DB1075" s="16">
        <f>DA1075/AS1075</f>
        <v>0</v>
      </c>
      <c r="DC1075" s="16">
        <v>0</v>
      </c>
      <c r="DD1075" s="16">
        <v>0</v>
      </c>
      <c r="DE1075" s="16">
        <f>DD1075/AS1075</f>
        <v>0</v>
      </c>
      <c r="DF1075" s="16" t="e">
        <f>VLOOKUP(K1075,'[3]RNA Seq summary tables'!$V$3:$V$99,1,FALSE)</f>
        <v>#N/A</v>
      </c>
      <c r="DI1075" s="16">
        <v>84</v>
      </c>
      <c r="DK1075" s="16">
        <v>12</v>
      </c>
      <c r="DM1075" s="16">
        <v>4</v>
      </c>
      <c r="DO1075" s="16">
        <v>0</v>
      </c>
      <c r="DQ1075" s="16">
        <v>0</v>
      </c>
      <c r="DR1075" s="16">
        <f>SUM(DI1075:DQ1075)</f>
        <v>100</v>
      </c>
      <c r="JO1075" s="18"/>
      <c r="JR1075" s="27"/>
      <c r="JS1075" s="27"/>
      <c r="JT1075" s="27"/>
      <c r="JU1075" s="27"/>
      <c r="JV1075" s="27"/>
      <c r="JW1075" s="27"/>
      <c r="JX1075" s="27"/>
      <c r="JY1075" s="27"/>
      <c r="JZ1075" s="27"/>
      <c r="KA1075" s="27"/>
      <c r="KB1075" s="27"/>
    </row>
    <row r="1076" spans="1:288" ht="16" x14ac:dyDescent="0.2">
      <c r="B1076" s="16">
        <v>2017</v>
      </c>
      <c r="C1076" s="20">
        <v>42936</v>
      </c>
      <c r="D1076" s="20" t="str">
        <f>CONCATENATE(J1076,"-",C1076)</f>
        <v>1203-42936</v>
      </c>
      <c r="E1076" s="37" t="str">
        <f>CONCATENATE(T1076,"-",U1076,"-",C1076)</f>
        <v>BC1-E2-42936</v>
      </c>
      <c r="F1076" s="20" t="s">
        <v>106</v>
      </c>
      <c r="G1076" s="20" t="s">
        <v>107</v>
      </c>
      <c r="I1076" s="16">
        <v>0</v>
      </c>
      <c r="J1076" s="21">
        <v>1203</v>
      </c>
      <c r="K1076" s="21">
        <v>1934</v>
      </c>
      <c r="L1076" s="18">
        <v>0</v>
      </c>
      <c r="M1076" s="21">
        <f>VLOOKUP($K1076,'[4]blood tubes 2017'!$D$1:$L$647,8,FALSE)</f>
        <v>0</v>
      </c>
      <c r="N1076" s="15">
        <v>0</v>
      </c>
      <c r="O1076" s="15" t="s">
        <v>214</v>
      </c>
      <c r="P1076" s="16" t="s">
        <v>110</v>
      </c>
      <c r="Q1076" s="16">
        <v>1</v>
      </c>
      <c r="R1076" s="16">
        <v>17</v>
      </c>
      <c r="T1076" s="16" t="s">
        <v>159</v>
      </c>
      <c r="U1076" s="16" t="s">
        <v>136</v>
      </c>
      <c r="V1076" s="16" t="s">
        <v>114</v>
      </c>
      <c r="W1076" s="16">
        <f>AI1076/AG1076</f>
        <v>0.7816091954022989</v>
      </c>
      <c r="X1076" s="16" t="s">
        <v>115</v>
      </c>
      <c r="Y1076" s="16" t="s">
        <v>110</v>
      </c>
      <c r="Z1076" s="16">
        <v>3</v>
      </c>
      <c r="AE1076" s="16" t="s">
        <v>123</v>
      </c>
      <c r="AF1076" s="16" t="s">
        <v>123</v>
      </c>
      <c r="AG1076" s="16">
        <f>AH1076-AI1076</f>
        <v>87</v>
      </c>
      <c r="AH1076" s="16">
        <v>155</v>
      </c>
      <c r="AI1076" s="16">
        <v>68</v>
      </c>
      <c r="AK1076" s="16">
        <v>16.5</v>
      </c>
      <c r="AL1076" s="16">
        <v>1</v>
      </c>
      <c r="AM1076" s="16">
        <v>0</v>
      </c>
      <c r="AN1076" s="16">
        <v>0</v>
      </c>
      <c r="AO1076" s="16">
        <v>1</v>
      </c>
      <c r="AP1076" s="16">
        <f>SUM(AL1076:AN1076)</f>
        <v>1</v>
      </c>
      <c r="AQ1076" s="16">
        <v>1.651</v>
      </c>
      <c r="AR1076" s="16">
        <f>AP1076-1.472</f>
        <v>-0.47199999999999998</v>
      </c>
      <c r="AS1076" s="16">
        <f>AQ1076-1.472</f>
        <v>0.17900000000000005</v>
      </c>
      <c r="AT1076" s="16" t="str">
        <f>VLOOKUP(E1076,[2]Current!$A$1:$W$435,7,FALSE)</f>
        <v>TE</v>
      </c>
      <c r="AU1076" s="16" t="s">
        <v>1288</v>
      </c>
      <c r="AW1076" s="128">
        <f>IF(AX1076&gt;0,1,0)</f>
        <v>1</v>
      </c>
      <c r="AX1076" s="128">
        <f>SUM(BA1076,BM1076,CU1076)</f>
        <v>1</v>
      </c>
      <c r="AY1076" s="128">
        <f>SUM(BB1076,BN1076,CV1076)</f>
        <v>5.5865921787709478</v>
      </c>
      <c r="AZ1076" s="128">
        <f>IF(BA1076&gt;0,1,0)</f>
        <v>1</v>
      </c>
      <c r="BA1076" s="128">
        <f>SUM(BC1076+BF1076+BI1076)</f>
        <v>1</v>
      </c>
      <c r="BB1076" s="128">
        <f>SUM(BE1076,BH1076,BK1076)</f>
        <v>5.5865921787709478</v>
      </c>
      <c r="BC1076" s="130">
        <f>IF(BD1076&gt;0,1,0)</f>
        <v>0</v>
      </c>
      <c r="BD1076" s="128">
        <f>VLOOKUP($E1076,[2]Current!$A:$AC,26,FALSE)</f>
        <v>0</v>
      </c>
      <c r="BE1076" s="128">
        <f>BD1076/$AS1076</f>
        <v>0</v>
      </c>
      <c r="BF1076" s="130">
        <f>IF(BG1076&gt;0,1,0)</f>
        <v>0</v>
      </c>
      <c r="BG1076" s="137">
        <f>VLOOKUP($E1076,[2]Current!$A:$AC,27,FALSE)</f>
        <v>0</v>
      </c>
      <c r="BH1076" s="128">
        <f>BG1076/$AS1076</f>
        <v>0</v>
      </c>
      <c r="BI1076" s="130">
        <f>IF(BJ1076&gt;0,1,0)</f>
        <v>1</v>
      </c>
      <c r="BJ1076" s="128">
        <f>VLOOKUP($E1076,[2]Current!$A:$AC,28,FALSE)</f>
        <v>1</v>
      </c>
      <c r="BK1076" s="128">
        <f>BJ1076/$AS1076</f>
        <v>5.5865921787709478</v>
      </c>
      <c r="BL1076" s="128">
        <f>IF(BM1076&gt;0,1,0)</f>
        <v>0</v>
      </c>
      <c r="BM1076" s="128">
        <f>SUM(BR1076,BU1076,BX1076,CA1076,CD1076)</f>
        <v>0</v>
      </c>
      <c r="BN1076" s="131">
        <f>SUM(BT1076,BW1076,BZ1076,CC1076,CF1076)</f>
        <v>0</v>
      </c>
      <c r="BO1076" s="128">
        <f>IF(BP1076&gt;0,1,0)</f>
        <v>0</v>
      </c>
      <c r="BP1076" s="128">
        <f>BM1076+CJ1076</f>
        <v>0</v>
      </c>
      <c r="BQ1076" s="128">
        <f>BN1076+CL1076</f>
        <v>0</v>
      </c>
      <c r="BR1076" s="130">
        <f>IF(BS1076&gt;0,1,0)</f>
        <v>0</v>
      </c>
      <c r="BS1076" s="128">
        <f>VLOOKUP($E1076,[2]Current!$A:$AC,12,FALSE)</f>
        <v>0</v>
      </c>
      <c r="BT1076" s="137">
        <f>BS1076/$AS1076</f>
        <v>0</v>
      </c>
      <c r="BU1076" s="130">
        <f>IF(BV1076&gt;0,1,0)</f>
        <v>0</v>
      </c>
      <c r="BV1076" s="128">
        <f>VLOOKUP($E1076,[2]Current!$A:$AC,13,FALSE)</f>
        <v>0</v>
      </c>
      <c r="BW1076" s="128">
        <f>BV1076/$AS1076</f>
        <v>0</v>
      </c>
      <c r="BX1076" s="130">
        <f>IF(BY1076&gt;0,1,0)</f>
        <v>0</v>
      </c>
      <c r="BY1076" s="128">
        <f>VLOOKUP($E1076,[2]Current!$A:$AC,14,FALSE)</f>
        <v>0</v>
      </c>
      <c r="BZ1076" s="128">
        <f>BY1076/$AS1076</f>
        <v>0</v>
      </c>
      <c r="CA1076" s="130">
        <f>IF(CB1076&gt;0,1,0)</f>
        <v>0</v>
      </c>
      <c r="CB1076" s="128">
        <f>VLOOKUP($E1076,[2]Current!$A:$AC,15,FALSE)</f>
        <v>0</v>
      </c>
      <c r="CC1076" s="128">
        <f>CB1076/$AS1076</f>
        <v>0</v>
      </c>
      <c r="CD1076" s="174">
        <f>IF(CE1076&gt;0,1,0)</f>
        <v>0</v>
      </c>
      <c r="CE1076" s="128">
        <f>VLOOKUP($E1076,[2]Current!$A:$AC,16,FALSE)</f>
        <v>0</v>
      </c>
      <c r="CF1076" s="128">
        <f>CE1076/$AS1076</f>
        <v>0</v>
      </c>
      <c r="CG1076" s="18"/>
      <c r="CH1076" s="18"/>
      <c r="CI1076" s="18"/>
      <c r="CJ1076" s="130">
        <f>IF(CK1076&gt;0,1,0)</f>
        <v>0</v>
      </c>
      <c r="CK1076" s="128">
        <f>VLOOKUP($E1076,[2]Current!$A:$AC,18,FALSE)</f>
        <v>0</v>
      </c>
      <c r="CL1076" s="128">
        <f>CK1076/$AS1076</f>
        <v>0</v>
      </c>
      <c r="CS1076" s="130">
        <f>IF(CU1076&gt;0,1,0)</f>
        <v>0</v>
      </c>
      <c r="CU1076" s="128">
        <f>VLOOKUP($E1076,[2]Current!$A:$AC,17,FALSE)</f>
        <v>0</v>
      </c>
      <c r="CV1076" s="128">
        <f>CU1076/$AS1076</f>
        <v>0</v>
      </c>
      <c r="CW1076" s="18"/>
      <c r="CX1076" s="18"/>
      <c r="CY1076" s="18"/>
      <c r="DF1076" s="16" t="e">
        <f>VLOOKUP(K1076,'[3]RNA Seq summary tables'!$V$3:$V$99,1,FALSE)</f>
        <v>#N/A</v>
      </c>
    </row>
    <row r="1077" spans="1:288" x14ac:dyDescent="0.2">
      <c r="A1077" s="19"/>
      <c r="B1077" s="19">
        <v>2017</v>
      </c>
      <c r="C1077" s="68">
        <v>42919</v>
      </c>
      <c r="D1077" s="68" t="str">
        <f>CONCATENATE(J1077,"-",C1077)</f>
        <v>1205-42919</v>
      </c>
      <c r="E1077" s="20" t="str">
        <f>CONCATENATE(T1077,"-",U1077,"-",C1077)</f>
        <v>BC1-G7-42919</v>
      </c>
      <c r="F1077" s="20" t="s">
        <v>106</v>
      </c>
      <c r="G1077" s="68" t="s">
        <v>107</v>
      </c>
      <c r="H1077" s="19"/>
      <c r="I1077" s="16">
        <v>0</v>
      </c>
      <c r="J1077" s="69">
        <v>1205</v>
      </c>
      <c r="K1077" s="69">
        <v>1821</v>
      </c>
      <c r="L1077" s="18">
        <v>0</v>
      </c>
      <c r="M1077" s="69">
        <f>VLOOKUP($K1077,'[4]blood tubes 2017'!$D$1:$L$647,8,FALSE)</f>
        <v>1</v>
      </c>
      <c r="N1077" s="69">
        <f>VLOOKUP($K1077,'[4]blood tubes 2017'!$D$1:$L$647,9,FALSE)</f>
        <v>25</v>
      </c>
      <c r="O1077" s="15" t="s">
        <v>214</v>
      </c>
      <c r="P1077" s="19" t="s">
        <v>110</v>
      </c>
      <c r="Q1077" s="19">
        <v>0</v>
      </c>
      <c r="R1077" s="19" t="s">
        <v>111</v>
      </c>
      <c r="S1077" s="19"/>
      <c r="T1077" s="19" t="s">
        <v>159</v>
      </c>
      <c r="U1077" s="19" t="s">
        <v>156</v>
      </c>
      <c r="V1077" s="19" t="s">
        <v>114</v>
      </c>
      <c r="W1077" s="16">
        <f>AI1077/AG1077</f>
        <v>0.86206896551724133</v>
      </c>
      <c r="X1077" s="19" t="s">
        <v>115</v>
      </c>
      <c r="Y1077" s="19" t="s">
        <v>110</v>
      </c>
      <c r="Z1077" s="19">
        <v>3</v>
      </c>
      <c r="AA1077" s="19"/>
      <c r="AB1077" s="19"/>
      <c r="AC1077" s="19"/>
      <c r="AD1077" s="19"/>
      <c r="AE1077" s="19" t="s">
        <v>123</v>
      </c>
      <c r="AF1077" s="19" t="s">
        <v>123</v>
      </c>
      <c r="AG1077" s="19">
        <f>AH1077-AI1077</f>
        <v>87</v>
      </c>
      <c r="AH1077" s="19">
        <v>162</v>
      </c>
      <c r="AI1077" s="19">
        <v>75</v>
      </c>
      <c r="AJ1077" s="19"/>
      <c r="AK1077" s="19">
        <v>19.5</v>
      </c>
      <c r="AL1077" s="19">
        <v>0</v>
      </c>
      <c r="AM1077" s="19">
        <v>0</v>
      </c>
      <c r="AN1077" s="19">
        <v>0</v>
      </c>
      <c r="AO1077" s="19">
        <v>0</v>
      </c>
      <c r="AP1077" s="19">
        <f>SUM(AL1077:AN1077)</f>
        <v>0</v>
      </c>
      <c r="AQ1077" s="19">
        <v>1.6379999999999999</v>
      </c>
      <c r="AR1077" s="19">
        <f>AP1077-1.472</f>
        <v>-1.472</v>
      </c>
      <c r="AS1077" s="19">
        <f>AQ1077-1.472</f>
        <v>0.16599999999999993</v>
      </c>
      <c r="AT1077" s="19" t="s">
        <v>119</v>
      </c>
      <c r="AU1077" s="19"/>
      <c r="AV1077" s="19"/>
      <c r="AW1077" s="19">
        <f>IF(AX1077&gt;0,1,0)</f>
        <v>1</v>
      </c>
      <c r="AX1077" s="19">
        <f>SUM(BA1077,BM1077,CT1077)</f>
        <v>2</v>
      </c>
      <c r="AY1077" s="19">
        <f>SUM(BB1077,BN1077,CV1077)</f>
        <v>12.048192771084343</v>
      </c>
      <c r="AZ1077" s="19">
        <v>1</v>
      </c>
      <c r="BA1077" s="19">
        <v>2</v>
      </c>
      <c r="BB1077" s="19">
        <f>SUM(BE1077,BH1077,BK1077)</f>
        <v>12.048192771084343</v>
      </c>
      <c r="BC1077" s="19">
        <v>1</v>
      </c>
      <c r="BD1077" s="19">
        <v>1</v>
      </c>
      <c r="BE1077" s="19">
        <f>BD1077/AS1077</f>
        <v>6.0240963855421716</v>
      </c>
      <c r="BF1077" s="19">
        <v>1</v>
      </c>
      <c r="BG1077" s="80">
        <v>1</v>
      </c>
      <c r="BH1077" s="19">
        <f>BG1077/AS1077</f>
        <v>6.0240963855421716</v>
      </c>
      <c r="BI1077" s="19">
        <v>0</v>
      </c>
      <c r="BJ1077" s="19">
        <v>0</v>
      </c>
      <c r="BK1077" s="19">
        <f>BJ1077/AS1077</f>
        <v>0</v>
      </c>
      <c r="BL1077" s="19">
        <f>IF(BM1077&gt;0,1,0)</f>
        <v>0</v>
      </c>
      <c r="BM1077" s="19">
        <f>SUM(BR1077,BU1077,BX1077,CA1077,CD1077,CG1077,CJ1077,CM1077,CP1077)</f>
        <v>0</v>
      </c>
      <c r="BN1077" s="19">
        <f>SUM(BW1077,BZ1077,CC1077,CF1077,CI1077,CL1077,CO1077,CR1077,BT1077)</f>
        <v>0</v>
      </c>
      <c r="BO1077" s="19">
        <f>IF(BP1077&gt;0,1,0)</f>
        <v>0</v>
      </c>
      <c r="BP1077" s="19">
        <f>SUM(BU1077,BX1077,CA1077,CD1077,BR1077)</f>
        <v>0</v>
      </c>
      <c r="BQ1077" s="19">
        <f>SUM(BZ1077,CC1077,CF1077,BT1077,BW1077)</f>
        <v>0</v>
      </c>
      <c r="BR1077" s="19">
        <v>0</v>
      </c>
      <c r="BS1077" s="19">
        <v>0</v>
      </c>
      <c r="BT1077" s="80">
        <f>BS1077/AS1077</f>
        <v>0</v>
      </c>
      <c r="BU1077" s="19">
        <v>0</v>
      </c>
      <c r="BV1077" s="19">
        <v>0</v>
      </c>
      <c r="BW1077" s="19">
        <f>BV1077/AS1077</f>
        <v>0</v>
      </c>
      <c r="BX1077" s="19">
        <v>0</v>
      </c>
      <c r="BY1077" s="19">
        <v>0</v>
      </c>
      <c r="BZ1077" s="19">
        <f>BY1077/AS1077</f>
        <v>0</v>
      </c>
      <c r="CA1077" s="19">
        <v>0</v>
      </c>
      <c r="CB1077" s="19">
        <v>0</v>
      </c>
      <c r="CC1077" s="19">
        <f>CB1077/AS1077</f>
        <v>0</v>
      </c>
      <c r="CD1077" s="80">
        <v>0</v>
      </c>
      <c r="CE1077" s="19">
        <v>0</v>
      </c>
      <c r="CF1077" s="19">
        <f>CE1077/AS1077</f>
        <v>0</v>
      </c>
      <c r="CG1077" s="19">
        <v>0</v>
      </c>
      <c r="CH1077" s="19">
        <v>0</v>
      </c>
      <c r="CI1077" s="19">
        <f>CH1077/AS1077</f>
        <v>0</v>
      </c>
      <c r="CJ1077" s="19"/>
      <c r="CK1077" s="19"/>
      <c r="CL1077" s="19"/>
      <c r="CM1077" s="19">
        <v>0</v>
      </c>
      <c r="CN1077" s="19">
        <v>0</v>
      </c>
      <c r="CO1077" s="19">
        <f>CN1077/AS1077</f>
        <v>0</v>
      </c>
      <c r="CP1077" s="19">
        <v>0</v>
      </c>
      <c r="CQ1077" s="19">
        <v>0</v>
      </c>
      <c r="CR1077" s="19">
        <f>CQ1077/AS1077</f>
        <v>0</v>
      </c>
      <c r="CS1077" s="19">
        <v>0</v>
      </c>
      <c r="CT1077" s="19">
        <v>0</v>
      </c>
      <c r="CU1077" s="19"/>
      <c r="CV1077" s="19">
        <f>SUM(CY1077,DB1077,DE1077)</f>
        <v>0</v>
      </c>
      <c r="CW1077" s="19">
        <v>0</v>
      </c>
      <c r="CX1077" s="19">
        <v>0</v>
      </c>
      <c r="CY1077" s="19">
        <f>CX1077/AS1077</f>
        <v>0</v>
      </c>
      <c r="CZ1077" s="19">
        <v>0</v>
      </c>
      <c r="DA1077" s="19">
        <v>0</v>
      </c>
      <c r="DB1077" s="19">
        <f>DA1077/AS1077</f>
        <v>0</v>
      </c>
      <c r="DC1077" s="19">
        <v>0</v>
      </c>
      <c r="DD1077" s="19">
        <v>0</v>
      </c>
      <c r="DE1077" s="19">
        <f>DD1077/AS1077</f>
        <v>0</v>
      </c>
      <c r="DF1077" s="16" t="e">
        <f>VLOOKUP(K1077,'[3]RNA Seq summary tables'!$V$3:$V$99,1,FALSE)</f>
        <v>#N/A</v>
      </c>
      <c r="DI1077" s="19">
        <v>71</v>
      </c>
      <c r="DJ1077" s="19"/>
      <c r="DK1077" s="19">
        <v>26</v>
      </c>
      <c r="DL1077" s="19"/>
      <c r="DM1077" s="19">
        <v>3</v>
      </c>
      <c r="DN1077" s="19"/>
      <c r="DO1077" s="19">
        <v>0</v>
      </c>
      <c r="DP1077" s="19"/>
      <c r="DQ1077" s="19">
        <v>0</v>
      </c>
      <c r="DR1077" s="19">
        <f>SUM(DI1077:DQ1077)</f>
        <v>100</v>
      </c>
      <c r="DS1077" s="19"/>
      <c r="JR1077" s="27"/>
      <c r="JS1077" s="27"/>
      <c r="JT1077" s="27"/>
      <c r="JU1077" s="27"/>
      <c r="JV1077" s="27"/>
      <c r="JW1077" s="27"/>
      <c r="JX1077" s="27"/>
      <c r="JY1077" s="27"/>
      <c r="JZ1077" s="27"/>
      <c r="KA1077" s="27"/>
      <c r="KB1077" s="27"/>
    </row>
    <row r="1078" spans="1:288" ht="16" x14ac:dyDescent="0.2">
      <c r="B1078" s="16">
        <v>2017</v>
      </c>
      <c r="C1078" s="20">
        <v>42936</v>
      </c>
      <c r="D1078" s="20" t="str">
        <f>CONCATENATE(J1078,"-",C1078)</f>
        <v>1205-42936</v>
      </c>
      <c r="E1078" s="37" t="str">
        <f>CONCATENATE(T1078,"-",U1078,"-",C1078)</f>
        <v>BC1-H7-42936</v>
      </c>
      <c r="F1078" s="20" t="s">
        <v>106</v>
      </c>
      <c r="G1078" s="20" t="s">
        <v>107</v>
      </c>
      <c r="I1078" s="16">
        <v>0</v>
      </c>
      <c r="J1078" s="21">
        <v>1205</v>
      </c>
      <c r="K1078" s="21">
        <v>1940</v>
      </c>
      <c r="L1078" s="18">
        <v>0</v>
      </c>
      <c r="M1078" s="21">
        <f>VLOOKUP($K1078,'[4]blood tubes 2017'!$D$1:$L$647,8,FALSE)</f>
        <v>0</v>
      </c>
      <c r="N1078" s="15">
        <v>0</v>
      </c>
      <c r="O1078" s="15" t="s">
        <v>214</v>
      </c>
      <c r="P1078" s="16" t="s">
        <v>110</v>
      </c>
      <c r="Q1078" s="16">
        <v>1</v>
      </c>
      <c r="R1078" s="16">
        <v>17</v>
      </c>
      <c r="T1078" s="16" t="s">
        <v>159</v>
      </c>
      <c r="U1078" s="16" t="s">
        <v>202</v>
      </c>
      <c r="V1078" s="16" t="s">
        <v>114</v>
      </c>
      <c r="W1078" s="16">
        <f>AI1078/AG1078</f>
        <v>0.898876404494382</v>
      </c>
      <c r="X1078" s="16" t="s">
        <v>115</v>
      </c>
      <c r="Y1078" s="16" t="s">
        <v>110</v>
      </c>
      <c r="Z1078" s="16">
        <v>3</v>
      </c>
      <c r="AE1078" s="16" t="s">
        <v>116</v>
      </c>
      <c r="AF1078" s="16" t="s">
        <v>116</v>
      </c>
      <c r="AG1078" s="16">
        <f>AH1078-AI1078</f>
        <v>89</v>
      </c>
      <c r="AH1078" s="16">
        <v>169</v>
      </c>
      <c r="AI1078" s="16">
        <v>80</v>
      </c>
      <c r="AK1078" s="16">
        <v>22</v>
      </c>
      <c r="AL1078" s="16">
        <v>1</v>
      </c>
      <c r="AM1078" s="16">
        <v>0</v>
      </c>
      <c r="AN1078" s="16">
        <v>0</v>
      </c>
      <c r="AO1078" s="16">
        <v>1</v>
      </c>
      <c r="AP1078" s="16">
        <f>SUM(AL1078:AN1078)</f>
        <v>1</v>
      </c>
      <c r="AQ1078" s="16">
        <v>1.83</v>
      </c>
      <c r="AR1078" s="16">
        <f>AP1078-1.472</f>
        <v>-0.47199999999999998</v>
      </c>
      <c r="AS1078" s="16">
        <f>AQ1078-1.472</f>
        <v>0.3580000000000001</v>
      </c>
      <c r="AT1078" s="16" t="str">
        <f>VLOOKUP(E1078,[2]Current!$A$1:$W$435,7,FALSE)</f>
        <v>LV</v>
      </c>
      <c r="AU1078" s="16" t="s">
        <v>1288</v>
      </c>
      <c r="AW1078" s="128">
        <f>IF(AX1078&gt;0,1,0)</f>
        <v>1</v>
      </c>
      <c r="AX1078" s="128">
        <f>SUM(BA1078,BM1078,CU1078)</f>
        <v>1</v>
      </c>
      <c r="AY1078" s="128">
        <f>SUM(BB1078,BN1078,CV1078)</f>
        <v>50.279329608938532</v>
      </c>
      <c r="AZ1078" s="128">
        <f>IF(BA1078&gt;0,1,0)</f>
        <v>1</v>
      </c>
      <c r="BA1078" s="128">
        <f>SUM(BC1078+BF1078+BI1078)</f>
        <v>1</v>
      </c>
      <c r="BB1078" s="128">
        <f>SUM(BE1078,BH1078,BK1078)</f>
        <v>50.279329608938532</v>
      </c>
      <c r="BC1078" s="130">
        <f>IF(BD1078&gt;0,1,0)</f>
        <v>0</v>
      </c>
      <c r="BD1078" s="128">
        <f>VLOOKUP($E1078,[2]Current!$A:$AC,26,FALSE)</f>
        <v>0</v>
      </c>
      <c r="BE1078" s="128">
        <f>BD1078/$AS1078</f>
        <v>0</v>
      </c>
      <c r="BF1078" s="130">
        <f>IF(BG1078&gt;0,1,0)</f>
        <v>1</v>
      </c>
      <c r="BG1078" s="137">
        <f>VLOOKUP($E1078,[2]Current!$A:$AC,27,FALSE)</f>
        <v>18</v>
      </c>
      <c r="BH1078" s="128">
        <f>BG1078/$AS1078</f>
        <v>50.279329608938532</v>
      </c>
      <c r="BI1078" s="130">
        <f>IF(BJ1078&gt;0,1,0)</f>
        <v>0</v>
      </c>
      <c r="BJ1078" s="128">
        <f>VLOOKUP($E1078,[2]Current!$A:$AC,28,FALSE)</f>
        <v>0</v>
      </c>
      <c r="BK1078" s="128">
        <f>BJ1078/$AS1078</f>
        <v>0</v>
      </c>
      <c r="BL1078" s="128">
        <f>IF(BM1078&gt;0,1,0)</f>
        <v>0</v>
      </c>
      <c r="BM1078" s="128">
        <f>SUM(BR1078,BU1078,BX1078,CA1078,CD1078)</f>
        <v>0</v>
      </c>
      <c r="BN1078" s="131">
        <f>SUM(BT1078,BW1078,BZ1078,CC1078,CF1078)</f>
        <v>0</v>
      </c>
      <c r="BO1078" s="128">
        <f>IF(BP1078&gt;0,1,0)</f>
        <v>0</v>
      </c>
      <c r="BP1078" s="128">
        <f>BM1078+CJ1078</f>
        <v>0</v>
      </c>
      <c r="BQ1078" s="128">
        <f>BN1078+CL1078</f>
        <v>0</v>
      </c>
      <c r="BR1078" s="130">
        <f>IF(BS1078&gt;0,1,0)</f>
        <v>0</v>
      </c>
      <c r="BS1078" s="128">
        <f>VLOOKUP($E1078,[2]Current!$A:$AC,12,FALSE)</f>
        <v>0</v>
      </c>
      <c r="BT1078" s="137">
        <f>BS1078/$AS1078</f>
        <v>0</v>
      </c>
      <c r="BU1078" s="130">
        <f>IF(BV1078&gt;0,1,0)</f>
        <v>0</v>
      </c>
      <c r="BV1078" s="128">
        <f>VLOOKUP($E1078,[2]Current!$A:$AC,13,FALSE)</f>
        <v>0</v>
      </c>
      <c r="BW1078" s="128">
        <f>BV1078/$AS1078</f>
        <v>0</v>
      </c>
      <c r="BX1078" s="130">
        <f>IF(BY1078&gt;0,1,0)</f>
        <v>0</v>
      </c>
      <c r="BY1078" s="128">
        <f>VLOOKUP($E1078,[2]Current!$A:$AC,14,FALSE)</f>
        <v>0</v>
      </c>
      <c r="BZ1078" s="128">
        <f>BY1078/$AS1078</f>
        <v>0</v>
      </c>
      <c r="CA1078" s="130">
        <f>IF(CB1078&gt;0,1,0)</f>
        <v>0</v>
      </c>
      <c r="CB1078" s="128">
        <f>VLOOKUP($E1078,[2]Current!$A:$AC,15,FALSE)</f>
        <v>0</v>
      </c>
      <c r="CC1078" s="128">
        <f>CB1078/$AS1078</f>
        <v>0</v>
      </c>
      <c r="CD1078" s="174">
        <f>IF(CE1078&gt;0,1,0)</f>
        <v>0</v>
      </c>
      <c r="CE1078" s="128">
        <f>VLOOKUP($E1078,[2]Current!$A:$AC,16,FALSE)</f>
        <v>0</v>
      </c>
      <c r="CF1078" s="128">
        <f>CE1078/$AS1078</f>
        <v>0</v>
      </c>
      <c r="CG1078" s="18"/>
      <c r="CH1078" s="18"/>
      <c r="CI1078" s="18"/>
      <c r="CJ1078" s="130">
        <f>IF(CK1078&gt;0,1,0)</f>
        <v>0</v>
      </c>
      <c r="CK1078" s="128">
        <f>VLOOKUP($E1078,[2]Current!$A:$AC,18,FALSE)</f>
        <v>0</v>
      </c>
      <c r="CL1078" s="128">
        <f>CK1078/$AS1078</f>
        <v>0</v>
      </c>
      <c r="CS1078" s="130">
        <f>IF(CU1078&gt;0,1,0)</f>
        <v>0</v>
      </c>
      <c r="CU1078" s="128">
        <f>VLOOKUP($E1078,[2]Current!$A:$AC,17,FALSE)</f>
        <v>0</v>
      </c>
      <c r="CV1078" s="128">
        <f>CU1078/$AS1078</f>
        <v>0</v>
      </c>
      <c r="CW1078" s="18"/>
      <c r="CX1078" s="18"/>
      <c r="CY1078" s="18"/>
      <c r="DF1078" s="16" t="e">
        <f>VLOOKUP(K1078,'[3]RNA Seq summary tables'!$V$3:$V$99,1,FALSE)</f>
        <v>#N/A</v>
      </c>
    </row>
    <row r="1079" spans="1:288" x14ac:dyDescent="0.2">
      <c r="B1079" s="16">
        <v>2017</v>
      </c>
      <c r="C1079" s="20">
        <v>42954</v>
      </c>
      <c r="D1079" s="20" t="str">
        <f>CONCATENATE(J1079,"-",C1079)</f>
        <v>1205-42954</v>
      </c>
      <c r="E1079" s="142" t="str">
        <f>CONCATENATE(T1079,"-",U1079,"-",C1079)</f>
        <v>BC1-H5-42954</v>
      </c>
      <c r="F1079" s="20" t="s">
        <v>106</v>
      </c>
      <c r="G1079" s="20" t="s">
        <v>107</v>
      </c>
      <c r="J1079" s="21">
        <v>1205</v>
      </c>
      <c r="K1079" s="21">
        <v>2092</v>
      </c>
      <c r="L1079" s="18">
        <v>0</v>
      </c>
      <c r="M1079" s="21">
        <f>VLOOKUP($K1079,'[4]blood tubes 2017'!$D$1:$L$647,8,FALSE)</f>
        <v>0</v>
      </c>
      <c r="N1079" s="15">
        <v>0</v>
      </c>
      <c r="O1079" s="15" t="s">
        <v>214</v>
      </c>
      <c r="P1079" s="16" t="s">
        <v>110</v>
      </c>
      <c r="Q1079" s="16">
        <v>1</v>
      </c>
      <c r="R1079" s="16">
        <v>18</v>
      </c>
      <c r="T1079" s="16" t="s">
        <v>159</v>
      </c>
      <c r="U1079" s="16" t="s">
        <v>180</v>
      </c>
      <c r="V1079" s="16" t="s">
        <v>114</v>
      </c>
      <c r="W1079" s="16">
        <f>AI1079/AG1079</f>
        <v>0.86170212765957444</v>
      </c>
      <c r="X1079" s="16" t="s">
        <v>115</v>
      </c>
      <c r="Y1079" s="16" t="s">
        <v>110</v>
      </c>
      <c r="Z1079" s="16">
        <v>3</v>
      </c>
      <c r="AE1079" s="16" t="s">
        <v>116</v>
      </c>
      <c r="AF1079" s="16" t="s">
        <v>116</v>
      </c>
      <c r="AG1079" s="16">
        <f>AH1079-AI1079</f>
        <v>94</v>
      </c>
      <c r="AH1079" s="16">
        <v>175</v>
      </c>
      <c r="AI1079" s="16">
        <v>81</v>
      </c>
      <c r="AK1079" s="16">
        <v>25.5</v>
      </c>
      <c r="AL1079" s="16">
        <v>0</v>
      </c>
      <c r="AM1079" s="16">
        <v>0</v>
      </c>
      <c r="AN1079" s="16">
        <v>0</v>
      </c>
      <c r="AO1079" s="16">
        <v>0</v>
      </c>
      <c r="AP1079" s="16">
        <f>SUM(AL1079:AN1079)</f>
        <v>0</v>
      </c>
      <c r="AQ1079" s="16">
        <v>1.772</v>
      </c>
      <c r="AR1079" s="16">
        <f>AP1079-1.472</f>
        <v>-1.472</v>
      </c>
      <c r="AS1079" s="16">
        <f>AQ1079-1.472</f>
        <v>0.30000000000000004</v>
      </c>
      <c r="AT1079" s="16" t="e">
        <f>VLOOKUP(E1079,[2]Current!$A$1:$W$435,7,FALSE)</f>
        <v>#N/A</v>
      </c>
      <c r="AU1079" s="16">
        <v>0</v>
      </c>
      <c r="AW1079" s="18"/>
      <c r="AX1079" s="18"/>
      <c r="AY1079" s="18"/>
      <c r="AZ1079" s="18"/>
      <c r="BA1079" s="18"/>
      <c r="BB1079" s="18"/>
      <c r="BC1079" s="18"/>
      <c r="BD1079" s="18"/>
      <c r="BG1079" s="77"/>
      <c r="BT1079" s="77"/>
      <c r="CD1079" s="77"/>
      <c r="DF1079" s="16" t="e">
        <f>VLOOKUP(K1079,'[3]RNA Seq summary tables'!$V$3:$V$99,1,FALSE)</f>
        <v>#N/A</v>
      </c>
    </row>
    <row r="1080" spans="1:288" x14ac:dyDescent="0.2">
      <c r="B1080" s="16">
        <v>2017</v>
      </c>
      <c r="C1080" s="66">
        <v>42919</v>
      </c>
      <c r="D1080" s="66" t="str">
        <f>CONCATENATE(J1080,"-",C1080)</f>
        <v>1207-42919</v>
      </c>
      <c r="E1080" s="20" t="str">
        <f>CONCATENATE(T1080,"-",U1080,"-",C1080)</f>
        <v>BC1-H8-42919</v>
      </c>
      <c r="F1080" s="20" t="s">
        <v>106</v>
      </c>
      <c r="G1080" s="20" t="s">
        <v>107</v>
      </c>
      <c r="I1080" s="16">
        <v>0</v>
      </c>
      <c r="J1080" s="21">
        <v>1207</v>
      </c>
      <c r="K1080" s="21">
        <v>1823</v>
      </c>
      <c r="L1080" s="18">
        <v>0</v>
      </c>
      <c r="M1080" s="21">
        <f>VLOOKUP($K1080,'[4]blood tubes 2017'!$D$1:$L$647,8,FALSE)</f>
        <v>0</v>
      </c>
      <c r="N1080" s="15">
        <v>0</v>
      </c>
      <c r="O1080" s="15" t="s">
        <v>214</v>
      </c>
      <c r="P1080" s="16" t="s">
        <v>110</v>
      </c>
      <c r="Q1080" s="16">
        <v>0</v>
      </c>
      <c r="R1080" s="16" t="s">
        <v>111</v>
      </c>
      <c r="T1080" s="16" t="s">
        <v>159</v>
      </c>
      <c r="U1080" s="16" t="s">
        <v>152</v>
      </c>
      <c r="V1080" s="16" t="s">
        <v>142</v>
      </c>
      <c r="W1080" s="16">
        <f>AI1080/AG1080</f>
        <v>0.92783505154639179</v>
      </c>
      <c r="X1080" s="16" t="s">
        <v>121</v>
      </c>
      <c r="Y1080" s="16" t="s">
        <v>110</v>
      </c>
      <c r="Z1080" s="16">
        <v>3</v>
      </c>
      <c r="AA1080" s="16" t="s">
        <v>119</v>
      </c>
      <c r="AB1080" s="16" t="s">
        <v>123</v>
      </c>
      <c r="AC1080" s="16" t="s">
        <v>123</v>
      </c>
      <c r="AD1080" s="16" t="s">
        <v>123</v>
      </c>
      <c r="AG1080" s="16">
        <f>AH1080-AI1080</f>
        <v>97</v>
      </c>
      <c r="AH1080" s="16">
        <v>187</v>
      </c>
      <c r="AI1080" s="16">
        <v>90</v>
      </c>
      <c r="AK1080" s="16">
        <v>18.5</v>
      </c>
      <c r="AL1080" s="16">
        <v>0</v>
      </c>
      <c r="AM1080" s="16">
        <v>0</v>
      </c>
      <c r="AN1080" s="16">
        <v>0</v>
      </c>
      <c r="AO1080" s="16">
        <v>0</v>
      </c>
      <c r="AP1080" s="16">
        <f>SUM(AL1080:AN1080)</f>
        <v>0</v>
      </c>
      <c r="AQ1080" s="16">
        <v>1.8049999999999999</v>
      </c>
      <c r="AR1080" s="16">
        <f>AP1080-1.472</f>
        <v>-1.472</v>
      </c>
      <c r="AS1080" s="16">
        <f>AQ1080-1.472</f>
        <v>0.33299999999999996</v>
      </c>
      <c r="AT1080" s="18" t="s">
        <v>119</v>
      </c>
      <c r="AU1080" s="18"/>
      <c r="AV1080" s="18"/>
      <c r="AW1080" s="18">
        <f>IF(AX1080&gt;0,1,0)</f>
        <v>1</v>
      </c>
      <c r="AX1080" s="18">
        <f>SUM(BA1080,BM1080,CT1080)</f>
        <v>1</v>
      </c>
      <c r="AY1080" s="18">
        <f>SUM(BB1080,BN1080,CV1080)</f>
        <v>3.0030030030030033</v>
      </c>
      <c r="AZ1080" s="18">
        <f>IF(BA1080&gt;0,1,0)</f>
        <v>1</v>
      </c>
      <c r="BA1080" s="18">
        <f>SUM(BC1080,BF1080,BI1080)</f>
        <v>1</v>
      </c>
      <c r="BB1080" s="18">
        <f>SUM(BE1080,BH1080,BK1080)</f>
        <v>3.0030030030030033</v>
      </c>
      <c r="BC1080" s="18">
        <f>IF(BD1080&gt;0,1,0)</f>
        <v>0</v>
      </c>
      <c r="BD1080" s="18">
        <v>0</v>
      </c>
      <c r="BE1080" s="16">
        <f>BD1080/AS1080</f>
        <v>0</v>
      </c>
      <c r="BF1080" s="16">
        <f>IF(BG1080&gt;0,1,0)</f>
        <v>1</v>
      </c>
      <c r="BG1080" s="77">
        <v>1</v>
      </c>
      <c r="BH1080" s="16">
        <f>BG1080/AS1080</f>
        <v>3.0030030030030033</v>
      </c>
      <c r="BI1080" s="16">
        <f>IF(BJ1080&gt;0,1,0)</f>
        <v>0</v>
      </c>
      <c r="BJ1080" s="16">
        <v>0</v>
      </c>
      <c r="BK1080" s="16">
        <f>BJ1080/AS1080</f>
        <v>0</v>
      </c>
      <c r="BL1080" s="16">
        <f>IF(BM1080&gt;0,1,0)</f>
        <v>0</v>
      </c>
      <c r="BM1080" s="16">
        <f>SUM(BR1080,BU1080,BX1080,CA1080,CD1080,CG1080,CJ1080,CM1080,CP1080)</f>
        <v>0</v>
      </c>
      <c r="BN1080" s="16">
        <f>SUM(BW1080,BZ1080,CC1080,CF1080,CI1080,CL1080,CO1080,CR1080,BT1080)</f>
        <v>0</v>
      </c>
      <c r="BO1080" s="16">
        <f>IF(BP1080&gt;0,1,0)</f>
        <v>0</v>
      </c>
      <c r="BP1080" s="16">
        <f>SUM(BU1080,BX1080,CA1080,CD1080,BR1080)</f>
        <v>0</v>
      </c>
      <c r="BQ1080" s="16">
        <f>SUM(BZ1080,CC1080,CF1080,BT1080,BW1080)</f>
        <v>0</v>
      </c>
      <c r="BR1080" s="16">
        <f>IF(BS1080&gt;0,1,0)</f>
        <v>0</v>
      </c>
      <c r="BS1080" s="16">
        <v>0</v>
      </c>
      <c r="BT1080" s="77">
        <f>BS1080/AS1080</f>
        <v>0</v>
      </c>
      <c r="BU1080" s="16">
        <f>IF(BV1080&gt;0,1,0)</f>
        <v>0</v>
      </c>
      <c r="BV1080" s="16">
        <v>0</v>
      </c>
      <c r="BW1080" s="16">
        <f>BV1080/AS1080</f>
        <v>0</v>
      </c>
      <c r="BX1080" s="16">
        <f>IF(BY1080&gt;0,1,0)</f>
        <v>0</v>
      </c>
      <c r="BY1080" s="16">
        <v>0</v>
      </c>
      <c r="BZ1080" s="16">
        <f>BY1080/AS1080</f>
        <v>0</v>
      </c>
      <c r="CA1080" s="16">
        <f>IF(CB1080&gt;0,1,0)</f>
        <v>0</v>
      </c>
      <c r="CB1080" s="16">
        <v>0</v>
      </c>
      <c r="CC1080" s="16">
        <f>CB1080/AS1080</f>
        <v>0</v>
      </c>
      <c r="CD1080" s="77">
        <f>IF(CE1080&gt;0,1,0)</f>
        <v>0</v>
      </c>
      <c r="CE1080" s="16">
        <v>0</v>
      </c>
      <c r="CF1080" s="16">
        <f>CE1080/AS1080</f>
        <v>0</v>
      </c>
      <c r="CG1080" s="16">
        <f>IF(CH1080&gt;0,1,0)</f>
        <v>0</v>
      </c>
      <c r="CH1080" s="16">
        <v>0</v>
      </c>
      <c r="CI1080" s="16">
        <f>CH1080/AS1080</f>
        <v>0</v>
      </c>
      <c r="CJ1080" s="18">
        <v>0</v>
      </c>
      <c r="CK1080" s="18">
        <v>0</v>
      </c>
      <c r="CL1080" s="18">
        <v>0</v>
      </c>
      <c r="CS1080" s="16">
        <f>IF(CT1080&gt;0,1,0)</f>
        <v>0</v>
      </c>
      <c r="CT1080" s="16">
        <f>SUM(CW1080+CZ1080,DC1080)</f>
        <v>0</v>
      </c>
      <c r="CV1080" s="16">
        <f>SUM(CY1080,DB1080,DE1080)</f>
        <v>0</v>
      </c>
      <c r="CW1080" s="16">
        <f>IF(CX1080&gt;0,1,0)</f>
        <v>0</v>
      </c>
      <c r="CX1080" s="16">
        <v>0</v>
      </c>
      <c r="CY1080" s="16">
        <f>CX1080/AS1080</f>
        <v>0</v>
      </c>
      <c r="CZ1080" s="16">
        <f>IF(DA1080&gt;0,1,0)</f>
        <v>0</v>
      </c>
      <c r="DA1080" s="16">
        <v>0</v>
      </c>
      <c r="DB1080" s="16">
        <f>DA1080/AS1080</f>
        <v>0</v>
      </c>
      <c r="DC1080" s="16">
        <v>0</v>
      </c>
      <c r="DD1080" s="16">
        <v>0</v>
      </c>
      <c r="DE1080" s="16">
        <f>DD1080/AS1080</f>
        <v>0</v>
      </c>
      <c r="DF1080" s="16" t="e">
        <f>VLOOKUP(K1080,'[3]RNA Seq summary tables'!$V$3:$V$99,1,FALSE)</f>
        <v>#N/A</v>
      </c>
      <c r="DI1080" s="16">
        <v>29</v>
      </c>
      <c r="DK1080" s="16">
        <v>69</v>
      </c>
      <c r="DM1080" s="16">
        <v>2</v>
      </c>
      <c r="DO1080" s="16">
        <v>0</v>
      </c>
      <c r="DQ1080" s="16">
        <v>0</v>
      </c>
      <c r="DR1080" s="16">
        <f>SUM(DI1080:DQ1080)</f>
        <v>100</v>
      </c>
      <c r="JO1080" s="18"/>
      <c r="JR1080" s="27"/>
      <c r="JS1080" s="27"/>
      <c r="JT1080" s="27"/>
      <c r="JU1080" s="27"/>
      <c r="JV1080" s="27"/>
      <c r="JW1080" s="27"/>
      <c r="JX1080" s="27"/>
      <c r="JY1080" s="27"/>
      <c r="JZ1080" s="27"/>
      <c r="KA1080" s="27"/>
      <c r="KB1080" s="27"/>
    </row>
    <row r="1081" spans="1:288" ht="16" x14ac:dyDescent="0.2">
      <c r="B1081" s="16">
        <v>2017</v>
      </c>
      <c r="C1081" s="20">
        <v>42937</v>
      </c>
      <c r="D1081" s="20" t="str">
        <f>CONCATENATE(J1081,"-",C1081)</f>
        <v>1207-42937</v>
      </c>
      <c r="E1081" s="37" t="str">
        <f>CONCATENATE(T1081,"-",U1081,"-",C1081)</f>
        <v>BC1-H8-42937</v>
      </c>
      <c r="F1081" s="20" t="s">
        <v>106</v>
      </c>
      <c r="G1081" s="20" t="s">
        <v>107</v>
      </c>
      <c r="I1081" s="16">
        <v>0</v>
      </c>
      <c r="J1081" s="21">
        <v>1207</v>
      </c>
      <c r="K1081" s="21">
        <v>1950</v>
      </c>
      <c r="L1081" s="18">
        <v>0</v>
      </c>
      <c r="M1081" s="21">
        <f>VLOOKUP($K1081,'[4]blood tubes 2017'!$D$1:$L$647,8,FALSE)</f>
        <v>0</v>
      </c>
      <c r="N1081" s="15">
        <v>0</v>
      </c>
      <c r="O1081" s="15" t="s">
        <v>214</v>
      </c>
      <c r="P1081" s="16" t="s">
        <v>110</v>
      </c>
      <c r="Q1081" s="16">
        <v>1</v>
      </c>
      <c r="R1081" s="16">
        <v>18</v>
      </c>
      <c r="T1081" s="16" t="s">
        <v>159</v>
      </c>
      <c r="U1081" s="16" t="s">
        <v>152</v>
      </c>
      <c r="V1081" s="16" t="s">
        <v>142</v>
      </c>
      <c r="W1081" s="16">
        <f>AI1081/AG1081</f>
        <v>0.96842105263157896</v>
      </c>
      <c r="X1081" s="16" t="s">
        <v>121</v>
      </c>
      <c r="Y1081" s="16" t="s">
        <v>110</v>
      </c>
      <c r="Z1081" s="16">
        <v>3</v>
      </c>
      <c r="AA1081" s="16" t="s">
        <v>161</v>
      </c>
      <c r="AB1081" s="16" t="s">
        <v>123</v>
      </c>
      <c r="AC1081" s="16" t="s">
        <v>123</v>
      </c>
      <c r="AD1081" s="16" t="s">
        <v>116</v>
      </c>
      <c r="AG1081" s="16">
        <f>AH1081-AI1081</f>
        <v>95</v>
      </c>
      <c r="AH1081" s="16">
        <v>187</v>
      </c>
      <c r="AI1081" s="16">
        <v>92</v>
      </c>
      <c r="AK1081" s="16">
        <v>21</v>
      </c>
      <c r="AL1081" s="16">
        <v>0</v>
      </c>
      <c r="AM1081" s="16">
        <v>0</v>
      </c>
      <c r="AN1081" s="16">
        <v>0</v>
      </c>
      <c r="AO1081" s="16">
        <v>0</v>
      </c>
      <c r="AP1081" s="16">
        <f>SUM(AL1081:AN1081)</f>
        <v>0</v>
      </c>
      <c r="AQ1081" s="16">
        <v>2.2629999999999999</v>
      </c>
      <c r="AR1081" s="16">
        <f>AP1081-1.472</f>
        <v>-1.472</v>
      </c>
      <c r="AS1081" s="16">
        <f>AQ1081-1.472</f>
        <v>0.79099999999999993</v>
      </c>
      <c r="AT1081" s="16" t="str">
        <f>VLOOKUP(E1081,[2]Current!$A$1:$W$435,7,FALSE)</f>
        <v>JY</v>
      </c>
      <c r="AU1081" s="16" t="s">
        <v>1288</v>
      </c>
      <c r="AV1081" s="23">
        <v>1</v>
      </c>
      <c r="AW1081" s="128">
        <f>IF(AX1081&gt;0,1,0)</f>
        <v>0</v>
      </c>
      <c r="AX1081" s="128">
        <f>SUM(BA1081,BM1081,CU1081)</f>
        <v>0</v>
      </c>
      <c r="AY1081" s="128">
        <f>SUM(BB1081,BN1081,CV1081)</f>
        <v>0</v>
      </c>
      <c r="AZ1081" s="128">
        <f>IF(BA1081&gt;0,1,0)</f>
        <v>0</v>
      </c>
      <c r="BA1081" s="128">
        <f>SUM(BC1081+BF1081+BI1081)</f>
        <v>0</v>
      </c>
      <c r="BB1081" s="128">
        <f>SUM(BE1081,BH1081,BK1081)</f>
        <v>0</v>
      </c>
      <c r="BC1081" s="130">
        <f>IF(BD1081&gt;0,1,0)</f>
        <v>0</v>
      </c>
      <c r="BD1081" s="128">
        <f>VLOOKUP($E1081,[2]Current!$A:$AC,26,FALSE)</f>
        <v>0</v>
      </c>
      <c r="BE1081" s="128">
        <f>BD1081/$AS1081</f>
        <v>0</v>
      </c>
      <c r="BF1081" s="130">
        <f>IF(BG1081&gt;0,1,0)</f>
        <v>0</v>
      </c>
      <c r="BG1081" s="137">
        <f>VLOOKUP($E1081,[2]Current!$A:$AC,27,FALSE)</f>
        <v>0</v>
      </c>
      <c r="BH1081" s="128">
        <f>BG1081/$AS1081</f>
        <v>0</v>
      </c>
      <c r="BI1081" s="130">
        <f>IF(BJ1081&gt;0,1,0)</f>
        <v>0</v>
      </c>
      <c r="BJ1081" s="128">
        <f>VLOOKUP($E1081,[2]Current!$A:$AC,28,FALSE)</f>
        <v>0</v>
      </c>
      <c r="BK1081" s="128">
        <f>BJ1081/$AS1081</f>
        <v>0</v>
      </c>
      <c r="BL1081" s="128">
        <f>IF(BM1081&gt;0,1,0)</f>
        <v>0</v>
      </c>
      <c r="BM1081" s="128">
        <f>SUM(BR1081,BU1081,BX1081,CA1081,CD1081)</f>
        <v>0</v>
      </c>
      <c r="BN1081" s="131">
        <f>SUM(BT1081,BW1081,BZ1081,CC1081,CF1081)</f>
        <v>0</v>
      </c>
      <c r="BO1081" s="128">
        <f>IF(BP1081&gt;0,1,0)</f>
        <v>0</v>
      </c>
      <c r="BP1081" s="128">
        <f>BM1081+CJ1081</f>
        <v>0</v>
      </c>
      <c r="BQ1081" s="128">
        <f>BN1081+CL1081</f>
        <v>0</v>
      </c>
      <c r="BR1081" s="130">
        <f>IF(BS1081&gt;0,1,0)</f>
        <v>0</v>
      </c>
      <c r="BS1081" s="128">
        <f>VLOOKUP($E1081,[2]Current!$A:$AC,12,FALSE)</f>
        <v>0</v>
      </c>
      <c r="BT1081" s="137">
        <f>BS1081/$AS1081</f>
        <v>0</v>
      </c>
      <c r="BU1081" s="130">
        <f>IF(BV1081&gt;0,1,0)</f>
        <v>0</v>
      </c>
      <c r="BV1081" s="128">
        <f>VLOOKUP($E1081,[2]Current!$A:$AC,13,FALSE)</f>
        <v>0</v>
      </c>
      <c r="BW1081" s="128">
        <f>BV1081/$AS1081</f>
        <v>0</v>
      </c>
      <c r="BX1081" s="130">
        <f>IF(BY1081&gt;0,1,0)</f>
        <v>0</v>
      </c>
      <c r="BY1081" s="128">
        <f>VLOOKUP($E1081,[2]Current!$A:$AC,14,FALSE)</f>
        <v>0</v>
      </c>
      <c r="BZ1081" s="128">
        <f>BY1081/$AS1081</f>
        <v>0</v>
      </c>
      <c r="CA1081" s="130">
        <f>IF(CB1081&gt;0,1,0)</f>
        <v>0</v>
      </c>
      <c r="CB1081" s="128">
        <f>VLOOKUP($E1081,[2]Current!$A:$AC,15,FALSE)</f>
        <v>0</v>
      </c>
      <c r="CC1081" s="128">
        <f>CB1081/$AS1081</f>
        <v>0</v>
      </c>
      <c r="CD1081" s="174">
        <f>IF(CE1081&gt;0,1,0)</f>
        <v>0</v>
      </c>
      <c r="CE1081" s="128">
        <f>VLOOKUP($E1081,[2]Current!$A:$AC,16,FALSE)</f>
        <v>0</v>
      </c>
      <c r="CF1081" s="128">
        <f>CE1081/$AS1081</f>
        <v>0</v>
      </c>
      <c r="CG1081" s="18"/>
      <c r="CH1081" s="18"/>
      <c r="CI1081" s="18"/>
      <c r="CJ1081" s="130">
        <f>IF(CK1081&gt;0,1,0)</f>
        <v>0</v>
      </c>
      <c r="CK1081" s="128">
        <f>VLOOKUP($E1081,[2]Current!$A:$AC,18,FALSE)</f>
        <v>0</v>
      </c>
      <c r="CL1081" s="128">
        <f>CK1081/$AS1081</f>
        <v>0</v>
      </c>
      <c r="CS1081" s="130">
        <f>IF(CU1081&gt;0,1,0)</f>
        <v>0</v>
      </c>
      <c r="CU1081" s="128">
        <f>VLOOKUP($E1081,[2]Current!$A:$AC,17,FALSE)</f>
        <v>0</v>
      </c>
      <c r="CV1081" s="128">
        <f>CU1081/$AS1081</f>
        <v>0</v>
      </c>
      <c r="CW1081" s="18"/>
      <c r="CX1081" s="18"/>
      <c r="CY1081" s="18"/>
      <c r="DF1081" s="16" t="e">
        <f>VLOOKUP(K1081,'[3]RNA Seq summary tables'!$V$3:$V$99,1,FALSE)</f>
        <v>#N/A</v>
      </c>
    </row>
    <row r="1082" spans="1:288" ht="16" x14ac:dyDescent="0.2">
      <c r="B1082" s="16">
        <v>2017</v>
      </c>
      <c r="C1082" s="20">
        <v>42955</v>
      </c>
      <c r="D1082" s="20" t="str">
        <f>CONCATENATE(J1082,"-",C1082)</f>
        <v>1207-42955</v>
      </c>
      <c r="E1082" s="37" t="str">
        <f>CONCATENATE(T1082,"-",U1082,"-",C1082)</f>
        <v>BC1-H7-42955</v>
      </c>
      <c r="F1082" s="20" t="s">
        <v>106</v>
      </c>
      <c r="G1082" s="20" t="s">
        <v>107</v>
      </c>
      <c r="I1082" s="16">
        <v>0</v>
      </c>
      <c r="J1082" s="21">
        <v>1207</v>
      </c>
      <c r="K1082" s="21">
        <v>2097</v>
      </c>
      <c r="L1082" s="18">
        <v>0</v>
      </c>
      <c r="M1082" s="21">
        <f>VLOOKUP($K1082,'[4]blood tubes 2017'!$D$1:$L$647,8,FALSE)</f>
        <v>0</v>
      </c>
      <c r="N1082" s="15">
        <v>0</v>
      </c>
      <c r="O1082" s="15" t="s">
        <v>214</v>
      </c>
      <c r="P1082" s="16" t="s">
        <v>110</v>
      </c>
      <c r="Q1082" s="16">
        <v>1</v>
      </c>
      <c r="R1082" s="16">
        <v>18</v>
      </c>
      <c r="T1082" s="16" t="s">
        <v>159</v>
      </c>
      <c r="U1082" s="16" t="s">
        <v>202</v>
      </c>
      <c r="V1082" s="16" t="s">
        <v>142</v>
      </c>
      <c r="W1082" s="16">
        <f>AI1082/AG1082</f>
        <v>0.93939393939393945</v>
      </c>
      <c r="X1082" s="16" t="s">
        <v>121</v>
      </c>
      <c r="Y1082" s="16" t="s">
        <v>110</v>
      </c>
      <c r="Z1082" s="16">
        <v>3</v>
      </c>
      <c r="AA1082" s="16" t="s">
        <v>161</v>
      </c>
      <c r="AB1082" s="16" t="s">
        <v>239</v>
      </c>
      <c r="AC1082" s="16" t="s">
        <v>123</v>
      </c>
      <c r="AD1082" s="16" t="s">
        <v>116</v>
      </c>
      <c r="AG1082" s="16">
        <f>AH1082-AI1082</f>
        <v>99</v>
      </c>
      <c r="AH1082" s="16">
        <v>192</v>
      </c>
      <c r="AI1082" s="16">
        <v>93</v>
      </c>
      <c r="AK1082" s="16">
        <v>21.5</v>
      </c>
      <c r="AL1082" s="16">
        <v>0</v>
      </c>
      <c r="AM1082" s="16">
        <v>0</v>
      </c>
      <c r="AN1082" s="16">
        <v>0</v>
      </c>
      <c r="AO1082" s="16">
        <v>0</v>
      </c>
      <c r="AP1082" s="16">
        <f>SUM(AL1082:AN1082)</f>
        <v>0</v>
      </c>
      <c r="AQ1082" s="16">
        <v>2.1779999999999999</v>
      </c>
      <c r="AR1082" s="16">
        <f>AP1082-1.472</f>
        <v>-1.472</v>
      </c>
      <c r="AS1082" s="16">
        <f>AQ1082-1.472</f>
        <v>0.70599999999999996</v>
      </c>
      <c r="AT1082" s="16" t="str">
        <f>VLOOKUP(E1082,[2]Current!$A$1:$W$435,7,FALSE)</f>
        <v>TE</v>
      </c>
      <c r="AU1082" s="16" t="s">
        <v>1288</v>
      </c>
      <c r="AV1082" s="23"/>
      <c r="AW1082" s="128">
        <f>IF(AX1082&gt;0,1,0)</f>
        <v>1</v>
      </c>
      <c r="AX1082" s="128">
        <f>SUM(BA1082,BM1082,CU1082)</f>
        <v>2</v>
      </c>
      <c r="AY1082" s="128">
        <f>SUM(BB1082,BN1082,CV1082)</f>
        <v>96.317280453257794</v>
      </c>
      <c r="AZ1082" s="128">
        <f>IF(BA1082&gt;0,1,0)</f>
        <v>1</v>
      </c>
      <c r="BA1082" s="128">
        <f>SUM(BC1082+BF1082+BI1082)</f>
        <v>2</v>
      </c>
      <c r="BB1082" s="128">
        <f>SUM(BE1082,BH1082,BK1082)</f>
        <v>96.317280453257794</v>
      </c>
      <c r="BC1082" s="130">
        <f>IF(BD1082&gt;0,1,0)</f>
        <v>0</v>
      </c>
      <c r="BD1082" s="128">
        <f>VLOOKUP($E1082,[2]Current!$A:$AC,26,FALSE)</f>
        <v>0</v>
      </c>
      <c r="BE1082" s="128">
        <f>BD1082/$AS1082</f>
        <v>0</v>
      </c>
      <c r="BF1082" s="130">
        <f>IF(BG1082&gt;0,1,0)</f>
        <v>1</v>
      </c>
      <c r="BG1082" s="137">
        <f>VLOOKUP($E1082,[2]Current!$A:$AC,27,FALSE)</f>
        <v>20</v>
      </c>
      <c r="BH1082" s="128">
        <f>BG1082/$AS1082</f>
        <v>28.328611898016998</v>
      </c>
      <c r="BI1082" s="130">
        <f>IF(BJ1082&gt;0,1,0)</f>
        <v>1</v>
      </c>
      <c r="BJ1082" s="128">
        <f>VLOOKUP($E1082,[2]Current!$A:$AC,28,FALSE)</f>
        <v>48</v>
      </c>
      <c r="BK1082" s="128">
        <f>BJ1082/$AS1082</f>
        <v>67.988668555240793</v>
      </c>
      <c r="BL1082" s="128">
        <f>IF(BM1082&gt;0,1,0)</f>
        <v>0</v>
      </c>
      <c r="BM1082" s="128">
        <f>SUM(BR1082,BU1082,BX1082,CA1082,CD1082)</f>
        <v>0</v>
      </c>
      <c r="BN1082" s="131">
        <f>SUM(BT1082,BW1082,BZ1082,CC1082,CF1082)</f>
        <v>0</v>
      </c>
      <c r="BO1082" s="128">
        <f>IF(BP1082&gt;0,1,0)</f>
        <v>1</v>
      </c>
      <c r="BP1082" s="128">
        <f>BM1082+CJ1082</f>
        <v>1</v>
      </c>
      <c r="BQ1082" s="128">
        <f>BN1082+CL1082</f>
        <v>1.41643059490085</v>
      </c>
      <c r="BR1082" s="130">
        <f>IF(BS1082&gt;0,1,0)</f>
        <v>0</v>
      </c>
      <c r="BS1082" s="128">
        <f>VLOOKUP($E1082,[2]Current!$A:$AC,12,FALSE)</f>
        <v>0</v>
      </c>
      <c r="BT1082" s="137">
        <f>BS1082/$AS1082</f>
        <v>0</v>
      </c>
      <c r="BU1082" s="130">
        <f>IF(BV1082&gt;0,1,0)</f>
        <v>0</v>
      </c>
      <c r="BV1082" s="128">
        <f>VLOOKUP($E1082,[2]Current!$A:$AC,13,FALSE)</f>
        <v>0</v>
      </c>
      <c r="BW1082" s="128">
        <f>BV1082/$AS1082</f>
        <v>0</v>
      </c>
      <c r="BX1082" s="130">
        <f>IF(BY1082&gt;0,1,0)</f>
        <v>0</v>
      </c>
      <c r="BY1082" s="128">
        <f>VLOOKUP($E1082,[2]Current!$A:$AC,14,FALSE)</f>
        <v>0</v>
      </c>
      <c r="BZ1082" s="128">
        <f>BY1082/$AS1082</f>
        <v>0</v>
      </c>
      <c r="CA1082" s="130">
        <f>IF(CB1082&gt;0,1,0)</f>
        <v>0</v>
      </c>
      <c r="CB1082" s="128">
        <f>VLOOKUP($E1082,[2]Current!$A:$AC,15,FALSE)</f>
        <v>0</v>
      </c>
      <c r="CC1082" s="128">
        <f>CB1082/$AS1082</f>
        <v>0</v>
      </c>
      <c r="CD1082" s="174">
        <f>IF(CE1082&gt;0,1,0)</f>
        <v>0</v>
      </c>
      <c r="CE1082" s="128">
        <f>VLOOKUP($E1082,[2]Current!$A:$AC,16,FALSE)</f>
        <v>0</v>
      </c>
      <c r="CF1082" s="128">
        <f>CE1082/$AS1082</f>
        <v>0</v>
      </c>
      <c r="CG1082" s="18"/>
      <c r="CH1082" s="18"/>
      <c r="CI1082" s="18"/>
      <c r="CJ1082" s="130">
        <f>IF(CK1082&gt;0,1,0)</f>
        <v>1</v>
      </c>
      <c r="CK1082" s="128">
        <f>VLOOKUP($E1082,[2]Current!$A:$AC,18,FALSE)</f>
        <v>1</v>
      </c>
      <c r="CL1082" s="128">
        <f>CK1082/$AS1082</f>
        <v>1.41643059490085</v>
      </c>
      <c r="CS1082" s="130">
        <f>IF(CU1082&gt;0,1,0)</f>
        <v>0</v>
      </c>
      <c r="CT1082" s="18"/>
      <c r="CU1082" s="128">
        <f>VLOOKUP($E1082,[2]Current!$A:$AC,17,FALSE)</f>
        <v>0</v>
      </c>
      <c r="CV1082" s="128">
        <f>CU1082/$AS1082</f>
        <v>0</v>
      </c>
      <c r="CW1082" s="18"/>
      <c r="CX1082" s="18"/>
      <c r="CY1082" s="18"/>
      <c r="DF1082" s="16" t="e">
        <f>VLOOKUP(K1082,'[3]RNA Seq summary tables'!$V$3:$V$99,1,FALSE)</f>
        <v>#N/A</v>
      </c>
      <c r="JO1082" s="49"/>
    </row>
    <row r="1083" spans="1:288" x14ac:dyDescent="0.2">
      <c r="B1083" s="16">
        <v>2017</v>
      </c>
      <c r="C1083" s="20">
        <v>42920</v>
      </c>
      <c r="D1083" s="20" t="str">
        <f>CONCATENATE(J1083,"-",C1083)</f>
        <v>1209-42920</v>
      </c>
      <c r="E1083" s="20" t="str">
        <f>CONCATENATE(T1083,"-",U1083,"-",C1083)</f>
        <v>BC1-G7-42920</v>
      </c>
      <c r="F1083" s="20" t="s">
        <v>106</v>
      </c>
      <c r="G1083" s="20" t="s">
        <v>107</v>
      </c>
      <c r="I1083" s="16">
        <v>0</v>
      </c>
      <c r="J1083" s="21">
        <v>1209</v>
      </c>
      <c r="K1083" s="21">
        <v>1827</v>
      </c>
      <c r="L1083" s="18">
        <v>0</v>
      </c>
      <c r="M1083" s="21">
        <f>VLOOKUP($K1083,'[4]blood tubes 2017'!$D$1:$L$647,8,FALSE)</f>
        <v>0</v>
      </c>
      <c r="N1083" s="15">
        <v>0</v>
      </c>
      <c r="O1083" s="15" t="s">
        <v>214</v>
      </c>
      <c r="P1083" s="16" t="s">
        <v>110</v>
      </c>
      <c r="Q1083" s="16">
        <v>0</v>
      </c>
      <c r="R1083" s="16" t="s">
        <v>111</v>
      </c>
      <c r="T1083" s="16" t="s">
        <v>159</v>
      </c>
      <c r="U1083" s="16" t="s">
        <v>156</v>
      </c>
      <c r="V1083" s="16" t="s">
        <v>114</v>
      </c>
      <c r="W1083" s="16">
        <f>AI1083/AG1083</f>
        <v>0.8089887640449438</v>
      </c>
      <c r="X1083" s="16" t="s">
        <v>121</v>
      </c>
      <c r="Y1083" s="16" t="s">
        <v>110</v>
      </c>
      <c r="Z1083" s="16">
        <v>3</v>
      </c>
      <c r="AA1083" s="16" t="s">
        <v>161</v>
      </c>
      <c r="AB1083" s="16" t="s">
        <v>123</v>
      </c>
      <c r="AC1083" s="16" t="s">
        <v>123</v>
      </c>
      <c r="AD1083" s="16" t="s">
        <v>116</v>
      </c>
      <c r="AG1083" s="16">
        <f>AH1083-AI1083</f>
        <v>89</v>
      </c>
      <c r="AH1083" s="16">
        <v>161</v>
      </c>
      <c r="AI1083" s="16">
        <v>72</v>
      </c>
      <c r="AK1083" s="16">
        <v>18</v>
      </c>
      <c r="AL1083" s="16">
        <v>0</v>
      </c>
      <c r="AM1083" s="16">
        <v>1</v>
      </c>
      <c r="AN1083" s="16">
        <v>0</v>
      </c>
      <c r="AO1083" s="16">
        <v>1</v>
      </c>
      <c r="AP1083" s="16">
        <f>SUM(AL1083:AN1083)</f>
        <v>1</v>
      </c>
      <c r="AQ1083" s="16">
        <v>1.6890000000000001</v>
      </c>
      <c r="AR1083" s="16">
        <f>AP1083-1.472</f>
        <v>-0.47199999999999998</v>
      </c>
      <c r="AS1083" s="16">
        <f>AQ1083-1.472</f>
        <v>0.21700000000000008</v>
      </c>
      <c r="AT1083" s="16" t="s">
        <v>119</v>
      </c>
      <c r="AW1083" s="16">
        <f>IF(AX1083&gt;0,1,0)</f>
        <v>1</v>
      </c>
      <c r="AX1083" s="16">
        <f>SUM(BA1083,BM1083,CT1083)</f>
        <v>2</v>
      </c>
      <c r="AY1083" s="18">
        <f>SUM(BB1083,BN1083,CV1083)</f>
        <v>9.2165898617511495</v>
      </c>
      <c r="AZ1083" s="16">
        <v>1</v>
      </c>
      <c r="BA1083" s="16">
        <v>2</v>
      </c>
      <c r="BB1083" s="16">
        <f>SUM(BE1083,BH1083,BK1083)</f>
        <v>9.2165898617511495</v>
      </c>
      <c r="BC1083" s="16">
        <v>1</v>
      </c>
      <c r="BD1083" s="16">
        <v>1</v>
      </c>
      <c r="BE1083" s="16">
        <f>BD1083/AS1083</f>
        <v>4.6082949308755747</v>
      </c>
      <c r="BF1083" s="16">
        <v>1</v>
      </c>
      <c r="BG1083" s="77">
        <v>1</v>
      </c>
      <c r="BH1083" s="16">
        <f>BG1083/AS1083</f>
        <v>4.6082949308755747</v>
      </c>
      <c r="BI1083" s="16">
        <v>0</v>
      </c>
      <c r="BJ1083" s="16">
        <v>0</v>
      </c>
      <c r="BK1083" s="16">
        <f>BJ1083/AS1083</f>
        <v>0</v>
      </c>
      <c r="BL1083" s="16">
        <f>IF(BM1083&gt;0,1,0)</f>
        <v>0</v>
      </c>
      <c r="BM1083" s="16">
        <f>SUM(BR1083,BU1083,BX1083,CA1083,CD1083,CG1083,CJ1083,CM1083,CP1083)</f>
        <v>0</v>
      </c>
      <c r="BN1083" s="16">
        <f>SUM(BW1083,BZ1083,CC1083,CF1083,CI1083,CL1083,CO1083,CR1083,BT1083)</f>
        <v>0</v>
      </c>
      <c r="BO1083" s="16">
        <f>IF(BP1083&gt;0,1,0)</f>
        <v>0</v>
      </c>
      <c r="BP1083" s="16">
        <f>SUM(BU1083,BX1083,CA1083,CD1083,BR1083)</f>
        <v>0</v>
      </c>
      <c r="BQ1083" s="16">
        <f>SUM(BZ1083,CC1083,CF1083,BT1083,BW1083)</f>
        <v>0</v>
      </c>
      <c r="BR1083" s="16">
        <v>0</v>
      </c>
      <c r="BS1083" s="16">
        <v>0</v>
      </c>
      <c r="BT1083" s="77">
        <f>BS1083/AS1083</f>
        <v>0</v>
      </c>
      <c r="BU1083" s="16">
        <v>0</v>
      </c>
      <c r="BV1083" s="16">
        <v>0</v>
      </c>
      <c r="BW1083" s="16">
        <f>BV1083/AS1083</f>
        <v>0</v>
      </c>
      <c r="BX1083" s="16">
        <v>0</v>
      </c>
      <c r="BY1083" s="16">
        <v>0</v>
      </c>
      <c r="BZ1083" s="16">
        <f>BY1083/AS1083</f>
        <v>0</v>
      </c>
      <c r="CA1083" s="16">
        <v>0</v>
      </c>
      <c r="CB1083" s="16">
        <v>0</v>
      </c>
      <c r="CC1083" s="16">
        <f>CB1083/AS1083</f>
        <v>0</v>
      </c>
      <c r="CD1083" s="77">
        <v>0</v>
      </c>
      <c r="CE1083" s="16">
        <v>0</v>
      </c>
      <c r="CF1083" s="16">
        <f>CE1083/AS1083</f>
        <v>0</v>
      </c>
      <c r="CG1083" s="16">
        <v>0</v>
      </c>
      <c r="CH1083" s="16">
        <v>0</v>
      </c>
      <c r="CI1083" s="16">
        <f>CH1083/AS1083</f>
        <v>0</v>
      </c>
      <c r="CM1083" s="16">
        <v>0</v>
      </c>
      <c r="CN1083" s="16">
        <v>0</v>
      </c>
      <c r="CO1083" s="16">
        <f>CN1083/AS1083</f>
        <v>0</v>
      </c>
      <c r="CP1083" s="16">
        <v>0</v>
      </c>
      <c r="CQ1083" s="16">
        <v>0</v>
      </c>
      <c r="CR1083" s="16">
        <f>CQ1083/AS1083</f>
        <v>0</v>
      </c>
      <c r="CS1083" s="16">
        <v>0</v>
      </c>
      <c r="CT1083" s="16">
        <v>0</v>
      </c>
      <c r="CV1083" s="16">
        <f>SUM(CY1083,DB1083,DE1083)</f>
        <v>0</v>
      </c>
      <c r="CW1083" s="16">
        <v>0</v>
      </c>
      <c r="CX1083" s="16">
        <v>0</v>
      </c>
      <c r="CY1083" s="16">
        <f>CX1083/AS1083</f>
        <v>0</v>
      </c>
      <c r="CZ1083" s="16">
        <v>0</v>
      </c>
      <c r="DA1083" s="16">
        <v>0</v>
      </c>
      <c r="DB1083" s="16">
        <f>DA1083/AS1083</f>
        <v>0</v>
      </c>
      <c r="DC1083" s="16">
        <v>0</v>
      </c>
      <c r="DD1083" s="16">
        <v>0</v>
      </c>
      <c r="DE1083" s="16">
        <f>DD1083/AS1083</f>
        <v>0</v>
      </c>
      <c r="DF1083" s="16" t="e">
        <f>VLOOKUP(K1083,'[3]RNA Seq summary tables'!$V$3:$V$99,1,FALSE)</f>
        <v>#N/A</v>
      </c>
      <c r="DI1083" s="16">
        <v>32</v>
      </c>
      <c r="DK1083" s="16">
        <v>11</v>
      </c>
      <c r="DM1083" s="16">
        <v>5</v>
      </c>
      <c r="DO1083" s="16">
        <v>0</v>
      </c>
      <c r="DQ1083" s="16">
        <v>0</v>
      </c>
      <c r="DR1083" s="16">
        <f>SUM(DI1083:DQ1083)</f>
        <v>48</v>
      </c>
      <c r="JO1083" s="30"/>
      <c r="JR1083" s="27"/>
      <c r="JS1083" s="27"/>
      <c r="JT1083" s="27"/>
      <c r="JU1083" s="27"/>
      <c r="JV1083" s="27"/>
      <c r="JW1083" s="27"/>
      <c r="JX1083" s="27"/>
      <c r="JY1083" s="27"/>
      <c r="JZ1083" s="27"/>
      <c r="KA1083" s="27"/>
      <c r="KB1083" s="27"/>
    </row>
    <row r="1084" spans="1:288" ht="16" x14ac:dyDescent="0.2">
      <c r="A1084" s="51">
        <v>1</v>
      </c>
      <c r="B1084" s="16">
        <v>2017</v>
      </c>
      <c r="C1084" s="43">
        <v>42936</v>
      </c>
      <c r="D1084" s="43" t="str">
        <f>CONCATENATE(J1084,"-",C1084)</f>
        <v>1209-42936</v>
      </c>
      <c r="E1084" s="37" t="str">
        <f>CONCATENATE(T1084,"-",U1084,"-",C1084)</f>
        <v>BC1-E5-42936</v>
      </c>
      <c r="F1084" s="20" t="s">
        <v>106</v>
      </c>
      <c r="G1084" s="65" t="s">
        <v>107</v>
      </c>
      <c r="H1084" s="25" t="s">
        <v>192</v>
      </c>
      <c r="I1084" s="16">
        <v>0</v>
      </c>
      <c r="J1084" s="15">
        <v>1209</v>
      </c>
      <c r="K1084" s="83" t="s">
        <v>255</v>
      </c>
      <c r="L1084" s="18">
        <v>0</v>
      </c>
      <c r="M1084" s="21">
        <v>0</v>
      </c>
      <c r="N1084" s="15">
        <v>0</v>
      </c>
      <c r="O1084" s="15" t="s">
        <v>214</v>
      </c>
      <c r="P1084" s="23" t="s">
        <v>110</v>
      </c>
      <c r="Q1084" s="16">
        <v>1</v>
      </c>
      <c r="R1084" s="23">
        <v>16</v>
      </c>
      <c r="S1084" s="23"/>
      <c r="T1084" s="23" t="s">
        <v>159</v>
      </c>
      <c r="U1084" s="23" t="s">
        <v>158</v>
      </c>
      <c r="V1084" s="23" t="s">
        <v>114</v>
      </c>
      <c r="W1084" s="16">
        <f>AI1084/AG1084</f>
        <v>0.8</v>
      </c>
      <c r="X1084" s="23" t="s">
        <v>121</v>
      </c>
      <c r="Y1084" s="23" t="s">
        <v>110</v>
      </c>
      <c r="Z1084" s="23">
        <v>3</v>
      </c>
      <c r="AA1084" s="23" t="s">
        <v>161</v>
      </c>
      <c r="AB1084" s="23" t="s">
        <v>123</v>
      </c>
      <c r="AC1084" s="23" t="s">
        <v>123</v>
      </c>
      <c r="AD1084" s="23" t="s">
        <v>116</v>
      </c>
      <c r="AE1084" s="23"/>
      <c r="AF1084" s="23"/>
      <c r="AG1084" s="23">
        <f>AH1084-AI1084</f>
        <v>90</v>
      </c>
      <c r="AH1084" s="23">
        <v>162</v>
      </c>
      <c r="AI1084" s="23">
        <v>72</v>
      </c>
      <c r="AJ1084" s="23"/>
      <c r="AK1084" s="23">
        <v>19</v>
      </c>
      <c r="AL1084" s="23">
        <v>0</v>
      </c>
      <c r="AM1084" s="23">
        <v>0</v>
      </c>
      <c r="AN1084" s="23">
        <v>0</v>
      </c>
      <c r="AO1084" s="23">
        <v>0</v>
      </c>
      <c r="AP1084" s="23">
        <f>SUM(AL1084:AN1084)</f>
        <v>0</v>
      </c>
      <c r="AQ1084" s="23">
        <v>1.6539999999999999</v>
      </c>
      <c r="AR1084" s="23">
        <f>AP1084-1.472</f>
        <v>-1.472</v>
      </c>
      <c r="AS1084" s="23">
        <f>AQ1084-1.472</f>
        <v>0.18199999999999994</v>
      </c>
      <c r="AT1084" s="16" t="str">
        <f>VLOOKUP(E1084,[2]Current!$A$1:$W$435,7,FALSE)</f>
        <v>TE</v>
      </c>
      <c r="AU1084" s="16" t="s">
        <v>1288</v>
      </c>
      <c r="AV1084" s="23"/>
      <c r="AW1084" s="128">
        <f>IF(AX1084&gt;0,1,0)</f>
        <v>1</v>
      </c>
      <c r="AX1084" s="128">
        <f>SUM(BA1084,BM1084,CU1084)</f>
        <v>3</v>
      </c>
      <c r="AY1084" s="128">
        <f>SUM(BB1084,BN1084,CV1084)</f>
        <v>109.89010989010993</v>
      </c>
      <c r="AZ1084" s="128">
        <f>IF(BA1084&gt;0,1,0)</f>
        <v>1</v>
      </c>
      <c r="BA1084" s="128">
        <f>SUM(BC1084+BF1084+BI1084)</f>
        <v>3</v>
      </c>
      <c r="BB1084" s="128">
        <f>SUM(BE1084,BH1084,BK1084)</f>
        <v>109.89010989010993</v>
      </c>
      <c r="BC1084" s="130">
        <f>IF(BD1084&gt;0,1,0)</f>
        <v>1</v>
      </c>
      <c r="BD1084" s="128">
        <f>VLOOKUP($E1084,[2]Current!$A:$AC,26,FALSE)</f>
        <v>4</v>
      </c>
      <c r="BE1084" s="128">
        <f>BD1084/$AS1084</f>
        <v>21.978021978021985</v>
      </c>
      <c r="BF1084" s="130">
        <f>IF(BG1084&gt;0,1,0)</f>
        <v>1</v>
      </c>
      <c r="BG1084" s="137">
        <f>VLOOKUP($E1084,[2]Current!$A:$AC,27,FALSE)</f>
        <v>14</v>
      </c>
      <c r="BH1084" s="128">
        <f>BG1084/$AS1084</f>
        <v>76.923076923076948</v>
      </c>
      <c r="BI1084" s="130">
        <f>IF(BJ1084&gt;0,1,0)</f>
        <v>1</v>
      </c>
      <c r="BJ1084" s="128">
        <f>VLOOKUP($E1084,[2]Current!$A:$AC,28,FALSE)</f>
        <v>2</v>
      </c>
      <c r="BK1084" s="128">
        <f>BJ1084/$AS1084</f>
        <v>10.989010989010993</v>
      </c>
      <c r="BL1084" s="128">
        <f>IF(BM1084&gt;0,1,0)</f>
        <v>0</v>
      </c>
      <c r="BM1084" s="128">
        <f>SUM(BR1084,BU1084,BX1084,CA1084,CD1084)</f>
        <v>0</v>
      </c>
      <c r="BN1084" s="131">
        <f>SUM(BT1084,BW1084,BZ1084,CC1084,CF1084)</f>
        <v>0</v>
      </c>
      <c r="BO1084" s="128">
        <f>IF(BP1084&gt;0,1,0)</f>
        <v>0</v>
      </c>
      <c r="BP1084" s="128">
        <f>BM1084+CJ1084</f>
        <v>0</v>
      </c>
      <c r="BQ1084" s="128">
        <f>BN1084+CL1084</f>
        <v>0</v>
      </c>
      <c r="BR1084" s="130">
        <f>IF(BS1084&gt;0,1,0)</f>
        <v>0</v>
      </c>
      <c r="BS1084" s="128">
        <f>VLOOKUP($E1084,[2]Current!$A:$AC,12,FALSE)</f>
        <v>0</v>
      </c>
      <c r="BT1084" s="137">
        <f>BS1084/$AS1084</f>
        <v>0</v>
      </c>
      <c r="BU1084" s="130">
        <f>IF(BV1084&gt;0,1,0)</f>
        <v>0</v>
      </c>
      <c r="BV1084" s="128">
        <f>VLOOKUP($E1084,[2]Current!$A:$AC,13,FALSE)</f>
        <v>0</v>
      </c>
      <c r="BW1084" s="128">
        <f>BV1084/$AS1084</f>
        <v>0</v>
      </c>
      <c r="BX1084" s="130">
        <f>IF(BY1084&gt;0,1,0)</f>
        <v>0</v>
      </c>
      <c r="BY1084" s="128">
        <f>VLOOKUP($E1084,[2]Current!$A:$AC,14,FALSE)</f>
        <v>0</v>
      </c>
      <c r="BZ1084" s="128">
        <f>BY1084/$AS1084</f>
        <v>0</v>
      </c>
      <c r="CA1084" s="130">
        <f>IF(CB1084&gt;0,1,0)</f>
        <v>0</v>
      </c>
      <c r="CB1084" s="128">
        <f>VLOOKUP($E1084,[2]Current!$A:$AC,15,FALSE)</f>
        <v>0</v>
      </c>
      <c r="CC1084" s="128">
        <f>CB1084/$AS1084</f>
        <v>0</v>
      </c>
      <c r="CD1084" s="174">
        <f>IF(CE1084&gt;0,1,0)</f>
        <v>0</v>
      </c>
      <c r="CE1084" s="128">
        <f>VLOOKUP($E1084,[2]Current!$A:$AC,16,FALSE)</f>
        <v>0</v>
      </c>
      <c r="CF1084" s="128">
        <f>CE1084/$AS1084</f>
        <v>0</v>
      </c>
      <c r="CG1084" s="18"/>
      <c r="CH1084" s="18"/>
      <c r="CI1084" s="18"/>
      <c r="CJ1084" s="130">
        <f>IF(CK1084&gt;0,1,0)</f>
        <v>0</v>
      </c>
      <c r="CK1084" s="128">
        <f>VLOOKUP($E1084,[2]Current!$A:$AC,18,FALSE)</f>
        <v>0</v>
      </c>
      <c r="CL1084" s="128">
        <f>CK1084/$AS1084</f>
        <v>0</v>
      </c>
      <c r="CS1084" s="130">
        <f>IF(CU1084&gt;0,1,0)</f>
        <v>0</v>
      </c>
      <c r="CU1084" s="128">
        <f>VLOOKUP($E1084,[2]Current!$A:$AC,17,FALSE)</f>
        <v>0</v>
      </c>
      <c r="CV1084" s="128">
        <f>CU1084/$AS1084</f>
        <v>0</v>
      </c>
      <c r="CW1084" s="18"/>
      <c r="CX1084" s="18"/>
      <c r="CY1084" s="18"/>
      <c r="DF1084" s="16" t="e">
        <f>VLOOKUP(K1084,'[3]RNA Seq summary tables'!$V$3:$V$99,1,FALSE)</f>
        <v>#N/A</v>
      </c>
      <c r="DI1084" s="23"/>
      <c r="DJ1084" s="23"/>
      <c r="DK1084" s="23"/>
      <c r="DL1084" s="23"/>
      <c r="DM1084" s="23"/>
      <c r="DN1084" s="23"/>
      <c r="DO1084" s="23"/>
      <c r="DP1084" s="23"/>
      <c r="DQ1084" s="23"/>
      <c r="DR1084" s="23"/>
      <c r="DS1084" s="23"/>
      <c r="DT1084" s="25"/>
      <c r="DU1084" s="25"/>
      <c r="DV1084" s="25"/>
      <c r="DW1084" s="25"/>
      <c r="DX1084" s="25"/>
      <c r="DY1084" s="25"/>
      <c r="DZ1084" s="25"/>
      <c r="EA1084" s="25"/>
      <c r="EB1084" s="25"/>
      <c r="EC1084" s="25"/>
      <c r="ED1084" s="25"/>
      <c r="EE1084" s="25"/>
      <c r="EF1084" s="25"/>
      <c r="EG1084" s="25"/>
      <c r="EH1084" s="25"/>
      <c r="EI1084" s="25"/>
      <c r="EJ1084" s="25"/>
      <c r="EK1084" s="25"/>
      <c r="EL1084" s="25"/>
      <c r="EM1084" s="25"/>
      <c r="EN1084" s="25"/>
      <c r="EO1084" s="25"/>
      <c r="EP1084" s="25"/>
      <c r="EQ1084" s="25"/>
      <c r="ER1084" s="25"/>
      <c r="ES1084" s="25"/>
      <c r="ET1084" s="25"/>
      <c r="EU1084" s="25"/>
      <c r="EV1084" s="25"/>
      <c r="EW1084" s="25"/>
      <c r="EX1084" s="25"/>
      <c r="EY1084" s="25"/>
      <c r="EZ1084" s="25"/>
      <c r="FA1084" s="25"/>
      <c r="FB1084" s="25"/>
      <c r="FC1084" s="25"/>
      <c r="FD1084" s="25"/>
      <c r="FE1084" s="25"/>
      <c r="FF1084" s="25"/>
      <c r="FG1084" s="25"/>
      <c r="FH1084" s="25"/>
      <c r="FI1084" s="25"/>
      <c r="FJ1084" s="25"/>
      <c r="FK1084" s="25"/>
      <c r="FL1084" s="25"/>
      <c r="FM1084" s="25"/>
      <c r="FN1084" s="25"/>
      <c r="FO1084" s="25"/>
      <c r="FP1084" s="25"/>
      <c r="FQ1084" s="25"/>
      <c r="FR1084" s="25"/>
      <c r="FS1084" s="25"/>
      <c r="FT1084" s="25"/>
      <c r="FU1084" s="25"/>
      <c r="FV1084" s="25"/>
      <c r="FW1084" s="25"/>
      <c r="FX1084" s="25"/>
      <c r="FY1084" s="25"/>
      <c r="FZ1084" s="25"/>
      <c r="GA1084" s="25"/>
      <c r="GB1084" s="25"/>
      <c r="GC1084" s="25"/>
      <c r="GD1084" s="25"/>
      <c r="GE1084" s="25"/>
      <c r="GF1084" s="25"/>
      <c r="GG1084" s="25"/>
      <c r="GH1084" s="25"/>
      <c r="GI1084" s="25"/>
      <c r="GJ1084" s="25"/>
      <c r="GK1084" s="25"/>
      <c r="GL1084" s="25"/>
      <c r="GM1084" s="25"/>
      <c r="GN1084" s="25"/>
      <c r="GO1084" s="25"/>
      <c r="GP1084" s="25"/>
      <c r="GQ1084" s="25"/>
      <c r="GR1084" s="25"/>
      <c r="GS1084" s="25"/>
      <c r="GT1084" s="25"/>
      <c r="GU1084" s="25"/>
      <c r="GV1084" s="25"/>
      <c r="GW1084" s="25"/>
      <c r="GX1084" s="25"/>
      <c r="GY1084" s="25"/>
      <c r="GZ1084" s="25"/>
      <c r="HA1084" s="25"/>
      <c r="HB1084" s="25"/>
      <c r="HC1084" s="25"/>
      <c r="HD1084" s="25"/>
      <c r="HE1084" s="25"/>
      <c r="HF1084" s="25"/>
      <c r="HG1084" s="25"/>
      <c r="HH1084" s="25"/>
      <c r="HI1084" s="25"/>
      <c r="HJ1084" s="25"/>
      <c r="HK1084" s="25"/>
      <c r="HL1084" s="25"/>
      <c r="HM1084" s="25"/>
      <c r="HN1084" s="25"/>
      <c r="HO1084" s="25"/>
      <c r="HP1084" s="25"/>
      <c r="HQ1084" s="25"/>
      <c r="HR1084" s="25"/>
      <c r="HS1084" s="25"/>
      <c r="HT1084" s="25"/>
      <c r="HU1084" s="25"/>
      <c r="HV1084" s="25"/>
      <c r="HW1084" s="25"/>
      <c r="HX1084" s="25"/>
      <c r="HY1084" s="25"/>
      <c r="HZ1084" s="25"/>
      <c r="IA1084" s="25"/>
      <c r="IB1084" s="25"/>
      <c r="IC1084" s="25"/>
      <c r="ID1084" s="25"/>
      <c r="IE1084" s="25"/>
      <c r="IF1084" s="25"/>
      <c r="IG1084" s="25"/>
      <c r="IH1084" s="25"/>
      <c r="II1084" s="25"/>
      <c r="IJ1084" s="25"/>
      <c r="IK1084" s="25"/>
      <c r="IL1084" s="25"/>
      <c r="IM1084" s="25"/>
      <c r="IN1084" s="25"/>
      <c r="IO1084" s="25"/>
      <c r="IP1084" s="25"/>
      <c r="IQ1084" s="25"/>
      <c r="IR1084" s="25"/>
      <c r="IS1084" s="25"/>
      <c r="IT1084" s="25"/>
      <c r="IU1084" s="25"/>
      <c r="IV1084" s="25"/>
      <c r="IW1084" s="25"/>
      <c r="IX1084" s="25"/>
      <c r="IY1084" s="25"/>
      <c r="IZ1084" s="25"/>
      <c r="JA1084" s="25"/>
      <c r="JB1084" s="25"/>
      <c r="JC1084" s="25"/>
      <c r="JD1084" s="25"/>
      <c r="JE1084" s="25"/>
      <c r="JF1084" s="25"/>
      <c r="JG1084" s="25"/>
      <c r="JH1084" s="25"/>
      <c r="JI1084" s="25"/>
      <c r="JJ1084" s="25"/>
      <c r="JK1084" s="25"/>
      <c r="JL1084" s="25"/>
      <c r="JM1084" s="25"/>
      <c r="JN1084" s="25"/>
      <c r="JO1084" s="23"/>
    </row>
    <row r="1085" spans="1:288" x14ac:dyDescent="0.2">
      <c r="B1085" s="18">
        <v>2017</v>
      </c>
      <c r="C1085" s="37">
        <v>42922</v>
      </c>
      <c r="D1085" s="37" t="str">
        <f>CONCATENATE(J1085,"-",C1085)</f>
        <v>1211-42922</v>
      </c>
      <c r="E1085" s="20" t="str">
        <f>CONCATENATE(T1085,"-",U1085,"-",C1085)</f>
        <v>SP2-E2-42922</v>
      </c>
      <c r="F1085" s="20" t="s">
        <v>106</v>
      </c>
      <c r="G1085" s="37" t="s">
        <v>107</v>
      </c>
      <c r="H1085" s="18"/>
      <c r="I1085" s="16">
        <v>0</v>
      </c>
      <c r="J1085" s="36">
        <v>1211</v>
      </c>
      <c r="K1085" s="36">
        <v>1834</v>
      </c>
      <c r="L1085" s="18">
        <v>0</v>
      </c>
      <c r="M1085" s="36">
        <f>VLOOKUP($K1085,'[4]blood tubes 2017'!$D$1:$L$647,8,FALSE)</f>
        <v>0</v>
      </c>
      <c r="N1085" s="42">
        <v>0</v>
      </c>
      <c r="O1085" s="15" t="s">
        <v>214</v>
      </c>
      <c r="P1085" s="18" t="s">
        <v>110</v>
      </c>
      <c r="Q1085" s="18">
        <v>0</v>
      </c>
      <c r="R1085" s="18" t="s">
        <v>111</v>
      </c>
      <c r="S1085" s="18"/>
      <c r="T1085" s="18" t="s">
        <v>137</v>
      </c>
      <c r="U1085" s="18" t="s">
        <v>136</v>
      </c>
      <c r="V1085" s="18" t="s">
        <v>114</v>
      </c>
      <c r="W1085" s="16">
        <f>AI1085/AG1085</f>
        <v>0.73684210526315785</v>
      </c>
      <c r="X1085" s="18" t="s">
        <v>121</v>
      </c>
      <c r="Y1085" s="18" t="s">
        <v>110</v>
      </c>
      <c r="Z1085" s="18">
        <v>3</v>
      </c>
      <c r="AA1085" s="18" t="s">
        <v>161</v>
      </c>
      <c r="AB1085" s="18" t="s">
        <v>239</v>
      </c>
      <c r="AC1085" s="18" t="s">
        <v>123</v>
      </c>
      <c r="AD1085" s="18" t="s">
        <v>116</v>
      </c>
      <c r="AE1085" s="18"/>
      <c r="AF1085" s="18"/>
      <c r="AG1085" s="18">
        <f>AH1085-AI1085</f>
        <v>95</v>
      </c>
      <c r="AH1085" s="18">
        <v>165</v>
      </c>
      <c r="AI1085" s="18">
        <v>70</v>
      </c>
      <c r="AJ1085" s="18"/>
      <c r="AK1085" s="18">
        <v>24</v>
      </c>
      <c r="AL1085" s="18">
        <v>0</v>
      </c>
      <c r="AM1085" s="18">
        <v>0</v>
      </c>
      <c r="AN1085" s="18">
        <v>0</v>
      </c>
      <c r="AO1085" s="18">
        <v>0</v>
      </c>
      <c r="AP1085" s="18">
        <f>SUM(AL1085:AN1085)</f>
        <v>0</v>
      </c>
      <c r="AQ1085" s="18">
        <v>2.5750000000000002</v>
      </c>
      <c r="AR1085" s="18">
        <f>AP1085-1.472</f>
        <v>-1.472</v>
      </c>
      <c r="AS1085" s="18">
        <f>AQ1085-1.472</f>
        <v>1.1030000000000002</v>
      </c>
      <c r="AT1085" s="18" t="s">
        <v>119</v>
      </c>
      <c r="AU1085" s="18"/>
      <c r="AV1085" s="18"/>
      <c r="AW1085" s="18">
        <f>IF(AX1085&gt;0,1,0)</f>
        <v>1</v>
      </c>
      <c r="AX1085" s="18">
        <f>SUM(BA1085,BM1085,CT1085)</f>
        <v>6</v>
      </c>
      <c r="AY1085" s="18">
        <f>SUM(BB1085,BN1085,CV1085)</f>
        <v>828.64913871260183</v>
      </c>
      <c r="AZ1085" s="18">
        <v>1</v>
      </c>
      <c r="BA1085" s="18">
        <v>3</v>
      </c>
      <c r="BB1085" s="18">
        <f>SUM(BE1085,BH1085,BK1085)</f>
        <v>751.58658204895721</v>
      </c>
      <c r="BC1085" s="18">
        <v>1</v>
      </c>
      <c r="BD1085" s="18">
        <v>1</v>
      </c>
      <c r="BE1085" s="18">
        <f>BD1085/AS1085</f>
        <v>0.90661831368993639</v>
      </c>
      <c r="BF1085" s="18">
        <v>1</v>
      </c>
      <c r="BG1085" s="78">
        <v>823</v>
      </c>
      <c r="BH1085" s="18">
        <f>BG1085/AS1085</f>
        <v>746.14687216681762</v>
      </c>
      <c r="BI1085" s="18">
        <v>1</v>
      </c>
      <c r="BJ1085" s="18">
        <v>5</v>
      </c>
      <c r="BK1085" s="18">
        <f>BJ1085/AS1085</f>
        <v>4.5330915684496818</v>
      </c>
      <c r="BL1085" s="18">
        <f>IF(BM1085&gt;0,1,0)</f>
        <v>1</v>
      </c>
      <c r="BM1085" s="18">
        <f>SUM(BR1085,BU1085,BX1085,CA1085,CD1085,CG1085,CJ1085,CM1085,CP1085)</f>
        <v>3</v>
      </c>
      <c r="BN1085" s="18">
        <f>SUM(BW1085,BZ1085,CC1085,CF1085,CI1085,CL1085,CO1085,CR1085,BT1085)</f>
        <v>77.0625566636446</v>
      </c>
      <c r="BO1085" s="16">
        <f>IF(BP1085&gt;0,1,0)</f>
        <v>1</v>
      </c>
      <c r="BP1085" s="16">
        <f>SUM(BU1085,BX1085,CA1085,CD1085,BR1085)</f>
        <v>3</v>
      </c>
      <c r="BQ1085" s="16">
        <f>SUM(BZ1085,CC1085,CF1085,BT1085,BW1085)</f>
        <v>77.0625566636446</v>
      </c>
      <c r="BR1085" s="18">
        <v>0</v>
      </c>
      <c r="BS1085" s="18">
        <v>0</v>
      </c>
      <c r="BT1085" s="78">
        <f>BS1085/AS1085</f>
        <v>0</v>
      </c>
      <c r="BU1085" s="18">
        <v>0</v>
      </c>
      <c r="BV1085" s="18">
        <v>0</v>
      </c>
      <c r="BW1085" s="18">
        <f>BV1085/AS1085</f>
        <v>0</v>
      </c>
      <c r="BX1085" s="18">
        <v>1</v>
      </c>
      <c r="BY1085" s="18">
        <v>78</v>
      </c>
      <c r="BZ1085" s="18">
        <f>BY1085/AS1085</f>
        <v>70.716228467815043</v>
      </c>
      <c r="CA1085" s="18">
        <v>1</v>
      </c>
      <c r="CB1085" s="18">
        <v>6</v>
      </c>
      <c r="CC1085" s="18">
        <f>CB1085/AS1085</f>
        <v>5.4397098821396179</v>
      </c>
      <c r="CD1085" s="78">
        <v>1</v>
      </c>
      <c r="CE1085" s="18">
        <v>1</v>
      </c>
      <c r="CF1085" s="18">
        <f>CE1085/AS1085</f>
        <v>0.90661831368993639</v>
      </c>
      <c r="CG1085" s="18">
        <v>0</v>
      </c>
      <c r="CH1085" s="18">
        <v>0</v>
      </c>
      <c r="CI1085" s="18">
        <f>CH1085/AS1085</f>
        <v>0</v>
      </c>
      <c r="CJ1085" s="18"/>
      <c r="CK1085" s="18"/>
      <c r="CL1085" s="18"/>
      <c r="CM1085" s="18">
        <v>0</v>
      </c>
      <c r="CN1085" s="18">
        <v>0</v>
      </c>
      <c r="CO1085" s="18">
        <f>CN1085/AS1085</f>
        <v>0</v>
      </c>
      <c r="CP1085" s="18">
        <v>0</v>
      </c>
      <c r="CQ1085" s="18">
        <v>0</v>
      </c>
      <c r="CR1085" s="18">
        <f>CQ1085/AS1085</f>
        <v>0</v>
      </c>
      <c r="CS1085" s="18">
        <v>0</v>
      </c>
      <c r="CT1085" s="18">
        <v>0</v>
      </c>
      <c r="CU1085" s="18"/>
      <c r="CV1085" s="18">
        <f>SUM(CY1085,DB1085,DE1085)</f>
        <v>0</v>
      </c>
      <c r="CW1085" s="18">
        <v>0</v>
      </c>
      <c r="CX1085" s="18">
        <v>0</v>
      </c>
      <c r="CY1085" s="18">
        <f>CX1085/AS1085</f>
        <v>0</v>
      </c>
      <c r="CZ1085" s="18">
        <v>0</v>
      </c>
      <c r="DA1085" s="18">
        <v>0</v>
      </c>
      <c r="DB1085" s="18">
        <f>DA1085/AS1085</f>
        <v>0</v>
      </c>
      <c r="DC1085" s="18">
        <v>0</v>
      </c>
      <c r="DD1085" s="18">
        <v>0</v>
      </c>
      <c r="DE1085" s="18">
        <f>DD1085/AS1085</f>
        <v>0</v>
      </c>
      <c r="DF1085" s="16" t="e">
        <f>VLOOKUP(K1085,'[3]RNA Seq summary tables'!$V$3:$V$99,1,FALSE)</f>
        <v>#N/A</v>
      </c>
      <c r="DI1085" s="18">
        <v>58</v>
      </c>
      <c r="DJ1085" s="18"/>
      <c r="DK1085" s="18">
        <v>35</v>
      </c>
      <c r="DL1085" s="18"/>
      <c r="DM1085" s="18">
        <v>5</v>
      </c>
      <c r="DN1085" s="18"/>
      <c r="DO1085" s="18">
        <v>0</v>
      </c>
      <c r="DP1085" s="18"/>
      <c r="DQ1085" s="18">
        <v>2</v>
      </c>
      <c r="DR1085" s="18">
        <f>SUM(DI1085:DQ1085)</f>
        <v>100</v>
      </c>
      <c r="DS1085" s="18"/>
      <c r="JR1085" s="27"/>
      <c r="JS1085" s="27"/>
      <c r="JT1085" s="27"/>
      <c r="JU1085" s="27"/>
      <c r="JV1085" s="27"/>
      <c r="JW1085" s="27"/>
      <c r="JX1085" s="27"/>
      <c r="JY1085" s="27"/>
      <c r="JZ1085" s="27"/>
      <c r="KA1085" s="27"/>
      <c r="KB1085" s="27"/>
    </row>
    <row r="1086" spans="1:288" ht="16" x14ac:dyDescent="0.2">
      <c r="B1086" s="16">
        <v>2017</v>
      </c>
      <c r="C1086" s="20">
        <v>42972</v>
      </c>
      <c r="D1086" s="20" t="str">
        <f>CONCATENATE(J1086,"-",C1086)</f>
        <v>1212-42972</v>
      </c>
      <c r="E1086" s="37" t="str">
        <f>CONCATENATE(T1086,"-",U1086,"-",C1086)</f>
        <v>SP2-G8-42972</v>
      </c>
      <c r="F1086" s="20" t="s">
        <v>106</v>
      </c>
      <c r="G1086" s="20" t="s">
        <v>107</v>
      </c>
      <c r="I1086" s="16">
        <v>0</v>
      </c>
      <c r="J1086" s="21">
        <v>1212</v>
      </c>
      <c r="K1086" s="21">
        <v>2255</v>
      </c>
      <c r="L1086" s="18">
        <v>0</v>
      </c>
      <c r="M1086" s="21">
        <f>VLOOKUP($K1086,'[4]blood tubes 2017'!$D$1:$L$947,8,FALSE)</f>
        <v>0</v>
      </c>
      <c r="N1086" s="15">
        <v>0</v>
      </c>
      <c r="O1086" s="15" t="s">
        <v>214</v>
      </c>
      <c r="P1086" s="16" t="s">
        <v>110</v>
      </c>
      <c r="Q1086" s="16">
        <v>0</v>
      </c>
      <c r="R1086" s="16" t="s">
        <v>111</v>
      </c>
      <c r="T1086" s="16" t="s">
        <v>137</v>
      </c>
      <c r="U1086" s="16" t="s">
        <v>216</v>
      </c>
      <c r="V1086" s="16" t="s">
        <v>114</v>
      </c>
      <c r="W1086" s="16">
        <f>AI1086/AG1086</f>
        <v>0.88888888888888884</v>
      </c>
      <c r="X1086" s="16" t="s">
        <v>121</v>
      </c>
      <c r="Y1086" s="16" t="s">
        <v>110</v>
      </c>
      <c r="Z1086" s="16">
        <v>3</v>
      </c>
      <c r="AA1086" s="16" t="s">
        <v>119</v>
      </c>
      <c r="AB1086" s="16" t="s">
        <v>239</v>
      </c>
      <c r="AC1086" s="16" t="s">
        <v>116</v>
      </c>
      <c r="AD1086" s="16" t="s">
        <v>116</v>
      </c>
      <c r="AG1086" s="16">
        <f>AH1086-AI1086</f>
        <v>90</v>
      </c>
      <c r="AH1086" s="16">
        <v>170</v>
      </c>
      <c r="AI1086" s="16">
        <v>80</v>
      </c>
      <c r="AK1086" s="16">
        <v>27.5</v>
      </c>
      <c r="AL1086" s="16">
        <v>0</v>
      </c>
      <c r="AM1086" s="16">
        <v>0</v>
      </c>
      <c r="AN1086" s="16">
        <v>0</v>
      </c>
      <c r="AO1086" s="16">
        <v>0</v>
      </c>
      <c r="AP1086" s="16">
        <f>SUM(AL1086:AN1086)</f>
        <v>0</v>
      </c>
      <c r="AQ1086" s="16">
        <v>1.9410000000000001</v>
      </c>
      <c r="AR1086" s="16">
        <f>AP1086-1.472</f>
        <v>-1.472</v>
      </c>
      <c r="AS1086" s="16">
        <f>AQ1086-1.472</f>
        <v>0.46900000000000008</v>
      </c>
      <c r="AT1086" s="16" t="str">
        <f>VLOOKUP(E1086,[2]Current!$A$1:$W$435,7,FALSE)</f>
        <v>NB</v>
      </c>
      <c r="AU1086" s="16" t="s">
        <v>1288</v>
      </c>
      <c r="AV1086" s="23"/>
      <c r="AW1086" s="128">
        <f>IF(AX1086&gt;0,1,0)</f>
        <v>1</v>
      </c>
      <c r="AX1086" s="128">
        <f>SUM(BA1086,BM1086,CU1086)</f>
        <v>1</v>
      </c>
      <c r="AY1086" s="128">
        <f>SUM(BB1086,BN1086,CV1086)</f>
        <v>5688.6993603411502</v>
      </c>
      <c r="AZ1086" s="128">
        <f>IF(BA1086&gt;0,1,0)</f>
        <v>1</v>
      </c>
      <c r="BA1086" s="128">
        <f>SUM(BC1086+BF1086+BI1086)</f>
        <v>1</v>
      </c>
      <c r="BB1086" s="128">
        <f>SUM(BE1086,BH1086,BK1086)</f>
        <v>5688.6993603411502</v>
      </c>
      <c r="BC1086" s="130">
        <f>IF(BD1086&gt;0,1,0)</f>
        <v>0</v>
      </c>
      <c r="BD1086" s="128">
        <f>VLOOKUP($E1086,[2]Current!$A:$AC,26,FALSE)</f>
        <v>0</v>
      </c>
      <c r="BE1086" s="128">
        <f>BD1086/$AS1086</f>
        <v>0</v>
      </c>
      <c r="BF1086" s="130">
        <f>IF(BG1086&gt;0,1,0)</f>
        <v>1</v>
      </c>
      <c r="BG1086" s="137">
        <f>VLOOKUP($E1086,[2]Current!$A:$AC,27,FALSE)</f>
        <v>2668</v>
      </c>
      <c r="BH1086" s="128">
        <f>BG1086/$AS1086</f>
        <v>5688.6993603411502</v>
      </c>
      <c r="BI1086" s="130">
        <f>IF(BJ1086&gt;0,1,0)</f>
        <v>0</v>
      </c>
      <c r="BJ1086" s="128">
        <f>VLOOKUP($E1086,[2]Current!$A:$AC,28,FALSE)</f>
        <v>0</v>
      </c>
      <c r="BK1086" s="128">
        <f>BJ1086/$AS1086</f>
        <v>0</v>
      </c>
      <c r="BL1086" s="128">
        <f>IF(BM1086&gt;0,1,0)</f>
        <v>0</v>
      </c>
      <c r="BM1086" s="128">
        <f>SUM(BR1086,BU1086,BX1086,CA1086,CD1086)</f>
        <v>0</v>
      </c>
      <c r="BN1086" s="131">
        <f>SUM(BT1086,BW1086,BZ1086,CC1086,CF1086)</f>
        <v>0</v>
      </c>
      <c r="BO1086" s="128">
        <f>IF(BP1086&gt;0,1,0)</f>
        <v>0</v>
      </c>
      <c r="BP1086" s="128">
        <f>BM1086+CJ1086</f>
        <v>0</v>
      </c>
      <c r="BQ1086" s="128">
        <f>BN1086+CL1086</f>
        <v>0</v>
      </c>
      <c r="BR1086" s="130">
        <f>IF(BS1086&gt;0,1,0)</f>
        <v>0</v>
      </c>
      <c r="BS1086" s="128">
        <f>VLOOKUP($E1086,[2]Current!$A:$AC,12,FALSE)</f>
        <v>0</v>
      </c>
      <c r="BT1086" s="137">
        <f>BS1086/$AS1086</f>
        <v>0</v>
      </c>
      <c r="BU1086" s="130">
        <f>IF(BV1086&gt;0,1,0)</f>
        <v>0</v>
      </c>
      <c r="BV1086" s="128">
        <f>VLOOKUP($E1086,[2]Current!$A:$AC,13,FALSE)</f>
        <v>0</v>
      </c>
      <c r="BW1086" s="128">
        <f>BV1086/$AS1086</f>
        <v>0</v>
      </c>
      <c r="BX1086" s="130">
        <f>IF(BY1086&gt;0,1,0)</f>
        <v>0</v>
      </c>
      <c r="BY1086" s="128">
        <f>VLOOKUP($E1086,[2]Current!$A:$AC,14,FALSE)</f>
        <v>0</v>
      </c>
      <c r="BZ1086" s="128">
        <f>BY1086/$AS1086</f>
        <v>0</v>
      </c>
      <c r="CA1086" s="130">
        <f>IF(CB1086&gt;0,1,0)</f>
        <v>0</v>
      </c>
      <c r="CB1086" s="128">
        <f>VLOOKUP($E1086,[2]Current!$A:$AC,15,FALSE)</f>
        <v>0</v>
      </c>
      <c r="CC1086" s="128">
        <f>CB1086/$AS1086</f>
        <v>0</v>
      </c>
      <c r="CD1086" s="174">
        <f>IF(CE1086&gt;0,1,0)</f>
        <v>0</v>
      </c>
      <c r="CE1086" s="128">
        <f>VLOOKUP($E1086,[2]Current!$A:$AC,16,FALSE)</f>
        <v>0</v>
      </c>
      <c r="CF1086" s="128">
        <f>CE1086/$AS1086</f>
        <v>0</v>
      </c>
      <c r="CG1086" s="18"/>
      <c r="CH1086" s="18"/>
      <c r="CI1086" s="18"/>
      <c r="CJ1086" s="130">
        <f>IF(CK1086&gt;0,1,0)</f>
        <v>0</v>
      </c>
      <c r="CK1086" s="128">
        <f>VLOOKUP($E1086,[2]Current!$A:$AC,18,FALSE)</f>
        <v>0</v>
      </c>
      <c r="CL1086" s="128">
        <f>CK1086/$AS1086</f>
        <v>0</v>
      </c>
      <c r="CS1086" s="130">
        <f>IF(CU1086&gt;0,1,0)</f>
        <v>0</v>
      </c>
      <c r="CT1086" s="27"/>
      <c r="CU1086" s="128">
        <f>VLOOKUP($E1086,[2]Current!$A:$AC,17,FALSE)</f>
        <v>0</v>
      </c>
      <c r="CV1086" s="128">
        <f>CU1086/$AS1086</f>
        <v>0</v>
      </c>
      <c r="CW1086" s="18"/>
      <c r="CX1086" s="18"/>
      <c r="CY1086" s="18"/>
      <c r="DF1086" s="16" t="e">
        <f>VLOOKUP(K1086,'[3]RNA Seq summary tables'!$V$3:$V$99,1,FALSE)</f>
        <v>#N/A</v>
      </c>
      <c r="DG1086" s="16">
        <v>1</v>
      </c>
      <c r="DH1086" s="16" t="str">
        <f>VLOOKUP(D1086,'[6]workflow 3.2018'!$A$1:$S$237,2,FALSE)</f>
        <v>2017MLBS_190</v>
      </c>
    </row>
    <row r="1087" spans="1:288" ht="16" x14ac:dyDescent="0.2">
      <c r="B1087" s="16">
        <v>2018</v>
      </c>
      <c r="C1087" s="124">
        <v>43253</v>
      </c>
      <c r="D1087" t="s">
        <v>765</v>
      </c>
      <c r="E1087" s="37" t="str">
        <f>CONCATENATE(T1087,"-",U1087,"-",C1087)</f>
        <v>SP2-H8-43253</v>
      </c>
      <c r="F1087" s="16" t="s">
        <v>227</v>
      </c>
      <c r="G1087" s="126" t="s">
        <v>107</v>
      </c>
      <c r="H1087" s="126"/>
      <c r="J1087" s="126">
        <v>1212</v>
      </c>
      <c r="K1087" s="126">
        <v>2402</v>
      </c>
      <c r="O1087" s="126" t="s">
        <v>214</v>
      </c>
      <c r="T1087" s="126" t="s">
        <v>137</v>
      </c>
      <c r="U1087" s="126" t="s">
        <v>152</v>
      </c>
      <c r="V1087" s="133" t="s">
        <v>142</v>
      </c>
      <c r="X1087" s="126" t="s">
        <v>121</v>
      </c>
      <c r="Y1087" s="126" t="s">
        <v>110</v>
      </c>
      <c r="Z1087" s="126">
        <v>3</v>
      </c>
      <c r="AA1087" s="126" t="s">
        <v>119</v>
      </c>
      <c r="AB1087" s="126" t="s">
        <v>116</v>
      </c>
      <c r="AC1087" s="126" t="s">
        <v>116</v>
      </c>
      <c r="AD1087" s="126"/>
      <c r="AE1087" s="126"/>
      <c r="AG1087" s="16">
        <f>AH1087-AI1087</f>
        <v>87</v>
      </c>
      <c r="AH1087" s="126">
        <v>174</v>
      </c>
      <c r="AI1087" s="126">
        <v>87</v>
      </c>
      <c r="AK1087" s="126">
        <v>28</v>
      </c>
      <c r="AL1087" s="126">
        <v>0</v>
      </c>
      <c r="AM1087" s="126">
        <v>0</v>
      </c>
      <c r="AN1087" s="126">
        <v>0</v>
      </c>
      <c r="AO1087" s="16">
        <f>IF(SUM(AL1087:AN1087)&gt;0,1,0)</f>
        <v>0</v>
      </c>
      <c r="AP1087" s="18">
        <f>SUM(AL1087:AN1087)</f>
        <v>0</v>
      </c>
      <c r="AR1087" s="16">
        <v>1.3939999999999999</v>
      </c>
      <c r="AS1087" s="16">
        <f>VLOOKUP(E1087,'[1]Feces weights'!$D$1:$H$459,5,FALSE)</f>
        <v>1.3939999999999999</v>
      </c>
      <c r="AT1087" s="16" t="str">
        <f>VLOOKUP(E1087,[2]Current!$A$1:$W$435,7,FALSE)</f>
        <v>TE</v>
      </c>
      <c r="AU1087" s="16" t="s">
        <v>1288</v>
      </c>
      <c r="AW1087" s="128">
        <f>IF(AX1087&gt;0,1,0)</f>
        <v>1</v>
      </c>
      <c r="AX1087" s="128">
        <f>SUM(BA1087,BM1087,CU1087)</f>
        <v>1</v>
      </c>
      <c r="AY1087" s="128">
        <f>SUM(BB1087,BN1087,CV1087)</f>
        <v>0.71736011477761841</v>
      </c>
      <c r="AZ1087" s="128">
        <f>IF(BA1087&gt;0,1,0)</f>
        <v>0</v>
      </c>
      <c r="BA1087" s="128">
        <f>SUM(BC1087+BF1087+BI1087)</f>
        <v>0</v>
      </c>
      <c r="BB1087" s="128">
        <f>SUM(BE1087,BH1087,BK1087)</f>
        <v>0</v>
      </c>
      <c r="BC1087" s="130">
        <f>IF(BD1087&gt;0,1,0)</f>
        <v>0</v>
      </c>
      <c r="BD1087" s="128">
        <f>VLOOKUP($E1087,[2]Current!$A:$AC,26,FALSE)</f>
        <v>0</v>
      </c>
      <c r="BE1087" s="128">
        <f>BD1087/$AS1087</f>
        <v>0</v>
      </c>
      <c r="BF1087" s="130">
        <f>IF(BG1087&gt;0,1,0)</f>
        <v>0</v>
      </c>
      <c r="BG1087" s="137">
        <f>VLOOKUP($E1087,[2]Current!$A:$AC,27,FALSE)</f>
        <v>0</v>
      </c>
      <c r="BH1087" s="128">
        <f>BG1087/$AS1087</f>
        <v>0</v>
      </c>
      <c r="BI1087" s="130">
        <f>IF(BJ1087&gt;0,1,0)</f>
        <v>0</v>
      </c>
      <c r="BJ1087" s="128">
        <f>VLOOKUP($E1087,[2]Current!$A:$AC,28,FALSE)</f>
        <v>0</v>
      </c>
      <c r="BK1087" s="128">
        <f>BJ1087/$AS1087</f>
        <v>0</v>
      </c>
      <c r="BL1087" s="128">
        <f>IF(BM1087&gt;0,1,0)</f>
        <v>1</v>
      </c>
      <c r="BM1087" s="128">
        <f>SUM(BR1087,BU1087,BX1087,CA1087,CD1087)</f>
        <v>1</v>
      </c>
      <c r="BN1087" s="131">
        <f>SUM(BT1087,BW1087,BZ1087,CC1087,CF1087)</f>
        <v>0.71736011477761841</v>
      </c>
      <c r="BO1087" s="128">
        <f>IF(BP1087&gt;0,1,0)</f>
        <v>1</v>
      </c>
      <c r="BP1087" s="128">
        <f>BM1087+CJ1087</f>
        <v>1</v>
      </c>
      <c r="BQ1087" s="128">
        <f>BN1087+CL1087</f>
        <v>0.71736011477761841</v>
      </c>
      <c r="BR1087" s="130">
        <f>IF(BS1087&gt;0,1,0)</f>
        <v>0</v>
      </c>
      <c r="BS1087" s="128">
        <f>VLOOKUP($E1087,[2]Current!$A:$AC,12,FALSE)</f>
        <v>0</v>
      </c>
      <c r="BT1087" s="137">
        <f>BS1087/$AS1087</f>
        <v>0</v>
      </c>
      <c r="BU1087" s="130">
        <f>IF(BV1087&gt;0,1,0)</f>
        <v>0</v>
      </c>
      <c r="BV1087" s="128">
        <f>VLOOKUP($E1087,[2]Current!$A:$AC,13,FALSE)</f>
        <v>0</v>
      </c>
      <c r="BW1087" s="128">
        <f>BV1087/$AS1087</f>
        <v>0</v>
      </c>
      <c r="BX1087" s="130">
        <f>IF(BY1087&gt;0,1,0)</f>
        <v>0</v>
      </c>
      <c r="BY1087" s="128">
        <f>VLOOKUP($E1087,[2]Current!$A:$AC,14,FALSE)</f>
        <v>0</v>
      </c>
      <c r="BZ1087" s="128">
        <f>BY1087/$AS1087</f>
        <v>0</v>
      </c>
      <c r="CA1087" s="130">
        <f>IF(CB1087&gt;0,1,0)</f>
        <v>1</v>
      </c>
      <c r="CB1087" s="128">
        <f>VLOOKUP($E1087,[2]Current!$A:$AC,15,FALSE)</f>
        <v>1</v>
      </c>
      <c r="CC1087" s="128">
        <f>CB1087/$AS1087</f>
        <v>0.71736011477761841</v>
      </c>
      <c r="CD1087" s="174">
        <f>IF(CE1087&gt;0,1,0)</f>
        <v>0</v>
      </c>
      <c r="CE1087" s="128">
        <f>VLOOKUP($E1087,[2]Current!$A:$AC,16,FALSE)</f>
        <v>0</v>
      </c>
      <c r="CF1087" s="128">
        <f>CE1087/$AS1087</f>
        <v>0</v>
      </c>
      <c r="CG1087" s="18"/>
      <c r="CH1087" s="18"/>
      <c r="CI1087" s="18"/>
      <c r="CJ1087" s="130">
        <f>IF(CK1087&gt;0,1,0)</f>
        <v>0</v>
      </c>
      <c r="CK1087" s="128">
        <f>VLOOKUP($E1087,[2]Current!$A:$AC,18,FALSE)</f>
        <v>0</v>
      </c>
      <c r="CL1087" s="128">
        <f>CK1087/$AS1087</f>
        <v>0</v>
      </c>
      <c r="CS1087" s="130">
        <f>IF(CU1087&gt;0,1,0)</f>
        <v>0</v>
      </c>
      <c r="CU1087" s="128">
        <f>VLOOKUP($E1087,[2]Current!$A:$AC,17,FALSE)</f>
        <v>0</v>
      </c>
      <c r="CV1087" s="128">
        <f>CU1087/$AS1087</f>
        <v>0</v>
      </c>
      <c r="CW1087" s="25"/>
      <c r="CX1087" s="25"/>
      <c r="CY1087" s="25"/>
      <c r="CZ1087" s="23"/>
      <c r="DA1087" s="23"/>
      <c r="DB1087" s="23"/>
      <c r="DC1087" s="23"/>
      <c r="DD1087" s="23"/>
      <c r="DE1087" s="23"/>
      <c r="DF1087" s="16" t="e">
        <f>VLOOKUP(K1087,'[3]RNA Seq summary tables'!$V$3:$V$99,1,FALSE)</f>
        <v>#N/A</v>
      </c>
      <c r="DG1087" s="126" t="s">
        <v>123</v>
      </c>
    </row>
    <row r="1088" spans="1:288" ht="16" x14ac:dyDescent="0.2">
      <c r="B1088" s="16">
        <v>2018</v>
      </c>
      <c r="C1088" s="124">
        <v>43269</v>
      </c>
      <c r="D1088" t="s">
        <v>820</v>
      </c>
      <c r="E1088" s="37" t="str">
        <f>CONCATENATE(T1088,"-",U1088,"-",C1088)</f>
        <v>SP2-H7-43269</v>
      </c>
      <c r="F1088" s="16" t="s">
        <v>227</v>
      </c>
      <c r="G1088" s="126" t="s">
        <v>107</v>
      </c>
      <c r="H1088" s="126" t="s">
        <v>1106</v>
      </c>
      <c r="J1088" s="126">
        <v>1212</v>
      </c>
      <c r="K1088" s="126">
        <v>2465</v>
      </c>
      <c r="O1088" s="126" t="s">
        <v>214</v>
      </c>
      <c r="T1088" s="126" t="s">
        <v>137</v>
      </c>
      <c r="U1088" s="126" t="s">
        <v>202</v>
      </c>
      <c r="V1088" s="133" t="s">
        <v>142</v>
      </c>
      <c r="X1088" s="126" t="s">
        <v>121</v>
      </c>
      <c r="Y1088" s="126" t="s">
        <v>110</v>
      </c>
      <c r="Z1088" s="126">
        <v>3</v>
      </c>
      <c r="AA1088" s="126" t="s">
        <v>119</v>
      </c>
      <c r="AB1088" s="126" t="s">
        <v>116</v>
      </c>
      <c r="AC1088" s="126" t="s">
        <v>116</v>
      </c>
      <c r="AD1088" s="126"/>
      <c r="AE1088" s="126"/>
      <c r="AG1088" s="16">
        <f>AH1088-AI1088</f>
        <v>86</v>
      </c>
      <c r="AH1088" s="126">
        <v>174</v>
      </c>
      <c r="AI1088" s="126">
        <v>88</v>
      </c>
      <c r="AK1088" s="126">
        <v>23</v>
      </c>
      <c r="AL1088" s="126">
        <v>0</v>
      </c>
      <c r="AM1088" s="126">
        <v>0</v>
      </c>
      <c r="AN1088" s="126">
        <v>0</v>
      </c>
      <c r="AO1088" s="16">
        <f>IF(SUM(AL1088:AN1088)&gt;0,1,0)</f>
        <v>0</v>
      </c>
      <c r="AP1088" s="18">
        <f>SUM(AL1088:AN1088)</f>
        <v>0</v>
      </c>
      <c r="AQ1088" s="16" t="s">
        <v>1281</v>
      </c>
      <c r="AT1088" s="16" t="str">
        <f>VLOOKUP(E1088,[2]Current!$A$1:$W$435,7,FALSE)</f>
        <v>TE</v>
      </c>
      <c r="AU1088" s="16" t="s">
        <v>1288</v>
      </c>
      <c r="AV1088" s="23">
        <v>1</v>
      </c>
      <c r="AW1088" s="128">
        <f>IF(AX1088&gt;0,1,0)</f>
        <v>0</v>
      </c>
      <c r="AX1088" s="128">
        <f>SUM(BA1088,BM1088,CU1088)</f>
        <v>0</v>
      </c>
      <c r="AY1088" s="128"/>
      <c r="AZ1088" s="128">
        <f>IF(BA1088&gt;0,1,0)</f>
        <v>0</v>
      </c>
      <c r="BA1088" s="128">
        <f>SUM(BC1088+BF1088+BI1088)</f>
        <v>0</v>
      </c>
      <c r="BB1088" s="128"/>
      <c r="BC1088" s="130">
        <f>IF(BD1088&gt;0,1,0)</f>
        <v>0</v>
      </c>
      <c r="BD1088" s="128">
        <f>VLOOKUP($E1088,[2]Current!$A:$AC,26,FALSE)</f>
        <v>0</v>
      </c>
      <c r="BE1088" s="128"/>
      <c r="BF1088" s="130">
        <f>IF(BG1088&gt;0,1,0)</f>
        <v>0</v>
      </c>
      <c r="BG1088" s="137">
        <f>VLOOKUP($E1088,[2]Current!$A:$AC,27,FALSE)</f>
        <v>0</v>
      </c>
      <c r="BH1088" s="128"/>
      <c r="BI1088" s="130">
        <f>IF(BJ1088&gt;0,1,0)</f>
        <v>0</v>
      </c>
      <c r="BJ1088" s="128">
        <f>VLOOKUP($E1088,[2]Current!$A:$AC,28,FALSE)</f>
        <v>0</v>
      </c>
      <c r="BK1088" s="128"/>
      <c r="BL1088" s="128">
        <f>IF(BM1088&gt;0,1,0)</f>
        <v>0</v>
      </c>
      <c r="BM1088" s="128">
        <f>SUM(BR1088,BU1088,BX1088,CA1088,CD1088)</f>
        <v>0</v>
      </c>
      <c r="BN1088" s="131"/>
      <c r="BO1088" s="128">
        <f>IF(BP1088&gt;0,1,0)</f>
        <v>0</v>
      </c>
      <c r="BP1088" s="128">
        <f>BM1088+CJ1088</f>
        <v>0</v>
      </c>
      <c r="BQ1088" s="128"/>
      <c r="BR1088" s="130">
        <f>IF(BS1088&gt;0,1,0)</f>
        <v>0</v>
      </c>
      <c r="BS1088" s="128">
        <f>VLOOKUP($E1088,[2]Current!$A:$AC,12,FALSE)</f>
        <v>0</v>
      </c>
      <c r="BT1088" s="137"/>
      <c r="BU1088" s="130">
        <f>IF(BV1088&gt;0,1,0)</f>
        <v>0</v>
      </c>
      <c r="BV1088" s="128">
        <f>VLOOKUP($E1088,[2]Current!$A:$AC,13,FALSE)</f>
        <v>0</v>
      </c>
      <c r="BW1088" s="128"/>
      <c r="BX1088" s="130">
        <f>IF(BY1088&gt;0,1,0)</f>
        <v>0</v>
      </c>
      <c r="BY1088" s="128">
        <f>VLOOKUP($E1088,[2]Current!$A:$AC,14,FALSE)</f>
        <v>0</v>
      </c>
      <c r="BZ1088" s="128"/>
      <c r="CA1088" s="130">
        <f>IF(CB1088&gt;0,1,0)</f>
        <v>0</v>
      </c>
      <c r="CB1088" s="128">
        <f>VLOOKUP($E1088,[2]Current!$A:$AC,15,FALSE)</f>
        <v>0</v>
      </c>
      <c r="CC1088" s="128"/>
      <c r="CD1088" s="174">
        <f>IF(CE1088&gt;0,1,0)</f>
        <v>0</v>
      </c>
      <c r="CE1088" s="128">
        <f>VLOOKUP($E1088,[2]Current!$A:$AC,16,FALSE)</f>
        <v>0</v>
      </c>
      <c r="CF1088" s="128"/>
      <c r="CG1088" s="18"/>
      <c r="CH1088" s="18"/>
      <c r="CI1088" s="18"/>
      <c r="CJ1088" s="130">
        <f>IF(CK1088&gt;0,1,0)</f>
        <v>0</v>
      </c>
      <c r="CK1088" s="128">
        <f>VLOOKUP($E1088,[2]Current!$A:$AC,18,FALSE)</f>
        <v>0</v>
      </c>
      <c r="CL1088" s="128"/>
      <c r="CS1088" s="130">
        <f>IF(CU1088&gt;0,1,0)</f>
        <v>0</v>
      </c>
      <c r="CU1088" s="128">
        <f>VLOOKUP($E1088,[2]Current!$A:$AC,17,FALSE)</f>
        <v>0</v>
      </c>
      <c r="CV1088" s="128"/>
      <c r="CW1088" s="25"/>
      <c r="CX1088" s="25"/>
      <c r="CY1088" s="25"/>
      <c r="CZ1088" s="23"/>
      <c r="DF1088" s="16" t="e">
        <f>VLOOKUP(K1088,'[3]RNA Seq summary tables'!$V$3:$V$99,1,FALSE)</f>
        <v>#N/A</v>
      </c>
      <c r="DG1088" s="126" t="s">
        <v>116</v>
      </c>
    </row>
    <row r="1089" spans="2:288" ht="16" x14ac:dyDescent="0.2">
      <c r="B1089" s="16">
        <v>2018</v>
      </c>
      <c r="C1089" s="124">
        <v>43286</v>
      </c>
      <c r="D1089" t="s">
        <v>923</v>
      </c>
      <c r="E1089" s="37" t="str">
        <f>CONCATENATE(T1089,"-",U1089,"-",C1089)</f>
        <v>SP2-F8-43286</v>
      </c>
      <c r="F1089" s="16" t="s">
        <v>227</v>
      </c>
      <c r="G1089" s="126" t="s">
        <v>107</v>
      </c>
      <c r="H1089" s="126" t="s">
        <v>1130</v>
      </c>
      <c r="J1089" s="126">
        <v>1212</v>
      </c>
      <c r="K1089" s="126">
        <v>2558</v>
      </c>
      <c r="O1089" s="126" t="s">
        <v>214</v>
      </c>
      <c r="T1089" s="126" t="s">
        <v>137</v>
      </c>
      <c r="U1089" s="126" t="s">
        <v>138</v>
      </c>
      <c r="V1089" s="133" t="s">
        <v>142</v>
      </c>
      <c r="X1089" s="126" t="s">
        <v>121</v>
      </c>
      <c r="Y1089" s="126" t="s">
        <v>110</v>
      </c>
      <c r="Z1089" s="126">
        <v>3</v>
      </c>
      <c r="AA1089" s="126" t="s">
        <v>119</v>
      </c>
      <c r="AB1089" s="126" t="s">
        <v>123</v>
      </c>
      <c r="AC1089" s="126" t="s">
        <v>116</v>
      </c>
      <c r="AD1089" s="126"/>
      <c r="AE1089" s="126"/>
      <c r="AG1089" s="16">
        <f>AH1089-AI1089</f>
        <v>87</v>
      </c>
      <c r="AH1089" s="126">
        <v>173</v>
      </c>
      <c r="AI1089" s="126">
        <v>86</v>
      </c>
      <c r="AK1089" s="126">
        <v>25</v>
      </c>
      <c r="AL1089" s="126">
        <v>0</v>
      </c>
      <c r="AM1089" s="126">
        <v>0</v>
      </c>
      <c r="AN1089" s="126">
        <v>0</v>
      </c>
      <c r="AO1089" s="16">
        <f>IF(SUM(AL1089:AN1089)&gt;0,1,0)</f>
        <v>0</v>
      </c>
      <c r="AP1089" s="18">
        <f>SUM(AL1089:AN1089)</f>
        <v>0</v>
      </c>
      <c r="AR1089" s="16">
        <v>3.7000000000000144E-2</v>
      </c>
      <c r="AS1089" s="16">
        <f>VLOOKUP(E1089,'[1]Feces weights'!$D$1:$H$459,5,FALSE)</f>
        <v>3.7000000000000144E-2</v>
      </c>
      <c r="AT1089" s="16" t="str">
        <f>VLOOKUP(E1089,[2]Current!$A$1:$W$435,7,FALSE)</f>
        <v>TE</v>
      </c>
      <c r="AU1089" s="16" t="s">
        <v>1288</v>
      </c>
      <c r="AV1089" s="23">
        <v>1</v>
      </c>
      <c r="AW1089" s="128">
        <f>IF(AX1089&gt;0,1,0)</f>
        <v>0</v>
      </c>
      <c r="AX1089" s="128">
        <f>SUM(BA1089,BM1089,CU1089)</f>
        <v>0</v>
      </c>
      <c r="AY1089" s="128">
        <f>SUM(BB1089,BN1089,CV1089)</f>
        <v>0</v>
      </c>
      <c r="AZ1089" s="128">
        <f>IF(BA1089&gt;0,1,0)</f>
        <v>0</v>
      </c>
      <c r="BA1089" s="128">
        <f>SUM(BC1089+BF1089+BI1089)</f>
        <v>0</v>
      </c>
      <c r="BB1089" s="128">
        <f>SUM(BE1089,BH1089,BK1089)</f>
        <v>0</v>
      </c>
      <c r="BC1089" s="130">
        <f>IF(BD1089&gt;0,1,0)</f>
        <v>0</v>
      </c>
      <c r="BD1089" s="128">
        <f>VLOOKUP($E1089,[2]Current!$A:$AC,26,FALSE)</f>
        <v>0</v>
      </c>
      <c r="BE1089" s="128">
        <f>BD1089/$AS1089</f>
        <v>0</v>
      </c>
      <c r="BF1089" s="130">
        <f>IF(BG1089&gt;0,1,0)</f>
        <v>0</v>
      </c>
      <c r="BG1089" s="137">
        <f>VLOOKUP($E1089,[2]Current!$A:$AC,27,FALSE)</f>
        <v>0</v>
      </c>
      <c r="BH1089" s="128">
        <f>BG1089/$AS1089</f>
        <v>0</v>
      </c>
      <c r="BI1089" s="130">
        <f>IF(BJ1089&gt;0,1,0)</f>
        <v>0</v>
      </c>
      <c r="BJ1089" s="128">
        <f>VLOOKUP($E1089,[2]Current!$A:$AC,28,FALSE)</f>
        <v>0</v>
      </c>
      <c r="BK1089" s="128">
        <f>BJ1089/$AS1089</f>
        <v>0</v>
      </c>
      <c r="BL1089" s="128">
        <f>IF(BM1089&gt;0,1,0)</f>
        <v>0</v>
      </c>
      <c r="BM1089" s="128">
        <f>SUM(BR1089,BU1089,BX1089,CA1089,CD1089)</f>
        <v>0</v>
      </c>
      <c r="BN1089" s="131">
        <f>SUM(BT1089,BW1089,BZ1089,CC1089,CF1089)</f>
        <v>0</v>
      </c>
      <c r="BO1089" s="128">
        <f>IF(BP1089&gt;0,1,0)</f>
        <v>0</v>
      </c>
      <c r="BP1089" s="128">
        <f>BM1089+CJ1089</f>
        <v>0</v>
      </c>
      <c r="BQ1089" s="128">
        <f>BN1089+CL1089</f>
        <v>0</v>
      </c>
      <c r="BR1089" s="130">
        <f>IF(BS1089&gt;0,1,0)</f>
        <v>0</v>
      </c>
      <c r="BS1089" s="128">
        <f>VLOOKUP($E1089,[2]Current!$A:$AC,12,FALSE)</f>
        <v>0</v>
      </c>
      <c r="BT1089" s="137">
        <f>BS1089/$AS1089</f>
        <v>0</v>
      </c>
      <c r="BU1089" s="130">
        <f>IF(BV1089&gt;0,1,0)</f>
        <v>0</v>
      </c>
      <c r="BV1089" s="128">
        <f>VLOOKUP($E1089,[2]Current!$A:$AC,13,FALSE)</f>
        <v>0</v>
      </c>
      <c r="BW1089" s="128">
        <f>BV1089/$AS1089</f>
        <v>0</v>
      </c>
      <c r="BX1089" s="130">
        <f>IF(BY1089&gt;0,1,0)</f>
        <v>0</v>
      </c>
      <c r="BY1089" s="128">
        <f>VLOOKUP($E1089,[2]Current!$A:$AC,14,FALSE)</f>
        <v>0</v>
      </c>
      <c r="BZ1089" s="128">
        <f>BY1089/$AS1089</f>
        <v>0</v>
      </c>
      <c r="CA1089" s="130">
        <f>IF(CB1089&gt;0,1,0)</f>
        <v>0</v>
      </c>
      <c r="CB1089" s="128">
        <f>VLOOKUP($E1089,[2]Current!$A:$AC,15,FALSE)</f>
        <v>0</v>
      </c>
      <c r="CC1089" s="128">
        <f>CB1089/$AS1089</f>
        <v>0</v>
      </c>
      <c r="CD1089" s="174">
        <f>IF(CE1089&gt;0,1,0)</f>
        <v>0</v>
      </c>
      <c r="CE1089" s="128">
        <f>VLOOKUP($E1089,[2]Current!$A:$AC,16,FALSE)</f>
        <v>0</v>
      </c>
      <c r="CF1089" s="128">
        <f>CE1089/$AS1089</f>
        <v>0</v>
      </c>
      <c r="CG1089" s="18"/>
      <c r="CH1089" s="18"/>
      <c r="CI1089" s="18"/>
      <c r="CJ1089" s="130">
        <f>IF(CK1089&gt;0,1,0)</f>
        <v>0</v>
      </c>
      <c r="CK1089" s="128">
        <f>VLOOKUP($E1089,[2]Current!$A:$AC,18,FALSE)</f>
        <v>0</v>
      </c>
      <c r="CL1089" s="128">
        <f>CK1089/$AS1089</f>
        <v>0</v>
      </c>
      <c r="CS1089" s="130">
        <f>IF(CU1089&gt;0,1,0)</f>
        <v>0</v>
      </c>
      <c r="CU1089" s="128">
        <f>VLOOKUP($E1089,[2]Current!$A:$AC,17,FALSE)</f>
        <v>0</v>
      </c>
      <c r="CV1089" s="128">
        <f>CU1089/$AS1089</f>
        <v>0</v>
      </c>
      <c r="CW1089" s="25"/>
      <c r="CX1089" s="25"/>
      <c r="CY1089" s="25"/>
      <c r="CZ1089" s="23"/>
      <c r="DF1089" s="16" t="e">
        <f>VLOOKUP(K1089,'[3]RNA Seq summary tables'!$V$3:$V$99,1,FALSE)</f>
        <v>#N/A</v>
      </c>
      <c r="DG1089" s="126" t="s">
        <v>116</v>
      </c>
    </row>
    <row r="1090" spans="2:288" x14ac:dyDescent="0.2">
      <c r="B1090" s="16">
        <v>2017</v>
      </c>
      <c r="C1090" s="20">
        <v>42923</v>
      </c>
      <c r="D1090" s="20" t="str">
        <f>CONCATENATE(J1090,"-",C1090)</f>
        <v>1213-42923</v>
      </c>
      <c r="E1090" s="20" t="str">
        <f>CONCATENATE(T1090,"-",U1090,"-",C1090)</f>
        <v>SP1-B8-42923</v>
      </c>
      <c r="F1090" s="20" t="s">
        <v>106</v>
      </c>
      <c r="G1090" s="20" t="s">
        <v>107</v>
      </c>
      <c r="I1090" s="16">
        <v>0</v>
      </c>
      <c r="J1090" s="21">
        <v>1213</v>
      </c>
      <c r="K1090" s="21">
        <v>1837</v>
      </c>
      <c r="L1090" s="18">
        <v>0</v>
      </c>
      <c r="M1090" s="21">
        <f>VLOOKUP($K1090,'[4]blood tubes 2017'!$D$1:$L$647,8,FALSE)</f>
        <v>0</v>
      </c>
      <c r="N1090" s="15">
        <v>0</v>
      </c>
      <c r="O1090" s="15" t="s">
        <v>214</v>
      </c>
      <c r="P1090" s="16" t="s">
        <v>110</v>
      </c>
      <c r="Q1090" s="16">
        <v>0</v>
      </c>
      <c r="R1090" s="16" t="s">
        <v>111</v>
      </c>
      <c r="T1090" s="16" t="s">
        <v>140</v>
      </c>
      <c r="U1090" s="16" t="s">
        <v>209</v>
      </c>
      <c r="V1090" s="16" t="s">
        <v>114</v>
      </c>
      <c r="W1090" s="16">
        <f>AI1090/AG1090</f>
        <v>0.8089887640449438</v>
      </c>
      <c r="X1090" s="16" t="s">
        <v>115</v>
      </c>
      <c r="Y1090" s="16" t="s">
        <v>110</v>
      </c>
      <c r="Z1090" s="16">
        <v>3</v>
      </c>
      <c r="AE1090" s="16" t="s">
        <v>116</v>
      </c>
      <c r="AF1090" s="16" t="s">
        <v>116</v>
      </c>
      <c r="AG1090" s="16">
        <f>AH1090-AI1090</f>
        <v>89</v>
      </c>
      <c r="AH1090" s="16">
        <v>161</v>
      </c>
      <c r="AI1090" s="16">
        <v>72</v>
      </c>
      <c r="AK1090" s="16">
        <v>21</v>
      </c>
      <c r="AL1090" s="16">
        <v>1</v>
      </c>
      <c r="AM1090" s="16">
        <v>0</v>
      </c>
      <c r="AN1090" s="16">
        <v>0</v>
      </c>
      <c r="AO1090" s="16">
        <v>1</v>
      </c>
      <c r="AP1090" s="16">
        <f>SUM(AL1090:AN1090)</f>
        <v>1</v>
      </c>
      <c r="AQ1090" s="16">
        <v>2.2890000000000001</v>
      </c>
      <c r="AR1090" s="16">
        <f>AP1090-1.472</f>
        <v>-0.47199999999999998</v>
      </c>
      <c r="AS1090" s="16">
        <f>AQ1090-1.472</f>
        <v>0.81700000000000017</v>
      </c>
      <c r="AT1090" s="16" t="s">
        <v>234</v>
      </c>
      <c r="AW1090" s="16">
        <f>IF(AX1090&gt;0,1,0)</f>
        <v>1</v>
      </c>
      <c r="AX1090" s="16">
        <f>SUM(BA1090,BM1090,CT1090)</f>
        <v>2</v>
      </c>
      <c r="AY1090" s="18">
        <f>SUM(BB1090,BN1090,CV1090)</f>
        <v>9138.3108935128512</v>
      </c>
      <c r="AZ1090" s="16">
        <v>1</v>
      </c>
      <c r="BA1090" s="16">
        <v>1</v>
      </c>
      <c r="BB1090" s="16">
        <f>SUM(BE1090,BH1090,BK1090)</f>
        <v>9097.9192166462653</v>
      </c>
      <c r="BC1090" s="16">
        <v>0</v>
      </c>
      <c r="BD1090" s="16">
        <v>0</v>
      </c>
      <c r="BE1090" s="16">
        <f>BD1090/AS1090</f>
        <v>0</v>
      </c>
      <c r="BF1090" s="16">
        <v>1</v>
      </c>
      <c r="BG1090" s="77">
        <v>7433</v>
      </c>
      <c r="BH1090" s="16">
        <f>BG1090/AS1090</f>
        <v>9097.9192166462653</v>
      </c>
      <c r="BI1090" s="16">
        <v>0</v>
      </c>
      <c r="BJ1090" s="16">
        <v>0</v>
      </c>
      <c r="BK1090" s="16">
        <f>BJ1090/AS1090</f>
        <v>0</v>
      </c>
      <c r="BL1090" s="16">
        <f>IF(BM1090&gt;0,1,0)</f>
        <v>1</v>
      </c>
      <c r="BM1090" s="16">
        <f>SUM(BR1090,BU1090,BX1090,CA1090,CD1090,CG1090,CJ1090,CM1090,CP1090)</f>
        <v>1</v>
      </c>
      <c r="BN1090" s="16">
        <f>SUM(BW1090,BZ1090,CC1090,CF1090,CI1090,CL1090,CO1090,CR1090,BT1090)</f>
        <v>40.391676866585058</v>
      </c>
      <c r="BO1090" s="16">
        <f>IF(BP1090&gt;0,1,0)</f>
        <v>1</v>
      </c>
      <c r="BP1090" s="16">
        <f>SUM(BU1090,BX1090,CA1090,CD1090,BR1090)</f>
        <v>1</v>
      </c>
      <c r="BQ1090" s="16">
        <f>SUM(BZ1090,CC1090,CF1090,BT1090,BW1090)</f>
        <v>40.391676866585058</v>
      </c>
      <c r="BR1090" s="16">
        <v>0</v>
      </c>
      <c r="BS1090" s="16">
        <v>0</v>
      </c>
      <c r="BT1090" s="77">
        <f>BS1090/AS1090</f>
        <v>0</v>
      </c>
      <c r="BU1090" s="16">
        <v>0</v>
      </c>
      <c r="BV1090" s="16">
        <v>0</v>
      </c>
      <c r="BW1090" s="16">
        <f>BV1090/AS1090</f>
        <v>0</v>
      </c>
      <c r="BX1090" s="16">
        <v>1</v>
      </c>
      <c r="BY1090" s="16">
        <v>33</v>
      </c>
      <c r="BZ1090" s="16">
        <f>BY1090/AS1090</f>
        <v>40.391676866585058</v>
      </c>
      <c r="CA1090" s="16">
        <v>0</v>
      </c>
      <c r="CB1090" s="16">
        <v>0</v>
      </c>
      <c r="CC1090" s="16">
        <f>CB1090/AS1090</f>
        <v>0</v>
      </c>
      <c r="CD1090" s="77">
        <v>0</v>
      </c>
      <c r="CE1090" s="16">
        <v>0</v>
      </c>
      <c r="CF1090" s="16">
        <f>CE1090/AS1090</f>
        <v>0</v>
      </c>
      <c r="CG1090" s="16">
        <v>0</v>
      </c>
      <c r="CH1090" s="16">
        <v>0</v>
      </c>
      <c r="CI1090" s="16">
        <f>CH1090/AS1090</f>
        <v>0</v>
      </c>
      <c r="CM1090" s="16">
        <v>0</v>
      </c>
      <c r="CN1090" s="16">
        <v>0</v>
      </c>
      <c r="CO1090" s="16">
        <f>CN1090/AS1090</f>
        <v>0</v>
      </c>
      <c r="CP1090" s="16">
        <v>0</v>
      </c>
      <c r="CQ1090" s="16">
        <v>0</v>
      </c>
      <c r="CR1090" s="16">
        <f>CQ1090/AS1090</f>
        <v>0</v>
      </c>
      <c r="CS1090" s="16">
        <v>0</v>
      </c>
      <c r="CT1090" s="16">
        <v>0</v>
      </c>
      <c r="CV1090" s="16">
        <f>SUM(CY1090,DB1090,DE1090)</f>
        <v>0</v>
      </c>
      <c r="CW1090" s="16">
        <v>0</v>
      </c>
      <c r="CX1090" s="16">
        <v>0</v>
      </c>
      <c r="CY1090" s="16">
        <f>CX1090/AS1090</f>
        <v>0</v>
      </c>
      <c r="CZ1090" s="16">
        <v>0</v>
      </c>
      <c r="DA1090" s="16">
        <v>0</v>
      </c>
      <c r="DB1090" s="16">
        <f>DA1090/AS1090</f>
        <v>0</v>
      </c>
      <c r="DC1090" s="16">
        <v>0</v>
      </c>
      <c r="DD1090" s="16">
        <v>0</v>
      </c>
      <c r="DE1090" s="16">
        <f>DD1090/AS1090</f>
        <v>0</v>
      </c>
      <c r="DF1090" s="16" t="e">
        <f>VLOOKUP(K1090,'[3]RNA Seq summary tables'!$V$3:$V$99,1,FALSE)</f>
        <v>#N/A</v>
      </c>
      <c r="DI1090" s="16">
        <v>50</v>
      </c>
      <c r="DK1090" s="16">
        <v>48</v>
      </c>
      <c r="DM1090" s="16">
        <v>2</v>
      </c>
      <c r="DO1090" s="16">
        <v>0</v>
      </c>
      <c r="DQ1090" s="16">
        <v>0</v>
      </c>
      <c r="DR1090" s="16">
        <f>SUM(DI1090:DQ1090)</f>
        <v>100</v>
      </c>
      <c r="JR1090" s="18"/>
      <c r="JS1090" s="18"/>
      <c r="JT1090" s="18"/>
      <c r="JU1090" s="18"/>
      <c r="JV1090" s="18"/>
      <c r="JW1090" s="18"/>
      <c r="JX1090" s="18"/>
      <c r="JY1090" s="18"/>
      <c r="JZ1090" s="18"/>
      <c r="KA1090" s="18"/>
      <c r="KB1090" s="18"/>
    </row>
    <row r="1091" spans="2:288" x14ac:dyDescent="0.2">
      <c r="B1091" s="16">
        <v>2017</v>
      </c>
      <c r="C1091" s="20">
        <v>42957</v>
      </c>
      <c r="D1091" s="20" t="str">
        <f>CONCATENATE(J1091,"-",C1091)</f>
        <v>1213-42957</v>
      </c>
      <c r="E1091" s="20" t="str">
        <f>CONCATENATE(T1091,"-",U1091,"-",C1091)</f>
        <v>SP1-B8-42957</v>
      </c>
      <c r="F1091" s="20" t="s">
        <v>106</v>
      </c>
      <c r="G1091" s="20" t="s">
        <v>107</v>
      </c>
      <c r="I1091" s="16">
        <v>0</v>
      </c>
      <c r="J1091" s="21">
        <v>1213</v>
      </c>
      <c r="K1091" s="21">
        <v>2109</v>
      </c>
      <c r="L1091" s="18">
        <v>0</v>
      </c>
      <c r="M1091" s="21">
        <f>VLOOKUP($K1091,'[4]blood tubes 2017'!$D$1:$L$647,8,FALSE)</f>
        <v>0</v>
      </c>
      <c r="N1091" s="15">
        <v>0</v>
      </c>
      <c r="O1091" s="15" t="s">
        <v>214</v>
      </c>
      <c r="P1091" s="16" t="s">
        <v>110</v>
      </c>
      <c r="Q1091" s="16">
        <v>1</v>
      </c>
      <c r="R1091" s="16">
        <v>34</v>
      </c>
      <c r="T1091" s="16" t="s">
        <v>140</v>
      </c>
      <c r="U1091" s="16" t="s">
        <v>209</v>
      </c>
      <c r="V1091" s="16" t="s">
        <v>114</v>
      </c>
      <c r="W1091" s="16">
        <f>AI1091/AG1091</f>
        <v>0.85227272727272729</v>
      </c>
      <c r="X1091" s="16" t="s">
        <v>115</v>
      </c>
      <c r="Y1091" s="16" t="s">
        <v>110</v>
      </c>
      <c r="Z1091" s="16">
        <v>3</v>
      </c>
      <c r="AE1091" s="16" t="s">
        <v>116</v>
      </c>
      <c r="AF1091" s="16" t="s">
        <v>116</v>
      </c>
      <c r="AG1091" s="16">
        <f>AH1091-AI1091</f>
        <v>88</v>
      </c>
      <c r="AH1091" s="16">
        <v>163</v>
      </c>
      <c r="AI1091" s="16">
        <v>75</v>
      </c>
      <c r="AK1091" s="16">
        <v>22.5</v>
      </c>
      <c r="AL1091" s="16">
        <v>0</v>
      </c>
      <c r="AM1091" s="16">
        <v>0</v>
      </c>
      <c r="AN1091" s="16">
        <v>0</v>
      </c>
      <c r="AO1091" s="16">
        <v>0</v>
      </c>
      <c r="AP1091" s="16">
        <f>SUM(AL1091:AN1091)</f>
        <v>0</v>
      </c>
      <c r="AQ1091" s="16">
        <v>1.5760000000000001</v>
      </c>
      <c r="AR1091" s="16">
        <f>AP1091-1.472</f>
        <v>-1.472</v>
      </c>
      <c r="AS1091" s="16">
        <f>AQ1091-1.472</f>
        <v>0.10400000000000009</v>
      </c>
      <c r="AT1091" s="16" t="str">
        <f>VLOOKUP(K1091,'[5]FECs - good data'!$C$1:$P$575,13,FALSE)</f>
        <v>SB</v>
      </c>
      <c r="AW1091" s="18">
        <f>IF(AX1091&gt;0,1,0)</f>
        <v>1</v>
      </c>
      <c r="AX1091" s="18">
        <f>SUM(BA1091,BM1091,CT1091)</f>
        <v>3</v>
      </c>
      <c r="AY1091" s="18">
        <f>SUM(BB1091,BN1091,CV1091)</f>
        <v>105.76923076923069</v>
      </c>
      <c r="AZ1091" s="18">
        <f>IF(BA1091&gt;0,1,0)</f>
        <v>1</v>
      </c>
      <c r="BA1091" s="18">
        <f>SUM(BC1091,BF1091,BI1091)</f>
        <v>1</v>
      </c>
      <c r="BB1091" s="18">
        <f>SUM(BE1091,BH1091,BK1091)</f>
        <v>57.692307692307644</v>
      </c>
      <c r="BC1091" s="18">
        <f>IF(BD1091&gt;0,1,0)</f>
        <v>0</v>
      </c>
      <c r="BD1091" s="18">
        <f>VLOOKUP($K1091,'[5]FECs - good data'!$C$1:$Z$574,14,FALSE)</f>
        <v>0</v>
      </c>
      <c r="BE1091" s="16">
        <f>BD1091/AS1091</f>
        <v>0</v>
      </c>
      <c r="BF1091" s="16">
        <f>IF(BG1091&gt;0,1,0)</f>
        <v>1</v>
      </c>
      <c r="BG1091" s="77">
        <f>VLOOKUP($K1091,'[5]FECs - good data'!$C$1:$Z$574,15,FALSE)</f>
        <v>6</v>
      </c>
      <c r="BH1091" s="16">
        <f>BG1091/AS1091</f>
        <v>57.692307692307644</v>
      </c>
      <c r="BI1091" s="16">
        <f>IF(BJ1091&gt;0,1,0)</f>
        <v>0</v>
      </c>
      <c r="BJ1091" s="16">
        <f>VLOOKUP($K1091,'[5]FECs - good data'!$C$1:$Z$574,16,FALSE)</f>
        <v>0</v>
      </c>
      <c r="BK1091" s="16">
        <f>BJ1091/AS1091</f>
        <v>0</v>
      </c>
      <c r="BL1091" s="16">
        <f>IF(BM1091&gt;0,1,0)</f>
        <v>1</v>
      </c>
      <c r="BM1091" s="16">
        <f>SUM(BR1091,BU1091,BX1091,CA1091,CD1091,CG1091,CJ1091,CM1091,CP1091)</f>
        <v>2</v>
      </c>
      <c r="BN1091" s="16">
        <f>SUM(BW1091,BZ1091,CC1091,CF1091,CI1091,CL1091,CO1091,CR1091,BT1091)</f>
        <v>48.076923076923038</v>
      </c>
      <c r="BO1091" s="16">
        <f>IF(BP1091&gt;0,1,0)</f>
        <v>1</v>
      </c>
      <c r="BP1091" s="16">
        <f>SUM(BU1091,BX1091,CA1091,CD1091,BR1091)</f>
        <v>1</v>
      </c>
      <c r="BQ1091" s="16">
        <f>SUM(BZ1091,CC1091,CF1091,BT1091,BW1091)</f>
        <v>28.846153846153822</v>
      </c>
      <c r="BR1091" s="16">
        <f>IF(BS1091&gt;0,1,0)</f>
        <v>0</v>
      </c>
      <c r="BS1091" s="16">
        <f>VLOOKUP($K1091,'[5]FECs - good data'!$C$1:$Z$574,17,FALSE)</f>
        <v>0</v>
      </c>
      <c r="BT1091" s="77">
        <f>BS1091/AS1091</f>
        <v>0</v>
      </c>
      <c r="BU1091" s="16">
        <f>IF(BV1091&gt;0,1,0)</f>
        <v>0</v>
      </c>
      <c r="BV1091" s="16">
        <f>VLOOKUP($K1091,'[5]FECs - good data'!$C$1:$Z$574,18,FALSE)</f>
        <v>0</v>
      </c>
      <c r="BW1091" s="16">
        <f>BV1091/AS1091</f>
        <v>0</v>
      </c>
      <c r="BX1091" s="16">
        <f>IF(BY1091&gt;0,1,0)</f>
        <v>0</v>
      </c>
      <c r="BY1091" s="16">
        <f>VLOOKUP($K1091,'[5]FECs - good data'!$C$1:$Z$574,19,FALSE)</f>
        <v>0</v>
      </c>
      <c r="BZ1091" s="16">
        <f>BY1091/AS1091</f>
        <v>0</v>
      </c>
      <c r="CA1091" s="16">
        <f>IF(CB1091&gt;0,1,0)</f>
        <v>0</v>
      </c>
      <c r="CB1091" s="16">
        <f>VLOOKUP($K1091,'[5]FECs - good data'!$C$1:$Z$574,20,FALSE)</f>
        <v>0</v>
      </c>
      <c r="CC1091" s="16">
        <f>CB1091/AS1091</f>
        <v>0</v>
      </c>
      <c r="CD1091" s="77">
        <f>IF(CE1091&gt;0,1,0)</f>
        <v>1</v>
      </c>
      <c r="CE1091" s="16">
        <f>VLOOKUP($K1091,'[5]FECs - good data'!$C$1:$Z$574,21,FALSE)</f>
        <v>3</v>
      </c>
      <c r="CF1091" s="16">
        <f>CE1091/AS1091</f>
        <v>28.846153846153822</v>
      </c>
      <c r="CG1091" s="16">
        <f>IF(CH1091&gt;0,1,0)</f>
        <v>0</v>
      </c>
      <c r="CH1091" s="16">
        <f>VLOOKUP($K1091,'[5]FECs - good data'!$C$1:$Z$574,22,FALSE)</f>
        <v>0</v>
      </c>
      <c r="CI1091" s="16">
        <f>CH1091/AS1091</f>
        <v>0</v>
      </c>
      <c r="CJ1091" s="16">
        <f>IF(CK1091&gt;0,1,0)</f>
        <v>1</v>
      </c>
      <c r="CK1091" s="16">
        <f>VLOOKUP($K1091,'[5]FECs - good data'!$C$1:$Z$674,24,FALSE)</f>
        <v>2</v>
      </c>
      <c r="CL1091" s="16">
        <f>CK1091/AS1091</f>
        <v>19.230769230769212</v>
      </c>
      <c r="CS1091" s="16">
        <f>IF(CT1091&gt;0,1,0)</f>
        <v>0</v>
      </c>
      <c r="CT1091" s="16">
        <f>SUM(CW1091+CZ1091,DC1091)</f>
        <v>0</v>
      </c>
      <c r="CV1091" s="16">
        <f>SUM(CY1091,DB1091,DE1091)</f>
        <v>0</v>
      </c>
      <c r="CW1091" s="16">
        <f>IF(CX1091&gt;0,1,0)</f>
        <v>0</v>
      </c>
      <c r="CX1091" s="16">
        <f>VLOOKUP($K1091,'[5]FECs - good data'!$C$1:$Z$574,22,FALSE)</f>
        <v>0</v>
      </c>
      <c r="CY1091" s="16">
        <f>CX1091/AS1091</f>
        <v>0</v>
      </c>
      <c r="CZ1091" s="16">
        <f>IF(DA1091&gt;0,1,0)</f>
        <v>0</v>
      </c>
      <c r="DA1091" s="16">
        <f>VLOOKUP($K1091,'[5]FECs - good data'!$C$1:$Z$5982,23,FALSE)</f>
        <v>0</v>
      </c>
      <c r="DB1091" s="16">
        <f>DA1091/AS1091</f>
        <v>0</v>
      </c>
      <c r="DC1091" s="16">
        <f>IF(DD1091&gt;0,1,0)</f>
        <v>0</v>
      </c>
      <c r="DD1091" s="16">
        <f>VLOOKUP($K1091,'[5]FECs - good data'!$C$1:$Z$574,23,FALSE)</f>
        <v>0</v>
      </c>
      <c r="DE1091" s="16">
        <f>DD1091/AS1091</f>
        <v>0</v>
      </c>
      <c r="DF1091" s="16" t="e">
        <f>VLOOKUP(K1091,'[3]RNA Seq summary tables'!$V$3:$V$99,1,FALSE)</f>
        <v>#N/A</v>
      </c>
      <c r="DG1091" s="16">
        <v>1</v>
      </c>
      <c r="DH1091" s="16" t="str">
        <f>VLOOKUP(D1091,'[6]workflow 3.2018'!$A$1:$S$237,2,FALSE)</f>
        <v>2017MLBS_126</v>
      </c>
    </row>
    <row r="1092" spans="2:288" x14ac:dyDescent="0.2">
      <c r="B1092" s="16">
        <v>2017</v>
      </c>
      <c r="C1092" s="43">
        <v>42923</v>
      </c>
      <c r="D1092" s="20" t="str">
        <f>CONCATENATE(J1092,"-",C1092)</f>
        <v>1215-42923</v>
      </c>
      <c r="E1092" s="20" t="str">
        <f>CONCATENATE(T1092,"-",U1092,"-",C1092)</f>
        <v>SP1-D8-42923</v>
      </c>
      <c r="F1092" s="20" t="s">
        <v>106</v>
      </c>
      <c r="G1092" s="43" t="s">
        <v>107</v>
      </c>
      <c r="H1092" s="23"/>
      <c r="I1092" s="16">
        <v>0</v>
      </c>
      <c r="J1092" s="15">
        <v>1215</v>
      </c>
      <c r="K1092" s="15">
        <v>1840</v>
      </c>
      <c r="L1092" s="18">
        <v>0</v>
      </c>
      <c r="M1092" s="21">
        <f>VLOOKUP($K1092,'[4]blood tubes 2017'!$D$1:$L$647,8,FALSE)</f>
        <v>0</v>
      </c>
      <c r="N1092" s="15">
        <v>0</v>
      </c>
      <c r="O1092" s="15" t="s">
        <v>214</v>
      </c>
      <c r="P1092" s="16" t="s">
        <v>110</v>
      </c>
      <c r="Q1092" s="16">
        <v>0</v>
      </c>
      <c r="R1092" s="16" t="s">
        <v>111</v>
      </c>
      <c r="S1092" s="23"/>
      <c r="T1092" s="23" t="s">
        <v>140</v>
      </c>
      <c r="U1092" s="23" t="s">
        <v>178</v>
      </c>
      <c r="V1092" s="23" t="s">
        <v>142</v>
      </c>
      <c r="W1092" s="16">
        <f>AI1092/AG1092</f>
        <v>1.0821917808219179</v>
      </c>
      <c r="X1092" s="23" t="s">
        <v>121</v>
      </c>
      <c r="Y1092" s="23" t="s">
        <v>122</v>
      </c>
      <c r="Z1092" s="23">
        <v>2.2999999999999998</v>
      </c>
      <c r="AA1092" s="23" t="s">
        <v>119</v>
      </c>
      <c r="AB1092" s="23" t="s">
        <v>123</v>
      </c>
      <c r="AC1092" s="23" t="s">
        <v>123</v>
      </c>
      <c r="AD1092" s="23" t="s">
        <v>123</v>
      </c>
      <c r="AE1092" s="23"/>
      <c r="AF1092" s="23"/>
      <c r="AG1092" s="23">
        <f>AH1092-AI1092</f>
        <v>73</v>
      </c>
      <c r="AH1092" s="23">
        <v>152</v>
      </c>
      <c r="AI1092" s="23">
        <v>79</v>
      </c>
      <c r="AJ1092" s="23"/>
      <c r="AK1092" s="23">
        <v>11.5</v>
      </c>
      <c r="AL1092" s="23">
        <v>0</v>
      </c>
      <c r="AM1092" s="23">
        <v>0</v>
      </c>
      <c r="AN1092" s="23">
        <v>0</v>
      </c>
      <c r="AO1092" s="23">
        <v>0</v>
      </c>
      <c r="AP1092" s="23">
        <f>SUM(AL1092:AN1092)</f>
        <v>0</v>
      </c>
      <c r="AQ1092" s="23">
        <v>1.9339999999999999</v>
      </c>
      <c r="AR1092" s="23">
        <f>AP1092-1.472</f>
        <v>-1.472</v>
      </c>
      <c r="AS1092" s="23">
        <f>AQ1092-1.472</f>
        <v>0.46199999999999997</v>
      </c>
      <c r="AT1092" s="25" t="str">
        <f>VLOOKUP(K1092,'[5]FECs - good data'!$C$1:$P$575,13,FALSE)</f>
        <v>JY</v>
      </c>
      <c r="AU1092" s="25" t="s">
        <v>1293</v>
      </c>
      <c r="AV1092" s="23">
        <v>0</v>
      </c>
      <c r="AW1092" s="25">
        <f>IF(AX1092&gt;0,1,0)</f>
        <v>0</v>
      </c>
      <c r="AX1092" s="25">
        <f>SUM(BA1092,BM1092,CT1092)</f>
        <v>0</v>
      </c>
      <c r="AY1092" s="25">
        <f>SUM(BB1092,BN1092,CV1092)</f>
        <v>0</v>
      </c>
      <c r="AZ1092" s="18">
        <f>IF(BA1092&gt;0,1,0)</f>
        <v>0</v>
      </c>
      <c r="BA1092" s="25">
        <f>SUM(BC1092,BF1092,BI1092)</f>
        <v>0</v>
      </c>
      <c r="BB1092" s="25">
        <f>SUM(BE1092,BH1092,BK1092)</f>
        <v>0</v>
      </c>
      <c r="BC1092" s="18">
        <f>IF(BD1092&gt;0,1,0)</f>
        <v>0</v>
      </c>
      <c r="BD1092" s="25">
        <f>VLOOKUP($K1092,'[5]FECs - good data'!$C$1:$Z$574,14,FALSE)</f>
        <v>0</v>
      </c>
      <c r="BE1092" s="23">
        <f>BD1092/AS1092</f>
        <v>0</v>
      </c>
      <c r="BF1092" s="16">
        <f>IF(BG1092&gt;0,1,0)</f>
        <v>0</v>
      </c>
      <c r="BG1092" s="77">
        <f>VLOOKUP($K1092,'[5]FECs - good data'!$C$1:$Z$574,15,FALSE)</f>
        <v>0</v>
      </c>
      <c r="BH1092" s="23">
        <f>BG1092/AS1092</f>
        <v>0</v>
      </c>
      <c r="BI1092" s="16">
        <f>IF(BJ1092&gt;0,1,0)</f>
        <v>0</v>
      </c>
      <c r="BJ1092" s="23">
        <f>VLOOKUP($K1092,'[5]FECs - good data'!$C$1:$Z$574,16,FALSE)</f>
        <v>0</v>
      </c>
      <c r="BK1092" s="23">
        <f>BJ1092/AS1092</f>
        <v>0</v>
      </c>
      <c r="BL1092" s="16">
        <f>IF(BM1092&gt;0,1,0)</f>
        <v>0</v>
      </c>
      <c r="BM1092" s="16">
        <f>SUM(BR1092,BU1092,BX1092,CA1092,CD1092,CG1092,CJ1092,CM1092,CP1092)</f>
        <v>0</v>
      </c>
      <c r="BN1092" s="16">
        <f>SUM(BW1092,BZ1092,CC1092,CF1092,CI1092,CL1092,CO1092,CR1092,BT1092)</f>
        <v>0</v>
      </c>
      <c r="BO1092" s="16">
        <f>IF(BP1092&gt;0,1,0)</f>
        <v>0</v>
      </c>
      <c r="BP1092" s="16">
        <f>SUM(BU1092,BX1092,CA1092,CD1092,BR1092)</f>
        <v>0</v>
      </c>
      <c r="BQ1092" s="16">
        <f>SUM(BZ1092,CC1092,CF1092,BT1092,BW1092)</f>
        <v>0</v>
      </c>
      <c r="BR1092" s="16">
        <f>IF(BS1092&gt;0,1,0)</f>
        <v>0</v>
      </c>
      <c r="BS1092" s="23">
        <f>VLOOKUP($K1092,'[5]FECs - good data'!$C$1:$Z$574,17,FALSE)</f>
        <v>0</v>
      </c>
      <c r="BT1092" s="77">
        <f>BS1092/AS1092</f>
        <v>0</v>
      </c>
      <c r="BU1092" s="16">
        <f>IF(BV1092&gt;0,1,0)</f>
        <v>0</v>
      </c>
      <c r="BV1092" s="23">
        <f>VLOOKUP($K1092,'[5]FECs - good data'!$C$1:$Z$574,18,FALSE)</f>
        <v>0</v>
      </c>
      <c r="BW1092" s="16">
        <f>BV1092/AS1092</f>
        <v>0</v>
      </c>
      <c r="BX1092" s="16">
        <f>IF(BY1092&gt;0,1,0)</f>
        <v>0</v>
      </c>
      <c r="BY1092" s="23">
        <f>VLOOKUP($K1092,'[5]FECs - good data'!$C$1:$Z$574,19,FALSE)</f>
        <v>0</v>
      </c>
      <c r="BZ1092" s="16">
        <f>BY1092/AS1092</f>
        <v>0</v>
      </c>
      <c r="CA1092" s="16">
        <f>IF(CB1092&gt;0,1,0)</f>
        <v>0</v>
      </c>
      <c r="CB1092" s="23">
        <f>VLOOKUP($K1092,'[5]FECs - good data'!$C$1:$Z$574,20,FALSE)</f>
        <v>0</v>
      </c>
      <c r="CC1092" s="23">
        <f>CB1092/AS1092</f>
        <v>0</v>
      </c>
      <c r="CD1092" s="77">
        <f>IF(CE1092&gt;0,1,0)</f>
        <v>0</v>
      </c>
      <c r="CE1092" s="23">
        <f>VLOOKUP($K1092,'[5]FECs - good data'!$C$1:$Z$574,21,FALSE)</f>
        <v>0</v>
      </c>
      <c r="CF1092" s="23">
        <f>CE1092/AS1092</f>
        <v>0</v>
      </c>
      <c r="CG1092" s="23">
        <f>IF(CH1092&gt;0,1,0)</f>
        <v>0</v>
      </c>
      <c r="CH1092" s="23">
        <f>VLOOKUP($K1092,'[5]FECs - good data'!$C$1:$Z$574,22,FALSE)</f>
        <v>0</v>
      </c>
      <c r="CI1092" s="23">
        <f>CH1092/AS1092</f>
        <v>0</v>
      </c>
      <c r="CJ1092" s="23">
        <f>IF(CK1092&gt;0,1,0)</f>
        <v>0</v>
      </c>
      <c r="CK1092" s="23">
        <f>VLOOKUP($K1092,'[5]FECs - good data'!$C$1:$Z$674,24,FALSE)</f>
        <v>0</v>
      </c>
      <c r="CL1092" s="23">
        <f>CK1092/AS1092</f>
        <v>0</v>
      </c>
      <c r="CM1092" s="23"/>
      <c r="CN1092" s="23"/>
      <c r="CO1092" s="23"/>
      <c r="CP1092" s="23"/>
      <c r="CQ1092" s="23"/>
      <c r="CR1092" s="23"/>
      <c r="CS1092" s="16">
        <f>IF(CT1092&gt;0,1,0)</f>
        <v>0</v>
      </c>
      <c r="CT1092" s="16">
        <f>SUM(CW1092+CZ1092,DC1092)</f>
        <v>0</v>
      </c>
      <c r="CV1092" s="23">
        <f>SUM(CY1092,DB1092,DE1092)</f>
        <v>0</v>
      </c>
      <c r="CW1092" s="16">
        <f>IF(CX1092&gt;0,1,0)</f>
        <v>0</v>
      </c>
      <c r="CX1092" s="23">
        <f>VLOOKUP($K1092,'[5]FECs - good data'!$C$1:$Z$574,22,FALSE)</f>
        <v>0</v>
      </c>
      <c r="CY1092" s="23">
        <f>CX1092/AS1092</f>
        <v>0</v>
      </c>
      <c r="CZ1092" s="23">
        <f>IF(DA1092&gt;0,1,0)</f>
        <v>0</v>
      </c>
      <c r="DA1092" s="23">
        <f>VLOOKUP($K1092,'[5]FECs - good data'!$C$1:$Z$5982,23,FALSE)</f>
        <v>0</v>
      </c>
      <c r="DB1092" s="23">
        <f>DA1092/AS1092</f>
        <v>0</v>
      </c>
      <c r="DC1092" s="23"/>
      <c r="DD1092" s="23"/>
      <c r="DE1092" s="23">
        <f>DD1092/AS1092</f>
        <v>0</v>
      </c>
      <c r="DF1092" s="16" t="e">
        <f>VLOOKUP(K1092,'[3]RNA Seq summary tables'!$V$3:$V$99,1,FALSE)</f>
        <v>#N/A</v>
      </c>
      <c r="DI1092" s="23">
        <v>46</v>
      </c>
      <c r="DJ1092" s="23"/>
      <c r="DK1092" s="23">
        <v>39</v>
      </c>
      <c r="DL1092" s="23"/>
      <c r="DM1092" s="23">
        <v>6</v>
      </c>
      <c r="DN1092" s="23"/>
      <c r="DO1092" s="23">
        <v>0</v>
      </c>
      <c r="DP1092" s="23"/>
      <c r="DQ1092" s="23">
        <v>0</v>
      </c>
      <c r="DR1092" s="23">
        <f>SUM(DI1092:DQ1092)</f>
        <v>91</v>
      </c>
      <c r="DS1092" s="23"/>
      <c r="DT1092" s="25"/>
      <c r="DU1092" s="25"/>
      <c r="DV1092" s="25"/>
      <c r="DW1092" s="25"/>
      <c r="DX1092" s="25"/>
      <c r="DY1092" s="25"/>
      <c r="DZ1092" s="25"/>
      <c r="EA1092" s="25"/>
      <c r="EB1092" s="25"/>
      <c r="EC1092" s="25"/>
      <c r="ED1092" s="25"/>
      <c r="EE1092" s="25"/>
      <c r="EF1092" s="25"/>
      <c r="EG1092" s="25"/>
      <c r="EH1092" s="25"/>
      <c r="EI1092" s="25"/>
      <c r="EJ1092" s="25"/>
      <c r="EK1092" s="25"/>
      <c r="EL1092" s="25"/>
      <c r="EM1092" s="25"/>
      <c r="EN1092" s="25"/>
      <c r="EO1092" s="25"/>
      <c r="EP1092" s="25"/>
      <c r="EQ1092" s="25"/>
      <c r="ER1092" s="25"/>
      <c r="ES1092" s="25"/>
      <c r="ET1092" s="25"/>
      <c r="EU1092" s="25"/>
      <c r="EV1092" s="25"/>
      <c r="EW1092" s="25"/>
      <c r="EX1092" s="25"/>
      <c r="EY1092" s="25"/>
      <c r="EZ1092" s="25"/>
      <c r="FA1092" s="25"/>
      <c r="FB1092" s="25"/>
      <c r="FC1092" s="25"/>
      <c r="FD1092" s="25"/>
      <c r="FE1092" s="25"/>
      <c r="FF1092" s="25"/>
      <c r="FG1092" s="25"/>
      <c r="FH1092" s="25"/>
      <c r="FI1092" s="25"/>
      <c r="FJ1092" s="25"/>
      <c r="FK1092" s="25"/>
      <c r="FL1092" s="25"/>
      <c r="FM1092" s="25"/>
      <c r="FN1092" s="25"/>
      <c r="FO1092" s="25"/>
      <c r="FP1092" s="25"/>
      <c r="FQ1092" s="25"/>
      <c r="FR1092" s="25"/>
      <c r="FS1092" s="25"/>
      <c r="FT1092" s="25"/>
      <c r="FU1092" s="25"/>
      <c r="FV1092" s="25"/>
      <c r="FW1092" s="25"/>
      <c r="FX1092" s="25"/>
      <c r="FY1092" s="25"/>
      <c r="FZ1092" s="25"/>
      <c r="GA1092" s="25"/>
      <c r="GB1092" s="25"/>
      <c r="GC1092" s="25"/>
      <c r="GD1092" s="25"/>
      <c r="GE1092" s="25"/>
      <c r="GF1092" s="25"/>
      <c r="GG1092" s="25"/>
      <c r="GH1092" s="25"/>
      <c r="GI1092" s="25"/>
      <c r="GJ1092" s="25"/>
      <c r="GK1092" s="25"/>
      <c r="GL1092" s="25"/>
      <c r="GM1092" s="25"/>
      <c r="GN1092" s="25"/>
      <c r="GO1092" s="25"/>
      <c r="GP1092" s="25"/>
      <c r="GQ1092" s="25"/>
      <c r="GR1092" s="25"/>
      <c r="GS1092" s="25"/>
      <c r="GT1092" s="25"/>
      <c r="GU1092" s="25"/>
      <c r="GV1092" s="25"/>
      <c r="GW1092" s="25"/>
      <c r="GX1092" s="25"/>
      <c r="GY1092" s="25"/>
      <c r="GZ1092" s="25"/>
      <c r="HA1092" s="25"/>
      <c r="HB1092" s="25"/>
      <c r="HC1092" s="25"/>
      <c r="HD1092" s="25"/>
      <c r="HE1092" s="25"/>
      <c r="HF1092" s="25"/>
      <c r="HG1092" s="25"/>
      <c r="HH1092" s="25"/>
      <c r="HI1092" s="25"/>
      <c r="HJ1092" s="25"/>
      <c r="HK1092" s="25"/>
      <c r="HL1092" s="25"/>
      <c r="HM1092" s="25"/>
      <c r="HN1092" s="25"/>
      <c r="HO1092" s="25"/>
      <c r="HP1092" s="25"/>
      <c r="HQ1092" s="25"/>
      <c r="HR1092" s="25"/>
      <c r="HS1092" s="25"/>
      <c r="HT1092" s="25"/>
      <c r="HU1092" s="25"/>
      <c r="HV1092" s="25"/>
      <c r="HW1092" s="25"/>
      <c r="HX1092" s="25"/>
      <c r="HY1092" s="25"/>
      <c r="HZ1092" s="25"/>
      <c r="IA1092" s="25"/>
      <c r="IB1092" s="25"/>
      <c r="IC1092" s="25"/>
      <c r="ID1092" s="25"/>
      <c r="IE1092" s="25"/>
      <c r="IF1092" s="25"/>
      <c r="IG1092" s="25"/>
      <c r="IH1092" s="25"/>
      <c r="II1092" s="25"/>
      <c r="IJ1092" s="25"/>
      <c r="IK1092" s="25"/>
      <c r="IL1092" s="25"/>
      <c r="IM1092" s="25"/>
      <c r="IN1092" s="25"/>
      <c r="IO1092" s="25"/>
      <c r="IP1092" s="25"/>
      <c r="IQ1092" s="25"/>
      <c r="IR1092" s="25"/>
      <c r="IS1092" s="25"/>
      <c r="IT1092" s="25"/>
      <c r="IU1092" s="25"/>
      <c r="IV1092" s="25"/>
      <c r="IW1092" s="25"/>
      <c r="IX1092" s="25"/>
      <c r="IY1092" s="25"/>
      <c r="IZ1092" s="25"/>
      <c r="JA1092" s="25"/>
      <c r="JB1092" s="25"/>
      <c r="JC1092" s="25"/>
      <c r="JD1092" s="25"/>
      <c r="JE1092" s="25"/>
      <c r="JF1092" s="25"/>
      <c r="JG1092" s="25"/>
      <c r="JH1092" s="25"/>
      <c r="JI1092" s="25"/>
      <c r="JJ1092" s="25"/>
      <c r="JK1092" s="25"/>
      <c r="JL1092" s="25"/>
      <c r="JM1092" s="25"/>
      <c r="JN1092" s="25"/>
      <c r="JO1092" s="23"/>
      <c r="JP1092" s="23"/>
      <c r="JQ1092" s="23"/>
      <c r="JR1092" s="144"/>
      <c r="JS1092" s="144"/>
      <c r="JT1092" s="144"/>
      <c r="JU1092" s="144"/>
      <c r="JV1092" s="144"/>
      <c r="JW1092" s="144"/>
      <c r="JX1092" s="144"/>
      <c r="JY1092" s="144"/>
      <c r="JZ1092" s="144"/>
      <c r="KA1092" s="144"/>
      <c r="KB1092" s="144"/>
    </row>
    <row r="1093" spans="2:288" ht="16" x14ac:dyDescent="0.2">
      <c r="B1093" s="16">
        <v>2017</v>
      </c>
      <c r="C1093" s="20">
        <v>42972</v>
      </c>
      <c r="D1093" s="20" t="str">
        <f>CONCATENATE(J1093,"-",C1093)</f>
        <v>1215-42972</v>
      </c>
      <c r="E1093" s="37" t="str">
        <f>CONCATENATE(T1093,"-",U1093,"-",C1093)</f>
        <v>SP1-G1-42972</v>
      </c>
      <c r="F1093" s="20" t="s">
        <v>106</v>
      </c>
      <c r="G1093" s="20" t="s">
        <v>107</v>
      </c>
      <c r="I1093" s="16">
        <v>0</v>
      </c>
      <c r="J1093" s="21">
        <v>1215</v>
      </c>
      <c r="K1093" s="21">
        <v>2236</v>
      </c>
      <c r="L1093" s="18">
        <v>0</v>
      </c>
      <c r="M1093" s="21">
        <f>VLOOKUP($K1093,'[4]blood tubes 2017'!$D$1:$L$947,8,FALSE)</f>
        <v>0</v>
      </c>
      <c r="N1093" s="15">
        <v>0</v>
      </c>
      <c r="O1093" s="15" t="s">
        <v>214</v>
      </c>
      <c r="P1093" s="16" t="s">
        <v>110</v>
      </c>
      <c r="Q1093" s="16">
        <v>1</v>
      </c>
      <c r="R1093" s="16">
        <v>49</v>
      </c>
      <c r="T1093" s="16" t="s">
        <v>140</v>
      </c>
      <c r="U1093" s="16" t="s">
        <v>155</v>
      </c>
      <c r="V1093" s="16" t="s">
        <v>142</v>
      </c>
      <c r="W1093" s="16">
        <f>AI1093/AG1093</f>
        <v>1.0941176470588236</v>
      </c>
      <c r="X1093" s="16" t="s">
        <v>121</v>
      </c>
      <c r="Y1093" s="16" t="s">
        <v>110</v>
      </c>
      <c r="Z1093" s="16">
        <v>3</v>
      </c>
      <c r="AA1093" s="16" t="s">
        <v>119</v>
      </c>
      <c r="AB1093" s="16" t="s">
        <v>123</v>
      </c>
      <c r="AC1093" s="16" t="s">
        <v>123</v>
      </c>
      <c r="AD1093" s="16" t="s">
        <v>123</v>
      </c>
      <c r="AG1093" s="18">
        <f>AH1093-AI1093</f>
        <v>85</v>
      </c>
      <c r="AH1093" s="18">
        <v>178</v>
      </c>
      <c r="AI1093" s="18">
        <v>93</v>
      </c>
      <c r="AJ1093" s="18"/>
      <c r="AK1093" s="16">
        <v>18.5</v>
      </c>
      <c r="AL1093" s="16">
        <v>0</v>
      </c>
      <c r="AM1093" s="16">
        <v>0</v>
      </c>
      <c r="AN1093" s="16">
        <v>0</v>
      </c>
      <c r="AO1093" s="16">
        <v>0</v>
      </c>
      <c r="AP1093" s="16">
        <f>SUM(AL1093:AN1093)</f>
        <v>0</v>
      </c>
      <c r="AQ1093" s="16">
        <v>1.8660000000000001</v>
      </c>
      <c r="AR1093" s="16">
        <f>AP1093-1.472</f>
        <v>-1.472</v>
      </c>
      <c r="AS1093" s="16">
        <f>AQ1093-1.472</f>
        <v>0.39400000000000013</v>
      </c>
      <c r="AT1093" s="16" t="str">
        <f>VLOOKUP(E1093,[2]Current!$A$1:$W$435,7,FALSE)</f>
        <v>JY</v>
      </c>
      <c r="AU1093" s="16" t="s">
        <v>1288</v>
      </c>
      <c r="AW1093" s="128">
        <f>IF(AX1093&gt;0,1,0)</f>
        <v>1</v>
      </c>
      <c r="AX1093" s="128">
        <f>SUM(BA1093,BM1093,CU1093)</f>
        <v>3</v>
      </c>
      <c r="AY1093" s="128">
        <f>SUM(BB1093,BN1093,CV1093)</f>
        <v>91.370558375634488</v>
      </c>
      <c r="AZ1093" s="128">
        <f>IF(BA1093&gt;0,1,0)</f>
        <v>1</v>
      </c>
      <c r="BA1093" s="128">
        <f>SUM(BC1093+BF1093+BI1093)</f>
        <v>3</v>
      </c>
      <c r="BB1093" s="128">
        <f>SUM(BE1093,BH1093,BK1093)</f>
        <v>91.370558375634488</v>
      </c>
      <c r="BC1093" s="130">
        <f>IF(BD1093&gt;0,1,0)</f>
        <v>1</v>
      </c>
      <c r="BD1093" s="128">
        <f>VLOOKUP($E1093,[2]Current!$A:$AC,26,FALSE)</f>
        <v>2</v>
      </c>
      <c r="BE1093" s="128">
        <f>BD1093/$AS1093</f>
        <v>5.0761421319796938</v>
      </c>
      <c r="BF1093" s="130">
        <f>IF(BG1093&gt;0,1,0)</f>
        <v>1</v>
      </c>
      <c r="BG1093" s="137">
        <f>VLOOKUP($E1093,[2]Current!$A:$AC,27,FALSE)</f>
        <v>33</v>
      </c>
      <c r="BH1093" s="128">
        <f>BG1093/$AS1093</f>
        <v>83.756345177664954</v>
      </c>
      <c r="BI1093" s="130">
        <f>IF(BJ1093&gt;0,1,0)</f>
        <v>1</v>
      </c>
      <c r="BJ1093" s="128">
        <f>VLOOKUP($E1093,[2]Current!$A:$AC,28,FALSE)</f>
        <v>1</v>
      </c>
      <c r="BK1093" s="128">
        <f>BJ1093/$AS1093</f>
        <v>2.5380710659898469</v>
      </c>
      <c r="BL1093" s="128">
        <f>IF(BM1093&gt;0,1,0)</f>
        <v>0</v>
      </c>
      <c r="BM1093" s="128">
        <f>SUM(BR1093,BU1093,BX1093,CA1093,CD1093)</f>
        <v>0</v>
      </c>
      <c r="BN1093" s="131">
        <f>SUM(BT1093,BW1093,BZ1093,CC1093,CF1093)</f>
        <v>0</v>
      </c>
      <c r="BO1093" s="128">
        <f>IF(BP1093&gt;0,1,0)</f>
        <v>0</v>
      </c>
      <c r="BP1093" s="128">
        <f>BM1093+CJ1093</f>
        <v>0</v>
      </c>
      <c r="BQ1093" s="128">
        <f>BN1093+CL1093</f>
        <v>0</v>
      </c>
      <c r="BR1093" s="130">
        <f>IF(BS1093&gt;0,1,0)</f>
        <v>0</v>
      </c>
      <c r="BS1093" s="128">
        <f>VLOOKUP($E1093,[2]Current!$A:$AC,12,FALSE)</f>
        <v>0</v>
      </c>
      <c r="BT1093" s="137">
        <f>BS1093/$AS1093</f>
        <v>0</v>
      </c>
      <c r="BU1093" s="130">
        <f>IF(BV1093&gt;0,1,0)</f>
        <v>0</v>
      </c>
      <c r="BV1093" s="128">
        <f>VLOOKUP($E1093,[2]Current!$A:$AC,13,FALSE)</f>
        <v>0</v>
      </c>
      <c r="BW1093" s="128">
        <f>BV1093/$AS1093</f>
        <v>0</v>
      </c>
      <c r="BX1093" s="130">
        <f>IF(BY1093&gt;0,1,0)</f>
        <v>0</v>
      </c>
      <c r="BY1093" s="128">
        <f>VLOOKUP($E1093,[2]Current!$A:$AC,14,FALSE)</f>
        <v>0</v>
      </c>
      <c r="BZ1093" s="128">
        <f>BY1093/$AS1093</f>
        <v>0</v>
      </c>
      <c r="CA1093" s="130">
        <f>IF(CB1093&gt;0,1,0)</f>
        <v>0</v>
      </c>
      <c r="CB1093" s="128">
        <f>VLOOKUP($E1093,[2]Current!$A:$AC,15,FALSE)</f>
        <v>0</v>
      </c>
      <c r="CC1093" s="128">
        <f>CB1093/$AS1093</f>
        <v>0</v>
      </c>
      <c r="CD1093" s="174">
        <f>IF(CE1093&gt;0,1,0)</f>
        <v>0</v>
      </c>
      <c r="CE1093" s="128">
        <f>VLOOKUP($E1093,[2]Current!$A:$AC,16,FALSE)</f>
        <v>0</v>
      </c>
      <c r="CF1093" s="128">
        <f>CE1093/$AS1093</f>
        <v>0</v>
      </c>
      <c r="CG1093" s="18"/>
      <c r="CH1093" s="18"/>
      <c r="CI1093" s="18"/>
      <c r="CJ1093" s="130">
        <f>IF(CK1093&gt;0,1,0)</f>
        <v>0</v>
      </c>
      <c r="CK1093" s="128">
        <f>VLOOKUP($E1093,[2]Current!$A:$AC,18,FALSE)</f>
        <v>0</v>
      </c>
      <c r="CL1093" s="128">
        <f>CK1093/$AS1093</f>
        <v>0</v>
      </c>
      <c r="CS1093" s="130">
        <f>IF(CU1093&gt;0,1,0)</f>
        <v>0</v>
      </c>
      <c r="CU1093" s="128">
        <f>VLOOKUP($E1093,[2]Current!$A:$AC,17,FALSE)</f>
        <v>0</v>
      </c>
      <c r="CV1093" s="128">
        <f>CU1093/$AS1093</f>
        <v>0</v>
      </c>
      <c r="CW1093" s="18"/>
      <c r="CX1093" s="18"/>
      <c r="CY1093" s="18"/>
      <c r="DF1093" s="16" t="e">
        <f>VLOOKUP(K1093,'[3]RNA Seq summary tables'!$V$3:$V$99,1,FALSE)</f>
        <v>#N/A</v>
      </c>
      <c r="DG1093" s="16">
        <v>1</v>
      </c>
      <c r="DH1093" s="16" t="str">
        <f>VLOOKUP(D1093,'[6]workflow 3.2018'!$A$1:$S$237,2,FALSE)</f>
        <v>2017MLBS_176</v>
      </c>
      <c r="JR1093" s="18"/>
      <c r="JS1093" s="18"/>
      <c r="JT1093" s="18"/>
      <c r="JU1093" s="18"/>
      <c r="JV1093" s="18"/>
      <c r="JW1093" s="18"/>
      <c r="JX1093" s="18"/>
      <c r="JY1093" s="18"/>
      <c r="JZ1093" s="18"/>
      <c r="KA1093" s="18"/>
      <c r="KB1093" s="18"/>
    </row>
    <row r="1094" spans="2:288" x14ac:dyDescent="0.2">
      <c r="B1094" s="16">
        <v>2017</v>
      </c>
      <c r="C1094" s="20">
        <v>42923</v>
      </c>
      <c r="D1094" s="20" t="str">
        <f>CONCATENATE(J1094,"-",C1094)</f>
        <v>1217-42923</v>
      </c>
      <c r="E1094" s="20" t="str">
        <f>CONCATENATE(T1094,"-",U1094,"-",C1094)</f>
        <v>SP1-G2-42923</v>
      </c>
      <c r="F1094" s="20" t="s">
        <v>106</v>
      </c>
      <c r="G1094" s="20" t="s">
        <v>107</v>
      </c>
      <c r="I1094" s="16">
        <v>0</v>
      </c>
      <c r="J1094" s="21">
        <v>1217</v>
      </c>
      <c r="K1094" s="36">
        <v>1842</v>
      </c>
      <c r="L1094" s="18">
        <v>0</v>
      </c>
      <c r="M1094" s="21">
        <f>VLOOKUP($K1094,'[4]blood tubes 2017'!$D$1:$L$647,8,FALSE)</f>
        <v>0</v>
      </c>
      <c r="N1094" s="15">
        <v>0</v>
      </c>
      <c r="O1094" s="15" t="s">
        <v>214</v>
      </c>
      <c r="P1094" s="16" t="s">
        <v>110</v>
      </c>
      <c r="Q1094" s="16">
        <v>0</v>
      </c>
      <c r="R1094" s="16" t="s">
        <v>111</v>
      </c>
      <c r="T1094" s="16" t="s">
        <v>140</v>
      </c>
      <c r="U1094" s="16" t="s">
        <v>128</v>
      </c>
      <c r="V1094" s="16" t="s">
        <v>142</v>
      </c>
      <c r="W1094" s="16">
        <f>AI1094/AG1094</f>
        <v>1.0493827160493827</v>
      </c>
      <c r="X1094" s="16" t="s">
        <v>115</v>
      </c>
      <c r="Y1094" s="16" t="s">
        <v>110</v>
      </c>
      <c r="Z1094" s="16">
        <v>3</v>
      </c>
      <c r="AE1094" s="16" t="s">
        <v>123</v>
      </c>
      <c r="AF1094" s="16" t="s">
        <v>123</v>
      </c>
      <c r="AG1094" s="16">
        <f>AH1094-AI1094</f>
        <v>81</v>
      </c>
      <c r="AH1094" s="16">
        <v>166</v>
      </c>
      <c r="AI1094" s="16">
        <v>85</v>
      </c>
      <c r="AK1094" s="16">
        <v>15.5</v>
      </c>
      <c r="AL1094" s="16">
        <v>0</v>
      </c>
      <c r="AM1094" s="16">
        <v>0</v>
      </c>
      <c r="AN1094" s="16">
        <v>0</v>
      </c>
      <c r="AO1094" s="16">
        <v>0</v>
      </c>
      <c r="AP1094" s="16">
        <f>SUM(AL1094:AN1094)</f>
        <v>0</v>
      </c>
      <c r="AQ1094" s="16">
        <v>2.6989999999999998</v>
      </c>
      <c r="AR1094" s="16">
        <f>AP1094-1.472</f>
        <v>-1.472</v>
      </c>
      <c r="AS1094" s="16">
        <f>AQ1094-1.472</f>
        <v>1.2269999999999999</v>
      </c>
      <c r="AT1094" s="18" t="str">
        <f>VLOOKUP(K1094,'[5]FECs - good data'!$C$1:$P$575,13,FALSE)</f>
        <v>JY</v>
      </c>
      <c r="AU1094" s="18"/>
      <c r="AW1094" s="18">
        <f>IF(AX1094&gt;0,1,0)</f>
        <v>1</v>
      </c>
      <c r="AX1094" s="18">
        <f>SUM(BA1094,BM1094,CT1094)</f>
        <v>1</v>
      </c>
      <c r="AY1094" s="18">
        <f>SUM(BB1094,BN1094,CV1094)</f>
        <v>1013.0399348003261</v>
      </c>
      <c r="AZ1094" s="18">
        <f>IF(BA1094&gt;0,1,0)</f>
        <v>1</v>
      </c>
      <c r="BA1094" s="18">
        <f>SUM(BC1094,BF1094,BI1094)</f>
        <v>1</v>
      </c>
      <c r="BB1094" s="18">
        <f>SUM(BE1094,BH1094,BK1094)</f>
        <v>1013.0399348003261</v>
      </c>
      <c r="BC1094" s="18">
        <f>IF(BD1094&gt;0,1,0)</f>
        <v>0</v>
      </c>
      <c r="BD1094" s="18">
        <f>VLOOKUP($K1094,'[5]FECs - good data'!$C$1:$Z$574,14,FALSE)</f>
        <v>0</v>
      </c>
      <c r="BE1094" s="18">
        <f>BD1094/AS1094</f>
        <v>0</v>
      </c>
      <c r="BF1094" s="18">
        <f>IF(BG1094&gt;0,1,0)</f>
        <v>1</v>
      </c>
      <c r="BG1094" s="78">
        <f>VLOOKUP($K1094,'[5]FECs - good data'!$C$1:$Z$574,15,FALSE)</f>
        <v>1243</v>
      </c>
      <c r="BH1094" s="16">
        <f>BG1094/AS1094</f>
        <v>1013.0399348003261</v>
      </c>
      <c r="BI1094" s="16">
        <f>IF(BJ1094&gt;0,1,0)</f>
        <v>0</v>
      </c>
      <c r="BJ1094" s="16">
        <f>VLOOKUP($K1094,'[5]FECs - good data'!$C$1:$Z$574,16,FALSE)</f>
        <v>0</v>
      </c>
      <c r="BK1094" s="16">
        <f>BJ1094/AS1094</f>
        <v>0</v>
      </c>
      <c r="BL1094" s="16">
        <f>IF(BM1094&gt;0,1,0)</f>
        <v>0</v>
      </c>
      <c r="BM1094" s="16">
        <f>SUM(BR1094,BU1094,BX1094,CA1094,CD1094,CG1094,CJ1094,CM1094,CP1094)</f>
        <v>0</v>
      </c>
      <c r="BN1094" s="16">
        <f>SUM(BW1094,BZ1094,CC1094,CF1094,CI1094,CL1094,CO1094,CR1094,BT1094)</f>
        <v>0</v>
      </c>
      <c r="BO1094" s="16">
        <f>IF(BP1094&gt;0,1,0)</f>
        <v>0</v>
      </c>
      <c r="BP1094" s="16">
        <f>SUM(BU1094,BX1094,CA1094,CD1094,BR1094)</f>
        <v>0</v>
      </c>
      <c r="BQ1094" s="16">
        <f>SUM(BZ1094,CC1094,CF1094,BT1094,BW1094)</f>
        <v>0</v>
      </c>
      <c r="BR1094" s="16">
        <f>IF(BS1094&gt;0,1,0)</f>
        <v>0</v>
      </c>
      <c r="BS1094" s="16">
        <f>VLOOKUP($K1094,'[5]FECs - good data'!$C$1:$Z$574,17,FALSE)</f>
        <v>0</v>
      </c>
      <c r="BT1094" s="77">
        <f>BS1094/AS1094</f>
        <v>0</v>
      </c>
      <c r="BU1094" s="16">
        <f>IF(BV1094&gt;0,1,0)</f>
        <v>0</v>
      </c>
      <c r="BV1094" s="16">
        <f>VLOOKUP($K1094,'[5]FECs - good data'!$C$1:$Z$574,18,FALSE)</f>
        <v>0</v>
      </c>
      <c r="BW1094" s="16">
        <f>BV1094/AS1094</f>
        <v>0</v>
      </c>
      <c r="BX1094" s="16">
        <f>IF(BY1094&gt;0,1,0)</f>
        <v>0</v>
      </c>
      <c r="BY1094" s="16">
        <f>VLOOKUP($K1094,'[5]FECs - good data'!$C$1:$Z$574,19,FALSE)</f>
        <v>0</v>
      </c>
      <c r="BZ1094" s="16">
        <f>BY1094/AS1094</f>
        <v>0</v>
      </c>
      <c r="CA1094" s="16">
        <f>IF(CB1094&gt;0,1,0)</f>
        <v>0</v>
      </c>
      <c r="CB1094" s="16">
        <f>VLOOKUP($K1094,'[5]FECs - good data'!$C$1:$Z$574,20,FALSE)</f>
        <v>0</v>
      </c>
      <c r="CC1094" s="16">
        <f>CB1094/AS1094</f>
        <v>0</v>
      </c>
      <c r="CD1094" s="77">
        <f>IF(CE1094&gt;0,1,0)</f>
        <v>0</v>
      </c>
      <c r="CE1094" s="16">
        <f>VLOOKUP($K1094,'[5]FECs - good data'!$C$1:$Z$574,21,FALSE)</f>
        <v>0</v>
      </c>
      <c r="CF1094" s="16">
        <f>CE1094/AS1094</f>
        <v>0</v>
      </c>
      <c r="CG1094" s="16">
        <f>IF(CH1094&gt;0,1,0)</f>
        <v>0</v>
      </c>
      <c r="CH1094" s="16">
        <f>VLOOKUP($K1094,'[5]FECs - good data'!$C$1:$Z$574,22,FALSE)</f>
        <v>0</v>
      </c>
      <c r="CI1094" s="16">
        <f>CH1094/AS1094</f>
        <v>0</v>
      </c>
      <c r="CJ1094" s="16">
        <f>IF(CK1094&gt;0,1,0)</f>
        <v>0</v>
      </c>
      <c r="CK1094" s="16">
        <f>VLOOKUP($K1094,'[5]FECs - good data'!$C$1:$Z$674,24,FALSE)</f>
        <v>0</v>
      </c>
      <c r="CL1094" s="16">
        <f>CK1094/AS1094</f>
        <v>0</v>
      </c>
      <c r="CS1094" s="16">
        <f>IF(CT1094&gt;0,1,0)</f>
        <v>0</v>
      </c>
      <c r="CT1094" s="16">
        <f>SUM(CW1094+CZ1094,DC1094)</f>
        <v>0</v>
      </c>
      <c r="CV1094" s="16">
        <f>SUM(CY1094,DB1094,DE1094)</f>
        <v>0</v>
      </c>
      <c r="CW1094" s="16">
        <f>IF(CX1094&gt;0,1,0)</f>
        <v>0</v>
      </c>
      <c r="CX1094" s="16">
        <f>VLOOKUP($K1094,'[5]FECs - good data'!$C$1:$Z$574,22,FALSE)</f>
        <v>0</v>
      </c>
      <c r="CY1094" s="16">
        <f>CX1094/AS1094</f>
        <v>0</v>
      </c>
      <c r="CZ1094" s="16">
        <f>IF(DA1094&gt;0,1,0)</f>
        <v>0</v>
      </c>
      <c r="DA1094" s="16">
        <f>VLOOKUP($K1094,'[5]FECs - good data'!$C$1:$Z$5982,23,FALSE)</f>
        <v>0</v>
      </c>
      <c r="DB1094" s="16">
        <f>DA1094/AS1094</f>
        <v>0</v>
      </c>
      <c r="DE1094" s="16">
        <f>DD1094/AS1094</f>
        <v>0</v>
      </c>
      <c r="DF1094" s="16" t="e">
        <f>VLOOKUP(K1094,'[3]RNA Seq summary tables'!$V$3:$V$99,1,FALSE)</f>
        <v>#N/A</v>
      </c>
      <c r="DI1094" s="16">
        <v>23</v>
      </c>
      <c r="DK1094" s="16">
        <v>23</v>
      </c>
      <c r="DM1094" s="16">
        <v>6</v>
      </c>
      <c r="DO1094" s="16">
        <v>0</v>
      </c>
      <c r="DQ1094" s="16">
        <v>0</v>
      </c>
      <c r="DR1094" s="16">
        <f>SUM(DI1094:DQ1094)</f>
        <v>52</v>
      </c>
      <c r="JR1094" s="27"/>
      <c r="JS1094" s="27"/>
      <c r="JT1094" s="27"/>
      <c r="JU1094" s="27"/>
      <c r="JV1094" s="27"/>
      <c r="JW1094" s="27"/>
      <c r="JX1094" s="27"/>
      <c r="JY1094" s="27"/>
      <c r="JZ1094" s="27"/>
      <c r="KA1094" s="27"/>
      <c r="KB1094" s="27"/>
    </row>
    <row r="1095" spans="2:288" x14ac:dyDescent="0.2">
      <c r="B1095" s="16">
        <v>2017</v>
      </c>
      <c r="C1095" s="20">
        <v>42940</v>
      </c>
      <c r="D1095" s="20" t="str">
        <f>CONCATENATE(J1095,"-",C1095)</f>
        <v>1217-42940</v>
      </c>
      <c r="E1095" s="20" t="str">
        <f>CONCATENATE(T1095,"-",U1095,"-",C1095)</f>
        <v>SP1-E1-42940</v>
      </c>
      <c r="F1095" s="20" t="s">
        <v>106</v>
      </c>
      <c r="G1095" s="20" t="s">
        <v>107</v>
      </c>
      <c r="I1095" s="16">
        <v>0</v>
      </c>
      <c r="J1095" s="21">
        <v>1217</v>
      </c>
      <c r="K1095" s="21">
        <v>1977</v>
      </c>
      <c r="L1095" s="18">
        <v>0</v>
      </c>
      <c r="M1095" s="21">
        <f>VLOOKUP($K1095,'[4]blood tubes 2017'!$D$1:$L$647,8,FALSE)</f>
        <v>0</v>
      </c>
      <c r="N1095" s="15">
        <v>0</v>
      </c>
      <c r="O1095" s="15" t="s">
        <v>214</v>
      </c>
      <c r="P1095" s="16" t="s">
        <v>110</v>
      </c>
      <c r="Q1095" s="16">
        <v>1</v>
      </c>
      <c r="R1095" s="16">
        <v>17</v>
      </c>
      <c r="T1095" s="16" t="s">
        <v>140</v>
      </c>
      <c r="U1095" s="16" t="s">
        <v>222</v>
      </c>
      <c r="V1095" s="16" t="s">
        <v>142</v>
      </c>
      <c r="W1095" s="16">
        <f>AI1095/AG1095</f>
        <v>1.0588235294117647</v>
      </c>
      <c r="X1095" s="16" t="s">
        <v>115</v>
      </c>
      <c r="Y1095" s="16" t="s">
        <v>110</v>
      </c>
      <c r="Z1095" s="16">
        <v>3</v>
      </c>
      <c r="AE1095" s="16" t="s">
        <v>116</v>
      </c>
      <c r="AF1095" s="16" t="s">
        <v>116</v>
      </c>
      <c r="AG1095" s="16">
        <f>AH1095-AI1095</f>
        <v>85</v>
      </c>
      <c r="AH1095" s="16">
        <v>175</v>
      </c>
      <c r="AI1095" s="16">
        <v>90</v>
      </c>
      <c r="AK1095" s="16">
        <v>17</v>
      </c>
      <c r="AL1095" s="16">
        <v>0</v>
      </c>
      <c r="AM1095" s="16">
        <v>0</v>
      </c>
      <c r="AN1095" s="16">
        <v>0</v>
      </c>
      <c r="AO1095" s="16">
        <v>0</v>
      </c>
      <c r="AP1095" s="16">
        <f>SUM(AL1095:AN1095)</f>
        <v>0</v>
      </c>
      <c r="AQ1095" s="16">
        <v>1.95</v>
      </c>
      <c r="AR1095" s="16">
        <f>AP1095-1.472</f>
        <v>-1.472</v>
      </c>
      <c r="AS1095" s="16">
        <f>AQ1095-1.472</f>
        <v>0.47799999999999998</v>
      </c>
      <c r="AT1095" s="16" t="str">
        <f>VLOOKUP(K1095,'[5]FECs - good data'!$C$1:$P$575,13,FALSE)</f>
        <v>JB</v>
      </c>
      <c r="AW1095" s="18">
        <f>IF(AX1095&gt;0,1,0)</f>
        <v>1</v>
      </c>
      <c r="AX1095" s="18">
        <f>SUM(BA1095,BM1095,CT1095)</f>
        <v>4</v>
      </c>
      <c r="AY1095" s="18">
        <f>SUM(BB1095,BN1095,CV1095)</f>
        <v>585.77405857740598</v>
      </c>
      <c r="AZ1095" s="18">
        <f>IF(BA1095&gt;0,1,0)</f>
        <v>1</v>
      </c>
      <c r="BA1095" s="18">
        <f>SUM(BC1095,BF1095,BI1095)</f>
        <v>3</v>
      </c>
      <c r="BB1095" s="18">
        <f>SUM(BE1095,BH1095,BK1095)</f>
        <v>581.58995815899596</v>
      </c>
      <c r="BC1095" s="18">
        <f>IF(BD1095&gt;0,1,0)</f>
        <v>1</v>
      </c>
      <c r="BD1095" s="18">
        <f>VLOOKUP($K1095,'[5]FECs - good data'!$C$1:$Z$574,14,FALSE)</f>
        <v>22</v>
      </c>
      <c r="BE1095" s="16">
        <f>BD1095/AS1095</f>
        <v>46.02510460251046</v>
      </c>
      <c r="BF1095" s="16">
        <f>IF(BG1095&gt;0,1,0)</f>
        <v>1</v>
      </c>
      <c r="BG1095" s="77">
        <f>VLOOKUP($K1095,'[5]FECs - good data'!$C$1:$Z$574,15,FALSE)</f>
        <v>246</v>
      </c>
      <c r="BH1095" s="16">
        <f>BG1095/AS1095</f>
        <v>514.6443514644352</v>
      </c>
      <c r="BI1095" s="16">
        <f>IF(BJ1095&gt;0,1,0)</f>
        <v>1</v>
      </c>
      <c r="BJ1095" s="16">
        <f>VLOOKUP($K1095,'[5]FECs - good data'!$C$1:$Z$574,16,FALSE)</f>
        <v>10</v>
      </c>
      <c r="BK1095" s="16">
        <f>BJ1095/AS1095</f>
        <v>20.92050209205021</v>
      </c>
      <c r="BL1095" s="16">
        <f>IF(BM1095&gt;0,1,0)</f>
        <v>1</v>
      </c>
      <c r="BM1095" s="16">
        <f>SUM(BR1095,BU1095,BX1095,CA1095,CD1095,CG1095,CJ1095,CM1095,CP1095)</f>
        <v>1</v>
      </c>
      <c r="BN1095" s="16">
        <f>SUM(BW1095,BZ1095,CC1095,CF1095,CI1095,CL1095,CO1095,CR1095,BT1095)</f>
        <v>4.1841004184100417</v>
      </c>
      <c r="BO1095" s="16">
        <f>IF(BP1095&gt;0,1,0)</f>
        <v>1</v>
      </c>
      <c r="BP1095" s="16">
        <f>SUM(BU1095,BX1095,CA1095,CD1095,BR1095)</f>
        <v>1</v>
      </c>
      <c r="BQ1095" s="16">
        <f>SUM(BZ1095,CC1095,CF1095,BT1095,BW1095)</f>
        <v>4.1841004184100417</v>
      </c>
      <c r="BR1095" s="16">
        <f>IF(BS1095&gt;0,1,0)</f>
        <v>0</v>
      </c>
      <c r="BS1095" s="16">
        <f>VLOOKUP($K1095,'[5]FECs - good data'!$C$1:$Z$574,17,FALSE)</f>
        <v>0</v>
      </c>
      <c r="BT1095" s="77">
        <f>BS1095/AS1095</f>
        <v>0</v>
      </c>
      <c r="BU1095" s="16">
        <f>IF(BV1095&gt;0,1,0)</f>
        <v>0</v>
      </c>
      <c r="BV1095" s="16">
        <f>VLOOKUP($K1095,'[5]FECs - good data'!$C$1:$Z$574,18,FALSE)</f>
        <v>0</v>
      </c>
      <c r="BW1095" s="16">
        <f>BV1095/AS1095</f>
        <v>0</v>
      </c>
      <c r="BX1095" s="16">
        <f>IF(BY1095&gt;0,1,0)</f>
        <v>0</v>
      </c>
      <c r="BY1095" s="16">
        <f>VLOOKUP($K1095,'[5]FECs - good data'!$C$1:$Z$574,19,FALSE)</f>
        <v>0</v>
      </c>
      <c r="BZ1095" s="16">
        <f>BY1095/AS1095</f>
        <v>0</v>
      </c>
      <c r="CA1095" s="16">
        <f>IF(CB1095&gt;0,1,0)</f>
        <v>0</v>
      </c>
      <c r="CB1095" s="16">
        <f>VLOOKUP($K1095,'[5]FECs - good data'!$C$1:$Z$574,20,FALSE)</f>
        <v>0</v>
      </c>
      <c r="CC1095" s="16">
        <f>CB1095/AS1095</f>
        <v>0</v>
      </c>
      <c r="CD1095" s="77">
        <f>IF(CE1095&gt;0,1,0)</f>
        <v>1</v>
      </c>
      <c r="CE1095" s="16">
        <f>VLOOKUP($K1095,'[5]FECs - good data'!$C$1:$Z$574,21,FALSE)</f>
        <v>2</v>
      </c>
      <c r="CF1095" s="16">
        <f>CE1095/AS1095</f>
        <v>4.1841004184100417</v>
      </c>
      <c r="CG1095" s="16">
        <f>IF(CH1095&gt;0,1,0)</f>
        <v>0</v>
      </c>
      <c r="CH1095" s="16">
        <f>VLOOKUP($K1095,'[5]FECs - good data'!$C$1:$Z$574,22,FALSE)</f>
        <v>0</v>
      </c>
      <c r="CI1095" s="16">
        <f>CH1095/AS1095</f>
        <v>0</v>
      </c>
      <c r="CJ1095" s="16">
        <f>IF(CK1095&gt;0,1,0)</f>
        <v>0</v>
      </c>
      <c r="CK1095" s="16">
        <f>VLOOKUP($K1095,'[5]FECs - good data'!$C$1:$Z$674,24,FALSE)</f>
        <v>0</v>
      </c>
      <c r="CL1095" s="16">
        <f>CK1095/AS1095</f>
        <v>0</v>
      </c>
      <c r="CS1095" s="16">
        <f>IF(CT1095&gt;0,1,0)</f>
        <v>0</v>
      </c>
      <c r="CT1095" s="16">
        <f>SUM(CW1095+CZ1095,DC1095)</f>
        <v>0</v>
      </c>
      <c r="CV1095" s="16">
        <f>SUM(CY1095,DB1095,DE1095)</f>
        <v>0</v>
      </c>
      <c r="CW1095" s="16">
        <f>IF(CX1095&gt;0,1,0)</f>
        <v>0</v>
      </c>
      <c r="CX1095" s="16">
        <f>VLOOKUP($K1095,'[5]FECs - good data'!$C$1:$Z$574,22,FALSE)</f>
        <v>0</v>
      </c>
      <c r="CY1095" s="16">
        <f>CX1095/AS1095</f>
        <v>0</v>
      </c>
      <c r="CZ1095" s="16">
        <f>IF(DA1095&gt;0,1,0)</f>
        <v>0</v>
      </c>
      <c r="DA1095" s="16">
        <f>VLOOKUP($K1095,'[5]FECs - good data'!$C$1:$Z$5982,23,FALSE)</f>
        <v>0</v>
      </c>
      <c r="DB1095" s="16">
        <f>DA1095/AS1095</f>
        <v>0</v>
      </c>
      <c r="DF1095" s="16" t="e">
        <f>VLOOKUP(K1095,'[3]RNA Seq summary tables'!$V$3:$V$99,1,FALSE)</f>
        <v>#N/A</v>
      </c>
      <c r="DG1095" s="16">
        <v>1</v>
      </c>
      <c r="DH1095" s="16" t="str">
        <f>VLOOKUP(D1095,'[6]workflow 3.2018'!$A$1:$S$237,2,FALSE)</f>
        <v>2017MLBS_77</v>
      </c>
    </row>
    <row r="1096" spans="2:288" x14ac:dyDescent="0.2">
      <c r="B1096" s="16">
        <v>2017</v>
      </c>
      <c r="C1096" s="43">
        <v>42958</v>
      </c>
      <c r="D1096" s="43" t="str">
        <f>CONCATENATE(J1096,"-",C1096)</f>
        <v>1217-42958</v>
      </c>
      <c r="E1096" s="20" t="str">
        <f>CONCATENATE(T1096,"-",U1096,"-",C1096)</f>
        <v>SP1-G1-42958</v>
      </c>
      <c r="F1096" s="20" t="s">
        <v>106</v>
      </c>
      <c r="G1096" s="43" t="s">
        <v>107</v>
      </c>
      <c r="H1096" s="23"/>
      <c r="I1096" s="16">
        <v>0</v>
      </c>
      <c r="J1096" s="15">
        <v>1217</v>
      </c>
      <c r="K1096" s="15">
        <v>2129</v>
      </c>
      <c r="L1096" s="18">
        <v>0</v>
      </c>
      <c r="M1096" s="21">
        <f>VLOOKUP($K1096,'[4]blood tubes 2017'!$D$1:$L$647,8,FALSE)</f>
        <v>0</v>
      </c>
      <c r="N1096" s="15">
        <v>0</v>
      </c>
      <c r="O1096" s="15" t="s">
        <v>214</v>
      </c>
      <c r="P1096" s="23" t="s">
        <v>110</v>
      </c>
      <c r="Q1096" s="16">
        <v>1</v>
      </c>
      <c r="R1096" s="23">
        <v>18</v>
      </c>
      <c r="S1096" s="23"/>
      <c r="T1096" s="23" t="s">
        <v>140</v>
      </c>
      <c r="U1096" s="23" t="s">
        <v>155</v>
      </c>
      <c r="V1096" s="23" t="s">
        <v>142</v>
      </c>
      <c r="W1096" s="16">
        <f>AI1096/AG1096</f>
        <v>1.1204819277108433</v>
      </c>
      <c r="X1096" s="23" t="s">
        <v>115</v>
      </c>
      <c r="Y1096" s="23" t="s">
        <v>110</v>
      </c>
      <c r="Z1096" s="23">
        <v>3</v>
      </c>
      <c r="AA1096" s="23"/>
      <c r="AB1096" s="23"/>
      <c r="AC1096" s="23"/>
      <c r="AD1096" s="23"/>
      <c r="AE1096" s="23" t="s">
        <v>123</v>
      </c>
      <c r="AF1096" s="23" t="s">
        <v>123</v>
      </c>
      <c r="AG1096" s="23">
        <f>AH1096-AI1096</f>
        <v>83</v>
      </c>
      <c r="AH1096" s="23">
        <v>176</v>
      </c>
      <c r="AI1096" s="23">
        <v>93</v>
      </c>
      <c r="AJ1096" s="23"/>
      <c r="AK1096" s="23">
        <v>17.5</v>
      </c>
      <c r="AL1096" s="23">
        <v>0</v>
      </c>
      <c r="AM1096" s="23">
        <v>1</v>
      </c>
      <c r="AN1096" s="23">
        <v>1</v>
      </c>
      <c r="AO1096" s="23">
        <v>1</v>
      </c>
      <c r="AP1096" s="23">
        <f>SUM(AL1096:AN1096)</f>
        <v>2</v>
      </c>
      <c r="AQ1096" s="23">
        <v>1.871</v>
      </c>
      <c r="AR1096" s="23">
        <f>AP1096-1.472</f>
        <v>0.52800000000000002</v>
      </c>
      <c r="AS1096" s="23">
        <f>AQ1096-1.472</f>
        <v>0.39900000000000002</v>
      </c>
      <c r="AT1096" s="23" t="str">
        <f>VLOOKUP(K1096,'[5]FECs - good data'!$C$1:$P$575,13,FALSE)</f>
        <v>NB</v>
      </c>
      <c r="AU1096" s="18" t="s">
        <v>1293</v>
      </c>
      <c r="AV1096" s="16">
        <v>0</v>
      </c>
      <c r="AW1096" s="25">
        <f>IF(AX1096&gt;0,1,0)</f>
        <v>0</v>
      </c>
      <c r="AX1096" s="25">
        <f>SUM(BA1096,BM1096,CT1096)</f>
        <v>0</v>
      </c>
      <c r="AY1096" s="25">
        <f>SUM(BB1096,BN1096,CV1096)</f>
        <v>0</v>
      </c>
      <c r="AZ1096" s="18">
        <f>IF(BA1096&gt;0,1,0)</f>
        <v>0</v>
      </c>
      <c r="BA1096" s="25">
        <f>SUM(BC1096,BF1096,BI1096)</f>
        <v>0</v>
      </c>
      <c r="BB1096" s="25">
        <f>SUM(BE1096,BH1096,BK1096)</f>
        <v>0</v>
      </c>
      <c r="BC1096" s="18">
        <f>IF(BD1096&gt;0,1,0)</f>
        <v>0</v>
      </c>
      <c r="BD1096" s="25">
        <f>VLOOKUP($K1096,'[5]FECs - good data'!$C$1:$Z$574,14,FALSE)</f>
        <v>0</v>
      </c>
      <c r="BE1096" s="23">
        <f>BD1096/AS1096</f>
        <v>0</v>
      </c>
      <c r="BF1096" s="16">
        <f>IF(BG1096&gt;0,1,0)</f>
        <v>0</v>
      </c>
      <c r="BG1096" s="77">
        <f>VLOOKUP($K1096,'[5]FECs - good data'!$C$1:$Z$574,15,FALSE)</f>
        <v>0</v>
      </c>
      <c r="BH1096" s="23">
        <f>BG1096/AS1096</f>
        <v>0</v>
      </c>
      <c r="BI1096" s="16">
        <f>IF(BJ1096&gt;0,1,0)</f>
        <v>0</v>
      </c>
      <c r="BJ1096" s="23">
        <f>VLOOKUP($K1096,'[5]FECs - good data'!$C$1:$Z$574,16,FALSE)</f>
        <v>0</v>
      </c>
      <c r="BK1096" s="23">
        <f>BJ1096/AS1096</f>
        <v>0</v>
      </c>
      <c r="BL1096" s="16">
        <f>IF(BM1096&gt;0,1,0)</f>
        <v>0</v>
      </c>
      <c r="BM1096" s="16">
        <f>SUM(BR1096,BU1096,BX1096,CA1096,CD1096,CG1096,CJ1096,CM1096,CP1096)</f>
        <v>0</v>
      </c>
      <c r="BN1096" s="16">
        <f>SUM(BW1096,BZ1096,CC1096,CF1096,CI1096,CL1096,CO1096,CR1096,BT1096)</f>
        <v>0</v>
      </c>
      <c r="BO1096" s="16">
        <f>IF(BP1096&gt;0,1,0)</f>
        <v>0</v>
      </c>
      <c r="BP1096" s="16">
        <f>SUM(BU1096,BX1096,CA1096,CD1096,BR1096)</f>
        <v>0</v>
      </c>
      <c r="BQ1096" s="16">
        <f>SUM(BZ1096,CC1096,CF1096,BT1096,BW1096)</f>
        <v>0</v>
      </c>
      <c r="BR1096" s="16">
        <f>IF(BS1096&gt;0,1,0)</f>
        <v>0</v>
      </c>
      <c r="BS1096" s="23">
        <f>VLOOKUP($K1096,'[5]FECs - good data'!$C$1:$Z$574,17,FALSE)</f>
        <v>0</v>
      </c>
      <c r="BT1096" s="77">
        <f>BS1096/AS1096</f>
        <v>0</v>
      </c>
      <c r="BU1096" s="16">
        <f>IF(BV1096&gt;0,1,0)</f>
        <v>0</v>
      </c>
      <c r="BV1096" s="23">
        <f>VLOOKUP($K1096,'[5]FECs - good data'!$C$1:$Z$574,18,FALSE)</f>
        <v>0</v>
      </c>
      <c r="BW1096" s="16">
        <f>BV1096/AS1096</f>
        <v>0</v>
      </c>
      <c r="BX1096" s="16">
        <f>IF(BY1096&gt;0,1,0)</f>
        <v>0</v>
      </c>
      <c r="BY1096" s="23">
        <f>VLOOKUP($K1096,'[5]FECs - good data'!$C$1:$Z$574,19,FALSE)</f>
        <v>0</v>
      </c>
      <c r="BZ1096" s="16">
        <f>BY1096/AS1096</f>
        <v>0</v>
      </c>
      <c r="CA1096" s="16">
        <f>IF(CB1096&gt;0,1,0)</f>
        <v>0</v>
      </c>
      <c r="CB1096" s="23">
        <f>VLOOKUP($K1096,'[5]FECs - good data'!$C$1:$Z$574,20,FALSE)</f>
        <v>0</v>
      </c>
      <c r="CC1096" s="23">
        <f>CB1096/AS1096</f>
        <v>0</v>
      </c>
      <c r="CD1096" s="77">
        <f>IF(CE1096&gt;0,1,0)</f>
        <v>0</v>
      </c>
      <c r="CE1096" s="23">
        <f>VLOOKUP($K1096,'[5]FECs - good data'!$C$1:$Z$574,21,FALSE)</f>
        <v>0</v>
      </c>
      <c r="CF1096" s="23">
        <f>CE1096/AS1096</f>
        <v>0</v>
      </c>
      <c r="CG1096" s="23">
        <f>IF(CH1096&gt;0,1,0)</f>
        <v>0</v>
      </c>
      <c r="CH1096" s="23">
        <f>VLOOKUP($K1096,'[5]FECs - good data'!$C$1:$Z$574,22,FALSE)</f>
        <v>0</v>
      </c>
      <c r="CI1096" s="23">
        <f>CH1096/AS1096</f>
        <v>0</v>
      </c>
      <c r="CJ1096" s="23">
        <f>IF(CK1096&gt;0,1,0)</f>
        <v>0</v>
      </c>
      <c r="CK1096" s="23">
        <f>VLOOKUP($K1096,'[5]FECs - good data'!$C$1:$Z$674,24,FALSE)</f>
        <v>0</v>
      </c>
      <c r="CL1096" s="23">
        <f>CK1096/AS1096</f>
        <v>0</v>
      </c>
      <c r="CM1096" s="23"/>
      <c r="CN1096" s="23"/>
      <c r="CO1096" s="23"/>
      <c r="CP1096" s="23"/>
      <c r="CQ1096" s="23"/>
      <c r="CR1096" s="23"/>
      <c r="CS1096" s="16">
        <f>IF(CT1096&gt;0,1,0)</f>
        <v>0</v>
      </c>
      <c r="CT1096" s="16">
        <f>SUM(CW1096+CZ1096,DC1096)</f>
        <v>0</v>
      </c>
      <c r="CV1096" s="23">
        <f>SUM(CY1096,DB1096,DE1096)</f>
        <v>0</v>
      </c>
      <c r="CW1096" s="16">
        <f>IF(CX1096&gt;0,1,0)</f>
        <v>0</v>
      </c>
      <c r="CX1096" s="23">
        <f>VLOOKUP($K1096,'[5]FECs - good data'!$C$1:$Z$574,22,FALSE)</f>
        <v>0</v>
      </c>
      <c r="CY1096" s="23">
        <f>CX1096/AS1096</f>
        <v>0</v>
      </c>
      <c r="CZ1096" s="23">
        <f>IF(DA1096&gt;0,1,0)</f>
        <v>0</v>
      </c>
      <c r="DA1096" s="23">
        <f>VLOOKUP($K1096,'[5]FECs - good data'!$C$1:$Z$5982,23,FALSE)</f>
        <v>0</v>
      </c>
      <c r="DB1096" s="23">
        <f>DA1096/AS1096</f>
        <v>0</v>
      </c>
      <c r="DC1096" s="23"/>
      <c r="DD1096" s="23"/>
      <c r="DE1096" s="23"/>
      <c r="DF1096" s="16" t="e">
        <f>VLOOKUP(K1096,'[3]RNA Seq summary tables'!$V$3:$V$99,1,FALSE)</f>
        <v>#N/A</v>
      </c>
      <c r="DG1096" s="16">
        <v>1</v>
      </c>
      <c r="DH1096" s="16" t="str">
        <f>VLOOKUP(D1096,'[6]workflow 3.2018'!$A$1:$S$237,2,FALSE)</f>
        <v>2017MLBS_136</v>
      </c>
      <c r="DI1096" s="23"/>
      <c r="DJ1096" s="23"/>
      <c r="DK1096" s="23"/>
      <c r="DL1096" s="23"/>
      <c r="DM1096" s="23"/>
      <c r="DN1096" s="23"/>
      <c r="DO1096" s="23"/>
      <c r="DP1096" s="23"/>
      <c r="DQ1096" s="23"/>
      <c r="DR1096" s="23"/>
      <c r="DS1096" s="23"/>
      <c r="DT1096" s="25"/>
      <c r="DU1096" s="25"/>
      <c r="DV1096" s="25"/>
      <c r="DW1096" s="25"/>
      <c r="DX1096" s="25"/>
      <c r="DY1096" s="25"/>
      <c r="DZ1096" s="25"/>
      <c r="EA1096" s="25"/>
      <c r="EB1096" s="25"/>
      <c r="EC1096" s="25"/>
      <c r="ED1096" s="25"/>
      <c r="EE1096" s="25"/>
      <c r="JO1096" s="38"/>
      <c r="JP1096" s="38"/>
      <c r="JQ1096" s="38"/>
    </row>
    <row r="1097" spans="2:288" x14ac:dyDescent="0.2">
      <c r="B1097" s="16">
        <v>2017</v>
      </c>
      <c r="C1097" s="20">
        <v>42923</v>
      </c>
      <c r="D1097" s="20" t="str">
        <f>CONCATENATE(J1097,"-",C1097)</f>
        <v>1219-42923</v>
      </c>
      <c r="E1097" s="20" t="str">
        <f>CONCATENATE(T1097,"-",U1097,"-",C1097)</f>
        <v>SP2-A5-42923</v>
      </c>
      <c r="F1097" s="20" t="s">
        <v>106</v>
      </c>
      <c r="G1097" s="20" t="s">
        <v>107</v>
      </c>
      <c r="I1097" s="16">
        <v>0</v>
      </c>
      <c r="J1097" s="21">
        <v>1219</v>
      </c>
      <c r="K1097" s="36">
        <v>1845</v>
      </c>
      <c r="L1097" s="18">
        <v>0</v>
      </c>
      <c r="M1097" s="21">
        <f>VLOOKUP($K1097,'[4]blood tubes 2017'!$D$1:$L$647,8,FALSE)</f>
        <v>0</v>
      </c>
      <c r="N1097" s="15">
        <v>0</v>
      </c>
      <c r="O1097" s="15" t="s">
        <v>214</v>
      </c>
      <c r="P1097" s="16" t="s">
        <v>110</v>
      </c>
      <c r="Q1097" s="16">
        <v>0</v>
      </c>
      <c r="R1097" s="16" t="s">
        <v>111</v>
      </c>
      <c r="T1097" s="16" t="s">
        <v>137</v>
      </c>
      <c r="U1097" s="16" t="s">
        <v>167</v>
      </c>
      <c r="V1097" s="16" t="s">
        <v>114</v>
      </c>
      <c r="W1097" s="16">
        <f>AI1097/AG1097</f>
        <v>0.82926829268292679</v>
      </c>
      <c r="X1097" s="16" t="s">
        <v>115</v>
      </c>
      <c r="Y1097" s="16" t="s">
        <v>110</v>
      </c>
      <c r="Z1097" s="16">
        <v>3</v>
      </c>
      <c r="AE1097" s="16" t="s">
        <v>116</v>
      </c>
      <c r="AF1097" s="16" t="s">
        <v>116</v>
      </c>
      <c r="AG1097" s="16">
        <f>AH1097-AI1097</f>
        <v>82</v>
      </c>
      <c r="AH1097" s="16">
        <v>150</v>
      </c>
      <c r="AI1097" s="16">
        <v>68</v>
      </c>
      <c r="AK1097" s="16">
        <v>16</v>
      </c>
      <c r="AL1097" s="16">
        <v>0</v>
      </c>
      <c r="AM1097" s="16">
        <v>0</v>
      </c>
      <c r="AN1097" s="16">
        <v>0</v>
      </c>
      <c r="AO1097" s="16">
        <v>0</v>
      </c>
      <c r="AP1097" s="16">
        <f>SUM(AL1097:AN1097)</f>
        <v>0</v>
      </c>
      <c r="AQ1097" s="16">
        <v>2.2610000000000001</v>
      </c>
      <c r="AR1097" s="16">
        <f>AP1097-1.472</f>
        <v>-1.472</v>
      </c>
      <c r="AS1097" s="16">
        <f>AQ1097-1.472</f>
        <v>0.78900000000000015</v>
      </c>
      <c r="AT1097" s="16" t="s">
        <v>119</v>
      </c>
      <c r="AW1097" s="18">
        <f>IF(AX1097&gt;0,1,0)</f>
        <v>1</v>
      </c>
      <c r="AX1097" s="18">
        <f>SUM(BA1097,BM1097,CT1097)</f>
        <v>4</v>
      </c>
      <c r="AY1097" s="18">
        <f>SUM(BB1097,BN1097,CV1097)</f>
        <v>10607.097591888465</v>
      </c>
      <c r="AZ1097" s="18">
        <v>1</v>
      </c>
      <c r="BA1097" s="18">
        <v>2</v>
      </c>
      <c r="BB1097" s="18">
        <f>SUM(BE1097,BH1097,BK1097)</f>
        <v>10581.749049429656</v>
      </c>
      <c r="BC1097" s="18">
        <v>1</v>
      </c>
      <c r="BD1097" s="18">
        <v>178</v>
      </c>
      <c r="BE1097" s="18">
        <f>BD1097/AS1097</f>
        <v>225.60202788339666</v>
      </c>
      <c r="BF1097" s="18">
        <v>1</v>
      </c>
      <c r="BG1097" s="78">
        <v>8171</v>
      </c>
      <c r="BH1097" s="16">
        <f>BG1097/AS1097</f>
        <v>10356.14702154626</v>
      </c>
      <c r="BI1097" s="16">
        <v>0</v>
      </c>
      <c r="BJ1097" s="16">
        <v>0</v>
      </c>
      <c r="BK1097" s="16">
        <f>BJ1097/AS1097</f>
        <v>0</v>
      </c>
      <c r="BL1097" s="16">
        <f>IF(BM1097&gt;0,1,0)</f>
        <v>1</v>
      </c>
      <c r="BM1097" s="16">
        <f>SUM(BR1097,BU1097,BX1097,CA1097,CD1097,CG1097,CJ1097,CM1097,CP1097)</f>
        <v>1</v>
      </c>
      <c r="BN1097" s="16">
        <f>SUM(BW1097,BZ1097,CC1097,CF1097,CI1097,CL1097,CO1097,CR1097,BT1097)</f>
        <v>3.802281368821292</v>
      </c>
      <c r="BO1097" s="16">
        <f>IF(BP1097&gt;0,1,0)</f>
        <v>1</v>
      </c>
      <c r="BP1097" s="16">
        <f>SUM(BU1097,BX1097,CA1097,CD1097,BR1097)</f>
        <v>1</v>
      </c>
      <c r="BQ1097" s="16">
        <f>SUM(BZ1097,CC1097,CF1097,BT1097,BW1097)</f>
        <v>3.802281368821292</v>
      </c>
      <c r="BR1097" s="16">
        <v>0</v>
      </c>
      <c r="BS1097" s="16">
        <v>0</v>
      </c>
      <c r="BT1097" s="77">
        <f>BS1097/AS1097</f>
        <v>0</v>
      </c>
      <c r="BU1097" s="16">
        <v>0</v>
      </c>
      <c r="BV1097" s="16">
        <v>0</v>
      </c>
      <c r="BW1097" s="16">
        <f>BV1097/AS1097</f>
        <v>0</v>
      </c>
      <c r="BX1097" s="16">
        <v>0</v>
      </c>
      <c r="BY1097" s="16">
        <v>0</v>
      </c>
      <c r="BZ1097" s="16">
        <f>BY1097/AS1097</f>
        <v>0</v>
      </c>
      <c r="CA1097" s="16">
        <v>1</v>
      </c>
      <c r="CB1097" s="16">
        <v>3</v>
      </c>
      <c r="CC1097" s="16">
        <f>CB1097/AS1097</f>
        <v>3.802281368821292</v>
      </c>
      <c r="CD1097" s="77">
        <v>0</v>
      </c>
      <c r="CE1097" s="16">
        <v>0</v>
      </c>
      <c r="CF1097" s="16">
        <f>CE1097/AS1097</f>
        <v>0</v>
      </c>
      <c r="CG1097" s="16">
        <v>0</v>
      </c>
      <c r="CH1097" s="16">
        <v>0</v>
      </c>
      <c r="CI1097" s="16">
        <f>CH1097/AS1097</f>
        <v>0</v>
      </c>
      <c r="CM1097" s="16">
        <v>0</v>
      </c>
      <c r="CN1097" s="16">
        <v>0</v>
      </c>
      <c r="CO1097" s="16">
        <f>CN1097/AS1097</f>
        <v>0</v>
      </c>
      <c r="CP1097" s="16">
        <v>0</v>
      </c>
      <c r="CQ1097" s="16">
        <v>0</v>
      </c>
      <c r="CR1097" s="16">
        <f>CQ1097/AS1097</f>
        <v>0</v>
      </c>
      <c r="CS1097" s="16">
        <v>1</v>
      </c>
      <c r="CT1097" s="16">
        <v>1</v>
      </c>
      <c r="CV1097" s="16">
        <f>SUM(CY1097,DB1097,DE1097)</f>
        <v>21.546261089987322</v>
      </c>
      <c r="CW1097" s="16">
        <v>1</v>
      </c>
      <c r="CX1097" s="16">
        <v>17</v>
      </c>
      <c r="CY1097" s="16">
        <f>CX1097/AS1097</f>
        <v>21.546261089987322</v>
      </c>
      <c r="CZ1097" s="16">
        <v>0</v>
      </c>
      <c r="DA1097" s="16">
        <v>0</v>
      </c>
      <c r="DB1097" s="16">
        <f>DA1097/AS1097</f>
        <v>0</v>
      </c>
      <c r="DC1097" s="16">
        <v>0</v>
      </c>
      <c r="DD1097" s="16">
        <v>0</v>
      </c>
      <c r="DE1097" s="16">
        <f>DD1097/AS1097</f>
        <v>0</v>
      </c>
      <c r="DF1097" s="16" t="e">
        <f>VLOOKUP(K1097,'[3]RNA Seq summary tables'!$V$3:$V$99,1,FALSE)</f>
        <v>#N/A</v>
      </c>
      <c r="DI1097" s="16">
        <v>18</v>
      </c>
      <c r="DK1097" s="16">
        <v>11</v>
      </c>
      <c r="DM1097" s="16">
        <v>2</v>
      </c>
      <c r="DO1097" s="16">
        <v>0</v>
      </c>
      <c r="DQ1097" s="16">
        <v>0</v>
      </c>
      <c r="DR1097" s="16">
        <f>SUM(DI1097:DQ1097)</f>
        <v>31</v>
      </c>
      <c r="JR1097" s="27"/>
      <c r="JS1097" s="27"/>
      <c r="JT1097" s="27"/>
      <c r="JU1097" s="27"/>
      <c r="JV1097" s="27"/>
      <c r="JW1097" s="27"/>
      <c r="JX1097" s="27"/>
      <c r="JY1097" s="27"/>
      <c r="JZ1097" s="27"/>
      <c r="KA1097" s="27"/>
      <c r="KB1097" s="27"/>
    </row>
    <row r="1098" spans="2:288" x14ac:dyDescent="0.2">
      <c r="B1098" s="16">
        <v>2017</v>
      </c>
      <c r="C1098" s="20">
        <v>42927</v>
      </c>
      <c r="D1098" s="20" t="str">
        <f>CONCATENATE(J1098,"-",C1098)</f>
        <v>1221-42927</v>
      </c>
      <c r="E1098" s="20" t="str">
        <f>CONCATENATE(T1098,"-",U1098,"-",C1098)</f>
        <v>PO1-D8-42927</v>
      </c>
      <c r="F1098" s="20" t="s">
        <v>106</v>
      </c>
      <c r="G1098" s="20" t="s">
        <v>107</v>
      </c>
      <c r="I1098" s="16">
        <v>0</v>
      </c>
      <c r="J1098" s="21">
        <v>1221</v>
      </c>
      <c r="K1098" s="21">
        <v>1854</v>
      </c>
      <c r="L1098" s="16">
        <v>1</v>
      </c>
      <c r="M1098" s="21">
        <f>VLOOKUP($K1098,'[4]blood tubes 2017'!$D$1:$L$647,8,FALSE)</f>
        <v>0</v>
      </c>
      <c r="N1098" s="15">
        <v>0</v>
      </c>
      <c r="O1098" s="15" t="s">
        <v>214</v>
      </c>
      <c r="P1098" s="16" t="s">
        <v>110</v>
      </c>
      <c r="Q1098" s="16">
        <v>0</v>
      </c>
      <c r="R1098" s="16" t="s">
        <v>111</v>
      </c>
      <c r="T1098" s="16" t="s">
        <v>112</v>
      </c>
      <c r="U1098" s="16" t="s">
        <v>178</v>
      </c>
      <c r="V1098" s="16" t="s">
        <v>142</v>
      </c>
      <c r="W1098" s="16">
        <f>AI1098/AG1098</f>
        <v>1.013157894736842</v>
      </c>
      <c r="X1098" s="16" t="s">
        <v>115</v>
      </c>
      <c r="Y1098" s="16" t="s">
        <v>122</v>
      </c>
      <c r="Z1098" s="16">
        <v>2.2999999999999998</v>
      </c>
      <c r="AE1098" s="16" t="s">
        <v>123</v>
      </c>
      <c r="AF1098" s="16" t="s">
        <v>123</v>
      </c>
      <c r="AG1098" s="16">
        <f>AH1098-AI1098</f>
        <v>76</v>
      </c>
      <c r="AH1098" s="16">
        <v>153</v>
      </c>
      <c r="AI1098" s="16">
        <v>77</v>
      </c>
      <c r="AK1098" s="16">
        <v>12</v>
      </c>
      <c r="AL1098" s="16">
        <v>0</v>
      </c>
      <c r="AM1098" s="16">
        <v>0</v>
      </c>
      <c r="AN1098" s="16">
        <v>0</v>
      </c>
      <c r="AO1098" s="16">
        <v>0</v>
      </c>
      <c r="AP1098" s="16">
        <f>SUM(AL1098:AN1098)</f>
        <v>0</v>
      </c>
      <c r="AQ1098" s="16">
        <v>1.6879999999999999</v>
      </c>
      <c r="AR1098" s="16">
        <f>AP1098-1.472</f>
        <v>-1.472</v>
      </c>
      <c r="AS1098" s="16">
        <f>AQ1098-1.472</f>
        <v>0.21599999999999997</v>
      </c>
      <c r="AT1098" s="18" t="str">
        <f>VLOOKUP(K1098,'[5]FECs - good data'!$C$1:$P$575,13,FALSE)</f>
        <v>JY</v>
      </c>
      <c r="AU1098" s="18" t="s">
        <v>1293</v>
      </c>
      <c r="AV1098" s="16">
        <v>0</v>
      </c>
      <c r="AW1098" s="18">
        <f>IF(AX1098&gt;0,1,0)</f>
        <v>0</v>
      </c>
      <c r="AX1098" s="18">
        <f>SUM(BA1098,BM1098,CT1098)</f>
        <v>0</v>
      </c>
      <c r="AY1098" s="18">
        <f>SUM(BB1098,BN1098,CV1098)</f>
        <v>0</v>
      </c>
      <c r="AZ1098" s="18">
        <f>IF(BA1098&gt;0,1,0)</f>
        <v>0</v>
      </c>
      <c r="BA1098" s="18">
        <f>SUM(BC1098,BF1098,BI1098)</f>
        <v>0</v>
      </c>
      <c r="BB1098" s="18">
        <f>SUM(BE1098,BH1098,BK1098)</f>
        <v>0</v>
      </c>
      <c r="BC1098" s="18">
        <f>IF(BD1098&gt;0,1,0)</f>
        <v>0</v>
      </c>
      <c r="BD1098" s="18">
        <f>VLOOKUP($K1098,'[5]FECs - good data'!$C$1:$Z$574,14,FALSE)</f>
        <v>0</v>
      </c>
      <c r="BE1098" s="16">
        <f>BD1098/AS1098</f>
        <v>0</v>
      </c>
      <c r="BF1098" s="16">
        <f>IF(BG1098&gt;0,1,0)</f>
        <v>0</v>
      </c>
      <c r="BG1098" s="77">
        <f>VLOOKUP($K1098,'[5]FECs - good data'!$C$1:$Z$574,15,FALSE)</f>
        <v>0</v>
      </c>
      <c r="BH1098" s="16">
        <f>BG1098/AS1098</f>
        <v>0</v>
      </c>
      <c r="BI1098" s="16">
        <f>IF(BJ1098&gt;0,1,0)</f>
        <v>0</v>
      </c>
      <c r="BJ1098" s="16">
        <f>VLOOKUP($K1098,'[5]FECs - good data'!$C$1:$Z$574,16,FALSE)</f>
        <v>0</v>
      </c>
      <c r="BK1098" s="16">
        <f>BJ1098/AS1098</f>
        <v>0</v>
      </c>
      <c r="BL1098" s="16">
        <f>IF(BM1098&gt;0,1,0)</f>
        <v>0</v>
      </c>
      <c r="BM1098" s="16">
        <f>SUM(BR1098,BU1098,BX1098,CA1098,CD1098,CG1098,CJ1098,CM1098,CP1098)</f>
        <v>0</v>
      </c>
      <c r="BN1098" s="16">
        <f>SUM(BW1098,BZ1098,CC1098,CF1098,CI1098,CL1098,CO1098,CR1098,BT1098)</f>
        <v>0</v>
      </c>
      <c r="BO1098" s="16">
        <f>IF(BP1098&gt;0,1,0)</f>
        <v>0</v>
      </c>
      <c r="BP1098" s="16">
        <f>SUM(BU1098,BX1098,CA1098,CD1098,BR1098)</f>
        <v>0</v>
      </c>
      <c r="BQ1098" s="16">
        <f>SUM(BZ1098,CC1098,CF1098,BT1098,BW1098)</f>
        <v>0</v>
      </c>
      <c r="BR1098" s="16">
        <f>IF(BS1098&gt;0,1,0)</f>
        <v>0</v>
      </c>
      <c r="BS1098" s="16">
        <f>VLOOKUP($K1098,'[5]FECs - good data'!$C$1:$Z$574,17,FALSE)</f>
        <v>0</v>
      </c>
      <c r="BT1098" s="77">
        <f>BS1098/AS1098</f>
        <v>0</v>
      </c>
      <c r="BU1098" s="16">
        <f>IF(BV1098&gt;0,1,0)</f>
        <v>0</v>
      </c>
      <c r="BV1098" s="16">
        <f>VLOOKUP($K1098,'[5]FECs - good data'!$C$1:$Z$574,18,FALSE)</f>
        <v>0</v>
      </c>
      <c r="BW1098" s="16">
        <f>BV1098/AS1098</f>
        <v>0</v>
      </c>
      <c r="BX1098" s="16">
        <f>IF(BY1098&gt;0,1,0)</f>
        <v>0</v>
      </c>
      <c r="BY1098" s="16">
        <f>VLOOKUP($K1098,'[5]FECs - good data'!$C$1:$Z$574,19,FALSE)</f>
        <v>0</v>
      </c>
      <c r="BZ1098" s="16">
        <f>BY1098/AS1098</f>
        <v>0</v>
      </c>
      <c r="CA1098" s="16">
        <f>IF(CB1098&gt;0,1,0)</f>
        <v>0</v>
      </c>
      <c r="CB1098" s="16">
        <f>VLOOKUP($K1098,'[5]FECs - good data'!$C$1:$Z$574,20,FALSE)</f>
        <v>0</v>
      </c>
      <c r="CC1098" s="16">
        <f>CB1098/AS1098</f>
        <v>0</v>
      </c>
      <c r="CD1098" s="77">
        <f>IF(CE1098&gt;0,1,0)</f>
        <v>0</v>
      </c>
      <c r="CE1098" s="16">
        <f>VLOOKUP($K1098,'[5]FECs - good data'!$C$1:$Z$574,21,FALSE)</f>
        <v>0</v>
      </c>
      <c r="CF1098" s="16">
        <f>CE1098/AS1098</f>
        <v>0</v>
      </c>
      <c r="CG1098" s="16">
        <f>IF(CH1098&gt;0,1,0)</f>
        <v>0</v>
      </c>
      <c r="CH1098" s="16">
        <f>VLOOKUP($K1098,'[5]FECs - good data'!$C$1:$Z$574,22,FALSE)</f>
        <v>0</v>
      </c>
      <c r="CI1098" s="16">
        <f>CH1098/AS1098</f>
        <v>0</v>
      </c>
      <c r="CJ1098" s="16">
        <f>IF(CK1098&gt;0,1,0)</f>
        <v>0</v>
      </c>
      <c r="CK1098" s="16">
        <f>VLOOKUP($K1098,'[5]FECs - good data'!$C$1:$Z$674,24,FALSE)</f>
        <v>0</v>
      </c>
      <c r="CL1098" s="16">
        <f>CK1098/AS1098</f>
        <v>0</v>
      </c>
      <c r="CS1098" s="16">
        <f>IF(CT1098&gt;0,1,0)</f>
        <v>0</v>
      </c>
      <c r="CT1098" s="16">
        <f>SUM(CW1098+CZ1098,DC1098)</f>
        <v>0</v>
      </c>
      <c r="CV1098" s="16">
        <f>SUM(CY1098,DB1098,DE1098)</f>
        <v>0</v>
      </c>
      <c r="CW1098" s="16">
        <f>IF(CX1098&gt;0,1,0)</f>
        <v>0</v>
      </c>
      <c r="CX1098" s="16">
        <f>VLOOKUP($K1098,'[5]FECs - good data'!$C$1:$Z$574,22,FALSE)</f>
        <v>0</v>
      </c>
      <c r="CY1098" s="16">
        <f>CX1098/AS1098</f>
        <v>0</v>
      </c>
      <c r="CZ1098" s="16">
        <f>IF(DA1098&gt;0,1,0)</f>
        <v>0</v>
      </c>
      <c r="DA1098" s="16">
        <f>VLOOKUP($K1098,'[5]FECs - good data'!$C$1:$Z$5982,23,FALSE)</f>
        <v>0</v>
      </c>
      <c r="DB1098" s="16">
        <f>DA1098/AS1098</f>
        <v>0</v>
      </c>
      <c r="DE1098" s="16">
        <f>DD1098/AS1098</f>
        <v>0</v>
      </c>
      <c r="DF1098" s="16">
        <f>VLOOKUP(K1098,'[3]RNA Seq summary tables'!$V$3:$V$99,1,FALSE)</f>
        <v>1854</v>
      </c>
      <c r="JR1098" s="27"/>
      <c r="JS1098" s="27"/>
      <c r="JT1098" s="27"/>
      <c r="JU1098" s="27"/>
      <c r="JV1098" s="27"/>
      <c r="JW1098" s="27"/>
      <c r="JX1098" s="27"/>
      <c r="JY1098" s="27"/>
      <c r="JZ1098" s="27"/>
      <c r="KA1098" s="27"/>
      <c r="KB1098" s="27"/>
    </row>
    <row r="1099" spans="2:288" ht="16" x14ac:dyDescent="0.2">
      <c r="B1099" s="16">
        <v>2017</v>
      </c>
      <c r="C1099" s="43">
        <v>42948</v>
      </c>
      <c r="D1099" s="20" t="str">
        <f>CONCATENATE(J1099,"-",C1099)</f>
        <v>1221-42948</v>
      </c>
      <c r="E1099" s="37" t="str">
        <f>CONCATENATE(T1099,"-",U1099,"-",C1099)</f>
        <v>HW2-G6-42948</v>
      </c>
      <c r="F1099" s="20" t="s">
        <v>106</v>
      </c>
      <c r="G1099" s="43" t="s">
        <v>107</v>
      </c>
      <c r="H1099" s="23"/>
      <c r="I1099" s="16">
        <v>0</v>
      </c>
      <c r="J1099" s="15">
        <v>1221</v>
      </c>
      <c r="K1099" s="15">
        <v>2040</v>
      </c>
      <c r="L1099" s="18">
        <v>0</v>
      </c>
      <c r="M1099" s="21">
        <f>VLOOKUP($K1099,'[4]blood tubes 2017'!$D$1:$L$647,8,FALSE)</f>
        <v>0</v>
      </c>
      <c r="N1099" s="15">
        <v>0</v>
      </c>
      <c r="O1099" s="15" t="s">
        <v>214</v>
      </c>
      <c r="P1099" s="23" t="s">
        <v>110</v>
      </c>
      <c r="Q1099" s="16">
        <v>1</v>
      </c>
      <c r="R1099" s="23">
        <v>21</v>
      </c>
      <c r="S1099" s="23"/>
      <c r="T1099" s="23" t="s">
        <v>129</v>
      </c>
      <c r="U1099" s="23" t="s">
        <v>218</v>
      </c>
      <c r="V1099" s="23" t="s">
        <v>142</v>
      </c>
      <c r="W1099" s="16">
        <f>AI1099/AG1099</f>
        <v>1.0249999999999999</v>
      </c>
      <c r="X1099" s="23"/>
      <c r="Y1099" s="23" t="s">
        <v>110</v>
      </c>
      <c r="Z1099" s="23">
        <v>3</v>
      </c>
      <c r="AA1099" s="23"/>
      <c r="AB1099" s="23"/>
      <c r="AC1099" s="23"/>
      <c r="AD1099" s="23"/>
      <c r="AE1099" s="23" t="s">
        <v>123</v>
      </c>
      <c r="AF1099" s="23" t="s">
        <v>123</v>
      </c>
      <c r="AG1099" s="23">
        <f>AH1099-AI1099</f>
        <v>80</v>
      </c>
      <c r="AH1099" s="23">
        <v>162</v>
      </c>
      <c r="AI1099" s="23">
        <v>82</v>
      </c>
      <c r="AJ1099" s="23"/>
      <c r="AK1099" s="23">
        <v>15</v>
      </c>
      <c r="AL1099" s="23">
        <v>0</v>
      </c>
      <c r="AM1099" s="23">
        <v>0</v>
      </c>
      <c r="AN1099" s="23">
        <v>0</v>
      </c>
      <c r="AO1099" s="23">
        <v>0</v>
      </c>
      <c r="AP1099" s="23">
        <f>SUM(AL1099:AN1099)</f>
        <v>0</v>
      </c>
      <c r="AQ1099" s="23">
        <v>1.712</v>
      </c>
      <c r="AR1099" s="23">
        <f>AP1099-1.472</f>
        <v>-1.472</v>
      </c>
      <c r="AS1099" s="23">
        <f>AQ1099-1.472</f>
        <v>0.24</v>
      </c>
      <c r="AT1099" s="23" t="str">
        <f>VLOOKUP(E1099,[2]Current!$A$1:$W$435,7,FALSE)</f>
        <v>TE</v>
      </c>
      <c r="AU1099" s="16" t="s">
        <v>1288</v>
      </c>
      <c r="AV1099" s="23">
        <v>1</v>
      </c>
      <c r="AW1099" s="128">
        <f>IF(AX1099&gt;0,1,0)</f>
        <v>0</v>
      </c>
      <c r="AX1099" s="128">
        <f>SUM(BA1099,BM1099,CU1099)</f>
        <v>0</v>
      </c>
      <c r="AY1099" s="128">
        <f>SUM(BB1099,BN1099,CV1099)</f>
        <v>0</v>
      </c>
      <c r="AZ1099" s="128">
        <f>IF(BA1099&gt;0,1,0)</f>
        <v>0</v>
      </c>
      <c r="BA1099" s="128">
        <f>SUM(BC1099+BF1099+BI1099)</f>
        <v>0</v>
      </c>
      <c r="BB1099" s="128">
        <f>SUM(BE1099,BH1099,BK1099)</f>
        <v>0</v>
      </c>
      <c r="BC1099" s="130">
        <f>IF(BD1099&gt;0,1,0)</f>
        <v>0</v>
      </c>
      <c r="BD1099" s="128">
        <f>VLOOKUP($E1099,[2]Current!$A:$AC,26,FALSE)</f>
        <v>0</v>
      </c>
      <c r="BE1099" s="128">
        <f>BD1099/$AS1099</f>
        <v>0</v>
      </c>
      <c r="BF1099" s="130">
        <f>IF(BG1099&gt;0,1,0)</f>
        <v>0</v>
      </c>
      <c r="BG1099" s="137">
        <f>VLOOKUP($E1099,[2]Current!$A:$AC,27,FALSE)</f>
        <v>0</v>
      </c>
      <c r="BH1099" s="128">
        <f>BG1099/$AS1099</f>
        <v>0</v>
      </c>
      <c r="BI1099" s="130">
        <f>IF(BJ1099&gt;0,1,0)</f>
        <v>0</v>
      </c>
      <c r="BJ1099" s="128">
        <f>VLOOKUP($E1099,[2]Current!$A:$AC,28,FALSE)</f>
        <v>0</v>
      </c>
      <c r="BK1099" s="128">
        <f>BJ1099/$AS1099</f>
        <v>0</v>
      </c>
      <c r="BL1099" s="128">
        <f>IF(BM1099&gt;0,1,0)</f>
        <v>0</v>
      </c>
      <c r="BM1099" s="128">
        <f>SUM(BR1099,BU1099,BX1099,CA1099,CD1099)</f>
        <v>0</v>
      </c>
      <c r="BN1099" s="131">
        <f>SUM(BT1099,BW1099,BZ1099,CC1099,CF1099)</f>
        <v>0</v>
      </c>
      <c r="BO1099" s="128">
        <f>IF(BP1099&gt;0,1,0)</f>
        <v>0</v>
      </c>
      <c r="BP1099" s="128">
        <f>BM1099+CJ1099</f>
        <v>0</v>
      </c>
      <c r="BQ1099" s="128">
        <f>BN1099+CL1099</f>
        <v>0</v>
      </c>
      <c r="BR1099" s="130">
        <f>IF(BS1099&gt;0,1,0)</f>
        <v>0</v>
      </c>
      <c r="BS1099" s="128">
        <f>VLOOKUP($E1099,[2]Current!$A:$AC,12,FALSE)</f>
        <v>0</v>
      </c>
      <c r="BT1099" s="137">
        <f>BS1099/$AS1099</f>
        <v>0</v>
      </c>
      <c r="BU1099" s="130">
        <f>IF(BV1099&gt;0,1,0)</f>
        <v>0</v>
      </c>
      <c r="BV1099" s="128">
        <f>VLOOKUP($E1099,[2]Current!$A:$AC,13,FALSE)</f>
        <v>0</v>
      </c>
      <c r="BW1099" s="128">
        <f>BV1099/$AS1099</f>
        <v>0</v>
      </c>
      <c r="BX1099" s="130">
        <f>IF(BY1099&gt;0,1,0)</f>
        <v>0</v>
      </c>
      <c r="BY1099" s="128">
        <f>VLOOKUP($E1099,[2]Current!$A:$AC,14,FALSE)</f>
        <v>0</v>
      </c>
      <c r="BZ1099" s="128">
        <f>BY1099/$AS1099</f>
        <v>0</v>
      </c>
      <c r="CA1099" s="130">
        <f>IF(CB1099&gt;0,1,0)</f>
        <v>0</v>
      </c>
      <c r="CB1099" s="128">
        <f>VLOOKUP($E1099,[2]Current!$A:$AC,15,FALSE)</f>
        <v>0</v>
      </c>
      <c r="CC1099" s="128">
        <f>CB1099/$AS1099</f>
        <v>0</v>
      </c>
      <c r="CD1099" s="174">
        <f>IF(CE1099&gt;0,1,0)</f>
        <v>0</v>
      </c>
      <c r="CE1099" s="128">
        <f>VLOOKUP($E1099,[2]Current!$A:$AC,16,FALSE)</f>
        <v>0</v>
      </c>
      <c r="CF1099" s="128">
        <f>CE1099/$AS1099</f>
        <v>0</v>
      </c>
      <c r="CG1099" s="18"/>
      <c r="CH1099" s="18"/>
      <c r="CI1099" s="18"/>
      <c r="CJ1099" s="130">
        <f>IF(CK1099&gt;0,1,0)</f>
        <v>0</v>
      </c>
      <c r="CK1099" s="128">
        <f>VLOOKUP($E1099,[2]Current!$A:$AC,18,FALSE)</f>
        <v>0</v>
      </c>
      <c r="CL1099" s="128">
        <f>CK1099/$AS1099</f>
        <v>0</v>
      </c>
      <c r="CS1099" s="130">
        <f>IF(CU1099&gt;0,1,0)</f>
        <v>0</v>
      </c>
      <c r="CU1099" s="128">
        <f>VLOOKUP($E1099,[2]Current!$A:$AC,17,FALSE)</f>
        <v>0</v>
      </c>
      <c r="CV1099" s="128">
        <f>CU1099/$AS1099</f>
        <v>0</v>
      </c>
      <c r="CW1099" s="18"/>
      <c r="CX1099" s="18"/>
      <c r="CY1099" s="18"/>
      <c r="DF1099" s="16" t="e">
        <f>VLOOKUP(K1099,'[3]RNA Seq summary tables'!$V$3:$V$99,1,FALSE)</f>
        <v>#N/A</v>
      </c>
      <c r="DI1099" s="23"/>
      <c r="DJ1099" s="23"/>
      <c r="DK1099" s="23"/>
      <c r="DL1099" s="23"/>
      <c r="DM1099" s="23"/>
      <c r="DN1099" s="23"/>
      <c r="DO1099" s="23"/>
      <c r="DP1099" s="23"/>
      <c r="DQ1099" s="23"/>
      <c r="DR1099" s="23"/>
      <c r="DS1099" s="23"/>
      <c r="DT1099" s="25"/>
      <c r="DU1099" s="25"/>
      <c r="DV1099" s="25"/>
      <c r="DW1099" s="25"/>
      <c r="DX1099" s="25"/>
      <c r="DY1099" s="25"/>
      <c r="DZ1099" s="25"/>
      <c r="EA1099" s="25"/>
      <c r="EB1099" s="25"/>
      <c r="EC1099" s="25"/>
      <c r="ED1099" s="25"/>
      <c r="EE1099" s="25"/>
      <c r="EF1099" s="25"/>
      <c r="EG1099" s="25"/>
      <c r="EH1099" s="25"/>
      <c r="EI1099" s="25"/>
      <c r="EJ1099" s="25"/>
      <c r="EK1099" s="25"/>
      <c r="EL1099" s="25"/>
      <c r="EM1099" s="25"/>
      <c r="EN1099" s="25"/>
      <c r="EO1099" s="25"/>
      <c r="EP1099" s="25"/>
      <c r="EQ1099" s="25"/>
      <c r="ER1099" s="25"/>
      <c r="ES1099" s="25"/>
      <c r="ET1099" s="25"/>
      <c r="EU1099" s="25"/>
      <c r="EV1099" s="25"/>
      <c r="EW1099" s="25"/>
      <c r="EX1099" s="25"/>
      <c r="EY1099" s="25"/>
      <c r="EZ1099" s="25"/>
      <c r="FA1099" s="25"/>
      <c r="FB1099" s="25"/>
      <c r="FC1099" s="25"/>
      <c r="FD1099" s="25"/>
      <c r="FE1099" s="25"/>
      <c r="FF1099" s="25"/>
      <c r="FG1099" s="25"/>
      <c r="FH1099" s="25"/>
      <c r="FI1099" s="25"/>
      <c r="FJ1099" s="25"/>
      <c r="FK1099" s="25"/>
      <c r="FL1099" s="25"/>
      <c r="FM1099" s="25"/>
      <c r="FN1099" s="25"/>
      <c r="FO1099" s="25"/>
      <c r="FP1099" s="25"/>
      <c r="FQ1099" s="25"/>
      <c r="FR1099" s="25"/>
      <c r="FS1099" s="25"/>
      <c r="FT1099" s="25"/>
      <c r="FU1099" s="25"/>
      <c r="FV1099" s="25"/>
      <c r="FW1099" s="25"/>
      <c r="FX1099" s="25"/>
      <c r="FY1099" s="25"/>
      <c r="FZ1099" s="25"/>
      <c r="GA1099" s="25"/>
      <c r="GB1099" s="25"/>
      <c r="GC1099" s="25"/>
      <c r="GD1099" s="25"/>
      <c r="GE1099" s="25"/>
      <c r="GF1099" s="25"/>
      <c r="GG1099" s="25"/>
      <c r="GH1099" s="25"/>
      <c r="GI1099" s="25"/>
      <c r="GJ1099" s="25"/>
      <c r="GK1099" s="25"/>
      <c r="GL1099" s="25"/>
      <c r="GM1099" s="25"/>
      <c r="GN1099" s="25"/>
      <c r="GO1099" s="25"/>
      <c r="GP1099" s="25"/>
      <c r="GQ1099" s="25"/>
      <c r="GR1099" s="25"/>
      <c r="GS1099" s="25"/>
      <c r="GT1099" s="25"/>
      <c r="GU1099" s="25"/>
      <c r="GV1099" s="25"/>
      <c r="GW1099" s="25"/>
      <c r="GX1099" s="25"/>
      <c r="GY1099" s="25"/>
      <c r="GZ1099" s="25"/>
      <c r="HA1099" s="25"/>
      <c r="HB1099" s="25"/>
      <c r="HC1099" s="25"/>
      <c r="HD1099" s="25"/>
      <c r="HE1099" s="25"/>
      <c r="HF1099" s="25"/>
      <c r="HG1099" s="25"/>
      <c r="HH1099" s="25"/>
      <c r="HI1099" s="25"/>
      <c r="HJ1099" s="25"/>
      <c r="HK1099" s="25"/>
      <c r="HL1099" s="25"/>
      <c r="HM1099" s="25"/>
      <c r="HN1099" s="25"/>
      <c r="HO1099" s="25"/>
      <c r="HP1099" s="25"/>
      <c r="HQ1099" s="25"/>
      <c r="HR1099" s="25"/>
      <c r="HS1099" s="25"/>
      <c r="HT1099" s="25"/>
      <c r="HU1099" s="25"/>
      <c r="HV1099" s="25"/>
      <c r="HW1099" s="25"/>
      <c r="HX1099" s="25"/>
      <c r="HY1099" s="25"/>
      <c r="HZ1099" s="25"/>
      <c r="IA1099" s="25"/>
      <c r="IB1099" s="25"/>
      <c r="IC1099" s="25"/>
      <c r="ID1099" s="25"/>
      <c r="IE1099" s="25"/>
      <c r="IF1099" s="25"/>
      <c r="IG1099" s="25"/>
      <c r="IH1099" s="25"/>
      <c r="II1099" s="25"/>
      <c r="IJ1099" s="25"/>
      <c r="IK1099" s="25"/>
      <c r="IL1099" s="25"/>
      <c r="IM1099" s="25"/>
      <c r="IN1099" s="25"/>
      <c r="IO1099" s="25"/>
      <c r="IP1099" s="25"/>
      <c r="IQ1099" s="25"/>
      <c r="IR1099" s="25"/>
      <c r="IS1099" s="25"/>
      <c r="IT1099" s="25"/>
      <c r="IU1099" s="25"/>
      <c r="IV1099" s="25"/>
      <c r="IW1099" s="25"/>
      <c r="IX1099" s="25"/>
      <c r="IY1099" s="25"/>
      <c r="IZ1099" s="25"/>
      <c r="JA1099" s="25"/>
      <c r="JB1099" s="25"/>
      <c r="JC1099" s="25"/>
      <c r="JD1099" s="25"/>
      <c r="JE1099" s="25"/>
      <c r="JF1099" s="25"/>
      <c r="JG1099" s="25"/>
      <c r="JH1099" s="25"/>
      <c r="JI1099" s="25"/>
      <c r="JJ1099" s="25"/>
      <c r="JK1099" s="25"/>
      <c r="JL1099" s="25"/>
      <c r="JM1099" s="25"/>
      <c r="JN1099" s="25"/>
      <c r="JO1099" s="23"/>
      <c r="JP1099" s="23"/>
      <c r="JQ1099" s="23"/>
      <c r="JR1099" s="23"/>
      <c r="JS1099" s="23"/>
      <c r="JT1099" s="23"/>
      <c r="JU1099" s="23"/>
      <c r="JV1099" s="23"/>
      <c r="JW1099" s="23"/>
      <c r="JX1099" s="23"/>
      <c r="JY1099" s="23"/>
      <c r="JZ1099" s="23"/>
      <c r="KA1099" s="23"/>
      <c r="KB1099" s="23"/>
    </row>
    <row r="1100" spans="2:288" x14ac:dyDescent="0.2">
      <c r="B1100" s="16">
        <v>2017</v>
      </c>
      <c r="C1100" s="20">
        <v>42927</v>
      </c>
      <c r="D1100" s="20" t="str">
        <f>CONCATENATE(J1100,"-",C1100)</f>
        <v>1223-42927</v>
      </c>
      <c r="E1100" s="20" t="str">
        <f>CONCATENATE(T1100,"-",U1100,"-",C1100)</f>
        <v>PO1-G8-42927</v>
      </c>
      <c r="F1100" s="20" t="s">
        <v>106</v>
      </c>
      <c r="G1100" s="20" t="s">
        <v>107</v>
      </c>
      <c r="I1100" s="16">
        <v>0</v>
      </c>
      <c r="J1100" s="21">
        <v>1223</v>
      </c>
      <c r="K1100" s="21">
        <v>1862</v>
      </c>
      <c r="L1100" s="18">
        <v>0</v>
      </c>
      <c r="M1100" s="21">
        <f>VLOOKUP($K1100,'[4]blood tubes 2017'!$D$1:$L$647,8,FALSE)</f>
        <v>0</v>
      </c>
      <c r="N1100" s="15">
        <v>0</v>
      </c>
      <c r="O1100" s="15" t="s">
        <v>214</v>
      </c>
      <c r="P1100" s="16" t="s">
        <v>110</v>
      </c>
      <c r="Q1100" s="16">
        <v>0</v>
      </c>
      <c r="R1100" s="16" t="s">
        <v>111</v>
      </c>
      <c r="T1100" s="16" t="s">
        <v>112</v>
      </c>
      <c r="U1100" s="16" t="s">
        <v>216</v>
      </c>
      <c r="V1100" s="16" t="s">
        <v>114</v>
      </c>
      <c r="W1100" s="16">
        <f>AI1100/AG1100</f>
        <v>0.90909090909090906</v>
      </c>
      <c r="X1100" s="16" t="s">
        <v>115</v>
      </c>
      <c r="Y1100" s="16" t="s">
        <v>110</v>
      </c>
      <c r="Z1100" s="16">
        <v>3</v>
      </c>
      <c r="AE1100" s="16" t="s">
        <v>123</v>
      </c>
      <c r="AF1100" s="16" t="s">
        <v>123</v>
      </c>
      <c r="AG1100" s="16">
        <f>AH1100-AI1100</f>
        <v>88</v>
      </c>
      <c r="AH1100" s="16">
        <v>168</v>
      </c>
      <c r="AI1100" s="16">
        <v>80</v>
      </c>
      <c r="AK1100" s="16">
        <v>20.5</v>
      </c>
      <c r="AL1100" s="16">
        <v>0</v>
      </c>
      <c r="AM1100" s="16">
        <v>0</v>
      </c>
      <c r="AN1100" s="16">
        <v>0</v>
      </c>
      <c r="AO1100" s="16">
        <v>0</v>
      </c>
      <c r="AP1100" s="16">
        <f>SUM(AL1100:AN1100)</f>
        <v>0</v>
      </c>
      <c r="AQ1100" s="16">
        <v>1.657</v>
      </c>
      <c r="AR1100" s="16">
        <f>AP1100-1.472</f>
        <v>-1.472</v>
      </c>
      <c r="AS1100" s="16">
        <f>AQ1100-1.472</f>
        <v>0.18500000000000005</v>
      </c>
      <c r="AT1100" s="16" t="str">
        <f>VLOOKUP(K1100,'[5]FECs - good data'!$C$1:$P$575,13,FALSE)</f>
        <v>LV</v>
      </c>
      <c r="AU1100" s="18" t="s">
        <v>1293</v>
      </c>
      <c r="AV1100" s="16">
        <v>0</v>
      </c>
      <c r="AW1100" s="18">
        <f>IF(AX1100&gt;0,1,0)</f>
        <v>0</v>
      </c>
      <c r="AX1100" s="18">
        <f>SUM(BA1100,BM1100,CT1100)</f>
        <v>0</v>
      </c>
      <c r="AY1100" s="18">
        <f>SUM(BB1100,BN1100,CV1100)</f>
        <v>0</v>
      </c>
      <c r="AZ1100" s="18">
        <f>IF(BA1100&gt;0,1,0)</f>
        <v>0</v>
      </c>
      <c r="BA1100" s="18">
        <f>SUM(BC1100,BF1100,BI1100)</f>
        <v>0</v>
      </c>
      <c r="BB1100" s="18">
        <f>SUM(BE1100,BH1100,BK1100)</f>
        <v>0</v>
      </c>
      <c r="BC1100" s="18">
        <f>IF(BD1100&gt;0,1,0)</f>
        <v>0</v>
      </c>
      <c r="BD1100" s="18">
        <f>VLOOKUP($K1100,'[5]FECs - good data'!$C$1:$Z$574,14,FALSE)</f>
        <v>0</v>
      </c>
      <c r="BE1100" s="16">
        <f>BD1100/AS1100</f>
        <v>0</v>
      </c>
      <c r="BF1100" s="16">
        <f>IF(BG1100&gt;0,1,0)</f>
        <v>0</v>
      </c>
      <c r="BG1100" s="77">
        <f>VLOOKUP($K1100,'[5]FECs - good data'!$C$1:$Z$574,15,FALSE)</f>
        <v>0</v>
      </c>
      <c r="BH1100" s="16">
        <f>BG1100/AS1100</f>
        <v>0</v>
      </c>
      <c r="BI1100" s="16">
        <f>IF(BJ1100&gt;0,1,0)</f>
        <v>0</v>
      </c>
      <c r="BJ1100" s="16">
        <f>VLOOKUP($K1100,'[5]FECs - good data'!$C$1:$Z$574,16,FALSE)</f>
        <v>0</v>
      </c>
      <c r="BK1100" s="16">
        <f>BJ1100/AS1100</f>
        <v>0</v>
      </c>
      <c r="BL1100" s="16">
        <f>IF(BM1100&gt;0,1,0)</f>
        <v>0</v>
      </c>
      <c r="BM1100" s="16">
        <f>SUM(BR1100,BU1100,BX1100,CA1100,CD1100,CG1100,CJ1100,CM1100,CP1100)</f>
        <v>0</v>
      </c>
      <c r="BN1100" s="16">
        <f>SUM(BW1100,BZ1100,CC1100,CF1100,CI1100,CL1100,CO1100,CR1100,BT1100)</f>
        <v>0</v>
      </c>
      <c r="BO1100" s="16">
        <f>IF(BP1100&gt;0,1,0)</f>
        <v>0</v>
      </c>
      <c r="BP1100" s="16">
        <f>SUM(BU1100,BX1100,CA1100,CD1100,BR1100)</f>
        <v>0</v>
      </c>
      <c r="BQ1100" s="16">
        <f>SUM(BZ1100,CC1100,CF1100,BT1100,BW1100)</f>
        <v>0</v>
      </c>
      <c r="BR1100" s="16">
        <f>IF(BS1100&gt;0,1,0)</f>
        <v>0</v>
      </c>
      <c r="BS1100" s="16">
        <f>VLOOKUP($K1100,'[5]FECs - good data'!$C$1:$Z$574,17,FALSE)</f>
        <v>0</v>
      </c>
      <c r="BT1100" s="77">
        <f>BS1100/AS1100</f>
        <v>0</v>
      </c>
      <c r="BU1100" s="16">
        <f>IF(BV1100&gt;0,1,0)</f>
        <v>0</v>
      </c>
      <c r="BV1100" s="16">
        <f>VLOOKUP($K1100,'[5]FECs - good data'!$C$1:$Z$574,18,FALSE)</f>
        <v>0</v>
      </c>
      <c r="BW1100" s="16">
        <f>BV1100/AS1100</f>
        <v>0</v>
      </c>
      <c r="BX1100" s="16">
        <f>IF(BY1100&gt;0,1,0)</f>
        <v>0</v>
      </c>
      <c r="BY1100" s="16">
        <f>VLOOKUP($K1100,'[5]FECs - good data'!$C$1:$Z$574,19,FALSE)</f>
        <v>0</v>
      </c>
      <c r="BZ1100" s="16">
        <f>BY1100/AS1100</f>
        <v>0</v>
      </c>
      <c r="CA1100" s="16">
        <f>IF(CB1100&gt;0,1,0)</f>
        <v>0</v>
      </c>
      <c r="CB1100" s="16">
        <f>VLOOKUP($K1100,'[5]FECs - good data'!$C$1:$Z$574,20,FALSE)</f>
        <v>0</v>
      </c>
      <c r="CC1100" s="16">
        <f>CB1100/AS1100</f>
        <v>0</v>
      </c>
      <c r="CD1100" s="77">
        <f>IF(CE1100&gt;0,1,0)</f>
        <v>0</v>
      </c>
      <c r="CE1100" s="16">
        <f>VLOOKUP($K1100,'[5]FECs - good data'!$C$1:$Z$574,21,FALSE)</f>
        <v>0</v>
      </c>
      <c r="CF1100" s="16">
        <f>CE1100/AS1100</f>
        <v>0</v>
      </c>
      <c r="CG1100" s="16">
        <f>IF(CH1100&gt;0,1,0)</f>
        <v>0</v>
      </c>
      <c r="CH1100" s="16">
        <f>VLOOKUP($K1100,'[5]FECs - good data'!$C$1:$Z$574,22,FALSE)</f>
        <v>0</v>
      </c>
      <c r="CI1100" s="16">
        <f>CH1100/AS1100</f>
        <v>0</v>
      </c>
      <c r="CJ1100" s="16">
        <f>IF(CK1100&gt;0,1,0)</f>
        <v>0</v>
      </c>
      <c r="CK1100" s="16">
        <f>VLOOKUP($K1100,'[5]FECs - good data'!$C$1:$Z$674,24,FALSE)</f>
        <v>0</v>
      </c>
      <c r="CL1100" s="16">
        <f>CK1100/AS1100</f>
        <v>0</v>
      </c>
      <c r="CS1100" s="16">
        <f>IF(CT1100&gt;0,1,0)</f>
        <v>0</v>
      </c>
      <c r="CT1100" s="16">
        <f>SUM(CW1100+CZ1100,DC1100)</f>
        <v>0</v>
      </c>
      <c r="CV1100" s="16">
        <f>SUM(CY1100,DB1100,DE1100)</f>
        <v>0</v>
      </c>
      <c r="CW1100" s="16">
        <f>IF(CX1100&gt;0,1,0)</f>
        <v>0</v>
      </c>
      <c r="CX1100" s="16">
        <f>VLOOKUP($K1100,'[5]FECs - good data'!$C$1:$Z$574,22,FALSE)</f>
        <v>0</v>
      </c>
      <c r="CY1100" s="16">
        <f>CX1100/AS1100</f>
        <v>0</v>
      </c>
      <c r="CZ1100" s="16">
        <f>IF(DA1100&gt;0,1,0)</f>
        <v>0</v>
      </c>
      <c r="DA1100" s="16">
        <f>VLOOKUP($K1100,'[5]FECs - good data'!$C$1:$Z$5982,23,FALSE)</f>
        <v>0</v>
      </c>
      <c r="DB1100" s="16">
        <f>DA1100/AS1100</f>
        <v>0</v>
      </c>
      <c r="DC1100" s="16">
        <f>IF(DD1100&gt;0,1,0)</f>
        <v>0</v>
      </c>
      <c r="DD1100" s="16">
        <f>VLOOKUP($K1100,'[5]FECs - good data'!$C$1:$Z$574,23,FALSE)</f>
        <v>0</v>
      </c>
      <c r="DE1100" s="16">
        <f>DD1100/AS1100</f>
        <v>0</v>
      </c>
      <c r="DF1100" s="16" t="e">
        <f>VLOOKUP(K1100,'[3]RNA Seq summary tables'!$V$3:$V$99,1,FALSE)</f>
        <v>#N/A</v>
      </c>
      <c r="JR1100" s="27"/>
      <c r="JS1100" s="27"/>
      <c r="JT1100" s="27"/>
      <c r="JU1100" s="27"/>
      <c r="JV1100" s="27"/>
      <c r="JW1100" s="27"/>
      <c r="JX1100" s="27"/>
      <c r="JY1100" s="27"/>
      <c r="JZ1100" s="27"/>
      <c r="KA1100" s="27"/>
      <c r="KB1100" s="27"/>
    </row>
    <row r="1101" spans="2:288" ht="16" x14ac:dyDescent="0.2">
      <c r="B1101" s="16">
        <v>2018</v>
      </c>
      <c r="C1101" s="124">
        <v>43284</v>
      </c>
      <c r="D1101" t="s">
        <v>903</v>
      </c>
      <c r="E1101" s="37" t="str">
        <f>CONCATENATE(T1101,"-",U1101,"-",C1101)</f>
        <v>PO1-D8-43284</v>
      </c>
      <c r="F1101" s="16" t="s">
        <v>227</v>
      </c>
      <c r="G1101" s="126" t="s">
        <v>107</v>
      </c>
      <c r="H1101" s="126"/>
      <c r="J1101" s="126">
        <v>1223</v>
      </c>
      <c r="K1101" s="126">
        <v>2546</v>
      </c>
      <c r="O1101" s="126" t="s">
        <v>214</v>
      </c>
      <c r="T1101" s="126" t="s">
        <v>112</v>
      </c>
      <c r="U1101" s="126" t="s">
        <v>178</v>
      </c>
      <c r="V1101" s="136" t="s">
        <v>114</v>
      </c>
      <c r="X1101" s="126" t="s">
        <v>115</v>
      </c>
      <c r="Y1101" s="126" t="s">
        <v>110</v>
      </c>
      <c r="Z1101" s="126">
        <v>3</v>
      </c>
      <c r="AA1101" s="126"/>
      <c r="AB1101" s="126"/>
      <c r="AC1101" s="126"/>
      <c r="AD1101" s="126"/>
      <c r="AE1101" s="126" t="s">
        <v>116</v>
      </c>
      <c r="AG1101" s="16">
        <f>AH1101-AI1101</f>
        <v>87</v>
      </c>
      <c r="AH1101" s="126">
        <v>172</v>
      </c>
      <c r="AI1101" s="126">
        <v>85</v>
      </c>
      <c r="AK1101" s="126">
        <v>20.5</v>
      </c>
      <c r="AL1101" s="126">
        <v>0</v>
      </c>
      <c r="AM1101" s="126">
        <v>1</v>
      </c>
      <c r="AN1101" s="126">
        <v>0</v>
      </c>
      <c r="AO1101" s="16">
        <f>IF(SUM(AL1101:AN1101)&gt;0,1,0)</f>
        <v>1</v>
      </c>
      <c r="AP1101" s="18">
        <f>SUM(AL1101:AN1101)</f>
        <v>1</v>
      </c>
      <c r="AR1101" s="16">
        <v>0.18700000000000006</v>
      </c>
      <c r="AS1101" s="16">
        <f>VLOOKUP(E1101,'[1]Feces weights'!$D$1:$H$459,5,FALSE)</f>
        <v>0.18700000000000006</v>
      </c>
      <c r="AT1101" s="16" t="str">
        <f>VLOOKUP(E1101,[2]Current!$A$1:$W$435,7,FALSE)</f>
        <v>JB</v>
      </c>
      <c r="AU1101" s="16" t="s">
        <v>1288</v>
      </c>
      <c r="AW1101" s="128">
        <f>IF(AX1101&gt;0,1,0)</f>
        <v>1</v>
      </c>
      <c r="AX1101" s="128">
        <f>SUM(BA1101,BM1101,CU1101)</f>
        <v>1</v>
      </c>
      <c r="AY1101" s="128">
        <f>SUM(BB1101,BN1101,CV1101)</f>
        <v>770.0534759358286</v>
      </c>
      <c r="AZ1101" s="128">
        <f>IF(BA1101&gt;0,1,0)</f>
        <v>1</v>
      </c>
      <c r="BA1101" s="128">
        <f>SUM(BC1101+BF1101+BI1101)</f>
        <v>1</v>
      </c>
      <c r="BB1101" s="128">
        <f>SUM(BE1101,BH1101,BK1101)</f>
        <v>770.0534759358286</v>
      </c>
      <c r="BC1101" s="130">
        <f>IF(BD1101&gt;0,1,0)</f>
        <v>0</v>
      </c>
      <c r="BD1101" s="128">
        <f>VLOOKUP($E1101,[2]Current!$A:$AC,26,FALSE)</f>
        <v>0</v>
      </c>
      <c r="BE1101" s="128">
        <f>BD1101/$AS1101</f>
        <v>0</v>
      </c>
      <c r="BF1101" s="130">
        <f>IF(BG1101&gt;0,1,0)</f>
        <v>1</v>
      </c>
      <c r="BG1101" s="137">
        <f>VLOOKUP($E1101,[2]Current!$A:$AC,27,FALSE)</f>
        <v>144</v>
      </c>
      <c r="BH1101" s="128">
        <f>BG1101/$AS1101</f>
        <v>770.0534759358286</v>
      </c>
      <c r="BI1101" s="130">
        <f>IF(BJ1101&gt;0,1,0)</f>
        <v>0</v>
      </c>
      <c r="BJ1101" s="128">
        <f>VLOOKUP($E1101,[2]Current!$A:$AC,28,FALSE)</f>
        <v>0</v>
      </c>
      <c r="BK1101" s="128">
        <f>BJ1101/$AS1101</f>
        <v>0</v>
      </c>
      <c r="BL1101" s="128">
        <f>IF(BM1101&gt;0,1,0)</f>
        <v>0</v>
      </c>
      <c r="BM1101" s="128">
        <f>SUM(BR1101,BU1101,BX1101,CA1101,CD1101)</f>
        <v>0</v>
      </c>
      <c r="BN1101" s="131">
        <f>SUM(BT1101,BW1101,BZ1101,CC1101,CF1101)</f>
        <v>0</v>
      </c>
      <c r="BO1101" s="128">
        <f>IF(BP1101&gt;0,1,0)</f>
        <v>0</v>
      </c>
      <c r="BP1101" s="128">
        <f>BM1101+CJ1101</f>
        <v>0</v>
      </c>
      <c r="BQ1101" s="128">
        <f>BN1101+CL1101</f>
        <v>0</v>
      </c>
      <c r="BR1101" s="130">
        <f>IF(BS1101&gt;0,1,0)</f>
        <v>0</v>
      </c>
      <c r="BS1101" s="128">
        <f>VLOOKUP($E1101,[2]Current!$A:$AC,12,FALSE)</f>
        <v>0</v>
      </c>
      <c r="BT1101" s="137">
        <f>BS1101/$AS1101</f>
        <v>0</v>
      </c>
      <c r="BU1101" s="130">
        <f>IF(BV1101&gt;0,1,0)</f>
        <v>0</v>
      </c>
      <c r="BV1101" s="128">
        <f>VLOOKUP($E1101,[2]Current!$A:$AC,13,FALSE)</f>
        <v>0</v>
      </c>
      <c r="BW1101" s="128">
        <f>BV1101/$AS1101</f>
        <v>0</v>
      </c>
      <c r="BX1101" s="130">
        <f>IF(BY1101&gt;0,1,0)</f>
        <v>0</v>
      </c>
      <c r="BY1101" s="128">
        <f>VLOOKUP($E1101,[2]Current!$A:$AC,14,FALSE)</f>
        <v>0</v>
      </c>
      <c r="BZ1101" s="128">
        <f>BY1101/$AS1101</f>
        <v>0</v>
      </c>
      <c r="CA1101" s="130">
        <f>IF(CB1101&gt;0,1,0)</f>
        <v>0</v>
      </c>
      <c r="CB1101" s="128">
        <f>VLOOKUP($E1101,[2]Current!$A:$AC,15,FALSE)</f>
        <v>0</v>
      </c>
      <c r="CC1101" s="128">
        <f>CB1101/$AS1101</f>
        <v>0</v>
      </c>
      <c r="CD1101" s="174">
        <f>IF(CE1101&gt;0,1,0)</f>
        <v>0</v>
      </c>
      <c r="CE1101" s="128">
        <f>VLOOKUP($E1101,[2]Current!$A:$AC,16,FALSE)</f>
        <v>0</v>
      </c>
      <c r="CF1101" s="128">
        <f>CE1101/$AS1101</f>
        <v>0</v>
      </c>
      <c r="CG1101" s="18"/>
      <c r="CH1101" s="18"/>
      <c r="CI1101" s="18"/>
      <c r="CJ1101" s="130">
        <f>IF(CK1101&gt;0,1,0)</f>
        <v>0</v>
      </c>
      <c r="CK1101" s="128">
        <f>VLOOKUP($E1101,[2]Current!$A:$AC,18,FALSE)</f>
        <v>0</v>
      </c>
      <c r="CL1101" s="128">
        <f>CK1101/$AS1101</f>
        <v>0</v>
      </c>
      <c r="CS1101" s="130">
        <f>IF(CU1101&gt;0,1,0)</f>
        <v>0</v>
      </c>
      <c r="CU1101" s="128">
        <f>VLOOKUP($E1101,[2]Current!$A:$AC,17,FALSE)</f>
        <v>0</v>
      </c>
      <c r="CV1101" s="128">
        <f>CU1101/$AS1101</f>
        <v>0</v>
      </c>
      <c r="CW1101" s="18"/>
      <c r="CX1101" s="18"/>
      <c r="CY1101" s="18"/>
      <c r="DF1101" s="16" t="e">
        <f>VLOOKUP(K1101,'[3]RNA Seq summary tables'!$V$3:$V$99,1,FALSE)</f>
        <v>#N/A</v>
      </c>
      <c r="DG1101" s="126" t="s">
        <v>116</v>
      </c>
      <c r="JR1101" s="18"/>
      <c r="JS1101" s="18"/>
      <c r="JT1101" s="18"/>
      <c r="JU1101" s="18"/>
      <c r="JV1101" s="18"/>
      <c r="JW1101" s="18"/>
      <c r="JX1101" s="18"/>
      <c r="JY1101" s="18"/>
      <c r="JZ1101" s="18"/>
      <c r="KA1101" s="18"/>
      <c r="KB1101" s="18"/>
    </row>
    <row r="1102" spans="2:288" ht="16" x14ac:dyDescent="0.2">
      <c r="B1102" s="16">
        <v>2018</v>
      </c>
      <c r="C1102" s="124">
        <v>43297</v>
      </c>
      <c r="D1102" t="s">
        <v>1007</v>
      </c>
      <c r="E1102" s="142" t="str">
        <f>CONCATENATE(T1102,"-",U1102,"-",C1102)</f>
        <v>PO1-A8-43297</v>
      </c>
      <c r="F1102" s="16" t="s">
        <v>227</v>
      </c>
      <c r="G1102" s="126" t="s">
        <v>107</v>
      </c>
      <c r="H1102" s="126"/>
      <c r="J1102" s="126">
        <v>1223</v>
      </c>
      <c r="K1102" s="126">
        <v>2645</v>
      </c>
      <c r="O1102" s="126" t="s">
        <v>214</v>
      </c>
      <c r="T1102" s="126" t="s">
        <v>112</v>
      </c>
      <c r="U1102" s="126" t="s">
        <v>194</v>
      </c>
      <c r="V1102" s="126" t="s">
        <v>114</v>
      </c>
      <c r="X1102" s="126" t="s">
        <v>115</v>
      </c>
      <c r="Y1102" s="126" t="s">
        <v>110</v>
      </c>
      <c r="Z1102" s="126">
        <v>3</v>
      </c>
      <c r="AA1102" s="126"/>
      <c r="AB1102" s="126"/>
      <c r="AC1102" s="126"/>
      <c r="AD1102" s="126" t="s">
        <v>116</v>
      </c>
      <c r="AE1102" s="126" t="s">
        <v>116</v>
      </c>
      <c r="AG1102" s="40">
        <f>AH1102-AI1102</f>
        <v>86</v>
      </c>
      <c r="AH1102" s="126">
        <v>169</v>
      </c>
      <c r="AI1102" s="126">
        <v>83</v>
      </c>
      <c r="AK1102" s="126">
        <v>19</v>
      </c>
      <c r="AL1102" s="126">
        <v>0</v>
      </c>
      <c r="AM1102" s="126">
        <v>0</v>
      </c>
      <c r="AN1102" s="126">
        <v>0</v>
      </c>
      <c r="AO1102" s="16">
        <f>IF(SUM(AL1102:AN1102)&gt;0,1,0)</f>
        <v>0</v>
      </c>
      <c r="AP1102" s="18">
        <f>SUM(AL1102:AN1102)</f>
        <v>0</v>
      </c>
      <c r="AR1102" s="16">
        <v>0.22300000000000009</v>
      </c>
      <c r="AS1102" s="16">
        <f>VLOOKUP(E1102,'[1]Feces weights'!$D$1:$H$459,5,FALSE)</f>
        <v>0.22300000000000009</v>
      </c>
      <c r="AT1102" s="16" t="e">
        <f>VLOOKUP(E1102,[2]Current!$A$1:$W$435,7,FALSE)</f>
        <v>#N/A</v>
      </c>
      <c r="AU1102" s="16">
        <v>0</v>
      </c>
      <c r="BG1102" s="77"/>
      <c r="BN1102" s="126"/>
      <c r="BT1102" s="78"/>
      <c r="BU1102" s="18"/>
      <c r="BV1102" s="18"/>
      <c r="BW1102" s="25"/>
      <c r="BX1102" s="18"/>
      <c r="BY1102" s="18"/>
      <c r="BZ1102" s="25"/>
      <c r="CA1102" s="18"/>
      <c r="CB1102" s="18"/>
      <c r="CC1102" s="25"/>
      <c r="CD1102" s="78"/>
      <c r="CE1102" s="18"/>
      <c r="CF1102" s="25"/>
      <c r="CG1102" s="18"/>
      <c r="CH1102" s="18"/>
      <c r="CI1102" s="18"/>
      <c r="CJ1102" s="18"/>
      <c r="CK1102" s="18"/>
      <c r="CL1102" s="25"/>
      <c r="DF1102" s="16" t="e">
        <f>VLOOKUP(K1102,'[3]RNA Seq summary tables'!$V$3:$V$99,1,FALSE)</f>
        <v>#N/A</v>
      </c>
      <c r="DG1102" s="126" t="s">
        <v>116</v>
      </c>
    </row>
    <row r="1103" spans="2:288" ht="16" x14ac:dyDescent="0.2">
      <c r="B1103" s="16">
        <v>2018</v>
      </c>
      <c r="C1103" s="147">
        <v>43315</v>
      </c>
      <c r="D1103" t="s">
        <v>1251</v>
      </c>
      <c r="E1103" s="142" t="str">
        <f>CONCATENATE(T1103,"-",U1103,"-",C1103)</f>
        <v>PO1-C7-43315</v>
      </c>
      <c r="F1103" s="16" t="s">
        <v>227</v>
      </c>
      <c r="G1103" s="145" t="s">
        <v>107</v>
      </c>
      <c r="H1103" s="145"/>
      <c r="I1103" s="145"/>
      <c r="J1103" s="145">
        <v>1223</v>
      </c>
      <c r="K1103" s="145">
        <v>2750</v>
      </c>
      <c r="M1103" s="16"/>
      <c r="N1103" s="16"/>
      <c r="O1103" s="145" t="s">
        <v>214</v>
      </c>
      <c r="P1103" s="145"/>
      <c r="Q1103" s="145"/>
      <c r="R1103" s="145"/>
      <c r="S1103" s="145"/>
      <c r="T1103" s="145" t="s">
        <v>112</v>
      </c>
      <c r="U1103" s="145" t="s">
        <v>207</v>
      </c>
      <c r="V1103" s="145" t="s">
        <v>114</v>
      </c>
      <c r="W1103" s="145"/>
      <c r="X1103" s="145" t="s">
        <v>115</v>
      </c>
      <c r="Y1103" s="145" t="s">
        <v>110</v>
      </c>
      <c r="Z1103" s="145">
        <v>3</v>
      </c>
      <c r="AA1103" s="145"/>
      <c r="AB1103" s="145"/>
      <c r="AC1103" s="145"/>
      <c r="AD1103" s="145"/>
      <c r="AE1103" s="145" t="s">
        <v>116</v>
      </c>
      <c r="AF1103" s="145" t="s">
        <v>116</v>
      </c>
      <c r="AG1103" s="145">
        <f>AH1103-AI1103</f>
        <v>86</v>
      </c>
      <c r="AH1103" s="145">
        <v>169</v>
      </c>
      <c r="AI1103" s="145">
        <v>83</v>
      </c>
      <c r="AJ1103" s="145"/>
      <c r="AK1103" s="145">
        <v>22</v>
      </c>
      <c r="AL1103" s="145">
        <v>0</v>
      </c>
      <c r="AM1103" s="145">
        <v>0</v>
      </c>
      <c r="AN1103" s="145">
        <v>0</v>
      </c>
      <c r="AO1103" s="16">
        <f>IF(SUM(AL1103:AN1103)&gt;0, 1,0)</f>
        <v>0</v>
      </c>
      <c r="AP1103" s="16">
        <f>SUM(AL1103:AN1103)</f>
        <v>0</v>
      </c>
      <c r="AS1103" s="16">
        <f>VLOOKUP(E1103,'[1]Feces weights'!$D$1:$H$459,5,FALSE)</f>
        <v>0.44600000000000017</v>
      </c>
      <c r="AT1103" s="16" t="e">
        <f>VLOOKUP(E1103,[2]Current!$A$1:$W$435,7,FALSE)</f>
        <v>#N/A</v>
      </c>
      <c r="BG1103" s="77"/>
      <c r="BT1103" s="77"/>
      <c r="CD1103" s="77"/>
      <c r="DG1103" s="145" t="s">
        <v>116</v>
      </c>
      <c r="DT1103" s="145" t="s">
        <v>123</v>
      </c>
      <c r="DU1103" s="145"/>
      <c r="DX1103" s="145"/>
      <c r="DY1103" s="145"/>
      <c r="DZ1103" s="16"/>
      <c r="EA1103" s="16"/>
      <c r="EB1103" s="16"/>
      <c r="EC1103" s="16"/>
      <c r="ED1103" s="16"/>
      <c r="EE1103" s="16"/>
      <c r="EF1103" s="16"/>
      <c r="JO1103" s="18"/>
      <c r="JP1103" s="18"/>
      <c r="JQ1103" s="18"/>
      <c r="JR1103" s="18"/>
      <c r="JS1103" s="18"/>
      <c r="JT1103" s="18"/>
      <c r="JU1103" s="18"/>
      <c r="JV1103" s="18"/>
      <c r="JW1103" s="18"/>
      <c r="JX1103" s="18"/>
      <c r="JY1103" s="18"/>
      <c r="JZ1103" s="18"/>
      <c r="KA1103" s="18"/>
    </row>
    <row r="1104" spans="2:288" x14ac:dyDescent="0.2">
      <c r="B1104" s="16">
        <v>2017</v>
      </c>
      <c r="C1104" s="20">
        <v>42927</v>
      </c>
      <c r="D1104" s="20" t="str">
        <f>CONCATENATE(J1104,"-",C1104)</f>
        <v>1225-42927</v>
      </c>
      <c r="E1104" s="20" t="str">
        <f>CONCATENATE(T1104,"-",U1104,"-",C1104)</f>
        <v>PO2-B1-42927</v>
      </c>
      <c r="F1104" s="20" t="s">
        <v>106</v>
      </c>
      <c r="G1104" s="20" t="s">
        <v>107</v>
      </c>
      <c r="I1104" s="16">
        <v>1</v>
      </c>
      <c r="J1104" s="21">
        <v>1225</v>
      </c>
      <c r="K1104" s="21">
        <v>1865</v>
      </c>
      <c r="L1104" s="18">
        <v>0</v>
      </c>
      <c r="M1104" s="21">
        <f>VLOOKUP($K1104,'[4]blood tubes 2017'!$D$1:$L$647,8,FALSE)</f>
        <v>0</v>
      </c>
      <c r="N1104" s="15">
        <v>0</v>
      </c>
      <c r="O1104" s="15" t="s">
        <v>214</v>
      </c>
      <c r="P1104" s="16" t="s">
        <v>110</v>
      </c>
      <c r="Q1104" s="16">
        <v>0</v>
      </c>
      <c r="R1104" s="16" t="s">
        <v>111</v>
      </c>
      <c r="T1104" s="16" t="s">
        <v>127</v>
      </c>
      <c r="U1104" s="16" t="s">
        <v>113</v>
      </c>
      <c r="V1104" s="16" t="s">
        <v>114</v>
      </c>
      <c r="W1104" s="16">
        <f>AI1104/AG1104</f>
        <v>0.75</v>
      </c>
      <c r="X1104" s="16" t="s">
        <v>121</v>
      </c>
      <c r="Y1104" s="16" t="s">
        <v>145</v>
      </c>
      <c r="Z1104" s="16">
        <v>1</v>
      </c>
      <c r="AA1104" s="16" t="s">
        <v>119</v>
      </c>
      <c r="AB1104" s="16" t="s">
        <v>123</v>
      </c>
      <c r="AC1104" s="16" t="s">
        <v>123</v>
      </c>
      <c r="AD1104" s="16" t="s">
        <v>123</v>
      </c>
      <c r="AG1104" s="16">
        <f>AH1104-AI1104</f>
        <v>76</v>
      </c>
      <c r="AH1104" s="16">
        <v>133</v>
      </c>
      <c r="AI1104" s="16">
        <v>57</v>
      </c>
      <c r="AK1104" s="16">
        <v>12.5</v>
      </c>
      <c r="AL1104" s="16">
        <v>0</v>
      </c>
      <c r="AM1104" s="16">
        <v>0</v>
      </c>
      <c r="AN1104" s="16">
        <v>0</v>
      </c>
      <c r="AO1104" s="16">
        <v>0</v>
      </c>
      <c r="AP1104" s="16">
        <f>SUM(AL1104:AN1104)</f>
        <v>0</v>
      </c>
      <c r="AQ1104" s="16">
        <v>1.7090000000000001</v>
      </c>
      <c r="AR1104" s="16">
        <f>AP1104-1.472</f>
        <v>-1.472</v>
      </c>
      <c r="AS1104" s="16">
        <f>AQ1104-1.472</f>
        <v>0.2370000000000001</v>
      </c>
      <c r="AT1104" s="30" t="str">
        <f>VLOOKUP(K1104,'[5]FECs - good data'!$C$1:$P$575,13,FALSE)</f>
        <v>duplicate, can't use</v>
      </c>
      <c r="AW1104" s="18"/>
      <c r="AX1104" s="18"/>
      <c r="AY1104" s="18"/>
      <c r="AZ1104" s="18"/>
      <c r="BA1104" s="18"/>
      <c r="BB1104" s="18"/>
      <c r="BC1104" s="18"/>
      <c r="BD1104" s="18"/>
      <c r="BG1104" s="77"/>
      <c r="BT1104" s="77"/>
      <c r="CD1104" s="77"/>
      <c r="DF1104" s="16" t="e">
        <f>VLOOKUP(K1104,'[3]RNA Seq summary tables'!$V$3:$V$99,1,FALSE)</f>
        <v>#N/A</v>
      </c>
      <c r="JR1104" s="27"/>
      <c r="JS1104" s="27"/>
      <c r="JT1104" s="27"/>
      <c r="JU1104" s="27"/>
      <c r="JV1104" s="27"/>
      <c r="JW1104" s="27"/>
      <c r="JX1104" s="27"/>
      <c r="JY1104" s="27"/>
      <c r="JZ1104" s="27"/>
      <c r="KA1104" s="27"/>
      <c r="KB1104" s="27"/>
    </row>
    <row r="1105" spans="1:288" x14ac:dyDescent="0.2">
      <c r="B1105" s="16">
        <v>2017</v>
      </c>
      <c r="C1105" s="20">
        <v>42965</v>
      </c>
      <c r="D1105" s="20" t="str">
        <f>CONCATENATE(J1105,"-",C1105)</f>
        <v>1225-42965</v>
      </c>
      <c r="E1105" s="20" t="str">
        <f>CONCATENATE(T1105,"-",U1105,"-",C1105)</f>
        <v>PO2-B1-42965</v>
      </c>
      <c r="F1105" s="20" t="s">
        <v>106</v>
      </c>
      <c r="G1105" s="20" t="s">
        <v>107</v>
      </c>
      <c r="I1105" s="16">
        <v>0</v>
      </c>
      <c r="J1105" s="21">
        <v>1225</v>
      </c>
      <c r="K1105" s="21">
        <v>2183</v>
      </c>
      <c r="L1105" s="18">
        <v>0</v>
      </c>
      <c r="M1105" s="21">
        <f>VLOOKUP($K1105,'[4]blood tubes 2017'!$D$1:$L$647,8,FALSE)</f>
        <v>0</v>
      </c>
      <c r="N1105" s="15">
        <v>0</v>
      </c>
      <c r="O1105" s="15" t="s">
        <v>214</v>
      </c>
      <c r="P1105" s="16" t="s">
        <v>110</v>
      </c>
      <c r="Q1105" s="16">
        <v>1</v>
      </c>
      <c r="R1105" s="16">
        <v>38</v>
      </c>
      <c r="T1105" s="16" t="s">
        <v>127</v>
      </c>
      <c r="U1105" s="16" t="s">
        <v>113</v>
      </c>
      <c r="V1105" s="16" t="s">
        <v>114</v>
      </c>
      <c r="W1105" s="16">
        <f>AI1105/AG1105</f>
        <v>0.81818181818181823</v>
      </c>
      <c r="X1105" s="16" t="s">
        <v>121</v>
      </c>
      <c r="Y1105" s="16" t="s">
        <v>110</v>
      </c>
      <c r="Z1105" s="16">
        <v>3</v>
      </c>
      <c r="AA1105" s="16" t="s">
        <v>161</v>
      </c>
      <c r="AB1105" s="16" t="s">
        <v>123</v>
      </c>
      <c r="AC1105" s="16" t="s">
        <v>123</v>
      </c>
      <c r="AD1105" s="16" t="s">
        <v>116</v>
      </c>
      <c r="AG1105" s="16">
        <f>AH1105-AI1105</f>
        <v>88</v>
      </c>
      <c r="AH1105" s="16">
        <v>160</v>
      </c>
      <c r="AI1105" s="16">
        <v>72</v>
      </c>
      <c r="AK1105" s="16">
        <v>19</v>
      </c>
      <c r="AL1105" s="16">
        <v>1</v>
      </c>
      <c r="AM1105" s="16">
        <v>0</v>
      </c>
      <c r="AN1105" s="16">
        <v>0</v>
      </c>
      <c r="AO1105" s="16">
        <v>1</v>
      </c>
      <c r="AP1105" s="16">
        <f>SUM(AL1105:AN1105)</f>
        <v>1</v>
      </c>
      <c r="AQ1105" s="16">
        <v>1.7090000000000001</v>
      </c>
      <c r="AR1105" s="16">
        <f>AP1105-1.472</f>
        <v>-0.47199999999999998</v>
      </c>
      <c r="AS1105" s="16">
        <f>AQ1105-1.472</f>
        <v>0.2370000000000001</v>
      </c>
      <c r="AT1105" s="16" t="str">
        <f>VLOOKUP(K1105,'[5]FECs - good data'!$C$1:$P$575,13,FALSE)</f>
        <v>JB</v>
      </c>
      <c r="AW1105" s="18">
        <f>IF(AX1105&gt;0,1,0)</f>
        <v>1</v>
      </c>
      <c r="AX1105" s="18">
        <f>SUM(BA1105,BM1105,CT1105)</f>
        <v>4</v>
      </c>
      <c r="AY1105" s="18">
        <f>SUM(BB1105,BN1105,CV1105)</f>
        <v>1485.2320675105479</v>
      </c>
      <c r="AZ1105" s="18">
        <f>IF(BA1105&gt;0,1,0)</f>
        <v>1</v>
      </c>
      <c r="BA1105" s="18">
        <f>SUM(BC1105,BF1105,BI1105)</f>
        <v>1</v>
      </c>
      <c r="BB1105" s="18">
        <f>SUM(BE1105,BH1105,BK1105)</f>
        <v>37.97468354430378</v>
      </c>
      <c r="BC1105" s="18">
        <f>IF(BD1105&gt;0,1,0)</f>
        <v>0</v>
      </c>
      <c r="BD1105" s="18">
        <f>VLOOKUP($K1105,'[5]FECs - good data'!$C$1:$Z$574,14,FALSE)</f>
        <v>0</v>
      </c>
      <c r="BE1105" s="16">
        <f>BD1105/AS1105</f>
        <v>0</v>
      </c>
      <c r="BF1105" s="16">
        <f>IF(BG1105&gt;0,1,0)</f>
        <v>1</v>
      </c>
      <c r="BG1105" s="77">
        <f>VLOOKUP($K1105,'[5]FECs - good data'!$C$1:$Z$574,15,FALSE)</f>
        <v>9</v>
      </c>
      <c r="BH1105" s="16">
        <f>BG1105/AS1105</f>
        <v>37.97468354430378</v>
      </c>
      <c r="BI1105" s="16">
        <f>IF(BJ1105&gt;0,1,0)</f>
        <v>0</v>
      </c>
      <c r="BJ1105" s="16">
        <f>VLOOKUP($K1105,'[5]FECs - good data'!$C$1:$Z$574,16,FALSE)</f>
        <v>0</v>
      </c>
      <c r="BK1105" s="16">
        <f>BJ1105/AS1105</f>
        <v>0</v>
      </c>
      <c r="BL1105" s="16">
        <f>IF(BM1105&gt;0,1,0)</f>
        <v>1</v>
      </c>
      <c r="BM1105" s="16">
        <f>SUM(BR1105,BU1105,BX1105,CA1105,CD1105,CG1105,CJ1105,CM1105,CP1105)</f>
        <v>3</v>
      </c>
      <c r="BN1105" s="16">
        <f>SUM(BW1105,BZ1105,CC1105,CF1105,CI1105,CL1105,CO1105,CR1105,BT1105)</f>
        <v>1447.2573839662441</v>
      </c>
      <c r="BO1105" s="16">
        <f>IF(BP1105&gt;0,1,0)</f>
        <v>1</v>
      </c>
      <c r="BP1105" s="16">
        <f>SUM(BU1105,BX1105,CA1105,CD1105,BR1105)</f>
        <v>2</v>
      </c>
      <c r="BQ1105" s="16">
        <f>SUM(BZ1105,CC1105,CF1105,BT1105,BW1105)</f>
        <v>1438.8185654008432</v>
      </c>
      <c r="BR1105" s="16">
        <f>IF(BS1105&gt;0,1,0)</f>
        <v>0</v>
      </c>
      <c r="BS1105" s="16">
        <f>VLOOKUP($K1105,'[5]FECs - good data'!$C$1:$Z$574,17,FALSE)</f>
        <v>0</v>
      </c>
      <c r="BT1105" s="77">
        <f>BS1105/AS1105</f>
        <v>0</v>
      </c>
      <c r="BU1105" s="16">
        <f>IF(BV1105&gt;0,1,0)</f>
        <v>1</v>
      </c>
      <c r="BV1105" s="16">
        <f>VLOOKUP($K1105,'[5]FECs - good data'!$C$1:$Z$574,18,FALSE)</f>
        <v>8</v>
      </c>
      <c r="BW1105" s="16">
        <f>BV1105/AS1105</f>
        <v>33.755274261603361</v>
      </c>
      <c r="BX1105" s="16">
        <f>IF(BY1105&gt;0,1,0)</f>
        <v>1</v>
      </c>
      <c r="BY1105" s="16">
        <f>VLOOKUP($K1105,'[5]FECs - good data'!$C$1:$Z$574,19,FALSE)</f>
        <v>333</v>
      </c>
      <c r="BZ1105" s="16">
        <f>BY1105/AS1105</f>
        <v>1405.0632911392399</v>
      </c>
      <c r="CA1105" s="16">
        <f>IF(CB1105&gt;0,1,0)</f>
        <v>0</v>
      </c>
      <c r="CB1105" s="16">
        <f>VLOOKUP($K1105,'[5]FECs - good data'!$C$1:$Z$574,20,FALSE)</f>
        <v>0</v>
      </c>
      <c r="CC1105" s="16">
        <f>CB1105/AS1105</f>
        <v>0</v>
      </c>
      <c r="CD1105" s="77">
        <f>IF(CE1105&gt;0,1,0)</f>
        <v>0</v>
      </c>
      <c r="CE1105" s="16">
        <f>VLOOKUP($K1105,'[5]FECs - good data'!$C$1:$Z$574,21,FALSE)</f>
        <v>0</v>
      </c>
      <c r="CF1105" s="16">
        <f>CE1105/AS1105</f>
        <v>0</v>
      </c>
      <c r="CG1105" s="16">
        <f>IF(CH1105&gt;0,1,0)</f>
        <v>0</v>
      </c>
      <c r="CH1105" s="16">
        <f>VLOOKUP($K1105,'[5]FECs - good data'!$C$1:$Z$574,22,FALSE)</f>
        <v>0</v>
      </c>
      <c r="CI1105" s="16">
        <f>CH1105/AS1105</f>
        <v>0</v>
      </c>
      <c r="CJ1105" s="16">
        <f>IF(CK1105&gt;0,1,0)</f>
        <v>1</v>
      </c>
      <c r="CK1105" s="16">
        <f>VLOOKUP($K1105,'[5]FECs - good data'!$C$1:$Z$674,24,FALSE)</f>
        <v>2</v>
      </c>
      <c r="CL1105" s="16">
        <f>CK1105/AS1105</f>
        <v>8.4388185654008403</v>
      </c>
      <c r="CS1105" s="16">
        <f>IF(CT1105&gt;0,1,0)</f>
        <v>0</v>
      </c>
      <c r="CT1105" s="16">
        <f>SUM(CW1105+CZ1105,DC1105)</f>
        <v>0</v>
      </c>
      <c r="CV1105" s="16">
        <f>SUM(CY1105,DB1105,DE1105)</f>
        <v>0</v>
      </c>
      <c r="CW1105" s="16">
        <f>IF(CX1105&gt;0,1,0)</f>
        <v>0</v>
      </c>
      <c r="CX1105" s="16">
        <f>VLOOKUP($K1105,'[5]FECs - good data'!$C$1:$Z$574,22,FALSE)</f>
        <v>0</v>
      </c>
      <c r="CY1105" s="16">
        <f>CX1105/AS1105</f>
        <v>0</v>
      </c>
      <c r="CZ1105" s="16">
        <f>IF(DA1105&gt;0,1,0)</f>
        <v>0</v>
      </c>
      <c r="DA1105" s="16">
        <f>VLOOKUP($K1105,'[5]FECs - good data'!$C$1:$Z$5982,23,FALSE)</f>
        <v>0</v>
      </c>
      <c r="DB1105" s="16">
        <f>DA1105/AS1105</f>
        <v>0</v>
      </c>
      <c r="DC1105" s="16">
        <f>IF(DD1105&gt;0,1,0)</f>
        <v>0</v>
      </c>
      <c r="DD1105" s="16">
        <f>VLOOKUP($K1105,'[5]FECs - good data'!$C$1:$Z$574,23,FALSE)</f>
        <v>0</v>
      </c>
      <c r="DE1105" s="16">
        <f>DD1105/AS1105</f>
        <v>0</v>
      </c>
      <c r="DF1105" s="16" t="e">
        <f>VLOOKUP(K1105,'[3]RNA Seq summary tables'!$V$3:$V$99,1,FALSE)</f>
        <v>#N/A</v>
      </c>
      <c r="DG1105" s="16">
        <v>1</v>
      </c>
      <c r="DH1105" s="16" t="str">
        <f>VLOOKUP(D1105,'[6]workflow 3.2018'!$A$1:$S$237,2,FALSE)</f>
        <v>2017MLBS_171</v>
      </c>
    </row>
    <row r="1106" spans="1:288" ht="16" x14ac:dyDescent="0.2">
      <c r="B1106" s="16">
        <v>2017</v>
      </c>
      <c r="C1106" s="20">
        <v>42975</v>
      </c>
      <c r="D1106" s="20" t="str">
        <f>CONCATENATE(J1106,"-",C1106)</f>
        <v>1225-42975</v>
      </c>
      <c r="E1106" s="37" t="str">
        <f>CONCATENATE(T1106,"-",U1106,"-",C1106)</f>
        <v>PO2-B2-42975</v>
      </c>
      <c r="F1106" s="37" t="s">
        <v>224</v>
      </c>
      <c r="G1106" s="20" t="s">
        <v>107</v>
      </c>
      <c r="I1106" s="16">
        <v>0</v>
      </c>
      <c r="J1106" s="21">
        <v>1225</v>
      </c>
      <c r="K1106" s="21">
        <v>2283</v>
      </c>
      <c r="L1106" s="18">
        <v>0</v>
      </c>
      <c r="M1106" s="21">
        <f>VLOOKUP($K1106,'[4]blood tubes 2017'!$D$1:$L$947,8,FALSE)</f>
        <v>0</v>
      </c>
      <c r="N1106" s="15">
        <v>0</v>
      </c>
      <c r="O1106" s="15" t="s">
        <v>214</v>
      </c>
      <c r="P1106" s="16" t="s">
        <v>110</v>
      </c>
      <c r="Q1106" s="16">
        <v>1</v>
      </c>
      <c r="R1106" s="16">
        <v>10</v>
      </c>
      <c r="T1106" s="16" t="s">
        <v>127</v>
      </c>
      <c r="U1106" s="16" t="s">
        <v>130</v>
      </c>
      <c r="V1106" s="16" t="s">
        <v>114</v>
      </c>
      <c r="W1106" s="16">
        <f>AI1106/AG1106</f>
        <v>0.87209302325581395</v>
      </c>
      <c r="X1106" s="16" t="s">
        <v>121</v>
      </c>
      <c r="Y1106" s="16" t="s">
        <v>110</v>
      </c>
      <c r="Z1106" s="16">
        <v>3</v>
      </c>
      <c r="AA1106" s="16" t="s">
        <v>161</v>
      </c>
      <c r="AB1106" s="16" t="s">
        <v>239</v>
      </c>
      <c r="AC1106" s="16" t="s">
        <v>123</v>
      </c>
      <c r="AD1106" s="16" t="s">
        <v>116</v>
      </c>
      <c r="AG1106" s="16">
        <f>AH1106-AI1106</f>
        <v>86</v>
      </c>
      <c r="AH1106" s="16">
        <v>161</v>
      </c>
      <c r="AI1106" s="16">
        <v>75</v>
      </c>
      <c r="AK1106" s="16">
        <v>20.5</v>
      </c>
      <c r="AL1106" s="16">
        <v>0</v>
      </c>
      <c r="AM1106" s="16">
        <v>0</v>
      </c>
      <c r="AN1106" s="16">
        <v>0</v>
      </c>
      <c r="AO1106" s="16">
        <v>0</v>
      </c>
      <c r="AP1106" s="16">
        <f>SUM(AL1106:AN1106)</f>
        <v>0</v>
      </c>
      <c r="AQ1106" s="16">
        <v>1.635</v>
      </c>
      <c r="AR1106" s="16">
        <f>AP1106-1.472</f>
        <v>-1.472</v>
      </c>
      <c r="AS1106" s="16">
        <f>AQ1106-1.472</f>
        <v>0.16300000000000003</v>
      </c>
      <c r="AT1106" s="16" t="str">
        <f>VLOOKUP(E1106,[2]Current!$A$1:$W$435,7,FALSE)</f>
        <v>TE</v>
      </c>
      <c r="AU1106" s="16" t="s">
        <v>1288</v>
      </c>
      <c r="AW1106" s="128">
        <f>IF(AX1106&gt;0,1,0)</f>
        <v>1</v>
      </c>
      <c r="AX1106" s="128">
        <f>SUM(BA1106,BM1106,CU1106)</f>
        <v>3</v>
      </c>
      <c r="AY1106" s="128">
        <f>SUM(BB1106,BN1106,CV1106)</f>
        <v>269.9386503067484</v>
      </c>
      <c r="AZ1106" s="128">
        <f>IF(BA1106&gt;0,1,0)</f>
        <v>1</v>
      </c>
      <c r="BA1106" s="128">
        <f>SUM(BC1106+BF1106+BI1106)</f>
        <v>2</v>
      </c>
      <c r="BB1106" s="128">
        <f>SUM(BE1106,BH1106,BK1106)</f>
        <v>263.80368098159505</v>
      </c>
      <c r="BC1106" s="130">
        <f>IF(BD1106&gt;0,1,0)</f>
        <v>0</v>
      </c>
      <c r="BD1106" s="128">
        <f>VLOOKUP($E1106,[2]Current!$A:$AC,26,FALSE)</f>
        <v>0</v>
      </c>
      <c r="BE1106" s="128">
        <f>BD1106/$AS1106</f>
        <v>0</v>
      </c>
      <c r="BF1106" s="130">
        <f>IF(BG1106&gt;0,1,0)</f>
        <v>1</v>
      </c>
      <c r="BG1106" s="137">
        <f>VLOOKUP($E1106,[2]Current!$A:$AC,27,FALSE)</f>
        <v>10</v>
      </c>
      <c r="BH1106" s="128">
        <f>BG1106/$AS1106</f>
        <v>61.349693251533729</v>
      </c>
      <c r="BI1106" s="130">
        <f>IF(BJ1106&gt;0,1,0)</f>
        <v>1</v>
      </c>
      <c r="BJ1106" s="128">
        <f>VLOOKUP($E1106,[2]Current!$A:$AC,28,FALSE)</f>
        <v>33</v>
      </c>
      <c r="BK1106" s="128">
        <f>BJ1106/$AS1106</f>
        <v>202.4539877300613</v>
      </c>
      <c r="BL1106" s="128">
        <f>IF(BM1106&gt;0,1,0)</f>
        <v>1</v>
      </c>
      <c r="BM1106" s="128">
        <f>SUM(BR1106,BU1106,BX1106,CA1106,CD1106)</f>
        <v>1</v>
      </c>
      <c r="BN1106" s="131">
        <f>SUM(BT1106,BW1106,BZ1106,CC1106,CF1106)</f>
        <v>6.1349693251533726</v>
      </c>
      <c r="BO1106" s="128">
        <f>IF(BP1106&gt;0,1,0)</f>
        <v>1</v>
      </c>
      <c r="BP1106" s="128">
        <f>BM1106+CJ1106</f>
        <v>1</v>
      </c>
      <c r="BQ1106" s="128">
        <f>BN1106+CL1106</f>
        <v>6.1349693251533726</v>
      </c>
      <c r="BR1106" s="130">
        <f>IF(BS1106&gt;0,1,0)</f>
        <v>0</v>
      </c>
      <c r="BS1106" s="128">
        <f>VLOOKUP($E1106,[2]Current!$A:$AC,12,FALSE)</f>
        <v>0</v>
      </c>
      <c r="BT1106" s="137">
        <f>BS1106/$AS1106</f>
        <v>0</v>
      </c>
      <c r="BU1106" s="130">
        <f>IF(BV1106&gt;0,1,0)</f>
        <v>0</v>
      </c>
      <c r="BV1106" s="128">
        <f>VLOOKUP($E1106,[2]Current!$A:$AC,13,FALSE)</f>
        <v>0</v>
      </c>
      <c r="BW1106" s="128">
        <f>BV1106/$AS1106</f>
        <v>0</v>
      </c>
      <c r="BX1106" s="130">
        <f>IF(BY1106&gt;0,1,0)</f>
        <v>0</v>
      </c>
      <c r="BY1106" s="128">
        <f>VLOOKUP($E1106,[2]Current!$A:$AC,14,FALSE)</f>
        <v>0</v>
      </c>
      <c r="BZ1106" s="128">
        <f>BY1106/$AS1106</f>
        <v>0</v>
      </c>
      <c r="CA1106" s="130">
        <f>IF(CB1106&gt;0,1,0)</f>
        <v>1</v>
      </c>
      <c r="CB1106" s="128">
        <f>VLOOKUP($E1106,[2]Current!$A:$AC,15,FALSE)</f>
        <v>1</v>
      </c>
      <c r="CC1106" s="128">
        <f>CB1106/$AS1106</f>
        <v>6.1349693251533726</v>
      </c>
      <c r="CD1106" s="174">
        <f>IF(CE1106&gt;0,1,0)</f>
        <v>0</v>
      </c>
      <c r="CE1106" s="128">
        <f>VLOOKUP($E1106,[2]Current!$A:$AC,16,FALSE)</f>
        <v>0</v>
      </c>
      <c r="CF1106" s="128">
        <f>CE1106/$AS1106</f>
        <v>0</v>
      </c>
      <c r="CG1106" s="18"/>
      <c r="CH1106" s="18"/>
      <c r="CI1106" s="18"/>
      <c r="CJ1106" s="130">
        <f>IF(CK1106&gt;0,1,0)</f>
        <v>0</v>
      </c>
      <c r="CK1106" s="128">
        <f>VLOOKUP($E1106,[2]Current!$A:$AC,18,FALSE)</f>
        <v>0</v>
      </c>
      <c r="CL1106" s="128">
        <f>CK1106/$AS1106</f>
        <v>0</v>
      </c>
      <c r="CS1106" s="130">
        <f>IF(CU1106&gt;0,1,0)</f>
        <v>0</v>
      </c>
      <c r="CU1106" s="128">
        <f>VLOOKUP($E1106,[2]Current!$A:$AC,17,FALSE)</f>
        <v>0</v>
      </c>
      <c r="CV1106" s="128">
        <f>CU1106/$AS1106</f>
        <v>0</v>
      </c>
      <c r="CW1106" s="18"/>
      <c r="CX1106" s="18"/>
      <c r="CY1106" s="18"/>
      <c r="DF1106" s="16" t="e">
        <f>VLOOKUP(K1106,'[3]RNA Seq summary tables'!$V$3:$V$99,1,FALSE)</f>
        <v>#N/A</v>
      </c>
      <c r="DG1106" s="16">
        <v>1</v>
      </c>
      <c r="DH1106" s="16" t="str">
        <f>VLOOKUP(D1106,'[6]workflow 3.2018'!$A$1:$S$237,2,FALSE)</f>
        <v>2017MLBS_204</v>
      </c>
    </row>
    <row r="1107" spans="1:288" x14ac:dyDescent="0.2">
      <c r="B1107" s="16">
        <v>2017</v>
      </c>
      <c r="C1107" s="20">
        <v>42927</v>
      </c>
      <c r="D1107" s="20" t="str">
        <f>CONCATENATE(J1107,"-",C1107)</f>
        <v>1227-42927</v>
      </c>
      <c r="E1107" s="20" t="str">
        <f>CONCATENATE(T1107,"-",U1107,"-",C1107)</f>
        <v>PO2-D4-42927</v>
      </c>
      <c r="F1107" s="20" t="s">
        <v>106</v>
      </c>
      <c r="G1107" s="20" t="s">
        <v>107</v>
      </c>
      <c r="I1107" s="16">
        <v>0</v>
      </c>
      <c r="J1107" s="21">
        <v>1227</v>
      </c>
      <c r="K1107" s="21">
        <v>1870</v>
      </c>
      <c r="L1107" s="18">
        <v>0</v>
      </c>
      <c r="M1107" s="21">
        <f>VLOOKUP($K1107,'[4]blood tubes 2017'!$D$1:$L$647,8,FALSE)</f>
        <v>0</v>
      </c>
      <c r="N1107" s="15">
        <v>0</v>
      </c>
      <c r="O1107" s="15" t="s">
        <v>214</v>
      </c>
      <c r="P1107" s="16" t="s">
        <v>110</v>
      </c>
      <c r="Q1107" s="16">
        <v>0</v>
      </c>
      <c r="R1107" s="16" t="s">
        <v>111</v>
      </c>
      <c r="T1107" s="16" t="s">
        <v>127</v>
      </c>
      <c r="U1107" s="16" t="s">
        <v>221</v>
      </c>
      <c r="V1107" s="16" t="s">
        <v>114</v>
      </c>
      <c r="W1107" s="16">
        <f>AI1107/AG1107</f>
        <v>0.88372093023255816</v>
      </c>
      <c r="X1107" s="16" t="s">
        <v>115</v>
      </c>
      <c r="Y1107" s="16" t="s">
        <v>110</v>
      </c>
      <c r="Z1107" s="16">
        <v>3</v>
      </c>
      <c r="AE1107" s="16" t="s">
        <v>116</v>
      </c>
      <c r="AF1107" s="16" t="s">
        <v>116</v>
      </c>
      <c r="AG1107" s="16">
        <f>AH1107-AI1107</f>
        <v>86</v>
      </c>
      <c r="AH1107" s="16">
        <v>162</v>
      </c>
      <c r="AI1107" s="16">
        <v>76</v>
      </c>
      <c r="AK1107" s="16">
        <v>16.5</v>
      </c>
      <c r="AL1107" s="16">
        <v>0</v>
      </c>
      <c r="AM1107" s="16">
        <v>0</v>
      </c>
      <c r="AN1107" s="16">
        <v>0</v>
      </c>
      <c r="AO1107" s="16">
        <v>0</v>
      </c>
      <c r="AP1107" s="16">
        <f>SUM(AL1107:AN1107)</f>
        <v>0</v>
      </c>
      <c r="AQ1107" s="16">
        <v>1.7490000000000001</v>
      </c>
      <c r="AR1107" s="16">
        <f>AP1107-1.472</f>
        <v>-1.472</v>
      </c>
      <c r="AS1107" s="16">
        <f>AQ1107-1.472</f>
        <v>0.27700000000000014</v>
      </c>
      <c r="AT1107" s="16" t="str">
        <f>VLOOKUP(K1107,'[5]FECs - good data'!$C$1:$P$575,13,FALSE)</f>
        <v>JY</v>
      </c>
      <c r="AW1107" s="18">
        <f>IF(AX1107&gt;0,1,0)</f>
        <v>1</v>
      </c>
      <c r="AX1107" s="18">
        <f>SUM(BA1107,BM1107,CT1107)</f>
        <v>2</v>
      </c>
      <c r="AY1107" s="18">
        <f>SUM(BB1107,BN1107,CV1107)</f>
        <v>12657.03971119133</v>
      </c>
      <c r="AZ1107" s="18">
        <f>IF(BA1107&gt;0,1,0)</f>
        <v>1</v>
      </c>
      <c r="BA1107" s="18">
        <f>SUM(BC1107,BF1107,BI1107)</f>
        <v>2</v>
      </c>
      <c r="BB1107" s="18">
        <f>SUM(BE1107,BH1107,BK1107)</f>
        <v>12657.03971119133</v>
      </c>
      <c r="BC1107" s="18">
        <f>IF(BD1107&gt;0,1,0)</f>
        <v>1</v>
      </c>
      <c r="BD1107" s="18">
        <f>VLOOKUP($K1107,'[5]FECs - good data'!$C$1:$Z$574,14,FALSE)</f>
        <v>30</v>
      </c>
      <c r="BE1107" s="16">
        <f>BD1107/AS1107</f>
        <v>108.30324909747287</v>
      </c>
      <c r="BF1107" s="16">
        <f>IF(BG1107&gt;0,1,0)</f>
        <v>1</v>
      </c>
      <c r="BG1107" s="77">
        <f>VLOOKUP($K1107,'[5]FECs - good data'!$C$1:$Z$574,15,FALSE)</f>
        <v>3476</v>
      </c>
      <c r="BH1107" s="16">
        <f>BG1107/AS1107</f>
        <v>12548.736462093857</v>
      </c>
      <c r="BI1107" s="16">
        <f>IF(BJ1107&gt;0,1,0)</f>
        <v>0</v>
      </c>
      <c r="BJ1107" s="16">
        <f>VLOOKUP($K1107,'[5]FECs - good data'!$C$1:$Z$574,16,FALSE)</f>
        <v>0</v>
      </c>
      <c r="BK1107" s="16">
        <f>BJ1107/AS1107</f>
        <v>0</v>
      </c>
      <c r="BL1107" s="16">
        <f>IF(BM1107&gt;0,1,0)</f>
        <v>0</v>
      </c>
      <c r="BM1107" s="16">
        <f>SUM(BR1107,BU1107,BX1107,CA1107,CD1107,CG1107,CJ1107,CM1107,CP1107)</f>
        <v>0</v>
      </c>
      <c r="BN1107" s="16">
        <f>SUM(BW1107,BZ1107,CC1107,CF1107,CI1107,CL1107,CO1107,CR1107,BT1107)</f>
        <v>0</v>
      </c>
      <c r="BO1107" s="16">
        <f>IF(BP1107&gt;0,1,0)</f>
        <v>0</v>
      </c>
      <c r="BP1107" s="16">
        <f>SUM(BU1107,BX1107,CA1107,CD1107,BR1107)</f>
        <v>0</v>
      </c>
      <c r="BQ1107" s="16">
        <f>SUM(BZ1107,CC1107,CF1107,BT1107,BW1107)</f>
        <v>0</v>
      </c>
      <c r="BR1107" s="16">
        <f>IF(BS1107&gt;0,1,0)</f>
        <v>0</v>
      </c>
      <c r="BS1107" s="16">
        <f>VLOOKUP($K1107,'[5]FECs - good data'!$C$1:$Z$574,17,FALSE)</f>
        <v>0</v>
      </c>
      <c r="BT1107" s="77">
        <f>BS1107/AS1107</f>
        <v>0</v>
      </c>
      <c r="BU1107" s="16">
        <f>IF(BV1107&gt;0,1,0)</f>
        <v>0</v>
      </c>
      <c r="BV1107" s="16">
        <f>VLOOKUP($K1107,'[5]FECs - good data'!$C$1:$Z$574,18,FALSE)</f>
        <v>0</v>
      </c>
      <c r="BW1107" s="16">
        <f>BV1107/AS1107</f>
        <v>0</v>
      </c>
      <c r="BX1107" s="16">
        <f>IF(BY1107&gt;0,1,0)</f>
        <v>0</v>
      </c>
      <c r="BY1107" s="16">
        <f>VLOOKUP($K1107,'[5]FECs - good data'!$C$1:$Z$574,19,FALSE)</f>
        <v>0</v>
      </c>
      <c r="BZ1107" s="16">
        <f>BY1107/AS1107</f>
        <v>0</v>
      </c>
      <c r="CA1107" s="16">
        <f>IF(CB1107&gt;0,1,0)</f>
        <v>0</v>
      </c>
      <c r="CB1107" s="16">
        <f>VLOOKUP($K1107,'[5]FECs - good data'!$C$1:$Z$574,20,FALSE)</f>
        <v>0</v>
      </c>
      <c r="CC1107" s="16">
        <f>CB1107/AS1107</f>
        <v>0</v>
      </c>
      <c r="CD1107" s="77">
        <f>IF(CE1107&gt;0,1,0)</f>
        <v>0</v>
      </c>
      <c r="CE1107" s="16">
        <f>VLOOKUP($K1107,'[5]FECs - good data'!$C$1:$Z$574,21,FALSE)</f>
        <v>0</v>
      </c>
      <c r="CF1107" s="16">
        <f>CE1107/AS1107</f>
        <v>0</v>
      </c>
      <c r="CG1107" s="16">
        <f>IF(CH1107&gt;0,1,0)</f>
        <v>0</v>
      </c>
      <c r="CH1107" s="16">
        <f>VLOOKUP($K1107,'[5]FECs - good data'!$C$1:$Z$574,22,FALSE)</f>
        <v>0</v>
      </c>
      <c r="CI1107" s="16">
        <f>CH1107/AS1107</f>
        <v>0</v>
      </c>
      <c r="CJ1107" s="16">
        <f>IF(CK1107&gt;0,1,0)</f>
        <v>0</v>
      </c>
      <c r="CK1107" s="16">
        <f>VLOOKUP($K1107,'[5]FECs - good data'!$C$1:$Z$674,24,FALSE)</f>
        <v>0</v>
      </c>
      <c r="CL1107" s="16">
        <f>CK1107/AS1107</f>
        <v>0</v>
      </c>
      <c r="CS1107" s="16">
        <f>IF(CT1107&gt;0,1,0)</f>
        <v>0</v>
      </c>
      <c r="CT1107" s="16">
        <f>SUM(CW1107+CZ1107,DC1107)</f>
        <v>0</v>
      </c>
      <c r="CV1107" s="16">
        <f>SUM(CY1107,DB1107,DE1107)</f>
        <v>0</v>
      </c>
      <c r="CW1107" s="16">
        <f>IF(CX1107&gt;0,1,0)</f>
        <v>0</v>
      </c>
      <c r="CX1107" s="16">
        <f>VLOOKUP($K1107,'[5]FECs - good data'!$C$1:$Z$574,22,FALSE)</f>
        <v>0</v>
      </c>
      <c r="CY1107" s="16">
        <f>CX1107/AS1107</f>
        <v>0</v>
      </c>
      <c r="CZ1107" s="16">
        <f>IF(DA1107&gt;0,1,0)</f>
        <v>0</v>
      </c>
      <c r="DA1107" s="16">
        <f>VLOOKUP($K1107,'[5]FECs - good data'!$C$1:$Z$5982,23,FALSE)</f>
        <v>0</v>
      </c>
      <c r="DB1107" s="16">
        <f>DA1107/AS1107</f>
        <v>0</v>
      </c>
      <c r="DC1107" s="16">
        <f>IF(DD1107&gt;0,1,0)</f>
        <v>0</v>
      </c>
      <c r="DD1107" s="16">
        <f>VLOOKUP($K1107,'[5]FECs - good data'!$C$1:$Z$574,23,FALSE)</f>
        <v>0</v>
      </c>
      <c r="DE1107" s="16">
        <f>DD1107/AS1107</f>
        <v>0</v>
      </c>
      <c r="DF1107" s="16" t="e">
        <f>VLOOKUP(K1107,'[3]RNA Seq summary tables'!$V$3:$V$99,1,FALSE)</f>
        <v>#N/A</v>
      </c>
      <c r="JR1107" s="27"/>
      <c r="JS1107" s="27"/>
      <c r="JT1107" s="27"/>
      <c r="JU1107" s="27"/>
      <c r="JV1107" s="27"/>
      <c r="JW1107" s="27"/>
      <c r="JX1107" s="27"/>
      <c r="JY1107" s="27"/>
      <c r="JZ1107" s="27"/>
      <c r="KA1107" s="27"/>
      <c r="KB1107" s="27"/>
    </row>
    <row r="1108" spans="1:288" x14ac:dyDescent="0.2">
      <c r="B1108" s="16">
        <v>2017</v>
      </c>
      <c r="C1108" s="20">
        <v>42947</v>
      </c>
      <c r="D1108" s="20" t="str">
        <f>CONCATENATE(J1108,"-",C1108)</f>
        <v>1227-42947</v>
      </c>
      <c r="E1108" s="20" t="str">
        <f>CONCATENATE(T1108,"-",U1108,"-",C1108)</f>
        <v>PO2-B6-42947</v>
      </c>
      <c r="F1108" s="20" t="s">
        <v>106</v>
      </c>
      <c r="G1108" s="20" t="s">
        <v>107</v>
      </c>
      <c r="I1108" s="16">
        <v>0</v>
      </c>
      <c r="J1108" s="21">
        <v>1227</v>
      </c>
      <c r="K1108" s="21">
        <v>2022</v>
      </c>
      <c r="L1108" s="18">
        <v>0</v>
      </c>
      <c r="M1108" s="21">
        <f>VLOOKUP($K1108,'[4]blood tubes 2017'!$D$1:$L$647,8,FALSE)</f>
        <v>0</v>
      </c>
      <c r="N1108" s="15">
        <v>0</v>
      </c>
      <c r="O1108" s="15" t="s">
        <v>214</v>
      </c>
      <c r="P1108" s="16" t="s">
        <v>110</v>
      </c>
      <c r="Q1108" s="16">
        <v>1</v>
      </c>
      <c r="R1108" s="16">
        <v>20</v>
      </c>
      <c r="T1108" s="16" t="s">
        <v>127</v>
      </c>
      <c r="U1108" s="16" t="s">
        <v>132</v>
      </c>
      <c r="V1108" s="16" t="s">
        <v>114</v>
      </c>
      <c r="W1108" s="16">
        <f>AI1108/AG1108</f>
        <v>0.88888888888888884</v>
      </c>
      <c r="X1108" s="16" t="s">
        <v>115</v>
      </c>
      <c r="Y1108" s="16" t="s">
        <v>110</v>
      </c>
      <c r="Z1108" s="16">
        <v>3</v>
      </c>
      <c r="AE1108" s="16" t="s">
        <v>116</v>
      </c>
      <c r="AF1108" s="16" t="s">
        <v>116</v>
      </c>
      <c r="AG1108" s="16">
        <f>AH1108-AI1108</f>
        <v>90</v>
      </c>
      <c r="AH1108" s="16">
        <v>170</v>
      </c>
      <c r="AI1108" s="16">
        <v>80</v>
      </c>
      <c r="AK1108" s="16">
        <v>19.5</v>
      </c>
      <c r="AL1108" s="16">
        <v>0</v>
      </c>
      <c r="AM1108" s="16">
        <v>0</v>
      </c>
      <c r="AN1108" s="16">
        <v>0</v>
      </c>
      <c r="AO1108" s="16">
        <v>0</v>
      </c>
      <c r="AP1108" s="16">
        <f>SUM(AL1108:AN1108)</f>
        <v>0</v>
      </c>
      <c r="AQ1108" s="16">
        <v>1.7450000000000001</v>
      </c>
      <c r="AR1108" s="16">
        <f>AP1108-1.472</f>
        <v>-1.472</v>
      </c>
      <c r="AS1108" s="16">
        <f>AQ1108-1.472</f>
        <v>0.27300000000000013</v>
      </c>
      <c r="AT1108" s="16" t="str">
        <f>VLOOKUP(K1108,'[5]FECs - good data'!$C$1:$P$575,13,FALSE)</f>
        <v>SB</v>
      </c>
      <c r="AW1108" s="18">
        <f>IF(AX1108&gt;0,1,0)</f>
        <v>1</v>
      </c>
      <c r="AX1108" s="18">
        <f>SUM(BA1108,BM1108,CT1108)</f>
        <v>1</v>
      </c>
      <c r="AY1108" s="18">
        <f>SUM(BB1108,BN1108,CV1108)</f>
        <v>7.3260073260073222</v>
      </c>
      <c r="AZ1108" s="18">
        <f>IF(BA1108&gt;0,1,0)</f>
        <v>1</v>
      </c>
      <c r="BA1108" s="18">
        <f>SUM(BC1108,BF1108,BI1108)</f>
        <v>1</v>
      </c>
      <c r="BB1108" s="18">
        <f>SUM(BE1108,BH1108,BK1108)</f>
        <v>7.3260073260073222</v>
      </c>
      <c r="BC1108" s="18">
        <f>IF(BD1108&gt;0,1,0)</f>
        <v>0</v>
      </c>
      <c r="BD1108" s="18">
        <f>VLOOKUP($K1108,'[5]FECs - good data'!$C$1:$Z$574,14,FALSE)</f>
        <v>0</v>
      </c>
      <c r="BE1108" s="16">
        <f>BD1108/AS1108</f>
        <v>0</v>
      </c>
      <c r="BF1108" s="16">
        <f>IF(BG1108&gt;0,1,0)</f>
        <v>1</v>
      </c>
      <c r="BG1108" s="77">
        <f>VLOOKUP($K1108,'[5]FECs - good data'!$C$1:$Z$574,15,FALSE)</f>
        <v>2</v>
      </c>
      <c r="BH1108" s="16">
        <f>BG1108/AS1108</f>
        <v>7.3260073260073222</v>
      </c>
      <c r="BI1108" s="16">
        <f>IF(BJ1108&gt;0,1,0)</f>
        <v>0</v>
      </c>
      <c r="BJ1108" s="16">
        <f>VLOOKUP($K1108,'[5]FECs - good data'!$C$1:$Z$574,16,FALSE)</f>
        <v>0</v>
      </c>
      <c r="BK1108" s="16">
        <f>BJ1108/AS1108</f>
        <v>0</v>
      </c>
      <c r="BL1108" s="16">
        <f>IF(BM1108&gt;0,1,0)</f>
        <v>0</v>
      </c>
      <c r="BM1108" s="16">
        <f>SUM(BR1108,BU1108,BX1108,CA1108,CD1108,CG1108,CJ1108,CM1108,CP1108)</f>
        <v>0</v>
      </c>
      <c r="BN1108" s="16">
        <f>SUM(BW1108,BZ1108,CC1108,CF1108,CI1108,CL1108,CO1108,CR1108,BT1108)</f>
        <v>0</v>
      </c>
      <c r="BO1108" s="16">
        <f>IF(BP1108&gt;0,1,0)</f>
        <v>0</v>
      </c>
      <c r="BP1108" s="16">
        <f>SUM(BU1108,BX1108,CA1108,CD1108,BR1108)</f>
        <v>0</v>
      </c>
      <c r="BQ1108" s="16">
        <f>SUM(BZ1108,CC1108,CF1108,BT1108,BW1108)</f>
        <v>0</v>
      </c>
      <c r="BR1108" s="16">
        <f>IF(BS1108&gt;0,1,0)</f>
        <v>0</v>
      </c>
      <c r="BS1108" s="16">
        <f>VLOOKUP($K1108,'[5]FECs - good data'!$C$1:$Z$574,17,FALSE)</f>
        <v>0</v>
      </c>
      <c r="BT1108" s="77">
        <f>BS1108/AS1108</f>
        <v>0</v>
      </c>
      <c r="BU1108" s="16">
        <f>IF(BV1108&gt;0,1,0)</f>
        <v>0</v>
      </c>
      <c r="BV1108" s="16">
        <f>VLOOKUP($K1108,'[5]FECs - good data'!$C$1:$Z$574,18,FALSE)</f>
        <v>0</v>
      </c>
      <c r="BW1108" s="16">
        <f>BV1108/AS1108</f>
        <v>0</v>
      </c>
      <c r="BX1108" s="16">
        <f>IF(BY1108&gt;0,1,0)</f>
        <v>0</v>
      </c>
      <c r="BY1108" s="16">
        <f>VLOOKUP($K1108,'[5]FECs - good data'!$C$1:$Z$574,19,FALSE)</f>
        <v>0</v>
      </c>
      <c r="BZ1108" s="16">
        <f>BY1108/AS1108</f>
        <v>0</v>
      </c>
      <c r="CA1108" s="16">
        <f>IF(CB1108&gt;0,1,0)</f>
        <v>0</v>
      </c>
      <c r="CB1108" s="16">
        <f>VLOOKUP($K1108,'[5]FECs - good data'!$C$1:$Z$574,20,FALSE)</f>
        <v>0</v>
      </c>
      <c r="CC1108" s="16">
        <f>CB1108/AS1108</f>
        <v>0</v>
      </c>
      <c r="CD1108" s="77">
        <f>IF(CE1108&gt;0,1,0)</f>
        <v>0</v>
      </c>
      <c r="CE1108" s="16">
        <f>VLOOKUP($K1108,'[5]FECs - good data'!$C$1:$Z$574,21,FALSE)</f>
        <v>0</v>
      </c>
      <c r="CF1108" s="16">
        <f>CE1108/AS1108</f>
        <v>0</v>
      </c>
      <c r="CG1108" s="16">
        <f>IF(CH1108&gt;0,1,0)</f>
        <v>0</v>
      </c>
      <c r="CH1108" s="16">
        <f>VLOOKUP($K1108,'[5]FECs - good data'!$C$1:$Z$574,22,FALSE)</f>
        <v>0</v>
      </c>
      <c r="CI1108" s="16">
        <f>CH1108/AS1108</f>
        <v>0</v>
      </c>
      <c r="CJ1108" s="16">
        <f>IF(CK1108&gt;0,1,0)</f>
        <v>0</v>
      </c>
      <c r="CK1108" s="16">
        <f>VLOOKUP($K1108,'[5]FECs - good data'!$C$1:$Z$674,24,FALSE)</f>
        <v>0</v>
      </c>
      <c r="CL1108" s="16">
        <f>CK1108/AS1108</f>
        <v>0</v>
      </c>
      <c r="CS1108" s="16">
        <f>IF(CT1108&gt;0,1,0)</f>
        <v>0</v>
      </c>
      <c r="CT1108" s="16">
        <f>SUM(CW1108+CZ1108,DC1108)</f>
        <v>0</v>
      </c>
      <c r="CV1108" s="16">
        <f>SUM(CY1108,DB1108,DE1108)</f>
        <v>0</v>
      </c>
      <c r="CW1108" s="16">
        <f>IF(CX1108&gt;0,1,0)</f>
        <v>0</v>
      </c>
      <c r="CX1108" s="16">
        <f>VLOOKUP($K1108,'[5]FECs - good data'!$C$1:$Z$574,22,FALSE)</f>
        <v>0</v>
      </c>
      <c r="CY1108" s="16">
        <f>CX1108/AS1108</f>
        <v>0</v>
      </c>
      <c r="CZ1108" s="16">
        <f>IF(DA1108&gt;0,1,0)</f>
        <v>0</v>
      </c>
      <c r="DA1108" s="16">
        <f>VLOOKUP($K1108,'[5]FECs - good data'!$C$1:$Z$5982,23,FALSE)</f>
        <v>0</v>
      </c>
      <c r="DB1108" s="16">
        <f>DA1108/AS1108</f>
        <v>0</v>
      </c>
      <c r="DC1108" s="16">
        <f>IF(DD1108&gt;0,1,0)</f>
        <v>0</v>
      </c>
      <c r="DD1108" s="16">
        <f>VLOOKUP($K1108,'[5]FECs - good data'!$C$1:$Z$574,23,FALSE)</f>
        <v>0</v>
      </c>
      <c r="DE1108" s="16">
        <f>DD1108/AS1108</f>
        <v>0</v>
      </c>
      <c r="DF1108" s="16" t="e">
        <f>VLOOKUP(K1108,'[3]RNA Seq summary tables'!$V$3:$V$99,1,FALSE)</f>
        <v>#N/A</v>
      </c>
      <c r="DG1108" s="16">
        <v>1</v>
      </c>
      <c r="DH1108" s="16" t="str">
        <f>VLOOKUP(D1108,'[6]workflow 3.2018'!$A$1:$S$237,2,FALSE)</f>
        <v>2017MLBS_97</v>
      </c>
    </row>
    <row r="1109" spans="1:288" ht="16" x14ac:dyDescent="0.2">
      <c r="B1109" s="16">
        <v>2017</v>
      </c>
      <c r="C1109" s="20">
        <v>42975</v>
      </c>
      <c r="D1109" s="20" t="str">
        <f>CONCATENATE(J1109,"-",C1109)</f>
        <v>1227-42975</v>
      </c>
      <c r="E1109" s="37" t="str">
        <f>CONCATENATE(T1109,"-",U1109,"-",C1109)</f>
        <v>PO2-C4-42975</v>
      </c>
      <c r="F1109" s="37" t="s">
        <v>224</v>
      </c>
      <c r="G1109" s="20" t="s">
        <v>107</v>
      </c>
      <c r="I1109" s="16">
        <v>0</v>
      </c>
      <c r="J1109" s="21">
        <v>1227</v>
      </c>
      <c r="K1109" s="21">
        <v>2285</v>
      </c>
      <c r="L1109" s="18">
        <v>0</v>
      </c>
      <c r="M1109" s="21">
        <f>VLOOKUP($K1109,'[4]blood tubes 2017'!$D$1:$L$947,8,FALSE)</f>
        <v>0</v>
      </c>
      <c r="N1109" s="15">
        <v>0</v>
      </c>
      <c r="O1109" s="15" t="s">
        <v>214</v>
      </c>
      <c r="P1109" s="16" t="s">
        <v>110</v>
      </c>
      <c r="Q1109" s="16">
        <v>1</v>
      </c>
      <c r="R1109" s="16">
        <v>28</v>
      </c>
      <c r="T1109" s="16" t="s">
        <v>127</v>
      </c>
      <c r="U1109" s="16" t="s">
        <v>229</v>
      </c>
      <c r="V1109" s="16" t="s">
        <v>114</v>
      </c>
      <c r="W1109" s="16">
        <f>AI1109/AG1109</f>
        <v>0.9550561797752809</v>
      </c>
      <c r="X1109" s="16" t="s">
        <v>115</v>
      </c>
      <c r="Y1109" s="16" t="s">
        <v>110</v>
      </c>
      <c r="Z1109" s="16">
        <v>3</v>
      </c>
      <c r="AE1109" s="16" t="s">
        <v>116</v>
      </c>
      <c r="AF1109" s="16" t="s">
        <v>116</v>
      </c>
      <c r="AG1109" s="16">
        <f>AH1109-AI1109</f>
        <v>89</v>
      </c>
      <c r="AH1109" s="16">
        <v>174</v>
      </c>
      <c r="AI1109" s="16">
        <v>85</v>
      </c>
      <c r="AK1109" s="16">
        <v>22</v>
      </c>
      <c r="AL1109" s="16">
        <v>0</v>
      </c>
      <c r="AM1109" s="16">
        <v>0</v>
      </c>
      <c r="AN1109" s="16">
        <v>0</v>
      </c>
      <c r="AO1109" s="16">
        <v>0</v>
      </c>
      <c r="AP1109" s="16">
        <f>SUM(AL1109:AN1109)</f>
        <v>0</v>
      </c>
      <c r="AQ1109" s="16">
        <v>1.7529999999999999</v>
      </c>
      <c r="AR1109" s="16">
        <f>AP1109-1.472</f>
        <v>-1.472</v>
      </c>
      <c r="AS1109" s="16">
        <f>AQ1109-1.472</f>
        <v>0.28099999999999992</v>
      </c>
      <c r="AT1109" s="16" t="str">
        <f>VLOOKUP(E1109,[2]Current!$A$1:$W$435,7,FALSE)</f>
        <v>NB</v>
      </c>
      <c r="AU1109" s="16" t="s">
        <v>1288</v>
      </c>
      <c r="AW1109" s="128">
        <f>IF(AX1109&gt;0,1,0)</f>
        <v>1</v>
      </c>
      <c r="AX1109" s="128">
        <f>SUM(BA1109,BM1109,CU1109)</f>
        <v>2</v>
      </c>
      <c r="AY1109" s="128">
        <f>SUM(BB1109,BN1109,CV1109)</f>
        <v>419.92882562277589</v>
      </c>
      <c r="AZ1109" s="128">
        <f>IF(BA1109&gt;0,1,0)</f>
        <v>1</v>
      </c>
      <c r="BA1109" s="128">
        <f>SUM(BC1109+BF1109+BI1109)</f>
        <v>2</v>
      </c>
      <c r="BB1109" s="128">
        <f>SUM(BE1109,BH1109,BK1109)</f>
        <v>419.92882562277589</v>
      </c>
      <c r="BC1109" s="130">
        <f>IF(BD1109&gt;0,1,0)</f>
        <v>1</v>
      </c>
      <c r="BD1109" s="128">
        <f>VLOOKUP($E1109,[2]Current!$A:$AC,26,FALSE)</f>
        <v>84</v>
      </c>
      <c r="BE1109" s="128">
        <f>BD1109/$AS1109</f>
        <v>298.93238434163709</v>
      </c>
      <c r="BF1109" s="130">
        <f>IF(BG1109&gt;0,1,0)</f>
        <v>0</v>
      </c>
      <c r="BG1109" s="137">
        <f>VLOOKUP($E1109,[2]Current!$A:$AC,27,FALSE)</f>
        <v>0</v>
      </c>
      <c r="BH1109" s="128">
        <f>BG1109/$AS1109</f>
        <v>0</v>
      </c>
      <c r="BI1109" s="130">
        <f>IF(BJ1109&gt;0,1,0)</f>
        <v>1</v>
      </c>
      <c r="BJ1109" s="128">
        <f>VLOOKUP($E1109,[2]Current!$A:$AC,28,FALSE)</f>
        <v>34</v>
      </c>
      <c r="BK1109" s="128">
        <f>BJ1109/$AS1109</f>
        <v>120.99644128113883</v>
      </c>
      <c r="BL1109" s="128">
        <f>IF(BM1109&gt;0,1,0)</f>
        <v>0</v>
      </c>
      <c r="BM1109" s="128">
        <f>SUM(BR1109,BU1109,BX1109,CA1109,CD1109)</f>
        <v>0</v>
      </c>
      <c r="BN1109" s="131">
        <f>SUM(BT1109,BW1109,BZ1109,CC1109,CF1109)</f>
        <v>0</v>
      </c>
      <c r="BO1109" s="128">
        <f>IF(BP1109&gt;0,1,0)</f>
        <v>0</v>
      </c>
      <c r="BP1109" s="128">
        <f>BM1109+CJ1109</f>
        <v>0</v>
      </c>
      <c r="BQ1109" s="128">
        <f>BN1109+CL1109</f>
        <v>0</v>
      </c>
      <c r="BR1109" s="130">
        <f>IF(BS1109&gt;0,1,0)</f>
        <v>0</v>
      </c>
      <c r="BS1109" s="128">
        <f>VLOOKUP($E1109,[2]Current!$A:$AC,12,FALSE)</f>
        <v>0</v>
      </c>
      <c r="BT1109" s="137">
        <f>BS1109/$AS1109</f>
        <v>0</v>
      </c>
      <c r="BU1109" s="130">
        <f>IF(BV1109&gt;0,1,0)</f>
        <v>0</v>
      </c>
      <c r="BV1109" s="128">
        <f>VLOOKUP($E1109,[2]Current!$A:$AC,13,FALSE)</f>
        <v>0</v>
      </c>
      <c r="BW1109" s="128">
        <f>BV1109/$AS1109</f>
        <v>0</v>
      </c>
      <c r="BX1109" s="130">
        <f>IF(BY1109&gt;0,1,0)</f>
        <v>0</v>
      </c>
      <c r="BY1109" s="128">
        <f>VLOOKUP($E1109,[2]Current!$A:$AC,14,FALSE)</f>
        <v>0</v>
      </c>
      <c r="BZ1109" s="128">
        <f>BY1109/$AS1109</f>
        <v>0</v>
      </c>
      <c r="CA1109" s="130">
        <f>IF(CB1109&gt;0,1,0)</f>
        <v>0</v>
      </c>
      <c r="CB1109" s="128">
        <f>VLOOKUP($E1109,[2]Current!$A:$AC,15,FALSE)</f>
        <v>0</v>
      </c>
      <c r="CC1109" s="128">
        <f>CB1109/$AS1109</f>
        <v>0</v>
      </c>
      <c r="CD1109" s="174">
        <f>IF(CE1109&gt;0,1,0)</f>
        <v>0</v>
      </c>
      <c r="CE1109" s="128">
        <f>VLOOKUP($E1109,[2]Current!$A:$AC,16,FALSE)</f>
        <v>0</v>
      </c>
      <c r="CF1109" s="128">
        <f>CE1109/$AS1109</f>
        <v>0</v>
      </c>
      <c r="CG1109" s="18"/>
      <c r="CH1109" s="18"/>
      <c r="CI1109" s="18"/>
      <c r="CJ1109" s="130">
        <f>IF(CK1109&gt;0,1,0)</f>
        <v>0</v>
      </c>
      <c r="CK1109" s="128">
        <f>VLOOKUP($E1109,[2]Current!$A:$AC,18,FALSE)</f>
        <v>0</v>
      </c>
      <c r="CL1109" s="128">
        <f>CK1109/$AS1109</f>
        <v>0</v>
      </c>
      <c r="CS1109" s="130">
        <f>IF(CU1109&gt;0,1,0)</f>
        <v>0</v>
      </c>
      <c r="CU1109" s="128">
        <f>VLOOKUP($E1109,[2]Current!$A:$AC,17,FALSE)</f>
        <v>0</v>
      </c>
      <c r="CV1109" s="128">
        <f>CU1109/$AS1109</f>
        <v>0</v>
      </c>
      <c r="CW1109" s="18"/>
      <c r="CX1109" s="18"/>
      <c r="CY1109" s="18"/>
      <c r="DF1109" s="16" t="e">
        <f>VLOOKUP(K1109,'[3]RNA Seq summary tables'!$V$3:$V$99,1,FALSE)</f>
        <v>#N/A</v>
      </c>
      <c r="DG1109" s="16">
        <v>1</v>
      </c>
      <c r="DH1109" s="16" t="str">
        <f>VLOOKUP(D1109,'[6]workflow 3.2018'!$A$1:$S$237,2,FALSE)</f>
        <v>2017MLBS_206</v>
      </c>
    </row>
    <row r="1110" spans="1:288" s="18" customFormat="1" x14ac:dyDescent="0.2">
      <c r="A1110" s="51">
        <v>1</v>
      </c>
      <c r="B1110" s="16">
        <v>2017</v>
      </c>
      <c r="C1110" s="20">
        <v>42927</v>
      </c>
      <c r="D1110" s="20" t="str">
        <f>CONCATENATE(J1110,"-",C1110)</f>
        <v>1229-42927</v>
      </c>
      <c r="E1110" s="20" t="str">
        <f>CONCATENATE(T1110,"-",U1110,"-",C1110)</f>
        <v>PO2-H5-42927</v>
      </c>
      <c r="F1110" s="20" t="s">
        <v>106</v>
      </c>
      <c r="G1110" s="20" t="s">
        <v>107</v>
      </c>
      <c r="H1110" s="16" t="s">
        <v>243</v>
      </c>
      <c r="I1110" s="16">
        <v>0</v>
      </c>
      <c r="J1110" s="36">
        <v>1229</v>
      </c>
      <c r="K1110" s="36" t="s">
        <v>153</v>
      </c>
      <c r="L1110" s="18">
        <v>0</v>
      </c>
      <c r="M1110" s="36"/>
      <c r="N1110" s="36"/>
      <c r="O1110" s="15" t="s">
        <v>214</v>
      </c>
      <c r="P1110" s="18" t="s">
        <v>110</v>
      </c>
      <c r="Q1110" s="18">
        <v>0</v>
      </c>
      <c r="R1110" s="18" t="s">
        <v>111</v>
      </c>
      <c r="T1110" s="18" t="s">
        <v>127</v>
      </c>
      <c r="U1110" s="18" t="s">
        <v>180</v>
      </c>
      <c r="V1110" s="18" t="s">
        <v>114</v>
      </c>
      <c r="W1110" s="16">
        <f>AI1110/AG1110</f>
        <v>0.88157894736842102</v>
      </c>
      <c r="X1110" s="16" t="s">
        <v>115</v>
      </c>
      <c r="Y1110" s="16" t="s">
        <v>110</v>
      </c>
      <c r="Z1110" s="16">
        <v>3</v>
      </c>
      <c r="AA1110" s="16"/>
      <c r="AB1110" s="16"/>
      <c r="AC1110" s="16"/>
      <c r="AD1110" s="16"/>
      <c r="AE1110" s="16" t="s">
        <v>123</v>
      </c>
      <c r="AF1110" s="16" t="s">
        <v>123</v>
      </c>
      <c r="AG1110" s="16">
        <f>AH1110-AI1110</f>
        <v>76</v>
      </c>
      <c r="AH1110" s="16">
        <v>143</v>
      </c>
      <c r="AI1110" s="16">
        <v>67</v>
      </c>
      <c r="AJ1110" s="16"/>
      <c r="AK1110" s="16">
        <v>14.5</v>
      </c>
      <c r="AL1110" s="16">
        <v>1</v>
      </c>
      <c r="AM1110" s="16">
        <v>0</v>
      </c>
      <c r="AN1110" s="16">
        <v>0</v>
      </c>
      <c r="AO1110" s="16">
        <v>1</v>
      </c>
      <c r="AP1110" s="16">
        <f>SUM(AL1110:AN1110)</f>
        <v>1</v>
      </c>
      <c r="AQ1110" s="16">
        <v>1.766</v>
      </c>
      <c r="AR1110" s="16">
        <f>AP1110-1.472</f>
        <v>-0.47199999999999998</v>
      </c>
      <c r="AS1110" s="16">
        <f>AQ1110-1.472</f>
        <v>0.29400000000000004</v>
      </c>
      <c r="AT1110" s="41" t="s">
        <v>153</v>
      </c>
      <c r="AU1110" s="41"/>
      <c r="AV1110" s="41"/>
      <c r="AW1110" s="41"/>
      <c r="AX1110" s="41"/>
      <c r="AY1110" s="41"/>
      <c r="AZ1110" s="41"/>
      <c r="BA1110" s="41"/>
      <c r="BB1110" s="41"/>
      <c r="BC1110" s="41"/>
      <c r="BD1110" s="41"/>
      <c r="BE1110" s="41"/>
      <c r="BF1110" s="41"/>
      <c r="BG1110" s="84"/>
      <c r="BH1110" s="41"/>
      <c r="BI1110" s="41"/>
      <c r="BJ1110" s="41"/>
      <c r="BK1110" s="41"/>
      <c r="BL1110" s="41"/>
      <c r="BM1110" s="41"/>
      <c r="BN1110" s="41"/>
      <c r="BO1110" s="41"/>
      <c r="BP1110" s="41"/>
      <c r="BQ1110" s="41"/>
      <c r="BR1110" s="41"/>
      <c r="BS1110" s="41"/>
      <c r="BT1110" s="84"/>
      <c r="BU1110" s="41"/>
      <c r="BV1110" s="41"/>
      <c r="BW1110" s="41"/>
      <c r="BX1110" s="41"/>
      <c r="BY1110" s="41"/>
      <c r="BZ1110" s="41"/>
      <c r="CA1110" s="41"/>
      <c r="CB1110" s="41"/>
      <c r="CC1110" s="41"/>
      <c r="CD1110" s="84"/>
      <c r="CE1110" s="41"/>
      <c r="CF1110" s="41"/>
      <c r="CG1110" s="41"/>
      <c r="CH1110" s="41"/>
      <c r="CI1110" s="41"/>
      <c r="CJ1110" s="41"/>
      <c r="CK1110" s="41"/>
      <c r="CL1110" s="41"/>
      <c r="CM1110" s="41"/>
      <c r="CN1110" s="41"/>
      <c r="CO1110" s="41"/>
      <c r="CP1110" s="41"/>
      <c r="CQ1110" s="41"/>
      <c r="CR1110" s="41"/>
      <c r="CS1110" s="41"/>
      <c r="CT1110" s="41"/>
      <c r="CU1110" s="41"/>
      <c r="CV1110" s="41"/>
      <c r="CW1110" s="41"/>
      <c r="CX1110" s="41"/>
      <c r="CY1110" s="41"/>
      <c r="CZ1110" s="41"/>
      <c r="DA1110" s="41"/>
      <c r="DB1110" s="41"/>
      <c r="DC1110" s="41"/>
      <c r="DD1110" s="41"/>
      <c r="DE1110" s="41"/>
      <c r="DF1110" s="16" t="e">
        <f>VLOOKUP(K1110,'[3]RNA Seq summary tables'!$V$3:$V$99,1,FALSE)</f>
        <v>#N/A</v>
      </c>
      <c r="DG1110" s="16"/>
      <c r="DH1110" s="16"/>
      <c r="DI1110" s="16"/>
      <c r="DJ1110" s="16"/>
      <c r="DK1110" s="16"/>
      <c r="DL1110" s="16"/>
      <c r="DM1110" s="16"/>
      <c r="DN1110" s="16"/>
      <c r="DO1110" s="16"/>
      <c r="DP1110" s="16"/>
      <c r="DQ1110" s="16"/>
      <c r="DR1110" s="16"/>
      <c r="DS1110" s="16"/>
      <c r="JO1110" s="16"/>
      <c r="JP1110" s="16"/>
      <c r="JQ1110" s="16"/>
      <c r="JR1110" s="27"/>
      <c r="JS1110" s="27"/>
      <c r="JT1110" s="27"/>
      <c r="JU1110" s="27"/>
      <c r="JV1110" s="27"/>
      <c r="JW1110" s="27"/>
      <c r="JX1110" s="27"/>
      <c r="JY1110" s="27"/>
      <c r="JZ1110" s="27"/>
      <c r="KA1110" s="27"/>
      <c r="KB1110" s="27"/>
    </row>
    <row r="1111" spans="1:288" s="18" customFormat="1" x14ac:dyDescent="0.2">
      <c r="B1111" s="16">
        <v>2017</v>
      </c>
      <c r="C1111" s="20">
        <v>42928</v>
      </c>
      <c r="D1111" s="20" t="str">
        <f>CONCATENATE(J1111,"-",C1111)</f>
        <v>1231-42928</v>
      </c>
      <c r="E1111" s="20" t="str">
        <f>CONCATENATE(T1111,"-",U1111,"-",C1111)</f>
        <v>PO1-F8-42928</v>
      </c>
      <c r="F1111" s="20" t="s">
        <v>106</v>
      </c>
      <c r="G1111" s="20" t="s">
        <v>107</v>
      </c>
      <c r="H1111" s="16"/>
      <c r="I1111" s="16">
        <v>0</v>
      </c>
      <c r="J1111" s="21">
        <v>1231</v>
      </c>
      <c r="K1111" s="21">
        <v>1877</v>
      </c>
      <c r="L1111" s="16">
        <v>1</v>
      </c>
      <c r="M1111" s="21">
        <f>VLOOKUP($K1111,'[4]blood tubes 2017'!$D$1:$L$647,8,FALSE)</f>
        <v>0</v>
      </c>
      <c r="N1111" s="15">
        <v>0</v>
      </c>
      <c r="O1111" s="15" t="s">
        <v>214</v>
      </c>
      <c r="P1111" s="16" t="s">
        <v>110</v>
      </c>
      <c r="Q1111" s="16">
        <v>0</v>
      </c>
      <c r="R1111" s="16" t="s">
        <v>111</v>
      </c>
      <c r="S1111" s="16"/>
      <c r="T1111" s="16" t="s">
        <v>112</v>
      </c>
      <c r="U1111" s="16" t="s">
        <v>138</v>
      </c>
      <c r="V1111" s="16" t="s">
        <v>114</v>
      </c>
      <c r="W1111" s="16">
        <f>AI1111/AG1111</f>
        <v>0.74444444444444446</v>
      </c>
      <c r="X1111" s="16" t="s">
        <v>121</v>
      </c>
      <c r="Y1111" s="16" t="s">
        <v>110</v>
      </c>
      <c r="Z1111" s="16">
        <v>3</v>
      </c>
      <c r="AA1111" s="16" t="s">
        <v>161</v>
      </c>
      <c r="AB1111" s="16" t="s">
        <v>123</v>
      </c>
      <c r="AC1111" s="16" t="s">
        <v>123</v>
      </c>
      <c r="AD1111" s="16" t="s">
        <v>116</v>
      </c>
      <c r="AE1111" s="16"/>
      <c r="AF1111" s="16"/>
      <c r="AG1111" s="16">
        <f>AH1111-AI1111</f>
        <v>90</v>
      </c>
      <c r="AH1111" s="16">
        <v>157</v>
      </c>
      <c r="AI1111" s="16">
        <v>67</v>
      </c>
      <c r="AJ1111" s="16"/>
      <c r="AK1111" s="16">
        <v>16</v>
      </c>
      <c r="AL1111" s="16">
        <v>0</v>
      </c>
      <c r="AM1111" s="16">
        <v>0</v>
      </c>
      <c r="AN1111" s="16">
        <v>0</v>
      </c>
      <c r="AO1111" s="16">
        <v>0</v>
      </c>
      <c r="AP1111" s="16">
        <f>SUM(AL1111:AN1111)</f>
        <v>0</v>
      </c>
      <c r="AQ1111" s="16">
        <v>1.7190000000000001</v>
      </c>
      <c r="AR1111" s="16">
        <f>AP1111-1.472</f>
        <v>-1.472</v>
      </c>
      <c r="AS1111" s="16">
        <f>AQ1111-1.472</f>
        <v>0.24700000000000011</v>
      </c>
      <c r="AT1111" s="16" t="str">
        <f>VLOOKUP(K1111,'[5]FECs - good data'!$C$1:$P$575,13,FALSE)</f>
        <v>JB</v>
      </c>
      <c r="AU1111" s="16"/>
      <c r="AV1111" s="16"/>
      <c r="AW1111" s="18">
        <f>IF(AX1111&gt;0,1,0)</f>
        <v>1</v>
      </c>
      <c r="AX1111" s="18">
        <f>SUM(BA1111,BM1111,CT1111)</f>
        <v>5</v>
      </c>
      <c r="AY1111" s="18">
        <f>SUM(BB1111,BN1111,CV1111)</f>
        <v>2425.1012145748973</v>
      </c>
      <c r="AZ1111" s="18">
        <f>IF(BA1111&gt;0,1,0)</f>
        <v>1</v>
      </c>
      <c r="BA1111" s="18">
        <f>SUM(BC1111,BF1111,BI1111)</f>
        <v>3</v>
      </c>
      <c r="BB1111" s="18">
        <f>SUM(BE1111,BH1111,BK1111)</f>
        <v>2352.2267206477718</v>
      </c>
      <c r="BC1111" s="18">
        <f>IF(BD1111&gt;0,1,0)</f>
        <v>1</v>
      </c>
      <c r="BD1111" s="18">
        <f>VLOOKUP($K1111,'[5]FECs - good data'!$C$1:$Z$574,14,FALSE)</f>
        <v>109</v>
      </c>
      <c r="BE1111" s="16">
        <f>BD1111/AS1111</f>
        <v>441.29554655870425</v>
      </c>
      <c r="BF1111" s="16">
        <f>IF(BG1111&gt;0,1,0)</f>
        <v>1</v>
      </c>
      <c r="BG1111" s="77">
        <f>VLOOKUP($K1111,'[5]FECs - good data'!$C$1:$Z$574,15,FALSE)</f>
        <v>464</v>
      </c>
      <c r="BH1111" s="16">
        <f>BG1111/AS1111</f>
        <v>1878.5425101214566</v>
      </c>
      <c r="BI1111" s="16">
        <f>IF(BJ1111&gt;0,1,0)</f>
        <v>1</v>
      </c>
      <c r="BJ1111" s="16">
        <f>VLOOKUP($K1111,'[5]FECs - good data'!$C$1:$Z$574,16,FALSE)</f>
        <v>8</v>
      </c>
      <c r="BK1111" s="16">
        <f>BJ1111/AS1111</f>
        <v>32.388663967611322</v>
      </c>
      <c r="BL1111" s="16">
        <f>IF(BM1111&gt;0,1,0)</f>
        <v>1</v>
      </c>
      <c r="BM1111" s="16">
        <f>SUM(BR1111,BU1111,BX1111,CA1111,CD1111,CG1111,CJ1111,CM1111,CP1111)</f>
        <v>2</v>
      </c>
      <c r="BN1111" s="16">
        <f>SUM(BW1111,BZ1111,CC1111,CF1111,CI1111,CL1111,CO1111,CR1111,BT1111)</f>
        <v>72.874493927125471</v>
      </c>
      <c r="BO1111" s="16">
        <f>IF(BP1111&gt;0,1,0)</f>
        <v>1</v>
      </c>
      <c r="BP1111" s="16">
        <f>SUM(BU1111,BX1111,CA1111,CD1111,BR1111)</f>
        <v>1</v>
      </c>
      <c r="BQ1111" s="16">
        <f>SUM(BZ1111,CC1111,CF1111,BT1111,BW1111)</f>
        <v>64.777327935222644</v>
      </c>
      <c r="BR1111" s="16">
        <f>IF(BS1111&gt;0,1,0)</f>
        <v>1</v>
      </c>
      <c r="BS1111" s="16">
        <f>VLOOKUP($K1111,'[5]FECs - good data'!$C$1:$Z$574,17,FALSE)</f>
        <v>16</v>
      </c>
      <c r="BT1111" s="77">
        <f>BS1111/AS1111</f>
        <v>64.777327935222644</v>
      </c>
      <c r="BU1111" s="16">
        <f>IF(BV1111&gt;0,1,0)</f>
        <v>0</v>
      </c>
      <c r="BV1111" s="16">
        <f>VLOOKUP($K1111,'[5]FECs - good data'!$C$1:$Z$574,18,FALSE)</f>
        <v>0</v>
      </c>
      <c r="BW1111" s="16">
        <f>BV1111/AS1111</f>
        <v>0</v>
      </c>
      <c r="BX1111" s="16">
        <f>IF(BY1111&gt;0,1,0)</f>
        <v>0</v>
      </c>
      <c r="BY1111" s="16">
        <f>VLOOKUP($K1111,'[5]FECs - good data'!$C$1:$Z$574,19,FALSE)</f>
        <v>0</v>
      </c>
      <c r="BZ1111" s="16">
        <f>BY1111/AS1111</f>
        <v>0</v>
      </c>
      <c r="CA1111" s="16">
        <f>IF(CB1111&gt;0,1,0)</f>
        <v>0</v>
      </c>
      <c r="CB1111" s="16">
        <f>VLOOKUP($K1111,'[5]FECs - good data'!$C$1:$Z$574,20,FALSE)</f>
        <v>0</v>
      </c>
      <c r="CC1111" s="16">
        <f>CB1111/AS1111</f>
        <v>0</v>
      </c>
      <c r="CD1111" s="77">
        <f>IF(CE1111&gt;0,1,0)</f>
        <v>0</v>
      </c>
      <c r="CE1111" s="16">
        <f>VLOOKUP($K1111,'[5]FECs - good data'!$C$1:$Z$574,21,FALSE)</f>
        <v>0</v>
      </c>
      <c r="CF1111" s="16">
        <f>CE1111/AS1111</f>
        <v>0</v>
      </c>
      <c r="CG1111" s="16">
        <f>IF(CH1111&gt;0,1,0)</f>
        <v>0</v>
      </c>
      <c r="CH1111" s="16">
        <f>VLOOKUP($K1111,'[5]FECs - good data'!$C$1:$Z$574,22,FALSE)</f>
        <v>0</v>
      </c>
      <c r="CI1111" s="16">
        <f>CH1111/AS1111</f>
        <v>0</v>
      </c>
      <c r="CJ1111" s="16">
        <f>IF(CK1111&gt;0,1,0)</f>
        <v>1</v>
      </c>
      <c r="CK1111" s="16">
        <f>VLOOKUP($K1111,'[5]FECs - good data'!$C$1:$Z$674,24,FALSE)</f>
        <v>2</v>
      </c>
      <c r="CL1111" s="16">
        <f>CK1111/AS1111</f>
        <v>8.0971659919028305</v>
      </c>
      <c r="CM1111" s="16"/>
      <c r="CN1111" s="16"/>
      <c r="CO1111" s="16"/>
      <c r="CP1111" s="16"/>
      <c r="CQ1111" s="16"/>
      <c r="CR1111" s="16"/>
      <c r="CS1111" s="16">
        <f>IF(CT1111&gt;0,1,0)</f>
        <v>0</v>
      </c>
      <c r="CT1111" s="16">
        <f>SUM(CW1111+CZ1111,DC1111)</f>
        <v>0</v>
      </c>
      <c r="CU1111" s="16"/>
      <c r="CV1111" s="16">
        <f>SUM(CY1111,DB1111,DE1111)</f>
        <v>0</v>
      </c>
      <c r="CW1111" s="16">
        <f>IF(CX1111&gt;0,1,0)</f>
        <v>0</v>
      </c>
      <c r="CX1111" s="16">
        <f>VLOOKUP($K1111,'[5]FECs - good data'!$C$1:$Z$574,22,FALSE)</f>
        <v>0</v>
      </c>
      <c r="CY1111" s="16">
        <f>CX1111/AS1111</f>
        <v>0</v>
      </c>
      <c r="CZ1111" s="16">
        <f>IF(DA1111&gt;0,1,0)</f>
        <v>0</v>
      </c>
      <c r="DA1111" s="16">
        <f>VLOOKUP($K1111,'[5]FECs - good data'!$C$1:$Z$5982,23,FALSE)</f>
        <v>0</v>
      </c>
      <c r="DB1111" s="16">
        <f>DA1111/AS1111</f>
        <v>0</v>
      </c>
      <c r="DC1111" s="16">
        <f>IF(DD1111&gt;0,1,0)</f>
        <v>0</v>
      </c>
      <c r="DD1111" s="16">
        <f>VLOOKUP($K1111,'[5]FECs - good data'!$C$1:$Z$574,23,FALSE)</f>
        <v>0</v>
      </c>
      <c r="DE1111" s="16">
        <f>DD1111/AS1111</f>
        <v>0</v>
      </c>
      <c r="DF1111" s="16">
        <f>VLOOKUP(K1111,'[3]RNA Seq summary tables'!$V$3:$V$99,1,FALSE)</f>
        <v>1877</v>
      </c>
      <c r="DG1111" s="16"/>
      <c r="DH1111" s="16"/>
      <c r="DI1111" s="16"/>
      <c r="DJ1111" s="16"/>
      <c r="DK1111" s="16"/>
      <c r="DL1111" s="16"/>
      <c r="DM1111" s="16"/>
      <c r="DN1111" s="16"/>
      <c r="DO1111" s="16"/>
      <c r="DP1111" s="16"/>
      <c r="DQ1111" s="16"/>
      <c r="DR1111" s="16"/>
      <c r="DS1111" s="16"/>
      <c r="JO1111" s="16"/>
    </row>
    <row r="1112" spans="1:288" x14ac:dyDescent="0.2">
      <c r="B1112" s="16">
        <v>2017</v>
      </c>
      <c r="C1112" s="20">
        <v>42947</v>
      </c>
      <c r="D1112" s="20" t="str">
        <f>CONCATENATE(J1112,"-",C1112)</f>
        <v>1231-42947</v>
      </c>
      <c r="E1112" s="20" t="str">
        <f>CONCATENATE(T1112,"-",U1112,"-",C1112)</f>
        <v>PO1-G8-42947</v>
      </c>
      <c r="F1112" s="20" t="s">
        <v>106</v>
      </c>
      <c r="G1112" s="20" t="s">
        <v>107</v>
      </c>
      <c r="I1112" s="16">
        <v>0</v>
      </c>
      <c r="J1112" s="21">
        <v>1231</v>
      </c>
      <c r="K1112" s="21">
        <v>2018</v>
      </c>
      <c r="L1112" s="16">
        <v>1</v>
      </c>
      <c r="M1112" s="21">
        <f>VLOOKUP($K1112,'[4]blood tubes 2017'!$D$1:$L$647,8,FALSE)</f>
        <v>0</v>
      </c>
      <c r="N1112" s="15">
        <v>0</v>
      </c>
      <c r="O1112" s="15" t="s">
        <v>214</v>
      </c>
      <c r="P1112" s="16" t="s">
        <v>110</v>
      </c>
      <c r="Q1112" s="16">
        <v>1</v>
      </c>
      <c r="R1112" s="16">
        <v>19</v>
      </c>
      <c r="T1112" s="16" t="s">
        <v>112</v>
      </c>
      <c r="U1112" s="16" t="s">
        <v>216</v>
      </c>
      <c r="V1112" s="16" t="s">
        <v>114</v>
      </c>
      <c r="W1112" s="16">
        <f>AI1112/AG1112</f>
        <v>0.73404255319148937</v>
      </c>
      <c r="X1112" s="16" t="s">
        <v>121</v>
      </c>
      <c r="Y1112" s="16" t="s">
        <v>110</v>
      </c>
      <c r="Z1112" s="16">
        <v>3</v>
      </c>
      <c r="AA1112" s="16" t="s">
        <v>161</v>
      </c>
      <c r="AB1112" s="16" t="s">
        <v>239</v>
      </c>
      <c r="AC1112" s="16" t="s">
        <v>123</v>
      </c>
      <c r="AD1112" s="16" t="s">
        <v>116</v>
      </c>
      <c r="AG1112" s="16">
        <f>AH1112-AI1112</f>
        <v>94</v>
      </c>
      <c r="AH1112" s="16">
        <v>163</v>
      </c>
      <c r="AI1112" s="16">
        <v>69</v>
      </c>
      <c r="AK1112" s="16">
        <v>20</v>
      </c>
      <c r="AL1112" s="16">
        <v>0</v>
      </c>
      <c r="AM1112" s="16">
        <v>0</v>
      </c>
      <c r="AN1112" s="16">
        <v>0</v>
      </c>
      <c r="AO1112" s="16">
        <v>0</v>
      </c>
      <c r="AP1112" s="16">
        <f>SUM(AL1112:AN1112)</f>
        <v>0</v>
      </c>
      <c r="AQ1112" s="16">
        <v>1.8380000000000001</v>
      </c>
      <c r="AR1112" s="16">
        <f>AP1112-1.472</f>
        <v>-1.472</v>
      </c>
      <c r="AS1112" s="16">
        <f>AQ1112-1.472</f>
        <v>0.3660000000000001</v>
      </c>
      <c r="AT1112" s="16" t="str">
        <f>VLOOKUP(K1112,'[5]FECs - good data'!$C$1:$P$575,13,FALSE)</f>
        <v>NB</v>
      </c>
      <c r="AW1112" s="18">
        <f>IF(AX1112&gt;0,1,0)</f>
        <v>1</v>
      </c>
      <c r="AX1112" s="18">
        <f>SUM(BA1112,BM1112,CT1112)</f>
        <v>1</v>
      </c>
      <c r="AY1112" s="18">
        <f>SUM(BB1112,BN1112,CV1112)</f>
        <v>6382.5136612021843</v>
      </c>
      <c r="AZ1112" s="18">
        <f>IF(BA1112&gt;0,1,0)</f>
        <v>1</v>
      </c>
      <c r="BA1112" s="18">
        <f>SUM(BC1112,BF1112,BI1112)</f>
        <v>1</v>
      </c>
      <c r="BB1112" s="18">
        <f>SUM(BE1112,BH1112,BK1112)</f>
        <v>6382.5136612021843</v>
      </c>
      <c r="BC1112" s="18">
        <f>IF(BD1112&gt;0,1,0)</f>
        <v>0</v>
      </c>
      <c r="BD1112" s="18">
        <f>VLOOKUP($K1112,'[5]FECs - good data'!$C$1:$Z$574,14,FALSE)</f>
        <v>0</v>
      </c>
      <c r="BE1112" s="16">
        <f>BD1112/AS1112</f>
        <v>0</v>
      </c>
      <c r="BF1112" s="16">
        <f>IF(BG1112&gt;0,1,0)</f>
        <v>1</v>
      </c>
      <c r="BG1112" s="77">
        <f>VLOOKUP($K1112,'[5]FECs - good data'!$C$1:$Z$574,15,FALSE)</f>
        <v>2336</v>
      </c>
      <c r="BH1112" s="16">
        <f>BG1112/AS1112</f>
        <v>6382.5136612021843</v>
      </c>
      <c r="BI1112" s="16">
        <f>IF(BJ1112&gt;0,1,0)</f>
        <v>0</v>
      </c>
      <c r="BJ1112" s="16">
        <f>VLOOKUP($K1112,'[5]FECs - good data'!$C$1:$Z$574,16,FALSE)</f>
        <v>0</v>
      </c>
      <c r="BK1112" s="16">
        <f>BJ1112/AS1112</f>
        <v>0</v>
      </c>
      <c r="BL1112" s="16">
        <f>IF(BM1112&gt;0,1,0)</f>
        <v>0</v>
      </c>
      <c r="BM1112" s="16">
        <f>SUM(BR1112,BU1112,BX1112,CA1112,CD1112,CG1112,CJ1112,CM1112,CP1112)</f>
        <v>0</v>
      </c>
      <c r="BN1112" s="16">
        <f>SUM(BW1112,BZ1112,CC1112,CF1112,CI1112,CL1112,CO1112,CR1112,BT1112)</f>
        <v>0</v>
      </c>
      <c r="BO1112" s="16">
        <f>IF(BP1112&gt;0,1,0)</f>
        <v>0</v>
      </c>
      <c r="BP1112" s="16">
        <f>SUM(BU1112,BX1112,CA1112,CD1112,BR1112)</f>
        <v>0</v>
      </c>
      <c r="BQ1112" s="16">
        <f>SUM(BZ1112,CC1112,CF1112,BT1112,BW1112)</f>
        <v>0</v>
      </c>
      <c r="BR1112" s="16">
        <f>IF(BS1112&gt;0,1,0)</f>
        <v>0</v>
      </c>
      <c r="BS1112" s="16">
        <f>VLOOKUP($K1112,'[5]FECs - good data'!$C$1:$Z$574,17,FALSE)</f>
        <v>0</v>
      </c>
      <c r="BT1112" s="77">
        <f>BS1112/AS1112</f>
        <v>0</v>
      </c>
      <c r="BU1112" s="16">
        <f>IF(BV1112&gt;0,1,0)</f>
        <v>0</v>
      </c>
      <c r="BV1112" s="16">
        <f>VLOOKUP($K1112,'[5]FECs - good data'!$C$1:$Z$574,18,FALSE)</f>
        <v>0</v>
      </c>
      <c r="BW1112" s="16">
        <f>BV1112/AS1112</f>
        <v>0</v>
      </c>
      <c r="BX1112" s="16">
        <f>IF(BY1112&gt;0,1,0)</f>
        <v>0</v>
      </c>
      <c r="BY1112" s="16">
        <f>VLOOKUP($K1112,'[5]FECs - good data'!$C$1:$Z$574,19,FALSE)</f>
        <v>0</v>
      </c>
      <c r="BZ1112" s="16">
        <f>BY1112/AS1112</f>
        <v>0</v>
      </c>
      <c r="CA1112" s="16">
        <f>IF(CB1112&gt;0,1,0)</f>
        <v>0</v>
      </c>
      <c r="CB1112" s="16">
        <f>VLOOKUP($K1112,'[5]FECs - good data'!$C$1:$Z$574,20,FALSE)</f>
        <v>0</v>
      </c>
      <c r="CC1112" s="16">
        <f>CB1112/AS1112</f>
        <v>0</v>
      </c>
      <c r="CD1112" s="77">
        <f>IF(CE1112&gt;0,1,0)</f>
        <v>0</v>
      </c>
      <c r="CE1112" s="16">
        <f>VLOOKUP($K1112,'[5]FECs - good data'!$C$1:$Z$574,21,FALSE)</f>
        <v>0</v>
      </c>
      <c r="CF1112" s="16">
        <f>CE1112/AS1112</f>
        <v>0</v>
      </c>
      <c r="CG1112" s="16">
        <f>IF(CH1112&gt;0,1,0)</f>
        <v>0</v>
      </c>
      <c r="CH1112" s="16">
        <f>VLOOKUP($K1112,'[5]FECs - good data'!$C$1:$Z$574,22,FALSE)</f>
        <v>0</v>
      </c>
      <c r="CI1112" s="16">
        <f>CH1112/AS1112</f>
        <v>0</v>
      </c>
      <c r="CJ1112" s="16">
        <f>IF(CK1112&gt;0,1,0)</f>
        <v>0</v>
      </c>
      <c r="CK1112" s="16">
        <f>VLOOKUP($K1112,'[5]FECs - good data'!$C$1:$Z$674,24,FALSE)</f>
        <v>0</v>
      </c>
      <c r="CL1112" s="16">
        <f>CK1112/AS1112</f>
        <v>0</v>
      </c>
      <c r="CS1112" s="16">
        <f>IF(CT1112&gt;0,1,0)</f>
        <v>0</v>
      </c>
      <c r="CT1112" s="16">
        <f>SUM(CW1112+CZ1112,DC1112)</f>
        <v>0</v>
      </c>
      <c r="CV1112" s="16">
        <f>SUM(CY1112,DB1112,DE1112)</f>
        <v>0</v>
      </c>
      <c r="CW1112" s="16">
        <f>IF(CX1112&gt;0,1,0)</f>
        <v>0</v>
      </c>
      <c r="CX1112" s="16">
        <f>VLOOKUP($K1112,'[5]FECs - good data'!$C$1:$Z$574,22,FALSE)</f>
        <v>0</v>
      </c>
      <c r="CY1112" s="16">
        <f>CX1112/AS1112</f>
        <v>0</v>
      </c>
      <c r="CZ1112" s="16">
        <f>IF(DA1112&gt;0,1,0)</f>
        <v>0</v>
      </c>
      <c r="DA1112" s="16">
        <f>VLOOKUP($K1112,'[5]FECs - good data'!$C$1:$Z$5982,23,FALSE)</f>
        <v>0</v>
      </c>
      <c r="DB1112" s="16">
        <f>DA1112/AS1112</f>
        <v>0</v>
      </c>
      <c r="DC1112" s="16">
        <f>IF(DD1112&gt;0,1,0)</f>
        <v>0</v>
      </c>
      <c r="DD1112" s="16">
        <f>VLOOKUP($K1112,'[5]FECs - good data'!$C$1:$Z$574,23,FALSE)</f>
        <v>0</v>
      </c>
      <c r="DE1112" s="16">
        <f>DD1112/AS1112</f>
        <v>0</v>
      </c>
      <c r="DF1112" s="16">
        <f>VLOOKUP(K1112,'[3]RNA Seq summary tables'!$V$3:$V$99,1,FALSE)</f>
        <v>2018</v>
      </c>
      <c r="DG1112" s="16">
        <v>1</v>
      </c>
      <c r="DH1112" s="16" t="str">
        <f>VLOOKUP(D1112,'[6]workflow 3.2018'!$A$1:$S$237,2,FALSE)</f>
        <v>2017MLBS_86</v>
      </c>
    </row>
    <row r="1113" spans="1:288" x14ac:dyDescent="0.2">
      <c r="B1113" s="16">
        <v>2017</v>
      </c>
      <c r="C1113" s="20">
        <v>42964</v>
      </c>
      <c r="D1113" s="20" t="str">
        <f>CONCATENATE(J1113,"-",C1113)</f>
        <v>1231-42964</v>
      </c>
      <c r="E1113" s="20" t="str">
        <f>CONCATENATE(T1113,"-",U1113,"-",C1113)</f>
        <v>PO1-F8-42964</v>
      </c>
      <c r="F1113" s="20" t="s">
        <v>106</v>
      </c>
      <c r="G1113" s="20" t="s">
        <v>107</v>
      </c>
      <c r="I1113" s="16">
        <v>0</v>
      </c>
      <c r="J1113" s="21">
        <v>1231</v>
      </c>
      <c r="K1113" s="21">
        <v>2171</v>
      </c>
      <c r="L1113" s="16">
        <v>1</v>
      </c>
      <c r="M1113" s="21">
        <f>VLOOKUP($K1113,'[4]blood tubes 2017'!$D$1:$L$647,8,FALSE)</f>
        <v>0</v>
      </c>
      <c r="N1113" s="15">
        <v>0</v>
      </c>
      <c r="O1113" s="15" t="s">
        <v>214</v>
      </c>
      <c r="P1113" s="16" t="s">
        <v>110</v>
      </c>
      <c r="Q1113" s="16">
        <v>1</v>
      </c>
      <c r="R1113" s="16">
        <v>17</v>
      </c>
      <c r="T1113" s="16" t="s">
        <v>112</v>
      </c>
      <c r="U1113" s="16" t="s">
        <v>138</v>
      </c>
      <c r="V1113" s="16" t="s">
        <v>114</v>
      </c>
      <c r="W1113" s="16">
        <f>AI1113/AG1113</f>
        <v>0.72164948453608246</v>
      </c>
      <c r="X1113" s="16" t="s">
        <v>121</v>
      </c>
      <c r="Y1113" s="16" t="s">
        <v>110</v>
      </c>
      <c r="Z1113" s="16">
        <v>3</v>
      </c>
      <c r="AA1113" s="16" t="s">
        <v>161</v>
      </c>
      <c r="AB1113" s="16" t="s">
        <v>240</v>
      </c>
      <c r="AC1113" s="16" t="s">
        <v>123</v>
      </c>
      <c r="AD1113" s="16" t="s">
        <v>116</v>
      </c>
      <c r="AG1113" s="16">
        <f>AH1113-AI1113</f>
        <v>97</v>
      </c>
      <c r="AH1113" s="16">
        <v>167</v>
      </c>
      <c r="AI1113" s="16">
        <v>70</v>
      </c>
      <c r="AK1113" s="16">
        <v>18.5</v>
      </c>
      <c r="AL1113" s="16">
        <v>0</v>
      </c>
      <c r="AM1113" s="16">
        <v>0</v>
      </c>
      <c r="AN1113" s="16">
        <v>0</v>
      </c>
      <c r="AO1113" s="16">
        <v>0</v>
      </c>
      <c r="AP1113" s="16">
        <f>SUM(AL1113:AN1113)</f>
        <v>0</v>
      </c>
      <c r="AQ1113" s="16">
        <v>1.784</v>
      </c>
      <c r="AR1113" s="16">
        <f>AP1113-1.472</f>
        <v>-1.472</v>
      </c>
      <c r="AS1113" s="16">
        <f>AQ1113-1.472</f>
        <v>0.31200000000000006</v>
      </c>
      <c r="AT1113" s="16" t="str">
        <f>VLOOKUP(K1113,'[5]FECs - good data'!$C$1:$P$575,13,FALSE)</f>
        <v>JY</v>
      </c>
      <c r="AW1113" s="18">
        <f>IF(AX1113&gt;0,1,0)</f>
        <v>1</v>
      </c>
      <c r="AX1113" s="18">
        <f>SUM(BA1113,BM1113,CT1113)</f>
        <v>4</v>
      </c>
      <c r="AY1113" s="18">
        <f>SUM(BB1113,BN1113,CV1113)</f>
        <v>1269.2307692307691</v>
      </c>
      <c r="AZ1113" s="18">
        <f>IF(BA1113&gt;0,1,0)</f>
        <v>1</v>
      </c>
      <c r="BA1113" s="18">
        <f>SUM(BC1113,BF1113,BI1113)</f>
        <v>2</v>
      </c>
      <c r="BB1113" s="18">
        <f>SUM(BE1113,BH1113,BK1113)</f>
        <v>397.43589743589735</v>
      </c>
      <c r="BC1113" s="18">
        <f>IF(BD1113&gt;0,1,0)</f>
        <v>1</v>
      </c>
      <c r="BD1113" s="18">
        <f>VLOOKUP($K1113,'[5]FECs - good data'!$C$1:$Z$574,14,FALSE)</f>
        <v>4</v>
      </c>
      <c r="BE1113" s="16">
        <f>BD1113/AS1113</f>
        <v>12.820512820512818</v>
      </c>
      <c r="BF1113" s="16">
        <f>IF(BG1113&gt;0,1,0)</f>
        <v>1</v>
      </c>
      <c r="BG1113" s="77">
        <f>VLOOKUP($K1113,'[5]FECs - good data'!$C$1:$Z$574,15,FALSE)</f>
        <v>120</v>
      </c>
      <c r="BH1113" s="16">
        <f>BG1113/AS1113</f>
        <v>384.61538461538453</v>
      </c>
      <c r="BI1113" s="16">
        <f>IF(BJ1113&gt;0,1,0)</f>
        <v>0</v>
      </c>
      <c r="BJ1113" s="16">
        <f>VLOOKUP($K1113,'[5]FECs - good data'!$C$1:$Z$574,16,FALSE)</f>
        <v>0</v>
      </c>
      <c r="BK1113" s="16">
        <f>BJ1113/AS1113</f>
        <v>0</v>
      </c>
      <c r="BL1113" s="16">
        <f>IF(BM1113&gt;0,1,0)</f>
        <v>1</v>
      </c>
      <c r="BM1113" s="16">
        <f>SUM(BR1113,BU1113,BX1113,CA1113,CD1113,CG1113,CJ1113,CM1113,CP1113)</f>
        <v>1</v>
      </c>
      <c r="BN1113" s="16">
        <f>SUM(BW1113,BZ1113,CC1113,CF1113,CI1113,CL1113,CO1113,CR1113,BT1113)</f>
        <v>435.8974358974358</v>
      </c>
      <c r="BO1113" s="16">
        <f>IF(BP1113&gt;0,1,0)</f>
        <v>0</v>
      </c>
      <c r="BP1113" s="16">
        <f>SUM(BU1113,BX1113,CA1113,CD1113,BR1113)</f>
        <v>0</v>
      </c>
      <c r="BQ1113" s="16">
        <f>SUM(BZ1113,CC1113,CF1113,BT1113,BW1113)</f>
        <v>0</v>
      </c>
      <c r="BR1113" s="16">
        <f>IF(BS1113&gt;0,1,0)</f>
        <v>0</v>
      </c>
      <c r="BS1113" s="16">
        <f>VLOOKUP($K1113,'[5]FECs - good data'!$C$1:$Z$574,17,FALSE)</f>
        <v>0</v>
      </c>
      <c r="BT1113" s="77">
        <f>BS1113/AS1113</f>
        <v>0</v>
      </c>
      <c r="BU1113" s="16">
        <f>IF(BV1113&gt;0,1,0)</f>
        <v>0</v>
      </c>
      <c r="BV1113" s="16">
        <f>VLOOKUP($K1113,'[5]FECs - good data'!$C$1:$Z$574,18,FALSE)</f>
        <v>0</v>
      </c>
      <c r="BW1113" s="16">
        <f>BV1113/AS1113</f>
        <v>0</v>
      </c>
      <c r="BX1113" s="16">
        <f>IF(BY1113&gt;0,1,0)</f>
        <v>0</v>
      </c>
      <c r="BY1113" s="16">
        <f>VLOOKUP($K1113,'[5]FECs - good data'!$C$1:$Z$574,19,FALSE)</f>
        <v>0</v>
      </c>
      <c r="BZ1113" s="16">
        <f>BY1113/AS1113</f>
        <v>0</v>
      </c>
      <c r="CA1113" s="16">
        <f>IF(CB1113&gt;0,1,0)</f>
        <v>0</v>
      </c>
      <c r="CB1113" s="16">
        <f>VLOOKUP($K1113,'[5]FECs - good data'!$C$1:$Z$574,20,FALSE)</f>
        <v>0</v>
      </c>
      <c r="CC1113" s="16">
        <f>CB1113/AS1113</f>
        <v>0</v>
      </c>
      <c r="CD1113" s="77">
        <f>IF(CE1113&gt;0,1,0)</f>
        <v>0</v>
      </c>
      <c r="CE1113" s="16">
        <f>VLOOKUP($K1113,'[5]FECs - good data'!$C$1:$Z$574,21,FALSE)</f>
        <v>0</v>
      </c>
      <c r="CF1113" s="16">
        <f>CE1113/AS1113</f>
        <v>0</v>
      </c>
      <c r="CG1113" s="16">
        <f>IF(CH1113&gt;0,1,0)</f>
        <v>1</v>
      </c>
      <c r="CH1113" s="16">
        <f>VLOOKUP($K1113,'[5]FECs - good data'!$C$1:$Z$574,22,FALSE)</f>
        <v>136</v>
      </c>
      <c r="CI1113" s="16">
        <f>CH1113/AS1113</f>
        <v>435.8974358974358</v>
      </c>
      <c r="CJ1113" s="16">
        <f>IF(CK1113&gt;0,1,0)</f>
        <v>0</v>
      </c>
      <c r="CK1113" s="16">
        <f>VLOOKUP($K1113,'[5]FECs - good data'!$C$1:$Z$674,24,FALSE)</f>
        <v>0</v>
      </c>
      <c r="CL1113" s="16">
        <f>CK1113/AS1113</f>
        <v>0</v>
      </c>
      <c r="CS1113" s="16">
        <f>IF(CT1113&gt;0,1,0)</f>
        <v>1</v>
      </c>
      <c r="CT1113" s="16">
        <f>SUM(CW1113+CZ1113,DC1113)</f>
        <v>1</v>
      </c>
      <c r="CV1113" s="16">
        <f>SUM(CY1113,DB1113,DE1113)</f>
        <v>435.8974358974358</v>
      </c>
      <c r="CW1113" s="16">
        <f>IF(CX1113&gt;0,1,0)</f>
        <v>1</v>
      </c>
      <c r="CX1113" s="16">
        <f>VLOOKUP($K1113,'[5]FECs - good data'!$C$1:$Z$574,22,FALSE)</f>
        <v>136</v>
      </c>
      <c r="CY1113" s="16">
        <f>CX1113/AS1113</f>
        <v>435.8974358974358</v>
      </c>
      <c r="CZ1113" s="16">
        <f>IF(DA1113&gt;0,1,0)</f>
        <v>0</v>
      </c>
      <c r="DA1113" s="16">
        <f>VLOOKUP($K1113,'[5]FECs - good data'!$C$1:$Z$5982,23,FALSE)</f>
        <v>0</v>
      </c>
      <c r="DB1113" s="16">
        <f>DA1113/AS1113</f>
        <v>0</v>
      </c>
      <c r="DC1113" s="16">
        <f>IF(DD1113&gt;0,1,0)</f>
        <v>0</v>
      </c>
      <c r="DD1113" s="16">
        <f>VLOOKUP($K1113,'[5]FECs - good data'!$C$1:$Z$574,23,FALSE)</f>
        <v>0</v>
      </c>
      <c r="DE1113" s="16">
        <f>DD1113/AS1113</f>
        <v>0</v>
      </c>
      <c r="DF1113" s="16">
        <f>VLOOKUP(K1113,'[3]RNA Seq summary tables'!$V$3:$V$99,1,FALSE)</f>
        <v>2171</v>
      </c>
      <c r="DG1113" s="16">
        <v>1</v>
      </c>
      <c r="DH1113" s="16" t="str">
        <f>VLOOKUP(D1113,'[6]workflow 3.2018'!$A$1:$S$237,2,FALSE)</f>
        <v>2017MLBS_162</v>
      </c>
    </row>
    <row r="1114" spans="1:288" x14ac:dyDescent="0.2">
      <c r="B1114" s="16">
        <v>2017</v>
      </c>
      <c r="C1114" s="20">
        <v>42928</v>
      </c>
      <c r="D1114" s="20" t="str">
        <f>CONCATENATE(J1114,"-",C1114)</f>
        <v>1233-42928</v>
      </c>
      <c r="E1114" s="20" t="str">
        <f>CONCATENATE(T1114,"-",U1114,"-",C1114)</f>
        <v>PO2-E3-42928</v>
      </c>
      <c r="F1114" s="20" t="s">
        <v>106</v>
      </c>
      <c r="G1114" s="20" t="s">
        <v>107</v>
      </c>
      <c r="I1114" s="16">
        <v>0</v>
      </c>
      <c r="J1114" s="21">
        <v>1233</v>
      </c>
      <c r="K1114" s="21">
        <v>1881</v>
      </c>
      <c r="L1114" s="18">
        <v>0</v>
      </c>
      <c r="M1114" s="21">
        <f>VLOOKUP($K1114,'[4]blood tubes 2017'!$D$1:$L$647,8,FALSE)</f>
        <v>0</v>
      </c>
      <c r="N1114" s="15">
        <v>0</v>
      </c>
      <c r="O1114" s="15" t="s">
        <v>214</v>
      </c>
      <c r="P1114" s="16" t="s">
        <v>110</v>
      </c>
      <c r="Q1114" s="16">
        <v>0</v>
      </c>
      <c r="R1114" s="16" t="s">
        <v>111</v>
      </c>
      <c r="T1114" s="16" t="s">
        <v>127</v>
      </c>
      <c r="U1114" s="16" t="s">
        <v>225</v>
      </c>
      <c r="V1114" s="16" t="s">
        <v>114</v>
      </c>
      <c r="W1114" s="16">
        <f>AI1114/AG1114</f>
        <v>0.8666666666666667</v>
      </c>
      <c r="X1114" s="16" t="s">
        <v>121</v>
      </c>
      <c r="Y1114" s="16" t="s">
        <v>145</v>
      </c>
      <c r="Z1114" s="16">
        <v>1</v>
      </c>
      <c r="AA1114" s="16" t="s">
        <v>119</v>
      </c>
      <c r="AB1114" s="16" t="s">
        <v>123</v>
      </c>
      <c r="AC1114" s="16" t="s">
        <v>123</v>
      </c>
      <c r="AD1114" s="16" t="s">
        <v>123</v>
      </c>
      <c r="AG1114" s="16">
        <f>AH1114-AI1114</f>
        <v>75</v>
      </c>
      <c r="AH1114" s="16">
        <v>140</v>
      </c>
      <c r="AI1114" s="16">
        <v>65</v>
      </c>
      <c r="AK1114" s="16">
        <v>10.5</v>
      </c>
      <c r="AL1114" s="16">
        <v>1</v>
      </c>
      <c r="AM1114" s="16">
        <v>0</v>
      </c>
      <c r="AN1114" s="16">
        <v>0</v>
      </c>
      <c r="AO1114" s="16">
        <v>1</v>
      </c>
      <c r="AP1114" s="16">
        <f>SUM(AL1114:AN1114)</f>
        <v>1</v>
      </c>
      <c r="AQ1114" s="16">
        <v>1.8089999999999999</v>
      </c>
      <c r="AR1114" s="16">
        <f>AP1114-1.472</f>
        <v>-0.47199999999999998</v>
      </c>
      <c r="AS1114" s="16">
        <f>AQ1114-1.472</f>
        <v>0.33699999999999997</v>
      </c>
      <c r="AT1114" s="16" t="str">
        <f>VLOOKUP(K1114,'[5]FECs - good data'!$C$1:$P$575,13,FALSE)</f>
        <v>JB</v>
      </c>
      <c r="AU1114" s="18" t="s">
        <v>1293</v>
      </c>
      <c r="AV1114" s="16">
        <v>0</v>
      </c>
      <c r="AW1114" s="18">
        <f>IF(AX1114&gt;0,1,0)</f>
        <v>0</v>
      </c>
      <c r="AX1114" s="18">
        <f>SUM(BA1114,BM1114,CT1114)</f>
        <v>0</v>
      </c>
      <c r="AY1114" s="18">
        <f>SUM(BB1114,BN1114,CV1114)</f>
        <v>0</v>
      </c>
      <c r="AZ1114" s="18">
        <f>IF(BA1114&gt;0,1,0)</f>
        <v>0</v>
      </c>
      <c r="BA1114" s="18">
        <f>SUM(BC1114,BF1114,BI1114)</f>
        <v>0</v>
      </c>
      <c r="BB1114" s="18">
        <f>SUM(BE1114,BH1114,BK1114)</f>
        <v>0</v>
      </c>
      <c r="BC1114" s="18">
        <f>IF(BD1114&gt;0,1,0)</f>
        <v>0</v>
      </c>
      <c r="BD1114" s="18">
        <f>VLOOKUP($K1114,'[5]FECs - good data'!$C$1:$Z$574,14,FALSE)</f>
        <v>0</v>
      </c>
      <c r="BE1114" s="16">
        <f>BD1114/AS1114</f>
        <v>0</v>
      </c>
      <c r="BF1114" s="16">
        <f>IF(BG1114&gt;0,1,0)</f>
        <v>0</v>
      </c>
      <c r="BG1114" s="77">
        <f>VLOOKUP($K1114,'[5]FECs - good data'!$C$1:$Z$574,15,FALSE)</f>
        <v>0</v>
      </c>
      <c r="BH1114" s="16">
        <f>BG1114/AS1114</f>
        <v>0</v>
      </c>
      <c r="BI1114" s="16">
        <f>IF(BJ1114&gt;0,1,0)</f>
        <v>0</v>
      </c>
      <c r="BJ1114" s="16">
        <f>VLOOKUP($K1114,'[5]FECs - good data'!$C$1:$Z$574,16,FALSE)</f>
        <v>0</v>
      </c>
      <c r="BK1114" s="16">
        <f>BJ1114/AS1114</f>
        <v>0</v>
      </c>
      <c r="BL1114" s="16">
        <f>IF(BM1114&gt;0,1,0)</f>
        <v>0</v>
      </c>
      <c r="BM1114" s="16">
        <f>SUM(BR1114,BU1114,BX1114,CA1114,CD1114,CG1114,CJ1114,CM1114,CP1114)</f>
        <v>0</v>
      </c>
      <c r="BN1114" s="16">
        <f>SUM(BW1114,BZ1114,CC1114,CF1114,CI1114,CL1114,CO1114,CR1114,BT1114)</f>
        <v>0</v>
      </c>
      <c r="BO1114" s="16">
        <f>IF(BP1114&gt;0,1,0)</f>
        <v>0</v>
      </c>
      <c r="BP1114" s="16">
        <f>SUM(BU1114,BX1114,CA1114,CD1114,BR1114)</f>
        <v>0</v>
      </c>
      <c r="BQ1114" s="16">
        <f>SUM(BZ1114,CC1114,CF1114,BT1114,BW1114)</f>
        <v>0</v>
      </c>
      <c r="BR1114" s="16">
        <f>IF(BS1114&gt;0,1,0)</f>
        <v>0</v>
      </c>
      <c r="BS1114" s="16">
        <f>VLOOKUP($K1114,'[5]FECs - good data'!$C$1:$Z$574,17,FALSE)</f>
        <v>0</v>
      </c>
      <c r="BT1114" s="77">
        <f>BS1114/AS1114</f>
        <v>0</v>
      </c>
      <c r="BU1114" s="16">
        <f>IF(BV1114&gt;0,1,0)</f>
        <v>0</v>
      </c>
      <c r="BV1114" s="16">
        <f>VLOOKUP($K1114,'[5]FECs - good data'!$C$1:$Z$574,18,FALSE)</f>
        <v>0</v>
      </c>
      <c r="BW1114" s="16">
        <f>BV1114/AS1114</f>
        <v>0</v>
      </c>
      <c r="BX1114" s="16">
        <f>IF(BY1114&gt;0,1,0)</f>
        <v>0</v>
      </c>
      <c r="BY1114" s="16">
        <f>VLOOKUP($K1114,'[5]FECs - good data'!$C$1:$Z$574,19,FALSE)</f>
        <v>0</v>
      </c>
      <c r="BZ1114" s="16">
        <f>BY1114/AS1114</f>
        <v>0</v>
      </c>
      <c r="CA1114" s="16">
        <f>IF(CB1114&gt;0,1,0)</f>
        <v>0</v>
      </c>
      <c r="CB1114" s="16">
        <f>VLOOKUP($K1114,'[5]FECs - good data'!$C$1:$Z$574,20,FALSE)</f>
        <v>0</v>
      </c>
      <c r="CC1114" s="16">
        <f>CB1114/AS1114</f>
        <v>0</v>
      </c>
      <c r="CD1114" s="77">
        <f>IF(CE1114&gt;0,1,0)</f>
        <v>0</v>
      </c>
      <c r="CE1114" s="16">
        <f>VLOOKUP($K1114,'[5]FECs - good data'!$C$1:$Z$574,21,FALSE)</f>
        <v>0</v>
      </c>
      <c r="CF1114" s="16">
        <f>CE1114/AS1114</f>
        <v>0</v>
      </c>
      <c r="CG1114" s="16">
        <f>IF(CH1114&gt;0,1,0)</f>
        <v>0</v>
      </c>
      <c r="CH1114" s="16">
        <f>VLOOKUP($K1114,'[5]FECs - good data'!$C$1:$Z$574,22,FALSE)</f>
        <v>0</v>
      </c>
      <c r="CI1114" s="16">
        <f>CH1114/AS1114</f>
        <v>0</v>
      </c>
      <c r="CJ1114" s="16">
        <f>IF(CK1114&gt;0,1,0)</f>
        <v>0</v>
      </c>
      <c r="CK1114" s="16">
        <f>VLOOKUP($K1114,'[5]FECs - good data'!$C$1:$Z$674,24,FALSE)</f>
        <v>0</v>
      </c>
      <c r="CL1114" s="16">
        <f>CK1114/AS1114</f>
        <v>0</v>
      </c>
      <c r="CS1114" s="16">
        <f>IF(CT1114&gt;0,1,0)</f>
        <v>0</v>
      </c>
      <c r="CT1114" s="16">
        <f>SUM(CW1114+CZ1114,DC1114)</f>
        <v>0</v>
      </c>
      <c r="CV1114" s="16">
        <f>SUM(CY1114,DB1114,DE1114)</f>
        <v>0</v>
      </c>
      <c r="CW1114" s="16">
        <f>IF(CX1114&gt;0,1,0)</f>
        <v>0</v>
      </c>
      <c r="CX1114" s="16">
        <f>VLOOKUP($K1114,'[5]FECs - good data'!$C$1:$Z$574,22,FALSE)</f>
        <v>0</v>
      </c>
      <c r="CY1114" s="16">
        <f>CX1114/AS1114</f>
        <v>0</v>
      </c>
      <c r="CZ1114" s="16">
        <f>IF(DA1114&gt;0,1,0)</f>
        <v>0</v>
      </c>
      <c r="DA1114" s="16">
        <f>VLOOKUP($K1114,'[5]FECs - good data'!$C$1:$Z$5982,23,FALSE)</f>
        <v>0</v>
      </c>
      <c r="DB1114" s="16">
        <f>DA1114/AS1114</f>
        <v>0</v>
      </c>
      <c r="DC1114" s="16">
        <f>IF(DD1114&gt;0,1,0)</f>
        <v>0</v>
      </c>
      <c r="DD1114" s="16">
        <f>VLOOKUP($K1114,'[5]FECs - good data'!$C$1:$Z$574,23,FALSE)</f>
        <v>0</v>
      </c>
      <c r="DE1114" s="16">
        <f>DD1114/AS1114</f>
        <v>0</v>
      </c>
      <c r="DF1114" s="16" t="e">
        <f>VLOOKUP(K1114,'[3]RNA Seq summary tables'!$V$3:$V$99,1,FALSE)</f>
        <v>#N/A</v>
      </c>
      <c r="JR1114" s="27"/>
      <c r="JS1114" s="27"/>
      <c r="JT1114" s="27"/>
      <c r="JU1114" s="27"/>
      <c r="JV1114" s="27"/>
      <c r="JW1114" s="27"/>
      <c r="JX1114" s="27"/>
      <c r="JY1114" s="27"/>
      <c r="JZ1114" s="27"/>
      <c r="KA1114" s="27"/>
      <c r="KB1114" s="27"/>
    </row>
    <row r="1115" spans="1:288" ht="16" x14ac:dyDescent="0.2">
      <c r="B1115" s="16">
        <v>2017</v>
      </c>
      <c r="C1115" s="20">
        <v>42964</v>
      </c>
      <c r="D1115" s="20" t="str">
        <f>CONCATENATE(J1115,"-",C1115)</f>
        <v>1233-42964</v>
      </c>
      <c r="E1115" s="37" t="str">
        <f>CONCATENATE(T1115,"-",U1115,"-",C1115)</f>
        <v>PO2-F3-42964</v>
      </c>
      <c r="F1115" s="20" t="s">
        <v>106</v>
      </c>
      <c r="G1115" s="20" t="s">
        <v>107</v>
      </c>
      <c r="I1115" s="16">
        <v>0</v>
      </c>
      <c r="J1115" s="21">
        <v>1233</v>
      </c>
      <c r="K1115" s="21">
        <v>2180</v>
      </c>
      <c r="L1115" s="18">
        <v>0</v>
      </c>
      <c r="M1115" s="21">
        <f>VLOOKUP($K1115,'[4]blood tubes 2017'!$D$1:$L$647,8,FALSE)</f>
        <v>0</v>
      </c>
      <c r="N1115" s="15">
        <v>0</v>
      </c>
      <c r="O1115" s="15" t="s">
        <v>214</v>
      </c>
      <c r="P1115" s="16" t="s">
        <v>110</v>
      </c>
      <c r="Q1115" s="16">
        <v>1</v>
      </c>
      <c r="R1115" s="16">
        <v>36</v>
      </c>
      <c r="T1115" s="16" t="s">
        <v>127</v>
      </c>
      <c r="U1115" s="16" t="s">
        <v>182</v>
      </c>
      <c r="V1115" s="16" t="s">
        <v>114</v>
      </c>
      <c r="W1115" s="16">
        <f>AI1115/AG1115</f>
        <v>0.86206896551724133</v>
      </c>
      <c r="X1115" s="16" t="s">
        <v>121</v>
      </c>
      <c r="Y1115" s="16" t="s">
        <v>122</v>
      </c>
      <c r="Z1115" s="16">
        <v>2.9</v>
      </c>
      <c r="AA1115" s="16" t="s">
        <v>161</v>
      </c>
      <c r="AB1115" s="16" t="s">
        <v>123</v>
      </c>
      <c r="AC1115" s="16" t="s">
        <v>123</v>
      </c>
      <c r="AD1115" s="16" t="s">
        <v>116</v>
      </c>
      <c r="AG1115" s="16">
        <f>AH1115-AI1115</f>
        <v>87</v>
      </c>
      <c r="AH1115" s="16">
        <v>162</v>
      </c>
      <c r="AI1115" s="16">
        <v>75</v>
      </c>
      <c r="AK1115" s="16">
        <v>16.5</v>
      </c>
      <c r="AL1115" s="16">
        <v>0</v>
      </c>
      <c r="AM1115" s="16">
        <v>0</v>
      </c>
      <c r="AN1115" s="16">
        <v>0</v>
      </c>
      <c r="AO1115" s="16">
        <v>0</v>
      </c>
      <c r="AP1115" s="16">
        <f>SUM(AL1115:AN1115)</f>
        <v>0</v>
      </c>
      <c r="AQ1115" s="16">
        <v>1.589</v>
      </c>
      <c r="AR1115" s="16">
        <f>AP1115-1.472</f>
        <v>-1.472</v>
      </c>
      <c r="AS1115" s="16">
        <f>AQ1115-1.472</f>
        <v>0.11699999999999999</v>
      </c>
      <c r="AT1115" s="16" t="str">
        <f>VLOOKUP(E1115,[2]Current!$A$1:$W$435,7,FALSE)</f>
        <v>LV</v>
      </c>
      <c r="AU1115" s="16" t="s">
        <v>1288</v>
      </c>
      <c r="AW1115" s="128">
        <f>IF(AX1115&gt;0,1,0)</f>
        <v>1</v>
      </c>
      <c r="AX1115" s="128">
        <f>SUM(BA1115,BM1115,CU1115)</f>
        <v>3</v>
      </c>
      <c r="AY1115" s="128">
        <f>SUM(BB1115,BN1115,CV1115)</f>
        <v>202735.04273504275</v>
      </c>
      <c r="AZ1115" s="128">
        <f>IF(BA1115&gt;0,1,0)</f>
        <v>1</v>
      </c>
      <c r="BA1115" s="128">
        <f>SUM(BC1115+BF1115+BI1115)</f>
        <v>3</v>
      </c>
      <c r="BB1115" s="128">
        <f>SUM(BE1115,BH1115,BK1115)</f>
        <v>202735.04273504275</v>
      </c>
      <c r="BC1115" s="130">
        <f>IF(BD1115&gt;0,1,0)</f>
        <v>1</v>
      </c>
      <c r="BD1115" s="128">
        <f>VLOOKUP($E1115,[2]Current!$A:$AC,26,FALSE)</f>
        <v>2284</v>
      </c>
      <c r="BE1115" s="128">
        <f>BD1115/$AS1115</f>
        <v>19521.367521367523</v>
      </c>
      <c r="BF1115" s="130">
        <f>IF(BG1115&gt;0,1,0)</f>
        <v>1</v>
      </c>
      <c r="BG1115" s="137">
        <f>VLOOKUP($E1115,[2]Current!$A:$AC,27,FALSE)</f>
        <v>21360</v>
      </c>
      <c r="BH1115" s="128">
        <f>BG1115/$AS1115</f>
        <v>182564.10256410256</v>
      </c>
      <c r="BI1115" s="130">
        <f>IF(BJ1115&gt;0,1,0)</f>
        <v>1</v>
      </c>
      <c r="BJ1115" s="128">
        <f>VLOOKUP($E1115,[2]Current!$A:$AC,28,FALSE)</f>
        <v>76</v>
      </c>
      <c r="BK1115" s="128">
        <f>BJ1115/$AS1115</f>
        <v>649.57264957264965</v>
      </c>
      <c r="BL1115" s="128">
        <f>IF(BM1115&gt;0,1,0)</f>
        <v>0</v>
      </c>
      <c r="BM1115" s="128">
        <f>SUM(BR1115,BU1115,BX1115,CA1115,CD1115)</f>
        <v>0</v>
      </c>
      <c r="BN1115" s="131">
        <f>SUM(BT1115,BW1115,BZ1115,CC1115,CF1115)</f>
        <v>0</v>
      </c>
      <c r="BO1115" s="128">
        <f>IF(BP1115&gt;0,1,0)</f>
        <v>0</v>
      </c>
      <c r="BP1115" s="128">
        <f>BM1115+CJ1115</f>
        <v>0</v>
      </c>
      <c r="BQ1115" s="128">
        <f>BN1115+CL1115</f>
        <v>0</v>
      </c>
      <c r="BR1115" s="130">
        <f>IF(BS1115&gt;0,1,0)</f>
        <v>0</v>
      </c>
      <c r="BS1115" s="128">
        <f>VLOOKUP($E1115,[2]Current!$A:$AC,12,FALSE)</f>
        <v>0</v>
      </c>
      <c r="BT1115" s="137">
        <f>BS1115/$AS1115</f>
        <v>0</v>
      </c>
      <c r="BU1115" s="130">
        <f>IF(BV1115&gt;0,1,0)</f>
        <v>0</v>
      </c>
      <c r="BV1115" s="128">
        <f>VLOOKUP($E1115,[2]Current!$A:$AC,13,FALSE)</f>
        <v>0</v>
      </c>
      <c r="BW1115" s="128">
        <f>BV1115/$AS1115</f>
        <v>0</v>
      </c>
      <c r="BX1115" s="130">
        <f>IF(BY1115&gt;0,1,0)</f>
        <v>0</v>
      </c>
      <c r="BY1115" s="128">
        <f>VLOOKUP($E1115,[2]Current!$A:$AC,14,FALSE)</f>
        <v>0</v>
      </c>
      <c r="BZ1115" s="128">
        <f>BY1115/$AS1115</f>
        <v>0</v>
      </c>
      <c r="CA1115" s="130">
        <f>IF(CB1115&gt;0,1,0)</f>
        <v>0</v>
      </c>
      <c r="CB1115" s="128">
        <f>VLOOKUP($E1115,[2]Current!$A:$AC,15,FALSE)</f>
        <v>0</v>
      </c>
      <c r="CC1115" s="128">
        <f>CB1115/$AS1115</f>
        <v>0</v>
      </c>
      <c r="CD1115" s="174">
        <f>IF(CE1115&gt;0,1,0)</f>
        <v>0</v>
      </c>
      <c r="CE1115" s="128">
        <f>VLOOKUP($E1115,[2]Current!$A:$AC,16,FALSE)</f>
        <v>0</v>
      </c>
      <c r="CF1115" s="128">
        <f>CE1115/$AS1115</f>
        <v>0</v>
      </c>
      <c r="CG1115" s="18"/>
      <c r="CH1115" s="18"/>
      <c r="CI1115" s="18"/>
      <c r="CJ1115" s="130">
        <f>IF(CK1115&gt;0,1,0)</f>
        <v>0</v>
      </c>
      <c r="CK1115" s="128">
        <f>VLOOKUP($E1115,[2]Current!$A:$AC,18,FALSE)</f>
        <v>0</v>
      </c>
      <c r="CL1115" s="128">
        <f>CK1115/$AS1115</f>
        <v>0</v>
      </c>
      <c r="CS1115" s="130">
        <f>IF(CU1115&gt;0,1,0)</f>
        <v>0</v>
      </c>
      <c r="CU1115" s="128">
        <f>VLOOKUP($E1115,[2]Current!$A:$AC,17,FALSE)</f>
        <v>0</v>
      </c>
      <c r="CV1115" s="128">
        <f>CU1115/$AS1115</f>
        <v>0</v>
      </c>
      <c r="CW1115" s="18"/>
      <c r="CX1115" s="18"/>
      <c r="CY1115" s="18"/>
      <c r="DF1115" s="16" t="e">
        <f>VLOOKUP(K1115,'[3]RNA Seq summary tables'!$V$3:$V$99,1,FALSE)</f>
        <v>#N/A</v>
      </c>
      <c r="DG1115" s="16">
        <v>1</v>
      </c>
      <c r="DH1115" s="16" t="str">
        <f>VLOOKUP(D1115,'[6]workflow 3.2018'!$A$1:$S$237,2,FALSE)</f>
        <v>2017MLBS_169</v>
      </c>
    </row>
    <row r="1116" spans="1:288" ht="16" x14ac:dyDescent="0.2">
      <c r="B1116" s="16">
        <v>2017</v>
      </c>
      <c r="C1116" s="20">
        <v>42975</v>
      </c>
      <c r="D1116" s="20" t="str">
        <f>CONCATENATE(J1116,"-",C1116)</f>
        <v>1233-42975</v>
      </c>
      <c r="E1116" s="37" t="str">
        <f>CONCATENATE(T1116,"-",U1116,"-",C1116)</f>
        <v>PO2-E3-42975</v>
      </c>
      <c r="F1116" s="37" t="s">
        <v>224</v>
      </c>
      <c r="G1116" s="20" t="s">
        <v>107</v>
      </c>
      <c r="I1116" s="16">
        <v>0</v>
      </c>
      <c r="J1116" s="21">
        <v>1233</v>
      </c>
      <c r="K1116" s="21">
        <v>2289</v>
      </c>
      <c r="L1116" s="18">
        <v>0</v>
      </c>
      <c r="M1116" s="21">
        <f>VLOOKUP($K1116,'[4]blood tubes 2017'!$D$1:$L$947,8,FALSE)</f>
        <v>0</v>
      </c>
      <c r="N1116" s="15">
        <v>0</v>
      </c>
      <c r="O1116" s="15" t="s">
        <v>214</v>
      </c>
      <c r="P1116" s="16" t="s">
        <v>110</v>
      </c>
      <c r="Q1116" s="16">
        <v>1</v>
      </c>
      <c r="R1116" s="16">
        <v>11</v>
      </c>
      <c r="T1116" s="16" t="s">
        <v>127</v>
      </c>
      <c r="U1116" s="16" t="s">
        <v>225</v>
      </c>
      <c r="V1116" s="16" t="s">
        <v>114</v>
      </c>
      <c r="W1116" s="16">
        <f>AI1116/AG1116</f>
        <v>0.90697674418604646</v>
      </c>
      <c r="X1116" s="16" t="s">
        <v>121</v>
      </c>
      <c r="Y1116" s="16" t="s">
        <v>110</v>
      </c>
      <c r="Z1116" s="16">
        <v>3</v>
      </c>
      <c r="AA1116" s="16" t="s">
        <v>161</v>
      </c>
      <c r="AB1116" s="16" t="s">
        <v>123</v>
      </c>
      <c r="AC1116" s="16" t="s">
        <v>123</v>
      </c>
      <c r="AD1116" s="16" t="s">
        <v>116</v>
      </c>
      <c r="AG1116" s="16">
        <f>AH1116-AI1116</f>
        <v>86</v>
      </c>
      <c r="AH1116" s="16">
        <v>164</v>
      </c>
      <c r="AI1116" s="16">
        <v>78</v>
      </c>
      <c r="AK1116" s="16">
        <v>17.5</v>
      </c>
      <c r="AL1116" s="16">
        <v>0</v>
      </c>
      <c r="AM1116" s="16">
        <v>1</v>
      </c>
      <c r="AN1116" s="16">
        <v>0</v>
      </c>
      <c r="AO1116" s="16">
        <v>1</v>
      </c>
      <c r="AP1116" s="16">
        <f>SUM(AL1116:AN1116)</f>
        <v>1</v>
      </c>
      <c r="AQ1116" s="16">
        <v>1.81</v>
      </c>
      <c r="AR1116" s="16">
        <f>AP1116-1.472</f>
        <v>-0.47199999999999998</v>
      </c>
      <c r="AS1116" s="16">
        <f>AQ1116-1.472</f>
        <v>0.33800000000000008</v>
      </c>
      <c r="AT1116" s="16" t="str">
        <f>VLOOKUP(E1116,[2]Current!$A$1:$W$435,7,FALSE)</f>
        <v>NB</v>
      </c>
      <c r="AU1116" s="16" t="s">
        <v>1288</v>
      </c>
      <c r="AW1116" s="128">
        <f>IF(AX1116&gt;0,1,0)</f>
        <v>1</v>
      </c>
      <c r="AX1116" s="128">
        <f>SUM(BA1116,BM1116,CU1116)</f>
        <v>2</v>
      </c>
      <c r="AY1116" s="128">
        <f>SUM(BB1116,BN1116,CV1116)</f>
        <v>2792.8994082840231</v>
      </c>
      <c r="AZ1116" s="128">
        <f>IF(BA1116&gt;0,1,0)</f>
        <v>1</v>
      </c>
      <c r="BA1116" s="128">
        <f>SUM(BC1116+BF1116+BI1116)</f>
        <v>2</v>
      </c>
      <c r="BB1116" s="128">
        <f>SUM(BE1116,BH1116,BK1116)</f>
        <v>2792.8994082840231</v>
      </c>
      <c r="BC1116" s="130">
        <f>IF(BD1116&gt;0,1,0)</f>
        <v>1</v>
      </c>
      <c r="BD1116" s="128">
        <f>VLOOKUP($E1116,[2]Current!$A:$AC,26,FALSE)</f>
        <v>540</v>
      </c>
      <c r="BE1116" s="128">
        <f>BD1116/$AS1116</f>
        <v>1597.6331360946742</v>
      </c>
      <c r="BF1116" s="130">
        <f>IF(BG1116&gt;0,1,0)</f>
        <v>0</v>
      </c>
      <c r="BG1116" s="137">
        <f>VLOOKUP($E1116,[2]Current!$A:$AC,27,FALSE)</f>
        <v>0</v>
      </c>
      <c r="BH1116" s="128">
        <f>BG1116/$AS1116</f>
        <v>0</v>
      </c>
      <c r="BI1116" s="130">
        <f>IF(BJ1116&gt;0,1,0)</f>
        <v>1</v>
      </c>
      <c r="BJ1116" s="128">
        <f>VLOOKUP($E1116,[2]Current!$A:$AC,28,FALSE)</f>
        <v>404</v>
      </c>
      <c r="BK1116" s="128">
        <f>BJ1116/$AS1116</f>
        <v>1195.2662721893489</v>
      </c>
      <c r="BL1116" s="128">
        <f>IF(BM1116&gt;0,1,0)</f>
        <v>0</v>
      </c>
      <c r="BM1116" s="128">
        <f>SUM(BR1116,BU1116,BX1116,CA1116,CD1116)</f>
        <v>0</v>
      </c>
      <c r="BN1116" s="131">
        <f>SUM(BT1116,BW1116,BZ1116,CC1116,CF1116)</f>
        <v>0</v>
      </c>
      <c r="BO1116" s="128">
        <f>IF(BP1116&gt;0,1,0)</f>
        <v>0</v>
      </c>
      <c r="BP1116" s="128">
        <f>BM1116+CJ1116</f>
        <v>0</v>
      </c>
      <c r="BQ1116" s="128">
        <f>BN1116+CL1116</f>
        <v>0</v>
      </c>
      <c r="BR1116" s="130">
        <f>IF(BS1116&gt;0,1,0)</f>
        <v>0</v>
      </c>
      <c r="BS1116" s="128">
        <f>VLOOKUP($E1116,[2]Current!$A:$AC,12,FALSE)</f>
        <v>0</v>
      </c>
      <c r="BT1116" s="137">
        <f>BS1116/$AS1116</f>
        <v>0</v>
      </c>
      <c r="BU1116" s="130">
        <f>IF(BV1116&gt;0,1,0)</f>
        <v>0</v>
      </c>
      <c r="BV1116" s="128">
        <f>VLOOKUP($E1116,[2]Current!$A:$AC,13,FALSE)</f>
        <v>0</v>
      </c>
      <c r="BW1116" s="128">
        <f>BV1116/$AS1116</f>
        <v>0</v>
      </c>
      <c r="BX1116" s="130">
        <f>IF(BY1116&gt;0,1,0)</f>
        <v>0</v>
      </c>
      <c r="BY1116" s="128">
        <f>VLOOKUP($E1116,[2]Current!$A:$AC,14,FALSE)</f>
        <v>0</v>
      </c>
      <c r="BZ1116" s="128">
        <f>BY1116/$AS1116</f>
        <v>0</v>
      </c>
      <c r="CA1116" s="130">
        <f>IF(CB1116&gt;0,1,0)</f>
        <v>0</v>
      </c>
      <c r="CB1116" s="128">
        <f>VLOOKUP($E1116,[2]Current!$A:$AC,15,FALSE)</f>
        <v>0</v>
      </c>
      <c r="CC1116" s="128">
        <f>CB1116/$AS1116</f>
        <v>0</v>
      </c>
      <c r="CD1116" s="174">
        <f>IF(CE1116&gt;0,1,0)</f>
        <v>0</v>
      </c>
      <c r="CE1116" s="128">
        <f>VLOOKUP($E1116,[2]Current!$A:$AC,16,FALSE)</f>
        <v>0</v>
      </c>
      <c r="CF1116" s="128">
        <f>CE1116/$AS1116</f>
        <v>0</v>
      </c>
      <c r="CG1116" s="18"/>
      <c r="CH1116" s="18"/>
      <c r="CI1116" s="18"/>
      <c r="CJ1116" s="130">
        <f>IF(CK1116&gt;0,1,0)</f>
        <v>0</v>
      </c>
      <c r="CK1116" s="128">
        <f>VLOOKUP($E1116,[2]Current!$A:$AC,18,FALSE)</f>
        <v>0</v>
      </c>
      <c r="CL1116" s="128">
        <f>CK1116/$AS1116</f>
        <v>0</v>
      </c>
      <c r="CS1116" s="130">
        <f>IF(CU1116&gt;0,1,0)</f>
        <v>0</v>
      </c>
      <c r="CU1116" s="128">
        <f>VLOOKUP($E1116,[2]Current!$A:$AC,17,FALSE)</f>
        <v>0</v>
      </c>
      <c r="CV1116" s="128">
        <f>CU1116/$AS1116</f>
        <v>0</v>
      </c>
      <c r="CW1116" s="18"/>
      <c r="CX1116" s="18"/>
      <c r="CY1116" s="18"/>
      <c r="DF1116" s="16" t="e">
        <f>VLOOKUP(K1116,'[3]RNA Seq summary tables'!$V$3:$V$99,1,FALSE)</f>
        <v>#N/A</v>
      </c>
      <c r="DG1116" s="16">
        <v>1</v>
      </c>
      <c r="DH1116" s="16" t="str">
        <f>VLOOKUP(D1116,'[6]workflow 3.2018'!$A$1:$S$237,2,FALSE)</f>
        <v>2017MLBS_209</v>
      </c>
    </row>
    <row r="1117" spans="1:288" ht="16" x14ac:dyDescent="0.2">
      <c r="B1117" s="16">
        <v>2017</v>
      </c>
      <c r="C1117" s="20">
        <v>42929</v>
      </c>
      <c r="D1117" s="20" t="str">
        <f>CONCATENATE(J1117,"-",C1117)</f>
        <v>1235-42929</v>
      </c>
      <c r="E1117" s="37" t="str">
        <f>CONCATENATE(T1117,"-",U1117,"-",C1117)</f>
        <v>PO1-C3-42929</v>
      </c>
      <c r="F1117" s="20" t="s">
        <v>106</v>
      </c>
      <c r="G1117" s="20" t="s">
        <v>107</v>
      </c>
      <c r="I1117" s="16">
        <v>0</v>
      </c>
      <c r="J1117" s="21">
        <v>1235</v>
      </c>
      <c r="K1117" s="21">
        <v>1884</v>
      </c>
      <c r="L1117" s="18">
        <v>0</v>
      </c>
      <c r="M1117" s="21">
        <f>VLOOKUP($K1117,'[4]blood tubes 2017'!$D$1:$L$647,8,FALSE)</f>
        <v>0</v>
      </c>
      <c r="N1117" s="15">
        <v>0</v>
      </c>
      <c r="O1117" s="15" t="s">
        <v>214</v>
      </c>
      <c r="P1117" s="16" t="s">
        <v>110</v>
      </c>
      <c r="Q1117" s="16">
        <v>0</v>
      </c>
      <c r="R1117" s="16" t="s">
        <v>111</v>
      </c>
      <c r="T1117" s="16" t="s">
        <v>112</v>
      </c>
      <c r="U1117" s="16" t="s">
        <v>237</v>
      </c>
      <c r="V1117" s="16" t="s">
        <v>114</v>
      </c>
      <c r="W1117" s="16">
        <f>AI1117/AG1117</f>
        <v>0.8214285714285714</v>
      </c>
      <c r="X1117" s="16" t="s">
        <v>115</v>
      </c>
      <c r="Y1117" s="16" t="s">
        <v>110</v>
      </c>
      <c r="Z1117" s="16">
        <v>3</v>
      </c>
      <c r="AE1117" s="16" t="s">
        <v>116</v>
      </c>
      <c r="AF1117" s="16" t="s">
        <v>116</v>
      </c>
      <c r="AG1117" s="16">
        <f>AH1117-AI1117</f>
        <v>84</v>
      </c>
      <c r="AH1117" s="16">
        <v>153</v>
      </c>
      <c r="AI1117" s="16">
        <v>69</v>
      </c>
      <c r="AK1117" s="16">
        <v>16.5</v>
      </c>
      <c r="AL1117" s="16">
        <v>0</v>
      </c>
      <c r="AM1117" s="16">
        <v>0</v>
      </c>
      <c r="AN1117" s="16">
        <v>0</v>
      </c>
      <c r="AO1117" s="16">
        <v>0</v>
      </c>
      <c r="AP1117" s="16">
        <f>SUM(AL1117:AN1117)</f>
        <v>0</v>
      </c>
      <c r="AQ1117" s="16">
        <v>1.65</v>
      </c>
      <c r="AR1117" s="16">
        <f>AP1117-1.472</f>
        <v>-1.472</v>
      </c>
      <c r="AS1117" s="16">
        <f>AQ1117-1.472</f>
        <v>0.17799999999999994</v>
      </c>
      <c r="AT1117" s="16" t="str">
        <f>VLOOKUP(E1117,[2]Current!$A$1:$W$435,7,FALSE)</f>
        <v>TE</v>
      </c>
      <c r="AU1117" s="16" t="s">
        <v>1288</v>
      </c>
      <c r="AW1117" s="128">
        <f>IF(AX1117&gt;0,1,0)</f>
        <v>1</v>
      </c>
      <c r="AX1117" s="128">
        <f>SUM(BA1117,BM1117,CU1117)</f>
        <v>2</v>
      </c>
      <c r="AY1117" s="128">
        <f>SUM(BB1117,BN1117,CV1117)</f>
        <v>3584.2696629213497</v>
      </c>
      <c r="AZ1117" s="128">
        <f>IF(BA1117&gt;0,1,0)</f>
        <v>1</v>
      </c>
      <c r="BA1117" s="128">
        <f>SUM(BC1117+BF1117+BI1117)</f>
        <v>2</v>
      </c>
      <c r="BB1117" s="128">
        <f>SUM(BE1117,BH1117,BK1117)</f>
        <v>3584.2696629213497</v>
      </c>
      <c r="BC1117" s="130">
        <f>IF(BD1117&gt;0,1,0)</f>
        <v>1</v>
      </c>
      <c r="BD1117" s="128">
        <f>VLOOKUP($E1117,[2]Current!$A:$AC,26,FALSE)</f>
        <v>62</v>
      </c>
      <c r="BE1117" s="128">
        <f>BD1117/$AS1117</f>
        <v>348.31460674157319</v>
      </c>
      <c r="BF1117" s="130">
        <f>IF(BG1117&gt;0,1,0)</f>
        <v>1</v>
      </c>
      <c r="BG1117" s="137">
        <f>VLOOKUP($E1117,[2]Current!$A:$AC,27,FALSE)</f>
        <v>576</v>
      </c>
      <c r="BH1117" s="128">
        <f>BG1117/$AS1117</f>
        <v>3235.9550561797764</v>
      </c>
      <c r="BI1117" s="130">
        <f>IF(BJ1117&gt;0,1,0)</f>
        <v>0</v>
      </c>
      <c r="BJ1117" s="128">
        <f>VLOOKUP($E1117,[2]Current!$A:$AC,28,FALSE)</f>
        <v>0</v>
      </c>
      <c r="BK1117" s="128">
        <f>BJ1117/$AS1117</f>
        <v>0</v>
      </c>
      <c r="BL1117" s="128">
        <f>IF(BM1117&gt;0,1,0)</f>
        <v>0</v>
      </c>
      <c r="BM1117" s="128">
        <f>SUM(BR1117,BU1117,BX1117,CA1117,CD1117)</f>
        <v>0</v>
      </c>
      <c r="BN1117" s="131">
        <f>SUM(BT1117,BW1117,BZ1117,CC1117,CF1117)</f>
        <v>0</v>
      </c>
      <c r="BO1117" s="128">
        <f>IF(BP1117&gt;0,1,0)</f>
        <v>0</v>
      </c>
      <c r="BP1117" s="128">
        <f>BM1117+CJ1117</f>
        <v>0</v>
      </c>
      <c r="BQ1117" s="128">
        <f>BN1117+CL1117</f>
        <v>0</v>
      </c>
      <c r="BR1117" s="130">
        <f>IF(BS1117&gt;0,1,0)</f>
        <v>0</v>
      </c>
      <c r="BS1117" s="128">
        <f>VLOOKUP($E1117,[2]Current!$A:$AC,12,FALSE)</f>
        <v>0</v>
      </c>
      <c r="BT1117" s="137">
        <f>BS1117/$AS1117</f>
        <v>0</v>
      </c>
      <c r="BU1117" s="130">
        <f>IF(BV1117&gt;0,1,0)</f>
        <v>0</v>
      </c>
      <c r="BV1117" s="128">
        <f>VLOOKUP($E1117,[2]Current!$A:$AC,13,FALSE)</f>
        <v>0</v>
      </c>
      <c r="BW1117" s="128">
        <f>BV1117/$AS1117</f>
        <v>0</v>
      </c>
      <c r="BX1117" s="130">
        <f>IF(BY1117&gt;0,1,0)</f>
        <v>0</v>
      </c>
      <c r="BY1117" s="128">
        <f>VLOOKUP($E1117,[2]Current!$A:$AC,14,FALSE)</f>
        <v>0</v>
      </c>
      <c r="BZ1117" s="128">
        <f>BY1117/$AS1117</f>
        <v>0</v>
      </c>
      <c r="CA1117" s="130">
        <f>IF(CB1117&gt;0,1,0)</f>
        <v>0</v>
      </c>
      <c r="CB1117" s="128">
        <f>VLOOKUP($E1117,[2]Current!$A:$AC,15,FALSE)</f>
        <v>0</v>
      </c>
      <c r="CC1117" s="128">
        <f>CB1117/$AS1117</f>
        <v>0</v>
      </c>
      <c r="CD1117" s="174">
        <f>IF(CE1117&gt;0,1,0)</f>
        <v>0</v>
      </c>
      <c r="CE1117" s="128">
        <f>VLOOKUP($E1117,[2]Current!$A:$AC,16,FALSE)</f>
        <v>0</v>
      </c>
      <c r="CF1117" s="128">
        <f>CE1117/$AS1117</f>
        <v>0</v>
      </c>
      <c r="CG1117" s="18"/>
      <c r="CH1117" s="18"/>
      <c r="CI1117" s="18"/>
      <c r="CJ1117" s="130">
        <f>IF(CK1117&gt;0,1,0)</f>
        <v>0</v>
      </c>
      <c r="CK1117" s="128">
        <f>VLOOKUP($E1117,[2]Current!$A:$AC,18,FALSE)</f>
        <v>0</v>
      </c>
      <c r="CL1117" s="128">
        <f>CK1117/$AS1117</f>
        <v>0</v>
      </c>
      <c r="CS1117" s="130">
        <f>IF(CU1117&gt;0,1,0)</f>
        <v>0</v>
      </c>
      <c r="CU1117" s="128">
        <f>VLOOKUP($E1117,[2]Current!$A:$AC,17,FALSE)</f>
        <v>0</v>
      </c>
      <c r="CV1117" s="128">
        <f>CU1117/$AS1117</f>
        <v>0</v>
      </c>
      <c r="CW1117" s="18"/>
      <c r="CX1117" s="18"/>
      <c r="CY1117" s="18"/>
      <c r="DF1117" s="16" t="e">
        <f>VLOOKUP(K1117,'[3]RNA Seq summary tables'!$V$3:$V$99,1,FALSE)</f>
        <v>#N/A</v>
      </c>
      <c r="JR1117" s="26"/>
      <c r="JS1117" s="26"/>
      <c r="JT1117" s="26"/>
      <c r="JU1117" s="26"/>
      <c r="JV1117" s="26"/>
      <c r="JW1117" s="26"/>
      <c r="JX1117" s="26"/>
      <c r="JY1117" s="26"/>
      <c r="JZ1117" s="26"/>
      <c r="KA1117" s="26"/>
      <c r="KB1117" s="26"/>
    </row>
    <row r="1118" spans="1:288" ht="16" x14ac:dyDescent="0.2">
      <c r="B1118" s="16">
        <v>2017</v>
      </c>
      <c r="C1118" s="20">
        <v>42929</v>
      </c>
      <c r="D1118" s="20" t="str">
        <f>CONCATENATE(J1118,"-",C1118)</f>
        <v>1237-42929</v>
      </c>
      <c r="E1118" s="37" t="str">
        <f>CONCATENATE(T1118,"-",U1118,"-",C1118)</f>
        <v>PO1-H6-42929</v>
      </c>
      <c r="F1118" s="20" t="s">
        <v>106</v>
      </c>
      <c r="G1118" s="20" t="s">
        <v>107</v>
      </c>
      <c r="I1118" s="16">
        <v>0</v>
      </c>
      <c r="J1118" s="21">
        <v>1237</v>
      </c>
      <c r="K1118" s="21">
        <v>1887</v>
      </c>
      <c r="L1118" s="18">
        <v>0</v>
      </c>
      <c r="M1118" s="21">
        <f>VLOOKUP($K1118,'[4]blood tubes 2017'!$D$1:$L$647,8,FALSE)</f>
        <v>0</v>
      </c>
      <c r="N1118" s="15">
        <v>0</v>
      </c>
      <c r="O1118" s="15" t="s">
        <v>214</v>
      </c>
      <c r="P1118" s="16" t="s">
        <v>110</v>
      </c>
      <c r="Q1118" s="16">
        <v>0</v>
      </c>
      <c r="R1118" s="16" t="s">
        <v>111</v>
      </c>
      <c r="T1118" s="16" t="s">
        <v>112</v>
      </c>
      <c r="U1118" s="16" t="s">
        <v>141</v>
      </c>
      <c r="V1118" s="16" t="s">
        <v>114</v>
      </c>
      <c r="W1118" s="16">
        <f>AI1118/AG1118</f>
        <v>0.88607594936708856</v>
      </c>
      <c r="X1118" s="16" t="s">
        <v>115</v>
      </c>
      <c r="Y1118" s="16" t="s">
        <v>145</v>
      </c>
      <c r="Z1118" s="16">
        <v>1</v>
      </c>
      <c r="AE1118" s="16" t="s">
        <v>123</v>
      </c>
      <c r="AF1118" s="16" t="s">
        <v>123</v>
      </c>
      <c r="AG1118" s="16">
        <f>AH1118-AI1118</f>
        <v>79</v>
      </c>
      <c r="AH1118" s="16">
        <v>149</v>
      </c>
      <c r="AI1118" s="16">
        <v>70</v>
      </c>
      <c r="AK1118" s="16">
        <v>13</v>
      </c>
      <c r="AL1118" s="16">
        <v>0</v>
      </c>
      <c r="AM1118" s="16">
        <v>0</v>
      </c>
      <c r="AN1118" s="16">
        <v>0</v>
      </c>
      <c r="AO1118" s="16">
        <v>0</v>
      </c>
      <c r="AP1118" s="16">
        <f>SUM(AL1118:AN1118)</f>
        <v>0</v>
      </c>
      <c r="AQ1118" s="16">
        <v>1.6579999999999999</v>
      </c>
      <c r="AR1118" s="16">
        <f>AP1118-1.472</f>
        <v>-1.472</v>
      </c>
      <c r="AS1118" s="16">
        <f>AQ1118-1.472</f>
        <v>0.18599999999999994</v>
      </c>
      <c r="AT1118" s="16" t="str">
        <f>VLOOKUP(E1118,[2]Current!$A$1:$W$435,7,FALSE)</f>
        <v>NB</v>
      </c>
      <c r="AU1118" s="16" t="s">
        <v>1288</v>
      </c>
      <c r="AW1118" s="128">
        <f>IF(AX1118&gt;0,1,0)</f>
        <v>1</v>
      </c>
      <c r="AX1118" s="128">
        <f>SUM(BA1118,BM1118,CU1118)</f>
        <v>2</v>
      </c>
      <c r="AY1118" s="128">
        <f>SUM(BB1118,BN1118,CV1118)</f>
        <v>193.54838709677423</v>
      </c>
      <c r="AZ1118" s="128">
        <f>IF(BA1118&gt;0,1,0)</f>
        <v>1</v>
      </c>
      <c r="BA1118" s="128">
        <f>SUM(BC1118+BF1118+BI1118)</f>
        <v>2</v>
      </c>
      <c r="BB1118" s="128">
        <f>SUM(BE1118,BH1118,BK1118)</f>
        <v>193.54838709677423</v>
      </c>
      <c r="BC1118" s="130">
        <f>IF(BD1118&gt;0,1,0)</f>
        <v>0</v>
      </c>
      <c r="BD1118" s="128">
        <f>VLOOKUP($E1118,[2]Current!$A:$AC,26,FALSE)</f>
        <v>0</v>
      </c>
      <c r="BE1118" s="128">
        <f>BD1118/$AS1118</f>
        <v>0</v>
      </c>
      <c r="BF1118" s="130">
        <f>IF(BG1118&gt;0,1,0)</f>
        <v>1</v>
      </c>
      <c r="BG1118" s="137">
        <f>VLOOKUP($E1118,[2]Current!$A:$AC,27,FALSE)</f>
        <v>34</v>
      </c>
      <c r="BH1118" s="128">
        <f>BG1118/$AS1118</f>
        <v>182.79569892473123</v>
      </c>
      <c r="BI1118" s="130">
        <f>IF(BJ1118&gt;0,1,0)</f>
        <v>1</v>
      </c>
      <c r="BJ1118" s="128">
        <f>VLOOKUP($E1118,[2]Current!$A:$AC,28,FALSE)</f>
        <v>2</v>
      </c>
      <c r="BK1118" s="128">
        <f>BJ1118/$AS1118</f>
        <v>10.752688172043014</v>
      </c>
      <c r="BL1118" s="128">
        <f>IF(BM1118&gt;0,1,0)</f>
        <v>0</v>
      </c>
      <c r="BM1118" s="128">
        <f>SUM(BR1118,BU1118,BX1118,CA1118,CD1118)</f>
        <v>0</v>
      </c>
      <c r="BN1118" s="131">
        <f>SUM(BT1118,BW1118,BZ1118,CC1118,CF1118)</f>
        <v>0</v>
      </c>
      <c r="BO1118" s="128">
        <f>IF(BP1118&gt;0,1,0)</f>
        <v>0</v>
      </c>
      <c r="BP1118" s="128">
        <f>BM1118+CJ1118</f>
        <v>0</v>
      </c>
      <c r="BQ1118" s="128">
        <f>BN1118+CL1118</f>
        <v>0</v>
      </c>
      <c r="BR1118" s="130">
        <f>IF(BS1118&gt;0,1,0)</f>
        <v>0</v>
      </c>
      <c r="BS1118" s="128">
        <f>VLOOKUP($E1118,[2]Current!$A:$AC,12,FALSE)</f>
        <v>0</v>
      </c>
      <c r="BT1118" s="137">
        <f>BS1118/$AS1118</f>
        <v>0</v>
      </c>
      <c r="BU1118" s="130">
        <f>IF(BV1118&gt;0,1,0)</f>
        <v>0</v>
      </c>
      <c r="BV1118" s="128">
        <f>VLOOKUP($E1118,[2]Current!$A:$AC,13,FALSE)</f>
        <v>0</v>
      </c>
      <c r="BW1118" s="128">
        <f>BV1118/$AS1118</f>
        <v>0</v>
      </c>
      <c r="BX1118" s="130">
        <f>IF(BY1118&gt;0,1,0)</f>
        <v>0</v>
      </c>
      <c r="BY1118" s="128">
        <f>VLOOKUP($E1118,[2]Current!$A:$AC,14,FALSE)</f>
        <v>0</v>
      </c>
      <c r="BZ1118" s="128">
        <f>BY1118/$AS1118</f>
        <v>0</v>
      </c>
      <c r="CA1118" s="130">
        <f>IF(CB1118&gt;0,1,0)</f>
        <v>0</v>
      </c>
      <c r="CB1118" s="128">
        <f>VLOOKUP($E1118,[2]Current!$A:$AC,15,FALSE)</f>
        <v>0</v>
      </c>
      <c r="CC1118" s="128">
        <f>CB1118/$AS1118</f>
        <v>0</v>
      </c>
      <c r="CD1118" s="174">
        <f>IF(CE1118&gt;0,1,0)</f>
        <v>0</v>
      </c>
      <c r="CE1118" s="128">
        <f>VLOOKUP($E1118,[2]Current!$A:$AC,16,FALSE)</f>
        <v>0</v>
      </c>
      <c r="CF1118" s="128">
        <f>CE1118/$AS1118</f>
        <v>0</v>
      </c>
      <c r="CG1118" s="18"/>
      <c r="CH1118" s="18"/>
      <c r="CI1118" s="18"/>
      <c r="CJ1118" s="130">
        <f>IF(CK1118&gt;0,1,0)</f>
        <v>0</v>
      </c>
      <c r="CK1118" s="128">
        <f>VLOOKUP($E1118,[2]Current!$A:$AC,18,FALSE)</f>
        <v>0</v>
      </c>
      <c r="CL1118" s="128">
        <f>CK1118/$AS1118</f>
        <v>0</v>
      </c>
      <c r="CS1118" s="130">
        <f>IF(CU1118&gt;0,1,0)</f>
        <v>0</v>
      </c>
      <c r="CU1118" s="128">
        <f>VLOOKUP($E1118,[2]Current!$A:$AC,17,FALSE)</f>
        <v>0</v>
      </c>
      <c r="CV1118" s="128">
        <f>CU1118/$AS1118</f>
        <v>0</v>
      </c>
      <c r="CW1118" s="18"/>
      <c r="CX1118" s="18"/>
      <c r="CY1118" s="18"/>
      <c r="DF1118" s="16" t="e">
        <f>VLOOKUP(K1118,'[3]RNA Seq summary tables'!$V$3:$V$99,1,FALSE)</f>
        <v>#N/A</v>
      </c>
      <c r="JR1118" s="26"/>
      <c r="JS1118" s="26"/>
      <c r="JT1118" s="26"/>
      <c r="JU1118" s="26"/>
      <c r="JV1118" s="26"/>
      <c r="JW1118" s="26"/>
      <c r="JX1118" s="26"/>
      <c r="JY1118" s="26"/>
      <c r="JZ1118" s="26"/>
      <c r="KA1118" s="26"/>
      <c r="KB1118" s="26"/>
    </row>
    <row r="1119" spans="1:288" x14ac:dyDescent="0.2">
      <c r="A1119" s="19"/>
      <c r="B1119" s="19">
        <v>2017</v>
      </c>
      <c r="C1119" s="68">
        <v>42929</v>
      </c>
      <c r="D1119" s="68" t="str">
        <f>CONCATENATE(J1119,"-",C1119)</f>
        <v>1239-42929</v>
      </c>
      <c r="E1119" s="20" t="str">
        <f>CONCATENATE(T1119,"-",U1119,"-",C1119)</f>
        <v>PO2-B1-42929</v>
      </c>
      <c r="F1119" s="20" t="s">
        <v>106</v>
      </c>
      <c r="G1119" s="68" t="s">
        <v>107</v>
      </c>
      <c r="H1119" s="19"/>
      <c r="I1119" s="16">
        <v>0</v>
      </c>
      <c r="J1119" s="69">
        <v>1239</v>
      </c>
      <c r="K1119" s="69">
        <v>1889</v>
      </c>
      <c r="L1119" s="18">
        <v>0</v>
      </c>
      <c r="M1119" s="69">
        <f>VLOOKUP($K1119,'[4]blood tubes 2017'!$D$1:$L$647,8,FALSE)</f>
        <v>1</v>
      </c>
      <c r="N1119" s="69">
        <f>VLOOKUP($K1119,'[4]blood tubes 2017'!$D$1:$L$647,9,FALSE)</f>
        <v>13</v>
      </c>
      <c r="O1119" s="15" t="s">
        <v>214</v>
      </c>
      <c r="P1119" s="19" t="s">
        <v>110</v>
      </c>
      <c r="Q1119" s="19">
        <v>0</v>
      </c>
      <c r="R1119" s="19" t="s">
        <v>111</v>
      </c>
      <c r="S1119" s="19"/>
      <c r="T1119" s="19" t="s">
        <v>127</v>
      </c>
      <c r="U1119" s="19" t="s">
        <v>113</v>
      </c>
      <c r="V1119" s="19" t="s">
        <v>114</v>
      </c>
      <c r="W1119" s="16">
        <f>AI1119/AG1119</f>
        <v>0.77922077922077926</v>
      </c>
      <c r="X1119" s="19" t="s">
        <v>115</v>
      </c>
      <c r="Y1119" s="19" t="s">
        <v>122</v>
      </c>
      <c r="Z1119" s="19">
        <v>2.2999999999999998</v>
      </c>
      <c r="AA1119" s="19"/>
      <c r="AB1119" s="19"/>
      <c r="AC1119" s="19"/>
      <c r="AD1119" s="19"/>
      <c r="AE1119" s="19" t="s">
        <v>123</v>
      </c>
      <c r="AF1119" s="19" t="s">
        <v>123</v>
      </c>
      <c r="AG1119" s="19">
        <f>AH1119-AI1119</f>
        <v>77</v>
      </c>
      <c r="AH1119" s="19">
        <v>137</v>
      </c>
      <c r="AI1119" s="19">
        <v>60</v>
      </c>
      <c r="AJ1119" s="19"/>
      <c r="AK1119" s="19">
        <v>14</v>
      </c>
      <c r="AL1119" s="19">
        <v>1</v>
      </c>
      <c r="AM1119" s="19">
        <v>0</v>
      </c>
      <c r="AN1119" s="19">
        <v>0</v>
      </c>
      <c r="AO1119" s="19">
        <v>1</v>
      </c>
      <c r="AP1119" s="19">
        <f>SUM(AL1119:AN1119)</f>
        <v>1</v>
      </c>
      <c r="AQ1119" s="19">
        <v>1.59</v>
      </c>
      <c r="AR1119" s="19">
        <f>AP1119-1.472</f>
        <v>-0.47199999999999998</v>
      </c>
      <c r="AS1119" s="19">
        <f>AQ1119-1.472</f>
        <v>0.1180000000000001</v>
      </c>
      <c r="AT1119" s="19" t="str">
        <f>VLOOKUP(K1119,'[5]FECs - good data'!$C$1:$P$575,13,FALSE)</f>
        <v>CH</v>
      </c>
      <c r="AU1119" s="19"/>
      <c r="AV1119" s="19"/>
      <c r="AW1119" s="19">
        <f>IF(AX1119&gt;0,1,0)</f>
        <v>1</v>
      </c>
      <c r="AX1119" s="19">
        <f>SUM(BA1119,BM1119,CT1119)</f>
        <v>2</v>
      </c>
      <c r="AY1119" s="19">
        <f>SUM(BB1119,BN1119,CV1119)</f>
        <v>27161.016949152519</v>
      </c>
      <c r="AZ1119" s="19">
        <f>IF(BA1119&gt;0,1,0)</f>
        <v>1</v>
      </c>
      <c r="BA1119" s="19">
        <f>SUM(BC1119,BF1119,BI1119)</f>
        <v>2</v>
      </c>
      <c r="BB1119" s="19">
        <f>SUM(BE1119,BH1119,BK1119)</f>
        <v>27161.016949152519</v>
      </c>
      <c r="BC1119" s="19">
        <f>IF(BD1119&gt;0,1,0)</f>
        <v>1</v>
      </c>
      <c r="BD1119" s="19">
        <f>VLOOKUP($K1119,'[5]FECs - good data'!$C$1:$Z$574,14,FALSE)</f>
        <v>6</v>
      </c>
      <c r="BE1119" s="19">
        <f>BD1119/AS1119</f>
        <v>50.847457627118601</v>
      </c>
      <c r="BF1119" s="19">
        <f>IF(BG1119&gt;0,1,0)</f>
        <v>1</v>
      </c>
      <c r="BG1119" s="80">
        <f>VLOOKUP($K1119,'[5]FECs - good data'!$C$1:$Z$574,15,FALSE)</f>
        <v>3199</v>
      </c>
      <c r="BH1119" s="19">
        <f>BG1119/AS1119</f>
        <v>27110.169491525401</v>
      </c>
      <c r="BI1119" s="19">
        <f>IF(BJ1119&gt;0,1,0)</f>
        <v>0</v>
      </c>
      <c r="BJ1119" s="19">
        <f>VLOOKUP($K1119,'[5]FECs - good data'!$C$1:$Z$574,16,FALSE)</f>
        <v>0</v>
      </c>
      <c r="BK1119" s="19">
        <f>BJ1119/AS1119</f>
        <v>0</v>
      </c>
      <c r="BL1119" s="19">
        <f>IF(BM1119&gt;0,1,0)</f>
        <v>0</v>
      </c>
      <c r="BM1119" s="19">
        <f>SUM(BR1119,BU1119,BX1119,CA1119,CD1119,CG1119,CJ1119,CM1119,CP1119)</f>
        <v>0</v>
      </c>
      <c r="BN1119" s="19">
        <f>SUM(BW1119,BZ1119,CC1119,CF1119,CI1119,CL1119,CO1119,CR1119,BT1119)</f>
        <v>0</v>
      </c>
      <c r="BO1119" s="19">
        <f>IF(BP1119&gt;0,1,0)</f>
        <v>0</v>
      </c>
      <c r="BP1119" s="19">
        <f>SUM(BU1119,BX1119,CA1119,CD1119,BR1119)</f>
        <v>0</v>
      </c>
      <c r="BQ1119" s="19">
        <f>SUM(BZ1119,CC1119,CF1119,BT1119,BW1119)</f>
        <v>0</v>
      </c>
      <c r="BR1119" s="19">
        <f>IF(BS1119&gt;0,1,0)</f>
        <v>0</v>
      </c>
      <c r="BS1119" s="19">
        <f>VLOOKUP($K1119,'[5]FECs - good data'!$C$1:$Z$574,17,FALSE)</f>
        <v>0</v>
      </c>
      <c r="BT1119" s="80">
        <f>BS1119/AS1119</f>
        <v>0</v>
      </c>
      <c r="BU1119" s="19">
        <f>IF(BV1119&gt;0,1,0)</f>
        <v>0</v>
      </c>
      <c r="BV1119" s="19">
        <f>VLOOKUP($K1119,'[5]FECs - good data'!$C$1:$Z$574,18,FALSE)</f>
        <v>0</v>
      </c>
      <c r="BW1119" s="19">
        <f>BV1119/AS1119</f>
        <v>0</v>
      </c>
      <c r="BX1119" s="19">
        <f>IF(BY1119&gt;0,1,0)</f>
        <v>0</v>
      </c>
      <c r="BY1119" s="19">
        <f>VLOOKUP($K1119,'[5]FECs - good data'!$C$1:$Z$574,19,FALSE)</f>
        <v>0</v>
      </c>
      <c r="BZ1119" s="19">
        <f>BY1119/AS1119</f>
        <v>0</v>
      </c>
      <c r="CA1119" s="19">
        <f>IF(CB1119&gt;0,1,0)</f>
        <v>0</v>
      </c>
      <c r="CB1119" s="19">
        <f>VLOOKUP($K1119,'[5]FECs - good data'!$C$1:$Z$574,20,FALSE)</f>
        <v>0</v>
      </c>
      <c r="CC1119" s="19">
        <f>CB1119/AS1119</f>
        <v>0</v>
      </c>
      <c r="CD1119" s="80">
        <f>IF(CE1119&gt;0,1,0)</f>
        <v>0</v>
      </c>
      <c r="CE1119" s="19">
        <f>VLOOKUP($K1119,'[5]FECs - good data'!$C$1:$Z$574,21,FALSE)</f>
        <v>0</v>
      </c>
      <c r="CF1119" s="19">
        <f>CE1119/AS1119</f>
        <v>0</v>
      </c>
      <c r="CG1119" s="19">
        <f>IF(CH1119&gt;0,1,0)</f>
        <v>0</v>
      </c>
      <c r="CH1119" s="19">
        <f>VLOOKUP($K1119,'[5]FECs - good data'!$C$1:$Z$574,22,FALSE)</f>
        <v>0</v>
      </c>
      <c r="CI1119" s="19">
        <f>CH1119/AS1119</f>
        <v>0</v>
      </c>
      <c r="CJ1119" s="19">
        <f>IF(CK1119&gt;0,1,0)</f>
        <v>0</v>
      </c>
      <c r="CK1119" s="19">
        <f>VLOOKUP($K1119,'[5]FECs - good data'!$C$1:$Z$674,24,FALSE)</f>
        <v>0</v>
      </c>
      <c r="CL1119" s="19">
        <f>CK1119/AS1119</f>
        <v>0</v>
      </c>
      <c r="CM1119" s="19"/>
      <c r="CN1119" s="19"/>
      <c r="CO1119" s="19"/>
      <c r="CP1119" s="19"/>
      <c r="CQ1119" s="19"/>
      <c r="CR1119" s="19"/>
      <c r="CS1119" s="19">
        <f>IF(CT1119&gt;0,1,0)</f>
        <v>0</v>
      </c>
      <c r="CT1119" s="19">
        <f>SUM(CW1119+CZ1119,DC1119)</f>
        <v>0</v>
      </c>
      <c r="CU1119" s="19"/>
      <c r="CV1119" s="19">
        <f>SUM(CY1119,DB1119,DE1119)</f>
        <v>0</v>
      </c>
      <c r="CW1119" s="19">
        <f>IF(CX1119&gt;0,1,0)</f>
        <v>0</v>
      </c>
      <c r="CX1119" s="19">
        <f>VLOOKUP($K1119,'[5]FECs - good data'!$C$1:$Z$574,22,FALSE)</f>
        <v>0</v>
      </c>
      <c r="CY1119" s="19">
        <f>CX1119/AS1119</f>
        <v>0</v>
      </c>
      <c r="CZ1119" s="19">
        <f>IF(DA1119&gt;0,1,0)</f>
        <v>0</v>
      </c>
      <c r="DA1119" s="19">
        <f>VLOOKUP($K1119,'[5]FECs - good data'!$C$1:$Z$5982,23,FALSE)</f>
        <v>0</v>
      </c>
      <c r="DB1119" s="19">
        <f>DA1119/AS1119</f>
        <v>0</v>
      </c>
      <c r="DC1119" s="19">
        <f>IF(DD1119&gt;0,1,0)</f>
        <v>0</v>
      </c>
      <c r="DD1119" s="19">
        <f>VLOOKUP($K1119,'[5]FECs - good data'!$C$1:$Z$574,23,FALSE)</f>
        <v>0</v>
      </c>
      <c r="DE1119" s="19">
        <f>DD1119/AS1119</f>
        <v>0</v>
      </c>
      <c r="DF1119" s="16" t="e">
        <f>VLOOKUP(K1119,'[3]RNA Seq summary tables'!$V$3:$V$99,1,FALSE)</f>
        <v>#N/A</v>
      </c>
      <c r="DI1119" s="19"/>
      <c r="DJ1119" s="19"/>
      <c r="DK1119" s="19"/>
      <c r="DL1119" s="19"/>
      <c r="DM1119" s="19"/>
      <c r="DN1119" s="19"/>
      <c r="DO1119" s="19"/>
      <c r="DP1119" s="19"/>
      <c r="DQ1119" s="19"/>
      <c r="DR1119" s="19"/>
      <c r="DS1119" s="19"/>
      <c r="JR1119" s="18"/>
      <c r="JS1119" s="18"/>
      <c r="JT1119" s="18"/>
      <c r="JU1119" s="18"/>
      <c r="JV1119" s="18"/>
      <c r="JW1119" s="18"/>
      <c r="JX1119" s="18"/>
      <c r="JY1119" s="18"/>
      <c r="JZ1119" s="18"/>
      <c r="KA1119" s="18"/>
      <c r="KB1119" s="18"/>
    </row>
    <row r="1120" spans="1:288" x14ac:dyDescent="0.2">
      <c r="B1120" s="16">
        <v>2017</v>
      </c>
      <c r="C1120" s="20">
        <v>42929</v>
      </c>
      <c r="D1120" s="20" t="str">
        <f>CONCATENATE(J1120,"-",C1120)</f>
        <v>1241-42929</v>
      </c>
      <c r="E1120" s="20" t="str">
        <f>CONCATENATE(T1120,"-",U1120,"-",C1120)</f>
        <v>PO2-G1-42929</v>
      </c>
      <c r="F1120" s="20" t="s">
        <v>106</v>
      </c>
      <c r="G1120" s="20" t="s">
        <v>107</v>
      </c>
      <c r="I1120" s="16">
        <v>0</v>
      </c>
      <c r="J1120" s="21">
        <v>1241</v>
      </c>
      <c r="K1120" s="21">
        <v>1891</v>
      </c>
      <c r="L1120" s="18">
        <v>0</v>
      </c>
      <c r="M1120" s="21">
        <f>VLOOKUP($K1120,'[4]blood tubes 2017'!$D$1:$L$647,8,FALSE)</f>
        <v>0</v>
      </c>
      <c r="N1120" s="15">
        <v>0</v>
      </c>
      <c r="O1120" s="15" t="s">
        <v>214</v>
      </c>
      <c r="P1120" s="16" t="s">
        <v>110</v>
      </c>
      <c r="Q1120" s="16">
        <v>0</v>
      </c>
      <c r="R1120" s="16" t="s">
        <v>111</v>
      </c>
      <c r="T1120" s="16" t="s">
        <v>127</v>
      </c>
      <c r="U1120" s="16" t="s">
        <v>155</v>
      </c>
      <c r="V1120" s="16" t="s">
        <v>114</v>
      </c>
      <c r="W1120" s="16">
        <f>AI1120/AG1120</f>
        <v>0.79729729729729726</v>
      </c>
      <c r="X1120" s="16" t="s">
        <v>115</v>
      </c>
      <c r="Y1120" s="16" t="s">
        <v>145</v>
      </c>
      <c r="Z1120" s="16">
        <v>1</v>
      </c>
      <c r="AE1120" s="16" t="s">
        <v>123</v>
      </c>
      <c r="AF1120" s="16" t="s">
        <v>123</v>
      </c>
      <c r="AG1120" s="16">
        <f>AH1120-AI1120</f>
        <v>74</v>
      </c>
      <c r="AH1120" s="16">
        <v>133</v>
      </c>
      <c r="AI1120" s="16">
        <v>59</v>
      </c>
      <c r="AK1120" s="16">
        <v>11</v>
      </c>
      <c r="AL1120" s="16">
        <v>0</v>
      </c>
      <c r="AM1120" s="16">
        <v>0</v>
      </c>
      <c r="AN1120" s="16">
        <v>0</v>
      </c>
      <c r="AO1120" s="16">
        <v>0</v>
      </c>
      <c r="AP1120" s="16">
        <f>SUM(AL1120:AN1120)</f>
        <v>0</v>
      </c>
      <c r="AQ1120" s="16">
        <v>1.6279999999999999</v>
      </c>
      <c r="AR1120" s="16">
        <f>AP1120-1.472</f>
        <v>-1.472</v>
      </c>
      <c r="AS1120" s="16">
        <f>AQ1120-1.472</f>
        <v>0.15599999999999992</v>
      </c>
      <c r="AT1120" s="16" t="str">
        <f>VLOOKUP(K1120,'[5]FECs - good data'!$C$1:$P$575,13,FALSE)</f>
        <v>SB</v>
      </c>
      <c r="AW1120" s="18">
        <f>IF(AX1120&gt;0,1,0)</f>
        <v>1</v>
      </c>
      <c r="AX1120" s="18">
        <f>SUM(BA1120,BM1120,CT1120)</f>
        <v>3</v>
      </c>
      <c r="AY1120" s="18">
        <f>SUM(BB1120,BN1120,CV1120)</f>
        <v>14679.487179487185</v>
      </c>
      <c r="AZ1120" s="18">
        <f>IF(BA1120&gt;0,1,0)</f>
        <v>1</v>
      </c>
      <c r="BA1120" s="18">
        <f>SUM(BC1120,BF1120,BI1120)</f>
        <v>3</v>
      </c>
      <c r="BB1120" s="18">
        <f>SUM(BE1120,BH1120,BK1120)</f>
        <v>14679.487179487185</v>
      </c>
      <c r="BC1120" s="18">
        <f>IF(BD1120&gt;0,1,0)</f>
        <v>1</v>
      </c>
      <c r="BD1120" s="18">
        <f>VLOOKUP($K1120,'[5]FECs - good data'!$C$1:$Z$574,14,FALSE)</f>
        <v>188</v>
      </c>
      <c r="BE1120" s="16">
        <f>BD1120/AS1120</f>
        <v>1205.1282051282058</v>
      </c>
      <c r="BF1120" s="16">
        <f>IF(BG1120&gt;0,1,0)</f>
        <v>1</v>
      </c>
      <c r="BG1120" s="77">
        <f>VLOOKUP($K1120,'[5]FECs - good data'!$C$1:$Z$574,15,FALSE)</f>
        <v>2097</v>
      </c>
      <c r="BH1120" s="16">
        <f>BG1120/AS1120</f>
        <v>13442.307692307699</v>
      </c>
      <c r="BI1120" s="16">
        <f>IF(BJ1120&gt;0,1,0)</f>
        <v>1</v>
      </c>
      <c r="BJ1120" s="16">
        <f>VLOOKUP($K1120,'[5]FECs - good data'!$C$1:$Z$574,16,FALSE)</f>
        <v>5</v>
      </c>
      <c r="BK1120" s="16">
        <f>BJ1120/AS1120</f>
        <v>32.051282051282065</v>
      </c>
      <c r="BL1120" s="16">
        <f>IF(BM1120&gt;0,1,0)</f>
        <v>0</v>
      </c>
      <c r="BM1120" s="16">
        <f>SUM(BR1120,BU1120,BX1120,CA1120,CD1120,CG1120,CJ1120,CM1120,CP1120)</f>
        <v>0</v>
      </c>
      <c r="BN1120" s="16">
        <f>SUM(BW1120,BZ1120,CC1120,CF1120,CI1120,CL1120,CO1120,CR1120,BT1120)</f>
        <v>0</v>
      </c>
      <c r="BO1120" s="16">
        <f>IF(BP1120&gt;0,1,0)</f>
        <v>0</v>
      </c>
      <c r="BP1120" s="16">
        <f>SUM(BU1120,BX1120,CA1120,CD1120,BR1120)</f>
        <v>0</v>
      </c>
      <c r="BQ1120" s="16">
        <f>SUM(BZ1120,CC1120,CF1120,BT1120,BW1120)</f>
        <v>0</v>
      </c>
      <c r="BR1120" s="16">
        <f>IF(BS1120&gt;0,1,0)</f>
        <v>0</v>
      </c>
      <c r="BS1120" s="16">
        <f>VLOOKUP($K1120,'[5]FECs - good data'!$C$1:$Z$574,17,FALSE)</f>
        <v>0</v>
      </c>
      <c r="BT1120" s="77">
        <f>BS1120/AS1120</f>
        <v>0</v>
      </c>
      <c r="BU1120" s="16">
        <f>IF(BV1120&gt;0,1,0)</f>
        <v>0</v>
      </c>
      <c r="BV1120" s="16">
        <f>VLOOKUP($K1120,'[5]FECs - good data'!$C$1:$Z$574,18,FALSE)</f>
        <v>0</v>
      </c>
      <c r="BW1120" s="16">
        <f>BV1120/AS1120</f>
        <v>0</v>
      </c>
      <c r="BX1120" s="16">
        <f>IF(BY1120&gt;0,1,0)</f>
        <v>0</v>
      </c>
      <c r="BY1120" s="16">
        <f>VLOOKUP($K1120,'[5]FECs - good data'!$C$1:$Z$574,19,FALSE)</f>
        <v>0</v>
      </c>
      <c r="BZ1120" s="16">
        <f>BY1120/AS1120</f>
        <v>0</v>
      </c>
      <c r="CA1120" s="16">
        <f>IF(CB1120&gt;0,1,0)</f>
        <v>0</v>
      </c>
      <c r="CB1120" s="16">
        <f>VLOOKUP($K1120,'[5]FECs - good data'!$C$1:$Z$574,20,FALSE)</f>
        <v>0</v>
      </c>
      <c r="CC1120" s="16">
        <f>CB1120/AS1120</f>
        <v>0</v>
      </c>
      <c r="CD1120" s="77">
        <f>IF(CE1120&gt;0,1,0)</f>
        <v>0</v>
      </c>
      <c r="CE1120" s="16">
        <f>VLOOKUP($K1120,'[5]FECs - good data'!$C$1:$Z$574,21,FALSE)</f>
        <v>0</v>
      </c>
      <c r="CF1120" s="16">
        <f>CE1120/AS1120</f>
        <v>0</v>
      </c>
      <c r="CG1120" s="16">
        <f>IF(CH1120&gt;0,1,0)</f>
        <v>0</v>
      </c>
      <c r="CH1120" s="16">
        <f>VLOOKUP($K1120,'[5]FECs - good data'!$C$1:$Z$574,22,FALSE)</f>
        <v>0</v>
      </c>
      <c r="CI1120" s="16">
        <f>CH1120/AS1120</f>
        <v>0</v>
      </c>
      <c r="CJ1120" s="16">
        <f>IF(CK1120&gt;0,1,0)</f>
        <v>0</v>
      </c>
      <c r="CK1120" s="16">
        <f>VLOOKUP($K1120,'[5]FECs - good data'!$C$1:$Z$674,24,FALSE)</f>
        <v>0</v>
      </c>
      <c r="CL1120" s="16">
        <f>CK1120/AS1120</f>
        <v>0</v>
      </c>
      <c r="CS1120" s="16">
        <f>IF(CT1120&gt;0,1,0)</f>
        <v>0</v>
      </c>
      <c r="CT1120" s="16">
        <f>SUM(CW1120+CZ1120,DC1120)</f>
        <v>0</v>
      </c>
      <c r="CV1120" s="16">
        <f>SUM(CY1120,DB1120,DE1120)</f>
        <v>0</v>
      </c>
      <c r="CW1120" s="16">
        <f>IF(CX1120&gt;0,1,0)</f>
        <v>0</v>
      </c>
      <c r="CX1120" s="16">
        <f>VLOOKUP($K1120,'[5]FECs - good data'!$C$1:$Z$574,22,FALSE)</f>
        <v>0</v>
      </c>
      <c r="CY1120" s="16">
        <f>CX1120/AS1120</f>
        <v>0</v>
      </c>
      <c r="CZ1120" s="16">
        <f>IF(DA1120&gt;0,1,0)</f>
        <v>0</v>
      </c>
      <c r="DA1120" s="16">
        <f>VLOOKUP($K1120,'[5]FECs - good data'!$C$1:$Z$5982,23,FALSE)</f>
        <v>0</v>
      </c>
      <c r="DB1120" s="16">
        <f>DA1120/AS1120</f>
        <v>0</v>
      </c>
      <c r="DC1120" s="16">
        <f>IF(DD1120&gt;0,1,0)</f>
        <v>0</v>
      </c>
      <c r="DD1120" s="16">
        <f>VLOOKUP($K1120,'[5]FECs - good data'!$C$1:$Z$574,23,FALSE)</f>
        <v>0</v>
      </c>
      <c r="DE1120" s="16">
        <f>DD1120/AS1120</f>
        <v>0</v>
      </c>
      <c r="DF1120" s="16" t="e">
        <f>VLOOKUP(K1120,'[3]RNA Seq summary tables'!$V$3:$V$99,1,FALSE)</f>
        <v>#N/A</v>
      </c>
      <c r="JR1120" s="27"/>
      <c r="JS1120" s="27"/>
      <c r="JT1120" s="27"/>
      <c r="JU1120" s="27"/>
      <c r="JV1120" s="27"/>
      <c r="JW1120" s="27"/>
      <c r="JX1120" s="27"/>
      <c r="JY1120" s="27"/>
      <c r="JZ1120" s="27"/>
      <c r="KA1120" s="27"/>
      <c r="KB1120" s="27"/>
    </row>
    <row r="1121" spans="1:288" x14ac:dyDescent="0.2">
      <c r="B1121" s="16">
        <v>2017</v>
      </c>
      <c r="C1121" s="20">
        <v>42945</v>
      </c>
      <c r="D1121" s="20" t="str">
        <f>CONCATENATE(J1121,"-",C1121)</f>
        <v>1241-42945</v>
      </c>
      <c r="E1121" s="20" t="str">
        <f>CONCATENATE(T1121,"-",U1121,"-",C1121)</f>
        <v>PO2-H1-42945</v>
      </c>
      <c r="F1121" s="20" t="s">
        <v>106</v>
      </c>
      <c r="G1121" s="20" t="s">
        <v>107</v>
      </c>
      <c r="I1121" s="16">
        <v>0</v>
      </c>
      <c r="J1121" s="21">
        <v>1241</v>
      </c>
      <c r="K1121" s="21">
        <v>1999</v>
      </c>
      <c r="L1121" s="18">
        <v>0</v>
      </c>
      <c r="M1121" s="21">
        <f>VLOOKUP($K1121,'[4]blood tubes 2017'!$D$1:$L$647,8,FALSE)</f>
        <v>0</v>
      </c>
      <c r="N1121" s="15">
        <v>0</v>
      </c>
      <c r="O1121" s="15" t="s">
        <v>214</v>
      </c>
      <c r="P1121" s="16" t="s">
        <v>110</v>
      </c>
      <c r="Q1121" s="16">
        <v>1</v>
      </c>
      <c r="R1121" s="16">
        <v>16</v>
      </c>
      <c r="T1121" s="16" t="s">
        <v>127</v>
      </c>
      <c r="U1121" s="16" t="s">
        <v>191</v>
      </c>
      <c r="V1121" s="16" t="s">
        <v>114</v>
      </c>
      <c r="W1121" s="16">
        <f>AI1121/AG1121</f>
        <v>0.8214285714285714</v>
      </c>
      <c r="X1121" s="16" t="s">
        <v>115</v>
      </c>
      <c r="Y1121" s="16" t="s">
        <v>122</v>
      </c>
      <c r="Z1121" s="16">
        <v>2.6</v>
      </c>
      <c r="AE1121" s="16" t="s">
        <v>123</v>
      </c>
      <c r="AF1121" s="16" t="s">
        <v>123</v>
      </c>
      <c r="AG1121" s="16">
        <f>AH1121-AI1121</f>
        <v>84</v>
      </c>
      <c r="AH1121" s="16">
        <v>153</v>
      </c>
      <c r="AI1121" s="16">
        <v>69</v>
      </c>
      <c r="AK1121" s="16">
        <v>19</v>
      </c>
      <c r="AL1121" s="16">
        <v>0</v>
      </c>
      <c r="AM1121" s="16">
        <v>0</v>
      </c>
      <c r="AN1121" s="16">
        <v>0</v>
      </c>
      <c r="AO1121" s="16">
        <v>0</v>
      </c>
      <c r="AP1121" s="16">
        <f>SUM(AL1121:AN1121)</f>
        <v>0</v>
      </c>
      <c r="AQ1121" s="16">
        <v>2.0259999999999998</v>
      </c>
      <c r="AR1121" s="16">
        <f>AP1121-1.472</f>
        <v>-1.472</v>
      </c>
      <c r="AS1121" s="16">
        <f>AQ1121-1.472</f>
        <v>0.55399999999999983</v>
      </c>
      <c r="AT1121" s="16" t="str">
        <f>VLOOKUP(K1121,'[5]FECs - good data'!$C$1:$P$575,13,FALSE)</f>
        <v>JB</v>
      </c>
      <c r="AW1121" s="18">
        <f>IF(AX1121&gt;0,1,0)</f>
        <v>1</v>
      </c>
      <c r="AX1121" s="18">
        <f>SUM(BA1121,BM1121,CT1121)</f>
        <v>4</v>
      </c>
      <c r="AY1121" s="18">
        <f>SUM(BB1121,BN1121,CV1121)</f>
        <v>50.541516245487379</v>
      </c>
      <c r="AZ1121" s="18">
        <f>IF(BA1121&gt;0,1,0)</f>
        <v>1</v>
      </c>
      <c r="BA1121" s="18">
        <f>SUM(BC1121,BF1121,BI1121)</f>
        <v>2</v>
      </c>
      <c r="BB1121" s="18">
        <f>SUM(BE1121,BH1121,BK1121)</f>
        <v>34.296028880866437</v>
      </c>
      <c r="BC1121" s="18">
        <f>IF(BD1121&gt;0,1,0)</f>
        <v>1</v>
      </c>
      <c r="BD1121" s="18">
        <f>VLOOKUP($K1121,'[5]FECs - good data'!$C$1:$Z$574,14,FALSE)</f>
        <v>8</v>
      </c>
      <c r="BE1121" s="16">
        <f>BD1121/AS1121</f>
        <v>14.440433212996394</v>
      </c>
      <c r="BF1121" s="16">
        <f>IF(BG1121&gt;0,1,0)</f>
        <v>1</v>
      </c>
      <c r="BG1121" s="77">
        <f>VLOOKUP($K1121,'[5]FECs - good data'!$C$1:$Z$574,15,FALSE)</f>
        <v>11</v>
      </c>
      <c r="BH1121" s="16">
        <f>BG1121/AS1121</f>
        <v>19.855595667870041</v>
      </c>
      <c r="BI1121" s="16">
        <f>IF(BJ1121&gt;0,1,0)</f>
        <v>0</v>
      </c>
      <c r="BJ1121" s="16">
        <f>VLOOKUP($K1121,'[5]FECs - good data'!$C$1:$Z$574,16,FALSE)</f>
        <v>0</v>
      </c>
      <c r="BK1121" s="16">
        <f>BJ1121/AS1121</f>
        <v>0</v>
      </c>
      <c r="BL1121" s="16">
        <f>IF(BM1121&gt;0,1,0)</f>
        <v>1</v>
      </c>
      <c r="BM1121" s="16">
        <f>SUM(BR1121,BU1121,BX1121,CA1121,CD1121,CG1121,CJ1121,CM1121,CP1121)</f>
        <v>2</v>
      </c>
      <c r="BN1121" s="16">
        <f>SUM(BW1121,BZ1121,CC1121,CF1121,CI1121,CL1121,CO1121,CR1121,BT1121)</f>
        <v>16.245487364620942</v>
      </c>
      <c r="BO1121" s="16">
        <f>IF(BP1121&gt;0,1,0)</f>
        <v>1</v>
      </c>
      <c r="BP1121" s="16">
        <f>SUM(BU1121,BX1121,CA1121,CD1121,BR1121)</f>
        <v>1</v>
      </c>
      <c r="BQ1121" s="16">
        <f>SUM(BZ1121,CC1121,CF1121,BT1121,BW1121)</f>
        <v>5.4151624548736477</v>
      </c>
      <c r="BR1121" s="16">
        <f>IF(BS1121&gt;0,1,0)</f>
        <v>0</v>
      </c>
      <c r="BS1121" s="16">
        <f>VLOOKUP($K1121,'[5]FECs - good data'!$C$1:$Z$574,17,FALSE)</f>
        <v>0</v>
      </c>
      <c r="BT1121" s="77">
        <f>BS1121/AS1121</f>
        <v>0</v>
      </c>
      <c r="BU1121" s="16">
        <f>IF(BV1121&gt;0,1,0)</f>
        <v>0</v>
      </c>
      <c r="BV1121" s="16">
        <f>VLOOKUP($K1121,'[5]FECs - good data'!$C$1:$Z$574,18,FALSE)</f>
        <v>0</v>
      </c>
      <c r="BW1121" s="16">
        <f>BV1121/AS1121</f>
        <v>0</v>
      </c>
      <c r="BX1121" s="16">
        <f>IF(BY1121&gt;0,1,0)</f>
        <v>0</v>
      </c>
      <c r="BY1121" s="16">
        <f>VLOOKUP($K1121,'[5]FECs - good data'!$C$1:$Z$574,19,FALSE)</f>
        <v>0</v>
      </c>
      <c r="BZ1121" s="16">
        <f>BY1121/AS1121</f>
        <v>0</v>
      </c>
      <c r="CA1121" s="16">
        <f>IF(CB1121&gt;0,1,0)</f>
        <v>1</v>
      </c>
      <c r="CB1121" s="16">
        <f>VLOOKUP($K1121,'[5]FECs - good data'!$C$1:$Z$574,20,FALSE)</f>
        <v>3</v>
      </c>
      <c r="CC1121" s="16">
        <f>CB1121/AS1121</f>
        <v>5.4151624548736477</v>
      </c>
      <c r="CD1121" s="77">
        <f>IF(CE1121&gt;0,1,0)</f>
        <v>0</v>
      </c>
      <c r="CE1121" s="16">
        <f>VLOOKUP($K1121,'[5]FECs - good data'!$C$1:$Z$574,21,FALSE)</f>
        <v>0</v>
      </c>
      <c r="CF1121" s="16">
        <f>CE1121/AS1121</f>
        <v>0</v>
      </c>
      <c r="CG1121" s="16">
        <f>IF(CH1121&gt;0,1,0)</f>
        <v>0</v>
      </c>
      <c r="CH1121" s="16">
        <f>VLOOKUP($K1121,'[5]FECs - good data'!$C$1:$Z$574,22,FALSE)</f>
        <v>0</v>
      </c>
      <c r="CI1121" s="16">
        <f>CH1121/AS1121</f>
        <v>0</v>
      </c>
      <c r="CJ1121" s="16">
        <f>IF(CK1121&gt;0,1,0)</f>
        <v>1</v>
      </c>
      <c r="CK1121" s="16">
        <f>VLOOKUP($K1121,'[5]FECs - good data'!$C$1:$Z$674,24,FALSE)</f>
        <v>6</v>
      </c>
      <c r="CL1121" s="16">
        <f>CK1121/AS1121</f>
        <v>10.830324909747295</v>
      </c>
      <c r="CS1121" s="16">
        <f>IF(CT1121&gt;0,1,0)</f>
        <v>0</v>
      </c>
      <c r="CT1121" s="16">
        <f>SUM(CW1121+CZ1121,DC1121)</f>
        <v>0</v>
      </c>
      <c r="CV1121" s="16">
        <f>SUM(CY1121,DB1121,DE1121)</f>
        <v>0</v>
      </c>
      <c r="CW1121" s="16">
        <f>IF(CX1121&gt;0,1,0)</f>
        <v>0</v>
      </c>
      <c r="CX1121" s="16">
        <f>VLOOKUP($K1121,'[5]FECs - good data'!$C$1:$Z$574,22,FALSE)</f>
        <v>0</v>
      </c>
      <c r="CY1121" s="16">
        <f>CX1121/AS1121</f>
        <v>0</v>
      </c>
      <c r="CZ1121" s="16">
        <f>IF(DA1121&gt;0,1,0)</f>
        <v>0</v>
      </c>
      <c r="DA1121" s="16">
        <f>VLOOKUP($K1121,'[5]FECs - good data'!$C$1:$Z$5982,23,FALSE)</f>
        <v>0</v>
      </c>
      <c r="DB1121" s="16">
        <f>DA1121/AS1121</f>
        <v>0</v>
      </c>
      <c r="DC1121" s="16">
        <f>IF(DD1121&gt;0,1,0)</f>
        <v>0</v>
      </c>
      <c r="DD1121" s="16">
        <f>VLOOKUP($K1121,'[5]FECs - good data'!$C$1:$Z$574,23,FALSE)</f>
        <v>0</v>
      </c>
      <c r="DE1121" s="16">
        <f>DD1121/AS1121</f>
        <v>0</v>
      </c>
      <c r="DF1121" s="16" t="e">
        <f>VLOOKUP(K1121,'[3]RNA Seq summary tables'!$V$3:$V$99,1,FALSE)</f>
        <v>#N/A</v>
      </c>
      <c r="JO1121" s="30"/>
    </row>
    <row r="1122" spans="1:288" ht="16" x14ac:dyDescent="0.2">
      <c r="B1122" s="18">
        <v>2017</v>
      </c>
      <c r="C1122" s="37">
        <v>42930</v>
      </c>
      <c r="D1122" s="37" t="str">
        <f>CONCATENATE(J1122,"-",C1122)</f>
        <v>1243-42930</v>
      </c>
      <c r="E1122" s="37" t="str">
        <f>CONCATENATE(T1122,"-",U1122,"-",C1122)</f>
        <v>HW2-C1-42930</v>
      </c>
      <c r="F1122" s="20" t="s">
        <v>106</v>
      </c>
      <c r="G1122" s="37" t="s">
        <v>107</v>
      </c>
      <c r="H1122" s="18"/>
      <c r="I1122" s="16">
        <v>0</v>
      </c>
      <c r="J1122" s="36">
        <v>1243</v>
      </c>
      <c r="K1122" s="36">
        <v>1896</v>
      </c>
      <c r="L1122" s="18">
        <v>0</v>
      </c>
      <c r="M1122" s="21">
        <f>VLOOKUP($K1122,'[4]blood tubes 2017'!$D$1:$L$647,8,FALSE)</f>
        <v>0</v>
      </c>
      <c r="N1122" s="15">
        <v>0</v>
      </c>
      <c r="O1122" s="15" t="s">
        <v>214</v>
      </c>
      <c r="P1122" s="18" t="s">
        <v>110</v>
      </c>
      <c r="Q1122" s="16">
        <v>0</v>
      </c>
      <c r="R1122" s="18" t="s">
        <v>111</v>
      </c>
      <c r="S1122" s="18"/>
      <c r="T1122" s="18" t="s">
        <v>129</v>
      </c>
      <c r="U1122" s="18" t="s">
        <v>150</v>
      </c>
      <c r="V1122" s="18" t="s">
        <v>114</v>
      </c>
      <c r="W1122" s="16">
        <f>AI1122/AG1122</f>
        <v>0.79268292682926833</v>
      </c>
      <c r="X1122" s="18" t="s">
        <v>121</v>
      </c>
      <c r="Y1122" s="18" t="s">
        <v>122</v>
      </c>
      <c r="Z1122" s="18">
        <v>2.9</v>
      </c>
      <c r="AA1122" s="18" t="s">
        <v>119</v>
      </c>
      <c r="AB1122" s="18" t="s">
        <v>123</v>
      </c>
      <c r="AC1122" s="18" t="s">
        <v>123</v>
      </c>
      <c r="AD1122" s="18" t="s">
        <v>123</v>
      </c>
      <c r="AE1122" s="18"/>
      <c r="AF1122" s="18"/>
      <c r="AG1122" s="18">
        <f>AH1122-AI1122</f>
        <v>82</v>
      </c>
      <c r="AH1122" s="18">
        <v>147</v>
      </c>
      <c r="AI1122" s="18">
        <v>65</v>
      </c>
      <c r="AJ1122" s="18"/>
      <c r="AK1122" s="18">
        <v>15</v>
      </c>
      <c r="AL1122" s="18">
        <v>1</v>
      </c>
      <c r="AM1122" s="18">
        <v>0</v>
      </c>
      <c r="AN1122" s="18">
        <v>0</v>
      </c>
      <c r="AO1122" s="18">
        <v>1</v>
      </c>
      <c r="AP1122" s="18">
        <f>SUM(AL1122:AN1122)</f>
        <v>1</v>
      </c>
      <c r="AQ1122" s="18">
        <v>1.89</v>
      </c>
      <c r="AR1122" s="18">
        <f>AP1122-1.472</f>
        <v>-0.47199999999999998</v>
      </c>
      <c r="AS1122" s="18">
        <f>AQ1122-1.472</f>
        <v>0.41799999999999993</v>
      </c>
      <c r="AT1122" s="16" t="str">
        <f>VLOOKUP(E1122,[2]Current!$A$1:$W$435,7,FALSE)</f>
        <v>TE</v>
      </c>
      <c r="AU1122" s="16" t="s">
        <v>1288</v>
      </c>
      <c r="AV1122" s="18"/>
      <c r="AW1122" s="128">
        <f>IF(AX1122&gt;0,1,0)</f>
        <v>1</v>
      </c>
      <c r="AX1122" s="128">
        <f>SUM(BA1122,BM1122,CU1122)</f>
        <v>3</v>
      </c>
      <c r="AY1122" s="128">
        <f>SUM(BB1122,BN1122,CV1122)</f>
        <v>62.200956937799056</v>
      </c>
      <c r="AZ1122" s="128">
        <f>IF(BA1122&gt;0,1,0)</f>
        <v>1</v>
      </c>
      <c r="BA1122" s="128">
        <f>SUM(BC1122+BF1122+BI1122)</f>
        <v>2</v>
      </c>
      <c r="BB1122" s="128">
        <f>SUM(BE1122,BH1122,BK1122)</f>
        <v>47.84688995215312</v>
      </c>
      <c r="BC1122" s="130">
        <f>IF(BD1122&gt;0,1,0)</f>
        <v>0</v>
      </c>
      <c r="BD1122" s="128">
        <f>VLOOKUP($E1122,[2]Current!$A:$AC,26,FALSE)</f>
        <v>0</v>
      </c>
      <c r="BE1122" s="128">
        <f>BD1122/$AS1122</f>
        <v>0</v>
      </c>
      <c r="BF1122" s="130">
        <f>IF(BG1122&gt;0,1,0)</f>
        <v>1</v>
      </c>
      <c r="BG1122" s="137">
        <f>VLOOKUP($E1122,[2]Current!$A:$AC,27,FALSE)</f>
        <v>12</v>
      </c>
      <c r="BH1122" s="128">
        <f>BG1122/$AS1122</f>
        <v>28.708133971291872</v>
      </c>
      <c r="BI1122" s="130">
        <f>IF(BJ1122&gt;0,1,0)</f>
        <v>1</v>
      </c>
      <c r="BJ1122" s="128">
        <f>VLOOKUP($E1122,[2]Current!$A:$AC,28,FALSE)</f>
        <v>8</v>
      </c>
      <c r="BK1122" s="128">
        <f>BJ1122/$AS1122</f>
        <v>19.138755980861248</v>
      </c>
      <c r="BL1122" s="128">
        <f>IF(BM1122&gt;0,1,0)</f>
        <v>1</v>
      </c>
      <c r="BM1122" s="128">
        <f>SUM(BR1122,BU1122,BX1122,CA1122,CD1122)</f>
        <v>1</v>
      </c>
      <c r="BN1122" s="131">
        <f>SUM(BT1122,BW1122,BZ1122,CC1122,CF1122)</f>
        <v>14.354066985645936</v>
      </c>
      <c r="BO1122" s="128">
        <f>IF(BP1122&gt;0,1,0)</f>
        <v>1</v>
      </c>
      <c r="BP1122" s="128">
        <f>BM1122+CJ1122</f>
        <v>1</v>
      </c>
      <c r="BQ1122" s="128">
        <f>BN1122+CL1122</f>
        <v>14.354066985645936</v>
      </c>
      <c r="BR1122" s="130">
        <f>IF(BS1122&gt;0,1,0)</f>
        <v>0</v>
      </c>
      <c r="BS1122" s="128">
        <f>VLOOKUP($E1122,[2]Current!$A:$AC,12,FALSE)</f>
        <v>0</v>
      </c>
      <c r="BT1122" s="137">
        <f>BS1122/$AS1122</f>
        <v>0</v>
      </c>
      <c r="BU1122" s="130">
        <f>IF(BV1122&gt;0,1,0)</f>
        <v>0</v>
      </c>
      <c r="BV1122" s="128">
        <f>VLOOKUP($E1122,[2]Current!$A:$AC,13,FALSE)</f>
        <v>0</v>
      </c>
      <c r="BW1122" s="128">
        <f>BV1122/$AS1122</f>
        <v>0</v>
      </c>
      <c r="BX1122" s="130">
        <f>IF(BY1122&gt;0,1,0)</f>
        <v>0</v>
      </c>
      <c r="BY1122" s="128">
        <f>VLOOKUP($E1122,[2]Current!$A:$AC,14,FALSE)</f>
        <v>0</v>
      </c>
      <c r="BZ1122" s="128">
        <f>BY1122/$AS1122</f>
        <v>0</v>
      </c>
      <c r="CA1122" s="130">
        <f>IF(CB1122&gt;0,1,0)</f>
        <v>1</v>
      </c>
      <c r="CB1122" s="128">
        <f>VLOOKUP($E1122,[2]Current!$A:$AC,15,FALSE)</f>
        <v>6</v>
      </c>
      <c r="CC1122" s="128">
        <f>CB1122/$AS1122</f>
        <v>14.354066985645936</v>
      </c>
      <c r="CD1122" s="174">
        <f>IF(CE1122&gt;0,1,0)</f>
        <v>0</v>
      </c>
      <c r="CE1122" s="128">
        <f>VLOOKUP($E1122,[2]Current!$A:$AC,16,FALSE)</f>
        <v>0</v>
      </c>
      <c r="CF1122" s="128">
        <f>CE1122/$AS1122</f>
        <v>0</v>
      </c>
      <c r="CG1122" s="18"/>
      <c r="CH1122" s="18"/>
      <c r="CI1122" s="18"/>
      <c r="CJ1122" s="130">
        <f>IF(CK1122&gt;0,1,0)</f>
        <v>0</v>
      </c>
      <c r="CK1122" s="128">
        <f>VLOOKUP($E1122,[2]Current!$A:$AC,18,FALSE)</f>
        <v>0</v>
      </c>
      <c r="CL1122" s="128">
        <f>CK1122/$AS1122</f>
        <v>0</v>
      </c>
      <c r="CS1122" s="130">
        <f>IF(CU1122&gt;0,1,0)</f>
        <v>0</v>
      </c>
      <c r="CU1122" s="128">
        <f>VLOOKUP($E1122,[2]Current!$A:$AC,17,FALSE)</f>
        <v>0</v>
      </c>
      <c r="CV1122" s="128">
        <f>CU1122/$AS1122</f>
        <v>0</v>
      </c>
      <c r="CW1122" s="18"/>
      <c r="CX1122" s="18"/>
      <c r="CY1122" s="18"/>
      <c r="DF1122" s="16" t="e">
        <f>VLOOKUP(K1122,'[3]RNA Seq summary tables'!$V$3:$V$99,1,FALSE)</f>
        <v>#N/A</v>
      </c>
      <c r="DI1122" s="18"/>
      <c r="DJ1122" s="18"/>
      <c r="DK1122" s="18"/>
      <c r="DL1122" s="18"/>
      <c r="DM1122" s="18"/>
      <c r="DN1122" s="18"/>
      <c r="DO1122" s="18"/>
      <c r="DP1122" s="18"/>
      <c r="DQ1122" s="18"/>
      <c r="DR1122" s="18"/>
      <c r="DS1122" s="18"/>
      <c r="JR1122" s="19"/>
      <c r="JS1122" s="19"/>
      <c r="JT1122" s="19"/>
      <c r="JU1122" s="19"/>
      <c r="JV1122" s="19"/>
      <c r="JW1122" s="19"/>
      <c r="JX1122" s="19"/>
      <c r="JY1122" s="19"/>
      <c r="JZ1122" s="19"/>
      <c r="KA1122" s="19"/>
      <c r="KB1122" s="19"/>
    </row>
    <row r="1123" spans="1:288" ht="16" x14ac:dyDescent="0.2">
      <c r="B1123" s="16">
        <v>2017</v>
      </c>
      <c r="C1123" s="20">
        <v>42948</v>
      </c>
      <c r="D1123" s="20" t="str">
        <f>CONCATENATE(J1123,"-",C1123)</f>
        <v>1243-42948</v>
      </c>
      <c r="E1123" s="37" t="str">
        <f>CONCATENATE(T1123,"-",U1123,"-",C1123)</f>
        <v>HW2-D1-42948</v>
      </c>
      <c r="F1123" s="20" t="s">
        <v>106</v>
      </c>
      <c r="G1123" s="20" t="s">
        <v>107</v>
      </c>
      <c r="I1123" s="16">
        <v>0</v>
      </c>
      <c r="J1123" s="21">
        <v>1243</v>
      </c>
      <c r="K1123" s="21">
        <v>2035</v>
      </c>
      <c r="L1123" s="18">
        <v>0</v>
      </c>
      <c r="M1123" s="21">
        <f>VLOOKUP($K1123,'[4]blood tubes 2017'!$D$1:$L$647,8,FALSE)</f>
        <v>0</v>
      </c>
      <c r="N1123" s="15">
        <v>0</v>
      </c>
      <c r="O1123" s="15" t="s">
        <v>214</v>
      </c>
      <c r="P1123" s="16" t="s">
        <v>110</v>
      </c>
      <c r="Q1123" s="16">
        <v>1</v>
      </c>
      <c r="R1123" s="16">
        <v>18</v>
      </c>
      <c r="T1123" s="16" t="s">
        <v>129</v>
      </c>
      <c r="U1123" s="16" t="s">
        <v>157</v>
      </c>
      <c r="V1123" s="16" t="s">
        <v>114</v>
      </c>
      <c r="W1123" s="16">
        <f>AI1123/AG1123</f>
        <v>0.78409090909090906</v>
      </c>
      <c r="X1123" s="16" t="s">
        <v>121</v>
      </c>
      <c r="Y1123" s="16" t="s">
        <v>110</v>
      </c>
      <c r="Z1123" s="16">
        <v>3</v>
      </c>
      <c r="AA1123" s="16" t="s">
        <v>119</v>
      </c>
      <c r="AB1123" s="16" t="s">
        <v>123</v>
      </c>
      <c r="AC1123" s="16" t="s">
        <v>123</v>
      </c>
      <c r="AD1123" s="16" t="s">
        <v>123</v>
      </c>
      <c r="AG1123" s="16">
        <f>AH1123-AI1123</f>
        <v>88</v>
      </c>
      <c r="AH1123" s="16">
        <v>157</v>
      </c>
      <c r="AI1123" s="16">
        <v>69</v>
      </c>
      <c r="AK1123" s="16">
        <v>17</v>
      </c>
      <c r="AL1123" s="16">
        <v>0</v>
      </c>
      <c r="AM1123" s="16">
        <v>0</v>
      </c>
      <c r="AN1123" s="16">
        <v>0</v>
      </c>
      <c r="AO1123" s="16">
        <v>0</v>
      </c>
      <c r="AP1123" s="16">
        <f>SUM(AL1123:AN1123)</f>
        <v>0</v>
      </c>
      <c r="AQ1123" s="16">
        <v>1.9490000000000001</v>
      </c>
      <c r="AR1123" s="16">
        <f>AP1123-1.472</f>
        <v>-1.472</v>
      </c>
      <c r="AS1123" s="16">
        <f>AQ1123-1.472</f>
        <v>0.47700000000000009</v>
      </c>
      <c r="AT1123" s="16" t="str">
        <f>VLOOKUP(E1123,[2]Current!$A$1:$W$435,7,FALSE)</f>
        <v>TE</v>
      </c>
      <c r="AU1123" s="16" t="s">
        <v>1288</v>
      </c>
      <c r="AV1123" s="23"/>
      <c r="AW1123" s="128">
        <f>IF(AX1123&gt;0,1,0)</f>
        <v>1</v>
      </c>
      <c r="AX1123" s="128">
        <f>SUM(BA1123,BM1123,CU1123)</f>
        <v>3</v>
      </c>
      <c r="AY1123" s="128">
        <f>SUM(BB1123,BN1123,CV1123)</f>
        <v>29.35010482180293</v>
      </c>
      <c r="AZ1123" s="128">
        <f>IF(BA1123&gt;0,1,0)</f>
        <v>1</v>
      </c>
      <c r="BA1123" s="128">
        <f>SUM(BC1123+BF1123+BI1123)</f>
        <v>3</v>
      </c>
      <c r="BB1123" s="128">
        <f>SUM(BE1123,BH1123,BK1123)</f>
        <v>29.35010482180293</v>
      </c>
      <c r="BC1123" s="130">
        <f>IF(BD1123&gt;0,1,0)</f>
        <v>1</v>
      </c>
      <c r="BD1123" s="128">
        <f>VLOOKUP($E1123,[2]Current!$A:$AC,26,FALSE)</f>
        <v>4</v>
      </c>
      <c r="BE1123" s="128">
        <f>BD1123/$AS1123</f>
        <v>8.3857442348008373</v>
      </c>
      <c r="BF1123" s="130">
        <f>IF(BG1123&gt;0,1,0)</f>
        <v>1</v>
      </c>
      <c r="BG1123" s="137">
        <f>VLOOKUP($E1123,[2]Current!$A:$AC,27,FALSE)</f>
        <v>4</v>
      </c>
      <c r="BH1123" s="128">
        <f>BG1123/$AS1123</f>
        <v>8.3857442348008373</v>
      </c>
      <c r="BI1123" s="130">
        <f>IF(BJ1123&gt;0,1,0)</f>
        <v>1</v>
      </c>
      <c r="BJ1123" s="128">
        <f>VLOOKUP($E1123,[2]Current!$A:$AC,28,FALSE)</f>
        <v>6</v>
      </c>
      <c r="BK1123" s="128">
        <f>BJ1123/$AS1123</f>
        <v>12.578616352201255</v>
      </c>
      <c r="BL1123" s="128">
        <f>IF(BM1123&gt;0,1,0)</f>
        <v>0</v>
      </c>
      <c r="BM1123" s="128">
        <f>SUM(BR1123,BU1123,BX1123,CA1123,CD1123)</f>
        <v>0</v>
      </c>
      <c r="BN1123" s="131">
        <f>SUM(BT1123,BW1123,BZ1123,CC1123,CF1123)</f>
        <v>0</v>
      </c>
      <c r="BO1123" s="128">
        <f>IF(BP1123&gt;0,1,0)</f>
        <v>0</v>
      </c>
      <c r="BP1123" s="128">
        <f>BM1123+CJ1123</f>
        <v>0</v>
      </c>
      <c r="BQ1123" s="128">
        <f>BN1123+CL1123</f>
        <v>0</v>
      </c>
      <c r="BR1123" s="130">
        <f>IF(BS1123&gt;0,1,0)</f>
        <v>0</v>
      </c>
      <c r="BS1123" s="128">
        <f>VLOOKUP($E1123,[2]Current!$A:$AC,12,FALSE)</f>
        <v>0</v>
      </c>
      <c r="BT1123" s="137">
        <f>BS1123/$AS1123</f>
        <v>0</v>
      </c>
      <c r="BU1123" s="130">
        <f>IF(BV1123&gt;0,1,0)</f>
        <v>0</v>
      </c>
      <c r="BV1123" s="128">
        <f>VLOOKUP($E1123,[2]Current!$A:$AC,13,FALSE)</f>
        <v>0</v>
      </c>
      <c r="BW1123" s="128">
        <f>BV1123/$AS1123</f>
        <v>0</v>
      </c>
      <c r="BX1123" s="130">
        <f>IF(BY1123&gt;0,1,0)</f>
        <v>0</v>
      </c>
      <c r="BY1123" s="128">
        <f>VLOOKUP($E1123,[2]Current!$A:$AC,14,FALSE)</f>
        <v>0</v>
      </c>
      <c r="BZ1123" s="128">
        <f>BY1123/$AS1123</f>
        <v>0</v>
      </c>
      <c r="CA1123" s="130">
        <f>IF(CB1123&gt;0,1,0)</f>
        <v>0</v>
      </c>
      <c r="CB1123" s="128">
        <f>VLOOKUP($E1123,[2]Current!$A:$AC,15,FALSE)</f>
        <v>0</v>
      </c>
      <c r="CC1123" s="128">
        <f>CB1123/$AS1123</f>
        <v>0</v>
      </c>
      <c r="CD1123" s="174">
        <f>IF(CE1123&gt;0,1,0)</f>
        <v>0</v>
      </c>
      <c r="CE1123" s="128">
        <f>VLOOKUP($E1123,[2]Current!$A:$AC,16,FALSE)</f>
        <v>0</v>
      </c>
      <c r="CF1123" s="128">
        <f>CE1123/$AS1123</f>
        <v>0</v>
      </c>
      <c r="CG1123" s="18"/>
      <c r="CH1123" s="18"/>
      <c r="CI1123" s="18"/>
      <c r="CJ1123" s="130">
        <f>IF(CK1123&gt;0,1,0)</f>
        <v>0</v>
      </c>
      <c r="CK1123" s="128">
        <f>VLOOKUP($E1123,[2]Current!$A:$AC,18,FALSE)</f>
        <v>0</v>
      </c>
      <c r="CL1123" s="128">
        <f>CK1123/$AS1123</f>
        <v>0</v>
      </c>
      <c r="CS1123" s="130">
        <f>IF(CU1123&gt;0,1,0)</f>
        <v>0</v>
      </c>
      <c r="CU1123" s="128">
        <f>VLOOKUP($E1123,[2]Current!$A:$AC,17,FALSE)</f>
        <v>0</v>
      </c>
      <c r="CV1123" s="128">
        <f>CU1123/$AS1123</f>
        <v>0</v>
      </c>
      <c r="CW1123" s="18"/>
      <c r="CX1123" s="18"/>
      <c r="CY1123" s="18"/>
      <c r="DF1123" s="16" t="e">
        <f>VLOOKUP(K1123,'[3]RNA Seq summary tables'!$V$3:$V$99,1,FALSE)</f>
        <v>#N/A</v>
      </c>
    </row>
    <row r="1124" spans="1:288" ht="16" x14ac:dyDescent="0.2">
      <c r="B1124" s="16">
        <v>2017</v>
      </c>
      <c r="C1124" s="20">
        <v>42966</v>
      </c>
      <c r="D1124" s="20" t="str">
        <f>CONCATENATE(J1124,"-",C1124)</f>
        <v>1243-42966</v>
      </c>
      <c r="E1124" s="37" t="str">
        <f>CONCATENATE(T1124,"-",U1124,"-",C1124)</f>
        <v>HW2-D2-42966</v>
      </c>
      <c r="F1124" s="20" t="s">
        <v>106</v>
      </c>
      <c r="G1124" s="20" t="s">
        <v>107</v>
      </c>
      <c r="I1124" s="16">
        <v>0</v>
      </c>
      <c r="J1124" s="21">
        <v>1243</v>
      </c>
      <c r="K1124" s="21">
        <v>2191</v>
      </c>
      <c r="L1124" s="18">
        <v>0</v>
      </c>
      <c r="M1124" s="21">
        <f>VLOOKUP($K1124,'[4]blood tubes 2017'!$D$1:$L$647,8,FALSE)</f>
        <v>0</v>
      </c>
      <c r="N1124" s="15">
        <v>0</v>
      </c>
      <c r="O1124" s="15" t="s">
        <v>214</v>
      </c>
      <c r="P1124" s="16" t="s">
        <v>110</v>
      </c>
      <c r="Q1124" s="16">
        <v>1</v>
      </c>
      <c r="R1124" s="16">
        <v>18</v>
      </c>
      <c r="T1124" s="16" t="s">
        <v>129</v>
      </c>
      <c r="U1124" s="16" t="s">
        <v>198</v>
      </c>
      <c r="V1124" s="16" t="s">
        <v>114</v>
      </c>
      <c r="W1124" s="16">
        <f>AI1124/AG1124</f>
        <v>0.83908045977011492</v>
      </c>
      <c r="X1124" s="16" t="s">
        <v>121</v>
      </c>
      <c r="Y1124" s="16" t="s">
        <v>110</v>
      </c>
      <c r="Z1124" s="16">
        <v>3</v>
      </c>
      <c r="AA1124" s="16" t="s">
        <v>119</v>
      </c>
      <c r="AB1124" s="16" t="s">
        <v>123</v>
      </c>
      <c r="AC1124" s="16" t="s">
        <v>123</v>
      </c>
      <c r="AD1124" s="16" t="s">
        <v>123</v>
      </c>
      <c r="AG1124" s="16">
        <f>AH1124-AI1124</f>
        <v>87</v>
      </c>
      <c r="AH1124" s="16">
        <v>160</v>
      </c>
      <c r="AI1124" s="16">
        <v>73</v>
      </c>
      <c r="AK1124" s="16">
        <v>19</v>
      </c>
      <c r="AL1124" s="16">
        <v>0</v>
      </c>
      <c r="AM1124" s="16">
        <v>0</v>
      </c>
      <c r="AN1124" s="16">
        <v>0</v>
      </c>
      <c r="AO1124" s="16">
        <v>0</v>
      </c>
      <c r="AP1124" s="16">
        <f>SUM(AL1124:AN1124)</f>
        <v>0</v>
      </c>
      <c r="AQ1124" s="16">
        <v>1.7470000000000001</v>
      </c>
      <c r="AR1124" s="16">
        <f>AP1124-1.472</f>
        <v>-1.472</v>
      </c>
      <c r="AS1124" s="16">
        <f>AQ1124-1.472</f>
        <v>0.27500000000000013</v>
      </c>
      <c r="AT1124" s="16" t="str">
        <f>VLOOKUP(E1124,[2]Current!$A$1:$W$435,7,FALSE)</f>
        <v>TE</v>
      </c>
      <c r="AU1124" s="16" t="s">
        <v>1288</v>
      </c>
      <c r="AV1124" s="23">
        <v>1</v>
      </c>
      <c r="AW1124" s="128">
        <f>IF(AX1124&gt;0,1,0)</f>
        <v>0</v>
      </c>
      <c r="AX1124" s="128">
        <f>SUM(BA1124,BM1124,CU1124)</f>
        <v>0</v>
      </c>
      <c r="AY1124" s="128">
        <f>SUM(BB1124,BN1124,CV1124)</f>
        <v>0</v>
      </c>
      <c r="AZ1124" s="128">
        <f>IF(BA1124&gt;0,1,0)</f>
        <v>0</v>
      </c>
      <c r="BA1124" s="128">
        <f>SUM(BC1124+BF1124+BI1124)</f>
        <v>0</v>
      </c>
      <c r="BB1124" s="128">
        <f>SUM(BE1124,BH1124,BK1124)</f>
        <v>0</v>
      </c>
      <c r="BC1124" s="130">
        <f>IF(BD1124&gt;0,1,0)</f>
        <v>0</v>
      </c>
      <c r="BD1124" s="128">
        <f>VLOOKUP($E1124,[2]Current!$A:$AC,26,FALSE)</f>
        <v>0</v>
      </c>
      <c r="BE1124" s="128">
        <f>BD1124/$AS1124</f>
        <v>0</v>
      </c>
      <c r="BF1124" s="130">
        <f>IF(BG1124&gt;0,1,0)</f>
        <v>0</v>
      </c>
      <c r="BG1124" s="137">
        <f>VLOOKUP($E1124,[2]Current!$A:$AC,27,FALSE)</f>
        <v>0</v>
      </c>
      <c r="BH1124" s="128">
        <f>BG1124/$AS1124</f>
        <v>0</v>
      </c>
      <c r="BI1124" s="130">
        <f>IF(BJ1124&gt;0,1,0)</f>
        <v>0</v>
      </c>
      <c r="BJ1124" s="128">
        <f>VLOOKUP($E1124,[2]Current!$A:$AC,28,FALSE)</f>
        <v>0</v>
      </c>
      <c r="BK1124" s="128">
        <f>BJ1124/$AS1124</f>
        <v>0</v>
      </c>
      <c r="BL1124" s="128">
        <f>IF(BM1124&gt;0,1,0)</f>
        <v>0</v>
      </c>
      <c r="BM1124" s="128">
        <f>SUM(BR1124,BU1124,BX1124,CA1124,CD1124)</f>
        <v>0</v>
      </c>
      <c r="BN1124" s="131">
        <f>SUM(BT1124,BW1124,BZ1124,CC1124,CF1124)</f>
        <v>0</v>
      </c>
      <c r="BO1124" s="128">
        <f>IF(BP1124&gt;0,1,0)</f>
        <v>0</v>
      </c>
      <c r="BP1124" s="128">
        <f>BM1124+CJ1124</f>
        <v>0</v>
      </c>
      <c r="BQ1124" s="128">
        <f>BN1124+CL1124</f>
        <v>0</v>
      </c>
      <c r="BR1124" s="130">
        <f>IF(BS1124&gt;0,1,0)</f>
        <v>0</v>
      </c>
      <c r="BS1124" s="128">
        <f>VLOOKUP($E1124,[2]Current!$A:$AC,12,FALSE)</f>
        <v>0</v>
      </c>
      <c r="BT1124" s="137">
        <f>BS1124/$AS1124</f>
        <v>0</v>
      </c>
      <c r="BU1124" s="130">
        <f>IF(BV1124&gt;0,1,0)</f>
        <v>0</v>
      </c>
      <c r="BV1124" s="128">
        <f>VLOOKUP($E1124,[2]Current!$A:$AC,13,FALSE)</f>
        <v>0</v>
      </c>
      <c r="BW1124" s="128">
        <f>BV1124/$AS1124</f>
        <v>0</v>
      </c>
      <c r="BX1124" s="130">
        <f>IF(BY1124&gt;0,1,0)</f>
        <v>0</v>
      </c>
      <c r="BY1124" s="128">
        <f>VLOOKUP($E1124,[2]Current!$A:$AC,14,FALSE)</f>
        <v>0</v>
      </c>
      <c r="BZ1124" s="128">
        <f>BY1124/$AS1124</f>
        <v>0</v>
      </c>
      <c r="CA1124" s="130">
        <f>IF(CB1124&gt;0,1,0)</f>
        <v>0</v>
      </c>
      <c r="CB1124" s="128">
        <f>VLOOKUP($E1124,[2]Current!$A:$AC,15,FALSE)</f>
        <v>0</v>
      </c>
      <c r="CC1124" s="128">
        <f>CB1124/$AS1124</f>
        <v>0</v>
      </c>
      <c r="CD1124" s="174">
        <f>IF(CE1124&gt;0,1,0)</f>
        <v>0</v>
      </c>
      <c r="CE1124" s="128">
        <f>VLOOKUP($E1124,[2]Current!$A:$AC,16,FALSE)</f>
        <v>0</v>
      </c>
      <c r="CF1124" s="128">
        <f>CE1124/$AS1124</f>
        <v>0</v>
      </c>
      <c r="CG1124" s="18"/>
      <c r="CH1124" s="18"/>
      <c r="CI1124" s="18"/>
      <c r="CJ1124" s="130">
        <f>IF(CK1124&gt;0,1,0)</f>
        <v>0</v>
      </c>
      <c r="CK1124" s="128">
        <f>VLOOKUP($E1124,[2]Current!$A:$AC,18,FALSE)</f>
        <v>0</v>
      </c>
      <c r="CL1124" s="128">
        <f>CK1124/$AS1124</f>
        <v>0</v>
      </c>
      <c r="CS1124" s="130">
        <f>IF(CU1124&gt;0,1,0)</f>
        <v>0</v>
      </c>
      <c r="CU1124" s="128">
        <f>VLOOKUP($E1124,[2]Current!$A:$AC,17,FALSE)</f>
        <v>0</v>
      </c>
      <c r="CV1124" s="128">
        <f>CU1124/$AS1124</f>
        <v>0</v>
      </c>
      <c r="CW1124" s="18"/>
      <c r="CX1124" s="18"/>
      <c r="CY1124" s="18"/>
      <c r="DF1124" s="16" t="e">
        <f>VLOOKUP(K1124,'[3]RNA Seq summary tables'!$V$3:$V$99,1,FALSE)</f>
        <v>#N/A</v>
      </c>
    </row>
    <row r="1125" spans="1:288" ht="16" x14ac:dyDescent="0.2">
      <c r="B1125" s="16">
        <v>2017</v>
      </c>
      <c r="C1125" s="20">
        <v>42930</v>
      </c>
      <c r="D1125" s="20" t="str">
        <f>CONCATENATE(J1125,"-",C1125)</f>
        <v>1245-42930</v>
      </c>
      <c r="E1125" s="37" t="str">
        <f>CONCATENATE(T1125,"-",U1125,"-",C1125)</f>
        <v>HW1-A3-42930</v>
      </c>
      <c r="F1125" s="20" t="s">
        <v>106</v>
      </c>
      <c r="G1125" s="20" t="s">
        <v>107</v>
      </c>
      <c r="I1125" s="16">
        <v>0</v>
      </c>
      <c r="J1125" s="21">
        <v>1245</v>
      </c>
      <c r="K1125" s="21">
        <v>1905</v>
      </c>
      <c r="L1125" s="18">
        <v>0</v>
      </c>
      <c r="M1125" s="21">
        <f>VLOOKUP($K1125,'[4]blood tubes 2017'!$D$1:$L$647,8,FALSE)</f>
        <v>0</v>
      </c>
      <c r="N1125" s="15">
        <v>0</v>
      </c>
      <c r="O1125" s="15" t="s">
        <v>214</v>
      </c>
      <c r="P1125" s="16" t="s">
        <v>110</v>
      </c>
      <c r="Q1125" s="16">
        <v>0</v>
      </c>
      <c r="R1125" s="16" t="s">
        <v>111</v>
      </c>
      <c r="T1125" s="16" t="s">
        <v>133</v>
      </c>
      <c r="U1125" s="16" t="s">
        <v>201</v>
      </c>
      <c r="V1125" s="16" t="s">
        <v>114</v>
      </c>
      <c r="W1125" s="16">
        <f>AI1125/AG1125</f>
        <v>0.83132530120481929</v>
      </c>
      <c r="X1125" s="16" t="s">
        <v>115</v>
      </c>
      <c r="Y1125" s="16" t="s">
        <v>110</v>
      </c>
      <c r="Z1125" s="16">
        <v>3</v>
      </c>
      <c r="AE1125" s="16" t="s">
        <v>123</v>
      </c>
      <c r="AF1125" s="16" t="s">
        <v>123</v>
      </c>
      <c r="AG1125" s="16">
        <f>AH1125-AI1125</f>
        <v>83</v>
      </c>
      <c r="AH1125" s="16">
        <v>152</v>
      </c>
      <c r="AI1125" s="16">
        <v>69</v>
      </c>
      <c r="AK1125" s="16">
        <v>18</v>
      </c>
      <c r="AL1125" s="16">
        <v>1</v>
      </c>
      <c r="AM1125" s="16">
        <v>0</v>
      </c>
      <c r="AN1125" s="16">
        <v>0</v>
      </c>
      <c r="AO1125" s="16">
        <v>1</v>
      </c>
      <c r="AP1125" s="16">
        <f>SUM(AL1125:AN1125)</f>
        <v>1</v>
      </c>
      <c r="AQ1125" s="16">
        <v>1.8280000000000001</v>
      </c>
      <c r="AR1125" s="16">
        <f>AP1125-1.472</f>
        <v>-0.47199999999999998</v>
      </c>
      <c r="AS1125" s="16">
        <f>AQ1125-1.472</f>
        <v>0.35600000000000009</v>
      </c>
      <c r="AT1125" s="16" t="str">
        <f>VLOOKUP(E1125,[2]Current!$A$1:$W$435,7,FALSE)</f>
        <v>JB</v>
      </c>
      <c r="AU1125" s="16" t="s">
        <v>1288</v>
      </c>
      <c r="AW1125" s="128">
        <f>IF(AX1125&gt;0,1,0)</f>
        <v>1</v>
      </c>
      <c r="AX1125" s="128">
        <f>SUM(BA1125,BM1125,CU1125)</f>
        <v>2</v>
      </c>
      <c r="AY1125" s="128">
        <f>SUM(BB1125,BN1125,CV1125)</f>
        <v>25.280898876404489</v>
      </c>
      <c r="AZ1125" s="128">
        <f>IF(BA1125&gt;0,1,0)</f>
        <v>1</v>
      </c>
      <c r="BA1125" s="128">
        <f>SUM(BC1125+BF1125+BI1125)</f>
        <v>2</v>
      </c>
      <c r="BB1125" s="128">
        <f>SUM(BE1125,BH1125,BK1125)</f>
        <v>25.280898876404489</v>
      </c>
      <c r="BC1125" s="130">
        <f>IF(BD1125&gt;0,1,0)</f>
        <v>0</v>
      </c>
      <c r="BD1125" s="128">
        <f>VLOOKUP($E1125,[2]Current!$A:$AC,26,FALSE)</f>
        <v>0</v>
      </c>
      <c r="BE1125" s="128">
        <f>BD1125/$AS1125</f>
        <v>0</v>
      </c>
      <c r="BF1125" s="130">
        <f>IF(BG1125&gt;0,1,0)</f>
        <v>1</v>
      </c>
      <c r="BG1125" s="137">
        <f>VLOOKUP($E1125,[2]Current!$A:$AC,27,FALSE)</f>
        <v>8</v>
      </c>
      <c r="BH1125" s="128">
        <f>BG1125/$AS1125</f>
        <v>22.471910112359545</v>
      </c>
      <c r="BI1125" s="130">
        <f>IF(BJ1125&gt;0,1,0)</f>
        <v>1</v>
      </c>
      <c r="BJ1125" s="128">
        <f>VLOOKUP($E1125,[2]Current!$A:$AC,28,FALSE)</f>
        <v>1</v>
      </c>
      <c r="BK1125" s="128">
        <f>BJ1125/$AS1125</f>
        <v>2.8089887640449431</v>
      </c>
      <c r="BL1125" s="128">
        <f>IF(BM1125&gt;0,1,0)</f>
        <v>0</v>
      </c>
      <c r="BM1125" s="128">
        <f>SUM(BR1125,BU1125,BX1125,CA1125,CD1125)</f>
        <v>0</v>
      </c>
      <c r="BN1125" s="131">
        <f>SUM(BT1125,BW1125,BZ1125,CC1125,CF1125)</f>
        <v>0</v>
      </c>
      <c r="BO1125" s="128">
        <f>IF(BP1125&gt;0,1,0)</f>
        <v>0</v>
      </c>
      <c r="BP1125" s="128">
        <f>BM1125+CJ1125</f>
        <v>0</v>
      </c>
      <c r="BQ1125" s="128">
        <f>BN1125+CL1125</f>
        <v>0</v>
      </c>
      <c r="BR1125" s="130">
        <f>IF(BS1125&gt;0,1,0)</f>
        <v>0</v>
      </c>
      <c r="BS1125" s="128">
        <f>VLOOKUP($E1125,[2]Current!$A:$AC,12,FALSE)</f>
        <v>0</v>
      </c>
      <c r="BT1125" s="137">
        <f>BS1125/$AS1125</f>
        <v>0</v>
      </c>
      <c r="BU1125" s="130">
        <f>IF(BV1125&gt;0,1,0)</f>
        <v>0</v>
      </c>
      <c r="BV1125" s="128">
        <f>VLOOKUP($E1125,[2]Current!$A:$AC,13,FALSE)</f>
        <v>0</v>
      </c>
      <c r="BW1125" s="128">
        <f>BV1125/$AS1125</f>
        <v>0</v>
      </c>
      <c r="BX1125" s="130">
        <f>IF(BY1125&gt;0,1,0)</f>
        <v>0</v>
      </c>
      <c r="BY1125" s="128">
        <f>VLOOKUP($E1125,[2]Current!$A:$AC,14,FALSE)</f>
        <v>0</v>
      </c>
      <c r="BZ1125" s="128">
        <f>BY1125/$AS1125</f>
        <v>0</v>
      </c>
      <c r="CA1125" s="130">
        <f>IF(CB1125&gt;0,1,0)</f>
        <v>0</v>
      </c>
      <c r="CB1125" s="128">
        <f>VLOOKUP($E1125,[2]Current!$A:$AC,15,FALSE)</f>
        <v>0</v>
      </c>
      <c r="CC1125" s="128">
        <f>CB1125/$AS1125</f>
        <v>0</v>
      </c>
      <c r="CD1125" s="174">
        <f>IF(CE1125&gt;0,1,0)</f>
        <v>0</v>
      </c>
      <c r="CE1125" s="128">
        <f>VLOOKUP($E1125,[2]Current!$A:$AC,16,FALSE)</f>
        <v>0</v>
      </c>
      <c r="CF1125" s="128">
        <f>CE1125/$AS1125</f>
        <v>0</v>
      </c>
      <c r="CG1125" s="18"/>
      <c r="CH1125" s="18"/>
      <c r="CI1125" s="18"/>
      <c r="CJ1125" s="130">
        <f>IF(CK1125&gt;0,1,0)</f>
        <v>0</v>
      </c>
      <c r="CK1125" s="128">
        <f>VLOOKUP($E1125,[2]Current!$A:$AC,18,FALSE)</f>
        <v>0</v>
      </c>
      <c r="CL1125" s="128">
        <f>CK1125/$AS1125</f>
        <v>0</v>
      </c>
      <c r="CS1125" s="130">
        <f>IF(CU1125&gt;0,1,0)</f>
        <v>0</v>
      </c>
      <c r="CU1125" s="128">
        <f>VLOOKUP($E1125,[2]Current!$A:$AC,17,FALSE)</f>
        <v>0</v>
      </c>
      <c r="CV1125" s="128">
        <f>CU1125/$AS1125</f>
        <v>0</v>
      </c>
      <c r="CW1125" s="18"/>
      <c r="CX1125" s="18"/>
      <c r="CY1125" s="18"/>
      <c r="DF1125" s="16" t="e">
        <f>VLOOKUP(K1125,'[3]RNA Seq summary tables'!$V$3:$V$99,1,FALSE)</f>
        <v>#N/A</v>
      </c>
      <c r="JR1125" s="19"/>
      <c r="JS1125" s="19"/>
      <c r="JT1125" s="19"/>
      <c r="JU1125" s="19"/>
      <c r="JV1125" s="19"/>
      <c r="JW1125" s="19"/>
      <c r="JX1125" s="19"/>
      <c r="JY1125" s="19"/>
      <c r="JZ1125" s="19"/>
      <c r="KA1125" s="19"/>
      <c r="KB1125" s="19"/>
    </row>
    <row r="1126" spans="1:288" ht="16" x14ac:dyDescent="0.2">
      <c r="B1126" s="16">
        <v>2017</v>
      </c>
      <c r="C1126" s="20">
        <v>42930</v>
      </c>
      <c r="D1126" s="20" t="str">
        <f>CONCATENATE(J1126,"-",C1126)</f>
        <v>1247-42930</v>
      </c>
      <c r="E1126" s="37" t="str">
        <f>CONCATENATE(T1126,"-",U1126,"-",C1126)</f>
        <v>HW1-H8-42930</v>
      </c>
      <c r="F1126" s="20" t="s">
        <v>106</v>
      </c>
      <c r="G1126" s="20" t="s">
        <v>107</v>
      </c>
      <c r="I1126" s="16">
        <v>0</v>
      </c>
      <c r="J1126" s="21">
        <v>1247</v>
      </c>
      <c r="K1126" s="21">
        <v>1915</v>
      </c>
      <c r="L1126" s="18">
        <v>0</v>
      </c>
      <c r="M1126" s="21">
        <f>VLOOKUP($K1126,'[4]blood tubes 2017'!$D$1:$L$647,8,FALSE)</f>
        <v>0</v>
      </c>
      <c r="N1126" s="15">
        <v>0</v>
      </c>
      <c r="O1126" s="15" t="s">
        <v>214</v>
      </c>
      <c r="P1126" s="16" t="s">
        <v>110</v>
      </c>
      <c r="Q1126" s="16">
        <v>0</v>
      </c>
      <c r="R1126" s="16" t="s">
        <v>111</v>
      </c>
      <c r="T1126" s="16" t="s">
        <v>133</v>
      </c>
      <c r="U1126" s="16" t="s">
        <v>152</v>
      </c>
      <c r="V1126" s="16" t="s">
        <v>114</v>
      </c>
      <c r="W1126" s="16">
        <f>AI1126/AG1126</f>
        <v>0.90277777777777779</v>
      </c>
      <c r="X1126" s="16" t="s">
        <v>121</v>
      </c>
      <c r="Y1126" s="16" t="s">
        <v>122</v>
      </c>
      <c r="Z1126" s="16">
        <v>2.2999999999999998</v>
      </c>
      <c r="AA1126" s="16" t="s">
        <v>119</v>
      </c>
      <c r="AB1126" s="16" t="s">
        <v>123</v>
      </c>
      <c r="AC1126" s="16" t="s">
        <v>123</v>
      </c>
      <c r="AD1126" s="16" t="s">
        <v>123</v>
      </c>
      <c r="AG1126" s="16">
        <f>AH1126-AI1126</f>
        <v>72</v>
      </c>
      <c r="AH1126" s="16">
        <v>137</v>
      </c>
      <c r="AI1126" s="16">
        <v>65</v>
      </c>
      <c r="AK1126" s="16">
        <v>14</v>
      </c>
      <c r="AL1126" s="16">
        <v>0</v>
      </c>
      <c r="AM1126" s="16">
        <v>0</v>
      </c>
      <c r="AN1126" s="16">
        <v>0</v>
      </c>
      <c r="AO1126" s="16">
        <v>0</v>
      </c>
      <c r="AP1126" s="16">
        <f>SUM(AL1126:AN1126)</f>
        <v>0</v>
      </c>
      <c r="AQ1126" s="16">
        <v>2.427</v>
      </c>
      <c r="AR1126" s="16">
        <f>AP1126-1.472</f>
        <v>-1.472</v>
      </c>
      <c r="AS1126" s="16">
        <f>AQ1126-1.472</f>
        <v>0.95500000000000007</v>
      </c>
      <c r="AT1126" s="16" t="str">
        <f>VLOOKUP(E1126,[2]Current!$A$1:$W$435,7,FALSE)</f>
        <v>LV</v>
      </c>
      <c r="AU1126" s="16" t="s">
        <v>1288</v>
      </c>
      <c r="AV1126" s="23"/>
      <c r="AW1126" s="128">
        <f>IF(AX1126&gt;0,1,0)</f>
        <v>1</v>
      </c>
      <c r="AX1126" s="128">
        <f>SUM(BA1126,BM1126,CU1126)</f>
        <v>2</v>
      </c>
      <c r="AY1126" s="128">
        <f>SUM(BB1126,BN1126,CV1126)</f>
        <v>6834.5549738219888</v>
      </c>
      <c r="AZ1126" s="128">
        <f>IF(BA1126&gt;0,1,0)</f>
        <v>1</v>
      </c>
      <c r="BA1126" s="128">
        <f>SUM(BC1126+BF1126+BI1126)</f>
        <v>2</v>
      </c>
      <c r="BB1126" s="128">
        <f>SUM(BE1126,BH1126,BK1126)</f>
        <v>6834.5549738219888</v>
      </c>
      <c r="BC1126" s="130">
        <f>IF(BD1126&gt;0,1,0)</f>
        <v>1</v>
      </c>
      <c r="BD1126" s="128">
        <f>VLOOKUP($E1126,[2]Current!$A:$AC,26,FALSE)</f>
        <v>88</v>
      </c>
      <c r="BE1126" s="128">
        <f>BD1126/$AS1126</f>
        <v>92.146596858638731</v>
      </c>
      <c r="BF1126" s="130">
        <f>IF(BG1126&gt;0,1,0)</f>
        <v>1</v>
      </c>
      <c r="BG1126" s="137">
        <f>VLOOKUP($E1126,[2]Current!$A:$AC,27,FALSE)</f>
        <v>6439</v>
      </c>
      <c r="BH1126" s="128">
        <f>BG1126/$AS1126</f>
        <v>6742.4083769633498</v>
      </c>
      <c r="BI1126" s="130">
        <f>IF(BJ1126&gt;0,1,0)</f>
        <v>0</v>
      </c>
      <c r="BJ1126" s="128">
        <f>VLOOKUP($E1126,[2]Current!$A:$AC,28,FALSE)</f>
        <v>0</v>
      </c>
      <c r="BK1126" s="128">
        <f>BJ1126/$AS1126</f>
        <v>0</v>
      </c>
      <c r="BL1126" s="128">
        <f>IF(BM1126&gt;0,1,0)</f>
        <v>0</v>
      </c>
      <c r="BM1126" s="128">
        <f>SUM(BR1126,BU1126,BX1126,CA1126,CD1126)</f>
        <v>0</v>
      </c>
      <c r="BN1126" s="131">
        <f>SUM(BT1126,BW1126,BZ1126,CC1126,CF1126)</f>
        <v>0</v>
      </c>
      <c r="BO1126" s="128">
        <f>IF(BP1126&gt;0,1,0)</f>
        <v>1</v>
      </c>
      <c r="BP1126" s="128">
        <f>BM1126+CJ1126</f>
        <v>1</v>
      </c>
      <c r="BQ1126" s="128">
        <f>BN1126+CL1126</f>
        <v>2.0942408376963351</v>
      </c>
      <c r="BR1126" s="130">
        <f>IF(BS1126&gt;0,1,0)</f>
        <v>0</v>
      </c>
      <c r="BS1126" s="128">
        <f>VLOOKUP($E1126,[2]Current!$A:$AC,12,FALSE)</f>
        <v>0</v>
      </c>
      <c r="BT1126" s="137">
        <f>BS1126/$AS1126</f>
        <v>0</v>
      </c>
      <c r="BU1126" s="130">
        <f>IF(BV1126&gt;0,1,0)</f>
        <v>0</v>
      </c>
      <c r="BV1126" s="128">
        <f>VLOOKUP($E1126,[2]Current!$A:$AC,13,FALSE)</f>
        <v>0</v>
      </c>
      <c r="BW1126" s="128">
        <f>BV1126/$AS1126</f>
        <v>0</v>
      </c>
      <c r="BX1126" s="130">
        <f>IF(BY1126&gt;0,1,0)</f>
        <v>0</v>
      </c>
      <c r="BY1126" s="128">
        <f>VLOOKUP($E1126,[2]Current!$A:$AC,14,FALSE)</f>
        <v>0</v>
      </c>
      <c r="BZ1126" s="128">
        <f>BY1126/$AS1126</f>
        <v>0</v>
      </c>
      <c r="CA1126" s="130">
        <f>IF(CB1126&gt;0,1,0)</f>
        <v>0</v>
      </c>
      <c r="CB1126" s="128">
        <f>VLOOKUP($E1126,[2]Current!$A:$AC,15,FALSE)</f>
        <v>0</v>
      </c>
      <c r="CC1126" s="128">
        <f>CB1126/$AS1126</f>
        <v>0</v>
      </c>
      <c r="CD1126" s="174">
        <f>IF(CE1126&gt;0,1,0)</f>
        <v>0</v>
      </c>
      <c r="CE1126" s="128">
        <f>VLOOKUP($E1126,[2]Current!$A:$AC,16,FALSE)</f>
        <v>0</v>
      </c>
      <c r="CF1126" s="128">
        <f>CE1126/$AS1126</f>
        <v>0</v>
      </c>
      <c r="CG1126" s="18"/>
      <c r="CH1126" s="18"/>
      <c r="CI1126" s="18"/>
      <c r="CJ1126" s="130">
        <f>IF(CK1126&gt;0,1,0)</f>
        <v>1</v>
      </c>
      <c r="CK1126" s="128">
        <f>VLOOKUP($E1126,[2]Current!$A:$AC,18,FALSE)</f>
        <v>2</v>
      </c>
      <c r="CL1126" s="128">
        <f>CK1126/$AS1126</f>
        <v>2.0942408376963351</v>
      </c>
      <c r="CS1126" s="130">
        <f>IF(CU1126&gt;0,1,0)</f>
        <v>0</v>
      </c>
      <c r="CU1126" s="128">
        <f>VLOOKUP($E1126,[2]Current!$A:$AC,17,FALSE)</f>
        <v>0</v>
      </c>
      <c r="CV1126" s="128">
        <f>CU1126/$AS1126</f>
        <v>0</v>
      </c>
      <c r="CW1126" s="18"/>
      <c r="CX1126" s="18"/>
      <c r="CY1126" s="18"/>
      <c r="DF1126" s="16" t="e">
        <f>VLOOKUP(K1126,'[3]RNA Seq summary tables'!$V$3:$V$99,1,FALSE)</f>
        <v>#N/A</v>
      </c>
      <c r="JR1126" s="19"/>
      <c r="JS1126" s="19"/>
      <c r="JT1126" s="19"/>
      <c r="JU1126" s="19"/>
      <c r="JV1126" s="19"/>
      <c r="JW1126" s="19"/>
      <c r="JX1126" s="19"/>
      <c r="JY1126" s="19"/>
      <c r="JZ1126" s="19"/>
      <c r="KA1126" s="19"/>
      <c r="KB1126" s="19"/>
    </row>
    <row r="1127" spans="1:288" s="27" customFormat="1" x14ac:dyDescent="0.2">
      <c r="A1127" s="18"/>
      <c r="B1127" s="16">
        <v>2017</v>
      </c>
      <c r="C1127" s="20">
        <v>42950</v>
      </c>
      <c r="D1127" s="20" t="str">
        <f>CONCATENATE(J1127,"-",C1127)</f>
        <v>1247-42950</v>
      </c>
      <c r="E1127" s="20" t="str">
        <f>CONCATENATE(T1127,"-",U1127,"-",C1127)</f>
        <v>HW1-G8-42950</v>
      </c>
      <c r="F1127" s="20" t="s">
        <v>106</v>
      </c>
      <c r="G1127" s="20" t="s">
        <v>107</v>
      </c>
      <c r="H1127" s="16"/>
      <c r="I1127" s="16">
        <v>0</v>
      </c>
      <c r="J1127" s="21">
        <v>1247</v>
      </c>
      <c r="K1127" s="21">
        <v>2073</v>
      </c>
      <c r="L1127" s="18">
        <v>0</v>
      </c>
      <c r="M1127" s="21">
        <f>VLOOKUP($K1127,'[4]blood tubes 2017'!$D$1:$L$647,8,FALSE)</f>
        <v>0</v>
      </c>
      <c r="N1127" s="15">
        <v>0</v>
      </c>
      <c r="O1127" s="15" t="s">
        <v>214</v>
      </c>
      <c r="P1127" s="16" t="s">
        <v>110</v>
      </c>
      <c r="Q1127" s="16">
        <v>1</v>
      </c>
      <c r="R1127" s="16">
        <v>20</v>
      </c>
      <c r="S1127" s="16"/>
      <c r="T1127" s="16" t="s">
        <v>133</v>
      </c>
      <c r="U1127" s="16" t="s">
        <v>216</v>
      </c>
      <c r="V1127" s="16" t="s">
        <v>114</v>
      </c>
      <c r="W1127" s="16">
        <f>AI1127/AG1127</f>
        <v>0.88888888888888884</v>
      </c>
      <c r="X1127" s="16" t="s">
        <v>121</v>
      </c>
      <c r="Y1127" s="16" t="s">
        <v>110</v>
      </c>
      <c r="Z1127" s="16">
        <v>3</v>
      </c>
      <c r="AA1127" s="16" t="s">
        <v>119</v>
      </c>
      <c r="AB1127" s="16" t="s">
        <v>123</v>
      </c>
      <c r="AC1127" s="16" t="s">
        <v>123</v>
      </c>
      <c r="AD1127" s="16" t="s">
        <v>123</v>
      </c>
      <c r="AE1127" s="16"/>
      <c r="AF1127" s="16"/>
      <c r="AG1127" s="16">
        <f>AH1127-AI1127</f>
        <v>81</v>
      </c>
      <c r="AH1127" s="16">
        <v>153</v>
      </c>
      <c r="AI1127" s="16">
        <v>72</v>
      </c>
      <c r="AJ1127" s="16"/>
      <c r="AK1127" s="16">
        <v>15.5</v>
      </c>
      <c r="AL1127" s="16">
        <v>0</v>
      </c>
      <c r="AM1127" s="16">
        <v>0</v>
      </c>
      <c r="AN1127" s="16">
        <v>0</v>
      </c>
      <c r="AO1127" s="16">
        <v>0</v>
      </c>
      <c r="AP1127" s="16">
        <f>SUM(AL1127:AN1127)</f>
        <v>0</v>
      </c>
      <c r="AQ1127" s="16"/>
      <c r="AR1127" s="16"/>
      <c r="AS1127" s="16"/>
      <c r="AT1127" s="18" t="s">
        <v>252</v>
      </c>
      <c r="AU1127" s="18"/>
      <c r="AV1127" s="18"/>
      <c r="AW1127" s="18"/>
      <c r="AX1127" s="18"/>
      <c r="AY1127" s="18"/>
      <c r="AZ1127" s="18"/>
      <c r="BA1127" s="18"/>
      <c r="BB1127" s="18"/>
      <c r="BC1127" s="18"/>
      <c r="BD1127" s="18"/>
      <c r="BE1127" s="16"/>
      <c r="BF1127" s="16"/>
      <c r="BG1127" s="77"/>
      <c r="BH1127" s="16"/>
      <c r="BI1127" s="16"/>
      <c r="BJ1127" s="16"/>
      <c r="BK1127" s="16"/>
      <c r="BL1127" s="16"/>
      <c r="BM1127" s="16"/>
      <c r="BN1127" s="16"/>
      <c r="BO1127" s="16"/>
      <c r="BP1127" s="16"/>
      <c r="BQ1127" s="16"/>
      <c r="BR1127" s="16"/>
      <c r="BS1127" s="16"/>
      <c r="BT1127" s="77"/>
      <c r="BU1127" s="16"/>
      <c r="BV1127" s="16"/>
      <c r="BW1127" s="16"/>
      <c r="BX1127" s="16"/>
      <c r="BY1127" s="16"/>
      <c r="BZ1127" s="16"/>
      <c r="CA1127" s="16"/>
      <c r="CB1127" s="16"/>
      <c r="CC1127" s="16"/>
      <c r="CD1127" s="77"/>
      <c r="CE1127" s="16"/>
      <c r="CF1127" s="16"/>
      <c r="CG1127" s="16"/>
      <c r="CH1127" s="16"/>
      <c r="CI1127" s="16"/>
      <c r="CJ1127" s="16"/>
      <c r="CK1127" s="16"/>
      <c r="CL1127" s="16"/>
      <c r="CM1127" s="16"/>
      <c r="CN1127" s="16"/>
      <c r="CO1127" s="16"/>
      <c r="CP1127" s="16"/>
      <c r="CQ1127" s="16"/>
      <c r="CR1127" s="16"/>
      <c r="CS1127" s="16"/>
      <c r="CT1127" s="16"/>
      <c r="CU1127" s="16"/>
      <c r="CV1127" s="16"/>
      <c r="CW1127" s="16"/>
      <c r="CX1127" s="16"/>
      <c r="CY1127" s="16"/>
      <c r="CZ1127" s="16"/>
      <c r="DA1127" s="16"/>
      <c r="DB1127" s="16"/>
      <c r="DC1127" s="16"/>
      <c r="DD1127" s="16"/>
      <c r="DE1127" s="16"/>
      <c r="DF1127" s="16" t="e">
        <f>VLOOKUP(K1127,'[3]RNA Seq summary tables'!$V$3:$V$99,1,FALSE)</f>
        <v>#N/A</v>
      </c>
      <c r="DG1127" s="16"/>
      <c r="DH1127" s="16"/>
      <c r="DI1127" s="16"/>
      <c r="DJ1127" s="16"/>
      <c r="DK1127" s="16"/>
      <c r="DL1127" s="16"/>
      <c r="DM1127" s="16"/>
      <c r="DN1127" s="16"/>
      <c r="DO1127" s="16"/>
      <c r="DP1127" s="16"/>
      <c r="DQ1127" s="16"/>
      <c r="DR1127" s="16"/>
      <c r="DS1127" s="16"/>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18"/>
      <c r="EQ1127" s="18"/>
      <c r="ER1127" s="18"/>
      <c r="ES1127" s="18"/>
      <c r="ET1127" s="18"/>
      <c r="EU1127" s="18"/>
      <c r="EV1127" s="18"/>
      <c r="EW1127" s="18"/>
      <c r="EX1127" s="18"/>
      <c r="EY1127" s="18"/>
      <c r="EZ1127" s="18"/>
      <c r="FA1127" s="18"/>
      <c r="FB1127" s="18"/>
      <c r="FC1127" s="18"/>
      <c r="FD1127" s="18"/>
      <c r="FE1127" s="18"/>
      <c r="FF1127" s="18"/>
      <c r="FG1127" s="18"/>
      <c r="FH1127" s="18"/>
      <c r="FI1127" s="18"/>
      <c r="FJ1127" s="18"/>
      <c r="FK1127" s="18"/>
      <c r="FL1127" s="18"/>
      <c r="FM1127" s="18"/>
      <c r="FN1127" s="18"/>
      <c r="FO1127" s="18"/>
      <c r="FP1127" s="18"/>
      <c r="FQ1127" s="18"/>
      <c r="FR1127" s="18"/>
      <c r="FS1127" s="18"/>
      <c r="FT1127" s="18"/>
      <c r="FU1127" s="18"/>
      <c r="FV1127" s="18"/>
      <c r="FW1127" s="18"/>
      <c r="FX1127" s="18"/>
      <c r="FY1127" s="18"/>
      <c r="FZ1127" s="18"/>
      <c r="GA1127" s="18"/>
      <c r="GB1127" s="18"/>
      <c r="GC1127" s="18"/>
      <c r="GD1127" s="18"/>
      <c r="GE1127" s="18"/>
      <c r="GF1127" s="18"/>
      <c r="GG1127" s="18"/>
      <c r="GH1127" s="18"/>
      <c r="GI1127" s="18"/>
      <c r="GJ1127" s="18"/>
      <c r="GK1127" s="18"/>
      <c r="GL1127" s="18"/>
      <c r="GM1127" s="18"/>
      <c r="GN1127" s="18"/>
      <c r="GO1127" s="18"/>
      <c r="GP1127" s="18"/>
      <c r="GQ1127" s="18"/>
      <c r="GR1127" s="18"/>
      <c r="GS1127" s="18"/>
      <c r="GT1127" s="18"/>
      <c r="GU1127" s="18"/>
      <c r="GV1127" s="18"/>
      <c r="GW1127" s="18"/>
      <c r="GX1127" s="18"/>
      <c r="GY1127" s="18"/>
      <c r="GZ1127" s="18"/>
      <c r="HA1127" s="18"/>
      <c r="HB1127" s="18"/>
      <c r="HC1127" s="18"/>
      <c r="HD1127" s="18"/>
      <c r="HE1127" s="18"/>
      <c r="HF1127" s="18"/>
      <c r="HG1127" s="18"/>
      <c r="HH1127" s="18"/>
      <c r="HI1127" s="18"/>
      <c r="HJ1127" s="18"/>
      <c r="HK1127" s="18"/>
      <c r="HL1127" s="18"/>
      <c r="HM1127" s="18"/>
      <c r="HN1127" s="18"/>
      <c r="HO1127" s="18"/>
      <c r="HP1127" s="18"/>
      <c r="HQ1127" s="18"/>
      <c r="HR1127" s="18"/>
      <c r="HS1127" s="18"/>
      <c r="HT1127" s="18"/>
      <c r="HU1127" s="18"/>
      <c r="HV1127" s="18"/>
      <c r="HW1127" s="18"/>
      <c r="HX1127" s="18"/>
      <c r="HY1127" s="18"/>
      <c r="HZ1127" s="18"/>
      <c r="IA1127" s="18"/>
      <c r="IB1127" s="18"/>
      <c r="IC1127" s="18"/>
      <c r="ID1127" s="18"/>
      <c r="IE1127" s="18"/>
      <c r="IF1127" s="18"/>
      <c r="IG1127" s="18"/>
      <c r="IH1127" s="18"/>
      <c r="II1127" s="18"/>
      <c r="IJ1127" s="18"/>
      <c r="IK1127" s="18"/>
      <c r="IL1127" s="18"/>
      <c r="IM1127" s="18"/>
      <c r="IN1127" s="18"/>
      <c r="IO1127" s="18"/>
      <c r="IP1127" s="18"/>
      <c r="IQ1127" s="18"/>
      <c r="IR1127" s="18"/>
      <c r="IS1127" s="18"/>
      <c r="IT1127" s="18"/>
      <c r="IU1127" s="18"/>
      <c r="IV1127" s="18"/>
      <c r="IW1127" s="18"/>
      <c r="IX1127" s="18"/>
      <c r="IY1127" s="18"/>
      <c r="IZ1127" s="18"/>
      <c r="JA1127" s="18"/>
      <c r="JB1127" s="18"/>
      <c r="JC1127" s="18"/>
      <c r="JD1127" s="18"/>
      <c r="JE1127" s="18"/>
      <c r="JF1127" s="18"/>
      <c r="JG1127" s="18"/>
      <c r="JH1127" s="18"/>
      <c r="JI1127" s="18"/>
      <c r="JJ1127" s="18"/>
      <c r="JK1127" s="18"/>
      <c r="JL1127" s="18"/>
      <c r="JM1127" s="18"/>
      <c r="JN1127" s="18"/>
      <c r="JO1127" s="16"/>
      <c r="JP1127" s="16"/>
      <c r="JQ1127" s="16"/>
      <c r="JR1127" s="16"/>
      <c r="JS1127" s="16"/>
      <c r="JT1127" s="16"/>
      <c r="JU1127" s="16"/>
      <c r="JV1127" s="16"/>
      <c r="JW1127" s="16"/>
      <c r="JX1127" s="16"/>
      <c r="JY1127" s="16"/>
      <c r="JZ1127" s="16"/>
      <c r="KA1127" s="16"/>
      <c r="KB1127" s="16"/>
    </row>
    <row r="1128" spans="1:288" ht="16" x14ac:dyDescent="0.2">
      <c r="B1128" s="16">
        <v>2017</v>
      </c>
      <c r="C1128" s="20">
        <v>42966</v>
      </c>
      <c r="D1128" s="20" t="str">
        <f>CONCATENATE(J1128,"-",C1128)</f>
        <v>1247-42966</v>
      </c>
      <c r="E1128" s="37" t="str">
        <f>CONCATENATE(T1128,"-",U1128,"-",C1128)</f>
        <v>HW1-G8-42966</v>
      </c>
      <c r="F1128" s="20" t="s">
        <v>106</v>
      </c>
      <c r="G1128" s="20" t="s">
        <v>107</v>
      </c>
      <c r="I1128" s="16">
        <v>0</v>
      </c>
      <c r="J1128" s="21">
        <v>1247</v>
      </c>
      <c r="K1128" s="21">
        <v>2214</v>
      </c>
      <c r="L1128" s="18">
        <v>0</v>
      </c>
      <c r="M1128" s="21">
        <f>VLOOKUP($K1128,'[4]blood tubes 2017'!$D$1:$L$647,8,FALSE)</f>
        <v>0</v>
      </c>
      <c r="N1128" s="15">
        <v>0</v>
      </c>
      <c r="O1128" s="15" t="s">
        <v>214</v>
      </c>
      <c r="P1128" s="16" t="s">
        <v>110</v>
      </c>
      <c r="Q1128" s="16">
        <v>1</v>
      </c>
      <c r="R1128" s="16">
        <v>16</v>
      </c>
      <c r="T1128" s="16" t="s">
        <v>133</v>
      </c>
      <c r="U1128" s="16" t="s">
        <v>216</v>
      </c>
      <c r="V1128" s="16" t="s">
        <v>114</v>
      </c>
      <c r="W1128" s="16">
        <f>AI1128/AG1128</f>
        <v>0.81521739130434778</v>
      </c>
      <c r="X1128" s="16" t="s">
        <v>121</v>
      </c>
      <c r="Y1128" s="16" t="s">
        <v>110</v>
      </c>
      <c r="Z1128" s="16">
        <v>3</v>
      </c>
      <c r="AA1128" s="16" t="s">
        <v>119</v>
      </c>
      <c r="AB1128" s="16" t="s">
        <v>123</v>
      </c>
      <c r="AC1128" s="16" t="s">
        <v>116</v>
      </c>
      <c r="AD1128" s="16" t="s">
        <v>116</v>
      </c>
      <c r="AG1128" s="16">
        <f>AH1128-AI1128</f>
        <v>92</v>
      </c>
      <c r="AH1128" s="16">
        <v>167</v>
      </c>
      <c r="AI1128" s="16">
        <v>75</v>
      </c>
      <c r="AK1128" s="16">
        <v>21</v>
      </c>
      <c r="AL1128" s="16">
        <v>0</v>
      </c>
      <c r="AM1128" s="16">
        <v>1</v>
      </c>
      <c r="AN1128" s="16">
        <v>0</v>
      </c>
      <c r="AO1128" s="16">
        <v>1</v>
      </c>
      <c r="AP1128" s="16">
        <f>SUM(AL1128:AN1128)</f>
        <v>1</v>
      </c>
      <c r="AQ1128" s="16">
        <v>1.9019999999999999</v>
      </c>
      <c r="AR1128" s="16">
        <f>AP1128-1.472</f>
        <v>-0.47199999999999998</v>
      </c>
      <c r="AS1128" s="16">
        <f>AQ1128-1.472</f>
        <v>0.42999999999999994</v>
      </c>
      <c r="AT1128" s="16" t="str">
        <f>VLOOKUP(E1128,[2]Current!$A$1:$W$435,7,FALSE)</f>
        <v>JY</v>
      </c>
      <c r="AU1128" s="16" t="s">
        <v>1288</v>
      </c>
      <c r="AV1128" s="23">
        <v>1</v>
      </c>
      <c r="AW1128" s="128">
        <f>IF(AX1128&gt;0,1,0)</f>
        <v>0</v>
      </c>
      <c r="AX1128" s="128">
        <f>SUM(BA1128,BM1128,CU1128)</f>
        <v>0</v>
      </c>
      <c r="AY1128" s="128">
        <f>SUM(BB1128,BN1128,CV1128)</f>
        <v>0</v>
      </c>
      <c r="AZ1128" s="128">
        <f>IF(BA1128&gt;0,1,0)</f>
        <v>0</v>
      </c>
      <c r="BA1128" s="128">
        <f>SUM(BC1128+BF1128+BI1128)</f>
        <v>0</v>
      </c>
      <c r="BB1128" s="128">
        <f>SUM(BE1128,BH1128,BK1128)</f>
        <v>0</v>
      </c>
      <c r="BC1128" s="130">
        <f>IF(BD1128&gt;0,1,0)</f>
        <v>0</v>
      </c>
      <c r="BD1128" s="128">
        <f>VLOOKUP($E1128,[2]Current!$A:$AC,26,FALSE)</f>
        <v>0</v>
      </c>
      <c r="BE1128" s="128">
        <f>BD1128/$AS1128</f>
        <v>0</v>
      </c>
      <c r="BF1128" s="130">
        <f>IF(BG1128&gt;0,1,0)</f>
        <v>0</v>
      </c>
      <c r="BG1128" s="137">
        <f>VLOOKUP($E1128,[2]Current!$A:$AC,27,FALSE)</f>
        <v>0</v>
      </c>
      <c r="BH1128" s="128">
        <f>BG1128/$AS1128</f>
        <v>0</v>
      </c>
      <c r="BI1128" s="130">
        <f>IF(BJ1128&gt;0,1,0)</f>
        <v>0</v>
      </c>
      <c r="BJ1128" s="128">
        <f>VLOOKUP($E1128,[2]Current!$A:$AC,28,FALSE)</f>
        <v>0</v>
      </c>
      <c r="BK1128" s="128">
        <f>BJ1128/$AS1128</f>
        <v>0</v>
      </c>
      <c r="BL1128" s="128">
        <f>IF(BM1128&gt;0,1,0)</f>
        <v>0</v>
      </c>
      <c r="BM1128" s="128">
        <f>SUM(BR1128,BU1128,BX1128,CA1128,CD1128)</f>
        <v>0</v>
      </c>
      <c r="BN1128" s="131">
        <f>SUM(BT1128,BW1128,BZ1128,CC1128,CF1128)</f>
        <v>0</v>
      </c>
      <c r="BO1128" s="128">
        <f>IF(BP1128&gt;0,1,0)</f>
        <v>0</v>
      </c>
      <c r="BP1128" s="128">
        <f>BM1128+CJ1128</f>
        <v>0</v>
      </c>
      <c r="BQ1128" s="128">
        <f>BN1128+CL1128</f>
        <v>0</v>
      </c>
      <c r="BR1128" s="130">
        <f>IF(BS1128&gt;0,1,0)</f>
        <v>0</v>
      </c>
      <c r="BS1128" s="128">
        <f>VLOOKUP($E1128,[2]Current!$A:$AC,12,FALSE)</f>
        <v>0</v>
      </c>
      <c r="BT1128" s="137">
        <f>BS1128/$AS1128</f>
        <v>0</v>
      </c>
      <c r="BU1128" s="130">
        <f>IF(BV1128&gt;0,1,0)</f>
        <v>0</v>
      </c>
      <c r="BV1128" s="128">
        <f>VLOOKUP($E1128,[2]Current!$A:$AC,13,FALSE)</f>
        <v>0</v>
      </c>
      <c r="BW1128" s="128">
        <f>BV1128/$AS1128</f>
        <v>0</v>
      </c>
      <c r="BX1128" s="130">
        <f>IF(BY1128&gt;0,1,0)</f>
        <v>0</v>
      </c>
      <c r="BY1128" s="128">
        <f>VLOOKUP($E1128,[2]Current!$A:$AC,14,FALSE)</f>
        <v>0</v>
      </c>
      <c r="BZ1128" s="128">
        <f>BY1128/$AS1128</f>
        <v>0</v>
      </c>
      <c r="CA1128" s="130">
        <f>IF(CB1128&gt;0,1,0)</f>
        <v>0</v>
      </c>
      <c r="CB1128" s="128">
        <f>VLOOKUP($E1128,[2]Current!$A:$AC,15,FALSE)</f>
        <v>0</v>
      </c>
      <c r="CC1128" s="128">
        <f>CB1128/$AS1128</f>
        <v>0</v>
      </c>
      <c r="CD1128" s="174">
        <f>IF(CE1128&gt;0,1,0)</f>
        <v>0</v>
      </c>
      <c r="CE1128" s="128">
        <f>VLOOKUP($E1128,[2]Current!$A:$AC,16,FALSE)</f>
        <v>0</v>
      </c>
      <c r="CF1128" s="128">
        <f>CE1128/$AS1128</f>
        <v>0</v>
      </c>
      <c r="CG1128" s="18"/>
      <c r="CH1128" s="18"/>
      <c r="CI1128" s="18"/>
      <c r="CJ1128" s="130">
        <f>IF(CK1128&gt;0,1,0)</f>
        <v>0</v>
      </c>
      <c r="CK1128" s="128">
        <f>VLOOKUP($E1128,[2]Current!$A:$AC,18,FALSE)</f>
        <v>0</v>
      </c>
      <c r="CL1128" s="128">
        <f>CK1128/$AS1128</f>
        <v>0</v>
      </c>
      <c r="CS1128" s="130">
        <f>IF(CU1128&gt;0,1,0)</f>
        <v>0</v>
      </c>
      <c r="CT1128" s="29"/>
      <c r="CU1128" s="128">
        <f>VLOOKUP($E1128,[2]Current!$A:$AC,17,FALSE)</f>
        <v>0</v>
      </c>
      <c r="CV1128" s="128">
        <f>CU1128/$AS1128</f>
        <v>0</v>
      </c>
      <c r="CW1128" s="18"/>
      <c r="CX1128" s="18"/>
      <c r="CY1128" s="18"/>
      <c r="DF1128" s="16" t="e">
        <f>VLOOKUP(K1128,'[3]RNA Seq summary tables'!$V$3:$V$99,1,FALSE)</f>
        <v>#N/A</v>
      </c>
    </row>
    <row r="1129" spans="1:288" ht="16" x14ac:dyDescent="0.2">
      <c r="B1129" s="16">
        <v>2017</v>
      </c>
      <c r="C1129" s="20">
        <v>42931</v>
      </c>
      <c r="D1129" s="20" t="str">
        <f>CONCATENATE(J1129,"-",C1129)</f>
        <v>1250-42931</v>
      </c>
      <c r="E1129" s="37" t="str">
        <f>CONCATENATE(T1129,"-",U1129,"-",C1129)</f>
        <v>HW2-B7-42931</v>
      </c>
      <c r="F1129" s="20" t="s">
        <v>106</v>
      </c>
      <c r="G1129" s="20" t="s">
        <v>107</v>
      </c>
      <c r="I1129" s="16">
        <v>0</v>
      </c>
      <c r="J1129" s="21">
        <v>1250</v>
      </c>
      <c r="K1129" s="21">
        <v>1919</v>
      </c>
      <c r="L1129" s="18">
        <v>0</v>
      </c>
      <c r="M1129" s="21">
        <f>VLOOKUP($K1129,'[4]blood tubes 2017'!$D$1:$L$647,8,FALSE)</f>
        <v>0</v>
      </c>
      <c r="N1129" s="15">
        <v>0</v>
      </c>
      <c r="O1129" s="15" t="s">
        <v>214</v>
      </c>
      <c r="P1129" s="16" t="s">
        <v>110</v>
      </c>
      <c r="Q1129" s="16">
        <v>0</v>
      </c>
      <c r="R1129" s="16" t="s">
        <v>111</v>
      </c>
      <c r="T1129" s="16" t="s">
        <v>129</v>
      </c>
      <c r="U1129" s="16" t="s">
        <v>168</v>
      </c>
      <c r="V1129" s="16" t="s">
        <v>142</v>
      </c>
      <c r="W1129" s="16">
        <f>AI1129/AG1129</f>
        <v>0.95238095238095233</v>
      </c>
      <c r="X1129" s="16" t="s">
        <v>121</v>
      </c>
      <c r="Y1129" s="16" t="s">
        <v>110</v>
      </c>
      <c r="Z1129" s="16">
        <v>3</v>
      </c>
      <c r="AA1129" s="16" t="s">
        <v>119</v>
      </c>
      <c r="AB1129" s="16" t="s">
        <v>123</v>
      </c>
      <c r="AC1129" s="16" t="s">
        <v>123</v>
      </c>
      <c r="AD1129" s="16" t="s">
        <v>123</v>
      </c>
      <c r="AG1129" s="16">
        <f>AH1129-AI1129</f>
        <v>84</v>
      </c>
      <c r="AH1129" s="16">
        <v>164</v>
      </c>
      <c r="AI1129" s="16">
        <v>80</v>
      </c>
      <c r="AK1129" s="16">
        <v>14</v>
      </c>
      <c r="AL1129" s="16">
        <v>0</v>
      </c>
      <c r="AM1129" s="16">
        <v>1</v>
      </c>
      <c r="AN1129" s="16">
        <v>0</v>
      </c>
      <c r="AO1129" s="16">
        <v>1</v>
      </c>
      <c r="AP1129" s="16">
        <f>SUM(AL1129:AN1129)</f>
        <v>1</v>
      </c>
      <c r="AQ1129" s="18">
        <v>3.7309999999999999</v>
      </c>
      <c r="AR1129" s="16">
        <f>AP1129-1.472-1.243</f>
        <v>-1.7150000000000001</v>
      </c>
      <c r="AS1129" s="16">
        <f>AQ1129-1.472-1.243</f>
        <v>1.0159999999999998</v>
      </c>
      <c r="AT1129" s="16" t="str">
        <f>VLOOKUP(E1129,[2]Current!$A$1:$W$435,7,FALSE)</f>
        <v>JB</v>
      </c>
      <c r="AU1129" s="16" t="s">
        <v>1288</v>
      </c>
      <c r="AV1129" s="23">
        <v>1</v>
      </c>
      <c r="AW1129" s="128">
        <f>IF(AX1129&gt;0,1,0)</f>
        <v>0</v>
      </c>
      <c r="AX1129" s="128">
        <f>SUM(BA1129,BM1129,CU1129)</f>
        <v>0</v>
      </c>
      <c r="AY1129" s="128">
        <f>SUM(BB1129,BN1129,CV1129)</f>
        <v>0</v>
      </c>
      <c r="AZ1129" s="128">
        <f>IF(BA1129&gt;0,1,0)</f>
        <v>0</v>
      </c>
      <c r="BA1129" s="128">
        <f>SUM(BC1129+BF1129+BI1129)</f>
        <v>0</v>
      </c>
      <c r="BB1129" s="128">
        <f>SUM(BE1129,BH1129,BK1129)</f>
        <v>0</v>
      </c>
      <c r="BC1129" s="130">
        <f>IF(BD1129&gt;0,1,0)</f>
        <v>0</v>
      </c>
      <c r="BD1129" s="128">
        <f>VLOOKUP($E1129,[2]Current!$A:$AC,26,FALSE)</f>
        <v>0</v>
      </c>
      <c r="BE1129" s="128">
        <f>BD1129/$AS1129</f>
        <v>0</v>
      </c>
      <c r="BF1129" s="130">
        <f>IF(BG1129&gt;0,1,0)</f>
        <v>0</v>
      </c>
      <c r="BG1129" s="137">
        <f>VLOOKUP($E1129,[2]Current!$A:$AC,27,FALSE)</f>
        <v>0</v>
      </c>
      <c r="BH1129" s="128">
        <f>BG1129/$AS1129</f>
        <v>0</v>
      </c>
      <c r="BI1129" s="130">
        <f>IF(BJ1129&gt;0,1,0)</f>
        <v>0</v>
      </c>
      <c r="BJ1129" s="128">
        <f>VLOOKUP($E1129,[2]Current!$A:$AC,28,FALSE)</f>
        <v>0</v>
      </c>
      <c r="BK1129" s="128">
        <f>BJ1129/$AS1129</f>
        <v>0</v>
      </c>
      <c r="BL1129" s="128">
        <f>IF(BM1129&gt;0,1,0)</f>
        <v>0</v>
      </c>
      <c r="BM1129" s="128">
        <f>SUM(BR1129,BU1129,BX1129,CA1129,CD1129)</f>
        <v>0</v>
      </c>
      <c r="BN1129" s="131">
        <f>SUM(BT1129,BW1129,BZ1129,CC1129,CF1129)</f>
        <v>0</v>
      </c>
      <c r="BO1129" s="128">
        <f>IF(BP1129&gt;0,1,0)</f>
        <v>0</v>
      </c>
      <c r="BP1129" s="128">
        <f>BM1129+CJ1129</f>
        <v>0</v>
      </c>
      <c r="BQ1129" s="128">
        <f>BN1129+CL1129</f>
        <v>0</v>
      </c>
      <c r="BR1129" s="130">
        <f>IF(BS1129&gt;0,1,0)</f>
        <v>0</v>
      </c>
      <c r="BS1129" s="128">
        <f>VLOOKUP($E1129,[2]Current!$A:$AC,12,FALSE)</f>
        <v>0</v>
      </c>
      <c r="BT1129" s="137">
        <f>BS1129/$AS1129</f>
        <v>0</v>
      </c>
      <c r="BU1129" s="130">
        <f>IF(BV1129&gt;0,1,0)</f>
        <v>0</v>
      </c>
      <c r="BV1129" s="128">
        <f>VLOOKUP($E1129,[2]Current!$A:$AC,13,FALSE)</f>
        <v>0</v>
      </c>
      <c r="BW1129" s="128">
        <f>BV1129/$AS1129</f>
        <v>0</v>
      </c>
      <c r="BX1129" s="130">
        <f>IF(BY1129&gt;0,1,0)</f>
        <v>0</v>
      </c>
      <c r="BY1129" s="128">
        <f>VLOOKUP($E1129,[2]Current!$A:$AC,14,FALSE)</f>
        <v>0</v>
      </c>
      <c r="BZ1129" s="128">
        <f>BY1129/$AS1129</f>
        <v>0</v>
      </c>
      <c r="CA1129" s="130">
        <f>IF(CB1129&gt;0,1,0)</f>
        <v>0</v>
      </c>
      <c r="CB1129" s="128">
        <f>VLOOKUP($E1129,[2]Current!$A:$AC,15,FALSE)</f>
        <v>0</v>
      </c>
      <c r="CC1129" s="128">
        <f>CB1129/$AS1129</f>
        <v>0</v>
      </c>
      <c r="CD1129" s="174">
        <f>IF(CE1129&gt;0,1,0)</f>
        <v>0</v>
      </c>
      <c r="CE1129" s="128">
        <f>VLOOKUP($E1129,[2]Current!$A:$AC,16,FALSE)</f>
        <v>0</v>
      </c>
      <c r="CF1129" s="128">
        <f>CE1129/$AS1129</f>
        <v>0</v>
      </c>
      <c r="CG1129" s="18"/>
      <c r="CH1129" s="18"/>
      <c r="CI1129" s="18"/>
      <c r="CJ1129" s="130">
        <f>IF(CK1129&gt;0,1,0)</f>
        <v>0</v>
      </c>
      <c r="CK1129" s="128">
        <f>VLOOKUP($E1129,[2]Current!$A:$AC,18,FALSE)</f>
        <v>0</v>
      </c>
      <c r="CL1129" s="128">
        <f>CK1129/$AS1129</f>
        <v>0</v>
      </c>
      <c r="CS1129" s="130">
        <f>IF(CU1129&gt;0,1,0)</f>
        <v>0</v>
      </c>
      <c r="CU1129" s="128">
        <f>VLOOKUP($E1129,[2]Current!$A:$AC,17,FALSE)</f>
        <v>0</v>
      </c>
      <c r="CV1129" s="128">
        <f>CU1129/$AS1129</f>
        <v>0</v>
      </c>
      <c r="CW1129" s="18"/>
      <c r="CX1129" s="18"/>
      <c r="CY1129" s="18"/>
      <c r="DF1129" s="16" t="e">
        <f>VLOOKUP(K1129,'[3]RNA Seq summary tables'!$V$3:$V$99,1,FALSE)</f>
        <v>#N/A</v>
      </c>
      <c r="JR1129" s="18"/>
      <c r="JS1129" s="18"/>
      <c r="JT1129" s="18"/>
      <c r="JU1129" s="18"/>
      <c r="JV1129" s="18"/>
      <c r="JW1129" s="18"/>
      <c r="JX1129" s="18"/>
      <c r="JY1129" s="18"/>
      <c r="JZ1129" s="18"/>
      <c r="KA1129" s="18"/>
      <c r="KB1129" s="18"/>
    </row>
    <row r="1130" spans="1:288" ht="16" x14ac:dyDescent="0.2">
      <c r="B1130" s="16">
        <v>2017</v>
      </c>
      <c r="C1130" s="43">
        <v>42948</v>
      </c>
      <c r="D1130" s="20" t="str">
        <f>CONCATENATE(J1130,"-",C1130)</f>
        <v>1250-42948</v>
      </c>
      <c r="E1130" s="37" t="str">
        <f>CONCATENATE(T1130,"-",U1130,"-",C1130)</f>
        <v>HW2-C6-42948</v>
      </c>
      <c r="F1130" s="20" t="s">
        <v>106</v>
      </c>
      <c r="G1130" s="43" t="s">
        <v>107</v>
      </c>
      <c r="H1130" s="23"/>
      <c r="I1130" s="16">
        <v>0</v>
      </c>
      <c r="J1130" s="15">
        <v>1250</v>
      </c>
      <c r="K1130" s="15">
        <v>2034</v>
      </c>
      <c r="L1130" s="18">
        <v>0</v>
      </c>
      <c r="M1130" s="21">
        <f>VLOOKUP($K1130,'[4]blood tubes 2017'!$D$1:$L$647,8,FALSE)</f>
        <v>0</v>
      </c>
      <c r="N1130" s="15">
        <v>0</v>
      </c>
      <c r="O1130" s="15" t="s">
        <v>214</v>
      </c>
      <c r="P1130" s="23" t="s">
        <v>110</v>
      </c>
      <c r="Q1130" s="16">
        <v>1</v>
      </c>
      <c r="R1130" s="23">
        <v>17</v>
      </c>
      <c r="S1130" s="23"/>
      <c r="T1130" s="23" t="s">
        <v>129</v>
      </c>
      <c r="U1130" s="23" t="s">
        <v>213</v>
      </c>
      <c r="V1130" s="23" t="s">
        <v>142</v>
      </c>
      <c r="W1130" s="16">
        <f>AI1130/AG1130</f>
        <v>1.0119047619047619</v>
      </c>
      <c r="X1130" s="23" t="s">
        <v>121</v>
      </c>
      <c r="Y1130" s="23" t="s">
        <v>110</v>
      </c>
      <c r="Z1130" s="23">
        <v>3</v>
      </c>
      <c r="AA1130" s="23" t="s">
        <v>161</v>
      </c>
      <c r="AB1130" s="23" t="s">
        <v>123</v>
      </c>
      <c r="AC1130" s="23" t="s">
        <v>123</v>
      </c>
      <c r="AD1130" s="23" t="s">
        <v>116</v>
      </c>
      <c r="AE1130" s="23"/>
      <c r="AF1130" s="23"/>
      <c r="AG1130" s="23">
        <f>AH1130-AI1130</f>
        <v>84</v>
      </c>
      <c r="AH1130" s="23">
        <v>169</v>
      </c>
      <c r="AI1130" s="23">
        <v>85</v>
      </c>
      <c r="AJ1130" s="23"/>
      <c r="AK1130" s="23">
        <v>16</v>
      </c>
      <c r="AL1130" s="23">
        <v>0</v>
      </c>
      <c r="AM1130" s="23">
        <v>0</v>
      </c>
      <c r="AN1130" s="23">
        <v>0</v>
      </c>
      <c r="AO1130" s="23">
        <v>0</v>
      </c>
      <c r="AP1130" s="23">
        <f>SUM(AL1130:AN1130)</f>
        <v>0</v>
      </c>
      <c r="AQ1130" s="23">
        <v>1.6679999999999999</v>
      </c>
      <c r="AR1130" s="23">
        <f>AP1130-1.472</f>
        <v>-1.472</v>
      </c>
      <c r="AS1130" s="23">
        <f>AQ1130-1.472</f>
        <v>0.19599999999999995</v>
      </c>
      <c r="AT1130" s="16" t="str">
        <f>VLOOKUP(E1130,[2]Current!$A$1:$W$435,7,FALSE)</f>
        <v>TE</v>
      </c>
      <c r="AU1130" s="16" t="s">
        <v>1288</v>
      </c>
      <c r="AV1130" s="23">
        <v>1</v>
      </c>
      <c r="AW1130" s="128">
        <f>IF(AX1130&gt;0,1,0)</f>
        <v>0</v>
      </c>
      <c r="AX1130" s="128">
        <f>SUM(BA1130,BM1130,CU1130)</f>
        <v>0</v>
      </c>
      <c r="AY1130" s="128">
        <f>SUM(BB1130,BN1130,CV1130)</f>
        <v>0</v>
      </c>
      <c r="AZ1130" s="128">
        <f>IF(BA1130&gt;0,1,0)</f>
        <v>0</v>
      </c>
      <c r="BA1130" s="128">
        <f>SUM(BC1130+BF1130+BI1130)</f>
        <v>0</v>
      </c>
      <c r="BB1130" s="128">
        <f>SUM(BE1130,BH1130,BK1130)</f>
        <v>0</v>
      </c>
      <c r="BC1130" s="130">
        <f>IF(BD1130&gt;0,1,0)</f>
        <v>0</v>
      </c>
      <c r="BD1130" s="128">
        <f>VLOOKUP($E1130,[2]Current!$A:$AC,26,FALSE)</f>
        <v>0</v>
      </c>
      <c r="BE1130" s="128">
        <f>BD1130/$AS1130</f>
        <v>0</v>
      </c>
      <c r="BF1130" s="130">
        <f>IF(BG1130&gt;0,1,0)</f>
        <v>0</v>
      </c>
      <c r="BG1130" s="137">
        <f>VLOOKUP($E1130,[2]Current!$A:$AC,27,FALSE)</f>
        <v>0</v>
      </c>
      <c r="BH1130" s="128">
        <f>BG1130/$AS1130</f>
        <v>0</v>
      </c>
      <c r="BI1130" s="130">
        <f>IF(BJ1130&gt;0,1,0)</f>
        <v>0</v>
      </c>
      <c r="BJ1130" s="128">
        <f>VLOOKUP($E1130,[2]Current!$A:$AC,28,FALSE)</f>
        <v>0</v>
      </c>
      <c r="BK1130" s="128">
        <f>BJ1130/$AS1130</f>
        <v>0</v>
      </c>
      <c r="BL1130" s="128">
        <f>IF(BM1130&gt;0,1,0)</f>
        <v>0</v>
      </c>
      <c r="BM1130" s="128">
        <f>SUM(BR1130,BU1130,BX1130,CA1130,CD1130)</f>
        <v>0</v>
      </c>
      <c r="BN1130" s="131">
        <f>SUM(BT1130,BW1130,BZ1130,CC1130,CF1130)</f>
        <v>0</v>
      </c>
      <c r="BO1130" s="128">
        <f>IF(BP1130&gt;0,1,0)</f>
        <v>1</v>
      </c>
      <c r="BP1130" s="128">
        <f>BM1130+CJ1130</f>
        <v>1</v>
      </c>
      <c r="BQ1130" s="128">
        <f>BN1130+CL1130</f>
        <v>5.1020408163265323</v>
      </c>
      <c r="BR1130" s="130">
        <f>IF(BS1130&gt;0,1,0)</f>
        <v>0</v>
      </c>
      <c r="BS1130" s="128">
        <f>VLOOKUP($E1130,[2]Current!$A:$AC,12,FALSE)</f>
        <v>0</v>
      </c>
      <c r="BT1130" s="137">
        <f>BS1130/$AS1130</f>
        <v>0</v>
      </c>
      <c r="BU1130" s="130">
        <f>IF(BV1130&gt;0,1,0)</f>
        <v>0</v>
      </c>
      <c r="BV1130" s="128">
        <f>VLOOKUP($E1130,[2]Current!$A:$AC,13,FALSE)</f>
        <v>0</v>
      </c>
      <c r="BW1130" s="128">
        <f>BV1130/$AS1130</f>
        <v>0</v>
      </c>
      <c r="BX1130" s="130">
        <f>IF(BY1130&gt;0,1,0)</f>
        <v>0</v>
      </c>
      <c r="BY1130" s="128">
        <f>VLOOKUP($E1130,[2]Current!$A:$AC,14,FALSE)</f>
        <v>0</v>
      </c>
      <c r="BZ1130" s="128">
        <f>BY1130/$AS1130</f>
        <v>0</v>
      </c>
      <c r="CA1130" s="130">
        <f>IF(CB1130&gt;0,1,0)</f>
        <v>0</v>
      </c>
      <c r="CB1130" s="128">
        <f>VLOOKUP($E1130,[2]Current!$A:$AC,15,FALSE)</f>
        <v>0</v>
      </c>
      <c r="CC1130" s="128">
        <f>CB1130/$AS1130</f>
        <v>0</v>
      </c>
      <c r="CD1130" s="174">
        <f>IF(CE1130&gt;0,1,0)</f>
        <v>0</v>
      </c>
      <c r="CE1130" s="128">
        <f>VLOOKUP($E1130,[2]Current!$A:$AC,16,FALSE)</f>
        <v>0</v>
      </c>
      <c r="CF1130" s="128">
        <f>CE1130/$AS1130</f>
        <v>0</v>
      </c>
      <c r="CG1130" s="18"/>
      <c r="CH1130" s="18"/>
      <c r="CI1130" s="18"/>
      <c r="CJ1130" s="130">
        <f>IF(CK1130&gt;0,1,0)</f>
        <v>1</v>
      </c>
      <c r="CK1130" s="128">
        <f>VLOOKUP($E1130,[2]Current!$A:$AC,18,FALSE)</f>
        <v>1</v>
      </c>
      <c r="CL1130" s="128">
        <f>CK1130/$AS1130</f>
        <v>5.1020408163265323</v>
      </c>
      <c r="CS1130" s="130">
        <f>IF(CU1130&gt;0,1,0)</f>
        <v>0</v>
      </c>
      <c r="CU1130" s="128">
        <f>VLOOKUP($E1130,[2]Current!$A:$AC,17,FALSE)</f>
        <v>0</v>
      </c>
      <c r="CV1130" s="128">
        <f>CU1130/$AS1130</f>
        <v>0</v>
      </c>
      <c r="CW1130" s="18"/>
      <c r="CX1130" s="18"/>
      <c r="CY1130" s="18"/>
      <c r="DF1130" s="16" t="e">
        <f>VLOOKUP(K1130,'[3]RNA Seq summary tables'!$V$3:$V$99,1,FALSE)</f>
        <v>#N/A</v>
      </c>
      <c r="DI1130" s="23"/>
      <c r="DJ1130" s="23"/>
      <c r="DK1130" s="23"/>
      <c r="DL1130" s="23"/>
      <c r="DM1130" s="23"/>
      <c r="DN1130" s="23"/>
      <c r="DO1130" s="23"/>
      <c r="DP1130" s="23"/>
      <c r="DQ1130" s="23"/>
      <c r="DR1130" s="23"/>
      <c r="DS1130" s="23"/>
      <c r="DT1130" s="25"/>
      <c r="DU1130" s="25"/>
      <c r="DV1130" s="25"/>
      <c r="DW1130" s="25"/>
      <c r="DX1130" s="25"/>
      <c r="DY1130" s="25"/>
      <c r="DZ1130" s="25"/>
      <c r="EA1130" s="25"/>
      <c r="EB1130" s="25"/>
      <c r="EC1130" s="25"/>
      <c r="ED1130" s="25"/>
      <c r="EE1130" s="25"/>
      <c r="EF1130" s="25"/>
      <c r="EG1130" s="25"/>
      <c r="EH1130" s="25"/>
      <c r="EI1130" s="25"/>
      <c r="EJ1130" s="25"/>
      <c r="EK1130" s="25"/>
      <c r="EL1130" s="25"/>
      <c r="EM1130" s="25"/>
      <c r="EN1130" s="25"/>
      <c r="EO1130" s="25"/>
      <c r="EP1130" s="25"/>
      <c r="EQ1130" s="25"/>
      <c r="ER1130" s="25"/>
      <c r="ES1130" s="25"/>
      <c r="ET1130" s="25"/>
      <c r="EU1130" s="25"/>
      <c r="EV1130" s="25"/>
      <c r="EW1130" s="25"/>
      <c r="EX1130" s="25"/>
      <c r="EY1130" s="25"/>
      <c r="EZ1130" s="25"/>
      <c r="FA1130" s="25"/>
      <c r="FB1130" s="25"/>
      <c r="FC1130" s="25"/>
      <c r="FD1130" s="25"/>
      <c r="FE1130" s="25"/>
      <c r="FF1130" s="25"/>
      <c r="FG1130" s="25"/>
      <c r="FH1130" s="25"/>
      <c r="FI1130" s="25"/>
      <c r="FJ1130" s="25"/>
      <c r="FK1130" s="25"/>
      <c r="FL1130" s="25"/>
      <c r="FM1130" s="25"/>
      <c r="FN1130" s="25"/>
      <c r="FO1130" s="25"/>
      <c r="FP1130" s="25"/>
      <c r="FQ1130" s="25"/>
      <c r="FR1130" s="25"/>
      <c r="FS1130" s="25"/>
      <c r="FT1130" s="25"/>
      <c r="FU1130" s="25"/>
      <c r="FV1130" s="25"/>
      <c r="FW1130" s="25"/>
      <c r="FX1130" s="25"/>
      <c r="FY1130" s="25"/>
      <c r="FZ1130" s="25"/>
      <c r="GA1130" s="25"/>
      <c r="GB1130" s="25"/>
      <c r="GC1130" s="25"/>
      <c r="GD1130" s="25"/>
      <c r="GE1130" s="25"/>
      <c r="GF1130" s="25"/>
      <c r="GG1130" s="25"/>
      <c r="GH1130" s="25"/>
      <c r="GI1130" s="25"/>
      <c r="GJ1130" s="25"/>
      <c r="GK1130" s="25"/>
      <c r="GL1130" s="25"/>
      <c r="GM1130" s="25"/>
      <c r="GN1130" s="25"/>
      <c r="GO1130" s="25"/>
      <c r="GP1130" s="25"/>
      <c r="GQ1130" s="25"/>
      <c r="GR1130" s="25"/>
      <c r="GS1130" s="25"/>
      <c r="GT1130" s="25"/>
      <c r="GU1130" s="25"/>
      <c r="GV1130" s="25"/>
      <c r="GW1130" s="25"/>
      <c r="GX1130" s="25"/>
      <c r="GY1130" s="25"/>
      <c r="GZ1130" s="25"/>
      <c r="HA1130" s="25"/>
      <c r="HB1130" s="25"/>
      <c r="HC1130" s="25"/>
      <c r="HD1130" s="25"/>
      <c r="HE1130" s="25"/>
      <c r="HF1130" s="25"/>
      <c r="HG1130" s="25"/>
      <c r="HH1130" s="25"/>
      <c r="HI1130" s="25"/>
      <c r="HJ1130" s="25"/>
      <c r="HK1130" s="25"/>
      <c r="HL1130" s="25"/>
      <c r="HM1130" s="25"/>
      <c r="HN1130" s="25"/>
      <c r="HO1130" s="25"/>
      <c r="HP1130" s="25"/>
      <c r="HQ1130" s="25"/>
      <c r="HR1130" s="25"/>
      <c r="HS1130" s="25"/>
      <c r="HT1130" s="25"/>
      <c r="HU1130" s="25"/>
      <c r="HV1130" s="25"/>
      <c r="HW1130" s="25"/>
      <c r="HX1130" s="25"/>
      <c r="HY1130" s="25"/>
      <c r="HZ1130" s="25"/>
      <c r="IA1130" s="25"/>
      <c r="IB1130" s="25"/>
      <c r="IC1130" s="25"/>
      <c r="ID1130" s="25"/>
      <c r="IE1130" s="25"/>
      <c r="IF1130" s="25"/>
      <c r="IG1130" s="25"/>
      <c r="IH1130" s="25"/>
      <c r="II1130" s="25"/>
      <c r="IJ1130" s="25"/>
      <c r="IK1130" s="25"/>
      <c r="IL1130" s="25"/>
      <c r="IM1130" s="25"/>
      <c r="IN1130" s="25"/>
      <c r="IO1130" s="25"/>
      <c r="IP1130" s="25"/>
      <c r="IQ1130" s="25"/>
      <c r="IR1130" s="25"/>
      <c r="IS1130" s="25"/>
      <c r="IT1130" s="25"/>
      <c r="IU1130" s="25"/>
      <c r="IV1130" s="25"/>
      <c r="IW1130" s="25"/>
      <c r="IX1130" s="25"/>
      <c r="IY1130" s="25"/>
      <c r="IZ1130" s="25"/>
      <c r="JA1130" s="25"/>
      <c r="JB1130" s="25"/>
      <c r="JC1130" s="25"/>
      <c r="JD1130" s="25"/>
      <c r="JE1130" s="25"/>
      <c r="JF1130" s="25"/>
      <c r="JG1130" s="25"/>
      <c r="JH1130" s="25"/>
      <c r="JI1130" s="25"/>
      <c r="JJ1130" s="25"/>
      <c r="JK1130" s="25"/>
      <c r="JL1130" s="25"/>
      <c r="JM1130" s="25"/>
      <c r="JN1130" s="25"/>
      <c r="JO1130" s="23"/>
      <c r="JP1130" s="23"/>
      <c r="JQ1130" s="23"/>
    </row>
    <row r="1131" spans="1:288" ht="16" x14ac:dyDescent="0.2">
      <c r="B1131" s="16">
        <v>2017</v>
      </c>
      <c r="C1131" s="20">
        <v>42966</v>
      </c>
      <c r="D1131" s="20" t="str">
        <f>CONCATENATE(J1131,"-",C1131)</f>
        <v>1250-42966</v>
      </c>
      <c r="E1131" s="37" t="str">
        <f>CONCATENATE(T1131,"-",U1131,"-",C1131)</f>
        <v>HW2-C7-42966</v>
      </c>
      <c r="F1131" s="20" t="s">
        <v>106</v>
      </c>
      <c r="G1131" s="20" t="s">
        <v>107</v>
      </c>
      <c r="I1131" s="16">
        <v>0</v>
      </c>
      <c r="J1131" s="21">
        <v>1250</v>
      </c>
      <c r="K1131" s="21">
        <v>2190</v>
      </c>
      <c r="L1131" s="18">
        <v>0</v>
      </c>
      <c r="M1131" s="21">
        <f>VLOOKUP($K1131,'[4]blood tubes 2017'!$D$1:$L$647,8,FALSE)</f>
        <v>0</v>
      </c>
      <c r="N1131" s="15">
        <v>0</v>
      </c>
      <c r="O1131" s="15" t="s">
        <v>214</v>
      </c>
      <c r="P1131" s="16" t="s">
        <v>110</v>
      </c>
      <c r="Q1131" s="16">
        <v>1</v>
      </c>
      <c r="R1131" s="16">
        <v>18</v>
      </c>
      <c r="T1131" s="16" t="s">
        <v>129</v>
      </c>
      <c r="U1131" s="16" t="s">
        <v>207</v>
      </c>
      <c r="V1131" s="16" t="s">
        <v>142</v>
      </c>
      <c r="W1131" s="16">
        <f>AI1131/AG1131</f>
        <v>1</v>
      </c>
      <c r="X1131" s="16" t="s">
        <v>121</v>
      </c>
      <c r="Y1131" s="16" t="s">
        <v>110</v>
      </c>
      <c r="Z1131" s="16">
        <v>3</v>
      </c>
      <c r="AA1131" s="16" t="s">
        <v>119</v>
      </c>
      <c r="AB1131" s="16" t="s">
        <v>239</v>
      </c>
      <c r="AC1131" s="16" t="s">
        <v>123</v>
      </c>
      <c r="AD1131" s="16" t="s">
        <v>123</v>
      </c>
      <c r="AG1131" s="16">
        <f>AH1131-AI1131</f>
        <v>85</v>
      </c>
      <c r="AH1131" s="16">
        <v>170</v>
      </c>
      <c r="AI1131" s="16">
        <v>85</v>
      </c>
      <c r="AK1131" s="16">
        <v>16.5</v>
      </c>
      <c r="AL1131" s="16">
        <v>0</v>
      </c>
      <c r="AM1131" s="16">
        <v>0</v>
      </c>
      <c r="AN1131" s="16">
        <v>0</v>
      </c>
      <c r="AO1131" s="16">
        <v>0</v>
      </c>
      <c r="AP1131" s="16">
        <f>SUM(AL1131:AN1131)</f>
        <v>0</v>
      </c>
      <c r="AQ1131" s="16">
        <v>1.802</v>
      </c>
      <c r="AR1131" s="16">
        <f>AP1131-1.472</f>
        <v>-1.472</v>
      </c>
      <c r="AS1131" s="16">
        <f>AQ1131-1.472</f>
        <v>0.33000000000000007</v>
      </c>
      <c r="AT1131" s="16" t="str">
        <f>VLOOKUP(E1131,[2]Current!$A$1:$W$435,7,FALSE)</f>
        <v>TE</v>
      </c>
      <c r="AU1131" s="16" t="s">
        <v>1288</v>
      </c>
      <c r="AW1131" s="128">
        <f>IF(AX1131&gt;0,1,0)</f>
        <v>1</v>
      </c>
      <c r="AX1131" s="128">
        <f>SUM(BA1131,BM1131,CU1131)</f>
        <v>1</v>
      </c>
      <c r="AY1131" s="128">
        <f>SUM(BB1131,BN1131,CV1131)</f>
        <v>6.0606060606060597</v>
      </c>
      <c r="AZ1131" s="128">
        <f>IF(BA1131&gt;0,1,0)</f>
        <v>1</v>
      </c>
      <c r="BA1131" s="128">
        <f>SUM(BC1131+BF1131+BI1131)</f>
        <v>1</v>
      </c>
      <c r="BB1131" s="128">
        <f>SUM(BE1131,BH1131,BK1131)</f>
        <v>6.0606060606060597</v>
      </c>
      <c r="BC1131" s="130">
        <f>IF(BD1131&gt;0,1,0)</f>
        <v>0</v>
      </c>
      <c r="BD1131" s="128">
        <f>VLOOKUP($E1131,[2]Current!$A:$AC,26,FALSE)</f>
        <v>0</v>
      </c>
      <c r="BE1131" s="128">
        <f>BD1131/$AS1131</f>
        <v>0</v>
      </c>
      <c r="BF1131" s="130">
        <f>IF(BG1131&gt;0,1,0)</f>
        <v>1</v>
      </c>
      <c r="BG1131" s="137">
        <f>VLOOKUP($E1131,[2]Current!$A:$AC,27,FALSE)</f>
        <v>2</v>
      </c>
      <c r="BH1131" s="128">
        <f>BG1131/$AS1131</f>
        <v>6.0606060606060597</v>
      </c>
      <c r="BI1131" s="130">
        <f>IF(BJ1131&gt;0,1,0)</f>
        <v>0</v>
      </c>
      <c r="BJ1131" s="128">
        <f>VLOOKUP($E1131,[2]Current!$A:$AC,28,FALSE)</f>
        <v>0</v>
      </c>
      <c r="BK1131" s="128">
        <f>BJ1131/$AS1131</f>
        <v>0</v>
      </c>
      <c r="BL1131" s="128">
        <f>IF(BM1131&gt;0,1,0)</f>
        <v>0</v>
      </c>
      <c r="BM1131" s="128">
        <f>SUM(BR1131,BU1131,BX1131,CA1131,CD1131)</f>
        <v>0</v>
      </c>
      <c r="BN1131" s="131">
        <f>SUM(BT1131,BW1131,BZ1131,CC1131,CF1131)</f>
        <v>0</v>
      </c>
      <c r="BO1131" s="128">
        <f>IF(BP1131&gt;0,1,0)</f>
        <v>1</v>
      </c>
      <c r="BP1131" s="128">
        <f>BM1131+CJ1131</f>
        <v>1</v>
      </c>
      <c r="BQ1131" s="128">
        <f>BN1131+CL1131</f>
        <v>12.121212121212119</v>
      </c>
      <c r="BR1131" s="130">
        <f>IF(BS1131&gt;0,1,0)</f>
        <v>0</v>
      </c>
      <c r="BS1131" s="128">
        <f>VLOOKUP($E1131,[2]Current!$A:$AC,12,FALSE)</f>
        <v>0</v>
      </c>
      <c r="BT1131" s="137">
        <f>BS1131/$AS1131</f>
        <v>0</v>
      </c>
      <c r="BU1131" s="130">
        <f>IF(BV1131&gt;0,1,0)</f>
        <v>0</v>
      </c>
      <c r="BV1131" s="128">
        <f>VLOOKUP($E1131,[2]Current!$A:$AC,13,FALSE)</f>
        <v>0</v>
      </c>
      <c r="BW1131" s="128">
        <f>BV1131/$AS1131</f>
        <v>0</v>
      </c>
      <c r="BX1131" s="130">
        <f>IF(BY1131&gt;0,1,0)</f>
        <v>0</v>
      </c>
      <c r="BY1131" s="128">
        <f>VLOOKUP($E1131,[2]Current!$A:$AC,14,FALSE)</f>
        <v>0</v>
      </c>
      <c r="BZ1131" s="128">
        <f>BY1131/$AS1131</f>
        <v>0</v>
      </c>
      <c r="CA1131" s="130">
        <f>IF(CB1131&gt;0,1,0)</f>
        <v>0</v>
      </c>
      <c r="CB1131" s="128">
        <f>VLOOKUP($E1131,[2]Current!$A:$AC,15,FALSE)</f>
        <v>0</v>
      </c>
      <c r="CC1131" s="128">
        <f>CB1131/$AS1131</f>
        <v>0</v>
      </c>
      <c r="CD1131" s="174">
        <f>IF(CE1131&gt;0,1,0)</f>
        <v>0</v>
      </c>
      <c r="CE1131" s="128">
        <f>VLOOKUP($E1131,[2]Current!$A:$AC,16,FALSE)</f>
        <v>0</v>
      </c>
      <c r="CF1131" s="128">
        <f>CE1131/$AS1131</f>
        <v>0</v>
      </c>
      <c r="CG1131" s="18"/>
      <c r="CH1131" s="18"/>
      <c r="CI1131" s="18"/>
      <c r="CJ1131" s="130">
        <f>IF(CK1131&gt;0,1,0)</f>
        <v>1</v>
      </c>
      <c r="CK1131" s="128">
        <f>VLOOKUP($E1131,[2]Current!$A:$AC,18,FALSE)</f>
        <v>4</v>
      </c>
      <c r="CL1131" s="128">
        <f>CK1131/$AS1131</f>
        <v>12.121212121212119</v>
      </c>
      <c r="CS1131" s="130">
        <f>IF(CU1131&gt;0,1,0)</f>
        <v>0</v>
      </c>
      <c r="CU1131" s="128">
        <f>VLOOKUP($E1131,[2]Current!$A:$AC,17,FALSE)</f>
        <v>0</v>
      </c>
      <c r="CV1131" s="128">
        <f>CU1131/$AS1131</f>
        <v>0</v>
      </c>
      <c r="CW1131" s="18"/>
      <c r="CX1131" s="18"/>
      <c r="CY1131" s="18"/>
      <c r="DF1131" s="16" t="e">
        <f>VLOOKUP(K1131,'[3]RNA Seq summary tables'!$V$3:$V$99,1,FALSE)</f>
        <v>#N/A</v>
      </c>
    </row>
    <row r="1132" spans="1:288" ht="16" x14ac:dyDescent="0.2">
      <c r="B1132" s="18">
        <v>2017</v>
      </c>
      <c r="C1132" s="37">
        <v>42932</v>
      </c>
      <c r="D1132" s="37" t="str">
        <f>CONCATENATE(J1132,"-",C1132)</f>
        <v>1252-42932</v>
      </c>
      <c r="E1132" s="37" t="str">
        <f>CONCATENATE(T1132,"-",U1132,"-",C1132)</f>
        <v>HW2-E8-42932</v>
      </c>
      <c r="F1132" s="20" t="s">
        <v>106</v>
      </c>
      <c r="G1132" s="37" t="s">
        <v>107</v>
      </c>
      <c r="H1132" s="18"/>
      <c r="I1132" s="16">
        <v>0</v>
      </c>
      <c r="J1132" s="36">
        <v>1252</v>
      </c>
      <c r="K1132" s="36">
        <v>1925</v>
      </c>
      <c r="L1132" s="18">
        <v>0</v>
      </c>
      <c r="M1132" s="21">
        <f>VLOOKUP($K1132,'[4]blood tubes 2017'!$D$1:$L$647,8,FALSE)</f>
        <v>0</v>
      </c>
      <c r="N1132" s="15">
        <v>0</v>
      </c>
      <c r="O1132" s="15" t="s">
        <v>214</v>
      </c>
      <c r="P1132" s="18" t="s">
        <v>110</v>
      </c>
      <c r="Q1132" s="16">
        <v>0</v>
      </c>
      <c r="R1132" s="18" t="s">
        <v>111</v>
      </c>
      <c r="S1132" s="18"/>
      <c r="T1132" s="18" t="s">
        <v>129</v>
      </c>
      <c r="U1132" s="18" t="s">
        <v>181</v>
      </c>
      <c r="V1132" s="18" t="s">
        <v>114</v>
      </c>
      <c r="W1132" s="16">
        <f>AI1132/AG1132</f>
        <v>0.85185185185185186</v>
      </c>
      <c r="X1132" s="18" t="s">
        <v>115</v>
      </c>
      <c r="Y1132" s="18" t="s">
        <v>110</v>
      </c>
      <c r="Z1132" s="18">
        <v>3</v>
      </c>
      <c r="AA1132" s="18"/>
      <c r="AB1132" s="18"/>
      <c r="AC1132" s="18"/>
      <c r="AD1132" s="18"/>
      <c r="AE1132" s="18" t="s">
        <v>116</v>
      </c>
      <c r="AF1132" s="18" t="s">
        <v>116</v>
      </c>
      <c r="AG1132" s="18">
        <f>AH1132-AI1132</f>
        <v>81</v>
      </c>
      <c r="AH1132" s="18">
        <v>150</v>
      </c>
      <c r="AI1132" s="18">
        <v>69</v>
      </c>
      <c r="AJ1132" s="18"/>
      <c r="AK1132" s="18">
        <v>16.5</v>
      </c>
      <c r="AL1132" s="18">
        <v>0</v>
      </c>
      <c r="AM1132" s="18">
        <v>0</v>
      </c>
      <c r="AN1132" s="18">
        <v>0</v>
      </c>
      <c r="AO1132" s="18">
        <v>0</v>
      </c>
      <c r="AP1132" s="18">
        <f>SUM(AL1132:AN1132)</f>
        <v>0</v>
      </c>
      <c r="AQ1132" s="18">
        <v>1.845</v>
      </c>
      <c r="AR1132" s="18">
        <f>AP1132-1.472</f>
        <v>-1.472</v>
      </c>
      <c r="AS1132" s="18">
        <f>AQ1132-1.472</f>
        <v>0.373</v>
      </c>
      <c r="AT1132" s="16" t="str">
        <f>VLOOKUP(E1132,[2]Current!$A$1:$W$435,7,FALSE)</f>
        <v>JB</v>
      </c>
      <c r="AU1132" s="16" t="s">
        <v>1288</v>
      </c>
      <c r="AV1132" s="18"/>
      <c r="AW1132" s="128">
        <f>IF(AX1132&gt;0,1,0)</f>
        <v>1</v>
      </c>
      <c r="AX1132" s="128">
        <f>SUM(BA1132,BM1132,CU1132)</f>
        <v>1</v>
      </c>
      <c r="AY1132" s="128">
        <f>SUM(BB1132,BN1132,CV1132)</f>
        <v>2.6809651474530831</v>
      </c>
      <c r="AZ1132" s="128">
        <f>IF(BA1132&gt;0,1,0)</f>
        <v>0</v>
      </c>
      <c r="BA1132" s="128">
        <f>SUM(BC1132+BF1132+BI1132)</f>
        <v>0</v>
      </c>
      <c r="BB1132" s="128">
        <f>SUM(BE1132,BH1132,BK1132)</f>
        <v>0</v>
      </c>
      <c r="BC1132" s="130">
        <f>IF(BD1132&gt;0,1,0)</f>
        <v>0</v>
      </c>
      <c r="BD1132" s="128">
        <f>VLOOKUP($E1132,[2]Current!$A:$AC,26,FALSE)</f>
        <v>0</v>
      </c>
      <c r="BE1132" s="128">
        <f>BD1132/$AS1132</f>
        <v>0</v>
      </c>
      <c r="BF1132" s="130">
        <f>IF(BG1132&gt;0,1,0)</f>
        <v>0</v>
      </c>
      <c r="BG1132" s="137">
        <f>VLOOKUP($E1132,[2]Current!$A:$AC,27,FALSE)</f>
        <v>0</v>
      </c>
      <c r="BH1132" s="128">
        <f>BG1132/$AS1132</f>
        <v>0</v>
      </c>
      <c r="BI1132" s="130">
        <f>IF(BJ1132&gt;0,1,0)</f>
        <v>0</v>
      </c>
      <c r="BJ1132" s="128">
        <f>VLOOKUP($E1132,[2]Current!$A:$AC,28,FALSE)</f>
        <v>0</v>
      </c>
      <c r="BK1132" s="128">
        <f>BJ1132/$AS1132</f>
        <v>0</v>
      </c>
      <c r="BL1132" s="128">
        <f>IF(BM1132&gt;0,1,0)</f>
        <v>1</v>
      </c>
      <c r="BM1132" s="128">
        <f>SUM(BR1132,BU1132,BX1132,CA1132,CD1132)</f>
        <v>1</v>
      </c>
      <c r="BN1132" s="131">
        <f>SUM(BT1132,BW1132,BZ1132,CC1132,CF1132)</f>
        <v>2.6809651474530831</v>
      </c>
      <c r="BO1132" s="128">
        <f>IF(BP1132&gt;0,1,0)</f>
        <v>1</v>
      </c>
      <c r="BP1132" s="128">
        <f>BM1132+CJ1132</f>
        <v>1</v>
      </c>
      <c r="BQ1132" s="128">
        <f>BN1132+CL1132</f>
        <v>2.6809651474530831</v>
      </c>
      <c r="BR1132" s="130">
        <f>IF(BS1132&gt;0,1,0)</f>
        <v>0</v>
      </c>
      <c r="BS1132" s="128">
        <f>VLOOKUP($E1132,[2]Current!$A:$AC,12,FALSE)</f>
        <v>0</v>
      </c>
      <c r="BT1132" s="137">
        <f>BS1132/$AS1132</f>
        <v>0</v>
      </c>
      <c r="BU1132" s="130">
        <f>IF(BV1132&gt;0,1,0)</f>
        <v>1</v>
      </c>
      <c r="BV1132" s="128">
        <f>VLOOKUP($E1132,[2]Current!$A:$AC,13,FALSE)</f>
        <v>1</v>
      </c>
      <c r="BW1132" s="128">
        <f>BV1132/$AS1132</f>
        <v>2.6809651474530831</v>
      </c>
      <c r="BX1132" s="130">
        <f>IF(BY1132&gt;0,1,0)</f>
        <v>0</v>
      </c>
      <c r="BY1132" s="128">
        <f>VLOOKUP($E1132,[2]Current!$A:$AC,14,FALSE)</f>
        <v>0</v>
      </c>
      <c r="BZ1132" s="128">
        <f>BY1132/$AS1132</f>
        <v>0</v>
      </c>
      <c r="CA1132" s="130">
        <f>IF(CB1132&gt;0,1,0)</f>
        <v>0</v>
      </c>
      <c r="CB1132" s="128">
        <f>VLOOKUP($E1132,[2]Current!$A:$AC,15,FALSE)</f>
        <v>0</v>
      </c>
      <c r="CC1132" s="128">
        <f>CB1132/$AS1132</f>
        <v>0</v>
      </c>
      <c r="CD1132" s="174">
        <f>IF(CE1132&gt;0,1,0)</f>
        <v>0</v>
      </c>
      <c r="CE1132" s="128">
        <f>VLOOKUP($E1132,[2]Current!$A:$AC,16,FALSE)</f>
        <v>0</v>
      </c>
      <c r="CF1132" s="128">
        <f>CE1132/$AS1132</f>
        <v>0</v>
      </c>
      <c r="CG1132" s="18"/>
      <c r="CH1132" s="18"/>
      <c r="CI1132" s="18"/>
      <c r="CJ1132" s="130">
        <f>IF(CK1132&gt;0,1,0)</f>
        <v>0</v>
      </c>
      <c r="CK1132" s="128">
        <f>VLOOKUP($E1132,[2]Current!$A:$AC,18,FALSE)</f>
        <v>0</v>
      </c>
      <c r="CL1132" s="128">
        <f>CK1132/$AS1132</f>
        <v>0</v>
      </c>
      <c r="CS1132" s="130">
        <f>IF(CU1132&gt;0,1,0)</f>
        <v>0</v>
      </c>
      <c r="CU1132" s="128">
        <f>VLOOKUP($E1132,[2]Current!$A:$AC,17,FALSE)</f>
        <v>0</v>
      </c>
      <c r="CV1132" s="128">
        <f>CU1132/$AS1132</f>
        <v>0</v>
      </c>
      <c r="CW1132" s="18"/>
      <c r="CX1132" s="18"/>
      <c r="CY1132" s="18"/>
      <c r="DF1132" s="16" t="e">
        <f>VLOOKUP(K1132,'[3]RNA Seq summary tables'!$V$3:$V$99,1,FALSE)</f>
        <v>#N/A</v>
      </c>
      <c r="DI1132" s="18"/>
      <c r="DJ1132" s="18"/>
      <c r="DK1132" s="18"/>
      <c r="DL1132" s="18"/>
      <c r="DM1132" s="18"/>
      <c r="DN1132" s="18"/>
      <c r="DO1132" s="18"/>
      <c r="DP1132" s="18"/>
      <c r="DQ1132" s="18"/>
      <c r="DR1132" s="18"/>
      <c r="DS1132" s="18"/>
    </row>
    <row r="1133" spans="1:288" ht="16" x14ac:dyDescent="0.2">
      <c r="B1133" s="18">
        <v>2017</v>
      </c>
      <c r="C1133" s="37">
        <v>42936</v>
      </c>
      <c r="D1133" s="37" t="str">
        <f>CONCATENATE(J1133,"-",C1133)</f>
        <v>1254-42936</v>
      </c>
      <c r="E1133" s="37" t="str">
        <f>CONCATENATE(T1133,"-",U1133,"-",C1133)</f>
        <v>BC2-A1-42936</v>
      </c>
      <c r="F1133" s="20" t="s">
        <v>106</v>
      </c>
      <c r="G1133" s="37" t="s">
        <v>107</v>
      </c>
      <c r="H1133" s="18"/>
      <c r="I1133" s="16">
        <v>0</v>
      </c>
      <c r="J1133" s="36">
        <v>1254</v>
      </c>
      <c r="K1133" s="36">
        <v>1929</v>
      </c>
      <c r="L1133" s="18">
        <v>0</v>
      </c>
      <c r="M1133" s="21">
        <f>VLOOKUP($K1133,'[4]blood tubes 2017'!$D$1:$L$647,8,FALSE)</f>
        <v>0</v>
      </c>
      <c r="N1133" s="15">
        <v>0</v>
      </c>
      <c r="O1133" s="15" t="s">
        <v>214</v>
      </c>
      <c r="P1133" s="18" t="s">
        <v>110</v>
      </c>
      <c r="Q1133" s="16">
        <v>0</v>
      </c>
      <c r="R1133" s="18" t="s">
        <v>111</v>
      </c>
      <c r="S1133" s="18"/>
      <c r="T1133" s="18" t="s">
        <v>154</v>
      </c>
      <c r="U1133" s="18" t="s">
        <v>210</v>
      </c>
      <c r="V1133" s="18" t="s">
        <v>114</v>
      </c>
      <c r="W1133" s="16">
        <f>AI1133/AG1133</f>
        <v>0.84946236559139787</v>
      </c>
      <c r="X1133" s="18" t="s">
        <v>121</v>
      </c>
      <c r="Y1133" s="18" t="s">
        <v>110</v>
      </c>
      <c r="Z1133" s="18">
        <v>3</v>
      </c>
      <c r="AA1133" s="18" t="s">
        <v>119</v>
      </c>
      <c r="AB1133" s="18" t="s">
        <v>240</v>
      </c>
      <c r="AC1133" s="18" t="s">
        <v>123</v>
      </c>
      <c r="AD1133" s="18" t="s">
        <v>123</v>
      </c>
      <c r="AE1133" s="18"/>
      <c r="AF1133" s="18"/>
      <c r="AG1133" s="18">
        <f>AH1133-AI1133</f>
        <v>93</v>
      </c>
      <c r="AH1133" s="18">
        <v>172</v>
      </c>
      <c r="AI1133" s="18">
        <v>79</v>
      </c>
      <c r="AJ1133" s="18"/>
      <c r="AK1133" s="18">
        <v>25</v>
      </c>
      <c r="AL1133" s="18">
        <v>0</v>
      </c>
      <c r="AM1133" s="18">
        <v>0</v>
      </c>
      <c r="AN1133" s="18">
        <v>0</v>
      </c>
      <c r="AO1133" s="18">
        <v>0</v>
      </c>
      <c r="AP1133" s="18">
        <f>SUM(AL1133:AN1133)</f>
        <v>0</v>
      </c>
      <c r="AQ1133" s="18">
        <v>1.782</v>
      </c>
      <c r="AR1133" s="18">
        <f>AP1133-1.472</f>
        <v>-1.472</v>
      </c>
      <c r="AS1133" s="18">
        <f>AQ1133-1.472</f>
        <v>0.31000000000000005</v>
      </c>
      <c r="AT1133" s="16" t="str">
        <f>VLOOKUP(E1133,[2]Current!$A$1:$W$435,7,FALSE)</f>
        <v>JB</v>
      </c>
      <c r="AU1133" s="16" t="s">
        <v>1288</v>
      </c>
      <c r="AV1133" s="18"/>
      <c r="AW1133" s="128">
        <f>IF(AX1133&gt;0,1,0)</f>
        <v>1</v>
      </c>
      <c r="AX1133" s="128">
        <f>SUM(BA1133,BM1133,CU1133)</f>
        <v>1</v>
      </c>
      <c r="AY1133" s="128">
        <f>SUM(BB1133,BN1133,CV1133)</f>
        <v>712.90322580645147</v>
      </c>
      <c r="AZ1133" s="128">
        <f>IF(BA1133&gt;0,1,0)</f>
        <v>0</v>
      </c>
      <c r="BA1133" s="128">
        <f>SUM(BC1133+BF1133+BI1133)</f>
        <v>0</v>
      </c>
      <c r="BB1133" s="128">
        <f>SUM(BE1133,BH1133,BK1133)</f>
        <v>0</v>
      </c>
      <c r="BC1133" s="130">
        <f>IF(BD1133&gt;0,1,0)</f>
        <v>0</v>
      </c>
      <c r="BD1133" s="128">
        <f>VLOOKUP($E1133,[2]Current!$A:$AC,26,FALSE)</f>
        <v>0</v>
      </c>
      <c r="BE1133" s="128">
        <f>BD1133/$AS1133</f>
        <v>0</v>
      </c>
      <c r="BF1133" s="130">
        <f>IF(BG1133&gt;0,1,0)</f>
        <v>0</v>
      </c>
      <c r="BG1133" s="137">
        <f>VLOOKUP($E1133,[2]Current!$A:$AC,27,FALSE)</f>
        <v>0</v>
      </c>
      <c r="BH1133" s="128">
        <f>BG1133/$AS1133</f>
        <v>0</v>
      </c>
      <c r="BI1133" s="130">
        <f>IF(BJ1133&gt;0,1,0)</f>
        <v>0</v>
      </c>
      <c r="BJ1133" s="128">
        <f>VLOOKUP($E1133,[2]Current!$A:$AC,28,FALSE)</f>
        <v>0</v>
      </c>
      <c r="BK1133" s="128">
        <f>BJ1133/$AS1133</f>
        <v>0</v>
      </c>
      <c r="BL1133" s="128">
        <f>IF(BM1133&gt;0,1,0)</f>
        <v>1</v>
      </c>
      <c r="BM1133" s="128">
        <f>SUM(BR1133,BU1133,BX1133,CA1133,CD1133)</f>
        <v>1</v>
      </c>
      <c r="BN1133" s="131">
        <f>SUM(BT1133,BW1133,BZ1133,CC1133,CF1133)</f>
        <v>712.90322580645147</v>
      </c>
      <c r="BO1133" s="128">
        <f>IF(BP1133&gt;0,1,0)</f>
        <v>1</v>
      </c>
      <c r="BP1133" s="128">
        <f>BM1133+CJ1133</f>
        <v>1</v>
      </c>
      <c r="BQ1133" s="128">
        <f>BN1133+CL1133</f>
        <v>712.90322580645147</v>
      </c>
      <c r="BR1133" s="130">
        <f>IF(BS1133&gt;0,1,0)</f>
        <v>0</v>
      </c>
      <c r="BS1133" s="128">
        <f>VLOOKUP($E1133,[2]Current!$A:$AC,12,FALSE)</f>
        <v>0</v>
      </c>
      <c r="BT1133" s="137">
        <f>BS1133/$AS1133</f>
        <v>0</v>
      </c>
      <c r="BU1133" s="130">
        <f>IF(BV1133&gt;0,1,0)</f>
        <v>0</v>
      </c>
      <c r="BV1133" s="128">
        <f>VLOOKUP($E1133,[2]Current!$A:$AC,13,FALSE)</f>
        <v>0</v>
      </c>
      <c r="BW1133" s="128">
        <f>BV1133/$AS1133</f>
        <v>0</v>
      </c>
      <c r="BX1133" s="130">
        <f>IF(BY1133&gt;0,1,0)</f>
        <v>1</v>
      </c>
      <c r="BY1133" s="128">
        <f>VLOOKUP($E1133,[2]Current!$A:$AC,14,FALSE)</f>
        <v>221</v>
      </c>
      <c r="BZ1133" s="128">
        <f>BY1133/$AS1133</f>
        <v>712.90322580645147</v>
      </c>
      <c r="CA1133" s="130">
        <f>IF(CB1133&gt;0,1,0)</f>
        <v>0</v>
      </c>
      <c r="CB1133" s="128">
        <f>VLOOKUP($E1133,[2]Current!$A:$AC,15,FALSE)</f>
        <v>0</v>
      </c>
      <c r="CC1133" s="128">
        <f>CB1133/$AS1133</f>
        <v>0</v>
      </c>
      <c r="CD1133" s="174">
        <f>IF(CE1133&gt;0,1,0)</f>
        <v>0</v>
      </c>
      <c r="CE1133" s="128">
        <f>VLOOKUP($E1133,[2]Current!$A:$AC,16,FALSE)</f>
        <v>0</v>
      </c>
      <c r="CF1133" s="128">
        <f>CE1133/$AS1133</f>
        <v>0</v>
      </c>
      <c r="CG1133" s="18"/>
      <c r="CH1133" s="18"/>
      <c r="CI1133" s="18"/>
      <c r="CJ1133" s="130">
        <f>IF(CK1133&gt;0,1,0)</f>
        <v>0</v>
      </c>
      <c r="CK1133" s="128">
        <f>VLOOKUP($E1133,[2]Current!$A:$AC,18,FALSE)</f>
        <v>0</v>
      </c>
      <c r="CL1133" s="128">
        <f>CK1133/$AS1133</f>
        <v>0</v>
      </c>
      <c r="CS1133" s="130">
        <f>IF(CU1133&gt;0,1,0)</f>
        <v>0</v>
      </c>
      <c r="CU1133" s="128">
        <f>VLOOKUP($E1133,[2]Current!$A:$AC,17,FALSE)</f>
        <v>0</v>
      </c>
      <c r="CV1133" s="128">
        <f>CU1133/$AS1133</f>
        <v>0</v>
      </c>
      <c r="CW1133" s="18"/>
      <c r="CX1133" s="18"/>
      <c r="CY1133" s="18"/>
      <c r="DF1133" s="16" t="e">
        <f>VLOOKUP(K1133,'[3]RNA Seq summary tables'!$V$3:$V$99,1,FALSE)</f>
        <v>#N/A</v>
      </c>
      <c r="DI1133" s="18"/>
      <c r="DJ1133" s="18"/>
      <c r="DK1133" s="18"/>
      <c r="DL1133" s="18"/>
      <c r="DM1133" s="18"/>
      <c r="DN1133" s="18"/>
      <c r="DO1133" s="18"/>
      <c r="DP1133" s="18"/>
      <c r="DQ1133" s="18"/>
      <c r="DR1133" s="18"/>
      <c r="DS1133" s="18"/>
    </row>
    <row r="1134" spans="1:288" ht="16" x14ac:dyDescent="0.2">
      <c r="B1134" s="16">
        <v>2017</v>
      </c>
      <c r="C1134" s="20">
        <v>42936</v>
      </c>
      <c r="D1134" s="20" t="str">
        <f>CONCATENATE(J1134,"-",C1134)</f>
        <v>1256-42936</v>
      </c>
      <c r="E1134" s="37" t="str">
        <f>CONCATENATE(T1134,"-",U1134,"-",C1134)</f>
        <v>BC1-E8-42936</v>
      </c>
      <c r="F1134" s="20" t="s">
        <v>106</v>
      </c>
      <c r="G1134" s="20" t="s">
        <v>107</v>
      </c>
      <c r="I1134" s="16">
        <v>0</v>
      </c>
      <c r="J1134" s="21">
        <v>1256</v>
      </c>
      <c r="K1134" s="21">
        <v>1935</v>
      </c>
      <c r="L1134" s="18">
        <v>0</v>
      </c>
      <c r="M1134" s="21">
        <f>VLOOKUP($K1134,'[4]blood tubes 2017'!$D$1:$L$647,8,FALSE)</f>
        <v>0</v>
      </c>
      <c r="N1134" s="15">
        <v>0</v>
      </c>
      <c r="O1134" s="15" t="s">
        <v>214</v>
      </c>
      <c r="P1134" s="16" t="s">
        <v>110</v>
      </c>
      <c r="Q1134" s="16">
        <v>0</v>
      </c>
      <c r="R1134" s="16" t="s">
        <v>111</v>
      </c>
      <c r="T1134" s="16" t="s">
        <v>159</v>
      </c>
      <c r="U1134" s="16" t="s">
        <v>181</v>
      </c>
      <c r="V1134" s="16" t="s">
        <v>114</v>
      </c>
      <c r="W1134" s="16">
        <f>AI1134/AG1134</f>
        <v>0.8351648351648352</v>
      </c>
      <c r="X1134" s="16" t="s">
        <v>115</v>
      </c>
      <c r="Y1134" s="16" t="s">
        <v>110</v>
      </c>
      <c r="Z1134" s="16">
        <v>3</v>
      </c>
      <c r="AE1134" s="16" t="s">
        <v>116</v>
      </c>
      <c r="AF1134" s="16" t="s">
        <v>116</v>
      </c>
      <c r="AG1134" s="16">
        <f>AH1134-AI1134</f>
        <v>91</v>
      </c>
      <c r="AH1134" s="16">
        <v>167</v>
      </c>
      <c r="AI1134" s="16">
        <v>76</v>
      </c>
      <c r="AK1134" s="16">
        <v>25.5</v>
      </c>
      <c r="AL1134" s="16">
        <v>1</v>
      </c>
      <c r="AM1134" s="16">
        <v>0</v>
      </c>
      <c r="AN1134" s="16">
        <v>0</v>
      </c>
      <c r="AO1134" s="16">
        <v>1</v>
      </c>
      <c r="AP1134" s="16">
        <f>SUM(AL1134:AN1134)</f>
        <v>1</v>
      </c>
      <c r="AQ1134" s="16">
        <v>1.7</v>
      </c>
      <c r="AR1134" s="16">
        <f>AP1134-1.472</f>
        <v>-0.47199999999999998</v>
      </c>
      <c r="AS1134" s="16">
        <f>AQ1134-1.472</f>
        <v>0.22799999999999998</v>
      </c>
      <c r="AT1134" s="16" t="str">
        <f>VLOOKUP(E1134,[2]Current!$A$1:$W$435,7,FALSE)</f>
        <v>TE</v>
      </c>
      <c r="AU1134" s="16" t="s">
        <v>1288</v>
      </c>
      <c r="AW1134" s="128">
        <f>IF(AX1134&gt;0,1,0)</f>
        <v>1</v>
      </c>
      <c r="AX1134" s="128">
        <f>SUM(BA1134,BM1134,CU1134)</f>
        <v>1</v>
      </c>
      <c r="AY1134" s="128">
        <f>SUM(BB1134,BN1134,CV1134)</f>
        <v>30.701754385964914</v>
      </c>
      <c r="AZ1134" s="128">
        <f>IF(BA1134&gt;0,1,0)</f>
        <v>0</v>
      </c>
      <c r="BA1134" s="128">
        <f>SUM(BC1134+BF1134+BI1134)</f>
        <v>0</v>
      </c>
      <c r="BB1134" s="128">
        <f>SUM(BE1134,BH1134,BK1134)</f>
        <v>0</v>
      </c>
      <c r="BC1134" s="130">
        <f>IF(BD1134&gt;0,1,0)</f>
        <v>0</v>
      </c>
      <c r="BD1134" s="128">
        <f>VLOOKUP($E1134,[2]Current!$A:$AC,26,FALSE)</f>
        <v>0</v>
      </c>
      <c r="BE1134" s="128">
        <f>BD1134/$AS1134</f>
        <v>0</v>
      </c>
      <c r="BF1134" s="130">
        <f>IF(BG1134&gt;0,1,0)</f>
        <v>0</v>
      </c>
      <c r="BG1134" s="137">
        <f>VLOOKUP($E1134,[2]Current!$A:$AC,27,FALSE)</f>
        <v>0</v>
      </c>
      <c r="BH1134" s="128">
        <f>BG1134/$AS1134</f>
        <v>0</v>
      </c>
      <c r="BI1134" s="130">
        <f>IF(BJ1134&gt;0,1,0)</f>
        <v>0</v>
      </c>
      <c r="BJ1134" s="128">
        <f>VLOOKUP($E1134,[2]Current!$A:$AC,28,FALSE)</f>
        <v>0</v>
      </c>
      <c r="BK1134" s="128">
        <f>BJ1134/$AS1134</f>
        <v>0</v>
      </c>
      <c r="BL1134" s="128">
        <f>IF(BM1134&gt;0,1,0)</f>
        <v>1</v>
      </c>
      <c r="BM1134" s="128">
        <f>SUM(BR1134,BU1134,BX1134,CA1134,CD1134)</f>
        <v>1</v>
      </c>
      <c r="BN1134" s="131">
        <f>SUM(BT1134,BW1134,BZ1134,CC1134,CF1134)</f>
        <v>30.701754385964914</v>
      </c>
      <c r="BO1134" s="128">
        <f>IF(BP1134&gt;0,1,0)</f>
        <v>1</v>
      </c>
      <c r="BP1134" s="128">
        <f>BM1134+CJ1134</f>
        <v>1</v>
      </c>
      <c r="BQ1134" s="128">
        <f>BN1134+CL1134</f>
        <v>30.701754385964914</v>
      </c>
      <c r="BR1134" s="130">
        <f>IF(BS1134&gt;0,1,0)</f>
        <v>0</v>
      </c>
      <c r="BS1134" s="128">
        <f>VLOOKUP($E1134,[2]Current!$A:$AC,12,FALSE)</f>
        <v>0</v>
      </c>
      <c r="BT1134" s="137">
        <f>BS1134/$AS1134</f>
        <v>0</v>
      </c>
      <c r="BU1134" s="130">
        <f>IF(BV1134&gt;0,1,0)</f>
        <v>0</v>
      </c>
      <c r="BV1134" s="128">
        <f>VLOOKUP($E1134,[2]Current!$A:$AC,13,FALSE)</f>
        <v>0</v>
      </c>
      <c r="BW1134" s="128">
        <f>BV1134/$AS1134</f>
        <v>0</v>
      </c>
      <c r="BX1134" s="130">
        <f>IF(BY1134&gt;0,1,0)</f>
        <v>1</v>
      </c>
      <c r="BY1134" s="128">
        <f>VLOOKUP($E1134,[2]Current!$A:$AC,14,FALSE)</f>
        <v>7</v>
      </c>
      <c r="BZ1134" s="128">
        <f>BY1134/$AS1134</f>
        <v>30.701754385964914</v>
      </c>
      <c r="CA1134" s="130">
        <f>IF(CB1134&gt;0,1,0)</f>
        <v>0</v>
      </c>
      <c r="CB1134" s="128">
        <f>VLOOKUP($E1134,[2]Current!$A:$AC,15,FALSE)</f>
        <v>0</v>
      </c>
      <c r="CC1134" s="128">
        <f>CB1134/$AS1134</f>
        <v>0</v>
      </c>
      <c r="CD1134" s="174">
        <f>IF(CE1134&gt;0,1,0)</f>
        <v>0</v>
      </c>
      <c r="CE1134" s="128">
        <f>VLOOKUP($E1134,[2]Current!$A:$AC,16,FALSE)</f>
        <v>0</v>
      </c>
      <c r="CF1134" s="128">
        <f>CE1134/$AS1134</f>
        <v>0</v>
      </c>
      <c r="CG1134" s="18"/>
      <c r="CH1134" s="18"/>
      <c r="CI1134" s="18"/>
      <c r="CJ1134" s="130">
        <f>IF(CK1134&gt;0,1,0)</f>
        <v>0</v>
      </c>
      <c r="CK1134" s="128">
        <f>VLOOKUP($E1134,[2]Current!$A:$AC,18,FALSE)</f>
        <v>0</v>
      </c>
      <c r="CL1134" s="128">
        <f>CK1134/$AS1134</f>
        <v>0</v>
      </c>
      <c r="CS1134" s="130">
        <f>IF(CU1134&gt;0,1,0)</f>
        <v>0</v>
      </c>
      <c r="CU1134" s="128">
        <f>VLOOKUP($E1134,[2]Current!$A:$AC,17,FALSE)</f>
        <v>0</v>
      </c>
      <c r="CV1134" s="128">
        <f>CU1134/$AS1134</f>
        <v>0</v>
      </c>
      <c r="CW1134" s="18"/>
      <c r="CX1134" s="18"/>
      <c r="CY1134" s="18"/>
      <c r="DF1134" s="16" t="e">
        <f>VLOOKUP(K1134,'[3]RNA Seq summary tables'!$V$3:$V$99,1,FALSE)</f>
        <v>#N/A</v>
      </c>
    </row>
    <row r="1135" spans="1:288" ht="16" x14ac:dyDescent="0.2">
      <c r="B1135" s="16">
        <v>2017</v>
      </c>
      <c r="C1135" s="20">
        <v>42936</v>
      </c>
      <c r="D1135" s="20" t="str">
        <f>CONCATENATE(J1135,"-",C1135)</f>
        <v>1258-42936</v>
      </c>
      <c r="E1135" s="37" t="str">
        <f>CONCATENATE(T1135,"-",U1135,"-",C1135)</f>
        <v>BC1-G6-42936</v>
      </c>
      <c r="F1135" s="20" t="s">
        <v>106</v>
      </c>
      <c r="G1135" s="20" t="s">
        <v>107</v>
      </c>
      <c r="I1135" s="16">
        <v>0</v>
      </c>
      <c r="J1135" s="21">
        <v>1258</v>
      </c>
      <c r="K1135" s="21">
        <v>1938</v>
      </c>
      <c r="L1135" s="18">
        <v>0</v>
      </c>
      <c r="M1135" s="21">
        <f>VLOOKUP($K1135,'[4]blood tubes 2017'!$D$1:$L$647,8,FALSE)</f>
        <v>0</v>
      </c>
      <c r="N1135" s="15">
        <v>0</v>
      </c>
      <c r="O1135" s="15" t="s">
        <v>214</v>
      </c>
      <c r="P1135" s="16" t="s">
        <v>110</v>
      </c>
      <c r="Q1135" s="16">
        <v>0</v>
      </c>
      <c r="R1135" s="16" t="s">
        <v>111</v>
      </c>
      <c r="T1135" s="16" t="s">
        <v>159</v>
      </c>
      <c r="U1135" s="16" t="s">
        <v>218</v>
      </c>
      <c r="V1135" s="16" t="s">
        <v>114</v>
      </c>
      <c r="W1135" s="16">
        <f>AI1135/AG1135</f>
        <v>0.90361445783132532</v>
      </c>
      <c r="X1135" s="16" t="s">
        <v>115</v>
      </c>
      <c r="Y1135" s="16" t="s">
        <v>110</v>
      </c>
      <c r="Z1135" s="16">
        <v>3</v>
      </c>
      <c r="AE1135" s="16" t="s">
        <v>116</v>
      </c>
      <c r="AF1135" s="16" t="s">
        <v>116</v>
      </c>
      <c r="AG1135" s="16">
        <f>AH1135-AI1135</f>
        <v>83</v>
      </c>
      <c r="AH1135" s="16">
        <v>158</v>
      </c>
      <c r="AI1135" s="16">
        <v>75</v>
      </c>
      <c r="AK1135" s="16">
        <v>18.5</v>
      </c>
      <c r="AL1135" s="16">
        <v>0</v>
      </c>
      <c r="AM1135" s="16">
        <v>0</v>
      </c>
      <c r="AN1135" s="16">
        <v>0</v>
      </c>
      <c r="AO1135" s="16">
        <v>0</v>
      </c>
      <c r="AP1135" s="16">
        <f>SUM(AL1135:AN1135)</f>
        <v>0</v>
      </c>
      <c r="AQ1135" s="16">
        <v>1.8169999999999999</v>
      </c>
      <c r="AR1135" s="16">
        <f>AP1135-1.472</f>
        <v>-1.472</v>
      </c>
      <c r="AS1135" s="16">
        <f>AQ1135-1.472</f>
        <v>0.34499999999999997</v>
      </c>
      <c r="AT1135" s="16" t="str">
        <f>VLOOKUP(E1135,[2]Current!$A$1:$W$435,7,FALSE)</f>
        <v>NB</v>
      </c>
      <c r="AU1135" s="16" t="s">
        <v>1288</v>
      </c>
      <c r="AW1135" s="128">
        <f>IF(AX1135&gt;0,1,0)</f>
        <v>1</v>
      </c>
      <c r="AX1135" s="128">
        <f>SUM(BA1135,BM1135,CU1135)</f>
        <v>1</v>
      </c>
      <c r="AY1135" s="128">
        <f>SUM(BB1135,BN1135,CV1135)</f>
        <v>98.550724637681171</v>
      </c>
      <c r="AZ1135" s="128">
        <f>IF(BA1135&gt;0,1,0)</f>
        <v>1</v>
      </c>
      <c r="BA1135" s="128">
        <f>SUM(BC1135+BF1135+BI1135)</f>
        <v>1</v>
      </c>
      <c r="BB1135" s="128">
        <f>SUM(BE1135,BH1135,BK1135)</f>
        <v>98.550724637681171</v>
      </c>
      <c r="BC1135" s="130">
        <f>IF(BD1135&gt;0,1,0)</f>
        <v>0</v>
      </c>
      <c r="BD1135" s="128">
        <f>VLOOKUP($E1135,[2]Current!$A:$AC,26,FALSE)</f>
        <v>0</v>
      </c>
      <c r="BE1135" s="128">
        <f>BD1135/$AS1135</f>
        <v>0</v>
      </c>
      <c r="BF1135" s="130">
        <f>IF(BG1135&gt;0,1,0)</f>
        <v>1</v>
      </c>
      <c r="BG1135" s="137">
        <f>VLOOKUP($E1135,[2]Current!$A:$AC,27,FALSE)</f>
        <v>34</v>
      </c>
      <c r="BH1135" s="128">
        <f>BG1135/$AS1135</f>
        <v>98.550724637681171</v>
      </c>
      <c r="BI1135" s="130">
        <f>IF(BJ1135&gt;0,1,0)</f>
        <v>0</v>
      </c>
      <c r="BJ1135" s="128">
        <f>VLOOKUP($E1135,[2]Current!$A:$AC,28,FALSE)</f>
        <v>0</v>
      </c>
      <c r="BK1135" s="128">
        <f>BJ1135/$AS1135</f>
        <v>0</v>
      </c>
      <c r="BL1135" s="128">
        <f>IF(BM1135&gt;0,1,0)</f>
        <v>0</v>
      </c>
      <c r="BM1135" s="128">
        <f>SUM(BR1135,BU1135,BX1135,CA1135,CD1135)</f>
        <v>0</v>
      </c>
      <c r="BN1135" s="131">
        <f>SUM(BT1135,BW1135,BZ1135,CC1135,CF1135)</f>
        <v>0</v>
      </c>
      <c r="BO1135" s="128">
        <f>IF(BP1135&gt;0,1,0)</f>
        <v>0</v>
      </c>
      <c r="BP1135" s="128">
        <f>BM1135+CJ1135</f>
        <v>0</v>
      </c>
      <c r="BQ1135" s="128">
        <f>BN1135+CL1135</f>
        <v>0</v>
      </c>
      <c r="BR1135" s="130">
        <f>IF(BS1135&gt;0,1,0)</f>
        <v>0</v>
      </c>
      <c r="BS1135" s="128">
        <f>VLOOKUP($E1135,[2]Current!$A:$AC,12,FALSE)</f>
        <v>0</v>
      </c>
      <c r="BT1135" s="137">
        <f>BS1135/$AS1135</f>
        <v>0</v>
      </c>
      <c r="BU1135" s="130">
        <f>IF(BV1135&gt;0,1,0)</f>
        <v>0</v>
      </c>
      <c r="BV1135" s="128">
        <f>VLOOKUP($E1135,[2]Current!$A:$AC,13,FALSE)</f>
        <v>0</v>
      </c>
      <c r="BW1135" s="128">
        <f>BV1135/$AS1135</f>
        <v>0</v>
      </c>
      <c r="BX1135" s="130">
        <f>IF(BY1135&gt;0,1,0)</f>
        <v>0</v>
      </c>
      <c r="BY1135" s="128">
        <f>VLOOKUP($E1135,[2]Current!$A:$AC,14,FALSE)</f>
        <v>0</v>
      </c>
      <c r="BZ1135" s="128">
        <f>BY1135/$AS1135</f>
        <v>0</v>
      </c>
      <c r="CA1135" s="130">
        <f>IF(CB1135&gt;0,1,0)</f>
        <v>0</v>
      </c>
      <c r="CB1135" s="128">
        <f>VLOOKUP($E1135,[2]Current!$A:$AC,15,FALSE)</f>
        <v>0</v>
      </c>
      <c r="CC1135" s="128">
        <f>CB1135/$AS1135</f>
        <v>0</v>
      </c>
      <c r="CD1135" s="174">
        <f>IF(CE1135&gt;0,1,0)</f>
        <v>0</v>
      </c>
      <c r="CE1135" s="128">
        <f>VLOOKUP($E1135,[2]Current!$A:$AC,16,FALSE)</f>
        <v>0</v>
      </c>
      <c r="CF1135" s="128">
        <f>CE1135/$AS1135</f>
        <v>0</v>
      </c>
      <c r="CG1135" s="18"/>
      <c r="CH1135" s="18"/>
      <c r="CI1135" s="18"/>
      <c r="CJ1135" s="130">
        <f>IF(CK1135&gt;0,1,0)</f>
        <v>0</v>
      </c>
      <c r="CK1135" s="128">
        <f>VLOOKUP($E1135,[2]Current!$A:$AC,18,FALSE)</f>
        <v>0</v>
      </c>
      <c r="CL1135" s="128">
        <f>CK1135/$AS1135</f>
        <v>0</v>
      </c>
      <c r="CS1135" s="130">
        <f>IF(CU1135&gt;0,1,0)</f>
        <v>0</v>
      </c>
      <c r="CU1135" s="128">
        <f>VLOOKUP($E1135,[2]Current!$A:$AC,17,FALSE)</f>
        <v>0</v>
      </c>
      <c r="CV1135" s="128">
        <f>CU1135/$AS1135</f>
        <v>0</v>
      </c>
      <c r="CW1135" s="18"/>
      <c r="CX1135" s="18"/>
      <c r="CY1135" s="18"/>
      <c r="DF1135" s="16" t="e">
        <f>VLOOKUP(K1135,'[3]RNA Seq summary tables'!$V$3:$V$99,1,FALSE)</f>
        <v>#N/A</v>
      </c>
    </row>
    <row r="1136" spans="1:288" x14ac:dyDescent="0.2">
      <c r="B1136" s="16">
        <v>2017</v>
      </c>
      <c r="C1136" s="20">
        <v>42956</v>
      </c>
      <c r="D1136" s="20" t="str">
        <f>CONCATENATE(J1136,"-",C1136)</f>
        <v>1258-42956</v>
      </c>
      <c r="E1136" s="142" t="str">
        <f>CONCATENATE(T1136,"-",U1136,"-",C1136)</f>
        <v>BC1-F1-42956</v>
      </c>
      <c r="F1136" s="20" t="s">
        <v>106</v>
      </c>
      <c r="G1136" s="20" t="s">
        <v>107</v>
      </c>
      <c r="J1136" s="21">
        <v>1258</v>
      </c>
      <c r="K1136" s="21">
        <v>2104</v>
      </c>
      <c r="L1136" s="18">
        <v>0</v>
      </c>
      <c r="M1136" s="21">
        <f>VLOOKUP($K1136,'[4]blood tubes 2017'!$D$1:$L$647,8,FALSE)</f>
        <v>0</v>
      </c>
      <c r="N1136" s="15">
        <v>0</v>
      </c>
      <c r="O1136" s="15" t="s">
        <v>214</v>
      </c>
      <c r="P1136" s="16" t="s">
        <v>110</v>
      </c>
      <c r="Q1136" s="16">
        <v>1</v>
      </c>
      <c r="R1136" s="16">
        <v>20</v>
      </c>
      <c r="T1136" s="16" t="s">
        <v>159</v>
      </c>
      <c r="U1136" s="16" t="s">
        <v>217</v>
      </c>
      <c r="V1136" s="16" t="s">
        <v>114</v>
      </c>
      <c r="W1136" s="16">
        <f>AI1136/AG1136</f>
        <v>0.8539325842696629</v>
      </c>
      <c r="X1136" s="16" t="s">
        <v>115</v>
      </c>
      <c r="Y1136" s="16" t="s">
        <v>110</v>
      </c>
      <c r="Z1136" s="16">
        <v>3</v>
      </c>
      <c r="AE1136" s="16" t="s">
        <v>116</v>
      </c>
      <c r="AF1136" s="16" t="s">
        <v>116</v>
      </c>
      <c r="AG1136" s="16">
        <f>AH1136-AI1136</f>
        <v>89</v>
      </c>
      <c r="AH1136" s="16">
        <v>165</v>
      </c>
      <c r="AI1136" s="16">
        <v>76</v>
      </c>
      <c r="AK1136" s="16">
        <v>23.5</v>
      </c>
      <c r="AL1136" s="16">
        <v>0</v>
      </c>
      <c r="AM1136" s="16">
        <v>0</v>
      </c>
      <c r="AN1136" s="16">
        <v>0</v>
      </c>
      <c r="AO1136" s="16">
        <v>0</v>
      </c>
      <c r="AP1136" s="16">
        <f>SUM(AL1136:AN1136)</f>
        <v>0</v>
      </c>
      <c r="AQ1136" s="16">
        <v>2.274</v>
      </c>
      <c r="AR1136" s="16">
        <f>AP1136-1.472</f>
        <v>-1.472</v>
      </c>
      <c r="AS1136" s="16">
        <f>AQ1136-1.472</f>
        <v>0.80200000000000005</v>
      </c>
      <c r="AT1136" s="16" t="e">
        <f>VLOOKUP(E1136,[2]Current!$A$1:$W$435,7,FALSE)</f>
        <v>#N/A</v>
      </c>
      <c r="AU1136" s="16">
        <v>0</v>
      </c>
      <c r="AW1136" s="18"/>
      <c r="AX1136" s="18"/>
      <c r="AY1136" s="18"/>
      <c r="AZ1136" s="18"/>
      <c r="BA1136" s="18"/>
      <c r="BB1136" s="18"/>
      <c r="BC1136" s="18"/>
      <c r="BD1136" s="18"/>
      <c r="BG1136" s="77"/>
      <c r="BT1136" s="77"/>
      <c r="CD1136" s="77"/>
      <c r="DF1136" s="16" t="e">
        <f>VLOOKUP(K1136,'[3]RNA Seq summary tables'!$V$3:$V$99,1,FALSE)</f>
        <v>#N/A</v>
      </c>
    </row>
    <row r="1137" spans="1:288" ht="16" x14ac:dyDescent="0.2">
      <c r="B1137" s="16">
        <v>2017</v>
      </c>
      <c r="C1137" s="20">
        <v>42937</v>
      </c>
      <c r="D1137" s="20" t="str">
        <f>CONCATENATE(J1137,"-",C1137)</f>
        <v>1260-42937</v>
      </c>
      <c r="E1137" s="37" t="str">
        <f>CONCATENATE(T1137,"-",U1137,"-",C1137)</f>
        <v>BC2-H6-42937</v>
      </c>
      <c r="F1137" s="20" t="s">
        <v>106</v>
      </c>
      <c r="G1137" s="20" t="s">
        <v>107</v>
      </c>
      <c r="I1137" s="16">
        <v>0</v>
      </c>
      <c r="J1137" s="21">
        <v>1260</v>
      </c>
      <c r="K1137" s="21">
        <v>1944</v>
      </c>
      <c r="L1137" s="18">
        <v>0</v>
      </c>
      <c r="M1137" s="21">
        <f>VLOOKUP($K1137,'[4]blood tubes 2017'!$D$1:$L$647,8,FALSE)</f>
        <v>0</v>
      </c>
      <c r="N1137" s="15">
        <v>0</v>
      </c>
      <c r="O1137" s="15" t="s">
        <v>214</v>
      </c>
      <c r="P1137" s="16" t="s">
        <v>110</v>
      </c>
      <c r="Q1137" s="16">
        <v>0</v>
      </c>
      <c r="R1137" s="16" t="s">
        <v>111</v>
      </c>
      <c r="T1137" s="16" t="s">
        <v>154</v>
      </c>
      <c r="U1137" s="16" t="s">
        <v>141</v>
      </c>
      <c r="V1137" s="16" t="s">
        <v>142</v>
      </c>
      <c r="W1137" s="16">
        <f>AI1137/AG1137</f>
        <v>0.97560975609756095</v>
      </c>
      <c r="X1137" s="16" t="s">
        <v>121</v>
      </c>
      <c r="Y1137" s="16" t="s">
        <v>110</v>
      </c>
      <c r="Z1137" s="16">
        <v>3</v>
      </c>
      <c r="AA1137" s="16" t="s">
        <v>161</v>
      </c>
      <c r="AB1137" s="16" t="s">
        <v>123</v>
      </c>
      <c r="AC1137" s="16" t="s">
        <v>123</v>
      </c>
      <c r="AD1137" s="16" t="s">
        <v>116</v>
      </c>
      <c r="AG1137" s="16">
        <f>AH1137-AI1137</f>
        <v>82</v>
      </c>
      <c r="AH1137" s="16">
        <v>162</v>
      </c>
      <c r="AI1137" s="16">
        <v>80</v>
      </c>
      <c r="AK1137" s="16">
        <v>13.5</v>
      </c>
      <c r="AL1137" s="16">
        <v>0</v>
      </c>
      <c r="AM1137" s="16">
        <v>0</v>
      </c>
      <c r="AN1137" s="16">
        <v>0</v>
      </c>
      <c r="AO1137" s="16">
        <v>0</v>
      </c>
      <c r="AP1137" s="16">
        <f>SUM(AL1137:AN1137)</f>
        <v>0</v>
      </c>
      <c r="AQ1137" s="16">
        <v>1.74</v>
      </c>
      <c r="AR1137" s="16">
        <f>AP1137-1.472</f>
        <v>-1.472</v>
      </c>
      <c r="AS1137" s="16">
        <f>AQ1137-1.472</f>
        <v>0.26800000000000002</v>
      </c>
      <c r="AT1137" s="16" t="str">
        <f>VLOOKUP(E1137,[2]Current!$A$1:$W$435,7,FALSE)</f>
        <v>TE</v>
      </c>
      <c r="AU1137" s="16" t="s">
        <v>1288</v>
      </c>
      <c r="AV1137" s="23">
        <v>1</v>
      </c>
      <c r="AW1137" s="128">
        <f>IF(AX1137&gt;0,1,0)</f>
        <v>0</v>
      </c>
      <c r="AX1137" s="128">
        <f>SUM(BA1137,BM1137,CU1137)</f>
        <v>0</v>
      </c>
      <c r="AY1137" s="128">
        <f>SUM(BB1137,BN1137,CV1137)</f>
        <v>0</v>
      </c>
      <c r="AZ1137" s="128">
        <f>IF(BA1137&gt;0,1,0)</f>
        <v>0</v>
      </c>
      <c r="BA1137" s="128">
        <f>SUM(BC1137+BF1137+BI1137)</f>
        <v>0</v>
      </c>
      <c r="BB1137" s="128">
        <f>SUM(BE1137,BH1137,BK1137)</f>
        <v>0</v>
      </c>
      <c r="BC1137" s="130">
        <f>IF(BD1137&gt;0,1,0)</f>
        <v>0</v>
      </c>
      <c r="BD1137" s="128">
        <f>VLOOKUP($E1137,[2]Current!$A:$AC,26,FALSE)</f>
        <v>0</v>
      </c>
      <c r="BE1137" s="128">
        <f>BD1137/$AS1137</f>
        <v>0</v>
      </c>
      <c r="BF1137" s="130">
        <f>IF(BG1137&gt;0,1,0)</f>
        <v>0</v>
      </c>
      <c r="BG1137" s="137">
        <f>VLOOKUP($E1137,[2]Current!$A:$AC,27,FALSE)</f>
        <v>0</v>
      </c>
      <c r="BH1137" s="128">
        <f>BG1137/$AS1137</f>
        <v>0</v>
      </c>
      <c r="BI1137" s="130">
        <f>IF(BJ1137&gt;0,1,0)</f>
        <v>0</v>
      </c>
      <c r="BJ1137" s="128">
        <f>VLOOKUP($E1137,[2]Current!$A:$AC,28,FALSE)</f>
        <v>0</v>
      </c>
      <c r="BK1137" s="128">
        <f>BJ1137/$AS1137</f>
        <v>0</v>
      </c>
      <c r="BL1137" s="128">
        <f>IF(BM1137&gt;0,1,0)</f>
        <v>0</v>
      </c>
      <c r="BM1137" s="128">
        <f>SUM(BR1137,BU1137,BX1137,CA1137,CD1137)</f>
        <v>0</v>
      </c>
      <c r="BN1137" s="131">
        <f>SUM(BT1137,BW1137,BZ1137,CC1137,CF1137)</f>
        <v>0</v>
      </c>
      <c r="BO1137" s="128">
        <f>IF(BP1137&gt;0,1,0)</f>
        <v>0</v>
      </c>
      <c r="BP1137" s="128">
        <f>BM1137+CJ1137</f>
        <v>0</v>
      </c>
      <c r="BQ1137" s="128">
        <f>BN1137+CL1137</f>
        <v>0</v>
      </c>
      <c r="BR1137" s="130">
        <f>IF(BS1137&gt;0,1,0)</f>
        <v>0</v>
      </c>
      <c r="BS1137" s="128">
        <f>VLOOKUP($E1137,[2]Current!$A:$AC,12,FALSE)</f>
        <v>0</v>
      </c>
      <c r="BT1137" s="137">
        <f>BS1137/$AS1137</f>
        <v>0</v>
      </c>
      <c r="BU1137" s="130">
        <f>IF(BV1137&gt;0,1,0)</f>
        <v>0</v>
      </c>
      <c r="BV1137" s="128">
        <f>VLOOKUP($E1137,[2]Current!$A:$AC,13,FALSE)</f>
        <v>0</v>
      </c>
      <c r="BW1137" s="128">
        <f>BV1137/$AS1137</f>
        <v>0</v>
      </c>
      <c r="BX1137" s="130">
        <f>IF(BY1137&gt;0,1,0)</f>
        <v>0</v>
      </c>
      <c r="BY1137" s="128">
        <f>VLOOKUP($E1137,[2]Current!$A:$AC,14,FALSE)</f>
        <v>0</v>
      </c>
      <c r="BZ1137" s="128">
        <f>BY1137/$AS1137</f>
        <v>0</v>
      </c>
      <c r="CA1137" s="130">
        <f>IF(CB1137&gt;0,1,0)</f>
        <v>0</v>
      </c>
      <c r="CB1137" s="128">
        <f>VLOOKUP($E1137,[2]Current!$A:$AC,15,FALSE)</f>
        <v>0</v>
      </c>
      <c r="CC1137" s="128">
        <f>CB1137/$AS1137</f>
        <v>0</v>
      </c>
      <c r="CD1137" s="174">
        <f>IF(CE1137&gt;0,1,0)</f>
        <v>0</v>
      </c>
      <c r="CE1137" s="128">
        <f>VLOOKUP($E1137,[2]Current!$A:$AC,16,FALSE)</f>
        <v>0</v>
      </c>
      <c r="CF1137" s="128">
        <f>CE1137/$AS1137</f>
        <v>0</v>
      </c>
      <c r="CG1137" s="18"/>
      <c r="CH1137" s="18"/>
      <c r="CI1137" s="18"/>
      <c r="CJ1137" s="130">
        <f>IF(CK1137&gt;0,1,0)</f>
        <v>0</v>
      </c>
      <c r="CK1137" s="128">
        <f>VLOOKUP($E1137,[2]Current!$A:$AC,18,FALSE)</f>
        <v>0</v>
      </c>
      <c r="CL1137" s="128">
        <f>CK1137/$AS1137</f>
        <v>0</v>
      </c>
      <c r="CS1137" s="130">
        <f>IF(CU1137&gt;0,1,0)</f>
        <v>0</v>
      </c>
      <c r="CU1137" s="128">
        <f>VLOOKUP($E1137,[2]Current!$A:$AC,17,FALSE)</f>
        <v>0</v>
      </c>
      <c r="CV1137" s="128">
        <f>CU1137/$AS1137</f>
        <v>0</v>
      </c>
      <c r="CW1137" s="18"/>
      <c r="CX1137" s="18"/>
      <c r="CY1137" s="18"/>
      <c r="DF1137" s="16" t="e">
        <f>VLOOKUP(K1137,'[3]RNA Seq summary tables'!$V$3:$V$99,1,FALSE)</f>
        <v>#N/A</v>
      </c>
    </row>
    <row r="1138" spans="1:288" ht="16" x14ac:dyDescent="0.2">
      <c r="B1138" s="16">
        <v>2017</v>
      </c>
      <c r="C1138" s="20">
        <v>42937</v>
      </c>
      <c r="D1138" s="20" t="str">
        <f>CONCATENATE(J1138,"-",C1138)</f>
        <v>1262-42937</v>
      </c>
      <c r="E1138" s="37" t="str">
        <f>CONCATENATE(T1138,"-",U1138,"-",C1138)</f>
        <v>BC1-F1-42937</v>
      </c>
      <c r="F1138" s="20" t="s">
        <v>106</v>
      </c>
      <c r="G1138" s="20" t="s">
        <v>107</v>
      </c>
      <c r="I1138" s="16">
        <v>0</v>
      </c>
      <c r="J1138" s="21">
        <v>1262</v>
      </c>
      <c r="K1138" s="21">
        <v>1948</v>
      </c>
      <c r="L1138" s="18">
        <v>0</v>
      </c>
      <c r="M1138" s="21">
        <f>VLOOKUP($K1138,'[4]blood tubes 2017'!$D$1:$L$647,8,FALSE)</f>
        <v>0</v>
      </c>
      <c r="N1138" s="15">
        <v>0</v>
      </c>
      <c r="O1138" s="15" t="s">
        <v>214</v>
      </c>
      <c r="P1138" s="16" t="s">
        <v>110</v>
      </c>
      <c r="Q1138" s="16">
        <v>0</v>
      </c>
      <c r="R1138" s="16" t="s">
        <v>111</v>
      </c>
      <c r="T1138" s="16" t="s">
        <v>159</v>
      </c>
      <c r="U1138" s="16" t="s">
        <v>217</v>
      </c>
      <c r="V1138" s="16" t="s">
        <v>114</v>
      </c>
      <c r="W1138" s="16">
        <f>AI1138/AG1138</f>
        <v>0.85333333333333339</v>
      </c>
      <c r="X1138" s="16" t="s">
        <v>121</v>
      </c>
      <c r="Y1138" s="16" t="s">
        <v>145</v>
      </c>
      <c r="Z1138" s="16">
        <v>1</v>
      </c>
      <c r="AA1138" s="16" t="s">
        <v>119</v>
      </c>
      <c r="AB1138" s="16" t="s">
        <v>123</v>
      </c>
      <c r="AC1138" s="16" t="s">
        <v>123</v>
      </c>
      <c r="AD1138" s="16" t="s">
        <v>123</v>
      </c>
      <c r="AG1138" s="16">
        <f>AH1138-AI1138</f>
        <v>75</v>
      </c>
      <c r="AH1138" s="16">
        <v>139</v>
      </c>
      <c r="AI1138" s="16">
        <v>64</v>
      </c>
      <c r="AK1138" s="16">
        <v>13</v>
      </c>
      <c r="AL1138" s="16">
        <v>1</v>
      </c>
      <c r="AM1138" s="16">
        <v>0</v>
      </c>
      <c r="AN1138" s="16">
        <v>0</v>
      </c>
      <c r="AO1138" s="16">
        <v>1</v>
      </c>
      <c r="AP1138" s="16">
        <f>SUM(AL1138:AN1138)</f>
        <v>1</v>
      </c>
      <c r="AQ1138" s="16">
        <v>1.6539999999999999</v>
      </c>
      <c r="AR1138" s="16">
        <f>AP1138-1.472</f>
        <v>-0.47199999999999998</v>
      </c>
      <c r="AS1138" s="16">
        <f>AQ1138-1.472</f>
        <v>0.18199999999999994</v>
      </c>
      <c r="AT1138" s="16" t="str">
        <f>VLOOKUP(E1138,[2]Current!$A$1:$W$435,7,FALSE)</f>
        <v>JY</v>
      </c>
      <c r="AU1138" s="16" t="s">
        <v>1288</v>
      </c>
      <c r="AW1138" s="128">
        <f>IF(AX1138&gt;0,1,0)</f>
        <v>1</v>
      </c>
      <c r="AX1138" s="128">
        <f>SUM(BA1138,BM1138,CU1138)</f>
        <v>3</v>
      </c>
      <c r="AY1138" s="128">
        <f>SUM(BB1138,BN1138,CV1138)</f>
        <v>25010.989010989018</v>
      </c>
      <c r="AZ1138" s="128">
        <f>IF(BA1138&gt;0,1,0)</f>
        <v>1</v>
      </c>
      <c r="BA1138" s="128">
        <f>SUM(BC1138+BF1138+BI1138)</f>
        <v>3</v>
      </c>
      <c r="BB1138" s="128">
        <f>SUM(BE1138,BH1138,BK1138)</f>
        <v>25010.989010989018</v>
      </c>
      <c r="BC1138" s="130">
        <f>IF(BD1138&gt;0,1,0)</f>
        <v>1</v>
      </c>
      <c r="BD1138" s="128">
        <f>VLOOKUP($E1138,[2]Current!$A:$AC,26,FALSE)</f>
        <v>28</v>
      </c>
      <c r="BE1138" s="128">
        <f>BD1138/$AS1138</f>
        <v>153.8461538461539</v>
      </c>
      <c r="BF1138" s="130">
        <f>IF(BG1138&gt;0,1,0)</f>
        <v>1</v>
      </c>
      <c r="BG1138" s="137">
        <f>VLOOKUP($E1138,[2]Current!$A:$AC,27,FALSE)</f>
        <v>4520</v>
      </c>
      <c r="BH1138" s="128">
        <f>BG1138/$AS1138</f>
        <v>24835.164835164844</v>
      </c>
      <c r="BI1138" s="130">
        <f>IF(BJ1138&gt;0,1,0)</f>
        <v>1</v>
      </c>
      <c r="BJ1138" s="128">
        <f>VLOOKUP($E1138,[2]Current!$A:$AC,28,FALSE)</f>
        <v>4</v>
      </c>
      <c r="BK1138" s="128">
        <f>BJ1138/$AS1138</f>
        <v>21.978021978021985</v>
      </c>
      <c r="BL1138" s="128">
        <f>IF(BM1138&gt;0,1,0)</f>
        <v>0</v>
      </c>
      <c r="BM1138" s="128">
        <f>SUM(BR1138,BU1138,BX1138,CA1138,CD1138)</f>
        <v>0</v>
      </c>
      <c r="BN1138" s="131">
        <f>SUM(BT1138,BW1138,BZ1138,CC1138,CF1138)</f>
        <v>0</v>
      </c>
      <c r="BO1138" s="128">
        <f>IF(BP1138&gt;0,1,0)</f>
        <v>0</v>
      </c>
      <c r="BP1138" s="128">
        <f>BM1138+CJ1138</f>
        <v>0</v>
      </c>
      <c r="BQ1138" s="128">
        <f>BN1138+CL1138</f>
        <v>0</v>
      </c>
      <c r="BR1138" s="130">
        <f>IF(BS1138&gt;0,1,0)</f>
        <v>0</v>
      </c>
      <c r="BS1138" s="128">
        <f>VLOOKUP($E1138,[2]Current!$A:$AC,12,FALSE)</f>
        <v>0</v>
      </c>
      <c r="BT1138" s="137">
        <f>BS1138/$AS1138</f>
        <v>0</v>
      </c>
      <c r="BU1138" s="130">
        <f>IF(BV1138&gt;0,1,0)</f>
        <v>0</v>
      </c>
      <c r="BV1138" s="128">
        <f>VLOOKUP($E1138,[2]Current!$A:$AC,13,FALSE)</f>
        <v>0</v>
      </c>
      <c r="BW1138" s="128">
        <f>BV1138/$AS1138</f>
        <v>0</v>
      </c>
      <c r="BX1138" s="130">
        <f>IF(BY1138&gt;0,1,0)</f>
        <v>0</v>
      </c>
      <c r="BY1138" s="128">
        <f>VLOOKUP($E1138,[2]Current!$A:$AC,14,FALSE)</f>
        <v>0</v>
      </c>
      <c r="BZ1138" s="128">
        <f>BY1138/$AS1138</f>
        <v>0</v>
      </c>
      <c r="CA1138" s="130">
        <f>IF(CB1138&gt;0,1,0)</f>
        <v>0</v>
      </c>
      <c r="CB1138" s="128">
        <f>VLOOKUP($E1138,[2]Current!$A:$AC,15,FALSE)</f>
        <v>0</v>
      </c>
      <c r="CC1138" s="128">
        <f>CB1138/$AS1138</f>
        <v>0</v>
      </c>
      <c r="CD1138" s="174">
        <f>IF(CE1138&gt;0,1,0)</f>
        <v>0</v>
      </c>
      <c r="CE1138" s="128">
        <f>VLOOKUP($E1138,[2]Current!$A:$AC,16,FALSE)</f>
        <v>0</v>
      </c>
      <c r="CF1138" s="128">
        <f>CE1138/$AS1138</f>
        <v>0</v>
      </c>
      <c r="CG1138" s="18"/>
      <c r="CH1138" s="18"/>
      <c r="CI1138" s="18"/>
      <c r="CJ1138" s="130">
        <f>IF(CK1138&gt;0,1,0)</f>
        <v>0</v>
      </c>
      <c r="CK1138" s="128">
        <f>VLOOKUP($E1138,[2]Current!$A:$AC,18,FALSE)</f>
        <v>0</v>
      </c>
      <c r="CL1138" s="128">
        <f>CK1138/$AS1138</f>
        <v>0</v>
      </c>
      <c r="CS1138" s="130">
        <f>IF(CU1138&gt;0,1,0)</f>
        <v>0</v>
      </c>
      <c r="CU1138" s="128">
        <f>VLOOKUP($E1138,[2]Current!$A:$AC,17,FALSE)</f>
        <v>0</v>
      </c>
      <c r="CV1138" s="128">
        <f>CU1138/$AS1138</f>
        <v>0</v>
      </c>
      <c r="CW1138" s="18"/>
      <c r="CX1138" s="18"/>
      <c r="CY1138" s="18"/>
      <c r="DF1138" s="16" t="e">
        <f>VLOOKUP(K1138,'[3]RNA Seq summary tables'!$V$3:$V$99,1,FALSE)</f>
        <v>#N/A</v>
      </c>
    </row>
    <row r="1139" spans="1:288" s="27" customFormat="1" x14ac:dyDescent="0.2">
      <c r="A1139" s="18"/>
      <c r="B1139" s="16">
        <v>2017</v>
      </c>
      <c r="C1139" s="20">
        <v>42954</v>
      </c>
      <c r="D1139" s="20" t="str">
        <f>CONCATENATE(J1139,"-",C1139)</f>
        <v>1262-42954</v>
      </c>
      <c r="E1139" s="142" t="str">
        <f>CONCATENATE(T1139,"-",U1139,"-",C1139)</f>
        <v>BC1-F5-42954</v>
      </c>
      <c r="F1139" s="20" t="s">
        <v>106</v>
      </c>
      <c r="G1139" s="20" t="s">
        <v>107</v>
      </c>
      <c r="H1139" s="16"/>
      <c r="I1139" s="16"/>
      <c r="J1139" s="21">
        <v>1262</v>
      </c>
      <c r="K1139" s="21">
        <v>2089</v>
      </c>
      <c r="L1139" s="18">
        <v>0</v>
      </c>
      <c r="M1139" s="21">
        <f>VLOOKUP($K1139,'[4]blood tubes 2017'!$D$1:$L$647,8,FALSE)</f>
        <v>0</v>
      </c>
      <c r="N1139" s="15">
        <v>0</v>
      </c>
      <c r="O1139" s="15" t="s">
        <v>214</v>
      </c>
      <c r="P1139" s="16" t="s">
        <v>110</v>
      </c>
      <c r="Q1139" s="16">
        <v>1</v>
      </c>
      <c r="R1139" s="16">
        <v>17</v>
      </c>
      <c r="S1139" s="16"/>
      <c r="T1139" s="16" t="s">
        <v>159</v>
      </c>
      <c r="U1139" s="16" t="s">
        <v>185</v>
      </c>
      <c r="V1139" s="16" t="s">
        <v>114</v>
      </c>
      <c r="W1139" s="16">
        <f>AI1139/AG1139</f>
        <v>0.84705882352941175</v>
      </c>
      <c r="X1139" s="16" t="s">
        <v>121</v>
      </c>
      <c r="Y1139" s="16" t="s">
        <v>122</v>
      </c>
      <c r="Z1139" s="16">
        <v>2.6</v>
      </c>
      <c r="AA1139" s="16" t="s">
        <v>119</v>
      </c>
      <c r="AB1139" s="16" t="s">
        <v>123</v>
      </c>
      <c r="AC1139" s="16" t="s">
        <v>123</v>
      </c>
      <c r="AD1139" s="16" t="s">
        <v>123</v>
      </c>
      <c r="AE1139" s="16"/>
      <c r="AF1139" s="16"/>
      <c r="AG1139" s="16">
        <f>AH1139-AI1139</f>
        <v>85</v>
      </c>
      <c r="AH1139" s="16">
        <v>157</v>
      </c>
      <c r="AI1139" s="16">
        <v>72</v>
      </c>
      <c r="AJ1139" s="16"/>
      <c r="AK1139" s="16">
        <v>18</v>
      </c>
      <c r="AL1139" s="16">
        <v>0</v>
      </c>
      <c r="AM1139" s="16">
        <v>0</v>
      </c>
      <c r="AN1139" s="16">
        <v>0</v>
      </c>
      <c r="AO1139" s="16">
        <v>0</v>
      </c>
      <c r="AP1139" s="16">
        <f>SUM(AL1139:AN1139)</f>
        <v>0</v>
      </c>
      <c r="AQ1139" s="16">
        <v>1.881</v>
      </c>
      <c r="AR1139" s="16">
        <f>AP1139-1.472</f>
        <v>-1.472</v>
      </c>
      <c r="AS1139" s="16">
        <f>AQ1139-1.472</f>
        <v>0.40900000000000003</v>
      </c>
      <c r="AT1139" s="16" t="e">
        <f>VLOOKUP(E1139,[2]Current!$A$1:$W$435,7,FALSE)</f>
        <v>#N/A</v>
      </c>
      <c r="AU1139" s="16">
        <v>0</v>
      </c>
      <c r="AV1139" s="16"/>
      <c r="AW1139" s="18"/>
      <c r="AX1139" s="18"/>
      <c r="AY1139" s="18"/>
      <c r="AZ1139" s="18"/>
      <c r="BA1139" s="18"/>
      <c r="BB1139" s="18"/>
      <c r="BC1139" s="18"/>
      <c r="BD1139" s="18"/>
      <c r="BE1139" s="16"/>
      <c r="BF1139" s="16"/>
      <c r="BG1139" s="77"/>
      <c r="BH1139" s="16"/>
      <c r="BI1139" s="16"/>
      <c r="BJ1139" s="16"/>
      <c r="BK1139" s="16"/>
      <c r="BL1139" s="16"/>
      <c r="BM1139" s="16"/>
      <c r="BN1139" s="16"/>
      <c r="BO1139" s="16"/>
      <c r="BP1139" s="16"/>
      <c r="BQ1139" s="16"/>
      <c r="BR1139" s="16"/>
      <c r="BS1139" s="16"/>
      <c r="BT1139" s="77"/>
      <c r="BU1139" s="16"/>
      <c r="BV1139" s="16"/>
      <c r="BW1139" s="16"/>
      <c r="BX1139" s="16"/>
      <c r="BY1139" s="16"/>
      <c r="BZ1139" s="16"/>
      <c r="CA1139" s="16"/>
      <c r="CB1139" s="16"/>
      <c r="CC1139" s="16"/>
      <c r="CD1139" s="77"/>
      <c r="CE1139" s="16"/>
      <c r="CF1139" s="16"/>
      <c r="CG1139" s="16"/>
      <c r="CH1139" s="16"/>
      <c r="CI1139" s="16"/>
      <c r="CJ1139" s="16"/>
      <c r="CK1139" s="16"/>
      <c r="CL1139" s="16"/>
      <c r="CM1139" s="16"/>
      <c r="CN1139" s="16"/>
      <c r="CO1139" s="16"/>
      <c r="CP1139" s="16"/>
      <c r="CQ1139" s="16"/>
      <c r="CR1139" s="16"/>
      <c r="CS1139" s="16"/>
      <c r="CT1139" s="16"/>
      <c r="CU1139" s="16"/>
      <c r="CV1139" s="16"/>
      <c r="CW1139" s="16"/>
      <c r="CX1139" s="16"/>
      <c r="CY1139" s="16"/>
      <c r="CZ1139" s="16"/>
      <c r="DA1139" s="16"/>
      <c r="DB1139" s="16"/>
      <c r="DC1139" s="16"/>
      <c r="DD1139" s="16"/>
      <c r="DE1139" s="16"/>
      <c r="DF1139" s="16" t="e">
        <f>VLOOKUP(K1139,'[3]RNA Seq summary tables'!$V$3:$V$99,1,FALSE)</f>
        <v>#N/A</v>
      </c>
      <c r="DG1139" s="16"/>
      <c r="DH1139" s="16"/>
      <c r="DI1139" s="16"/>
      <c r="DJ1139" s="16"/>
      <c r="DK1139" s="16"/>
      <c r="DL1139" s="16"/>
      <c r="DM1139" s="16"/>
      <c r="DN1139" s="16"/>
      <c r="DO1139" s="16"/>
      <c r="DP1139" s="16"/>
      <c r="DQ1139" s="16"/>
      <c r="DR1139" s="16"/>
      <c r="DS1139" s="16"/>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18"/>
      <c r="EQ1139" s="18"/>
      <c r="ER1139" s="18"/>
      <c r="ES1139" s="18"/>
      <c r="ET1139" s="18"/>
      <c r="EU1139" s="18"/>
      <c r="EV1139" s="18"/>
      <c r="EW1139" s="18"/>
      <c r="EX1139" s="18"/>
      <c r="EY1139" s="18"/>
      <c r="EZ1139" s="18"/>
      <c r="FA1139" s="18"/>
      <c r="FB1139" s="18"/>
      <c r="FC1139" s="18"/>
      <c r="FD1139" s="18"/>
      <c r="FE1139" s="18"/>
      <c r="FF1139" s="18"/>
      <c r="FG1139" s="18"/>
      <c r="FH1139" s="18"/>
      <c r="FI1139" s="18"/>
      <c r="FJ1139" s="18"/>
      <c r="FK1139" s="18"/>
      <c r="FL1139" s="18"/>
      <c r="FM1139" s="18"/>
      <c r="FN1139" s="18"/>
      <c r="FO1139" s="18"/>
      <c r="FP1139" s="18"/>
      <c r="FQ1139" s="18"/>
      <c r="FR1139" s="18"/>
      <c r="FS1139" s="18"/>
      <c r="FT1139" s="18"/>
      <c r="FU1139" s="18"/>
      <c r="FV1139" s="18"/>
      <c r="FW1139" s="18"/>
      <c r="FX1139" s="18"/>
      <c r="FY1139" s="18"/>
      <c r="FZ1139" s="18"/>
      <c r="GA1139" s="18"/>
      <c r="GB1139" s="18"/>
      <c r="GC1139" s="18"/>
      <c r="GD1139" s="18"/>
      <c r="GE1139" s="18"/>
      <c r="GF1139" s="18"/>
      <c r="GG1139" s="18"/>
      <c r="GH1139" s="18"/>
      <c r="GI1139" s="18"/>
      <c r="GJ1139" s="18"/>
      <c r="GK1139" s="18"/>
      <c r="GL1139" s="18"/>
      <c r="GM1139" s="18"/>
      <c r="GN1139" s="18"/>
      <c r="GO1139" s="18"/>
      <c r="GP1139" s="18"/>
      <c r="GQ1139" s="18"/>
      <c r="GR1139" s="18"/>
      <c r="GS1139" s="18"/>
      <c r="GT1139" s="18"/>
      <c r="GU1139" s="18"/>
      <c r="GV1139" s="18"/>
      <c r="GW1139" s="18"/>
      <c r="GX1139" s="18"/>
      <c r="GY1139" s="18"/>
      <c r="GZ1139" s="18"/>
      <c r="HA1139" s="18"/>
      <c r="HB1139" s="18"/>
      <c r="HC1139" s="18"/>
      <c r="HD1139" s="18"/>
      <c r="HE1139" s="18"/>
      <c r="HF1139" s="18"/>
      <c r="HG1139" s="18"/>
      <c r="HH1139" s="18"/>
      <c r="HI1139" s="18"/>
      <c r="HJ1139" s="18"/>
      <c r="HK1139" s="18"/>
      <c r="HL1139" s="18"/>
      <c r="HM1139" s="18"/>
      <c r="HN1139" s="18"/>
      <c r="HO1139" s="18"/>
      <c r="HP1139" s="18"/>
      <c r="HQ1139" s="18"/>
      <c r="HR1139" s="18"/>
      <c r="HS1139" s="18"/>
      <c r="HT1139" s="18"/>
      <c r="HU1139" s="18"/>
      <c r="HV1139" s="18"/>
      <c r="HW1139" s="18"/>
      <c r="HX1139" s="18"/>
      <c r="HY1139" s="18"/>
      <c r="HZ1139" s="18"/>
      <c r="IA1139" s="18"/>
      <c r="IB1139" s="18"/>
      <c r="IC1139" s="18"/>
      <c r="ID1139" s="18"/>
      <c r="IE1139" s="18"/>
      <c r="IF1139" s="18"/>
      <c r="IG1139" s="18"/>
      <c r="IH1139" s="18"/>
      <c r="II1139" s="18"/>
      <c r="IJ1139" s="18"/>
      <c r="IK1139" s="18"/>
      <c r="IL1139" s="18"/>
      <c r="IM1139" s="18"/>
      <c r="IN1139" s="18"/>
      <c r="IO1139" s="18"/>
      <c r="IP1139" s="18"/>
      <c r="IQ1139" s="18"/>
      <c r="IR1139" s="18"/>
      <c r="IS1139" s="18"/>
      <c r="IT1139" s="18"/>
      <c r="IU1139" s="18"/>
      <c r="IV1139" s="18"/>
      <c r="IW1139" s="18"/>
      <c r="IX1139" s="18"/>
      <c r="IY1139" s="18"/>
      <c r="IZ1139" s="18"/>
      <c r="JA1139" s="18"/>
      <c r="JB1139" s="18"/>
      <c r="JC1139" s="18"/>
      <c r="JD1139" s="18"/>
      <c r="JE1139" s="18"/>
      <c r="JF1139" s="18"/>
      <c r="JG1139" s="18"/>
      <c r="JH1139" s="18"/>
      <c r="JI1139" s="18"/>
      <c r="JJ1139" s="18"/>
      <c r="JK1139" s="18"/>
      <c r="JL1139" s="18"/>
      <c r="JM1139" s="18"/>
      <c r="JN1139" s="18"/>
      <c r="JO1139" s="16"/>
      <c r="JP1139" s="16"/>
      <c r="JQ1139" s="16"/>
      <c r="JR1139" s="18"/>
      <c r="JS1139" s="18"/>
      <c r="JT1139" s="18"/>
      <c r="JU1139" s="18"/>
      <c r="JV1139" s="18"/>
      <c r="JW1139" s="18"/>
      <c r="JX1139" s="18"/>
      <c r="JY1139" s="18"/>
      <c r="JZ1139" s="18"/>
      <c r="KA1139" s="18"/>
      <c r="KB1139" s="18"/>
    </row>
    <row r="1140" spans="1:288" ht="16" x14ac:dyDescent="0.2">
      <c r="B1140" s="16">
        <v>2017</v>
      </c>
      <c r="C1140" s="20">
        <v>42938</v>
      </c>
      <c r="D1140" s="20" t="str">
        <f>CONCATENATE(J1140,"-",C1140)</f>
        <v>1264-42938</v>
      </c>
      <c r="E1140" s="37" t="str">
        <f>CONCATENATE(T1140,"-",U1140,"-",C1140)</f>
        <v>BC2-A8-42938</v>
      </c>
      <c r="F1140" s="20" t="s">
        <v>106</v>
      </c>
      <c r="G1140" s="20" t="s">
        <v>107</v>
      </c>
      <c r="J1140" s="21">
        <v>1264</v>
      </c>
      <c r="K1140" s="21">
        <v>1952</v>
      </c>
      <c r="L1140" s="18">
        <v>0</v>
      </c>
      <c r="M1140" s="21">
        <f>VLOOKUP($K1140,'[4]blood tubes 2017'!$D$1:$L$647,8,FALSE)</f>
        <v>0</v>
      </c>
      <c r="N1140" s="15">
        <v>0</v>
      </c>
      <c r="O1140" s="15" t="s">
        <v>214</v>
      </c>
      <c r="P1140" s="16" t="s">
        <v>110</v>
      </c>
      <c r="Q1140" s="16">
        <v>0</v>
      </c>
      <c r="R1140" s="16" t="s">
        <v>111</v>
      </c>
      <c r="T1140" s="16" t="s">
        <v>154</v>
      </c>
      <c r="U1140" s="16" t="s">
        <v>194</v>
      </c>
      <c r="V1140" s="16" t="s">
        <v>114</v>
      </c>
      <c r="W1140" s="16">
        <f>AI1140/AG1140</f>
        <v>0.89743589743589747</v>
      </c>
      <c r="X1140" s="16" t="s">
        <v>121</v>
      </c>
      <c r="Y1140" s="16" t="s">
        <v>122</v>
      </c>
      <c r="Z1140" s="16">
        <v>2.2999999999999998</v>
      </c>
      <c r="AA1140" s="16" t="s">
        <v>119</v>
      </c>
      <c r="AB1140" s="16" t="s">
        <v>123</v>
      </c>
      <c r="AC1140" s="16" t="s">
        <v>123</v>
      </c>
      <c r="AD1140" s="16" t="s">
        <v>123</v>
      </c>
      <c r="AG1140" s="16">
        <f>AH1140-AI1140</f>
        <v>78</v>
      </c>
      <c r="AH1140" s="16">
        <v>148</v>
      </c>
      <c r="AI1140" s="16">
        <v>70</v>
      </c>
      <c r="AK1140" s="16">
        <v>14.5</v>
      </c>
      <c r="AL1140" s="16">
        <v>0</v>
      </c>
      <c r="AM1140" s="16">
        <v>0</v>
      </c>
      <c r="AN1140" s="16">
        <v>0</v>
      </c>
      <c r="AO1140" s="16">
        <v>0</v>
      </c>
      <c r="AP1140" s="16">
        <f>SUM(AL1140:AN1140)</f>
        <v>0</v>
      </c>
      <c r="AQ1140" s="16">
        <v>1.74</v>
      </c>
      <c r="AR1140" s="16">
        <f>AP1140-1.472</f>
        <v>-1.472</v>
      </c>
      <c r="AS1140" s="16">
        <f>AQ1140-1.472</f>
        <v>0.26800000000000002</v>
      </c>
      <c r="AT1140" s="16" t="str">
        <f>VLOOKUP(E1140,[2]Current!$A$1:$W$435,7,FALSE)</f>
        <v>TE</v>
      </c>
      <c r="AU1140" s="16" t="s">
        <v>1288</v>
      </c>
      <c r="AV1140" s="23"/>
      <c r="AW1140" s="128">
        <f>IF(AX1140&gt;0,1,0)</f>
        <v>1</v>
      </c>
      <c r="AX1140" s="128">
        <f>SUM(BA1140,BM1140,CU1140)</f>
        <v>3</v>
      </c>
      <c r="AY1140" s="128">
        <f>SUM(BB1140,BN1140,CV1140)</f>
        <v>1589.5522388059701</v>
      </c>
      <c r="AZ1140" s="128">
        <f>IF(BA1140&gt;0,1,0)</f>
        <v>1</v>
      </c>
      <c r="BA1140" s="128">
        <f>SUM(BC1140+BF1140+BI1140)</f>
        <v>3</v>
      </c>
      <c r="BB1140" s="128">
        <f>SUM(BE1140,BH1140,BK1140)</f>
        <v>1589.5522388059701</v>
      </c>
      <c r="BC1140" s="130">
        <f>IF(BD1140&gt;0,1,0)</f>
        <v>1</v>
      </c>
      <c r="BD1140" s="128">
        <f>VLOOKUP($E1140,[2]Current!$A:$AC,26,FALSE)</f>
        <v>4</v>
      </c>
      <c r="BE1140" s="128">
        <f>BD1140/$AS1140</f>
        <v>14.925373134328357</v>
      </c>
      <c r="BF1140" s="130">
        <f>IF(BG1140&gt;0,1,0)</f>
        <v>1</v>
      </c>
      <c r="BG1140" s="137">
        <f>VLOOKUP($E1140,[2]Current!$A:$AC,27,FALSE)</f>
        <v>78</v>
      </c>
      <c r="BH1140" s="128">
        <f>BG1140/$AS1140</f>
        <v>291.04477611940297</v>
      </c>
      <c r="BI1140" s="130">
        <f>IF(BJ1140&gt;0,1,0)</f>
        <v>1</v>
      </c>
      <c r="BJ1140" s="128">
        <f>VLOOKUP($E1140,[2]Current!$A:$AC,28,FALSE)</f>
        <v>344</v>
      </c>
      <c r="BK1140" s="128">
        <f>BJ1140/$AS1140</f>
        <v>1283.5820895522388</v>
      </c>
      <c r="BL1140" s="128">
        <f>IF(BM1140&gt;0,1,0)</f>
        <v>0</v>
      </c>
      <c r="BM1140" s="128">
        <f>SUM(BR1140,BU1140,BX1140,CA1140,CD1140)</f>
        <v>0</v>
      </c>
      <c r="BN1140" s="131">
        <f>SUM(BT1140,BW1140,BZ1140,CC1140,CF1140)</f>
        <v>0</v>
      </c>
      <c r="BO1140" s="128">
        <f>IF(BP1140&gt;0,1,0)</f>
        <v>0</v>
      </c>
      <c r="BP1140" s="128">
        <f>BM1140+CJ1140</f>
        <v>0</v>
      </c>
      <c r="BQ1140" s="128">
        <f>BN1140+CL1140</f>
        <v>0</v>
      </c>
      <c r="BR1140" s="130">
        <f>IF(BS1140&gt;0,1,0)</f>
        <v>0</v>
      </c>
      <c r="BS1140" s="128">
        <f>VLOOKUP($E1140,[2]Current!$A:$AC,12,FALSE)</f>
        <v>0</v>
      </c>
      <c r="BT1140" s="137">
        <f>BS1140/$AS1140</f>
        <v>0</v>
      </c>
      <c r="BU1140" s="130">
        <f>IF(BV1140&gt;0,1,0)</f>
        <v>0</v>
      </c>
      <c r="BV1140" s="128">
        <f>VLOOKUP($E1140,[2]Current!$A:$AC,13,FALSE)</f>
        <v>0</v>
      </c>
      <c r="BW1140" s="128">
        <f>BV1140/$AS1140</f>
        <v>0</v>
      </c>
      <c r="BX1140" s="130">
        <f>IF(BY1140&gt;0,1,0)</f>
        <v>0</v>
      </c>
      <c r="BY1140" s="128">
        <f>VLOOKUP($E1140,[2]Current!$A:$AC,14,FALSE)</f>
        <v>0</v>
      </c>
      <c r="BZ1140" s="128">
        <f>BY1140/$AS1140</f>
        <v>0</v>
      </c>
      <c r="CA1140" s="130">
        <f>IF(CB1140&gt;0,1,0)</f>
        <v>0</v>
      </c>
      <c r="CB1140" s="128">
        <f>VLOOKUP($E1140,[2]Current!$A:$AC,15,FALSE)</f>
        <v>0</v>
      </c>
      <c r="CC1140" s="128">
        <f>CB1140/$AS1140</f>
        <v>0</v>
      </c>
      <c r="CD1140" s="174">
        <f>IF(CE1140&gt;0,1,0)</f>
        <v>0</v>
      </c>
      <c r="CE1140" s="128">
        <f>VLOOKUP($E1140,[2]Current!$A:$AC,16,FALSE)</f>
        <v>0</v>
      </c>
      <c r="CF1140" s="128">
        <f>CE1140/$AS1140</f>
        <v>0</v>
      </c>
      <c r="CG1140" s="18"/>
      <c r="CH1140" s="18"/>
      <c r="CI1140" s="18"/>
      <c r="CJ1140" s="130">
        <f>IF(CK1140&gt;0,1,0)</f>
        <v>0</v>
      </c>
      <c r="CK1140" s="128">
        <f>VLOOKUP($E1140,[2]Current!$A:$AC,18,FALSE)</f>
        <v>0</v>
      </c>
      <c r="CL1140" s="128">
        <f>CK1140/$AS1140</f>
        <v>0</v>
      </c>
      <c r="CS1140" s="130">
        <f>IF(CU1140&gt;0,1,0)</f>
        <v>0</v>
      </c>
      <c r="CU1140" s="128">
        <f>VLOOKUP($E1140,[2]Current!$A:$AC,17,FALSE)</f>
        <v>0</v>
      </c>
      <c r="CV1140" s="128">
        <f>CU1140/$AS1140</f>
        <v>0</v>
      </c>
      <c r="CW1140" s="18"/>
      <c r="CX1140" s="18"/>
      <c r="CY1140" s="18"/>
      <c r="DF1140" s="16" t="e">
        <f>VLOOKUP(K1140,'[3]RNA Seq summary tables'!$V$3:$V$99,1,FALSE)</f>
        <v>#N/A</v>
      </c>
    </row>
    <row r="1141" spans="1:288" x14ac:dyDescent="0.2">
      <c r="B1141" s="16">
        <v>2017</v>
      </c>
      <c r="C1141" s="20">
        <v>42954</v>
      </c>
      <c r="D1141" s="20" t="str">
        <f>CONCATENATE(J1141,"-",C1141)</f>
        <v>1264-42954</v>
      </c>
      <c r="E1141" s="142" t="str">
        <f>CONCATENATE(T1141,"-",U1141,"-",C1141)</f>
        <v>BC1-H6-42954</v>
      </c>
      <c r="F1141" s="20" t="s">
        <v>106</v>
      </c>
      <c r="G1141" s="20" t="s">
        <v>107</v>
      </c>
      <c r="J1141" s="21">
        <v>1264</v>
      </c>
      <c r="K1141" s="21">
        <v>2093</v>
      </c>
      <c r="L1141" s="18">
        <v>0</v>
      </c>
      <c r="M1141" s="21">
        <f>VLOOKUP($K1141,'[4]blood tubes 2017'!$D$1:$L$647,8,FALSE)</f>
        <v>0</v>
      </c>
      <c r="N1141" s="15">
        <v>0</v>
      </c>
      <c r="O1141" s="15" t="s">
        <v>214</v>
      </c>
      <c r="P1141" s="16" t="s">
        <v>110</v>
      </c>
      <c r="Q1141" s="16">
        <v>1</v>
      </c>
      <c r="R1141" s="16">
        <v>16</v>
      </c>
      <c r="T1141" s="16" t="s">
        <v>159</v>
      </c>
      <c r="U1141" s="16" t="s">
        <v>141</v>
      </c>
      <c r="V1141" s="16" t="s">
        <v>114</v>
      </c>
      <c r="W1141" s="16">
        <f>AI1141/AG1141</f>
        <v>0.93902439024390238</v>
      </c>
      <c r="X1141" s="16" t="s">
        <v>121</v>
      </c>
      <c r="Y1141" s="16" t="s">
        <v>122</v>
      </c>
      <c r="Z1141" s="16">
        <v>2.6</v>
      </c>
      <c r="AA1141" s="16" t="s">
        <v>119</v>
      </c>
      <c r="AB1141" s="16" t="s">
        <v>123</v>
      </c>
      <c r="AC1141" s="16" t="s">
        <v>123</v>
      </c>
      <c r="AD1141" s="16" t="s">
        <v>123</v>
      </c>
      <c r="AG1141" s="16">
        <f>AH1141-AI1141</f>
        <v>82</v>
      </c>
      <c r="AH1141" s="16">
        <v>159</v>
      </c>
      <c r="AI1141" s="16">
        <v>77</v>
      </c>
      <c r="AK1141" s="16">
        <v>19</v>
      </c>
      <c r="AL1141" s="16">
        <v>0</v>
      </c>
      <c r="AM1141" s="16">
        <v>0</v>
      </c>
      <c r="AN1141" s="16">
        <v>0</v>
      </c>
      <c r="AO1141" s="16">
        <v>0</v>
      </c>
      <c r="AP1141" s="16">
        <f>SUM(AL1141:AN1141)</f>
        <v>0</v>
      </c>
      <c r="AQ1141" s="16">
        <v>2.1539999999999999</v>
      </c>
      <c r="AR1141" s="16">
        <f>AP1141-1.472</f>
        <v>-1.472</v>
      </c>
      <c r="AS1141" s="16">
        <f>AQ1141-1.472</f>
        <v>0.68199999999999994</v>
      </c>
      <c r="AT1141" s="16" t="e">
        <f>VLOOKUP(E1141,[2]Current!$A$1:$W$435,7,FALSE)</f>
        <v>#N/A</v>
      </c>
      <c r="AU1141" s="16">
        <v>0</v>
      </c>
      <c r="AW1141" s="18"/>
      <c r="AX1141" s="18"/>
      <c r="AY1141" s="18"/>
      <c r="AZ1141" s="18"/>
      <c r="BA1141" s="18"/>
      <c r="BB1141" s="18"/>
      <c r="BC1141" s="18"/>
      <c r="BD1141" s="18"/>
      <c r="BG1141" s="77"/>
      <c r="BT1141" s="77"/>
      <c r="CD1141" s="77"/>
      <c r="DF1141" s="16" t="e">
        <f>VLOOKUP(K1141,'[3]RNA Seq summary tables'!$V$3:$V$99,1,FALSE)</f>
        <v>#N/A</v>
      </c>
      <c r="JR1141" s="18"/>
      <c r="JS1141" s="18"/>
      <c r="JT1141" s="18"/>
      <c r="JU1141" s="18"/>
      <c r="JV1141" s="18"/>
      <c r="JW1141" s="18"/>
      <c r="JX1141" s="18"/>
      <c r="JY1141" s="18"/>
      <c r="JZ1141" s="18"/>
      <c r="KA1141" s="18"/>
      <c r="KB1141" s="18"/>
    </row>
    <row r="1142" spans="1:288" x14ac:dyDescent="0.2">
      <c r="B1142" s="16">
        <v>2017</v>
      </c>
      <c r="C1142" s="20">
        <v>42939</v>
      </c>
      <c r="D1142" s="20" t="str">
        <f>CONCATENATE(J1142,"-",C1142)</f>
        <v>1266-42939</v>
      </c>
      <c r="E1142" s="142" t="str">
        <f>CONCATENATE(T1142,"-",U1142,"-",C1142)</f>
        <v>SP1-D8-42939</v>
      </c>
      <c r="F1142" s="20" t="s">
        <v>106</v>
      </c>
      <c r="G1142" s="20" t="s">
        <v>107</v>
      </c>
      <c r="J1142" s="21">
        <v>1266</v>
      </c>
      <c r="K1142" s="21">
        <v>1956</v>
      </c>
      <c r="L1142" s="18">
        <v>0</v>
      </c>
      <c r="M1142" s="21">
        <f>VLOOKUP($K1142,'[4]blood tubes 2017'!$D$1:$L$647,8,FALSE)</f>
        <v>0</v>
      </c>
      <c r="N1142" s="15">
        <v>0</v>
      </c>
      <c r="O1142" s="15" t="s">
        <v>214</v>
      </c>
      <c r="P1142" s="16" t="s">
        <v>110</v>
      </c>
      <c r="Q1142" s="16">
        <v>0</v>
      </c>
      <c r="R1142" s="16" t="s">
        <v>111</v>
      </c>
      <c r="T1142" s="16" t="s">
        <v>140</v>
      </c>
      <c r="U1142" s="16" t="s">
        <v>178</v>
      </c>
      <c r="V1142" s="16" t="s">
        <v>114</v>
      </c>
      <c r="W1142" s="16">
        <f>AI1142/AG1142</f>
        <v>0.80952380952380953</v>
      </c>
      <c r="X1142" s="16" t="s">
        <v>115</v>
      </c>
      <c r="Y1142" s="16" t="s">
        <v>122</v>
      </c>
      <c r="Z1142" s="16">
        <v>2.6</v>
      </c>
      <c r="AE1142" s="16" t="s">
        <v>123</v>
      </c>
      <c r="AF1142" s="16" t="s">
        <v>123</v>
      </c>
      <c r="AG1142" s="16">
        <f>AH1142-AI1142</f>
        <v>84</v>
      </c>
      <c r="AH1142" s="16">
        <v>152</v>
      </c>
      <c r="AI1142" s="16">
        <v>68</v>
      </c>
      <c r="AK1142" s="16">
        <v>17</v>
      </c>
      <c r="AL1142" s="16">
        <v>0</v>
      </c>
      <c r="AM1142" s="16">
        <v>0</v>
      </c>
      <c r="AN1142" s="16">
        <v>0</v>
      </c>
      <c r="AO1142" s="16">
        <v>0</v>
      </c>
      <c r="AP1142" s="16">
        <f>SUM(AL1142:AN1142)</f>
        <v>0</v>
      </c>
      <c r="AQ1142" s="16">
        <v>1.788</v>
      </c>
      <c r="AR1142" s="16">
        <f>AP1142-1.472</f>
        <v>-1.472</v>
      </c>
      <c r="AS1142" s="16">
        <f>AQ1142-1.472</f>
        <v>0.31600000000000006</v>
      </c>
      <c r="AT1142" s="16" t="e">
        <f>VLOOKUP(E1142,[2]Current!$A$1:$W$435,7,FALSE)</f>
        <v>#N/A</v>
      </c>
      <c r="AU1142" s="16">
        <v>0</v>
      </c>
      <c r="AW1142" s="18"/>
      <c r="AX1142" s="18"/>
      <c r="AY1142" s="18"/>
      <c r="AZ1142" s="18"/>
      <c r="BA1142" s="18"/>
      <c r="BB1142" s="18"/>
      <c r="BC1142" s="18"/>
      <c r="BD1142" s="18"/>
      <c r="BG1142" s="77"/>
      <c r="BT1142" s="77"/>
      <c r="CD1142" s="77"/>
      <c r="DF1142" s="16" t="e">
        <f>VLOOKUP(K1142,'[3]RNA Seq summary tables'!$V$3:$V$99,1,FALSE)</f>
        <v>#N/A</v>
      </c>
    </row>
    <row r="1143" spans="1:288" x14ac:dyDescent="0.2">
      <c r="B1143" s="16">
        <v>2017</v>
      </c>
      <c r="C1143" s="20">
        <v>42939</v>
      </c>
      <c r="D1143" s="20" t="str">
        <f>CONCATENATE(J1143,"-",C1143)</f>
        <v>1268-42939</v>
      </c>
      <c r="E1143" s="20" t="str">
        <f>CONCATENATE(T1143,"-",U1143,"-",C1143)</f>
        <v>SP1-H2-42939</v>
      </c>
      <c r="F1143" s="20" t="s">
        <v>106</v>
      </c>
      <c r="G1143" s="20" t="s">
        <v>107</v>
      </c>
      <c r="I1143" s="16">
        <v>0</v>
      </c>
      <c r="J1143" s="21">
        <v>1268</v>
      </c>
      <c r="K1143" s="21">
        <v>1962</v>
      </c>
      <c r="L1143" s="18">
        <v>0</v>
      </c>
      <c r="M1143" s="21">
        <f>VLOOKUP($K1143,'[4]blood tubes 2017'!$D$1:$L$647,8,FALSE)</f>
        <v>0</v>
      </c>
      <c r="N1143" s="15">
        <v>0</v>
      </c>
      <c r="O1143" s="15" t="s">
        <v>214</v>
      </c>
      <c r="P1143" s="16" t="s">
        <v>110</v>
      </c>
      <c r="Q1143" s="16">
        <v>0</v>
      </c>
      <c r="R1143" s="16" t="s">
        <v>111</v>
      </c>
      <c r="T1143" s="16" t="s">
        <v>140</v>
      </c>
      <c r="U1143" s="16" t="s">
        <v>190</v>
      </c>
      <c r="V1143" s="16" t="s">
        <v>114</v>
      </c>
      <c r="W1143" s="16">
        <f>AI1143/AG1143</f>
        <v>0.8125</v>
      </c>
      <c r="X1143" s="16" t="s">
        <v>115</v>
      </c>
      <c r="Y1143" s="16" t="s">
        <v>122</v>
      </c>
      <c r="Z1143" s="16">
        <v>2.2999999999999998</v>
      </c>
      <c r="AE1143" s="16" t="s">
        <v>123</v>
      </c>
      <c r="AF1143" s="16" t="s">
        <v>123</v>
      </c>
      <c r="AG1143" s="16">
        <f>AH1143-AI1143</f>
        <v>80</v>
      </c>
      <c r="AH1143" s="16">
        <v>145</v>
      </c>
      <c r="AI1143" s="16">
        <v>65</v>
      </c>
      <c r="AK1143" s="16">
        <v>17.5</v>
      </c>
      <c r="AL1143" s="16">
        <v>0</v>
      </c>
      <c r="AM1143" s="16">
        <v>0</v>
      </c>
      <c r="AN1143" s="16">
        <v>0</v>
      </c>
      <c r="AO1143" s="16">
        <v>0</v>
      </c>
      <c r="AP1143" s="16">
        <f>SUM(AL1143:AN1143)</f>
        <v>0</v>
      </c>
      <c r="AT1143" s="18" t="s">
        <v>252</v>
      </c>
      <c r="AU1143" s="18"/>
      <c r="AV1143" s="18"/>
      <c r="AW1143" s="18"/>
      <c r="AX1143" s="18"/>
      <c r="AY1143" s="18"/>
      <c r="AZ1143" s="18"/>
      <c r="BA1143" s="18"/>
      <c r="BB1143" s="18"/>
      <c r="BC1143" s="18"/>
      <c r="BD1143" s="18"/>
      <c r="BG1143" s="77"/>
      <c r="BT1143" s="77"/>
      <c r="CD1143" s="77"/>
      <c r="DF1143" s="16" t="e">
        <f>VLOOKUP(K1143,'[3]RNA Seq summary tables'!$V$3:$V$99,1,FALSE)</f>
        <v>#N/A</v>
      </c>
    </row>
    <row r="1144" spans="1:288" x14ac:dyDescent="0.2">
      <c r="B1144" s="16">
        <v>2017</v>
      </c>
      <c r="C1144" s="20">
        <v>42957</v>
      </c>
      <c r="D1144" s="20" t="str">
        <f>CONCATENATE(J1144,"-",C1144)</f>
        <v>1268-42957</v>
      </c>
      <c r="E1144" s="20" t="str">
        <f>CONCATENATE(T1144,"-",U1144,"-",C1144)</f>
        <v>SP1-H2-42957</v>
      </c>
      <c r="F1144" s="20" t="s">
        <v>106</v>
      </c>
      <c r="G1144" s="20" t="s">
        <v>107</v>
      </c>
      <c r="I1144" s="16">
        <v>0</v>
      </c>
      <c r="J1144" s="21">
        <v>1268</v>
      </c>
      <c r="K1144" s="21">
        <v>2111</v>
      </c>
      <c r="L1144" s="18">
        <v>0</v>
      </c>
      <c r="M1144" s="21">
        <f>VLOOKUP($K1144,'[4]blood tubes 2017'!$D$1:$L$647,8,FALSE)</f>
        <v>0</v>
      </c>
      <c r="N1144" s="15">
        <v>0</v>
      </c>
      <c r="O1144" s="15" t="s">
        <v>214</v>
      </c>
      <c r="P1144" s="16" t="s">
        <v>110</v>
      </c>
      <c r="Q1144" s="16">
        <v>1</v>
      </c>
      <c r="R1144" s="16">
        <v>18</v>
      </c>
      <c r="T1144" s="16" t="s">
        <v>140</v>
      </c>
      <c r="U1144" s="16" t="s">
        <v>190</v>
      </c>
      <c r="V1144" s="16" t="s">
        <v>114</v>
      </c>
      <c r="W1144" s="16">
        <f>AI1144/AG1144</f>
        <v>0.77777777777777779</v>
      </c>
      <c r="X1144" s="16" t="s">
        <v>115</v>
      </c>
      <c r="Y1144" s="16" t="s">
        <v>110</v>
      </c>
      <c r="Z1144" s="16">
        <v>3</v>
      </c>
      <c r="AE1144" s="16" t="s">
        <v>123</v>
      </c>
      <c r="AF1144" s="16" t="s">
        <v>123</v>
      </c>
      <c r="AG1144" s="16">
        <f>AH1144-AI1144</f>
        <v>90</v>
      </c>
      <c r="AH1144" s="16">
        <v>160</v>
      </c>
      <c r="AI1144" s="16">
        <v>70</v>
      </c>
      <c r="AK1144" s="16">
        <v>21</v>
      </c>
      <c r="AL1144" s="16">
        <v>0</v>
      </c>
      <c r="AM1144" s="16">
        <v>0</v>
      </c>
      <c r="AN1144" s="16">
        <v>0</v>
      </c>
      <c r="AO1144" s="16">
        <v>0</v>
      </c>
      <c r="AP1144" s="16">
        <f>SUM(AL1144:AN1144)</f>
        <v>0</v>
      </c>
      <c r="AQ1144" s="16">
        <v>1.6240000000000001</v>
      </c>
      <c r="AR1144" s="16">
        <f>AP1144-1.472</f>
        <v>-1.472</v>
      </c>
      <c r="AS1144" s="16">
        <f>AQ1144-1.472</f>
        <v>0.15200000000000014</v>
      </c>
      <c r="AT1144" s="16" t="str">
        <f>VLOOKUP(K1144,'[5]FECs - good data'!$C$1:$P$575,13,FALSE)</f>
        <v>JB</v>
      </c>
      <c r="AW1144" s="18">
        <f>IF(AX1144&gt;0,1,0)</f>
        <v>1</v>
      </c>
      <c r="AX1144" s="18">
        <f>SUM(BA1144,BM1144,CT1144)</f>
        <v>5</v>
      </c>
      <c r="AY1144" s="18">
        <f>SUM(BB1144,BN1144,CV1144)</f>
        <v>5861.8421052631529</v>
      </c>
      <c r="AZ1144" s="18">
        <f>IF(BA1144&gt;0,1,0)</f>
        <v>1</v>
      </c>
      <c r="BA1144" s="18">
        <f>SUM(BC1144,BF1144,BI1144)</f>
        <v>1</v>
      </c>
      <c r="BB1144" s="18">
        <f>SUM(BE1144,BH1144,BK1144)</f>
        <v>59.210526315789423</v>
      </c>
      <c r="BC1144" s="18">
        <f>IF(BD1144&gt;0,1,0)</f>
        <v>0</v>
      </c>
      <c r="BD1144" s="18">
        <f>VLOOKUP($K1144,'[5]FECs - good data'!$C$1:$Z$574,14,FALSE)</f>
        <v>0</v>
      </c>
      <c r="BE1144" s="16">
        <f>BD1144/AS1144</f>
        <v>0</v>
      </c>
      <c r="BF1144" s="16">
        <f>IF(BG1144&gt;0,1,0)</f>
        <v>1</v>
      </c>
      <c r="BG1144" s="77">
        <f>VLOOKUP($K1144,'[5]FECs - good data'!$C$1:$Z$574,15,FALSE)</f>
        <v>9</v>
      </c>
      <c r="BH1144" s="16">
        <f>BG1144/AS1144</f>
        <v>59.210526315789423</v>
      </c>
      <c r="BI1144" s="16">
        <f>IF(BJ1144&gt;0,1,0)</f>
        <v>0</v>
      </c>
      <c r="BJ1144" s="16">
        <f>VLOOKUP($K1144,'[5]FECs - good data'!$C$1:$Z$574,16,FALSE)</f>
        <v>0</v>
      </c>
      <c r="BK1144" s="16">
        <f>BJ1144/AS1144</f>
        <v>0</v>
      </c>
      <c r="BL1144" s="16">
        <f>IF(BM1144&gt;0,1,0)</f>
        <v>1</v>
      </c>
      <c r="BM1144" s="16">
        <f>SUM(BR1144,BU1144,BX1144,CA1144,CD1144,CG1144,CJ1144,CM1144,CP1144)</f>
        <v>1</v>
      </c>
      <c r="BN1144" s="16">
        <f>SUM(BW1144,BZ1144,CC1144,CF1144,CI1144,CL1144,CO1144,CR1144,BT1144)</f>
        <v>2736.8421052631556</v>
      </c>
      <c r="BO1144" s="16">
        <f>IF(BP1144&gt;0,1,0)</f>
        <v>0</v>
      </c>
      <c r="BP1144" s="16">
        <f>SUM(BU1144,BX1144,CA1144,CD1144,BR1144)</f>
        <v>0</v>
      </c>
      <c r="BQ1144" s="16">
        <f>SUM(BZ1144,CC1144,CF1144,BT1144,BW1144)</f>
        <v>0</v>
      </c>
      <c r="BR1144" s="16">
        <f>IF(BS1144&gt;0,1,0)</f>
        <v>0</v>
      </c>
      <c r="BS1144" s="16">
        <f>VLOOKUP($K1144,'[5]FECs - good data'!$C$1:$Z$574,17,FALSE)</f>
        <v>0</v>
      </c>
      <c r="BT1144" s="77">
        <f>BS1144/AS1144</f>
        <v>0</v>
      </c>
      <c r="BU1144" s="16">
        <f>IF(BV1144&gt;0,1,0)</f>
        <v>0</v>
      </c>
      <c r="BV1144" s="16">
        <f>VLOOKUP($K1144,'[5]FECs - good data'!$C$1:$Z$574,18,FALSE)</f>
        <v>0</v>
      </c>
      <c r="BW1144" s="16">
        <f>BV1144/AS1144</f>
        <v>0</v>
      </c>
      <c r="BX1144" s="16">
        <f>IF(BY1144&gt;0,1,0)</f>
        <v>0</v>
      </c>
      <c r="BY1144" s="16">
        <f>VLOOKUP($K1144,'[5]FECs - good data'!$C$1:$Z$574,19,FALSE)</f>
        <v>0</v>
      </c>
      <c r="BZ1144" s="16">
        <f>BY1144/AS1144</f>
        <v>0</v>
      </c>
      <c r="CA1144" s="16">
        <f>IF(CB1144&gt;0,1,0)</f>
        <v>0</v>
      </c>
      <c r="CB1144" s="16">
        <f>VLOOKUP($K1144,'[5]FECs - good data'!$C$1:$Z$574,20,FALSE)</f>
        <v>0</v>
      </c>
      <c r="CC1144" s="16">
        <f>CB1144/AS1144</f>
        <v>0</v>
      </c>
      <c r="CD1144" s="77">
        <f>IF(CE1144&gt;0,1,0)</f>
        <v>0</v>
      </c>
      <c r="CE1144" s="16">
        <f>VLOOKUP($K1144,'[5]FECs - good data'!$C$1:$Z$574,21,FALSE)</f>
        <v>0</v>
      </c>
      <c r="CF1144" s="16">
        <f>CE1144/AS1144</f>
        <v>0</v>
      </c>
      <c r="CG1144" s="16">
        <f>IF(CH1144&gt;0,1,0)</f>
        <v>1</v>
      </c>
      <c r="CH1144" s="16">
        <f>VLOOKUP($K1144,'[5]FECs - good data'!$C$1:$Z$574,22,FALSE)</f>
        <v>416</v>
      </c>
      <c r="CI1144" s="16">
        <f>CH1144/AS1144</f>
        <v>2736.8421052631556</v>
      </c>
      <c r="CJ1144" s="16">
        <f>IF(CK1144&gt;0,1,0)</f>
        <v>0</v>
      </c>
      <c r="CK1144" s="16">
        <f>VLOOKUP($K1144,'[5]FECs - good data'!$C$1:$Z$674,24,FALSE)</f>
        <v>0</v>
      </c>
      <c r="CL1144" s="16">
        <f>CK1144/AS1144</f>
        <v>0</v>
      </c>
      <c r="CS1144" s="16">
        <f>IF(CT1144&gt;0,1,0)</f>
        <v>1</v>
      </c>
      <c r="CT1144" s="16">
        <f>SUM(CW1144+CZ1144,DC1144)</f>
        <v>3</v>
      </c>
      <c r="CV1144" s="16">
        <f>SUM(CY1144,DB1144,DE1144)</f>
        <v>3065.7894736842081</v>
      </c>
      <c r="CW1144" s="16">
        <f>IF(CX1144&gt;0,1,0)</f>
        <v>1</v>
      </c>
      <c r="CX1144" s="16">
        <f>VLOOKUP($K1144,'[5]FECs - good data'!$C$1:$Z$574,22,FALSE)</f>
        <v>416</v>
      </c>
      <c r="CY1144" s="16">
        <f>CX1144/AS1144</f>
        <v>2736.8421052631556</v>
      </c>
      <c r="CZ1144" s="16">
        <f>IF(DA1144&gt;0,1,0)</f>
        <v>1</v>
      </c>
      <c r="DA1144" s="16">
        <f>VLOOKUP($K1144,'[5]FECs - good data'!$C$1:$Z$5982,23,FALSE)</f>
        <v>25</v>
      </c>
      <c r="DB1144" s="16">
        <f>DA1144/AS1144</f>
        <v>164.47368421052616</v>
      </c>
      <c r="DC1144" s="16">
        <f>IF(DD1144&gt;0,1,0)</f>
        <v>1</v>
      </c>
      <c r="DD1144" s="16">
        <f>VLOOKUP($K1144,'[5]FECs - good data'!$C$1:$Z$574,23,FALSE)</f>
        <v>25</v>
      </c>
      <c r="DE1144" s="16">
        <f>DD1144/AS1144</f>
        <v>164.47368421052616</v>
      </c>
      <c r="DF1144" s="16" t="e">
        <f>VLOOKUP(K1144,'[3]RNA Seq summary tables'!$V$3:$V$99,1,FALSE)</f>
        <v>#N/A</v>
      </c>
      <c r="DG1144" s="16">
        <v>1</v>
      </c>
      <c r="DH1144" s="16" t="str">
        <f>VLOOKUP(D1144,'[6]workflow 3.2018'!$A$1:$S$237,2,FALSE)</f>
        <v>2017MLBS_129</v>
      </c>
    </row>
    <row r="1145" spans="1:288" x14ac:dyDescent="0.2">
      <c r="B1145" s="16">
        <v>2017</v>
      </c>
      <c r="C1145" s="20">
        <v>42939</v>
      </c>
      <c r="D1145" s="20" t="str">
        <f>CONCATENATE(J1145,"-",C1145)</f>
        <v>1270-42939</v>
      </c>
      <c r="E1145" s="142" t="str">
        <f>CONCATENATE(T1145,"-",U1145,"-",C1145)</f>
        <v>SP1-H5-42939</v>
      </c>
      <c r="F1145" s="20" t="s">
        <v>106</v>
      </c>
      <c r="G1145" s="20" t="s">
        <v>107</v>
      </c>
      <c r="J1145" s="21">
        <v>1270</v>
      </c>
      <c r="K1145" s="21">
        <v>1964</v>
      </c>
      <c r="L1145" s="18">
        <v>0</v>
      </c>
      <c r="M1145" s="21">
        <f>VLOOKUP($K1145,'[4]blood tubes 2017'!$D$1:$L$647,8,FALSE)</f>
        <v>0</v>
      </c>
      <c r="N1145" s="15">
        <v>0</v>
      </c>
      <c r="O1145" s="15" t="s">
        <v>214</v>
      </c>
      <c r="P1145" s="16" t="s">
        <v>110</v>
      </c>
      <c r="Q1145" s="16">
        <v>0</v>
      </c>
      <c r="R1145" s="16" t="s">
        <v>111</v>
      </c>
      <c r="T1145" s="16" t="s">
        <v>140</v>
      </c>
      <c r="U1145" s="16" t="s">
        <v>180</v>
      </c>
      <c r="V1145" s="16" t="s">
        <v>114</v>
      </c>
      <c r="W1145" s="16">
        <f>AI1145/AG1145</f>
        <v>0.75294117647058822</v>
      </c>
      <c r="X1145" s="16" t="s">
        <v>115</v>
      </c>
      <c r="Y1145" s="16" t="s">
        <v>122</v>
      </c>
      <c r="Z1145" s="16">
        <v>2.2999999999999998</v>
      </c>
      <c r="AE1145" s="16" t="s">
        <v>123</v>
      </c>
      <c r="AF1145" s="16" t="s">
        <v>123</v>
      </c>
      <c r="AG1145" s="16">
        <f>AH1145-AI1145</f>
        <v>85</v>
      </c>
      <c r="AH1145" s="16">
        <v>149</v>
      </c>
      <c r="AI1145" s="16">
        <v>64</v>
      </c>
      <c r="AK1145" s="16">
        <v>16.5</v>
      </c>
      <c r="AL1145" s="16">
        <v>1</v>
      </c>
      <c r="AM1145" s="16">
        <v>0</v>
      </c>
      <c r="AN1145" s="16">
        <v>0</v>
      </c>
      <c r="AO1145" s="16">
        <v>1</v>
      </c>
      <c r="AP1145" s="16">
        <f>SUM(AL1145:AN1145)</f>
        <v>1</v>
      </c>
      <c r="AQ1145" s="16">
        <v>1.855</v>
      </c>
      <c r="AR1145" s="16">
        <f>AP1145-1.472</f>
        <v>-0.47199999999999998</v>
      </c>
      <c r="AS1145" s="16">
        <f>AQ1145-1.472</f>
        <v>0.38300000000000001</v>
      </c>
      <c r="AT1145" s="16" t="e">
        <f>VLOOKUP(E1145,[2]Current!$A$1:$W$435,7,FALSE)</f>
        <v>#N/A</v>
      </c>
      <c r="AU1145" s="16">
        <v>0</v>
      </c>
      <c r="AW1145" s="18"/>
      <c r="AX1145" s="18"/>
      <c r="AY1145" s="18"/>
      <c r="AZ1145" s="18"/>
      <c r="BA1145" s="18"/>
      <c r="BB1145" s="18"/>
      <c r="BC1145" s="18"/>
      <c r="BD1145" s="18"/>
      <c r="BG1145" s="77"/>
      <c r="BT1145" s="77"/>
      <c r="CD1145" s="77"/>
      <c r="DF1145" s="16" t="e">
        <f>VLOOKUP(K1145,'[3]RNA Seq summary tables'!$V$3:$V$99,1,FALSE)</f>
        <v>#N/A</v>
      </c>
    </row>
    <row r="1146" spans="1:288" x14ac:dyDescent="0.2">
      <c r="B1146" s="16">
        <v>2017</v>
      </c>
      <c r="C1146" s="20">
        <v>42957</v>
      </c>
      <c r="D1146" s="20" t="str">
        <f>CONCATENATE(J1146,"-",C1146)</f>
        <v>1270-42957</v>
      </c>
      <c r="E1146" s="20" t="str">
        <f>CONCATENATE(T1146,"-",U1146,"-",C1146)</f>
        <v>SP1-H6-42957</v>
      </c>
      <c r="F1146" s="20" t="s">
        <v>106</v>
      </c>
      <c r="G1146" s="20" t="s">
        <v>107</v>
      </c>
      <c r="I1146" s="16">
        <v>0</v>
      </c>
      <c r="J1146" s="21">
        <v>1270</v>
      </c>
      <c r="K1146" s="21">
        <v>2113</v>
      </c>
      <c r="L1146" s="18">
        <v>0</v>
      </c>
      <c r="M1146" s="21">
        <f>VLOOKUP($K1146,'[4]blood tubes 2017'!$D$1:$L$647,8,FALSE)</f>
        <v>0</v>
      </c>
      <c r="N1146" s="15">
        <v>0</v>
      </c>
      <c r="O1146" s="15" t="s">
        <v>214</v>
      </c>
      <c r="P1146" s="16" t="s">
        <v>110</v>
      </c>
      <c r="Q1146" s="16">
        <v>1</v>
      </c>
      <c r="R1146" s="16">
        <v>18</v>
      </c>
      <c r="T1146" s="16" t="s">
        <v>140</v>
      </c>
      <c r="U1146" s="16" t="s">
        <v>141</v>
      </c>
      <c r="V1146" s="16" t="s">
        <v>114</v>
      </c>
      <c r="W1146" s="16">
        <f>AI1146/AG1146</f>
        <v>0.77272727272727271</v>
      </c>
      <c r="X1146" s="16" t="s">
        <v>115</v>
      </c>
      <c r="Y1146" s="16" t="s">
        <v>110</v>
      </c>
      <c r="Z1146" s="16">
        <v>3</v>
      </c>
      <c r="AE1146" s="16" t="s">
        <v>116</v>
      </c>
      <c r="AF1146" s="16" t="s">
        <v>116</v>
      </c>
      <c r="AG1146" s="16">
        <f>AH1146-AI1146</f>
        <v>88</v>
      </c>
      <c r="AH1146" s="16">
        <v>156</v>
      </c>
      <c r="AI1146" s="16">
        <v>68</v>
      </c>
      <c r="AK1146" s="16">
        <v>18</v>
      </c>
      <c r="AL1146" s="16">
        <v>0</v>
      </c>
      <c r="AM1146" s="16">
        <v>0</v>
      </c>
      <c r="AN1146" s="16">
        <v>0</v>
      </c>
      <c r="AO1146" s="16">
        <v>0</v>
      </c>
      <c r="AP1146" s="16">
        <f>SUM(AL1146:AN1146)</f>
        <v>0</v>
      </c>
      <c r="AQ1146" s="16">
        <v>1.6639999999999999</v>
      </c>
      <c r="AR1146" s="16">
        <f>AP1146-1.472</f>
        <v>-1.472</v>
      </c>
      <c r="AS1146" s="16">
        <f>AQ1146-1.472</f>
        <v>0.19199999999999995</v>
      </c>
      <c r="AT1146" s="16" t="str">
        <f>VLOOKUP(K1146,'[5]FECs - good data'!$C$1:$P$575,13,FALSE)</f>
        <v>JB</v>
      </c>
      <c r="AW1146" s="18">
        <f>IF(AX1146&gt;0,1,0)</f>
        <v>1</v>
      </c>
      <c r="AX1146" s="18">
        <f>SUM(BA1146,BM1146,CT1146)</f>
        <v>2</v>
      </c>
      <c r="AY1146" s="18">
        <f>SUM(BB1146,BN1146,CV1146)</f>
        <v>13583.333333333338</v>
      </c>
      <c r="AZ1146" s="18">
        <f>IF(BA1146&gt;0,1,0)</f>
        <v>1</v>
      </c>
      <c r="BA1146" s="18">
        <f>SUM(BC1146,BF1146,BI1146)</f>
        <v>2</v>
      </c>
      <c r="BB1146" s="18">
        <f>SUM(BE1146,BH1146,BK1146)</f>
        <v>13583.333333333338</v>
      </c>
      <c r="BC1146" s="18">
        <f>IF(BD1146&gt;0,1,0)</f>
        <v>1</v>
      </c>
      <c r="BD1146" s="18">
        <f>VLOOKUP($K1146,'[5]FECs - good data'!$C$1:$Z$574,14,FALSE)</f>
        <v>61</v>
      </c>
      <c r="BE1146" s="16">
        <f>BD1146/AS1146</f>
        <v>317.70833333333343</v>
      </c>
      <c r="BF1146" s="16">
        <f>IF(BG1146&gt;0,1,0)</f>
        <v>1</v>
      </c>
      <c r="BG1146" s="77">
        <f>VLOOKUP($K1146,'[5]FECs - good data'!$C$1:$Z$574,15,FALSE)</f>
        <v>2547</v>
      </c>
      <c r="BH1146" s="16">
        <f>BG1146/AS1146</f>
        <v>13265.625000000004</v>
      </c>
      <c r="BI1146" s="16">
        <f>IF(BJ1146&gt;0,1,0)</f>
        <v>0</v>
      </c>
      <c r="BJ1146" s="16">
        <f>VLOOKUP($K1146,'[5]FECs - good data'!$C$1:$Z$574,16,FALSE)</f>
        <v>0</v>
      </c>
      <c r="BK1146" s="16">
        <f>BJ1146/AS1146</f>
        <v>0</v>
      </c>
      <c r="BL1146" s="16">
        <f>IF(BM1146&gt;0,1,0)</f>
        <v>0</v>
      </c>
      <c r="BM1146" s="16">
        <f>SUM(BR1146,BU1146,BX1146,CA1146,CD1146,CG1146,CJ1146,CM1146,CP1146)</f>
        <v>0</v>
      </c>
      <c r="BN1146" s="16">
        <f>SUM(BW1146,BZ1146,CC1146,CF1146,CI1146,CL1146,CO1146,CR1146,BT1146)</f>
        <v>0</v>
      </c>
      <c r="BO1146" s="16">
        <f>IF(BP1146&gt;0,1,0)</f>
        <v>0</v>
      </c>
      <c r="BP1146" s="16">
        <f>SUM(BU1146,BX1146,CA1146,CD1146,BR1146)</f>
        <v>0</v>
      </c>
      <c r="BQ1146" s="16">
        <f>SUM(BZ1146,CC1146,CF1146,BT1146,BW1146)</f>
        <v>0</v>
      </c>
      <c r="BR1146" s="16">
        <f>IF(BS1146&gt;0,1,0)</f>
        <v>0</v>
      </c>
      <c r="BS1146" s="16">
        <f>VLOOKUP($K1146,'[5]FECs - good data'!$C$1:$Z$574,17,FALSE)</f>
        <v>0</v>
      </c>
      <c r="BT1146" s="77">
        <f>BS1146/AS1146</f>
        <v>0</v>
      </c>
      <c r="BU1146" s="16">
        <f>IF(BV1146&gt;0,1,0)</f>
        <v>0</v>
      </c>
      <c r="BV1146" s="16">
        <f>VLOOKUP($K1146,'[5]FECs - good data'!$C$1:$Z$574,18,FALSE)</f>
        <v>0</v>
      </c>
      <c r="BW1146" s="16">
        <f>BV1146/AS1146</f>
        <v>0</v>
      </c>
      <c r="BX1146" s="16">
        <f>IF(BY1146&gt;0,1,0)</f>
        <v>0</v>
      </c>
      <c r="BY1146" s="16">
        <f>VLOOKUP($K1146,'[5]FECs - good data'!$C$1:$Z$574,19,FALSE)</f>
        <v>0</v>
      </c>
      <c r="BZ1146" s="16">
        <f>BY1146/AS1146</f>
        <v>0</v>
      </c>
      <c r="CA1146" s="16">
        <f>IF(CB1146&gt;0,1,0)</f>
        <v>0</v>
      </c>
      <c r="CB1146" s="16">
        <f>VLOOKUP($K1146,'[5]FECs - good data'!$C$1:$Z$574,20,FALSE)</f>
        <v>0</v>
      </c>
      <c r="CC1146" s="16">
        <f>CB1146/AS1146</f>
        <v>0</v>
      </c>
      <c r="CD1146" s="77">
        <f>IF(CE1146&gt;0,1,0)</f>
        <v>0</v>
      </c>
      <c r="CE1146" s="16">
        <f>VLOOKUP($K1146,'[5]FECs - good data'!$C$1:$Z$574,21,FALSE)</f>
        <v>0</v>
      </c>
      <c r="CF1146" s="16">
        <f>CE1146/AS1146</f>
        <v>0</v>
      </c>
      <c r="CG1146" s="16">
        <f>IF(CH1146&gt;0,1,0)</f>
        <v>0</v>
      </c>
      <c r="CH1146" s="16">
        <f>VLOOKUP($K1146,'[5]FECs - good data'!$C$1:$Z$574,22,FALSE)</f>
        <v>0</v>
      </c>
      <c r="CI1146" s="16">
        <f>CH1146/AS1146</f>
        <v>0</v>
      </c>
      <c r="CJ1146" s="16">
        <f>IF(CK1146&gt;0,1,0)</f>
        <v>0</v>
      </c>
      <c r="CK1146" s="16">
        <f>VLOOKUP($K1146,'[5]FECs - good data'!$C$1:$Z$674,24,FALSE)</f>
        <v>0</v>
      </c>
      <c r="CL1146" s="16">
        <f>CK1146/AS1146</f>
        <v>0</v>
      </c>
      <c r="CS1146" s="16">
        <f>IF(CT1146&gt;0,1,0)</f>
        <v>0</v>
      </c>
      <c r="CT1146" s="16">
        <f>SUM(CW1146+CZ1146,DC1146)</f>
        <v>0</v>
      </c>
      <c r="CV1146" s="16">
        <f>SUM(CY1146,DB1146,DE1146)</f>
        <v>0</v>
      </c>
      <c r="CW1146" s="16">
        <f>IF(CX1146&gt;0,1,0)</f>
        <v>0</v>
      </c>
      <c r="CX1146" s="16">
        <f>VLOOKUP($K1146,'[5]FECs - good data'!$C$1:$Z$574,22,FALSE)</f>
        <v>0</v>
      </c>
      <c r="CY1146" s="16">
        <f>CX1146/AS1146</f>
        <v>0</v>
      </c>
      <c r="CZ1146" s="16">
        <f>IF(DA1146&gt;0,1,0)</f>
        <v>0</v>
      </c>
      <c r="DA1146" s="16">
        <f>VLOOKUP($K1146,'[5]FECs - good data'!$C$1:$Z$5982,23,FALSE)</f>
        <v>0</v>
      </c>
      <c r="DB1146" s="16">
        <f>DA1146/AS1146</f>
        <v>0</v>
      </c>
      <c r="DC1146" s="16">
        <f>IF(DD1146&gt;0,1,0)</f>
        <v>0</v>
      </c>
      <c r="DD1146" s="16">
        <f>VLOOKUP($K1146,'[5]FECs - good data'!$C$1:$Z$574,23,FALSE)</f>
        <v>0</v>
      </c>
      <c r="DE1146" s="16">
        <f>DD1146/AS1146</f>
        <v>0</v>
      </c>
      <c r="DF1146" s="16" t="e">
        <f>VLOOKUP(K1146,'[3]RNA Seq summary tables'!$V$3:$V$99,1,FALSE)</f>
        <v>#N/A</v>
      </c>
    </row>
    <row r="1147" spans="1:288" x14ac:dyDescent="0.2">
      <c r="B1147" s="16">
        <v>2017</v>
      </c>
      <c r="C1147" s="43">
        <v>42939</v>
      </c>
      <c r="D1147" s="43" t="str">
        <f>CONCATENATE(J1147,"-",C1147)</f>
        <v>1272-42939</v>
      </c>
      <c r="E1147" s="20" t="str">
        <f>CONCATENATE(T1147,"-",U1147,"-",C1147)</f>
        <v>SP2-A1-42939</v>
      </c>
      <c r="F1147" s="20" t="s">
        <v>106</v>
      </c>
      <c r="G1147" s="43" t="s">
        <v>107</v>
      </c>
      <c r="H1147" s="23"/>
      <c r="I1147" s="16">
        <v>0</v>
      </c>
      <c r="J1147" s="15">
        <v>1272</v>
      </c>
      <c r="K1147" s="15">
        <v>1966</v>
      </c>
      <c r="L1147" s="16">
        <v>1</v>
      </c>
      <c r="M1147" s="21">
        <f>VLOOKUP($K1147,'[4]blood tubes 2017'!$D$1:$L$647,8,FALSE)</f>
        <v>0</v>
      </c>
      <c r="N1147" s="15">
        <v>0</v>
      </c>
      <c r="O1147" s="15" t="s">
        <v>214</v>
      </c>
      <c r="P1147" s="23" t="s">
        <v>110</v>
      </c>
      <c r="Q1147" s="16">
        <v>0</v>
      </c>
      <c r="R1147" s="23" t="s">
        <v>111</v>
      </c>
      <c r="S1147" s="23"/>
      <c r="T1147" s="23" t="s">
        <v>137</v>
      </c>
      <c r="U1147" s="23" t="s">
        <v>210</v>
      </c>
      <c r="V1147" s="23" t="s">
        <v>114</v>
      </c>
      <c r="W1147" s="16">
        <f>AI1147/AG1147</f>
        <v>0.8314606741573034</v>
      </c>
      <c r="X1147" s="23" t="s">
        <v>115</v>
      </c>
      <c r="Y1147" s="23" t="s">
        <v>110</v>
      </c>
      <c r="Z1147" s="23">
        <v>3</v>
      </c>
      <c r="AA1147" s="23"/>
      <c r="AB1147" s="23"/>
      <c r="AC1147" s="23"/>
      <c r="AD1147" s="23"/>
      <c r="AE1147" s="23" t="s">
        <v>116</v>
      </c>
      <c r="AF1147" s="23" t="s">
        <v>116</v>
      </c>
      <c r="AG1147" s="23">
        <f>AH1147-AI1147</f>
        <v>89</v>
      </c>
      <c r="AH1147" s="23">
        <v>163</v>
      </c>
      <c r="AI1147" s="23">
        <v>74</v>
      </c>
      <c r="AJ1147" s="23"/>
      <c r="AK1147" s="23">
        <v>18</v>
      </c>
      <c r="AL1147" s="23">
        <v>0</v>
      </c>
      <c r="AM1147" s="23">
        <v>0</v>
      </c>
      <c r="AN1147" s="23">
        <v>0</v>
      </c>
      <c r="AO1147" s="23">
        <v>0</v>
      </c>
      <c r="AP1147" s="23">
        <f>SUM(AL1147:AN1147)</f>
        <v>0</v>
      </c>
      <c r="AQ1147" s="23">
        <v>1.8859999999999999</v>
      </c>
      <c r="AR1147" s="23">
        <f>AP1147-1.472</f>
        <v>-1.472</v>
      </c>
      <c r="AS1147" s="23">
        <f>AQ1147-1.472</f>
        <v>0.41399999999999992</v>
      </c>
      <c r="AT1147" s="23" t="str">
        <f>VLOOKUP(K1147,'[5]FECs - good data'!$C$1:$P$575,13,FALSE)</f>
        <v>SB</v>
      </c>
      <c r="AU1147" s="23"/>
      <c r="AV1147" s="23"/>
      <c r="AW1147" s="25">
        <f>IF(AX1147&gt;0,1,0)</f>
        <v>1</v>
      </c>
      <c r="AX1147" s="25">
        <f>SUM(BA1147,BM1147,CT1147)</f>
        <v>4</v>
      </c>
      <c r="AY1147" s="25">
        <f>SUM(BB1147,BN1147,CV1147)</f>
        <v>16243.96135265701</v>
      </c>
      <c r="AZ1147" s="18">
        <f>IF(BA1147&gt;0,1,0)</f>
        <v>1</v>
      </c>
      <c r="BA1147" s="25">
        <f>SUM(BC1147,BF1147,BI1147)</f>
        <v>3</v>
      </c>
      <c r="BB1147" s="25">
        <f>SUM(BE1147,BH1147,BK1147)</f>
        <v>16219.806763285029</v>
      </c>
      <c r="BC1147" s="18">
        <f>IF(BD1147&gt;0,1,0)</f>
        <v>1</v>
      </c>
      <c r="BD1147" s="25">
        <f>VLOOKUP($K1147,'[5]FECs - good data'!$C$1:$Z$574,14,FALSE)</f>
        <v>1007</v>
      </c>
      <c r="BE1147" s="23">
        <f>BD1147/AS1147</f>
        <v>2432.3671497584546</v>
      </c>
      <c r="BF1147" s="16">
        <f>IF(BG1147&gt;0,1,0)</f>
        <v>1</v>
      </c>
      <c r="BG1147" s="77">
        <f>VLOOKUP($K1147,'[5]FECs - good data'!$C$1:$Z$574,15,FALSE)</f>
        <v>336</v>
      </c>
      <c r="BH1147" s="23">
        <f>BG1147/AS1147</f>
        <v>811.59420289855086</v>
      </c>
      <c r="BI1147" s="16">
        <f>IF(BJ1147&gt;0,1,0)</f>
        <v>1</v>
      </c>
      <c r="BJ1147" s="23">
        <f>VLOOKUP($K1147,'[5]FECs - good data'!$C$1:$Z$574,16,FALSE)</f>
        <v>5372</v>
      </c>
      <c r="BK1147" s="23">
        <f>BJ1147/AS1147</f>
        <v>12975.845410628022</v>
      </c>
      <c r="BL1147" s="16">
        <f>IF(BM1147&gt;0,1,0)</f>
        <v>1</v>
      </c>
      <c r="BM1147" s="16">
        <f>SUM(BR1147,BU1147,BX1147,CA1147,CD1147,CG1147,CJ1147,CM1147,CP1147)</f>
        <v>1</v>
      </c>
      <c r="BN1147" s="16">
        <f>SUM(BW1147,BZ1147,CC1147,CF1147,CI1147,CL1147,CO1147,CR1147,BT1147)</f>
        <v>24.154589371980681</v>
      </c>
      <c r="BO1147" s="16">
        <f>IF(BP1147&gt;0,1,0)</f>
        <v>1</v>
      </c>
      <c r="BP1147" s="16">
        <f>SUM(BU1147,BX1147,CA1147,CD1147,BR1147)</f>
        <v>1</v>
      </c>
      <c r="BQ1147" s="16">
        <f>SUM(BZ1147,CC1147,CF1147,BT1147,BW1147)</f>
        <v>24.154589371980681</v>
      </c>
      <c r="BR1147" s="16">
        <f>IF(BS1147&gt;0,1,0)</f>
        <v>1</v>
      </c>
      <c r="BS1147" s="23">
        <f>VLOOKUP($K1147,'[5]FECs - good data'!$C$1:$Z$574,17,FALSE)</f>
        <v>10</v>
      </c>
      <c r="BT1147" s="77">
        <f>BS1147/AS1147</f>
        <v>24.154589371980681</v>
      </c>
      <c r="BU1147" s="16">
        <f>IF(BV1147&gt;0,1,0)</f>
        <v>0</v>
      </c>
      <c r="BV1147" s="23">
        <f>VLOOKUP($K1147,'[5]FECs - good data'!$C$1:$Z$574,18,FALSE)</f>
        <v>0</v>
      </c>
      <c r="BW1147" s="16">
        <f>BV1147/AS1147</f>
        <v>0</v>
      </c>
      <c r="BX1147" s="16">
        <f>IF(BY1147&gt;0,1,0)</f>
        <v>0</v>
      </c>
      <c r="BY1147" s="23">
        <f>VLOOKUP($K1147,'[5]FECs - good data'!$C$1:$Z$574,19,FALSE)</f>
        <v>0</v>
      </c>
      <c r="BZ1147" s="16">
        <f>BY1147/AS1147</f>
        <v>0</v>
      </c>
      <c r="CA1147" s="16">
        <f>IF(CB1147&gt;0,1,0)</f>
        <v>0</v>
      </c>
      <c r="CB1147" s="23">
        <f>VLOOKUP($K1147,'[5]FECs - good data'!$C$1:$Z$574,20,FALSE)</f>
        <v>0</v>
      </c>
      <c r="CC1147" s="23">
        <f>CB1147/AS1147</f>
        <v>0</v>
      </c>
      <c r="CD1147" s="77">
        <f>IF(CE1147&gt;0,1,0)</f>
        <v>0</v>
      </c>
      <c r="CE1147" s="23">
        <f>VLOOKUP($K1147,'[5]FECs - good data'!$C$1:$Z$574,21,FALSE)</f>
        <v>0</v>
      </c>
      <c r="CF1147" s="23">
        <f>CE1147/AS1147</f>
        <v>0</v>
      </c>
      <c r="CG1147" s="23">
        <f>IF(CH1147&gt;0,1,0)</f>
        <v>0</v>
      </c>
      <c r="CH1147" s="23">
        <f>VLOOKUP($K1147,'[5]FECs - good data'!$C$1:$Z$574,22,FALSE)</f>
        <v>0</v>
      </c>
      <c r="CI1147" s="23">
        <f>CH1147/AS1147</f>
        <v>0</v>
      </c>
      <c r="CJ1147" s="23">
        <f>IF(CK1147&gt;0,1,0)</f>
        <v>0</v>
      </c>
      <c r="CK1147" s="23">
        <f>VLOOKUP($K1147,'[5]FECs - good data'!$C$1:$Z$674,24,FALSE)</f>
        <v>0</v>
      </c>
      <c r="CL1147" s="23">
        <f>CK1147/AS1147</f>
        <v>0</v>
      </c>
      <c r="CM1147" s="23"/>
      <c r="CN1147" s="23"/>
      <c r="CO1147" s="23"/>
      <c r="CP1147" s="23"/>
      <c r="CQ1147" s="23"/>
      <c r="CR1147" s="23"/>
      <c r="CS1147" s="16">
        <f>IF(CT1147&gt;0,1,0)</f>
        <v>0</v>
      </c>
      <c r="CT1147" s="16">
        <f>SUM(CW1147+CZ1147,DC1147)</f>
        <v>0</v>
      </c>
      <c r="CV1147" s="23">
        <f>SUM(CY1147,DB1147,DE1147)</f>
        <v>0</v>
      </c>
      <c r="CW1147" s="16">
        <f>IF(CX1147&gt;0,1,0)</f>
        <v>0</v>
      </c>
      <c r="CX1147" s="23">
        <f>VLOOKUP($K1147,'[5]FECs - good data'!$C$1:$Z$574,22,FALSE)</f>
        <v>0</v>
      </c>
      <c r="CY1147" s="23">
        <f>CX1147/AS1147</f>
        <v>0</v>
      </c>
      <c r="CZ1147" s="23">
        <f>IF(DA1147&gt;0,1,0)</f>
        <v>0</v>
      </c>
      <c r="DA1147" s="23">
        <f>VLOOKUP($K1147,'[5]FECs - good data'!$C$1:$Z$5982,23,FALSE)</f>
        <v>0</v>
      </c>
      <c r="DB1147" s="23">
        <f>DA1147/AS1147</f>
        <v>0</v>
      </c>
      <c r="DC1147" s="23">
        <f>IF(DD1147&gt;0,1,0)</f>
        <v>0</v>
      </c>
      <c r="DD1147" s="23">
        <f>VLOOKUP($K1147,'[5]FECs - good data'!$C$1:$Z$574,23,FALSE)</f>
        <v>0</v>
      </c>
      <c r="DE1147" s="23">
        <f>DD1147/AS1147</f>
        <v>0</v>
      </c>
      <c r="DF1147" s="16">
        <f>VLOOKUP(K1147,'[3]RNA Seq summary tables'!$V$3:$V$99,1,FALSE)</f>
        <v>1966</v>
      </c>
      <c r="DG1147" s="16">
        <v>1</v>
      </c>
      <c r="DH1147" s="16" t="str">
        <f>VLOOKUP(D1147,'[6]workflow 3.2018'!$A$1:$S$237,2,FALSE)</f>
        <v>2017MLBS_66</v>
      </c>
      <c r="DI1147" s="23"/>
      <c r="DJ1147" s="23"/>
      <c r="DK1147" s="23"/>
      <c r="DL1147" s="23"/>
      <c r="DM1147" s="23"/>
      <c r="DN1147" s="23"/>
      <c r="DO1147" s="23"/>
      <c r="DP1147" s="23"/>
      <c r="DQ1147" s="23"/>
      <c r="DR1147" s="23"/>
      <c r="DS1147" s="23"/>
      <c r="DT1147" s="25"/>
      <c r="DU1147" s="25"/>
      <c r="DV1147" s="25"/>
      <c r="DW1147" s="25"/>
      <c r="DX1147" s="25"/>
      <c r="DY1147" s="25"/>
      <c r="DZ1147" s="25"/>
      <c r="EA1147" s="25"/>
      <c r="EB1147" s="25"/>
      <c r="EC1147" s="25"/>
      <c r="ED1147" s="25"/>
      <c r="EE1147" s="25"/>
      <c r="JP1147" s="39"/>
      <c r="JQ1147" s="39"/>
    </row>
    <row r="1148" spans="1:288" x14ac:dyDescent="0.2">
      <c r="B1148" s="16">
        <v>2017</v>
      </c>
      <c r="C1148" s="20">
        <v>42958</v>
      </c>
      <c r="D1148" s="20" t="str">
        <f>CONCATENATE(J1148,"-",C1148)</f>
        <v>1272-42958</v>
      </c>
      <c r="E1148" s="20" t="str">
        <f>CONCATENATE(T1148,"-",U1148,"-",C1148)</f>
        <v>SP2-A2-42958</v>
      </c>
      <c r="F1148" s="20" t="s">
        <v>106</v>
      </c>
      <c r="G1148" s="20" t="s">
        <v>107</v>
      </c>
      <c r="I1148" s="16">
        <v>0</v>
      </c>
      <c r="J1148" s="21">
        <v>1272</v>
      </c>
      <c r="K1148" s="21">
        <v>2133</v>
      </c>
      <c r="L1148" s="16">
        <v>1</v>
      </c>
      <c r="M1148" s="21">
        <f>VLOOKUP($K1148,'[4]blood tubes 2017'!$D$1:$L$647,8,FALSE)</f>
        <v>0</v>
      </c>
      <c r="N1148" s="15">
        <v>0</v>
      </c>
      <c r="O1148" s="15" t="s">
        <v>214</v>
      </c>
      <c r="P1148" s="16" t="s">
        <v>110</v>
      </c>
      <c r="Q1148" s="16">
        <v>1</v>
      </c>
      <c r="R1148" s="16">
        <v>19</v>
      </c>
      <c r="T1148" s="16" t="s">
        <v>137</v>
      </c>
      <c r="U1148" s="16" t="s">
        <v>171</v>
      </c>
      <c r="V1148" s="16" t="s">
        <v>114</v>
      </c>
      <c r="W1148" s="16">
        <f>AI1148/AG1148</f>
        <v>0.85555555555555551</v>
      </c>
      <c r="X1148" s="16" t="s">
        <v>115</v>
      </c>
      <c r="Y1148" s="16" t="s">
        <v>110</v>
      </c>
      <c r="Z1148" s="16">
        <v>3</v>
      </c>
      <c r="AE1148" s="16" t="s">
        <v>116</v>
      </c>
      <c r="AF1148" s="16" t="s">
        <v>116</v>
      </c>
      <c r="AG1148" s="16">
        <f>AH1148-AI1148</f>
        <v>90</v>
      </c>
      <c r="AH1148" s="16">
        <v>167</v>
      </c>
      <c r="AI1148" s="16">
        <v>77</v>
      </c>
      <c r="AK1148" s="16">
        <v>19</v>
      </c>
      <c r="AL1148" s="16">
        <v>1</v>
      </c>
      <c r="AM1148" s="16">
        <v>0</v>
      </c>
      <c r="AN1148" s="16">
        <v>0</v>
      </c>
      <c r="AO1148" s="16">
        <v>1</v>
      </c>
      <c r="AP1148" s="16">
        <f>SUM(AL1148:AN1148)</f>
        <v>1</v>
      </c>
      <c r="AQ1148" s="16">
        <v>2.15</v>
      </c>
      <c r="AR1148" s="16">
        <f>AP1148-1.472</f>
        <v>-0.47199999999999998</v>
      </c>
      <c r="AS1148" s="16">
        <f>AQ1148-1.472</f>
        <v>0.67799999999999994</v>
      </c>
      <c r="AT1148" s="16" t="str">
        <f>VLOOKUP(K1148,'[5]FECs - good data'!$C$1:$P$575,13,FALSE)</f>
        <v>JB</v>
      </c>
      <c r="AW1148" s="18">
        <f>IF(AX1148&gt;0,1,0)</f>
        <v>1</v>
      </c>
      <c r="AX1148" s="18">
        <f>SUM(BA1148,BM1148,CT1148)</f>
        <v>3</v>
      </c>
      <c r="AY1148" s="18">
        <f>SUM(BB1148,BN1148,CV1148)</f>
        <v>8.8495575221238951</v>
      </c>
      <c r="AZ1148" s="18">
        <f>IF(BA1148&gt;0,1,0)</f>
        <v>1</v>
      </c>
      <c r="BA1148" s="18">
        <f>SUM(BC1148,BF1148,BI1148)</f>
        <v>1</v>
      </c>
      <c r="BB1148" s="18">
        <f>SUM(BE1148,BH1148,BK1148)</f>
        <v>1.4749262536873158</v>
      </c>
      <c r="BC1148" s="18">
        <f>IF(BD1148&gt;0,1,0)</f>
        <v>0</v>
      </c>
      <c r="BD1148" s="18">
        <f>VLOOKUP($K1148,'[5]FECs - good data'!$C$1:$Z$574,14,FALSE)</f>
        <v>0</v>
      </c>
      <c r="BE1148" s="16">
        <f>BD1148/AS1148</f>
        <v>0</v>
      </c>
      <c r="BF1148" s="16">
        <f>IF(BG1148&gt;0,1,0)</f>
        <v>1</v>
      </c>
      <c r="BG1148" s="77">
        <f>VLOOKUP($K1148,'[5]FECs - good data'!$C$1:$Z$574,15,FALSE)</f>
        <v>1</v>
      </c>
      <c r="BH1148" s="16">
        <f>BG1148/AS1148</f>
        <v>1.4749262536873158</v>
      </c>
      <c r="BI1148" s="16">
        <f>IF(BJ1148&gt;0,1,0)</f>
        <v>0</v>
      </c>
      <c r="BJ1148" s="16">
        <f>VLOOKUP($K1148,'[5]FECs - good data'!$C$1:$Z$574,16,FALSE)</f>
        <v>0</v>
      </c>
      <c r="BK1148" s="16">
        <f>BJ1148/AS1148</f>
        <v>0</v>
      </c>
      <c r="BL1148" s="16">
        <f>IF(BM1148&gt;0,1,0)</f>
        <v>1</v>
      </c>
      <c r="BM1148" s="16">
        <f>SUM(BR1148,BU1148,BX1148,CA1148,CD1148,CG1148,CJ1148,CM1148,CP1148)</f>
        <v>2</v>
      </c>
      <c r="BN1148" s="16">
        <f>SUM(BW1148,BZ1148,CC1148,CF1148,CI1148,CL1148,CO1148,CR1148,BT1148)</f>
        <v>7.3746312684365787</v>
      </c>
      <c r="BO1148" s="16">
        <f>IF(BP1148&gt;0,1,0)</f>
        <v>1</v>
      </c>
      <c r="BP1148" s="16">
        <f>SUM(BU1148,BX1148,CA1148,CD1148,BR1148)</f>
        <v>1</v>
      </c>
      <c r="BQ1148" s="16">
        <f>SUM(BZ1148,CC1148,CF1148,BT1148,BW1148)</f>
        <v>1.4749262536873158</v>
      </c>
      <c r="BR1148" s="16">
        <f>IF(BS1148&gt;0,1,0)</f>
        <v>0</v>
      </c>
      <c r="BS1148" s="16">
        <f>VLOOKUP($K1148,'[5]FECs - good data'!$C$1:$Z$574,17,FALSE)</f>
        <v>0</v>
      </c>
      <c r="BT1148" s="77">
        <f>BS1148/AS1148</f>
        <v>0</v>
      </c>
      <c r="BU1148" s="16">
        <f>IF(BV1148&gt;0,1,0)</f>
        <v>0</v>
      </c>
      <c r="BV1148" s="16">
        <f>VLOOKUP($K1148,'[5]FECs - good data'!$C$1:$Z$574,18,FALSE)</f>
        <v>0</v>
      </c>
      <c r="BW1148" s="16">
        <f>BV1148/AS1148</f>
        <v>0</v>
      </c>
      <c r="BX1148" s="16">
        <f>IF(BY1148&gt;0,1,0)</f>
        <v>0</v>
      </c>
      <c r="BY1148" s="16">
        <f>VLOOKUP($K1148,'[5]FECs - good data'!$C$1:$Z$574,19,FALSE)</f>
        <v>0</v>
      </c>
      <c r="BZ1148" s="16">
        <f>BY1148/AS1148</f>
        <v>0</v>
      </c>
      <c r="CA1148" s="16">
        <f>IF(CB1148&gt;0,1,0)</f>
        <v>0</v>
      </c>
      <c r="CB1148" s="16">
        <f>VLOOKUP($K1148,'[5]FECs - good data'!$C$1:$Z$574,20,FALSE)</f>
        <v>0</v>
      </c>
      <c r="CC1148" s="16">
        <f>CB1148/AS1148</f>
        <v>0</v>
      </c>
      <c r="CD1148" s="77">
        <f>IF(CE1148&gt;0,1,0)</f>
        <v>1</v>
      </c>
      <c r="CE1148" s="16">
        <f>VLOOKUP($K1148,'[5]FECs - good data'!$C$1:$Z$574,21,FALSE)</f>
        <v>1</v>
      </c>
      <c r="CF1148" s="16">
        <f>CE1148/AS1148</f>
        <v>1.4749262536873158</v>
      </c>
      <c r="CG1148" s="16">
        <f>IF(CH1148&gt;0,1,0)</f>
        <v>0</v>
      </c>
      <c r="CH1148" s="16">
        <f>VLOOKUP($K1148,'[5]FECs - good data'!$C$1:$Z$574,22,FALSE)</f>
        <v>0</v>
      </c>
      <c r="CI1148" s="16">
        <f>CH1148/AS1148</f>
        <v>0</v>
      </c>
      <c r="CJ1148" s="16">
        <f>IF(CK1148&gt;0,1,0)</f>
        <v>1</v>
      </c>
      <c r="CK1148" s="16">
        <f>VLOOKUP($K1148,'[5]FECs - good data'!$C$1:$Z$674,24,FALSE)</f>
        <v>4</v>
      </c>
      <c r="CL1148" s="16">
        <f>CK1148/AS1148</f>
        <v>5.8997050147492631</v>
      </c>
      <c r="CS1148" s="16">
        <f>IF(CT1148&gt;0,1,0)</f>
        <v>0</v>
      </c>
      <c r="CT1148" s="16">
        <f>SUM(CW1148+CZ1148,DC1148)</f>
        <v>0</v>
      </c>
      <c r="CV1148" s="16">
        <f>SUM(CY1148,DB1148,DE1148)</f>
        <v>0</v>
      </c>
      <c r="CW1148" s="16">
        <f>IF(CX1148&gt;0,1,0)</f>
        <v>0</v>
      </c>
      <c r="CX1148" s="16">
        <f>VLOOKUP($K1148,'[5]FECs - good data'!$C$1:$Z$574,22,FALSE)</f>
        <v>0</v>
      </c>
      <c r="CY1148" s="16">
        <f>CX1148/AS1148</f>
        <v>0</v>
      </c>
      <c r="CZ1148" s="16">
        <f>IF(DA1148&gt;0,1,0)</f>
        <v>0</v>
      </c>
      <c r="DA1148" s="16">
        <f>VLOOKUP($K1148,'[5]FECs - good data'!$C$1:$Z$5982,23,FALSE)</f>
        <v>0</v>
      </c>
      <c r="DB1148" s="16">
        <f>DA1148/AS1148</f>
        <v>0</v>
      </c>
      <c r="DC1148" s="16">
        <f>IF(DD1148&gt;0,1,0)</f>
        <v>0</v>
      </c>
      <c r="DD1148" s="16">
        <f>VLOOKUP($K1148,'[5]FECs - good data'!$C$1:$Z$574,23,FALSE)</f>
        <v>0</v>
      </c>
      <c r="DE1148" s="16">
        <f>DD1148/AS1148</f>
        <v>0</v>
      </c>
      <c r="DF1148" s="16">
        <f>VLOOKUP(K1148,'[3]RNA Seq summary tables'!$V$3:$V$99,1,FALSE)</f>
        <v>2133</v>
      </c>
      <c r="DG1148" s="16">
        <v>1</v>
      </c>
      <c r="DH1148" s="16" t="str">
        <f>VLOOKUP(D1148,'[6]workflow 3.2018'!$A$1:$S$237,2,FALSE)</f>
        <v>2017MLBS_138</v>
      </c>
      <c r="JO1148" s="38"/>
    </row>
    <row r="1149" spans="1:288" x14ac:dyDescent="0.2">
      <c r="B1149" s="16">
        <v>2017</v>
      </c>
      <c r="C1149" s="20">
        <v>42972</v>
      </c>
      <c r="D1149" s="20" t="str">
        <f>CONCATENATE(J1149,"-",C1149)</f>
        <v>1272-42972</v>
      </c>
      <c r="E1149" s="20" t="str">
        <f>CONCATENATE(T1149,"-",U1149,"-",C1149)</f>
        <v>SP2-E1-42972</v>
      </c>
      <c r="F1149" s="20" t="s">
        <v>106</v>
      </c>
      <c r="G1149" s="20" t="s">
        <v>107</v>
      </c>
      <c r="I1149" s="16">
        <v>0</v>
      </c>
      <c r="J1149" s="21">
        <v>1272</v>
      </c>
      <c r="K1149" s="21">
        <v>2251</v>
      </c>
      <c r="L1149" s="16">
        <v>1</v>
      </c>
      <c r="M1149" s="21">
        <f>VLOOKUP($K1149,'[4]blood tubes 2017'!$D$1:$L$947,8,FALSE)</f>
        <v>0</v>
      </c>
      <c r="N1149" s="15">
        <v>0</v>
      </c>
      <c r="O1149" s="15" t="s">
        <v>214</v>
      </c>
      <c r="P1149" s="16" t="s">
        <v>110</v>
      </c>
      <c r="Q1149" s="16">
        <v>1</v>
      </c>
      <c r="R1149" s="16">
        <v>14</v>
      </c>
      <c r="T1149" s="16" t="s">
        <v>137</v>
      </c>
      <c r="U1149" s="16" t="s">
        <v>222</v>
      </c>
      <c r="V1149" s="16" t="s">
        <v>114</v>
      </c>
      <c r="W1149" s="16">
        <f>AI1149/AG1149</f>
        <v>0.84615384615384615</v>
      </c>
      <c r="X1149" s="16" t="s">
        <v>115</v>
      </c>
      <c r="Y1149" s="16" t="s">
        <v>110</v>
      </c>
      <c r="Z1149" s="16">
        <v>3</v>
      </c>
      <c r="AE1149" s="16" t="s">
        <v>116</v>
      </c>
      <c r="AF1149" s="16" t="s">
        <v>116</v>
      </c>
      <c r="AG1149" s="16">
        <f>AH1149-AI1149</f>
        <v>91</v>
      </c>
      <c r="AH1149" s="16">
        <v>168</v>
      </c>
      <c r="AI1149" s="16">
        <v>77</v>
      </c>
      <c r="AK1149" s="16">
        <v>22</v>
      </c>
      <c r="AL1149" s="16">
        <v>0</v>
      </c>
      <c r="AM1149" s="16">
        <v>0</v>
      </c>
      <c r="AN1149" s="16">
        <v>0</v>
      </c>
      <c r="AO1149" s="16">
        <v>0</v>
      </c>
      <c r="AP1149" s="16">
        <f>SUM(AL1149:AN1149)</f>
        <v>0</v>
      </c>
      <c r="AQ1149" s="16">
        <v>1.7110000000000001</v>
      </c>
      <c r="AR1149" s="16">
        <f>AP1149-1.472</f>
        <v>-1.472</v>
      </c>
      <c r="AS1149" s="16">
        <f>AQ1149-1.472</f>
        <v>0.2390000000000001</v>
      </c>
      <c r="AT1149" s="16" t="str">
        <f>VLOOKUP(K1149,'[5]FECs - good data'!$C$1:$P$575,13,FALSE)</f>
        <v>NB</v>
      </c>
      <c r="AW1149" s="18">
        <f>IF(AX1149&gt;0,1,0)</f>
        <v>1</v>
      </c>
      <c r="AX1149" s="18">
        <f>SUM(BA1149,BM1149,CT1149)</f>
        <v>3</v>
      </c>
      <c r="AY1149" s="18">
        <f>SUM(BB1149,BN1149,CV1149)</f>
        <v>104.602510460251</v>
      </c>
      <c r="AZ1149" s="18">
        <f>IF(BA1149&gt;0,1,0)</f>
        <v>1</v>
      </c>
      <c r="BA1149" s="18">
        <f>SUM(BC1149,BF1149,BI1149)</f>
        <v>3</v>
      </c>
      <c r="BB1149" s="18">
        <f>SUM(BE1149,BH1149,BK1149)</f>
        <v>104.602510460251</v>
      </c>
      <c r="BC1149" s="18">
        <f>IF(BD1149&gt;0,1,0)</f>
        <v>1</v>
      </c>
      <c r="BD1149" s="18">
        <f>VLOOKUP($K1149,'[5]FECs - good data'!$C$1:$Z$574,14,FALSE)</f>
        <v>4</v>
      </c>
      <c r="BE1149" s="16">
        <f>BD1149/AS1149</f>
        <v>16.73640167364016</v>
      </c>
      <c r="BF1149" s="16">
        <f>IF(BG1149&gt;0,1,0)</f>
        <v>1</v>
      </c>
      <c r="BG1149" s="77">
        <f>VLOOKUP($K1149,'[5]FECs - good data'!$C$1:$Z$574,15,FALSE)</f>
        <v>20</v>
      </c>
      <c r="BH1149" s="16">
        <f>BG1149/AS1149</f>
        <v>83.682008368200798</v>
      </c>
      <c r="BI1149" s="16">
        <f>IF(BJ1149&gt;0,1,0)</f>
        <v>1</v>
      </c>
      <c r="BJ1149" s="16">
        <f>VLOOKUP($K1149,'[5]FECs - good data'!$C$1:$Z$574,16,FALSE)</f>
        <v>1</v>
      </c>
      <c r="BK1149" s="16">
        <f>BJ1149/AS1149</f>
        <v>4.1841004184100399</v>
      </c>
      <c r="BL1149" s="16">
        <f>IF(BM1149&gt;0,1,0)</f>
        <v>0</v>
      </c>
      <c r="BM1149" s="16">
        <f>SUM(BR1149,BU1149,BX1149,CA1149,CD1149,CG1149,CJ1149,CM1149,CP1149)</f>
        <v>0</v>
      </c>
      <c r="BN1149" s="16">
        <f>SUM(BW1149,BZ1149,CC1149,CF1149,CI1149,CL1149,CO1149,CR1149,BT1149)</f>
        <v>0</v>
      </c>
      <c r="BO1149" s="16">
        <f>IF(BP1149&gt;0,1,0)</f>
        <v>0</v>
      </c>
      <c r="BP1149" s="16">
        <f>SUM(BU1149,BX1149,CA1149,CD1149,BR1149)</f>
        <v>0</v>
      </c>
      <c r="BQ1149" s="16">
        <f>SUM(BZ1149,CC1149,CF1149,BT1149,BW1149)</f>
        <v>0</v>
      </c>
      <c r="BR1149" s="16">
        <f>IF(BS1149&gt;0,1,0)</f>
        <v>0</v>
      </c>
      <c r="BS1149" s="16">
        <f>VLOOKUP($K1149,'[5]FECs - good data'!$C$1:$Z$574,17,FALSE)</f>
        <v>0</v>
      </c>
      <c r="BT1149" s="77">
        <f>BS1149/AS1149</f>
        <v>0</v>
      </c>
      <c r="BU1149" s="16">
        <f>IF(BV1149&gt;0,1,0)</f>
        <v>0</v>
      </c>
      <c r="BV1149" s="16">
        <f>VLOOKUP($K1149,'[5]FECs - good data'!$C$1:$Z$574,18,FALSE)</f>
        <v>0</v>
      </c>
      <c r="BW1149" s="16">
        <f>BV1149/AS1149</f>
        <v>0</v>
      </c>
      <c r="BX1149" s="16">
        <f>IF(BY1149&gt;0,1,0)</f>
        <v>0</v>
      </c>
      <c r="BY1149" s="16">
        <f>VLOOKUP($K1149,'[5]FECs - good data'!$C$1:$Z$574,19,FALSE)</f>
        <v>0</v>
      </c>
      <c r="BZ1149" s="16">
        <f>BY1149/AS1149</f>
        <v>0</v>
      </c>
      <c r="CA1149" s="16">
        <f>IF(CB1149&gt;0,1,0)</f>
        <v>0</v>
      </c>
      <c r="CB1149" s="16">
        <f>VLOOKUP($K1149,'[5]FECs - good data'!$C$1:$Z$574,20,FALSE)</f>
        <v>0</v>
      </c>
      <c r="CC1149" s="16">
        <f>CB1149/AS1149</f>
        <v>0</v>
      </c>
      <c r="CD1149" s="77">
        <f>IF(CE1149&gt;0,1,0)</f>
        <v>0</v>
      </c>
      <c r="CE1149" s="16">
        <f>VLOOKUP($K1149,'[5]FECs - good data'!$C$1:$Z$574,21,FALSE)</f>
        <v>0</v>
      </c>
      <c r="CF1149" s="16">
        <f>CE1149/AS1149</f>
        <v>0</v>
      </c>
      <c r="CG1149" s="16">
        <f>IF(CH1149&gt;0,1,0)</f>
        <v>0</v>
      </c>
      <c r="CH1149" s="16">
        <f>VLOOKUP($K1149,'[5]FECs - good data'!$C$1:$Z$574,22,FALSE)</f>
        <v>0</v>
      </c>
      <c r="CI1149" s="16">
        <f>CH1149/AS1149</f>
        <v>0</v>
      </c>
      <c r="CJ1149" s="16">
        <f>IF(CK1149&gt;0,1,0)</f>
        <v>0</v>
      </c>
      <c r="CK1149" s="16">
        <f>VLOOKUP($K1149,'[5]FECs - good data'!$C$1:$Z$674,24,FALSE)</f>
        <v>0</v>
      </c>
      <c r="CL1149" s="16">
        <f>CK1149/AS1149</f>
        <v>0</v>
      </c>
      <c r="CS1149" s="16">
        <f>IF(CT1149&gt;0,1,0)</f>
        <v>0</v>
      </c>
      <c r="CT1149" s="16">
        <f>SUM(CW1149+CZ1149,DC1149)</f>
        <v>0</v>
      </c>
      <c r="CV1149" s="16">
        <f>SUM(CY1149,DB1149,DE1149)</f>
        <v>0</v>
      </c>
      <c r="CW1149" s="16">
        <f>IF(CX1149&gt;0,1,0)</f>
        <v>0</v>
      </c>
      <c r="CX1149" s="16">
        <f>VLOOKUP($K1149,'[5]FECs - good data'!$C$1:$Z$574,22,FALSE)</f>
        <v>0</v>
      </c>
      <c r="CY1149" s="16">
        <f>CX1149/AS1149</f>
        <v>0</v>
      </c>
      <c r="CZ1149" s="16">
        <f>IF(DA1149&gt;0,1,0)</f>
        <v>0</v>
      </c>
      <c r="DA1149" s="16">
        <f>VLOOKUP($K1149,'[5]FECs - good data'!$C$1:$Z$5982,23,FALSE)</f>
        <v>0</v>
      </c>
      <c r="DB1149" s="16">
        <f>DA1149/AS1149</f>
        <v>0</v>
      </c>
      <c r="DC1149" s="16">
        <f>IF(DD1149&gt;0,1,0)</f>
        <v>0</v>
      </c>
      <c r="DD1149" s="16">
        <f>VLOOKUP($K1149,'[5]FECs - good data'!$C$1:$Z$574,23,FALSE)</f>
        <v>0</v>
      </c>
      <c r="DE1149" s="16">
        <f>DD1149/AS1149</f>
        <v>0</v>
      </c>
      <c r="DF1149" s="16">
        <f>VLOOKUP(K1149,'[3]RNA Seq summary tables'!$V$3:$V$99,1,FALSE)</f>
        <v>2251</v>
      </c>
      <c r="DG1149" s="16">
        <v>1</v>
      </c>
      <c r="DH1149" s="16" t="str">
        <f>VLOOKUP(D1149,'[6]workflow 3.2018'!$A$1:$S$237,2,FALSE)</f>
        <v>2017MLBS_187</v>
      </c>
    </row>
    <row r="1150" spans="1:288" x14ac:dyDescent="0.2">
      <c r="B1150" s="16">
        <v>2017</v>
      </c>
      <c r="C1150" s="43">
        <v>42939</v>
      </c>
      <c r="D1150" s="20" t="str">
        <f>CONCATENATE(J1150,"-",C1150)</f>
        <v>1274-42939</v>
      </c>
      <c r="E1150" s="20" t="str">
        <f>CONCATENATE(T1150,"-",U1150,"-",C1150)</f>
        <v>SP2-G2-42939</v>
      </c>
      <c r="F1150" s="20" t="s">
        <v>106</v>
      </c>
      <c r="G1150" s="43" t="s">
        <v>107</v>
      </c>
      <c r="H1150" s="23"/>
      <c r="I1150" s="23">
        <v>0</v>
      </c>
      <c r="J1150" s="15">
        <v>1274</v>
      </c>
      <c r="K1150" s="15">
        <v>1973</v>
      </c>
      <c r="L1150" s="25">
        <v>0</v>
      </c>
      <c r="M1150" s="21">
        <f>VLOOKUP($K1150,'[4]blood tubes 2017'!$D$1:$L$647,8,FALSE)</f>
        <v>0</v>
      </c>
      <c r="N1150" s="15">
        <v>0</v>
      </c>
      <c r="O1150" s="15" t="s">
        <v>214</v>
      </c>
      <c r="P1150" s="23" t="s">
        <v>110</v>
      </c>
      <c r="Q1150" s="23">
        <v>0</v>
      </c>
      <c r="R1150" s="23" t="s">
        <v>111</v>
      </c>
      <c r="S1150" s="23"/>
      <c r="T1150" s="23" t="s">
        <v>137</v>
      </c>
      <c r="U1150" s="23" t="s">
        <v>128</v>
      </c>
      <c r="V1150" s="23" t="s">
        <v>114</v>
      </c>
      <c r="W1150" s="23">
        <f>AI1150/AG1150</f>
        <v>0.81395348837209303</v>
      </c>
      <c r="X1150" s="23" t="s">
        <v>121</v>
      </c>
      <c r="Y1150" s="23" t="s">
        <v>110</v>
      </c>
      <c r="Z1150" s="23">
        <v>3</v>
      </c>
      <c r="AA1150" s="23" t="s">
        <v>161</v>
      </c>
      <c r="AB1150" s="23" t="s">
        <v>123</v>
      </c>
      <c r="AC1150" s="23" t="s">
        <v>123</v>
      </c>
      <c r="AD1150" s="23" t="s">
        <v>116</v>
      </c>
      <c r="AE1150" s="23"/>
      <c r="AF1150" s="23"/>
      <c r="AG1150" s="23">
        <f>AH1150-AI1150</f>
        <v>86</v>
      </c>
      <c r="AH1150" s="23">
        <v>156</v>
      </c>
      <c r="AI1150" s="23">
        <v>70</v>
      </c>
      <c r="AJ1150" s="23"/>
      <c r="AK1150" s="23">
        <v>15.5</v>
      </c>
      <c r="AL1150" s="23">
        <v>1</v>
      </c>
      <c r="AM1150" s="23">
        <v>0</v>
      </c>
      <c r="AN1150" s="23">
        <v>0</v>
      </c>
      <c r="AO1150" s="23">
        <v>1</v>
      </c>
      <c r="AP1150" s="23">
        <f>SUM(AL1150:AN1150)</f>
        <v>1</v>
      </c>
      <c r="AQ1150" s="23">
        <v>1.8240000000000001</v>
      </c>
      <c r="AR1150" s="23">
        <f>AP1150-1.472</f>
        <v>-0.47199999999999998</v>
      </c>
      <c r="AS1150" s="16">
        <f>AQ1150-1.472</f>
        <v>0.35200000000000009</v>
      </c>
      <c r="AT1150" s="16" t="str">
        <f>VLOOKUP(K1150,'[5]FECs - good data'!$C$1:$P$575,13,FALSE)</f>
        <v>LV</v>
      </c>
      <c r="AW1150" s="18">
        <f>IF(AX1150&gt;0,1,0)</f>
        <v>1</v>
      </c>
      <c r="AX1150" s="18">
        <f>SUM(BA1150,BM1150,CT1150)</f>
        <v>6</v>
      </c>
      <c r="AY1150" s="18">
        <f>SUM(BB1150,BN1150,CV1150)</f>
        <v>3644.8863636363626</v>
      </c>
      <c r="AZ1150" s="18">
        <f>IF(BA1150&gt;0,1,0)</f>
        <v>1</v>
      </c>
      <c r="BA1150" s="18">
        <f>SUM(BC1150,BF1150,BI1150)</f>
        <v>2</v>
      </c>
      <c r="BB1150" s="18">
        <f>SUM(BE1150,BH1150,BK1150)</f>
        <v>2889.2045454545446</v>
      </c>
      <c r="BC1150" s="18">
        <f>IF(BD1150&gt;0,1,0)</f>
        <v>1</v>
      </c>
      <c r="BD1150" s="18">
        <f>VLOOKUP($K1150,'[5]FECs - good data'!$C$1:$Z$574,14,FALSE)</f>
        <v>12</v>
      </c>
      <c r="BE1150" s="16">
        <f>BD1150/AS1150</f>
        <v>34.090909090909079</v>
      </c>
      <c r="BF1150" s="16">
        <f>IF(BG1150&gt;0,1,0)</f>
        <v>1</v>
      </c>
      <c r="BG1150" s="77">
        <f>VLOOKUP($K1150,'[5]FECs - good data'!$C$1:$Z$574,15,FALSE)</f>
        <v>1005</v>
      </c>
      <c r="BH1150" s="16">
        <f>BG1150/AS1150</f>
        <v>2855.1136363636356</v>
      </c>
      <c r="BI1150" s="16">
        <f>IF(BJ1150&gt;0,1,0)</f>
        <v>0</v>
      </c>
      <c r="BJ1150" s="16">
        <f>VLOOKUP($K1150,'[5]FECs - good data'!$C$1:$Z$574,16,FALSE)</f>
        <v>0</v>
      </c>
      <c r="BK1150" s="16">
        <f>BJ1150/AS1150</f>
        <v>0</v>
      </c>
      <c r="BL1150" s="16">
        <f>IF(BM1150&gt;0,1,0)</f>
        <v>1</v>
      </c>
      <c r="BM1150" s="16">
        <f>SUM(BR1150,BU1150,BX1150,CA1150,CD1150,CG1150,CJ1150,CM1150,CP1150)</f>
        <v>3</v>
      </c>
      <c r="BN1150" s="16">
        <f>SUM(BW1150,BZ1150,CC1150,CF1150,CI1150,CL1150,CO1150,CR1150,BT1150)</f>
        <v>383.52272727272714</v>
      </c>
      <c r="BO1150" s="16">
        <f>IF(BP1150&gt;0,1,0)</f>
        <v>1</v>
      </c>
      <c r="BP1150" s="16">
        <f>SUM(BU1150,BX1150,CA1150,CD1150,BR1150)</f>
        <v>1</v>
      </c>
      <c r="BQ1150" s="16">
        <f>SUM(BZ1150,CC1150,CF1150,BT1150,BW1150)</f>
        <v>2.8409090909090904</v>
      </c>
      <c r="BR1150" s="16">
        <f>IF(BS1150&gt;0,1,0)</f>
        <v>0</v>
      </c>
      <c r="BS1150" s="16">
        <f>VLOOKUP($K1150,'[5]FECs - good data'!$C$1:$Z$574,17,FALSE)</f>
        <v>0</v>
      </c>
      <c r="BT1150" s="77">
        <f>BS1150/AS1150</f>
        <v>0</v>
      </c>
      <c r="BU1150" s="16">
        <f>IF(BV1150&gt;0,1,0)</f>
        <v>0</v>
      </c>
      <c r="BV1150" s="16">
        <f>VLOOKUP($K1150,'[5]FECs - good data'!$C$1:$Z$574,18,FALSE)</f>
        <v>0</v>
      </c>
      <c r="BW1150" s="16">
        <f>BV1150/AS1150</f>
        <v>0</v>
      </c>
      <c r="BX1150" s="16">
        <f>IF(BY1150&gt;0,1,0)</f>
        <v>1</v>
      </c>
      <c r="BY1150" s="16">
        <f>VLOOKUP($K1150,'[5]FECs - good data'!$C$1:$Z$574,19,FALSE)</f>
        <v>1</v>
      </c>
      <c r="BZ1150" s="16">
        <f>BY1150/AS1150</f>
        <v>2.8409090909090904</v>
      </c>
      <c r="CA1150" s="16">
        <f>IF(CB1150&gt;0,1,0)</f>
        <v>0</v>
      </c>
      <c r="CB1150" s="16">
        <f>VLOOKUP($K1150,'[5]FECs - good data'!$C$1:$Z$574,20,FALSE)</f>
        <v>0</v>
      </c>
      <c r="CC1150" s="16">
        <f>CB1150/AS1150</f>
        <v>0</v>
      </c>
      <c r="CD1150" s="77">
        <f>IF(CE1150&gt;0,1,0)</f>
        <v>0</v>
      </c>
      <c r="CE1150" s="16">
        <f>VLOOKUP($K1150,'[5]FECs - good data'!$C$1:$Z$574,21,FALSE)</f>
        <v>0</v>
      </c>
      <c r="CF1150" s="16">
        <f>CE1150/AS1150</f>
        <v>0</v>
      </c>
      <c r="CG1150" s="16">
        <f>IF(CH1150&gt;0,1,0)</f>
        <v>1</v>
      </c>
      <c r="CH1150" s="16">
        <f>VLOOKUP($K1150,'[5]FECs - good data'!$C$1:$Z$574,22,FALSE)</f>
        <v>131</v>
      </c>
      <c r="CI1150" s="16">
        <f>CH1150/AS1150</f>
        <v>372.15909090909082</v>
      </c>
      <c r="CJ1150" s="16">
        <f>IF(CK1150&gt;0,1,0)</f>
        <v>1</v>
      </c>
      <c r="CK1150" s="16">
        <f>VLOOKUP($K1150,'[5]FECs - good data'!$C$1:$Z$674,24,FALSE)</f>
        <v>3</v>
      </c>
      <c r="CL1150" s="16">
        <f>CK1150/AS1150</f>
        <v>8.5227272727272698</v>
      </c>
      <c r="CS1150" s="16">
        <f>IF(CT1150&gt;0,1,0)</f>
        <v>1</v>
      </c>
      <c r="CT1150" s="16">
        <f>SUM(CW1150+CZ1150,DC1150)</f>
        <v>1</v>
      </c>
      <c r="CV1150" s="16">
        <f>SUM(CY1150,DB1150,DE1150)</f>
        <v>372.15909090909082</v>
      </c>
      <c r="CW1150" s="16">
        <f>IF(CX1150&gt;0,1,0)</f>
        <v>1</v>
      </c>
      <c r="CX1150" s="16">
        <f>VLOOKUP($K1150,'[5]FECs - good data'!$C$1:$Z$574,22,FALSE)</f>
        <v>131</v>
      </c>
      <c r="CY1150" s="16">
        <f>CX1150/AS1150</f>
        <v>372.15909090909082</v>
      </c>
      <c r="CZ1150" s="16">
        <f>IF(DA1150&gt;0,1,0)</f>
        <v>0</v>
      </c>
      <c r="DA1150" s="16">
        <f>VLOOKUP($K1150,'[5]FECs - good data'!$C$1:$Z$5982,23,FALSE)</f>
        <v>0</v>
      </c>
      <c r="DB1150" s="16">
        <f>DA1150/AS1150</f>
        <v>0</v>
      </c>
      <c r="DC1150" s="23">
        <f>IF(DD1150&gt;0,1,0)</f>
        <v>0</v>
      </c>
      <c r="DD1150" s="23">
        <f>VLOOKUP($K1150,'[5]FECs - good data'!$C$1:$Z$574,23,FALSE)</f>
        <v>0</v>
      </c>
      <c r="DE1150" s="23">
        <f>DD1150/AS1150</f>
        <v>0</v>
      </c>
      <c r="DF1150" s="16" t="e">
        <f>VLOOKUP(K1150,'[3]RNA Seq summary tables'!$V$3:$V$99,1,FALSE)</f>
        <v>#N/A</v>
      </c>
      <c r="DG1150" s="23">
        <v>1</v>
      </c>
      <c r="DH1150" s="23" t="str">
        <f>VLOOKUP(D1150,'[6]workflow 3.2018'!$A$1:$S$237,2,FALSE)</f>
        <v>2017MLBS_74</v>
      </c>
      <c r="DI1150" s="23"/>
      <c r="DJ1150" s="23"/>
      <c r="DK1150" s="23"/>
      <c r="DL1150" s="23"/>
      <c r="DM1150" s="23"/>
      <c r="DN1150" s="23"/>
      <c r="DO1150" s="23"/>
      <c r="DP1150" s="23"/>
      <c r="DQ1150" s="23"/>
      <c r="DR1150" s="23"/>
      <c r="DS1150" s="23"/>
      <c r="DT1150" s="25"/>
      <c r="DU1150" s="25"/>
      <c r="DV1150" s="25"/>
      <c r="DW1150" s="25"/>
      <c r="DX1150" s="25"/>
      <c r="DY1150" s="25"/>
      <c r="DZ1150" s="25"/>
      <c r="EA1150" s="25"/>
      <c r="EB1150" s="25"/>
      <c r="EC1150" s="25"/>
      <c r="ED1150" s="25"/>
      <c r="EE1150" s="25"/>
      <c r="EF1150" s="25"/>
      <c r="EG1150" s="25"/>
      <c r="EH1150" s="25"/>
      <c r="EI1150" s="25"/>
      <c r="EJ1150" s="25"/>
      <c r="EK1150" s="25"/>
      <c r="EL1150" s="25"/>
      <c r="EM1150" s="25"/>
      <c r="EN1150" s="25"/>
      <c r="EO1150" s="25"/>
      <c r="EP1150" s="25"/>
      <c r="EQ1150" s="25"/>
      <c r="ER1150" s="25"/>
      <c r="ES1150" s="25"/>
      <c r="ET1150" s="25"/>
      <c r="EU1150" s="25"/>
      <c r="EV1150" s="25"/>
      <c r="EW1150" s="25"/>
      <c r="EX1150" s="25"/>
      <c r="EY1150" s="25"/>
      <c r="EZ1150" s="25"/>
      <c r="FA1150" s="25"/>
      <c r="FB1150" s="25"/>
      <c r="FC1150" s="25"/>
      <c r="FD1150" s="25"/>
      <c r="FE1150" s="25"/>
      <c r="FF1150" s="25"/>
      <c r="FG1150" s="25"/>
      <c r="FH1150" s="25"/>
      <c r="FI1150" s="25"/>
      <c r="FJ1150" s="25"/>
      <c r="FK1150" s="25"/>
      <c r="FL1150" s="25"/>
      <c r="FM1150" s="25"/>
      <c r="FN1150" s="25"/>
      <c r="FO1150" s="25"/>
      <c r="FP1150" s="25"/>
      <c r="FQ1150" s="25"/>
      <c r="FR1150" s="25"/>
      <c r="FS1150" s="25"/>
      <c r="FT1150" s="25"/>
      <c r="FU1150" s="25"/>
      <c r="FV1150" s="25"/>
      <c r="FW1150" s="25"/>
      <c r="FX1150" s="25"/>
      <c r="FY1150" s="25"/>
      <c r="FZ1150" s="25"/>
      <c r="GA1150" s="25"/>
      <c r="GB1150" s="25"/>
      <c r="GC1150" s="25"/>
      <c r="GD1150" s="25"/>
      <c r="GE1150" s="25"/>
      <c r="GF1150" s="25"/>
      <c r="GG1150" s="25"/>
      <c r="GH1150" s="25"/>
      <c r="GI1150" s="25"/>
      <c r="GJ1150" s="25"/>
      <c r="GK1150" s="25"/>
      <c r="GL1150" s="25"/>
      <c r="GM1150" s="25"/>
      <c r="GN1150" s="25"/>
      <c r="GO1150" s="25"/>
      <c r="GP1150" s="25"/>
      <c r="GQ1150" s="25"/>
      <c r="GR1150" s="25"/>
      <c r="GS1150" s="25"/>
      <c r="GT1150" s="25"/>
      <c r="GU1150" s="25"/>
      <c r="GV1150" s="25"/>
      <c r="GW1150" s="25"/>
      <c r="GX1150" s="25"/>
      <c r="GY1150" s="25"/>
      <c r="GZ1150" s="25"/>
      <c r="HA1150" s="25"/>
      <c r="HB1150" s="25"/>
      <c r="HC1150" s="25"/>
      <c r="HD1150" s="25"/>
      <c r="HE1150" s="25"/>
      <c r="HF1150" s="25"/>
      <c r="HG1150" s="25"/>
      <c r="HH1150" s="25"/>
      <c r="HI1150" s="25"/>
      <c r="HJ1150" s="25"/>
      <c r="HK1150" s="25"/>
      <c r="HL1150" s="25"/>
      <c r="HM1150" s="25"/>
      <c r="HN1150" s="25"/>
      <c r="HO1150" s="25"/>
      <c r="HP1150" s="25"/>
      <c r="HQ1150" s="25"/>
      <c r="HR1150" s="25"/>
      <c r="HS1150" s="25"/>
      <c r="HT1150" s="25"/>
      <c r="HU1150" s="25"/>
      <c r="HV1150" s="25"/>
      <c r="HW1150" s="25"/>
      <c r="HX1150" s="25"/>
      <c r="HY1150" s="25"/>
      <c r="HZ1150" s="25"/>
      <c r="IA1150" s="25"/>
      <c r="IB1150" s="25"/>
      <c r="IC1150" s="25"/>
      <c r="ID1150" s="25"/>
      <c r="IE1150" s="25"/>
      <c r="IF1150" s="25"/>
      <c r="IG1150" s="25"/>
      <c r="IH1150" s="25"/>
      <c r="II1150" s="25"/>
      <c r="IJ1150" s="25"/>
      <c r="IK1150" s="25"/>
      <c r="IL1150" s="25"/>
      <c r="IM1150" s="25"/>
      <c r="IN1150" s="25"/>
      <c r="IO1150" s="25"/>
      <c r="IP1150" s="25"/>
      <c r="IQ1150" s="25"/>
      <c r="IR1150" s="25"/>
      <c r="IS1150" s="25"/>
      <c r="IT1150" s="25"/>
      <c r="IU1150" s="25"/>
      <c r="IV1150" s="25"/>
      <c r="IW1150" s="25"/>
      <c r="IX1150" s="25"/>
      <c r="IY1150" s="25"/>
      <c r="IZ1150" s="25"/>
      <c r="JA1150" s="25"/>
      <c r="JB1150" s="25"/>
      <c r="JC1150" s="25"/>
      <c r="JD1150" s="25"/>
      <c r="JE1150" s="25"/>
      <c r="JF1150" s="25"/>
      <c r="JG1150" s="25"/>
      <c r="JH1150" s="25"/>
      <c r="JI1150" s="25"/>
      <c r="JJ1150" s="25"/>
      <c r="JK1150" s="25"/>
      <c r="JL1150" s="25"/>
      <c r="JM1150" s="25"/>
      <c r="JN1150" s="25"/>
      <c r="JO1150" s="23"/>
      <c r="JP1150" s="23"/>
      <c r="JQ1150" s="23"/>
      <c r="JR1150" s="48"/>
      <c r="JS1150" s="48"/>
      <c r="JT1150" s="48"/>
      <c r="JU1150" s="48"/>
      <c r="JV1150" s="48"/>
      <c r="JW1150" s="48"/>
      <c r="JX1150" s="48"/>
      <c r="JY1150" s="48"/>
      <c r="JZ1150" s="48"/>
      <c r="KA1150" s="48"/>
      <c r="KB1150" s="48"/>
    </row>
    <row r="1151" spans="1:288" x14ac:dyDescent="0.2">
      <c r="B1151" s="16">
        <v>2017</v>
      </c>
      <c r="C1151" s="20">
        <v>42957</v>
      </c>
      <c r="D1151" s="20" t="str">
        <f>CONCATENATE(J1151,"-",C1151)</f>
        <v>1274-42957</v>
      </c>
      <c r="E1151" s="20" t="str">
        <f>CONCATENATE(T1151,"-",U1151,"-",C1151)</f>
        <v>SP2-H3-42957</v>
      </c>
      <c r="F1151" s="20" t="s">
        <v>106</v>
      </c>
      <c r="G1151" s="20" t="s">
        <v>107</v>
      </c>
      <c r="I1151" s="16">
        <v>0</v>
      </c>
      <c r="J1151" s="21">
        <v>1274</v>
      </c>
      <c r="K1151" s="21">
        <v>2124</v>
      </c>
      <c r="L1151" s="18">
        <v>0</v>
      </c>
      <c r="M1151" s="21">
        <f>VLOOKUP($K1151,'[4]blood tubes 2017'!$D$1:$L$647,8,FALSE)</f>
        <v>0</v>
      </c>
      <c r="N1151" s="15">
        <v>0</v>
      </c>
      <c r="O1151" s="15" t="s">
        <v>214</v>
      </c>
      <c r="P1151" s="16" t="s">
        <v>110</v>
      </c>
      <c r="Q1151" s="16">
        <v>1</v>
      </c>
      <c r="R1151" s="16">
        <v>18</v>
      </c>
      <c r="T1151" s="16" t="s">
        <v>137</v>
      </c>
      <c r="U1151" s="16" t="s">
        <v>174</v>
      </c>
      <c r="V1151" s="16" t="s">
        <v>114</v>
      </c>
      <c r="W1151" s="16">
        <f>AI1151/AG1151</f>
        <v>0.90588235294117647</v>
      </c>
      <c r="X1151" s="16" t="s">
        <v>121</v>
      </c>
      <c r="Y1151" s="16" t="s">
        <v>110</v>
      </c>
      <c r="Z1151" s="16">
        <v>3</v>
      </c>
      <c r="AA1151" s="16" t="s">
        <v>119</v>
      </c>
      <c r="AB1151" s="16" t="s">
        <v>123</v>
      </c>
      <c r="AC1151" s="16" t="s">
        <v>123</v>
      </c>
      <c r="AD1151" s="16" t="s">
        <v>123</v>
      </c>
      <c r="AG1151" s="16">
        <f>AH1151-AI1151</f>
        <v>85</v>
      </c>
      <c r="AH1151" s="16">
        <v>162</v>
      </c>
      <c r="AI1151" s="16">
        <v>77</v>
      </c>
      <c r="AK1151" s="16">
        <v>17</v>
      </c>
      <c r="AL1151" s="16">
        <v>1</v>
      </c>
      <c r="AM1151" s="16">
        <v>0</v>
      </c>
      <c r="AN1151" s="16">
        <v>0</v>
      </c>
      <c r="AO1151" s="16">
        <v>1</v>
      </c>
      <c r="AP1151" s="16">
        <f>SUM(AL1151:AN1151)</f>
        <v>1</v>
      </c>
      <c r="AQ1151" s="16">
        <v>1.9510000000000001</v>
      </c>
      <c r="AR1151" s="16">
        <f>AP1151-1.472</f>
        <v>-0.47199999999999998</v>
      </c>
      <c r="AS1151" s="16">
        <f>AQ1151-1.472</f>
        <v>0.47900000000000009</v>
      </c>
      <c r="AT1151" s="16" t="str">
        <f>VLOOKUP(K1151,'[5]FECs - good data'!$C$1:$P$575,13,FALSE)</f>
        <v>NB</v>
      </c>
      <c r="AW1151" s="18">
        <f>IF(AX1151&gt;0,1,0)</f>
        <v>1</v>
      </c>
      <c r="AX1151" s="18">
        <f>SUM(BA1151,BM1151,CT1151)</f>
        <v>5</v>
      </c>
      <c r="AY1151" s="18">
        <f>SUM(BB1151,BN1151,CV1151)</f>
        <v>2267.2233820459287</v>
      </c>
      <c r="AZ1151" s="18">
        <f>IF(BA1151&gt;0,1,0)</f>
        <v>1</v>
      </c>
      <c r="BA1151" s="18">
        <f>SUM(BC1151,BF1151,BI1151)</f>
        <v>1</v>
      </c>
      <c r="BB1151" s="18">
        <f>SUM(BE1151,BH1151,BK1151)</f>
        <v>35.490605427974941</v>
      </c>
      <c r="BC1151" s="18">
        <f>IF(BD1151&gt;0,1,0)</f>
        <v>0</v>
      </c>
      <c r="BD1151" s="18">
        <f>VLOOKUP($K1151,'[5]FECs - good data'!$C$1:$Z$574,14,FALSE)</f>
        <v>0</v>
      </c>
      <c r="BE1151" s="16">
        <f>BD1151/AS1151</f>
        <v>0</v>
      </c>
      <c r="BF1151" s="16">
        <f>IF(BG1151&gt;0,1,0)</f>
        <v>1</v>
      </c>
      <c r="BG1151" s="77">
        <f>VLOOKUP($K1151,'[5]FECs - good data'!$C$1:$Z$574,15,FALSE)</f>
        <v>17</v>
      </c>
      <c r="BH1151" s="16">
        <f>BG1151/AS1151</f>
        <v>35.490605427974941</v>
      </c>
      <c r="BI1151" s="16">
        <f>IF(BJ1151&gt;0,1,0)</f>
        <v>0</v>
      </c>
      <c r="BJ1151" s="16">
        <f>VLOOKUP($K1151,'[5]FECs - good data'!$C$1:$Z$574,16,FALSE)</f>
        <v>0</v>
      </c>
      <c r="BK1151" s="16">
        <f>BJ1151/AS1151</f>
        <v>0</v>
      </c>
      <c r="BL1151" s="16">
        <f>IF(BM1151&gt;0,1,0)</f>
        <v>1</v>
      </c>
      <c r="BM1151" s="16">
        <f>SUM(BR1151,BU1151,BX1151,CA1151,CD1151,CG1151,CJ1151,CM1151,CP1151)</f>
        <v>3</v>
      </c>
      <c r="BN1151" s="16">
        <f>SUM(BW1151,BZ1151,CC1151,CF1151,CI1151,CL1151,CO1151,CR1151,BT1151)</f>
        <v>1125.2609603340291</v>
      </c>
      <c r="BO1151" s="16">
        <f>IF(BP1151&gt;0,1,0)</f>
        <v>1</v>
      </c>
      <c r="BP1151" s="16">
        <f>SUM(BU1151,BX1151,CA1151,CD1151,BR1151)</f>
        <v>2</v>
      </c>
      <c r="BQ1151" s="16">
        <f>SUM(BZ1151,CC1151,CF1151,BT1151,BW1151)</f>
        <v>18.789144050104383</v>
      </c>
      <c r="BR1151" s="16">
        <f>IF(BS1151&gt;0,1,0)</f>
        <v>0</v>
      </c>
      <c r="BS1151" s="16">
        <f>VLOOKUP($K1151,'[5]FECs - good data'!$C$1:$Z$574,17,FALSE)</f>
        <v>0</v>
      </c>
      <c r="BT1151" s="77">
        <f>BS1151/AS1151</f>
        <v>0</v>
      </c>
      <c r="BU1151" s="16">
        <f>IF(BV1151&gt;0,1,0)</f>
        <v>0</v>
      </c>
      <c r="BV1151" s="16">
        <f>VLOOKUP($K1151,'[5]FECs - good data'!$C$1:$Z$574,18,FALSE)</f>
        <v>0</v>
      </c>
      <c r="BW1151" s="16">
        <f>BV1151/AS1151</f>
        <v>0</v>
      </c>
      <c r="BX1151" s="16">
        <f>IF(BY1151&gt;0,1,0)</f>
        <v>0</v>
      </c>
      <c r="BY1151" s="16">
        <f>VLOOKUP($K1151,'[5]FECs - good data'!$C$1:$Z$574,19,FALSE)</f>
        <v>0</v>
      </c>
      <c r="BZ1151" s="16">
        <f>BY1151/AS1151</f>
        <v>0</v>
      </c>
      <c r="CA1151" s="16">
        <f>IF(CB1151&gt;0,1,0)</f>
        <v>1</v>
      </c>
      <c r="CB1151" s="16">
        <f>VLOOKUP($K1151,'[5]FECs - good data'!$C$1:$Z$574,20,FALSE)</f>
        <v>4</v>
      </c>
      <c r="CC1151" s="16">
        <f>CB1151/AS1151</f>
        <v>8.3507306889352808</v>
      </c>
      <c r="CD1151" s="77">
        <f>IF(CE1151&gt;0,1,0)</f>
        <v>1</v>
      </c>
      <c r="CE1151" s="16">
        <f>VLOOKUP($K1151,'[5]FECs - good data'!$C$1:$Z$574,21,FALSE)</f>
        <v>5</v>
      </c>
      <c r="CF1151" s="16">
        <f>CE1151/AS1151</f>
        <v>10.438413361169101</v>
      </c>
      <c r="CG1151" s="16">
        <f>IF(CH1151&gt;0,1,0)</f>
        <v>1</v>
      </c>
      <c r="CH1151" s="16">
        <f>VLOOKUP($K1151,'[5]FECs - good data'!$C$1:$Z$574,22,FALSE)</f>
        <v>530</v>
      </c>
      <c r="CI1151" s="16">
        <f>CH1151/AS1151</f>
        <v>1106.4718162839247</v>
      </c>
      <c r="CJ1151" s="16">
        <f>IF(CK1151&gt;0,1,0)</f>
        <v>0</v>
      </c>
      <c r="CK1151" s="16">
        <f>VLOOKUP($K1151,'[5]FECs - good data'!$C$1:$Z$674,24,FALSE)</f>
        <v>0</v>
      </c>
      <c r="CL1151" s="16">
        <f>CK1151/AS1151</f>
        <v>0</v>
      </c>
      <c r="CS1151" s="16">
        <f>IF(CT1151&gt;0,1,0)</f>
        <v>1</v>
      </c>
      <c r="CT1151" s="16">
        <f>SUM(CW1151+CZ1151,DC1151)</f>
        <v>1</v>
      </c>
      <c r="CV1151" s="16">
        <f>SUM(CY1151,DB1151,DE1151)</f>
        <v>1106.4718162839247</v>
      </c>
      <c r="CW1151" s="16">
        <f>IF(CX1151&gt;0,1,0)</f>
        <v>1</v>
      </c>
      <c r="CX1151" s="16">
        <f>VLOOKUP($K1151,'[5]FECs - good data'!$C$1:$Z$574,22,FALSE)</f>
        <v>530</v>
      </c>
      <c r="CY1151" s="16">
        <f>CX1151/AS1151</f>
        <v>1106.4718162839247</v>
      </c>
      <c r="CZ1151" s="16">
        <f>IF(DA1151&gt;0,1,0)</f>
        <v>0</v>
      </c>
      <c r="DA1151" s="16">
        <f>VLOOKUP($K1151,'[5]FECs - good data'!$C$1:$Z$5982,23,FALSE)</f>
        <v>0</v>
      </c>
      <c r="DB1151" s="16">
        <f>DA1151/AS1151</f>
        <v>0</v>
      </c>
      <c r="DC1151" s="16">
        <f>IF(DD1151&gt;0,1,0)</f>
        <v>0</v>
      </c>
      <c r="DD1151" s="16">
        <f>VLOOKUP($K1151,'[5]FECs - good data'!$C$1:$Z$574,23,FALSE)</f>
        <v>0</v>
      </c>
      <c r="DE1151" s="16">
        <f>DD1151/AS1151</f>
        <v>0</v>
      </c>
      <c r="DF1151" s="16" t="e">
        <f>VLOOKUP(K1151,'[3]RNA Seq summary tables'!$V$3:$V$99,1,FALSE)</f>
        <v>#N/A</v>
      </c>
      <c r="DG1151" s="16">
        <v>1</v>
      </c>
      <c r="DH1151" s="16" t="str">
        <f>VLOOKUP(D1151,'[6]workflow 3.2018'!$A$1:$S$237,2,FALSE)</f>
        <v>2017MLBS_125</v>
      </c>
    </row>
    <row r="1152" spans="1:288" x14ac:dyDescent="0.2">
      <c r="B1152" s="16">
        <v>2017</v>
      </c>
      <c r="C1152" s="20">
        <v>42972</v>
      </c>
      <c r="D1152" s="20" t="str">
        <f>CONCATENATE(J1152,"-",C1152)</f>
        <v>1274-42972</v>
      </c>
      <c r="E1152" s="20" t="str">
        <f>CONCATENATE(T1152,"-",U1152,"-",C1152)</f>
        <v>SP2-G5-42972</v>
      </c>
      <c r="F1152" s="20" t="s">
        <v>106</v>
      </c>
      <c r="G1152" s="20" t="s">
        <v>107</v>
      </c>
      <c r="I1152" s="16">
        <v>0</v>
      </c>
      <c r="J1152" s="21">
        <v>1274</v>
      </c>
      <c r="K1152" s="21">
        <v>2254</v>
      </c>
      <c r="L1152" s="18">
        <v>0</v>
      </c>
      <c r="M1152" s="21">
        <f>VLOOKUP($K1152,'[4]blood tubes 2017'!$D$1:$L$947,8,FALSE)</f>
        <v>0</v>
      </c>
      <c r="N1152" s="15">
        <v>0</v>
      </c>
      <c r="O1152" s="15" t="s">
        <v>214</v>
      </c>
      <c r="P1152" s="16" t="s">
        <v>110</v>
      </c>
      <c r="Q1152" s="16">
        <v>1</v>
      </c>
      <c r="R1152" s="16">
        <v>15</v>
      </c>
      <c r="T1152" s="16" t="s">
        <v>137</v>
      </c>
      <c r="U1152" s="16" t="s">
        <v>200</v>
      </c>
      <c r="V1152" s="16" t="s">
        <v>114</v>
      </c>
      <c r="W1152" s="16">
        <f>AI1152/AG1152</f>
        <v>0.8314606741573034</v>
      </c>
      <c r="X1152" s="16" t="s">
        <v>121</v>
      </c>
      <c r="Y1152" s="16" t="s">
        <v>110</v>
      </c>
      <c r="Z1152" s="16">
        <v>3</v>
      </c>
      <c r="AA1152" s="16" t="s">
        <v>161</v>
      </c>
      <c r="AB1152" s="16" t="s">
        <v>123</v>
      </c>
      <c r="AC1152" s="16" t="s">
        <v>123</v>
      </c>
      <c r="AD1152" s="16" t="s">
        <v>116</v>
      </c>
      <c r="AG1152" s="16">
        <f>AH1152-AI1152</f>
        <v>89</v>
      </c>
      <c r="AH1152" s="16">
        <v>163</v>
      </c>
      <c r="AI1152" s="16">
        <v>74</v>
      </c>
      <c r="AK1152" s="16">
        <v>18</v>
      </c>
      <c r="AL1152" s="16">
        <v>0</v>
      </c>
      <c r="AM1152" s="16">
        <v>0</v>
      </c>
      <c r="AN1152" s="16">
        <v>0</v>
      </c>
      <c r="AO1152" s="16">
        <v>0</v>
      </c>
      <c r="AP1152" s="16">
        <f>SUM(AL1152:AN1152)</f>
        <v>0</v>
      </c>
      <c r="AQ1152" s="16">
        <v>1.911</v>
      </c>
      <c r="AR1152" s="16">
        <f>AP1152-1.472</f>
        <v>-1.472</v>
      </c>
      <c r="AS1152" s="16">
        <f>AQ1152-1.472</f>
        <v>0.43900000000000006</v>
      </c>
      <c r="AT1152" s="16" t="str">
        <f>VLOOKUP(K1152,'[5]FECs - good data'!$C$1:$P$575,13,FALSE)</f>
        <v>JB</v>
      </c>
      <c r="AW1152" s="18">
        <f>IF(AX1152&gt;0,1,0)</f>
        <v>1</v>
      </c>
      <c r="AX1152" s="18">
        <f>SUM(BA1152,BM1152,CT1152)</f>
        <v>2</v>
      </c>
      <c r="AY1152" s="18">
        <f>SUM(BB1152,BN1152,CV1152)</f>
        <v>1116.1731207289292</v>
      </c>
      <c r="AZ1152" s="18">
        <f>IF(BA1152&gt;0,1,0)</f>
        <v>0</v>
      </c>
      <c r="BA1152" s="18">
        <f>SUM(BC1152,BF1152,BI1152)</f>
        <v>0</v>
      </c>
      <c r="BB1152" s="18">
        <f>SUM(BE1152,BH1152,BK1152)</f>
        <v>0</v>
      </c>
      <c r="BC1152" s="18">
        <f>IF(BD1152&gt;0,1,0)</f>
        <v>0</v>
      </c>
      <c r="BD1152" s="18">
        <f>VLOOKUP($K1152,'[5]FECs - good data'!$C$1:$Z$574,14,FALSE)</f>
        <v>0</v>
      </c>
      <c r="BE1152" s="16">
        <f>BD1152/AS1152</f>
        <v>0</v>
      </c>
      <c r="BF1152" s="16">
        <f>IF(BG1152&gt;0,1,0)</f>
        <v>0</v>
      </c>
      <c r="BG1152" s="77">
        <f>VLOOKUP($K1152,'[5]FECs - good data'!$C$1:$Z$574,15,FALSE)</f>
        <v>0</v>
      </c>
      <c r="BH1152" s="16">
        <f>BG1152/AS1152</f>
        <v>0</v>
      </c>
      <c r="BI1152" s="16">
        <f>IF(BJ1152&gt;0,1,0)</f>
        <v>0</v>
      </c>
      <c r="BJ1152" s="16">
        <f>VLOOKUP($K1152,'[5]FECs - good data'!$C$1:$Z$574,16,FALSE)</f>
        <v>0</v>
      </c>
      <c r="BK1152" s="16">
        <f>BJ1152/AS1152</f>
        <v>0</v>
      </c>
      <c r="BL1152" s="16">
        <f>IF(BM1152&gt;0,1,0)</f>
        <v>1</v>
      </c>
      <c r="BM1152" s="16">
        <f>SUM(BR1152,BU1152,BX1152,CA1152,CD1152,CG1152,CJ1152,CM1152,CP1152)</f>
        <v>1</v>
      </c>
      <c r="BN1152" s="16">
        <f>SUM(BW1152,BZ1152,CC1152,CF1152,CI1152,CL1152,CO1152,CR1152,BT1152)</f>
        <v>558.08656036446462</v>
      </c>
      <c r="BO1152" s="16">
        <f>IF(BP1152&gt;0,1,0)</f>
        <v>0</v>
      </c>
      <c r="BP1152" s="16">
        <f>SUM(BU1152,BX1152,CA1152,CD1152,BR1152)</f>
        <v>0</v>
      </c>
      <c r="BQ1152" s="16">
        <f>SUM(BZ1152,CC1152,CF1152,BT1152,BW1152)</f>
        <v>0</v>
      </c>
      <c r="BR1152" s="16">
        <f>IF(BS1152&gt;0,1,0)</f>
        <v>0</v>
      </c>
      <c r="BS1152" s="16">
        <f>VLOOKUP($K1152,'[5]FECs - good data'!$C$1:$Z$574,17,FALSE)</f>
        <v>0</v>
      </c>
      <c r="BT1152" s="77">
        <f>BS1152/AS1152</f>
        <v>0</v>
      </c>
      <c r="BU1152" s="16">
        <f>IF(BV1152&gt;0,1,0)</f>
        <v>0</v>
      </c>
      <c r="BV1152" s="16">
        <f>VLOOKUP($K1152,'[5]FECs - good data'!$C$1:$Z$574,18,FALSE)</f>
        <v>0</v>
      </c>
      <c r="BW1152" s="16">
        <f>BV1152/AS1152</f>
        <v>0</v>
      </c>
      <c r="BX1152" s="16">
        <f>IF(BY1152&gt;0,1,0)</f>
        <v>0</v>
      </c>
      <c r="BY1152" s="16">
        <f>VLOOKUP($K1152,'[5]FECs - good data'!$C$1:$Z$574,19,FALSE)</f>
        <v>0</v>
      </c>
      <c r="BZ1152" s="16">
        <f>BY1152/AS1152</f>
        <v>0</v>
      </c>
      <c r="CA1152" s="16">
        <f>IF(CB1152&gt;0,1,0)</f>
        <v>0</v>
      </c>
      <c r="CB1152" s="16">
        <f>VLOOKUP($K1152,'[5]FECs - good data'!$C$1:$Z$574,20,FALSE)</f>
        <v>0</v>
      </c>
      <c r="CC1152" s="16">
        <f>CB1152/AS1152</f>
        <v>0</v>
      </c>
      <c r="CD1152" s="77">
        <f>IF(CE1152&gt;0,1,0)</f>
        <v>0</v>
      </c>
      <c r="CE1152" s="16">
        <f>VLOOKUP($K1152,'[5]FECs - good data'!$C$1:$Z$574,21,FALSE)</f>
        <v>0</v>
      </c>
      <c r="CF1152" s="16">
        <f>CE1152/AS1152</f>
        <v>0</v>
      </c>
      <c r="CG1152" s="16">
        <f>IF(CH1152&gt;0,1,0)</f>
        <v>1</v>
      </c>
      <c r="CH1152" s="16">
        <f>VLOOKUP($K1152,'[5]FECs - good data'!$C$1:$Z$574,22,FALSE)</f>
        <v>245</v>
      </c>
      <c r="CI1152" s="16">
        <f>CH1152/AS1152</f>
        <v>558.08656036446462</v>
      </c>
      <c r="CJ1152" s="16">
        <f>IF(CK1152&gt;0,1,0)</f>
        <v>0</v>
      </c>
      <c r="CK1152" s="16">
        <f>VLOOKUP($K1152,'[5]FECs - good data'!$C$1:$Z$674,24,FALSE)</f>
        <v>0</v>
      </c>
      <c r="CL1152" s="16">
        <f>CK1152/AS1152</f>
        <v>0</v>
      </c>
      <c r="CS1152" s="16">
        <f>IF(CT1152&gt;0,1,0)</f>
        <v>1</v>
      </c>
      <c r="CT1152" s="16">
        <f>SUM(CW1152+CZ1152,DC1152)</f>
        <v>1</v>
      </c>
      <c r="CV1152" s="16">
        <f>SUM(CY1152,DB1152,DE1152)</f>
        <v>558.08656036446462</v>
      </c>
      <c r="CW1152" s="16">
        <f>IF(CX1152&gt;0,1,0)</f>
        <v>1</v>
      </c>
      <c r="CX1152" s="16">
        <f>VLOOKUP($K1152,'[5]FECs - good data'!$C$1:$Z$574,22,FALSE)</f>
        <v>245</v>
      </c>
      <c r="CY1152" s="16">
        <f>CX1152/AS1152</f>
        <v>558.08656036446462</v>
      </c>
      <c r="CZ1152" s="16">
        <f>IF(DA1152&gt;0,1,0)</f>
        <v>0</v>
      </c>
      <c r="DA1152" s="16">
        <f>VLOOKUP($K1152,'[5]FECs - good data'!$C$1:$Z$5982,23,FALSE)</f>
        <v>0</v>
      </c>
      <c r="DB1152" s="16">
        <f>DA1152/AS1152</f>
        <v>0</v>
      </c>
      <c r="DC1152" s="16">
        <f>IF(DD1152&gt;0,1,0)</f>
        <v>0</v>
      </c>
      <c r="DD1152" s="16">
        <f>VLOOKUP($K1152,'[5]FECs - good data'!$C$1:$Z$574,23,FALSE)</f>
        <v>0</v>
      </c>
      <c r="DE1152" s="16">
        <f>DD1152/AS1152</f>
        <v>0</v>
      </c>
      <c r="DF1152" s="16" t="e">
        <f>VLOOKUP(K1152,'[3]RNA Seq summary tables'!$V$3:$V$99,1,FALSE)</f>
        <v>#N/A</v>
      </c>
      <c r="DG1152" s="16">
        <v>1</v>
      </c>
      <c r="DH1152" s="16" t="str">
        <f>VLOOKUP(D1152,'[6]workflow 3.2018'!$A$1:$S$237,2,FALSE)</f>
        <v>2017MLBS_189</v>
      </c>
    </row>
    <row r="1153" spans="1:288" x14ac:dyDescent="0.2">
      <c r="B1153" s="16">
        <v>2017</v>
      </c>
      <c r="C1153" s="20">
        <v>42940</v>
      </c>
      <c r="D1153" s="20" t="str">
        <f>CONCATENATE(J1153,"-",C1153)</f>
        <v>1276-42940</v>
      </c>
      <c r="E1153" s="20" t="str">
        <f>CONCATENATE(T1153,"-",U1153,"-",C1153)</f>
        <v>SP1-A7-42940</v>
      </c>
      <c r="F1153" s="20" t="s">
        <v>106</v>
      </c>
      <c r="G1153" s="20" t="s">
        <v>107</v>
      </c>
      <c r="I1153" s="16">
        <v>0</v>
      </c>
      <c r="J1153" s="21">
        <v>1276</v>
      </c>
      <c r="K1153" s="21">
        <v>1975</v>
      </c>
      <c r="L1153" s="18">
        <v>0</v>
      </c>
      <c r="M1153" s="21">
        <f>VLOOKUP($K1153,'[4]blood tubes 2017'!$D$1:$L$647,8,FALSE)</f>
        <v>0</v>
      </c>
      <c r="N1153" s="15">
        <v>0</v>
      </c>
      <c r="O1153" s="15" t="s">
        <v>214</v>
      </c>
      <c r="P1153" s="16" t="s">
        <v>110</v>
      </c>
      <c r="Q1153" s="16">
        <v>0</v>
      </c>
      <c r="R1153" s="16" t="s">
        <v>111</v>
      </c>
      <c r="T1153" s="16" t="s">
        <v>140</v>
      </c>
      <c r="U1153" s="16" t="s">
        <v>120</v>
      </c>
      <c r="V1153" s="16" t="s">
        <v>114</v>
      </c>
      <c r="W1153" s="16">
        <f>AI1153/AG1153</f>
        <v>0.88764044943820219</v>
      </c>
      <c r="X1153" s="16" t="s">
        <v>121</v>
      </c>
      <c r="Y1153" s="16" t="s">
        <v>110</v>
      </c>
      <c r="Z1153" s="16">
        <v>3</v>
      </c>
      <c r="AA1153" s="16" t="s">
        <v>119</v>
      </c>
      <c r="AB1153" s="16" t="s">
        <v>123</v>
      </c>
      <c r="AC1153" s="16" t="s">
        <v>123</v>
      </c>
      <c r="AD1153" s="16" t="s">
        <v>123</v>
      </c>
      <c r="AG1153" s="16">
        <f>AH1153-AI1153</f>
        <v>89</v>
      </c>
      <c r="AH1153" s="16">
        <v>168</v>
      </c>
      <c r="AI1153" s="16">
        <v>79</v>
      </c>
      <c r="AK1153" s="16">
        <v>20.5</v>
      </c>
      <c r="AL1153" s="16">
        <v>0</v>
      </c>
      <c r="AM1153" s="16">
        <v>0</v>
      </c>
      <c r="AN1153" s="16">
        <v>0</v>
      </c>
      <c r="AO1153" s="16">
        <v>0</v>
      </c>
      <c r="AP1153" s="16">
        <f>SUM(AL1153:AN1153)</f>
        <v>0</v>
      </c>
      <c r="AQ1153" s="16">
        <v>1.8149999999999999</v>
      </c>
      <c r="AR1153" s="16">
        <f>AP1153-1.472</f>
        <v>-1.472</v>
      </c>
      <c r="AS1153" s="16">
        <f>AQ1153-1.472</f>
        <v>0.34299999999999997</v>
      </c>
      <c r="AT1153" s="16" t="str">
        <f>VLOOKUP(K1153,'[5]FECs - good data'!$C$1:$P$575,13,FALSE)</f>
        <v>NB</v>
      </c>
      <c r="AW1153" s="18">
        <f>IF(AX1153&gt;0,1,0)</f>
        <v>0</v>
      </c>
      <c r="AX1153" s="18">
        <f>SUM(BA1153,BM1153,CT1153)</f>
        <v>0</v>
      </c>
      <c r="AY1153" s="18">
        <f>SUM(BB1153,BN1153,CV1153)</f>
        <v>0</v>
      </c>
      <c r="AZ1153" s="18">
        <f>IF(BA1153&gt;0,1,0)</f>
        <v>0</v>
      </c>
      <c r="BA1153" s="18">
        <f>SUM(BC1153,BF1153,BI1153)</f>
        <v>0</v>
      </c>
      <c r="BB1153" s="18">
        <f>SUM(BE1153,BH1153,BK1153)</f>
        <v>0</v>
      </c>
      <c r="BC1153" s="18">
        <f>IF(BD1153&gt;0,1,0)</f>
        <v>0</v>
      </c>
      <c r="BD1153" s="18">
        <f>VLOOKUP($K1153,'[5]FECs - good data'!$C$1:$Z$574,14,FALSE)</f>
        <v>0</v>
      </c>
      <c r="BE1153" s="16">
        <f>BD1153/AS1153</f>
        <v>0</v>
      </c>
      <c r="BF1153" s="16">
        <f>IF(BG1153&gt;0,1,0)</f>
        <v>0</v>
      </c>
      <c r="BG1153" s="77">
        <f>VLOOKUP($K1153,'[5]FECs - good data'!$C$1:$Z$574,15,FALSE)</f>
        <v>0</v>
      </c>
      <c r="BH1153" s="16">
        <f>BG1153/AS1153</f>
        <v>0</v>
      </c>
      <c r="BI1153" s="16">
        <f>IF(BJ1153&gt;0,1,0)</f>
        <v>0</v>
      </c>
      <c r="BJ1153" s="16">
        <f>VLOOKUP($K1153,'[5]FECs - good data'!$C$1:$Z$574,16,FALSE)</f>
        <v>0</v>
      </c>
      <c r="BK1153" s="16">
        <f>BJ1153/AS1153</f>
        <v>0</v>
      </c>
      <c r="BL1153" s="16">
        <f>IF(BM1153&gt;0,1,0)</f>
        <v>0</v>
      </c>
      <c r="BM1153" s="16">
        <f>SUM(BR1153,BU1153,BX1153,CA1153,CD1153,CG1153,CJ1153,CM1153,CP1153)</f>
        <v>0</v>
      </c>
      <c r="BN1153" s="16">
        <f>SUM(BW1153,BZ1153,CC1153,CF1153,CI1153,CL1153,CO1153,CR1153,BT1153)</f>
        <v>0</v>
      </c>
      <c r="BO1153" s="16">
        <f>IF(BP1153&gt;0,1,0)</f>
        <v>0</v>
      </c>
      <c r="BP1153" s="16">
        <f>SUM(BU1153,BX1153,CA1153,CD1153,BR1153)</f>
        <v>0</v>
      </c>
      <c r="BQ1153" s="16">
        <f>SUM(BZ1153,CC1153,CF1153,BT1153,BW1153)</f>
        <v>0</v>
      </c>
      <c r="BR1153" s="16">
        <f>IF(BS1153&gt;0,1,0)</f>
        <v>0</v>
      </c>
      <c r="BS1153" s="16">
        <f>VLOOKUP($K1153,'[5]FECs - good data'!$C$1:$Z$574,17,FALSE)</f>
        <v>0</v>
      </c>
      <c r="BT1153" s="77">
        <f>BS1153/AS1153</f>
        <v>0</v>
      </c>
      <c r="BU1153" s="16">
        <f>IF(BV1153&gt;0,1,0)</f>
        <v>0</v>
      </c>
      <c r="BV1153" s="16">
        <f>VLOOKUP($K1153,'[5]FECs - good data'!$C$1:$Z$574,18,FALSE)</f>
        <v>0</v>
      </c>
      <c r="BW1153" s="16">
        <f>BV1153/AS1153</f>
        <v>0</v>
      </c>
      <c r="BX1153" s="16">
        <f>IF(BY1153&gt;0,1,0)</f>
        <v>0</v>
      </c>
      <c r="BY1153" s="16">
        <f>VLOOKUP($K1153,'[5]FECs - good data'!$C$1:$Z$574,19,FALSE)</f>
        <v>0</v>
      </c>
      <c r="BZ1153" s="16">
        <f>BY1153/AS1153</f>
        <v>0</v>
      </c>
      <c r="CA1153" s="16">
        <f>IF(CB1153&gt;0,1,0)</f>
        <v>0</v>
      </c>
      <c r="CB1153" s="16">
        <f>VLOOKUP($K1153,'[5]FECs - good data'!$C$1:$Z$574,20,FALSE)</f>
        <v>0</v>
      </c>
      <c r="CC1153" s="16">
        <f>CB1153/AS1153</f>
        <v>0</v>
      </c>
      <c r="CD1153" s="77">
        <f>IF(CE1153&gt;0,1,0)</f>
        <v>0</v>
      </c>
      <c r="CE1153" s="16">
        <f>VLOOKUP($K1153,'[5]FECs - good data'!$C$1:$Z$574,21,FALSE)</f>
        <v>0</v>
      </c>
      <c r="CF1153" s="16">
        <f>CE1153/AS1153</f>
        <v>0</v>
      </c>
      <c r="CG1153" s="16">
        <f>IF(CH1153&gt;0,1,0)</f>
        <v>0</v>
      </c>
      <c r="CH1153" s="16">
        <f>VLOOKUP($K1153,'[5]FECs - good data'!$C$1:$Z$574,22,FALSE)</f>
        <v>0</v>
      </c>
      <c r="CI1153" s="16">
        <f>CH1153/AS1153</f>
        <v>0</v>
      </c>
      <c r="CJ1153" s="16">
        <f>IF(CK1153&gt;0,1,0)</f>
        <v>0</v>
      </c>
      <c r="CK1153" s="16">
        <f>VLOOKUP($K1153,'[5]FECs - good data'!$C$1:$Z$674,24,FALSE)</f>
        <v>0</v>
      </c>
      <c r="CL1153" s="16">
        <f>CK1153/AS1153</f>
        <v>0</v>
      </c>
      <c r="CS1153" s="16">
        <f>IF(CT1153&gt;0,1,0)</f>
        <v>0</v>
      </c>
      <c r="CT1153" s="16">
        <f>SUM(CW1153+CZ1153,DC1153)</f>
        <v>0</v>
      </c>
      <c r="CV1153" s="16">
        <f>SUM(CY1153,DB1153,DE1153)</f>
        <v>0</v>
      </c>
      <c r="CW1153" s="16">
        <f>IF(CX1153&gt;0,1,0)</f>
        <v>0</v>
      </c>
      <c r="CX1153" s="16">
        <f>VLOOKUP($K1153,'[5]FECs - good data'!$C$1:$Z$574,22,FALSE)</f>
        <v>0</v>
      </c>
      <c r="CY1153" s="16">
        <f>CX1153/AS1153</f>
        <v>0</v>
      </c>
      <c r="CZ1153" s="16">
        <f>IF(DA1153&gt;0,1,0)</f>
        <v>0</v>
      </c>
      <c r="DA1153" s="16">
        <f>VLOOKUP($K1153,'[5]FECs - good data'!$C$1:$Z$5982,23,FALSE)</f>
        <v>0</v>
      </c>
      <c r="DB1153" s="16">
        <f>DA1153/AS1153</f>
        <v>0</v>
      </c>
      <c r="DC1153" s="16">
        <f>IF(DD1153&gt;0,1,0)</f>
        <v>0</v>
      </c>
      <c r="DD1153" s="16">
        <f>VLOOKUP($K1153,'[5]FECs - good data'!$C$1:$Z$574,23,FALSE)</f>
        <v>0</v>
      </c>
      <c r="DE1153" s="16">
        <f>DD1153/AS1153</f>
        <v>0</v>
      </c>
      <c r="DF1153" s="16" t="e">
        <f>VLOOKUP(K1153,'[3]RNA Seq summary tables'!$V$3:$V$99,1,FALSE)</f>
        <v>#N/A</v>
      </c>
      <c r="DG1153" s="16">
        <v>1</v>
      </c>
      <c r="DH1153" s="16" t="str">
        <f>VLOOKUP(D1153,'[6]workflow 3.2018'!$A$1:$S$237,2,FALSE)</f>
        <v>2017MLBS_76</v>
      </c>
      <c r="JR1153" s="128"/>
      <c r="JS1153" s="128"/>
      <c r="JT1153" s="128"/>
      <c r="JU1153" s="128"/>
      <c r="JV1153" s="128"/>
      <c r="JW1153" s="128"/>
      <c r="JX1153" s="128"/>
      <c r="JY1153" s="128"/>
      <c r="JZ1153" s="128"/>
      <c r="KA1153" s="128"/>
      <c r="KB1153" s="128"/>
    </row>
    <row r="1154" spans="1:288" x14ac:dyDescent="0.2">
      <c r="B1154" s="16">
        <v>2017</v>
      </c>
      <c r="C1154" s="20">
        <v>42957</v>
      </c>
      <c r="D1154" s="20" t="str">
        <f>CONCATENATE(J1154,"-",C1154)</f>
        <v>1276-42957</v>
      </c>
      <c r="E1154" s="20" t="str">
        <f>CONCATENATE(T1154,"-",U1154,"-",C1154)</f>
        <v>SP1-A8-42957</v>
      </c>
      <c r="F1154" s="20" t="s">
        <v>106</v>
      </c>
      <c r="G1154" s="20" t="s">
        <v>107</v>
      </c>
      <c r="I1154" s="16">
        <v>0</v>
      </c>
      <c r="J1154" s="21">
        <v>1276</v>
      </c>
      <c r="K1154" s="21">
        <v>2107</v>
      </c>
      <c r="L1154" s="18">
        <v>0</v>
      </c>
      <c r="M1154" s="21">
        <f>VLOOKUP($K1154,'[4]blood tubes 2017'!$D$1:$L$647,8,FALSE)</f>
        <v>0</v>
      </c>
      <c r="N1154" s="15">
        <v>0</v>
      </c>
      <c r="O1154" s="15" t="s">
        <v>214</v>
      </c>
      <c r="P1154" s="16" t="s">
        <v>110</v>
      </c>
      <c r="Q1154" s="16">
        <v>1</v>
      </c>
      <c r="R1154" s="16">
        <v>17</v>
      </c>
      <c r="T1154" s="16" t="s">
        <v>140</v>
      </c>
      <c r="U1154" s="16" t="s">
        <v>194</v>
      </c>
      <c r="V1154" s="16" t="s">
        <v>114</v>
      </c>
      <c r="W1154" s="16">
        <f>AI1154/AG1154</f>
        <v>0.8571428571428571</v>
      </c>
      <c r="X1154" s="16" t="s">
        <v>121</v>
      </c>
      <c r="Y1154" s="16" t="s">
        <v>110</v>
      </c>
      <c r="Z1154" s="16">
        <v>3</v>
      </c>
      <c r="AA1154" s="16" t="s">
        <v>119</v>
      </c>
      <c r="AB1154" s="16" t="s">
        <v>239</v>
      </c>
      <c r="AC1154" s="16" t="s">
        <v>123</v>
      </c>
      <c r="AD1154" s="16" t="s">
        <v>123</v>
      </c>
      <c r="AG1154" s="16">
        <f>AH1154-AI1154</f>
        <v>91</v>
      </c>
      <c r="AH1154" s="16">
        <v>169</v>
      </c>
      <c r="AI1154" s="16">
        <v>78</v>
      </c>
      <c r="AK1154" s="16">
        <v>19</v>
      </c>
      <c r="AL1154" s="16">
        <v>0</v>
      </c>
      <c r="AM1154" s="16">
        <v>0</v>
      </c>
      <c r="AN1154" s="16">
        <v>0</v>
      </c>
      <c r="AO1154" s="16">
        <v>0</v>
      </c>
      <c r="AP1154" s="16">
        <f>SUM(AL1154:AN1154)</f>
        <v>0</v>
      </c>
      <c r="AQ1154" s="16">
        <v>1.736</v>
      </c>
      <c r="AR1154" s="16">
        <f>AP1154-1.472</f>
        <v>-1.472</v>
      </c>
      <c r="AS1154" s="16">
        <f>AQ1154-1.472</f>
        <v>0.26400000000000001</v>
      </c>
      <c r="AT1154" s="16" t="str">
        <f>VLOOKUP(K1154,'[5]FECs - good data'!$C$1:$P$575,13,FALSE)</f>
        <v>TE</v>
      </c>
      <c r="AW1154" s="18">
        <f>IF(AX1154&gt;0,1,0)</f>
        <v>1</v>
      </c>
      <c r="AX1154" s="18">
        <f>SUM(BA1154,BM1154,CT1154)</f>
        <v>1</v>
      </c>
      <c r="AY1154" s="18">
        <f>SUM(BB1154,BN1154,CV1154)</f>
        <v>401.5151515151515</v>
      </c>
      <c r="AZ1154" s="18">
        <f>IF(BA1154&gt;0,1,0)</f>
        <v>1</v>
      </c>
      <c r="BA1154" s="18">
        <f>SUM(BC1154,BF1154,BI1154)</f>
        <v>1</v>
      </c>
      <c r="BB1154" s="18">
        <f>SUM(BE1154,BH1154,BK1154)</f>
        <v>401.5151515151515</v>
      </c>
      <c r="BC1154" s="18">
        <f>IF(BD1154&gt;0,1,0)</f>
        <v>0</v>
      </c>
      <c r="BD1154" s="18">
        <f>VLOOKUP($K1154,'[5]FECs - good data'!$C$1:$Z$574,14,FALSE)</f>
        <v>0</v>
      </c>
      <c r="BE1154" s="16">
        <f>BD1154/AS1154</f>
        <v>0</v>
      </c>
      <c r="BF1154" s="16">
        <f>IF(BG1154&gt;0,1,0)</f>
        <v>1</v>
      </c>
      <c r="BG1154" s="77">
        <f>VLOOKUP($K1154,'[5]FECs - good data'!$C$1:$Z$574,15,FALSE)</f>
        <v>106</v>
      </c>
      <c r="BH1154" s="16">
        <f>BG1154/AS1154</f>
        <v>401.5151515151515</v>
      </c>
      <c r="BI1154" s="16">
        <f>IF(BJ1154&gt;0,1,0)</f>
        <v>0</v>
      </c>
      <c r="BJ1154" s="16">
        <f>VLOOKUP($K1154,'[5]FECs - good data'!$C$1:$Z$574,16,FALSE)</f>
        <v>0</v>
      </c>
      <c r="BK1154" s="16">
        <f>BJ1154/AS1154</f>
        <v>0</v>
      </c>
      <c r="BL1154" s="16">
        <f>IF(BM1154&gt;0,1,0)</f>
        <v>0</v>
      </c>
      <c r="BM1154" s="16">
        <f>SUM(BR1154,BU1154,BX1154,CA1154,CD1154,CG1154,CJ1154,CM1154,CP1154)</f>
        <v>0</v>
      </c>
      <c r="BN1154" s="16">
        <f>SUM(BW1154,BZ1154,CC1154,CF1154,CI1154,CL1154,CO1154,CR1154,BT1154)</f>
        <v>0</v>
      </c>
      <c r="BO1154" s="16">
        <f>IF(BP1154&gt;0,1,0)</f>
        <v>0</v>
      </c>
      <c r="BP1154" s="16">
        <f>SUM(BU1154,BX1154,CA1154,CD1154,BR1154)</f>
        <v>0</v>
      </c>
      <c r="BQ1154" s="16">
        <f>SUM(BZ1154,CC1154,CF1154,BT1154,BW1154)</f>
        <v>0</v>
      </c>
      <c r="BR1154" s="16">
        <f>IF(BS1154&gt;0,1,0)</f>
        <v>0</v>
      </c>
      <c r="BS1154" s="16">
        <f>VLOOKUP($K1154,'[5]FECs - good data'!$C$1:$Z$574,17,FALSE)</f>
        <v>0</v>
      </c>
      <c r="BT1154" s="77">
        <f>BS1154/AS1154</f>
        <v>0</v>
      </c>
      <c r="BU1154" s="16">
        <f>IF(BV1154&gt;0,1,0)</f>
        <v>0</v>
      </c>
      <c r="BV1154" s="16">
        <f>VLOOKUP($K1154,'[5]FECs - good data'!$C$1:$Z$574,18,FALSE)</f>
        <v>0</v>
      </c>
      <c r="BW1154" s="16">
        <f>BV1154/AS1154</f>
        <v>0</v>
      </c>
      <c r="BX1154" s="16">
        <f>IF(BY1154&gt;0,1,0)</f>
        <v>0</v>
      </c>
      <c r="BY1154" s="16">
        <f>VLOOKUP($K1154,'[5]FECs - good data'!$C$1:$Z$574,19,FALSE)</f>
        <v>0</v>
      </c>
      <c r="BZ1154" s="16">
        <f>BY1154/AS1154</f>
        <v>0</v>
      </c>
      <c r="CA1154" s="16">
        <f>IF(CB1154&gt;0,1,0)</f>
        <v>0</v>
      </c>
      <c r="CB1154" s="16">
        <f>VLOOKUP($K1154,'[5]FECs - good data'!$C$1:$Z$574,20,FALSE)</f>
        <v>0</v>
      </c>
      <c r="CC1154" s="16">
        <f>CB1154/AS1154</f>
        <v>0</v>
      </c>
      <c r="CD1154" s="77">
        <f>IF(CE1154&gt;0,1,0)</f>
        <v>0</v>
      </c>
      <c r="CE1154" s="16">
        <f>VLOOKUP($K1154,'[5]FECs - good data'!$C$1:$Z$574,21,FALSE)</f>
        <v>0</v>
      </c>
      <c r="CF1154" s="16">
        <f>CE1154/AS1154</f>
        <v>0</v>
      </c>
      <c r="CG1154" s="16">
        <f>IF(CH1154&gt;0,1,0)</f>
        <v>0</v>
      </c>
      <c r="CH1154" s="16">
        <f>VLOOKUP($K1154,'[5]FECs - good data'!$C$1:$Z$574,22,FALSE)</f>
        <v>0</v>
      </c>
      <c r="CI1154" s="16">
        <f>CH1154/AS1154</f>
        <v>0</v>
      </c>
      <c r="CJ1154" s="16">
        <f>IF(CK1154&gt;0,1,0)</f>
        <v>0</v>
      </c>
      <c r="CK1154" s="16">
        <f>VLOOKUP($K1154,'[5]FECs - good data'!$C$1:$Z$674,24,FALSE)</f>
        <v>0</v>
      </c>
      <c r="CL1154" s="16">
        <f>CK1154/AS1154</f>
        <v>0</v>
      </c>
      <c r="CS1154" s="16">
        <f>IF(CT1154&gt;0,1,0)</f>
        <v>0</v>
      </c>
      <c r="CT1154" s="16">
        <f>SUM(CW1154+CZ1154,DC1154)</f>
        <v>0</v>
      </c>
      <c r="CV1154" s="16">
        <f>SUM(CY1154,DB1154,DE1154)</f>
        <v>0</v>
      </c>
      <c r="CW1154" s="16">
        <f>IF(CX1154&gt;0,1,0)</f>
        <v>0</v>
      </c>
      <c r="CX1154" s="16">
        <f>VLOOKUP($K1154,'[5]FECs - good data'!$C$1:$Z$574,22,FALSE)</f>
        <v>0</v>
      </c>
      <c r="CY1154" s="16">
        <f>CX1154/AS1154</f>
        <v>0</v>
      </c>
      <c r="CZ1154" s="16">
        <f>IF(DA1154&gt;0,1,0)</f>
        <v>0</v>
      </c>
      <c r="DA1154" s="16">
        <f>VLOOKUP($K1154,'[5]FECs - good data'!$C$1:$Z$5982,23,FALSE)</f>
        <v>0</v>
      </c>
      <c r="DB1154" s="16">
        <f>DA1154/AS1154</f>
        <v>0</v>
      </c>
      <c r="DC1154" s="16">
        <f>IF(DD1154&gt;0,1,0)</f>
        <v>0</v>
      </c>
      <c r="DD1154" s="16">
        <f>VLOOKUP($K1154,'[5]FECs - good data'!$C$1:$Z$574,23,FALSE)</f>
        <v>0</v>
      </c>
      <c r="DE1154" s="16">
        <f>DD1154/AS1154</f>
        <v>0</v>
      </c>
      <c r="DF1154" s="16" t="e">
        <f>VLOOKUP(K1154,'[3]RNA Seq summary tables'!$V$3:$V$99,1,FALSE)</f>
        <v>#N/A</v>
      </c>
      <c r="DG1154" s="16">
        <v>1</v>
      </c>
      <c r="DH1154" s="16" t="str">
        <f>VLOOKUP(D1154,'[6]workflow 3.2018'!$A$1:$S$237,2,FALSE)</f>
        <v>2017MLBS_118</v>
      </c>
    </row>
    <row r="1155" spans="1:288" ht="16" x14ac:dyDescent="0.2">
      <c r="B1155" s="16">
        <v>2017</v>
      </c>
      <c r="C1155" s="20">
        <v>42973</v>
      </c>
      <c r="D1155" s="20" t="str">
        <f>CONCATENATE(J1155,"-",C1155)</f>
        <v>1276-42973</v>
      </c>
      <c r="E1155" s="37" t="str">
        <f>CONCATENATE(T1155,"-",U1155,"-",C1155)</f>
        <v>SP1-B7-42973</v>
      </c>
      <c r="F1155" s="37" t="s">
        <v>224</v>
      </c>
      <c r="G1155" s="20" t="s">
        <v>107</v>
      </c>
      <c r="I1155" s="16">
        <v>0</v>
      </c>
      <c r="J1155" s="21">
        <v>1276</v>
      </c>
      <c r="K1155" s="21">
        <v>2260</v>
      </c>
      <c r="L1155" s="18">
        <v>0</v>
      </c>
      <c r="M1155" s="21">
        <f>VLOOKUP($K1155,'[4]blood tubes 2017'!$D$1:$L$947,8,FALSE)</f>
        <v>0</v>
      </c>
      <c r="N1155" s="15">
        <v>0</v>
      </c>
      <c r="O1155" s="15" t="s">
        <v>214</v>
      </c>
      <c r="P1155" s="16" t="s">
        <v>110</v>
      </c>
      <c r="Q1155" s="16">
        <v>1</v>
      </c>
      <c r="R1155" s="16">
        <v>16</v>
      </c>
      <c r="T1155" s="16" t="s">
        <v>140</v>
      </c>
      <c r="U1155" s="16" t="s">
        <v>168</v>
      </c>
      <c r="V1155" s="16" t="s">
        <v>114</v>
      </c>
      <c r="W1155" s="16">
        <f>AI1155/AG1155</f>
        <v>0.81521739130434778</v>
      </c>
      <c r="X1155" s="16" t="s">
        <v>121</v>
      </c>
      <c r="Y1155" s="16" t="s">
        <v>110</v>
      </c>
      <c r="Z1155" s="16">
        <v>3</v>
      </c>
      <c r="AA1155" s="16" t="s">
        <v>119</v>
      </c>
      <c r="AB1155" s="16" t="s">
        <v>239</v>
      </c>
      <c r="AC1155" s="16" t="s">
        <v>123</v>
      </c>
      <c r="AD1155" s="16" t="s">
        <v>123</v>
      </c>
      <c r="AG1155" s="16">
        <f>AH1155-AI1155</f>
        <v>92</v>
      </c>
      <c r="AH1155" s="16">
        <v>167</v>
      </c>
      <c r="AI1155" s="16">
        <v>75</v>
      </c>
      <c r="AK1155" s="16">
        <v>19.5</v>
      </c>
      <c r="AL1155" s="16">
        <v>0</v>
      </c>
      <c r="AM1155" s="16">
        <v>1</v>
      </c>
      <c r="AN1155" s="16">
        <v>0</v>
      </c>
      <c r="AO1155" s="16">
        <v>1</v>
      </c>
      <c r="AP1155" s="16">
        <f>SUM(AL1155:AN1155)</f>
        <v>1</v>
      </c>
      <c r="AQ1155" s="16">
        <v>2.0110000000000001</v>
      </c>
      <c r="AR1155" s="16">
        <f>AP1155-1.472</f>
        <v>-0.47199999999999998</v>
      </c>
      <c r="AS1155" s="16">
        <f>AQ1155-1.472</f>
        <v>0.53900000000000015</v>
      </c>
      <c r="AT1155" s="16" t="str">
        <f>VLOOKUP(E1155,[2]Current!$A$1:$W$435,7,FALSE)</f>
        <v>LV</v>
      </c>
      <c r="AU1155" s="16" t="s">
        <v>1288</v>
      </c>
      <c r="AV1155" s="23"/>
      <c r="AW1155" s="128">
        <f>IF(AX1155&gt;0,1,0)</f>
        <v>1</v>
      </c>
      <c r="AX1155" s="128">
        <f>SUM(BA1155,BM1155,CU1155)</f>
        <v>3</v>
      </c>
      <c r="AY1155" s="128">
        <f>SUM(BB1155,BN1155,CV1155)</f>
        <v>1385.8998144712427</v>
      </c>
      <c r="AZ1155" s="128">
        <f>IF(BA1155&gt;0,1,0)</f>
        <v>1</v>
      </c>
      <c r="BA1155" s="128">
        <f>SUM(BC1155+BF1155+BI1155)</f>
        <v>3</v>
      </c>
      <c r="BB1155" s="128">
        <f>SUM(BE1155,BH1155,BK1155)</f>
        <v>1385.8998144712427</v>
      </c>
      <c r="BC1155" s="130">
        <f>IF(BD1155&gt;0,1,0)</f>
        <v>1</v>
      </c>
      <c r="BD1155" s="128">
        <f>VLOOKUP($E1155,[2]Current!$A:$AC,26,FALSE)</f>
        <v>40</v>
      </c>
      <c r="BE1155" s="128">
        <f>BD1155/$AS1155</f>
        <v>74.211502782931333</v>
      </c>
      <c r="BF1155" s="130">
        <f>IF(BG1155&gt;0,1,0)</f>
        <v>1</v>
      </c>
      <c r="BG1155" s="137">
        <f>VLOOKUP($E1155,[2]Current!$A:$AC,27,FALSE)</f>
        <v>692</v>
      </c>
      <c r="BH1155" s="128">
        <f>BG1155/$AS1155</f>
        <v>1283.8589981447121</v>
      </c>
      <c r="BI1155" s="130">
        <f>IF(BJ1155&gt;0,1,0)</f>
        <v>1</v>
      </c>
      <c r="BJ1155" s="128">
        <f>VLOOKUP($E1155,[2]Current!$A:$AC,28,FALSE)</f>
        <v>15</v>
      </c>
      <c r="BK1155" s="128">
        <f>BJ1155/$AS1155</f>
        <v>27.829313543599252</v>
      </c>
      <c r="BL1155" s="128">
        <f>IF(BM1155&gt;0,1,0)</f>
        <v>0</v>
      </c>
      <c r="BM1155" s="128">
        <f>SUM(BR1155,BU1155,BX1155,CA1155,CD1155)</f>
        <v>0</v>
      </c>
      <c r="BN1155" s="131">
        <f>SUM(BT1155,BW1155,BZ1155,CC1155,CF1155)</f>
        <v>0</v>
      </c>
      <c r="BO1155" s="128">
        <f>IF(BP1155&gt;0,1,0)</f>
        <v>1</v>
      </c>
      <c r="BP1155" s="128">
        <f>BM1155+CJ1155</f>
        <v>1</v>
      </c>
      <c r="BQ1155" s="128">
        <f>BN1155+CL1155</f>
        <v>1.8552875695732833</v>
      </c>
      <c r="BR1155" s="130">
        <f>IF(BS1155&gt;0,1,0)</f>
        <v>0</v>
      </c>
      <c r="BS1155" s="128">
        <f>VLOOKUP($E1155,[2]Current!$A:$AC,12,FALSE)</f>
        <v>0</v>
      </c>
      <c r="BT1155" s="137">
        <f>BS1155/$AS1155</f>
        <v>0</v>
      </c>
      <c r="BU1155" s="130">
        <f>IF(BV1155&gt;0,1,0)</f>
        <v>0</v>
      </c>
      <c r="BV1155" s="128">
        <f>VLOOKUP($E1155,[2]Current!$A:$AC,13,FALSE)</f>
        <v>0</v>
      </c>
      <c r="BW1155" s="128">
        <f>BV1155/$AS1155</f>
        <v>0</v>
      </c>
      <c r="BX1155" s="130">
        <f>IF(BY1155&gt;0,1,0)</f>
        <v>0</v>
      </c>
      <c r="BY1155" s="128">
        <f>VLOOKUP($E1155,[2]Current!$A:$AC,14,FALSE)</f>
        <v>0</v>
      </c>
      <c r="BZ1155" s="128">
        <f>BY1155/$AS1155</f>
        <v>0</v>
      </c>
      <c r="CA1155" s="130">
        <f>IF(CB1155&gt;0,1,0)</f>
        <v>0</v>
      </c>
      <c r="CB1155" s="128">
        <f>VLOOKUP($E1155,[2]Current!$A:$AC,15,FALSE)</f>
        <v>0</v>
      </c>
      <c r="CC1155" s="128">
        <f>CB1155/$AS1155</f>
        <v>0</v>
      </c>
      <c r="CD1155" s="174">
        <f>IF(CE1155&gt;0,1,0)</f>
        <v>0</v>
      </c>
      <c r="CE1155" s="128">
        <f>VLOOKUP($E1155,[2]Current!$A:$AC,16,FALSE)</f>
        <v>0</v>
      </c>
      <c r="CF1155" s="128">
        <f>CE1155/$AS1155</f>
        <v>0</v>
      </c>
      <c r="CG1155" s="18"/>
      <c r="CH1155" s="18"/>
      <c r="CI1155" s="18"/>
      <c r="CJ1155" s="130">
        <f>IF(CK1155&gt;0,1,0)</f>
        <v>1</v>
      </c>
      <c r="CK1155" s="128">
        <f>VLOOKUP($E1155,[2]Current!$A:$AC,18,FALSE)</f>
        <v>1</v>
      </c>
      <c r="CL1155" s="128">
        <f>CK1155/$AS1155</f>
        <v>1.8552875695732833</v>
      </c>
      <c r="CS1155" s="130">
        <f>IF(CU1155&gt;0,1,0)</f>
        <v>0</v>
      </c>
      <c r="CU1155" s="128">
        <f>VLOOKUP($E1155,[2]Current!$A:$AC,17,FALSE)</f>
        <v>0</v>
      </c>
      <c r="CV1155" s="128">
        <f>CU1155/$AS1155</f>
        <v>0</v>
      </c>
      <c r="CW1155" s="18"/>
      <c r="CX1155" s="18"/>
      <c r="CY1155" s="18"/>
      <c r="DF1155" s="16" t="e">
        <f>VLOOKUP(K1155,'[3]RNA Seq summary tables'!$V$3:$V$99,1,FALSE)</f>
        <v>#N/A</v>
      </c>
      <c r="DG1155" s="16">
        <v>1</v>
      </c>
      <c r="DH1155" s="16" t="str">
        <f>VLOOKUP(D1155,'[6]workflow 3.2018'!$A$1:$S$237,2,FALSE)</f>
        <v>2017MLBS_193</v>
      </c>
    </row>
    <row r="1156" spans="1:288" x14ac:dyDescent="0.2">
      <c r="B1156" s="16">
        <v>2017</v>
      </c>
      <c r="C1156" s="20">
        <v>42940</v>
      </c>
      <c r="D1156" s="20" t="str">
        <f>CONCATENATE(J1156,"-",C1156)</f>
        <v>1278-42940</v>
      </c>
      <c r="E1156" s="142" t="str">
        <f>CONCATENATE(T1156,"-",U1156,"-",C1156)</f>
        <v>SP2-F3-42940</v>
      </c>
      <c r="F1156" s="20" t="s">
        <v>106</v>
      </c>
      <c r="G1156" s="20" t="s">
        <v>107</v>
      </c>
      <c r="J1156" s="21">
        <v>1278</v>
      </c>
      <c r="K1156" s="21">
        <v>1983</v>
      </c>
      <c r="L1156" s="18">
        <v>0</v>
      </c>
      <c r="M1156" s="21">
        <f>VLOOKUP($K1156,'[4]blood tubes 2017'!$D$1:$L$647,8,FALSE)</f>
        <v>0</v>
      </c>
      <c r="N1156" s="15">
        <v>0</v>
      </c>
      <c r="O1156" s="15" t="s">
        <v>214</v>
      </c>
      <c r="P1156" s="16" t="s">
        <v>110</v>
      </c>
      <c r="Q1156" s="16">
        <v>0</v>
      </c>
      <c r="R1156" s="16" t="s">
        <v>111</v>
      </c>
      <c r="T1156" s="16" t="s">
        <v>137</v>
      </c>
      <c r="U1156" s="16" t="s">
        <v>182</v>
      </c>
      <c r="V1156" s="16" t="s">
        <v>114</v>
      </c>
      <c r="W1156" s="16">
        <f>AI1156/AG1156</f>
        <v>0.84705882352941175</v>
      </c>
      <c r="X1156" s="16" t="s">
        <v>121</v>
      </c>
      <c r="Y1156" s="16" t="s">
        <v>122</v>
      </c>
      <c r="Z1156" s="16">
        <v>2.6</v>
      </c>
      <c r="AA1156" s="16" t="s">
        <v>161</v>
      </c>
      <c r="AB1156" s="16" t="s">
        <v>239</v>
      </c>
      <c r="AC1156" s="16" t="s">
        <v>123</v>
      </c>
      <c r="AD1156" s="16" t="s">
        <v>116</v>
      </c>
      <c r="AG1156" s="16">
        <f>AH1156-AI1156</f>
        <v>85</v>
      </c>
      <c r="AH1156" s="16">
        <v>157</v>
      </c>
      <c r="AI1156" s="16">
        <v>72</v>
      </c>
      <c r="AK1156" s="16">
        <v>14</v>
      </c>
      <c r="AL1156" s="16">
        <v>0</v>
      </c>
      <c r="AM1156" s="16">
        <v>0</v>
      </c>
      <c r="AN1156" s="16">
        <v>0</v>
      </c>
      <c r="AO1156" s="16">
        <v>0</v>
      </c>
      <c r="AP1156" s="16">
        <f>SUM(AL1156:AN1156)</f>
        <v>0</v>
      </c>
      <c r="AQ1156" s="16">
        <v>1.9990000000000001</v>
      </c>
      <c r="AR1156" s="16">
        <f>AP1156-1.472</f>
        <v>-1.472</v>
      </c>
      <c r="AS1156" s="16">
        <f>AQ1156-1.472</f>
        <v>0.52700000000000014</v>
      </c>
      <c r="AT1156" s="16" t="e">
        <f>VLOOKUP(E1156,[2]Current!$A$1:$W$435,7,FALSE)</f>
        <v>#N/A</v>
      </c>
      <c r="AU1156" s="16">
        <v>0</v>
      </c>
      <c r="AW1156" s="18"/>
      <c r="AX1156" s="18"/>
      <c r="AY1156" s="18"/>
      <c r="AZ1156" s="18"/>
      <c r="BA1156" s="18"/>
      <c r="BB1156" s="18"/>
      <c r="BC1156" s="18"/>
      <c r="BD1156" s="18"/>
      <c r="BG1156" s="77"/>
      <c r="BT1156" s="77"/>
      <c r="CD1156" s="77"/>
      <c r="DF1156" s="16" t="e">
        <f>VLOOKUP(K1156,'[3]RNA Seq summary tables'!$V$3:$V$99,1,FALSE)</f>
        <v>#N/A</v>
      </c>
    </row>
    <row r="1157" spans="1:288" ht="16" x14ac:dyDescent="0.2">
      <c r="B1157" s="16">
        <v>2017</v>
      </c>
      <c r="C1157" s="20">
        <v>42957</v>
      </c>
      <c r="D1157" s="20" t="str">
        <f>CONCATENATE(J1157,"-",C1157)</f>
        <v>1278-42957</v>
      </c>
      <c r="E1157" s="37" t="str">
        <f>CONCATENATE(T1157,"-",U1157,"-",C1157)</f>
        <v>SP2-E1-42957</v>
      </c>
      <c r="F1157" s="20" t="s">
        <v>106</v>
      </c>
      <c r="G1157" s="20" t="s">
        <v>107</v>
      </c>
      <c r="I1157" s="16">
        <v>0</v>
      </c>
      <c r="J1157" s="21">
        <v>1278</v>
      </c>
      <c r="K1157" s="21">
        <v>2117</v>
      </c>
      <c r="L1157" s="18">
        <v>0</v>
      </c>
      <c r="M1157" s="21">
        <f>VLOOKUP($K1157,'[4]blood tubes 2017'!$D$1:$L$647,8,FALSE)</f>
        <v>0</v>
      </c>
      <c r="N1157" s="15">
        <v>0</v>
      </c>
      <c r="O1157" s="15" t="s">
        <v>214</v>
      </c>
      <c r="P1157" s="16" t="s">
        <v>110</v>
      </c>
      <c r="Q1157" s="16">
        <v>1</v>
      </c>
      <c r="R1157" s="16">
        <v>17</v>
      </c>
      <c r="T1157" s="16" t="s">
        <v>137</v>
      </c>
      <c r="U1157" s="16" t="s">
        <v>222</v>
      </c>
      <c r="V1157" s="16" t="s">
        <v>114</v>
      </c>
      <c r="W1157" s="16">
        <f>AI1157/AG1157</f>
        <v>0.8764044943820225</v>
      </c>
      <c r="X1157" s="16" t="s">
        <v>121</v>
      </c>
      <c r="Y1157" s="16" t="s">
        <v>110</v>
      </c>
      <c r="Z1157" s="16">
        <v>3</v>
      </c>
      <c r="AA1157" s="16" t="s">
        <v>161</v>
      </c>
      <c r="AB1157" s="16" t="s">
        <v>123</v>
      </c>
      <c r="AC1157" s="16" t="s">
        <v>123</v>
      </c>
      <c r="AD1157" s="16" t="s">
        <v>116</v>
      </c>
      <c r="AG1157" s="16">
        <f>AH1157-AI1157</f>
        <v>89</v>
      </c>
      <c r="AH1157" s="16">
        <v>167</v>
      </c>
      <c r="AI1157" s="16">
        <v>78</v>
      </c>
      <c r="AK1157" s="16">
        <v>18</v>
      </c>
      <c r="AL1157" s="16">
        <v>0</v>
      </c>
      <c r="AM1157" s="16">
        <v>0</v>
      </c>
      <c r="AN1157" s="16">
        <v>0</v>
      </c>
      <c r="AO1157" s="16">
        <v>0</v>
      </c>
      <c r="AP1157" s="16">
        <f>SUM(AL1157:AN1157)</f>
        <v>0</v>
      </c>
      <c r="AQ1157" s="16">
        <v>2.0840000000000001</v>
      </c>
      <c r="AR1157" s="16">
        <f>AP1157-1.472</f>
        <v>-1.472</v>
      </c>
      <c r="AS1157" s="16">
        <f>AQ1157-1.472</f>
        <v>0.6120000000000001</v>
      </c>
      <c r="AT1157" s="16" t="str">
        <f>VLOOKUP(E1157,[2]Current!$A$1:$W$435,7,FALSE)</f>
        <v>NB</v>
      </c>
      <c r="AU1157" s="16" t="s">
        <v>1288</v>
      </c>
      <c r="AV1157" s="23"/>
      <c r="AW1157" s="128">
        <f>IF(AX1157&gt;0,1,0)</f>
        <v>1</v>
      </c>
      <c r="AX1157" s="128">
        <f>SUM(BA1157,BM1157,CU1157)</f>
        <v>2</v>
      </c>
      <c r="AY1157" s="128">
        <f>SUM(BB1157,BN1157,CV1157)</f>
        <v>84.967320261437891</v>
      </c>
      <c r="AZ1157" s="128">
        <f>IF(BA1157&gt;0,1,0)</f>
        <v>1</v>
      </c>
      <c r="BA1157" s="128">
        <f>SUM(BC1157+BF1157+BI1157)</f>
        <v>1</v>
      </c>
      <c r="BB1157" s="128">
        <f>SUM(BE1157,BH1157,BK1157)</f>
        <v>81.699346405228738</v>
      </c>
      <c r="BC1157" s="130">
        <f>IF(BD1157&gt;0,1,0)</f>
        <v>0</v>
      </c>
      <c r="BD1157" s="128">
        <f>VLOOKUP($E1157,[2]Current!$A:$AC,26,FALSE)</f>
        <v>0</v>
      </c>
      <c r="BE1157" s="128">
        <f>BD1157/$AS1157</f>
        <v>0</v>
      </c>
      <c r="BF1157" s="130">
        <f>IF(BG1157&gt;0,1,0)</f>
        <v>1</v>
      </c>
      <c r="BG1157" s="137">
        <f>VLOOKUP($E1157,[2]Current!$A:$AC,27,FALSE)</f>
        <v>50</v>
      </c>
      <c r="BH1157" s="128">
        <f>BG1157/$AS1157</f>
        <v>81.699346405228738</v>
      </c>
      <c r="BI1157" s="130">
        <f>IF(BJ1157&gt;0,1,0)</f>
        <v>0</v>
      </c>
      <c r="BJ1157" s="128">
        <f>VLOOKUP($E1157,[2]Current!$A:$AC,28,FALSE)</f>
        <v>0</v>
      </c>
      <c r="BK1157" s="128">
        <f>BJ1157/$AS1157</f>
        <v>0</v>
      </c>
      <c r="BL1157" s="128">
        <f>IF(BM1157&gt;0,1,0)</f>
        <v>1</v>
      </c>
      <c r="BM1157" s="128">
        <f>SUM(BR1157,BU1157,BX1157,CA1157,CD1157)</f>
        <v>1</v>
      </c>
      <c r="BN1157" s="131">
        <f>SUM(BT1157,BW1157,BZ1157,CC1157,CF1157)</f>
        <v>3.2679738562091498</v>
      </c>
      <c r="BO1157" s="128">
        <f>IF(BP1157&gt;0,1,0)</f>
        <v>1</v>
      </c>
      <c r="BP1157" s="128">
        <f>BM1157+CJ1157</f>
        <v>1</v>
      </c>
      <c r="BQ1157" s="128">
        <f>BN1157+CL1157</f>
        <v>3.2679738562091498</v>
      </c>
      <c r="BR1157" s="130">
        <f>IF(BS1157&gt;0,1,0)</f>
        <v>0</v>
      </c>
      <c r="BS1157" s="128">
        <f>VLOOKUP($E1157,[2]Current!$A:$AC,12,FALSE)</f>
        <v>0</v>
      </c>
      <c r="BT1157" s="137">
        <f>BS1157/$AS1157</f>
        <v>0</v>
      </c>
      <c r="BU1157" s="130">
        <f>IF(BV1157&gt;0,1,0)</f>
        <v>0</v>
      </c>
      <c r="BV1157" s="128">
        <f>VLOOKUP($E1157,[2]Current!$A:$AC,13,FALSE)</f>
        <v>0</v>
      </c>
      <c r="BW1157" s="128">
        <f>BV1157/$AS1157</f>
        <v>0</v>
      </c>
      <c r="BX1157" s="130">
        <f>IF(BY1157&gt;0,1,0)</f>
        <v>0</v>
      </c>
      <c r="BY1157" s="128">
        <f>VLOOKUP($E1157,[2]Current!$A:$AC,14,FALSE)</f>
        <v>0</v>
      </c>
      <c r="BZ1157" s="128">
        <f>BY1157/$AS1157</f>
        <v>0</v>
      </c>
      <c r="CA1157" s="130">
        <f>IF(CB1157&gt;0,1,0)</f>
        <v>1</v>
      </c>
      <c r="CB1157" s="128">
        <f>VLOOKUP($E1157,[2]Current!$A:$AC,15,FALSE)</f>
        <v>2</v>
      </c>
      <c r="CC1157" s="128">
        <f>CB1157/$AS1157</f>
        <v>3.2679738562091498</v>
      </c>
      <c r="CD1157" s="174">
        <f>IF(CE1157&gt;0,1,0)</f>
        <v>0</v>
      </c>
      <c r="CE1157" s="128">
        <f>VLOOKUP($E1157,[2]Current!$A:$AC,16,FALSE)</f>
        <v>0</v>
      </c>
      <c r="CF1157" s="128">
        <f>CE1157/$AS1157</f>
        <v>0</v>
      </c>
      <c r="CG1157" s="18"/>
      <c r="CH1157" s="18"/>
      <c r="CI1157" s="18"/>
      <c r="CJ1157" s="130">
        <f>IF(CK1157&gt;0,1,0)</f>
        <v>0</v>
      </c>
      <c r="CK1157" s="128">
        <f>VLOOKUP($E1157,[2]Current!$A:$AC,18,FALSE)</f>
        <v>0</v>
      </c>
      <c r="CL1157" s="128">
        <f>CK1157/$AS1157</f>
        <v>0</v>
      </c>
      <c r="CS1157" s="130">
        <f>IF(CU1157&gt;0,1,0)</f>
        <v>0</v>
      </c>
      <c r="CU1157" s="128">
        <f>VLOOKUP($E1157,[2]Current!$A:$AC,17,FALSE)</f>
        <v>0</v>
      </c>
      <c r="CV1157" s="128">
        <f>CU1157/$AS1157</f>
        <v>0</v>
      </c>
      <c r="CW1157" s="18"/>
      <c r="CX1157" s="18"/>
      <c r="CY1157" s="18"/>
      <c r="DF1157" s="16" t="e">
        <f>VLOOKUP(K1157,'[3]RNA Seq summary tables'!$V$3:$V$99,1,FALSE)</f>
        <v>#N/A</v>
      </c>
      <c r="DG1157" s="16">
        <v>1</v>
      </c>
      <c r="DH1157" s="16" t="str">
        <f>VLOOKUP(D1157,'[6]workflow 3.2018'!$A$1:$S$237,2,FALSE)</f>
        <v>2017MLBS_121</v>
      </c>
      <c r="JO1157" s="38"/>
    </row>
    <row r="1158" spans="1:288" x14ac:dyDescent="0.2">
      <c r="B1158" s="16">
        <v>2017</v>
      </c>
      <c r="C1158" s="20">
        <v>42940</v>
      </c>
      <c r="D1158" s="20" t="str">
        <f>CONCATENATE(J1158,"-",C1158)</f>
        <v>1280-42940</v>
      </c>
      <c r="E1158" s="20" t="str">
        <f>CONCATENATE(T1158,"-",U1158,"-",C1158)</f>
        <v>SP2-G1-42940</v>
      </c>
      <c r="F1158" s="20" t="s">
        <v>106</v>
      </c>
      <c r="G1158" s="20" t="s">
        <v>107</v>
      </c>
      <c r="I1158" s="16">
        <v>0</v>
      </c>
      <c r="J1158" s="21">
        <v>1280</v>
      </c>
      <c r="K1158" s="21">
        <v>1984</v>
      </c>
      <c r="L1158" s="18">
        <v>0</v>
      </c>
      <c r="M1158" s="21">
        <f>VLOOKUP($K1158,'[4]blood tubes 2017'!$D$1:$L$647,8,FALSE)</f>
        <v>0</v>
      </c>
      <c r="N1158" s="15">
        <v>0</v>
      </c>
      <c r="O1158" s="15" t="s">
        <v>214</v>
      </c>
      <c r="P1158" s="16" t="s">
        <v>110</v>
      </c>
      <c r="Q1158" s="16">
        <v>0</v>
      </c>
      <c r="R1158" s="16" t="s">
        <v>111</v>
      </c>
      <c r="T1158" s="16" t="s">
        <v>137</v>
      </c>
      <c r="U1158" s="16" t="s">
        <v>155</v>
      </c>
      <c r="V1158" s="16" t="s">
        <v>114</v>
      </c>
      <c r="W1158" s="16">
        <f>AI1158/AG1158</f>
        <v>0.7752808988764045</v>
      </c>
      <c r="X1158" s="16" t="s">
        <v>115</v>
      </c>
      <c r="Y1158" s="16" t="s">
        <v>110</v>
      </c>
      <c r="Z1158" s="16">
        <v>3</v>
      </c>
      <c r="AE1158" s="16" t="s">
        <v>116</v>
      </c>
      <c r="AF1158" s="16" t="s">
        <v>116</v>
      </c>
      <c r="AG1158" s="16">
        <f>AH1158-AI1158</f>
        <v>89</v>
      </c>
      <c r="AH1158" s="16">
        <v>158</v>
      </c>
      <c r="AI1158" s="16">
        <v>69</v>
      </c>
      <c r="AK1158" s="16">
        <v>19.5</v>
      </c>
      <c r="AL1158" s="16">
        <v>1</v>
      </c>
      <c r="AM1158" s="16">
        <v>0</v>
      </c>
      <c r="AN1158" s="16">
        <v>0</v>
      </c>
      <c r="AO1158" s="16">
        <v>1</v>
      </c>
      <c r="AP1158" s="16">
        <f>SUM(AL1158:AN1158)</f>
        <v>1</v>
      </c>
      <c r="AQ1158" s="16">
        <v>2.0430000000000001</v>
      </c>
      <c r="AR1158" s="16">
        <f>AP1158-1.472</f>
        <v>-0.47199999999999998</v>
      </c>
      <c r="AS1158" s="16">
        <f>AQ1158-1.472</f>
        <v>0.57100000000000017</v>
      </c>
      <c r="AT1158" s="16" t="str">
        <f>VLOOKUP(K1158,'[5]FECs - good data'!$C$1:$P$575,13,FALSE)</f>
        <v>JB</v>
      </c>
      <c r="AW1158" s="18">
        <f>IF(AX1158&gt;0,1,0)</f>
        <v>1</v>
      </c>
      <c r="AX1158" s="18">
        <f>SUM(BA1158,BM1158,CT1158)</f>
        <v>6</v>
      </c>
      <c r="AY1158" s="18">
        <f>SUM(BB1158,BN1158,CV1158)</f>
        <v>1119.0893169877404</v>
      </c>
      <c r="AZ1158" s="18">
        <f>IF(BA1158&gt;0,1,0)</f>
        <v>1</v>
      </c>
      <c r="BA1158" s="18">
        <f>SUM(BC1158,BF1158,BI1158)</f>
        <v>3</v>
      </c>
      <c r="BB1158" s="18">
        <f>SUM(BE1158,BH1158,BK1158)</f>
        <v>1108.5814360770573</v>
      </c>
      <c r="BC1158" s="18">
        <f>IF(BD1158&gt;0,1,0)</f>
        <v>1</v>
      </c>
      <c r="BD1158" s="18">
        <f>VLOOKUP($K1158,'[5]FECs - good data'!$C$1:$Z$574,14,FALSE)</f>
        <v>21</v>
      </c>
      <c r="BE1158" s="16">
        <f>BD1158/AS1158</f>
        <v>36.777583187390533</v>
      </c>
      <c r="BF1158" s="16">
        <f>IF(BG1158&gt;0,1,0)</f>
        <v>1</v>
      </c>
      <c r="BG1158" s="77">
        <f>VLOOKUP($K1158,'[5]FECs - good data'!$C$1:$Z$574,15,FALSE)</f>
        <v>601</v>
      </c>
      <c r="BH1158" s="16">
        <f>BG1158/AS1158</f>
        <v>1052.5394045534147</v>
      </c>
      <c r="BI1158" s="16">
        <f>IF(BJ1158&gt;0,1,0)</f>
        <v>1</v>
      </c>
      <c r="BJ1158" s="16">
        <f>VLOOKUP($K1158,'[5]FECs - good data'!$C$1:$Z$574,16,FALSE)</f>
        <v>11</v>
      </c>
      <c r="BK1158" s="16">
        <f>BJ1158/AS1158</f>
        <v>19.264448336252183</v>
      </c>
      <c r="BL1158" s="16">
        <f>IF(BM1158&gt;0,1,0)</f>
        <v>1</v>
      </c>
      <c r="BM1158" s="16">
        <f>SUM(BR1158,BU1158,BX1158,CA1158,CD1158,CG1158,CJ1158,CM1158,CP1158)</f>
        <v>3</v>
      </c>
      <c r="BN1158" s="16">
        <f>SUM(BW1158,BZ1158,CC1158,CF1158,CI1158,CL1158,CO1158,CR1158,BT1158)</f>
        <v>10.507880910683008</v>
      </c>
      <c r="BO1158" s="16">
        <f>IF(BP1158&gt;0,1,0)</f>
        <v>1</v>
      </c>
      <c r="BP1158" s="16">
        <f>SUM(BU1158,BX1158,CA1158,CD1158,BR1158)</f>
        <v>2</v>
      </c>
      <c r="BQ1158" s="16">
        <f>SUM(BZ1158,CC1158,CF1158,BT1158,BW1158)</f>
        <v>7.0052539404553391</v>
      </c>
      <c r="BR1158" s="16">
        <f>IF(BS1158&gt;0,1,0)</f>
        <v>0</v>
      </c>
      <c r="BS1158" s="16">
        <f>VLOOKUP($K1158,'[5]FECs - good data'!$C$1:$Z$574,17,FALSE)</f>
        <v>0</v>
      </c>
      <c r="BT1158" s="77">
        <f>BS1158/AS1158</f>
        <v>0</v>
      </c>
      <c r="BU1158" s="16">
        <f>IF(BV1158&gt;0,1,0)</f>
        <v>1</v>
      </c>
      <c r="BV1158" s="16">
        <f>VLOOKUP($K1158,'[5]FECs - good data'!$C$1:$Z$574,18,FALSE)</f>
        <v>1</v>
      </c>
      <c r="BW1158" s="16">
        <f>BV1158/AS1158</f>
        <v>1.7513134851138348</v>
      </c>
      <c r="BX1158" s="16">
        <f>IF(BY1158&gt;0,1,0)</f>
        <v>1</v>
      </c>
      <c r="BY1158" s="16">
        <f>VLOOKUP($K1158,'[5]FECs - good data'!$C$1:$Z$574,19,FALSE)</f>
        <v>3</v>
      </c>
      <c r="BZ1158" s="16">
        <f>BY1158/AS1158</f>
        <v>5.2539404553415041</v>
      </c>
      <c r="CA1158" s="16">
        <f>IF(CB1158&gt;0,1,0)</f>
        <v>0</v>
      </c>
      <c r="CB1158" s="16">
        <f>VLOOKUP($K1158,'[5]FECs - good data'!$C$1:$Z$574,20,FALSE)</f>
        <v>0</v>
      </c>
      <c r="CC1158" s="16">
        <f>CB1158/AS1158</f>
        <v>0</v>
      </c>
      <c r="CD1158" s="77">
        <f>IF(CE1158&gt;0,1,0)</f>
        <v>0</v>
      </c>
      <c r="CE1158" s="16">
        <f>VLOOKUP($K1158,'[5]FECs - good data'!$C$1:$Z$574,21,FALSE)</f>
        <v>0</v>
      </c>
      <c r="CF1158" s="16">
        <f>CE1158/AS1158</f>
        <v>0</v>
      </c>
      <c r="CG1158" s="16">
        <f>IF(CH1158&gt;0,1,0)</f>
        <v>0</v>
      </c>
      <c r="CH1158" s="16">
        <f>VLOOKUP($K1158,'[5]FECs - good data'!$C$1:$Z$574,22,FALSE)</f>
        <v>0</v>
      </c>
      <c r="CI1158" s="16">
        <f>CH1158/AS1158</f>
        <v>0</v>
      </c>
      <c r="CJ1158" s="16">
        <f>IF(CK1158&gt;0,1,0)</f>
        <v>1</v>
      </c>
      <c r="CK1158" s="16">
        <f>VLOOKUP($K1158,'[5]FECs - good data'!$C$1:$Z$674,24,FALSE)</f>
        <v>2</v>
      </c>
      <c r="CL1158" s="16">
        <f>CK1158/AS1158</f>
        <v>3.5026269702276696</v>
      </c>
      <c r="CS1158" s="16">
        <f>IF(CT1158&gt;0,1,0)</f>
        <v>0</v>
      </c>
      <c r="CT1158" s="16">
        <f>SUM(CW1158+CZ1158,DC1158)</f>
        <v>0</v>
      </c>
      <c r="CV1158" s="16">
        <f>SUM(CY1158,DB1158,DE1158)</f>
        <v>0</v>
      </c>
      <c r="CW1158" s="16">
        <f>IF(CX1158&gt;0,1,0)</f>
        <v>0</v>
      </c>
      <c r="CX1158" s="16">
        <f>VLOOKUP($K1158,'[5]FECs - good data'!$C$1:$Z$574,22,FALSE)</f>
        <v>0</v>
      </c>
      <c r="CY1158" s="16">
        <f>CX1158/AS1158</f>
        <v>0</v>
      </c>
      <c r="CZ1158" s="16">
        <f>IF(DA1158&gt;0,1,0)</f>
        <v>0</v>
      </c>
      <c r="DA1158" s="16">
        <f>VLOOKUP($K1158,'[5]FECs - good data'!$C$1:$Z$5982,23,FALSE)</f>
        <v>0</v>
      </c>
      <c r="DB1158" s="16">
        <f>DA1158/AS1158</f>
        <v>0</v>
      </c>
      <c r="DC1158" s="16">
        <f>IF(DD1158&gt;0,1,0)</f>
        <v>0</v>
      </c>
      <c r="DD1158" s="16">
        <f>VLOOKUP($K1158,'[5]FECs - good data'!$C$1:$Z$574,23,FALSE)</f>
        <v>0</v>
      </c>
      <c r="DE1158" s="16">
        <f>DD1158/AS1158</f>
        <v>0</v>
      </c>
      <c r="DF1158" s="16" t="e">
        <f>VLOOKUP(K1158,'[3]RNA Seq summary tables'!$V$3:$V$99,1,FALSE)</f>
        <v>#N/A</v>
      </c>
      <c r="DG1158" s="16">
        <v>1</v>
      </c>
      <c r="DH1158" s="16" t="str">
        <f>VLOOKUP(D1158,'[6]workflow 3.2018'!$A$1:$S$237,2,FALSE)</f>
        <v>2017MLBS_82</v>
      </c>
    </row>
    <row r="1159" spans="1:288" x14ac:dyDescent="0.2">
      <c r="B1159" s="16">
        <v>2017</v>
      </c>
      <c r="C1159" s="20">
        <v>42957</v>
      </c>
      <c r="D1159" s="20" t="str">
        <f>CONCATENATE(J1159,"-",C1159)</f>
        <v>1280-42957</v>
      </c>
      <c r="E1159" s="20" t="str">
        <f>CONCATENATE(T1159,"-",U1159,"-",C1159)</f>
        <v>SP2-F1-42957</v>
      </c>
      <c r="F1159" s="20" t="s">
        <v>106</v>
      </c>
      <c r="G1159" s="20" t="s">
        <v>107</v>
      </c>
      <c r="I1159" s="16">
        <v>0</v>
      </c>
      <c r="J1159" s="21">
        <v>1280</v>
      </c>
      <c r="K1159" s="21">
        <v>2119</v>
      </c>
      <c r="L1159" s="18">
        <v>0</v>
      </c>
      <c r="M1159" s="21">
        <f>VLOOKUP($K1159,'[4]blood tubes 2017'!$D$1:$L$647,8,FALSE)</f>
        <v>0</v>
      </c>
      <c r="N1159" s="15">
        <v>0</v>
      </c>
      <c r="O1159" s="15" t="s">
        <v>214</v>
      </c>
      <c r="P1159" s="16" t="s">
        <v>110</v>
      </c>
      <c r="Q1159" s="16">
        <v>1</v>
      </c>
      <c r="R1159" s="16">
        <v>17</v>
      </c>
      <c r="T1159" s="16" t="s">
        <v>137</v>
      </c>
      <c r="U1159" s="16" t="s">
        <v>217</v>
      </c>
      <c r="V1159" s="16" t="s">
        <v>114</v>
      </c>
      <c r="W1159" s="16">
        <f>AI1159/AG1159</f>
        <v>0.81111111111111112</v>
      </c>
      <c r="X1159" s="16" t="s">
        <v>115</v>
      </c>
      <c r="Y1159" s="16" t="s">
        <v>110</v>
      </c>
      <c r="Z1159" s="16">
        <v>3</v>
      </c>
      <c r="AE1159" s="16" t="s">
        <v>116</v>
      </c>
      <c r="AF1159" s="16" t="s">
        <v>116</v>
      </c>
      <c r="AG1159" s="16">
        <f>AH1159-AI1159</f>
        <v>90</v>
      </c>
      <c r="AH1159" s="16">
        <v>163</v>
      </c>
      <c r="AI1159" s="16">
        <v>73</v>
      </c>
      <c r="AK1159" s="16">
        <v>22.5</v>
      </c>
      <c r="AL1159" s="16">
        <v>0</v>
      </c>
      <c r="AM1159" s="16">
        <v>0</v>
      </c>
      <c r="AN1159" s="16">
        <v>1</v>
      </c>
      <c r="AO1159" s="16">
        <v>1</v>
      </c>
      <c r="AP1159" s="16">
        <f>SUM(AL1159:AN1159)</f>
        <v>1</v>
      </c>
      <c r="AQ1159" s="16">
        <v>1.607</v>
      </c>
      <c r="AR1159" s="16">
        <f>AP1159-1.472</f>
        <v>-0.47199999999999998</v>
      </c>
      <c r="AS1159" s="16">
        <f>AQ1159-1.472</f>
        <v>0.13500000000000001</v>
      </c>
      <c r="AT1159" s="16" t="str">
        <f>VLOOKUP(K1159,'[5]FECs - good data'!$C$1:$P$575,13,FALSE)</f>
        <v>SB</v>
      </c>
      <c r="AW1159" s="18">
        <f>IF(AX1159&gt;0,1,0)</f>
        <v>1</v>
      </c>
      <c r="AX1159" s="18">
        <f>SUM(BA1159,BM1159,CT1159)</f>
        <v>9</v>
      </c>
      <c r="AY1159" s="18">
        <f>SUM(BB1159,BN1159,CV1159)</f>
        <v>148.14814814814812</v>
      </c>
      <c r="AZ1159" s="18">
        <f>IF(BA1159&gt;0,1,0)</f>
        <v>1</v>
      </c>
      <c r="BA1159" s="18">
        <f>SUM(BC1159,BF1159,BI1159)</f>
        <v>1</v>
      </c>
      <c r="BB1159" s="18">
        <f>SUM(BE1159,BH1159,BK1159)</f>
        <v>14.814814814814813</v>
      </c>
      <c r="BC1159" s="18">
        <f>IF(BD1159&gt;0,1,0)</f>
        <v>1</v>
      </c>
      <c r="BD1159" s="18">
        <f>VLOOKUP($K1159,'[5]FECs - good data'!$C$1:$Z$574,14,FALSE)</f>
        <v>2</v>
      </c>
      <c r="BE1159" s="16">
        <f>BD1159/AS1159</f>
        <v>14.814814814814813</v>
      </c>
      <c r="BF1159" s="16">
        <f>IF(BG1159&gt;0,1,0)</f>
        <v>0</v>
      </c>
      <c r="BG1159" s="77">
        <f>VLOOKUP($K1159,'[5]FECs - good data'!$C$1:$Z$574,15,FALSE)</f>
        <v>0</v>
      </c>
      <c r="BH1159" s="16">
        <f>BG1159/AS1159</f>
        <v>0</v>
      </c>
      <c r="BI1159" s="16">
        <f>IF(BJ1159&gt;0,1,0)</f>
        <v>0</v>
      </c>
      <c r="BJ1159" s="16">
        <f>VLOOKUP($K1159,'[5]FECs - good data'!$C$1:$Z$574,16,FALSE)</f>
        <v>0</v>
      </c>
      <c r="BK1159" s="16">
        <f>BJ1159/AS1159</f>
        <v>0</v>
      </c>
      <c r="BL1159" s="16">
        <f>IF(BM1159&gt;0,1,0)</f>
        <v>1</v>
      </c>
      <c r="BM1159" s="16">
        <f>SUM(BR1159,BU1159,BX1159,CA1159,CD1159,CG1159,CJ1159,CM1159,CP1159)</f>
        <v>5</v>
      </c>
      <c r="BN1159" s="16">
        <f>SUM(BW1159,BZ1159,CC1159,CF1159,CI1159,CL1159,CO1159,CR1159,BT1159)</f>
        <v>74.074074074074062</v>
      </c>
      <c r="BO1159" s="16">
        <f>IF(BP1159&gt;0,1,0)</f>
        <v>1</v>
      </c>
      <c r="BP1159" s="16">
        <f>SUM(BU1159,BX1159,CA1159,CD1159,BR1159)</f>
        <v>3</v>
      </c>
      <c r="BQ1159" s="16">
        <f>SUM(BZ1159,CC1159,CF1159,BT1159,BW1159)</f>
        <v>22.222222222222221</v>
      </c>
      <c r="BR1159" s="16">
        <f>IF(BS1159&gt;0,1,0)</f>
        <v>0</v>
      </c>
      <c r="BS1159" s="16">
        <f>VLOOKUP($K1159,'[5]FECs - good data'!$C$1:$Z$574,17,FALSE)</f>
        <v>0</v>
      </c>
      <c r="BT1159" s="77">
        <f>BS1159/AS1159</f>
        <v>0</v>
      </c>
      <c r="BU1159" s="16">
        <f>IF(BV1159&gt;0,1,0)</f>
        <v>0</v>
      </c>
      <c r="BV1159" s="16">
        <f>VLOOKUP($K1159,'[5]FECs - good data'!$C$1:$Z$574,18,FALSE)</f>
        <v>0</v>
      </c>
      <c r="BW1159" s="16">
        <f>BV1159/AS1159</f>
        <v>0</v>
      </c>
      <c r="BX1159" s="16">
        <f>IF(BY1159&gt;0,1,0)</f>
        <v>1</v>
      </c>
      <c r="BY1159" s="16">
        <f>VLOOKUP($K1159,'[5]FECs - good data'!$C$1:$Z$574,19,FALSE)</f>
        <v>1</v>
      </c>
      <c r="BZ1159" s="16">
        <f>BY1159/AS1159</f>
        <v>7.4074074074074066</v>
      </c>
      <c r="CA1159" s="16">
        <f>IF(CB1159&gt;0,1,0)</f>
        <v>1</v>
      </c>
      <c r="CB1159" s="16">
        <f>VLOOKUP($K1159,'[5]FECs - good data'!$C$1:$Z$574,20,FALSE)</f>
        <v>1</v>
      </c>
      <c r="CC1159" s="16">
        <f>CB1159/AS1159</f>
        <v>7.4074074074074066</v>
      </c>
      <c r="CD1159" s="77">
        <f>IF(CE1159&gt;0,1,0)</f>
        <v>1</v>
      </c>
      <c r="CE1159" s="16">
        <f>VLOOKUP($K1159,'[5]FECs - good data'!$C$1:$Z$574,21,FALSE)</f>
        <v>1</v>
      </c>
      <c r="CF1159" s="16">
        <f>CE1159/AS1159</f>
        <v>7.4074074074074066</v>
      </c>
      <c r="CG1159" s="16">
        <f>IF(CH1159&gt;0,1,0)</f>
        <v>1</v>
      </c>
      <c r="CH1159" s="16">
        <f>VLOOKUP($K1159,'[5]FECs - good data'!$C$1:$Z$574,22,FALSE)</f>
        <v>6</v>
      </c>
      <c r="CI1159" s="16">
        <f>CH1159/AS1159</f>
        <v>44.444444444444443</v>
      </c>
      <c r="CJ1159" s="16">
        <f>IF(CK1159&gt;0,1,0)</f>
        <v>1</v>
      </c>
      <c r="CK1159" s="16">
        <f>VLOOKUP($K1159,'[5]FECs - good data'!$C$1:$Z$674,24,FALSE)</f>
        <v>1</v>
      </c>
      <c r="CL1159" s="16">
        <f>CK1159/AS1159</f>
        <v>7.4074074074074066</v>
      </c>
      <c r="CS1159" s="16">
        <f>IF(CT1159&gt;0,1,0)</f>
        <v>1</v>
      </c>
      <c r="CT1159" s="16">
        <f>SUM(CW1159+CZ1159,DC1159)</f>
        <v>3</v>
      </c>
      <c r="CV1159" s="16">
        <f>SUM(CY1159,DB1159,DE1159)</f>
        <v>59.259259259259252</v>
      </c>
      <c r="CW1159" s="16">
        <f>IF(CX1159&gt;0,1,0)</f>
        <v>1</v>
      </c>
      <c r="CX1159" s="16">
        <f>VLOOKUP($K1159,'[5]FECs - good data'!$C$1:$Z$574,22,FALSE)</f>
        <v>6</v>
      </c>
      <c r="CY1159" s="16">
        <f>CX1159/AS1159</f>
        <v>44.444444444444443</v>
      </c>
      <c r="CZ1159" s="16">
        <f>IF(DA1159&gt;0,1,0)</f>
        <v>1</v>
      </c>
      <c r="DA1159" s="16">
        <f>VLOOKUP($K1159,'[5]FECs - good data'!$C$1:$Z$5982,23,FALSE)</f>
        <v>1</v>
      </c>
      <c r="DB1159" s="16">
        <f>DA1159/AS1159</f>
        <v>7.4074074074074066</v>
      </c>
      <c r="DC1159" s="16">
        <f>IF(DD1159&gt;0,1,0)</f>
        <v>1</v>
      </c>
      <c r="DD1159" s="16">
        <f>VLOOKUP($K1159,'[5]FECs - good data'!$C$1:$Z$574,23,FALSE)</f>
        <v>1</v>
      </c>
      <c r="DE1159" s="16">
        <f>DD1159/AS1159</f>
        <v>7.4074074074074066</v>
      </c>
      <c r="DF1159" s="16" t="e">
        <f>VLOOKUP(K1159,'[3]RNA Seq summary tables'!$V$3:$V$99,1,FALSE)</f>
        <v>#N/A</v>
      </c>
      <c r="DG1159" s="16">
        <v>1</v>
      </c>
      <c r="DH1159" s="16" t="str">
        <f>VLOOKUP(D1159,'[6]workflow 3.2018'!$A$1:$S$237,2,FALSE)</f>
        <v>2017MLBS_124</v>
      </c>
      <c r="JO1159" s="38"/>
    </row>
    <row r="1160" spans="1:288" x14ac:dyDescent="0.2">
      <c r="B1160" s="16">
        <v>2017</v>
      </c>
      <c r="C1160" s="20">
        <v>42972</v>
      </c>
      <c r="D1160" s="20" t="str">
        <f>CONCATENATE(J1160,"-",C1160)</f>
        <v>1280-42972</v>
      </c>
      <c r="E1160" s="20" t="str">
        <f>CONCATENATE(T1160,"-",U1160,"-",C1160)</f>
        <v>SP2-H2-42972</v>
      </c>
      <c r="F1160" s="20" t="s">
        <v>106</v>
      </c>
      <c r="G1160" s="20" t="s">
        <v>107</v>
      </c>
      <c r="I1160" s="16">
        <v>0</v>
      </c>
      <c r="J1160" s="21">
        <v>1280</v>
      </c>
      <c r="K1160" s="21">
        <v>2256</v>
      </c>
      <c r="L1160" s="18">
        <v>0</v>
      </c>
      <c r="M1160" s="21">
        <f>VLOOKUP($K1160,'[4]blood tubes 2017'!$D$1:$L$947,8,FALSE)</f>
        <v>0</v>
      </c>
      <c r="N1160" s="15">
        <v>0</v>
      </c>
      <c r="O1160" s="15" t="s">
        <v>214</v>
      </c>
      <c r="P1160" s="16" t="s">
        <v>110</v>
      </c>
      <c r="Q1160" s="16">
        <v>1</v>
      </c>
      <c r="R1160" s="16">
        <v>15</v>
      </c>
      <c r="T1160" s="16" t="s">
        <v>137</v>
      </c>
      <c r="U1160" s="16" t="s">
        <v>190</v>
      </c>
      <c r="V1160" s="16" t="s">
        <v>114</v>
      </c>
      <c r="W1160" s="16">
        <f>AI1160/AG1160</f>
        <v>0.82954545454545459</v>
      </c>
      <c r="X1160" s="16" t="s">
        <v>115</v>
      </c>
      <c r="Y1160" s="16" t="s">
        <v>110</v>
      </c>
      <c r="Z1160" s="16">
        <v>3</v>
      </c>
      <c r="AE1160" s="16" t="s">
        <v>116</v>
      </c>
      <c r="AF1160" s="16" t="s">
        <v>116</v>
      </c>
      <c r="AG1160" s="16">
        <f>AH1160-AI1160</f>
        <v>88</v>
      </c>
      <c r="AH1160" s="16">
        <v>161</v>
      </c>
      <c r="AI1160" s="16">
        <v>73</v>
      </c>
      <c r="AK1160" s="16">
        <v>21.5</v>
      </c>
      <c r="AL1160" s="16">
        <v>0</v>
      </c>
      <c r="AM1160" s="16">
        <v>0</v>
      </c>
      <c r="AN1160" s="16">
        <v>0</v>
      </c>
      <c r="AO1160" s="16">
        <v>0</v>
      </c>
      <c r="AP1160" s="16">
        <f>SUM(AL1160:AN1160)</f>
        <v>0</v>
      </c>
      <c r="AQ1160" s="16">
        <v>1.657</v>
      </c>
      <c r="AR1160" s="16">
        <f>AP1160-1.472</f>
        <v>-1.472</v>
      </c>
      <c r="AS1160" s="16">
        <f>AQ1160-1.472</f>
        <v>0.18500000000000005</v>
      </c>
      <c r="AT1160" s="16" t="str">
        <f>VLOOKUP(K1160,'[5]FECs - good data'!$C$1:$P$575,13,FALSE)</f>
        <v>NB</v>
      </c>
      <c r="AW1160" s="18">
        <f>IF(AX1160&gt;0,1,0)</f>
        <v>1</v>
      </c>
      <c r="AX1160" s="18">
        <f>SUM(BA1160,BM1160,CT1160)</f>
        <v>4</v>
      </c>
      <c r="AY1160" s="18">
        <f>SUM(BB1160,BN1160,CV1160)</f>
        <v>724.32432432432404</v>
      </c>
      <c r="AZ1160" s="18">
        <f>IF(BA1160&gt;0,1,0)</f>
        <v>0</v>
      </c>
      <c r="BA1160" s="18">
        <f>SUM(BC1160,BF1160,BI1160)</f>
        <v>0</v>
      </c>
      <c r="BB1160" s="18">
        <f>SUM(BE1160,BH1160,BK1160)</f>
        <v>0</v>
      </c>
      <c r="BC1160" s="18">
        <f>IF(BD1160&gt;0,1,0)</f>
        <v>0</v>
      </c>
      <c r="BD1160" s="18">
        <f>VLOOKUP($K1160,'[5]FECs - good data'!$C$1:$Z$574,14,FALSE)</f>
        <v>0</v>
      </c>
      <c r="BE1160" s="16">
        <f>BD1160/AS1160</f>
        <v>0</v>
      </c>
      <c r="BF1160" s="16">
        <f>IF(BG1160&gt;0,1,0)</f>
        <v>0</v>
      </c>
      <c r="BG1160" s="77">
        <f>VLOOKUP($K1160,'[5]FECs - good data'!$C$1:$Z$574,15,FALSE)</f>
        <v>0</v>
      </c>
      <c r="BH1160" s="16">
        <f>BG1160/AS1160</f>
        <v>0</v>
      </c>
      <c r="BI1160" s="16">
        <f>IF(BJ1160&gt;0,1,0)</f>
        <v>0</v>
      </c>
      <c r="BJ1160" s="16">
        <f>VLOOKUP($K1160,'[5]FECs - good data'!$C$1:$Z$574,16,FALSE)</f>
        <v>0</v>
      </c>
      <c r="BK1160" s="16">
        <f>BJ1160/AS1160</f>
        <v>0</v>
      </c>
      <c r="BL1160" s="16">
        <f>IF(BM1160&gt;0,1,0)</f>
        <v>1</v>
      </c>
      <c r="BM1160" s="16">
        <f>SUM(BR1160,BU1160,BX1160,CA1160,CD1160,CG1160,CJ1160,CM1160,CP1160)</f>
        <v>1</v>
      </c>
      <c r="BN1160" s="16">
        <f>SUM(BW1160,BZ1160,CC1160,CF1160,CI1160,CL1160,CO1160,CR1160,BT1160)</f>
        <v>281.08108108108098</v>
      </c>
      <c r="BO1160" s="16">
        <f>IF(BP1160&gt;0,1,0)</f>
        <v>0</v>
      </c>
      <c r="BP1160" s="16">
        <f>SUM(BU1160,BX1160,CA1160,CD1160,BR1160)</f>
        <v>0</v>
      </c>
      <c r="BQ1160" s="16">
        <f>SUM(BZ1160,CC1160,CF1160,BT1160,BW1160)</f>
        <v>0</v>
      </c>
      <c r="BR1160" s="16">
        <f>IF(BS1160&gt;0,1,0)</f>
        <v>0</v>
      </c>
      <c r="BS1160" s="16">
        <f>VLOOKUP($K1160,'[5]FECs - good data'!$C$1:$Z$574,17,FALSE)</f>
        <v>0</v>
      </c>
      <c r="BT1160" s="77">
        <f>BS1160/AS1160</f>
        <v>0</v>
      </c>
      <c r="BU1160" s="16">
        <f>IF(BV1160&gt;0,1,0)</f>
        <v>0</v>
      </c>
      <c r="BV1160" s="16">
        <f>VLOOKUP($K1160,'[5]FECs - good data'!$C$1:$Z$574,18,FALSE)</f>
        <v>0</v>
      </c>
      <c r="BW1160" s="16">
        <f>BV1160/AS1160</f>
        <v>0</v>
      </c>
      <c r="BX1160" s="16">
        <f>IF(BY1160&gt;0,1,0)</f>
        <v>0</v>
      </c>
      <c r="BY1160" s="16">
        <f>VLOOKUP($K1160,'[5]FECs - good data'!$C$1:$Z$574,19,FALSE)</f>
        <v>0</v>
      </c>
      <c r="BZ1160" s="16">
        <f>BY1160/AS1160</f>
        <v>0</v>
      </c>
      <c r="CA1160" s="16">
        <f>IF(CB1160&gt;0,1,0)</f>
        <v>0</v>
      </c>
      <c r="CB1160" s="16">
        <f>VLOOKUP($K1160,'[5]FECs - good data'!$C$1:$Z$574,20,FALSE)</f>
        <v>0</v>
      </c>
      <c r="CC1160" s="16">
        <f>CB1160/AS1160</f>
        <v>0</v>
      </c>
      <c r="CD1160" s="77">
        <f>IF(CE1160&gt;0,1,0)</f>
        <v>0</v>
      </c>
      <c r="CE1160" s="16">
        <f>VLOOKUP($K1160,'[5]FECs - good data'!$C$1:$Z$574,21,FALSE)</f>
        <v>0</v>
      </c>
      <c r="CF1160" s="16">
        <f>CE1160/AS1160</f>
        <v>0</v>
      </c>
      <c r="CG1160" s="16">
        <f>IF(CH1160&gt;0,1,0)</f>
        <v>1</v>
      </c>
      <c r="CH1160" s="16">
        <f>VLOOKUP($K1160,'[5]FECs - good data'!$C$1:$Z$574,22,FALSE)</f>
        <v>52</v>
      </c>
      <c r="CI1160" s="16">
        <f>CH1160/AS1160</f>
        <v>281.08108108108098</v>
      </c>
      <c r="CJ1160" s="16">
        <f>IF(CK1160&gt;0,1,0)</f>
        <v>0</v>
      </c>
      <c r="CK1160" s="16">
        <f>VLOOKUP($K1160,'[5]FECs - good data'!$C$1:$Z$674,24,FALSE)</f>
        <v>0</v>
      </c>
      <c r="CL1160" s="16">
        <f>CK1160/AS1160</f>
        <v>0</v>
      </c>
      <c r="CS1160" s="16">
        <f>IF(CT1160&gt;0,1,0)</f>
        <v>1</v>
      </c>
      <c r="CT1160" s="16">
        <f>SUM(CW1160+CZ1160,DC1160)</f>
        <v>3</v>
      </c>
      <c r="CV1160" s="16">
        <f>SUM(CY1160,DB1160,DE1160)</f>
        <v>443.24324324324306</v>
      </c>
      <c r="CW1160" s="16">
        <f>IF(CX1160&gt;0,1,0)</f>
        <v>1</v>
      </c>
      <c r="CX1160" s="16">
        <f>VLOOKUP($K1160,'[5]FECs - good data'!$C$1:$Z$574,22,FALSE)</f>
        <v>52</v>
      </c>
      <c r="CY1160" s="16">
        <f>CX1160/AS1160</f>
        <v>281.08108108108098</v>
      </c>
      <c r="CZ1160" s="16">
        <f>IF(DA1160&gt;0,1,0)</f>
        <v>1</v>
      </c>
      <c r="DA1160" s="16">
        <f>VLOOKUP($K1160,'[5]FECs - good data'!$C$1:$Z$5982,23,FALSE)</f>
        <v>15</v>
      </c>
      <c r="DB1160" s="16">
        <f>DA1160/AS1160</f>
        <v>81.081081081081052</v>
      </c>
      <c r="DC1160" s="16">
        <f>IF(DD1160&gt;0,1,0)</f>
        <v>1</v>
      </c>
      <c r="DD1160" s="16">
        <f>VLOOKUP($K1160,'[5]FECs - good data'!$C$1:$Z$574,23,FALSE)</f>
        <v>15</v>
      </c>
      <c r="DE1160" s="16">
        <f>DD1160/AS1160</f>
        <v>81.081081081081052</v>
      </c>
      <c r="DF1160" s="16" t="e">
        <f>VLOOKUP(K1160,'[3]RNA Seq summary tables'!$V$3:$V$99,1,FALSE)</f>
        <v>#N/A</v>
      </c>
      <c r="DG1160" s="16">
        <v>1</v>
      </c>
      <c r="DH1160" s="16" t="str">
        <f>VLOOKUP(D1160,'[6]workflow 3.2018'!$A$1:$S$237,2,FALSE)</f>
        <v>2017MLBS_191</v>
      </c>
    </row>
    <row r="1161" spans="1:288" x14ac:dyDescent="0.2">
      <c r="B1161" s="16">
        <v>2017</v>
      </c>
      <c r="C1161" s="20">
        <v>42941</v>
      </c>
      <c r="D1161" s="20" t="str">
        <f>CONCATENATE(J1161,"-",C1161)</f>
        <v>1282-42941</v>
      </c>
      <c r="E1161" s="20" t="str">
        <f>CONCATENATE(T1161,"-",U1161,"-",C1161)</f>
        <v>SP1-E1-42941</v>
      </c>
      <c r="F1161" s="20" t="s">
        <v>106</v>
      </c>
      <c r="G1161" s="20" t="s">
        <v>107</v>
      </c>
      <c r="I1161" s="16">
        <v>0</v>
      </c>
      <c r="J1161" s="21">
        <v>1282</v>
      </c>
      <c r="K1161" s="21">
        <v>1987</v>
      </c>
      <c r="L1161" s="18">
        <v>0</v>
      </c>
      <c r="M1161" s="21">
        <f>VLOOKUP($K1161,'[4]blood tubes 2017'!$D$1:$L$647,8,FALSE)</f>
        <v>0</v>
      </c>
      <c r="N1161" s="15">
        <v>0</v>
      </c>
      <c r="O1161" s="15" t="s">
        <v>214</v>
      </c>
      <c r="P1161" s="16" t="s">
        <v>110</v>
      </c>
      <c r="Q1161" s="16">
        <v>0</v>
      </c>
      <c r="R1161" s="16" t="s">
        <v>111</v>
      </c>
      <c r="T1161" s="16" t="s">
        <v>140</v>
      </c>
      <c r="U1161" s="16" t="s">
        <v>222</v>
      </c>
      <c r="V1161" s="16" t="s">
        <v>142</v>
      </c>
      <c r="W1161" s="16">
        <f>AI1161/AG1161</f>
        <v>1</v>
      </c>
      <c r="X1161" s="16" t="s">
        <v>115</v>
      </c>
      <c r="Y1161" s="16" t="s">
        <v>110</v>
      </c>
      <c r="Z1161" s="16">
        <v>3</v>
      </c>
      <c r="AE1161" s="16" t="s">
        <v>123</v>
      </c>
      <c r="AF1161" s="16" t="s">
        <v>123</v>
      </c>
      <c r="AG1161" s="16">
        <f>AH1161-AI1161</f>
        <v>88</v>
      </c>
      <c r="AH1161" s="16">
        <v>176</v>
      </c>
      <c r="AI1161" s="16">
        <v>88</v>
      </c>
      <c r="AK1161" s="16">
        <v>15.5</v>
      </c>
      <c r="AL1161" s="16">
        <v>0</v>
      </c>
      <c r="AM1161" s="16">
        <v>0</v>
      </c>
      <c r="AN1161" s="16">
        <v>0</v>
      </c>
      <c r="AO1161" s="16">
        <v>0</v>
      </c>
      <c r="AP1161" s="16">
        <f>SUM(AL1161:AN1161)</f>
        <v>0</v>
      </c>
      <c r="AQ1161" s="16">
        <v>1.7809999999999999</v>
      </c>
      <c r="AR1161" s="16">
        <f>AP1161-1.472</f>
        <v>-1.472</v>
      </c>
      <c r="AS1161" s="16">
        <f>AQ1161-1.472</f>
        <v>0.30899999999999994</v>
      </c>
      <c r="AT1161" s="16" t="str">
        <f>VLOOKUP(K1161,'[5]FECs - good data'!$C$1:$P$575,13,FALSE)</f>
        <v>SB</v>
      </c>
      <c r="AW1161" s="18">
        <f>IF(AX1161&gt;0,1,0)</f>
        <v>1</v>
      </c>
      <c r="AX1161" s="18">
        <f>SUM(BA1161,BM1161,CT1161)</f>
        <v>3</v>
      </c>
      <c r="AY1161" s="18">
        <f>SUM(BB1161,BN1161,CV1161)</f>
        <v>49825.242718446614</v>
      </c>
      <c r="AZ1161" s="18">
        <f>IF(BA1161&gt;0,1,0)</f>
        <v>1</v>
      </c>
      <c r="BA1161" s="18">
        <f>SUM(BC1161,BF1161,BI1161)</f>
        <v>3</v>
      </c>
      <c r="BB1161" s="18">
        <f>SUM(BE1161,BH1161,BK1161)</f>
        <v>49825.242718446614</v>
      </c>
      <c r="BC1161" s="18">
        <f>IF(BD1161&gt;0,1,0)</f>
        <v>1</v>
      </c>
      <c r="BD1161" s="18">
        <f>VLOOKUP($K1161,'[5]FECs - good data'!$C$1:$Z$574,14,FALSE)</f>
        <v>2486</v>
      </c>
      <c r="BE1161" s="16">
        <f>BD1161/AS1161</f>
        <v>8045.3074433656975</v>
      </c>
      <c r="BF1161" s="16">
        <f>IF(BG1161&gt;0,1,0)</f>
        <v>1</v>
      </c>
      <c r="BG1161" s="77">
        <f>VLOOKUP($K1161,'[5]FECs - good data'!$C$1:$Z$574,15,FALSE)</f>
        <v>12772</v>
      </c>
      <c r="BH1161" s="16">
        <f>BG1161/AS1161</f>
        <v>41333.333333333343</v>
      </c>
      <c r="BI1161" s="16">
        <f>IF(BJ1161&gt;0,1,0)</f>
        <v>1</v>
      </c>
      <c r="BJ1161" s="16">
        <f>VLOOKUP($K1161,'[5]FECs - good data'!$C$1:$Z$574,16,FALSE)</f>
        <v>138</v>
      </c>
      <c r="BK1161" s="16">
        <f>BJ1161/AS1161</f>
        <v>446.60194174757288</v>
      </c>
      <c r="BL1161" s="16">
        <f>IF(BM1161&gt;0,1,0)</f>
        <v>0</v>
      </c>
      <c r="BM1161" s="16">
        <f>SUM(BR1161,BU1161,BX1161,CA1161,CD1161,CG1161,CJ1161,CM1161,CP1161)</f>
        <v>0</v>
      </c>
      <c r="BN1161" s="16">
        <f>SUM(BW1161,BZ1161,CC1161,CF1161,CI1161,CL1161,CO1161,CR1161,BT1161)</f>
        <v>0</v>
      </c>
      <c r="BO1161" s="16">
        <f>IF(BP1161&gt;0,1,0)</f>
        <v>0</v>
      </c>
      <c r="BP1161" s="16">
        <f>SUM(BU1161,BX1161,CA1161,CD1161,BR1161)</f>
        <v>0</v>
      </c>
      <c r="BQ1161" s="16">
        <f>SUM(BZ1161,CC1161,CF1161,BT1161,BW1161)</f>
        <v>0</v>
      </c>
      <c r="BR1161" s="16">
        <f>IF(BS1161&gt;0,1,0)</f>
        <v>0</v>
      </c>
      <c r="BS1161" s="16">
        <f>VLOOKUP($K1161,'[5]FECs - good data'!$C$1:$Z$574,17,FALSE)</f>
        <v>0</v>
      </c>
      <c r="BT1161" s="77">
        <f>BS1161/AS1161</f>
        <v>0</v>
      </c>
      <c r="BU1161" s="16">
        <f>IF(BV1161&gt;0,1,0)</f>
        <v>0</v>
      </c>
      <c r="BV1161" s="16">
        <f>VLOOKUP($K1161,'[5]FECs - good data'!$C$1:$Z$574,18,FALSE)</f>
        <v>0</v>
      </c>
      <c r="BW1161" s="16">
        <f>BV1161/AS1161</f>
        <v>0</v>
      </c>
      <c r="BX1161" s="16">
        <f>IF(BY1161&gt;0,1,0)</f>
        <v>0</v>
      </c>
      <c r="BY1161" s="16">
        <f>VLOOKUP($K1161,'[5]FECs - good data'!$C$1:$Z$574,19,FALSE)</f>
        <v>0</v>
      </c>
      <c r="BZ1161" s="16">
        <f>BY1161/AS1161</f>
        <v>0</v>
      </c>
      <c r="CA1161" s="16">
        <f>IF(CB1161&gt;0,1,0)</f>
        <v>0</v>
      </c>
      <c r="CB1161" s="16">
        <f>VLOOKUP($K1161,'[5]FECs - good data'!$C$1:$Z$574,20,FALSE)</f>
        <v>0</v>
      </c>
      <c r="CC1161" s="16">
        <f>CB1161/AS1161</f>
        <v>0</v>
      </c>
      <c r="CD1161" s="77">
        <f>IF(CE1161&gt;0,1,0)</f>
        <v>0</v>
      </c>
      <c r="CE1161" s="16">
        <f>VLOOKUP($K1161,'[5]FECs - good data'!$C$1:$Z$574,21,FALSE)</f>
        <v>0</v>
      </c>
      <c r="CF1161" s="16">
        <f>CE1161/AS1161</f>
        <v>0</v>
      </c>
      <c r="CG1161" s="16">
        <f>IF(CH1161&gt;0,1,0)</f>
        <v>0</v>
      </c>
      <c r="CH1161" s="16">
        <f>VLOOKUP($K1161,'[5]FECs - good data'!$C$1:$Z$574,22,FALSE)</f>
        <v>0</v>
      </c>
      <c r="CI1161" s="16">
        <f>CH1161/AS1161</f>
        <v>0</v>
      </c>
      <c r="CJ1161" s="16">
        <f>IF(CK1161&gt;0,1,0)</f>
        <v>0</v>
      </c>
      <c r="CK1161" s="16">
        <f>VLOOKUP($K1161,'[5]FECs - good data'!$C$1:$Z$674,24,FALSE)</f>
        <v>0</v>
      </c>
      <c r="CL1161" s="16">
        <f>CK1161/AS1161</f>
        <v>0</v>
      </c>
      <c r="CS1161" s="16">
        <f>IF(CT1161&gt;0,1,0)</f>
        <v>0</v>
      </c>
      <c r="CT1161" s="16">
        <f>SUM(CW1161+CZ1161,DC1161)</f>
        <v>0</v>
      </c>
      <c r="CV1161" s="16">
        <f>SUM(CY1161,DB1161,DE1161)</f>
        <v>0</v>
      </c>
      <c r="CW1161" s="16">
        <f>IF(CX1161&gt;0,1,0)</f>
        <v>0</v>
      </c>
      <c r="CX1161" s="16">
        <f>VLOOKUP($K1161,'[5]FECs - good data'!$C$1:$Z$574,22,FALSE)</f>
        <v>0</v>
      </c>
      <c r="CY1161" s="16">
        <f>CX1161/AS1161</f>
        <v>0</v>
      </c>
      <c r="CZ1161" s="16">
        <f>IF(DA1161&gt;0,1,0)</f>
        <v>0</v>
      </c>
      <c r="DA1161" s="16">
        <f>VLOOKUP($K1161,'[5]FECs - good data'!$C$1:$Z$5982,23,FALSE)</f>
        <v>0</v>
      </c>
      <c r="DB1161" s="16">
        <f>DA1161/AS1161</f>
        <v>0</v>
      </c>
      <c r="DF1161" s="16" t="e">
        <f>VLOOKUP(K1161,'[3]RNA Seq summary tables'!$V$3:$V$99,1,FALSE)</f>
        <v>#N/A</v>
      </c>
      <c r="DG1161" s="16">
        <v>1</v>
      </c>
      <c r="DH1161" s="16" t="str">
        <f>VLOOKUP(D1161,'[6]workflow 3.2018'!$A$1:$S$237,2,FALSE)</f>
        <v>2017MLBS_84</v>
      </c>
    </row>
    <row r="1162" spans="1:288" x14ac:dyDescent="0.2">
      <c r="B1162" s="16">
        <v>2017</v>
      </c>
      <c r="C1162" s="20">
        <v>42974</v>
      </c>
      <c r="D1162" s="20" t="str">
        <f>CONCATENATE(J1162,"-",C1162)</f>
        <v>1282-42974</v>
      </c>
      <c r="E1162" s="142" t="str">
        <f>CONCATENATE(T1162,"-",U1162,"-",C1162)</f>
        <v>SP1-E8-42974</v>
      </c>
      <c r="F1162" s="37" t="s">
        <v>224</v>
      </c>
      <c r="G1162" s="20" t="s">
        <v>107</v>
      </c>
      <c r="J1162" s="21">
        <v>1282</v>
      </c>
      <c r="K1162" s="21">
        <v>2267</v>
      </c>
      <c r="L1162" s="18">
        <v>0</v>
      </c>
      <c r="M1162" s="21">
        <f>VLOOKUP($K1162,'[4]blood tubes 2017'!$D$1:$L$947,8,FALSE)</f>
        <v>0</v>
      </c>
      <c r="N1162" s="15">
        <v>0</v>
      </c>
      <c r="O1162" s="15" t="s">
        <v>214</v>
      </c>
      <c r="P1162" s="16" t="s">
        <v>110</v>
      </c>
      <c r="Q1162" s="16">
        <v>1</v>
      </c>
      <c r="R1162" s="16">
        <v>33</v>
      </c>
      <c r="T1162" s="16" t="s">
        <v>140</v>
      </c>
      <c r="U1162" s="16" t="s">
        <v>181</v>
      </c>
      <c r="V1162" s="16" t="s">
        <v>142</v>
      </c>
      <c r="W1162" s="16">
        <f>AI1162/AG1162</f>
        <v>1.1298701298701299</v>
      </c>
      <c r="X1162" s="16" t="s">
        <v>115</v>
      </c>
      <c r="Y1162" s="16" t="s">
        <v>110</v>
      </c>
      <c r="Z1162" s="16">
        <v>3</v>
      </c>
      <c r="AE1162" s="16" t="s">
        <v>123</v>
      </c>
      <c r="AF1162" s="16" t="s">
        <v>123</v>
      </c>
      <c r="AG1162" s="16">
        <f>AH1162-AI1162</f>
        <v>77</v>
      </c>
      <c r="AH1162" s="16">
        <v>164</v>
      </c>
      <c r="AI1162" s="16">
        <v>87</v>
      </c>
      <c r="AK1162" s="16">
        <v>18.5</v>
      </c>
      <c r="AL1162" s="16">
        <v>0</v>
      </c>
      <c r="AM1162" s="16">
        <v>0</v>
      </c>
      <c r="AN1162" s="16">
        <v>0</v>
      </c>
      <c r="AO1162" s="16">
        <v>0</v>
      </c>
      <c r="AP1162" s="16">
        <f>SUM(AL1162:AN1162)</f>
        <v>0</v>
      </c>
      <c r="AQ1162" s="16">
        <v>1.5449999999999999</v>
      </c>
      <c r="AR1162" s="16">
        <f>AP1162-1.472</f>
        <v>-1.472</v>
      </c>
      <c r="AS1162" s="16">
        <f>AQ1162-1.472</f>
        <v>7.2999999999999954E-2</v>
      </c>
      <c r="AT1162" s="16" t="e">
        <f>VLOOKUP(E1162,[2]Current!$A$1:$W$435,7,FALSE)</f>
        <v>#N/A</v>
      </c>
      <c r="AU1162" s="16">
        <v>0</v>
      </c>
      <c r="AW1162" s="18"/>
      <c r="AX1162" s="18"/>
      <c r="AY1162" s="18"/>
      <c r="AZ1162" s="18"/>
      <c r="BA1162" s="18"/>
      <c r="BB1162" s="18"/>
      <c r="BC1162" s="18"/>
      <c r="BD1162" s="18"/>
      <c r="BG1162" s="77"/>
      <c r="BT1162" s="77"/>
      <c r="CD1162" s="77"/>
      <c r="DF1162" s="16" t="e">
        <f>VLOOKUP(K1162,'[3]RNA Seq summary tables'!$V$3:$V$99,1,FALSE)</f>
        <v>#N/A</v>
      </c>
    </row>
    <row r="1163" spans="1:288" ht="16" x14ac:dyDescent="0.2">
      <c r="B1163" s="16">
        <v>2017</v>
      </c>
      <c r="C1163" s="20">
        <v>42941</v>
      </c>
      <c r="D1163" s="20" t="str">
        <f>CONCATENATE(J1163,"-",C1163)</f>
        <v>1284-42941</v>
      </c>
      <c r="E1163" s="37" t="str">
        <f>CONCATENATE(T1163,"-",U1163,"-",C1163)</f>
        <v>SP2-E1-42941</v>
      </c>
      <c r="F1163" s="20" t="s">
        <v>106</v>
      </c>
      <c r="G1163" s="20" t="s">
        <v>107</v>
      </c>
      <c r="I1163" s="16">
        <v>0</v>
      </c>
      <c r="J1163" s="21">
        <v>1284</v>
      </c>
      <c r="K1163" s="21">
        <v>1992</v>
      </c>
      <c r="L1163" s="18">
        <v>0</v>
      </c>
      <c r="M1163" s="21">
        <f>VLOOKUP($K1163,'[4]blood tubes 2017'!$D$1:$L$647,8,FALSE)</f>
        <v>0</v>
      </c>
      <c r="N1163" s="15">
        <v>0</v>
      </c>
      <c r="O1163" s="15" t="s">
        <v>214</v>
      </c>
      <c r="P1163" s="16" t="s">
        <v>110</v>
      </c>
      <c r="Q1163" s="16">
        <v>0</v>
      </c>
      <c r="R1163" s="16" t="s">
        <v>111</v>
      </c>
      <c r="T1163" s="16" t="s">
        <v>137</v>
      </c>
      <c r="U1163" s="16" t="s">
        <v>222</v>
      </c>
      <c r="V1163" s="16" t="s">
        <v>114</v>
      </c>
      <c r="W1163" s="16">
        <f>AI1163/AG1163</f>
        <v>0.85057471264367812</v>
      </c>
      <c r="X1163" s="16" t="s">
        <v>115</v>
      </c>
      <c r="Y1163" s="16" t="s">
        <v>110</v>
      </c>
      <c r="Z1163" s="16">
        <v>3</v>
      </c>
      <c r="AE1163" s="16" t="s">
        <v>123</v>
      </c>
      <c r="AF1163" s="16" t="s">
        <v>123</v>
      </c>
      <c r="AG1163" s="16">
        <f>AH1163-AI1163</f>
        <v>87</v>
      </c>
      <c r="AH1163" s="16">
        <v>161</v>
      </c>
      <c r="AI1163" s="16">
        <v>74</v>
      </c>
      <c r="AK1163" s="16">
        <v>18.5</v>
      </c>
      <c r="AL1163" s="16">
        <v>0</v>
      </c>
      <c r="AM1163" s="16">
        <v>0</v>
      </c>
      <c r="AN1163" s="16">
        <v>0</v>
      </c>
      <c r="AO1163" s="16">
        <v>0</v>
      </c>
      <c r="AP1163" s="16">
        <f>SUM(AL1163:AN1163)</f>
        <v>0</v>
      </c>
      <c r="AQ1163" s="16">
        <v>1.8919999999999999</v>
      </c>
      <c r="AR1163" s="16">
        <f>AP1163-1.472</f>
        <v>-1.472</v>
      </c>
      <c r="AS1163" s="16">
        <f>AQ1163-1.472</f>
        <v>0.41999999999999993</v>
      </c>
      <c r="AT1163" s="16" t="str">
        <f>VLOOKUP(E1163,[2]Current!$A$1:$W$435,7,FALSE)</f>
        <v>LV</v>
      </c>
      <c r="AU1163" s="16" t="s">
        <v>1288</v>
      </c>
      <c r="AW1163" s="128">
        <f>IF(AX1163&gt;0,1,0)</f>
        <v>1</v>
      </c>
      <c r="AX1163" s="128">
        <f>SUM(BA1163,BM1163,CU1163)</f>
        <v>2</v>
      </c>
      <c r="AY1163" s="128">
        <f>SUM(BB1163,BN1163,CV1163)</f>
        <v>100.00000000000001</v>
      </c>
      <c r="AZ1163" s="128">
        <f>IF(BA1163&gt;0,1,0)</f>
        <v>0</v>
      </c>
      <c r="BA1163" s="128">
        <f>SUM(BC1163+BF1163+BI1163)</f>
        <v>0</v>
      </c>
      <c r="BB1163" s="128">
        <f>SUM(BE1163,BH1163,BK1163)</f>
        <v>0</v>
      </c>
      <c r="BC1163" s="130">
        <f>IF(BD1163&gt;0,1,0)</f>
        <v>0</v>
      </c>
      <c r="BD1163" s="128">
        <f>VLOOKUP($E1163,[2]Current!$A:$AC,26,FALSE)</f>
        <v>0</v>
      </c>
      <c r="BE1163" s="128">
        <f>BD1163/$AS1163</f>
        <v>0</v>
      </c>
      <c r="BF1163" s="130">
        <f>IF(BG1163&gt;0,1,0)</f>
        <v>0</v>
      </c>
      <c r="BG1163" s="137">
        <f>VLOOKUP($E1163,[2]Current!$A:$AC,27,FALSE)</f>
        <v>0</v>
      </c>
      <c r="BH1163" s="128">
        <f>BG1163/$AS1163</f>
        <v>0</v>
      </c>
      <c r="BI1163" s="130">
        <f>IF(BJ1163&gt;0,1,0)</f>
        <v>0</v>
      </c>
      <c r="BJ1163" s="128">
        <f>VLOOKUP($E1163,[2]Current!$A:$AC,28,FALSE)</f>
        <v>0</v>
      </c>
      <c r="BK1163" s="128">
        <f>BJ1163/$AS1163</f>
        <v>0</v>
      </c>
      <c r="BL1163" s="128">
        <f>IF(BM1163&gt;0,1,0)</f>
        <v>1</v>
      </c>
      <c r="BM1163" s="128">
        <f>SUM(BR1163,BU1163,BX1163,CA1163,CD1163)</f>
        <v>2</v>
      </c>
      <c r="BN1163" s="131">
        <f>SUM(BT1163,BW1163,BZ1163,CC1163,CF1163)</f>
        <v>100.00000000000001</v>
      </c>
      <c r="BO1163" s="128">
        <f>IF(BP1163&gt;0,1,0)</f>
        <v>1</v>
      </c>
      <c r="BP1163" s="128">
        <f>BM1163+CJ1163</f>
        <v>3</v>
      </c>
      <c r="BQ1163" s="128">
        <f>BN1163+CL1163</f>
        <v>107.14285714285715</v>
      </c>
      <c r="BR1163" s="130">
        <f>IF(BS1163&gt;0,1,0)</f>
        <v>1</v>
      </c>
      <c r="BS1163" s="128">
        <f>VLOOKUP($E1163,[2]Current!$A:$AC,12,FALSE)</f>
        <v>39</v>
      </c>
      <c r="BT1163" s="137">
        <f>BS1163/$AS1163</f>
        <v>92.857142857142875</v>
      </c>
      <c r="BU1163" s="130">
        <f>IF(BV1163&gt;0,1,0)</f>
        <v>0</v>
      </c>
      <c r="BV1163" s="128">
        <f>VLOOKUP($E1163,[2]Current!$A:$AC,13,FALSE)</f>
        <v>0</v>
      </c>
      <c r="BW1163" s="128">
        <f>BV1163/$AS1163</f>
        <v>0</v>
      </c>
      <c r="BX1163" s="130">
        <f>IF(BY1163&gt;0,1,0)</f>
        <v>0</v>
      </c>
      <c r="BY1163" s="128">
        <f>VLOOKUP($E1163,[2]Current!$A:$AC,14,FALSE)</f>
        <v>0</v>
      </c>
      <c r="BZ1163" s="128">
        <f>BY1163/$AS1163</f>
        <v>0</v>
      </c>
      <c r="CA1163" s="130">
        <f>IF(CB1163&gt;0,1,0)</f>
        <v>0</v>
      </c>
      <c r="CB1163" s="128">
        <f>VLOOKUP($E1163,[2]Current!$A:$AC,15,FALSE)</f>
        <v>0</v>
      </c>
      <c r="CC1163" s="128">
        <f>CB1163/$AS1163</f>
        <v>0</v>
      </c>
      <c r="CD1163" s="174">
        <f>IF(CE1163&gt;0,1,0)</f>
        <v>1</v>
      </c>
      <c r="CE1163" s="128">
        <f>VLOOKUP($E1163,[2]Current!$A:$AC,16,FALSE)</f>
        <v>3</v>
      </c>
      <c r="CF1163" s="128">
        <f>CE1163/$AS1163</f>
        <v>7.1428571428571441</v>
      </c>
      <c r="CG1163" s="18"/>
      <c r="CH1163" s="18"/>
      <c r="CI1163" s="18"/>
      <c r="CJ1163" s="130">
        <f>IF(CK1163&gt;0,1,0)</f>
        <v>1</v>
      </c>
      <c r="CK1163" s="128">
        <f>VLOOKUP($E1163,[2]Current!$A:$AC,18,FALSE)</f>
        <v>3</v>
      </c>
      <c r="CL1163" s="128">
        <f>CK1163/$AS1163</f>
        <v>7.1428571428571441</v>
      </c>
      <c r="CS1163" s="130">
        <f>IF(CU1163&gt;0,1,0)</f>
        <v>0</v>
      </c>
      <c r="CT1163" s="27"/>
      <c r="CU1163" s="128">
        <f>VLOOKUP($E1163,[2]Current!$A:$AC,17,FALSE)</f>
        <v>0</v>
      </c>
      <c r="CV1163" s="128">
        <f>CU1163/$AS1163</f>
        <v>0</v>
      </c>
      <c r="CW1163" s="18"/>
      <c r="CX1163" s="18"/>
      <c r="CY1163" s="18"/>
      <c r="DF1163" s="16" t="e">
        <f>VLOOKUP(K1163,'[3]RNA Seq summary tables'!$V$3:$V$99,1,FALSE)</f>
        <v>#N/A</v>
      </c>
      <c r="DG1163" s="16">
        <v>1</v>
      </c>
      <c r="DH1163" s="16" t="str">
        <f>VLOOKUP(D1163,'[6]workflow 3.2018'!$A$1:$S$237,2,FALSE)</f>
        <v>2017MLBS_100</v>
      </c>
      <c r="JR1163" s="39"/>
      <c r="JS1163" s="39"/>
      <c r="JT1163" s="39"/>
      <c r="JU1163" s="39"/>
      <c r="JV1163" s="39"/>
      <c r="JW1163" s="39"/>
      <c r="JX1163" s="39"/>
      <c r="JY1163" s="39"/>
      <c r="JZ1163" s="39"/>
      <c r="KA1163" s="39"/>
      <c r="KB1163" s="39"/>
    </row>
    <row r="1164" spans="1:288" x14ac:dyDescent="0.2">
      <c r="B1164" s="16">
        <v>2017</v>
      </c>
      <c r="C1164" s="20">
        <v>42958</v>
      </c>
      <c r="D1164" s="20" t="str">
        <f>CONCATENATE(J1164,"-",C1164)</f>
        <v>1284-42958</v>
      </c>
      <c r="E1164" s="20" t="str">
        <f>CONCATENATE(T1164,"-",U1164,"-",C1164)</f>
        <v>SP2-E1-42958</v>
      </c>
      <c r="F1164" s="20" t="s">
        <v>106</v>
      </c>
      <c r="G1164" s="20" t="s">
        <v>107</v>
      </c>
      <c r="I1164" s="16">
        <v>0</v>
      </c>
      <c r="J1164" s="21">
        <v>1284</v>
      </c>
      <c r="K1164" s="21">
        <v>2135</v>
      </c>
      <c r="L1164" s="18">
        <v>0</v>
      </c>
      <c r="M1164" s="21">
        <f>VLOOKUP($K1164,'[4]blood tubes 2017'!$D$1:$L$647,8,FALSE)</f>
        <v>0</v>
      </c>
      <c r="N1164" s="15">
        <v>0</v>
      </c>
      <c r="O1164" s="15" t="s">
        <v>214</v>
      </c>
      <c r="P1164" s="16" t="s">
        <v>110</v>
      </c>
      <c r="Q1164" s="16">
        <v>1</v>
      </c>
      <c r="R1164" s="16">
        <v>17</v>
      </c>
      <c r="T1164" s="16" t="s">
        <v>137</v>
      </c>
      <c r="U1164" s="16" t="s">
        <v>222</v>
      </c>
      <c r="V1164" s="16" t="s">
        <v>114</v>
      </c>
      <c r="W1164" s="16">
        <f>AI1164/AG1164</f>
        <v>0.81318681318681318</v>
      </c>
      <c r="X1164" s="16" t="s">
        <v>115</v>
      </c>
      <c r="Y1164" s="16" t="s">
        <v>110</v>
      </c>
      <c r="Z1164" s="16">
        <v>3</v>
      </c>
      <c r="AE1164" s="16" t="s">
        <v>123</v>
      </c>
      <c r="AF1164" s="16" t="s">
        <v>123</v>
      </c>
      <c r="AG1164" s="16">
        <f>AH1164-AI1164</f>
        <v>91</v>
      </c>
      <c r="AH1164" s="16">
        <v>165</v>
      </c>
      <c r="AI1164" s="16">
        <v>74</v>
      </c>
      <c r="AK1164" s="16">
        <v>20.5</v>
      </c>
      <c r="AL1164" s="16">
        <v>0</v>
      </c>
      <c r="AM1164" s="16">
        <v>0</v>
      </c>
      <c r="AN1164" s="16">
        <v>0</v>
      </c>
      <c r="AO1164" s="16">
        <v>0</v>
      </c>
      <c r="AP1164" s="16">
        <f>SUM(AL1164:AN1164)</f>
        <v>0</v>
      </c>
      <c r="AQ1164" s="16">
        <v>1.7729999999999999</v>
      </c>
      <c r="AR1164" s="16">
        <f>AP1164-1.472</f>
        <v>-1.472</v>
      </c>
      <c r="AS1164" s="16">
        <f>AQ1164-1.472</f>
        <v>0.30099999999999993</v>
      </c>
      <c r="AT1164" s="16" t="str">
        <f>VLOOKUP(K1164,'[5]FECs - good data'!$C$1:$P$575,13,FALSE)</f>
        <v>SB</v>
      </c>
      <c r="AW1164" s="18">
        <f>IF(AX1164&gt;0,1,0)</f>
        <v>1</v>
      </c>
      <c r="AX1164" s="18">
        <f>SUM(BA1164,BM1164,CT1164)</f>
        <v>2</v>
      </c>
      <c r="AY1164" s="18">
        <f>SUM(BB1164,BN1164,CV1164)</f>
        <v>23.255813953488378</v>
      </c>
      <c r="AZ1164" s="18">
        <f>IF(BA1164&gt;0,1,0)</f>
        <v>0</v>
      </c>
      <c r="BA1164" s="18">
        <f>SUM(BC1164,BF1164,BI1164)</f>
        <v>0</v>
      </c>
      <c r="BB1164" s="18">
        <f>SUM(BE1164,BH1164,BK1164)</f>
        <v>0</v>
      </c>
      <c r="BC1164" s="18">
        <f>IF(BD1164&gt;0,1,0)</f>
        <v>0</v>
      </c>
      <c r="BD1164" s="18">
        <f>VLOOKUP($K1164,'[5]FECs - good data'!$C$1:$Z$574,14,FALSE)</f>
        <v>0</v>
      </c>
      <c r="BE1164" s="16">
        <f>BD1164/AS1164</f>
        <v>0</v>
      </c>
      <c r="BF1164" s="16">
        <f>IF(BG1164&gt;0,1,0)</f>
        <v>0</v>
      </c>
      <c r="BG1164" s="77">
        <f>VLOOKUP($K1164,'[5]FECs - good data'!$C$1:$Z$574,15,FALSE)</f>
        <v>0</v>
      </c>
      <c r="BH1164" s="16">
        <f>BG1164/AS1164</f>
        <v>0</v>
      </c>
      <c r="BI1164" s="16">
        <f>IF(BJ1164&gt;0,1,0)</f>
        <v>0</v>
      </c>
      <c r="BJ1164" s="16">
        <f>VLOOKUP($K1164,'[5]FECs - good data'!$C$1:$Z$574,16,FALSE)</f>
        <v>0</v>
      </c>
      <c r="BK1164" s="16">
        <f>BJ1164/AS1164</f>
        <v>0</v>
      </c>
      <c r="BL1164" s="16">
        <f>IF(BM1164&gt;0,1,0)</f>
        <v>1</v>
      </c>
      <c r="BM1164" s="16">
        <f>SUM(BR1164,BU1164,BX1164,CA1164,CD1164,CG1164,CJ1164,CM1164,CP1164)</f>
        <v>2</v>
      </c>
      <c r="BN1164" s="16">
        <f>SUM(BW1164,BZ1164,CC1164,CF1164,CI1164,CL1164,CO1164,CR1164,BT1164)</f>
        <v>23.255813953488378</v>
      </c>
      <c r="BO1164" s="16">
        <f>IF(BP1164&gt;0,1,0)</f>
        <v>1</v>
      </c>
      <c r="BP1164" s="16">
        <f>SUM(BU1164,BX1164,CA1164,CD1164,BR1164)</f>
        <v>1</v>
      </c>
      <c r="BQ1164" s="16">
        <f>SUM(BZ1164,CC1164,CF1164,BT1164,BW1164)</f>
        <v>3.3222591362126255</v>
      </c>
      <c r="BR1164" s="16">
        <f>IF(BS1164&gt;0,1,0)</f>
        <v>0</v>
      </c>
      <c r="BS1164" s="16">
        <f>VLOOKUP($K1164,'[5]FECs - good data'!$C$1:$Z$574,17,FALSE)</f>
        <v>0</v>
      </c>
      <c r="BT1164" s="77">
        <f>BS1164/AS1164</f>
        <v>0</v>
      </c>
      <c r="BU1164" s="16">
        <f>IF(BV1164&gt;0,1,0)</f>
        <v>0</v>
      </c>
      <c r="BV1164" s="16">
        <f>VLOOKUP($K1164,'[5]FECs - good data'!$C$1:$Z$574,18,FALSE)</f>
        <v>0</v>
      </c>
      <c r="BW1164" s="16">
        <f>BV1164/AS1164</f>
        <v>0</v>
      </c>
      <c r="BX1164" s="16">
        <f>IF(BY1164&gt;0,1,0)</f>
        <v>0</v>
      </c>
      <c r="BY1164" s="16">
        <f>VLOOKUP($K1164,'[5]FECs - good data'!$C$1:$Z$574,19,FALSE)</f>
        <v>0</v>
      </c>
      <c r="BZ1164" s="16">
        <f>BY1164/AS1164</f>
        <v>0</v>
      </c>
      <c r="CA1164" s="16">
        <f>IF(CB1164&gt;0,1,0)</f>
        <v>1</v>
      </c>
      <c r="CB1164" s="16">
        <f>VLOOKUP($K1164,'[5]FECs - good data'!$C$1:$Z$574,20,FALSE)</f>
        <v>1</v>
      </c>
      <c r="CC1164" s="16">
        <f>CB1164/AS1164</f>
        <v>3.3222591362126255</v>
      </c>
      <c r="CD1164" s="77">
        <f>IF(CE1164&gt;0,1,0)</f>
        <v>0</v>
      </c>
      <c r="CE1164" s="16">
        <f>VLOOKUP($K1164,'[5]FECs - good data'!$C$1:$Z$574,21,FALSE)</f>
        <v>0</v>
      </c>
      <c r="CF1164" s="16">
        <f>CE1164/AS1164</f>
        <v>0</v>
      </c>
      <c r="CG1164" s="16">
        <f>IF(CH1164&gt;0,1,0)</f>
        <v>0</v>
      </c>
      <c r="CH1164" s="16">
        <f>VLOOKUP($K1164,'[5]FECs - good data'!$C$1:$Z$574,22,FALSE)</f>
        <v>0</v>
      </c>
      <c r="CI1164" s="16">
        <f>CH1164/AS1164</f>
        <v>0</v>
      </c>
      <c r="CJ1164" s="16">
        <f>IF(CK1164&gt;0,1,0)</f>
        <v>1</v>
      </c>
      <c r="CK1164" s="16">
        <f>VLOOKUP($K1164,'[5]FECs - good data'!$C$1:$Z$674,24,FALSE)</f>
        <v>6</v>
      </c>
      <c r="CL1164" s="16">
        <f>CK1164/AS1164</f>
        <v>19.933554817275752</v>
      </c>
      <c r="CS1164" s="16">
        <f>IF(CT1164&gt;0,1,0)</f>
        <v>0</v>
      </c>
      <c r="CT1164" s="16">
        <f>SUM(CW1164+CZ1164,DC1164)</f>
        <v>0</v>
      </c>
      <c r="CV1164" s="16">
        <f>SUM(CY1164,DB1164,DE1164)</f>
        <v>0</v>
      </c>
      <c r="CW1164" s="16">
        <f>IF(CX1164&gt;0,1,0)</f>
        <v>0</v>
      </c>
      <c r="CX1164" s="16">
        <f>VLOOKUP($K1164,'[5]FECs - good data'!$C$1:$Z$574,22,FALSE)</f>
        <v>0</v>
      </c>
      <c r="CY1164" s="16">
        <f>CX1164/AS1164</f>
        <v>0</v>
      </c>
      <c r="CZ1164" s="16">
        <f>IF(DA1164&gt;0,1,0)</f>
        <v>0</v>
      </c>
      <c r="DA1164" s="16">
        <f>VLOOKUP($K1164,'[5]FECs - good data'!$C$1:$Z$5982,23,FALSE)</f>
        <v>0</v>
      </c>
      <c r="DB1164" s="16">
        <f>DA1164/AS1164</f>
        <v>0</v>
      </c>
      <c r="DC1164" s="16">
        <f>IF(DD1164&gt;0,1,0)</f>
        <v>0</v>
      </c>
      <c r="DD1164" s="16">
        <f>VLOOKUP($K1164,'[5]FECs - good data'!$C$1:$Z$574,23,FALSE)</f>
        <v>0</v>
      </c>
      <c r="DE1164" s="16">
        <f>DD1164/AS1164</f>
        <v>0</v>
      </c>
      <c r="DF1164" s="16" t="e">
        <f>VLOOKUP(K1164,'[3]RNA Seq summary tables'!$V$3:$V$99,1,FALSE)</f>
        <v>#N/A</v>
      </c>
      <c r="DG1164" s="16">
        <v>1</v>
      </c>
      <c r="DH1164" s="16" t="str">
        <f>VLOOKUP(D1164,'[6]workflow 3.2018'!$A$1:$S$237,2,FALSE)</f>
        <v>2017MLBS_139</v>
      </c>
      <c r="JO1164" s="38"/>
      <c r="JP1164" s="38"/>
      <c r="JQ1164" s="38"/>
    </row>
    <row r="1165" spans="1:288" s="27" customFormat="1" x14ac:dyDescent="0.2">
      <c r="A1165" s="18"/>
      <c r="B1165" s="18">
        <v>2017</v>
      </c>
      <c r="C1165" s="37">
        <v>42946</v>
      </c>
      <c r="D1165" s="37" t="str">
        <f>CONCATENATE(J1165,"-",C1165)</f>
        <v>1286-42946</v>
      </c>
      <c r="E1165" s="20" t="str">
        <f>CONCATENATE(T1165,"-",U1165,"-",C1165)</f>
        <v>PO1-D1-42946</v>
      </c>
      <c r="F1165" s="20" t="s">
        <v>106</v>
      </c>
      <c r="G1165" s="37" t="s">
        <v>107</v>
      </c>
      <c r="H1165" s="18"/>
      <c r="I1165" s="16">
        <v>0</v>
      </c>
      <c r="J1165" s="36">
        <v>1286</v>
      </c>
      <c r="K1165" s="36">
        <v>2001</v>
      </c>
      <c r="L1165" s="16">
        <v>1</v>
      </c>
      <c r="M1165" s="21">
        <f>VLOOKUP($K1165,'[4]blood tubes 2017'!$D$1:$L$647,8,FALSE)</f>
        <v>0</v>
      </c>
      <c r="N1165" s="15">
        <v>0</v>
      </c>
      <c r="O1165" s="15" t="s">
        <v>214</v>
      </c>
      <c r="P1165" s="18" t="s">
        <v>110</v>
      </c>
      <c r="Q1165" s="16">
        <v>0</v>
      </c>
      <c r="R1165" s="18" t="s">
        <v>111</v>
      </c>
      <c r="S1165" s="18"/>
      <c r="T1165" s="18" t="s">
        <v>112</v>
      </c>
      <c r="U1165" s="18" t="s">
        <v>157</v>
      </c>
      <c r="V1165" s="18" t="s">
        <v>114</v>
      </c>
      <c r="W1165" s="16">
        <f>AI1165/AG1165</f>
        <v>0.85416666666666663</v>
      </c>
      <c r="X1165" s="18" t="s">
        <v>115</v>
      </c>
      <c r="Y1165" s="18" t="s">
        <v>110</v>
      </c>
      <c r="Z1165" s="18">
        <v>3</v>
      </c>
      <c r="AA1165" s="18"/>
      <c r="AB1165" s="18"/>
      <c r="AC1165" s="18"/>
      <c r="AD1165" s="18"/>
      <c r="AE1165" s="18" t="s">
        <v>116</v>
      </c>
      <c r="AF1165" s="18" t="s">
        <v>116</v>
      </c>
      <c r="AG1165" s="18">
        <f>AH1165-AI1165</f>
        <v>96</v>
      </c>
      <c r="AH1165" s="18">
        <v>178</v>
      </c>
      <c r="AI1165" s="18">
        <v>82</v>
      </c>
      <c r="AJ1165" s="18"/>
      <c r="AK1165" s="18">
        <v>27.5</v>
      </c>
      <c r="AL1165" s="18">
        <v>0</v>
      </c>
      <c r="AM1165" s="18">
        <v>0</v>
      </c>
      <c r="AN1165" s="18">
        <v>0</v>
      </c>
      <c r="AO1165" s="18">
        <v>0</v>
      </c>
      <c r="AP1165" s="18">
        <f>SUM(AL1165:AN1165)</f>
        <v>0</v>
      </c>
      <c r="AQ1165" s="18">
        <v>2.1160000000000001</v>
      </c>
      <c r="AR1165" s="18">
        <f>AP1165-1.472</f>
        <v>-1.472</v>
      </c>
      <c r="AS1165" s="18">
        <f>AQ1165-1.472</f>
        <v>0.64400000000000013</v>
      </c>
      <c r="AT1165" s="18" t="str">
        <f>VLOOKUP(K1165,'[5]FECs - good data'!$C$1:$P$575,13,FALSE)</f>
        <v>JB</v>
      </c>
      <c r="AU1165" s="18"/>
      <c r="AV1165" s="18"/>
      <c r="AW1165" s="18">
        <f>IF(AX1165&gt;0,1,0)</f>
        <v>1</v>
      </c>
      <c r="AX1165" s="18">
        <f>SUM(BA1165,BM1165,CT1165)</f>
        <v>7</v>
      </c>
      <c r="AY1165" s="18">
        <f>SUM(BB1165,BN1165,CV1165)</f>
        <v>7770.186335403725</v>
      </c>
      <c r="AZ1165" s="18">
        <f>IF(BA1165&gt;0,1,0)</f>
        <v>1</v>
      </c>
      <c r="BA1165" s="18">
        <f>SUM(BC1165,BF1165,BI1165)</f>
        <v>3</v>
      </c>
      <c r="BB1165" s="18">
        <f>SUM(BE1165,BH1165,BK1165)</f>
        <v>5139.75155279503</v>
      </c>
      <c r="BC1165" s="18">
        <f>IF(BD1165&gt;0,1,0)</f>
        <v>1</v>
      </c>
      <c r="BD1165" s="18">
        <f>VLOOKUP($K1165,'[5]FECs - good data'!$C$1:$Z$574,14,FALSE)</f>
        <v>230</v>
      </c>
      <c r="BE1165" s="18">
        <f>BD1165/AS1165</f>
        <v>357.14285714285705</v>
      </c>
      <c r="BF1165" s="18">
        <f>IF(BG1165&gt;0,1,0)</f>
        <v>1</v>
      </c>
      <c r="BG1165" s="78">
        <f>VLOOKUP($K1165,'[5]FECs - good data'!$C$1:$Z$574,15,FALSE)</f>
        <v>2904</v>
      </c>
      <c r="BH1165" s="18">
        <f>BG1165/AS1165</f>
        <v>4509.3167701863349</v>
      </c>
      <c r="BI1165" s="18">
        <f>IF(BJ1165&gt;0,1,0)</f>
        <v>1</v>
      </c>
      <c r="BJ1165" s="18">
        <f>VLOOKUP($K1165,'[5]FECs - good data'!$C$1:$Z$574,16,FALSE)</f>
        <v>176</v>
      </c>
      <c r="BK1165" s="18">
        <f>BJ1165/AS1165</f>
        <v>273.29192546583846</v>
      </c>
      <c r="BL1165" s="18">
        <f>IF(BM1165&gt;0,1,0)</f>
        <v>1</v>
      </c>
      <c r="BM1165" s="18">
        <f>SUM(BR1165,BU1165,BX1165,CA1165,CD1165,CG1165,CJ1165,CM1165,CP1165)</f>
        <v>1</v>
      </c>
      <c r="BN1165" s="18">
        <f>SUM(BW1165,BZ1165,CC1165,CF1165,CI1165,CL1165,CO1165,CR1165,BT1165)</f>
        <v>992.2360248447203</v>
      </c>
      <c r="BO1165" s="16">
        <f>IF(BP1165&gt;0,1,0)</f>
        <v>0</v>
      </c>
      <c r="BP1165" s="16">
        <f>SUM(BU1165,BX1165,CA1165,CD1165,BR1165)</f>
        <v>0</v>
      </c>
      <c r="BQ1165" s="16">
        <f>SUM(BZ1165,CC1165,CF1165,BT1165,BW1165)</f>
        <v>0</v>
      </c>
      <c r="BR1165" s="18">
        <f>IF(BS1165&gt;0,1,0)</f>
        <v>0</v>
      </c>
      <c r="BS1165" s="18">
        <f>VLOOKUP($K1165,'[5]FECs - good data'!$C$1:$Z$574,17,FALSE)</f>
        <v>0</v>
      </c>
      <c r="BT1165" s="78">
        <f>BS1165/AS1165</f>
        <v>0</v>
      </c>
      <c r="BU1165" s="18">
        <f>IF(BV1165&gt;0,1,0)</f>
        <v>0</v>
      </c>
      <c r="BV1165" s="18">
        <f>VLOOKUP($K1165,'[5]FECs - good data'!$C$1:$Z$574,18,FALSE)</f>
        <v>0</v>
      </c>
      <c r="BW1165" s="18">
        <f>BV1165/AS1165</f>
        <v>0</v>
      </c>
      <c r="BX1165" s="18">
        <f>IF(BY1165&gt;0,1,0)</f>
        <v>0</v>
      </c>
      <c r="BY1165" s="18">
        <f>VLOOKUP($K1165,'[5]FECs - good data'!$C$1:$Z$574,19,FALSE)</f>
        <v>0</v>
      </c>
      <c r="BZ1165" s="18">
        <f>BY1165/AS1165</f>
        <v>0</v>
      </c>
      <c r="CA1165" s="18">
        <f>IF(CB1165&gt;0,1,0)</f>
        <v>0</v>
      </c>
      <c r="CB1165" s="18">
        <f>VLOOKUP($K1165,'[5]FECs - good data'!$C$1:$Z$574,20,FALSE)</f>
        <v>0</v>
      </c>
      <c r="CC1165" s="18">
        <f>CB1165/AS1165</f>
        <v>0</v>
      </c>
      <c r="CD1165" s="78">
        <f>IF(CE1165&gt;0,1,0)</f>
        <v>0</v>
      </c>
      <c r="CE1165" s="18">
        <f>VLOOKUP($K1165,'[5]FECs - good data'!$C$1:$Z$574,21,FALSE)</f>
        <v>0</v>
      </c>
      <c r="CF1165" s="18">
        <f>CE1165/AS1165</f>
        <v>0</v>
      </c>
      <c r="CG1165" s="18">
        <f>IF(CH1165&gt;0,1,0)</f>
        <v>1</v>
      </c>
      <c r="CH1165" s="18">
        <f>VLOOKUP($K1165,'[5]FECs - good data'!$C$1:$Z$574,22,FALSE)</f>
        <v>639</v>
      </c>
      <c r="CI1165" s="18">
        <f>CH1165/AS1165</f>
        <v>992.2360248447203</v>
      </c>
      <c r="CJ1165" s="18">
        <f>IF(CK1165&gt;0,1,0)</f>
        <v>0</v>
      </c>
      <c r="CK1165" s="18">
        <f>VLOOKUP($K1165,'[5]FECs - good data'!$C$1:$Z$674,24,FALSE)</f>
        <v>0</v>
      </c>
      <c r="CL1165" s="18">
        <f>CK1165/AS1165</f>
        <v>0</v>
      </c>
      <c r="CM1165" s="18"/>
      <c r="CN1165" s="18"/>
      <c r="CO1165" s="18"/>
      <c r="CP1165" s="18"/>
      <c r="CQ1165" s="18"/>
      <c r="CR1165" s="18"/>
      <c r="CS1165" s="18">
        <f>IF(CT1165&gt;0,1,0)</f>
        <v>1</v>
      </c>
      <c r="CT1165" s="18">
        <f>SUM(CW1165+CZ1165,DC1165)</f>
        <v>3</v>
      </c>
      <c r="CU1165" s="18"/>
      <c r="CV1165" s="18">
        <f>SUM(CY1165,DB1165,DE1165)</f>
        <v>1638.1987577639748</v>
      </c>
      <c r="CW1165" s="18">
        <f>IF(CX1165&gt;0,1,0)</f>
        <v>1</v>
      </c>
      <c r="CX1165" s="18">
        <f>VLOOKUP($K1165,'[5]FECs - good data'!$C$1:$Z$574,22,FALSE)</f>
        <v>639</v>
      </c>
      <c r="CY1165" s="18">
        <f>CX1165/AS1165</f>
        <v>992.2360248447203</v>
      </c>
      <c r="CZ1165" s="18">
        <f>IF(DA1165&gt;0,1,0)</f>
        <v>1</v>
      </c>
      <c r="DA1165" s="18">
        <f>VLOOKUP($K1165,'[5]FECs - good data'!$C$1:$Z$5982,23,FALSE)</f>
        <v>208</v>
      </c>
      <c r="DB1165" s="18">
        <f>DA1165/AS1165</f>
        <v>322.98136645962728</v>
      </c>
      <c r="DC1165" s="18">
        <f>IF(DD1165&gt;0,1,0)</f>
        <v>1</v>
      </c>
      <c r="DD1165" s="18">
        <f>VLOOKUP($K1165,'[5]FECs - good data'!$C$1:$Z$574,23,FALSE)</f>
        <v>208</v>
      </c>
      <c r="DE1165" s="18">
        <f>DD1165/AS1165</f>
        <v>322.98136645962728</v>
      </c>
      <c r="DF1165" s="16">
        <f>VLOOKUP(K1165,'[3]RNA Seq summary tables'!$V$3:$V$99,1,FALSE)</f>
        <v>2001</v>
      </c>
      <c r="DG1165" s="16">
        <v>1</v>
      </c>
      <c r="DH1165" s="16" t="str">
        <f>VLOOKUP(D1165,'[6]workflow 3.2018'!$A$1:$S$237,2,FALSE)</f>
        <v>2017MLBS_114</v>
      </c>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18"/>
      <c r="EQ1165" s="18"/>
      <c r="ER1165" s="18"/>
      <c r="ES1165" s="18"/>
      <c r="ET1165" s="18"/>
      <c r="EU1165" s="18"/>
      <c r="EV1165" s="18"/>
      <c r="EW1165" s="18"/>
      <c r="EX1165" s="18"/>
      <c r="EY1165" s="18"/>
      <c r="EZ1165" s="18"/>
      <c r="FA1165" s="18"/>
      <c r="FB1165" s="18"/>
      <c r="FC1165" s="18"/>
      <c r="FD1165" s="18"/>
      <c r="FE1165" s="18"/>
      <c r="FF1165" s="18"/>
      <c r="FG1165" s="18"/>
      <c r="FH1165" s="18"/>
      <c r="FI1165" s="18"/>
      <c r="FJ1165" s="18"/>
      <c r="FK1165" s="18"/>
      <c r="FL1165" s="18"/>
      <c r="FM1165" s="18"/>
      <c r="FN1165" s="18"/>
      <c r="FO1165" s="18"/>
      <c r="FP1165" s="18"/>
      <c r="FQ1165" s="18"/>
      <c r="FR1165" s="18"/>
      <c r="FS1165" s="18"/>
      <c r="FT1165" s="18"/>
      <c r="FU1165" s="18"/>
      <c r="FV1165" s="18"/>
      <c r="FW1165" s="18"/>
      <c r="FX1165" s="18"/>
      <c r="FY1165" s="18"/>
      <c r="FZ1165" s="18"/>
      <c r="GA1165" s="18"/>
      <c r="GB1165" s="18"/>
      <c r="GC1165" s="18"/>
      <c r="GD1165" s="18"/>
      <c r="GE1165" s="18"/>
      <c r="GF1165" s="18"/>
      <c r="GG1165" s="18"/>
      <c r="GH1165" s="18"/>
      <c r="GI1165" s="18"/>
      <c r="GJ1165" s="18"/>
      <c r="GK1165" s="18"/>
      <c r="GL1165" s="18"/>
      <c r="GM1165" s="18"/>
      <c r="GN1165" s="18"/>
      <c r="GO1165" s="18"/>
      <c r="GP1165" s="18"/>
      <c r="GQ1165" s="18"/>
      <c r="GR1165" s="18"/>
      <c r="GS1165" s="18"/>
      <c r="GT1165" s="18"/>
      <c r="GU1165" s="18"/>
      <c r="GV1165" s="18"/>
      <c r="GW1165" s="18"/>
      <c r="GX1165" s="18"/>
      <c r="GY1165" s="18"/>
      <c r="GZ1165" s="18"/>
      <c r="HA1165" s="18"/>
      <c r="HB1165" s="18"/>
      <c r="HC1165" s="18"/>
      <c r="HD1165" s="18"/>
      <c r="HE1165" s="18"/>
      <c r="HF1165" s="18"/>
      <c r="HG1165" s="18"/>
      <c r="HH1165" s="18"/>
      <c r="HI1165" s="18"/>
      <c r="HJ1165" s="18"/>
      <c r="HK1165" s="18"/>
      <c r="HL1165" s="18"/>
      <c r="HM1165" s="18"/>
      <c r="HN1165" s="18"/>
      <c r="HO1165" s="18"/>
      <c r="HP1165" s="18"/>
      <c r="HQ1165" s="18"/>
      <c r="HR1165" s="18"/>
      <c r="HS1165" s="18"/>
      <c r="HT1165" s="18"/>
      <c r="HU1165" s="18"/>
      <c r="HV1165" s="18"/>
      <c r="HW1165" s="18"/>
      <c r="HX1165" s="18"/>
      <c r="HY1165" s="18"/>
      <c r="HZ1165" s="18"/>
      <c r="IA1165" s="18"/>
      <c r="IB1165" s="18"/>
      <c r="IC1165" s="18"/>
      <c r="ID1165" s="18"/>
      <c r="IE1165" s="18"/>
      <c r="IF1165" s="18"/>
      <c r="IG1165" s="18"/>
      <c r="IH1165" s="18"/>
      <c r="II1165" s="18"/>
      <c r="IJ1165" s="18"/>
      <c r="IK1165" s="18"/>
      <c r="IL1165" s="18"/>
      <c r="IM1165" s="18"/>
      <c r="IN1165" s="18"/>
      <c r="IO1165" s="18"/>
      <c r="IP1165" s="18"/>
      <c r="IQ1165" s="18"/>
      <c r="IR1165" s="18"/>
      <c r="IS1165" s="18"/>
      <c r="IT1165" s="18"/>
      <c r="IU1165" s="18"/>
      <c r="IV1165" s="18"/>
      <c r="IW1165" s="18"/>
      <c r="IX1165" s="18"/>
      <c r="IY1165" s="18"/>
      <c r="IZ1165" s="18"/>
      <c r="JA1165" s="18"/>
      <c r="JB1165" s="18"/>
      <c r="JC1165" s="18"/>
      <c r="JD1165" s="18"/>
      <c r="JE1165" s="18"/>
      <c r="JF1165" s="18"/>
      <c r="JG1165" s="18"/>
      <c r="JH1165" s="18"/>
      <c r="JI1165" s="18"/>
      <c r="JJ1165" s="18"/>
      <c r="JK1165" s="18"/>
      <c r="JL1165" s="18"/>
      <c r="JM1165" s="18"/>
      <c r="JN1165" s="18"/>
      <c r="JO1165" s="16"/>
      <c r="JP1165" s="16"/>
      <c r="JQ1165" s="16"/>
      <c r="JR1165" s="16"/>
      <c r="JS1165" s="16"/>
      <c r="JT1165" s="16"/>
      <c r="JU1165" s="16"/>
      <c r="JV1165" s="16"/>
      <c r="JW1165" s="16"/>
      <c r="JX1165" s="16"/>
      <c r="JY1165" s="16"/>
      <c r="JZ1165" s="16"/>
      <c r="KA1165" s="16"/>
      <c r="KB1165" s="16"/>
    </row>
    <row r="1166" spans="1:288" x14ac:dyDescent="0.2">
      <c r="B1166" s="16">
        <v>2017</v>
      </c>
      <c r="C1166" s="20">
        <v>42963</v>
      </c>
      <c r="D1166" s="20" t="str">
        <f>CONCATENATE(J1166,"-",C1166)</f>
        <v>1286-42963</v>
      </c>
      <c r="E1166" s="20" t="str">
        <f>CONCATENATE(T1166,"-",U1166,"-",C1166)</f>
        <v>PO1-G1-42963</v>
      </c>
      <c r="F1166" s="20" t="s">
        <v>106</v>
      </c>
      <c r="G1166" s="20" t="s">
        <v>107</v>
      </c>
      <c r="I1166" s="16">
        <v>0</v>
      </c>
      <c r="J1166" s="21">
        <v>1286</v>
      </c>
      <c r="K1166" s="21">
        <v>2152</v>
      </c>
      <c r="L1166" s="16">
        <v>1</v>
      </c>
      <c r="M1166" s="21">
        <f>VLOOKUP($K1166,'[4]blood tubes 2017'!$D$1:$L$647,8,FALSE)</f>
        <v>0</v>
      </c>
      <c r="N1166" s="15">
        <v>0</v>
      </c>
      <c r="O1166" s="15" t="s">
        <v>214</v>
      </c>
      <c r="P1166" s="16" t="s">
        <v>110</v>
      </c>
      <c r="Q1166" s="16">
        <v>1</v>
      </c>
      <c r="R1166" s="16">
        <v>17</v>
      </c>
      <c r="T1166" s="16" t="s">
        <v>112</v>
      </c>
      <c r="U1166" s="16" t="s">
        <v>155</v>
      </c>
      <c r="V1166" s="16" t="s">
        <v>114</v>
      </c>
      <c r="W1166" s="16">
        <f>AI1166/AG1166</f>
        <v>0.90322580645161288</v>
      </c>
      <c r="X1166" s="16" t="s">
        <v>115</v>
      </c>
      <c r="Y1166" s="16" t="s">
        <v>110</v>
      </c>
      <c r="Z1166" s="16">
        <v>3</v>
      </c>
      <c r="AE1166" s="16" t="s">
        <v>116</v>
      </c>
      <c r="AF1166" s="16" t="s">
        <v>116</v>
      </c>
      <c r="AG1166" s="16">
        <f>AH1166-AI1166</f>
        <v>93</v>
      </c>
      <c r="AH1166" s="16">
        <v>177</v>
      </c>
      <c r="AI1166" s="16">
        <v>84</v>
      </c>
      <c r="AK1166" s="16">
        <v>25</v>
      </c>
      <c r="AL1166" s="16">
        <v>0</v>
      </c>
      <c r="AM1166" s="16">
        <v>0</v>
      </c>
      <c r="AN1166" s="16">
        <v>0</v>
      </c>
      <c r="AO1166" s="16">
        <v>0</v>
      </c>
      <c r="AP1166" s="16">
        <f>SUM(AL1166:AN1166)</f>
        <v>0</v>
      </c>
      <c r="AQ1166" s="16">
        <v>1.7410000000000001</v>
      </c>
      <c r="AR1166" s="16">
        <f>AP1166-1.472</f>
        <v>-1.472</v>
      </c>
      <c r="AS1166" s="16">
        <f>AQ1166-1.472</f>
        <v>0.26900000000000013</v>
      </c>
      <c r="AT1166" s="16" t="str">
        <f>VLOOKUP(K1166,'[5]FECs - good data'!$C$1:$P$575,13,FALSE)</f>
        <v>SB</v>
      </c>
      <c r="AW1166" s="18">
        <f>IF(AX1166&gt;0,1,0)</f>
        <v>1</v>
      </c>
      <c r="AX1166" s="18">
        <f>SUM(BA1166,BM1166,CT1166)</f>
        <v>6</v>
      </c>
      <c r="AY1166" s="18">
        <f>SUM(BB1166,BN1166,CV1166)</f>
        <v>18936.802973977687</v>
      </c>
      <c r="AZ1166" s="18">
        <f>IF(BA1166&gt;0,1,0)</f>
        <v>0</v>
      </c>
      <c r="BA1166" s="18">
        <f>SUM(BC1166,BF1166,BI1166)</f>
        <v>0</v>
      </c>
      <c r="BB1166" s="18">
        <f>SUM(BE1166,BH1166,BK1166)</f>
        <v>0</v>
      </c>
      <c r="BC1166" s="18">
        <f>IF(BD1166&gt;0,1,0)</f>
        <v>0</v>
      </c>
      <c r="BD1166" s="18">
        <f>VLOOKUP($K1166,'[5]FECs - good data'!$C$1:$Z$574,14,FALSE)</f>
        <v>0</v>
      </c>
      <c r="BE1166" s="16">
        <f>BD1166/AS1166</f>
        <v>0</v>
      </c>
      <c r="BF1166" s="16">
        <f>IF(BG1166&gt;0,1,0)</f>
        <v>0</v>
      </c>
      <c r="BG1166" s="77">
        <f>VLOOKUP($K1166,'[5]FECs - good data'!$C$1:$Z$574,15,FALSE)</f>
        <v>0</v>
      </c>
      <c r="BH1166" s="16">
        <f>BG1166/AS1166</f>
        <v>0</v>
      </c>
      <c r="BI1166" s="16">
        <f>IF(BJ1166&gt;0,1,0)</f>
        <v>0</v>
      </c>
      <c r="BJ1166" s="16">
        <f>VLOOKUP($K1166,'[5]FECs - good data'!$C$1:$Z$574,16,FALSE)</f>
        <v>0</v>
      </c>
      <c r="BK1166" s="16">
        <f>BJ1166/AS1166</f>
        <v>0</v>
      </c>
      <c r="BL1166" s="16">
        <f>IF(BM1166&gt;0,1,0)</f>
        <v>1</v>
      </c>
      <c r="BM1166" s="16">
        <f>SUM(BR1166,BU1166,BX1166,CA1166,CD1166,CG1166,CJ1166,CM1166,CP1166)</f>
        <v>3</v>
      </c>
      <c r="BN1166" s="16">
        <f>SUM(BW1166,BZ1166,CC1166,CF1166,CI1166,CL1166,CO1166,CR1166,BT1166)</f>
        <v>7007.4349442379153</v>
      </c>
      <c r="BO1166" s="16">
        <f>IF(BP1166&gt;0,1,0)</f>
        <v>1</v>
      </c>
      <c r="BP1166" s="16">
        <f>SUM(BU1166,BX1166,CA1166,CD1166,BR1166)</f>
        <v>1</v>
      </c>
      <c r="BQ1166" s="16">
        <f>SUM(BZ1166,CC1166,CF1166,BT1166,BW1166)</f>
        <v>3.717472118959106</v>
      </c>
      <c r="BR1166" s="16">
        <f>IF(BS1166&gt;0,1,0)</f>
        <v>0</v>
      </c>
      <c r="BS1166" s="16">
        <f>VLOOKUP($K1166,'[5]FECs - good data'!$C$1:$Z$574,17,FALSE)</f>
        <v>0</v>
      </c>
      <c r="BT1166" s="77">
        <f>BS1166/AS1166</f>
        <v>0</v>
      </c>
      <c r="BU1166" s="16">
        <f>IF(BV1166&gt;0,1,0)</f>
        <v>0</v>
      </c>
      <c r="BV1166" s="16">
        <f>VLOOKUP($K1166,'[5]FECs - good data'!$C$1:$Z$574,18,FALSE)</f>
        <v>0</v>
      </c>
      <c r="BW1166" s="16">
        <f>BV1166/AS1166</f>
        <v>0</v>
      </c>
      <c r="BX1166" s="16">
        <f>IF(BY1166&gt;0,1,0)</f>
        <v>0</v>
      </c>
      <c r="BY1166" s="16">
        <f>VLOOKUP($K1166,'[5]FECs - good data'!$C$1:$Z$574,19,FALSE)</f>
        <v>0</v>
      </c>
      <c r="BZ1166" s="16">
        <f>BY1166/AS1166</f>
        <v>0</v>
      </c>
      <c r="CA1166" s="16">
        <f>IF(CB1166&gt;0,1,0)</f>
        <v>1</v>
      </c>
      <c r="CB1166" s="16">
        <f>VLOOKUP($K1166,'[5]FECs - good data'!$C$1:$Z$574,20,FALSE)</f>
        <v>1</v>
      </c>
      <c r="CC1166" s="16">
        <f>CB1166/AS1166</f>
        <v>3.717472118959106</v>
      </c>
      <c r="CD1166" s="77">
        <f>IF(CE1166&gt;0,1,0)</f>
        <v>0</v>
      </c>
      <c r="CE1166" s="16">
        <f>VLOOKUP($K1166,'[5]FECs - good data'!$C$1:$Z$574,21,FALSE)</f>
        <v>0</v>
      </c>
      <c r="CF1166" s="16">
        <f>CE1166/AS1166</f>
        <v>0</v>
      </c>
      <c r="CG1166" s="16">
        <f>IF(CH1166&gt;0,1,0)</f>
        <v>1</v>
      </c>
      <c r="CH1166" s="16">
        <f>VLOOKUP($K1166,'[5]FECs - good data'!$C$1:$Z$574,22,FALSE)</f>
        <v>1881</v>
      </c>
      <c r="CI1166" s="16">
        <f>CH1166/AS1166</f>
        <v>6992.5650557620784</v>
      </c>
      <c r="CJ1166" s="16">
        <f>IF(CK1166&gt;0,1,0)</f>
        <v>1</v>
      </c>
      <c r="CK1166" s="16">
        <f>VLOOKUP($K1166,'[5]FECs - good data'!$C$1:$Z$674,24,FALSE)</f>
        <v>3</v>
      </c>
      <c r="CL1166" s="16">
        <f>CK1166/AS1166</f>
        <v>11.152416356877318</v>
      </c>
      <c r="CS1166" s="16">
        <f>IF(CT1166&gt;0,1,0)</f>
        <v>1</v>
      </c>
      <c r="CT1166" s="16">
        <f>SUM(CW1166+CZ1166,DC1166)</f>
        <v>3</v>
      </c>
      <c r="CV1166" s="16">
        <f>SUM(CY1166,DB1166,DE1166)</f>
        <v>11929.368029739771</v>
      </c>
      <c r="CW1166" s="16">
        <f>IF(CX1166&gt;0,1,0)</f>
        <v>1</v>
      </c>
      <c r="CX1166" s="16">
        <f>VLOOKUP($K1166,'[5]FECs - good data'!$C$1:$Z$574,22,FALSE)</f>
        <v>1881</v>
      </c>
      <c r="CY1166" s="16">
        <f>CX1166/AS1166</f>
        <v>6992.5650557620784</v>
      </c>
      <c r="CZ1166" s="16">
        <f>IF(DA1166&gt;0,1,0)</f>
        <v>1</v>
      </c>
      <c r="DA1166" s="16">
        <f>VLOOKUP($K1166,'[5]FECs - good data'!$C$1:$Z$5982,23,FALSE)</f>
        <v>664</v>
      </c>
      <c r="DB1166" s="16">
        <f>DA1166/AS1166</f>
        <v>2468.4014869888465</v>
      </c>
      <c r="DC1166" s="16">
        <f>IF(DD1166&gt;0,1,0)</f>
        <v>1</v>
      </c>
      <c r="DD1166" s="16">
        <f>VLOOKUP($K1166,'[5]FECs - good data'!$C$1:$Z$574,23,FALSE)</f>
        <v>664</v>
      </c>
      <c r="DE1166" s="16">
        <f>DD1166/AS1166</f>
        <v>2468.4014869888465</v>
      </c>
      <c r="DF1166" s="16">
        <f>VLOOKUP(K1166,'[3]RNA Seq summary tables'!$V$3:$V$99,1,FALSE)</f>
        <v>2152</v>
      </c>
      <c r="DG1166" s="16">
        <v>1</v>
      </c>
      <c r="DH1166" s="16" t="str">
        <f>VLOOKUP(D1166,'[6]workflow 3.2018'!$A$1:$S$237,2,FALSE)</f>
        <v>2017MLBS_149</v>
      </c>
      <c r="JO1166" s="38"/>
    </row>
    <row r="1167" spans="1:288" x14ac:dyDescent="0.2">
      <c r="B1167" s="16">
        <v>2017</v>
      </c>
      <c r="C1167" s="20">
        <v>42975</v>
      </c>
      <c r="D1167" s="20" t="str">
        <f>CONCATENATE(J1167,"-",C1167)</f>
        <v>1286-42975</v>
      </c>
      <c r="E1167" s="20" t="str">
        <f>CONCATENATE(T1167,"-",U1167,"-",C1167)</f>
        <v>PO1-D2-42975</v>
      </c>
      <c r="F1167" s="37" t="s">
        <v>224</v>
      </c>
      <c r="G1167" s="20" t="s">
        <v>107</v>
      </c>
      <c r="I1167" s="16">
        <v>0</v>
      </c>
      <c r="J1167" s="21">
        <v>1286</v>
      </c>
      <c r="K1167" s="21">
        <v>2272</v>
      </c>
      <c r="L1167" s="18">
        <v>0</v>
      </c>
      <c r="M1167" s="21">
        <f>VLOOKUP($K1167,'[4]blood tubes 2017'!$D$1:$L$947,8,FALSE)</f>
        <v>0</v>
      </c>
      <c r="N1167" s="15">
        <v>0</v>
      </c>
      <c r="O1167" s="15" t="s">
        <v>214</v>
      </c>
      <c r="P1167" s="16" t="s">
        <v>110</v>
      </c>
      <c r="Q1167" s="16">
        <v>1</v>
      </c>
      <c r="R1167" s="16">
        <v>12</v>
      </c>
      <c r="T1167" s="16" t="s">
        <v>112</v>
      </c>
      <c r="U1167" s="16" t="s">
        <v>198</v>
      </c>
      <c r="V1167" s="16" t="s">
        <v>114</v>
      </c>
      <c r="W1167" s="16">
        <f>AI1167/AG1167</f>
        <v>0.875</v>
      </c>
      <c r="X1167" s="16" t="s">
        <v>115</v>
      </c>
      <c r="Y1167" s="16" t="s">
        <v>110</v>
      </c>
      <c r="Z1167" s="16">
        <v>3</v>
      </c>
      <c r="AE1167" s="16" t="s">
        <v>116</v>
      </c>
      <c r="AF1167" s="16" t="s">
        <v>116</v>
      </c>
      <c r="AG1167" s="16">
        <f>AH1167-AI1167</f>
        <v>96</v>
      </c>
      <c r="AH1167" s="16">
        <v>180</v>
      </c>
      <c r="AI1167" s="16">
        <v>84</v>
      </c>
      <c r="AK1167" s="16">
        <v>27</v>
      </c>
      <c r="AL1167" s="16">
        <v>0</v>
      </c>
      <c r="AM1167" s="16">
        <v>0</v>
      </c>
      <c r="AN1167" s="16">
        <v>0</v>
      </c>
      <c r="AO1167" s="16">
        <v>0</v>
      </c>
      <c r="AP1167" s="16">
        <f>SUM(AL1167:AN1167)</f>
        <v>0</v>
      </c>
      <c r="AQ1167" s="16">
        <v>1.599</v>
      </c>
      <c r="AR1167" s="16">
        <f>AP1167-1.472</f>
        <v>-1.472</v>
      </c>
      <c r="AS1167" s="16">
        <f>AQ1167-1.472</f>
        <v>0.127</v>
      </c>
      <c r="AT1167" s="16" t="str">
        <f>VLOOKUP(K1167,'[5]FECs - good data'!$C$1:$P$575,13,FALSE)</f>
        <v>SB</v>
      </c>
      <c r="AW1167" s="18">
        <f>IF(AX1167&gt;0,1,0)</f>
        <v>1</v>
      </c>
      <c r="AX1167" s="18">
        <f>SUM(BA1167,BM1167,CT1167)</f>
        <v>7</v>
      </c>
      <c r="AY1167" s="18">
        <f>SUM(BB1167,BN1167,CV1167)</f>
        <v>16732.283464566932</v>
      </c>
      <c r="AZ1167" s="18">
        <f>IF(BA1167&gt;0,1,0)</f>
        <v>1</v>
      </c>
      <c r="BA1167" s="18">
        <f>SUM(BC1167,BF1167,BI1167)</f>
        <v>2</v>
      </c>
      <c r="BB1167" s="18">
        <f>SUM(BE1167,BH1167,BK1167)</f>
        <v>598.42519685039372</v>
      </c>
      <c r="BC1167" s="18">
        <f>IF(BD1167&gt;0,1,0)</f>
        <v>1</v>
      </c>
      <c r="BD1167" s="18">
        <f>VLOOKUP($K1167,'[5]FECs - good data'!$C$1:$Z$574,14,FALSE)</f>
        <v>16</v>
      </c>
      <c r="BE1167" s="16">
        <f>BD1167/AS1167</f>
        <v>125.98425196850394</v>
      </c>
      <c r="BF1167" s="16">
        <f>IF(BG1167&gt;0,1,0)</f>
        <v>1</v>
      </c>
      <c r="BG1167" s="77">
        <f>VLOOKUP($K1167,'[5]FECs - good data'!$C$1:$Z$574,15,FALSE)</f>
        <v>60</v>
      </c>
      <c r="BH1167" s="16">
        <f>BG1167/AS1167</f>
        <v>472.44094488188978</v>
      </c>
      <c r="BI1167" s="16">
        <f>IF(BJ1167&gt;0,1,0)</f>
        <v>0</v>
      </c>
      <c r="BJ1167" s="16">
        <f>VLOOKUP($K1167,'[5]FECs - good data'!$C$1:$Z$574,16,FALSE)</f>
        <v>0</v>
      </c>
      <c r="BK1167" s="16">
        <f>BJ1167/AS1167</f>
        <v>0</v>
      </c>
      <c r="BL1167" s="16">
        <f>IF(BM1167&gt;0,1,0)</f>
        <v>1</v>
      </c>
      <c r="BM1167" s="16">
        <f>SUM(BR1167,BU1167,BX1167,CA1167,CD1167,CG1167,CJ1167,CM1167,CP1167)</f>
        <v>2</v>
      </c>
      <c r="BN1167" s="16">
        <f>SUM(BW1167,BZ1167,CC1167,CF1167,CI1167,CL1167,CO1167,CR1167,BT1167)</f>
        <v>5850.3937007874019</v>
      </c>
      <c r="BO1167" s="16">
        <f>IF(BP1167&gt;0,1,0)</f>
        <v>0</v>
      </c>
      <c r="BP1167" s="16">
        <f>SUM(BU1167,BX1167,CA1167,CD1167,BR1167)</f>
        <v>0</v>
      </c>
      <c r="BQ1167" s="16">
        <f>SUM(BZ1167,CC1167,CF1167,BT1167,BW1167)</f>
        <v>0</v>
      </c>
      <c r="BR1167" s="16">
        <f>IF(BS1167&gt;0,1,0)</f>
        <v>0</v>
      </c>
      <c r="BS1167" s="16">
        <f>VLOOKUP($K1167,'[5]FECs - good data'!$C$1:$Z$574,17,FALSE)</f>
        <v>0</v>
      </c>
      <c r="BT1167" s="77">
        <f>BS1167/AS1167</f>
        <v>0</v>
      </c>
      <c r="BU1167" s="16">
        <f>IF(BV1167&gt;0,1,0)</f>
        <v>0</v>
      </c>
      <c r="BV1167" s="16">
        <f>VLOOKUP($K1167,'[5]FECs - good data'!$C$1:$Z$574,18,FALSE)</f>
        <v>0</v>
      </c>
      <c r="BW1167" s="16">
        <f>BV1167/AS1167</f>
        <v>0</v>
      </c>
      <c r="BX1167" s="16">
        <f>IF(BY1167&gt;0,1,0)</f>
        <v>0</v>
      </c>
      <c r="BY1167" s="16">
        <f>VLOOKUP($K1167,'[5]FECs - good data'!$C$1:$Z$574,19,FALSE)</f>
        <v>0</v>
      </c>
      <c r="BZ1167" s="16">
        <f>BY1167/AS1167</f>
        <v>0</v>
      </c>
      <c r="CA1167" s="16">
        <f>IF(CB1167&gt;0,1,0)</f>
        <v>0</v>
      </c>
      <c r="CB1167" s="16">
        <f>VLOOKUP($K1167,'[5]FECs - good data'!$C$1:$Z$574,20,FALSE)</f>
        <v>0</v>
      </c>
      <c r="CC1167" s="16">
        <f>CB1167/AS1167</f>
        <v>0</v>
      </c>
      <c r="CD1167" s="77">
        <f>IF(CE1167&gt;0,1,0)</f>
        <v>0</v>
      </c>
      <c r="CE1167" s="16">
        <f>VLOOKUP($K1167,'[5]FECs - good data'!$C$1:$Z$574,21,FALSE)</f>
        <v>0</v>
      </c>
      <c r="CF1167" s="16">
        <f>CE1167/AS1167</f>
        <v>0</v>
      </c>
      <c r="CG1167" s="16">
        <f>IF(CH1167&gt;0,1,0)</f>
        <v>1</v>
      </c>
      <c r="CH1167" s="16">
        <f>VLOOKUP($K1167,'[5]FECs - good data'!$C$1:$Z$574,22,FALSE)</f>
        <v>742</v>
      </c>
      <c r="CI1167" s="16">
        <f>CH1167/AS1167</f>
        <v>5842.5196850393704</v>
      </c>
      <c r="CJ1167" s="16">
        <f>IF(CK1167&gt;0,1,0)</f>
        <v>1</v>
      </c>
      <c r="CK1167" s="16">
        <f>VLOOKUP($K1167,'[5]FECs - good data'!$C$1:$Z$674,24,FALSE)</f>
        <v>1</v>
      </c>
      <c r="CL1167" s="16">
        <f>CK1167/AS1167</f>
        <v>7.8740157480314963</v>
      </c>
      <c r="CS1167" s="16">
        <f>IF(CT1167&gt;0,1,0)</f>
        <v>1</v>
      </c>
      <c r="CT1167" s="16">
        <f>SUM(CW1167+CZ1167,DC1167)</f>
        <v>3</v>
      </c>
      <c r="CV1167" s="16">
        <f>SUM(CY1167,DB1167,DE1167)</f>
        <v>10283.464566929135</v>
      </c>
      <c r="CW1167" s="16">
        <f>IF(CX1167&gt;0,1,0)</f>
        <v>1</v>
      </c>
      <c r="CX1167" s="16">
        <f>VLOOKUP($K1167,'[5]FECs - good data'!$C$1:$Z$574,22,FALSE)</f>
        <v>742</v>
      </c>
      <c r="CY1167" s="16">
        <f>CX1167/AS1167</f>
        <v>5842.5196850393704</v>
      </c>
      <c r="CZ1167" s="16">
        <f>IF(DA1167&gt;0,1,0)</f>
        <v>1</v>
      </c>
      <c r="DA1167" s="16">
        <f>VLOOKUP($K1167,'[5]FECs - good data'!$C$1:$Z$5982,23,FALSE)</f>
        <v>282</v>
      </c>
      <c r="DB1167" s="16">
        <f>DA1167/AS1167</f>
        <v>2220.4724409448818</v>
      </c>
      <c r="DC1167" s="16">
        <f>IF(DD1167&gt;0,1,0)</f>
        <v>1</v>
      </c>
      <c r="DD1167" s="16">
        <f>VLOOKUP($K1167,'[5]FECs - good data'!$C$1:$Z$574,23,FALSE)</f>
        <v>282</v>
      </c>
      <c r="DE1167" s="16">
        <f>DD1167/AS1167</f>
        <v>2220.4724409448818</v>
      </c>
      <c r="DF1167" s="16" t="e">
        <f>VLOOKUP(K1167,'[3]RNA Seq summary tables'!$V$3:$V$99,1,FALSE)</f>
        <v>#N/A</v>
      </c>
      <c r="DG1167" s="16">
        <v>1</v>
      </c>
      <c r="DH1167" s="16" t="str">
        <f>VLOOKUP(D1167,'[6]workflow 3.2018'!$A$1:$S$237,2,FALSE)</f>
        <v>2017MLBS_198</v>
      </c>
    </row>
    <row r="1168" spans="1:288" s="27" customFormat="1" x14ac:dyDescent="0.2">
      <c r="A1168" s="26"/>
      <c r="B1168" s="26">
        <v>2017</v>
      </c>
      <c r="C1168" s="44">
        <v>42946</v>
      </c>
      <c r="D1168" s="44" t="str">
        <f>CONCATENATE(J1168,"-",C1168)</f>
        <v>1288-42946</v>
      </c>
      <c r="E1168" s="20" t="str">
        <f>CONCATENATE(T1168,"-",U1168,"-",C1168)</f>
        <v>PO1-E3-42946</v>
      </c>
      <c r="F1168" s="20" t="s">
        <v>106</v>
      </c>
      <c r="G1168" s="44" t="s">
        <v>107</v>
      </c>
      <c r="H1168" s="26"/>
      <c r="I1168" s="16">
        <v>0</v>
      </c>
      <c r="J1168" s="45">
        <v>1288</v>
      </c>
      <c r="K1168" s="45">
        <v>2003</v>
      </c>
      <c r="L1168" s="16">
        <v>1</v>
      </c>
      <c r="M1168" s="45">
        <f>VLOOKUP($K1168,'[4]blood tubes 2017'!$D$1:$L$647,8,FALSE)</f>
        <v>1</v>
      </c>
      <c r="N1168" s="45">
        <f>VLOOKUP($K1168,'[4]blood tubes 2017'!$D$1:$L$647,9,FALSE)</f>
        <v>25</v>
      </c>
      <c r="O1168" s="15" t="s">
        <v>214</v>
      </c>
      <c r="P1168" s="26" t="s">
        <v>110</v>
      </c>
      <c r="Q1168" s="26">
        <v>0</v>
      </c>
      <c r="R1168" s="26" t="s">
        <v>111</v>
      </c>
      <c r="S1168" s="26"/>
      <c r="T1168" s="26" t="s">
        <v>112</v>
      </c>
      <c r="U1168" s="26" t="s">
        <v>225</v>
      </c>
      <c r="V1168" s="26" t="s">
        <v>142</v>
      </c>
      <c r="W1168" s="16">
        <f>AI1168/AG1168</f>
        <v>1.0348837209302326</v>
      </c>
      <c r="X1168" s="26" t="s">
        <v>115</v>
      </c>
      <c r="Y1168" s="26" t="s">
        <v>122</v>
      </c>
      <c r="Z1168" s="26">
        <v>2.6</v>
      </c>
      <c r="AA1168" s="26"/>
      <c r="AB1168" s="26"/>
      <c r="AC1168" s="26"/>
      <c r="AD1168" s="26"/>
      <c r="AE1168" s="26" t="s">
        <v>116</v>
      </c>
      <c r="AF1168" s="26" t="s">
        <v>116</v>
      </c>
      <c r="AG1168" s="26">
        <f>AH1168-AI1168</f>
        <v>86</v>
      </c>
      <c r="AH1168" s="26">
        <v>175</v>
      </c>
      <c r="AI1168" s="26">
        <v>89</v>
      </c>
      <c r="AJ1168" s="26"/>
      <c r="AK1168" s="26">
        <v>18</v>
      </c>
      <c r="AL1168" s="26">
        <v>0</v>
      </c>
      <c r="AM1168" s="26">
        <v>0</v>
      </c>
      <c r="AN1168" s="26">
        <v>0</v>
      </c>
      <c r="AO1168" s="26">
        <v>0</v>
      </c>
      <c r="AP1168" s="26">
        <f>SUM(AL1168:AN1168)</f>
        <v>0</v>
      </c>
      <c r="AQ1168" s="26">
        <v>1.958</v>
      </c>
      <c r="AR1168" s="26">
        <f>AP1168-1.472</f>
        <v>-1.472</v>
      </c>
      <c r="AS1168" s="26">
        <f>AQ1168-1.472</f>
        <v>0.48599999999999999</v>
      </c>
      <c r="AT1168" s="26" t="str">
        <f>VLOOKUP(K1168,'[5]FECs - good data'!$C$1:$P$575,13,FALSE)</f>
        <v>JB</v>
      </c>
      <c r="AU1168" s="26"/>
      <c r="AV1168" s="26"/>
      <c r="AW1168" s="26">
        <f>IF(AX1168&gt;0,1,0)</f>
        <v>1</v>
      </c>
      <c r="AX1168" s="26">
        <f>SUM(BA1168,BM1168,CT1168)</f>
        <v>6</v>
      </c>
      <c r="AY1168" s="26">
        <f>SUM(BB1168,BN1168,CV1168)</f>
        <v>2047.3251028806585</v>
      </c>
      <c r="AZ1168" s="26">
        <f>IF(BA1168&gt;0,1,0)</f>
        <v>1</v>
      </c>
      <c r="BA1168" s="26">
        <f>SUM(BC1168,BF1168,BI1168)</f>
        <v>3</v>
      </c>
      <c r="BB1168" s="26">
        <f>SUM(BE1168,BH1168,BK1168)</f>
        <v>2037.0370370370372</v>
      </c>
      <c r="BC1168" s="26">
        <f>IF(BD1168&gt;0,1,0)</f>
        <v>1</v>
      </c>
      <c r="BD1168" s="26">
        <f>VLOOKUP($K1168,'[5]FECs - good data'!$C$1:$Z$574,14,FALSE)</f>
        <v>134</v>
      </c>
      <c r="BE1168" s="26">
        <f>BD1168/AS1168</f>
        <v>275.72016460905348</v>
      </c>
      <c r="BF1168" s="26">
        <f>IF(BG1168&gt;0,1,0)</f>
        <v>1</v>
      </c>
      <c r="BG1168" s="82">
        <f>VLOOKUP($K1168,'[5]FECs - good data'!$C$1:$Z$574,15,FALSE)</f>
        <v>833</v>
      </c>
      <c r="BH1168" s="26">
        <f>BG1168/AS1168</f>
        <v>1713.9917695473252</v>
      </c>
      <c r="BI1168" s="26">
        <f>IF(BJ1168&gt;0,1,0)</f>
        <v>1</v>
      </c>
      <c r="BJ1168" s="26">
        <f>VLOOKUP($K1168,'[5]FECs - good data'!$C$1:$Z$574,16,FALSE)</f>
        <v>23</v>
      </c>
      <c r="BK1168" s="26">
        <f>BJ1168/AS1168</f>
        <v>47.325102880658434</v>
      </c>
      <c r="BL1168" s="26">
        <f>IF(BM1168&gt;0,1,0)</f>
        <v>1</v>
      </c>
      <c r="BM1168" s="26">
        <f>SUM(BR1168,BU1168,BX1168,CA1168,CD1168,CG1168,CJ1168,CM1168,CP1168)</f>
        <v>1</v>
      </c>
      <c r="BN1168" s="26">
        <f>SUM(BW1168,BZ1168,CC1168,CF1168,CI1168,CL1168,CO1168,CR1168,BT1168)</f>
        <v>4.1152263374485596</v>
      </c>
      <c r="BO1168" s="16">
        <f>IF(BP1168&gt;0,1,0)</f>
        <v>0</v>
      </c>
      <c r="BP1168" s="16">
        <f>SUM(BU1168,BX1168,CA1168,CD1168,BR1168)</f>
        <v>0</v>
      </c>
      <c r="BQ1168" s="16">
        <f>SUM(BZ1168,CC1168,CF1168,BT1168,BW1168)</f>
        <v>0</v>
      </c>
      <c r="BR1168" s="26">
        <f>IF(BS1168&gt;0,1,0)</f>
        <v>0</v>
      </c>
      <c r="BS1168" s="26">
        <f>VLOOKUP($K1168,'[5]FECs - good data'!$C$1:$Z$574,17,FALSE)</f>
        <v>0</v>
      </c>
      <c r="BT1168" s="82">
        <f>BS1168/AS1168</f>
        <v>0</v>
      </c>
      <c r="BU1168" s="26">
        <f>IF(BV1168&gt;0,1,0)</f>
        <v>0</v>
      </c>
      <c r="BV1168" s="26">
        <f>VLOOKUP($K1168,'[5]FECs - good data'!$C$1:$Z$574,18,FALSE)</f>
        <v>0</v>
      </c>
      <c r="BW1168" s="26">
        <f>BV1168/AS1168</f>
        <v>0</v>
      </c>
      <c r="BX1168" s="26">
        <f>IF(BY1168&gt;0,1,0)</f>
        <v>0</v>
      </c>
      <c r="BY1168" s="26">
        <f>VLOOKUP($K1168,'[5]FECs - good data'!$C$1:$Z$574,19,FALSE)</f>
        <v>0</v>
      </c>
      <c r="BZ1168" s="26">
        <f>BY1168/AS1168</f>
        <v>0</v>
      </c>
      <c r="CA1168" s="26">
        <f>IF(CB1168&gt;0,1,0)</f>
        <v>0</v>
      </c>
      <c r="CB1168" s="26">
        <f>VLOOKUP($K1168,'[5]FECs - good data'!$C$1:$Z$574,20,FALSE)</f>
        <v>0</v>
      </c>
      <c r="CC1168" s="26">
        <f>CB1168/AS1168</f>
        <v>0</v>
      </c>
      <c r="CD1168" s="82">
        <f>IF(CE1168&gt;0,1,0)</f>
        <v>0</v>
      </c>
      <c r="CE1168" s="26">
        <f>VLOOKUP($K1168,'[5]FECs - good data'!$C$1:$Z$574,21,FALSE)</f>
        <v>0</v>
      </c>
      <c r="CF1168" s="26">
        <f>CE1168/AS1168</f>
        <v>0</v>
      </c>
      <c r="CG1168" s="26">
        <f>IF(CH1168&gt;0,1,0)</f>
        <v>1</v>
      </c>
      <c r="CH1168" s="26">
        <f>VLOOKUP($K1168,'[5]FECs - good data'!$C$1:$Z$574,22,FALSE)</f>
        <v>2</v>
      </c>
      <c r="CI1168" s="26">
        <f>CH1168/AS1168</f>
        <v>4.1152263374485596</v>
      </c>
      <c r="CJ1168" s="26">
        <f>IF(CK1168&gt;0,1,0)</f>
        <v>0</v>
      </c>
      <c r="CK1168" s="26">
        <f>VLOOKUP($K1168,'[5]FECs - good data'!$C$1:$Z$674,24,FALSE)</f>
        <v>0</v>
      </c>
      <c r="CL1168" s="26">
        <f>CK1168/AS1168</f>
        <v>0</v>
      </c>
      <c r="CM1168" s="26"/>
      <c r="CN1168" s="26"/>
      <c r="CO1168" s="26"/>
      <c r="CP1168" s="26"/>
      <c r="CQ1168" s="26"/>
      <c r="CR1168" s="26"/>
      <c r="CS1168" s="26">
        <f>IF(CT1168&gt;0,1,0)</f>
        <v>1</v>
      </c>
      <c r="CT1168" s="26">
        <f>SUM(CW1168+CZ1168,DC1168)</f>
        <v>2</v>
      </c>
      <c r="CU1168" s="26"/>
      <c r="CV1168" s="26">
        <f>SUM(CY1168,DB1168,DE1168)</f>
        <v>6.1728395061728394</v>
      </c>
      <c r="CW1168" s="26">
        <f>IF(CX1168&gt;0,1,0)</f>
        <v>1</v>
      </c>
      <c r="CX1168" s="26">
        <f>VLOOKUP($K1168,'[5]FECs - good data'!$C$1:$Z$574,22,FALSE)</f>
        <v>2</v>
      </c>
      <c r="CY1168" s="26">
        <f>CX1168/AS1168</f>
        <v>4.1152263374485596</v>
      </c>
      <c r="CZ1168" s="26">
        <f>IF(DA1168&gt;0,1,0)</f>
        <v>1</v>
      </c>
      <c r="DA1168" s="26">
        <f>VLOOKUP($K1168,'[5]FECs - good data'!$C$1:$Z$5982,23,FALSE)</f>
        <v>1</v>
      </c>
      <c r="DB1168" s="26">
        <f>DA1168/AS1168</f>
        <v>2.0576131687242798</v>
      </c>
      <c r="DC1168" s="26"/>
      <c r="DD1168" s="26"/>
      <c r="DE1168" s="26"/>
      <c r="DF1168" s="16">
        <f>VLOOKUP(K1168,'[3]RNA Seq summary tables'!$V$3:$V$99,1,FALSE)</f>
        <v>2003</v>
      </c>
      <c r="DG1168" s="16"/>
      <c r="DH1168" s="16"/>
      <c r="DI1168" s="26"/>
      <c r="DJ1168" s="26"/>
      <c r="DK1168" s="26"/>
      <c r="DL1168" s="26"/>
      <c r="DM1168" s="26"/>
      <c r="DN1168" s="26"/>
      <c r="DO1168" s="26"/>
      <c r="DP1168" s="26"/>
      <c r="DQ1168" s="26"/>
      <c r="DR1168" s="26"/>
      <c r="DS1168" s="26"/>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18"/>
      <c r="EQ1168" s="18"/>
      <c r="ER1168" s="18"/>
      <c r="ES1168" s="18"/>
      <c r="ET1168" s="18"/>
      <c r="EU1168" s="18"/>
      <c r="EV1168" s="18"/>
      <c r="EW1168" s="18"/>
      <c r="EX1168" s="18"/>
      <c r="EY1168" s="18"/>
      <c r="EZ1168" s="18"/>
      <c r="FA1168" s="18"/>
      <c r="FB1168" s="18"/>
      <c r="FC1168" s="18"/>
      <c r="FD1168" s="18"/>
      <c r="FE1168" s="18"/>
      <c r="FF1168" s="18"/>
      <c r="FG1168" s="18"/>
      <c r="FH1168" s="18"/>
      <c r="FI1168" s="18"/>
      <c r="FJ1168" s="18"/>
      <c r="FK1168" s="18"/>
      <c r="FL1168" s="18"/>
      <c r="FM1168" s="18"/>
      <c r="FN1168" s="18"/>
      <c r="FO1168" s="18"/>
      <c r="FP1168" s="18"/>
      <c r="FQ1168" s="18"/>
      <c r="FR1168" s="18"/>
      <c r="FS1168" s="18"/>
      <c r="FT1168" s="18"/>
      <c r="FU1168" s="18"/>
      <c r="FV1168" s="18"/>
      <c r="FW1168" s="18"/>
      <c r="FX1168" s="18"/>
      <c r="FY1168" s="18"/>
      <c r="FZ1168" s="18"/>
      <c r="GA1168" s="18"/>
      <c r="GB1168" s="18"/>
      <c r="GC1168" s="18"/>
      <c r="GD1168" s="18"/>
      <c r="GE1168" s="18"/>
      <c r="GF1168" s="18"/>
      <c r="GG1168" s="18"/>
      <c r="GH1168" s="18"/>
      <c r="GI1168" s="18"/>
      <c r="GJ1168" s="18"/>
      <c r="GK1168" s="18"/>
      <c r="GL1168" s="18"/>
      <c r="GM1168" s="18"/>
      <c r="GN1168" s="18"/>
      <c r="GO1168" s="18"/>
      <c r="GP1168" s="18"/>
      <c r="GQ1168" s="18"/>
      <c r="GR1168" s="18"/>
      <c r="GS1168" s="18"/>
      <c r="GT1168" s="18"/>
      <c r="GU1168" s="18"/>
      <c r="GV1168" s="18"/>
      <c r="GW1168" s="18"/>
      <c r="GX1168" s="18"/>
      <c r="GY1168" s="18"/>
      <c r="GZ1168" s="18"/>
      <c r="HA1168" s="18"/>
      <c r="HB1168" s="18"/>
      <c r="HC1168" s="18"/>
      <c r="HD1168" s="18"/>
      <c r="HE1168" s="18"/>
      <c r="HF1168" s="18"/>
      <c r="HG1168" s="18"/>
      <c r="HH1168" s="18"/>
      <c r="HI1168" s="18"/>
      <c r="HJ1168" s="18"/>
      <c r="HK1168" s="18"/>
      <c r="HL1168" s="18"/>
      <c r="HM1168" s="18"/>
      <c r="HN1168" s="18"/>
      <c r="HO1168" s="18"/>
      <c r="HP1168" s="18"/>
      <c r="HQ1168" s="18"/>
      <c r="HR1168" s="18"/>
      <c r="HS1168" s="18"/>
      <c r="HT1168" s="18"/>
      <c r="HU1168" s="18"/>
      <c r="HV1168" s="18"/>
      <c r="HW1168" s="18"/>
      <c r="HX1168" s="18"/>
      <c r="HY1168" s="18"/>
      <c r="HZ1168" s="18"/>
      <c r="IA1168" s="18"/>
      <c r="IB1168" s="18"/>
      <c r="IC1168" s="18"/>
      <c r="ID1168" s="18"/>
      <c r="IE1168" s="18"/>
      <c r="IF1168" s="18"/>
      <c r="IG1168" s="18"/>
      <c r="IH1168" s="18"/>
      <c r="II1168" s="18"/>
      <c r="IJ1168" s="18"/>
      <c r="IK1168" s="18"/>
      <c r="IL1168" s="18"/>
      <c r="IM1168" s="18"/>
      <c r="IN1168" s="18"/>
      <c r="IO1168" s="18"/>
      <c r="IP1168" s="18"/>
      <c r="IQ1168" s="18"/>
      <c r="IR1168" s="18"/>
      <c r="IS1168" s="18"/>
      <c r="IT1168" s="18"/>
      <c r="IU1168" s="18"/>
      <c r="IV1168" s="18"/>
      <c r="IW1168" s="18"/>
      <c r="IX1168" s="18"/>
      <c r="IY1168" s="18"/>
      <c r="IZ1168" s="18"/>
      <c r="JA1168" s="18"/>
      <c r="JB1168" s="18"/>
      <c r="JC1168" s="18"/>
      <c r="JD1168" s="18"/>
      <c r="JE1168" s="18"/>
      <c r="JF1168" s="18"/>
      <c r="JG1168" s="18"/>
      <c r="JH1168" s="18"/>
      <c r="JI1168" s="18"/>
      <c r="JJ1168" s="18"/>
      <c r="JK1168" s="18"/>
      <c r="JL1168" s="18"/>
      <c r="JM1168" s="18"/>
      <c r="JN1168" s="18"/>
      <c r="JO1168" s="16"/>
      <c r="JP1168" s="39"/>
      <c r="JQ1168" s="39"/>
      <c r="JR1168" s="16"/>
      <c r="JS1168" s="16"/>
      <c r="JT1168" s="16"/>
      <c r="JU1168" s="16"/>
      <c r="JV1168" s="16"/>
      <c r="JW1168" s="16"/>
      <c r="JX1168" s="16"/>
      <c r="JY1168" s="16"/>
      <c r="JZ1168" s="16"/>
      <c r="KA1168" s="16"/>
      <c r="KB1168" s="16"/>
    </row>
    <row r="1169" spans="1:288" x14ac:dyDescent="0.2">
      <c r="A1169" s="26"/>
      <c r="B1169" s="26">
        <v>2017</v>
      </c>
      <c r="C1169" s="44">
        <v>42964</v>
      </c>
      <c r="D1169" s="44" t="str">
        <f>CONCATENATE(J1169,"-",C1169)</f>
        <v>1288-42964</v>
      </c>
      <c r="E1169" s="20" t="str">
        <f>CONCATENATE(T1169,"-",U1169,"-",C1169)</f>
        <v>PO1-E8-42964</v>
      </c>
      <c r="F1169" s="20" t="s">
        <v>106</v>
      </c>
      <c r="G1169" s="44" t="s">
        <v>107</v>
      </c>
      <c r="H1169" s="26"/>
      <c r="I1169" s="16">
        <v>0</v>
      </c>
      <c r="J1169" s="45">
        <v>1288</v>
      </c>
      <c r="K1169" s="45">
        <v>2170</v>
      </c>
      <c r="L1169" s="16">
        <v>1</v>
      </c>
      <c r="M1169" s="45">
        <f>VLOOKUP($K1169,'[4]blood tubes 2017'!$D$1:$L$647,8,FALSE)</f>
        <v>1</v>
      </c>
      <c r="N1169" s="45">
        <f>VLOOKUP($K1169,'[4]blood tubes 2017'!$D$1:$L$647,9,FALSE)</f>
        <v>25</v>
      </c>
      <c r="O1169" s="15" t="s">
        <v>214</v>
      </c>
      <c r="P1169" s="26" t="s">
        <v>110</v>
      </c>
      <c r="Q1169" s="26">
        <v>1</v>
      </c>
      <c r="R1169" s="26">
        <v>18</v>
      </c>
      <c r="S1169" s="26"/>
      <c r="T1169" s="26" t="s">
        <v>112</v>
      </c>
      <c r="U1169" s="26" t="s">
        <v>181</v>
      </c>
      <c r="V1169" s="26" t="s">
        <v>142</v>
      </c>
      <c r="W1169" s="16">
        <f>AI1169/AG1169</f>
        <v>1.0941176470588236</v>
      </c>
      <c r="X1169" s="26" t="s">
        <v>115</v>
      </c>
      <c r="Y1169" s="26" t="s">
        <v>110</v>
      </c>
      <c r="Z1169" s="26">
        <v>3</v>
      </c>
      <c r="AA1169" s="26"/>
      <c r="AB1169" s="26"/>
      <c r="AC1169" s="26"/>
      <c r="AD1169" s="26"/>
      <c r="AE1169" s="26" t="s">
        <v>116</v>
      </c>
      <c r="AF1169" s="26" t="s">
        <v>116</v>
      </c>
      <c r="AG1169" s="26">
        <f>AH1169-AI1169</f>
        <v>85</v>
      </c>
      <c r="AH1169" s="26">
        <v>178</v>
      </c>
      <c r="AI1169" s="26">
        <v>93</v>
      </c>
      <c r="AJ1169" s="26"/>
      <c r="AK1169" s="26">
        <v>17</v>
      </c>
      <c r="AL1169" s="26">
        <v>1</v>
      </c>
      <c r="AM1169" s="26">
        <v>0</v>
      </c>
      <c r="AN1169" s="26">
        <v>0</v>
      </c>
      <c r="AO1169" s="26">
        <v>1</v>
      </c>
      <c r="AP1169" s="26">
        <f>SUM(AL1169:AN1169)</f>
        <v>1</v>
      </c>
      <c r="AQ1169" s="26">
        <v>1.6160000000000001</v>
      </c>
      <c r="AR1169" s="26">
        <f>AP1169-1.472</f>
        <v>-0.47199999999999998</v>
      </c>
      <c r="AS1169" s="26">
        <f>AQ1169-1.472</f>
        <v>0.14400000000000013</v>
      </c>
      <c r="AT1169" s="26" t="str">
        <f>VLOOKUP(K1169,'[5]FECs - good data'!$C$1:$P$575,13,FALSE)</f>
        <v>JB</v>
      </c>
      <c r="AU1169" s="26"/>
      <c r="AV1169" s="26"/>
      <c r="AW1169" s="26">
        <f>IF(AX1169&gt;0,1,0)</f>
        <v>1</v>
      </c>
      <c r="AX1169" s="26">
        <f>SUM(BA1169,BM1169,CT1169)</f>
        <v>1</v>
      </c>
      <c r="AY1169" s="26">
        <f>SUM(BB1169,BN1169,CV1169)</f>
        <v>20.833333333333314</v>
      </c>
      <c r="AZ1169" s="26">
        <f>IF(BA1169&gt;0,1,0)</f>
        <v>1</v>
      </c>
      <c r="BA1169" s="26">
        <f>SUM(BC1169,BF1169,BI1169)</f>
        <v>1</v>
      </c>
      <c r="BB1169" s="26">
        <f>SUM(BE1169,BH1169,BK1169)</f>
        <v>20.833333333333314</v>
      </c>
      <c r="BC1169" s="26">
        <f>IF(BD1169&gt;0,1,0)</f>
        <v>0</v>
      </c>
      <c r="BD1169" s="26">
        <f>VLOOKUP($K1169,'[5]FECs - good data'!$C$1:$Z$574,14,FALSE)</f>
        <v>0</v>
      </c>
      <c r="BE1169" s="26">
        <f>BD1169/AS1169</f>
        <v>0</v>
      </c>
      <c r="BF1169" s="26">
        <f>IF(BG1169&gt;0,1,0)</f>
        <v>1</v>
      </c>
      <c r="BG1169" s="82">
        <f>VLOOKUP($K1169,'[5]FECs - good data'!$C$1:$Z$574,15,FALSE)</f>
        <v>3</v>
      </c>
      <c r="BH1169" s="26">
        <f>BG1169/AS1169</f>
        <v>20.833333333333314</v>
      </c>
      <c r="BI1169" s="26">
        <f>IF(BJ1169&gt;0,1,0)</f>
        <v>0</v>
      </c>
      <c r="BJ1169" s="26">
        <f>VLOOKUP($K1169,'[5]FECs - good data'!$C$1:$Z$574,16,FALSE)</f>
        <v>0</v>
      </c>
      <c r="BK1169" s="26">
        <f>BJ1169/AS1169</f>
        <v>0</v>
      </c>
      <c r="BL1169" s="26">
        <f>IF(BM1169&gt;0,1,0)</f>
        <v>0</v>
      </c>
      <c r="BM1169" s="26">
        <f>SUM(BR1169,BU1169,BX1169,CA1169,CD1169,CG1169,CJ1169,CM1169,CP1169)</f>
        <v>0</v>
      </c>
      <c r="BN1169" s="26">
        <f>SUM(BW1169,BZ1169,CC1169,CF1169,CI1169,CL1169,CO1169,CR1169,BT1169)</f>
        <v>0</v>
      </c>
      <c r="BO1169" s="26">
        <f>IF(BP1169&gt;0,1,0)</f>
        <v>0</v>
      </c>
      <c r="BP1169" s="26">
        <f>SUM(BU1169,BX1169,CA1169,CD1169,BR1169)</f>
        <v>0</v>
      </c>
      <c r="BQ1169" s="26">
        <f>SUM(BZ1169,CC1169,CF1169,BT1169,BW1169)</f>
        <v>0</v>
      </c>
      <c r="BR1169" s="26">
        <f>IF(BS1169&gt;0,1,0)</f>
        <v>0</v>
      </c>
      <c r="BS1169" s="26">
        <f>VLOOKUP($K1169,'[5]FECs - good data'!$C$1:$Z$574,17,FALSE)</f>
        <v>0</v>
      </c>
      <c r="BT1169" s="82">
        <f>BS1169/AS1169</f>
        <v>0</v>
      </c>
      <c r="BU1169" s="26">
        <f>IF(BV1169&gt;0,1,0)</f>
        <v>0</v>
      </c>
      <c r="BV1169" s="26">
        <f>VLOOKUP($K1169,'[5]FECs - good data'!$C$1:$Z$574,18,FALSE)</f>
        <v>0</v>
      </c>
      <c r="BW1169" s="26">
        <f>BV1169/AS1169</f>
        <v>0</v>
      </c>
      <c r="BX1169" s="26">
        <f>IF(BY1169&gt;0,1,0)</f>
        <v>0</v>
      </c>
      <c r="BY1169" s="26">
        <f>VLOOKUP($K1169,'[5]FECs - good data'!$C$1:$Z$574,19,FALSE)</f>
        <v>0</v>
      </c>
      <c r="BZ1169" s="26">
        <f>BY1169/AS1169</f>
        <v>0</v>
      </c>
      <c r="CA1169" s="26">
        <f>IF(CB1169&gt;0,1,0)</f>
        <v>0</v>
      </c>
      <c r="CB1169" s="26">
        <f>VLOOKUP($K1169,'[5]FECs - good data'!$C$1:$Z$574,20,FALSE)</f>
        <v>0</v>
      </c>
      <c r="CC1169" s="26">
        <f>CB1169/AS1169</f>
        <v>0</v>
      </c>
      <c r="CD1169" s="82">
        <f>IF(CE1169&gt;0,1,0)</f>
        <v>0</v>
      </c>
      <c r="CE1169" s="26">
        <f>VLOOKUP($K1169,'[5]FECs - good data'!$C$1:$Z$574,21,FALSE)</f>
        <v>0</v>
      </c>
      <c r="CF1169" s="26">
        <f>CE1169/AS1169</f>
        <v>0</v>
      </c>
      <c r="CG1169" s="26">
        <f>IF(CH1169&gt;0,1,0)</f>
        <v>0</v>
      </c>
      <c r="CH1169" s="26">
        <f>VLOOKUP($K1169,'[5]FECs - good data'!$C$1:$Z$574,22,FALSE)</f>
        <v>0</v>
      </c>
      <c r="CI1169" s="26">
        <f>CH1169/AS1169</f>
        <v>0</v>
      </c>
      <c r="CJ1169" s="26">
        <f>IF(CK1169&gt;0,1,0)</f>
        <v>0</v>
      </c>
      <c r="CK1169" s="26">
        <f>VLOOKUP($K1169,'[5]FECs - good data'!$C$1:$Z$674,24,FALSE)</f>
        <v>0</v>
      </c>
      <c r="CL1169" s="26">
        <f>CK1169/AS1169</f>
        <v>0</v>
      </c>
      <c r="CM1169" s="26"/>
      <c r="CN1169" s="26"/>
      <c r="CO1169" s="26"/>
      <c r="CP1169" s="26"/>
      <c r="CQ1169" s="26"/>
      <c r="CR1169" s="26"/>
      <c r="CS1169" s="26">
        <f>IF(CT1169&gt;0,1,0)</f>
        <v>0</v>
      </c>
      <c r="CT1169" s="26">
        <f>SUM(CW1169+CZ1169,DC1169)</f>
        <v>0</v>
      </c>
      <c r="CU1169" s="26"/>
      <c r="CV1169" s="26">
        <f>SUM(CY1169,DB1169,DE1169)</f>
        <v>0</v>
      </c>
      <c r="CW1169" s="26">
        <f>IF(CX1169&gt;0,1,0)</f>
        <v>0</v>
      </c>
      <c r="CX1169" s="26">
        <f>VLOOKUP($K1169,'[5]FECs - good data'!$C$1:$Z$574,22,FALSE)</f>
        <v>0</v>
      </c>
      <c r="CY1169" s="26">
        <f>CX1169/AS1169</f>
        <v>0</v>
      </c>
      <c r="CZ1169" s="26">
        <f>IF(DA1169&gt;0,1,0)</f>
        <v>0</v>
      </c>
      <c r="DA1169" s="26">
        <f>VLOOKUP($K1169,'[5]FECs - good data'!$C$1:$Z$5982,23,FALSE)</f>
        <v>0</v>
      </c>
      <c r="DB1169" s="26">
        <f>DA1169/AS1169</f>
        <v>0</v>
      </c>
      <c r="DC1169" s="26"/>
      <c r="DD1169" s="26"/>
      <c r="DE1169" s="26"/>
      <c r="DF1169" s="16">
        <f>VLOOKUP(K1169,'[3]RNA Seq summary tables'!$V$3:$V$99,1,FALSE)</f>
        <v>2170</v>
      </c>
      <c r="DG1169" s="16">
        <v>1</v>
      </c>
      <c r="DH1169" s="16" t="str">
        <f>VLOOKUP(D1169,'[6]workflow 3.2018'!$A$1:$S$237,2,FALSE)</f>
        <v>2017MLBS_166</v>
      </c>
      <c r="DI1169" s="26"/>
      <c r="DJ1169" s="26"/>
      <c r="DK1169" s="26"/>
      <c r="DL1169" s="26"/>
      <c r="DM1169" s="26"/>
      <c r="DN1169" s="26"/>
      <c r="DO1169" s="26"/>
      <c r="DP1169" s="26"/>
      <c r="DQ1169" s="26"/>
      <c r="DR1169" s="26"/>
      <c r="DS1169" s="26"/>
    </row>
    <row r="1170" spans="1:288" x14ac:dyDescent="0.2">
      <c r="A1170" s="26"/>
      <c r="B1170" s="26">
        <v>2017</v>
      </c>
      <c r="C1170" s="44">
        <v>42947</v>
      </c>
      <c r="D1170" s="44" t="str">
        <f>CONCATENATE(J1170,"-",C1170)</f>
        <v>1290-42947</v>
      </c>
      <c r="E1170" s="20" t="str">
        <f>CONCATENATE(T1170,"-",U1170,"-",C1170)</f>
        <v>PO1-B1-42947</v>
      </c>
      <c r="F1170" s="20" t="s">
        <v>106</v>
      </c>
      <c r="G1170" s="44" t="s">
        <v>107</v>
      </c>
      <c r="H1170" s="26"/>
      <c r="I1170" s="16">
        <v>0</v>
      </c>
      <c r="J1170" s="45">
        <v>1290</v>
      </c>
      <c r="K1170" s="45">
        <v>2009</v>
      </c>
      <c r="L1170" s="16">
        <v>1</v>
      </c>
      <c r="M1170" s="45">
        <f>VLOOKUP($K1170,'[4]blood tubes 2017'!$D$1:$L$647,8,FALSE)</f>
        <v>1</v>
      </c>
      <c r="N1170" s="45">
        <f>VLOOKUP($K1170,'[4]blood tubes 2017'!$D$1:$L$647,9,FALSE)</f>
        <v>25</v>
      </c>
      <c r="O1170" s="15" t="s">
        <v>214</v>
      </c>
      <c r="P1170" s="26" t="s">
        <v>110</v>
      </c>
      <c r="Q1170" s="26">
        <v>0</v>
      </c>
      <c r="R1170" s="26" t="s">
        <v>111</v>
      </c>
      <c r="S1170" s="26"/>
      <c r="T1170" s="26" t="s">
        <v>112</v>
      </c>
      <c r="U1170" s="26" t="s">
        <v>113</v>
      </c>
      <c r="V1170" s="26" t="s">
        <v>114</v>
      </c>
      <c r="W1170" s="16">
        <f>AI1170/AG1170</f>
        <v>0.7021276595744681</v>
      </c>
      <c r="X1170" s="26" t="s">
        <v>115</v>
      </c>
      <c r="Y1170" s="26" t="s">
        <v>110</v>
      </c>
      <c r="Z1170" s="26">
        <v>3</v>
      </c>
      <c r="AA1170" s="26"/>
      <c r="AB1170" s="26"/>
      <c r="AC1170" s="26"/>
      <c r="AD1170" s="26"/>
      <c r="AE1170" s="26" t="s">
        <v>116</v>
      </c>
      <c r="AF1170" s="26" t="s">
        <v>116</v>
      </c>
      <c r="AG1170" s="26">
        <f>AH1170-AI1170</f>
        <v>94</v>
      </c>
      <c r="AH1170" s="26">
        <v>160</v>
      </c>
      <c r="AI1170" s="26">
        <v>66</v>
      </c>
      <c r="AJ1170" s="26"/>
      <c r="AK1170" s="26">
        <v>22</v>
      </c>
      <c r="AL1170" s="26">
        <v>0</v>
      </c>
      <c r="AM1170" s="26">
        <v>0</v>
      </c>
      <c r="AN1170" s="26">
        <v>0</v>
      </c>
      <c r="AO1170" s="26">
        <v>0</v>
      </c>
      <c r="AP1170" s="26">
        <f>SUM(AL1170:AN1170)</f>
        <v>0</v>
      </c>
      <c r="AQ1170" s="26">
        <v>1.6859999999999999</v>
      </c>
      <c r="AR1170" s="26">
        <f>AP1170-1.472</f>
        <v>-1.472</v>
      </c>
      <c r="AS1170" s="26">
        <f>AQ1170-1.472</f>
        <v>0.21399999999999997</v>
      </c>
      <c r="AT1170" s="26" t="str">
        <f>VLOOKUP(K1170,'[5]FECs - good data'!$C$1:$P$575,13,FALSE)</f>
        <v>SB</v>
      </c>
      <c r="AU1170" s="26"/>
      <c r="AV1170" s="26"/>
      <c r="AW1170" s="26">
        <f>IF(AX1170&gt;0,1,0)</f>
        <v>1</v>
      </c>
      <c r="AX1170" s="26">
        <f>SUM(BA1170,BM1170,CT1170)</f>
        <v>4</v>
      </c>
      <c r="AY1170" s="26">
        <f>SUM(BB1170,BN1170,CV1170)</f>
        <v>313.08411214953276</v>
      </c>
      <c r="AZ1170" s="26">
        <f>IF(BA1170&gt;0,1,0)</f>
        <v>1</v>
      </c>
      <c r="BA1170" s="26">
        <f>SUM(BC1170,BF1170,BI1170)</f>
        <v>2</v>
      </c>
      <c r="BB1170" s="26">
        <f>SUM(BE1170,BH1170,BK1170)</f>
        <v>252.33644859813089</v>
      </c>
      <c r="BC1170" s="26">
        <f>IF(BD1170&gt;0,1,0)</f>
        <v>1</v>
      </c>
      <c r="BD1170" s="26">
        <f>VLOOKUP($K1170,'[5]FECs - good data'!$C$1:$Z$574,14,FALSE)</f>
        <v>2</v>
      </c>
      <c r="BE1170" s="26">
        <f>BD1170/AS1170</f>
        <v>9.3457943925233664</v>
      </c>
      <c r="BF1170" s="26">
        <f>IF(BG1170&gt;0,1,0)</f>
        <v>1</v>
      </c>
      <c r="BG1170" s="82">
        <f>VLOOKUP($K1170,'[5]FECs - good data'!$C$1:$Z$574,15,FALSE)</f>
        <v>52</v>
      </c>
      <c r="BH1170" s="26">
        <f>BG1170/AS1170</f>
        <v>242.99065420560751</v>
      </c>
      <c r="BI1170" s="26">
        <f>IF(BJ1170&gt;0,1,0)</f>
        <v>0</v>
      </c>
      <c r="BJ1170" s="26">
        <f>VLOOKUP($K1170,'[5]FECs - good data'!$C$1:$Z$574,16,FALSE)</f>
        <v>0</v>
      </c>
      <c r="BK1170" s="26">
        <f>BJ1170/AS1170</f>
        <v>0</v>
      </c>
      <c r="BL1170" s="26">
        <f>IF(BM1170&gt;0,1,0)</f>
        <v>1</v>
      </c>
      <c r="BM1170" s="26">
        <f>SUM(BR1170,BU1170,BX1170,CA1170,CD1170,CG1170,CJ1170,CM1170,CP1170)</f>
        <v>2</v>
      </c>
      <c r="BN1170" s="26">
        <f>SUM(BW1170,BZ1170,CC1170,CF1170,CI1170,CL1170,CO1170,CR1170,BT1170)</f>
        <v>60.747663551401878</v>
      </c>
      <c r="BO1170" s="16">
        <f>IF(BP1170&gt;0,1,0)</f>
        <v>1</v>
      </c>
      <c r="BP1170" s="16">
        <f>SUM(BU1170,BX1170,CA1170,CD1170,BR1170)</f>
        <v>1</v>
      </c>
      <c r="BQ1170" s="16">
        <f>SUM(BZ1170,CC1170,CF1170,BT1170,BW1170)</f>
        <v>9.3457943925233664</v>
      </c>
      <c r="BR1170" s="26">
        <f>IF(BS1170&gt;0,1,0)</f>
        <v>0</v>
      </c>
      <c r="BS1170" s="26">
        <f>VLOOKUP($K1170,'[5]FECs - good data'!$C$1:$Z$574,17,FALSE)</f>
        <v>0</v>
      </c>
      <c r="BT1170" s="82">
        <f>BS1170/AS1170</f>
        <v>0</v>
      </c>
      <c r="BU1170" s="26">
        <f>IF(BV1170&gt;0,1,0)</f>
        <v>0</v>
      </c>
      <c r="BV1170" s="26">
        <f>VLOOKUP($K1170,'[5]FECs - good data'!$C$1:$Z$574,18,FALSE)</f>
        <v>0</v>
      </c>
      <c r="BW1170" s="26">
        <f>BV1170/AS1170</f>
        <v>0</v>
      </c>
      <c r="BX1170" s="26">
        <f>IF(BY1170&gt;0,1,0)</f>
        <v>0</v>
      </c>
      <c r="BY1170" s="26">
        <f>VLOOKUP($K1170,'[5]FECs - good data'!$C$1:$Z$574,19,FALSE)</f>
        <v>0</v>
      </c>
      <c r="BZ1170" s="26">
        <f>BY1170/AS1170</f>
        <v>0</v>
      </c>
      <c r="CA1170" s="26">
        <f>IF(CB1170&gt;0,1,0)</f>
        <v>1</v>
      </c>
      <c r="CB1170" s="26">
        <f>VLOOKUP($K1170,'[5]FECs - good data'!$C$1:$Z$574,20,FALSE)</f>
        <v>2</v>
      </c>
      <c r="CC1170" s="26">
        <f>CB1170/AS1170</f>
        <v>9.3457943925233664</v>
      </c>
      <c r="CD1170" s="82">
        <f>IF(CE1170&gt;0,1,0)</f>
        <v>0</v>
      </c>
      <c r="CE1170" s="26">
        <f>VLOOKUP($K1170,'[5]FECs - good data'!$C$1:$Z$574,21,FALSE)</f>
        <v>0</v>
      </c>
      <c r="CF1170" s="26">
        <f>CE1170/AS1170</f>
        <v>0</v>
      </c>
      <c r="CG1170" s="26">
        <f>IF(CH1170&gt;0,1,0)</f>
        <v>0</v>
      </c>
      <c r="CH1170" s="26">
        <f>VLOOKUP($K1170,'[5]FECs - good data'!$C$1:$Z$574,22,FALSE)</f>
        <v>0</v>
      </c>
      <c r="CI1170" s="26">
        <f>CH1170/AS1170</f>
        <v>0</v>
      </c>
      <c r="CJ1170" s="26">
        <f>IF(CK1170&gt;0,1,0)</f>
        <v>1</v>
      </c>
      <c r="CK1170" s="26">
        <f>VLOOKUP($K1170,'[5]FECs - good data'!$C$1:$Z$674,24,FALSE)</f>
        <v>11</v>
      </c>
      <c r="CL1170" s="26">
        <f>CK1170/AS1170</f>
        <v>51.401869158878512</v>
      </c>
      <c r="CM1170" s="26"/>
      <c r="CN1170" s="26"/>
      <c r="CO1170" s="26"/>
      <c r="CP1170" s="26"/>
      <c r="CQ1170" s="26"/>
      <c r="CR1170" s="26"/>
      <c r="CS1170" s="26">
        <f>IF(CT1170&gt;0,1,0)</f>
        <v>0</v>
      </c>
      <c r="CT1170" s="26">
        <f>SUM(CW1170+CZ1170,DC1170)</f>
        <v>0</v>
      </c>
      <c r="CU1170" s="26"/>
      <c r="CV1170" s="26">
        <f>SUM(CY1170,DB1170,DE1170)</f>
        <v>0</v>
      </c>
      <c r="CW1170" s="26">
        <f>IF(CX1170&gt;0,1,0)</f>
        <v>0</v>
      </c>
      <c r="CX1170" s="26">
        <f>VLOOKUP($K1170,'[5]FECs - good data'!$C$1:$Z$574,22,FALSE)</f>
        <v>0</v>
      </c>
      <c r="CY1170" s="26">
        <f>CX1170/AS1170</f>
        <v>0</v>
      </c>
      <c r="CZ1170" s="26">
        <f>IF(DA1170&gt;0,1,0)</f>
        <v>0</v>
      </c>
      <c r="DA1170" s="26">
        <f>VLOOKUP($K1170,'[5]FECs - good data'!$C$1:$Z$5982,23,FALSE)</f>
        <v>0</v>
      </c>
      <c r="DB1170" s="26">
        <f>DA1170/AS1170</f>
        <v>0</v>
      </c>
      <c r="DC1170" s="26">
        <f>IF(DD1170&gt;0,1,0)</f>
        <v>0</v>
      </c>
      <c r="DD1170" s="26">
        <f>VLOOKUP($K1170,'[5]FECs - good data'!$C$1:$Z$574,23,FALSE)</f>
        <v>0</v>
      </c>
      <c r="DE1170" s="26">
        <f>DD1170/AS1170</f>
        <v>0</v>
      </c>
      <c r="DF1170" s="16">
        <f>VLOOKUP(K1170,'[3]RNA Seq summary tables'!$V$3:$V$99,1,FALSE)</f>
        <v>2009</v>
      </c>
      <c r="DG1170" s="16">
        <v>1</v>
      </c>
      <c r="DH1170" s="16" t="str">
        <f>VLOOKUP(D1170,'[6]workflow 3.2018'!$A$1:$S$237,2,FALSE)</f>
        <v>2017MLBS_94</v>
      </c>
      <c r="DI1170" s="26"/>
      <c r="DJ1170" s="26"/>
      <c r="DK1170" s="26"/>
      <c r="DL1170" s="26"/>
      <c r="DM1170" s="26"/>
      <c r="DN1170" s="26"/>
      <c r="DO1170" s="26"/>
      <c r="DP1170" s="26"/>
      <c r="DQ1170" s="26"/>
      <c r="DR1170" s="26"/>
      <c r="DS1170" s="26"/>
      <c r="JP1170" s="18"/>
      <c r="JQ1170" s="18"/>
    </row>
    <row r="1171" spans="1:288" x14ac:dyDescent="0.2">
      <c r="A1171" s="26"/>
      <c r="B1171" s="26">
        <v>2017</v>
      </c>
      <c r="C1171" s="44">
        <v>42963</v>
      </c>
      <c r="D1171" s="44" t="str">
        <f>CONCATENATE(J1171,"-",C1171)</f>
        <v>1290-42963</v>
      </c>
      <c r="E1171" s="20" t="str">
        <f>CONCATENATE(T1171,"-",U1171,"-",C1171)</f>
        <v>PO1-A2-42963</v>
      </c>
      <c r="F1171" s="20" t="s">
        <v>106</v>
      </c>
      <c r="G1171" s="44" t="s">
        <v>107</v>
      </c>
      <c r="H1171" s="26"/>
      <c r="I1171" s="16">
        <v>0</v>
      </c>
      <c r="J1171" s="45">
        <v>1290</v>
      </c>
      <c r="K1171" s="45">
        <v>2146</v>
      </c>
      <c r="L1171" s="16">
        <v>1</v>
      </c>
      <c r="M1171" s="45">
        <f>VLOOKUP($K1171,'[4]blood tubes 2017'!$D$1:$L$647,8,FALSE)</f>
        <v>1</v>
      </c>
      <c r="N1171" s="45">
        <f>VLOOKUP($K1171,'[4]blood tubes 2017'!$D$1:$L$647,9,FALSE)</f>
        <v>25</v>
      </c>
      <c r="O1171" s="15" t="s">
        <v>214</v>
      </c>
      <c r="P1171" s="26" t="s">
        <v>110</v>
      </c>
      <c r="Q1171" s="26">
        <v>1</v>
      </c>
      <c r="R1171" s="26">
        <v>16</v>
      </c>
      <c r="S1171" s="26"/>
      <c r="T1171" s="26" t="s">
        <v>112</v>
      </c>
      <c r="U1171" s="26" t="s">
        <v>171</v>
      </c>
      <c r="V1171" s="26" t="s">
        <v>114</v>
      </c>
      <c r="W1171" s="16">
        <f>AI1171/AG1171</f>
        <v>0.70526315789473681</v>
      </c>
      <c r="X1171" s="26" t="s">
        <v>115</v>
      </c>
      <c r="Y1171" s="26" t="s">
        <v>110</v>
      </c>
      <c r="Z1171" s="26">
        <v>3</v>
      </c>
      <c r="AA1171" s="26"/>
      <c r="AB1171" s="26"/>
      <c r="AC1171" s="26"/>
      <c r="AD1171" s="26"/>
      <c r="AE1171" s="26" t="s">
        <v>116</v>
      </c>
      <c r="AF1171" s="26" t="s">
        <v>116</v>
      </c>
      <c r="AG1171" s="26">
        <f>AH1171-AI1171</f>
        <v>95</v>
      </c>
      <c r="AH1171" s="26">
        <v>162</v>
      </c>
      <c r="AI1171" s="26">
        <v>67</v>
      </c>
      <c r="AJ1171" s="26"/>
      <c r="AK1171" s="26">
        <v>22.5</v>
      </c>
      <c r="AL1171" s="26">
        <v>1</v>
      </c>
      <c r="AM1171" s="26">
        <v>0</v>
      </c>
      <c r="AN1171" s="26">
        <v>0</v>
      </c>
      <c r="AO1171" s="26">
        <v>1</v>
      </c>
      <c r="AP1171" s="26">
        <f>SUM(AL1171:AN1171)</f>
        <v>1</v>
      </c>
      <c r="AQ1171" s="26">
        <v>1.752</v>
      </c>
      <c r="AR1171" s="26">
        <f>AP1171-1.472</f>
        <v>-0.47199999999999998</v>
      </c>
      <c r="AS1171" s="26">
        <f>AQ1171-1.472</f>
        <v>0.28000000000000003</v>
      </c>
      <c r="AT1171" s="26" t="str">
        <f>VLOOKUP(K1171,'[5]FECs - good data'!$C$1:$P$575,13,FALSE)</f>
        <v>SB</v>
      </c>
      <c r="AU1171" s="26"/>
      <c r="AV1171" s="26"/>
      <c r="AW1171" s="26">
        <f>IF(AX1171&gt;0,1,0)</f>
        <v>1</v>
      </c>
      <c r="AX1171" s="26">
        <f>SUM(BA1171,BM1171,CT1171)</f>
        <v>3</v>
      </c>
      <c r="AY1171" s="26">
        <f>SUM(BB1171,BN1171,CV1171)</f>
        <v>228.57142857142856</v>
      </c>
      <c r="AZ1171" s="26">
        <f>IF(BA1171&gt;0,1,0)</f>
        <v>0</v>
      </c>
      <c r="BA1171" s="26">
        <f>SUM(BC1171,BF1171,BI1171)</f>
        <v>0</v>
      </c>
      <c r="BB1171" s="26">
        <f>SUM(BE1171,BH1171,BK1171)</f>
        <v>0</v>
      </c>
      <c r="BC1171" s="26">
        <f>IF(BD1171&gt;0,1,0)</f>
        <v>0</v>
      </c>
      <c r="BD1171" s="26">
        <f>VLOOKUP($K1171,'[5]FECs - good data'!$C$1:$Z$574,14,FALSE)</f>
        <v>0</v>
      </c>
      <c r="BE1171" s="26">
        <f>BD1171/AS1171</f>
        <v>0</v>
      </c>
      <c r="BF1171" s="26">
        <f>IF(BG1171&gt;0,1,0)</f>
        <v>0</v>
      </c>
      <c r="BG1171" s="82">
        <f>VLOOKUP($K1171,'[5]FECs - good data'!$C$1:$Z$574,15,FALSE)</f>
        <v>0</v>
      </c>
      <c r="BH1171" s="26">
        <f>BG1171/AS1171</f>
        <v>0</v>
      </c>
      <c r="BI1171" s="26">
        <f>IF(BJ1171&gt;0,1,0)</f>
        <v>0</v>
      </c>
      <c r="BJ1171" s="26">
        <f>VLOOKUP($K1171,'[5]FECs - good data'!$C$1:$Z$574,16,FALSE)</f>
        <v>0</v>
      </c>
      <c r="BK1171" s="26">
        <f>BJ1171/AS1171</f>
        <v>0</v>
      </c>
      <c r="BL1171" s="26">
        <f>IF(BM1171&gt;0,1,0)</f>
        <v>1</v>
      </c>
      <c r="BM1171" s="26">
        <f>SUM(BR1171,BU1171,BX1171,CA1171,CD1171,CG1171,CJ1171,CM1171,CP1171)</f>
        <v>3</v>
      </c>
      <c r="BN1171" s="26">
        <f>SUM(BW1171,BZ1171,CC1171,CF1171,CI1171,CL1171,CO1171,CR1171,BT1171)</f>
        <v>228.57142857142856</v>
      </c>
      <c r="BO1171" s="16">
        <f>IF(BP1171&gt;0,1,0)</f>
        <v>1</v>
      </c>
      <c r="BP1171" s="16">
        <f>SUM(BU1171,BX1171,CA1171,CD1171,BR1171)</f>
        <v>2</v>
      </c>
      <c r="BQ1171" s="16">
        <f>SUM(BZ1171,CC1171,CF1171,BT1171,BW1171)</f>
        <v>150</v>
      </c>
      <c r="BR1171" s="26">
        <f>IF(BS1171&gt;0,1,0)</f>
        <v>0</v>
      </c>
      <c r="BS1171" s="26">
        <f>VLOOKUP($K1171,'[5]FECs - good data'!$C$1:$Z$574,17,FALSE)</f>
        <v>0</v>
      </c>
      <c r="BT1171" s="82">
        <f>BS1171/AS1171</f>
        <v>0</v>
      </c>
      <c r="BU1171" s="26">
        <f>IF(BV1171&gt;0,1,0)</f>
        <v>0</v>
      </c>
      <c r="BV1171" s="26">
        <f>VLOOKUP($K1171,'[5]FECs - good data'!$C$1:$Z$574,18,FALSE)</f>
        <v>0</v>
      </c>
      <c r="BW1171" s="26">
        <f>BV1171/AS1171</f>
        <v>0</v>
      </c>
      <c r="BX1171" s="26">
        <f>IF(BY1171&gt;0,1,0)</f>
        <v>0</v>
      </c>
      <c r="BY1171" s="26">
        <f>VLOOKUP($K1171,'[5]FECs - good data'!$C$1:$Z$574,19,FALSE)</f>
        <v>0</v>
      </c>
      <c r="BZ1171" s="26">
        <f>BY1171/AS1171</f>
        <v>0</v>
      </c>
      <c r="CA1171" s="26">
        <f>IF(CB1171&gt;0,1,0)</f>
        <v>1</v>
      </c>
      <c r="CB1171" s="26">
        <f>VLOOKUP($K1171,'[5]FECs - good data'!$C$1:$Z$574,20,FALSE)</f>
        <v>24</v>
      </c>
      <c r="CC1171" s="26">
        <f>CB1171/AS1171</f>
        <v>85.714285714285708</v>
      </c>
      <c r="CD1171" s="82">
        <f>IF(CE1171&gt;0,1,0)</f>
        <v>1</v>
      </c>
      <c r="CE1171" s="26">
        <f>VLOOKUP($K1171,'[5]FECs - good data'!$C$1:$Z$574,21,FALSE)</f>
        <v>18</v>
      </c>
      <c r="CF1171" s="26">
        <f>CE1171/AS1171</f>
        <v>64.285714285714278</v>
      </c>
      <c r="CG1171" s="26">
        <f>IF(CH1171&gt;0,1,0)</f>
        <v>0</v>
      </c>
      <c r="CH1171" s="26">
        <f>VLOOKUP($K1171,'[5]FECs - good data'!$C$1:$Z$574,22,FALSE)</f>
        <v>0</v>
      </c>
      <c r="CI1171" s="26">
        <f>CH1171/AS1171</f>
        <v>0</v>
      </c>
      <c r="CJ1171" s="26">
        <f>IF(CK1171&gt;0,1,0)</f>
        <v>1</v>
      </c>
      <c r="CK1171" s="26">
        <f>VLOOKUP($K1171,'[5]FECs - good data'!$C$1:$Z$674,24,FALSE)</f>
        <v>22</v>
      </c>
      <c r="CL1171" s="26">
        <f>CK1171/AS1171</f>
        <v>78.571428571428569</v>
      </c>
      <c r="CM1171" s="26"/>
      <c r="CN1171" s="26"/>
      <c r="CO1171" s="26"/>
      <c r="CP1171" s="26"/>
      <c r="CQ1171" s="26"/>
      <c r="CR1171" s="26"/>
      <c r="CS1171" s="26">
        <f>IF(CT1171&gt;0,1,0)</f>
        <v>0</v>
      </c>
      <c r="CT1171" s="26">
        <f>SUM(CW1171+CZ1171,DC1171)</f>
        <v>0</v>
      </c>
      <c r="CU1171" s="26"/>
      <c r="CV1171" s="26">
        <f>SUM(CY1171,DB1171,DE1171)</f>
        <v>0</v>
      </c>
      <c r="CW1171" s="26">
        <f>IF(CX1171&gt;0,1,0)</f>
        <v>0</v>
      </c>
      <c r="CX1171" s="26">
        <f>VLOOKUP($K1171,'[5]FECs - good data'!$C$1:$Z$574,22,FALSE)</f>
        <v>0</v>
      </c>
      <c r="CY1171" s="26">
        <f>CX1171/AS1171</f>
        <v>0</v>
      </c>
      <c r="CZ1171" s="26">
        <f>IF(DA1171&gt;0,1,0)</f>
        <v>0</v>
      </c>
      <c r="DA1171" s="26">
        <f>VLOOKUP($K1171,'[5]FECs - good data'!$C$1:$Z$5982,23,FALSE)</f>
        <v>0</v>
      </c>
      <c r="DB1171" s="26">
        <f>DA1171/AS1171</f>
        <v>0</v>
      </c>
      <c r="DC1171" s="26">
        <f>IF(DD1171&gt;0,1,0)</f>
        <v>0</v>
      </c>
      <c r="DD1171" s="26">
        <f>VLOOKUP($K1171,'[5]FECs - good data'!$C$1:$Z$574,23,FALSE)</f>
        <v>0</v>
      </c>
      <c r="DE1171" s="26">
        <f>DD1171/AS1171</f>
        <v>0</v>
      </c>
      <c r="DF1171" s="16">
        <f>VLOOKUP(K1171,'[3]RNA Seq summary tables'!$V$3:$V$99,1,FALSE)</f>
        <v>2146</v>
      </c>
      <c r="DG1171" s="16">
        <v>1</v>
      </c>
      <c r="DH1171" s="16" t="str">
        <f>VLOOKUP(D1171,'[6]workflow 3.2018'!$A$1:$S$237,2,FALSE)</f>
        <v>2017MLBS_145</v>
      </c>
      <c r="DI1171" s="26"/>
      <c r="DJ1171" s="26"/>
      <c r="DK1171" s="26"/>
      <c r="DL1171" s="26"/>
      <c r="DM1171" s="26"/>
      <c r="DN1171" s="26"/>
      <c r="DO1171" s="26"/>
      <c r="DP1171" s="26"/>
      <c r="DQ1171" s="26"/>
      <c r="DR1171" s="26"/>
      <c r="DS1171" s="26"/>
      <c r="JO1171" s="38"/>
    </row>
    <row r="1172" spans="1:288" x14ac:dyDescent="0.2">
      <c r="A1172" s="26"/>
      <c r="B1172" s="26">
        <v>2017</v>
      </c>
      <c r="C1172" s="94">
        <v>42977</v>
      </c>
      <c r="D1172" s="44" t="str">
        <f>CONCATENATE(J1172,"-",C1172)</f>
        <v>1290-42977</v>
      </c>
      <c r="E1172" s="20" t="str">
        <f>CONCATENATE(T1172,"-",U1172,"-",C1172)</f>
        <v>PO1-A2-42977</v>
      </c>
      <c r="F1172" s="44" t="s">
        <v>224</v>
      </c>
      <c r="G1172" s="94" t="s">
        <v>107</v>
      </c>
      <c r="H1172" s="48" t="s">
        <v>267</v>
      </c>
      <c r="I1172" s="23">
        <v>0</v>
      </c>
      <c r="J1172" s="46">
        <v>1290</v>
      </c>
      <c r="K1172" s="46">
        <v>2312</v>
      </c>
      <c r="L1172" s="23">
        <v>1</v>
      </c>
      <c r="M1172" s="45">
        <f>VLOOKUP($K1172,'[4]blood tubes 2017'!$D$1:$L$947,8,FALSE)</f>
        <v>1</v>
      </c>
      <c r="N1172" s="45">
        <f>VLOOKUP($K1172,'[4]blood tubes 2017'!$D$1:$L$947,9,FALSE)</f>
        <v>25</v>
      </c>
      <c r="O1172" s="46" t="s">
        <v>214</v>
      </c>
      <c r="P1172" s="48" t="s">
        <v>110</v>
      </c>
      <c r="Q1172" s="48">
        <v>1</v>
      </c>
      <c r="R1172" s="48">
        <v>14</v>
      </c>
      <c r="S1172" s="48"/>
      <c r="T1172" s="48" t="s">
        <v>112</v>
      </c>
      <c r="U1172" s="48" t="s">
        <v>171</v>
      </c>
      <c r="V1172" s="48" t="s">
        <v>114</v>
      </c>
      <c r="W1172" s="48">
        <f>AI1172/AG1172</f>
        <v>0.9375</v>
      </c>
      <c r="X1172" s="48" t="s">
        <v>115</v>
      </c>
      <c r="Y1172" s="48" t="s">
        <v>110</v>
      </c>
      <c r="Z1172" s="48">
        <v>3</v>
      </c>
      <c r="AA1172" s="48"/>
      <c r="AB1172" s="48"/>
      <c r="AC1172" s="48"/>
      <c r="AD1172" s="48"/>
      <c r="AE1172" s="48" t="s">
        <v>123</v>
      </c>
      <c r="AF1172" s="48" t="s">
        <v>123</v>
      </c>
      <c r="AG1172" s="48">
        <f>AH1172-AI1172</f>
        <v>80</v>
      </c>
      <c r="AH1172" s="48">
        <v>155</v>
      </c>
      <c r="AI1172" s="48">
        <v>75</v>
      </c>
      <c r="AJ1172" s="48" t="s">
        <v>321</v>
      </c>
      <c r="AK1172" s="48">
        <v>22.5</v>
      </c>
      <c r="AL1172" s="48">
        <v>0</v>
      </c>
      <c r="AM1172" s="48">
        <v>0</v>
      </c>
      <c r="AN1172" s="48">
        <v>0</v>
      </c>
      <c r="AO1172" s="48">
        <v>0</v>
      </c>
      <c r="AP1172" s="48">
        <f>SUM(AL1172:AN1172)</f>
        <v>0</v>
      </c>
      <c r="AQ1172" s="48">
        <v>1.7290000000000001</v>
      </c>
      <c r="AR1172" s="48">
        <f>AP1172-1.472</f>
        <v>-1.472</v>
      </c>
      <c r="AS1172" s="26">
        <f>AQ1172-1.472</f>
        <v>0.25700000000000012</v>
      </c>
      <c r="AT1172" s="26" t="str">
        <f>VLOOKUP(K1172,'[5]FECs - good data'!$C$1:$P$575,13,FALSE)</f>
        <v>SB</v>
      </c>
      <c r="AU1172" s="26"/>
      <c r="AV1172" s="26"/>
      <c r="AW1172" s="26">
        <f>IF(AX1172&gt;0,1,0)</f>
        <v>1</v>
      </c>
      <c r="AX1172" s="26">
        <f>SUM(BA1172,BM1172,CT1172)</f>
        <v>4</v>
      </c>
      <c r="AY1172" s="26">
        <f>SUM(BB1172,BN1172,CV1172)</f>
        <v>2688.7159533073918</v>
      </c>
      <c r="AZ1172" s="26">
        <f>IF(BA1172&gt;0,1,0)</f>
        <v>1</v>
      </c>
      <c r="BA1172" s="26">
        <f>SUM(BC1172,BF1172,BI1172)</f>
        <v>3</v>
      </c>
      <c r="BB1172" s="26">
        <f>SUM(BE1172,BH1172,BK1172)</f>
        <v>2669.2607003891039</v>
      </c>
      <c r="BC1172" s="26">
        <f>IF(BD1172&gt;0,1,0)</f>
        <v>1</v>
      </c>
      <c r="BD1172" s="26">
        <f>VLOOKUP($K1172,'[5]FECs - good data'!$C$1:$Z$574,14,FALSE)</f>
        <v>147</v>
      </c>
      <c r="BE1172" s="26">
        <f>BD1172/AS1172</f>
        <v>571.98443579766513</v>
      </c>
      <c r="BF1172" s="26">
        <f>IF(BG1172&gt;0,1,0)</f>
        <v>1</v>
      </c>
      <c r="BG1172" s="82">
        <f>VLOOKUP($K1172,'[5]FECs - good data'!$C$1:$Z$574,15,FALSE)</f>
        <v>360</v>
      </c>
      <c r="BH1172" s="26">
        <f>BG1172/AS1172</f>
        <v>1400.7782101167309</v>
      </c>
      <c r="BI1172" s="26">
        <f>IF(BJ1172&gt;0,1,0)</f>
        <v>1</v>
      </c>
      <c r="BJ1172" s="26">
        <f>VLOOKUP($K1172,'[5]FECs - good data'!$C$1:$Z$574,16,FALSE)</f>
        <v>179</v>
      </c>
      <c r="BK1172" s="26">
        <f>BJ1172/AS1172</f>
        <v>696.49805447470783</v>
      </c>
      <c r="BL1172" s="26">
        <f>IF(BM1172&gt;0,1,0)</f>
        <v>1</v>
      </c>
      <c r="BM1172" s="26">
        <f>SUM(BR1172,BU1172,BX1172,CA1172,CD1172,CG1172,CJ1172,CM1172,CP1172)</f>
        <v>1</v>
      </c>
      <c r="BN1172" s="26">
        <f>SUM(BW1172,BZ1172,CC1172,CF1172,CI1172,CL1172,CO1172,CR1172,BT1172)</f>
        <v>19.455252918287929</v>
      </c>
      <c r="BO1172" s="26">
        <f>IF(BP1172&gt;0,1,0)</f>
        <v>0</v>
      </c>
      <c r="BP1172" s="26">
        <f>SUM(BU1172,BX1172,CA1172,CD1172,BR1172)</f>
        <v>0</v>
      </c>
      <c r="BQ1172" s="26">
        <f>SUM(BZ1172,CC1172,CF1172,BT1172,BW1172)</f>
        <v>0</v>
      </c>
      <c r="BR1172" s="26">
        <f>IF(BS1172&gt;0,1,0)</f>
        <v>0</v>
      </c>
      <c r="BS1172" s="26">
        <f>VLOOKUP($K1172,'[5]FECs - good data'!$C$1:$Z$574,17,FALSE)</f>
        <v>0</v>
      </c>
      <c r="BT1172" s="82">
        <f>BS1172/AS1172</f>
        <v>0</v>
      </c>
      <c r="BU1172" s="26">
        <f>IF(BV1172&gt;0,1,0)</f>
        <v>0</v>
      </c>
      <c r="BV1172" s="26">
        <f>VLOOKUP($K1172,'[5]FECs - good data'!$C$1:$Z$574,18,FALSE)</f>
        <v>0</v>
      </c>
      <c r="BW1172" s="26">
        <f>BV1172/AS1172</f>
        <v>0</v>
      </c>
      <c r="BX1172" s="26">
        <f>IF(BY1172&gt;0,1,0)</f>
        <v>0</v>
      </c>
      <c r="BY1172" s="26">
        <f>VLOOKUP($K1172,'[5]FECs - good data'!$C$1:$Z$574,19,FALSE)</f>
        <v>0</v>
      </c>
      <c r="BZ1172" s="26">
        <f>BY1172/AS1172</f>
        <v>0</v>
      </c>
      <c r="CA1172" s="26">
        <f>IF(CB1172&gt;0,1,0)</f>
        <v>0</v>
      </c>
      <c r="CB1172" s="26">
        <f>VLOOKUP($K1172,'[5]FECs - good data'!$C$1:$Z$574,20,FALSE)</f>
        <v>0</v>
      </c>
      <c r="CC1172" s="26">
        <f>CB1172/AS1172</f>
        <v>0</v>
      </c>
      <c r="CD1172" s="82">
        <f>IF(CE1172&gt;0,1,0)</f>
        <v>0</v>
      </c>
      <c r="CE1172" s="26">
        <f>VLOOKUP($K1172,'[5]FECs - good data'!$C$1:$Z$574,21,FALSE)</f>
        <v>0</v>
      </c>
      <c r="CF1172" s="26">
        <f>CE1172/AS1172</f>
        <v>0</v>
      </c>
      <c r="CG1172" s="26">
        <f>IF(CH1172&gt;0,1,0)</f>
        <v>0</v>
      </c>
      <c r="CH1172" s="26">
        <f>VLOOKUP($K1172,'[5]FECs - good data'!$C$1:$Z$574,22,FALSE)</f>
        <v>0</v>
      </c>
      <c r="CI1172" s="26">
        <f>CH1172/AS1172</f>
        <v>0</v>
      </c>
      <c r="CJ1172" s="26">
        <f>IF(CK1172&gt;0,1,0)</f>
        <v>1</v>
      </c>
      <c r="CK1172" s="26">
        <f>VLOOKUP($K1172,'[5]FECs - good data'!$C$1:$Z$674,24,FALSE)</f>
        <v>5</v>
      </c>
      <c r="CL1172" s="26">
        <f>CK1172/AS1172</f>
        <v>19.455252918287929</v>
      </c>
      <c r="CM1172" s="26"/>
      <c r="CN1172" s="26"/>
      <c r="CO1172" s="26"/>
      <c r="CP1172" s="26"/>
      <c r="CQ1172" s="26"/>
      <c r="CR1172" s="26"/>
      <c r="CS1172" s="26">
        <f>IF(CT1172&gt;0,1,0)</f>
        <v>0</v>
      </c>
      <c r="CT1172" s="26">
        <f>SUM(CW1172+CZ1172,DC1172)</f>
        <v>0</v>
      </c>
      <c r="CU1172" s="26"/>
      <c r="CV1172" s="26">
        <f>SUM(CY1172,DB1172,DE1172)</f>
        <v>0</v>
      </c>
      <c r="CW1172" s="26">
        <f>IF(CX1172&gt;0,1,0)</f>
        <v>0</v>
      </c>
      <c r="CX1172" s="26">
        <f>VLOOKUP($K1172,'[5]FECs - good data'!$C$1:$Z$574,22,FALSE)</f>
        <v>0</v>
      </c>
      <c r="CY1172" s="26">
        <f>CX1172/AS1172</f>
        <v>0</v>
      </c>
      <c r="CZ1172" s="26">
        <f>IF(DA1172&gt;0,1,0)</f>
        <v>0</v>
      </c>
      <c r="DA1172" s="26">
        <f>VLOOKUP($K1172,'[5]FECs - good data'!$C$1:$Z$5982,23,FALSE)</f>
        <v>0</v>
      </c>
      <c r="DB1172" s="26">
        <f>DA1172/AS1172</f>
        <v>0</v>
      </c>
      <c r="DC1172" s="48">
        <f>IF(DD1172&gt;0,1,0)</f>
        <v>0</v>
      </c>
      <c r="DD1172" s="48">
        <f>VLOOKUP($K1172,'[5]FECs - good data'!$C$1:$Z$574,23,FALSE)</f>
        <v>0</v>
      </c>
      <c r="DE1172" s="48">
        <f>DD1172/AS1172</f>
        <v>0</v>
      </c>
      <c r="DF1172" s="16">
        <f>VLOOKUP(K1172,'[3]RNA Seq summary tables'!$V$3:$V$99,1,FALSE)</f>
        <v>2312</v>
      </c>
      <c r="DG1172" s="23">
        <v>1</v>
      </c>
      <c r="DH1172" s="23" t="str">
        <f>VLOOKUP(D1172,'[6]workflow 3.2018'!$A$1:$S$237,2,FALSE)</f>
        <v>2017MLBS_221</v>
      </c>
      <c r="DI1172" s="48"/>
      <c r="DJ1172" s="48"/>
      <c r="DK1172" s="48"/>
      <c r="DL1172" s="48"/>
      <c r="DM1172" s="48"/>
      <c r="DN1172" s="48"/>
      <c r="DO1172" s="48"/>
      <c r="DP1172" s="48"/>
      <c r="DQ1172" s="48"/>
      <c r="DR1172" s="48"/>
      <c r="DS1172" s="48"/>
      <c r="DT1172" s="25"/>
      <c r="DU1172" s="25"/>
      <c r="DV1172" s="25"/>
      <c r="DW1172" s="25"/>
      <c r="DX1172" s="25"/>
      <c r="DY1172" s="25"/>
      <c r="DZ1172" s="25"/>
      <c r="EA1172" s="25"/>
      <c r="EB1172" s="25"/>
      <c r="EC1172" s="25"/>
      <c r="ED1172" s="25"/>
      <c r="EE1172" s="25"/>
      <c r="EF1172" s="25"/>
      <c r="EG1172" s="25"/>
      <c r="EH1172" s="25"/>
      <c r="EI1172" s="25"/>
      <c r="EJ1172" s="25"/>
      <c r="EK1172" s="25"/>
      <c r="EL1172" s="25"/>
      <c r="EM1172" s="25"/>
      <c r="EN1172" s="25"/>
      <c r="EO1172" s="25"/>
      <c r="EP1172" s="25"/>
      <c r="EQ1172" s="25"/>
      <c r="ER1172" s="25"/>
      <c r="ES1172" s="25"/>
      <c r="ET1172" s="25"/>
      <c r="EU1172" s="25"/>
      <c r="EV1172" s="25"/>
      <c r="EW1172" s="25"/>
      <c r="EX1172" s="25"/>
      <c r="EY1172" s="25"/>
      <c r="EZ1172" s="25"/>
      <c r="FA1172" s="25"/>
      <c r="FB1172" s="25"/>
      <c r="FC1172" s="25"/>
      <c r="FD1172" s="25"/>
      <c r="FE1172" s="25"/>
      <c r="FF1172" s="25"/>
      <c r="FG1172" s="25"/>
      <c r="FH1172" s="25"/>
      <c r="FI1172" s="25"/>
      <c r="FJ1172" s="25"/>
      <c r="FK1172" s="25"/>
      <c r="FL1172" s="25"/>
      <c r="FM1172" s="25"/>
      <c r="FN1172" s="25"/>
      <c r="FO1172" s="25"/>
      <c r="FP1172" s="25"/>
      <c r="FQ1172" s="25"/>
      <c r="FR1172" s="25"/>
      <c r="FS1172" s="25"/>
      <c r="FT1172" s="25"/>
      <c r="FU1172" s="25"/>
      <c r="FV1172" s="25"/>
      <c r="FW1172" s="25"/>
      <c r="FX1172" s="25"/>
      <c r="FY1172" s="25"/>
      <c r="FZ1172" s="25"/>
      <c r="GA1172" s="25"/>
      <c r="GB1172" s="25"/>
      <c r="GC1172" s="25"/>
      <c r="GD1172" s="25"/>
      <c r="GE1172" s="25"/>
      <c r="GF1172" s="25"/>
      <c r="GG1172" s="25"/>
      <c r="GH1172" s="25"/>
      <c r="GI1172" s="25"/>
      <c r="GJ1172" s="25"/>
      <c r="GK1172" s="25"/>
      <c r="GL1172" s="25"/>
      <c r="GM1172" s="25"/>
      <c r="GN1172" s="25"/>
      <c r="GO1172" s="25"/>
      <c r="GP1172" s="25"/>
      <c r="GQ1172" s="25"/>
      <c r="GR1172" s="25"/>
      <c r="GS1172" s="25"/>
      <c r="GT1172" s="25"/>
      <c r="GU1172" s="25"/>
      <c r="GV1172" s="25"/>
      <c r="GW1172" s="25"/>
      <c r="GX1172" s="25"/>
      <c r="GY1172" s="25"/>
      <c r="GZ1172" s="25"/>
      <c r="HA1172" s="25"/>
      <c r="HB1172" s="25"/>
      <c r="HC1172" s="25"/>
      <c r="HD1172" s="25"/>
      <c r="HE1172" s="25"/>
      <c r="HF1172" s="25"/>
      <c r="HG1172" s="25"/>
      <c r="HH1172" s="25"/>
      <c r="HI1172" s="25"/>
      <c r="HJ1172" s="25"/>
      <c r="HK1172" s="25"/>
      <c r="HL1172" s="25"/>
      <c r="HM1172" s="25"/>
      <c r="HN1172" s="25"/>
      <c r="HO1172" s="25"/>
      <c r="HP1172" s="25"/>
      <c r="HQ1172" s="25"/>
      <c r="HR1172" s="25"/>
      <c r="HS1172" s="25"/>
      <c r="HT1172" s="25"/>
      <c r="HU1172" s="25"/>
      <c r="HV1172" s="25"/>
      <c r="HW1172" s="25"/>
      <c r="HX1172" s="25"/>
      <c r="HY1172" s="25"/>
      <c r="HZ1172" s="25"/>
      <c r="IA1172" s="25"/>
      <c r="IB1172" s="25"/>
      <c r="IC1172" s="25"/>
      <c r="ID1172" s="25"/>
      <c r="IE1172" s="25"/>
      <c r="IF1172" s="25"/>
      <c r="IG1172" s="25"/>
      <c r="IH1172" s="25"/>
      <c r="II1172" s="25"/>
      <c r="IJ1172" s="25"/>
      <c r="IK1172" s="25"/>
      <c r="IL1172" s="25"/>
      <c r="IM1172" s="25"/>
      <c r="IN1172" s="25"/>
      <c r="IO1172" s="25"/>
      <c r="IP1172" s="25"/>
      <c r="IQ1172" s="25"/>
      <c r="IR1172" s="25"/>
      <c r="IS1172" s="25"/>
      <c r="IT1172" s="25"/>
      <c r="IU1172" s="25"/>
      <c r="IV1172" s="25"/>
      <c r="IW1172" s="25"/>
      <c r="IX1172" s="25"/>
      <c r="IY1172" s="25"/>
      <c r="IZ1172" s="25"/>
      <c r="JA1172" s="25"/>
      <c r="JB1172" s="25"/>
      <c r="JC1172" s="25"/>
      <c r="JD1172" s="25"/>
      <c r="JE1172" s="25"/>
      <c r="JF1172" s="25"/>
      <c r="JG1172" s="25"/>
      <c r="JH1172" s="25"/>
      <c r="JI1172" s="25"/>
      <c r="JJ1172" s="25"/>
      <c r="JK1172" s="25"/>
      <c r="JL1172" s="25"/>
      <c r="JM1172" s="25"/>
      <c r="JN1172" s="25"/>
      <c r="JO1172" s="23"/>
      <c r="JP1172" s="23"/>
      <c r="JQ1172" s="23"/>
      <c r="JR1172" s="23"/>
      <c r="JS1172" s="23"/>
      <c r="JT1172" s="23"/>
      <c r="JU1172" s="23"/>
      <c r="JV1172" s="23"/>
      <c r="JW1172" s="23"/>
      <c r="JX1172" s="23"/>
      <c r="JY1172" s="23"/>
      <c r="JZ1172" s="23"/>
      <c r="KA1172" s="23"/>
      <c r="KB1172" s="23"/>
    </row>
    <row r="1173" spans="1:288" ht="16" x14ac:dyDescent="0.2">
      <c r="B1173" s="16">
        <v>2017</v>
      </c>
      <c r="C1173" s="20">
        <v>42947</v>
      </c>
      <c r="D1173" s="20" t="str">
        <f>CONCATENATE(J1173,"-",C1173)</f>
        <v>1292-42947</v>
      </c>
      <c r="E1173" s="37" t="str">
        <f>CONCATENATE(T1173,"-",U1173,"-",C1173)</f>
        <v>PO1-D1-42947</v>
      </c>
      <c r="F1173" s="20" t="s">
        <v>106</v>
      </c>
      <c r="G1173" s="20" t="s">
        <v>107</v>
      </c>
      <c r="I1173" s="16">
        <v>0</v>
      </c>
      <c r="J1173" s="21">
        <v>1292</v>
      </c>
      <c r="K1173" s="21">
        <v>2011</v>
      </c>
      <c r="L1173" s="18">
        <v>0</v>
      </c>
      <c r="M1173" s="21">
        <f>VLOOKUP($K1173,'[4]blood tubes 2017'!$D$1:$L$647,8,FALSE)</f>
        <v>0</v>
      </c>
      <c r="N1173" s="15">
        <v>0</v>
      </c>
      <c r="O1173" s="15" t="s">
        <v>214</v>
      </c>
      <c r="P1173" s="16" t="s">
        <v>110</v>
      </c>
      <c r="Q1173" s="16">
        <v>0</v>
      </c>
      <c r="R1173" s="16" t="s">
        <v>111</v>
      </c>
      <c r="T1173" s="16" t="s">
        <v>112</v>
      </c>
      <c r="U1173" s="16" t="s">
        <v>157</v>
      </c>
      <c r="V1173" s="16" t="s">
        <v>114</v>
      </c>
      <c r="W1173" s="16">
        <f>AI1173/AG1173</f>
        <v>0.80681818181818177</v>
      </c>
      <c r="X1173" s="16" t="s">
        <v>121</v>
      </c>
      <c r="Y1173" s="16" t="s">
        <v>122</v>
      </c>
      <c r="Z1173" s="16">
        <v>2.6</v>
      </c>
      <c r="AA1173" s="16" t="s">
        <v>119</v>
      </c>
      <c r="AB1173" s="16" t="s">
        <v>123</v>
      </c>
      <c r="AC1173" s="16" t="s">
        <v>123</v>
      </c>
      <c r="AD1173" s="16" t="s">
        <v>123</v>
      </c>
      <c r="AG1173" s="16">
        <f>AH1173-AI1173</f>
        <v>88</v>
      </c>
      <c r="AH1173" s="16">
        <v>159</v>
      </c>
      <c r="AI1173" s="16">
        <v>71</v>
      </c>
      <c r="AK1173" s="16">
        <v>16.5</v>
      </c>
      <c r="AL1173" s="16">
        <v>0</v>
      </c>
      <c r="AM1173" s="16">
        <v>0</v>
      </c>
      <c r="AN1173" s="16">
        <v>0</v>
      </c>
      <c r="AO1173" s="16">
        <v>0</v>
      </c>
      <c r="AP1173" s="16">
        <f>SUM(AL1173:AN1173)</f>
        <v>0</v>
      </c>
      <c r="AQ1173" s="16">
        <v>1.82</v>
      </c>
      <c r="AR1173" s="16">
        <f>AP1173-1.472</f>
        <v>-1.472</v>
      </c>
      <c r="AS1173" s="16">
        <f>AQ1173-1.472</f>
        <v>0.34800000000000009</v>
      </c>
      <c r="AT1173" s="16" t="str">
        <f>VLOOKUP(E1173,[2]Current!$A$1:$W$435,7,FALSE)</f>
        <v>JY</v>
      </c>
      <c r="AU1173" s="16" t="s">
        <v>1288</v>
      </c>
      <c r="AW1173" s="128">
        <f>IF(AX1173&gt;0,1,0)</f>
        <v>1</v>
      </c>
      <c r="AX1173" s="128">
        <f>SUM(BA1173,BM1173,CU1173)</f>
        <v>1</v>
      </c>
      <c r="AY1173" s="128">
        <f>SUM(BB1173,BN1173,CV1173)</f>
        <v>1614.9425287356319</v>
      </c>
      <c r="AZ1173" s="128">
        <f>IF(BA1173&gt;0,1,0)</f>
        <v>1</v>
      </c>
      <c r="BA1173" s="128">
        <f>SUM(BC1173+BF1173+BI1173)</f>
        <v>1</v>
      </c>
      <c r="BB1173" s="128">
        <f>SUM(BE1173,BH1173,BK1173)</f>
        <v>1614.9425287356319</v>
      </c>
      <c r="BC1173" s="130">
        <f>IF(BD1173&gt;0,1,0)</f>
        <v>0</v>
      </c>
      <c r="BD1173" s="128">
        <f>VLOOKUP($E1173,[2]Current!$A:$AC,26,FALSE)</f>
        <v>0</v>
      </c>
      <c r="BE1173" s="128">
        <f>BD1173/$AS1173</f>
        <v>0</v>
      </c>
      <c r="BF1173" s="130">
        <f>IF(BG1173&gt;0,1,0)</f>
        <v>1</v>
      </c>
      <c r="BG1173" s="137">
        <f>VLOOKUP($E1173,[2]Current!$A:$AC,27,FALSE)</f>
        <v>562</v>
      </c>
      <c r="BH1173" s="128">
        <f>BG1173/$AS1173</f>
        <v>1614.9425287356319</v>
      </c>
      <c r="BI1173" s="130">
        <f>IF(BJ1173&gt;0,1,0)</f>
        <v>0</v>
      </c>
      <c r="BJ1173" s="128">
        <f>VLOOKUP($E1173,[2]Current!$A:$AC,28,FALSE)</f>
        <v>0</v>
      </c>
      <c r="BK1173" s="128">
        <f>BJ1173/$AS1173</f>
        <v>0</v>
      </c>
      <c r="BL1173" s="128">
        <f>IF(BM1173&gt;0,1,0)</f>
        <v>0</v>
      </c>
      <c r="BM1173" s="128">
        <f>SUM(BR1173,BU1173,BX1173,CA1173,CD1173)</f>
        <v>0</v>
      </c>
      <c r="BN1173" s="131">
        <f>SUM(BT1173,BW1173,BZ1173,CC1173,CF1173)</f>
        <v>0</v>
      </c>
      <c r="BO1173" s="128">
        <f>IF(BP1173&gt;0,1,0)</f>
        <v>0</v>
      </c>
      <c r="BP1173" s="128">
        <f>BM1173+CJ1173</f>
        <v>0</v>
      </c>
      <c r="BQ1173" s="128">
        <f>BN1173+CL1173</f>
        <v>0</v>
      </c>
      <c r="BR1173" s="130">
        <f>IF(BS1173&gt;0,1,0)</f>
        <v>0</v>
      </c>
      <c r="BS1173" s="128">
        <f>VLOOKUP($E1173,[2]Current!$A:$AC,12,FALSE)</f>
        <v>0</v>
      </c>
      <c r="BT1173" s="137">
        <f>BS1173/$AS1173</f>
        <v>0</v>
      </c>
      <c r="BU1173" s="130">
        <f>IF(BV1173&gt;0,1,0)</f>
        <v>0</v>
      </c>
      <c r="BV1173" s="128">
        <f>VLOOKUP($E1173,[2]Current!$A:$AC,13,FALSE)</f>
        <v>0</v>
      </c>
      <c r="BW1173" s="128">
        <f>BV1173/$AS1173</f>
        <v>0</v>
      </c>
      <c r="BX1173" s="130">
        <f>IF(BY1173&gt;0,1,0)</f>
        <v>0</v>
      </c>
      <c r="BY1173" s="128">
        <f>VLOOKUP($E1173,[2]Current!$A:$AC,14,FALSE)</f>
        <v>0</v>
      </c>
      <c r="BZ1173" s="128">
        <f>BY1173/$AS1173</f>
        <v>0</v>
      </c>
      <c r="CA1173" s="130">
        <f>IF(CB1173&gt;0,1,0)</f>
        <v>0</v>
      </c>
      <c r="CB1173" s="128">
        <f>VLOOKUP($E1173,[2]Current!$A:$AC,15,FALSE)</f>
        <v>0</v>
      </c>
      <c r="CC1173" s="128">
        <f>CB1173/$AS1173</f>
        <v>0</v>
      </c>
      <c r="CD1173" s="174">
        <f>IF(CE1173&gt;0,1,0)</f>
        <v>0</v>
      </c>
      <c r="CE1173" s="128">
        <f>VLOOKUP($E1173,[2]Current!$A:$AC,16,FALSE)</f>
        <v>0</v>
      </c>
      <c r="CF1173" s="128">
        <f>CE1173/$AS1173</f>
        <v>0</v>
      </c>
      <c r="CG1173" s="18"/>
      <c r="CH1173" s="18"/>
      <c r="CI1173" s="18"/>
      <c r="CJ1173" s="130">
        <f>IF(CK1173&gt;0,1,0)</f>
        <v>0</v>
      </c>
      <c r="CK1173" s="128">
        <f>VLOOKUP($E1173,[2]Current!$A:$AC,18,FALSE)</f>
        <v>0</v>
      </c>
      <c r="CL1173" s="128">
        <f>CK1173/$AS1173</f>
        <v>0</v>
      </c>
      <c r="CS1173" s="130">
        <f>IF(CU1173&gt;0,1,0)</f>
        <v>0</v>
      </c>
      <c r="CU1173" s="128">
        <f>VLOOKUP($E1173,[2]Current!$A:$AC,17,FALSE)</f>
        <v>0</v>
      </c>
      <c r="CV1173" s="128">
        <f>CU1173/$AS1173</f>
        <v>0</v>
      </c>
      <c r="CW1173" s="18"/>
      <c r="CX1173" s="18"/>
      <c r="CY1173" s="18"/>
      <c r="DF1173" s="16" t="e">
        <f>VLOOKUP(K1173,'[3]RNA Seq summary tables'!$V$3:$V$99,1,FALSE)</f>
        <v>#N/A</v>
      </c>
    </row>
    <row r="1174" spans="1:288" ht="16" x14ac:dyDescent="0.2">
      <c r="B1174" s="16">
        <v>2017</v>
      </c>
      <c r="C1174" s="20">
        <v>42963</v>
      </c>
      <c r="D1174" s="20" t="str">
        <f>CONCATENATE(J1174,"-",C1174)</f>
        <v>1292-42963</v>
      </c>
      <c r="E1174" s="37" t="str">
        <f>CONCATENATE(T1174,"-",U1174,"-",C1174)</f>
        <v>PO1-D3-42963</v>
      </c>
      <c r="F1174" s="20" t="s">
        <v>106</v>
      </c>
      <c r="G1174" s="20" t="s">
        <v>107</v>
      </c>
      <c r="I1174" s="16">
        <v>0</v>
      </c>
      <c r="J1174" s="21">
        <v>1292</v>
      </c>
      <c r="K1174" s="21">
        <v>2150</v>
      </c>
      <c r="L1174" s="18">
        <v>0</v>
      </c>
      <c r="M1174" s="21">
        <f>VLOOKUP($K1174,'[4]blood tubes 2017'!$D$1:$L$647,8,FALSE)</f>
        <v>0</v>
      </c>
      <c r="N1174" s="15">
        <v>0</v>
      </c>
      <c r="O1174" s="15" t="s">
        <v>214</v>
      </c>
      <c r="P1174" s="16" t="s">
        <v>110</v>
      </c>
      <c r="Q1174" s="16">
        <v>1</v>
      </c>
      <c r="R1174" s="16">
        <v>16</v>
      </c>
      <c r="T1174" s="16" t="s">
        <v>112</v>
      </c>
      <c r="U1174" s="16" t="s">
        <v>149</v>
      </c>
      <c r="V1174" s="16" t="s">
        <v>114</v>
      </c>
      <c r="W1174" s="16">
        <f>AI1174/AG1174</f>
        <v>0.80645161290322576</v>
      </c>
      <c r="X1174" s="16" t="s">
        <v>121</v>
      </c>
      <c r="Y1174" s="16" t="s">
        <v>110</v>
      </c>
      <c r="Z1174" s="16">
        <v>3</v>
      </c>
      <c r="AA1174" s="16" t="s">
        <v>119</v>
      </c>
      <c r="AB1174" s="16" t="s">
        <v>123</v>
      </c>
      <c r="AC1174" s="16" t="s">
        <v>123</v>
      </c>
      <c r="AD1174" s="16" t="s">
        <v>123</v>
      </c>
      <c r="AG1174" s="16">
        <f>AH1174-AI1174</f>
        <v>93</v>
      </c>
      <c r="AH1174" s="16">
        <v>168</v>
      </c>
      <c r="AI1174" s="16">
        <v>75</v>
      </c>
      <c r="AK1174" s="16">
        <v>19</v>
      </c>
      <c r="AL1174" s="16">
        <v>0</v>
      </c>
      <c r="AM1174" s="16">
        <v>0</v>
      </c>
      <c r="AN1174" s="16">
        <v>0</v>
      </c>
      <c r="AO1174" s="16">
        <v>0</v>
      </c>
      <c r="AP1174" s="16">
        <f>SUM(AL1174:AN1174)</f>
        <v>0</v>
      </c>
      <c r="AQ1174" s="16">
        <v>1.8260000000000001</v>
      </c>
      <c r="AR1174" s="16">
        <f>AP1174-1.472</f>
        <v>-1.472</v>
      </c>
      <c r="AS1174" s="16">
        <f>AQ1174-1.472</f>
        <v>0.35400000000000009</v>
      </c>
      <c r="AT1174" s="16" t="str">
        <f>VLOOKUP(E1174,[2]Current!$A$1:$W$435,7,FALSE)</f>
        <v>NB</v>
      </c>
      <c r="AU1174" s="16" t="s">
        <v>1288</v>
      </c>
      <c r="AW1174" s="128">
        <f>IF(AX1174&gt;0,1,0)</f>
        <v>1</v>
      </c>
      <c r="AX1174" s="128">
        <f>SUM(BA1174,BM1174,CU1174)</f>
        <v>1</v>
      </c>
      <c r="AY1174" s="128">
        <f>SUM(BB1174,BN1174,CV1174)</f>
        <v>16.949152542372875</v>
      </c>
      <c r="AZ1174" s="128">
        <f>IF(BA1174&gt;0,1,0)</f>
        <v>1</v>
      </c>
      <c r="BA1174" s="128">
        <f>SUM(BC1174+BF1174+BI1174)</f>
        <v>1</v>
      </c>
      <c r="BB1174" s="128">
        <f>SUM(BE1174,BH1174,BK1174)</f>
        <v>16.949152542372875</v>
      </c>
      <c r="BC1174" s="130">
        <f>IF(BD1174&gt;0,1,0)</f>
        <v>0</v>
      </c>
      <c r="BD1174" s="128">
        <f>VLOOKUP($E1174,[2]Current!$A:$AC,26,FALSE)</f>
        <v>0</v>
      </c>
      <c r="BE1174" s="128">
        <f>BD1174/$AS1174</f>
        <v>0</v>
      </c>
      <c r="BF1174" s="130">
        <f>IF(BG1174&gt;0,1,0)</f>
        <v>1</v>
      </c>
      <c r="BG1174" s="137">
        <f>VLOOKUP($E1174,[2]Current!$A:$AC,27,FALSE)</f>
        <v>6</v>
      </c>
      <c r="BH1174" s="128">
        <f>BG1174/$AS1174</f>
        <v>16.949152542372875</v>
      </c>
      <c r="BI1174" s="130">
        <f>IF(BJ1174&gt;0,1,0)</f>
        <v>0</v>
      </c>
      <c r="BJ1174" s="128">
        <f>VLOOKUP($E1174,[2]Current!$A:$AC,28,FALSE)</f>
        <v>0</v>
      </c>
      <c r="BK1174" s="128">
        <f>BJ1174/$AS1174</f>
        <v>0</v>
      </c>
      <c r="BL1174" s="128">
        <f>IF(BM1174&gt;0,1,0)</f>
        <v>0</v>
      </c>
      <c r="BM1174" s="128">
        <f>SUM(BR1174,BU1174,BX1174,CA1174,CD1174)</f>
        <v>0</v>
      </c>
      <c r="BN1174" s="131">
        <f>SUM(BT1174,BW1174,BZ1174,CC1174,CF1174)</f>
        <v>0</v>
      </c>
      <c r="BO1174" s="128">
        <f>IF(BP1174&gt;0,1,0)</f>
        <v>0</v>
      </c>
      <c r="BP1174" s="128">
        <f>BM1174+CJ1174</f>
        <v>0</v>
      </c>
      <c r="BQ1174" s="128">
        <f>BN1174+CL1174</f>
        <v>0</v>
      </c>
      <c r="BR1174" s="130">
        <f>IF(BS1174&gt;0,1,0)</f>
        <v>0</v>
      </c>
      <c r="BS1174" s="128">
        <f>VLOOKUP($E1174,[2]Current!$A:$AC,12,FALSE)</f>
        <v>0</v>
      </c>
      <c r="BT1174" s="137">
        <f>BS1174/$AS1174</f>
        <v>0</v>
      </c>
      <c r="BU1174" s="130">
        <f>IF(BV1174&gt;0,1,0)</f>
        <v>0</v>
      </c>
      <c r="BV1174" s="128">
        <f>VLOOKUP($E1174,[2]Current!$A:$AC,13,FALSE)</f>
        <v>0</v>
      </c>
      <c r="BW1174" s="128">
        <f>BV1174/$AS1174</f>
        <v>0</v>
      </c>
      <c r="BX1174" s="130">
        <f>IF(BY1174&gt;0,1,0)</f>
        <v>0</v>
      </c>
      <c r="BY1174" s="128">
        <f>VLOOKUP($E1174,[2]Current!$A:$AC,14,FALSE)</f>
        <v>0</v>
      </c>
      <c r="BZ1174" s="128">
        <f>BY1174/$AS1174</f>
        <v>0</v>
      </c>
      <c r="CA1174" s="130">
        <f>IF(CB1174&gt;0,1,0)</f>
        <v>0</v>
      </c>
      <c r="CB1174" s="128">
        <f>VLOOKUP($E1174,[2]Current!$A:$AC,15,FALSE)</f>
        <v>0</v>
      </c>
      <c r="CC1174" s="128">
        <f>CB1174/$AS1174</f>
        <v>0</v>
      </c>
      <c r="CD1174" s="174">
        <f>IF(CE1174&gt;0,1,0)</f>
        <v>0</v>
      </c>
      <c r="CE1174" s="128">
        <f>VLOOKUP($E1174,[2]Current!$A:$AC,16,FALSE)</f>
        <v>0</v>
      </c>
      <c r="CF1174" s="128">
        <f>CE1174/$AS1174</f>
        <v>0</v>
      </c>
      <c r="CG1174" s="18"/>
      <c r="CH1174" s="18"/>
      <c r="CI1174" s="18"/>
      <c r="CJ1174" s="130">
        <f>IF(CK1174&gt;0,1,0)</f>
        <v>0</v>
      </c>
      <c r="CK1174" s="128">
        <f>VLOOKUP($E1174,[2]Current!$A:$AC,18,FALSE)</f>
        <v>0</v>
      </c>
      <c r="CL1174" s="128">
        <f>CK1174/$AS1174</f>
        <v>0</v>
      </c>
      <c r="CS1174" s="130">
        <f>IF(CU1174&gt;0,1,0)</f>
        <v>0</v>
      </c>
      <c r="CU1174" s="128">
        <f>VLOOKUP($E1174,[2]Current!$A:$AC,17,FALSE)</f>
        <v>0</v>
      </c>
      <c r="CV1174" s="128">
        <f>CU1174/$AS1174</f>
        <v>0</v>
      </c>
      <c r="CW1174" s="18"/>
      <c r="CX1174" s="18"/>
      <c r="CY1174" s="18"/>
      <c r="DF1174" s="16" t="e">
        <f>VLOOKUP(K1174,'[3]RNA Seq summary tables'!$V$3:$V$99,1,FALSE)</f>
        <v>#N/A</v>
      </c>
      <c r="DG1174" s="16">
        <v>1</v>
      </c>
      <c r="DH1174" s="16" t="str">
        <f>VLOOKUP(D1174,'[6]workflow 3.2018'!$A$1:$S$237,2,FALSE)</f>
        <v>2017MLBS_148</v>
      </c>
      <c r="JP1174" s="38"/>
      <c r="JQ1174" s="38"/>
    </row>
    <row r="1175" spans="1:288" ht="16" x14ac:dyDescent="0.2">
      <c r="B1175" s="16">
        <v>2017</v>
      </c>
      <c r="C1175" s="20">
        <v>42975</v>
      </c>
      <c r="D1175" s="20" t="str">
        <f>CONCATENATE(J1175,"-",C1175)</f>
        <v>1292-42975</v>
      </c>
      <c r="E1175" s="37" t="str">
        <f>CONCATENATE(T1175,"-",U1175,"-",C1175)</f>
        <v>PO1-D5-42975</v>
      </c>
      <c r="F1175" s="37" t="s">
        <v>224</v>
      </c>
      <c r="G1175" s="20" t="s">
        <v>107</v>
      </c>
      <c r="I1175" s="16">
        <v>0</v>
      </c>
      <c r="J1175" s="21">
        <v>1292</v>
      </c>
      <c r="K1175" s="21">
        <v>2274</v>
      </c>
      <c r="L1175" s="18">
        <v>0</v>
      </c>
      <c r="M1175" s="21">
        <f>VLOOKUP($K1175,'[4]blood tubes 2017'!$D$1:$L$947,8,FALSE)</f>
        <v>0</v>
      </c>
      <c r="N1175" s="15">
        <v>0</v>
      </c>
      <c r="O1175" s="15" t="s">
        <v>214</v>
      </c>
      <c r="P1175" s="16" t="s">
        <v>110</v>
      </c>
      <c r="Q1175" s="16">
        <v>1</v>
      </c>
      <c r="R1175" s="16">
        <v>12</v>
      </c>
      <c r="T1175" s="16" t="s">
        <v>112</v>
      </c>
      <c r="U1175" s="16" t="s">
        <v>183</v>
      </c>
      <c r="V1175" s="16" t="s">
        <v>114</v>
      </c>
      <c r="W1175" s="16">
        <f>AI1175/AG1175</f>
        <v>0.82795698924731187</v>
      </c>
      <c r="X1175" s="16" t="s">
        <v>121</v>
      </c>
      <c r="Y1175" s="16" t="s">
        <v>110</v>
      </c>
      <c r="Z1175" s="16">
        <v>3</v>
      </c>
      <c r="AA1175" s="16" t="s">
        <v>119</v>
      </c>
      <c r="AB1175" s="16" t="s">
        <v>240</v>
      </c>
      <c r="AC1175" s="16" t="s">
        <v>116</v>
      </c>
      <c r="AD1175" s="16" t="s">
        <v>116</v>
      </c>
      <c r="AG1175" s="16">
        <f>AH1175-AI1175</f>
        <v>93</v>
      </c>
      <c r="AH1175" s="16">
        <v>170</v>
      </c>
      <c r="AI1175" s="16">
        <v>77</v>
      </c>
      <c r="AK1175" s="16">
        <v>32.5</v>
      </c>
      <c r="AL1175" s="16">
        <v>0</v>
      </c>
      <c r="AM1175" s="16">
        <v>0</v>
      </c>
      <c r="AN1175" s="16">
        <v>0</v>
      </c>
      <c r="AO1175" s="16">
        <v>0</v>
      </c>
      <c r="AP1175" s="16">
        <f>SUM(AL1175:AN1175)</f>
        <v>0</v>
      </c>
      <c r="AQ1175" s="16">
        <v>1.7629999999999999</v>
      </c>
      <c r="AR1175" s="16">
        <f>AP1175-1.472</f>
        <v>-1.472</v>
      </c>
      <c r="AS1175" s="16">
        <f>AQ1175-1.472</f>
        <v>0.29099999999999993</v>
      </c>
      <c r="AT1175" s="16" t="str">
        <f>VLOOKUP(E1175,[2]Current!$A$1:$W$435,7,FALSE)</f>
        <v>LV</v>
      </c>
      <c r="AU1175" s="16" t="s">
        <v>1288</v>
      </c>
      <c r="AW1175" s="128">
        <f>IF(AX1175&gt;0,1,0)</f>
        <v>1</v>
      </c>
      <c r="AX1175" s="128">
        <f>SUM(BA1175,BM1175,CU1175)</f>
        <v>168</v>
      </c>
      <c r="AY1175" s="128">
        <f>SUM(BB1175,BN1175,CV1175)</f>
        <v>6917.5257731958773</v>
      </c>
      <c r="AZ1175" s="128">
        <f>IF(BA1175&gt;0,1,0)</f>
        <v>1</v>
      </c>
      <c r="BA1175" s="128">
        <f>SUM(BC1175+BF1175+BI1175)</f>
        <v>3</v>
      </c>
      <c r="BB1175" s="128">
        <f>SUM(BE1175,BH1175,BK1175)</f>
        <v>6350.5154639175271</v>
      </c>
      <c r="BC1175" s="130">
        <f>IF(BD1175&gt;0,1,0)</f>
        <v>1</v>
      </c>
      <c r="BD1175" s="128">
        <f>VLOOKUP($E1175,[2]Current!$A:$AC,26,FALSE)</f>
        <v>174</v>
      </c>
      <c r="BE1175" s="128">
        <f>BD1175/$AS1175</f>
        <v>597.93814432989711</v>
      </c>
      <c r="BF1175" s="130">
        <f>IF(BG1175&gt;0,1,0)</f>
        <v>1</v>
      </c>
      <c r="BG1175" s="137">
        <f>VLOOKUP($E1175,[2]Current!$A:$AC,27,FALSE)</f>
        <v>1578</v>
      </c>
      <c r="BH1175" s="128">
        <f>BG1175/$AS1175</f>
        <v>5422.6804123711354</v>
      </c>
      <c r="BI1175" s="130">
        <f>IF(BJ1175&gt;0,1,0)</f>
        <v>1</v>
      </c>
      <c r="BJ1175" s="128">
        <f>VLOOKUP($E1175,[2]Current!$A:$AC,28,FALSE)</f>
        <v>96</v>
      </c>
      <c r="BK1175" s="128">
        <f>BJ1175/$AS1175</f>
        <v>329.89690721649492</v>
      </c>
      <c r="BL1175" s="128">
        <f>IF(BM1175&gt;0,1,0)</f>
        <v>1</v>
      </c>
      <c r="BM1175" s="128">
        <f>SUM(BR1175,BU1175,BX1175,CA1175,CD1175)</f>
        <v>1</v>
      </c>
      <c r="BN1175" s="131">
        <f>SUM(BT1175,BW1175,BZ1175,CC1175,CF1175)</f>
        <v>3.4364261168384886</v>
      </c>
      <c r="BO1175" s="128">
        <f>IF(BP1175&gt;0,1,0)</f>
        <v>1</v>
      </c>
      <c r="BP1175" s="128">
        <f>BM1175+CJ1175</f>
        <v>1</v>
      </c>
      <c r="BQ1175" s="128">
        <f>BN1175+CL1175</f>
        <v>3.4364261168384886</v>
      </c>
      <c r="BR1175" s="130">
        <f>IF(BS1175&gt;0,1,0)</f>
        <v>0</v>
      </c>
      <c r="BS1175" s="128">
        <f>VLOOKUP($E1175,[2]Current!$A:$AC,12,FALSE)</f>
        <v>0</v>
      </c>
      <c r="BT1175" s="137">
        <f>BS1175/$AS1175</f>
        <v>0</v>
      </c>
      <c r="BU1175" s="130">
        <f>IF(BV1175&gt;0,1,0)</f>
        <v>0</v>
      </c>
      <c r="BV1175" s="128">
        <f>VLOOKUP($E1175,[2]Current!$A:$AC,13,FALSE)</f>
        <v>0</v>
      </c>
      <c r="BW1175" s="128">
        <f>BV1175/$AS1175</f>
        <v>0</v>
      </c>
      <c r="BX1175" s="130">
        <f>IF(BY1175&gt;0,1,0)</f>
        <v>0</v>
      </c>
      <c r="BY1175" s="128">
        <f>VLOOKUP($E1175,[2]Current!$A:$AC,14,FALSE)</f>
        <v>0</v>
      </c>
      <c r="BZ1175" s="128">
        <f>BY1175/$AS1175</f>
        <v>0</v>
      </c>
      <c r="CA1175" s="130">
        <f>IF(CB1175&gt;0,1,0)</f>
        <v>0</v>
      </c>
      <c r="CB1175" s="128">
        <f>VLOOKUP($E1175,[2]Current!$A:$AC,15,FALSE)</f>
        <v>0</v>
      </c>
      <c r="CC1175" s="128">
        <f>CB1175/$AS1175</f>
        <v>0</v>
      </c>
      <c r="CD1175" s="174">
        <f>IF(CE1175&gt;0,1,0)</f>
        <v>1</v>
      </c>
      <c r="CE1175" s="128">
        <f>VLOOKUP($E1175,[2]Current!$A:$AC,16,FALSE)</f>
        <v>1</v>
      </c>
      <c r="CF1175" s="128">
        <f>CE1175/$AS1175</f>
        <v>3.4364261168384886</v>
      </c>
      <c r="CG1175" s="18"/>
      <c r="CH1175" s="18"/>
      <c r="CI1175" s="18"/>
      <c r="CJ1175" s="130">
        <f>IF(CK1175&gt;0,1,0)</f>
        <v>0</v>
      </c>
      <c r="CK1175" s="128">
        <f>VLOOKUP($E1175,[2]Current!$A:$AC,18,FALSE)</f>
        <v>0</v>
      </c>
      <c r="CL1175" s="128">
        <f>CK1175/$AS1175</f>
        <v>0</v>
      </c>
      <c r="CS1175" s="130">
        <f>IF(CU1175&gt;0,1,0)</f>
        <v>1</v>
      </c>
      <c r="CU1175" s="128">
        <f>VLOOKUP($E1175,[2]Current!$A:$AC,17,FALSE)</f>
        <v>164</v>
      </c>
      <c r="CV1175" s="128">
        <f>CU1175/$AS1175</f>
        <v>563.57388316151219</v>
      </c>
      <c r="CW1175" s="18"/>
      <c r="CX1175" s="18"/>
      <c r="CY1175" s="18"/>
      <c r="DF1175" s="16" t="e">
        <f>VLOOKUP(K1175,'[3]RNA Seq summary tables'!$V$3:$V$99,1,FALSE)</f>
        <v>#N/A</v>
      </c>
      <c r="DG1175" s="16">
        <v>1</v>
      </c>
      <c r="DH1175" s="16" t="str">
        <f>VLOOKUP(D1175,'[6]workflow 3.2018'!$A$1:$S$237,2,FALSE)</f>
        <v>2017MLBS_200</v>
      </c>
    </row>
    <row r="1176" spans="1:288" x14ac:dyDescent="0.2">
      <c r="B1176" s="16">
        <v>2017</v>
      </c>
      <c r="C1176" s="20">
        <v>42947</v>
      </c>
      <c r="D1176" s="20" t="str">
        <f>CONCATENATE(J1176,"-",C1176)</f>
        <v>1294-42947</v>
      </c>
      <c r="E1176" s="20" t="str">
        <f>CONCATENATE(T1176,"-",U1176,"-",C1176)</f>
        <v>PO1-E1-42947</v>
      </c>
      <c r="F1176" s="20" t="s">
        <v>106</v>
      </c>
      <c r="G1176" s="20" t="s">
        <v>107</v>
      </c>
      <c r="I1176" s="16">
        <v>0</v>
      </c>
      <c r="J1176" s="21">
        <v>1294</v>
      </c>
      <c r="K1176" s="21">
        <v>2014</v>
      </c>
      <c r="L1176" s="18">
        <v>0</v>
      </c>
      <c r="M1176" s="21">
        <f>VLOOKUP($K1176,'[4]blood tubes 2017'!$D$1:$L$647,8,FALSE)</f>
        <v>0</v>
      </c>
      <c r="N1176" s="15">
        <v>0</v>
      </c>
      <c r="O1176" s="15" t="s">
        <v>214</v>
      </c>
      <c r="P1176" s="16" t="s">
        <v>110</v>
      </c>
      <c r="Q1176" s="16">
        <v>0</v>
      </c>
      <c r="R1176" s="16" t="s">
        <v>111</v>
      </c>
      <c r="T1176" s="16" t="s">
        <v>112</v>
      </c>
      <c r="U1176" s="16" t="s">
        <v>222</v>
      </c>
      <c r="V1176" s="16" t="s">
        <v>114</v>
      </c>
      <c r="W1176" s="16">
        <f>AI1176/AG1176</f>
        <v>0.8539325842696629</v>
      </c>
      <c r="X1176" s="16" t="s">
        <v>121</v>
      </c>
      <c r="Y1176" s="16" t="s">
        <v>110</v>
      </c>
      <c r="Z1176" s="16">
        <v>3</v>
      </c>
      <c r="AA1176" s="16" t="s">
        <v>161</v>
      </c>
      <c r="AB1176" s="16" t="s">
        <v>115</v>
      </c>
      <c r="AC1176" s="16" t="s">
        <v>116</v>
      </c>
      <c r="AD1176" s="16" t="s">
        <v>116</v>
      </c>
      <c r="AG1176" s="16">
        <f>AH1176-AI1176</f>
        <v>89</v>
      </c>
      <c r="AH1176" s="16">
        <v>165</v>
      </c>
      <c r="AI1176" s="16">
        <v>76</v>
      </c>
      <c r="AK1176" s="16">
        <v>28</v>
      </c>
      <c r="AL1176" s="16">
        <v>1</v>
      </c>
      <c r="AM1176" s="16">
        <v>0</v>
      </c>
      <c r="AN1176" s="16">
        <v>0</v>
      </c>
      <c r="AO1176" s="16">
        <v>1</v>
      </c>
      <c r="AP1176" s="16">
        <f>SUM(AL1176:AN1176)</f>
        <v>1</v>
      </c>
      <c r="AQ1176" s="16">
        <v>1.728</v>
      </c>
      <c r="AR1176" s="16">
        <f>AP1176-1.472</f>
        <v>-0.47199999999999998</v>
      </c>
      <c r="AS1176" s="16">
        <f>AQ1176-1.472</f>
        <v>0.25600000000000001</v>
      </c>
      <c r="AT1176" s="16" t="str">
        <f>VLOOKUP(K1176,'[5]FECs - good data'!$C$1:$P$575,13,FALSE)</f>
        <v>SB</v>
      </c>
      <c r="AW1176" s="18">
        <f>IF(AX1176&gt;0,1,0)</f>
        <v>1</v>
      </c>
      <c r="AX1176" s="18">
        <f>SUM(BA1176,BM1176,CT1176)</f>
        <v>4</v>
      </c>
      <c r="AY1176" s="18">
        <f>SUM(BB1176,BN1176,CV1176)</f>
        <v>23.4375</v>
      </c>
      <c r="AZ1176" s="18">
        <f>IF(BA1176&gt;0,1,0)</f>
        <v>1</v>
      </c>
      <c r="BA1176" s="18">
        <f>SUM(BC1176,BF1176,BI1176)</f>
        <v>1</v>
      </c>
      <c r="BB1176" s="18">
        <f>SUM(BE1176,BH1176,BK1176)</f>
        <v>7.8125</v>
      </c>
      <c r="BC1176" s="18">
        <f>IF(BD1176&gt;0,1,0)</f>
        <v>0</v>
      </c>
      <c r="BD1176" s="18">
        <f>VLOOKUP($K1176,'[5]FECs - good data'!$C$1:$Z$574,14,FALSE)</f>
        <v>0</v>
      </c>
      <c r="BE1176" s="16">
        <f>BD1176/AS1176</f>
        <v>0</v>
      </c>
      <c r="BF1176" s="16">
        <f>IF(BG1176&gt;0,1,0)</f>
        <v>1</v>
      </c>
      <c r="BG1176" s="77">
        <f>VLOOKUP($K1176,'[5]FECs - good data'!$C$1:$Z$574,15,FALSE)</f>
        <v>2</v>
      </c>
      <c r="BH1176" s="16">
        <f>BG1176/AS1176</f>
        <v>7.8125</v>
      </c>
      <c r="BI1176" s="16">
        <f>IF(BJ1176&gt;0,1,0)</f>
        <v>0</v>
      </c>
      <c r="BJ1176" s="16">
        <f>VLOOKUP($K1176,'[5]FECs - good data'!$C$1:$Z$574,16,FALSE)</f>
        <v>0</v>
      </c>
      <c r="BK1176" s="16">
        <f>BJ1176/AS1176</f>
        <v>0</v>
      </c>
      <c r="BL1176" s="16">
        <f>IF(BM1176&gt;0,1,0)</f>
        <v>1</v>
      </c>
      <c r="BM1176" s="16">
        <f>SUM(BR1176,BU1176,BX1176,CA1176,CD1176,CG1176,CJ1176,CM1176,CP1176)</f>
        <v>3</v>
      </c>
      <c r="BN1176" s="16">
        <f>SUM(BW1176,BZ1176,CC1176,CF1176,CI1176,CL1176,CO1176,CR1176,BT1176)</f>
        <v>15.625</v>
      </c>
      <c r="BO1176" s="16">
        <f>IF(BP1176&gt;0,1,0)</f>
        <v>1</v>
      </c>
      <c r="BP1176" s="16">
        <f>SUM(BU1176,BX1176,CA1176,CD1176,BR1176)</f>
        <v>3</v>
      </c>
      <c r="BQ1176" s="16">
        <f>SUM(BZ1176,CC1176,CF1176,BT1176,BW1176)</f>
        <v>15.625</v>
      </c>
      <c r="BR1176" s="16">
        <f>IF(BS1176&gt;0,1,0)</f>
        <v>1</v>
      </c>
      <c r="BS1176" s="16">
        <f>VLOOKUP($K1176,'[5]FECs - good data'!$C$1:$Z$574,17,FALSE)</f>
        <v>2</v>
      </c>
      <c r="BT1176" s="77">
        <f>BS1176/AS1176</f>
        <v>7.8125</v>
      </c>
      <c r="BU1176" s="16">
        <f>IF(BV1176&gt;0,1,0)</f>
        <v>0</v>
      </c>
      <c r="BV1176" s="16">
        <f>VLOOKUP($K1176,'[5]FECs - good data'!$C$1:$Z$574,18,FALSE)</f>
        <v>0</v>
      </c>
      <c r="BW1176" s="16">
        <f>BV1176/AS1176</f>
        <v>0</v>
      </c>
      <c r="BX1176" s="16">
        <f>IF(BY1176&gt;0,1,0)</f>
        <v>1</v>
      </c>
      <c r="BY1176" s="16">
        <f>VLOOKUP($K1176,'[5]FECs - good data'!$C$1:$Z$574,19,FALSE)</f>
        <v>1</v>
      </c>
      <c r="BZ1176" s="16">
        <f>BY1176/AS1176</f>
        <v>3.90625</v>
      </c>
      <c r="CA1176" s="16">
        <f>IF(CB1176&gt;0,1,0)</f>
        <v>1</v>
      </c>
      <c r="CB1176" s="16">
        <f>VLOOKUP($K1176,'[5]FECs - good data'!$C$1:$Z$574,20,FALSE)</f>
        <v>1</v>
      </c>
      <c r="CC1176" s="16">
        <f>CB1176/AS1176</f>
        <v>3.90625</v>
      </c>
      <c r="CD1176" s="77">
        <f>IF(CE1176&gt;0,1,0)</f>
        <v>0</v>
      </c>
      <c r="CE1176" s="16">
        <f>VLOOKUP($K1176,'[5]FECs - good data'!$C$1:$Z$574,21,FALSE)</f>
        <v>0</v>
      </c>
      <c r="CF1176" s="16">
        <f>CE1176/AS1176</f>
        <v>0</v>
      </c>
      <c r="CG1176" s="16">
        <f>IF(CH1176&gt;0,1,0)</f>
        <v>0</v>
      </c>
      <c r="CH1176" s="16">
        <f>VLOOKUP($K1176,'[5]FECs - good data'!$C$1:$Z$574,22,FALSE)</f>
        <v>0</v>
      </c>
      <c r="CI1176" s="16">
        <f>CH1176/AS1176</f>
        <v>0</v>
      </c>
      <c r="CJ1176" s="16">
        <f>IF(CK1176&gt;0,1,0)</f>
        <v>0</v>
      </c>
      <c r="CK1176" s="16">
        <f>VLOOKUP($K1176,'[5]FECs - good data'!$C$1:$Z$674,24,FALSE)</f>
        <v>0</v>
      </c>
      <c r="CL1176" s="16">
        <f>CK1176/AS1176</f>
        <v>0</v>
      </c>
      <c r="CS1176" s="16">
        <f>IF(CT1176&gt;0,1,0)</f>
        <v>0</v>
      </c>
      <c r="CT1176" s="16">
        <f>SUM(CW1176+CZ1176,DC1176)</f>
        <v>0</v>
      </c>
      <c r="CV1176" s="16">
        <f>SUM(CY1176,DB1176,DE1176)</f>
        <v>0</v>
      </c>
      <c r="CW1176" s="16">
        <f>IF(CX1176&gt;0,1,0)</f>
        <v>0</v>
      </c>
      <c r="CX1176" s="16">
        <f>VLOOKUP($K1176,'[5]FECs - good data'!$C$1:$Z$574,22,FALSE)</f>
        <v>0</v>
      </c>
      <c r="CY1176" s="16">
        <f>CX1176/AS1176</f>
        <v>0</v>
      </c>
      <c r="CZ1176" s="16">
        <f>IF(DA1176&gt;0,1,0)</f>
        <v>0</v>
      </c>
      <c r="DA1176" s="16">
        <f>VLOOKUP($K1176,'[5]FECs - good data'!$C$1:$Z$5982,23,FALSE)</f>
        <v>0</v>
      </c>
      <c r="DB1176" s="16">
        <f>DA1176/AS1176</f>
        <v>0</v>
      </c>
      <c r="DC1176" s="16">
        <f>IF(DD1176&gt;0,1,0)</f>
        <v>0</v>
      </c>
      <c r="DD1176" s="16">
        <f>VLOOKUP($K1176,'[5]FECs - good data'!$C$1:$Z$574,23,FALSE)</f>
        <v>0</v>
      </c>
      <c r="DE1176" s="16">
        <f>DD1176/AS1176</f>
        <v>0</v>
      </c>
      <c r="DF1176" s="16" t="e">
        <f>VLOOKUP(K1176,'[3]RNA Seq summary tables'!$V$3:$V$99,1,FALSE)</f>
        <v>#N/A</v>
      </c>
      <c r="DG1176" s="16">
        <v>1</v>
      </c>
      <c r="DH1176" s="16" t="str">
        <f>VLOOKUP(D1176,'[6]workflow 3.2018'!$A$1:$S$237,2,FALSE)</f>
        <v>2017MLBS_87</v>
      </c>
    </row>
    <row r="1177" spans="1:288" ht="16" x14ac:dyDescent="0.2">
      <c r="B1177" s="16">
        <v>2017</v>
      </c>
      <c r="C1177" s="20">
        <v>42964</v>
      </c>
      <c r="D1177" s="20" t="str">
        <f>CONCATENATE(J1177,"-",C1177)</f>
        <v>1294-42964</v>
      </c>
      <c r="E1177" s="37" t="str">
        <f>CONCATENATE(T1177,"-",U1177,"-",C1177)</f>
        <v>PO1-D1-42964</v>
      </c>
      <c r="F1177" s="20" t="s">
        <v>106</v>
      </c>
      <c r="G1177" s="20" t="s">
        <v>107</v>
      </c>
      <c r="I1177" s="16">
        <v>0</v>
      </c>
      <c r="J1177" s="21">
        <v>1294</v>
      </c>
      <c r="K1177" s="21">
        <v>2168</v>
      </c>
      <c r="L1177" s="18">
        <v>0</v>
      </c>
      <c r="M1177" s="21">
        <f>VLOOKUP($K1177,'[4]blood tubes 2017'!$D$1:$L$647,8,FALSE)</f>
        <v>0</v>
      </c>
      <c r="N1177" s="15">
        <v>0</v>
      </c>
      <c r="O1177" s="15" t="s">
        <v>214</v>
      </c>
      <c r="P1177" s="16" t="s">
        <v>110</v>
      </c>
      <c r="Q1177" s="16">
        <v>1</v>
      </c>
      <c r="R1177" s="16">
        <v>17</v>
      </c>
      <c r="T1177" s="16" t="s">
        <v>112</v>
      </c>
      <c r="U1177" s="16" t="s">
        <v>157</v>
      </c>
      <c r="V1177" s="16" t="s">
        <v>114</v>
      </c>
      <c r="W1177" s="16">
        <f>AI1177/AG1177</f>
        <v>0.8764044943820225</v>
      </c>
      <c r="X1177" s="16" t="s">
        <v>121</v>
      </c>
      <c r="Y1177" s="16" t="s">
        <v>110</v>
      </c>
      <c r="Z1177" s="16">
        <v>3</v>
      </c>
      <c r="AA1177" s="16" t="s">
        <v>119</v>
      </c>
      <c r="AB1177" s="16" t="s">
        <v>239</v>
      </c>
      <c r="AC1177" s="16" t="s">
        <v>123</v>
      </c>
      <c r="AD1177" s="16" t="s">
        <v>123</v>
      </c>
      <c r="AG1177" s="16">
        <f>AH1177-AI1177</f>
        <v>89</v>
      </c>
      <c r="AH1177" s="16">
        <v>167</v>
      </c>
      <c r="AI1177" s="16">
        <v>78</v>
      </c>
      <c r="AK1177" s="16">
        <v>25.5</v>
      </c>
      <c r="AL1177" s="16">
        <v>0</v>
      </c>
      <c r="AM1177" s="16">
        <v>0</v>
      </c>
      <c r="AN1177" s="16">
        <v>0</v>
      </c>
      <c r="AO1177" s="16">
        <v>0</v>
      </c>
      <c r="AP1177" s="16">
        <f>SUM(AL1177:AN1177)</f>
        <v>0</v>
      </c>
      <c r="AQ1177" s="16">
        <v>1.7549999999999999</v>
      </c>
      <c r="AR1177" s="16">
        <f>AP1177-1.472</f>
        <v>-1.472</v>
      </c>
      <c r="AS1177" s="16">
        <f>AQ1177-1.472</f>
        <v>0.28299999999999992</v>
      </c>
      <c r="AT1177" s="16" t="str">
        <f>VLOOKUP(E1177,[2]Current!$A$1:$W$435,7,FALSE)</f>
        <v>LV</v>
      </c>
      <c r="AU1177" s="16" t="s">
        <v>1288</v>
      </c>
      <c r="AW1177" s="128">
        <f>IF(AX1177&gt;0,1,0)</f>
        <v>1</v>
      </c>
      <c r="AX1177" s="128">
        <f>SUM(BA1177,BM1177,CU1177)</f>
        <v>72</v>
      </c>
      <c r="AY1177" s="128">
        <f>SUM(BB1177,BN1177,CV1177)</f>
        <v>1130.742049469965</v>
      </c>
      <c r="AZ1177" s="128">
        <f>IF(BA1177&gt;0,1,0)</f>
        <v>1</v>
      </c>
      <c r="BA1177" s="128">
        <f>SUM(BC1177+BF1177+BI1177)</f>
        <v>2</v>
      </c>
      <c r="BB1177" s="128">
        <f>SUM(BE1177,BH1177,BK1177)</f>
        <v>883.39222614841015</v>
      </c>
      <c r="BC1177" s="130">
        <f>IF(BD1177&gt;0,1,0)</f>
        <v>1</v>
      </c>
      <c r="BD1177" s="128">
        <f>VLOOKUP($E1177,[2]Current!$A:$AC,26,FALSE)</f>
        <v>52</v>
      </c>
      <c r="BE1177" s="128">
        <f>BD1177/$AS1177</f>
        <v>183.74558303886931</v>
      </c>
      <c r="BF1177" s="130">
        <f>IF(BG1177&gt;0,1,0)</f>
        <v>1</v>
      </c>
      <c r="BG1177" s="137">
        <f>VLOOKUP($E1177,[2]Current!$A:$AC,27,FALSE)</f>
        <v>198</v>
      </c>
      <c r="BH1177" s="128">
        <f>BG1177/$AS1177</f>
        <v>699.64664310954083</v>
      </c>
      <c r="BI1177" s="130">
        <f>IF(BJ1177&gt;0,1,0)</f>
        <v>0</v>
      </c>
      <c r="BJ1177" s="128">
        <f>VLOOKUP($E1177,[2]Current!$A:$AC,28,FALSE)</f>
        <v>0</v>
      </c>
      <c r="BK1177" s="128">
        <f>BJ1177/$AS1177</f>
        <v>0</v>
      </c>
      <c r="BL1177" s="128">
        <f>IF(BM1177&gt;0,1,0)</f>
        <v>1</v>
      </c>
      <c r="BM1177" s="128">
        <f>SUM(BR1177,BU1177,BX1177,CA1177,CD1177)</f>
        <v>1</v>
      </c>
      <c r="BN1177" s="131">
        <f>SUM(BT1177,BW1177,BZ1177,CC1177,CF1177)</f>
        <v>3.5335689045936407</v>
      </c>
      <c r="BO1177" s="128">
        <f>IF(BP1177&gt;0,1,0)</f>
        <v>1</v>
      </c>
      <c r="BP1177" s="128">
        <f>BM1177+CJ1177</f>
        <v>2</v>
      </c>
      <c r="BQ1177" s="128">
        <f>BN1177+CL1177</f>
        <v>10.600706713780923</v>
      </c>
      <c r="BR1177" s="130">
        <f>IF(BS1177&gt;0,1,0)</f>
        <v>0</v>
      </c>
      <c r="BS1177" s="128">
        <f>VLOOKUP($E1177,[2]Current!$A:$AC,12,FALSE)</f>
        <v>0</v>
      </c>
      <c r="BT1177" s="137">
        <f>BS1177/$AS1177</f>
        <v>0</v>
      </c>
      <c r="BU1177" s="130">
        <f>IF(BV1177&gt;0,1,0)</f>
        <v>0</v>
      </c>
      <c r="BV1177" s="128">
        <f>VLOOKUP($E1177,[2]Current!$A:$AC,13,FALSE)</f>
        <v>0</v>
      </c>
      <c r="BW1177" s="128">
        <f>BV1177/$AS1177</f>
        <v>0</v>
      </c>
      <c r="BX1177" s="130">
        <f>IF(BY1177&gt;0,1,0)</f>
        <v>1</v>
      </c>
      <c r="BY1177" s="128">
        <f>VLOOKUP($E1177,[2]Current!$A:$AC,14,FALSE)</f>
        <v>1</v>
      </c>
      <c r="BZ1177" s="128">
        <f>BY1177/$AS1177</f>
        <v>3.5335689045936407</v>
      </c>
      <c r="CA1177" s="130">
        <f>IF(CB1177&gt;0,1,0)</f>
        <v>0</v>
      </c>
      <c r="CB1177" s="128">
        <f>VLOOKUP($E1177,[2]Current!$A:$AC,15,FALSE)</f>
        <v>0</v>
      </c>
      <c r="CC1177" s="128">
        <f>CB1177/$AS1177</f>
        <v>0</v>
      </c>
      <c r="CD1177" s="174">
        <f>IF(CE1177&gt;0,1,0)</f>
        <v>0</v>
      </c>
      <c r="CE1177" s="128">
        <f>VLOOKUP($E1177,[2]Current!$A:$AC,16,FALSE)</f>
        <v>0</v>
      </c>
      <c r="CF1177" s="128">
        <f>CE1177/$AS1177</f>
        <v>0</v>
      </c>
      <c r="CG1177" s="18"/>
      <c r="CH1177" s="18"/>
      <c r="CI1177" s="18"/>
      <c r="CJ1177" s="130">
        <f>IF(CK1177&gt;0,1,0)</f>
        <v>1</v>
      </c>
      <c r="CK1177" s="128">
        <f>VLOOKUP($E1177,[2]Current!$A:$AC,18,FALSE)</f>
        <v>2</v>
      </c>
      <c r="CL1177" s="128">
        <f>CK1177/$AS1177</f>
        <v>7.0671378091872814</v>
      </c>
      <c r="CS1177" s="130">
        <f>IF(CU1177&gt;0,1,0)</f>
        <v>1</v>
      </c>
      <c r="CU1177" s="128">
        <f>VLOOKUP($E1177,[2]Current!$A:$AC,17,FALSE)</f>
        <v>69</v>
      </c>
      <c r="CV1177" s="128">
        <f>CU1177/$AS1177</f>
        <v>243.81625441696121</v>
      </c>
      <c r="CW1177" s="18"/>
      <c r="CX1177" s="18"/>
      <c r="CY1177" s="18"/>
      <c r="DF1177" s="16" t="e">
        <f>VLOOKUP(K1177,'[3]RNA Seq summary tables'!$V$3:$V$99,1,FALSE)</f>
        <v>#N/A</v>
      </c>
      <c r="DG1177" s="16">
        <v>1</v>
      </c>
      <c r="DH1177" s="16" t="str">
        <f>VLOOKUP(D1177,'[6]workflow 3.2018'!$A$1:$S$237,2,FALSE)</f>
        <v>2017MLBS_160</v>
      </c>
      <c r="JP1177" s="38"/>
      <c r="JQ1177" s="38"/>
    </row>
    <row r="1178" spans="1:288" ht="16" x14ac:dyDescent="0.2">
      <c r="B1178" s="16">
        <v>2017</v>
      </c>
      <c r="C1178" s="20">
        <v>42975</v>
      </c>
      <c r="D1178" s="20" t="str">
        <f>CONCATENATE(J1178,"-",C1178)</f>
        <v>1294-42975</v>
      </c>
      <c r="E1178" s="37" t="str">
        <f>CONCATENATE(T1178,"-",U1178,"-",C1178)</f>
        <v>PO1-H1-42975</v>
      </c>
      <c r="F1178" s="37" t="s">
        <v>224</v>
      </c>
      <c r="G1178" s="20" t="s">
        <v>107</v>
      </c>
      <c r="I1178" s="16">
        <v>0</v>
      </c>
      <c r="J1178" s="21">
        <v>1294</v>
      </c>
      <c r="K1178" s="21">
        <v>2278</v>
      </c>
      <c r="L1178" s="18">
        <v>0</v>
      </c>
      <c r="M1178" s="21">
        <f>VLOOKUP($K1178,'[4]blood tubes 2017'!$D$1:$L$947,8,FALSE)</f>
        <v>0</v>
      </c>
      <c r="N1178" s="15">
        <v>0</v>
      </c>
      <c r="O1178" s="15" t="s">
        <v>214</v>
      </c>
      <c r="P1178" s="16" t="s">
        <v>110</v>
      </c>
      <c r="Q1178" s="16">
        <v>1</v>
      </c>
      <c r="R1178" s="16">
        <v>11</v>
      </c>
      <c r="T1178" s="16" t="s">
        <v>112</v>
      </c>
      <c r="U1178" s="16" t="s">
        <v>191</v>
      </c>
      <c r="V1178" s="16" t="s">
        <v>114</v>
      </c>
      <c r="W1178" s="16">
        <f>AI1178/AG1178</f>
        <v>0.82795698924731187</v>
      </c>
      <c r="X1178" s="16" t="s">
        <v>121</v>
      </c>
      <c r="Y1178" s="16" t="s">
        <v>110</v>
      </c>
      <c r="Z1178" s="16">
        <v>3</v>
      </c>
      <c r="AA1178" s="16" t="s">
        <v>119</v>
      </c>
      <c r="AB1178" s="16" t="s">
        <v>240</v>
      </c>
      <c r="AC1178" s="16" t="s">
        <v>123</v>
      </c>
      <c r="AD1178" s="16" t="s">
        <v>123</v>
      </c>
      <c r="AG1178" s="16">
        <f>AH1178-AI1178</f>
        <v>93</v>
      </c>
      <c r="AH1178" s="16">
        <v>170</v>
      </c>
      <c r="AI1178" s="16">
        <v>77</v>
      </c>
      <c r="AK1178" s="16">
        <v>25</v>
      </c>
      <c r="AL1178" s="16">
        <v>0</v>
      </c>
      <c r="AM1178" s="16">
        <v>0</v>
      </c>
      <c r="AN1178" s="16">
        <v>0</v>
      </c>
      <c r="AO1178" s="16">
        <v>0</v>
      </c>
      <c r="AP1178" s="16">
        <f>SUM(AL1178:AN1178)</f>
        <v>0</v>
      </c>
      <c r="AQ1178" s="16">
        <v>1.6359999999999999</v>
      </c>
      <c r="AR1178" s="16">
        <f>AP1178-1.472</f>
        <v>-1.472</v>
      </c>
      <c r="AS1178" s="16">
        <f>AQ1178-1.472</f>
        <v>0.16399999999999992</v>
      </c>
      <c r="AT1178" s="16" t="str">
        <f>VLOOKUP(E1178,[2]Current!$A$1:$W$435,7,FALSE)</f>
        <v>LV</v>
      </c>
      <c r="AU1178" s="16" t="s">
        <v>1288</v>
      </c>
      <c r="AW1178" s="128">
        <f>IF(AX1178&gt;0,1,0)</f>
        <v>1</v>
      </c>
      <c r="AX1178" s="128">
        <f>SUM(BA1178,BM1178,CU1178)</f>
        <v>124</v>
      </c>
      <c r="AY1178" s="128">
        <f>SUM(BB1178,BN1178,CV1178)</f>
        <v>4542.6829268292704</v>
      </c>
      <c r="AZ1178" s="128">
        <f>IF(BA1178&gt;0,1,0)</f>
        <v>1</v>
      </c>
      <c r="BA1178" s="128">
        <f>SUM(BC1178+BF1178+BI1178)</f>
        <v>3</v>
      </c>
      <c r="BB1178" s="128">
        <f>SUM(BE1178,BH1178,BK1178)</f>
        <v>3804.8780487804893</v>
      </c>
      <c r="BC1178" s="130">
        <f>IF(BD1178&gt;0,1,0)</f>
        <v>1</v>
      </c>
      <c r="BD1178" s="128">
        <f>VLOOKUP($E1178,[2]Current!$A:$AC,26,FALSE)</f>
        <v>110</v>
      </c>
      <c r="BE1178" s="128">
        <f>BD1178/$AS1178</f>
        <v>670.73170731707353</v>
      </c>
      <c r="BF1178" s="130">
        <f>IF(BG1178&gt;0,1,0)</f>
        <v>1</v>
      </c>
      <c r="BG1178" s="137">
        <f>VLOOKUP($E1178,[2]Current!$A:$AC,27,FALSE)</f>
        <v>508</v>
      </c>
      <c r="BH1178" s="128">
        <f>BG1178/$AS1178</f>
        <v>3097.5609756097574</v>
      </c>
      <c r="BI1178" s="130">
        <f>IF(BJ1178&gt;0,1,0)</f>
        <v>1</v>
      </c>
      <c r="BJ1178" s="128">
        <f>VLOOKUP($E1178,[2]Current!$A:$AC,28,FALSE)</f>
        <v>6</v>
      </c>
      <c r="BK1178" s="128">
        <f>BJ1178/$AS1178</f>
        <v>36.585365853658551</v>
      </c>
      <c r="BL1178" s="128">
        <f>IF(BM1178&gt;0,1,0)</f>
        <v>0</v>
      </c>
      <c r="BM1178" s="128">
        <f>SUM(BR1178,BU1178,BX1178,CA1178,CD1178)</f>
        <v>0</v>
      </c>
      <c r="BN1178" s="131">
        <f>SUM(BT1178,BW1178,BZ1178,CC1178,CF1178)</f>
        <v>0</v>
      </c>
      <c r="BO1178" s="128">
        <f>IF(BP1178&gt;0,1,0)</f>
        <v>0</v>
      </c>
      <c r="BP1178" s="128">
        <f>BM1178+CJ1178</f>
        <v>0</v>
      </c>
      <c r="BQ1178" s="128">
        <f>BN1178+CL1178</f>
        <v>0</v>
      </c>
      <c r="BR1178" s="130">
        <f>IF(BS1178&gt;0,1,0)</f>
        <v>0</v>
      </c>
      <c r="BS1178" s="128">
        <f>VLOOKUP($E1178,[2]Current!$A:$AC,12,FALSE)</f>
        <v>0</v>
      </c>
      <c r="BT1178" s="137">
        <f>BS1178/$AS1178</f>
        <v>0</v>
      </c>
      <c r="BU1178" s="130">
        <f>IF(BV1178&gt;0,1,0)</f>
        <v>0</v>
      </c>
      <c r="BV1178" s="128">
        <f>VLOOKUP($E1178,[2]Current!$A:$AC,13,FALSE)</f>
        <v>0</v>
      </c>
      <c r="BW1178" s="128">
        <f>BV1178/$AS1178</f>
        <v>0</v>
      </c>
      <c r="BX1178" s="130">
        <f>IF(BY1178&gt;0,1,0)</f>
        <v>0</v>
      </c>
      <c r="BY1178" s="128">
        <f>VLOOKUP($E1178,[2]Current!$A:$AC,14,FALSE)</f>
        <v>0</v>
      </c>
      <c r="BZ1178" s="128">
        <f>BY1178/$AS1178</f>
        <v>0</v>
      </c>
      <c r="CA1178" s="130">
        <f>IF(CB1178&gt;0,1,0)</f>
        <v>0</v>
      </c>
      <c r="CB1178" s="128">
        <f>VLOOKUP($E1178,[2]Current!$A:$AC,15,FALSE)</f>
        <v>0</v>
      </c>
      <c r="CC1178" s="128">
        <f>CB1178/$AS1178</f>
        <v>0</v>
      </c>
      <c r="CD1178" s="174">
        <f>IF(CE1178&gt;0,1,0)</f>
        <v>0</v>
      </c>
      <c r="CE1178" s="128">
        <f>VLOOKUP($E1178,[2]Current!$A:$AC,16,FALSE)</f>
        <v>0</v>
      </c>
      <c r="CF1178" s="128">
        <f>CE1178/$AS1178</f>
        <v>0</v>
      </c>
      <c r="CG1178" s="18"/>
      <c r="CH1178" s="18"/>
      <c r="CI1178" s="18"/>
      <c r="CJ1178" s="130">
        <f>IF(CK1178&gt;0,1,0)</f>
        <v>0</v>
      </c>
      <c r="CK1178" s="128">
        <f>VLOOKUP($E1178,[2]Current!$A:$AC,18,FALSE)</f>
        <v>0</v>
      </c>
      <c r="CL1178" s="128">
        <f>CK1178/$AS1178</f>
        <v>0</v>
      </c>
      <c r="CS1178" s="130">
        <f>IF(CU1178&gt;0,1,0)</f>
        <v>1</v>
      </c>
      <c r="CU1178" s="128">
        <f>VLOOKUP($E1178,[2]Current!$A:$AC,17,FALSE)</f>
        <v>121</v>
      </c>
      <c r="CV1178" s="128">
        <f>CU1178/$AS1178</f>
        <v>737.80487804878078</v>
      </c>
      <c r="CW1178" s="18"/>
      <c r="CX1178" s="18"/>
      <c r="CY1178" s="18"/>
      <c r="DF1178" s="16" t="e">
        <f>VLOOKUP(K1178,'[3]RNA Seq summary tables'!$V$3:$V$99,1,FALSE)</f>
        <v>#N/A</v>
      </c>
      <c r="DG1178" s="16">
        <v>1</v>
      </c>
      <c r="DH1178" s="16" t="str">
        <f>VLOOKUP(D1178,'[6]workflow 3.2018'!$A$1:$S$237,2,FALSE)</f>
        <v>2017MLBS_201</v>
      </c>
    </row>
    <row r="1179" spans="1:288" x14ac:dyDescent="0.2">
      <c r="B1179" s="18">
        <v>2017</v>
      </c>
      <c r="C1179" s="65">
        <v>42948</v>
      </c>
      <c r="D1179" s="65" t="str">
        <f>CONCATENATE(J1179,"-",C1179)</f>
        <v>1296-42948</v>
      </c>
      <c r="E1179" s="142" t="str">
        <f>CONCATENATE(T1179,"-",U1179,"-",C1179)</f>
        <v>HW2-A1-42948</v>
      </c>
      <c r="F1179" s="20" t="s">
        <v>106</v>
      </c>
      <c r="G1179" s="65" t="s">
        <v>107</v>
      </c>
      <c r="H1179" s="25"/>
      <c r="J1179" s="42">
        <v>1296</v>
      </c>
      <c r="K1179" s="42">
        <v>2027</v>
      </c>
      <c r="L1179" s="18">
        <v>0</v>
      </c>
      <c r="M1179" s="21">
        <f>VLOOKUP($K1179,'[4]blood tubes 2017'!$D$1:$L$647,8,FALSE)</f>
        <v>0</v>
      </c>
      <c r="N1179" s="15">
        <v>0</v>
      </c>
      <c r="O1179" s="15" t="s">
        <v>214</v>
      </c>
      <c r="P1179" s="25" t="s">
        <v>110</v>
      </c>
      <c r="Q1179" s="16">
        <v>0</v>
      </c>
      <c r="R1179" s="25" t="s">
        <v>111</v>
      </c>
      <c r="S1179" s="25"/>
      <c r="T1179" s="25" t="s">
        <v>129</v>
      </c>
      <c r="U1179" s="25" t="s">
        <v>210</v>
      </c>
      <c r="V1179" s="25" t="s">
        <v>142</v>
      </c>
      <c r="W1179" s="16">
        <f>AI1179/AG1179</f>
        <v>1.0975609756097562</v>
      </c>
      <c r="X1179" s="25" t="s">
        <v>115</v>
      </c>
      <c r="Y1179" s="25" t="s">
        <v>110</v>
      </c>
      <c r="Z1179" s="25">
        <v>3</v>
      </c>
      <c r="AA1179" s="25"/>
      <c r="AB1179" s="25"/>
      <c r="AC1179" s="25"/>
      <c r="AD1179" s="25"/>
      <c r="AE1179" s="25" t="s">
        <v>116</v>
      </c>
      <c r="AF1179" s="25" t="s">
        <v>116</v>
      </c>
      <c r="AG1179" s="25">
        <f>AH1179-AI1179</f>
        <v>82</v>
      </c>
      <c r="AH1179" s="25">
        <v>172</v>
      </c>
      <c r="AI1179" s="25">
        <v>90</v>
      </c>
      <c r="AJ1179" s="25"/>
      <c r="AK1179" s="25">
        <v>13.5</v>
      </c>
      <c r="AL1179" s="25">
        <v>0</v>
      </c>
      <c r="AM1179" s="25">
        <v>0</v>
      </c>
      <c r="AN1179" s="25">
        <v>0</v>
      </c>
      <c r="AO1179" s="25">
        <v>0</v>
      </c>
      <c r="AP1179" s="25">
        <f>SUM(AL1179:AN1179)</f>
        <v>0</v>
      </c>
      <c r="AQ1179" s="25">
        <v>1.804</v>
      </c>
      <c r="AR1179" s="25">
        <f>AP1179-1.472</f>
        <v>-1.472</v>
      </c>
      <c r="AS1179" s="25">
        <f>AQ1179-1.472</f>
        <v>0.33200000000000007</v>
      </c>
      <c r="AT1179" s="16" t="e">
        <f>VLOOKUP(E1179,[2]Current!$A$1:$W$435,7,FALSE)</f>
        <v>#N/A</v>
      </c>
      <c r="AU1179" s="16">
        <v>0</v>
      </c>
      <c r="AV1179" s="25"/>
      <c r="AW1179" s="25"/>
      <c r="AX1179" s="25"/>
      <c r="AY1179" s="25"/>
      <c r="AZ1179" s="18"/>
      <c r="BA1179" s="25"/>
      <c r="BB1179" s="25"/>
      <c r="BC1179" s="18"/>
      <c r="BD1179" s="25"/>
      <c r="BE1179" s="25"/>
      <c r="BF1179" s="18"/>
      <c r="BG1179" s="78"/>
      <c r="BH1179" s="25"/>
      <c r="BI1179" s="18"/>
      <c r="BJ1179" s="25"/>
      <c r="BK1179" s="25"/>
      <c r="BL1179" s="18"/>
      <c r="BM1179" s="18"/>
      <c r="BN1179" s="18"/>
      <c r="BO1179" s="18"/>
      <c r="BP1179" s="18"/>
      <c r="BQ1179" s="18"/>
      <c r="BR1179" s="18"/>
      <c r="BS1179" s="25"/>
      <c r="BT1179" s="78"/>
      <c r="BU1179" s="18"/>
      <c r="BV1179" s="25"/>
      <c r="BW1179" s="18"/>
      <c r="BX1179" s="18"/>
      <c r="BY1179" s="25"/>
      <c r="BZ1179" s="18"/>
      <c r="CA1179" s="18"/>
      <c r="CB1179" s="25"/>
      <c r="CC1179" s="25"/>
      <c r="CD1179" s="78"/>
      <c r="CE1179" s="25"/>
      <c r="CF1179" s="25"/>
      <c r="CG1179" s="25"/>
      <c r="CH1179" s="25"/>
      <c r="CI1179" s="25"/>
      <c r="CJ1179" s="25"/>
      <c r="CK1179" s="25"/>
      <c r="CL1179" s="25"/>
      <c r="CM1179" s="25"/>
      <c r="CN1179" s="25"/>
      <c r="CO1179" s="25"/>
      <c r="CP1179" s="25"/>
      <c r="CQ1179" s="25"/>
      <c r="CR1179" s="25"/>
      <c r="CS1179" s="18"/>
      <c r="CT1179" s="18"/>
      <c r="CU1179" s="18"/>
      <c r="CV1179" s="25"/>
      <c r="CW1179" s="18"/>
      <c r="CX1179" s="25"/>
      <c r="CY1179" s="25"/>
      <c r="CZ1179" s="25"/>
      <c r="DA1179" s="25"/>
      <c r="DB1179" s="25"/>
      <c r="DC1179" s="25"/>
      <c r="DD1179" s="25"/>
      <c r="DE1179" s="25"/>
      <c r="DF1179" s="16" t="e">
        <f>VLOOKUP(K1179,'[3]RNA Seq summary tables'!$V$3:$V$99,1,FALSE)</f>
        <v>#N/A</v>
      </c>
      <c r="DI1179" s="25"/>
      <c r="DJ1179" s="25"/>
      <c r="DK1179" s="25"/>
      <c r="DL1179" s="25"/>
      <c r="DM1179" s="25"/>
      <c r="DN1179" s="25"/>
      <c r="DO1179" s="25"/>
      <c r="DP1179" s="25"/>
      <c r="DQ1179" s="25"/>
      <c r="DR1179" s="25"/>
      <c r="DS1179" s="25"/>
      <c r="DT1179" s="25"/>
      <c r="DU1179" s="25"/>
      <c r="DV1179" s="25"/>
      <c r="DW1179" s="25"/>
      <c r="DX1179" s="25"/>
      <c r="DY1179" s="25"/>
      <c r="DZ1179" s="25"/>
      <c r="EA1179" s="25"/>
      <c r="EB1179" s="25"/>
      <c r="EC1179" s="25"/>
      <c r="ED1179" s="25"/>
      <c r="EE1179" s="25"/>
      <c r="EF1179" s="25"/>
      <c r="EG1179" s="25"/>
      <c r="EH1179" s="25"/>
      <c r="EI1179" s="25"/>
      <c r="EJ1179" s="25"/>
      <c r="EK1179" s="25"/>
      <c r="EL1179" s="25"/>
      <c r="EM1179" s="25"/>
      <c r="EN1179" s="25"/>
      <c r="EO1179" s="25"/>
      <c r="EP1179" s="25"/>
      <c r="EQ1179" s="25"/>
      <c r="ER1179" s="25"/>
      <c r="ES1179" s="25"/>
      <c r="ET1179" s="25"/>
      <c r="EU1179" s="25"/>
      <c r="EV1179" s="25"/>
      <c r="EW1179" s="25"/>
      <c r="EX1179" s="25"/>
      <c r="EY1179" s="25"/>
      <c r="EZ1179" s="25"/>
      <c r="FA1179" s="25"/>
      <c r="FB1179" s="25"/>
      <c r="FC1179" s="25"/>
      <c r="FD1179" s="25"/>
      <c r="FE1179" s="25"/>
      <c r="FF1179" s="25"/>
      <c r="FG1179" s="25"/>
      <c r="FH1179" s="25"/>
      <c r="FI1179" s="25"/>
      <c r="FJ1179" s="25"/>
      <c r="FK1179" s="25"/>
      <c r="FL1179" s="25"/>
      <c r="FM1179" s="25"/>
      <c r="FN1179" s="25"/>
      <c r="FO1179" s="25"/>
      <c r="FP1179" s="25"/>
      <c r="FQ1179" s="25"/>
      <c r="FR1179" s="25"/>
      <c r="FS1179" s="25"/>
      <c r="FT1179" s="25"/>
      <c r="FU1179" s="25"/>
      <c r="FV1179" s="25"/>
      <c r="FW1179" s="25"/>
      <c r="FX1179" s="25"/>
      <c r="FY1179" s="25"/>
      <c r="FZ1179" s="25"/>
      <c r="GA1179" s="25"/>
      <c r="GB1179" s="25"/>
      <c r="GC1179" s="25"/>
      <c r="GD1179" s="25"/>
      <c r="GE1179" s="25"/>
      <c r="GF1179" s="25"/>
      <c r="GG1179" s="25"/>
      <c r="GH1179" s="25"/>
      <c r="GI1179" s="25"/>
      <c r="GJ1179" s="25"/>
      <c r="GK1179" s="25"/>
      <c r="GL1179" s="25"/>
      <c r="GM1179" s="25"/>
      <c r="GN1179" s="25"/>
      <c r="GO1179" s="25"/>
      <c r="GP1179" s="25"/>
      <c r="GQ1179" s="25"/>
      <c r="GR1179" s="25"/>
      <c r="GS1179" s="25"/>
      <c r="GT1179" s="25"/>
      <c r="GU1179" s="25"/>
      <c r="GV1179" s="25"/>
      <c r="GW1179" s="25"/>
      <c r="GX1179" s="25"/>
      <c r="GY1179" s="25"/>
      <c r="GZ1179" s="25"/>
      <c r="HA1179" s="25"/>
      <c r="HB1179" s="25"/>
      <c r="HC1179" s="25"/>
      <c r="HD1179" s="25"/>
      <c r="HE1179" s="25"/>
      <c r="HF1179" s="25"/>
      <c r="HG1179" s="25"/>
      <c r="HH1179" s="25"/>
      <c r="HI1179" s="25"/>
      <c r="HJ1179" s="25"/>
      <c r="HK1179" s="25"/>
      <c r="HL1179" s="25"/>
      <c r="HM1179" s="25"/>
      <c r="HN1179" s="25"/>
      <c r="HO1179" s="25"/>
      <c r="HP1179" s="25"/>
      <c r="HQ1179" s="25"/>
      <c r="HR1179" s="25"/>
      <c r="HS1179" s="25"/>
      <c r="HT1179" s="25"/>
      <c r="HU1179" s="25"/>
      <c r="HV1179" s="25"/>
      <c r="HW1179" s="25"/>
      <c r="HX1179" s="25"/>
      <c r="HY1179" s="25"/>
      <c r="HZ1179" s="25"/>
      <c r="IA1179" s="25"/>
      <c r="IB1179" s="25"/>
      <c r="IC1179" s="25"/>
      <c r="ID1179" s="25"/>
      <c r="IE1179" s="25"/>
      <c r="IF1179" s="25"/>
      <c r="IG1179" s="25"/>
      <c r="IH1179" s="25"/>
      <c r="II1179" s="25"/>
      <c r="IJ1179" s="25"/>
      <c r="IK1179" s="25"/>
      <c r="IL1179" s="25"/>
      <c r="IM1179" s="25"/>
      <c r="IN1179" s="25"/>
      <c r="IO1179" s="25"/>
      <c r="IP1179" s="25"/>
      <c r="IQ1179" s="25"/>
      <c r="IR1179" s="25"/>
      <c r="IS1179" s="25"/>
      <c r="IT1179" s="25"/>
      <c r="IU1179" s="25"/>
      <c r="IV1179" s="25"/>
      <c r="IW1179" s="25"/>
      <c r="IX1179" s="25"/>
      <c r="IY1179" s="25"/>
      <c r="IZ1179" s="25"/>
      <c r="JA1179" s="25"/>
      <c r="JB1179" s="25"/>
      <c r="JC1179" s="25"/>
      <c r="JD1179" s="25"/>
      <c r="JE1179" s="25"/>
      <c r="JF1179" s="25"/>
      <c r="JG1179" s="25"/>
      <c r="JH1179" s="25"/>
      <c r="JI1179" s="25"/>
      <c r="JJ1179" s="25"/>
      <c r="JK1179" s="25"/>
      <c r="JL1179" s="25"/>
      <c r="JM1179" s="25"/>
      <c r="JN1179" s="25"/>
      <c r="JR1179" s="18"/>
      <c r="JS1179" s="18"/>
      <c r="JT1179" s="18"/>
      <c r="JU1179" s="18"/>
      <c r="JV1179" s="18"/>
      <c r="JW1179" s="18"/>
      <c r="JX1179" s="18"/>
      <c r="JY1179" s="18"/>
      <c r="JZ1179" s="18"/>
      <c r="KA1179" s="18"/>
      <c r="KB1179" s="18"/>
    </row>
    <row r="1180" spans="1:288" x14ac:dyDescent="0.2">
      <c r="B1180" s="16">
        <v>2017</v>
      </c>
      <c r="C1180" s="43">
        <v>42948</v>
      </c>
      <c r="D1180" s="43" t="str">
        <f>CONCATENATE(J1180,"-",C1180)</f>
        <v>1298-42948</v>
      </c>
      <c r="E1180" s="142" t="str">
        <f>CONCATENATE(T1180,"-",U1180,"-",C1180)</f>
        <v>HW2-C1-42948</v>
      </c>
      <c r="F1180" s="20" t="s">
        <v>106</v>
      </c>
      <c r="G1180" s="43" t="s">
        <v>107</v>
      </c>
      <c r="H1180" s="23"/>
      <c r="J1180" s="15">
        <v>1298</v>
      </c>
      <c r="K1180" s="15">
        <v>2033</v>
      </c>
      <c r="L1180" s="18">
        <v>0</v>
      </c>
      <c r="M1180" s="21">
        <f>VLOOKUP($K1180,'[4]blood tubes 2017'!$D$1:$L$647,8,FALSE)</f>
        <v>0</v>
      </c>
      <c r="N1180" s="15">
        <v>0</v>
      </c>
      <c r="O1180" s="15" t="s">
        <v>214</v>
      </c>
      <c r="P1180" s="23" t="s">
        <v>110</v>
      </c>
      <c r="Q1180" s="16">
        <v>0</v>
      </c>
      <c r="R1180" s="23" t="s">
        <v>111</v>
      </c>
      <c r="S1180" s="23"/>
      <c r="T1180" s="23" t="s">
        <v>129</v>
      </c>
      <c r="U1180" s="23" t="s">
        <v>150</v>
      </c>
      <c r="V1180" s="23" t="s">
        <v>114</v>
      </c>
      <c r="W1180" s="16">
        <f>AI1180/AG1180</f>
        <v>0.82758620689655171</v>
      </c>
      <c r="X1180" s="23" t="s">
        <v>115</v>
      </c>
      <c r="Y1180" s="23" t="s">
        <v>110</v>
      </c>
      <c r="Z1180" s="23">
        <v>3</v>
      </c>
      <c r="AA1180" s="23"/>
      <c r="AB1180" s="23"/>
      <c r="AC1180" s="23"/>
      <c r="AD1180" s="23"/>
      <c r="AE1180" s="23" t="s">
        <v>116</v>
      </c>
      <c r="AF1180" s="23" t="s">
        <v>116</v>
      </c>
      <c r="AG1180" s="23">
        <f>AH1180-AI1180</f>
        <v>87</v>
      </c>
      <c r="AH1180" s="23">
        <v>159</v>
      </c>
      <c r="AI1180" s="23">
        <v>72</v>
      </c>
      <c r="AJ1180" s="23"/>
      <c r="AK1180" s="23">
        <v>18</v>
      </c>
      <c r="AL1180" s="23">
        <v>0</v>
      </c>
      <c r="AM1180" s="23">
        <v>0</v>
      </c>
      <c r="AN1180" s="23">
        <v>0</v>
      </c>
      <c r="AO1180" s="23">
        <v>0</v>
      </c>
      <c r="AP1180" s="23">
        <f>SUM(AL1180:AN1180)</f>
        <v>0</v>
      </c>
      <c r="AQ1180" s="23">
        <v>1.7589999999999999</v>
      </c>
      <c r="AR1180" s="23">
        <f>AP1180-1.472</f>
        <v>-1.472</v>
      </c>
      <c r="AS1180" s="23">
        <f>AQ1180-1.472</f>
        <v>0.28699999999999992</v>
      </c>
      <c r="AT1180" s="16" t="e">
        <f>VLOOKUP(E1180,[2]Current!$A$1:$W$435,7,FALSE)</f>
        <v>#N/A</v>
      </c>
      <c r="AU1180" s="16">
        <v>0</v>
      </c>
      <c r="AV1180" s="23"/>
      <c r="AW1180" s="25"/>
      <c r="AX1180" s="25"/>
      <c r="AY1180" s="25"/>
      <c r="AZ1180" s="18"/>
      <c r="BA1180" s="25"/>
      <c r="BB1180" s="25"/>
      <c r="BC1180" s="18"/>
      <c r="BD1180" s="25"/>
      <c r="BE1180" s="23"/>
      <c r="BG1180" s="77"/>
      <c r="BH1180" s="23"/>
      <c r="BJ1180" s="23"/>
      <c r="BK1180" s="23"/>
      <c r="BS1180" s="23"/>
      <c r="BT1180" s="77"/>
      <c r="BV1180" s="23"/>
      <c r="BY1180" s="23"/>
      <c r="CB1180" s="23"/>
      <c r="CC1180" s="23"/>
      <c r="CD1180" s="77"/>
      <c r="CE1180" s="23"/>
      <c r="CF1180" s="23"/>
      <c r="CG1180" s="23"/>
      <c r="CH1180" s="23"/>
      <c r="CI1180" s="23"/>
      <c r="CJ1180" s="23"/>
      <c r="CK1180" s="23"/>
      <c r="CL1180" s="23"/>
      <c r="CM1180" s="23"/>
      <c r="CN1180" s="23"/>
      <c r="CO1180" s="23"/>
      <c r="CP1180" s="23"/>
      <c r="CQ1180" s="23"/>
      <c r="CR1180" s="23"/>
      <c r="CV1180" s="23"/>
      <c r="CX1180" s="23"/>
      <c r="CY1180" s="23"/>
      <c r="CZ1180" s="23"/>
      <c r="DA1180" s="23"/>
      <c r="DB1180" s="23"/>
      <c r="DC1180" s="23"/>
      <c r="DD1180" s="23"/>
      <c r="DE1180" s="23"/>
      <c r="DF1180" s="16" t="e">
        <f>VLOOKUP(K1180,'[3]RNA Seq summary tables'!$V$3:$V$99,1,FALSE)</f>
        <v>#N/A</v>
      </c>
      <c r="DI1180" s="23"/>
      <c r="DJ1180" s="23"/>
      <c r="DK1180" s="23"/>
      <c r="DL1180" s="23"/>
      <c r="DM1180" s="23"/>
      <c r="DN1180" s="23"/>
      <c r="DO1180" s="23"/>
      <c r="DP1180" s="23"/>
      <c r="DQ1180" s="23"/>
      <c r="DR1180" s="23"/>
      <c r="DS1180" s="23"/>
    </row>
    <row r="1181" spans="1:288" x14ac:dyDescent="0.2">
      <c r="B1181" s="16">
        <v>2017</v>
      </c>
      <c r="C1181" s="20">
        <v>42966</v>
      </c>
      <c r="D1181" s="20" t="str">
        <f>CONCATENATE(J1181,"-",C1181)</f>
        <v>1298-42966</v>
      </c>
      <c r="E1181" s="142" t="str">
        <f>CONCATENATE(T1181,"-",U1181,"-",C1181)</f>
        <v>HW2-B1-42966</v>
      </c>
      <c r="F1181" s="20" t="s">
        <v>106</v>
      </c>
      <c r="G1181" s="20" t="s">
        <v>107</v>
      </c>
      <c r="J1181" s="21">
        <v>1298</v>
      </c>
      <c r="K1181" s="21">
        <v>2187</v>
      </c>
      <c r="L1181" s="18">
        <v>0</v>
      </c>
      <c r="M1181" s="21">
        <f>VLOOKUP($K1181,'[4]blood tubes 2017'!$D$1:$L$647,8,FALSE)</f>
        <v>0</v>
      </c>
      <c r="N1181" s="15">
        <v>0</v>
      </c>
      <c r="O1181" s="15" t="s">
        <v>214</v>
      </c>
      <c r="P1181" s="16" t="s">
        <v>110</v>
      </c>
      <c r="Q1181" s="16">
        <v>1</v>
      </c>
      <c r="R1181" s="16">
        <v>18</v>
      </c>
      <c r="T1181" s="16" t="s">
        <v>129</v>
      </c>
      <c r="U1181" s="16" t="s">
        <v>113</v>
      </c>
      <c r="V1181" s="16" t="s">
        <v>114</v>
      </c>
      <c r="W1181" s="16">
        <f>AI1181/AG1181</f>
        <v>0.8314606741573034</v>
      </c>
      <c r="X1181" s="16" t="s">
        <v>115</v>
      </c>
      <c r="Y1181" s="16" t="s">
        <v>110</v>
      </c>
      <c r="Z1181" s="16">
        <v>3</v>
      </c>
      <c r="AE1181" s="16" t="s">
        <v>116</v>
      </c>
      <c r="AF1181" s="16" t="s">
        <v>116</v>
      </c>
      <c r="AG1181" s="16">
        <f>AH1181-AI1181</f>
        <v>89</v>
      </c>
      <c r="AH1181" s="16">
        <v>163</v>
      </c>
      <c r="AI1181" s="16">
        <v>74</v>
      </c>
      <c r="AK1181" s="16">
        <v>20.5</v>
      </c>
      <c r="AL1181" s="16">
        <v>1</v>
      </c>
      <c r="AM1181" s="16">
        <v>0</v>
      </c>
      <c r="AN1181" s="16">
        <v>0</v>
      </c>
      <c r="AO1181" s="16">
        <v>1</v>
      </c>
      <c r="AP1181" s="16">
        <f>SUM(AL1181:AN1181)</f>
        <v>1</v>
      </c>
      <c r="AQ1181" s="16">
        <v>1.663</v>
      </c>
      <c r="AR1181" s="16">
        <f>AP1181-1.472</f>
        <v>-0.47199999999999998</v>
      </c>
      <c r="AS1181" s="16">
        <f>AQ1181-1.472</f>
        <v>0.19100000000000006</v>
      </c>
      <c r="AT1181" s="16" t="e">
        <f>VLOOKUP(E1181,[2]Current!$A$1:$W$435,7,FALSE)</f>
        <v>#N/A</v>
      </c>
      <c r="AU1181" s="16">
        <v>0</v>
      </c>
      <c r="AW1181" s="18"/>
      <c r="AX1181" s="18"/>
      <c r="AY1181" s="18"/>
      <c r="AZ1181" s="18"/>
      <c r="BA1181" s="18"/>
      <c r="BB1181" s="18"/>
      <c r="BC1181" s="18"/>
      <c r="BD1181" s="18"/>
      <c r="BG1181" s="77"/>
      <c r="BT1181" s="77"/>
      <c r="CD1181" s="77"/>
      <c r="DF1181" s="16" t="e">
        <f>VLOOKUP(K1181,'[3]RNA Seq summary tables'!$V$3:$V$99,1,FALSE)</f>
        <v>#N/A</v>
      </c>
      <c r="JR1181" s="30"/>
      <c r="JS1181" s="30"/>
      <c r="JT1181" s="30"/>
      <c r="JU1181" s="30"/>
      <c r="JV1181" s="30"/>
      <c r="JW1181" s="30"/>
      <c r="JX1181" s="30"/>
      <c r="JY1181" s="30"/>
      <c r="JZ1181" s="30"/>
      <c r="KA1181" s="30"/>
      <c r="KB1181" s="30"/>
    </row>
    <row r="1182" spans="1:288" x14ac:dyDescent="0.2">
      <c r="B1182" s="16">
        <v>2017</v>
      </c>
      <c r="C1182" s="20">
        <v>42948</v>
      </c>
      <c r="D1182" s="20" t="str">
        <f>CONCATENATE(J1182,"-",C1182)</f>
        <v>1300-42948</v>
      </c>
      <c r="E1182" s="142" t="str">
        <f>CONCATENATE(T1182,"-",U1182,"-",C1182)</f>
        <v>HW2-H3-42948</v>
      </c>
      <c r="F1182" s="20" t="s">
        <v>106</v>
      </c>
      <c r="G1182" s="20" t="s">
        <v>107</v>
      </c>
      <c r="J1182" s="21">
        <v>1300</v>
      </c>
      <c r="K1182" s="21">
        <v>2042</v>
      </c>
      <c r="L1182" s="18">
        <v>0</v>
      </c>
      <c r="M1182" s="21">
        <f>VLOOKUP($K1182,'[4]blood tubes 2017'!$D$1:$L$647,8,FALSE)</f>
        <v>0</v>
      </c>
      <c r="N1182" s="15">
        <v>0</v>
      </c>
      <c r="O1182" s="15" t="s">
        <v>214</v>
      </c>
      <c r="P1182" s="16" t="s">
        <v>110</v>
      </c>
      <c r="Q1182" s="16">
        <v>0</v>
      </c>
      <c r="R1182" s="16" t="s">
        <v>111</v>
      </c>
      <c r="T1182" s="16" t="s">
        <v>129</v>
      </c>
      <c r="U1182" s="16" t="s">
        <v>174</v>
      </c>
      <c r="V1182" s="16" t="s">
        <v>114</v>
      </c>
      <c r="W1182" s="16">
        <f>AI1182/AG1182</f>
        <v>0.84883720930232553</v>
      </c>
      <c r="X1182" s="16" t="s">
        <v>115</v>
      </c>
      <c r="Y1182" s="16" t="s">
        <v>110</v>
      </c>
      <c r="Z1182" s="16">
        <v>3</v>
      </c>
      <c r="AE1182" s="16" t="s">
        <v>123</v>
      </c>
      <c r="AF1182" s="16" t="s">
        <v>123</v>
      </c>
      <c r="AG1182" s="16">
        <f>AH1182-AI1182</f>
        <v>86</v>
      </c>
      <c r="AH1182" s="16">
        <v>159</v>
      </c>
      <c r="AI1182" s="16">
        <v>73</v>
      </c>
      <c r="AK1182" s="16">
        <v>18.5</v>
      </c>
      <c r="AL1182" s="16">
        <v>0</v>
      </c>
      <c r="AM1182" s="16">
        <v>0</v>
      </c>
      <c r="AN1182" s="16">
        <v>0</v>
      </c>
      <c r="AO1182" s="16">
        <v>0</v>
      </c>
      <c r="AP1182" s="16">
        <f>SUM(AL1182:AN1182)</f>
        <v>0</v>
      </c>
      <c r="AQ1182" s="16">
        <v>1.7569999999999999</v>
      </c>
      <c r="AR1182" s="16">
        <f>AP1182-1.472</f>
        <v>-1.472</v>
      </c>
      <c r="AS1182" s="16">
        <f>AQ1182-1.472</f>
        <v>0.28499999999999992</v>
      </c>
      <c r="AT1182" s="16" t="e">
        <f>VLOOKUP(E1182,[2]Current!$A$1:$W$435,7,FALSE)</f>
        <v>#N/A</v>
      </c>
      <c r="AU1182" s="16">
        <v>0</v>
      </c>
      <c r="AW1182" s="18"/>
      <c r="AX1182" s="18"/>
      <c r="AY1182" s="18"/>
      <c r="AZ1182" s="18"/>
      <c r="BA1182" s="18"/>
      <c r="BB1182" s="18"/>
      <c r="BC1182" s="18"/>
      <c r="BD1182" s="18"/>
      <c r="BG1182" s="77"/>
      <c r="BT1182" s="77"/>
      <c r="CD1182" s="77"/>
      <c r="DF1182" s="16" t="e">
        <f>VLOOKUP(K1182,'[3]RNA Seq summary tables'!$V$3:$V$99,1,FALSE)</f>
        <v>#N/A</v>
      </c>
      <c r="JR1182" s="18"/>
      <c r="JS1182" s="18"/>
      <c r="JT1182" s="18"/>
      <c r="JU1182" s="18"/>
      <c r="JV1182" s="18"/>
      <c r="JW1182" s="18"/>
      <c r="JX1182" s="18"/>
      <c r="JY1182" s="18"/>
      <c r="JZ1182" s="18"/>
      <c r="KA1182" s="18"/>
      <c r="KB1182" s="18"/>
    </row>
    <row r="1183" spans="1:288" x14ac:dyDescent="0.2">
      <c r="B1183" s="16">
        <v>2017</v>
      </c>
      <c r="C1183" s="20">
        <v>42966</v>
      </c>
      <c r="D1183" s="20" t="str">
        <f>CONCATENATE(J1183,"-",C1183)</f>
        <v>1300-42966</v>
      </c>
      <c r="E1183" s="142" t="str">
        <f>CONCATENATE(T1183,"-",U1183,"-",C1183)</f>
        <v>HW2-H2-42966</v>
      </c>
      <c r="F1183" s="20" t="s">
        <v>106</v>
      </c>
      <c r="G1183" s="20" t="s">
        <v>107</v>
      </c>
      <c r="J1183" s="21">
        <v>1300</v>
      </c>
      <c r="K1183" s="21">
        <v>2200</v>
      </c>
      <c r="L1183" s="18">
        <v>0</v>
      </c>
      <c r="M1183" s="21">
        <f>VLOOKUP($K1183,'[4]blood tubes 2017'!$D$1:$L$647,8,FALSE)</f>
        <v>0</v>
      </c>
      <c r="N1183" s="15">
        <v>0</v>
      </c>
      <c r="O1183" s="15" t="s">
        <v>214</v>
      </c>
      <c r="P1183" s="16" t="s">
        <v>110</v>
      </c>
      <c r="Q1183" s="16">
        <v>1</v>
      </c>
      <c r="R1183" s="16">
        <v>18</v>
      </c>
      <c r="T1183" s="16" t="s">
        <v>129</v>
      </c>
      <c r="U1183" s="16" t="s">
        <v>190</v>
      </c>
      <c r="V1183" s="16" t="s">
        <v>114</v>
      </c>
      <c r="W1183" s="16">
        <f>AI1183/AG1183</f>
        <v>0.84269662921348309</v>
      </c>
      <c r="X1183" s="16" t="s">
        <v>115</v>
      </c>
      <c r="Y1183" s="16" t="s">
        <v>110</v>
      </c>
      <c r="Z1183" s="16">
        <v>3</v>
      </c>
      <c r="AE1183" s="16" t="s">
        <v>123</v>
      </c>
      <c r="AF1183" s="16" t="s">
        <v>123</v>
      </c>
      <c r="AG1183" s="16">
        <f>AH1183-AI1183</f>
        <v>89</v>
      </c>
      <c r="AH1183" s="16">
        <v>164</v>
      </c>
      <c r="AI1183" s="16">
        <v>75</v>
      </c>
      <c r="AK1183" s="16">
        <v>19.5</v>
      </c>
      <c r="AL1183" s="16">
        <v>1</v>
      </c>
      <c r="AM1183" s="16">
        <v>0</v>
      </c>
      <c r="AN1183" s="16">
        <v>0</v>
      </c>
      <c r="AO1183" s="16">
        <v>1</v>
      </c>
      <c r="AP1183" s="16">
        <f>SUM(AL1183:AN1183)</f>
        <v>1</v>
      </c>
      <c r="AQ1183" s="16">
        <v>2.0310000000000001</v>
      </c>
      <c r="AR1183" s="16">
        <f>AP1183-1.472</f>
        <v>-0.47199999999999998</v>
      </c>
      <c r="AS1183" s="16">
        <f>AQ1183-1.472</f>
        <v>0.55900000000000016</v>
      </c>
      <c r="AT1183" s="16" t="e">
        <f>VLOOKUP(E1183,[2]Current!$A$1:$W$435,7,FALSE)</f>
        <v>#N/A</v>
      </c>
      <c r="AU1183" s="16">
        <v>0</v>
      </c>
      <c r="AW1183" s="18"/>
      <c r="AX1183" s="18"/>
      <c r="AY1183" s="18"/>
      <c r="AZ1183" s="18"/>
      <c r="BA1183" s="18"/>
      <c r="BB1183" s="18"/>
      <c r="BC1183" s="18"/>
      <c r="BD1183" s="18"/>
      <c r="BG1183" s="77"/>
      <c r="BT1183" s="77"/>
      <c r="CD1183" s="77"/>
      <c r="DF1183" s="16" t="e">
        <f>VLOOKUP(K1183,'[3]RNA Seq summary tables'!$V$3:$V$99,1,FALSE)</f>
        <v>#N/A</v>
      </c>
    </row>
    <row r="1184" spans="1:288" ht="16" x14ac:dyDescent="0.2">
      <c r="B1184" s="16">
        <v>2017</v>
      </c>
      <c r="C1184" s="43">
        <v>42948</v>
      </c>
      <c r="D1184" s="20" t="str">
        <f>CONCATENATE(J1184,"-",C1184)</f>
        <v>1302-42948</v>
      </c>
      <c r="E1184" s="37" t="str">
        <f>CONCATENATE(T1184,"-",U1184,"-",C1184)</f>
        <v>HW1-B1-42948</v>
      </c>
      <c r="F1184" s="20" t="s">
        <v>106</v>
      </c>
      <c r="G1184" s="43" t="s">
        <v>107</v>
      </c>
      <c r="H1184" s="23"/>
      <c r="I1184" s="16">
        <v>0</v>
      </c>
      <c r="J1184" s="15">
        <v>1302</v>
      </c>
      <c r="K1184" s="15">
        <v>2046</v>
      </c>
      <c r="L1184" s="18">
        <v>0</v>
      </c>
      <c r="M1184" s="21">
        <f>VLOOKUP($K1184,'[4]blood tubes 2017'!$D$1:$L$647,8,FALSE)</f>
        <v>0</v>
      </c>
      <c r="N1184" s="15">
        <v>0</v>
      </c>
      <c r="O1184" s="15" t="s">
        <v>214</v>
      </c>
      <c r="P1184" s="23" t="s">
        <v>110</v>
      </c>
      <c r="Q1184" s="16">
        <v>0</v>
      </c>
      <c r="R1184" s="23" t="s">
        <v>111</v>
      </c>
      <c r="S1184" s="23"/>
      <c r="T1184" s="23" t="s">
        <v>133</v>
      </c>
      <c r="U1184" s="23" t="s">
        <v>113</v>
      </c>
      <c r="V1184" s="23" t="s">
        <v>114</v>
      </c>
      <c r="W1184" s="16">
        <f>AI1184/AG1184</f>
        <v>0.88172043010752688</v>
      </c>
      <c r="X1184" s="23" t="s">
        <v>115</v>
      </c>
      <c r="Y1184" s="23" t="s">
        <v>110</v>
      </c>
      <c r="Z1184" s="23">
        <v>3</v>
      </c>
      <c r="AA1184" s="23"/>
      <c r="AB1184" s="23"/>
      <c r="AC1184" s="23"/>
      <c r="AD1184" s="23"/>
      <c r="AE1184" s="23" t="s">
        <v>123</v>
      </c>
      <c r="AF1184" s="23" t="s">
        <v>123</v>
      </c>
      <c r="AG1184" s="23">
        <f>AH1184-AI1184</f>
        <v>93</v>
      </c>
      <c r="AH1184" s="23">
        <v>175</v>
      </c>
      <c r="AI1184" s="23">
        <v>82</v>
      </c>
      <c r="AJ1184" s="23"/>
      <c r="AK1184" s="23">
        <v>27</v>
      </c>
      <c r="AL1184" s="23">
        <v>0</v>
      </c>
      <c r="AM1184" s="23">
        <v>0</v>
      </c>
      <c r="AN1184" s="23">
        <v>0</v>
      </c>
      <c r="AO1184" s="23">
        <v>0</v>
      </c>
      <c r="AP1184" s="23">
        <f>SUM(AL1184:AN1184)</f>
        <v>0</v>
      </c>
      <c r="AQ1184" s="23">
        <v>1.633</v>
      </c>
      <c r="AR1184" s="23">
        <f>AP1184-1.472</f>
        <v>-1.472</v>
      </c>
      <c r="AS1184" s="23">
        <f>AQ1184-1.472</f>
        <v>0.16100000000000003</v>
      </c>
      <c r="AT1184" s="23" t="str">
        <f>VLOOKUP(E1184,[2]Current!$A$1:$W$435,7,FALSE)</f>
        <v>NB</v>
      </c>
      <c r="AU1184" s="23" t="s">
        <v>1288</v>
      </c>
      <c r="AV1184" s="23"/>
      <c r="AW1184" s="175">
        <f>IF(AX1184&gt;0,1,0)</f>
        <v>1</v>
      </c>
      <c r="AX1184" s="175">
        <f>SUM(BA1184,BM1184,CU1184)</f>
        <v>2</v>
      </c>
      <c r="AY1184" s="175">
        <f>SUM(BB1184,BN1184,CV1184)</f>
        <v>4006.2111801242227</v>
      </c>
      <c r="AZ1184" s="128">
        <f>IF(BA1184&gt;0,1,0)</f>
        <v>1</v>
      </c>
      <c r="BA1184" s="175">
        <f>SUM(BC1184+BF1184+BI1184)</f>
        <v>1</v>
      </c>
      <c r="BB1184" s="175">
        <f>SUM(BE1184,BH1184,BK1184)</f>
        <v>3999.9999999999991</v>
      </c>
      <c r="BC1184" s="130">
        <f>IF(BD1184&gt;0,1,0)</f>
        <v>1</v>
      </c>
      <c r="BD1184" s="175">
        <f>VLOOKUP($E1184,[2]Current!$A:$AC,26,FALSE)</f>
        <v>644</v>
      </c>
      <c r="BE1184" s="175">
        <f>BD1184/$AS1184</f>
        <v>3999.9999999999991</v>
      </c>
      <c r="BF1184" s="130">
        <f>IF(BG1184&gt;0,1,0)</f>
        <v>0</v>
      </c>
      <c r="BG1184" s="137">
        <f>VLOOKUP($E1184,[2]Current!$A:$AC,27,FALSE)</f>
        <v>0</v>
      </c>
      <c r="BH1184" s="175">
        <f>BG1184/$AS1184</f>
        <v>0</v>
      </c>
      <c r="BI1184" s="130">
        <f>IF(BJ1184&gt;0,1,0)</f>
        <v>0</v>
      </c>
      <c r="BJ1184" s="175">
        <f>VLOOKUP($E1184,[2]Current!$A:$AC,28,FALSE)</f>
        <v>0</v>
      </c>
      <c r="BK1184" s="175">
        <f>BJ1184/$AS1184</f>
        <v>0</v>
      </c>
      <c r="BL1184" s="128">
        <f>IF(BM1184&gt;0,1,0)</f>
        <v>1</v>
      </c>
      <c r="BM1184" s="128">
        <f>SUM(BR1184,BU1184,BX1184,CA1184,CD1184)</f>
        <v>1</v>
      </c>
      <c r="BN1184" s="131">
        <f>SUM(BT1184,BW1184,BZ1184,CC1184,CF1184)</f>
        <v>6.2111801242236009</v>
      </c>
      <c r="BO1184" s="128">
        <f>IF(BP1184&gt;0,1,0)</f>
        <v>1</v>
      </c>
      <c r="BP1184" s="128">
        <f>BM1184+CJ1184</f>
        <v>1</v>
      </c>
      <c r="BQ1184" s="128">
        <f>BN1184+CL1184</f>
        <v>6.2111801242236009</v>
      </c>
      <c r="BR1184" s="130">
        <f>IF(BS1184&gt;0,1,0)</f>
        <v>0</v>
      </c>
      <c r="BS1184" s="175">
        <f>VLOOKUP($E1184,[2]Current!$A:$AC,12,FALSE)</f>
        <v>0</v>
      </c>
      <c r="BT1184" s="137">
        <f>BS1184/$AS1184</f>
        <v>0</v>
      </c>
      <c r="BU1184" s="130">
        <f>IF(BV1184&gt;0,1,0)</f>
        <v>0</v>
      </c>
      <c r="BV1184" s="175">
        <f>VLOOKUP($E1184,[2]Current!$A:$AC,13,FALSE)</f>
        <v>0</v>
      </c>
      <c r="BW1184" s="128">
        <f>BV1184/$AS1184</f>
        <v>0</v>
      </c>
      <c r="BX1184" s="130">
        <f>IF(BY1184&gt;0,1,0)</f>
        <v>0</v>
      </c>
      <c r="BY1184" s="175">
        <f>VLOOKUP($E1184,[2]Current!$A:$AC,14,FALSE)</f>
        <v>0</v>
      </c>
      <c r="BZ1184" s="128">
        <f>BY1184/$AS1184</f>
        <v>0</v>
      </c>
      <c r="CA1184" s="130">
        <f>IF(CB1184&gt;0,1,0)</f>
        <v>1</v>
      </c>
      <c r="CB1184" s="175">
        <f>VLOOKUP($E1184,[2]Current!$A:$AC,15,FALSE)</f>
        <v>1</v>
      </c>
      <c r="CC1184" s="175">
        <f>CB1184/$AS1184</f>
        <v>6.2111801242236009</v>
      </c>
      <c r="CD1184" s="174">
        <f>IF(CE1184&gt;0,1,0)</f>
        <v>0</v>
      </c>
      <c r="CE1184" s="175">
        <f>VLOOKUP($E1184,[2]Current!$A:$AC,16,FALSE)</f>
        <v>0</v>
      </c>
      <c r="CF1184" s="175">
        <f>CE1184/$AS1184</f>
        <v>0</v>
      </c>
      <c r="CG1184" s="25"/>
      <c r="CH1184" s="25"/>
      <c r="CI1184" s="25"/>
      <c r="CJ1184" s="176">
        <f>IF(CK1184&gt;0,1,0)</f>
        <v>0</v>
      </c>
      <c r="CK1184" s="175">
        <f>VLOOKUP($E1184,[2]Current!$A:$AC,18,FALSE)</f>
        <v>0</v>
      </c>
      <c r="CL1184" s="175">
        <f>CK1184/$AS1184</f>
        <v>0</v>
      </c>
      <c r="CM1184" s="23"/>
      <c r="CN1184" s="23"/>
      <c r="CO1184" s="23"/>
      <c r="CP1184" s="23"/>
      <c r="CQ1184" s="23"/>
      <c r="CR1184" s="23"/>
      <c r="CS1184" s="130">
        <f>IF(CU1184&gt;0,1,0)</f>
        <v>0</v>
      </c>
      <c r="CU1184" s="128">
        <f>VLOOKUP($E1184,[2]Current!$A:$AC,17,FALSE)</f>
        <v>0</v>
      </c>
      <c r="CV1184" s="175">
        <f>CU1184/$AS1184</f>
        <v>0</v>
      </c>
      <c r="CW1184" s="18"/>
      <c r="CX1184" s="25"/>
      <c r="CY1184" s="25"/>
      <c r="CZ1184" s="23"/>
      <c r="DA1184" s="23"/>
      <c r="DB1184" s="23"/>
      <c r="DC1184" s="23"/>
      <c r="DD1184" s="23"/>
      <c r="DE1184" s="23"/>
      <c r="DF1184" s="16" t="e">
        <f>VLOOKUP(K1184,'[3]RNA Seq summary tables'!$V$3:$V$99,1,FALSE)</f>
        <v>#N/A</v>
      </c>
      <c r="DI1184" s="23"/>
      <c r="DJ1184" s="23"/>
      <c r="DK1184" s="23"/>
      <c r="DL1184" s="23"/>
      <c r="DM1184" s="23"/>
      <c r="DN1184" s="23"/>
      <c r="DO1184" s="23"/>
      <c r="DP1184" s="23"/>
      <c r="DQ1184" s="23"/>
      <c r="DR1184" s="23"/>
      <c r="DS1184" s="23"/>
      <c r="DT1184" s="25"/>
      <c r="DU1184" s="25"/>
      <c r="DV1184" s="25"/>
      <c r="DW1184" s="25"/>
      <c r="DX1184" s="25"/>
      <c r="DY1184" s="25"/>
      <c r="DZ1184" s="25"/>
      <c r="EA1184" s="25"/>
      <c r="EB1184" s="25"/>
      <c r="EC1184" s="25"/>
      <c r="ED1184" s="25"/>
      <c r="EE1184" s="25"/>
      <c r="EF1184" s="25"/>
      <c r="EG1184" s="25"/>
      <c r="EH1184" s="25"/>
      <c r="EI1184" s="25"/>
      <c r="EJ1184" s="25"/>
      <c r="EK1184" s="25"/>
      <c r="EL1184" s="25"/>
      <c r="EM1184" s="25"/>
      <c r="EN1184" s="25"/>
      <c r="EO1184" s="25"/>
      <c r="EP1184" s="25"/>
      <c r="EQ1184" s="25"/>
      <c r="ER1184" s="25"/>
      <c r="ES1184" s="25"/>
      <c r="ET1184" s="25"/>
      <c r="EU1184" s="25"/>
      <c r="EV1184" s="25"/>
      <c r="EW1184" s="25"/>
      <c r="EX1184" s="25"/>
      <c r="EY1184" s="25"/>
      <c r="EZ1184" s="25"/>
      <c r="FA1184" s="25"/>
      <c r="FB1184" s="25"/>
      <c r="FC1184" s="25"/>
      <c r="FD1184" s="25"/>
      <c r="FE1184" s="25"/>
      <c r="FF1184" s="25"/>
      <c r="FG1184" s="25"/>
      <c r="FH1184" s="25"/>
      <c r="FI1184" s="25"/>
      <c r="FJ1184" s="25"/>
      <c r="FK1184" s="25"/>
      <c r="FL1184" s="25"/>
      <c r="FM1184" s="25"/>
      <c r="FN1184" s="25"/>
      <c r="FO1184" s="25"/>
      <c r="FP1184" s="25"/>
      <c r="FQ1184" s="25"/>
      <c r="FR1184" s="25"/>
      <c r="FS1184" s="25"/>
      <c r="FT1184" s="25"/>
      <c r="FU1184" s="25"/>
      <c r="FV1184" s="25"/>
      <c r="FW1184" s="25"/>
      <c r="FX1184" s="25"/>
      <c r="FY1184" s="25"/>
      <c r="FZ1184" s="25"/>
      <c r="GA1184" s="25"/>
      <c r="GB1184" s="25"/>
      <c r="GC1184" s="25"/>
      <c r="GD1184" s="25"/>
      <c r="GE1184" s="25"/>
      <c r="GF1184" s="25"/>
      <c r="GG1184" s="25"/>
      <c r="GH1184" s="25"/>
      <c r="GI1184" s="25"/>
      <c r="GJ1184" s="25"/>
      <c r="GK1184" s="25"/>
      <c r="GL1184" s="25"/>
      <c r="GM1184" s="25"/>
      <c r="GN1184" s="25"/>
      <c r="GO1184" s="25"/>
      <c r="GP1184" s="25"/>
      <c r="GQ1184" s="25"/>
      <c r="GR1184" s="25"/>
      <c r="GS1184" s="25"/>
      <c r="GT1184" s="25"/>
      <c r="GU1184" s="25"/>
      <c r="GV1184" s="25"/>
      <c r="GW1184" s="25"/>
      <c r="GX1184" s="25"/>
      <c r="GY1184" s="25"/>
      <c r="GZ1184" s="25"/>
      <c r="HA1184" s="25"/>
      <c r="HB1184" s="25"/>
      <c r="HC1184" s="25"/>
      <c r="HD1184" s="25"/>
      <c r="HE1184" s="25"/>
      <c r="HF1184" s="25"/>
      <c r="HG1184" s="25"/>
      <c r="HH1184" s="25"/>
      <c r="HI1184" s="25"/>
      <c r="HJ1184" s="25"/>
      <c r="HK1184" s="25"/>
      <c r="HL1184" s="25"/>
      <c r="HM1184" s="25"/>
      <c r="HN1184" s="25"/>
      <c r="HO1184" s="25"/>
      <c r="HP1184" s="25"/>
      <c r="HQ1184" s="25"/>
      <c r="HR1184" s="25"/>
      <c r="HS1184" s="25"/>
      <c r="HT1184" s="25"/>
      <c r="HU1184" s="25"/>
      <c r="HV1184" s="25"/>
      <c r="HW1184" s="25"/>
      <c r="HX1184" s="25"/>
      <c r="HY1184" s="25"/>
      <c r="HZ1184" s="25"/>
      <c r="IA1184" s="25"/>
      <c r="IB1184" s="25"/>
      <c r="IC1184" s="25"/>
      <c r="ID1184" s="25"/>
      <c r="IE1184" s="25"/>
      <c r="IF1184" s="25"/>
      <c r="IG1184" s="25"/>
      <c r="IH1184" s="25"/>
      <c r="II1184" s="25"/>
      <c r="IJ1184" s="25"/>
      <c r="IK1184" s="25"/>
      <c r="IL1184" s="25"/>
      <c r="IM1184" s="25"/>
      <c r="IN1184" s="25"/>
      <c r="IO1184" s="25"/>
      <c r="IP1184" s="25"/>
      <c r="IQ1184" s="25"/>
      <c r="IR1184" s="25"/>
      <c r="IS1184" s="25"/>
      <c r="IT1184" s="25"/>
      <c r="IU1184" s="25"/>
      <c r="IV1184" s="25"/>
      <c r="IW1184" s="25"/>
      <c r="IX1184" s="25"/>
      <c r="IY1184" s="25"/>
      <c r="IZ1184" s="25"/>
      <c r="JA1184" s="25"/>
      <c r="JB1184" s="25"/>
      <c r="JC1184" s="25"/>
      <c r="JD1184" s="25"/>
      <c r="JE1184" s="25"/>
      <c r="JF1184" s="25"/>
      <c r="JG1184" s="25"/>
      <c r="JH1184" s="25"/>
      <c r="JI1184" s="25"/>
      <c r="JJ1184" s="25"/>
      <c r="JK1184" s="25"/>
      <c r="JL1184" s="25"/>
      <c r="JM1184" s="25"/>
      <c r="JN1184" s="25"/>
      <c r="JO1184" s="23"/>
      <c r="JP1184" s="23"/>
      <c r="JQ1184" s="23"/>
      <c r="JR1184" s="23"/>
      <c r="JS1184" s="23"/>
      <c r="JT1184" s="23"/>
      <c r="JU1184" s="23"/>
      <c r="JV1184" s="23"/>
      <c r="JW1184" s="23"/>
      <c r="JX1184" s="23"/>
      <c r="JY1184" s="23"/>
      <c r="JZ1184" s="23"/>
      <c r="KA1184" s="23"/>
      <c r="KB1184" s="23"/>
    </row>
    <row r="1185" spans="2:288" x14ac:dyDescent="0.2">
      <c r="B1185" s="16">
        <v>2017</v>
      </c>
      <c r="C1185" s="20">
        <v>42967</v>
      </c>
      <c r="D1185" s="20" t="str">
        <f>CONCATENATE(J1185,"-",C1185)</f>
        <v>1302-42967</v>
      </c>
      <c r="E1185" s="142" t="str">
        <f>CONCATENATE(T1185,"-",U1185,"-",C1185)</f>
        <v>HW1-A1-42967</v>
      </c>
      <c r="F1185" s="20" t="s">
        <v>106</v>
      </c>
      <c r="G1185" s="20" t="s">
        <v>107</v>
      </c>
      <c r="J1185" s="21">
        <v>1302</v>
      </c>
      <c r="K1185" s="21">
        <v>2219</v>
      </c>
      <c r="L1185" s="18">
        <v>0</v>
      </c>
      <c r="M1185" s="21">
        <f>VLOOKUP($K1185,'[4]blood tubes 2017'!$D$1:$L$647,8,FALSE)</f>
        <v>0</v>
      </c>
      <c r="N1185" s="15">
        <v>0</v>
      </c>
      <c r="O1185" s="15" t="s">
        <v>214</v>
      </c>
      <c r="P1185" s="16" t="s">
        <v>110</v>
      </c>
      <c r="Q1185" s="16">
        <v>1</v>
      </c>
      <c r="R1185" s="16">
        <v>19</v>
      </c>
      <c r="S1185" s="16">
        <v>1</v>
      </c>
      <c r="T1185" s="16" t="s">
        <v>133</v>
      </c>
      <c r="U1185" s="16" t="s">
        <v>210</v>
      </c>
      <c r="V1185" s="16" t="s">
        <v>114</v>
      </c>
      <c r="W1185" s="16">
        <f>AI1185/AG1185</f>
        <v>0.87368421052631584</v>
      </c>
      <c r="X1185" s="16" t="s">
        <v>115</v>
      </c>
      <c r="Y1185" s="16" t="s">
        <v>110</v>
      </c>
      <c r="Z1185" s="16">
        <v>3</v>
      </c>
      <c r="AE1185" s="16" t="s">
        <v>116</v>
      </c>
      <c r="AF1185" s="16" t="s">
        <v>116</v>
      </c>
      <c r="AG1185" s="16">
        <f>AH1185-AI1185</f>
        <v>95</v>
      </c>
      <c r="AH1185" s="16">
        <v>178</v>
      </c>
      <c r="AI1185" s="16">
        <v>83</v>
      </c>
      <c r="AK1185" s="16">
        <v>24.5</v>
      </c>
      <c r="AL1185" s="16">
        <v>1</v>
      </c>
      <c r="AM1185" s="16">
        <v>0</v>
      </c>
      <c r="AN1185" s="16">
        <v>0</v>
      </c>
      <c r="AO1185" s="16">
        <v>1</v>
      </c>
      <c r="AP1185" s="16">
        <f>SUM(AL1185:AN1185)</f>
        <v>1</v>
      </c>
      <c r="AQ1185" s="16">
        <v>1.6930000000000001</v>
      </c>
      <c r="AR1185" s="16">
        <f>AP1185-1.472</f>
        <v>-0.47199999999999998</v>
      </c>
      <c r="AS1185" s="16">
        <f>AQ1185-1.472</f>
        <v>0.22100000000000009</v>
      </c>
      <c r="AT1185" s="16" t="e">
        <f>VLOOKUP(E1185,[2]Current!$A$1:$W$435,7,FALSE)</f>
        <v>#N/A</v>
      </c>
      <c r="AU1185" s="16">
        <v>0</v>
      </c>
      <c r="AW1185" s="18"/>
      <c r="AX1185" s="18"/>
      <c r="AY1185" s="18"/>
      <c r="AZ1185" s="18"/>
      <c r="BA1185" s="18"/>
      <c r="BB1185" s="18"/>
      <c r="BC1185" s="18"/>
      <c r="BD1185" s="18"/>
      <c r="BG1185" s="77"/>
      <c r="BT1185" s="77"/>
      <c r="CD1185" s="77"/>
      <c r="DF1185" s="16" t="e">
        <f>VLOOKUP(K1185,'[3]RNA Seq summary tables'!$V$3:$V$99,1,FALSE)</f>
        <v>#N/A</v>
      </c>
      <c r="JO1185" s="18"/>
    </row>
    <row r="1186" spans="2:288" ht="16" x14ac:dyDescent="0.2">
      <c r="B1186" s="16">
        <v>2018</v>
      </c>
      <c r="C1186" s="124">
        <v>43229</v>
      </c>
      <c r="D1186" t="s">
        <v>683</v>
      </c>
      <c r="E1186" s="37" t="str">
        <f>CONCATENATE(T1186,"-",U1186,"-",C1186)</f>
        <v>PO2-H7-43229</v>
      </c>
      <c r="F1186" s="16" t="s">
        <v>227</v>
      </c>
      <c r="G1186" s="126" t="s">
        <v>107</v>
      </c>
      <c r="H1186" s="126"/>
      <c r="J1186" s="126">
        <v>1302</v>
      </c>
      <c r="K1186" s="126">
        <v>2321</v>
      </c>
      <c r="O1186" s="15" t="s">
        <v>214</v>
      </c>
      <c r="Q1186" s="41"/>
      <c r="R1186" s="16">
        <f>IF(J1186=J1185,C1186-C1185,"")</f>
        <v>262</v>
      </c>
      <c r="S1186" s="16">
        <v>1</v>
      </c>
      <c r="T1186" s="126" t="s">
        <v>127</v>
      </c>
      <c r="U1186" s="126" t="s">
        <v>202</v>
      </c>
      <c r="V1186" s="126" t="s">
        <v>114</v>
      </c>
      <c r="X1186" s="126" t="s">
        <v>115</v>
      </c>
      <c r="Y1186" s="126" t="s">
        <v>110</v>
      </c>
      <c r="Z1186" s="126">
        <v>3</v>
      </c>
      <c r="AA1186" s="126"/>
      <c r="AB1186" s="126"/>
      <c r="AC1186" s="126"/>
      <c r="AD1186" s="126"/>
      <c r="AE1186" s="126" t="s">
        <v>116</v>
      </c>
      <c r="AG1186" s="16">
        <f>AH1186-AI1186</f>
        <v>94</v>
      </c>
      <c r="AH1186" s="126">
        <v>174</v>
      </c>
      <c r="AI1186" s="126">
        <v>80</v>
      </c>
      <c r="AK1186" s="126">
        <v>25</v>
      </c>
      <c r="AL1186" s="126">
        <v>1</v>
      </c>
      <c r="AM1186" s="126">
        <v>0</v>
      </c>
      <c r="AN1186" s="126">
        <v>0</v>
      </c>
      <c r="AO1186" s="16">
        <f>IF(SUM(AL1186:AN1186)&gt;0,1,0)</f>
        <v>1</v>
      </c>
      <c r="AP1186" s="18">
        <f>SUM(AL1186:AN1186)</f>
        <v>1</v>
      </c>
      <c r="AR1186" s="16">
        <v>0.14700000000000002</v>
      </c>
      <c r="AS1186" s="16">
        <f>VLOOKUP(E1186,'[1]Feces weights'!$D$1:$H$459,5,FALSE)</f>
        <v>0.14700000000000002</v>
      </c>
      <c r="AT1186" s="16" t="str">
        <f>VLOOKUP(E1186,[9]Current!$A:$T,7,FALSE)</f>
        <v>DP</v>
      </c>
      <c r="AU1186" s="18" t="s">
        <v>1290</v>
      </c>
      <c r="AW1186" s="177">
        <f>IF(AY1186&gt;0,1,0)</f>
        <v>1</v>
      </c>
      <c r="AX1186" s="177">
        <f>SUM(BA1186,BM1186,CU1186)</f>
        <v>1</v>
      </c>
      <c r="AY1186" s="177">
        <f>SUM(BB1186,BN1186,CV1186)</f>
        <v>6.8027210884353728</v>
      </c>
      <c r="AZ1186" s="177">
        <f>IF(BB1186&gt;0,1,0)</f>
        <v>0</v>
      </c>
      <c r="BA1186" s="177">
        <f>SUM(BC1186+BF1186+BI1186)</f>
        <v>0</v>
      </c>
      <c r="BB1186" s="177">
        <f>SUM(BE1186,BH1186,BK1186)</f>
        <v>0</v>
      </c>
      <c r="BC1186" s="178">
        <f>IF(BD1186&gt;0,1,0)</f>
        <v>0</v>
      </c>
      <c r="BD1186" s="177">
        <f>VLOOKUP($E1186,[9]Current!$1:$1048576,8,FALSE)</f>
        <v>0</v>
      </c>
      <c r="BE1186" s="177">
        <f>BD1186/$AS1186</f>
        <v>0</v>
      </c>
      <c r="BF1186" s="178">
        <f>IF(BG1186&gt;0,1,0)</f>
        <v>0</v>
      </c>
      <c r="BG1186" s="179">
        <f>VLOOKUP($E1186,[9]Current!$1:$1048576,9,FALSE)</f>
        <v>0</v>
      </c>
      <c r="BH1186" s="177">
        <f>BG1186/$AS1186</f>
        <v>0</v>
      </c>
      <c r="BI1186" s="178">
        <f>IF(BJ1186&gt;0,1,0)</f>
        <v>0</v>
      </c>
      <c r="BJ1186" s="177">
        <f>VLOOKUP($E1186,[9]Current!$1:$1048576,10,FALSE)</f>
        <v>0</v>
      </c>
      <c r="BK1186" s="177">
        <f>BJ1186/$AS1186</f>
        <v>0</v>
      </c>
      <c r="BL1186" s="177">
        <f>IF(BM1186&gt;0,1,0)</f>
        <v>1</v>
      </c>
      <c r="BM1186" s="177">
        <f>SUM(BR1186,BU1186,BX1186,CA1186,CD1186)</f>
        <v>1</v>
      </c>
      <c r="BN1186" s="181">
        <f>SUM(BT1186,BW1186,BZ1186,CC1186,CF1186)</f>
        <v>6.8027210884353728</v>
      </c>
      <c r="BO1186" s="177">
        <f>IF(BP1186&gt;0,1,0)</f>
        <v>1</v>
      </c>
      <c r="BP1186" s="177">
        <f>BM1186+CJ1186</f>
        <v>1</v>
      </c>
      <c r="BQ1186" s="177">
        <f>BN1186+CL1186</f>
        <v>6.8027210884353728</v>
      </c>
      <c r="BR1186" s="178">
        <f>IF(BS1186&gt;0,1,0)</f>
        <v>0</v>
      </c>
      <c r="BS1186" s="177">
        <f>VLOOKUP($E1186,[9]Current!$1:$1048576,12,FALSE)</f>
        <v>0</v>
      </c>
      <c r="BT1186" s="179">
        <f>BS1186/$AS1186</f>
        <v>0</v>
      </c>
      <c r="BU1186" s="178">
        <f>IF(BV1186&gt;0,1,0)</f>
        <v>0</v>
      </c>
      <c r="BV1186" s="177">
        <f>VLOOKUP($E1186,[9]Current!$1:$1048576,13,FALSE)</f>
        <v>0</v>
      </c>
      <c r="BW1186" s="177">
        <f>BV1186/$AS1186</f>
        <v>0</v>
      </c>
      <c r="BX1186" s="178">
        <f>IF(BY1186&gt;0,1,0)</f>
        <v>1</v>
      </c>
      <c r="BY1186" s="177">
        <f>VLOOKUP($E1186,[9]Current!$1:$1048576,14,FALSE)</f>
        <v>1</v>
      </c>
      <c r="BZ1186" s="177">
        <f>BY1186/$AS1186</f>
        <v>6.8027210884353728</v>
      </c>
      <c r="CA1186" s="178">
        <f>IF(CB1186&gt;0,1,0)</f>
        <v>0</v>
      </c>
      <c r="CB1186" s="177">
        <f>VLOOKUP($E1186,[9]Current!$1:$1048576,15,FALSE)</f>
        <v>0</v>
      </c>
      <c r="CC1186" s="177">
        <f>CB1186/$AS1186</f>
        <v>0</v>
      </c>
      <c r="CD1186" s="180">
        <f>IF(CE1186&gt;0,1,0)</f>
        <v>0</v>
      </c>
      <c r="CE1186" s="177">
        <f>VLOOKUP($E1186,[9]Current!$1:$1048576,16,FALSE)</f>
        <v>0</v>
      </c>
      <c r="CF1186" s="177">
        <f>CE1186/$AS1186</f>
        <v>0</v>
      </c>
      <c r="CG1186" s="18"/>
      <c r="CH1186" s="18"/>
      <c r="CI1186" s="18"/>
      <c r="CJ1186" s="178">
        <f>IF(CK1186&gt;0,1,0)</f>
        <v>0</v>
      </c>
      <c r="CK1186" s="177">
        <f>VLOOKUP($E1186,[9]Current!$1:$1048576,18,FALSE)</f>
        <v>0</v>
      </c>
      <c r="CL1186" s="177">
        <f>CK1186/$AS1186</f>
        <v>0</v>
      </c>
      <c r="CS1186" s="178">
        <f>IF(CU1186&gt;0,1,0)</f>
        <v>0</v>
      </c>
      <c r="CT1186" s="177"/>
      <c r="CU1186" s="177">
        <f>VLOOKUP($E1186,[9]Current!$1:$1048576,17,FALSE)</f>
        <v>0</v>
      </c>
      <c r="CV1186" s="177">
        <f>CU1186/$AS1186</f>
        <v>0</v>
      </c>
      <c r="DF1186" s="16" t="e">
        <f>VLOOKUP(K1186,'[3]RNA Seq summary tables'!$V$3:$V$99,1,FALSE)</f>
        <v>#N/A</v>
      </c>
      <c r="DG1186" s="126" t="s">
        <v>116</v>
      </c>
    </row>
    <row r="1187" spans="2:288" ht="16" x14ac:dyDescent="0.2">
      <c r="B1187" s="16">
        <v>2018</v>
      </c>
      <c r="C1187" s="124">
        <v>43248</v>
      </c>
      <c r="D1187" t="s">
        <v>746</v>
      </c>
      <c r="E1187" s="37" t="str">
        <f>CONCATENATE(T1187,"-",U1187,"-",C1187)</f>
        <v>PO2-H5-43248</v>
      </c>
      <c r="F1187" s="16" t="s">
        <v>227</v>
      </c>
      <c r="G1187" s="126" t="s">
        <v>107</v>
      </c>
      <c r="H1187" s="126"/>
      <c r="J1187" s="126">
        <v>1302</v>
      </c>
      <c r="K1187" s="126">
        <v>2383</v>
      </c>
      <c r="O1187" s="15" t="s">
        <v>214</v>
      </c>
      <c r="Q1187" s="16">
        <f t="shared" ref="Q1187:Q1250" si="0">IF(R1187="",0,1)</f>
        <v>1</v>
      </c>
      <c r="R1187" s="16">
        <f t="shared" ref="R1187:R1198" si="1">IF(J1187=J1186,C1187-C1186,"")</f>
        <v>19</v>
      </c>
      <c r="S1187" s="16">
        <v>1</v>
      </c>
      <c r="T1187" s="126" t="s">
        <v>127</v>
      </c>
      <c r="U1187" s="126" t="s">
        <v>180</v>
      </c>
      <c r="V1187" s="126" t="s">
        <v>114</v>
      </c>
      <c r="X1187" s="126" t="s">
        <v>115</v>
      </c>
      <c r="Y1187" s="126" t="s">
        <v>110</v>
      </c>
      <c r="Z1187" s="126">
        <v>3</v>
      </c>
      <c r="AA1187" s="126"/>
      <c r="AB1187" s="126"/>
      <c r="AC1187" s="126"/>
      <c r="AD1187" s="126"/>
      <c r="AE1187" s="126" t="s">
        <v>116</v>
      </c>
      <c r="AG1187" s="16">
        <f>AH1187-AI1187</f>
        <v>93</v>
      </c>
      <c r="AH1187" s="126">
        <v>179</v>
      </c>
      <c r="AI1187" s="126">
        <v>86</v>
      </c>
      <c r="AK1187" s="126">
        <v>25.5</v>
      </c>
      <c r="AL1187" s="126">
        <v>1</v>
      </c>
      <c r="AM1187" s="126">
        <v>0</v>
      </c>
      <c r="AN1187" s="126">
        <v>0</v>
      </c>
      <c r="AO1187" s="16">
        <f>IF(SUM(AL1187:AN1187)&gt;0,1,0)</f>
        <v>1</v>
      </c>
      <c r="AP1187" s="18">
        <f>SUM(AL1187:AN1187)</f>
        <v>1</v>
      </c>
      <c r="AR1187" s="16">
        <v>0.47100000000000009</v>
      </c>
      <c r="AS1187" s="16">
        <f>VLOOKUP(E1187,'[1]Feces weights'!$D$1:$H$459,5,FALSE)</f>
        <v>0.47100000000000009</v>
      </c>
      <c r="AT1187" s="16" t="str">
        <f>VLOOKUP(E1187,[2]Current!$A$1:$W$435,7,FALSE)</f>
        <v>DP</v>
      </c>
      <c r="AU1187" s="16" t="s">
        <v>1288</v>
      </c>
      <c r="AW1187" s="128">
        <f>IF(AX1187&gt;0,1,0)</f>
        <v>1</v>
      </c>
      <c r="AX1187" s="128">
        <f>SUM(BA1187,BM1187,CU1187)</f>
        <v>3</v>
      </c>
      <c r="AY1187" s="128">
        <f>SUM(BB1187,BN1187,CV1187)</f>
        <v>280.25477707006365</v>
      </c>
      <c r="AZ1187" s="128">
        <f>IF(BA1187&gt;0,1,0)</f>
        <v>1</v>
      </c>
      <c r="BA1187" s="128">
        <f>SUM(BC1187+BF1187+BI1187)</f>
        <v>3</v>
      </c>
      <c r="BB1187" s="128">
        <f>SUM(BE1187,BH1187,BK1187)</f>
        <v>280.25477707006365</v>
      </c>
      <c r="BC1187" s="130">
        <f>IF(BD1187&gt;0,1,0)</f>
        <v>1</v>
      </c>
      <c r="BD1187" s="128">
        <f>VLOOKUP($E1187,[2]Current!$A:$AC,26,FALSE)</f>
        <v>12</v>
      </c>
      <c r="BE1187" s="128">
        <f>BD1187/$AS1187</f>
        <v>25.477707006369421</v>
      </c>
      <c r="BF1187" s="130">
        <f>IF(BG1187&gt;0,1,0)</f>
        <v>1</v>
      </c>
      <c r="BG1187" s="137">
        <f>VLOOKUP($E1187,[2]Current!$A:$AC,27,FALSE)</f>
        <v>92</v>
      </c>
      <c r="BH1187" s="128">
        <f>BG1187/$AS1187</f>
        <v>195.32908704883224</v>
      </c>
      <c r="BI1187" s="130">
        <f>IF(BJ1187&gt;0,1,0)</f>
        <v>1</v>
      </c>
      <c r="BJ1187" s="128">
        <f>VLOOKUP($E1187,[2]Current!$A:$AC,28,FALSE)</f>
        <v>28</v>
      </c>
      <c r="BK1187" s="128">
        <f>BJ1187/$AS1187</f>
        <v>59.447983014861983</v>
      </c>
      <c r="BL1187" s="128">
        <f>IF(BM1187&gt;0,1,0)</f>
        <v>0</v>
      </c>
      <c r="BM1187" s="128">
        <f>SUM(BR1187,BU1187,BX1187,CA1187,CD1187)</f>
        <v>0</v>
      </c>
      <c r="BN1187" s="131">
        <f>SUM(BT1187,BW1187,BZ1187,CC1187,CF1187)</f>
        <v>0</v>
      </c>
      <c r="BO1187" s="128">
        <f>IF(BP1187&gt;0,1,0)</f>
        <v>0</v>
      </c>
      <c r="BP1187" s="128">
        <f>BM1187+CJ1187</f>
        <v>0</v>
      </c>
      <c r="BQ1187" s="128">
        <f>BN1187+CL1187</f>
        <v>0</v>
      </c>
      <c r="BR1187" s="130">
        <f>IF(BS1187&gt;0,1,0)</f>
        <v>0</v>
      </c>
      <c r="BS1187" s="128">
        <f>VLOOKUP($E1187,[2]Current!$A:$AC,12,FALSE)</f>
        <v>0</v>
      </c>
      <c r="BT1187" s="137">
        <f>BS1187/$AS1187</f>
        <v>0</v>
      </c>
      <c r="BU1187" s="130">
        <f>IF(BV1187&gt;0,1,0)</f>
        <v>0</v>
      </c>
      <c r="BV1187" s="128">
        <f>VLOOKUP($E1187,[2]Current!$A:$AC,13,FALSE)</f>
        <v>0</v>
      </c>
      <c r="BW1187" s="128">
        <f>BV1187/$AS1187</f>
        <v>0</v>
      </c>
      <c r="BX1187" s="130">
        <f>IF(BY1187&gt;0,1,0)</f>
        <v>0</v>
      </c>
      <c r="BY1187" s="128">
        <f>VLOOKUP($E1187,[2]Current!$A:$AC,14,FALSE)</f>
        <v>0</v>
      </c>
      <c r="BZ1187" s="128">
        <f>BY1187/$AS1187</f>
        <v>0</v>
      </c>
      <c r="CA1187" s="130">
        <f>IF(CB1187&gt;0,1,0)</f>
        <v>0</v>
      </c>
      <c r="CB1187" s="128">
        <f>VLOOKUP($E1187,[2]Current!$A:$AC,15,FALSE)</f>
        <v>0</v>
      </c>
      <c r="CC1187" s="128">
        <f>CB1187/$AS1187</f>
        <v>0</v>
      </c>
      <c r="CD1187" s="174">
        <f>IF(CE1187&gt;0,1,0)</f>
        <v>0</v>
      </c>
      <c r="CE1187" s="128">
        <f>VLOOKUP($E1187,[2]Current!$A:$AC,16,FALSE)</f>
        <v>0</v>
      </c>
      <c r="CF1187" s="128">
        <f>CE1187/$AS1187</f>
        <v>0</v>
      </c>
      <c r="CG1187" s="18"/>
      <c r="CH1187" s="18"/>
      <c r="CI1187" s="18"/>
      <c r="CJ1187" s="130">
        <f>IF(CK1187&gt;0,1,0)</f>
        <v>0</v>
      </c>
      <c r="CK1187" s="128">
        <f>VLOOKUP($E1187,[2]Current!$A:$AC,18,FALSE)</f>
        <v>0</v>
      </c>
      <c r="CL1187" s="128">
        <f>CK1187/$AS1187</f>
        <v>0</v>
      </c>
      <c r="CS1187" s="130">
        <f>IF(CU1187&gt;0,1,0)</f>
        <v>0</v>
      </c>
      <c r="CU1187" s="128">
        <f>VLOOKUP($E1187,[2]Current!$A:$AC,17,FALSE)</f>
        <v>0</v>
      </c>
      <c r="CV1187" s="128">
        <f>CU1187/$AS1187</f>
        <v>0</v>
      </c>
      <c r="CW1187" s="18"/>
      <c r="CX1187" s="18"/>
      <c r="CY1187" s="18"/>
      <c r="DF1187" s="16" t="e">
        <f>VLOOKUP(K1187,'[3]RNA Seq summary tables'!$V$3:$V$99,1,FALSE)</f>
        <v>#N/A</v>
      </c>
      <c r="DG1187" s="126" t="s">
        <v>123</v>
      </c>
    </row>
    <row r="1188" spans="2:288" ht="16" x14ac:dyDescent="0.2">
      <c r="B1188" s="16">
        <v>2018</v>
      </c>
      <c r="C1188" s="124">
        <v>43266</v>
      </c>
      <c r="D1188" t="s">
        <v>798</v>
      </c>
      <c r="E1188" s="37" t="str">
        <f>CONCATENATE(T1188,"-",U1188,"-",C1188)</f>
        <v>PO2-G7-43266</v>
      </c>
      <c r="F1188" s="16" t="s">
        <v>227</v>
      </c>
      <c r="G1188" s="126" t="s">
        <v>107</v>
      </c>
      <c r="H1188" s="126"/>
      <c r="J1188" s="126">
        <v>1302</v>
      </c>
      <c r="K1188" s="126">
        <v>2440</v>
      </c>
      <c r="O1188" s="15" t="s">
        <v>214</v>
      </c>
      <c r="Q1188" s="16">
        <f t="shared" si="0"/>
        <v>1</v>
      </c>
      <c r="R1188" s="16">
        <f t="shared" si="1"/>
        <v>18</v>
      </c>
      <c r="S1188" s="16">
        <v>1</v>
      </c>
      <c r="T1188" s="126" t="s">
        <v>127</v>
      </c>
      <c r="U1188" s="126" t="s">
        <v>156</v>
      </c>
      <c r="V1188" s="126" t="s">
        <v>114</v>
      </c>
      <c r="X1188" s="126" t="s">
        <v>115</v>
      </c>
      <c r="Y1188" s="126" t="s">
        <v>110</v>
      </c>
      <c r="Z1188" s="126">
        <v>3</v>
      </c>
      <c r="AA1188" s="126"/>
      <c r="AB1188" s="126"/>
      <c r="AC1188" s="126"/>
      <c r="AD1188" s="126"/>
      <c r="AE1188" s="126" t="s">
        <v>116</v>
      </c>
      <c r="AG1188" s="16">
        <f>AH1188-AI1188</f>
        <v>92</v>
      </c>
      <c r="AH1188" s="126">
        <v>174</v>
      </c>
      <c r="AI1188" s="126">
        <v>82</v>
      </c>
      <c r="AK1188" s="126">
        <v>23</v>
      </c>
      <c r="AL1188" s="126">
        <v>1</v>
      </c>
      <c r="AM1188" s="126">
        <v>0</v>
      </c>
      <c r="AN1188" s="126">
        <v>0</v>
      </c>
      <c r="AO1188" s="16">
        <f>IF(SUM(AL1188:AN1188)&gt;0,1,0)</f>
        <v>1</v>
      </c>
      <c r="AP1188" s="18">
        <f>SUM(AL1188:AN1188)</f>
        <v>1</v>
      </c>
      <c r="AR1188" s="16">
        <v>5.8000000000000052E-2</v>
      </c>
      <c r="AS1188" s="16">
        <f>VLOOKUP(E1188,'[1]Feces weights'!$D$1:$H$459,5,FALSE)</f>
        <v>5.8000000000000052E-2</v>
      </c>
      <c r="AT1188" s="16" t="str">
        <f>VLOOKUP(E1188,[2]Current!$A$1:$W$435,7,FALSE)</f>
        <v>IS</v>
      </c>
      <c r="AU1188" s="16" t="s">
        <v>1288</v>
      </c>
      <c r="AW1188" s="128">
        <f>IF(AX1188&gt;0,1,0)</f>
        <v>1</v>
      </c>
      <c r="AX1188" s="128">
        <f>SUM(BA1188,BM1188,CU1188)</f>
        <v>1</v>
      </c>
      <c r="AY1188" s="128">
        <f>SUM(BB1188,BN1188,CV1188)</f>
        <v>2137.9310344827568</v>
      </c>
      <c r="AZ1188" s="128">
        <f>IF(BA1188&gt;0,1,0)</f>
        <v>1</v>
      </c>
      <c r="BA1188" s="128">
        <f>SUM(BC1188+BF1188+BI1188)</f>
        <v>1</v>
      </c>
      <c r="BB1188" s="128">
        <f>SUM(BE1188,BH1188,BK1188)</f>
        <v>2137.9310344827568</v>
      </c>
      <c r="BC1188" s="130">
        <f>IF(BD1188&gt;0,1,0)</f>
        <v>0</v>
      </c>
      <c r="BD1188" s="128">
        <f>VLOOKUP($E1188,[2]Current!$A:$AC,26,FALSE)</f>
        <v>0</v>
      </c>
      <c r="BE1188" s="128">
        <f>BD1188/$AS1188</f>
        <v>0</v>
      </c>
      <c r="BF1188" s="130">
        <f>IF(BG1188&gt;0,1,0)</f>
        <v>1</v>
      </c>
      <c r="BG1188" s="137">
        <f>VLOOKUP($E1188,[2]Current!$A:$AC,27,FALSE)</f>
        <v>124</v>
      </c>
      <c r="BH1188" s="128">
        <f>BG1188/$AS1188</f>
        <v>2137.9310344827568</v>
      </c>
      <c r="BI1188" s="130">
        <f>IF(BJ1188&gt;0,1,0)</f>
        <v>0</v>
      </c>
      <c r="BJ1188" s="128">
        <f>VLOOKUP($E1188,[2]Current!$A:$AC,28,FALSE)</f>
        <v>0</v>
      </c>
      <c r="BK1188" s="128">
        <f>BJ1188/$AS1188</f>
        <v>0</v>
      </c>
      <c r="BL1188" s="128">
        <f>IF(BM1188&gt;0,1,0)</f>
        <v>0</v>
      </c>
      <c r="BM1188" s="128">
        <f>SUM(BR1188,BU1188,BX1188,CA1188,CD1188)</f>
        <v>0</v>
      </c>
      <c r="BN1188" s="131">
        <f>SUM(BT1188,BW1188,BZ1188,CC1188,CF1188)</f>
        <v>0</v>
      </c>
      <c r="BO1188" s="128">
        <f>IF(BP1188&gt;0,1,0)</f>
        <v>0</v>
      </c>
      <c r="BP1188" s="128">
        <f>BM1188+CJ1188</f>
        <v>0</v>
      </c>
      <c r="BQ1188" s="128">
        <f>BN1188+CL1188</f>
        <v>0</v>
      </c>
      <c r="BR1188" s="130">
        <f>IF(BS1188&gt;0,1,0)</f>
        <v>0</v>
      </c>
      <c r="BS1188" s="128">
        <f>VLOOKUP($E1188,[2]Current!$A:$AC,12,FALSE)</f>
        <v>0</v>
      </c>
      <c r="BT1188" s="137">
        <f>BS1188/$AS1188</f>
        <v>0</v>
      </c>
      <c r="BU1188" s="130">
        <f>IF(BV1188&gt;0,1,0)</f>
        <v>0</v>
      </c>
      <c r="BV1188" s="128">
        <f>VLOOKUP($E1188,[2]Current!$A:$AC,13,FALSE)</f>
        <v>0</v>
      </c>
      <c r="BW1188" s="128">
        <f>BV1188/$AS1188</f>
        <v>0</v>
      </c>
      <c r="BX1188" s="130">
        <f>IF(BY1188&gt;0,1,0)</f>
        <v>0</v>
      </c>
      <c r="BY1188" s="128">
        <f>VLOOKUP($E1188,[2]Current!$A:$AC,14,FALSE)</f>
        <v>0</v>
      </c>
      <c r="BZ1188" s="128">
        <f>BY1188/$AS1188</f>
        <v>0</v>
      </c>
      <c r="CA1188" s="130">
        <f>IF(CB1188&gt;0,1,0)</f>
        <v>0</v>
      </c>
      <c r="CB1188" s="128">
        <f>VLOOKUP($E1188,[2]Current!$A:$AC,15,FALSE)</f>
        <v>0</v>
      </c>
      <c r="CC1188" s="128">
        <f>CB1188/$AS1188</f>
        <v>0</v>
      </c>
      <c r="CD1188" s="174">
        <f>IF(CE1188&gt;0,1,0)</f>
        <v>0</v>
      </c>
      <c r="CE1188" s="128">
        <f>VLOOKUP($E1188,[2]Current!$A:$AC,16,FALSE)</f>
        <v>0</v>
      </c>
      <c r="CF1188" s="128">
        <f>CE1188/$AS1188</f>
        <v>0</v>
      </c>
      <c r="CG1188" s="18"/>
      <c r="CH1188" s="18"/>
      <c r="CI1188" s="18"/>
      <c r="CJ1188" s="130">
        <f>IF(CK1188&gt;0,1,0)</f>
        <v>0</v>
      </c>
      <c r="CK1188" s="128">
        <f>VLOOKUP($E1188,[2]Current!$A:$AC,18,FALSE)</f>
        <v>0</v>
      </c>
      <c r="CL1188" s="128">
        <f>CK1188/$AS1188</f>
        <v>0</v>
      </c>
      <c r="CS1188" s="130">
        <f>IF(CU1188&gt;0,1,0)</f>
        <v>0</v>
      </c>
      <c r="CU1188" s="128">
        <f>VLOOKUP($E1188,[2]Current!$A:$AC,17,FALSE)</f>
        <v>0</v>
      </c>
      <c r="CV1188" s="128">
        <f>CU1188/$AS1188</f>
        <v>0</v>
      </c>
      <c r="CW1188" s="18"/>
      <c r="CX1188" s="18"/>
      <c r="CY1188" s="18"/>
      <c r="DF1188" s="16" t="e">
        <f>VLOOKUP(K1188,'[3]RNA Seq summary tables'!$V$3:$V$99,1,FALSE)</f>
        <v>#N/A</v>
      </c>
      <c r="DG1188" s="126" t="s">
        <v>116</v>
      </c>
    </row>
    <row r="1189" spans="2:288" ht="16" x14ac:dyDescent="0.2">
      <c r="B1189" s="16">
        <v>2018</v>
      </c>
      <c r="C1189" s="124">
        <v>43283</v>
      </c>
      <c r="D1189" t="s">
        <v>889</v>
      </c>
      <c r="E1189" s="37" t="str">
        <f>CONCATENATE(T1189,"-",U1189,"-",C1189)</f>
        <v>PO2-H7-43283</v>
      </c>
      <c r="F1189" s="16" t="s">
        <v>227</v>
      </c>
      <c r="G1189" s="126" t="s">
        <v>107</v>
      </c>
      <c r="H1189" s="126" t="s">
        <v>1124</v>
      </c>
      <c r="J1189" s="126">
        <v>1302</v>
      </c>
      <c r="K1189" s="126">
        <v>2535</v>
      </c>
      <c r="O1189" s="15" t="s">
        <v>214</v>
      </c>
      <c r="Q1189" s="16">
        <f t="shared" si="0"/>
        <v>1</v>
      </c>
      <c r="R1189" s="16">
        <f t="shared" si="1"/>
        <v>17</v>
      </c>
      <c r="S1189" s="16">
        <v>1</v>
      </c>
      <c r="T1189" s="126" t="s">
        <v>127</v>
      </c>
      <c r="U1189" s="126" t="s">
        <v>202</v>
      </c>
      <c r="V1189" s="126" t="s">
        <v>114</v>
      </c>
      <c r="X1189" s="126" t="s">
        <v>115</v>
      </c>
      <c r="Y1189" s="126" t="s">
        <v>110</v>
      </c>
      <c r="Z1189" s="126">
        <v>3</v>
      </c>
      <c r="AA1189" s="126"/>
      <c r="AB1189" s="126"/>
      <c r="AC1189" s="126"/>
      <c r="AD1189" s="126"/>
      <c r="AE1189" s="126" t="s">
        <v>116</v>
      </c>
      <c r="AG1189" s="16">
        <f>AH1189-AI1189</f>
        <v>90</v>
      </c>
      <c r="AH1189" s="126">
        <v>172</v>
      </c>
      <c r="AI1189" s="126">
        <v>82</v>
      </c>
      <c r="AK1189" s="126">
        <v>26</v>
      </c>
      <c r="AL1189" s="126">
        <v>0</v>
      </c>
      <c r="AM1189" s="126">
        <v>1</v>
      </c>
      <c r="AN1189" s="126">
        <v>0</v>
      </c>
      <c r="AO1189" s="16">
        <f>IF(SUM(AL1189:AN1189)&gt;0,1,0)</f>
        <v>1</v>
      </c>
      <c r="AP1189" s="18">
        <f>SUM(AL1189:AN1189)</f>
        <v>1</v>
      </c>
      <c r="AR1189" s="16">
        <v>1.6000000000000014E-2</v>
      </c>
      <c r="AS1189" s="16">
        <f>VLOOKUP(E1189,'[1]Feces weights'!$D$1:$H$459,5,FALSE)</f>
        <v>1.6000000000000014E-2</v>
      </c>
      <c r="AT1189" s="16" t="str">
        <f>VLOOKUP(E1189,[2]Current!$A$1:$W$435,7,FALSE)</f>
        <v>TE</v>
      </c>
      <c r="AU1189" s="16" t="s">
        <v>1288</v>
      </c>
      <c r="AV1189" s="23">
        <v>1</v>
      </c>
      <c r="AW1189" s="128">
        <f>IF(AX1189&gt;0,1,0)</f>
        <v>0</v>
      </c>
      <c r="AX1189" s="128">
        <f>SUM(BA1189,BM1189,CU1189)</f>
        <v>0</v>
      </c>
      <c r="AY1189" s="128">
        <f>SUM(BB1189,BN1189,CV1189)</f>
        <v>0</v>
      </c>
      <c r="AZ1189" s="128">
        <f>IF(BA1189&gt;0,1,0)</f>
        <v>0</v>
      </c>
      <c r="BA1189" s="128">
        <f>SUM(BC1189+BF1189+BI1189)</f>
        <v>0</v>
      </c>
      <c r="BB1189" s="128">
        <f>SUM(BE1189,BH1189,BK1189)</f>
        <v>0</v>
      </c>
      <c r="BC1189" s="130">
        <f>IF(BD1189&gt;0,1,0)</f>
        <v>0</v>
      </c>
      <c r="BD1189" s="128">
        <f>VLOOKUP($E1189,[2]Current!$A:$AC,26,FALSE)</f>
        <v>0</v>
      </c>
      <c r="BE1189" s="128">
        <f>BD1189/$AS1189</f>
        <v>0</v>
      </c>
      <c r="BF1189" s="130">
        <f>IF(BG1189&gt;0,1,0)</f>
        <v>0</v>
      </c>
      <c r="BG1189" s="137">
        <f>VLOOKUP($E1189,[2]Current!$A:$AC,27,FALSE)</f>
        <v>0</v>
      </c>
      <c r="BH1189" s="128">
        <f>BG1189/$AS1189</f>
        <v>0</v>
      </c>
      <c r="BI1189" s="130">
        <f>IF(BJ1189&gt;0,1,0)</f>
        <v>0</v>
      </c>
      <c r="BJ1189" s="128">
        <f>VLOOKUP($E1189,[2]Current!$A:$AC,28,FALSE)</f>
        <v>0</v>
      </c>
      <c r="BK1189" s="128">
        <f>BJ1189/$AS1189</f>
        <v>0</v>
      </c>
      <c r="BL1189" s="128">
        <f>IF(BM1189&gt;0,1,0)</f>
        <v>0</v>
      </c>
      <c r="BM1189" s="128">
        <f>SUM(BR1189,BU1189,BX1189,CA1189,CD1189)</f>
        <v>0</v>
      </c>
      <c r="BN1189" s="131">
        <f>SUM(BT1189,BW1189,BZ1189,CC1189,CF1189)</f>
        <v>0</v>
      </c>
      <c r="BO1189" s="128">
        <f>IF(BP1189&gt;0,1,0)</f>
        <v>1</v>
      </c>
      <c r="BP1189" s="128">
        <f>BM1189+CJ1189</f>
        <v>1</v>
      </c>
      <c r="BQ1189" s="128">
        <f>BN1189+CL1189</f>
        <v>62.499999999999943</v>
      </c>
      <c r="BR1189" s="130">
        <f>IF(BS1189&gt;0,1,0)</f>
        <v>0</v>
      </c>
      <c r="BS1189" s="128">
        <f>VLOOKUP($E1189,[2]Current!$A:$AC,12,FALSE)</f>
        <v>0</v>
      </c>
      <c r="BT1189" s="137">
        <f>BS1189/$AS1189</f>
        <v>0</v>
      </c>
      <c r="BU1189" s="130">
        <f>IF(BV1189&gt;0,1,0)</f>
        <v>0</v>
      </c>
      <c r="BV1189" s="128">
        <f>VLOOKUP($E1189,[2]Current!$A:$AC,13,FALSE)</f>
        <v>0</v>
      </c>
      <c r="BW1189" s="128">
        <f>BV1189/$AS1189</f>
        <v>0</v>
      </c>
      <c r="BX1189" s="130">
        <f>IF(BY1189&gt;0,1,0)</f>
        <v>0</v>
      </c>
      <c r="BY1189" s="128">
        <f>VLOOKUP($E1189,[2]Current!$A:$AC,14,FALSE)</f>
        <v>0</v>
      </c>
      <c r="BZ1189" s="128">
        <f>BY1189/$AS1189</f>
        <v>0</v>
      </c>
      <c r="CA1189" s="130">
        <f>IF(CB1189&gt;0,1,0)</f>
        <v>0</v>
      </c>
      <c r="CB1189" s="128">
        <f>VLOOKUP($E1189,[2]Current!$A:$AC,15,FALSE)</f>
        <v>0</v>
      </c>
      <c r="CC1189" s="128">
        <f>CB1189/$AS1189</f>
        <v>0</v>
      </c>
      <c r="CD1189" s="174">
        <f>IF(CE1189&gt;0,1,0)</f>
        <v>0</v>
      </c>
      <c r="CE1189" s="128">
        <f>VLOOKUP($E1189,[2]Current!$A:$AC,16,FALSE)</f>
        <v>0</v>
      </c>
      <c r="CF1189" s="128">
        <f>CE1189/$AS1189</f>
        <v>0</v>
      </c>
      <c r="CG1189" s="18"/>
      <c r="CH1189" s="18"/>
      <c r="CI1189" s="18"/>
      <c r="CJ1189" s="130">
        <f>IF(CK1189&gt;0,1,0)</f>
        <v>1</v>
      </c>
      <c r="CK1189" s="128">
        <f>VLOOKUP($E1189,[2]Current!$A:$AC,18,FALSE)</f>
        <v>1</v>
      </c>
      <c r="CL1189" s="128">
        <f>CK1189/$AS1189</f>
        <v>62.499999999999943</v>
      </c>
      <c r="CS1189" s="130">
        <f>IF(CU1189&gt;0,1,0)</f>
        <v>0</v>
      </c>
      <c r="CU1189" s="128">
        <f>VLOOKUP($E1189,[2]Current!$A:$AC,17,FALSE)</f>
        <v>0</v>
      </c>
      <c r="CV1189" s="128">
        <f>CU1189/$AS1189</f>
        <v>0</v>
      </c>
      <c r="CW1189" s="18"/>
      <c r="CX1189" s="18"/>
      <c r="CY1189" s="18"/>
      <c r="DF1189" s="16" t="e">
        <f>VLOOKUP(K1189,'[3]RNA Seq summary tables'!$V$3:$V$99,1,FALSE)</f>
        <v>#N/A</v>
      </c>
      <c r="DG1189" s="126" t="s">
        <v>116</v>
      </c>
    </row>
    <row r="1190" spans="2:288" s="18" customFormat="1" ht="16" x14ac:dyDescent="0.2">
      <c r="B1190" s="16">
        <v>2018</v>
      </c>
      <c r="C1190" s="124">
        <v>43296</v>
      </c>
      <c r="D1190" t="s">
        <v>995</v>
      </c>
      <c r="E1190" s="142" t="str">
        <f>CONCATENATE(T1190,"-",U1190,"-",C1190)</f>
        <v>PO2-G7-43296</v>
      </c>
      <c r="F1190" s="16" t="s">
        <v>227</v>
      </c>
      <c r="G1190" s="126" t="s">
        <v>107</v>
      </c>
      <c r="H1190" s="126"/>
      <c r="I1190" s="16"/>
      <c r="J1190" s="126">
        <v>1302</v>
      </c>
      <c r="K1190" s="126">
        <v>2629</v>
      </c>
      <c r="L1190" s="16"/>
      <c r="M1190" s="21"/>
      <c r="N1190" s="21"/>
      <c r="O1190" s="15" t="s">
        <v>214</v>
      </c>
      <c r="P1190" s="16"/>
      <c r="Q1190" s="16">
        <f t="shared" si="0"/>
        <v>1</v>
      </c>
      <c r="R1190" s="16">
        <f t="shared" si="1"/>
        <v>13</v>
      </c>
      <c r="S1190" s="16">
        <v>1</v>
      </c>
      <c r="T1190" s="126" t="s">
        <v>127</v>
      </c>
      <c r="U1190" s="126" t="s">
        <v>156</v>
      </c>
      <c r="V1190" s="126" t="s">
        <v>114</v>
      </c>
      <c r="W1190" s="16"/>
      <c r="X1190" s="126" t="s">
        <v>115</v>
      </c>
      <c r="Y1190" s="126" t="s">
        <v>110</v>
      </c>
      <c r="Z1190" s="126">
        <v>3</v>
      </c>
      <c r="AA1190" s="126"/>
      <c r="AB1190" s="126"/>
      <c r="AC1190" s="126"/>
      <c r="AD1190" s="126" t="s">
        <v>116</v>
      </c>
      <c r="AE1190" s="126" t="s">
        <v>116</v>
      </c>
      <c r="AF1190" s="16"/>
      <c r="AG1190" s="40">
        <f>AH1190-AI1190</f>
        <v>90</v>
      </c>
      <c r="AH1190" s="126">
        <v>172</v>
      </c>
      <c r="AI1190" s="126">
        <v>82</v>
      </c>
      <c r="AJ1190" s="16"/>
      <c r="AK1190" s="126">
        <v>25</v>
      </c>
      <c r="AL1190" s="126">
        <v>0</v>
      </c>
      <c r="AM1190" s="126">
        <v>0</v>
      </c>
      <c r="AN1190" s="126">
        <v>0</v>
      </c>
      <c r="AO1190" s="16">
        <f>IF(SUM(AL1190:AN1190)&gt;0,1,0)</f>
        <v>0</v>
      </c>
      <c r="AP1190" s="18">
        <f>SUM(AL1190:AN1190)</f>
        <v>0</v>
      </c>
      <c r="AQ1190" s="16"/>
      <c r="AR1190" s="16">
        <v>0.20600000000000018</v>
      </c>
      <c r="AS1190" s="16">
        <f>VLOOKUP(E1190,'[1]Feces weights'!$D$1:$H$459,5,FALSE)</f>
        <v>0.20600000000000018</v>
      </c>
      <c r="AT1190" s="16" t="e">
        <f>VLOOKUP(E1190,[2]Current!$A$1:$W$435,7,FALSE)</f>
        <v>#N/A</v>
      </c>
      <c r="AU1190" s="16">
        <v>0</v>
      </c>
      <c r="AV1190" s="16"/>
      <c r="AW1190" s="16"/>
      <c r="AX1190" s="16"/>
      <c r="AY1190" s="16"/>
      <c r="AZ1190" s="16"/>
      <c r="BA1190" s="16"/>
      <c r="BB1190" s="16"/>
      <c r="BC1190" s="16"/>
      <c r="BD1190" s="16"/>
      <c r="BE1190" s="16"/>
      <c r="BF1190" s="16"/>
      <c r="BG1190" s="77"/>
      <c r="BH1190" s="16"/>
      <c r="BI1190" s="16"/>
      <c r="BJ1190" s="16"/>
      <c r="BK1190" s="16"/>
      <c r="BL1190" s="16"/>
      <c r="BM1190" s="16"/>
      <c r="BN1190" s="126"/>
      <c r="BO1190" s="16"/>
      <c r="BP1190" s="16"/>
      <c r="BQ1190" s="16"/>
      <c r="BR1190" s="16"/>
      <c r="BS1190" s="16"/>
      <c r="BT1190" s="78"/>
      <c r="BW1190" s="25"/>
      <c r="BZ1190" s="25"/>
      <c r="CC1190" s="25"/>
      <c r="CD1190" s="78"/>
      <c r="CF1190" s="25"/>
      <c r="CL1190" s="25"/>
      <c r="CM1190" s="16"/>
      <c r="CN1190" s="16"/>
      <c r="CO1190" s="16"/>
      <c r="CP1190" s="16"/>
      <c r="CQ1190" s="16"/>
      <c r="CR1190" s="16"/>
      <c r="CS1190" s="16"/>
      <c r="CT1190" s="16"/>
      <c r="CU1190" s="16"/>
      <c r="CV1190" s="16"/>
      <c r="CW1190" s="16"/>
      <c r="CX1190" s="16"/>
      <c r="CY1190" s="16"/>
      <c r="CZ1190" s="16"/>
      <c r="DA1190" s="16"/>
      <c r="DB1190" s="16"/>
      <c r="DC1190" s="16"/>
      <c r="DD1190" s="16"/>
      <c r="DE1190" s="16"/>
      <c r="DF1190" s="16" t="e">
        <f>VLOOKUP(K1190,'[3]RNA Seq summary tables'!$V$3:$V$99,1,FALSE)</f>
        <v>#N/A</v>
      </c>
      <c r="DG1190" s="126" t="s">
        <v>116</v>
      </c>
      <c r="DH1190" s="16"/>
      <c r="DI1190" s="16"/>
      <c r="DJ1190" s="16"/>
      <c r="DK1190" s="16"/>
      <c r="DL1190" s="16"/>
      <c r="DM1190" s="16"/>
      <c r="DN1190" s="16"/>
      <c r="DO1190" s="16"/>
      <c r="DP1190" s="16"/>
      <c r="DQ1190" s="16"/>
      <c r="DR1190" s="16"/>
      <c r="DS1190" s="16"/>
      <c r="JO1190" s="16"/>
      <c r="JP1190" s="16"/>
      <c r="JQ1190" s="16"/>
      <c r="JR1190" s="16"/>
      <c r="JS1190" s="16"/>
      <c r="JT1190" s="16"/>
      <c r="JU1190" s="16"/>
      <c r="JV1190" s="16"/>
      <c r="JW1190" s="16"/>
      <c r="JX1190" s="16"/>
      <c r="JY1190" s="16"/>
      <c r="JZ1190" s="16"/>
      <c r="KA1190" s="16"/>
      <c r="KB1190" s="16"/>
    </row>
    <row r="1191" spans="2:288" x14ac:dyDescent="0.2">
      <c r="B1191" s="16">
        <v>2017</v>
      </c>
      <c r="C1191" s="20">
        <v>42948</v>
      </c>
      <c r="D1191" s="20" t="str">
        <f>CONCATENATE(J1191,"-",C1191)</f>
        <v>1304-42948</v>
      </c>
      <c r="E1191" s="142" t="str">
        <f>CONCATENATE(T1191,"-",U1191,"-",C1191)</f>
        <v>HW1-B6-42948</v>
      </c>
      <c r="F1191" s="20" t="s">
        <v>106</v>
      </c>
      <c r="G1191" s="20" t="s">
        <v>107</v>
      </c>
      <c r="J1191" s="21">
        <v>1304</v>
      </c>
      <c r="K1191" s="21">
        <v>2048</v>
      </c>
      <c r="L1191" s="18">
        <v>0</v>
      </c>
      <c r="M1191" s="21">
        <f>VLOOKUP($K1191,'[4]blood tubes 2017'!$D$1:$L$647,8,FALSE)</f>
        <v>0</v>
      </c>
      <c r="N1191" s="15">
        <v>0</v>
      </c>
      <c r="O1191" s="15" t="s">
        <v>214</v>
      </c>
      <c r="Q1191" s="16">
        <f t="shared" si="0"/>
        <v>0</v>
      </c>
      <c r="R1191" s="16" t="str">
        <f t="shared" si="1"/>
        <v/>
      </c>
      <c r="T1191" s="16" t="s">
        <v>133</v>
      </c>
      <c r="U1191" s="16" t="s">
        <v>132</v>
      </c>
      <c r="V1191" s="16" t="s">
        <v>114</v>
      </c>
      <c r="W1191" s="16">
        <f>AI1191/AG1191</f>
        <v>0.84269662921348309</v>
      </c>
      <c r="X1191" s="16" t="s">
        <v>115</v>
      </c>
      <c r="Y1191" s="16" t="s">
        <v>110</v>
      </c>
      <c r="Z1191" s="16">
        <v>3</v>
      </c>
      <c r="AE1191" s="16" t="s">
        <v>116</v>
      </c>
      <c r="AF1191" s="16" t="s">
        <v>116</v>
      </c>
      <c r="AG1191" s="16">
        <f>AH1191-AI1191</f>
        <v>89</v>
      </c>
      <c r="AH1191" s="16">
        <v>164</v>
      </c>
      <c r="AI1191" s="16">
        <v>75</v>
      </c>
      <c r="AK1191" s="16">
        <v>21</v>
      </c>
      <c r="AL1191" s="16">
        <v>0</v>
      </c>
      <c r="AM1191" s="16">
        <v>0</v>
      </c>
      <c r="AN1191" s="16">
        <v>0</v>
      </c>
      <c r="AO1191" s="16">
        <v>0</v>
      </c>
      <c r="AP1191" s="16">
        <f>SUM(AL1191:AN1191)</f>
        <v>0</v>
      </c>
      <c r="AQ1191" s="16">
        <v>1.7869999999999999</v>
      </c>
      <c r="AR1191" s="16">
        <f>AP1191-1.472</f>
        <v>-1.472</v>
      </c>
      <c r="AS1191" s="16">
        <f>AQ1191-1.472</f>
        <v>0.31499999999999995</v>
      </c>
      <c r="AT1191" s="16" t="e">
        <f>VLOOKUP(E1191,[2]Current!$A$1:$W$435,7,FALSE)</f>
        <v>#N/A</v>
      </c>
      <c r="AU1191" s="16">
        <v>0</v>
      </c>
      <c r="AW1191" s="18"/>
      <c r="AX1191" s="18"/>
      <c r="AY1191" s="18"/>
      <c r="AZ1191" s="18"/>
      <c r="BA1191" s="18"/>
      <c r="BB1191" s="18"/>
      <c r="BC1191" s="18"/>
      <c r="BD1191" s="18"/>
      <c r="BG1191" s="77"/>
      <c r="BT1191" s="77"/>
      <c r="CD1191" s="77"/>
      <c r="DF1191" s="16" t="e">
        <f>VLOOKUP(K1191,'[3]RNA Seq summary tables'!$V$3:$V$99,1,FALSE)</f>
        <v>#N/A</v>
      </c>
    </row>
    <row r="1192" spans="2:288" x14ac:dyDescent="0.2">
      <c r="B1192" s="16">
        <v>2017</v>
      </c>
      <c r="C1192" s="20">
        <v>42948</v>
      </c>
      <c r="D1192" s="20" t="str">
        <f>CONCATENATE(J1192,"-",C1192)</f>
        <v>1306-42948</v>
      </c>
      <c r="E1192" s="142" t="str">
        <f>CONCATENATE(T1192,"-",U1192,"-",C1192)</f>
        <v>HW1-E5-42948</v>
      </c>
      <c r="F1192" s="20" t="s">
        <v>106</v>
      </c>
      <c r="G1192" s="20" t="s">
        <v>107</v>
      </c>
      <c r="J1192" s="21">
        <v>1306</v>
      </c>
      <c r="K1192" s="21">
        <v>2051</v>
      </c>
      <c r="L1192" s="18">
        <v>0</v>
      </c>
      <c r="M1192" s="21">
        <f>VLOOKUP($K1192,'[4]blood tubes 2017'!$D$1:$L$647,8,FALSE)</f>
        <v>0</v>
      </c>
      <c r="N1192" s="15">
        <v>0</v>
      </c>
      <c r="O1192" s="15" t="s">
        <v>214</v>
      </c>
      <c r="Q1192" s="16">
        <f t="shared" si="0"/>
        <v>0</v>
      </c>
      <c r="R1192" s="16" t="str">
        <f t="shared" si="1"/>
        <v/>
      </c>
      <c r="T1192" s="16" t="s">
        <v>133</v>
      </c>
      <c r="U1192" s="16" t="s">
        <v>158</v>
      </c>
      <c r="V1192" s="16" t="s">
        <v>114</v>
      </c>
      <c r="W1192" s="16">
        <f>AI1192/AG1192</f>
        <v>0.91764705882352937</v>
      </c>
      <c r="X1192" s="16" t="s">
        <v>115</v>
      </c>
      <c r="Y1192" s="16" t="s">
        <v>110</v>
      </c>
      <c r="Z1192" s="16">
        <v>3</v>
      </c>
      <c r="AE1192" s="16" t="s">
        <v>123</v>
      </c>
      <c r="AF1192" s="16" t="s">
        <v>123</v>
      </c>
      <c r="AG1192" s="16">
        <f>AH1192-AI1192</f>
        <v>85</v>
      </c>
      <c r="AH1192" s="16">
        <v>163</v>
      </c>
      <c r="AI1192" s="16">
        <v>78</v>
      </c>
      <c r="AK1192" s="16">
        <v>18</v>
      </c>
      <c r="AL1192" s="16">
        <v>0</v>
      </c>
      <c r="AM1192" s="16">
        <v>0</v>
      </c>
      <c r="AN1192" s="16">
        <v>0</v>
      </c>
      <c r="AO1192" s="16">
        <v>0</v>
      </c>
      <c r="AP1192" s="16">
        <f>SUM(AL1192:AN1192)</f>
        <v>0</v>
      </c>
      <c r="AQ1192" s="16">
        <v>1.905</v>
      </c>
      <c r="AR1192" s="16">
        <f>AP1192-1.472</f>
        <v>-1.472</v>
      </c>
      <c r="AS1192" s="16">
        <f>AQ1192-1.472</f>
        <v>0.43300000000000005</v>
      </c>
      <c r="AT1192" s="16" t="e">
        <f>VLOOKUP(E1192,[2]Current!$A$1:$W$435,7,FALSE)</f>
        <v>#N/A</v>
      </c>
      <c r="AU1192" s="16">
        <v>0</v>
      </c>
      <c r="AW1192" s="18"/>
      <c r="AX1192" s="18"/>
      <c r="AY1192" s="18"/>
      <c r="AZ1192" s="18"/>
      <c r="BA1192" s="18"/>
      <c r="BB1192" s="18"/>
      <c r="BC1192" s="18"/>
      <c r="BD1192" s="18"/>
      <c r="BG1192" s="77"/>
      <c r="BT1192" s="77"/>
      <c r="CD1192" s="77"/>
      <c r="DF1192" s="16" t="e">
        <f>VLOOKUP(K1192,'[3]RNA Seq summary tables'!$V$3:$V$99,1,FALSE)</f>
        <v>#N/A</v>
      </c>
    </row>
    <row r="1193" spans="2:288" x14ac:dyDescent="0.2">
      <c r="B1193" s="16">
        <v>2017</v>
      </c>
      <c r="C1193" s="43">
        <v>42949</v>
      </c>
      <c r="D1193" s="43" t="str">
        <f>CONCATENATE(J1193,"-",C1193)</f>
        <v>1308-42949</v>
      </c>
      <c r="E1193" s="142" t="str">
        <f>CONCATENATE(T1193,"-",U1193,"-",C1193)</f>
        <v>HW2-A7-42949</v>
      </c>
      <c r="F1193" s="20" t="s">
        <v>106</v>
      </c>
      <c r="G1193" s="43" t="s">
        <v>107</v>
      </c>
      <c r="H1193" s="23"/>
      <c r="J1193" s="15">
        <v>1308</v>
      </c>
      <c r="K1193" s="15">
        <v>2106</v>
      </c>
      <c r="L1193" s="18">
        <v>0</v>
      </c>
      <c r="M1193" s="21">
        <f>VLOOKUP($K1193,'[4]blood tubes 2017'!$D$1:$L$647,8,FALSE)</f>
        <v>0</v>
      </c>
      <c r="N1193" s="15">
        <v>0</v>
      </c>
      <c r="O1193" s="15" t="s">
        <v>214</v>
      </c>
      <c r="Q1193" s="16">
        <f t="shared" si="0"/>
        <v>0</v>
      </c>
      <c r="R1193" s="16" t="str">
        <f t="shared" si="1"/>
        <v/>
      </c>
      <c r="S1193" s="23">
        <v>1</v>
      </c>
      <c r="T1193" s="23" t="s">
        <v>129</v>
      </c>
      <c r="U1193" s="23" t="s">
        <v>120</v>
      </c>
      <c r="V1193" s="23" t="s">
        <v>114</v>
      </c>
      <c r="W1193" s="16">
        <f>AI1193/AG1193</f>
        <v>0.77173913043478259</v>
      </c>
      <c r="X1193" s="23" t="s">
        <v>115</v>
      </c>
      <c r="Y1193" s="23" t="s">
        <v>110</v>
      </c>
      <c r="Z1193" s="23">
        <v>3</v>
      </c>
      <c r="AA1193" s="23"/>
      <c r="AB1193" s="23"/>
      <c r="AC1193" s="23"/>
      <c r="AD1193" s="23"/>
      <c r="AE1193" s="23" t="s">
        <v>123</v>
      </c>
      <c r="AF1193" s="23" t="s">
        <v>123</v>
      </c>
      <c r="AG1193" s="23">
        <f>AH1193-AI1193</f>
        <v>92</v>
      </c>
      <c r="AH1193" s="23">
        <v>163</v>
      </c>
      <c r="AI1193" s="23">
        <v>71</v>
      </c>
      <c r="AJ1193" s="23"/>
      <c r="AK1193" s="23">
        <v>21.5</v>
      </c>
      <c r="AL1193" s="23">
        <v>1</v>
      </c>
      <c r="AM1193" s="23">
        <v>0</v>
      </c>
      <c r="AN1193" s="23">
        <v>0</v>
      </c>
      <c r="AO1193" s="23">
        <v>1</v>
      </c>
      <c r="AP1193" s="23">
        <f>SUM(AL1193:AO1193)</f>
        <v>2</v>
      </c>
      <c r="AQ1193" s="23">
        <v>1.665</v>
      </c>
      <c r="AR1193" s="23">
        <f>AP1193-1.472</f>
        <v>0.52800000000000002</v>
      </c>
      <c r="AS1193" s="23">
        <f>AQ1193-1.472</f>
        <v>0.19300000000000006</v>
      </c>
      <c r="AT1193" s="16" t="e">
        <f>VLOOKUP(E1193,[2]Current!$A$1:$W$435,7,FALSE)</f>
        <v>#N/A</v>
      </c>
      <c r="AU1193" s="16">
        <v>0</v>
      </c>
      <c r="AV1193" s="23"/>
      <c r="AW1193" s="25"/>
      <c r="AX1193" s="25"/>
      <c r="AY1193" s="25"/>
      <c r="AZ1193" s="25"/>
      <c r="BA1193" s="25"/>
      <c r="BB1193" s="25"/>
      <c r="BC1193" s="25"/>
      <c r="BD1193" s="25"/>
      <c r="BE1193" s="23"/>
      <c r="BF1193" s="23"/>
      <c r="BG1193" s="77"/>
      <c r="BH1193" s="23"/>
      <c r="BI1193" s="23"/>
      <c r="BJ1193" s="23"/>
      <c r="BK1193" s="23"/>
      <c r="BL1193" s="23"/>
      <c r="BM1193" s="23"/>
      <c r="BN1193" s="23"/>
      <c r="BO1193" s="23"/>
      <c r="BP1193" s="23"/>
      <c r="BQ1193" s="23"/>
      <c r="BR1193" s="23"/>
      <c r="BS1193" s="23"/>
      <c r="BT1193" s="77"/>
      <c r="BU1193" s="23"/>
      <c r="BV1193" s="23"/>
      <c r="BW1193" s="23"/>
      <c r="BX1193" s="23"/>
      <c r="BY1193" s="23"/>
      <c r="BZ1193" s="23"/>
      <c r="CA1193" s="23"/>
      <c r="CB1193" s="23"/>
      <c r="CC1193" s="23"/>
      <c r="CD1193" s="77"/>
      <c r="CE1193" s="23"/>
      <c r="CF1193" s="23"/>
      <c r="CG1193" s="23"/>
      <c r="CH1193" s="23"/>
      <c r="CI1193" s="23"/>
      <c r="CJ1193" s="23"/>
      <c r="CK1193" s="23"/>
      <c r="CL1193" s="23"/>
      <c r="CM1193" s="23"/>
      <c r="CN1193" s="23"/>
      <c r="CO1193" s="23"/>
      <c r="CP1193" s="23"/>
      <c r="CQ1193" s="23"/>
      <c r="CR1193" s="23"/>
      <c r="CS1193" s="23"/>
      <c r="CT1193" s="23"/>
      <c r="CU1193" s="23"/>
      <c r="CV1193" s="23"/>
      <c r="CW1193" s="23"/>
      <c r="CX1193" s="23"/>
      <c r="CY1193" s="23"/>
      <c r="CZ1193" s="23"/>
      <c r="DA1193" s="23"/>
      <c r="DB1193" s="23"/>
      <c r="DC1193" s="23"/>
      <c r="DD1193" s="23"/>
      <c r="DE1193" s="23"/>
      <c r="DF1193" s="16" t="e">
        <f>VLOOKUP(K1193,'[3]RNA Seq summary tables'!$V$3:$V$99,1,FALSE)</f>
        <v>#N/A</v>
      </c>
      <c r="DI1193" s="23"/>
      <c r="DJ1193" s="23"/>
      <c r="DK1193" s="23"/>
      <c r="DL1193" s="23"/>
      <c r="DM1193" s="23"/>
      <c r="DN1193" s="23"/>
      <c r="DO1193" s="23"/>
      <c r="DP1193" s="23"/>
      <c r="DQ1193" s="23"/>
      <c r="DR1193" s="23"/>
      <c r="DS1193" s="23"/>
    </row>
    <row r="1194" spans="2:288" x14ac:dyDescent="0.2">
      <c r="B1194" s="16">
        <v>2017</v>
      </c>
      <c r="C1194" s="20">
        <v>42968</v>
      </c>
      <c r="D1194" s="20" t="str">
        <f>CONCATENATE(J1194,"-",C1194)</f>
        <v>1308-42968</v>
      </c>
      <c r="E1194" s="142" t="str">
        <f>CONCATENATE(T1194,"-",U1194,"-",C1194)</f>
        <v>HW2-B8-42968</v>
      </c>
      <c r="F1194" s="20" t="s">
        <v>106</v>
      </c>
      <c r="G1194" s="20" t="s">
        <v>107</v>
      </c>
      <c r="J1194" s="21">
        <v>1308</v>
      </c>
      <c r="K1194" s="21">
        <v>2224</v>
      </c>
      <c r="L1194" s="18">
        <v>0</v>
      </c>
      <c r="M1194" s="21">
        <f>VLOOKUP($K1194,'[4]blood tubes 2017'!$D$1:$L$947,8,FALSE)</f>
        <v>0</v>
      </c>
      <c r="N1194" s="15">
        <v>0</v>
      </c>
      <c r="O1194" s="15" t="s">
        <v>214</v>
      </c>
      <c r="Q1194" s="16">
        <f t="shared" si="0"/>
        <v>1</v>
      </c>
      <c r="R1194" s="16">
        <f t="shared" si="1"/>
        <v>19</v>
      </c>
      <c r="S1194" s="16">
        <v>1</v>
      </c>
      <c r="T1194" s="16" t="s">
        <v>129</v>
      </c>
      <c r="U1194" s="16" t="s">
        <v>209</v>
      </c>
      <c r="V1194" s="16" t="s">
        <v>114</v>
      </c>
      <c r="W1194" s="16">
        <f>AI1194/AG1194</f>
        <v>0.85227272727272729</v>
      </c>
      <c r="X1194" s="16" t="s">
        <v>115</v>
      </c>
      <c r="Y1194" s="16" t="s">
        <v>110</v>
      </c>
      <c r="Z1194" s="16">
        <v>3</v>
      </c>
      <c r="AE1194" s="16" t="s">
        <v>123</v>
      </c>
      <c r="AF1194" s="16" t="s">
        <v>123</v>
      </c>
      <c r="AG1194" s="16">
        <f>AH1194-AI1194</f>
        <v>88</v>
      </c>
      <c r="AH1194" s="16">
        <v>163</v>
      </c>
      <c r="AI1194" s="16">
        <v>75</v>
      </c>
      <c r="AK1194" s="16">
        <v>22.5</v>
      </c>
      <c r="AL1194" s="16">
        <v>0</v>
      </c>
      <c r="AM1194" s="16">
        <v>0</v>
      </c>
      <c r="AN1194" s="16">
        <v>0</v>
      </c>
      <c r="AO1194" s="16">
        <v>0</v>
      </c>
      <c r="AP1194" s="16">
        <f>SUM(AL1194:AN1194)</f>
        <v>0</v>
      </c>
      <c r="AQ1194" s="16">
        <v>1.8049999999999999</v>
      </c>
      <c r="AR1194" s="16">
        <f>AP1194-1.472</f>
        <v>-1.472</v>
      </c>
      <c r="AS1194" s="16">
        <f>AQ1194-1.472</f>
        <v>0.33299999999999996</v>
      </c>
      <c r="AT1194" s="16" t="e">
        <f>VLOOKUP(E1194,[2]Current!$A$1:$W$435,7,FALSE)</f>
        <v>#N/A</v>
      </c>
      <c r="AU1194" s="16">
        <v>0</v>
      </c>
      <c r="AW1194" s="18"/>
      <c r="AX1194" s="18"/>
      <c r="AY1194" s="18"/>
      <c r="AZ1194" s="18"/>
      <c r="BA1194" s="18"/>
      <c r="BB1194" s="18"/>
      <c r="BC1194" s="18"/>
      <c r="BD1194" s="18"/>
      <c r="BG1194" s="77"/>
      <c r="BT1194" s="77"/>
      <c r="CD1194" s="77"/>
      <c r="DF1194" s="16" t="e">
        <f>VLOOKUP(K1194,'[3]RNA Seq summary tables'!$V$3:$V$99,1,FALSE)</f>
        <v>#N/A</v>
      </c>
    </row>
    <row r="1195" spans="2:288" ht="16" x14ac:dyDescent="0.2">
      <c r="B1195" s="16">
        <v>2018</v>
      </c>
      <c r="C1195" s="124">
        <v>43243</v>
      </c>
      <c r="D1195" t="s">
        <v>733</v>
      </c>
      <c r="E1195" s="37" t="str">
        <f>CONCATENATE(T1195,"-",U1195,"-",C1195)</f>
        <v>HW2-F5-43243</v>
      </c>
      <c r="F1195" s="16" t="s">
        <v>227</v>
      </c>
      <c r="G1195" s="126" t="s">
        <v>107</v>
      </c>
      <c r="H1195" s="126"/>
      <c r="J1195" s="126">
        <v>1308</v>
      </c>
      <c r="K1195" s="126">
        <v>2372</v>
      </c>
      <c r="O1195" s="15" t="s">
        <v>214</v>
      </c>
      <c r="Q1195" s="41"/>
      <c r="R1195" s="16">
        <f t="shared" si="1"/>
        <v>275</v>
      </c>
      <c r="S1195" s="16">
        <v>1</v>
      </c>
      <c r="T1195" s="126" t="s">
        <v>129</v>
      </c>
      <c r="U1195" s="126" t="s">
        <v>185</v>
      </c>
      <c r="V1195" s="126" t="s">
        <v>114</v>
      </c>
      <c r="X1195" s="126" t="s">
        <v>115</v>
      </c>
      <c r="Y1195" s="126" t="s">
        <v>110</v>
      </c>
      <c r="Z1195" s="126">
        <v>3</v>
      </c>
      <c r="AA1195" s="126"/>
      <c r="AB1195" s="126"/>
      <c r="AC1195" s="126"/>
      <c r="AD1195" s="126"/>
      <c r="AE1195" s="126" t="s">
        <v>123</v>
      </c>
      <c r="AG1195" s="16">
        <f>AH1195-AI1195</f>
        <v>91</v>
      </c>
      <c r="AH1195" s="126">
        <v>170</v>
      </c>
      <c r="AI1195" s="126">
        <v>79</v>
      </c>
      <c r="AK1195" s="126">
        <v>23.5</v>
      </c>
      <c r="AL1195" s="126">
        <v>0</v>
      </c>
      <c r="AM1195" s="126">
        <v>0</v>
      </c>
      <c r="AN1195" s="126">
        <v>0</v>
      </c>
      <c r="AO1195" s="16">
        <f>IF(SUM(AL1195:AN1195)&gt;0,1,0)</f>
        <v>0</v>
      </c>
      <c r="AP1195" s="18">
        <f>SUM(AL1195:AN1195)</f>
        <v>0</v>
      </c>
      <c r="AR1195" s="16">
        <v>0.19100000000000006</v>
      </c>
      <c r="AS1195" s="16">
        <f>VLOOKUP(E1195,'[1]Feces weights'!$D$1:$H$459,5,FALSE)</f>
        <v>0.19100000000000006</v>
      </c>
      <c r="AT1195" s="16" t="str">
        <f>VLOOKUP(E1195,[9]Current!$A:$T,7,FALSE)</f>
        <v>JB</v>
      </c>
      <c r="AU1195" s="18" t="s">
        <v>1290</v>
      </c>
      <c r="AW1195" s="177">
        <f>IF(AY1195&gt;0,1,0)</f>
        <v>1</v>
      </c>
      <c r="AX1195" s="177">
        <f>SUM(BA1195,BM1195,CU1195)</f>
        <v>3</v>
      </c>
      <c r="AY1195" s="177">
        <f>SUM(BB1195,BN1195,CV1195)</f>
        <v>1298.4293193717274</v>
      </c>
      <c r="AZ1195" s="177">
        <f>IF(BB1195&gt;0,1,0)</f>
        <v>1</v>
      </c>
      <c r="BA1195" s="177">
        <f>SUM(BC1195+BF1195+BI1195)</f>
        <v>2</v>
      </c>
      <c r="BB1195" s="177">
        <f>SUM(BE1195,BH1195,BK1195)</f>
        <v>1293.1937172774865</v>
      </c>
      <c r="BC1195" s="178">
        <f>IF(BD1195&gt;0,1,0)</f>
        <v>1</v>
      </c>
      <c r="BD1195" s="177">
        <f>VLOOKUP($E1195,[9]Current!$1:$1048576,8,FALSE)</f>
        <v>41</v>
      </c>
      <c r="BE1195" s="177">
        <f>BD1195/$AS1195</f>
        <v>214.65968586387427</v>
      </c>
      <c r="BF1195" s="178">
        <f>IF(BG1195&gt;0,1,0)</f>
        <v>1</v>
      </c>
      <c r="BG1195" s="179">
        <f>VLOOKUP($E1195,[9]Current!$1:$1048576,9,FALSE)</f>
        <v>206</v>
      </c>
      <c r="BH1195" s="177">
        <f>BG1195/$AS1195</f>
        <v>1078.5340314136122</v>
      </c>
      <c r="BI1195" s="178">
        <f>IF(BJ1195&gt;0,1,0)</f>
        <v>0</v>
      </c>
      <c r="BJ1195" s="177">
        <f>VLOOKUP($E1195,[9]Current!$1:$1048576,10,FALSE)</f>
        <v>0</v>
      </c>
      <c r="BK1195" s="177">
        <f>BJ1195/$AS1195</f>
        <v>0</v>
      </c>
      <c r="BL1195" s="177">
        <f>IF(BM1195&gt;0,1,0)</f>
        <v>1</v>
      </c>
      <c r="BM1195" s="177">
        <f>SUM(BR1195,BU1195,BX1195,CA1195,CD1195)</f>
        <v>1</v>
      </c>
      <c r="BN1195" s="181">
        <f>SUM(BT1195,BW1195,BZ1195,CC1195,CF1195)</f>
        <v>5.2356020942408357</v>
      </c>
      <c r="BO1195" s="177">
        <f>IF(BP1195&gt;0,1,0)</f>
        <v>1</v>
      </c>
      <c r="BP1195" s="177">
        <f>BM1195+CJ1195</f>
        <v>1</v>
      </c>
      <c r="BQ1195" s="177">
        <f>BN1195+CL1195</f>
        <v>5.2356020942408357</v>
      </c>
      <c r="BR1195" s="178">
        <f>IF(BS1195&gt;0,1,0)</f>
        <v>0</v>
      </c>
      <c r="BS1195" s="177">
        <f>VLOOKUP($E1195,[9]Current!$1:$1048576,12,FALSE)</f>
        <v>0</v>
      </c>
      <c r="BT1195" s="179">
        <f>BS1195/$AS1195</f>
        <v>0</v>
      </c>
      <c r="BU1195" s="178">
        <f>IF(BV1195&gt;0,1,0)</f>
        <v>0</v>
      </c>
      <c r="BV1195" s="177">
        <f>VLOOKUP($E1195,[9]Current!$1:$1048576,13,FALSE)</f>
        <v>0</v>
      </c>
      <c r="BW1195" s="177">
        <f>BV1195/$AS1195</f>
        <v>0</v>
      </c>
      <c r="BX1195" s="178">
        <f>IF(BY1195&gt;0,1,0)</f>
        <v>1</v>
      </c>
      <c r="BY1195" s="177">
        <f>VLOOKUP($E1195,[9]Current!$1:$1048576,14,FALSE)</f>
        <v>1</v>
      </c>
      <c r="BZ1195" s="177">
        <f>BY1195/$AS1195</f>
        <v>5.2356020942408357</v>
      </c>
      <c r="CA1195" s="178">
        <f>IF(CB1195&gt;0,1,0)</f>
        <v>0</v>
      </c>
      <c r="CB1195" s="177">
        <f>VLOOKUP($E1195,[9]Current!$1:$1048576,15,FALSE)</f>
        <v>0</v>
      </c>
      <c r="CC1195" s="177">
        <f>CB1195/$AS1195</f>
        <v>0</v>
      </c>
      <c r="CD1195" s="180">
        <f>IF(CE1195&gt;0,1,0)</f>
        <v>0</v>
      </c>
      <c r="CE1195" s="177">
        <f>VLOOKUP($E1195,[9]Current!$1:$1048576,16,FALSE)</f>
        <v>0</v>
      </c>
      <c r="CF1195" s="177">
        <f>CE1195/$AS1195</f>
        <v>0</v>
      </c>
      <c r="CG1195" s="18"/>
      <c r="CH1195" s="18"/>
      <c r="CI1195" s="18"/>
      <c r="CJ1195" s="178">
        <f>IF(CK1195&gt;0,1,0)</f>
        <v>0</v>
      </c>
      <c r="CK1195" s="177">
        <f>VLOOKUP($E1195,[9]Current!$1:$1048576,18,FALSE)</f>
        <v>0</v>
      </c>
      <c r="CL1195" s="177">
        <f>CK1195/$AS1195</f>
        <v>0</v>
      </c>
      <c r="CS1195" s="178">
        <f>IF(CU1195&gt;0,1,0)</f>
        <v>0</v>
      </c>
      <c r="CT1195" s="177"/>
      <c r="CU1195" s="177">
        <f>VLOOKUP($E1195,[9]Current!$1:$1048576,17,FALSE)</f>
        <v>0</v>
      </c>
      <c r="CV1195" s="177">
        <f>CU1195/$AS1195</f>
        <v>0</v>
      </c>
      <c r="DF1195" s="16" t="e">
        <f>VLOOKUP(K1195,'[3]RNA Seq summary tables'!$V$3:$V$99,1,FALSE)</f>
        <v>#N/A</v>
      </c>
      <c r="DG1195" s="126" t="s">
        <v>116</v>
      </c>
    </row>
    <row r="1196" spans="2:288" ht="16" x14ac:dyDescent="0.2">
      <c r="B1196" s="16">
        <v>2018</v>
      </c>
      <c r="C1196" s="124">
        <v>43277</v>
      </c>
      <c r="D1196" t="s">
        <v>866</v>
      </c>
      <c r="E1196" s="37" t="str">
        <f>CONCATENATE(T1196,"-",U1196,"-",C1196)</f>
        <v>HW2-B4-43277</v>
      </c>
      <c r="F1196" s="16" t="s">
        <v>227</v>
      </c>
      <c r="G1196" s="126" t="s">
        <v>107</v>
      </c>
      <c r="H1196" s="126" t="s">
        <v>1098</v>
      </c>
      <c r="J1196" s="126">
        <v>1308</v>
      </c>
      <c r="K1196" s="126">
        <v>2520</v>
      </c>
      <c r="O1196" s="15" t="s">
        <v>214</v>
      </c>
      <c r="Q1196" s="16">
        <f t="shared" si="0"/>
        <v>1</v>
      </c>
      <c r="R1196" s="16">
        <f t="shared" si="1"/>
        <v>34</v>
      </c>
      <c r="S1196" s="16">
        <v>1</v>
      </c>
      <c r="T1196" s="126" t="s">
        <v>129</v>
      </c>
      <c r="U1196" s="126" t="s">
        <v>144</v>
      </c>
      <c r="V1196" s="126" t="s">
        <v>114</v>
      </c>
      <c r="X1196" s="126" t="s">
        <v>115</v>
      </c>
      <c r="Y1196" s="126" t="s">
        <v>110</v>
      </c>
      <c r="Z1196" s="126">
        <v>3</v>
      </c>
      <c r="AA1196" s="126"/>
      <c r="AB1196" s="126"/>
      <c r="AC1196" s="126"/>
      <c r="AD1196" s="126"/>
      <c r="AE1196" s="126" t="s">
        <v>116</v>
      </c>
      <c r="AG1196" s="16">
        <f>AH1196-AI1196</f>
        <v>98</v>
      </c>
      <c r="AH1196" s="126">
        <v>171</v>
      </c>
      <c r="AI1196" s="126">
        <v>73</v>
      </c>
      <c r="AK1196" s="126">
        <v>25.5</v>
      </c>
      <c r="AL1196" s="126">
        <v>0</v>
      </c>
      <c r="AM1196" s="126">
        <v>1</v>
      </c>
      <c r="AN1196" s="126">
        <v>0</v>
      </c>
      <c r="AO1196" s="16">
        <f>IF(SUM(AL1196:AN1196)&gt;0,1,0)</f>
        <v>1</v>
      </c>
      <c r="AP1196" s="18">
        <f>SUM(AL1196:AN1196)</f>
        <v>1</v>
      </c>
      <c r="AR1196" s="16">
        <v>0.26300000000000012</v>
      </c>
      <c r="AS1196" s="16">
        <f>VLOOKUP(E1196,'[1]Feces weights'!$D$1:$H$459,5,FALSE)</f>
        <v>0.26300000000000012</v>
      </c>
      <c r="AT1196" s="16" t="str">
        <f>VLOOKUP(E1196,[2]Current!$A$1:$W$435,7,FALSE)</f>
        <v>DP</v>
      </c>
      <c r="AU1196" s="16" t="s">
        <v>1288</v>
      </c>
      <c r="AW1196" s="128">
        <f>IF(AX1196&gt;0,1,0)</f>
        <v>1</v>
      </c>
      <c r="AX1196" s="128">
        <f>SUM(BA1196,BM1196,CU1196)</f>
        <v>2</v>
      </c>
      <c r="AY1196" s="128">
        <f>SUM(BB1196,BN1196,CV1196)</f>
        <v>2380.2281368821282</v>
      </c>
      <c r="AZ1196" s="128">
        <f>IF(BA1196&gt;0,1,0)</f>
        <v>1</v>
      </c>
      <c r="BA1196" s="128">
        <f>SUM(BC1196+BF1196+BI1196)</f>
        <v>2</v>
      </c>
      <c r="BB1196" s="128">
        <f>SUM(BE1196,BH1196,BK1196)</f>
        <v>2380.2281368821282</v>
      </c>
      <c r="BC1196" s="130">
        <f>IF(BD1196&gt;0,1,0)</f>
        <v>0</v>
      </c>
      <c r="BD1196" s="128">
        <f>VLOOKUP($E1196,[2]Current!$A:$AC,26,FALSE)</f>
        <v>0</v>
      </c>
      <c r="BE1196" s="128">
        <f>BD1196/$AS1196</f>
        <v>0</v>
      </c>
      <c r="BF1196" s="130">
        <f>IF(BG1196&gt;0,1,0)</f>
        <v>1</v>
      </c>
      <c r="BG1196" s="137">
        <f>VLOOKUP($E1196,[2]Current!$A:$AC,27,FALSE)</f>
        <v>602</v>
      </c>
      <c r="BH1196" s="128">
        <f>BG1196/$AS1196</f>
        <v>2288.973384030417</v>
      </c>
      <c r="BI1196" s="130">
        <f>IF(BJ1196&gt;0,1,0)</f>
        <v>1</v>
      </c>
      <c r="BJ1196" s="128">
        <f>VLOOKUP($E1196,[2]Current!$A:$AC,28,FALSE)</f>
        <v>24</v>
      </c>
      <c r="BK1196" s="128">
        <f>BJ1196/$AS1196</f>
        <v>91.25475285171099</v>
      </c>
      <c r="BL1196" s="128">
        <f>IF(BM1196&gt;0,1,0)</f>
        <v>0</v>
      </c>
      <c r="BM1196" s="128">
        <f>SUM(BR1196,BU1196,BX1196,CA1196,CD1196)</f>
        <v>0</v>
      </c>
      <c r="BN1196" s="131">
        <f>SUM(BT1196,BW1196,BZ1196,CC1196,CF1196)</f>
        <v>0</v>
      </c>
      <c r="BO1196" s="128">
        <f>IF(BP1196&gt;0,1,0)</f>
        <v>0</v>
      </c>
      <c r="BP1196" s="128">
        <f>BM1196+CJ1196</f>
        <v>0</v>
      </c>
      <c r="BQ1196" s="128">
        <f>BN1196+CL1196</f>
        <v>0</v>
      </c>
      <c r="BR1196" s="130">
        <f>IF(BS1196&gt;0,1,0)</f>
        <v>0</v>
      </c>
      <c r="BS1196" s="128">
        <f>VLOOKUP($E1196,[2]Current!$A:$AC,12,FALSE)</f>
        <v>0</v>
      </c>
      <c r="BT1196" s="137">
        <f>BS1196/$AS1196</f>
        <v>0</v>
      </c>
      <c r="BU1196" s="130">
        <f>IF(BV1196&gt;0,1,0)</f>
        <v>0</v>
      </c>
      <c r="BV1196" s="128">
        <f>VLOOKUP($E1196,[2]Current!$A:$AC,13,FALSE)</f>
        <v>0</v>
      </c>
      <c r="BW1196" s="128">
        <f>BV1196/$AS1196</f>
        <v>0</v>
      </c>
      <c r="BX1196" s="130">
        <f>IF(BY1196&gt;0,1,0)</f>
        <v>0</v>
      </c>
      <c r="BY1196" s="128">
        <f>VLOOKUP($E1196,[2]Current!$A:$AC,14,FALSE)</f>
        <v>0</v>
      </c>
      <c r="BZ1196" s="128">
        <f>BY1196/$AS1196</f>
        <v>0</v>
      </c>
      <c r="CA1196" s="130">
        <f>IF(CB1196&gt;0,1,0)</f>
        <v>0</v>
      </c>
      <c r="CB1196" s="128">
        <f>VLOOKUP($E1196,[2]Current!$A:$AC,15,FALSE)</f>
        <v>0</v>
      </c>
      <c r="CC1196" s="128">
        <f>CB1196/$AS1196</f>
        <v>0</v>
      </c>
      <c r="CD1196" s="174">
        <f>IF(CE1196&gt;0,1,0)</f>
        <v>0</v>
      </c>
      <c r="CE1196" s="128">
        <f>VLOOKUP($E1196,[2]Current!$A:$AC,16,FALSE)</f>
        <v>0</v>
      </c>
      <c r="CF1196" s="128">
        <f>CE1196/$AS1196</f>
        <v>0</v>
      </c>
      <c r="CG1196" s="18"/>
      <c r="CH1196" s="18"/>
      <c r="CI1196" s="18"/>
      <c r="CJ1196" s="130">
        <f>IF(CK1196&gt;0,1,0)</f>
        <v>0</v>
      </c>
      <c r="CK1196" s="128">
        <f>VLOOKUP($E1196,[2]Current!$A:$AC,18,FALSE)</f>
        <v>0</v>
      </c>
      <c r="CL1196" s="128">
        <f>CK1196/$AS1196</f>
        <v>0</v>
      </c>
      <c r="CS1196" s="130">
        <f>IF(CU1196&gt;0,1,0)</f>
        <v>0</v>
      </c>
      <c r="CT1196" s="18"/>
      <c r="CU1196" s="128">
        <f>VLOOKUP($E1196,[2]Current!$A:$AC,17,FALSE)</f>
        <v>0</v>
      </c>
      <c r="CV1196" s="128">
        <f>CU1196/$AS1196</f>
        <v>0</v>
      </c>
      <c r="CW1196" s="18"/>
      <c r="CX1196" s="18"/>
      <c r="CY1196" s="18"/>
      <c r="DF1196" s="16" t="e">
        <f>VLOOKUP(K1196,'[3]RNA Seq summary tables'!$V$3:$V$99,1,FALSE)</f>
        <v>#N/A</v>
      </c>
      <c r="DG1196" s="126" t="s">
        <v>116</v>
      </c>
    </row>
    <row r="1197" spans="2:288" ht="16" x14ac:dyDescent="0.2">
      <c r="B1197" s="16">
        <v>2018</v>
      </c>
      <c r="C1197" s="124">
        <v>43294</v>
      </c>
      <c r="D1197" t="s">
        <v>962</v>
      </c>
      <c r="E1197" s="37" t="str">
        <f>CONCATENATE(T1197,"-",U1197,"-",C1197)</f>
        <v>HW2-D5-43294</v>
      </c>
      <c r="F1197" s="16" t="s">
        <v>227</v>
      </c>
      <c r="G1197" s="126" t="s">
        <v>107</v>
      </c>
      <c r="H1197" s="126"/>
      <c r="J1197" s="126">
        <v>1308</v>
      </c>
      <c r="K1197" s="126">
        <v>2605</v>
      </c>
      <c r="O1197" s="15" t="s">
        <v>214</v>
      </c>
      <c r="Q1197" s="16">
        <f t="shared" si="0"/>
        <v>1</v>
      </c>
      <c r="R1197" s="16">
        <f t="shared" si="1"/>
        <v>17</v>
      </c>
      <c r="S1197" s="16">
        <v>1</v>
      </c>
      <c r="T1197" s="126" t="s">
        <v>129</v>
      </c>
      <c r="U1197" s="126" t="s">
        <v>183</v>
      </c>
      <c r="V1197" s="126" t="s">
        <v>114</v>
      </c>
      <c r="X1197" s="126" t="s">
        <v>115</v>
      </c>
      <c r="Y1197" s="126" t="s">
        <v>110</v>
      </c>
      <c r="Z1197" s="126">
        <v>3</v>
      </c>
      <c r="AA1197" s="126"/>
      <c r="AB1197" s="126"/>
      <c r="AC1197" s="126"/>
      <c r="AD1197" s="126" t="s">
        <v>116</v>
      </c>
      <c r="AE1197" s="126" t="s">
        <v>116</v>
      </c>
      <c r="AG1197" s="16">
        <f>AH1197-AI1197</f>
        <v>93</v>
      </c>
      <c r="AH1197" s="126">
        <v>174</v>
      </c>
      <c r="AI1197" s="126">
        <v>81</v>
      </c>
      <c r="AK1197" s="126">
        <v>24</v>
      </c>
      <c r="AL1197" s="126">
        <v>1</v>
      </c>
      <c r="AM1197" s="126">
        <v>0</v>
      </c>
      <c r="AN1197" s="126">
        <v>0</v>
      </c>
      <c r="AO1197" s="16">
        <f>IF(SUM(AL1197:AN1197)&gt;0,1,0)</f>
        <v>1</v>
      </c>
      <c r="AP1197" s="18">
        <f>SUM(AL1197:AN1197)</f>
        <v>1</v>
      </c>
      <c r="AR1197" s="16">
        <v>0.10600000000000009</v>
      </c>
      <c r="AS1197" s="16">
        <f>VLOOKUP(E1197,'[1]Feces weights'!$D$1:$H$459,5,FALSE)</f>
        <v>0.10600000000000009</v>
      </c>
      <c r="AT1197" s="16" t="str">
        <f>VLOOKUP(E1197,[2]Current!$A$1:$W$435,7,FALSE)</f>
        <v>JY</v>
      </c>
      <c r="AU1197" s="16" t="s">
        <v>1288</v>
      </c>
      <c r="AV1197" s="23"/>
      <c r="AW1197" s="128">
        <f>IF(AX1197&gt;0,1,0)</f>
        <v>1</v>
      </c>
      <c r="AX1197" s="128">
        <f>SUM(BA1197,BM1197,CU1197)</f>
        <v>1</v>
      </c>
      <c r="AY1197" s="128">
        <f>SUM(BB1197,BN1197,CV1197)</f>
        <v>283.01886792452802</v>
      </c>
      <c r="AZ1197" s="128">
        <f>IF(BA1197&gt;0,1,0)</f>
        <v>1</v>
      </c>
      <c r="BA1197" s="128">
        <f>SUM(BC1197+BF1197+BI1197)</f>
        <v>1</v>
      </c>
      <c r="BB1197" s="128">
        <f>SUM(BE1197,BH1197,BK1197)</f>
        <v>283.01886792452802</v>
      </c>
      <c r="BC1197" s="130">
        <f>IF(BD1197&gt;0,1,0)</f>
        <v>0</v>
      </c>
      <c r="BD1197" s="128">
        <f>VLOOKUP($E1197,[2]Current!$A:$AC,26,FALSE)</f>
        <v>0</v>
      </c>
      <c r="BE1197" s="128">
        <f>BD1197/$AS1197</f>
        <v>0</v>
      </c>
      <c r="BF1197" s="130">
        <f>IF(BG1197&gt;0,1,0)</f>
        <v>1</v>
      </c>
      <c r="BG1197" s="137">
        <f>VLOOKUP($E1197,[2]Current!$A:$AC,27,FALSE)</f>
        <v>30</v>
      </c>
      <c r="BH1197" s="128">
        <f>BG1197/$AS1197</f>
        <v>283.01886792452802</v>
      </c>
      <c r="BI1197" s="130">
        <f>IF(BJ1197&gt;0,1,0)</f>
        <v>0</v>
      </c>
      <c r="BJ1197" s="128">
        <f>VLOOKUP($E1197,[2]Current!$A:$AC,28,FALSE)</f>
        <v>0</v>
      </c>
      <c r="BK1197" s="128">
        <f>BJ1197/$AS1197</f>
        <v>0</v>
      </c>
      <c r="BL1197" s="128">
        <f>IF(BM1197&gt;0,1,0)</f>
        <v>0</v>
      </c>
      <c r="BM1197" s="128">
        <f>SUM(BR1197,BU1197,BX1197,CA1197,CD1197)</f>
        <v>0</v>
      </c>
      <c r="BN1197" s="131">
        <f>SUM(BT1197,BW1197,BZ1197,CC1197,CF1197)</f>
        <v>0</v>
      </c>
      <c r="BO1197" s="128">
        <f>IF(BP1197&gt;0,1,0)</f>
        <v>0</v>
      </c>
      <c r="BP1197" s="128">
        <f>BM1197+CJ1197</f>
        <v>0</v>
      </c>
      <c r="BQ1197" s="128">
        <f>BN1197+CL1197</f>
        <v>0</v>
      </c>
      <c r="BR1197" s="130">
        <f>IF(BS1197&gt;0,1,0)</f>
        <v>0</v>
      </c>
      <c r="BS1197" s="128">
        <f>VLOOKUP($E1197,[2]Current!$A:$AC,12,FALSE)</f>
        <v>0</v>
      </c>
      <c r="BT1197" s="137">
        <f>BS1197/$AS1197</f>
        <v>0</v>
      </c>
      <c r="BU1197" s="130">
        <f>IF(BV1197&gt;0,1,0)</f>
        <v>0</v>
      </c>
      <c r="BV1197" s="128">
        <f>VLOOKUP($E1197,[2]Current!$A:$AC,13,FALSE)</f>
        <v>0</v>
      </c>
      <c r="BW1197" s="128">
        <f>BV1197/$AS1197</f>
        <v>0</v>
      </c>
      <c r="BX1197" s="130">
        <f>IF(BY1197&gt;0,1,0)</f>
        <v>0</v>
      </c>
      <c r="BY1197" s="128">
        <f>VLOOKUP($E1197,[2]Current!$A:$AC,14,FALSE)</f>
        <v>0</v>
      </c>
      <c r="BZ1197" s="128">
        <f>BY1197/$AS1197</f>
        <v>0</v>
      </c>
      <c r="CA1197" s="130">
        <f>IF(CB1197&gt;0,1,0)</f>
        <v>0</v>
      </c>
      <c r="CB1197" s="128">
        <f>VLOOKUP($E1197,[2]Current!$A:$AC,15,FALSE)</f>
        <v>0</v>
      </c>
      <c r="CC1197" s="128">
        <f>CB1197/$AS1197</f>
        <v>0</v>
      </c>
      <c r="CD1197" s="174">
        <f>IF(CE1197&gt;0,1,0)</f>
        <v>0</v>
      </c>
      <c r="CE1197" s="128">
        <f>VLOOKUP($E1197,[2]Current!$A:$AC,16,FALSE)</f>
        <v>0</v>
      </c>
      <c r="CF1197" s="128">
        <f>CE1197/$AS1197</f>
        <v>0</v>
      </c>
      <c r="CG1197" s="18"/>
      <c r="CH1197" s="18"/>
      <c r="CI1197" s="18"/>
      <c r="CJ1197" s="130">
        <f>IF(CK1197&gt;0,1,0)</f>
        <v>0</v>
      </c>
      <c r="CK1197" s="128">
        <f>VLOOKUP($E1197,[2]Current!$A:$AC,18,FALSE)</f>
        <v>0</v>
      </c>
      <c r="CL1197" s="128">
        <f>CK1197/$AS1197</f>
        <v>0</v>
      </c>
      <c r="CS1197" s="130">
        <f>IF(CU1197&gt;0,1,0)</f>
        <v>0</v>
      </c>
      <c r="CU1197" s="128">
        <f>VLOOKUP($E1197,[2]Current!$A:$AC,17,FALSE)</f>
        <v>0</v>
      </c>
      <c r="CV1197" s="128">
        <f>CU1197/$AS1197</f>
        <v>0</v>
      </c>
      <c r="CW1197" s="18"/>
      <c r="CX1197" s="18"/>
      <c r="CY1197" s="18"/>
      <c r="DF1197" s="16" t="e">
        <f>VLOOKUP(K1197,'[3]RNA Seq summary tables'!$V$3:$V$99,1,FALSE)</f>
        <v>#N/A</v>
      </c>
      <c r="DG1197" s="126" t="s">
        <v>116</v>
      </c>
      <c r="JR1197" s="18"/>
      <c r="JS1197" s="18"/>
      <c r="JT1197" s="18"/>
      <c r="JU1197" s="18"/>
      <c r="JV1197" s="18"/>
      <c r="JW1197" s="18"/>
      <c r="JX1197" s="18"/>
      <c r="JY1197" s="18"/>
      <c r="JZ1197" s="18"/>
      <c r="KA1197" s="18"/>
      <c r="KB1197" s="18"/>
    </row>
    <row r="1198" spans="2:288" ht="16" x14ac:dyDescent="0.2">
      <c r="B1198" s="16">
        <v>2018</v>
      </c>
      <c r="C1198" s="124">
        <v>43305</v>
      </c>
      <c r="D1198" t="s">
        <v>1055</v>
      </c>
      <c r="E1198" s="142" t="str">
        <f>CONCATENATE(T1198,"-",U1198,"-",C1198)</f>
        <v>HW2-C3-43305</v>
      </c>
      <c r="F1198" s="16" t="s">
        <v>227</v>
      </c>
      <c r="G1198" s="126" t="s">
        <v>107</v>
      </c>
      <c r="H1198" s="126"/>
      <c r="J1198" s="126">
        <v>1308</v>
      </c>
      <c r="K1198" s="126">
        <v>2698</v>
      </c>
      <c r="O1198" s="15" t="s">
        <v>214</v>
      </c>
      <c r="Q1198" s="16">
        <f t="shared" si="0"/>
        <v>1</v>
      </c>
      <c r="R1198" s="16">
        <f t="shared" si="1"/>
        <v>11</v>
      </c>
      <c r="S1198" s="16">
        <v>1</v>
      </c>
      <c r="T1198" s="126" t="s">
        <v>129</v>
      </c>
      <c r="U1198" s="126" t="s">
        <v>237</v>
      </c>
      <c r="V1198" s="126" t="s">
        <v>114</v>
      </c>
      <c r="X1198" s="126" t="s">
        <v>115</v>
      </c>
      <c r="Y1198" s="126" t="s">
        <v>110</v>
      </c>
      <c r="Z1198" s="126">
        <v>3</v>
      </c>
      <c r="AA1198" s="126"/>
      <c r="AB1198" s="126"/>
      <c r="AC1198" s="126"/>
      <c r="AD1198" s="126" t="s">
        <v>116</v>
      </c>
      <c r="AE1198" s="126" t="s">
        <v>116</v>
      </c>
      <c r="AG1198" s="40">
        <f>AH1198-AI1198</f>
        <v>93</v>
      </c>
      <c r="AH1198" s="126">
        <v>172</v>
      </c>
      <c r="AI1198" s="126">
        <v>79</v>
      </c>
      <c r="AK1198" s="126">
        <v>27</v>
      </c>
      <c r="AL1198" s="126">
        <v>0</v>
      </c>
      <c r="AM1198" s="126">
        <v>0</v>
      </c>
      <c r="AN1198" s="126">
        <v>0</v>
      </c>
      <c r="AO1198" s="16">
        <f>IF(SUM(AL1198:AN1198)&gt;0,1,0)</f>
        <v>0</v>
      </c>
      <c r="AP1198" s="18">
        <f>SUM(AL1198:AN1198)</f>
        <v>0</v>
      </c>
      <c r="AR1198" s="16">
        <v>0.3510000000000002</v>
      </c>
      <c r="AS1198" s="16">
        <f>VLOOKUP(E1198,'[1]Feces weights'!$D$1:$H$459,5,FALSE)</f>
        <v>0.3510000000000002</v>
      </c>
      <c r="AT1198" s="16" t="e">
        <f>VLOOKUP(E1198,[2]Current!$A$1:$W$435,7,FALSE)</f>
        <v>#N/A</v>
      </c>
      <c r="AU1198" s="16">
        <v>0</v>
      </c>
      <c r="BG1198" s="77"/>
      <c r="BN1198" s="126"/>
      <c r="BT1198" s="78"/>
      <c r="BU1198" s="18"/>
      <c r="BV1198" s="18"/>
      <c r="BW1198" s="25"/>
      <c r="BX1198" s="18"/>
      <c r="BY1198" s="18"/>
      <c r="BZ1198" s="25"/>
      <c r="CA1198" s="18"/>
      <c r="CB1198" s="18"/>
      <c r="CC1198" s="25"/>
      <c r="CD1198" s="78"/>
      <c r="CE1198" s="18"/>
      <c r="CF1198" s="25"/>
      <c r="CG1198" s="18"/>
      <c r="CH1198" s="18"/>
      <c r="CI1198" s="18"/>
      <c r="CJ1198" s="18"/>
      <c r="CK1198" s="18"/>
      <c r="CL1198" s="25"/>
      <c r="DF1198" s="16" t="e">
        <f>VLOOKUP(K1198,'[3]RNA Seq summary tables'!$V$3:$V$99,1,FALSE)</f>
        <v>#N/A</v>
      </c>
      <c r="DG1198" s="126" t="s">
        <v>116</v>
      </c>
    </row>
    <row r="1199" spans="2:288" ht="16" x14ac:dyDescent="0.2">
      <c r="B1199" s="16">
        <v>2017</v>
      </c>
      <c r="C1199" s="20">
        <v>42949</v>
      </c>
      <c r="D1199" s="20" t="str">
        <f>CONCATENATE(J1199,"-",C1199)</f>
        <v>1310-42949</v>
      </c>
      <c r="E1199" s="37" t="str">
        <f>CONCATENATE(T1199,"-",U1199,"-",C1199)</f>
        <v>HW2-H1-42949</v>
      </c>
      <c r="F1199" s="20" t="s">
        <v>106</v>
      </c>
      <c r="G1199" s="20" t="s">
        <v>107</v>
      </c>
      <c r="I1199" s="16">
        <v>0</v>
      </c>
      <c r="J1199" s="21">
        <v>1310</v>
      </c>
      <c r="K1199" s="21">
        <v>2061</v>
      </c>
      <c r="L1199" s="18">
        <v>0</v>
      </c>
      <c r="M1199" s="21">
        <f>VLOOKUP($K1199,'[4]blood tubes 2017'!$D$1:$L$647,8,FALSE)</f>
        <v>0</v>
      </c>
      <c r="N1199" s="15">
        <v>0</v>
      </c>
      <c r="O1199" s="15" t="s">
        <v>214</v>
      </c>
      <c r="Q1199" s="16">
        <f t="shared" si="0"/>
        <v>0</v>
      </c>
      <c r="R1199" s="16" t="str">
        <f t="shared" ref="R1199:R1220" si="2">IF(J1199=J1198,C1199-C1198,"")</f>
        <v/>
      </c>
      <c r="T1199" s="16" t="s">
        <v>129</v>
      </c>
      <c r="U1199" s="16" t="s">
        <v>191</v>
      </c>
      <c r="V1199" s="16" t="s">
        <v>114</v>
      </c>
      <c r="W1199" s="16">
        <f>AI1199/AG1199</f>
        <v>0.86746987951807231</v>
      </c>
      <c r="X1199" s="16" t="s">
        <v>121</v>
      </c>
      <c r="Y1199" s="16" t="s">
        <v>110</v>
      </c>
      <c r="Z1199" s="16">
        <v>3</v>
      </c>
      <c r="AA1199" s="16" t="s">
        <v>119</v>
      </c>
      <c r="AB1199" s="16" t="s">
        <v>123</v>
      </c>
      <c r="AC1199" s="16" t="s">
        <v>123</v>
      </c>
      <c r="AD1199" s="16" t="s">
        <v>123</v>
      </c>
      <c r="AG1199" s="16">
        <f>AH1199-AI1199</f>
        <v>83</v>
      </c>
      <c r="AH1199" s="16">
        <v>155</v>
      </c>
      <c r="AI1199" s="16">
        <v>72</v>
      </c>
      <c r="AK1199" s="16">
        <v>19</v>
      </c>
      <c r="AL1199" s="16">
        <v>0</v>
      </c>
      <c r="AM1199" s="16">
        <v>0</v>
      </c>
      <c r="AN1199" s="16">
        <v>0</v>
      </c>
      <c r="AO1199" s="16">
        <v>0</v>
      </c>
      <c r="AP1199" s="16">
        <f>SUM(AL1199:AO1199)</f>
        <v>0</v>
      </c>
      <c r="AQ1199" s="16">
        <v>1.9259999999999999</v>
      </c>
      <c r="AR1199" s="16">
        <f>AP1199-1.472</f>
        <v>-1.472</v>
      </c>
      <c r="AS1199" s="16">
        <f>AQ1199-1.472</f>
        <v>0.45399999999999996</v>
      </c>
      <c r="AT1199" s="16" t="str">
        <f>VLOOKUP(E1199,[2]Current!$A$1:$W$435,7,FALSE)</f>
        <v>TE</v>
      </c>
      <c r="AU1199" s="16" t="s">
        <v>1288</v>
      </c>
      <c r="AW1199" s="128">
        <f>IF(AX1199&gt;0,1,0)</f>
        <v>1</v>
      </c>
      <c r="AX1199" s="128">
        <f>SUM(BA1199,BM1199,CU1199)</f>
        <v>5</v>
      </c>
      <c r="AY1199" s="128">
        <f>SUM(BB1199,BN1199,CV1199)</f>
        <v>903.08370044052879</v>
      </c>
      <c r="AZ1199" s="128">
        <f>IF(BA1199&gt;0,1,0)</f>
        <v>1</v>
      </c>
      <c r="BA1199" s="128">
        <f>SUM(BC1199+BF1199+BI1199)</f>
        <v>3</v>
      </c>
      <c r="BB1199" s="128">
        <f>SUM(BE1199,BH1199,BK1199)</f>
        <v>784.1409691629957</v>
      </c>
      <c r="BC1199" s="130">
        <f>IF(BD1199&gt;0,1,0)</f>
        <v>1</v>
      </c>
      <c r="BD1199" s="128">
        <f>VLOOKUP($E1199,[2]Current!$A:$AC,26,FALSE)</f>
        <v>114</v>
      </c>
      <c r="BE1199" s="128">
        <f>BD1199/$AS1199</f>
        <v>251.10132158590309</v>
      </c>
      <c r="BF1199" s="130">
        <f>IF(BG1199&gt;0,1,0)</f>
        <v>1</v>
      </c>
      <c r="BG1199" s="137">
        <f>VLOOKUP($E1199,[2]Current!$A:$AC,27,FALSE)</f>
        <v>20</v>
      </c>
      <c r="BH1199" s="128">
        <f>BG1199/$AS1199</f>
        <v>44.052863436123353</v>
      </c>
      <c r="BI1199" s="130">
        <f>IF(BJ1199&gt;0,1,0)</f>
        <v>1</v>
      </c>
      <c r="BJ1199" s="128">
        <f>VLOOKUP($E1199,[2]Current!$A:$AC,28,FALSE)</f>
        <v>222</v>
      </c>
      <c r="BK1199" s="128">
        <f>BJ1199/$AS1199</f>
        <v>488.98678414096923</v>
      </c>
      <c r="BL1199" s="128">
        <f>IF(BM1199&gt;0,1,0)</f>
        <v>1</v>
      </c>
      <c r="BM1199" s="128">
        <f>SUM(BR1199,BU1199,BX1199,CA1199,CD1199)</f>
        <v>2</v>
      </c>
      <c r="BN1199" s="131">
        <f>SUM(BT1199,BW1199,BZ1199,CC1199,CF1199)</f>
        <v>118.94273127753304</v>
      </c>
      <c r="BO1199" s="128">
        <f>IF(BP1199&gt;0,1,0)</f>
        <v>1</v>
      </c>
      <c r="BP1199" s="128">
        <f>BM1199+CJ1199</f>
        <v>3</v>
      </c>
      <c r="BQ1199" s="128">
        <f>BN1199+CL1199</f>
        <v>127.75330396475772</v>
      </c>
      <c r="BR1199" s="130">
        <f>IF(BS1199&gt;0,1,0)</f>
        <v>0</v>
      </c>
      <c r="BS1199" s="128">
        <f>VLOOKUP($E1199,[2]Current!$A:$AC,12,FALSE)</f>
        <v>0</v>
      </c>
      <c r="BT1199" s="137">
        <f>BS1199/$AS1199</f>
        <v>0</v>
      </c>
      <c r="BU1199" s="130">
        <f>IF(BV1199&gt;0,1,0)</f>
        <v>0</v>
      </c>
      <c r="BV1199" s="128">
        <f>VLOOKUP($E1199,[2]Current!$A:$AC,13,FALSE)</f>
        <v>0</v>
      </c>
      <c r="BW1199" s="128">
        <f>BV1199/$AS1199</f>
        <v>0</v>
      </c>
      <c r="BX1199" s="130">
        <f>IF(BY1199&gt;0,1,0)</f>
        <v>1</v>
      </c>
      <c r="BY1199" s="128">
        <f>VLOOKUP($E1199,[2]Current!$A:$AC,14,FALSE)</f>
        <v>52</v>
      </c>
      <c r="BZ1199" s="128">
        <f>BY1199/$AS1199</f>
        <v>114.53744493392071</v>
      </c>
      <c r="CA1199" s="130">
        <f>IF(CB1199&gt;0,1,0)</f>
        <v>1</v>
      </c>
      <c r="CB1199" s="128">
        <f>VLOOKUP($E1199,[2]Current!$A:$AC,15,FALSE)</f>
        <v>2</v>
      </c>
      <c r="CC1199" s="128">
        <f>CB1199/$AS1199</f>
        <v>4.4052863436123353</v>
      </c>
      <c r="CD1199" s="174">
        <f>IF(CE1199&gt;0,1,0)</f>
        <v>0</v>
      </c>
      <c r="CE1199" s="128">
        <f>VLOOKUP($E1199,[2]Current!$A:$AC,16,FALSE)</f>
        <v>0</v>
      </c>
      <c r="CF1199" s="128">
        <f>CE1199/$AS1199</f>
        <v>0</v>
      </c>
      <c r="CG1199" s="18"/>
      <c r="CH1199" s="18"/>
      <c r="CI1199" s="18"/>
      <c r="CJ1199" s="130">
        <f>IF(CK1199&gt;0,1,0)</f>
        <v>1</v>
      </c>
      <c r="CK1199" s="128">
        <f>VLOOKUP($E1199,[2]Current!$A:$AC,18,FALSE)</f>
        <v>4</v>
      </c>
      <c r="CL1199" s="128">
        <f>CK1199/$AS1199</f>
        <v>8.8105726872246706</v>
      </c>
      <c r="CS1199" s="130">
        <f>IF(CU1199&gt;0,1,0)</f>
        <v>0</v>
      </c>
      <c r="CU1199" s="128">
        <f>VLOOKUP($E1199,[2]Current!$A:$AC,17,FALSE)</f>
        <v>0</v>
      </c>
      <c r="CV1199" s="128">
        <f>CU1199/$AS1199</f>
        <v>0</v>
      </c>
      <c r="CW1199" s="18"/>
      <c r="CX1199" s="18"/>
      <c r="CY1199" s="18"/>
      <c r="DF1199" s="16" t="e">
        <f>VLOOKUP(K1199,'[3]RNA Seq summary tables'!$V$3:$V$99,1,FALSE)</f>
        <v>#N/A</v>
      </c>
    </row>
    <row r="1200" spans="2:288" x14ac:dyDescent="0.2">
      <c r="B1200" s="18">
        <v>2017</v>
      </c>
      <c r="C1200" s="37">
        <v>42950</v>
      </c>
      <c r="D1200" s="37" t="str">
        <f>CONCATENATE(J1200,"-",C1200)</f>
        <v>1312-42950</v>
      </c>
      <c r="E1200" s="142" t="str">
        <f>CONCATENATE(T1200,"-",U1200,"-",C1200)</f>
        <v>HW2-A5-42950</v>
      </c>
      <c r="F1200" s="20" t="s">
        <v>106</v>
      </c>
      <c r="G1200" s="37" t="s">
        <v>107</v>
      </c>
      <c r="H1200" s="18"/>
      <c r="J1200" s="36">
        <v>1312</v>
      </c>
      <c r="K1200" s="36">
        <v>2066</v>
      </c>
      <c r="L1200" s="18">
        <v>0</v>
      </c>
      <c r="M1200" s="21">
        <f>VLOOKUP($K1200,'[4]blood tubes 2017'!$D$1:$L$647,8,FALSE)</f>
        <v>0</v>
      </c>
      <c r="N1200" s="15">
        <v>0</v>
      </c>
      <c r="O1200" s="15" t="s">
        <v>214</v>
      </c>
      <c r="Q1200" s="16">
        <f t="shared" si="0"/>
        <v>0</v>
      </c>
      <c r="R1200" s="16" t="str">
        <f t="shared" si="2"/>
        <v/>
      </c>
      <c r="S1200" s="18"/>
      <c r="T1200" s="18" t="s">
        <v>129</v>
      </c>
      <c r="U1200" s="18" t="s">
        <v>167</v>
      </c>
      <c r="V1200" s="18" t="s">
        <v>114</v>
      </c>
      <c r="W1200" s="16">
        <f>AI1200/AG1200</f>
        <v>0.81914893617021278</v>
      </c>
      <c r="X1200" s="18" t="s">
        <v>115</v>
      </c>
      <c r="Y1200" s="18" t="s">
        <v>110</v>
      </c>
      <c r="Z1200" s="18">
        <v>3</v>
      </c>
      <c r="AA1200" s="18"/>
      <c r="AB1200" s="18"/>
      <c r="AC1200" s="18"/>
      <c r="AD1200" s="18"/>
      <c r="AE1200" s="18" t="s">
        <v>116</v>
      </c>
      <c r="AF1200" s="18" t="s">
        <v>116</v>
      </c>
      <c r="AG1200" s="18">
        <f>AH1200-AI1200</f>
        <v>94</v>
      </c>
      <c r="AH1200" s="18">
        <v>171</v>
      </c>
      <c r="AI1200" s="18">
        <v>77</v>
      </c>
      <c r="AJ1200" s="18"/>
      <c r="AK1200" s="18">
        <v>27</v>
      </c>
      <c r="AL1200" s="18">
        <v>1</v>
      </c>
      <c r="AM1200" s="18">
        <v>0</v>
      </c>
      <c r="AN1200" s="18">
        <v>0</v>
      </c>
      <c r="AO1200" s="18">
        <v>1</v>
      </c>
      <c r="AP1200" s="18">
        <f>SUM(AL1200:AO1200)</f>
        <v>2</v>
      </c>
      <c r="AQ1200" s="18">
        <v>1.78</v>
      </c>
      <c r="AR1200" s="18">
        <f>AP1200-1.472</f>
        <v>0.52800000000000002</v>
      </c>
      <c r="AS1200" s="18">
        <f>AQ1200-1.472</f>
        <v>0.30800000000000005</v>
      </c>
      <c r="AT1200" s="16" t="e">
        <f>VLOOKUP(E1200,[2]Current!$A$1:$W$435,7,FALSE)</f>
        <v>#N/A</v>
      </c>
      <c r="AU1200" s="16">
        <v>0</v>
      </c>
      <c r="AV1200" s="18"/>
      <c r="AW1200" s="18"/>
      <c r="AX1200" s="18"/>
      <c r="AY1200" s="18"/>
      <c r="AZ1200" s="18"/>
      <c r="BA1200" s="18"/>
      <c r="BB1200" s="18"/>
      <c r="BC1200" s="18"/>
      <c r="BD1200" s="18"/>
      <c r="BE1200" s="18"/>
      <c r="BF1200" s="18"/>
      <c r="BG1200" s="78"/>
      <c r="BH1200" s="18"/>
      <c r="BI1200" s="18"/>
      <c r="BJ1200" s="18"/>
      <c r="BK1200" s="18"/>
      <c r="BL1200" s="18"/>
      <c r="BM1200" s="18"/>
      <c r="BN1200" s="18"/>
      <c r="BO1200" s="18"/>
      <c r="BP1200" s="18"/>
      <c r="BQ1200" s="18"/>
      <c r="BR1200" s="18"/>
      <c r="BS1200" s="18"/>
      <c r="BT1200" s="78"/>
      <c r="BU1200" s="18"/>
      <c r="BV1200" s="18"/>
      <c r="BW1200" s="18"/>
      <c r="BX1200" s="18"/>
      <c r="BY1200" s="18"/>
      <c r="BZ1200" s="18"/>
      <c r="CA1200" s="18"/>
      <c r="CB1200" s="18"/>
      <c r="CC1200" s="18"/>
      <c r="CD1200" s="7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6" t="e">
        <f>VLOOKUP(K1200,'[3]RNA Seq summary tables'!$V$3:$V$99,1,FALSE)</f>
        <v>#N/A</v>
      </c>
      <c r="DI1200" s="18"/>
      <c r="DJ1200" s="18"/>
      <c r="DK1200" s="18"/>
      <c r="DL1200" s="18"/>
      <c r="DM1200" s="18"/>
      <c r="DN1200" s="18"/>
      <c r="DO1200" s="18"/>
      <c r="DP1200" s="18"/>
      <c r="DQ1200" s="18"/>
      <c r="DR1200" s="18"/>
      <c r="DS1200" s="18"/>
    </row>
    <row r="1201" spans="1:288" x14ac:dyDescent="0.2">
      <c r="B1201" s="16">
        <v>2017</v>
      </c>
      <c r="C1201" s="20">
        <v>42950</v>
      </c>
      <c r="D1201" s="20" t="str">
        <f>CONCATENATE(J1201,"-",C1201)</f>
        <v>1314-42950</v>
      </c>
      <c r="E1201" s="142" t="str">
        <f>CONCATENATE(T1201,"-",U1201,"-",C1201)</f>
        <v>HW2-C8-42950</v>
      </c>
      <c r="F1201" s="20" t="s">
        <v>106</v>
      </c>
      <c r="G1201" s="20" t="s">
        <v>107</v>
      </c>
      <c r="J1201" s="21">
        <v>1314</v>
      </c>
      <c r="K1201" s="21">
        <v>2068</v>
      </c>
      <c r="L1201" s="18">
        <v>0</v>
      </c>
      <c r="M1201" s="21">
        <f>VLOOKUP($K1201,'[4]blood tubes 2017'!$D$1:$L$647,8,FALSE)</f>
        <v>0</v>
      </c>
      <c r="N1201" s="15">
        <v>0</v>
      </c>
      <c r="O1201" s="15" t="s">
        <v>214</v>
      </c>
      <c r="Q1201" s="16">
        <f t="shared" si="0"/>
        <v>0</v>
      </c>
      <c r="R1201" s="16" t="str">
        <f t="shared" si="2"/>
        <v/>
      </c>
      <c r="T1201" s="16" t="s">
        <v>129</v>
      </c>
      <c r="U1201" s="16" t="s">
        <v>188</v>
      </c>
      <c r="V1201" s="16" t="s">
        <v>114</v>
      </c>
      <c r="W1201" s="16">
        <f>AI1201/AG1201</f>
        <v>0.7978723404255319</v>
      </c>
      <c r="X1201" s="16" t="s">
        <v>115</v>
      </c>
      <c r="Y1201" s="16" t="s">
        <v>110</v>
      </c>
      <c r="Z1201" s="16">
        <v>3</v>
      </c>
      <c r="AE1201" s="16" t="s">
        <v>116</v>
      </c>
      <c r="AF1201" s="16" t="s">
        <v>116</v>
      </c>
      <c r="AG1201" s="16">
        <f>AH1201-AI1201</f>
        <v>94</v>
      </c>
      <c r="AH1201" s="16">
        <v>169</v>
      </c>
      <c r="AI1201" s="16">
        <v>75</v>
      </c>
      <c r="AK1201" s="16">
        <v>27.5</v>
      </c>
      <c r="AL1201" s="16">
        <v>1</v>
      </c>
      <c r="AM1201" s="16">
        <v>1</v>
      </c>
      <c r="AN1201" s="16">
        <v>0</v>
      </c>
      <c r="AO1201" s="16">
        <v>1</v>
      </c>
      <c r="AP1201" s="16">
        <f>SUM(AL1201:AO1201)</f>
        <v>3</v>
      </c>
      <c r="AQ1201" s="16">
        <v>1.653</v>
      </c>
      <c r="AR1201" s="16">
        <f>AP1201-1.472</f>
        <v>1.528</v>
      </c>
      <c r="AS1201" s="16">
        <f>AQ1201-1.472</f>
        <v>0.18100000000000005</v>
      </c>
      <c r="AT1201" s="16" t="e">
        <f>VLOOKUP(E1201,[2]Current!$A$1:$W$435,7,FALSE)</f>
        <v>#N/A</v>
      </c>
      <c r="AU1201" s="16">
        <v>0</v>
      </c>
      <c r="AW1201" s="18"/>
      <c r="AX1201" s="18"/>
      <c r="AY1201" s="18"/>
      <c r="AZ1201" s="18"/>
      <c r="BA1201" s="18"/>
      <c r="BB1201" s="18"/>
      <c r="BC1201" s="18"/>
      <c r="BD1201" s="18"/>
      <c r="BG1201" s="77"/>
      <c r="BT1201" s="77"/>
      <c r="CD1201" s="77"/>
      <c r="DF1201" s="16" t="e">
        <f>VLOOKUP(K1201,'[3]RNA Seq summary tables'!$V$3:$V$99,1,FALSE)</f>
        <v>#N/A</v>
      </c>
      <c r="JR1201" s="18"/>
      <c r="JS1201" s="18"/>
      <c r="JT1201" s="18"/>
      <c r="JU1201" s="18"/>
      <c r="JV1201" s="18"/>
      <c r="JW1201" s="18"/>
      <c r="JX1201" s="18"/>
      <c r="JY1201" s="18"/>
      <c r="JZ1201" s="18"/>
      <c r="KA1201" s="18"/>
      <c r="KB1201" s="18"/>
    </row>
    <row r="1202" spans="1:288" s="41" customFormat="1" x14ac:dyDescent="0.2">
      <c r="A1202" s="18"/>
      <c r="B1202" s="16">
        <v>2017</v>
      </c>
      <c r="C1202" s="20">
        <v>42968</v>
      </c>
      <c r="D1202" s="20" t="str">
        <f>CONCATENATE(J1202,"-",C1202)</f>
        <v>1314-42968</v>
      </c>
      <c r="E1202" s="142" t="str">
        <f>CONCATENATE(T1202,"-",U1202,"-",C1202)</f>
        <v>HW2-E8-42968</v>
      </c>
      <c r="F1202" s="20" t="s">
        <v>106</v>
      </c>
      <c r="G1202" s="20" t="s">
        <v>107</v>
      </c>
      <c r="H1202" s="16"/>
      <c r="I1202" s="16"/>
      <c r="J1202" s="21">
        <v>1314</v>
      </c>
      <c r="K1202" s="21">
        <v>2226</v>
      </c>
      <c r="L1202" s="18">
        <v>0</v>
      </c>
      <c r="M1202" s="21">
        <f>VLOOKUP($K1202,'[4]blood tubes 2017'!$D$1:$L$947,8,FALSE)</f>
        <v>0</v>
      </c>
      <c r="N1202" s="15">
        <v>0</v>
      </c>
      <c r="O1202" s="15" t="s">
        <v>214</v>
      </c>
      <c r="P1202" s="16"/>
      <c r="Q1202" s="16">
        <f t="shared" si="0"/>
        <v>1</v>
      </c>
      <c r="R1202" s="16">
        <f t="shared" si="2"/>
        <v>18</v>
      </c>
      <c r="S1202" s="16"/>
      <c r="T1202" s="16" t="s">
        <v>129</v>
      </c>
      <c r="U1202" s="16" t="s">
        <v>181</v>
      </c>
      <c r="V1202" s="16" t="s">
        <v>114</v>
      </c>
      <c r="W1202" s="16">
        <f>AI1202/AG1202</f>
        <v>0.78947368421052633</v>
      </c>
      <c r="X1202" s="16" t="s">
        <v>115</v>
      </c>
      <c r="Y1202" s="16" t="s">
        <v>110</v>
      </c>
      <c r="Z1202" s="16">
        <v>3</v>
      </c>
      <c r="AA1202" s="16"/>
      <c r="AB1202" s="16"/>
      <c r="AC1202" s="16"/>
      <c r="AD1202" s="16"/>
      <c r="AE1202" s="16" t="s">
        <v>116</v>
      </c>
      <c r="AF1202" s="16" t="s">
        <v>116</v>
      </c>
      <c r="AG1202" s="16">
        <f>AH1202-AI1202</f>
        <v>95</v>
      </c>
      <c r="AH1202" s="16">
        <v>170</v>
      </c>
      <c r="AI1202" s="16">
        <v>75</v>
      </c>
      <c r="AJ1202" s="16"/>
      <c r="AK1202" s="16">
        <v>23.5</v>
      </c>
      <c r="AL1202" s="16">
        <v>1</v>
      </c>
      <c r="AM1202" s="16">
        <v>0</v>
      </c>
      <c r="AN1202" s="16">
        <v>0</v>
      </c>
      <c r="AO1202" s="16">
        <v>1</v>
      </c>
      <c r="AP1202" s="16">
        <f>SUM(AL1202:AN1202)</f>
        <v>1</v>
      </c>
      <c r="AQ1202" s="16">
        <v>1.645</v>
      </c>
      <c r="AR1202" s="16">
        <f>AP1202-1.472</f>
        <v>-0.47199999999999998</v>
      </c>
      <c r="AS1202" s="16">
        <f>AQ1202-1.472</f>
        <v>0.17300000000000004</v>
      </c>
      <c r="AT1202" s="16" t="e">
        <f>VLOOKUP(E1202,[2]Current!$A$1:$W$435,7,FALSE)</f>
        <v>#N/A</v>
      </c>
      <c r="AU1202" s="16">
        <v>0</v>
      </c>
      <c r="AV1202" s="16"/>
      <c r="AW1202" s="18"/>
      <c r="AX1202" s="18"/>
      <c r="AY1202" s="18"/>
      <c r="AZ1202" s="18"/>
      <c r="BA1202" s="18"/>
      <c r="BB1202" s="18"/>
      <c r="BC1202" s="18"/>
      <c r="BD1202" s="18"/>
      <c r="BE1202" s="16"/>
      <c r="BF1202" s="16"/>
      <c r="BG1202" s="77"/>
      <c r="BH1202" s="16"/>
      <c r="BI1202" s="16"/>
      <c r="BJ1202" s="16"/>
      <c r="BK1202" s="16"/>
      <c r="BL1202" s="16"/>
      <c r="BM1202" s="16"/>
      <c r="BN1202" s="16"/>
      <c r="BO1202" s="16"/>
      <c r="BP1202" s="16"/>
      <c r="BQ1202" s="16"/>
      <c r="BR1202" s="16"/>
      <c r="BS1202" s="16"/>
      <c r="BT1202" s="77"/>
      <c r="BU1202" s="16"/>
      <c r="BV1202" s="16"/>
      <c r="BW1202" s="16"/>
      <c r="BX1202" s="16"/>
      <c r="BY1202" s="16"/>
      <c r="BZ1202" s="16"/>
      <c r="CA1202" s="16"/>
      <c r="CB1202" s="16"/>
      <c r="CC1202" s="16"/>
      <c r="CD1202" s="77"/>
      <c r="CE1202" s="16"/>
      <c r="CF1202" s="16"/>
      <c r="CG1202" s="16"/>
      <c r="CH1202" s="16"/>
      <c r="CI1202" s="16"/>
      <c r="CJ1202" s="16"/>
      <c r="CK1202" s="16"/>
      <c r="CL1202" s="16"/>
      <c r="CM1202" s="16"/>
      <c r="CN1202" s="16"/>
      <c r="CO1202" s="16"/>
      <c r="CP1202" s="16"/>
      <c r="CQ1202" s="16"/>
      <c r="CR1202" s="16"/>
      <c r="CS1202" s="16"/>
      <c r="CT1202" s="16"/>
      <c r="CU1202" s="16"/>
      <c r="CV1202" s="16"/>
      <c r="CW1202" s="16"/>
      <c r="CX1202" s="16"/>
      <c r="CY1202" s="16"/>
      <c r="CZ1202" s="16"/>
      <c r="DA1202" s="16"/>
      <c r="DB1202" s="16"/>
      <c r="DC1202" s="16"/>
      <c r="DD1202" s="16"/>
      <c r="DE1202" s="16"/>
      <c r="DF1202" s="16" t="e">
        <f>VLOOKUP(K1202,'[3]RNA Seq summary tables'!$V$3:$V$99,1,FALSE)</f>
        <v>#N/A</v>
      </c>
      <c r="DG1202" s="16"/>
      <c r="DH1202" s="16"/>
      <c r="DI1202" s="16"/>
      <c r="DJ1202" s="16"/>
      <c r="DK1202" s="16"/>
      <c r="DL1202" s="16"/>
      <c r="DM1202" s="16"/>
      <c r="DN1202" s="16"/>
      <c r="DO1202" s="16"/>
      <c r="DP1202" s="16"/>
      <c r="DQ1202" s="16"/>
      <c r="DR1202" s="16"/>
      <c r="DS1202" s="16"/>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18"/>
      <c r="EQ1202" s="18"/>
      <c r="ER1202" s="18"/>
      <c r="ES1202" s="18"/>
      <c r="ET1202" s="18"/>
      <c r="EU1202" s="18"/>
      <c r="EV1202" s="18"/>
      <c r="EW1202" s="18"/>
      <c r="EX1202" s="18"/>
      <c r="EY1202" s="18"/>
      <c r="EZ1202" s="18"/>
      <c r="FA1202" s="18"/>
      <c r="FB1202" s="18"/>
      <c r="FC1202" s="18"/>
      <c r="FD1202" s="18"/>
      <c r="FE1202" s="18"/>
      <c r="FF1202" s="18"/>
      <c r="FG1202" s="18"/>
      <c r="FH1202" s="18"/>
      <c r="FI1202" s="18"/>
      <c r="FJ1202" s="18"/>
      <c r="FK1202" s="18"/>
      <c r="FL1202" s="18"/>
      <c r="FM1202" s="18"/>
      <c r="FN1202" s="18"/>
      <c r="FO1202" s="18"/>
      <c r="FP1202" s="18"/>
      <c r="FQ1202" s="18"/>
      <c r="FR1202" s="18"/>
      <c r="FS1202" s="18"/>
      <c r="FT1202" s="18"/>
      <c r="FU1202" s="18"/>
      <c r="FV1202" s="18"/>
      <c r="FW1202" s="18"/>
      <c r="FX1202" s="18"/>
      <c r="FY1202" s="18"/>
      <c r="FZ1202" s="18"/>
      <c r="GA1202" s="18"/>
      <c r="GB1202" s="18"/>
      <c r="GC1202" s="18"/>
      <c r="GD1202" s="18"/>
      <c r="GE1202" s="18"/>
      <c r="GF1202" s="18"/>
      <c r="GG1202" s="18"/>
      <c r="GH1202" s="18"/>
      <c r="GI1202" s="18"/>
      <c r="GJ1202" s="18"/>
      <c r="GK1202" s="18"/>
      <c r="GL1202" s="18"/>
      <c r="GM1202" s="18"/>
      <c r="GN1202" s="18"/>
      <c r="GO1202" s="18"/>
      <c r="GP1202" s="18"/>
      <c r="GQ1202" s="18"/>
      <c r="GR1202" s="18"/>
      <c r="GS1202" s="18"/>
      <c r="GT1202" s="18"/>
      <c r="GU1202" s="18"/>
      <c r="GV1202" s="18"/>
      <c r="GW1202" s="18"/>
      <c r="GX1202" s="18"/>
      <c r="GY1202" s="18"/>
      <c r="GZ1202" s="18"/>
      <c r="HA1202" s="18"/>
      <c r="HB1202" s="18"/>
      <c r="HC1202" s="18"/>
      <c r="HD1202" s="18"/>
      <c r="HE1202" s="18"/>
      <c r="HF1202" s="18"/>
      <c r="HG1202" s="18"/>
      <c r="HH1202" s="18"/>
      <c r="HI1202" s="18"/>
      <c r="HJ1202" s="18"/>
      <c r="HK1202" s="18"/>
      <c r="HL1202" s="18"/>
      <c r="HM1202" s="18"/>
      <c r="HN1202" s="18"/>
      <c r="HO1202" s="18"/>
      <c r="HP1202" s="18"/>
      <c r="HQ1202" s="18"/>
      <c r="HR1202" s="18"/>
      <c r="HS1202" s="18"/>
      <c r="HT1202" s="18"/>
      <c r="HU1202" s="18"/>
      <c r="HV1202" s="18"/>
      <c r="HW1202" s="18"/>
      <c r="HX1202" s="18"/>
      <c r="HY1202" s="18"/>
      <c r="HZ1202" s="18"/>
      <c r="IA1202" s="18"/>
      <c r="IB1202" s="18"/>
      <c r="IC1202" s="18"/>
      <c r="ID1202" s="18"/>
      <c r="IE1202" s="18"/>
      <c r="IF1202" s="18"/>
      <c r="IG1202" s="18"/>
      <c r="IH1202" s="18"/>
      <c r="II1202" s="18"/>
      <c r="IJ1202" s="18"/>
      <c r="IK1202" s="18"/>
      <c r="IL1202" s="18"/>
      <c r="IM1202" s="18"/>
      <c r="IN1202" s="18"/>
      <c r="IO1202" s="18"/>
      <c r="IP1202" s="18"/>
      <c r="IQ1202" s="18"/>
      <c r="IR1202" s="18"/>
      <c r="IS1202" s="18"/>
      <c r="IT1202" s="18"/>
      <c r="IU1202" s="18"/>
      <c r="IV1202" s="18"/>
      <c r="IW1202" s="18"/>
      <c r="IX1202" s="18"/>
      <c r="IY1202" s="18"/>
      <c r="IZ1202" s="18"/>
      <c r="JA1202" s="18"/>
      <c r="JB1202" s="18"/>
      <c r="JC1202" s="18"/>
      <c r="JD1202" s="18"/>
      <c r="JE1202" s="18"/>
      <c r="JF1202" s="18"/>
      <c r="JG1202" s="18"/>
      <c r="JH1202" s="18"/>
      <c r="JI1202" s="18"/>
      <c r="JJ1202" s="18"/>
      <c r="JK1202" s="18"/>
      <c r="JL1202" s="18"/>
      <c r="JM1202" s="18"/>
      <c r="JN1202" s="18"/>
      <c r="JO1202" s="16"/>
      <c r="JP1202" s="16"/>
      <c r="JQ1202" s="16"/>
      <c r="JR1202" s="16"/>
      <c r="JS1202" s="16"/>
      <c r="JT1202" s="16"/>
      <c r="JU1202" s="16"/>
      <c r="JV1202" s="16"/>
      <c r="JW1202" s="16"/>
      <c r="JX1202" s="16"/>
      <c r="JY1202" s="16"/>
      <c r="JZ1202" s="16"/>
      <c r="KA1202" s="16"/>
      <c r="KB1202" s="16"/>
    </row>
    <row r="1203" spans="1:288" s="41" customFormat="1" x14ac:dyDescent="0.2">
      <c r="A1203" s="18"/>
      <c r="B1203" s="16">
        <v>2017</v>
      </c>
      <c r="C1203" s="43">
        <v>42950</v>
      </c>
      <c r="D1203" s="43" t="str">
        <f>CONCATENATE(J1203,"-",C1203)</f>
        <v>1316-42950</v>
      </c>
      <c r="E1203" s="142" t="str">
        <f>CONCATENATE(T1203,"-",U1203,"-",C1203)</f>
        <v>HW1-E3-42950</v>
      </c>
      <c r="F1203" s="20" t="s">
        <v>106</v>
      </c>
      <c r="G1203" s="43" t="s">
        <v>107</v>
      </c>
      <c r="H1203" s="23"/>
      <c r="I1203" s="16"/>
      <c r="J1203" s="15">
        <v>1316</v>
      </c>
      <c r="K1203" s="15">
        <v>2071</v>
      </c>
      <c r="L1203" s="18">
        <v>0</v>
      </c>
      <c r="M1203" s="21">
        <f>VLOOKUP($K1203,'[4]blood tubes 2017'!$D$1:$L$647,8,FALSE)</f>
        <v>0</v>
      </c>
      <c r="N1203" s="15">
        <v>0</v>
      </c>
      <c r="O1203" s="15" t="s">
        <v>214</v>
      </c>
      <c r="P1203" s="16"/>
      <c r="Q1203" s="16">
        <f t="shared" si="0"/>
        <v>0</v>
      </c>
      <c r="R1203" s="16" t="str">
        <f t="shared" si="2"/>
        <v/>
      </c>
      <c r="S1203" s="23"/>
      <c r="T1203" s="23" t="s">
        <v>133</v>
      </c>
      <c r="U1203" s="23" t="s">
        <v>225</v>
      </c>
      <c r="V1203" s="23" t="s">
        <v>142</v>
      </c>
      <c r="W1203" s="16">
        <f>AI1203/AG1203</f>
        <v>0.87671232876712324</v>
      </c>
      <c r="X1203" s="23" t="s">
        <v>121</v>
      </c>
      <c r="Y1203" s="23" t="s">
        <v>145</v>
      </c>
      <c r="Z1203" s="23">
        <v>1</v>
      </c>
      <c r="AA1203" s="23" t="s">
        <v>119</v>
      </c>
      <c r="AB1203" s="23" t="s">
        <v>123</v>
      </c>
      <c r="AC1203" s="23" t="s">
        <v>123</v>
      </c>
      <c r="AD1203" s="23" t="s">
        <v>123</v>
      </c>
      <c r="AE1203" s="23"/>
      <c r="AF1203" s="23"/>
      <c r="AG1203" s="23">
        <f>AH1203-AI1203</f>
        <v>73</v>
      </c>
      <c r="AH1203" s="23">
        <v>137</v>
      </c>
      <c r="AI1203" s="23">
        <v>64</v>
      </c>
      <c r="AJ1203" s="23"/>
      <c r="AK1203" s="23">
        <v>9</v>
      </c>
      <c r="AL1203" s="23">
        <v>0</v>
      </c>
      <c r="AM1203" s="23">
        <v>0</v>
      </c>
      <c r="AN1203" s="23">
        <v>0</v>
      </c>
      <c r="AO1203" s="23">
        <v>0</v>
      </c>
      <c r="AP1203" s="23">
        <f>SUM(AL1203:AN1203)</f>
        <v>0</v>
      </c>
      <c r="AQ1203" s="23">
        <v>1.6339999999999999</v>
      </c>
      <c r="AR1203" s="23">
        <f>AP1203-1.472</f>
        <v>-1.472</v>
      </c>
      <c r="AS1203" s="23">
        <f>AQ1203-1.472</f>
        <v>0.16199999999999992</v>
      </c>
      <c r="AT1203" s="16" t="e">
        <f>VLOOKUP(E1203,[2]Current!$A$1:$W$435,7,FALSE)</f>
        <v>#N/A</v>
      </c>
      <c r="AU1203" s="16">
        <v>0</v>
      </c>
      <c r="AV1203" s="16"/>
      <c r="AW1203" s="18"/>
      <c r="AX1203" s="18"/>
      <c r="AY1203" s="18"/>
      <c r="AZ1203" s="18"/>
      <c r="BA1203" s="18"/>
      <c r="BB1203" s="18"/>
      <c r="BC1203" s="18"/>
      <c r="BD1203" s="18"/>
      <c r="BE1203" s="16"/>
      <c r="BF1203" s="16"/>
      <c r="BG1203" s="77"/>
      <c r="BH1203" s="16"/>
      <c r="BI1203" s="16"/>
      <c r="BJ1203" s="16"/>
      <c r="BK1203" s="16"/>
      <c r="BL1203" s="16"/>
      <c r="BM1203" s="16"/>
      <c r="BN1203" s="16"/>
      <c r="BO1203" s="16"/>
      <c r="BP1203" s="16"/>
      <c r="BQ1203" s="16"/>
      <c r="BR1203" s="16"/>
      <c r="BS1203" s="16"/>
      <c r="BT1203" s="77"/>
      <c r="BU1203" s="16"/>
      <c r="BV1203" s="16"/>
      <c r="BW1203" s="16"/>
      <c r="BX1203" s="16"/>
      <c r="BY1203" s="16"/>
      <c r="BZ1203" s="16"/>
      <c r="CA1203" s="16"/>
      <c r="CB1203" s="16"/>
      <c r="CC1203" s="16"/>
      <c r="CD1203" s="77"/>
      <c r="CE1203" s="16"/>
      <c r="CF1203" s="16"/>
      <c r="CG1203" s="16"/>
      <c r="CH1203" s="16"/>
      <c r="CI1203" s="16"/>
      <c r="CJ1203" s="16"/>
      <c r="CK1203" s="16"/>
      <c r="CL1203" s="16"/>
      <c r="CM1203" s="16"/>
      <c r="CN1203" s="16"/>
      <c r="CO1203" s="16"/>
      <c r="CP1203" s="16"/>
      <c r="CQ1203" s="16"/>
      <c r="CR1203" s="16"/>
      <c r="CS1203" s="16"/>
      <c r="CT1203" s="16"/>
      <c r="CU1203" s="16"/>
      <c r="CV1203" s="16"/>
      <c r="CW1203" s="16"/>
      <c r="CX1203" s="16"/>
      <c r="CY1203" s="16"/>
      <c r="CZ1203" s="16"/>
      <c r="DA1203" s="16"/>
      <c r="DB1203" s="16"/>
      <c r="DC1203" s="23"/>
      <c r="DD1203" s="23"/>
      <c r="DE1203" s="23"/>
      <c r="DF1203" s="16" t="e">
        <f>VLOOKUP(K1203,'[3]RNA Seq summary tables'!$V$3:$V$99,1,FALSE)</f>
        <v>#N/A</v>
      </c>
      <c r="DG1203" s="16"/>
      <c r="DH1203" s="16"/>
      <c r="DI1203" s="23"/>
      <c r="DJ1203" s="23"/>
      <c r="DK1203" s="23"/>
      <c r="DL1203" s="23"/>
      <c r="DM1203" s="23"/>
      <c r="DN1203" s="23"/>
      <c r="DO1203" s="23"/>
      <c r="DP1203" s="23"/>
      <c r="DQ1203" s="23"/>
      <c r="DR1203" s="23"/>
      <c r="DS1203" s="23"/>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18"/>
      <c r="EQ1203" s="18"/>
      <c r="ER1203" s="18"/>
      <c r="ES1203" s="18"/>
      <c r="ET1203" s="18"/>
      <c r="EU1203" s="18"/>
      <c r="EV1203" s="18"/>
      <c r="EW1203" s="18"/>
      <c r="EX1203" s="18"/>
      <c r="EY1203" s="18"/>
      <c r="EZ1203" s="18"/>
      <c r="FA1203" s="18"/>
      <c r="FB1203" s="18"/>
      <c r="FC1203" s="18"/>
      <c r="FD1203" s="18"/>
      <c r="FE1203" s="18"/>
      <c r="FF1203" s="18"/>
      <c r="FG1203" s="18"/>
      <c r="FH1203" s="18"/>
      <c r="FI1203" s="18"/>
      <c r="FJ1203" s="18"/>
      <c r="FK1203" s="18"/>
      <c r="FL1203" s="18"/>
      <c r="FM1203" s="18"/>
      <c r="FN1203" s="18"/>
      <c r="FO1203" s="18"/>
      <c r="FP1203" s="18"/>
      <c r="FQ1203" s="18"/>
      <c r="FR1203" s="18"/>
      <c r="FS1203" s="18"/>
      <c r="FT1203" s="18"/>
      <c r="FU1203" s="18"/>
      <c r="FV1203" s="18"/>
      <c r="FW1203" s="18"/>
      <c r="FX1203" s="18"/>
      <c r="FY1203" s="18"/>
      <c r="FZ1203" s="18"/>
      <c r="GA1203" s="18"/>
      <c r="GB1203" s="18"/>
      <c r="GC1203" s="18"/>
      <c r="GD1203" s="18"/>
      <c r="GE1203" s="18"/>
      <c r="GF1203" s="18"/>
      <c r="GG1203" s="18"/>
      <c r="GH1203" s="18"/>
      <c r="GI1203" s="18"/>
      <c r="GJ1203" s="18"/>
      <c r="GK1203" s="18"/>
      <c r="GL1203" s="18"/>
      <c r="GM1203" s="18"/>
      <c r="GN1203" s="18"/>
      <c r="GO1203" s="18"/>
      <c r="GP1203" s="18"/>
      <c r="GQ1203" s="18"/>
      <c r="GR1203" s="18"/>
      <c r="GS1203" s="18"/>
      <c r="GT1203" s="18"/>
      <c r="GU1203" s="18"/>
      <c r="GV1203" s="18"/>
      <c r="GW1203" s="18"/>
      <c r="GX1203" s="18"/>
      <c r="GY1203" s="18"/>
      <c r="GZ1203" s="18"/>
      <c r="HA1203" s="18"/>
      <c r="HB1203" s="18"/>
      <c r="HC1203" s="18"/>
      <c r="HD1203" s="18"/>
      <c r="HE1203" s="18"/>
      <c r="HF1203" s="18"/>
      <c r="HG1203" s="18"/>
      <c r="HH1203" s="18"/>
      <c r="HI1203" s="18"/>
      <c r="HJ1203" s="18"/>
      <c r="HK1203" s="18"/>
      <c r="HL1203" s="18"/>
      <c r="HM1203" s="18"/>
      <c r="HN1203" s="18"/>
      <c r="HO1203" s="18"/>
      <c r="HP1203" s="18"/>
      <c r="HQ1203" s="18"/>
      <c r="HR1203" s="18"/>
      <c r="HS1203" s="18"/>
      <c r="HT1203" s="18"/>
      <c r="HU1203" s="18"/>
      <c r="HV1203" s="18"/>
      <c r="HW1203" s="18"/>
      <c r="HX1203" s="18"/>
      <c r="HY1203" s="18"/>
      <c r="HZ1203" s="18"/>
      <c r="IA1203" s="18"/>
      <c r="IB1203" s="18"/>
      <c r="IC1203" s="18"/>
      <c r="ID1203" s="18"/>
      <c r="IE1203" s="18"/>
      <c r="IF1203" s="18"/>
      <c r="IG1203" s="18"/>
      <c r="IH1203" s="18"/>
      <c r="II1203" s="18"/>
      <c r="IJ1203" s="18"/>
      <c r="IK1203" s="18"/>
      <c r="IL1203" s="18"/>
      <c r="IM1203" s="18"/>
      <c r="IN1203" s="18"/>
      <c r="IO1203" s="18"/>
      <c r="IP1203" s="18"/>
      <c r="IQ1203" s="18"/>
      <c r="IR1203" s="18"/>
      <c r="IS1203" s="18"/>
      <c r="IT1203" s="18"/>
      <c r="IU1203" s="18"/>
      <c r="IV1203" s="18"/>
      <c r="IW1203" s="18"/>
      <c r="IX1203" s="18"/>
      <c r="IY1203" s="18"/>
      <c r="IZ1203" s="18"/>
      <c r="JA1203" s="18"/>
      <c r="JB1203" s="18"/>
      <c r="JC1203" s="18"/>
      <c r="JD1203" s="18"/>
      <c r="JE1203" s="18"/>
      <c r="JF1203" s="18"/>
      <c r="JG1203" s="18"/>
      <c r="JH1203" s="18"/>
      <c r="JI1203" s="18"/>
      <c r="JJ1203" s="18"/>
      <c r="JK1203" s="18"/>
      <c r="JL1203" s="18"/>
      <c r="JM1203" s="18"/>
      <c r="JN1203" s="18"/>
      <c r="JO1203" s="16"/>
      <c r="JP1203" s="16"/>
      <c r="JQ1203" s="16"/>
      <c r="JR1203" s="16"/>
      <c r="JS1203" s="16"/>
      <c r="JT1203" s="16"/>
      <c r="JU1203" s="16"/>
      <c r="JV1203" s="16"/>
      <c r="JW1203" s="16"/>
      <c r="JX1203" s="16"/>
      <c r="JY1203" s="16"/>
      <c r="JZ1203" s="16"/>
      <c r="KA1203" s="16"/>
      <c r="KB1203" s="16"/>
    </row>
    <row r="1204" spans="1:288" x14ac:dyDescent="0.2">
      <c r="B1204" s="16">
        <v>2017</v>
      </c>
      <c r="C1204" s="20">
        <v>42967</v>
      </c>
      <c r="D1204" s="20" t="str">
        <f>CONCATENATE(J1204,"-",C1204)</f>
        <v>1316-42967</v>
      </c>
      <c r="E1204" s="142" t="str">
        <f>CONCATENATE(T1204,"-",U1204,"-",C1204)</f>
        <v>HW1-D2-42967</v>
      </c>
      <c r="F1204" s="20" t="s">
        <v>106</v>
      </c>
      <c r="G1204" s="20" t="s">
        <v>107</v>
      </c>
      <c r="J1204" s="21">
        <v>1316</v>
      </c>
      <c r="K1204" s="21">
        <v>2221</v>
      </c>
      <c r="L1204" s="18">
        <v>0</v>
      </c>
      <c r="M1204" s="21">
        <f>VLOOKUP($K1204,'[4]blood tubes 2017'!$D$1:$L$947,8,FALSE)</f>
        <v>0</v>
      </c>
      <c r="N1204" s="15">
        <v>0</v>
      </c>
      <c r="O1204" s="15" t="s">
        <v>214</v>
      </c>
      <c r="Q1204" s="16">
        <f t="shared" si="0"/>
        <v>1</v>
      </c>
      <c r="R1204" s="16">
        <f t="shared" si="2"/>
        <v>17</v>
      </c>
      <c r="T1204" s="16" t="s">
        <v>133</v>
      </c>
      <c r="U1204" s="16" t="s">
        <v>198</v>
      </c>
      <c r="V1204" s="16" t="s">
        <v>142</v>
      </c>
      <c r="W1204" s="16">
        <f>AI1204/AG1204</f>
        <v>0.92500000000000004</v>
      </c>
      <c r="X1204" s="16" t="s">
        <v>121</v>
      </c>
      <c r="Y1204" s="16" t="s">
        <v>122</v>
      </c>
      <c r="Z1204" s="16">
        <v>2.2999999999999998</v>
      </c>
      <c r="AA1204" s="16" t="s">
        <v>119</v>
      </c>
      <c r="AB1204" s="16" t="s">
        <v>123</v>
      </c>
      <c r="AC1204" s="16" t="s">
        <v>123</v>
      </c>
      <c r="AD1204" s="16" t="s">
        <v>123</v>
      </c>
      <c r="AG1204" s="16">
        <f>AH1204-AI1204</f>
        <v>80</v>
      </c>
      <c r="AH1204" s="16">
        <v>154</v>
      </c>
      <c r="AI1204" s="16">
        <v>74</v>
      </c>
      <c r="AK1204" s="16">
        <v>13.5</v>
      </c>
      <c r="AL1204" s="16">
        <v>0</v>
      </c>
      <c r="AM1204" s="16">
        <v>0</v>
      </c>
      <c r="AN1204" s="16">
        <v>0</v>
      </c>
      <c r="AO1204" s="16">
        <v>0</v>
      </c>
      <c r="AP1204" s="16">
        <f>SUM(AL1204:AN1204)</f>
        <v>0</v>
      </c>
      <c r="AQ1204" s="16">
        <v>1.53</v>
      </c>
      <c r="AR1204" s="16">
        <f>AP1204-1.472</f>
        <v>-1.472</v>
      </c>
      <c r="AS1204" s="16">
        <f>AQ1204-1.472</f>
        <v>5.8000000000000052E-2</v>
      </c>
      <c r="AT1204" s="16" t="e">
        <f>VLOOKUP(E1204,[2]Current!$A$1:$W$435,7,FALSE)</f>
        <v>#N/A</v>
      </c>
      <c r="AU1204" s="16">
        <v>0</v>
      </c>
      <c r="AW1204" s="18"/>
      <c r="AX1204" s="18"/>
      <c r="AY1204" s="18"/>
      <c r="AZ1204" s="18"/>
      <c r="BA1204" s="18"/>
      <c r="BB1204" s="18"/>
      <c r="BC1204" s="18"/>
      <c r="BD1204" s="18"/>
      <c r="BG1204" s="77"/>
      <c r="BT1204" s="77"/>
      <c r="CD1204" s="77"/>
      <c r="DF1204" s="16" t="e">
        <f>VLOOKUP(K1204,'[3]RNA Seq summary tables'!$V$3:$V$99,1,FALSE)</f>
        <v>#N/A</v>
      </c>
    </row>
    <row r="1205" spans="1:288" x14ac:dyDescent="0.2">
      <c r="B1205" s="16">
        <v>2017</v>
      </c>
      <c r="C1205" s="20">
        <v>42954</v>
      </c>
      <c r="D1205" s="20" t="str">
        <f>CONCATENATE(J1205,"-",C1205)</f>
        <v>1318-42954</v>
      </c>
      <c r="E1205" s="142" t="str">
        <f>CONCATENATE(T1205,"-",U1205,"-",C1205)</f>
        <v>BC2-G6-42954</v>
      </c>
      <c r="F1205" s="20" t="s">
        <v>106</v>
      </c>
      <c r="G1205" s="20" t="s">
        <v>107</v>
      </c>
      <c r="J1205" s="21">
        <v>1318</v>
      </c>
      <c r="K1205" s="21">
        <v>2079</v>
      </c>
      <c r="L1205" s="18">
        <v>0</v>
      </c>
      <c r="M1205" s="21">
        <f>VLOOKUP($K1205,'[4]blood tubes 2017'!$D$1:$L$647,8,FALSE)</f>
        <v>0</v>
      </c>
      <c r="N1205" s="15">
        <v>0</v>
      </c>
      <c r="O1205" s="15" t="s">
        <v>214</v>
      </c>
      <c r="Q1205" s="16">
        <f t="shared" si="0"/>
        <v>0</v>
      </c>
      <c r="R1205" s="16" t="str">
        <f t="shared" si="2"/>
        <v/>
      </c>
      <c r="T1205" s="16" t="s">
        <v>154</v>
      </c>
      <c r="U1205" s="16" t="s">
        <v>218</v>
      </c>
      <c r="V1205" s="16" t="s">
        <v>114</v>
      </c>
      <c r="W1205" s="16">
        <f>AI1205/AG1205</f>
        <v>0.81318681318681318</v>
      </c>
      <c r="X1205" s="16" t="s">
        <v>115</v>
      </c>
      <c r="Y1205" s="16" t="s">
        <v>110</v>
      </c>
      <c r="Z1205" s="16">
        <v>3</v>
      </c>
      <c r="AE1205" s="16" t="s">
        <v>123</v>
      </c>
      <c r="AF1205" s="16" t="s">
        <v>123</v>
      </c>
      <c r="AG1205" s="16">
        <f>AH1205-AI1205</f>
        <v>91</v>
      </c>
      <c r="AH1205" s="16">
        <v>165</v>
      </c>
      <c r="AI1205" s="16">
        <v>74</v>
      </c>
      <c r="AK1205" s="16">
        <v>20</v>
      </c>
      <c r="AL1205" s="16">
        <v>0</v>
      </c>
      <c r="AM1205" s="16">
        <v>0</v>
      </c>
      <c r="AN1205" s="16">
        <v>0</v>
      </c>
      <c r="AO1205" s="16">
        <v>0</v>
      </c>
      <c r="AP1205" s="16">
        <f>SUM(AL1205:AN1205)</f>
        <v>0</v>
      </c>
      <c r="AQ1205" s="16">
        <v>1.92</v>
      </c>
      <c r="AR1205" s="16">
        <f>AP1205-1.472</f>
        <v>-1.472</v>
      </c>
      <c r="AS1205" s="16">
        <f>AQ1205-1.472</f>
        <v>0.44799999999999995</v>
      </c>
      <c r="AT1205" s="16" t="e">
        <f>VLOOKUP(E1205,[2]Current!$A$1:$W$435,7,FALSE)</f>
        <v>#N/A</v>
      </c>
      <c r="AU1205" s="16">
        <v>0</v>
      </c>
      <c r="AW1205" s="18"/>
      <c r="AX1205" s="18"/>
      <c r="AY1205" s="18"/>
      <c r="AZ1205" s="18"/>
      <c r="BA1205" s="18"/>
      <c r="BB1205" s="18"/>
      <c r="BC1205" s="18"/>
      <c r="BD1205" s="18"/>
      <c r="BG1205" s="77"/>
      <c r="BT1205" s="77"/>
      <c r="CD1205" s="77"/>
      <c r="DF1205" s="16" t="e">
        <f>VLOOKUP(K1205,'[3]RNA Seq summary tables'!$V$3:$V$99,1,FALSE)</f>
        <v>#N/A</v>
      </c>
    </row>
    <row r="1206" spans="1:288" x14ac:dyDescent="0.2">
      <c r="B1206" s="16">
        <v>2017</v>
      </c>
      <c r="C1206" s="20">
        <v>42954</v>
      </c>
      <c r="D1206" s="20" t="str">
        <f>CONCATENATE(J1206,"-",C1206)</f>
        <v>1319-42954</v>
      </c>
      <c r="E1206" s="142" t="str">
        <f>CONCATENATE(T1206,"-",U1206,"-",C1206)</f>
        <v>BC2-H4-42954</v>
      </c>
      <c r="F1206" s="20" t="s">
        <v>106</v>
      </c>
      <c r="G1206" s="20" t="s">
        <v>107</v>
      </c>
      <c r="J1206" s="21">
        <v>1319</v>
      </c>
      <c r="K1206" s="21">
        <v>2081</v>
      </c>
      <c r="L1206" s="18">
        <v>0</v>
      </c>
      <c r="M1206" s="21">
        <f>VLOOKUP($K1206,'[4]blood tubes 2017'!$D$1:$L$647,8,FALSE)</f>
        <v>0</v>
      </c>
      <c r="N1206" s="15">
        <v>0</v>
      </c>
      <c r="O1206" s="15" t="s">
        <v>214</v>
      </c>
      <c r="Q1206" s="16">
        <f t="shared" si="0"/>
        <v>0</v>
      </c>
      <c r="R1206" s="16" t="str">
        <f t="shared" si="2"/>
        <v/>
      </c>
      <c r="T1206" s="16" t="s">
        <v>154</v>
      </c>
      <c r="U1206" s="16" t="s">
        <v>151</v>
      </c>
      <c r="V1206" s="16" t="s">
        <v>114</v>
      </c>
      <c r="W1206" s="16">
        <f>AI1206/AG1206</f>
        <v>0.8125</v>
      </c>
      <c r="X1206" s="16" t="s">
        <v>115</v>
      </c>
      <c r="Y1206" s="16" t="s">
        <v>122</v>
      </c>
      <c r="Z1206" s="16">
        <v>2.2999999999999998</v>
      </c>
      <c r="AE1206" s="16" t="s">
        <v>123</v>
      </c>
      <c r="AF1206" s="16" t="s">
        <v>123</v>
      </c>
      <c r="AG1206" s="16">
        <f>AH1206-AI1206</f>
        <v>80</v>
      </c>
      <c r="AH1206" s="16">
        <v>145</v>
      </c>
      <c r="AI1206" s="16">
        <v>65</v>
      </c>
      <c r="AK1206" s="16">
        <v>17.5</v>
      </c>
      <c r="AL1206" s="16">
        <v>0</v>
      </c>
      <c r="AM1206" s="16">
        <v>0</v>
      </c>
      <c r="AN1206" s="16">
        <v>0</v>
      </c>
      <c r="AO1206" s="16">
        <v>0</v>
      </c>
      <c r="AP1206" s="16">
        <f>SUM(AL1206:AN1206)</f>
        <v>0</v>
      </c>
      <c r="AQ1206" s="16">
        <v>1.9419999999999999</v>
      </c>
      <c r="AR1206" s="16">
        <f>AP1206-1.472</f>
        <v>-1.472</v>
      </c>
      <c r="AS1206" s="16">
        <f>AQ1206-1.472</f>
        <v>0.47</v>
      </c>
      <c r="AT1206" s="16" t="e">
        <f>VLOOKUP(E1206,[2]Current!$A$1:$W$435,7,FALSE)</f>
        <v>#N/A</v>
      </c>
      <c r="AU1206" s="16">
        <v>0</v>
      </c>
      <c r="AW1206" s="18"/>
      <c r="AX1206" s="18"/>
      <c r="AY1206" s="18"/>
      <c r="AZ1206" s="18"/>
      <c r="BA1206" s="18"/>
      <c r="BB1206" s="18"/>
      <c r="BC1206" s="18"/>
      <c r="BD1206" s="18"/>
      <c r="BG1206" s="77"/>
      <c r="BT1206" s="77"/>
      <c r="CD1206" s="77"/>
      <c r="DF1206" s="16" t="e">
        <f>VLOOKUP(K1206,'[3]RNA Seq summary tables'!$V$3:$V$99,1,FALSE)</f>
        <v>#N/A</v>
      </c>
    </row>
    <row r="1207" spans="1:288" x14ac:dyDescent="0.2">
      <c r="B1207" s="16">
        <v>2017</v>
      </c>
      <c r="C1207" s="20">
        <v>42954</v>
      </c>
      <c r="D1207" s="20" t="str">
        <f>CONCATENATE(J1207,"-",C1207)</f>
        <v>1321-42954</v>
      </c>
      <c r="E1207" s="142" t="str">
        <f>CONCATENATE(T1207,"-",U1207,"-",C1207)</f>
        <v>BC1-A1-42954</v>
      </c>
      <c r="F1207" s="20" t="s">
        <v>106</v>
      </c>
      <c r="G1207" s="20" t="s">
        <v>107</v>
      </c>
      <c r="J1207" s="21">
        <v>1321</v>
      </c>
      <c r="K1207" s="21">
        <v>2084</v>
      </c>
      <c r="L1207" s="18">
        <v>0</v>
      </c>
      <c r="M1207" s="21">
        <f>VLOOKUP($K1207,'[4]blood tubes 2017'!$D$1:$L$647,8,FALSE)</f>
        <v>0</v>
      </c>
      <c r="N1207" s="15">
        <v>0</v>
      </c>
      <c r="O1207" s="15" t="s">
        <v>214</v>
      </c>
      <c r="Q1207" s="16">
        <f t="shared" si="0"/>
        <v>0</v>
      </c>
      <c r="R1207" s="16" t="str">
        <f t="shared" si="2"/>
        <v/>
      </c>
      <c r="T1207" s="16" t="s">
        <v>159</v>
      </c>
      <c r="U1207" s="16" t="s">
        <v>210</v>
      </c>
      <c r="V1207" s="16" t="s">
        <v>114</v>
      </c>
      <c r="W1207" s="16">
        <f>AI1207/AG1207</f>
        <v>0.81176470588235294</v>
      </c>
      <c r="X1207" s="16" t="s">
        <v>115</v>
      </c>
      <c r="Y1207" s="16" t="s">
        <v>110</v>
      </c>
      <c r="Z1207" s="16">
        <v>3</v>
      </c>
      <c r="AE1207" s="16" t="s">
        <v>123</v>
      </c>
      <c r="AF1207" s="16" t="s">
        <v>123</v>
      </c>
      <c r="AG1207" s="16">
        <f>AH1207-AI1207</f>
        <v>85</v>
      </c>
      <c r="AH1207" s="16">
        <v>154</v>
      </c>
      <c r="AI1207" s="16">
        <v>69</v>
      </c>
      <c r="AK1207" s="16">
        <v>18</v>
      </c>
      <c r="AL1207" s="16">
        <v>0</v>
      </c>
      <c r="AM1207" s="16">
        <v>0</v>
      </c>
      <c r="AN1207" s="16">
        <v>0</v>
      </c>
      <c r="AO1207" s="16">
        <v>0</v>
      </c>
      <c r="AP1207" s="16">
        <f>SUM(AL1207:AN1207)</f>
        <v>0</v>
      </c>
      <c r="AQ1207" s="16">
        <v>2.492</v>
      </c>
      <c r="AR1207" s="16">
        <f>AP1207-1.472</f>
        <v>-1.472</v>
      </c>
      <c r="AS1207" s="16">
        <f>AQ1207-1.472</f>
        <v>1.02</v>
      </c>
      <c r="AT1207" s="16" t="e">
        <f>VLOOKUP(E1207,[2]Current!$A$1:$W$435,7,FALSE)</f>
        <v>#N/A</v>
      </c>
      <c r="AU1207" s="16">
        <v>0</v>
      </c>
      <c r="AW1207" s="18"/>
      <c r="AX1207" s="18"/>
      <c r="AY1207" s="18"/>
      <c r="AZ1207" s="18"/>
      <c r="BA1207" s="18"/>
      <c r="BB1207" s="18"/>
      <c r="BC1207" s="18"/>
      <c r="BD1207" s="18"/>
      <c r="BG1207" s="77"/>
      <c r="BT1207" s="77"/>
      <c r="CD1207" s="77"/>
      <c r="DF1207" s="16" t="e">
        <f>VLOOKUP(K1207,'[3]RNA Seq summary tables'!$V$3:$V$99,1,FALSE)</f>
        <v>#N/A</v>
      </c>
    </row>
    <row r="1208" spans="1:288" ht="16" x14ac:dyDescent="0.2">
      <c r="B1208" s="16">
        <v>2017</v>
      </c>
      <c r="C1208" s="20">
        <v>42954</v>
      </c>
      <c r="D1208" s="20" t="str">
        <f>CONCATENATE(J1208,"-",C1208)</f>
        <v>1323-42954</v>
      </c>
      <c r="E1208" s="37" t="str">
        <f>CONCATENATE(T1208,"-",U1208,"-",C1208)</f>
        <v>BC1-D3-42954</v>
      </c>
      <c r="F1208" s="20" t="s">
        <v>106</v>
      </c>
      <c r="G1208" s="20" t="s">
        <v>107</v>
      </c>
      <c r="I1208" s="16">
        <v>0</v>
      </c>
      <c r="J1208" s="21">
        <v>1323</v>
      </c>
      <c r="K1208" s="21">
        <v>2087</v>
      </c>
      <c r="L1208" s="18">
        <v>0</v>
      </c>
      <c r="M1208" s="21">
        <f>VLOOKUP($K1208,'[4]blood tubes 2017'!$D$1:$L$647,8,FALSE)</f>
        <v>0</v>
      </c>
      <c r="N1208" s="15">
        <v>0</v>
      </c>
      <c r="O1208" s="15" t="s">
        <v>214</v>
      </c>
      <c r="Q1208" s="16">
        <f t="shared" si="0"/>
        <v>0</v>
      </c>
      <c r="R1208" s="16" t="str">
        <f t="shared" si="2"/>
        <v/>
      </c>
      <c r="T1208" s="16" t="s">
        <v>159</v>
      </c>
      <c r="U1208" s="16" t="s">
        <v>149</v>
      </c>
      <c r="V1208" s="16" t="s">
        <v>114</v>
      </c>
      <c r="W1208" s="16">
        <f>AI1208/AG1208</f>
        <v>0.86363636363636365</v>
      </c>
      <c r="X1208" s="16" t="s">
        <v>121</v>
      </c>
      <c r="Y1208" s="16" t="s">
        <v>110</v>
      </c>
      <c r="Z1208" s="16">
        <v>3</v>
      </c>
      <c r="AA1208" s="16" t="s">
        <v>161</v>
      </c>
      <c r="AB1208" s="16" t="s">
        <v>123</v>
      </c>
      <c r="AC1208" s="16" t="s">
        <v>123</v>
      </c>
      <c r="AD1208" s="16" t="s">
        <v>116</v>
      </c>
      <c r="AG1208" s="16">
        <f>AH1208-AI1208</f>
        <v>88</v>
      </c>
      <c r="AH1208" s="16">
        <v>164</v>
      </c>
      <c r="AI1208" s="16">
        <v>76</v>
      </c>
      <c r="AK1208" s="16">
        <v>19.5</v>
      </c>
      <c r="AL1208" s="16">
        <v>0</v>
      </c>
      <c r="AM1208" s="16">
        <v>0</v>
      </c>
      <c r="AN1208" s="16">
        <v>0</v>
      </c>
      <c r="AO1208" s="16">
        <v>0</v>
      </c>
      <c r="AP1208" s="16">
        <f>SUM(AL1208:AN1208)</f>
        <v>0</v>
      </c>
      <c r="AQ1208" s="16">
        <v>1.9119999999999999</v>
      </c>
      <c r="AR1208" s="16">
        <f>AP1208-1.472</f>
        <v>-1.472</v>
      </c>
      <c r="AS1208" s="16">
        <f>AQ1208-1.472</f>
        <v>0.43999999999999995</v>
      </c>
      <c r="AT1208" s="16" t="str">
        <f>VLOOKUP(E1208,[2]Current!$A$1:$W$435,7,FALSE)</f>
        <v>TE</v>
      </c>
      <c r="AU1208" s="16" t="s">
        <v>1288</v>
      </c>
      <c r="AW1208" s="128">
        <f>IF(AX1208&gt;0,1,0)</f>
        <v>1</v>
      </c>
      <c r="AX1208" s="128">
        <f>SUM(BA1208,BM1208,CU1208)</f>
        <v>1</v>
      </c>
      <c r="AY1208" s="128">
        <f>SUM(BB1208,BN1208,CV1208)</f>
        <v>4.5454545454545459</v>
      </c>
      <c r="AZ1208" s="128">
        <f>IF(BA1208&gt;0,1,0)</f>
        <v>1</v>
      </c>
      <c r="BA1208" s="128">
        <f>SUM(BC1208+BF1208+BI1208)</f>
        <v>1</v>
      </c>
      <c r="BB1208" s="128">
        <f>SUM(BE1208,BH1208,BK1208)</f>
        <v>4.5454545454545459</v>
      </c>
      <c r="BC1208" s="130">
        <f>IF(BD1208&gt;0,1,0)</f>
        <v>1</v>
      </c>
      <c r="BD1208" s="128">
        <f>VLOOKUP($E1208,[2]Current!$A:$AC,26,FALSE)</f>
        <v>2</v>
      </c>
      <c r="BE1208" s="128">
        <f>BD1208/$AS1208</f>
        <v>4.5454545454545459</v>
      </c>
      <c r="BF1208" s="130">
        <f>IF(BG1208&gt;0,1,0)</f>
        <v>0</v>
      </c>
      <c r="BG1208" s="137">
        <f>VLOOKUP($E1208,[2]Current!$A:$AC,27,FALSE)</f>
        <v>0</v>
      </c>
      <c r="BH1208" s="128">
        <f>BG1208/$AS1208</f>
        <v>0</v>
      </c>
      <c r="BI1208" s="130">
        <f>IF(BJ1208&gt;0,1,0)</f>
        <v>0</v>
      </c>
      <c r="BJ1208" s="128">
        <f>VLOOKUP($E1208,[2]Current!$A:$AC,28,FALSE)</f>
        <v>0</v>
      </c>
      <c r="BK1208" s="128">
        <f>BJ1208/$AS1208</f>
        <v>0</v>
      </c>
      <c r="BL1208" s="128">
        <f>IF(BM1208&gt;0,1,0)</f>
        <v>0</v>
      </c>
      <c r="BM1208" s="128">
        <f>SUM(BR1208,BU1208,BX1208,CA1208,CD1208)</f>
        <v>0</v>
      </c>
      <c r="BN1208" s="131">
        <f>SUM(BT1208,BW1208,BZ1208,CC1208,CF1208)</f>
        <v>0</v>
      </c>
      <c r="BO1208" s="128">
        <f>IF(BP1208&gt;0,1,0)</f>
        <v>0</v>
      </c>
      <c r="BP1208" s="128">
        <f>BM1208+CJ1208</f>
        <v>0</v>
      </c>
      <c r="BQ1208" s="128">
        <f>BN1208+CL1208</f>
        <v>0</v>
      </c>
      <c r="BR1208" s="130">
        <f>IF(BS1208&gt;0,1,0)</f>
        <v>0</v>
      </c>
      <c r="BS1208" s="128">
        <f>VLOOKUP($E1208,[2]Current!$A:$AC,12,FALSE)</f>
        <v>0</v>
      </c>
      <c r="BT1208" s="137">
        <f>BS1208/$AS1208</f>
        <v>0</v>
      </c>
      <c r="BU1208" s="130">
        <f>IF(BV1208&gt;0,1,0)</f>
        <v>0</v>
      </c>
      <c r="BV1208" s="128">
        <f>VLOOKUP($E1208,[2]Current!$A:$AC,13,FALSE)</f>
        <v>0</v>
      </c>
      <c r="BW1208" s="128">
        <f>BV1208/$AS1208</f>
        <v>0</v>
      </c>
      <c r="BX1208" s="130">
        <f>IF(BY1208&gt;0,1,0)</f>
        <v>0</v>
      </c>
      <c r="BY1208" s="128">
        <f>VLOOKUP($E1208,[2]Current!$A:$AC,14,FALSE)</f>
        <v>0</v>
      </c>
      <c r="BZ1208" s="128">
        <f>BY1208/$AS1208</f>
        <v>0</v>
      </c>
      <c r="CA1208" s="130">
        <f>IF(CB1208&gt;0,1,0)</f>
        <v>0</v>
      </c>
      <c r="CB1208" s="128">
        <f>VLOOKUP($E1208,[2]Current!$A:$AC,15,FALSE)</f>
        <v>0</v>
      </c>
      <c r="CC1208" s="128">
        <f>CB1208/$AS1208</f>
        <v>0</v>
      </c>
      <c r="CD1208" s="174">
        <f>IF(CE1208&gt;0,1,0)</f>
        <v>0</v>
      </c>
      <c r="CE1208" s="128">
        <f>VLOOKUP($E1208,[2]Current!$A:$AC,16,FALSE)</f>
        <v>0</v>
      </c>
      <c r="CF1208" s="128">
        <f>CE1208/$AS1208</f>
        <v>0</v>
      </c>
      <c r="CG1208" s="18"/>
      <c r="CH1208" s="18"/>
      <c r="CI1208" s="18"/>
      <c r="CJ1208" s="130">
        <f>IF(CK1208&gt;0,1,0)</f>
        <v>0</v>
      </c>
      <c r="CK1208" s="128">
        <f>VLOOKUP($E1208,[2]Current!$A:$AC,18,FALSE)</f>
        <v>0</v>
      </c>
      <c r="CL1208" s="128">
        <f>CK1208/$AS1208</f>
        <v>0</v>
      </c>
      <c r="CS1208" s="130">
        <f>IF(CU1208&gt;0,1,0)</f>
        <v>0</v>
      </c>
      <c r="CT1208" s="29"/>
      <c r="CU1208" s="128">
        <f>VLOOKUP($E1208,[2]Current!$A:$AC,17,FALSE)</f>
        <v>0</v>
      </c>
      <c r="CV1208" s="128">
        <f>CU1208/$AS1208</f>
        <v>0</v>
      </c>
      <c r="CW1208" s="18"/>
      <c r="CX1208" s="18"/>
      <c r="CY1208" s="18"/>
      <c r="DF1208" s="16" t="e">
        <f>VLOOKUP(K1208,'[3]RNA Seq summary tables'!$V$3:$V$99,1,FALSE)</f>
        <v>#N/A</v>
      </c>
    </row>
    <row r="1209" spans="1:288" x14ac:dyDescent="0.2">
      <c r="B1209" s="16">
        <v>2017</v>
      </c>
      <c r="C1209" s="20">
        <v>42954</v>
      </c>
      <c r="D1209" s="20" t="str">
        <f>CONCATENATE(J1209,"-",C1209)</f>
        <v>1325-42954</v>
      </c>
      <c r="E1209" s="142" t="str">
        <f>CONCATENATE(T1209,"-",U1209,"-",C1209)</f>
        <v>BC1-G8-42954</v>
      </c>
      <c r="F1209" s="20" t="s">
        <v>106</v>
      </c>
      <c r="G1209" s="20" t="s">
        <v>107</v>
      </c>
      <c r="J1209" s="21">
        <v>1325</v>
      </c>
      <c r="K1209" s="21">
        <v>2090</v>
      </c>
      <c r="L1209" s="18">
        <v>0</v>
      </c>
      <c r="M1209" s="21">
        <f>VLOOKUP($K1209,'[4]blood tubes 2017'!$D$1:$L$647,8,FALSE)</f>
        <v>0</v>
      </c>
      <c r="N1209" s="15">
        <v>0</v>
      </c>
      <c r="O1209" s="15" t="s">
        <v>214</v>
      </c>
      <c r="Q1209" s="16">
        <f t="shared" si="0"/>
        <v>0</v>
      </c>
      <c r="R1209" s="16" t="str">
        <f t="shared" si="2"/>
        <v/>
      </c>
      <c r="T1209" s="16" t="s">
        <v>159</v>
      </c>
      <c r="U1209" s="16" t="s">
        <v>216</v>
      </c>
      <c r="V1209" s="16" t="s">
        <v>142</v>
      </c>
      <c r="W1209" s="16">
        <f>AI1209/AG1209</f>
        <v>1.0609756097560976</v>
      </c>
      <c r="X1209" s="16" t="s">
        <v>115</v>
      </c>
      <c r="Y1209" s="16" t="s">
        <v>110</v>
      </c>
      <c r="Z1209" s="16">
        <v>3</v>
      </c>
      <c r="AE1209" s="16" t="s">
        <v>116</v>
      </c>
      <c r="AF1209" s="16" t="s">
        <v>116</v>
      </c>
      <c r="AG1209" s="16">
        <f>AH1209-AI1209</f>
        <v>82</v>
      </c>
      <c r="AH1209" s="16">
        <v>169</v>
      </c>
      <c r="AI1209" s="16">
        <v>87</v>
      </c>
      <c r="AK1209" s="16">
        <v>16</v>
      </c>
      <c r="AL1209" s="16">
        <v>0</v>
      </c>
      <c r="AM1209" s="16">
        <v>0</v>
      </c>
      <c r="AN1209" s="16">
        <v>0</v>
      </c>
      <c r="AO1209" s="16">
        <v>0</v>
      </c>
      <c r="AP1209" s="16">
        <f>SUM(AL1209:AN1209)</f>
        <v>0</v>
      </c>
      <c r="AQ1209" s="16">
        <v>1.929</v>
      </c>
      <c r="AR1209" s="16">
        <f>AP1209-1.472</f>
        <v>-1.472</v>
      </c>
      <c r="AS1209" s="16">
        <f>AQ1209-1.472</f>
        <v>0.45700000000000007</v>
      </c>
      <c r="AT1209" s="16" t="e">
        <f>VLOOKUP(E1209,[2]Current!$A$1:$W$435,7,FALSE)</f>
        <v>#N/A</v>
      </c>
      <c r="AU1209" s="16">
        <v>0</v>
      </c>
      <c r="AW1209" s="18"/>
      <c r="AX1209" s="18"/>
      <c r="AY1209" s="18"/>
      <c r="AZ1209" s="18"/>
      <c r="BA1209" s="18"/>
      <c r="BB1209" s="18"/>
      <c r="BC1209" s="18"/>
      <c r="BD1209" s="18"/>
      <c r="BG1209" s="77"/>
      <c r="BT1209" s="77"/>
      <c r="CD1209" s="77"/>
      <c r="DF1209" s="16" t="e">
        <f>VLOOKUP(K1209,'[3]RNA Seq summary tables'!$V$3:$V$99,1,FALSE)</f>
        <v>#N/A</v>
      </c>
    </row>
    <row r="1210" spans="1:288" x14ac:dyDescent="0.2">
      <c r="B1210" s="18">
        <v>2017</v>
      </c>
      <c r="C1210" s="65">
        <v>42955</v>
      </c>
      <c r="D1210" s="65" t="str">
        <f>CONCATENATE(J1210,"-",C1210)</f>
        <v>1327-42955</v>
      </c>
      <c r="E1210" s="142" t="str">
        <f>CONCATENATE(T1210,"-",U1210,"-",C1210)</f>
        <v>BC2-F6-42955</v>
      </c>
      <c r="F1210" s="20" t="s">
        <v>106</v>
      </c>
      <c r="G1210" s="65" t="s">
        <v>107</v>
      </c>
      <c r="H1210" s="25"/>
      <c r="J1210" s="42">
        <v>1327</v>
      </c>
      <c r="K1210" s="42">
        <v>2094</v>
      </c>
      <c r="L1210" s="18">
        <v>0</v>
      </c>
      <c r="M1210" s="21">
        <f>VLOOKUP($K1210,'[4]blood tubes 2017'!$D$1:$L$647,8,FALSE)</f>
        <v>0</v>
      </c>
      <c r="N1210" s="15">
        <v>0</v>
      </c>
      <c r="O1210" s="15" t="s">
        <v>214</v>
      </c>
      <c r="Q1210" s="16">
        <f t="shared" si="0"/>
        <v>0</v>
      </c>
      <c r="R1210" s="16" t="str">
        <f t="shared" si="2"/>
        <v/>
      </c>
      <c r="S1210" s="25"/>
      <c r="T1210" s="25" t="s">
        <v>154</v>
      </c>
      <c r="U1210" s="25" t="s">
        <v>170</v>
      </c>
      <c r="V1210" s="25" t="s">
        <v>114</v>
      </c>
      <c r="W1210" s="16">
        <f>AI1210/AG1210</f>
        <v>0.83720930232558144</v>
      </c>
      <c r="X1210" s="25" t="s">
        <v>115</v>
      </c>
      <c r="Y1210" s="25" t="s">
        <v>110</v>
      </c>
      <c r="Z1210" s="25">
        <v>3</v>
      </c>
      <c r="AA1210" s="25"/>
      <c r="AB1210" s="25"/>
      <c r="AC1210" s="25"/>
      <c r="AD1210" s="25"/>
      <c r="AE1210" s="25" t="s">
        <v>123</v>
      </c>
      <c r="AF1210" s="25" t="s">
        <v>123</v>
      </c>
      <c r="AG1210" s="25">
        <f>AH1210-AI1210</f>
        <v>86</v>
      </c>
      <c r="AH1210" s="25">
        <v>158</v>
      </c>
      <c r="AI1210" s="25">
        <v>72</v>
      </c>
      <c r="AJ1210" s="25"/>
      <c r="AK1210" s="25">
        <v>19.5</v>
      </c>
      <c r="AL1210" s="25">
        <v>0</v>
      </c>
      <c r="AM1210" s="25">
        <v>0</v>
      </c>
      <c r="AN1210" s="25">
        <v>0</v>
      </c>
      <c r="AO1210" s="25">
        <v>0</v>
      </c>
      <c r="AP1210" s="25">
        <f>SUM(AL1210:AN1210)</f>
        <v>0</v>
      </c>
      <c r="AQ1210" s="25">
        <v>2.101</v>
      </c>
      <c r="AR1210" s="25">
        <f>AP1210-1.472</f>
        <v>-1.472</v>
      </c>
      <c r="AS1210" s="25">
        <f>AQ1210-1.472</f>
        <v>0.629</v>
      </c>
      <c r="AT1210" s="16" t="e">
        <f>VLOOKUP(E1210,[2]Current!$A$1:$W$435,7,FALSE)</f>
        <v>#N/A</v>
      </c>
      <c r="AU1210" s="16">
        <v>0</v>
      </c>
      <c r="AV1210" s="25"/>
      <c r="AW1210" s="25"/>
      <c r="AX1210" s="25"/>
      <c r="AY1210" s="25"/>
      <c r="AZ1210" s="18"/>
      <c r="BA1210" s="25"/>
      <c r="BB1210" s="25"/>
      <c r="BC1210" s="18"/>
      <c r="BD1210" s="25"/>
      <c r="BE1210" s="25"/>
      <c r="BF1210" s="18"/>
      <c r="BG1210" s="78"/>
      <c r="BH1210" s="25"/>
      <c r="BI1210" s="18"/>
      <c r="BJ1210" s="25"/>
      <c r="BK1210" s="25"/>
      <c r="BL1210" s="18"/>
      <c r="BM1210" s="18"/>
      <c r="BN1210" s="18"/>
      <c r="BO1210" s="18"/>
      <c r="BP1210" s="18"/>
      <c r="BQ1210" s="18"/>
      <c r="BR1210" s="18"/>
      <c r="BS1210" s="25"/>
      <c r="BT1210" s="78"/>
      <c r="BU1210" s="18"/>
      <c r="BV1210" s="25"/>
      <c r="BW1210" s="18"/>
      <c r="BX1210" s="18"/>
      <c r="BY1210" s="25"/>
      <c r="BZ1210" s="18"/>
      <c r="CA1210" s="18"/>
      <c r="CB1210" s="25"/>
      <c r="CC1210" s="25"/>
      <c r="CD1210" s="78"/>
      <c r="CE1210" s="25"/>
      <c r="CF1210" s="25"/>
      <c r="CG1210" s="25"/>
      <c r="CH1210" s="25"/>
      <c r="CI1210" s="25"/>
      <c r="CJ1210" s="25"/>
      <c r="CK1210" s="25"/>
      <c r="CL1210" s="25"/>
      <c r="CM1210" s="25"/>
      <c r="CN1210" s="25"/>
      <c r="CO1210" s="25"/>
      <c r="CP1210" s="25"/>
      <c r="CQ1210" s="25"/>
      <c r="CR1210" s="25"/>
      <c r="CS1210" s="18"/>
      <c r="CT1210" s="18"/>
      <c r="CU1210" s="18"/>
      <c r="CV1210" s="25"/>
      <c r="CW1210" s="18"/>
      <c r="CX1210" s="25"/>
      <c r="CY1210" s="25"/>
      <c r="CZ1210" s="25"/>
      <c r="DA1210" s="25"/>
      <c r="DB1210" s="25"/>
      <c r="DC1210" s="25"/>
      <c r="DD1210" s="25"/>
      <c r="DE1210" s="25"/>
      <c r="DF1210" s="16" t="e">
        <f>VLOOKUP(K1210,'[3]RNA Seq summary tables'!$V$3:$V$99,1,FALSE)</f>
        <v>#N/A</v>
      </c>
      <c r="DI1210" s="25"/>
      <c r="DJ1210" s="25"/>
      <c r="DK1210" s="25"/>
      <c r="DL1210" s="25"/>
      <c r="DM1210" s="25"/>
      <c r="DN1210" s="25"/>
      <c r="DO1210" s="25"/>
      <c r="DP1210" s="25"/>
      <c r="DQ1210" s="25"/>
      <c r="DR1210" s="25"/>
      <c r="DS1210" s="25"/>
      <c r="DT1210" s="25"/>
      <c r="DU1210" s="25"/>
      <c r="DV1210" s="25"/>
      <c r="DW1210" s="25"/>
      <c r="DX1210" s="25"/>
      <c r="DY1210" s="25"/>
      <c r="DZ1210" s="25"/>
      <c r="EA1210" s="25"/>
      <c r="EB1210" s="25"/>
      <c r="EC1210" s="25"/>
      <c r="ED1210" s="25"/>
      <c r="EE1210" s="25"/>
    </row>
    <row r="1211" spans="1:288" x14ac:dyDescent="0.2">
      <c r="A1211" s="51">
        <v>1</v>
      </c>
      <c r="B1211" s="18">
        <v>2017</v>
      </c>
      <c r="C1211" s="37">
        <v>42956</v>
      </c>
      <c r="D1211" s="37" t="str">
        <f>CONCATENATE(J1211,"-",C1211)</f>
        <v>1329-42956</v>
      </c>
      <c r="E1211" s="20" t="str">
        <f>CONCATENATE(T1211,"-",U1211,"-",C1211)</f>
        <v>BC2-B3-42956</v>
      </c>
      <c r="F1211" s="20" t="s">
        <v>106</v>
      </c>
      <c r="G1211" s="37" t="s">
        <v>107</v>
      </c>
      <c r="H1211" s="16" t="s">
        <v>243</v>
      </c>
      <c r="I1211" s="16">
        <v>0</v>
      </c>
      <c r="J1211" s="36">
        <v>1329</v>
      </c>
      <c r="K1211" s="36" t="s">
        <v>153</v>
      </c>
      <c r="L1211" s="18">
        <v>0</v>
      </c>
      <c r="O1211" s="15" t="s">
        <v>214</v>
      </c>
      <c r="Q1211" s="16">
        <f t="shared" si="0"/>
        <v>0</v>
      </c>
      <c r="R1211" s="16" t="str">
        <f t="shared" si="2"/>
        <v/>
      </c>
      <c r="S1211" s="18"/>
      <c r="T1211" s="18" t="s">
        <v>154</v>
      </c>
      <c r="U1211" s="18" t="s">
        <v>131</v>
      </c>
      <c r="V1211" s="18" t="s">
        <v>114</v>
      </c>
      <c r="W1211" s="16">
        <f>AI1211/AG1211</f>
        <v>0.86904761904761907</v>
      </c>
      <c r="X1211" s="18" t="s">
        <v>115</v>
      </c>
      <c r="Y1211" s="18" t="s">
        <v>110</v>
      </c>
      <c r="Z1211" s="18">
        <v>3</v>
      </c>
      <c r="AA1211" s="18"/>
      <c r="AB1211" s="18"/>
      <c r="AC1211" s="18"/>
      <c r="AD1211" s="18"/>
      <c r="AE1211" s="18" t="s">
        <v>116</v>
      </c>
      <c r="AF1211" s="18" t="s">
        <v>116</v>
      </c>
      <c r="AG1211" s="18">
        <f>AH1211-AI1211</f>
        <v>84</v>
      </c>
      <c r="AH1211" s="18">
        <v>157</v>
      </c>
      <c r="AI1211" s="18">
        <v>73</v>
      </c>
      <c r="AJ1211" s="18"/>
      <c r="AK1211" s="18">
        <v>18.5</v>
      </c>
      <c r="AL1211" s="18">
        <v>1</v>
      </c>
      <c r="AM1211" s="18">
        <v>0</v>
      </c>
      <c r="AN1211" s="18">
        <v>0</v>
      </c>
      <c r="AO1211" s="18">
        <v>1</v>
      </c>
      <c r="AP1211" s="18">
        <f>SUM(AL1211:AN1211)</f>
        <v>1</v>
      </c>
      <c r="AQ1211" s="18">
        <v>1.9159999999999999</v>
      </c>
      <c r="AR1211" s="18">
        <f>AP1211-1.472</f>
        <v>-0.47199999999999998</v>
      </c>
      <c r="AS1211" s="18">
        <f>AQ1211-1.472</f>
        <v>0.44399999999999995</v>
      </c>
      <c r="AT1211" s="41" t="s">
        <v>153</v>
      </c>
      <c r="AU1211" s="41"/>
      <c r="AV1211" s="41"/>
      <c r="AW1211" s="41"/>
      <c r="AX1211" s="41"/>
      <c r="AY1211" s="41"/>
      <c r="AZ1211" s="41"/>
      <c r="BA1211" s="41"/>
      <c r="BB1211" s="41"/>
      <c r="BC1211" s="41"/>
      <c r="BD1211" s="41"/>
      <c r="BE1211" s="41"/>
      <c r="BF1211" s="41"/>
      <c r="BG1211" s="84"/>
      <c r="BH1211" s="41"/>
      <c r="BI1211" s="41"/>
      <c r="BJ1211" s="41"/>
      <c r="BK1211" s="41"/>
      <c r="BL1211" s="41"/>
      <c r="BM1211" s="41"/>
      <c r="BN1211" s="41"/>
      <c r="BO1211" s="41"/>
      <c r="BP1211" s="41"/>
      <c r="BQ1211" s="41"/>
      <c r="BR1211" s="41"/>
      <c r="BS1211" s="41"/>
      <c r="BT1211" s="84"/>
      <c r="BU1211" s="41"/>
      <c r="BV1211" s="41"/>
      <c r="BW1211" s="41"/>
      <c r="BX1211" s="41"/>
      <c r="BY1211" s="41"/>
      <c r="BZ1211" s="41"/>
      <c r="CA1211" s="41"/>
      <c r="CB1211" s="41"/>
      <c r="CC1211" s="41"/>
      <c r="CD1211" s="84"/>
      <c r="CE1211" s="41"/>
      <c r="CF1211" s="41"/>
      <c r="CG1211" s="41"/>
      <c r="CH1211" s="41"/>
      <c r="CI1211" s="41"/>
      <c r="CJ1211" s="41"/>
      <c r="CK1211" s="41"/>
      <c r="CL1211" s="41"/>
      <c r="CM1211" s="41"/>
      <c r="CN1211" s="41"/>
      <c r="CO1211" s="41"/>
      <c r="CP1211" s="41"/>
      <c r="CQ1211" s="41"/>
      <c r="CR1211" s="41"/>
      <c r="CS1211" s="41"/>
      <c r="CT1211" s="41"/>
      <c r="CU1211" s="41"/>
      <c r="CV1211" s="41"/>
      <c r="CW1211" s="41"/>
      <c r="CX1211" s="41"/>
      <c r="CY1211" s="41"/>
      <c r="CZ1211" s="41"/>
      <c r="DA1211" s="41"/>
      <c r="DB1211" s="41"/>
      <c r="DC1211" s="41"/>
      <c r="DD1211" s="41"/>
      <c r="DE1211" s="41"/>
      <c r="DF1211" s="16" t="e">
        <f>VLOOKUP(K1211,'[3]RNA Seq summary tables'!$V$3:$V$99,1,FALSE)</f>
        <v>#N/A</v>
      </c>
      <c r="DI1211" s="18"/>
      <c r="DJ1211" s="18"/>
      <c r="DK1211" s="18"/>
      <c r="DL1211" s="18"/>
      <c r="DM1211" s="18"/>
      <c r="DN1211" s="18"/>
      <c r="DO1211" s="18"/>
      <c r="DP1211" s="18"/>
      <c r="DQ1211" s="18"/>
      <c r="DR1211" s="18"/>
      <c r="DS1211" s="18"/>
      <c r="JP1211" s="18"/>
      <c r="JQ1211" s="18"/>
    </row>
    <row r="1212" spans="1:288" ht="16" x14ac:dyDescent="0.2">
      <c r="B1212" s="16">
        <v>2017</v>
      </c>
      <c r="C1212" s="20">
        <v>42956</v>
      </c>
      <c r="D1212" s="20" t="str">
        <f>CONCATENATE(J1212,"-",C1212)</f>
        <v>1331-42956</v>
      </c>
      <c r="E1212" s="37" t="str">
        <f>CONCATENATE(T1212,"-",U1212,"-",C1212)</f>
        <v>BC2-H1-42956</v>
      </c>
      <c r="F1212" s="20" t="s">
        <v>106</v>
      </c>
      <c r="G1212" s="20" t="s">
        <v>107</v>
      </c>
      <c r="I1212" s="16">
        <v>0</v>
      </c>
      <c r="J1212" s="21">
        <v>1331</v>
      </c>
      <c r="K1212" s="21">
        <v>2099</v>
      </c>
      <c r="L1212" s="18">
        <v>0</v>
      </c>
      <c r="M1212" s="21">
        <f>VLOOKUP($K1212,'[4]blood tubes 2017'!$D$1:$L$647,8,FALSE)</f>
        <v>0</v>
      </c>
      <c r="N1212" s="15">
        <v>0</v>
      </c>
      <c r="O1212" s="15" t="s">
        <v>214</v>
      </c>
      <c r="Q1212" s="16">
        <f t="shared" si="0"/>
        <v>0</v>
      </c>
      <c r="R1212" s="16" t="str">
        <f t="shared" si="2"/>
        <v/>
      </c>
      <c r="T1212" s="16" t="s">
        <v>154</v>
      </c>
      <c r="U1212" s="16" t="s">
        <v>191</v>
      </c>
      <c r="V1212" s="16" t="s">
        <v>114</v>
      </c>
      <c r="W1212" s="16">
        <f>AI1212/AG1212</f>
        <v>0.82278481012658233</v>
      </c>
      <c r="X1212" s="16" t="s">
        <v>121</v>
      </c>
      <c r="Y1212" s="16" t="s">
        <v>110</v>
      </c>
      <c r="Z1212" s="16">
        <v>3</v>
      </c>
      <c r="AA1212" s="16" t="s">
        <v>161</v>
      </c>
      <c r="AB1212" s="16" t="s">
        <v>123</v>
      </c>
      <c r="AC1212" s="16" t="s">
        <v>123</v>
      </c>
      <c r="AD1212" s="16" t="s">
        <v>116</v>
      </c>
      <c r="AG1212" s="16">
        <f>AH1212-AI1212</f>
        <v>79</v>
      </c>
      <c r="AH1212" s="16">
        <v>144</v>
      </c>
      <c r="AI1212" s="16">
        <v>65</v>
      </c>
      <c r="AK1212" s="16">
        <v>14</v>
      </c>
      <c r="AL1212" s="16">
        <v>0</v>
      </c>
      <c r="AM1212" s="16">
        <v>0</v>
      </c>
      <c r="AN1212" s="16">
        <v>0</v>
      </c>
      <c r="AO1212" s="16">
        <v>0</v>
      </c>
      <c r="AP1212" s="16">
        <f>SUM(AL1212:AN1212)</f>
        <v>0</v>
      </c>
      <c r="AQ1212" s="16">
        <v>1.623</v>
      </c>
      <c r="AR1212" s="16">
        <f>AP1212-1.472</f>
        <v>-1.472</v>
      </c>
      <c r="AS1212" s="16">
        <f>AQ1212-1.472</f>
        <v>0.15100000000000002</v>
      </c>
      <c r="AT1212" s="16" t="str">
        <f>VLOOKUP(E1212,[2]Current!$A$1:$W$435,7,FALSE)</f>
        <v>TE</v>
      </c>
      <c r="AU1212" s="16" t="s">
        <v>1288</v>
      </c>
      <c r="AW1212" s="128">
        <f>IF(AX1212&gt;0,1,0)</f>
        <v>1</v>
      </c>
      <c r="AX1212" s="128">
        <f>SUM(BA1212,BM1212,CU1212)</f>
        <v>1</v>
      </c>
      <c r="AY1212" s="128">
        <f>SUM(BB1212,BN1212,CV1212)</f>
        <v>26.49006622516556</v>
      </c>
      <c r="AZ1212" s="128">
        <f>IF(BA1212&gt;0,1,0)</f>
        <v>1</v>
      </c>
      <c r="BA1212" s="128">
        <f>SUM(BC1212+BF1212+BI1212)</f>
        <v>1</v>
      </c>
      <c r="BB1212" s="128">
        <f>SUM(BE1212,BH1212,BK1212)</f>
        <v>26.49006622516556</v>
      </c>
      <c r="BC1212" s="130">
        <f>IF(BD1212&gt;0,1,0)</f>
        <v>0</v>
      </c>
      <c r="BD1212" s="128">
        <f>VLOOKUP($E1212,[2]Current!$A:$AC,26,FALSE)</f>
        <v>0</v>
      </c>
      <c r="BE1212" s="128">
        <f>BD1212/$AS1212</f>
        <v>0</v>
      </c>
      <c r="BF1212" s="130">
        <f>IF(BG1212&gt;0,1,0)</f>
        <v>1</v>
      </c>
      <c r="BG1212" s="137">
        <f>VLOOKUP($E1212,[2]Current!$A:$AC,27,FALSE)</f>
        <v>4</v>
      </c>
      <c r="BH1212" s="128">
        <f>BG1212/$AS1212</f>
        <v>26.49006622516556</v>
      </c>
      <c r="BI1212" s="130">
        <f>IF(BJ1212&gt;0,1,0)</f>
        <v>0</v>
      </c>
      <c r="BJ1212" s="128">
        <f>VLOOKUP($E1212,[2]Current!$A:$AC,28,FALSE)</f>
        <v>0</v>
      </c>
      <c r="BK1212" s="128">
        <f>BJ1212/$AS1212</f>
        <v>0</v>
      </c>
      <c r="BL1212" s="128">
        <f>IF(BM1212&gt;0,1,0)</f>
        <v>0</v>
      </c>
      <c r="BM1212" s="128">
        <f>SUM(BR1212,BU1212,BX1212,CA1212,CD1212)</f>
        <v>0</v>
      </c>
      <c r="BN1212" s="131">
        <f>SUM(BT1212,BW1212,BZ1212,CC1212,CF1212)</f>
        <v>0</v>
      </c>
      <c r="BO1212" s="128">
        <f>IF(BP1212&gt;0,1,0)</f>
        <v>0</v>
      </c>
      <c r="BP1212" s="128">
        <f>BM1212+CJ1212</f>
        <v>0</v>
      </c>
      <c r="BQ1212" s="128">
        <f>BN1212+CL1212</f>
        <v>0</v>
      </c>
      <c r="BR1212" s="130">
        <f>IF(BS1212&gt;0,1,0)</f>
        <v>0</v>
      </c>
      <c r="BS1212" s="128">
        <f>VLOOKUP($E1212,[2]Current!$A:$AC,12,FALSE)</f>
        <v>0</v>
      </c>
      <c r="BT1212" s="137">
        <f>BS1212/$AS1212</f>
        <v>0</v>
      </c>
      <c r="BU1212" s="130">
        <f>IF(BV1212&gt;0,1,0)</f>
        <v>0</v>
      </c>
      <c r="BV1212" s="128">
        <f>VLOOKUP($E1212,[2]Current!$A:$AC,13,FALSE)</f>
        <v>0</v>
      </c>
      <c r="BW1212" s="128">
        <f>BV1212/$AS1212</f>
        <v>0</v>
      </c>
      <c r="BX1212" s="130">
        <f>IF(BY1212&gt;0,1,0)</f>
        <v>0</v>
      </c>
      <c r="BY1212" s="128">
        <f>VLOOKUP($E1212,[2]Current!$A:$AC,14,FALSE)</f>
        <v>0</v>
      </c>
      <c r="BZ1212" s="128">
        <f>BY1212/$AS1212</f>
        <v>0</v>
      </c>
      <c r="CA1212" s="130">
        <f>IF(CB1212&gt;0,1,0)</f>
        <v>0</v>
      </c>
      <c r="CB1212" s="128">
        <f>VLOOKUP($E1212,[2]Current!$A:$AC,15,FALSE)</f>
        <v>0</v>
      </c>
      <c r="CC1212" s="128">
        <f>CB1212/$AS1212</f>
        <v>0</v>
      </c>
      <c r="CD1212" s="174">
        <f>IF(CE1212&gt;0,1,0)</f>
        <v>0</v>
      </c>
      <c r="CE1212" s="128">
        <f>VLOOKUP($E1212,[2]Current!$A:$AC,16,FALSE)</f>
        <v>0</v>
      </c>
      <c r="CF1212" s="128">
        <f>CE1212/$AS1212</f>
        <v>0</v>
      </c>
      <c r="CG1212" s="18"/>
      <c r="CH1212" s="18"/>
      <c r="CI1212" s="18"/>
      <c r="CJ1212" s="130">
        <f>IF(CK1212&gt;0,1,0)</f>
        <v>0</v>
      </c>
      <c r="CK1212" s="128">
        <f>VLOOKUP($E1212,[2]Current!$A:$AC,18,FALSE)</f>
        <v>0</v>
      </c>
      <c r="CL1212" s="128">
        <f>CK1212/$AS1212</f>
        <v>0</v>
      </c>
      <c r="CS1212" s="130">
        <f>IF(CU1212&gt;0,1,0)</f>
        <v>0</v>
      </c>
      <c r="CU1212" s="128">
        <f>VLOOKUP($E1212,[2]Current!$A:$AC,17,FALSE)</f>
        <v>0</v>
      </c>
      <c r="CV1212" s="128">
        <f>CU1212/$AS1212</f>
        <v>0</v>
      </c>
      <c r="CW1212" s="18"/>
      <c r="CX1212" s="18"/>
      <c r="CY1212" s="18"/>
      <c r="DF1212" s="16" t="e">
        <f>VLOOKUP(K1212,'[3]RNA Seq summary tables'!$V$3:$V$99,1,FALSE)</f>
        <v>#N/A</v>
      </c>
      <c r="JP1212" s="49"/>
      <c r="JQ1212" s="49"/>
    </row>
    <row r="1213" spans="1:288" ht="16" x14ac:dyDescent="0.2">
      <c r="B1213" s="18">
        <v>2017</v>
      </c>
      <c r="C1213" s="37">
        <v>42957</v>
      </c>
      <c r="D1213" s="37" t="str">
        <f>CONCATENATE(J1213,"-",C1213)</f>
        <v>1333-42957</v>
      </c>
      <c r="E1213" s="37" t="str">
        <f>CONCATENATE(T1213,"-",U1213,"-",C1213)</f>
        <v>SP2-B7-42957</v>
      </c>
      <c r="F1213" s="20" t="s">
        <v>106</v>
      </c>
      <c r="G1213" s="37" t="s">
        <v>107</v>
      </c>
      <c r="H1213" s="18"/>
      <c r="I1213" s="16">
        <v>0</v>
      </c>
      <c r="J1213" s="36">
        <v>1333</v>
      </c>
      <c r="K1213" s="36">
        <v>2114</v>
      </c>
      <c r="L1213" s="18">
        <v>0</v>
      </c>
      <c r="M1213" s="21">
        <f>VLOOKUP($K1213,'[4]blood tubes 2017'!$D$1:$L$647,8,FALSE)</f>
        <v>0</v>
      </c>
      <c r="N1213" s="15">
        <v>0</v>
      </c>
      <c r="O1213" s="15" t="s">
        <v>214</v>
      </c>
      <c r="Q1213" s="16">
        <f t="shared" si="0"/>
        <v>0</v>
      </c>
      <c r="R1213" s="16" t="str">
        <f t="shared" si="2"/>
        <v/>
      </c>
      <c r="S1213" s="18"/>
      <c r="T1213" s="18" t="s">
        <v>137</v>
      </c>
      <c r="U1213" s="18" t="s">
        <v>168</v>
      </c>
      <c r="V1213" s="18" t="s">
        <v>114</v>
      </c>
      <c r="W1213" s="16">
        <f>AI1213/AG1213</f>
        <v>0.76237623762376239</v>
      </c>
      <c r="X1213" s="18" t="s">
        <v>121</v>
      </c>
      <c r="Y1213" s="18" t="s">
        <v>110</v>
      </c>
      <c r="Z1213" s="18">
        <v>3</v>
      </c>
      <c r="AA1213" s="18" t="s">
        <v>161</v>
      </c>
      <c r="AB1213" s="18" t="s">
        <v>240</v>
      </c>
      <c r="AC1213" s="18" t="s">
        <v>123</v>
      </c>
      <c r="AD1213" s="18" t="s">
        <v>116</v>
      </c>
      <c r="AE1213" s="18"/>
      <c r="AF1213" s="18"/>
      <c r="AG1213" s="18">
        <f>AH1213-AI1213</f>
        <v>101</v>
      </c>
      <c r="AH1213" s="18">
        <v>178</v>
      </c>
      <c r="AI1213" s="18">
        <v>77</v>
      </c>
      <c r="AJ1213" s="18"/>
      <c r="AK1213" s="18">
        <v>35.5</v>
      </c>
      <c r="AL1213" s="18">
        <v>0</v>
      </c>
      <c r="AM1213" s="18">
        <v>0</v>
      </c>
      <c r="AN1213" s="18">
        <v>0</v>
      </c>
      <c r="AO1213" s="18">
        <v>0</v>
      </c>
      <c r="AP1213" s="18">
        <f>SUM(AL1213:AN1213)</f>
        <v>0</v>
      </c>
      <c r="AQ1213" s="18">
        <v>2.032</v>
      </c>
      <c r="AR1213" s="18">
        <f>AP1213-1.472</f>
        <v>-1.472</v>
      </c>
      <c r="AS1213" s="18">
        <f>AQ1213-1.472</f>
        <v>0.56000000000000005</v>
      </c>
      <c r="AT1213" s="16" t="str">
        <f>VLOOKUP(E1213,[2]Current!$A$1:$W$435,7,FALSE)</f>
        <v>NB</v>
      </c>
      <c r="AU1213" s="16" t="s">
        <v>1288</v>
      </c>
      <c r="AV1213" s="23"/>
      <c r="AW1213" s="128">
        <f>IF(AX1213&gt;0,1,0)</f>
        <v>1</v>
      </c>
      <c r="AX1213" s="128">
        <f>SUM(BA1213,BM1213,CU1213)</f>
        <v>2</v>
      </c>
      <c r="AY1213" s="128">
        <f>SUM(BB1213,BN1213,CV1213)</f>
        <v>123.21428571428569</v>
      </c>
      <c r="AZ1213" s="128">
        <f>IF(BA1213&gt;0,1,0)</f>
        <v>1</v>
      </c>
      <c r="BA1213" s="128">
        <f>SUM(BC1213+BF1213+BI1213)</f>
        <v>1</v>
      </c>
      <c r="BB1213" s="128">
        <f>SUM(BE1213,BH1213,BK1213)</f>
        <v>116.07142857142856</v>
      </c>
      <c r="BC1213" s="130">
        <f>IF(BD1213&gt;0,1,0)</f>
        <v>0</v>
      </c>
      <c r="BD1213" s="128">
        <f>VLOOKUP($E1213,[2]Current!$A:$AC,26,FALSE)</f>
        <v>0</v>
      </c>
      <c r="BE1213" s="128">
        <f>BD1213/$AS1213</f>
        <v>0</v>
      </c>
      <c r="BF1213" s="130">
        <f>IF(BG1213&gt;0,1,0)</f>
        <v>0</v>
      </c>
      <c r="BG1213" s="137">
        <f>VLOOKUP($E1213,[2]Current!$A:$AC,27,FALSE)</f>
        <v>0</v>
      </c>
      <c r="BH1213" s="128">
        <f>BG1213/$AS1213</f>
        <v>0</v>
      </c>
      <c r="BI1213" s="130">
        <f>IF(BJ1213&gt;0,1,0)</f>
        <v>1</v>
      </c>
      <c r="BJ1213" s="128">
        <f>VLOOKUP($E1213,[2]Current!$A:$AC,28,FALSE)</f>
        <v>65</v>
      </c>
      <c r="BK1213" s="128">
        <f>BJ1213/$AS1213</f>
        <v>116.07142857142856</v>
      </c>
      <c r="BL1213" s="128">
        <f>IF(BM1213&gt;0,1,0)</f>
        <v>1</v>
      </c>
      <c r="BM1213" s="128">
        <f>SUM(BR1213,BU1213,BX1213,CA1213,CD1213)</f>
        <v>1</v>
      </c>
      <c r="BN1213" s="131">
        <f>SUM(BT1213,BW1213,BZ1213,CC1213,CF1213)</f>
        <v>7.1428571428571423</v>
      </c>
      <c r="BO1213" s="128">
        <f>IF(BP1213&gt;0,1,0)</f>
        <v>1</v>
      </c>
      <c r="BP1213" s="128">
        <f>BM1213+CJ1213</f>
        <v>1</v>
      </c>
      <c r="BQ1213" s="128">
        <f>BN1213+CL1213</f>
        <v>7.1428571428571423</v>
      </c>
      <c r="BR1213" s="130">
        <f>IF(BS1213&gt;0,1,0)</f>
        <v>0</v>
      </c>
      <c r="BS1213" s="128">
        <f>VLOOKUP($E1213,[2]Current!$A:$AC,12,FALSE)</f>
        <v>0</v>
      </c>
      <c r="BT1213" s="137">
        <f>BS1213/$AS1213</f>
        <v>0</v>
      </c>
      <c r="BU1213" s="130">
        <f>IF(BV1213&gt;0,1,0)</f>
        <v>0</v>
      </c>
      <c r="BV1213" s="128">
        <f>VLOOKUP($E1213,[2]Current!$A:$AC,13,FALSE)</f>
        <v>0</v>
      </c>
      <c r="BW1213" s="128">
        <f>BV1213/$AS1213</f>
        <v>0</v>
      </c>
      <c r="BX1213" s="130">
        <f>IF(BY1213&gt;0,1,0)</f>
        <v>0</v>
      </c>
      <c r="BY1213" s="128">
        <f>VLOOKUP($E1213,[2]Current!$A:$AC,14,FALSE)</f>
        <v>0</v>
      </c>
      <c r="BZ1213" s="128">
        <f>BY1213/$AS1213</f>
        <v>0</v>
      </c>
      <c r="CA1213" s="130">
        <f>IF(CB1213&gt;0,1,0)</f>
        <v>1</v>
      </c>
      <c r="CB1213" s="128">
        <f>VLOOKUP($E1213,[2]Current!$A:$AC,15,FALSE)</f>
        <v>4</v>
      </c>
      <c r="CC1213" s="128">
        <f>CB1213/$AS1213</f>
        <v>7.1428571428571423</v>
      </c>
      <c r="CD1213" s="174">
        <f>IF(CE1213&gt;0,1,0)</f>
        <v>0</v>
      </c>
      <c r="CE1213" s="128">
        <f>VLOOKUP($E1213,[2]Current!$A:$AC,16,FALSE)</f>
        <v>0</v>
      </c>
      <c r="CF1213" s="128">
        <f>CE1213/$AS1213</f>
        <v>0</v>
      </c>
      <c r="CG1213" s="18"/>
      <c r="CH1213" s="18"/>
      <c r="CI1213" s="18"/>
      <c r="CJ1213" s="130">
        <f>IF(CK1213&gt;0,1,0)</f>
        <v>0</v>
      </c>
      <c r="CK1213" s="128">
        <f>VLOOKUP($E1213,[2]Current!$A:$AC,18,FALSE)</f>
        <v>0</v>
      </c>
      <c r="CL1213" s="128">
        <f>CK1213/$AS1213</f>
        <v>0</v>
      </c>
      <c r="CS1213" s="130">
        <f>IF(CU1213&gt;0,1,0)</f>
        <v>0</v>
      </c>
      <c r="CU1213" s="128">
        <f>VLOOKUP($E1213,[2]Current!$A:$AC,17,FALSE)</f>
        <v>0</v>
      </c>
      <c r="CV1213" s="128">
        <f>CU1213/$AS1213</f>
        <v>0</v>
      </c>
      <c r="CW1213" s="18"/>
      <c r="CX1213" s="18"/>
      <c r="CY1213" s="18"/>
      <c r="DF1213" s="16" t="e">
        <f>VLOOKUP(K1213,'[3]RNA Seq summary tables'!$V$3:$V$99,1,FALSE)</f>
        <v>#N/A</v>
      </c>
      <c r="DI1213" s="18"/>
      <c r="DJ1213" s="18"/>
      <c r="DK1213" s="18"/>
      <c r="DL1213" s="18"/>
      <c r="DM1213" s="18"/>
      <c r="DN1213" s="18"/>
      <c r="DO1213" s="18"/>
      <c r="DP1213" s="18"/>
      <c r="DQ1213" s="18"/>
      <c r="DR1213" s="18"/>
      <c r="DS1213" s="18"/>
      <c r="JO1213" s="38"/>
      <c r="JP1213" s="18"/>
      <c r="JQ1213" s="18"/>
    </row>
    <row r="1214" spans="1:288" x14ac:dyDescent="0.2">
      <c r="B1214" s="16">
        <v>2017</v>
      </c>
      <c r="C1214" s="20">
        <v>42957</v>
      </c>
      <c r="D1214" s="20" t="str">
        <f>CONCATENATE(J1214,"-",C1214)</f>
        <v>1335-42957</v>
      </c>
      <c r="E1214" s="20" t="str">
        <f>CONCATENATE(T1214,"-",U1214,"-",C1214)</f>
        <v>SP2-G8-42957</v>
      </c>
      <c r="F1214" s="20" t="s">
        <v>106</v>
      </c>
      <c r="G1214" s="20" t="s">
        <v>107</v>
      </c>
      <c r="I1214" s="16">
        <v>0</v>
      </c>
      <c r="J1214" s="21">
        <v>1335</v>
      </c>
      <c r="K1214" s="21">
        <v>2123</v>
      </c>
      <c r="L1214" s="18">
        <v>0</v>
      </c>
      <c r="M1214" s="21">
        <f>VLOOKUP($K1214,'[4]blood tubes 2017'!$D$1:$L$647,8,FALSE)</f>
        <v>0</v>
      </c>
      <c r="N1214" s="15">
        <v>0</v>
      </c>
      <c r="O1214" s="15" t="s">
        <v>214</v>
      </c>
      <c r="Q1214" s="16">
        <f t="shared" si="0"/>
        <v>0</v>
      </c>
      <c r="R1214" s="16" t="str">
        <f t="shared" si="2"/>
        <v/>
      </c>
      <c r="T1214" s="16" t="s">
        <v>137</v>
      </c>
      <c r="U1214" s="16" t="s">
        <v>216</v>
      </c>
      <c r="V1214" s="16" t="s">
        <v>114</v>
      </c>
      <c r="W1214" s="16">
        <f>AI1214/AG1214</f>
        <v>0.8314606741573034</v>
      </c>
      <c r="X1214" s="16" t="s">
        <v>115</v>
      </c>
      <c r="Y1214" s="16" t="s">
        <v>110</v>
      </c>
      <c r="Z1214" s="16">
        <v>3</v>
      </c>
      <c r="AE1214" s="16" t="s">
        <v>116</v>
      </c>
      <c r="AF1214" s="16" t="s">
        <v>116</v>
      </c>
      <c r="AG1214" s="16">
        <f>AH1214-AI1214</f>
        <v>89</v>
      </c>
      <c r="AH1214" s="16">
        <v>163</v>
      </c>
      <c r="AI1214" s="16">
        <v>74</v>
      </c>
      <c r="AK1214" s="16">
        <v>21</v>
      </c>
      <c r="AL1214" s="16">
        <v>0</v>
      </c>
      <c r="AM1214" s="16">
        <v>0</v>
      </c>
      <c r="AN1214" s="16">
        <v>0</v>
      </c>
      <c r="AO1214" s="16">
        <v>0</v>
      </c>
      <c r="AP1214" s="16">
        <f>SUM(AL1214:AN1214)</f>
        <v>0</v>
      </c>
      <c r="AQ1214" s="16">
        <v>1.6439999999999999</v>
      </c>
      <c r="AR1214" s="16">
        <f>AP1214-1.472</f>
        <v>-1.472</v>
      </c>
      <c r="AS1214" s="16">
        <f>AQ1214-1.472</f>
        <v>0.17199999999999993</v>
      </c>
      <c r="AT1214" s="16" t="s">
        <v>227</v>
      </c>
      <c r="AW1214" s="18">
        <f>IF(AX1214&gt;0,1,0)</f>
        <v>1</v>
      </c>
      <c r="AX1214" s="18">
        <f>SUM(BA1214,BM1214,CT1214)</f>
        <v>4</v>
      </c>
      <c r="AY1214" s="18">
        <f>SUM(BB1214,BN1214,CV1214)</f>
        <v>2697.6744186046521</v>
      </c>
      <c r="AZ1214" s="18">
        <f>IF(BA1214&gt;0,1,0)</f>
        <v>0</v>
      </c>
      <c r="BA1214" s="18">
        <f>SUM(BC1214,BF1214,BI1214)</f>
        <v>0</v>
      </c>
      <c r="BB1214" s="18">
        <f>SUM(BE1214,BH1214,BK1214)</f>
        <v>0</v>
      </c>
      <c r="BC1214" s="18">
        <f>IF(BD1214&gt;0,1,0)</f>
        <v>0</v>
      </c>
      <c r="BD1214" s="18">
        <f>VLOOKUP($K1214,'[5]FECs - good data'!$C$1:$Z$574,14,FALSE)</f>
        <v>0</v>
      </c>
      <c r="BE1214" s="16">
        <f>BD1214/AS1214</f>
        <v>0</v>
      </c>
      <c r="BF1214" s="16">
        <f>IF(BG1214&gt;0,1,0)</f>
        <v>0</v>
      </c>
      <c r="BG1214" s="77">
        <f>VLOOKUP($K1214,'[5]FECs - good data'!$C$1:$Z$574,15,FALSE)</f>
        <v>0</v>
      </c>
      <c r="BH1214" s="16">
        <f>BG1214/AS1214</f>
        <v>0</v>
      </c>
      <c r="BI1214" s="16">
        <f>IF(BJ1214&gt;0,1,0)</f>
        <v>0</v>
      </c>
      <c r="BJ1214" s="16">
        <f>VLOOKUP($K1214,'[5]FECs - good data'!$C$1:$Z$574,16,FALSE)</f>
        <v>0</v>
      </c>
      <c r="BK1214" s="16">
        <f>BJ1214/AS1214</f>
        <v>0</v>
      </c>
      <c r="BL1214" s="16">
        <f>IF(BM1214&gt;0,1,0)</f>
        <v>1</v>
      </c>
      <c r="BM1214" s="16">
        <f>SUM(BR1214,BU1214,BX1214,CA1214,CD1214,CG1214,CJ1214,CM1214,CP1214)</f>
        <v>1</v>
      </c>
      <c r="BN1214" s="16">
        <f>SUM(BW1214,BZ1214,CC1214,CF1214,CI1214,CL1214,CO1214,CR1214,BT1214)</f>
        <v>1261.6279069767447</v>
      </c>
      <c r="BO1214" s="16">
        <f>IF(BP1214&gt;0,1,0)</f>
        <v>0</v>
      </c>
      <c r="BP1214" s="16">
        <f>SUM(BU1214,BX1214,CA1214,CD1214,BR1214)</f>
        <v>0</v>
      </c>
      <c r="BQ1214" s="16">
        <f>SUM(BZ1214,CC1214,CF1214,BT1214,BW1214)</f>
        <v>0</v>
      </c>
      <c r="BR1214" s="16">
        <f>IF(BS1214&gt;0,1,0)</f>
        <v>0</v>
      </c>
      <c r="BS1214" s="16">
        <f>VLOOKUP($K1214,'[5]FECs - good data'!$C$1:$Z$574,17,FALSE)</f>
        <v>0</v>
      </c>
      <c r="BT1214" s="77">
        <f>BS1214/AS1214</f>
        <v>0</v>
      </c>
      <c r="BU1214" s="16">
        <f>IF(BV1214&gt;0,1,0)</f>
        <v>0</v>
      </c>
      <c r="BV1214" s="16">
        <f>VLOOKUP($K1214,'[5]FECs - good data'!$C$1:$Z$574,18,FALSE)</f>
        <v>0</v>
      </c>
      <c r="BW1214" s="16">
        <f>BV1214/AS1214</f>
        <v>0</v>
      </c>
      <c r="BX1214" s="16">
        <f>IF(BY1214&gt;0,1,0)</f>
        <v>0</v>
      </c>
      <c r="BY1214" s="16">
        <f>VLOOKUP($K1214,'[5]FECs - good data'!$C$1:$Z$574,19,FALSE)</f>
        <v>0</v>
      </c>
      <c r="BZ1214" s="16">
        <f>BY1214/AS1214</f>
        <v>0</v>
      </c>
      <c r="CA1214" s="16">
        <f>IF(CB1214&gt;0,1,0)</f>
        <v>0</v>
      </c>
      <c r="CB1214" s="16">
        <f>VLOOKUP($K1214,'[5]FECs - good data'!$C$1:$Z$574,20,FALSE)</f>
        <v>0</v>
      </c>
      <c r="CC1214" s="16">
        <f>CB1214/AS1214</f>
        <v>0</v>
      </c>
      <c r="CD1214" s="77">
        <f>IF(CE1214&gt;0,1,0)</f>
        <v>0</v>
      </c>
      <c r="CE1214" s="16">
        <f>VLOOKUP($K1214,'[5]FECs - good data'!$C$1:$Z$574,21,FALSE)</f>
        <v>0</v>
      </c>
      <c r="CF1214" s="16">
        <f>CE1214/AS1214</f>
        <v>0</v>
      </c>
      <c r="CG1214" s="16">
        <f>IF(CH1214&gt;0,1,0)</f>
        <v>1</v>
      </c>
      <c r="CH1214" s="16">
        <f>VLOOKUP($K1214,'[5]FECs - good data'!$C$1:$Z$574,22,FALSE)</f>
        <v>217</v>
      </c>
      <c r="CI1214" s="16">
        <f>CH1214/AS1214</f>
        <v>1261.6279069767447</v>
      </c>
      <c r="CJ1214" s="16">
        <f>IF(CK1214&gt;0,1,0)</f>
        <v>0</v>
      </c>
      <c r="CK1214" s="16">
        <f>VLOOKUP($K1214,'[5]FECs - good data'!$C$1:$Z$674,24,FALSE)</f>
        <v>0</v>
      </c>
      <c r="CL1214" s="16">
        <f>CK1214/AS1214</f>
        <v>0</v>
      </c>
      <c r="CS1214" s="16">
        <f>IF(CT1214&gt;0,1,0)</f>
        <v>1</v>
      </c>
      <c r="CT1214" s="16">
        <f>SUM(CW1214+CZ1214,DC1214)</f>
        <v>3</v>
      </c>
      <c r="CV1214" s="16">
        <f>SUM(CY1214,DB1214,DE1214)</f>
        <v>1436.0465116279074</v>
      </c>
      <c r="CW1214" s="16">
        <f>IF(CX1214&gt;0,1,0)</f>
        <v>1</v>
      </c>
      <c r="CX1214" s="16">
        <f>VLOOKUP($K1214,'[5]FECs - good data'!$C$1:$Z$574,22,FALSE)</f>
        <v>217</v>
      </c>
      <c r="CY1214" s="16">
        <f>CX1214/AS1214</f>
        <v>1261.6279069767447</v>
      </c>
      <c r="CZ1214" s="16">
        <f>IF(DA1214&gt;0,1,0)</f>
        <v>1</v>
      </c>
      <c r="DA1214" s="16">
        <f>VLOOKUP($K1214,'[5]FECs - good data'!$C$1:$Z$5982,23,FALSE)</f>
        <v>15</v>
      </c>
      <c r="DB1214" s="16">
        <f>DA1214/AS1214</f>
        <v>87.209302325581433</v>
      </c>
      <c r="DC1214" s="16">
        <f>IF(DD1214&gt;0,1,0)</f>
        <v>1</v>
      </c>
      <c r="DD1214" s="16">
        <f>VLOOKUP($K1214,'[5]FECs - good data'!$C$1:$Z$574,23,FALSE)</f>
        <v>15</v>
      </c>
      <c r="DE1214" s="16">
        <f>DD1214/AS1214</f>
        <v>87.209302325581433</v>
      </c>
      <c r="DF1214" s="16" t="e">
        <f>VLOOKUP(K1214,'[3]RNA Seq summary tables'!$V$3:$V$99,1,FALSE)</f>
        <v>#N/A</v>
      </c>
      <c r="JO1214" s="38"/>
    </row>
    <row r="1215" spans="1:288" x14ac:dyDescent="0.2">
      <c r="B1215" s="16">
        <v>2017</v>
      </c>
      <c r="C1215" s="43">
        <v>42972</v>
      </c>
      <c r="D1215" s="20" t="str">
        <f>CONCATENATE(J1215,"-",C1215)</f>
        <v>1335-42972</v>
      </c>
      <c r="E1215" s="20" t="str">
        <f>CONCATENATE(T1215,"-",U1215,"-",C1215)</f>
        <v>SP2-H7-42972</v>
      </c>
      <c r="F1215" s="20" t="s">
        <v>106</v>
      </c>
      <c r="G1215" s="43" t="s">
        <v>107</v>
      </c>
      <c r="H1215" s="23"/>
      <c r="I1215" s="16">
        <v>0</v>
      </c>
      <c r="J1215" s="15">
        <v>1335</v>
      </c>
      <c r="K1215" s="15">
        <v>2258</v>
      </c>
      <c r="L1215" s="18">
        <v>0</v>
      </c>
      <c r="M1215" s="21">
        <f>VLOOKUP($K1215,'[4]blood tubes 2017'!$D$1:$L$947,8,FALSE)</f>
        <v>0</v>
      </c>
      <c r="N1215" s="15">
        <v>0</v>
      </c>
      <c r="O1215" s="15" t="s">
        <v>214</v>
      </c>
      <c r="Q1215" s="16">
        <f t="shared" si="0"/>
        <v>1</v>
      </c>
      <c r="R1215" s="16">
        <f t="shared" si="2"/>
        <v>15</v>
      </c>
      <c r="S1215" s="23"/>
      <c r="T1215" s="23" t="s">
        <v>137</v>
      </c>
      <c r="U1215" s="23" t="s">
        <v>202</v>
      </c>
      <c r="V1215" s="23" t="s">
        <v>114</v>
      </c>
      <c r="W1215" s="16">
        <f>AI1215/AG1215</f>
        <v>0.82222222222222219</v>
      </c>
      <c r="X1215" s="23" t="s">
        <v>115</v>
      </c>
      <c r="Y1215" s="23" t="s">
        <v>110</v>
      </c>
      <c r="Z1215" s="23">
        <v>3</v>
      </c>
      <c r="AA1215" s="23"/>
      <c r="AB1215" s="23"/>
      <c r="AC1215" s="23"/>
      <c r="AD1215" s="23"/>
      <c r="AE1215" s="23" t="s">
        <v>116</v>
      </c>
      <c r="AF1215" s="23" t="s">
        <v>116</v>
      </c>
      <c r="AG1215" s="23">
        <f>AH1215-AI1215</f>
        <v>90</v>
      </c>
      <c r="AH1215" s="23">
        <v>164</v>
      </c>
      <c r="AI1215" s="23">
        <v>74</v>
      </c>
      <c r="AJ1215" s="23"/>
      <c r="AK1215" s="23">
        <v>21.5</v>
      </c>
      <c r="AL1215" s="23">
        <v>0</v>
      </c>
      <c r="AM1215" s="23">
        <v>0</v>
      </c>
      <c r="AN1215" s="23">
        <v>0</v>
      </c>
      <c r="AO1215" s="23">
        <v>0</v>
      </c>
      <c r="AP1215" s="23">
        <f>SUM(AL1215:AN1215)</f>
        <v>0</v>
      </c>
      <c r="AQ1215" s="23">
        <v>1.647</v>
      </c>
      <c r="AR1215" s="23">
        <f>AP1215-1.472</f>
        <v>-1.472</v>
      </c>
      <c r="AS1215" s="23">
        <f>AQ1215-1.472</f>
        <v>0.17500000000000004</v>
      </c>
      <c r="AT1215" s="23" t="str">
        <f>VLOOKUP(K1215,'[5]FECs - good data'!$C$1:$P$575,13,FALSE)</f>
        <v>NB</v>
      </c>
      <c r="AU1215" s="23"/>
      <c r="AV1215" s="23"/>
      <c r="AW1215" s="25">
        <f>IF(AX1215&gt;0,1,0)</f>
        <v>1</v>
      </c>
      <c r="AX1215" s="25">
        <f>SUM(BA1215,BM1215,CT1215)</f>
        <v>6</v>
      </c>
      <c r="AY1215" s="25">
        <f>SUM(BB1215,BN1215,CV1215)</f>
        <v>1451.4285714285711</v>
      </c>
      <c r="AZ1215" s="18">
        <f>IF(BA1215&gt;0,1,0)</f>
        <v>1</v>
      </c>
      <c r="BA1215" s="25">
        <f>SUM(BC1215,BF1215,BI1215)</f>
        <v>2</v>
      </c>
      <c r="BB1215" s="25">
        <f>SUM(BE1215,BH1215,BK1215)</f>
        <v>228.57142857142853</v>
      </c>
      <c r="BC1215" s="18">
        <f>IF(BD1215&gt;0,1,0)</f>
        <v>1</v>
      </c>
      <c r="BD1215" s="25">
        <f>VLOOKUP($K1215,'[5]FECs - good data'!$C$1:$Z$574,14,FALSE)</f>
        <v>3</v>
      </c>
      <c r="BE1215" s="23">
        <f>BD1215/AS1215</f>
        <v>17.142857142857139</v>
      </c>
      <c r="BF1215" s="16">
        <f>IF(BG1215&gt;0,1,0)</f>
        <v>1</v>
      </c>
      <c r="BG1215" s="77">
        <f>VLOOKUP($K1215,'[5]FECs - good data'!$C$1:$Z$574,15,FALSE)</f>
        <v>37</v>
      </c>
      <c r="BH1215" s="23">
        <f>BG1215/AS1215</f>
        <v>211.42857142857139</v>
      </c>
      <c r="BI1215" s="16">
        <f>IF(BJ1215&gt;0,1,0)</f>
        <v>0</v>
      </c>
      <c r="BJ1215" s="23">
        <f>VLOOKUP($K1215,'[5]FECs - good data'!$C$1:$Z$574,16,FALSE)</f>
        <v>0</v>
      </c>
      <c r="BK1215" s="23">
        <f>BJ1215/AS1215</f>
        <v>0</v>
      </c>
      <c r="BL1215" s="16">
        <f>IF(BM1215&gt;0,1,0)</f>
        <v>1</v>
      </c>
      <c r="BM1215" s="16">
        <f>SUM(BR1215,BU1215,BX1215,CA1215,CD1215,CG1215,CJ1215,CM1215,CP1215)</f>
        <v>1</v>
      </c>
      <c r="BN1215" s="16">
        <f>SUM(BW1215,BZ1215,CC1215,CF1215,CI1215,CL1215,CO1215,CR1215,BT1215)</f>
        <v>525.71428571428555</v>
      </c>
      <c r="BO1215" s="16">
        <f>IF(BP1215&gt;0,1,0)</f>
        <v>0</v>
      </c>
      <c r="BP1215" s="16">
        <f>SUM(BU1215,BX1215,CA1215,CD1215,BR1215)</f>
        <v>0</v>
      </c>
      <c r="BQ1215" s="16">
        <f>SUM(BZ1215,CC1215,CF1215,BT1215,BW1215)</f>
        <v>0</v>
      </c>
      <c r="BR1215" s="16">
        <f>IF(BS1215&gt;0,1,0)</f>
        <v>0</v>
      </c>
      <c r="BS1215" s="23">
        <f>VLOOKUP($K1215,'[5]FECs - good data'!$C$1:$Z$574,17,FALSE)</f>
        <v>0</v>
      </c>
      <c r="BT1215" s="77">
        <f>BS1215/AS1215</f>
        <v>0</v>
      </c>
      <c r="BU1215" s="16">
        <f>IF(BV1215&gt;0,1,0)</f>
        <v>0</v>
      </c>
      <c r="BV1215" s="23">
        <f>VLOOKUP($K1215,'[5]FECs - good data'!$C$1:$Z$574,18,FALSE)</f>
        <v>0</v>
      </c>
      <c r="BW1215" s="16">
        <f>BV1215/AS1215</f>
        <v>0</v>
      </c>
      <c r="BX1215" s="16">
        <f>IF(BY1215&gt;0,1,0)</f>
        <v>0</v>
      </c>
      <c r="BY1215" s="23">
        <f>VLOOKUP($K1215,'[5]FECs - good data'!$C$1:$Z$574,19,FALSE)</f>
        <v>0</v>
      </c>
      <c r="BZ1215" s="16">
        <f>BY1215/AS1215</f>
        <v>0</v>
      </c>
      <c r="CA1215" s="16">
        <f>IF(CB1215&gt;0,1,0)</f>
        <v>0</v>
      </c>
      <c r="CB1215" s="23">
        <f>VLOOKUP($K1215,'[5]FECs - good data'!$C$1:$Z$574,20,FALSE)</f>
        <v>0</v>
      </c>
      <c r="CC1215" s="23">
        <f>CB1215/AS1215</f>
        <v>0</v>
      </c>
      <c r="CD1215" s="77">
        <f>IF(CE1215&gt;0,1,0)</f>
        <v>0</v>
      </c>
      <c r="CE1215" s="23">
        <f>VLOOKUP($K1215,'[5]FECs - good data'!$C$1:$Z$574,21,FALSE)</f>
        <v>0</v>
      </c>
      <c r="CF1215" s="23">
        <f>CE1215/AS1215</f>
        <v>0</v>
      </c>
      <c r="CG1215" s="23">
        <f>IF(CH1215&gt;0,1,0)</f>
        <v>1</v>
      </c>
      <c r="CH1215" s="23">
        <f>VLOOKUP($K1215,'[5]FECs - good data'!$C$1:$Z$574,22,FALSE)</f>
        <v>92</v>
      </c>
      <c r="CI1215" s="23">
        <f>CH1215/AS1215</f>
        <v>525.71428571428555</v>
      </c>
      <c r="CJ1215" s="23">
        <f>IF(CK1215&gt;0,1,0)</f>
        <v>0</v>
      </c>
      <c r="CK1215" s="23">
        <f>VLOOKUP($K1215,'[5]FECs - good data'!$C$1:$Z$674,24,FALSE)</f>
        <v>0</v>
      </c>
      <c r="CL1215" s="23">
        <f>CK1215/AS1215</f>
        <v>0</v>
      </c>
      <c r="CM1215" s="23"/>
      <c r="CN1215" s="23"/>
      <c r="CO1215" s="23"/>
      <c r="CP1215" s="23"/>
      <c r="CQ1215" s="23"/>
      <c r="CR1215" s="23"/>
      <c r="CS1215" s="16">
        <f>IF(CT1215&gt;0,1,0)</f>
        <v>1</v>
      </c>
      <c r="CT1215" s="16">
        <f>SUM(CW1215+CZ1215,DC1215)</f>
        <v>3</v>
      </c>
      <c r="CV1215" s="23">
        <f>SUM(CY1215,DB1215,DE1215)</f>
        <v>697.14285714285688</v>
      </c>
      <c r="CW1215" s="16">
        <f>IF(CX1215&gt;0,1,0)</f>
        <v>1</v>
      </c>
      <c r="CX1215" s="23">
        <f>VLOOKUP($K1215,'[5]FECs - good data'!$C$1:$Z$574,22,FALSE)</f>
        <v>92</v>
      </c>
      <c r="CY1215" s="23">
        <f>CX1215/AS1215</f>
        <v>525.71428571428555</v>
      </c>
      <c r="CZ1215" s="23">
        <f>IF(DA1215&gt;0,1,0)</f>
        <v>1</v>
      </c>
      <c r="DA1215" s="23">
        <f>VLOOKUP($K1215,'[5]FECs - good data'!$C$1:$Z$5982,23,FALSE)</f>
        <v>15</v>
      </c>
      <c r="DB1215" s="23">
        <f>DA1215/AS1215</f>
        <v>85.714285714285694</v>
      </c>
      <c r="DC1215" s="23">
        <f>IF(DD1215&gt;0,1,0)</f>
        <v>1</v>
      </c>
      <c r="DD1215" s="23">
        <f>VLOOKUP($K1215,'[5]FECs - good data'!$C$1:$Z$574,23,FALSE)</f>
        <v>15</v>
      </c>
      <c r="DE1215" s="23">
        <f>DD1215/AS1215</f>
        <v>85.714285714285694</v>
      </c>
      <c r="DF1215" s="16" t="e">
        <f>VLOOKUP(K1215,'[3]RNA Seq summary tables'!$V$3:$V$99,1,FALSE)</f>
        <v>#N/A</v>
      </c>
      <c r="DI1215" s="23"/>
      <c r="DJ1215" s="23"/>
      <c r="DK1215" s="23"/>
      <c r="DL1215" s="23"/>
      <c r="DM1215" s="23"/>
      <c r="DN1215" s="23"/>
      <c r="DO1215" s="23"/>
      <c r="DP1215" s="23"/>
      <c r="DQ1215" s="23"/>
      <c r="DR1215" s="23"/>
      <c r="DS1215" s="23"/>
      <c r="DT1215" s="25"/>
      <c r="DU1215" s="25"/>
      <c r="DV1215" s="25"/>
      <c r="DW1215" s="25"/>
      <c r="DX1215" s="25"/>
      <c r="DY1215" s="25"/>
      <c r="DZ1215" s="25"/>
      <c r="EA1215" s="25"/>
      <c r="EB1215" s="25"/>
      <c r="EC1215" s="25"/>
      <c r="ED1215" s="25"/>
      <c r="EE1215" s="25"/>
      <c r="EF1215" s="25"/>
      <c r="EG1215" s="25"/>
      <c r="EH1215" s="25"/>
      <c r="EI1215" s="25"/>
      <c r="EJ1215" s="25"/>
      <c r="EK1215" s="25"/>
      <c r="EL1215" s="25"/>
      <c r="EM1215" s="25"/>
      <c r="EN1215" s="25"/>
      <c r="EO1215" s="25"/>
      <c r="EP1215" s="25"/>
      <c r="EQ1215" s="25"/>
      <c r="ER1215" s="25"/>
      <c r="ES1215" s="25"/>
      <c r="ET1215" s="25"/>
      <c r="EU1215" s="25"/>
      <c r="EV1215" s="25"/>
      <c r="EW1215" s="25"/>
      <c r="EX1215" s="25"/>
      <c r="EY1215" s="25"/>
      <c r="EZ1215" s="25"/>
      <c r="FA1215" s="25"/>
      <c r="FB1215" s="25"/>
      <c r="FC1215" s="25"/>
      <c r="FD1215" s="25"/>
      <c r="FE1215" s="25"/>
      <c r="FF1215" s="25"/>
      <c r="FG1215" s="25"/>
      <c r="FH1215" s="25"/>
      <c r="FI1215" s="25"/>
      <c r="FJ1215" s="25"/>
      <c r="FK1215" s="25"/>
      <c r="FL1215" s="25"/>
      <c r="FM1215" s="25"/>
      <c r="FN1215" s="25"/>
      <c r="FO1215" s="25"/>
      <c r="FP1215" s="25"/>
      <c r="FQ1215" s="25"/>
      <c r="FR1215" s="25"/>
      <c r="FS1215" s="25"/>
      <c r="FT1215" s="25"/>
      <c r="FU1215" s="25"/>
      <c r="FV1215" s="25"/>
      <c r="FW1215" s="25"/>
      <c r="FX1215" s="25"/>
      <c r="FY1215" s="25"/>
      <c r="FZ1215" s="25"/>
      <c r="GA1215" s="25"/>
      <c r="GB1215" s="25"/>
      <c r="GC1215" s="25"/>
      <c r="GD1215" s="25"/>
      <c r="GE1215" s="25"/>
      <c r="GF1215" s="25"/>
      <c r="GG1215" s="25"/>
      <c r="GH1215" s="25"/>
      <c r="GI1215" s="25"/>
      <c r="GJ1215" s="25"/>
      <c r="GK1215" s="25"/>
      <c r="GL1215" s="25"/>
      <c r="GM1215" s="25"/>
      <c r="GN1215" s="25"/>
      <c r="GO1215" s="25"/>
      <c r="GP1215" s="25"/>
      <c r="GQ1215" s="25"/>
      <c r="GR1215" s="25"/>
      <c r="GS1215" s="25"/>
      <c r="GT1215" s="25"/>
      <c r="GU1215" s="25"/>
      <c r="GV1215" s="25"/>
      <c r="GW1215" s="25"/>
      <c r="GX1215" s="25"/>
      <c r="GY1215" s="25"/>
      <c r="GZ1215" s="25"/>
      <c r="HA1215" s="25"/>
      <c r="HB1215" s="25"/>
      <c r="HC1215" s="25"/>
      <c r="HD1215" s="25"/>
      <c r="HE1215" s="25"/>
      <c r="HF1215" s="25"/>
      <c r="HG1215" s="25"/>
      <c r="HH1215" s="25"/>
      <c r="HI1215" s="25"/>
      <c r="HJ1215" s="25"/>
      <c r="HK1215" s="25"/>
      <c r="HL1215" s="25"/>
      <c r="HM1215" s="25"/>
      <c r="HN1215" s="25"/>
      <c r="HO1215" s="25"/>
      <c r="HP1215" s="25"/>
      <c r="HQ1215" s="25"/>
      <c r="HR1215" s="25"/>
      <c r="HS1215" s="25"/>
      <c r="HT1215" s="25"/>
      <c r="HU1215" s="25"/>
      <c r="HV1215" s="25"/>
      <c r="HW1215" s="25"/>
      <c r="HX1215" s="25"/>
      <c r="HY1215" s="25"/>
      <c r="HZ1215" s="25"/>
      <c r="IA1215" s="25"/>
      <c r="IB1215" s="25"/>
      <c r="IC1215" s="25"/>
      <c r="ID1215" s="25"/>
      <c r="IE1215" s="25"/>
      <c r="IF1215" s="25"/>
      <c r="IG1215" s="25"/>
      <c r="IH1215" s="25"/>
      <c r="II1215" s="25"/>
      <c r="IJ1215" s="25"/>
      <c r="IK1215" s="25"/>
      <c r="IL1215" s="25"/>
      <c r="IM1215" s="25"/>
      <c r="IN1215" s="25"/>
      <c r="IO1215" s="25"/>
      <c r="IP1215" s="25"/>
      <c r="IQ1215" s="25"/>
      <c r="IR1215" s="25"/>
      <c r="IS1215" s="25"/>
      <c r="IT1215" s="25"/>
      <c r="IU1215" s="25"/>
      <c r="IV1215" s="25"/>
      <c r="IW1215" s="25"/>
      <c r="IX1215" s="25"/>
      <c r="IY1215" s="25"/>
      <c r="IZ1215" s="25"/>
      <c r="JA1215" s="25"/>
      <c r="JB1215" s="25"/>
      <c r="JC1215" s="25"/>
      <c r="JD1215" s="25"/>
      <c r="JE1215" s="25"/>
      <c r="JF1215" s="25"/>
      <c r="JG1215" s="25"/>
      <c r="JH1215" s="25"/>
      <c r="JI1215" s="25"/>
      <c r="JJ1215" s="25"/>
      <c r="JK1215" s="25"/>
      <c r="JL1215" s="25"/>
      <c r="JM1215" s="25"/>
      <c r="JN1215" s="25"/>
    </row>
    <row r="1216" spans="1:288" x14ac:dyDescent="0.2">
      <c r="B1216" s="16">
        <v>2017</v>
      </c>
      <c r="C1216" s="20">
        <v>42958</v>
      </c>
      <c r="D1216" s="20" t="str">
        <f>CONCATENATE(J1216,"-",C1216)</f>
        <v>1337-42958</v>
      </c>
      <c r="E1216" s="142" t="str">
        <f>CONCATENATE(T1216,"-",U1216,"-",C1216)</f>
        <v>SP1-E7-42958</v>
      </c>
      <c r="F1216" s="20" t="s">
        <v>106</v>
      </c>
      <c r="G1216" s="20" t="s">
        <v>107</v>
      </c>
      <c r="J1216" s="21">
        <v>1337</v>
      </c>
      <c r="K1216" s="21">
        <v>2128</v>
      </c>
      <c r="L1216" s="18">
        <v>0</v>
      </c>
      <c r="M1216" s="21">
        <f>VLOOKUP($K1216,'[4]blood tubes 2017'!$D$1:$L$647,8,FALSE)</f>
        <v>0</v>
      </c>
      <c r="N1216" s="15">
        <v>0</v>
      </c>
      <c r="O1216" s="15" t="s">
        <v>214</v>
      </c>
      <c r="Q1216" s="16">
        <f t="shared" si="0"/>
        <v>0</v>
      </c>
      <c r="R1216" s="16" t="str">
        <f t="shared" si="2"/>
        <v/>
      </c>
      <c r="T1216" s="16" t="s">
        <v>140</v>
      </c>
      <c r="U1216" s="16" t="s">
        <v>135</v>
      </c>
      <c r="V1216" s="16" t="s">
        <v>114</v>
      </c>
      <c r="W1216" s="16">
        <f>AI1216/AG1216</f>
        <v>0.91139240506329111</v>
      </c>
      <c r="X1216" s="16" t="s">
        <v>115</v>
      </c>
      <c r="Y1216" s="16" t="s">
        <v>122</v>
      </c>
      <c r="Z1216" s="16">
        <v>2.2999999999999998</v>
      </c>
      <c r="AE1216" s="16" t="s">
        <v>123</v>
      </c>
      <c r="AF1216" s="16" t="s">
        <v>123</v>
      </c>
      <c r="AG1216" s="16">
        <f>AH1216-AI1216</f>
        <v>79</v>
      </c>
      <c r="AH1216" s="16">
        <v>151</v>
      </c>
      <c r="AI1216" s="16">
        <v>72</v>
      </c>
      <c r="AK1216" s="16">
        <v>13.5</v>
      </c>
      <c r="AL1216" s="16">
        <v>0</v>
      </c>
      <c r="AM1216" s="16">
        <v>1</v>
      </c>
      <c r="AN1216" s="16">
        <v>0</v>
      </c>
      <c r="AO1216" s="16">
        <v>1</v>
      </c>
      <c r="AP1216" s="16">
        <f>SUM(AL1216:AN1216)</f>
        <v>1</v>
      </c>
      <c r="AQ1216" s="16">
        <v>2.0609999999999999</v>
      </c>
      <c r="AR1216" s="16">
        <f>AP1216-1.472</f>
        <v>-0.47199999999999998</v>
      </c>
      <c r="AS1216" s="16">
        <f>AQ1216-1.472</f>
        <v>0.58899999999999997</v>
      </c>
      <c r="AT1216" s="16" t="e">
        <f>VLOOKUP(E1216,[2]Current!$A$1:$W$435,7,FALSE)</f>
        <v>#N/A</v>
      </c>
      <c r="AU1216" s="16">
        <v>0</v>
      </c>
      <c r="AW1216" s="18"/>
      <c r="AX1216" s="18"/>
      <c r="AY1216" s="18"/>
      <c r="AZ1216" s="18"/>
      <c r="BA1216" s="18"/>
      <c r="BB1216" s="18"/>
      <c r="BC1216" s="18"/>
      <c r="BD1216" s="18"/>
      <c r="BG1216" s="77"/>
      <c r="BT1216" s="77"/>
      <c r="CD1216" s="77"/>
      <c r="DF1216" s="16" t="e">
        <f>VLOOKUP(K1216,'[3]RNA Seq summary tables'!$V$3:$V$99,1,FALSE)</f>
        <v>#N/A</v>
      </c>
      <c r="JO1216" s="38"/>
      <c r="JP1216" s="38"/>
      <c r="JQ1216" s="38"/>
    </row>
    <row r="1217" spans="1:288" x14ac:dyDescent="0.2">
      <c r="B1217" s="16">
        <v>2017</v>
      </c>
      <c r="C1217" s="20">
        <v>42958</v>
      </c>
      <c r="D1217" s="20" t="str">
        <f>CONCATENATE(J1217,"-",C1217)</f>
        <v>1339-42958</v>
      </c>
      <c r="E1217" s="142" t="str">
        <f>CONCATENATE(T1217,"-",U1217,"-",C1217)</f>
        <v>SP2-A1-42958</v>
      </c>
      <c r="F1217" s="20" t="s">
        <v>106</v>
      </c>
      <c r="G1217" s="20" t="s">
        <v>107</v>
      </c>
      <c r="J1217" s="21">
        <v>1339</v>
      </c>
      <c r="K1217" s="21">
        <v>2132</v>
      </c>
      <c r="L1217" s="18">
        <v>0</v>
      </c>
      <c r="M1217" s="21">
        <f>VLOOKUP($K1217,'[4]blood tubes 2017'!$D$1:$L$647,8,FALSE)</f>
        <v>0</v>
      </c>
      <c r="N1217" s="15">
        <v>0</v>
      </c>
      <c r="O1217" s="15" t="s">
        <v>214</v>
      </c>
      <c r="Q1217" s="16">
        <f t="shared" si="0"/>
        <v>0</v>
      </c>
      <c r="R1217" s="16" t="str">
        <f t="shared" si="2"/>
        <v/>
      </c>
      <c r="T1217" s="16" t="s">
        <v>137</v>
      </c>
      <c r="U1217" s="16" t="s">
        <v>210</v>
      </c>
      <c r="V1217" s="16" t="s">
        <v>114</v>
      </c>
      <c r="W1217" s="16">
        <f>AI1217/AG1217</f>
        <v>0.91025641025641024</v>
      </c>
      <c r="X1217" s="16" t="s">
        <v>121</v>
      </c>
      <c r="Y1217" s="16" t="s">
        <v>122</v>
      </c>
      <c r="Z1217" s="16">
        <v>2.2999999999999998</v>
      </c>
      <c r="AA1217" s="16" t="s">
        <v>119</v>
      </c>
      <c r="AB1217" s="16" t="s">
        <v>123</v>
      </c>
      <c r="AC1217" s="16" t="s">
        <v>123</v>
      </c>
      <c r="AD1217" s="16" t="s">
        <v>123</v>
      </c>
      <c r="AG1217" s="16">
        <f>AH1217-AI1217</f>
        <v>78</v>
      </c>
      <c r="AH1217" s="16">
        <v>149</v>
      </c>
      <c r="AI1217" s="16">
        <v>71</v>
      </c>
      <c r="AK1217" s="16">
        <v>14</v>
      </c>
      <c r="AL1217" s="16">
        <v>0</v>
      </c>
      <c r="AM1217" s="16">
        <v>0</v>
      </c>
      <c r="AN1217" s="16">
        <v>0</v>
      </c>
      <c r="AO1217" s="16">
        <v>0</v>
      </c>
      <c r="AP1217" s="16">
        <f>SUM(AL1217:AN1217)</f>
        <v>0</v>
      </c>
      <c r="AQ1217" s="16">
        <v>1.677</v>
      </c>
      <c r="AR1217" s="16">
        <f>AP1217-1.472</f>
        <v>-1.472</v>
      </c>
      <c r="AS1217" s="16">
        <f>AQ1217-1.472</f>
        <v>0.20500000000000007</v>
      </c>
      <c r="AT1217" s="16" t="e">
        <f>VLOOKUP(E1217,[2]Current!$A$1:$W$435,7,FALSE)</f>
        <v>#N/A</v>
      </c>
      <c r="AU1217" s="16">
        <v>0</v>
      </c>
      <c r="AW1217" s="18"/>
      <c r="AX1217" s="18"/>
      <c r="AY1217" s="18"/>
      <c r="AZ1217" s="18"/>
      <c r="BA1217" s="18"/>
      <c r="BB1217" s="18"/>
      <c r="BC1217" s="18"/>
      <c r="BD1217" s="18"/>
      <c r="BG1217" s="77"/>
      <c r="BT1217" s="77"/>
      <c r="CD1217" s="77"/>
      <c r="DF1217" s="16" t="e">
        <f>VLOOKUP(K1217,'[3]RNA Seq summary tables'!$V$3:$V$99,1,FALSE)</f>
        <v>#N/A</v>
      </c>
      <c r="JO1217" s="38"/>
      <c r="JP1217" s="38"/>
      <c r="JQ1217" s="38"/>
    </row>
    <row r="1218" spans="1:288" x14ac:dyDescent="0.2">
      <c r="B1218" s="16">
        <v>2017</v>
      </c>
      <c r="C1218" s="20">
        <v>42958</v>
      </c>
      <c r="D1218" s="20" t="str">
        <f>CONCATENATE(J1218,"-",C1218)</f>
        <v>1341-42958</v>
      </c>
      <c r="E1218" s="20" t="str">
        <f>CONCATENATE(T1218,"-",U1218,"-",C1218)</f>
        <v>SP2-H6-42958</v>
      </c>
      <c r="F1218" s="20" t="s">
        <v>106</v>
      </c>
      <c r="G1218" s="20" t="s">
        <v>107</v>
      </c>
      <c r="I1218" s="16">
        <v>0</v>
      </c>
      <c r="J1218" s="21">
        <v>1341</v>
      </c>
      <c r="K1218" s="21">
        <v>2138</v>
      </c>
      <c r="L1218" s="18">
        <v>0</v>
      </c>
      <c r="M1218" s="21">
        <f>VLOOKUP($K1218,'[4]blood tubes 2017'!$D$1:$L$647,8,FALSE)</f>
        <v>0</v>
      </c>
      <c r="N1218" s="15">
        <v>0</v>
      </c>
      <c r="O1218" s="15" t="s">
        <v>214</v>
      </c>
      <c r="Q1218" s="16">
        <f t="shared" si="0"/>
        <v>0</v>
      </c>
      <c r="R1218" s="16" t="str">
        <f t="shared" si="2"/>
        <v/>
      </c>
      <c r="T1218" s="16" t="s">
        <v>137</v>
      </c>
      <c r="U1218" s="16" t="s">
        <v>141</v>
      </c>
      <c r="V1218" s="16" t="s">
        <v>114</v>
      </c>
      <c r="W1218" s="16">
        <f>AI1218/AG1218</f>
        <v>0.74226804123711343</v>
      </c>
      <c r="X1218" s="16" t="s">
        <v>121</v>
      </c>
      <c r="Y1218" s="16" t="s">
        <v>110</v>
      </c>
      <c r="Z1218" s="16">
        <v>3</v>
      </c>
      <c r="AA1218" s="16" t="s">
        <v>119</v>
      </c>
      <c r="AB1218" s="16" t="s">
        <v>240</v>
      </c>
      <c r="AC1218" s="16" t="s">
        <v>123</v>
      </c>
      <c r="AD1218" s="16" t="s">
        <v>123</v>
      </c>
      <c r="AG1218" s="16">
        <f>AH1218-AI1218</f>
        <v>97</v>
      </c>
      <c r="AH1218" s="16">
        <v>169</v>
      </c>
      <c r="AI1218" s="16">
        <v>72</v>
      </c>
      <c r="AK1218" s="16">
        <v>25</v>
      </c>
      <c r="AL1218" s="16">
        <v>0</v>
      </c>
      <c r="AM1218" s="16">
        <v>0</v>
      </c>
      <c r="AN1218" s="16">
        <v>0</v>
      </c>
      <c r="AO1218" s="16">
        <v>0</v>
      </c>
      <c r="AP1218" s="16">
        <f>SUM(AL1218:AN1218)</f>
        <v>0</v>
      </c>
      <c r="AQ1218" s="16">
        <v>2.2829999999999999</v>
      </c>
      <c r="AR1218" s="16">
        <f>AP1218-1.472</f>
        <v>-1.472</v>
      </c>
      <c r="AS1218" s="16">
        <f>AQ1218-1.472</f>
        <v>0.81099999999999994</v>
      </c>
      <c r="AT1218" s="16" t="str">
        <f>VLOOKUP(K1218,'[5]FECs - good data'!$C$1:$P$575,13,FALSE)</f>
        <v>SB</v>
      </c>
      <c r="AW1218" s="18">
        <f>IF(AX1218&gt;0,1,0)</f>
        <v>1</v>
      </c>
      <c r="AX1218" s="18">
        <f>SUM(BA1218,BM1218,CT1218)</f>
        <v>4</v>
      </c>
      <c r="AY1218" s="18">
        <f>SUM(BB1218,BN1218,CV1218)</f>
        <v>515.41307028360052</v>
      </c>
      <c r="AZ1218" s="18">
        <f>IF(BA1218&gt;0,1,0)</f>
        <v>0</v>
      </c>
      <c r="BA1218" s="18">
        <f>SUM(BC1218,BF1218,BI1218)</f>
        <v>0</v>
      </c>
      <c r="BB1218" s="18">
        <f>SUM(BE1218,BH1218,BK1218)</f>
        <v>0</v>
      </c>
      <c r="BC1218" s="18">
        <f>IF(BD1218&gt;0,1,0)</f>
        <v>0</v>
      </c>
      <c r="BD1218" s="18">
        <f>VLOOKUP($K1218,'[5]FECs - good data'!$C$1:$Z$574,14,FALSE)</f>
        <v>0</v>
      </c>
      <c r="BE1218" s="16">
        <f>BD1218/AS1218</f>
        <v>0</v>
      </c>
      <c r="BF1218" s="16">
        <f>IF(BG1218&gt;0,1,0)</f>
        <v>0</v>
      </c>
      <c r="BG1218" s="77">
        <f>VLOOKUP($K1218,'[5]FECs - good data'!$C$1:$Z$574,15,FALSE)</f>
        <v>0</v>
      </c>
      <c r="BH1218" s="16">
        <f>BG1218/AS1218</f>
        <v>0</v>
      </c>
      <c r="BI1218" s="16">
        <f>IF(BJ1218&gt;0,1,0)</f>
        <v>0</v>
      </c>
      <c r="BJ1218" s="16">
        <f>VLOOKUP($K1218,'[5]FECs - good data'!$C$1:$Z$574,16,FALSE)</f>
        <v>0</v>
      </c>
      <c r="BK1218" s="16">
        <f>BJ1218/AS1218</f>
        <v>0</v>
      </c>
      <c r="BL1218" s="16">
        <f>IF(BM1218&gt;0,1,0)</f>
        <v>1</v>
      </c>
      <c r="BM1218" s="16">
        <f>SUM(BR1218,BU1218,BX1218,CA1218,CD1218,CG1218,CJ1218,CM1218,CP1218)</f>
        <v>1</v>
      </c>
      <c r="BN1218" s="16">
        <f>SUM(BW1218,BZ1218,CC1218,CF1218,CI1218,CL1218,CO1218,CR1218,BT1218)</f>
        <v>165.22811344019729</v>
      </c>
      <c r="BO1218" s="16">
        <f>IF(BP1218&gt;0,1,0)</f>
        <v>0</v>
      </c>
      <c r="BP1218" s="16">
        <f>SUM(BU1218,BX1218,CA1218,CD1218,BR1218)</f>
        <v>0</v>
      </c>
      <c r="BQ1218" s="16">
        <f>SUM(BZ1218,CC1218,CF1218,BT1218,BW1218)</f>
        <v>0</v>
      </c>
      <c r="BR1218" s="16">
        <f>IF(BS1218&gt;0,1,0)</f>
        <v>0</v>
      </c>
      <c r="BS1218" s="16">
        <f>VLOOKUP($K1218,'[5]FECs - good data'!$C$1:$Z$574,17,FALSE)</f>
        <v>0</v>
      </c>
      <c r="BT1218" s="77">
        <f>BS1218/AS1218</f>
        <v>0</v>
      </c>
      <c r="BU1218" s="16">
        <f>IF(BV1218&gt;0,1,0)</f>
        <v>0</v>
      </c>
      <c r="BV1218" s="16">
        <f>VLOOKUP($K1218,'[5]FECs - good data'!$C$1:$Z$574,18,FALSE)</f>
        <v>0</v>
      </c>
      <c r="BW1218" s="16">
        <f>BV1218/AS1218</f>
        <v>0</v>
      </c>
      <c r="BX1218" s="16">
        <f>IF(BY1218&gt;0,1,0)</f>
        <v>0</v>
      </c>
      <c r="BY1218" s="16">
        <f>VLOOKUP($K1218,'[5]FECs - good data'!$C$1:$Z$574,19,FALSE)</f>
        <v>0</v>
      </c>
      <c r="BZ1218" s="16">
        <f>BY1218/AS1218</f>
        <v>0</v>
      </c>
      <c r="CA1218" s="16">
        <f>IF(CB1218&gt;0,1,0)</f>
        <v>0</v>
      </c>
      <c r="CB1218" s="16">
        <f>VLOOKUP($K1218,'[5]FECs - good data'!$C$1:$Z$574,20,FALSE)</f>
        <v>0</v>
      </c>
      <c r="CC1218" s="16">
        <f>CB1218/AS1218</f>
        <v>0</v>
      </c>
      <c r="CD1218" s="77">
        <f>IF(CE1218&gt;0,1,0)</f>
        <v>0</v>
      </c>
      <c r="CE1218" s="16">
        <f>VLOOKUP($K1218,'[5]FECs - good data'!$C$1:$Z$574,21,FALSE)</f>
        <v>0</v>
      </c>
      <c r="CF1218" s="16">
        <f>CE1218/AS1218</f>
        <v>0</v>
      </c>
      <c r="CG1218" s="16">
        <f>IF(CH1218&gt;0,1,0)</f>
        <v>1</v>
      </c>
      <c r="CH1218" s="16">
        <f>VLOOKUP($K1218,'[5]FECs - good data'!$C$1:$Z$574,22,FALSE)</f>
        <v>134</v>
      </c>
      <c r="CI1218" s="16">
        <f>CH1218/AS1218</f>
        <v>165.22811344019729</v>
      </c>
      <c r="CJ1218" s="16">
        <f>IF(CK1218&gt;0,1,0)</f>
        <v>0</v>
      </c>
      <c r="CK1218" s="16">
        <f>VLOOKUP($K1218,'[5]FECs - good data'!$C$1:$Z$674,24,FALSE)</f>
        <v>0</v>
      </c>
      <c r="CL1218" s="16">
        <f>CK1218/AS1218</f>
        <v>0</v>
      </c>
      <c r="CS1218" s="16">
        <f>IF(CT1218&gt;0,1,0)</f>
        <v>1</v>
      </c>
      <c r="CT1218" s="16">
        <f>SUM(CW1218+CZ1218,DC1218)</f>
        <v>3</v>
      </c>
      <c r="CV1218" s="16">
        <f>SUM(CY1218,DB1218,DE1218)</f>
        <v>350.18495684340326</v>
      </c>
      <c r="CW1218" s="16">
        <f>IF(CX1218&gt;0,1,0)</f>
        <v>1</v>
      </c>
      <c r="CX1218" s="16">
        <f>VLOOKUP($K1218,'[5]FECs - good data'!$C$1:$Z$574,22,FALSE)</f>
        <v>134</v>
      </c>
      <c r="CY1218" s="16">
        <f>CX1218/AS1218</f>
        <v>165.22811344019729</v>
      </c>
      <c r="CZ1218" s="16">
        <f>IF(DA1218&gt;0,1,0)</f>
        <v>1</v>
      </c>
      <c r="DA1218" s="16">
        <f>VLOOKUP($K1218,'[5]FECs - good data'!$C$1:$Z$5982,23,FALSE)</f>
        <v>75</v>
      </c>
      <c r="DB1218" s="16">
        <f>DA1218/AS1218</f>
        <v>92.478421701602969</v>
      </c>
      <c r="DC1218" s="16">
        <f>IF(DD1218&gt;0,1,0)</f>
        <v>1</v>
      </c>
      <c r="DD1218" s="16">
        <f>VLOOKUP($K1218,'[5]FECs - good data'!$C$1:$Z$574,23,FALSE)</f>
        <v>75</v>
      </c>
      <c r="DE1218" s="16">
        <f>DD1218/AS1218</f>
        <v>92.478421701602969</v>
      </c>
      <c r="DF1218" s="16" t="e">
        <f>VLOOKUP(K1218,'[3]RNA Seq summary tables'!$V$3:$V$99,1,FALSE)</f>
        <v>#N/A</v>
      </c>
      <c r="JO1218" s="38"/>
      <c r="JP1218" s="38"/>
      <c r="JQ1218" s="38"/>
    </row>
    <row r="1219" spans="1:288" s="87" customFormat="1" x14ac:dyDescent="0.2">
      <c r="A1219" s="18"/>
      <c r="B1219" s="18">
        <v>2017</v>
      </c>
      <c r="C1219" s="184">
        <v>42959</v>
      </c>
      <c r="D1219" s="37" t="str">
        <f>CONCATENATE(J1219,"-",C1219)</f>
        <v>1343-42959</v>
      </c>
      <c r="E1219" s="142" t="str">
        <f>CONCATENATE(T1219,"-",U1219,"-",C1219)</f>
        <v>SP1-G8-42959</v>
      </c>
      <c r="F1219" s="20" t="s">
        <v>106</v>
      </c>
      <c r="G1219" s="184" t="s">
        <v>107</v>
      </c>
      <c r="H1219" s="89"/>
      <c r="J1219" s="188">
        <v>1343</v>
      </c>
      <c r="K1219" s="188">
        <v>2140</v>
      </c>
      <c r="L1219" s="89">
        <v>0</v>
      </c>
      <c r="M1219" s="21">
        <f>VLOOKUP($K1219,'[4]blood tubes 2017'!$D$1:$L$647,8,FALSE)</f>
        <v>0</v>
      </c>
      <c r="N1219" s="15">
        <v>0</v>
      </c>
      <c r="O1219" s="15" t="s">
        <v>214</v>
      </c>
      <c r="P1219" s="16"/>
      <c r="Q1219" s="16">
        <f t="shared" si="0"/>
        <v>0</v>
      </c>
      <c r="R1219" s="16" t="str">
        <f t="shared" si="2"/>
        <v/>
      </c>
      <c r="S1219" s="89"/>
      <c r="T1219" s="89" t="s">
        <v>140</v>
      </c>
      <c r="U1219" s="89" t="s">
        <v>216</v>
      </c>
      <c r="V1219" s="89" t="s">
        <v>114</v>
      </c>
      <c r="W1219" s="87">
        <f>AI1219/AG1219</f>
        <v>0.80952380952380953</v>
      </c>
      <c r="X1219" s="89" t="s">
        <v>115</v>
      </c>
      <c r="Y1219" s="89" t="s">
        <v>122</v>
      </c>
      <c r="Z1219" s="89">
        <v>2.6</v>
      </c>
      <c r="AA1219" s="89"/>
      <c r="AB1219" s="89"/>
      <c r="AC1219" s="89"/>
      <c r="AD1219" s="89"/>
      <c r="AE1219" s="89" t="s">
        <v>123</v>
      </c>
      <c r="AF1219" s="89" t="s">
        <v>123</v>
      </c>
      <c r="AG1219" s="89">
        <f>AH1219-AI1219</f>
        <v>84</v>
      </c>
      <c r="AH1219" s="89">
        <v>152</v>
      </c>
      <c r="AI1219" s="89">
        <v>68</v>
      </c>
      <c r="AJ1219" s="89"/>
      <c r="AK1219" s="89">
        <v>18</v>
      </c>
      <c r="AL1219" s="89">
        <v>1</v>
      </c>
      <c r="AM1219" s="89">
        <v>0</v>
      </c>
      <c r="AN1219" s="89">
        <v>0</v>
      </c>
      <c r="AO1219" s="89">
        <v>1</v>
      </c>
      <c r="AP1219" s="89">
        <f>SUM(AL1219:AN1219)</f>
        <v>1</v>
      </c>
      <c r="AQ1219" s="89">
        <v>1.7869999999999999</v>
      </c>
      <c r="AR1219" s="89">
        <f>AP1219-1.472</f>
        <v>-0.47199999999999998</v>
      </c>
      <c r="AS1219" s="18">
        <f>AQ1219-1.472</f>
        <v>0.31499999999999995</v>
      </c>
      <c r="AT1219" s="16" t="e">
        <f>VLOOKUP(E1219,[2]Current!$A$1:$W$435,7,FALSE)</f>
        <v>#N/A</v>
      </c>
      <c r="AU1219" s="16">
        <v>0</v>
      </c>
      <c r="AV1219" s="18"/>
      <c r="AW1219" s="18"/>
      <c r="AX1219" s="18"/>
      <c r="AY1219" s="18"/>
      <c r="AZ1219" s="18"/>
      <c r="BA1219" s="18"/>
      <c r="BB1219" s="18"/>
      <c r="BC1219" s="18"/>
      <c r="BD1219" s="18"/>
      <c r="BE1219" s="18"/>
      <c r="BF1219" s="18"/>
      <c r="BG1219" s="78"/>
      <c r="BH1219" s="18"/>
      <c r="BI1219" s="18"/>
      <c r="BJ1219" s="18"/>
      <c r="BK1219" s="18"/>
      <c r="BL1219" s="18"/>
      <c r="BM1219" s="18"/>
      <c r="BN1219" s="18"/>
      <c r="BO1219" s="18"/>
      <c r="BP1219" s="18"/>
      <c r="BQ1219" s="18"/>
      <c r="BR1219" s="18"/>
      <c r="BS1219" s="18"/>
      <c r="BT1219" s="78"/>
      <c r="BU1219" s="18"/>
      <c r="BV1219" s="18"/>
      <c r="BW1219" s="18"/>
      <c r="BX1219" s="18"/>
      <c r="BY1219" s="18"/>
      <c r="BZ1219" s="18"/>
      <c r="CA1219" s="18"/>
      <c r="CB1219" s="18"/>
      <c r="CC1219" s="18"/>
      <c r="CD1219" s="7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89"/>
      <c r="DD1219" s="89"/>
      <c r="DE1219" s="89"/>
      <c r="DF1219" s="16" t="e">
        <f>VLOOKUP(K1219,'[3]RNA Seq summary tables'!$V$3:$V$99,1,FALSE)</f>
        <v>#N/A</v>
      </c>
      <c r="DI1219" s="89"/>
      <c r="DJ1219" s="89"/>
      <c r="DK1219" s="89"/>
      <c r="DL1219" s="89"/>
      <c r="DM1219" s="89"/>
      <c r="DN1219" s="89"/>
      <c r="DO1219" s="89"/>
      <c r="DP1219" s="89"/>
      <c r="DQ1219" s="89"/>
      <c r="DR1219" s="89"/>
      <c r="DS1219" s="89"/>
      <c r="DT1219" s="89"/>
      <c r="DU1219" s="89"/>
      <c r="DV1219" s="89"/>
      <c r="DW1219" s="89"/>
      <c r="DX1219" s="89"/>
      <c r="DY1219" s="89"/>
      <c r="DZ1219" s="89"/>
      <c r="EA1219" s="89"/>
      <c r="EB1219" s="89"/>
      <c r="EC1219" s="89"/>
      <c r="ED1219" s="89"/>
      <c r="EE1219" s="89"/>
      <c r="EF1219" s="89"/>
      <c r="EG1219" s="89"/>
      <c r="EH1219" s="89"/>
      <c r="EI1219" s="89"/>
      <c r="EJ1219" s="89"/>
      <c r="EK1219" s="89"/>
      <c r="EL1219" s="89"/>
      <c r="EM1219" s="89"/>
      <c r="EN1219" s="89"/>
      <c r="EO1219" s="89"/>
      <c r="EP1219" s="89"/>
      <c r="EQ1219" s="89"/>
      <c r="ER1219" s="89"/>
      <c r="ES1219" s="89"/>
      <c r="ET1219" s="89"/>
      <c r="EU1219" s="89"/>
      <c r="EV1219" s="89"/>
      <c r="EW1219" s="89"/>
      <c r="EX1219" s="89"/>
      <c r="EY1219" s="89"/>
      <c r="EZ1219" s="89"/>
      <c r="FA1219" s="89"/>
      <c r="FB1219" s="89"/>
      <c r="FC1219" s="89"/>
      <c r="FD1219" s="89"/>
      <c r="FE1219" s="89"/>
      <c r="FF1219" s="89"/>
      <c r="FG1219" s="89"/>
      <c r="FH1219" s="89"/>
      <c r="FI1219" s="89"/>
      <c r="FJ1219" s="89"/>
      <c r="FK1219" s="89"/>
      <c r="FL1219" s="89"/>
      <c r="FM1219" s="89"/>
      <c r="FN1219" s="89"/>
      <c r="FO1219" s="89"/>
      <c r="FP1219" s="89"/>
      <c r="FQ1219" s="89"/>
      <c r="FR1219" s="89"/>
      <c r="FS1219" s="89"/>
      <c r="FT1219" s="89"/>
      <c r="FU1219" s="89"/>
      <c r="FV1219" s="89"/>
      <c r="FW1219" s="89"/>
      <c r="FX1219" s="89"/>
      <c r="FY1219" s="89"/>
      <c r="FZ1219" s="89"/>
      <c r="GA1219" s="89"/>
      <c r="GB1219" s="89"/>
      <c r="GC1219" s="89"/>
      <c r="GD1219" s="89"/>
      <c r="GE1219" s="89"/>
      <c r="GF1219" s="89"/>
      <c r="GG1219" s="89"/>
      <c r="GH1219" s="89"/>
      <c r="GI1219" s="89"/>
      <c r="GJ1219" s="89"/>
      <c r="GK1219" s="89"/>
      <c r="GL1219" s="89"/>
      <c r="GM1219" s="89"/>
      <c r="GN1219" s="89"/>
      <c r="GO1219" s="89"/>
      <c r="GP1219" s="89"/>
      <c r="GQ1219" s="89"/>
      <c r="GR1219" s="89"/>
      <c r="GS1219" s="89"/>
      <c r="GT1219" s="89"/>
      <c r="GU1219" s="89"/>
      <c r="GV1219" s="89"/>
      <c r="GW1219" s="89"/>
      <c r="GX1219" s="89"/>
      <c r="GY1219" s="89"/>
      <c r="GZ1219" s="89"/>
      <c r="HA1219" s="89"/>
      <c r="HB1219" s="89"/>
      <c r="HC1219" s="89"/>
      <c r="HD1219" s="89"/>
      <c r="HE1219" s="89"/>
      <c r="HF1219" s="89"/>
      <c r="HG1219" s="89"/>
      <c r="HH1219" s="89"/>
      <c r="HI1219" s="89"/>
      <c r="HJ1219" s="89"/>
      <c r="HK1219" s="89"/>
      <c r="HL1219" s="89"/>
      <c r="HM1219" s="89"/>
      <c r="HN1219" s="89"/>
      <c r="HO1219" s="89"/>
      <c r="HP1219" s="89"/>
      <c r="HQ1219" s="89"/>
      <c r="HR1219" s="89"/>
      <c r="HS1219" s="89"/>
      <c r="HT1219" s="89"/>
      <c r="HU1219" s="89"/>
      <c r="HV1219" s="89"/>
      <c r="HW1219" s="89"/>
      <c r="HX1219" s="89"/>
      <c r="HY1219" s="89"/>
      <c r="HZ1219" s="89"/>
      <c r="IA1219" s="89"/>
      <c r="IB1219" s="89"/>
      <c r="IC1219" s="89"/>
      <c r="ID1219" s="89"/>
      <c r="IE1219" s="89"/>
      <c r="IF1219" s="89"/>
      <c r="IG1219" s="89"/>
      <c r="IH1219" s="89"/>
      <c r="II1219" s="89"/>
      <c r="IJ1219" s="89"/>
      <c r="IK1219" s="89"/>
      <c r="IL1219" s="89"/>
      <c r="IM1219" s="89"/>
      <c r="IN1219" s="89"/>
      <c r="IO1219" s="89"/>
      <c r="IP1219" s="89"/>
      <c r="IQ1219" s="89"/>
      <c r="IR1219" s="89"/>
      <c r="IS1219" s="89"/>
      <c r="IT1219" s="89"/>
      <c r="IU1219" s="89"/>
      <c r="IV1219" s="89"/>
      <c r="IW1219" s="89"/>
      <c r="IX1219" s="89"/>
      <c r="IY1219" s="89"/>
      <c r="IZ1219" s="89"/>
      <c r="JA1219" s="89"/>
      <c r="JB1219" s="89"/>
      <c r="JC1219" s="89"/>
      <c r="JD1219" s="89"/>
      <c r="JE1219" s="89"/>
      <c r="JF1219" s="89"/>
      <c r="JG1219" s="89"/>
      <c r="JH1219" s="89"/>
      <c r="JI1219" s="89"/>
      <c r="JJ1219" s="89"/>
      <c r="JK1219" s="89"/>
      <c r="JL1219" s="89"/>
      <c r="JM1219" s="89"/>
      <c r="JN1219" s="89"/>
      <c r="JO1219" s="170"/>
      <c r="JP1219" s="170"/>
      <c r="JQ1219" s="170"/>
    </row>
    <row r="1220" spans="1:288" ht="16" x14ac:dyDescent="0.2">
      <c r="B1220" s="16">
        <v>2017</v>
      </c>
      <c r="C1220" s="20">
        <v>42963</v>
      </c>
      <c r="D1220" s="20" t="str">
        <f>CONCATENATE(J1220,"-",C1220)</f>
        <v>1346-42963</v>
      </c>
      <c r="E1220" s="37" t="str">
        <f>CONCATENATE(T1220,"-",U1220,"-",C1220)</f>
        <v>PO1-F8-42963</v>
      </c>
      <c r="F1220" s="20" t="s">
        <v>106</v>
      </c>
      <c r="G1220" s="20" t="s">
        <v>107</v>
      </c>
      <c r="I1220" s="16">
        <v>0</v>
      </c>
      <c r="J1220" s="21">
        <v>1346</v>
      </c>
      <c r="K1220" s="21">
        <v>2151</v>
      </c>
      <c r="L1220" s="18">
        <v>0</v>
      </c>
      <c r="M1220" s="21">
        <f>VLOOKUP($K1220,'[4]blood tubes 2017'!$D$1:$L$647,8,FALSE)</f>
        <v>0</v>
      </c>
      <c r="N1220" s="15">
        <v>0</v>
      </c>
      <c r="O1220" s="15" t="s">
        <v>214</v>
      </c>
      <c r="Q1220" s="16">
        <f t="shared" si="0"/>
        <v>0</v>
      </c>
      <c r="R1220" s="16" t="str">
        <f t="shared" si="2"/>
        <v/>
      </c>
      <c r="T1220" s="16" t="s">
        <v>112</v>
      </c>
      <c r="U1220" s="16" t="s">
        <v>138</v>
      </c>
      <c r="V1220" s="16" t="s">
        <v>142</v>
      </c>
      <c r="W1220" s="16">
        <f>AI1220/AG1220</f>
        <v>1.0617283950617284</v>
      </c>
      <c r="X1220" s="16" t="s">
        <v>121</v>
      </c>
      <c r="Y1220" s="16" t="s">
        <v>122</v>
      </c>
      <c r="Z1220" s="16">
        <v>2.2999999999999998</v>
      </c>
      <c r="AA1220" s="16" t="s">
        <v>161</v>
      </c>
      <c r="AB1220" s="16" t="s">
        <v>123</v>
      </c>
      <c r="AC1220" s="16" t="s">
        <v>123</v>
      </c>
      <c r="AD1220" s="16" t="s">
        <v>116</v>
      </c>
      <c r="AG1220" s="16">
        <f>AH1220-AI1220</f>
        <v>81</v>
      </c>
      <c r="AH1220" s="16">
        <v>167</v>
      </c>
      <c r="AI1220" s="16">
        <v>86</v>
      </c>
      <c r="AK1220" s="16">
        <v>14</v>
      </c>
      <c r="AL1220" s="16">
        <v>1</v>
      </c>
      <c r="AM1220" s="16">
        <v>0</v>
      </c>
      <c r="AN1220" s="16">
        <v>0</v>
      </c>
      <c r="AO1220" s="16">
        <v>1</v>
      </c>
      <c r="AP1220" s="16">
        <f>SUM(AL1220:AN1220)</f>
        <v>1</v>
      </c>
      <c r="AQ1220" s="16">
        <v>1.7210000000000001</v>
      </c>
      <c r="AR1220" s="16">
        <f>AP1220-1.472</f>
        <v>-0.47199999999999998</v>
      </c>
      <c r="AS1220" s="16">
        <f>AQ1220-1.472</f>
        <v>0.24900000000000011</v>
      </c>
      <c r="AT1220" s="16" t="str">
        <f>VLOOKUP(E1220,[2]Current!$A$1:$W$435,7,FALSE)</f>
        <v>NB</v>
      </c>
      <c r="AU1220" s="16" t="s">
        <v>1288</v>
      </c>
      <c r="AW1220" s="128">
        <f>IF(AX1220&gt;0,1,0)</f>
        <v>1</v>
      </c>
      <c r="AX1220" s="128">
        <f>SUM(BA1220,BM1220,CU1220)</f>
        <v>1</v>
      </c>
      <c r="AY1220" s="128">
        <f>SUM(BB1220,BN1220,CV1220)</f>
        <v>12.048192771084333</v>
      </c>
      <c r="AZ1220" s="128">
        <f>IF(BA1220&gt;0,1,0)</f>
        <v>1</v>
      </c>
      <c r="BA1220" s="128">
        <f>SUM(BC1220+BF1220+BI1220)</f>
        <v>1</v>
      </c>
      <c r="BB1220" s="128">
        <f>SUM(BE1220,BH1220,BK1220)</f>
        <v>12.048192771084333</v>
      </c>
      <c r="BC1220" s="130">
        <f>IF(BD1220&gt;0,1,0)</f>
        <v>0</v>
      </c>
      <c r="BD1220" s="128">
        <f>VLOOKUP($E1220,[2]Current!$A:$AC,26,FALSE)</f>
        <v>0</v>
      </c>
      <c r="BE1220" s="128">
        <f>BD1220/$AS1220</f>
        <v>0</v>
      </c>
      <c r="BF1220" s="130">
        <f>IF(BG1220&gt;0,1,0)</f>
        <v>1</v>
      </c>
      <c r="BG1220" s="137">
        <f>VLOOKUP($E1220,[2]Current!$A:$AC,27,FALSE)</f>
        <v>3</v>
      </c>
      <c r="BH1220" s="128">
        <f>BG1220/$AS1220</f>
        <v>12.048192771084333</v>
      </c>
      <c r="BI1220" s="130">
        <f>IF(BJ1220&gt;0,1,0)</f>
        <v>0</v>
      </c>
      <c r="BJ1220" s="128">
        <f>VLOOKUP($E1220,[2]Current!$A:$AC,28,FALSE)</f>
        <v>0</v>
      </c>
      <c r="BK1220" s="128">
        <f>BJ1220/$AS1220</f>
        <v>0</v>
      </c>
      <c r="BL1220" s="128">
        <f>IF(BM1220&gt;0,1,0)</f>
        <v>0</v>
      </c>
      <c r="BM1220" s="128">
        <f>SUM(BR1220,BU1220,BX1220,CA1220,CD1220)</f>
        <v>0</v>
      </c>
      <c r="BN1220" s="131">
        <f>SUM(BT1220,BW1220,BZ1220,CC1220,CF1220)</f>
        <v>0</v>
      </c>
      <c r="BO1220" s="128">
        <f>IF(BP1220&gt;0,1,0)</f>
        <v>0</v>
      </c>
      <c r="BP1220" s="128">
        <f>BM1220+CJ1220</f>
        <v>0</v>
      </c>
      <c r="BQ1220" s="128">
        <f>BN1220+CL1220</f>
        <v>0</v>
      </c>
      <c r="BR1220" s="130">
        <f>IF(BS1220&gt;0,1,0)</f>
        <v>0</v>
      </c>
      <c r="BS1220" s="128">
        <f>VLOOKUP($E1220,[2]Current!$A:$AC,12,FALSE)</f>
        <v>0</v>
      </c>
      <c r="BT1220" s="137">
        <f>BS1220/$AS1220</f>
        <v>0</v>
      </c>
      <c r="BU1220" s="130">
        <f>IF(BV1220&gt;0,1,0)</f>
        <v>0</v>
      </c>
      <c r="BV1220" s="128">
        <f>VLOOKUP($E1220,[2]Current!$A:$AC,13,FALSE)</f>
        <v>0</v>
      </c>
      <c r="BW1220" s="128">
        <f>BV1220/$AS1220</f>
        <v>0</v>
      </c>
      <c r="BX1220" s="130">
        <f>IF(BY1220&gt;0,1,0)</f>
        <v>0</v>
      </c>
      <c r="BY1220" s="128">
        <f>VLOOKUP($E1220,[2]Current!$A:$AC,14,FALSE)</f>
        <v>0</v>
      </c>
      <c r="BZ1220" s="128">
        <f>BY1220/$AS1220</f>
        <v>0</v>
      </c>
      <c r="CA1220" s="130">
        <f>IF(CB1220&gt;0,1,0)</f>
        <v>0</v>
      </c>
      <c r="CB1220" s="128">
        <f>VLOOKUP($E1220,[2]Current!$A:$AC,15,FALSE)</f>
        <v>0</v>
      </c>
      <c r="CC1220" s="128">
        <f>CB1220/$AS1220</f>
        <v>0</v>
      </c>
      <c r="CD1220" s="174">
        <f>IF(CE1220&gt;0,1,0)</f>
        <v>0</v>
      </c>
      <c r="CE1220" s="128">
        <f>VLOOKUP($E1220,[2]Current!$A:$AC,16,FALSE)</f>
        <v>0</v>
      </c>
      <c r="CF1220" s="128">
        <f>CE1220/$AS1220</f>
        <v>0</v>
      </c>
      <c r="CG1220" s="18"/>
      <c r="CH1220" s="18"/>
      <c r="CI1220" s="18"/>
      <c r="CJ1220" s="130">
        <f>IF(CK1220&gt;0,1,0)</f>
        <v>0</v>
      </c>
      <c r="CK1220" s="128">
        <f>VLOOKUP($E1220,[2]Current!$A:$AC,18,FALSE)</f>
        <v>0</v>
      </c>
      <c r="CL1220" s="128">
        <f>CK1220/$AS1220</f>
        <v>0</v>
      </c>
      <c r="CS1220" s="130">
        <f>IF(CU1220&gt;0,1,0)</f>
        <v>0</v>
      </c>
      <c r="CU1220" s="128">
        <f>VLOOKUP($E1220,[2]Current!$A:$AC,17,FALSE)</f>
        <v>0</v>
      </c>
      <c r="CV1220" s="128">
        <f>CU1220/$AS1220</f>
        <v>0</v>
      </c>
      <c r="CW1220" s="18"/>
      <c r="CX1220" s="18"/>
      <c r="CY1220" s="18"/>
      <c r="DF1220" s="16" t="e">
        <f>VLOOKUP(K1220,'[3]RNA Seq summary tables'!$V$3:$V$99,1,FALSE)</f>
        <v>#N/A</v>
      </c>
      <c r="JP1220" s="38"/>
      <c r="JQ1220" s="38"/>
    </row>
    <row r="1221" spans="1:288" ht="16" x14ac:dyDescent="0.2">
      <c r="B1221" s="16">
        <v>2017</v>
      </c>
      <c r="C1221" s="20">
        <v>42976</v>
      </c>
      <c r="D1221" s="20" t="str">
        <f>CONCATENATE(J1221,"-",C1221)</f>
        <v>1346-42976</v>
      </c>
      <c r="E1221" s="37" t="str">
        <f>CONCATENATE(T1221,"-",U1221,"-",C1221)</f>
        <v>PO1-A7-42976</v>
      </c>
      <c r="F1221" s="37" t="s">
        <v>224</v>
      </c>
      <c r="G1221" s="20" t="s">
        <v>107</v>
      </c>
      <c r="J1221" s="21">
        <v>1346</v>
      </c>
      <c r="K1221" s="21">
        <v>2297</v>
      </c>
      <c r="L1221" s="18">
        <v>0</v>
      </c>
      <c r="M1221" s="21">
        <f>VLOOKUP($K1221,'[4]blood tubes 2017'!$D$1:$L$947,8,FALSE)</f>
        <v>0</v>
      </c>
      <c r="N1221" s="15">
        <v>0</v>
      </c>
      <c r="O1221" s="15" t="s">
        <v>214</v>
      </c>
      <c r="Q1221" s="16">
        <f t="shared" si="0"/>
        <v>1</v>
      </c>
      <c r="R1221" s="16">
        <f t="shared" ref="R1221:R1229" si="3">IF(J1221=J1220,C1221-C1220,"")</f>
        <v>13</v>
      </c>
      <c r="T1221" s="16" t="s">
        <v>112</v>
      </c>
      <c r="U1221" s="16" t="s">
        <v>120</v>
      </c>
      <c r="V1221" s="16" t="s">
        <v>142</v>
      </c>
      <c r="W1221" s="16">
        <f>AI1221/AG1221</f>
        <v>1.0352941176470589</v>
      </c>
      <c r="X1221" s="16" t="s">
        <v>121</v>
      </c>
      <c r="Y1221" s="16" t="s">
        <v>110</v>
      </c>
      <c r="Z1221" s="16">
        <v>3</v>
      </c>
      <c r="AA1221" s="16" t="s">
        <v>161</v>
      </c>
      <c r="AB1221" s="16" t="s">
        <v>123</v>
      </c>
      <c r="AC1221" s="16" t="s">
        <v>270</v>
      </c>
      <c r="AD1221" s="16" t="s">
        <v>116</v>
      </c>
      <c r="AG1221" s="16">
        <f>AH1221-AI1221</f>
        <v>85</v>
      </c>
      <c r="AH1221" s="16">
        <v>173</v>
      </c>
      <c r="AI1221" s="16">
        <v>88</v>
      </c>
      <c r="AK1221" s="16">
        <v>21</v>
      </c>
      <c r="AL1221" s="16">
        <v>0</v>
      </c>
      <c r="AM1221" s="16">
        <v>0</v>
      </c>
      <c r="AN1221" s="16">
        <v>1</v>
      </c>
      <c r="AO1221" s="16">
        <v>1</v>
      </c>
      <c r="AP1221" s="16">
        <f>SUM(AL1221:AN1221)</f>
        <v>1</v>
      </c>
      <c r="AQ1221" s="16">
        <v>1.7549999999999999</v>
      </c>
      <c r="AR1221" s="16">
        <f>AP1221-1.472</f>
        <v>-0.47199999999999998</v>
      </c>
      <c r="AS1221" s="16">
        <f>AQ1221-1.472</f>
        <v>0.28299999999999992</v>
      </c>
      <c r="AT1221" s="16" t="str">
        <f>VLOOKUP(E1221,[2]Current!$A$1:$W$600,7,FALSE)</f>
        <v>TE</v>
      </c>
      <c r="AU1221" s="16" t="s">
        <v>1288</v>
      </c>
      <c r="AW1221" s="128">
        <f>IF(AX1221&gt;0,1,0)</f>
        <v>1</v>
      </c>
      <c r="AX1221" s="128">
        <f>SUM(BA1221,BM1221,CU1221)</f>
        <v>3</v>
      </c>
      <c r="AY1221" s="128">
        <f>SUM(BB1221,BN1221,CV1221)</f>
        <v>275.61837455830397</v>
      </c>
      <c r="AZ1221" s="128">
        <f>IF(BA1221&gt;0,1,0)</f>
        <v>1</v>
      </c>
      <c r="BA1221" s="128">
        <f>SUM(BC1221+BF1221+BI1221)</f>
        <v>3</v>
      </c>
      <c r="BB1221" s="128">
        <f>SUM(BE1221,BH1221,BK1221)</f>
        <v>275.61837455830397</v>
      </c>
      <c r="BC1221" s="130">
        <f>IF(BD1221&gt;0,1,0)</f>
        <v>1</v>
      </c>
      <c r="BD1221" s="128">
        <f>VLOOKUP($E1221,[2]Current!$A:$AC,26,FALSE)</f>
        <v>22</v>
      </c>
      <c r="BE1221" s="128">
        <f>BD1221/$AS1221</f>
        <v>77.738515901060097</v>
      </c>
      <c r="BF1221" s="130">
        <f>IF(BG1221&gt;0,1,0)</f>
        <v>1</v>
      </c>
      <c r="BG1221" s="137">
        <f>VLOOKUP($E1221,[2]Current!$A:$AC,27,FALSE)</f>
        <v>28</v>
      </c>
      <c r="BH1221" s="128">
        <f>BG1221/$AS1221</f>
        <v>98.939929328621943</v>
      </c>
      <c r="BI1221" s="130">
        <f>IF(BJ1221&gt;0,1,0)</f>
        <v>1</v>
      </c>
      <c r="BJ1221" s="128">
        <f>VLOOKUP($E1221,[2]Current!$A:$AC,28,FALSE)</f>
        <v>28</v>
      </c>
      <c r="BK1221" s="128">
        <f>BJ1221/$AS1221</f>
        <v>98.939929328621943</v>
      </c>
      <c r="BL1221" s="128">
        <f>IF(BM1221&gt;0,1,0)</f>
        <v>0</v>
      </c>
      <c r="BM1221" s="128">
        <f>SUM(BR1221,BU1221,BX1221,CA1221,CD1221)</f>
        <v>0</v>
      </c>
      <c r="BN1221" s="131">
        <f>SUM(BT1221,BW1221,BZ1221,CC1221,CF1221)</f>
        <v>0</v>
      </c>
      <c r="BO1221" s="128">
        <f>IF(BP1221&gt;0,1,0)</f>
        <v>0</v>
      </c>
      <c r="BP1221" s="128">
        <f>BM1221+CJ1221</f>
        <v>0</v>
      </c>
      <c r="BQ1221" s="128">
        <f>BN1221+CL1221</f>
        <v>0</v>
      </c>
      <c r="BR1221" s="130">
        <f>IF(BS1221&gt;0,1,0)</f>
        <v>0</v>
      </c>
      <c r="BS1221" s="128">
        <f>VLOOKUP($E1221,[2]Current!$A:$AC,12,FALSE)</f>
        <v>0</v>
      </c>
      <c r="BT1221" s="137">
        <f>BS1221/$AS1221</f>
        <v>0</v>
      </c>
      <c r="BU1221" s="130">
        <f>IF(BV1221&gt;0,1,0)</f>
        <v>0</v>
      </c>
      <c r="BV1221" s="128">
        <f>VLOOKUP($E1221,[2]Current!$A:$AC,13,FALSE)</f>
        <v>0</v>
      </c>
      <c r="BW1221" s="128">
        <f>BV1221/$AS1221</f>
        <v>0</v>
      </c>
      <c r="BX1221" s="130">
        <f>IF(BY1221&gt;0,1,0)</f>
        <v>0</v>
      </c>
      <c r="BY1221" s="128">
        <f>VLOOKUP($E1221,[2]Current!$A:$AC,14,FALSE)</f>
        <v>0</v>
      </c>
      <c r="BZ1221" s="128">
        <f>BY1221/$AS1221</f>
        <v>0</v>
      </c>
      <c r="CA1221" s="130">
        <f>IF(CB1221&gt;0,1,0)</f>
        <v>0</v>
      </c>
      <c r="CB1221" s="128">
        <f>VLOOKUP($E1221,[2]Current!$A:$AC,15,FALSE)</f>
        <v>0</v>
      </c>
      <c r="CC1221" s="128">
        <f>CB1221/$AS1221</f>
        <v>0</v>
      </c>
      <c r="CD1221" s="174">
        <f>IF(CE1221&gt;0,1,0)</f>
        <v>0</v>
      </c>
      <c r="CE1221" s="128">
        <f>VLOOKUP($E1221,[2]Current!$A:$AC,16,FALSE)</f>
        <v>0</v>
      </c>
      <c r="CF1221" s="128">
        <f>CE1221/$AS1221</f>
        <v>0</v>
      </c>
      <c r="CG1221" s="18"/>
      <c r="CH1221" s="18"/>
      <c r="CI1221" s="18"/>
      <c r="CJ1221" s="130">
        <f>IF(CK1221&gt;0,1,0)</f>
        <v>0</v>
      </c>
      <c r="CK1221" s="128">
        <f>VLOOKUP($E1221,[2]Current!$A:$AC,18,FALSE)</f>
        <v>0</v>
      </c>
      <c r="CL1221" s="128">
        <f>CK1221/$AS1221</f>
        <v>0</v>
      </c>
      <c r="CS1221" s="130">
        <f>IF(CU1221&gt;0,1,0)</f>
        <v>0</v>
      </c>
      <c r="CU1221" s="128">
        <f>VLOOKUP($E1221,[2]Current!$A:$AC,17,FALSE)</f>
        <v>0</v>
      </c>
      <c r="CV1221" s="128">
        <f>CU1221/$AS1221</f>
        <v>0</v>
      </c>
      <c r="CW1221" s="18"/>
      <c r="CX1221" s="18"/>
      <c r="CY1221" s="18"/>
      <c r="DF1221" s="16" t="e">
        <f>VLOOKUP(K1221,'[3]RNA Seq summary tables'!$V$3:$V$99,1,FALSE)</f>
        <v>#N/A</v>
      </c>
    </row>
    <row r="1222" spans="1:288" x14ac:dyDescent="0.2">
      <c r="B1222" s="16">
        <v>2017</v>
      </c>
      <c r="C1222" s="20">
        <v>42963</v>
      </c>
      <c r="D1222" s="20" t="str">
        <f>CONCATENATE(J1222,"-",C1222)</f>
        <v>1348-42963</v>
      </c>
      <c r="E1222" s="20" t="str">
        <f>CONCATENATE(T1222,"-",U1222,"-",C1222)</f>
        <v>PO2-A1-42963</v>
      </c>
      <c r="F1222" s="20" t="s">
        <v>106</v>
      </c>
      <c r="G1222" s="20" t="s">
        <v>107</v>
      </c>
      <c r="I1222" s="16">
        <v>0</v>
      </c>
      <c r="J1222" s="21">
        <v>1348</v>
      </c>
      <c r="K1222" s="21">
        <v>2155</v>
      </c>
      <c r="L1222" s="16">
        <v>1</v>
      </c>
      <c r="M1222" s="21">
        <f>VLOOKUP($K1222,'[4]blood tubes 2017'!$D$1:$L$647,8,FALSE)</f>
        <v>0</v>
      </c>
      <c r="N1222" s="15">
        <v>0</v>
      </c>
      <c r="O1222" s="15" t="s">
        <v>214</v>
      </c>
      <c r="Q1222" s="16">
        <f t="shared" si="0"/>
        <v>0</v>
      </c>
      <c r="R1222" s="16" t="str">
        <f t="shared" si="3"/>
        <v/>
      </c>
      <c r="T1222" s="16" t="s">
        <v>127</v>
      </c>
      <c r="U1222" s="16" t="s">
        <v>210</v>
      </c>
      <c r="V1222" s="16" t="s">
        <v>114</v>
      </c>
      <c r="W1222" s="16">
        <f>AI1222/AG1222</f>
        <v>0.84946236559139787</v>
      </c>
      <c r="X1222" s="16" t="s">
        <v>115</v>
      </c>
      <c r="Y1222" s="16" t="s">
        <v>110</v>
      </c>
      <c r="Z1222" s="16">
        <v>3</v>
      </c>
      <c r="AE1222" s="16" t="s">
        <v>116</v>
      </c>
      <c r="AF1222" s="16" t="s">
        <v>116</v>
      </c>
      <c r="AG1222" s="16">
        <f>AH1222-AI1222</f>
        <v>93</v>
      </c>
      <c r="AH1222" s="16">
        <v>172</v>
      </c>
      <c r="AI1222" s="16">
        <v>79</v>
      </c>
      <c r="AK1222" s="16">
        <v>21.5</v>
      </c>
      <c r="AL1222" s="16">
        <v>1</v>
      </c>
      <c r="AM1222" s="16">
        <v>0</v>
      </c>
      <c r="AN1222" s="16">
        <v>0</v>
      </c>
      <c r="AO1222" s="16">
        <v>1</v>
      </c>
      <c r="AP1222" s="16">
        <f>SUM(AL1222:AN1222)</f>
        <v>1</v>
      </c>
      <c r="AQ1222" s="16">
        <v>1.579</v>
      </c>
      <c r="AR1222" s="16">
        <f>AP1222-1.472</f>
        <v>-0.47199999999999998</v>
      </c>
      <c r="AS1222" s="16">
        <f>AQ1222-1.472</f>
        <v>0.10699999999999998</v>
      </c>
      <c r="AT1222" s="16" t="str">
        <f>VLOOKUP(K1222,'[5]FECs - good data'!$C$1:$P$575,13,FALSE)</f>
        <v>SB</v>
      </c>
      <c r="AW1222" s="18">
        <f>IF(AX1222&gt;0,1,0)</f>
        <v>1</v>
      </c>
      <c r="AX1222" s="18">
        <f>SUM(BA1222,BM1222,CT1222)</f>
        <v>2</v>
      </c>
      <c r="AY1222" s="18">
        <f>SUM(BB1222,BN1222,CV1222)</f>
        <v>25018.691588785052</v>
      </c>
      <c r="AZ1222" s="18">
        <f>IF(BA1222&gt;0,1,0)</f>
        <v>1</v>
      </c>
      <c r="BA1222" s="18">
        <f>SUM(BC1222,BF1222,BI1222)</f>
        <v>2</v>
      </c>
      <c r="BB1222" s="18">
        <f>SUM(BE1222,BH1222,BK1222)</f>
        <v>25018.691588785052</v>
      </c>
      <c r="BC1222" s="18">
        <f>IF(BD1222&gt;0,1,0)</f>
        <v>1</v>
      </c>
      <c r="BD1222" s="18">
        <f>VLOOKUP($K1222,'[5]FECs - good data'!$C$1:$Z$574,14,FALSE)</f>
        <v>68</v>
      </c>
      <c r="BE1222" s="16">
        <f>BD1222/AS1222</f>
        <v>635.51401869158883</v>
      </c>
      <c r="BF1222" s="16">
        <f>IF(BG1222&gt;0,1,0)</f>
        <v>1</v>
      </c>
      <c r="BG1222" s="77">
        <f>VLOOKUP($K1222,'[5]FECs - good data'!$C$1:$Z$574,15,FALSE)</f>
        <v>2609</v>
      </c>
      <c r="BH1222" s="16">
        <f>BG1222/AS1222</f>
        <v>24383.177570093463</v>
      </c>
      <c r="BI1222" s="16">
        <f>IF(BJ1222&gt;0,1,0)</f>
        <v>0</v>
      </c>
      <c r="BJ1222" s="16">
        <f>VLOOKUP($K1222,'[5]FECs - good data'!$C$1:$Z$574,16,FALSE)</f>
        <v>0</v>
      </c>
      <c r="BK1222" s="16">
        <f>BJ1222/AS1222</f>
        <v>0</v>
      </c>
      <c r="BL1222" s="16">
        <f>IF(BM1222&gt;0,1,0)</f>
        <v>0</v>
      </c>
      <c r="BM1222" s="16">
        <f>SUM(BR1222,BU1222,BX1222,CA1222,CD1222,CG1222,CJ1222,CM1222,CP1222)</f>
        <v>0</v>
      </c>
      <c r="BN1222" s="16">
        <f>SUM(BW1222,BZ1222,CC1222,CF1222,CI1222,CL1222,CO1222,CR1222,BT1222)</f>
        <v>0</v>
      </c>
      <c r="BO1222" s="16">
        <f>IF(BP1222&gt;0,1,0)</f>
        <v>0</v>
      </c>
      <c r="BP1222" s="16">
        <f>SUM(BU1222,BX1222,CA1222,CD1222,BR1222)</f>
        <v>0</v>
      </c>
      <c r="BQ1222" s="16">
        <f>SUM(BZ1222,CC1222,CF1222,BT1222,BW1222)</f>
        <v>0</v>
      </c>
      <c r="BR1222" s="16">
        <f>IF(BS1222&gt;0,1,0)</f>
        <v>0</v>
      </c>
      <c r="BS1222" s="16">
        <f>VLOOKUP($K1222,'[5]FECs - good data'!$C$1:$Z$574,17,FALSE)</f>
        <v>0</v>
      </c>
      <c r="BT1222" s="77">
        <f>BS1222/AS1222</f>
        <v>0</v>
      </c>
      <c r="BU1222" s="16">
        <f>IF(BV1222&gt;0,1,0)</f>
        <v>0</v>
      </c>
      <c r="BV1222" s="16">
        <f>VLOOKUP($K1222,'[5]FECs - good data'!$C$1:$Z$574,18,FALSE)</f>
        <v>0</v>
      </c>
      <c r="BW1222" s="16">
        <f>BV1222/AS1222</f>
        <v>0</v>
      </c>
      <c r="BX1222" s="16">
        <f>IF(BY1222&gt;0,1,0)</f>
        <v>0</v>
      </c>
      <c r="BY1222" s="16">
        <f>VLOOKUP($K1222,'[5]FECs - good data'!$C$1:$Z$574,19,FALSE)</f>
        <v>0</v>
      </c>
      <c r="BZ1222" s="16">
        <f>BY1222/AS1222</f>
        <v>0</v>
      </c>
      <c r="CA1222" s="16">
        <f>IF(CB1222&gt;0,1,0)</f>
        <v>0</v>
      </c>
      <c r="CB1222" s="16">
        <f>VLOOKUP($K1222,'[5]FECs - good data'!$C$1:$Z$574,20,FALSE)</f>
        <v>0</v>
      </c>
      <c r="CC1222" s="16">
        <f>CB1222/AS1222</f>
        <v>0</v>
      </c>
      <c r="CD1222" s="77">
        <f>IF(CE1222&gt;0,1,0)</f>
        <v>0</v>
      </c>
      <c r="CE1222" s="16">
        <f>VLOOKUP($K1222,'[5]FECs - good data'!$C$1:$Z$574,21,FALSE)</f>
        <v>0</v>
      </c>
      <c r="CF1222" s="16">
        <f>CE1222/AS1222</f>
        <v>0</v>
      </c>
      <c r="CG1222" s="16">
        <f>IF(CH1222&gt;0,1,0)</f>
        <v>0</v>
      </c>
      <c r="CH1222" s="16">
        <f>VLOOKUP($K1222,'[5]FECs - good data'!$C$1:$Z$574,22,FALSE)</f>
        <v>0</v>
      </c>
      <c r="CI1222" s="16">
        <f>CH1222/AS1222</f>
        <v>0</v>
      </c>
      <c r="CJ1222" s="16">
        <f>IF(CK1222&gt;0,1,0)</f>
        <v>0</v>
      </c>
      <c r="CK1222" s="16">
        <f>VLOOKUP($K1222,'[5]FECs - good data'!$C$1:$Z$674,24,FALSE)</f>
        <v>0</v>
      </c>
      <c r="CL1222" s="16">
        <f>CK1222/AS1222</f>
        <v>0</v>
      </c>
      <c r="CS1222" s="16">
        <f>IF(CT1222&gt;0,1,0)</f>
        <v>0</v>
      </c>
      <c r="CT1222" s="16">
        <f>SUM(CW1222+CZ1222,DC1222)</f>
        <v>0</v>
      </c>
      <c r="CV1222" s="16">
        <f>SUM(CY1222,DB1222,DE1222)</f>
        <v>0</v>
      </c>
      <c r="CW1222" s="16">
        <f>IF(CX1222&gt;0,1,0)</f>
        <v>0</v>
      </c>
      <c r="CX1222" s="16">
        <f>VLOOKUP($K1222,'[5]FECs - good data'!$C$1:$Z$574,22,FALSE)</f>
        <v>0</v>
      </c>
      <c r="CY1222" s="16">
        <f>CX1222/AS1222</f>
        <v>0</v>
      </c>
      <c r="CZ1222" s="16">
        <f>IF(DA1222&gt;0,1,0)</f>
        <v>0</v>
      </c>
      <c r="DA1222" s="16">
        <f>VLOOKUP($K1222,'[5]FECs - good data'!$C$1:$Z$5982,23,FALSE)</f>
        <v>0</v>
      </c>
      <c r="DB1222" s="16">
        <f>DA1222/AS1222</f>
        <v>0</v>
      </c>
      <c r="DC1222" s="16">
        <f>IF(DD1222&gt;0,1,0)</f>
        <v>0</v>
      </c>
      <c r="DD1222" s="16">
        <f>VLOOKUP($K1222,'[5]FECs - good data'!$C$1:$Z$574,23,FALSE)</f>
        <v>0</v>
      </c>
      <c r="DE1222" s="16">
        <f>DD1222/AS1222</f>
        <v>0</v>
      </c>
      <c r="DF1222" s="16">
        <f>VLOOKUP(K1222,'[3]RNA Seq summary tables'!$V$3:$V$99,1,FALSE)</f>
        <v>2155</v>
      </c>
    </row>
    <row r="1223" spans="1:288" x14ac:dyDescent="0.2">
      <c r="B1223" s="16">
        <v>2017</v>
      </c>
      <c r="C1223" s="20">
        <v>42975</v>
      </c>
      <c r="D1223" s="20" t="str">
        <f>CONCATENATE(J1223,"-",C1223)</f>
        <v>1348-42975</v>
      </c>
      <c r="E1223" s="20" t="str">
        <f>CONCATENATE(T1223,"-",U1223,"-",C1223)</f>
        <v>PO2-A1-42975</v>
      </c>
      <c r="F1223" s="37" t="s">
        <v>224</v>
      </c>
      <c r="G1223" s="20" t="s">
        <v>107</v>
      </c>
      <c r="H1223" s="40" t="s">
        <v>264</v>
      </c>
      <c r="I1223" s="16">
        <v>0</v>
      </c>
      <c r="J1223" s="36">
        <v>1348</v>
      </c>
      <c r="K1223" s="36">
        <v>2280</v>
      </c>
      <c r="L1223" s="16">
        <v>1</v>
      </c>
      <c r="M1223" s="36">
        <f>VLOOKUP($K1223,'[4]blood tubes 2017'!$D$1:$L$947,8,FALSE)</f>
        <v>0</v>
      </c>
      <c r="N1223" s="42">
        <v>0</v>
      </c>
      <c r="O1223" s="15" t="s">
        <v>214</v>
      </c>
      <c r="Q1223" s="16">
        <f t="shared" si="0"/>
        <v>1</v>
      </c>
      <c r="R1223" s="16">
        <f t="shared" si="3"/>
        <v>12</v>
      </c>
      <c r="S1223" s="18"/>
      <c r="T1223" s="18" t="s">
        <v>127</v>
      </c>
      <c r="U1223" s="18" t="s">
        <v>210</v>
      </c>
      <c r="V1223" s="18" t="s">
        <v>114</v>
      </c>
      <c r="W1223" s="16">
        <f>AI1223/AG1223</f>
        <v>0.97647058823529409</v>
      </c>
      <c r="X1223" s="16" t="s">
        <v>115</v>
      </c>
      <c r="Y1223" s="16" t="s">
        <v>110</v>
      </c>
      <c r="Z1223" s="16">
        <v>3</v>
      </c>
      <c r="AE1223" s="16" t="s">
        <v>123</v>
      </c>
      <c r="AF1223" s="16" t="s">
        <v>123</v>
      </c>
      <c r="AG1223" s="16">
        <f>AH1223-AI1223</f>
        <v>85</v>
      </c>
      <c r="AH1223" s="16">
        <v>168</v>
      </c>
      <c r="AI1223" s="16">
        <v>83</v>
      </c>
      <c r="AK1223" s="16">
        <v>21</v>
      </c>
      <c r="AL1223" s="16">
        <v>0</v>
      </c>
      <c r="AM1223" s="16">
        <v>0</v>
      </c>
      <c r="AN1223" s="16">
        <v>0</v>
      </c>
      <c r="AO1223" s="16">
        <v>0</v>
      </c>
      <c r="AP1223" s="16">
        <f>SUM(AL1223:AN1223)</f>
        <v>0</v>
      </c>
      <c r="AQ1223" s="16">
        <v>1.7110000000000001</v>
      </c>
      <c r="AR1223" s="16">
        <f>AP1223-1.472</f>
        <v>-1.472</v>
      </c>
      <c r="AS1223" s="16">
        <f>AQ1223-1.472</f>
        <v>0.2390000000000001</v>
      </c>
      <c r="AT1223" s="16" t="str">
        <f>VLOOKUP(K1223,'[5]FECs - good data'!$C$1:$P$575,13,FALSE)</f>
        <v>SB</v>
      </c>
      <c r="AW1223" s="18">
        <f>IF(AX1223&gt;0,1,0)</f>
        <v>1</v>
      </c>
      <c r="AX1223" s="18">
        <f>SUM(BA1223,BM1223,CT1223)</f>
        <v>2</v>
      </c>
      <c r="AY1223" s="18">
        <f>SUM(BB1223,BN1223,CV1223)</f>
        <v>4205.0209205020901</v>
      </c>
      <c r="AZ1223" s="18">
        <f>IF(BA1223&gt;0,1,0)</f>
        <v>1</v>
      </c>
      <c r="BA1223" s="18">
        <f>SUM(BC1223,BF1223,BI1223)</f>
        <v>2</v>
      </c>
      <c r="BB1223" s="18">
        <f>SUM(BE1223,BH1223,BK1223)</f>
        <v>4205.0209205020901</v>
      </c>
      <c r="BC1223" s="18">
        <f>IF(BD1223&gt;0,1,0)</f>
        <v>1</v>
      </c>
      <c r="BD1223" s="18">
        <f>VLOOKUP($K1223,'[5]FECs - good data'!$C$1:$Z$574,14,FALSE)</f>
        <v>205</v>
      </c>
      <c r="BE1223" s="16">
        <f>BD1223/AS1223</f>
        <v>857.74058577405822</v>
      </c>
      <c r="BF1223" s="16">
        <f>IF(BG1223&gt;0,1,0)</f>
        <v>1</v>
      </c>
      <c r="BG1223" s="77">
        <f>VLOOKUP($K1223,'[5]FECs - good data'!$C$1:$Z$574,15,FALSE)</f>
        <v>800</v>
      </c>
      <c r="BH1223" s="16">
        <f>BG1223/AS1223</f>
        <v>3347.2803347280319</v>
      </c>
      <c r="BI1223" s="16">
        <f>IF(BJ1223&gt;0,1,0)</f>
        <v>0</v>
      </c>
      <c r="BJ1223" s="16">
        <f>VLOOKUP($K1223,'[5]FECs - good data'!$C$1:$Z$574,16,FALSE)</f>
        <v>0</v>
      </c>
      <c r="BK1223" s="16">
        <f>BJ1223/AS1223</f>
        <v>0</v>
      </c>
      <c r="BL1223" s="16">
        <f>IF(BM1223&gt;0,1,0)</f>
        <v>0</v>
      </c>
      <c r="BM1223" s="16">
        <f>SUM(BR1223,BU1223,BX1223,CA1223,CD1223,CG1223,CJ1223,CM1223,CP1223)</f>
        <v>0</v>
      </c>
      <c r="BN1223" s="16">
        <f>SUM(BW1223,BZ1223,CC1223,CF1223,CI1223,CL1223,CO1223,CR1223,BT1223)</f>
        <v>0</v>
      </c>
      <c r="BO1223" s="16">
        <f>IF(BP1223&gt;0,1,0)</f>
        <v>0</v>
      </c>
      <c r="BP1223" s="16">
        <f>SUM(BU1223,BX1223,CA1223,CD1223,BR1223)</f>
        <v>0</v>
      </c>
      <c r="BQ1223" s="16">
        <f>SUM(BZ1223,CC1223,CF1223,BT1223,BW1223)</f>
        <v>0</v>
      </c>
      <c r="BR1223" s="16">
        <f>IF(BS1223&gt;0,1,0)</f>
        <v>0</v>
      </c>
      <c r="BS1223" s="16">
        <f>VLOOKUP($K1223,'[5]FECs - good data'!$C$1:$Z$574,17,FALSE)</f>
        <v>0</v>
      </c>
      <c r="BT1223" s="77">
        <f>BS1223/AS1223</f>
        <v>0</v>
      </c>
      <c r="BU1223" s="16">
        <f>IF(BV1223&gt;0,1,0)</f>
        <v>0</v>
      </c>
      <c r="BV1223" s="16">
        <f>VLOOKUP($K1223,'[5]FECs - good data'!$C$1:$Z$574,18,FALSE)</f>
        <v>0</v>
      </c>
      <c r="BW1223" s="16">
        <f>BV1223/AS1223</f>
        <v>0</v>
      </c>
      <c r="BX1223" s="16">
        <f>IF(BY1223&gt;0,1,0)</f>
        <v>0</v>
      </c>
      <c r="BY1223" s="16">
        <f>VLOOKUP($K1223,'[5]FECs - good data'!$C$1:$Z$574,19,FALSE)</f>
        <v>0</v>
      </c>
      <c r="BZ1223" s="16">
        <f>BY1223/AS1223</f>
        <v>0</v>
      </c>
      <c r="CA1223" s="16">
        <f>IF(CB1223&gt;0,1,0)</f>
        <v>0</v>
      </c>
      <c r="CB1223" s="16">
        <f>VLOOKUP($K1223,'[5]FECs - good data'!$C$1:$Z$574,20,FALSE)</f>
        <v>0</v>
      </c>
      <c r="CC1223" s="16">
        <f>CB1223/AS1223</f>
        <v>0</v>
      </c>
      <c r="CD1223" s="77">
        <f>IF(CE1223&gt;0,1,0)</f>
        <v>0</v>
      </c>
      <c r="CE1223" s="16">
        <f>VLOOKUP($K1223,'[5]FECs - good data'!$C$1:$Z$574,21,FALSE)</f>
        <v>0</v>
      </c>
      <c r="CF1223" s="16">
        <f>CE1223/AS1223</f>
        <v>0</v>
      </c>
      <c r="CG1223" s="16">
        <f>IF(CH1223&gt;0,1,0)</f>
        <v>0</v>
      </c>
      <c r="CH1223" s="16">
        <f>VLOOKUP($K1223,'[5]FECs - good data'!$C$1:$Z$574,22,FALSE)</f>
        <v>0</v>
      </c>
      <c r="CI1223" s="16">
        <f>CH1223/AS1223</f>
        <v>0</v>
      </c>
      <c r="CJ1223" s="16">
        <f>IF(CK1223&gt;0,1,0)</f>
        <v>0</v>
      </c>
      <c r="CK1223" s="16">
        <f>VLOOKUP($K1223,'[5]FECs - good data'!$C$1:$Z$674,24,FALSE)</f>
        <v>0</v>
      </c>
      <c r="CL1223" s="16">
        <f>CK1223/AS1223</f>
        <v>0</v>
      </c>
      <c r="CS1223" s="16">
        <f>IF(CT1223&gt;0,1,0)</f>
        <v>0</v>
      </c>
      <c r="CT1223" s="16">
        <f>SUM(CW1223+CZ1223,DC1223)</f>
        <v>0</v>
      </c>
      <c r="CV1223" s="16">
        <f>SUM(CY1223,DB1223,DE1223)</f>
        <v>0</v>
      </c>
      <c r="CW1223" s="16">
        <f>IF(CX1223&gt;0,1,0)</f>
        <v>0</v>
      </c>
      <c r="CX1223" s="16">
        <f>VLOOKUP($K1223,'[5]FECs - good data'!$C$1:$Z$574,22,FALSE)</f>
        <v>0</v>
      </c>
      <c r="CY1223" s="16">
        <f>CX1223/AS1223</f>
        <v>0</v>
      </c>
      <c r="CZ1223" s="16">
        <f>IF(DA1223&gt;0,1,0)</f>
        <v>0</v>
      </c>
      <c r="DA1223" s="16">
        <f>VLOOKUP($K1223,'[5]FECs - good data'!$C$1:$Z$5982,23,FALSE)</f>
        <v>0</v>
      </c>
      <c r="DB1223" s="16">
        <f>DA1223/AS1223</f>
        <v>0</v>
      </c>
      <c r="DC1223" s="16">
        <f>IF(DD1223&gt;0,1,0)</f>
        <v>0</v>
      </c>
      <c r="DD1223" s="16">
        <f>VLOOKUP($K1223,'[5]FECs - good data'!$C$1:$Z$574,23,FALSE)</f>
        <v>0</v>
      </c>
      <c r="DE1223" s="16">
        <f>DD1223/AS1223</f>
        <v>0</v>
      </c>
      <c r="DF1223" s="16">
        <f>VLOOKUP(K1223,'[3]RNA Seq summary tables'!$V$3:$V$99,1,FALSE)</f>
        <v>2280</v>
      </c>
    </row>
    <row r="1224" spans="1:288" x14ac:dyDescent="0.2">
      <c r="B1224" s="16">
        <v>2017</v>
      </c>
      <c r="C1224" s="20">
        <v>42963</v>
      </c>
      <c r="D1224" s="20" t="str">
        <f>CONCATENATE(J1224,"-",C1224)</f>
        <v>1351-42963</v>
      </c>
      <c r="E1224" s="20" t="str">
        <f>CONCATENATE(T1224,"-",U1224,"-",C1224)</f>
        <v>PO2-H8-42963</v>
      </c>
      <c r="F1224" s="20" t="s">
        <v>106</v>
      </c>
      <c r="G1224" s="20" t="s">
        <v>107</v>
      </c>
      <c r="I1224" s="16">
        <v>0</v>
      </c>
      <c r="J1224" s="21">
        <v>1351</v>
      </c>
      <c r="K1224" s="21">
        <v>2166</v>
      </c>
      <c r="L1224" s="18">
        <v>0</v>
      </c>
      <c r="M1224" s="21">
        <f>VLOOKUP($K1224,'[4]blood tubes 2017'!$D$1:$L$647,8,FALSE)</f>
        <v>0</v>
      </c>
      <c r="N1224" s="15">
        <v>0</v>
      </c>
      <c r="O1224" s="15" t="s">
        <v>214</v>
      </c>
      <c r="Q1224" s="16">
        <f t="shared" si="0"/>
        <v>0</v>
      </c>
      <c r="R1224" s="16" t="str">
        <f t="shared" si="3"/>
        <v/>
      </c>
      <c r="T1224" s="16" t="s">
        <v>127</v>
      </c>
      <c r="U1224" s="16" t="s">
        <v>152</v>
      </c>
      <c r="V1224" s="16" t="s">
        <v>114</v>
      </c>
      <c r="W1224" s="16">
        <f>AI1224/AG1224</f>
        <v>0.81395348837209303</v>
      </c>
      <c r="X1224" s="16" t="s">
        <v>115</v>
      </c>
      <c r="Y1224" s="16" t="s">
        <v>110</v>
      </c>
      <c r="Z1224" s="16">
        <v>3</v>
      </c>
      <c r="AE1224" s="16" t="s">
        <v>116</v>
      </c>
      <c r="AF1224" s="16" t="s">
        <v>116</v>
      </c>
      <c r="AG1224" s="16">
        <f>AH1224-AI1224</f>
        <v>86</v>
      </c>
      <c r="AH1224" s="16">
        <v>156</v>
      </c>
      <c r="AI1224" s="16">
        <v>70</v>
      </c>
      <c r="AK1224" s="16">
        <v>21.5</v>
      </c>
      <c r="AL1224" s="16">
        <v>0</v>
      </c>
      <c r="AM1224" s="16">
        <v>0</v>
      </c>
      <c r="AN1224" s="16">
        <v>0</v>
      </c>
      <c r="AO1224" s="16">
        <v>0</v>
      </c>
      <c r="AP1224" s="16">
        <f>SUM(AL1224:AN1224)</f>
        <v>0</v>
      </c>
      <c r="AQ1224" s="16">
        <v>1.7609999999999999</v>
      </c>
      <c r="AR1224" s="16">
        <f>AP1224-1.472</f>
        <v>-1.472</v>
      </c>
      <c r="AS1224" s="16">
        <f>AQ1224-1.472</f>
        <v>0.28899999999999992</v>
      </c>
      <c r="AT1224" s="16" t="str">
        <f>VLOOKUP(K1224,'[5]FECs - good data'!$C$1:$P$575,13,FALSE)</f>
        <v>SB</v>
      </c>
      <c r="AW1224" s="18">
        <f>IF(AX1224&gt;0,1,0)</f>
        <v>1</v>
      </c>
      <c r="AX1224" s="18">
        <f>SUM(BA1224,BM1224,CT1224)</f>
        <v>5</v>
      </c>
      <c r="AY1224" s="18">
        <f>SUM(BB1224,BN1224,CV1224)</f>
        <v>301.03806228373713</v>
      </c>
      <c r="AZ1224" s="18">
        <f>IF(BA1224&gt;0,1,0)</f>
        <v>1</v>
      </c>
      <c r="BA1224" s="18">
        <f>SUM(BC1224,BF1224,BI1224)</f>
        <v>1</v>
      </c>
      <c r="BB1224" s="18">
        <f>SUM(BE1224,BH1224,BK1224)</f>
        <v>3.4602076124567485</v>
      </c>
      <c r="BC1224" s="18">
        <f>IF(BD1224&gt;0,1,0)</f>
        <v>0</v>
      </c>
      <c r="BD1224" s="18">
        <f>VLOOKUP($K1224,'[5]FECs - good data'!$C$1:$Z$574,14,FALSE)</f>
        <v>0</v>
      </c>
      <c r="BE1224" s="16">
        <f>BD1224/AS1224</f>
        <v>0</v>
      </c>
      <c r="BF1224" s="16">
        <f>IF(BG1224&gt;0,1,0)</f>
        <v>1</v>
      </c>
      <c r="BG1224" s="77">
        <f>VLOOKUP($K1224,'[5]FECs - good data'!$C$1:$Z$574,15,FALSE)</f>
        <v>1</v>
      </c>
      <c r="BH1224" s="16">
        <f>BG1224/AS1224</f>
        <v>3.4602076124567485</v>
      </c>
      <c r="BI1224" s="16">
        <f>IF(BJ1224&gt;0,1,0)</f>
        <v>0</v>
      </c>
      <c r="BJ1224" s="16">
        <f>VLOOKUP($K1224,'[5]FECs - good data'!$C$1:$Z$574,16,FALSE)</f>
        <v>0</v>
      </c>
      <c r="BK1224" s="16">
        <f>BJ1224/AS1224</f>
        <v>0</v>
      </c>
      <c r="BL1224" s="16">
        <f>IF(BM1224&gt;0,1,0)</f>
        <v>1</v>
      </c>
      <c r="BM1224" s="16">
        <f>SUM(BR1224,BU1224,BX1224,CA1224,CD1224,CG1224,CJ1224,CM1224,CP1224)</f>
        <v>4</v>
      </c>
      <c r="BN1224" s="16">
        <f>SUM(BW1224,BZ1224,CC1224,CF1224,CI1224,CL1224,CO1224,CR1224,BT1224)</f>
        <v>297.57785467128036</v>
      </c>
      <c r="BO1224" s="16">
        <f>IF(BP1224&gt;0,1,0)</f>
        <v>1</v>
      </c>
      <c r="BP1224" s="16">
        <f>SUM(BU1224,BX1224,CA1224,CD1224,BR1224)</f>
        <v>3</v>
      </c>
      <c r="BQ1224" s="16">
        <f>SUM(BZ1224,CC1224,CF1224,BT1224,BW1224)</f>
        <v>103.80622837370244</v>
      </c>
      <c r="BR1224" s="16">
        <f>IF(BS1224&gt;0,1,0)</f>
        <v>0</v>
      </c>
      <c r="BS1224" s="16">
        <f>VLOOKUP($K1224,'[5]FECs - good data'!$C$1:$Z$574,17,FALSE)</f>
        <v>0</v>
      </c>
      <c r="BT1224" s="77">
        <f>BS1224/AS1224</f>
        <v>0</v>
      </c>
      <c r="BU1224" s="16">
        <f>IF(BV1224&gt;0,1,0)</f>
        <v>0</v>
      </c>
      <c r="BV1224" s="16">
        <f>VLOOKUP($K1224,'[5]FECs - good data'!$C$1:$Z$574,18,FALSE)</f>
        <v>0</v>
      </c>
      <c r="BW1224" s="16">
        <f>BV1224/AS1224</f>
        <v>0</v>
      </c>
      <c r="BX1224" s="16">
        <f>IF(BY1224&gt;0,1,0)</f>
        <v>1</v>
      </c>
      <c r="BY1224" s="16">
        <f>VLOOKUP($K1224,'[5]FECs - good data'!$C$1:$Z$574,19,FALSE)</f>
        <v>27</v>
      </c>
      <c r="BZ1224" s="16">
        <f>BY1224/AS1224</f>
        <v>93.425605536332199</v>
      </c>
      <c r="CA1224" s="16">
        <f>IF(CB1224&gt;0,1,0)</f>
        <v>1</v>
      </c>
      <c r="CB1224" s="16">
        <f>VLOOKUP($K1224,'[5]FECs - good data'!$C$1:$Z$574,20,FALSE)</f>
        <v>1</v>
      </c>
      <c r="CC1224" s="16">
        <f>CB1224/AS1224</f>
        <v>3.4602076124567485</v>
      </c>
      <c r="CD1224" s="77">
        <f>IF(CE1224&gt;0,1,0)</f>
        <v>1</v>
      </c>
      <c r="CE1224" s="16">
        <f>VLOOKUP($K1224,'[5]FECs - good data'!$C$1:$Z$574,21,FALSE)</f>
        <v>2</v>
      </c>
      <c r="CF1224" s="16">
        <f>CE1224/AS1224</f>
        <v>6.9204152249134969</v>
      </c>
      <c r="CG1224" s="16">
        <f>IF(CH1224&gt;0,1,0)</f>
        <v>0</v>
      </c>
      <c r="CH1224" s="16">
        <f>VLOOKUP($K1224,'[5]FECs - good data'!$C$1:$Z$574,22,FALSE)</f>
        <v>0</v>
      </c>
      <c r="CI1224" s="16">
        <f>CH1224/AS1224</f>
        <v>0</v>
      </c>
      <c r="CJ1224" s="16">
        <f>IF(CK1224&gt;0,1,0)</f>
        <v>1</v>
      </c>
      <c r="CK1224" s="16">
        <f>VLOOKUP($K1224,'[5]FECs - good data'!$C$1:$Z$674,24,FALSE)</f>
        <v>56</v>
      </c>
      <c r="CL1224" s="16">
        <f>CK1224/AS1224</f>
        <v>193.77162629757791</v>
      </c>
      <c r="CS1224" s="16">
        <f>IF(CT1224&gt;0,1,0)</f>
        <v>0</v>
      </c>
      <c r="CT1224" s="16">
        <f>SUM(CW1224+CZ1224,DC1224)</f>
        <v>0</v>
      </c>
      <c r="CV1224" s="16">
        <f>SUM(CY1224,DB1224,DE1224)</f>
        <v>0</v>
      </c>
      <c r="CW1224" s="16">
        <f>IF(CX1224&gt;0,1,0)</f>
        <v>0</v>
      </c>
      <c r="CX1224" s="16">
        <f>VLOOKUP($K1224,'[5]FECs - good data'!$C$1:$Z$574,22,FALSE)</f>
        <v>0</v>
      </c>
      <c r="CY1224" s="16">
        <f>CX1224/AS1224</f>
        <v>0</v>
      </c>
      <c r="CZ1224" s="16">
        <f>IF(DA1224&gt;0,1,0)</f>
        <v>0</v>
      </c>
      <c r="DA1224" s="16">
        <f>VLOOKUP($K1224,'[5]FECs - good data'!$C$1:$Z$5982,23,FALSE)</f>
        <v>0</v>
      </c>
      <c r="DB1224" s="16">
        <f>DA1224/AS1224</f>
        <v>0</v>
      </c>
      <c r="DC1224" s="16">
        <f>IF(DD1224&gt;0,1,0)</f>
        <v>0</v>
      </c>
      <c r="DD1224" s="16">
        <f>VLOOKUP($K1224,'[5]FECs - good data'!$C$1:$Z$574,23,FALSE)</f>
        <v>0</v>
      </c>
      <c r="DE1224" s="16">
        <f>DD1224/AS1224</f>
        <v>0</v>
      </c>
      <c r="DF1224" s="16" t="e">
        <f>VLOOKUP(K1224,'[3]RNA Seq summary tables'!$V$3:$V$99,1,FALSE)</f>
        <v>#N/A</v>
      </c>
      <c r="JP1224" s="38"/>
      <c r="JQ1224" s="38"/>
    </row>
    <row r="1225" spans="1:288" x14ac:dyDescent="0.2">
      <c r="B1225" s="16">
        <v>2017</v>
      </c>
      <c r="C1225" s="20">
        <v>42975</v>
      </c>
      <c r="D1225" s="20" t="str">
        <f>CONCATENATE(J1225,"-",C1225)</f>
        <v>1351-42975</v>
      </c>
      <c r="E1225" s="20" t="str">
        <f>CONCATENATE(T1225,"-",U1225,"-",C1225)</f>
        <v>PO2-E8-42975</v>
      </c>
      <c r="F1225" s="37" t="s">
        <v>224</v>
      </c>
      <c r="G1225" s="20" t="s">
        <v>107</v>
      </c>
      <c r="H1225" s="18" t="s">
        <v>267</v>
      </c>
      <c r="I1225" s="16">
        <v>0</v>
      </c>
      <c r="J1225" s="21">
        <v>1351</v>
      </c>
      <c r="K1225" s="21">
        <v>2290</v>
      </c>
      <c r="L1225" s="18">
        <v>0</v>
      </c>
      <c r="M1225" s="21">
        <f>VLOOKUP($K1225,'[4]blood tubes 2017'!$D$1:$L$947,8,FALSE)</f>
        <v>0</v>
      </c>
      <c r="N1225" s="15">
        <v>0</v>
      </c>
      <c r="O1225" s="15" t="s">
        <v>214</v>
      </c>
      <c r="Q1225" s="16">
        <f t="shared" si="0"/>
        <v>1</v>
      </c>
      <c r="R1225" s="16">
        <f t="shared" si="3"/>
        <v>12</v>
      </c>
      <c r="T1225" s="16" t="s">
        <v>127</v>
      </c>
      <c r="U1225" s="16" t="s">
        <v>181</v>
      </c>
      <c r="V1225" s="16" t="s">
        <v>114</v>
      </c>
      <c r="W1225" s="16">
        <f>AI1225/AG1225</f>
        <v>0.57731958762886593</v>
      </c>
      <c r="X1225" s="16" t="s">
        <v>115</v>
      </c>
      <c r="Y1225" s="16" t="s">
        <v>110</v>
      </c>
      <c r="Z1225" s="16">
        <v>3</v>
      </c>
      <c r="AE1225" s="16" t="s">
        <v>116</v>
      </c>
      <c r="AF1225" s="16" t="s">
        <v>116</v>
      </c>
      <c r="AG1225" s="16">
        <f>AH1225-AI1225</f>
        <v>97</v>
      </c>
      <c r="AH1225" s="16">
        <v>153</v>
      </c>
      <c r="AI1225" s="16">
        <v>56</v>
      </c>
      <c r="AJ1225" s="16" t="s">
        <v>321</v>
      </c>
      <c r="AK1225" s="16">
        <v>23.5</v>
      </c>
      <c r="AL1225" s="16">
        <v>0</v>
      </c>
      <c r="AM1225" s="16">
        <v>0</v>
      </c>
      <c r="AN1225" s="16">
        <v>0</v>
      </c>
      <c r="AO1225" s="16">
        <v>0</v>
      </c>
      <c r="AP1225" s="16">
        <f>SUM(AL1225:AN1225)</f>
        <v>0</v>
      </c>
      <c r="AQ1225" s="16">
        <v>1.8080000000000001</v>
      </c>
      <c r="AR1225" s="16">
        <f>AP1225-1.472</f>
        <v>-1.472</v>
      </c>
      <c r="AS1225" s="16">
        <f>AQ1225-1.472</f>
        <v>0.33600000000000008</v>
      </c>
      <c r="AT1225" s="16" t="str">
        <f>VLOOKUP(K1225,'[5]FECs - good data'!$C$1:$P$575,13,FALSE)</f>
        <v>JB</v>
      </c>
      <c r="AW1225" s="18">
        <f>IF(AX1225&gt;0,1,0)</f>
        <v>1</v>
      </c>
      <c r="AX1225" s="18">
        <f>SUM(BA1225,BM1225,CT1225)</f>
        <v>3</v>
      </c>
      <c r="AY1225" s="18">
        <f>SUM(BB1225,BN1225,CV1225)</f>
        <v>1169.6428571428569</v>
      </c>
      <c r="AZ1225" s="18">
        <f>IF(BA1225&gt;0,1,0)</f>
        <v>1</v>
      </c>
      <c r="BA1225" s="18">
        <f>SUM(BC1225,BF1225,BI1225)</f>
        <v>2</v>
      </c>
      <c r="BB1225" s="18">
        <f>SUM(BE1225,BH1225,BK1225)</f>
        <v>1151.785714285714</v>
      </c>
      <c r="BC1225" s="18">
        <f>IF(BD1225&gt;0,1,0)</f>
        <v>1</v>
      </c>
      <c r="BD1225" s="18">
        <f>VLOOKUP($K1225,'[5]FECs - good data'!$C$1:$Z$574,14,FALSE)</f>
        <v>51</v>
      </c>
      <c r="BE1225" s="16">
        <f>BD1225/AS1225</f>
        <v>151.78571428571425</v>
      </c>
      <c r="BF1225" s="16">
        <f>IF(BG1225&gt;0,1,0)</f>
        <v>1</v>
      </c>
      <c r="BG1225" s="77">
        <f>VLOOKUP($K1225,'[5]FECs - good data'!$C$1:$Z$574,15,FALSE)</f>
        <v>336</v>
      </c>
      <c r="BH1225" s="16">
        <f>BG1225/AS1225</f>
        <v>999.99999999999977</v>
      </c>
      <c r="BI1225" s="16">
        <f>IF(BJ1225&gt;0,1,0)</f>
        <v>0</v>
      </c>
      <c r="BJ1225" s="16">
        <f>VLOOKUP($K1225,'[5]FECs - good data'!$C$1:$Z$574,16,FALSE)</f>
        <v>0</v>
      </c>
      <c r="BK1225" s="16">
        <f>BJ1225/AS1225</f>
        <v>0</v>
      </c>
      <c r="BL1225" s="16">
        <f>IF(BM1225&gt;0,1,0)</f>
        <v>1</v>
      </c>
      <c r="BM1225" s="16">
        <f>SUM(BR1225,BU1225,BX1225,CA1225,CD1225,CG1225,CJ1225,CM1225,CP1225)</f>
        <v>1</v>
      </c>
      <c r="BN1225" s="16">
        <f>SUM(BW1225,BZ1225,CC1225,CF1225,CI1225,CL1225,CO1225,CR1225,BT1225)</f>
        <v>17.857142857142854</v>
      </c>
      <c r="BO1225" s="16">
        <f>IF(BP1225&gt;0,1,0)</f>
        <v>0</v>
      </c>
      <c r="BP1225" s="16">
        <f>SUM(BU1225,BX1225,CA1225,CD1225,BR1225)</f>
        <v>0</v>
      </c>
      <c r="BQ1225" s="16">
        <f>SUM(BZ1225,CC1225,CF1225,BT1225,BW1225)</f>
        <v>0</v>
      </c>
      <c r="BR1225" s="16">
        <f>IF(BS1225&gt;0,1,0)</f>
        <v>0</v>
      </c>
      <c r="BS1225" s="16">
        <f>VLOOKUP($K1225,'[5]FECs - good data'!$C$1:$Z$574,17,FALSE)</f>
        <v>0</v>
      </c>
      <c r="BT1225" s="77">
        <f>BS1225/AS1225</f>
        <v>0</v>
      </c>
      <c r="BU1225" s="16">
        <f>IF(BV1225&gt;0,1,0)</f>
        <v>0</v>
      </c>
      <c r="BV1225" s="16">
        <f>VLOOKUP($K1225,'[5]FECs - good data'!$C$1:$Z$574,18,FALSE)</f>
        <v>0</v>
      </c>
      <c r="BW1225" s="16">
        <f>BV1225/AS1225</f>
        <v>0</v>
      </c>
      <c r="BX1225" s="16">
        <f>IF(BY1225&gt;0,1,0)</f>
        <v>0</v>
      </c>
      <c r="BY1225" s="16">
        <f>VLOOKUP($K1225,'[5]FECs - good data'!$C$1:$Z$574,19,FALSE)</f>
        <v>0</v>
      </c>
      <c r="BZ1225" s="16">
        <f>BY1225/AS1225</f>
        <v>0</v>
      </c>
      <c r="CA1225" s="16">
        <f>IF(CB1225&gt;0,1,0)</f>
        <v>0</v>
      </c>
      <c r="CB1225" s="16">
        <f>VLOOKUP($K1225,'[5]FECs - good data'!$C$1:$Z$574,20,FALSE)</f>
        <v>0</v>
      </c>
      <c r="CC1225" s="16">
        <f>CB1225/AS1225</f>
        <v>0</v>
      </c>
      <c r="CD1225" s="77">
        <f>IF(CE1225&gt;0,1,0)</f>
        <v>0</v>
      </c>
      <c r="CE1225" s="16">
        <f>VLOOKUP($K1225,'[5]FECs - good data'!$C$1:$Z$574,21,FALSE)</f>
        <v>0</v>
      </c>
      <c r="CF1225" s="16">
        <f>CE1225/AS1225</f>
        <v>0</v>
      </c>
      <c r="CG1225" s="16">
        <f>IF(CH1225&gt;0,1,0)</f>
        <v>0</v>
      </c>
      <c r="CH1225" s="16">
        <f>VLOOKUP($K1225,'[5]FECs - good data'!$C$1:$Z$574,22,FALSE)</f>
        <v>0</v>
      </c>
      <c r="CI1225" s="16">
        <f>CH1225/AS1225</f>
        <v>0</v>
      </c>
      <c r="CJ1225" s="16">
        <f>IF(CK1225&gt;0,1,0)</f>
        <v>1</v>
      </c>
      <c r="CK1225" s="16">
        <f>VLOOKUP($K1225,'[5]FECs - good data'!$C$1:$Z$674,24,FALSE)</f>
        <v>6</v>
      </c>
      <c r="CL1225" s="16">
        <f>CK1225/AS1225</f>
        <v>17.857142857142854</v>
      </c>
      <c r="CS1225" s="16">
        <f>IF(CT1225&gt;0,1,0)</f>
        <v>0</v>
      </c>
      <c r="CT1225" s="16">
        <f>SUM(CW1225+CZ1225,DC1225)</f>
        <v>0</v>
      </c>
      <c r="CV1225" s="16">
        <f>SUM(CY1225,DB1225,DE1225)</f>
        <v>0</v>
      </c>
      <c r="CW1225" s="16">
        <f>IF(CX1225&gt;0,1,0)</f>
        <v>0</v>
      </c>
      <c r="CX1225" s="16">
        <f>VLOOKUP($K1225,'[5]FECs - good data'!$C$1:$Z$574,22,FALSE)</f>
        <v>0</v>
      </c>
      <c r="CY1225" s="16">
        <f>CX1225/AS1225</f>
        <v>0</v>
      </c>
      <c r="CZ1225" s="16">
        <f>IF(DA1225&gt;0,1,0)</f>
        <v>0</v>
      </c>
      <c r="DA1225" s="16">
        <f>VLOOKUP($K1225,'[5]FECs - good data'!$C$1:$Z$5982,23,FALSE)</f>
        <v>0</v>
      </c>
      <c r="DB1225" s="16">
        <f>DA1225/AS1225</f>
        <v>0</v>
      </c>
      <c r="DC1225" s="16">
        <f>IF(DD1225&gt;0,1,0)</f>
        <v>0</v>
      </c>
      <c r="DD1225" s="16">
        <f>VLOOKUP($K1225,'[5]FECs - good data'!$C$1:$Z$574,23,FALSE)</f>
        <v>0</v>
      </c>
      <c r="DE1225" s="16">
        <f>DD1225/AS1225</f>
        <v>0</v>
      </c>
      <c r="DF1225" s="16" t="e">
        <f>VLOOKUP(K1225,'[3]RNA Seq summary tables'!$V$3:$V$99,1,FALSE)</f>
        <v>#N/A</v>
      </c>
    </row>
    <row r="1226" spans="1:288" x14ac:dyDescent="0.2">
      <c r="B1226" s="18">
        <v>2017</v>
      </c>
      <c r="C1226" s="37">
        <v>42964</v>
      </c>
      <c r="D1226" s="37" t="str">
        <f>CONCATENATE(J1226,"-",C1226)</f>
        <v>1354-42964</v>
      </c>
      <c r="E1226" s="20" t="str">
        <f>CONCATENATE(T1226,"-",U1226,"-",C1226)</f>
        <v>PO1-H7-42964</v>
      </c>
      <c r="F1226" s="20" t="s">
        <v>106</v>
      </c>
      <c r="G1226" s="37" t="s">
        <v>107</v>
      </c>
      <c r="H1226" s="18"/>
      <c r="I1226" s="16">
        <v>0</v>
      </c>
      <c r="J1226" s="36">
        <v>1354</v>
      </c>
      <c r="K1226" s="36">
        <v>2174</v>
      </c>
      <c r="L1226" s="16">
        <v>1</v>
      </c>
      <c r="M1226" s="21">
        <f>VLOOKUP($K1226,'[4]blood tubes 2017'!$D$1:$L$647,8,FALSE)</f>
        <v>0</v>
      </c>
      <c r="N1226" s="15">
        <v>0</v>
      </c>
      <c r="O1226" s="15" t="s">
        <v>214</v>
      </c>
      <c r="Q1226" s="16">
        <f t="shared" si="0"/>
        <v>0</v>
      </c>
      <c r="R1226" s="16" t="str">
        <f t="shared" si="3"/>
        <v/>
      </c>
      <c r="S1226" s="18"/>
      <c r="T1226" s="18" t="s">
        <v>112</v>
      </c>
      <c r="U1226" s="18" t="s">
        <v>202</v>
      </c>
      <c r="V1226" s="18" t="s">
        <v>114</v>
      </c>
      <c r="W1226" s="16">
        <f>AI1226/AG1226</f>
        <v>0.85057471264367812</v>
      </c>
      <c r="X1226" s="18" t="s">
        <v>121</v>
      </c>
      <c r="Y1226" s="18" t="s">
        <v>122</v>
      </c>
      <c r="Z1226" s="18">
        <v>2.9</v>
      </c>
      <c r="AA1226" s="18" t="s">
        <v>161</v>
      </c>
      <c r="AB1226" s="18" t="s">
        <v>239</v>
      </c>
      <c r="AC1226" s="18" t="s">
        <v>123</v>
      </c>
      <c r="AD1226" s="18" t="s">
        <v>116</v>
      </c>
      <c r="AE1226" s="18"/>
      <c r="AF1226" s="18"/>
      <c r="AG1226" s="18">
        <f>AH1226-AI1226</f>
        <v>87</v>
      </c>
      <c r="AH1226" s="18">
        <v>161</v>
      </c>
      <c r="AI1226" s="18">
        <v>74</v>
      </c>
      <c r="AJ1226" s="18"/>
      <c r="AK1226" s="18">
        <v>20.5</v>
      </c>
      <c r="AL1226" s="18">
        <v>0</v>
      </c>
      <c r="AM1226" s="18">
        <v>0</v>
      </c>
      <c r="AN1226" s="18">
        <v>0</v>
      </c>
      <c r="AO1226" s="18">
        <v>0</v>
      </c>
      <c r="AP1226" s="18">
        <f>SUM(AL1226:AN1226)</f>
        <v>0</v>
      </c>
      <c r="AQ1226" s="18">
        <v>1.9930000000000001</v>
      </c>
      <c r="AR1226" s="18">
        <f>AP1226-1.472</f>
        <v>-1.472</v>
      </c>
      <c r="AS1226" s="18">
        <f>AQ1226-1.472</f>
        <v>0.52100000000000013</v>
      </c>
      <c r="AT1226" s="18" t="str">
        <f>VLOOKUP(K1226,'[5]FECs - good data'!$C$1:$P$575,13,FALSE)</f>
        <v>JY</v>
      </c>
      <c r="AU1226" s="18"/>
      <c r="AV1226" s="18"/>
      <c r="AW1226" s="18">
        <f>IF(AX1226&gt;0,1,0)</f>
        <v>1</v>
      </c>
      <c r="AX1226" s="18">
        <f>SUM(BA1226,BM1226,CT1226)</f>
        <v>3</v>
      </c>
      <c r="AY1226" s="18">
        <f>SUM(BB1226,BN1226,CV1226)</f>
        <v>186.18042226487518</v>
      </c>
      <c r="AZ1226" s="18">
        <f>IF(BA1226&gt;0,1,0)</f>
        <v>1</v>
      </c>
      <c r="BA1226" s="18">
        <f>SUM(BC1226,BF1226,BI1226)</f>
        <v>1</v>
      </c>
      <c r="BB1226" s="18">
        <f>SUM(BE1226,BH1226,BK1226)</f>
        <v>67.178502879078678</v>
      </c>
      <c r="BC1226" s="18">
        <f>IF(BD1226&gt;0,1,0)</f>
        <v>0</v>
      </c>
      <c r="BD1226" s="18">
        <f>VLOOKUP($K1226,'[5]FECs - good data'!$C$1:$Z$574,14,FALSE)</f>
        <v>0</v>
      </c>
      <c r="BE1226" s="18">
        <f>BD1226/AS1226</f>
        <v>0</v>
      </c>
      <c r="BF1226" s="18">
        <f>IF(BG1226&gt;0,1,0)</f>
        <v>1</v>
      </c>
      <c r="BG1226" s="78">
        <f>VLOOKUP($K1226,'[5]FECs - good data'!$C$1:$Z$574,15,FALSE)</f>
        <v>35</v>
      </c>
      <c r="BH1226" s="18">
        <f>BG1226/AS1226</f>
        <v>67.178502879078678</v>
      </c>
      <c r="BI1226" s="18">
        <f>IF(BJ1226&gt;0,1,0)</f>
        <v>0</v>
      </c>
      <c r="BJ1226" s="18">
        <f>VLOOKUP($K1226,'[5]FECs - good data'!$C$1:$Z$574,16,FALSE)</f>
        <v>0</v>
      </c>
      <c r="BK1226" s="18">
        <f>BJ1226/AS1226</f>
        <v>0</v>
      </c>
      <c r="BL1226" s="18">
        <f>IF(BM1226&gt;0,1,0)</f>
        <v>1</v>
      </c>
      <c r="BM1226" s="18">
        <f>SUM(BR1226,BU1226,BX1226,CA1226,CD1226,CG1226,CJ1226,CM1226,CP1226)</f>
        <v>1</v>
      </c>
      <c r="BN1226" s="18">
        <f>SUM(BW1226,BZ1226,CC1226,CF1226,CI1226,CL1226,CO1226,CR1226,BT1226)</f>
        <v>59.500959692898256</v>
      </c>
      <c r="BO1226" s="18">
        <f>IF(BP1226&gt;0,1,0)</f>
        <v>0</v>
      </c>
      <c r="BP1226" s="18">
        <f>SUM(BU1226,BX1226,CA1226,CD1226,BR1226)</f>
        <v>0</v>
      </c>
      <c r="BQ1226" s="18">
        <f>SUM(BZ1226,CC1226,CF1226,BT1226,BW1226)</f>
        <v>0</v>
      </c>
      <c r="BR1226" s="18">
        <f>IF(BS1226&gt;0,1,0)</f>
        <v>0</v>
      </c>
      <c r="BS1226" s="18">
        <f>VLOOKUP($K1226,'[5]FECs - good data'!$C$1:$Z$574,17,FALSE)</f>
        <v>0</v>
      </c>
      <c r="BT1226" s="78">
        <f>BS1226/AS1226</f>
        <v>0</v>
      </c>
      <c r="BU1226" s="18">
        <f>IF(BV1226&gt;0,1,0)</f>
        <v>0</v>
      </c>
      <c r="BV1226" s="18">
        <f>VLOOKUP($K1226,'[5]FECs - good data'!$C$1:$Z$574,18,FALSE)</f>
        <v>0</v>
      </c>
      <c r="BW1226" s="18">
        <f>BV1226/AS1226</f>
        <v>0</v>
      </c>
      <c r="BX1226" s="18">
        <f>IF(BY1226&gt;0,1,0)</f>
        <v>0</v>
      </c>
      <c r="BY1226" s="18">
        <f>VLOOKUP($K1226,'[5]FECs - good data'!$C$1:$Z$574,19,FALSE)</f>
        <v>0</v>
      </c>
      <c r="BZ1226" s="18">
        <f>BY1226/AS1226</f>
        <v>0</v>
      </c>
      <c r="CA1226" s="18">
        <f>IF(CB1226&gt;0,1,0)</f>
        <v>0</v>
      </c>
      <c r="CB1226" s="18">
        <f>VLOOKUP($K1226,'[5]FECs - good data'!$C$1:$Z$574,20,FALSE)</f>
        <v>0</v>
      </c>
      <c r="CC1226" s="18">
        <f>CB1226/AS1226</f>
        <v>0</v>
      </c>
      <c r="CD1226" s="78">
        <f>IF(CE1226&gt;0,1,0)</f>
        <v>0</v>
      </c>
      <c r="CE1226" s="18">
        <f>VLOOKUP($K1226,'[5]FECs - good data'!$C$1:$Z$574,21,FALSE)</f>
        <v>0</v>
      </c>
      <c r="CF1226" s="18">
        <f>CE1226/AS1226</f>
        <v>0</v>
      </c>
      <c r="CG1226" s="18">
        <f>IF(CH1226&gt;0,1,0)</f>
        <v>1</v>
      </c>
      <c r="CH1226" s="18">
        <f>VLOOKUP($K1226,'[5]FECs - good data'!$C$1:$Z$574,22,FALSE)</f>
        <v>31</v>
      </c>
      <c r="CI1226" s="18">
        <f>CH1226/AS1226</f>
        <v>59.500959692898256</v>
      </c>
      <c r="CJ1226" s="18">
        <f>IF(CK1226&gt;0,1,0)</f>
        <v>0</v>
      </c>
      <c r="CK1226" s="18">
        <f>VLOOKUP($K1226,'[5]FECs - good data'!$C$1:$Z$674,24,FALSE)</f>
        <v>0</v>
      </c>
      <c r="CL1226" s="18">
        <f>CK1226/AS1226</f>
        <v>0</v>
      </c>
      <c r="CM1226" s="18"/>
      <c r="CN1226" s="18"/>
      <c r="CO1226" s="18"/>
      <c r="CP1226" s="18"/>
      <c r="CQ1226" s="18"/>
      <c r="CR1226" s="18"/>
      <c r="CS1226" s="18">
        <f>IF(CT1226&gt;0,1,0)</f>
        <v>1</v>
      </c>
      <c r="CT1226" s="18">
        <f>SUM(CW1226+CZ1226,DC1226)</f>
        <v>1</v>
      </c>
      <c r="CU1226" s="18"/>
      <c r="CV1226" s="18">
        <f>SUM(CY1226,DB1226,DE1226)</f>
        <v>59.500959692898256</v>
      </c>
      <c r="CW1226" s="18">
        <f>IF(CX1226&gt;0,1,0)</f>
        <v>1</v>
      </c>
      <c r="CX1226" s="18">
        <f>VLOOKUP($K1226,'[5]FECs - good data'!$C$1:$Z$574,22,FALSE)</f>
        <v>31</v>
      </c>
      <c r="CY1226" s="18">
        <f>CX1226/AS1226</f>
        <v>59.500959692898256</v>
      </c>
      <c r="CZ1226" s="18">
        <f>IF(DA1226&gt;0,1,0)</f>
        <v>0</v>
      </c>
      <c r="DA1226" s="18">
        <f>VLOOKUP($K1226,'[5]FECs - good data'!$C$1:$Z$5982,23,FALSE)</f>
        <v>0</v>
      </c>
      <c r="DB1226" s="18">
        <f>DA1226/AS1226</f>
        <v>0</v>
      </c>
      <c r="DC1226" s="18">
        <f>IF(DD1226&gt;0,1,0)</f>
        <v>0</v>
      </c>
      <c r="DD1226" s="18">
        <f>VLOOKUP($K1226,'[5]FECs - good data'!$C$1:$Z$574,23,FALSE)</f>
        <v>0</v>
      </c>
      <c r="DE1226" s="18">
        <f>DD1226/AS1226</f>
        <v>0</v>
      </c>
      <c r="DF1226" s="16">
        <f>VLOOKUP(K1226,'[3]RNA Seq summary tables'!$V$3:$V$99,1,FALSE)</f>
        <v>2174</v>
      </c>
      <c r="DI1226" s="18"/>
      <c r="DJ1226" s="18"/>
      <c r="DK1226" s="18"/>
      <c r="DL1226" s="18"/>
      <c r="DM1226" s="18"/>
      <c r="DN1226" s="18"/>
      <c r="DO1226" s="18"/>
      <c r="DP1226" s="18"/>
      <c r="DQ1226" s="18"/>
      <c r="DR1226" s="18"/>
      <c r="DS1226" s="18"/>
    </row>
    <row r="1227" spans="1:288" ht="16" x14ac:dyDescent="0.2">
      <c r="B1227" s="18">
        <v>2017</v>
      </c>
      <c r="C1227" s="37">
        <v>42975</v>
      </c>
      <c r="D1227" s="37" t="str">
        <f>CONCATENATE(J1227,"-",C1227)</f>
        <v>1354-42975</v>
      </c>
      <c r="E1227" s="37" t="str">
        <f>CONCATENATE(T1227,"-",U1227,"-",C1227)</f>
        <v>PO1-H7-42975</v>
      </c>
      <c r="F1227" s="37" t="s">
        <v>224</v>
      </c>
      <c r="G1227" s="37" t="s">
        <v>107</v>
      </c>
      <c r="H1227" s="40" t="s">
        <v>264</v>
      </c>
      <c r="I1227" s="16">
        <v>0</v>
      </c>
      <c r="J1227" s="36">
        <v>1354</v>
      </c>
      <c r="K1227" s="36">
        <v>2279</v>
      </c>
      <c r="L1227" s="16">
        <v>1</v>
      </c>
      <c r="M1227" s="36">
        <f>VLOOKUP($K1227,'[4]blood tubes 2017'!$D$1:$L$947,8,FALSE)</f>
        <v>0</v>
      </c>
      <c r="N1227" s="42">
        <v>0</v>
      </c>
      <c r="O1227" s="15" t="s">
        <v>214</v>
      </c>
      <c r="Q1227" s="16">
        <f t="shared" si="0"/>
        <v>1</v>
      </c>
      <c r="R1227" s="16">
        <f t="shared" si="3"/>
        <v>11</v>
      </c>
      <c r="S1227" s="18"/>
      <c r="T1227" s="18" t="s">
        <v>112</v>
      </c>
      <c r="U1227" s="18" t="s">
        <v>202</v>
      </c>
      <c r="V1227" s="18" t="s">
        <v>114</v>
      </c>
      <c r="W1227" s="16">
        <f>AI1227/AG1227</f>
        <v>0.93975903614457834</v>
      </c>
      <c r="X1227" s="18" t="s">
        <v>121</v>
      </c>
      <c r="Y1227" s="18" t="s">
        <v>110</v>
      </c>
      <c r="Z1227" s="18">
        <v>3</v>
      </c>
      <c r="AA1227" s="18" t="s">
        <v>161</v>
      </c>
      <c r="AB1227" s="18" t="s">
        <v>240</v>
      </c>
      <c r="AC1227" s="18" t="s">
        <v>123</v>
      </c>
      <c r="AD1227" s="18" t="s">
        <v>116</v>
      </c>
      <c r="AE1227" s="18"/>
      <c r="AF1227" s="18"/>
      <c r="AG1227" s="18">
        <f>AH1227-AI1227</f>
        <v>83</v>
      </c>
      <c r="AH1227" s="18">
        <v>161</v>
      </c>
      <c r="AI1227" s="18">
        <v>78</v>
      </c>
      <c r="AJ1227" s="18"/>
      <c r="AK1227" s="18">
        <v>23.5</v>
      </c>
      <c r="AL1227" s="18">
        <v>0</v>
      </c>
      <c r="AM1227" s="18">
        <v>0</v>
      </c>
      <c r="AN1227" s="18">
        <v>0</v>
      </c>
      <c r="AO1227" s="18">
        <v>0</v>
      </c>
      <c r="AP1227" s="18">
        <f>SUM(AL1227:AN1227)</f>
        <v>0</v>
      </c>
      <c r="AQ1227" s="18">
        <v>2.0009999999999999</v>
      </c>
      <c r="AR1227" s="18">
        <f>AP1227-1.472</f>
        <v>-1.472</v>
      </c>
      <c r="AS1227" s="18">
        <f>AQ1227-1.472</f>
        <v>0.52899999999999991</v>
      </c>
      <c r="AT1227" s="16" t="str">
        <f>VLOOKUP(E1227,[2]Current!$A$1:$W$435,7,FALSE)</f>
        <v>LV</v>
      </c>
      <c r="AU1227" s="16" t="s">
        <v>1288</v>
      </c>
      <c r="AV1227" s="23">
        <v>1</v>
      </c>
      <c r="AW1227" s="128">
        <f>IF(AX1227&gt;0,1,0)</f>
        <v>0</v>
      </c>
      <c r="AX1227" s="128">
        <f>SUM(BA1227,BM1227,CU1227)</f>
        <v>0</v>
      </c>
      <c r="AY1227" s="128">
        <f>SUM(BB1227,BN1227,CV1227)</f>
        <v>0</v>
      </c>
      <c r="AZ1227" s="128">
        <f>IF(BA1227&gt;0,1,0)</f>
        <v>0</v>
      </c>
      <c r="BA1227" s="128">
        <f>SUM(BC1227+BF1227+BI1227)</f>
        <v>0</v>
      </c>
      <c r="BB1227" s="128">
        <f>SUM(BE1227,BH1227,BK1227)</f>
        <v>0</v>
      </c>
      <c r="BC1227" s="130">
        <f>IF(BD1227&gt;0,1,0)</f>
        <v>0</v>
      </c>
      <c r="BD1227" s="128">
        <f>VLOOKUP($E1227,[2]Current!$A:$AC,26,FALSE)</f>
        <v>0</v>
      </c>
      <c r="BE1227" s="128">
        <f>BD1227/$AS1227</f>
        <v>0</v>
      </c>
      <c r="BF1227" s="130">
        <f>IF(BG1227&gt;0,1,0)</f>
        <v>0</v>
      </c>
      <c r="BG1227" s="137">
        <f>VLOOKUP($E1227,[2]Current!$A:$AC,27,FALSE)</f>
        <v>0</v>
      </c>
      <c r="BH1227" s="128">
        <f>BG1227/$AS1227</f>
        <v>0</v>
      </c>
      <c r="BI1227" s="130">
        <f>IF(BJ1227&gt;0,1,0)</f>
        <v>0</v>
      </c>
      <c r="BJ1227" s="128">
        <f>VLOOKUP($E1227,[2]Current!$A:$AC,28,FALSE)</f>
        <v>0</v>
      </c>
      <c r="BK1227" s="128">
        <f>BJ1227/$AS1227</f>
        <v>0</v>
      </c>
      <c r="BL1227" s="128">
        <f>IF(BM1227&gt;0,1,0)</f>
        <v>0</v>
      </c>
      <c r="BM1227" s="128">
        <f>SUM(BR1227,BU1227,BX1227,CA1227,CD1227)</f>
        <v>0</v>
      </c>
      <c r="BN1227" s="131">
        <f>SUM(BT1227,BW1227,BZ1227,CC1227,CF1227)</f>
        <v>0</v>
      </c>
      <c r="BO1227" s="128">
        <f>IF(BP1227&gt;0,1,0)</f>
        <v>0</v>
      </c>
      <c r="BP1227" s="128">
        <f>BM1227+CJ1227</f>
        <v>0</v>
      </c>
      <c r="BQ1227" s="128">
        <f>BN1227+CL1227</f>
        <v>0</v>
      </c>
      <c r="BR1227" s="130">
        <f>IF(BS1227&gt;0,1,0)</f>
        <v>0</v>
      </c>
      <c r="BS1227" s="128">
        <f>VLOOKUP($E1227,[2]Current!$A:$AC,12,FALSE)</f>
        <v>0</v>
      </c>
      <c r="BT1227" s="137">
        <f>BS1227/$AS1227</f>
        <v>0</v>
      </c>
      <c r="BU1227" s="130">
        <f>IF(BV1227&gt;0,1,0)</f>
        <v>0</v>
      </c>
      <c r="BV1227" s="128">
        <f>VLOOKUP($E1227,[2]Current!$A:$AC,13,FALSE)</f>
        <v>0</v>
      </c>
      <c r="BW1227" s="128">
        <f>BV1227/$AS1227</f>
        <v>0</v>
      </c>
      <c r="BX1227" s="130">
        <f>IF(BY1227&gt;0,1,0)</f>
        <v>0</v>
      </c>
      <c r="BY1227" s="128">
        <f>VLOOKUP($E1227,[2]Current!$A:$AC,14,FALSE)</f>
        <v>0</v>
      </c>
      <c r="BZ1227" s="128">
        <f>BY1227/$AS1227</f>
        <v>0</v>
      </c>
      <c r="CA1227" s="130">
        <f>IF(CB1227&gt;0,1,0)</f>
        <v>0</v>
      </c>
      <c r="CB1227" s="128">
        <f>VLOOKUP($E1227,[2]Current!$A:$AC,15,FALSE)</f>
        <v>0</v>
      </c>
      <c r="CC1227" s="128">
        <f>CB1227/$AS1227</f>
        <v>0</v>
      </c>
      <c r="CD1227" s="174">
        <f>IF(CE1227&gt;0,1,0)</f>
        <v>0</v>
      </c>
      <c r="CE1227" s="128">
        <f>VLOOKUP($E1227,[2]Current!$A:$AC,16,FALSE)</f>
        <v>0</v>
      </c>
      <c r="CF1227" s="128">
        <f>CE1227/$AS1227</f>
        <v>0</v>
      </c>
      <c r="CG1227" s="18"/>
      <c r="CH1227" s="18"/>
      <c r="CI1227" s="18"/>
      <c r="CJ1227" s="130">
        <f>IF(CK1227&gt;0,1,0)</f>
        <v>0</v>
      </c>
      <c r="CK1227" s="128">
        <f>VLOOKUP($E1227,[2]Current!$A:$AC,18,FALSE)</f>
        <v>0</v>
      </c>
      <c r="CL1227" s="128">
        <f>CK1227/$AS1227</f>
        <v>0</v>
      </c>
      <c r="CS1227" s="130">
        <f>IF(CU1227&gt;0,1,0)</f>
        <v>0</v>
      </c>
      <c r="CU1227" s="128">
        <f>VLOOKUP($E1227,[2]Current!$A:$AC,17,FALSE)</f>
        <v>0</v>
      </c>
      <c r="CV1227" s="128">
        <f>CU1227/$AS1227</f>
        <v>0</v>
      </c>
      <c r="CW1227" s="18"/>
      <c r="CX1227" s="18"/>
      <c r="CY1227" s="18"/>
      <c r="DF1227" s="16">
        <f>VLOOKUP(K1227,'[3]RNA Seq summary tables'!$V$3:$V$99,1,FALSE)</f>
        <v>2279</v>
      </c>
      <c r="DI1227" s="18"/>
      <c r="DJ1227" s="18"/>
      <c r="DK1227" s="18"/>
      <c r="DL1227" s="18"/>
      <c r="DM1227" s="18"/>
      <c r="DN1227" s="18"/>
      <c r="DO1227" s="18"/>
      <c r="DP1227" s="18"/>
      <c r="DQ1227" s="18"/>
      <c r="DR1227" s="18"/>
      <c r="DS1227" s="18"/>
    </row>
    <row r="1228" spans="1:288" x14ac:dyDescent="0.2">
      <c r="B1228" s="18">
        <v>2017</v>
      </c>
      <c r="C1228" s="37">
        <v>42964</v>
      </c>
      <c r="D1228" s="37" t="str">
        <f>CONCATENATE(J1228,"-",C1228)</f>
        <v>1356-42964</v>
      </c>
      <c r="E1228" s="20" t="str">
        <f>CONCATENATE(T1228,"-",U1228,"-",C1228)</f>
        <v>PO2-F8-42964</v>
      </c>
      <c r="F1228" s="20" t="s">
        <v>106</v>
      </c>
      <c r="G1228" s="37" t="s">
        <v>107</v>
      </c>
      <c r="H1228" s="18"/>
      <c r="I1228" s="16">
        <v>0</v>
      </c>
      <c r="J1228" s="36">
        <v>1356</v>
      </c>
      <c r="K1228" s="36">
        <v>2181</v>
      </c>
      <c r="L1228" s="18">
        <v>0</v>
      </c>
      <c r="M1228" s="21">
        <f>VLOOKUP($K1228,'[4]blood tubes 2017'!$D$1:$L$647,8,FALSE)</f>
        <v>0</v>
      </c>
      <c r="N1228" s="15">
        <v>0</v>
      </c>
      <c r="O1228" s="15" t="s">
        <v>214</v>
      </c>
      <c r="Q1228" s="16">
        <f t="shared" si="0"/>
        <v>0</v>
      </c>
      <c r="R1228" s="16" t="str">
        <f t="shared" si="3"/>
        <v/>
      </c>
      <c r="S1228" s="18"/>
      <c r="T1228" s="18" t="s">
        <v>127</v>
      </c>
      <c r="U1228" s="18" t="s">
        <v>138</v>
      </c>
      <c r="V1228" s="18" t="s">
        <v>114</v>
      </c>
      <c r="W1228" s="16">
        <f>AI1228/AG1228</f>
        <v>0.82954545454545459</v>
      </c>
      <c r="X1228" s="18" t="s">
        <v>115</v>
      </c>
      <c r="Y1228" s="18" t="s">
        <v>110</v>
      </c>
      <c r="Z1228" s="18">
        <v>3</v>
      </c>
      <c r="AA1228" s="18"/>
      <c r="AB1228" s="18"/>
      <c r="AC1228" s="18"/>
      <c r="AD1228" s="18"/>
      <c r="AE1228" s="18" t="s">
        <v>116</v>
      </c>
      <c r="AF1228" s="18" t="s">
        <v>116</v>
      </c>
      <c r="AG1228" s="18">
        <f>AH1228-AI1228</f>
        <v>88</v>
      </c>
      <c r="AH1228" s="18">
        <v>161</v>
      </c>
      <c r="AI1228" s="18">
        <v>73</v>
      </c>
      <c r="AJ1228" s="18"/>
      <c r="AK1228" s="18">
        <v>20</v>
      </c>
      <c r="AL1228" s="18">
        <v>1</v>
      </c>
      <c r="AM1228" s="18">
        <v>0</v>
      </c>
      <c r="AN1228" s="18">
        <v>0</v>
      </c>
      <c r="AO1228" s="18">
        <v>1</v>
      </c>
      <c r="AP1228" s="18">
        <f>SUM(AL1228:AN1228)</f>
        <v>1</v>
      </c>
      <c r="AQ1228" s="18">
        <v>1.5069999999999999</v>
      </c>
      <c r="AR1228" s="18">
        <f>AP1228-1.472</f>
        <v>-0.47199999999999998</v>
      </c>
      <c r="AS1228" s="18">
        <f>AQ1228-1.472</f>
        <v>3.499999999999992E-2</v>
      </c>
      <c r="AT1228" s="18" t="str">
        <f>VLOOKUP(K1228,'[5]FECs - good data'!$C$1:$P$575,13,FALSE)</f>
        <v>SB</v>
      </c>
      <c r="AU1228" s="18"/>
      <c r="AV1228" s="18"/>
      <c r="AW1228" s="18">
        <f>IF(AX1228&gt;0,1,0)</f>
        <v>1</v>
      </c>
      <c r="AX1228" s="18">
        <f>SUM(BA1228,BM1228,CT1228)</f>
        <v>1</v>
      </c>
      <c r="AY1228" s="18">
        <f>SUM(BB1228,BN1228,CV1228)</f>
        <v>200.00000000000045</v>
      </c>
      <c r="AZ1228" s="18">
        <f>IF(BA1228&gt;0,1,0)</f>
        <v>0</v>
      </c>
      <c r="BA1228" s="18">
        <f>SUM(BC1228,BF1228,BI1228)</f>
        <v>0</v>
      </c>
      <c r="BB1228" s="18">
        <f>SUM(BE1228,BH1228,BK1228)</f>
        <v>0</v>
      </c>
      <c r="BC1228" s="18">
        <f>IF(BD1228&gt;0,1,0)</f>
        <v>0</v>
      </c>
      <c r="BD1228" s="18">
        <f>VLOOKUP($K1228,'[5]FECs - good data'!$C$1:$Z$574,14,FALSE)</f>
        <v>0</v>
      </c>
      <c r="BE1228" s="18">
        <f>BD1228/AS1228</f>
        <v>0</v>
      </c>
      <c r="BF1228" s="18">
        <f>IF(BG1228&gt;0,1,0)</f>
        <v>0</v>
      </c>
      <c r="BG1228" s="78">
        <f>VLOOKUP($K1228,'[5]FECs - good data'!$C$1:$Z$574,15,FALSE)</f>
        <v>0</v>
      </c>
      <c r="BH1228" s="18">
        <f>BG1228/AS1228</f>
        <v>0</v>
      </c>
      <c r="BI1228" s="18">
        <f>IF(BJ1228&gt;0,1,0)</f>
        <v>0</v>
      </c>
      <c r="BJ1228" s="18">
        <f>VLOOKUP($K1228,'[5]FECs - good data'!$C$1:$Z$574,16,FALSE)</f>
        <v>0</v>
      </c>
      <c r="BK1228" s="18">
        <f>BJ1228/AS1228</f>
        <v>0</v>
      </c>
      <c r="BL1228" s="16">
        <f>IF(BM1228&gt;0,1,0)</f>
        <v>1</v>
      </c>
      <c r="BM1228" s="16">
        <f>SUM(BR1228,BU1228,BX1228,CA1228,CD1228,CG1228,CJ1228,CM1228,CP1228)</f>
        <v>1</v>
      </c>
      <c r="BN1228" s="18">
        <f>SUM(BW1228,BZ1228,CC1228,CF1228,CI1228,CL1228,CO1228,CR1228,BT1228)</f>
        <v>200.00000000000045</v>
      </c>
      <c r="BO1228" s="18">
        <f>IF(BP1228&gt;0,1,0)</f>
        <v>0</v>
      </c>
      <c r="BP1228" s="18">
        <f>SUM(BU1228,BX1228,CA1228,CD1228,BR1228)</f>
        <v>0</v>
      </c>
      <c r="BQ1228" s="18">
        <f>SUM(BZ1228,CC1228,CF1228,BT1228,BW1228)</f>
        <v>0</v>
      </c>
      <c r="BR1228" s="18">
        <f>IF(BS1228&gt;0,1,0)</f>
        <v>0</v>
      </c>
      <c r="BS1228" s="18">
        <f>VLOOKUP($K1228,'[5]FECs - good data'!$C$1:$Z$574,17,FALSE)</f>
        <v>0</v>
      </c>
      <c r="BT1228" s="78">
        <f>BS1228/AS1228</f>
        <v>0</v>
      </c>
      <c r="BU1228" s="18">
        <f>IF(BV1228&gt;0,1,0)</f>
        <v>0</v>
      </c>
      <c r="BV1228" s="18">
        <f>VLOOKUP($K1228,'[5]FECs - good data'!$C$1:$Z$574,18,FALSE)</f>
        <v>0</v>
      </c>
      <c r="BW1228" s="18">
        <f>BV1228/AS1228</f>
        <v>0</v>
      </c>
      <c r="BX1228" s="18">
        <f>IF(BY1228&gt;0,1,0)</f>
        <v>0</v>
      </c>
      <c r="BY1228" s="18">
        <f>VLOOKUP($K1228,'[5]FECs - good data'!$C$1:$Z$574,19,FALSE)</f>
        <v>0</v>
      </c>
      <c r="BZ1228" s="18">
        <f>BY1228/AS1228</f>
        <v>0</v>
      </c>
      <c r="CA1228" s="18">
        <f>IF(CB1228&gt;0,1,0)</f>
        <v>0</v>
      </c>
      <c r="CB1228" s="18">
        <f>VLOOKUP($K1228,'[5]FECs - good data'!$C$1:$Z$574,20,FALSE)</f>
        <v>0</v>
      </c>
      <c r="CC1228" s="18">
        <f>CB1228/AS1228</f>
        <v>0</v>
      </c>
      <c r="CD1228" s="78">
        <f>IF(CE1228&gt;0,1,0)</f>
        <v>0</v>
      </c>
      <c r="CE1228" s="18">
        <f>VLOOKUP($K1228,'[5]FECs - good data'!$C$1:$Z$574,21,FALSE)</f>
        <v>0</v>
      </c>
      <c r="CF1228" s="18">
        <f>CE1228/AS1228</f>
        <v>0</v>
      </c>
      <c r="CG1228" s="18">
        <f>IF(CH1228&gt;0,1,0)</f>
        <v>0</v>
      </c>
      <c r="CH1228" s="18">
        <f>VLOOKUP($K1228,'[5]FECs - good data'!$C$1:$Z$574,22,FALSE)</f>
        <v>0</v>
      </c>
      <c r="CI1228" s="18">
        <f>CH1228/AS1228</f>
        <v>0</v>
      </c>
      <c r="CJ1228" s="18">
        <f>IF(CK1228&gt;0,1,0)</f>
        <v>1</v>
      </c>
      <c r="CK1228" s="18">
        <f>VLOOKUP($K1228,'[5]FECs - good data'!$C$1:$Z$674,24,FALSE)</f>
        <v>7</v>
      </c>
      <c r="CL1228" s="18">
        <f>CK1228/AS1228</f>
        <v>200.00000000000045</v>
      </c>
      <c r="CM1228" s="18"/>
      <c r="CN1228" s="18"/>
      <c r="CO1228" s="18"/>
      <c r="CP1228" s="18"/>
      <c r="CQ1228" s="18"/>
      <c r="CR1228" s="18"/>
      <c r="CS1228" s="18">
        <f>IF(CT1228&gt;0,1,0)</f>
        <v>0</v>
      </c>
      <c r="CT1228" s="18">
        <f>SUM(CW1228+CZ1228,DC1228)</f>
        <v>0</v>
      </c>
      <c r="CU1228" s="18"/>
      <c r="CV1228" s="18">
        <f>SUM(CY1228,DB1228,DE1228)</f>
        <v>0</v>
      </c>
      <c r="CW1228" s="18">
        <f>IF(CX1228&gt;0,1,0)</f>
        <v>0</v>
      </c>
      <c r="CX1228" s="18">
        <f>VLOOKUP($K1228,'[5]FECs - good data'!$C$1:$Z$574,22,FALSE)</f>
        <v>0</v>
      </c>
      <c r="CY1228" s="18">
        <f>CX1228/AS1228</f>
        <v>0</v>
      </c>
      <c r="CZ1228" s="18">
        <f>IF(DA1228&gt;0,1,0)</f>
        <v>0</v>
      </c>
      <c r="DA1228" s="18">
        <f>VLOOKUP($K1228,'[5]FECs - good data'!$C$1:$Z$5982,23,FALSE)</f>
        <v>0</v>
      </c>
      <c r="DB1228" s="18">
        <f>DA1228/AS1228</f>
        <v>0</v>
      </c>
      <c r="DC1228" s="18">
        <f>IF(DD1228&gt;0,1,0)</f>
        <v>0</v>
      </c>
      <c r="DD1228" s="18">
        <f>VLOOKUP($K1228,'[5]FECs - good data'!$C$1:$Z$574,23,FALSE)</f>
        <v>0</v>
      </c>
      <c r="DE1228" s="18">
        <f>DD1228/AS1228</f>
        <v>0</v>
      </c>
      <c r="DF1228" s="16" t="e">
        <f>VLOOKUP(K1228,'[3]RNA Seq summary tables'!$V$3:$V$99,1,FALSE)</f>
        <v>#N/A</v>
      </c>
      <c r="DI1228" s="18"/>
      <c r="DJ1228" s="18"/>
      <c r="DK1228" s="18"/>
      <c r="DL1228" s="18"/>
      <c r="DM1228" s="18"/>
      <c r="DN1228" s="18"/>
      <c r="DO1228" s="18"/>
      <c r="DP1228" s="18"/>
      <c r="DQ1228" s="18"/>
      <c r="DR1228" s="18"/>
      <c r="DS1228" s="18"/>
    </row>
    <row r="1229" spans="1:288" ht="16" x14ac:dyDescent="0.2">
      <c r="B1229" s="16">
        <v>2017</v>
      </c>
      <c r="C1229" s="20">
        <v>42966</v>
      </c>
      <c r="D1229" s="20" t="str">
        <f>CONCATENATE(J1229,"-",C1229)</f>
        <v>1358-42966</v>
      </c>
      <c r="E1229" s="37" t="str">
        <f>CONCATENATE(T1229,"-",U1229,"-",C1229)</f>
        <v>HW2-A8-42966</v>
      </c>
      <c r="F1229" s="20" t="s">
        <v>106</v>
      </c>
      <c r="G1229" s="20" t="s">
        <v>107</v>
      </c>
      <c r="I1229" s="16">
        <v>0</v>
      </c>
      <c r="J1229" s="21">
        <v>1358</v>
      </c>
      <c r="K1229" s="21">
        <v>2186</v>
      </c>
      <c r="L1229" s="18">
        <v>0</v>
      </c>
      <c r="M1229" s="21">
        <f>VLOOKUP($K1229,'[4]blood tubes 2017'!$D$1:$L$647,8,FALSE)</f>
        <v>0</v>
      </c>
      <c r="N1229" s="15">
        <v>0</v>
      </c>
      <c r="O1229" s="15" t="s">
        <v>214</v>
      </c>
      <c r="Q1229" s="16">
        <f t="shared" si="0"/>
        <v>0</v>
      </c>
      <c r="R1229" s="16" t="str">
        <f t="shared" si="3"/>
        <v/>
      </c>
      <c r="S1229" s="16">
        <v>1</v>
      </c>
      <c r="T1229" s="16" t="s">
        <v>129</v>
      </c>
      <c r="U1229" s="16" t="s">
        <v>194</v>
      </c>
      <c r="V1229" s="16" t="s">
        <v>114</v>
      </c>
      <c r="W1229" s="16">
        <f>AI1229/AG1229</f>
        <v>0.79120879120879117</v>
      </c>
      <c r="X1229" s="16" t="s">
        <v>121</v>
      </c>
      <c r="Y1229" s="16" t="s">
        <v>110</v>
      </c>
      <c r="Z1229" s="16">
        <v>3</v>
      </c>
      <c r="AA1229" s="16" t="s">
        <v>161</v>
      </c>
      <c r="AB1229" s="16" t="s">
        <v>239</v>
      </c>
      <c r="AC1229" s="16" t="s">
        <v>123</v>
      </c>
      <c r="AD1229" s="16" t="s">
        <v>116</v>
      </c>
      <c r="AG1229" s="16">
        <f>AH1229-AI1229</f>
        <v>91</v>
      </c>
      <c r="AH1229" s="16">
        <v>163</v>
      </c>
      <c r="AI1229" s="16">
        <v>72</v>
      </c>
      <c r="AK1229" s="16">
        <v>22.5</v>
      </c>
      <c r="AL1229" s="16">
        <v>0</v>
      </c>
      <c r="AM1229" s="16">
        <v>0</v>
      </c>
      <c r="AN1229" s="16">
        <v>0</v>
      </c>
      <c r="AO1229" s="16">
        <v>0</v>
      </c>
      <c r="AP1229" s="16">
        <f>SUM(AL1229:AN1229)</f>
        <v>0</v>
      </c>
      <c r="AQ1229" s="16">
        <v>2.0030000000000001</v>
      </c>
      <c r="AR1229" s="16">
        <f>AP1229-1.472</f>
        <v>-1.472</v>
      </c>
      <c r="AS1229" s="16">
        <f>AQ1229-1.472</f>
        <v>0.53100000000000014</v>
      </c>
      <c r="AT1229" s="16" t="str">
        <f>VLOOKUP(E1229,[2]Current!$A$1:$W$435,7,FALSE)</f>
        <v>JY</v>
      </c>
      <c r="AU1229" s="16" t="s">
        <v>1288</v>
      </c>
      <c r="AV1229" s="23"/>
      <c r="AW1229" s="128">
        <f>IF(AX1229&gt;0,1,0)</f>
        <v>1</v>
      </c>
      <c r="AX1229" s="128">
        <f>SUM(BA1229,BM1229,CU1229)</f>
        <v>2</v>
      </c>
      <c r="AY1229" s="128">
        <f>SUM(BB1229,BN1229,CV1229)</f>
        <v>1096.0451977401126</v>
      </c>
      <c r="AZ1229" s="128">
        <f>IF(BA1229&gt;0,1,0)</f>
        <v>1</v>
      </c>
      <c r="BA1229" s="128">
        <f>SUM(BC1229+BF1229+BI1229)</f>
        <v>1</v>
      </c>
      <c r="BB1229" s="128">
        <f>SUM(BE1229,BH1229,BK1229)</f>
        <v>629.00188323917121</v>
      </c>
      <c r="BC1229" s="130">
        <f>IF(BD1229&gt;0,1,0)</f>
        <v>0</v>
      </c>
      <c r="BD1229" s="128">
        <f>VLOOKUP($E1229,[2]Current!$A:$AC,26,FALSE)</f>
        <v>0</v>
      </c>
      <c r="BE1229" s="128">
        <f>BD1229/$AS1229</f>
        <v>0</v>
      </c>
      <c r="BF1229" s="130">
        <f>IF(BG1229&gt;0,1,0)</f>
        <v>1</v>
      </c>
      <c r="BG1229" s="137">
        <f>VLOOKUP($E1229,[2]Current!$A:$AC,27,FALSE)</f>
        <v>334</v>
      </c>
      <c r="BH1229" s="128">
        <f>BG1229/$AS1229</f>
        <v>629.00188323917121</v>
      </c>
      <c r="BI1229" s="130">
        <f>IF(BJ1229&gt;0,1,0)</f>
        <v>0</v>
      </c>
      <c r="BJ1229" s="128">
        <f>VLOOKUP($E1229,[2]Current!$A:$AC,28,FALSE)</f>
        <v>0</v>
      </c>
      <c r="BK1229" s="128">
        <f>BJ1229/$AS1229</f>
        <v>0</v>
      </c>
      <c r="BL1229" s="128">
        <f>IF(BM1229&gt;0,1,0)</f>
        <v>1</v>
      </c>
      <c r="BM1229" s="128">
        <f>SUM(BR1229,BU1229,BX1229,CA1229,CD1229)</f>
        <v>1</v>
      </c>
      <c r="BN1229" s="131">
        <f>SUM(BT1229,BW1229,BZ1229,CC1229,CF1229)</f>
        <v>467.04331450094151</v>
      </c>
      <c r="BO1229" s="128">
        <f>IF(BP1229&gt;0,1,0)</f>
        <v>1</v>
      </c>
      <c r="BP1229" s="128">
        <f>BM1229+CJ1229</f>
        <v>1</v>
      </c>
      <c r="BQ1229" s="128">
        <f>BN1229+CL1229</f>
        <v>467.04331450094151</v>
      </c>
      <c r="BR1229" s="130">
        <f>IF(BS1229&gt;0,1,0)</f>
        <v>0</v>
      </c>
      <c r="BS1229" s="128">
        <f>VLOOKUP($E1229,[2]Current!$A:$AC,12,FALSE)</f>
        <v>0</v>
      </c>
      <c r="BT1229" s="137">
        <f>BS1229/$AS1229</f>
        <v>0</v>
      </c>
      <c r="BU1229" s="130">
        <f>IF(BV1229&gt;0,1,0)</f>
        <v>0</v>
      </c>
      <c r="BV1229" s="128">
        <f>VLOOKUP($E1229,[2]Current!$A:$AC,13,FALSE)</f>
        <v>0</v>
      </c>
      <c r="BW1229" s="128">
        <f>BV1229/$AS1229</f>
        <v>0</v>
      </c>
      <c r="BX1229" s="130">
        <f>IF(BY1229&gt;0,1,0)</f>
        <v>1</v>
      </c>
      <c r="BY1229" s="128">
        <f>VLOOKUP($E1229,[2]Current!$A:$AC,14,FALSE)</f>
        <v>248</v>
      </c>
      <c r="BZ1229" s="128">
        <f>BY1229/$AS1229</f>
        <v>467.04331450094151</v>
      </c>
      <c r="CA1229" s="130">
        <f>IF(CB1229&gt;0,1,0)</f>
        <v>0</v>
      </c>
      <c r="CB1229" s="128">
        <f>VLOOKUP($E1229,[2]Current!$A:$AC,15,FALSE)</f>
        <v>0</v>
      </c>
      <c r="CC1229" s="128">
        <f>CB1229/$AS1229</f>
        <v>0</v>
      </c>
      <c r="CD1229" s="174">
        <f>IF(CE1229&gt;0,1,0)</f>
        <v>0</v>
      </c>
      <c r="CE1229" s="128">
        <f>VLOOKUP($E1229,[2]Current!$A:$AC,16,FALSE)</f>
        <v>0</v>
      </c>
      <c r="CF1229" s="128">
        <f>CE1229/$AS1229</f>
        <v>0</v>
      </c>
      <c r="CG1229" s="18"/>
      <c r="CH1229" s="18"/>
      <c r="CI1229" s="18"/>
      <c r="CJ1229" s="130">
        <f>IF(CK1229&gt;0,1,0)</f>
        <v>0</v>
      </c>
      <c r="CK1229" s="128">
        <f>VLOOKUP($E1229,[2]Current!$A:$AC,18,FALSE)</f>
        <v>0</v>
      </c>
      <c r="CL1229" s="128">
        <f>CK1229/$AS1229</f>
        <v>0</v>
      </c>
      <c r="CS1229" s="130">
        <f>IF(CU1229&gt;0,1,0)</f>
        <v>0</v>
      </c>
      <c r="CU1229" s="128">
        <f>VLOOKUP($E1229,[2]Current!$A:$AC,17,FALSE)</f>
        <v>0</v>
      </c>
      <c r="CV1229" s="128">
        <f>CU1229/$AS1229</f>
        <v>0</v>
      </c>
      <c r="CW1229" s="18"/>
      <c r="CX1229" s="18"/>
      <c r="CY1229" s="18"/>
      <c r="DF1229" s="16" t="e">
        <f>VLOOKUP(K1229,'[3]RNA Seq summary tables'!$V$3:$V$99,1,FALSE)</f>
        <v>#N/A</v>
      </c>
      <c r="JR1229" s="62"/>
      <c r="JS1229" s="62"/>
      <c r="JT1229" s="62"/>
      <c r="JU1229" s="62"/>
      <c r="JV1229" s="62"/>
      <c r="JW1229" s="62"/>
      <c r="JX1229" s="62"/>
      <c r="JY1229" s="62"/>
      <c r="JZ1229" s="62"/>
      <c r="KA1229" s="62"/>
      <c r="KB1229" s="62"/>
    </row>
    <row r="1230" spans="1:288" ht="16" x14ac:dyDescent="0.2">
      <c r="B1230" s="16">
        <v>2018</v>
      </c>
      <c r="C1230" s="124">
        <v>43242</v>
      </c>
      <c r="D1230" t="s">
        <v>729</v>
      </c>
      <c r="E1230" s="37" t="str">
        <f>CONCATENATE(T1230,"-",U1230,"-",C1230)</f>
        <v>HW2-F5-43242</v>
      </c>
      <c r="F1230" s="16" t="s">
        <v>227</v>
      </c>
      <c r="G1230" s="126" t="s">
        <v>107</v>
      </c>
      <c r="H1230" s="126"/>
      <c r="J1230" s="127">
        <v>1358</v>
      </c>
      <c r="K1230" s="126">
        <v>2367</v>
      </c>
      <c r="O1230" s="126" t="s">
        <v>214</v>
      </c>
      <c r="Q1230" s="41"/>
      <c r="R1230" s="18">
        <f>IF(J1230=J1229,C1230-C1229,"")</f>
        <v>276</v>
      </c>
      <c r="S1230" s="16">
        <v>1</v>
      </c>
      <c r="T1230" s="126" t="s">
        <v>129</v>
      </c>
      <c r="U1230" s="126" t="s">
        <v>185</v>
      </c>
      <c r="V1230" s="131" t="s">
        <v>114</v>
      </c>
      <c r="X1230" s="126" t="s">
        <v>121</v>
      </c>
      <c r="Y1230" s="126" t="s">
        <v>110</v>
      </c>
      <c r="Z1230" s="126">
        <v>3</v>
      </c>
      <c r="AA1230" s="126" t="s">
        <v>161</v>
      </c>
      <c r="AB1230" s="126" t="s">
        <v>116</v>
      </c>
      <c r="AC1230" s="126" t="s">
        <v>123</v>
      </c>
      <c r="AD1230" s="126"/>
      <c r="AE1230" s="126"/>
      <c r="AG1230" s="16">
        <f>AH1230-AI1230</f>
        <v>82</v>
      </c>
      <c r="AH1230" s="126">
        <v>161</v>
      </c>
      <c r="AI1230" s="126">
        <v>79</v>
      </c>
      <c r="AK1230" s="126">
        <v>24</v>
      </c>
      <c r="AL1230" s="126">
        <v>0</v>
      </c>
      <c r="AM1230" s="126">
        <v>0</v>
      </c>
      <c r="AN1230" s="126">
        <v>0</v>
      </c>
      <c r="AO1230" s="16">
        <f>IF(SUM(AL1230:AN1230)&gt;0,1,0)</f>
        <v>0</v>
      </c>
      <c r="AP1230" s="18">
        <f>SUM(AL1230:AN1230)</f>
        <v>0</v>
      </c>
      <c r="AR1230" s="16">
        <v>0.78</v>
      </c>
      <c r="AS1230" s="16">
        <f>VLOOKUP(E1230,'[1]Feces weights'!$D$1:$H$459,5,FALSE)</f>
        <v>0.78</v>
      </c>
      <c r="AT1230" s="16" t="str">
        <f>VLOOKUP(E1230,[9]Current!$A:$T,7,FALSE)</f>
        <v>DP</v>
      </c>
      <c r="AU1230" s="18" t="s">
        <v>1290</v>
      </c>
      <c r="AW1230" s="177">
        <f>IF(AY1230&gt;0,1,0)</f>
        <v>1</v>
      </c>
      <c r="AX1230" s="177">
        <f>SUM(BA1230,BM1230,CU1230)</f>
        <v>2</v>
      </c>
      <c r="AY1230" s="177">
        <f>SUM(BB1230,BN1230,CV1230)</f>
        <v>2.5641025641025639</v>
      </c>
      <c r="AZ1230" s="177">
        <f>IF(BB1230&gt;0,1,0)</f>
        <v>1</v>
      </c>
      <c r="BA1230" s="177">
        <f>SUM(BC1230+BF1230+BI1230)</f>
        <v>1</v>
      </c>
      <c r="BB1230" s="177">
        <f>SUM(BE1230,BH1230,BK1230)</f>
        <v>1.2820512820512819</v>
      </c>
      <c r="BC1230" s="178">
        <f>IF(BD1230&gt;0,1,0)</f>
        <v>0</v>
      </c>
      <c r="BD1230" s="177">
        <f>VLOOKUP($E1230,[9]Current!$1:$1048576,8,FALSE)</f>
        <v>0</v>
      </c>
      <c r="BE1230" s="177">
        <f>BD1230/$AS1230</f>
        <v>0</v>
      </c>
      <c r="BF1230" s="178">
        <f>IF(BG1230&gt;0,1,0)</f>
        <v>1</v>
      </c>
      <c r="BG1230" s="179">
        <f>VLOOKUP($E1230,[9]Current!$1:$1048576,9,FALSE)</f>
        <v>1</v>
      </c>
      <c r="BH1230" s="177">
        <f>BG1230/$AS1230</f>
        <v>1.2820512820512819</v>
      </c>
      <c r="BI1230" s="178">
        <f>IF(BJ1230&gt;0,1,0)</f>
        <v>0</v>
      </c>
      <c r="BJ1230" s="177">
        <f>VLOOKUP($E1230,[9]Current!$1:$1048576,10,FALSE)</f>
        <v>0</v>
      </c>
      <c r="BK1230" s="177">
        <f>BJ1230/$AS1230</f>
        <v>0</v>
      </c>
      <c r="BL1230" s="177">
        <f>IF(BM1230&gt;0,1,0)</f>
        <v>1</v>
      </c>
      <c r="BM1230" s="177">
        <f>SUM(BR1230,BU1230,BX1230,CA1230,CD1230)</f>
        <v>1</v>
      </c>
      <c r="BN1230" s="181">
        <f>SUM(BT1230,BW1230,BZ1230,CC1230,CF1230)</f>
        <v>1.2820512820512819</v>
      </c>
      <c r="BO1230" s="177">
        <f>IF(BP1230&gt;0,1,0)</f>
        <v>1</v>
      </c>
      <c r="BP1230" s="177">
        <f>BM1230+CJ1230</f>
        <v>1</v>
      </c>
      <c r="BQ1230" s="177">
        <f>BN1230+CL1230</f>
        <v>1.2820512820512819</v>
      </c>
      <c r="BR1230" s="178">
        <f>IF(BS1230&gt;0,1,0)</f>
        <v>0</v>
      </c>
      <c r="BS1230" s="177">
        <f>VLOOKUP($E1230,[9]Current!$1:$1048576,12,FALSE)</f>
        <v>0</v>
      </c>
      <c r="BT1230" s="179">
        <f>BS1230/$AS1230</f>
        <v>0</v>
      </c>
      <c r="BU1230" s="178">
        <f>IF(BV1230&gt;0,1,0)</f>
        <v>0</v>
      </c>
      <c r="BV1230" s="177">
        <f>VLOOKUP($E1230,[9]Current!$1:$1048576,13,FALSE)</f>
        <v>0</v>
      </c>
      <c r="BW1230" s="177">
        <f>BV1230/$AS1230</f>
        <v>0</v>
      </c>
      <c r="BX1230" s="178">
        <f>IF(BY1230&gt;0,1,0)</f>
        <v>0</v>
      </c>
      <c r="BY1230" s="177">
        <f>VLOOKUP($E1230,[9]Current!$1:$1048576,14,FALSE)</f>
        <v>0</v>
      </c>
      <c r="BZ1230" s="177">
        <f>BY1230/$AS1230</f>
        <v>0</v>
      </c>
      <c r="CA1230" s="178">
        <f>IF(CB1230&gt;0,1,0)</f>
        <v>0</v>
      </c>
      <c r="CB1230" s="177">
        <f>VLOOKUP($E1230,[9]Current!$1:$1048576,15,FALSE)</f>
        <v>0</v>
      </c>
      <c r="CC1230" s="177">
        <f>CB1230/$AS1230</f>
        <v>0</v>
      </c>
      <c r="CD1230" s="180">
        <f>IF(CE1230&gt;0,1,0)</f>
        <v>1</v>
      </c>
      <c r="CE1230" s="177">
        <f>VLOOKUP($E1230,[9]Current!$1:$1048576,16,FALSE)</f>
        <v>1</v>
      </c>
      <c r="CF1230" s="177">
        <f>CE1230/$AS1230</f>
        <v>1.2820512820512819</v>
      </c>
      <c r="CG1230" s="18"/>
      <c r="CH1230" s="18"/>
      <c r="CI1230" s="18"/>
      <c r="CJ1230" s="178">
        <f>IF(CK1230&gt;0,1,0)</f>
        <v>0</v>
      </c>
      <c r="CK1230" s="177">
        <f>VLOOKUP($E1230,[9]Current!$1:$1048576,18,FALSE)</f>
        <v>0</v>
      </c>
      <c r="CL1230" s="177">
        <f>CK1230/$AS1230</f>
        <v>0</v>
      </c>
      <c r="CS1230" s="178">
        <f>IF(CU1230&gt;0,1,0)</f>
        <v>0</v>
      </c>
      <c r="CT1230" s="177"/>
      <c r="CU1230" s="177">
        <f>VLOOKUP($E1230,[9]Current!$1:$1048576,17,FALSE)</f>
        <v>0</v>
      </c>
      <c r="CV1230" s="177">
        <f>CU1230/$AS1230</f>
        <v>0</v>
      </c>
      <c r="DF1230" s="16" t="e">
        <f>VLOOKUP(K1230,'[3]RNA Seq summary tables'!$V$3:$V$99,1,FALSE)</f>
        <v>#N/A</v>
      </c>
      <c r="DG1230" s="126" t="s">
        <v>116</v>
      </c>
    </row>
    <row r="1231" spans="1:288" ht="16" x14ac:dyDescent="0.2">
      <c r="B1231" s="16">
        <v>2018</v>
      </c>
      <c r="C1231" s="124">
        <v>43260</v>
      </c>
      <c r="D1231" t="s">
        <v>784</v>
      </c>
      <c r="E1231" s="37" t="str">
        <f>CONCATENATE(T1231,"-",U1231,"-",C1231)</f>
        <v>HW2-C5-43260</v>
      </c>
      <c r="F1231" s="16" t="s">
        <v>227</v>
      </c>
      <c r="G1231" s="126" t="s">
        <v>107</v>
      </c>
      <c r="H1231" s="126" t="s">
        <v>1099</v>
      </c>
      <c r="J1231" s="127">
        <v>1358</v>
      </c>
      <c r="K1231" s="126">
        <v>2422</v>
      </c>
      <c r="O1231" s="15" t="s">
        <v>214</v>
      </c>
      <c r="Q1231" s="16">
        <f t="shared" si="0"/>
        <v>1</v>
      </c>
      <c r="R1231" s="16">
        <f t="shared" ref="R1231" si="4">IF(J1231=J1230,C1231-C1230,"")</f>
        <v>18</v>
      </c>
      <c r="S1231" s="16">
        <v>1</v>
      </c>
      <c r="T1231" s="126" t="s">
        <v>129</v>
      </c>
      <c r="U1231" s="126" t="s">
        <v>172</v>
      </c>
      <c r="V1231" s="131" t="s">
        <v>142</v>
      </c>
      <c r="X1231" s="126" t="s">
        <v>121</v>
      </c>
      <c r="Y1231" s="126" t="s">
        <v>110</v>
      </c>
      <c r="Z1231" s="126">
        <v>3</v>
      </c>
      <c r="AA1231" s="126" t="s">
        <v>161</v>
      </c>
      <c r="AB1231" s="126" t="s">
        <v>116</v>
      </c>
      <c r="AC1231" s="126" t="s">
        <v>123</v>
      </c>
      <c r="AD1231" s="126"/>
      <c r="AE1231" s="126"/>
      <c r="AG1231" s="16">
        <f>AH1231-AI1231</f>
        <v>82</v>
      </c>
      <c r="AH1231" s="126">
        <v>164</v>
      </c>
      <c r="AI1231" s="126">
        <v>82</v>
      </c>
      <c r="AK1231" s="126">
        <v>22</v>
      </c>
      <c r="AL1231" s="126">
        <v>0</v>
      </c>
      <c r="AM1231" s="126">
        <v>0</v>
      </c>
      <c r="AN1231" s="126">
        <v>0</v>
      </c>
      <c r="AO1231" s="16">
        <f>IF(SUM(AL1231:AN1231)&gt;0,1,0)</f>
        <v>0</v>
      </c>
      <c r="AP1231" s="18">
        <f>SUM(AL1231:AN1231)</f>
        <v>0</v>
      </c>
      <c r="AR1231" s="16">
        <v>0.248</v>
      </c>
      <c r="AS1231" s="16">
        <f>VLOOKUP(E1231,'[1]Feces weights'!$D$1:$H$459,5,FALSE)</f>
        <v>0.248</v>
      </c>
      <c r="AT1231" s="16" t="str">
        <f>VLOOKUP(E1231,[2]Current!$A$1:$W$435,7,FALSE)</f>
        <v>TE</v>
      </c>
      <c r="AU1231" s="16" t="s">
        <v>1288</v>
      </c>
      <c r="AW1231" s="128">
        <f>IF(AX1231&gt;0,1,0)</f>
        <v>1</v>
      </c>
      <c r="AX1231" s="128">
        <f>SUM(BA1231,BM1231,CU1231)</f>
        <v>2</v>
      </c>
      <c r="AY1231" s="128">
        <f>SUM(BB1231,BN1231,CV1231)</f>
        <v>40.322580645161288</v>
      </c>
      <c r="AZ1231" s="128">
        <f>IF(BA1231&gt;0,1,0)</f>
        <v>1</v>
      </c>
      <c r="BA1231" s="128">
        <f>SUM(BC1231+BF1231+BI1231)</f>
        <v>2</v>
      </c>
      <c r="BB1231" s="128">
        <f>SUM(BE1231,BH1231,BK1231)</f>
        <v>40.322580645161288</v>
      </c>
      <c r="BC1231" s="130">
        <f>IF(BD1231&gt;0,1,0)</f>
        <v>1</v>
      </c>
      <c r="BD1231" s="128">
        <f>VLOOKUP($E1231,[2]Current!$A:$AC,26,FALSE)</f>
        <v>8</v>
      </c>
      <c r="BE1231" s="128">
        <f>BD1231/$AS1231</f>
        <v>32.258064516129032</v>
      </c>
      <c r="BF1231" s="130">
        <f>IF(BG1231&gt;0,1,0)</f>
        <v>0</v>
      </c>
      <c r="BG1231" s="137">
        <f>VLOOKUP($E1231,[2]Current!$A:$AC,27,FALSE)</f>
        <v>0</v>
      </c>
      <c r="BH1231" s="128">
        <f>BG1231/$AS1231</f>
        <v>0</v>
      </c>
      <c r="BI1231" s="130">
        <f>IF(BJ1231&gt;0,1,0)</f>
        <v>1</v>
      </c>
      <c r="BJ1231" s="128">
        <f>VLOOKUP($E1231,[2]Current!$A:$AC,28,FALSE)</f>
        <v>2</v>
      </c>
      <c r="BK1231" s="128">
        <f>BJ1231/$AS1231</f>
        <v>8.064516129032258</v>
      </c>
      <c r="BL1231" s="128">
        <f>IF(BM1231&gt;0,1,0)</f>
        <v>0</v>
      </c>
      <c r="BM1231" s="128">
        <f>SUM(BR1231,BU1231,BX1231,CA1231,CD1231)</f>
        <v>0</v>
      </c>
      <c r="BN1231" s="131">
        <f>SUM(BT1231,BW1231,BZ1231,CC1231,CF1231)</f>
        <v>0</v>
      </c>
      <c r="BO1231" s="128">
        <f>IF(BP1231&gt;0,1,0)</f>
        <v>0</v>
      </c>
      <c r="BP1231" s="128">
        <f>BM1231+CJ1231</f>
        <v>0</v>
      </c>
      <c r="BQ1231" s="128">
        <f>BN1231+CL1231</f>
        <v>0</v>
      </c>
      <c r="BR1231" s="130">
        <f>IF(BS1231&gt;0,1,0)</f>
        <v>0</v>
      </c>
      <c r="BS1231" s="128">
        <f>VLOOKUP($E1231,[2]Current!$A:$AC,12,FALSE)</f>
        <v>0</v>
      </c>
      <c r="BT1231" s="137">
        <f>BS1231/$AS1231</f>
        <v>0</v>
      </c>
      <c r="BU1231" s="130">
        <f>IF(BV1231&gt;0,1,0)</f>
        <v>0</v>
      </c>
      <c r="BV1231" s="128">
        <f>VLOOKUP($E1231,[2]Current!$A:$AC,13,FALSE)</f>
        <v>0</v>
      </c>
      <c r="BW1231" s="128">
        <f>BV1231/$AS1231</f>
        <v>0</v>
      </c>
      <c r="BX1231" s="130">
        <f>IF(BY1231&gt;0,1,0)</f>
        <v>0</v>
      </c>
      <c r="BY1231" s="128">
        <f>VLOOKUP($E1231,[2]Current!$A:$AC,14,FALSE)</f>
        <v>0</v>
      </c>
      <c r="BZ1231" s="128">
        <f>BY1231/$AS1231</f>
        <v>0</v>
      </c>
      <c r="CA1231" s="130">
        <f>IF(CB1231&gt;0,1,0)</f>
        <v>0</v>
      </c>
      <c r="CB1231" s="128">
        <f>VLOOKUP($E1231,[2]Current!$A:$AC,15,FALSE)</f>
        <v>0</v>
      </c>
      <c r="CC1231" s="128">
        <f>CB1231/$AS1231</f>
        <v>0</v>
      </c>
      <c r="CD1231" s="174">
        <f>IF(CE1231&gt;0,1,0)</f>
        <v>0</v>
      </c>
      <c r="CE1231" s="128">
        <f>VLOOKUP($E1231,[2]Current!$A:$AC,16,FALSE)</f>
        <v>0</v>
      </c>
      <c r="CF1231" s="128">
        <f>CE1231/$AS1231</f>
        <v>0</v>
      </c>
      <c r="CG1231" s="18"/>
      <c r="CH1231" s="18"/>
      <c r="CI1231" s="18"/>
      <c r="CJ1231" s="130">
        <f>IF(CK1231&gt;0,1,0)</f>
        <v>0</v>
      </c>
      <c r="CK1231" s="128">
        <f>VLOOKUP($E1231,[2]Current!$A:$AC,18,FALSE)</f>
        <v>0</v>
      </c>
      <c r="CL1231" s="128">
        <f>CK1231/$AS1231</f>
        <v>0</v>
      </c>
      <c r="CS1231" s="130">
        <f>IF(CU1231&gt;0,1,0)</f>
        <v>0</v>
      </c>
      <c r="CT1231" s="18"/>
      <c r="CU1231" s="128">
        <f>VLOOKUP($E1231,[2]Current!$A:$AC,17,FALSE)</f>
        <v>0</v>
      </c>
      <c r="CV1231" s="128">
        <f>CU1231/$AS1231</f>
        <v>0</v>
      </c>
      <c r="CW1231" s="18"/>
      <c r="CX1231" s="18"/>
      <c r="CY1231" s="18"/>
      <c r="DF1231" s="16" t="e">
        <f>VLOOKUP(K1231,'[3]RNA Seq summary tables'!$V$3:$V$99,1,FALSE)</f>
        <v>#N/A</v>
      </c>
      <c r="DG1231" s="126" t="s">
        <v>116</v>
      </c>
    </row>
    <row r="1232" spans="1:288" ht="16" x14ac:dyDescent="0.2">
      <c r="B1232" s="16">
        <v>2018</v>
      </c>
      <c r="C1232" s="124">
        <v>43277</v>
      </c>
      <c r="D1232" t="s">
        <v>874</v>
      </c>
      <c r="E1232" s="37" t="str">
        <f>CONCATENATE(T1232,"-",U1232,"-",C1232)</f>
        <v>HW2-D8-43277</v>
      </c>
      <c r="F1232" s="16" t="s">
        <v>227</v>
      </c>
      <c r="G1232" s="126" t="s">
        <v>107</v>
      </c>
      <c r="H1232" s="126"/>
      <c r="J1232" s="127">
        <v>1358</v>
      </c>
      <c r="K1232" s="126">
        <v>2521</v>
      </c>
      <c r="O1232" s="15" t="s">
        <v>214</v>
      </c>
      <c r="Q1232" s="16">
        <f t="shared" si="0"/>
        <v>1</v>
      </c>
      <c r="R1232" s="16">
        <f t="shared" ref="R1232:R1275" si="5">IF(J1232=J1231,C1232-C1231,"")</f>
        <v>17</v>
      </c>
      <c r="S1232" s="16">
        <v>1</v>
      </c>
      <c r="T1232" s="126" t="s">
        <v>129</v>
      </c>
      <c r="U1232" s="126" t="s">
        <v>178</v>
      </c>
      <c r="V1232" s="126" t="s">
        <v>114</v>
      </c>
      <c r="X1232" s="126" t="s">
        <v>121</v>
      </c>
      <c r="Y1232" s="126" t="s">
        <v>110</v>
      </c>
      <c r="Z1232" s="126">
        <v>3</v>
      </c>
      <c r="AA1232" s="126" t="s">
        <v>161</v>
      </c>
      <c r="AB1232" s="126" t="s">
        <v>116</v>
      </c>
      <c r="AC1232" s="126" t="s">
        <v>123</v>
      </c>
      <c r="AD1232" s="126"/>
      <c r="AE1232" s="126"/>
      <c r="AG1232" s="16">
        <f>AH1232-AI1232</f>
        <v>82</v>
      </c>
      <c r="AH1232" s="126">
        <v>157</v>
      </c>
      <c r="AI1232" s="126">
        <v>75</v>
      </c>
      <c r="AK1232" s="126">
        <v>22.5</v>
      </c>
      <c r="AL1232" s="126">
        <v>0</v>
      </c>
      <c r="AM1232" s="126">
        <v>0</v>
      </c>
      <c r="AN1232" s="126">
        <v>0</v>
      </c>
      <c r="AO1232" s="16">
        <f>IF(SUM(AL1232:AN1232)&gt;0,1,0)</f>
        <v>0</v>
      </c>
      <c r="AP1232" s="18">
        <f>SUM(AL1232:AN1232)</f>
        <v>0</v>
      </c>
      <c r="AR1232" s="16">
        <v>0.54900000000000015</v>
      </c>
      <c r="AS1232" s="16">
        <f>VLOOKUP(E1232,'[1]Feces weights'!$D$1:$H$459,5,FALSE)</f>
        <v>0.54900000000000015</v>
      </c>
      <c r="AT1232" s="16" t="str">
        <f>VLOOKUP(E1232,[2]Current!$A$1:$W$435,7,FALSE)</f>
        <v>TE</v>
      </c>
      <c r="AU1232" s="16" t="s">
        <v>1288</v>
      </c>
      <c r="AV1232" s="23">
        <v>1</v>
      </c>
      <c r="AW1232" s="128">
        <f>IF(AX1232&gt;0,1,0)</f>
        <v>0</v>
      </c>
      <c r="AX1232" s="128">
        <f>SUM(BA1232,BM1232,CU1232)</f>
        <v>0</v>
      </c>
      <c r="AY1232" s="128">
        <f>SUM(BB1232,BN1232,CV1232)</f>
        <v>0</v>
      </c>
      <c r="AZ1232" s="128">
        <f>IF(BA1232&gt;0,1,0)</f>
        <v>0</v>
      </c>
      <c r="BA1232" s="128">
        <f>SUM(BC1232+BF1232+BI1232)</f>
        <v>0</v>
      </c>
      <c r="BB1232" s="128">
        <f>SUM(BE1232,BH1232,BK1232)</f>
        <v>0</v>
      </c>
      <c r="BC1232" s="130">
        <f>IF(BD1232&gt;0,1,0)</f>
        <v>0</v>
      </c>
      <c r="BD1232" s="128">
        <f>VLOOKUP($E1232,[2]Current!$A:$AC,26,FALSE)</f>
        <v>0</v>
      </c>
      <c r="BE1232" s="128">
        <f>BD1232/$AS1232</f>
        <v>0</v>
      </c>
      <c r="BF1232" s="130">
        <f>IF(BG1232&gt;0,1,0)</f>
        <v>0</v>
      </c>
      <c r="BG1232" s="137">
        <f>VLOOKUP($E1232,[2]Current!$A:$AC,27,FALSE)</f>
        <v>0</v>
      </c>
      <c r="BH1232" s="128">
        <f>BG1232/$AS1232</f>
        <v>0</v>
      </c>
      <c r="BI1232" s="130">
        <f>IF(BJ1232&gt;0,1,0)</f>
        <v>0</v>
      </c>
      <c r="BJ1232" s="128">
        <f>VLOOKUP($E1232,[2]Current!$A:$AC,28,FALSE)</f>
        <v>0</v>
      </c>
      <c r="BK1232" s="128">
        <f>BJ1232/$AS1232</f>
        <v>0</v>
      </c>
      <c r="BL1232" s="128">
        <f>IF(BM1232&gt;0,1,0)</f>
        <v>0</v>
      </c>
      <c r="BM1232" s="128">
        <f>SUM(BR1232,BU1232,BX1232,CA1232,CD1232)</f>
        <v>0</v>
      </c>
      <c r="BN1232" s="131">
        <f>SUM(BT1232,BW1232,BZ1232,CC1232,CF1232)</f>
        <v>0</v>
      </c>
      <c r="BO1232" s="128">
        <f>IF(BP1232&gt;0,1,0)</f>
        <v>0</v>
      </c>
      <c r="BP1232" s="128">
        <f>BM1232+CJ1232</f>
        <v>0</v>
      </c>
      <c r="BQ1232" s="128">
        <f>BN1232+CL1232</f>
        <v>0</v>
      </c>
      <c r="BR1232" s="130">
        <f>IF(BS1232&gt;0,1,0)</f>
        <v>0</v>
      </c>
      <c r="BS1232" s="128">
        <f>VLOOKUP($E1232,[2]Current!$A:$AC,12,FALSE)</f>
        <v>0</v>
      </c>
      <c r="BT1232" s="137">
        <f>BS1232/$AS1232</f>
        <v>0</v>
      </c>
      <c r="BU1232" s="130">
        <f>IF(BV1232&gt;0,1,0)</f>
        <v>0</v>
      </c>
      <c r="BV1232" s="128">
        <f>VLOOKUP($E1232,[2]Current!$A:$AC,13,FALSE)</f>
        <v>0</v>
      </c>
      <c r="BW1232" s="128">
        <f>BV1232/$AS1232</f>
        <v>0</v>
      </c>
      <c r="BX1232" s="130">
        <f>IF(BY1232&gt;0,1,0)</f>
        <v>0</v>
      </c>
      <c r="BY1232" s="128">
        <f>VLOOKUP($E1232,[2]Current!$A:$AC,14,FALSE)</f>
        <v>0</v>
      </c>
      <c r="BZ1232" s="128">
        <f>BY1232/$AS1232</f>
        <v>0</v>
      </c>
      <c r="CA1232" s="130">
        <f>IF(CB1232&gt;0,1,0)</f>
        <v>0</v>
      </c>
      <c r="CB1232" s="128">
        <f>VLOOKUP($E1232,[2]Current!$A:$AC,15,FALSE)</f>
        <v>0</v>
      </c>
      <c r="CC1232" s="128">
        <f>CB1232/$AS1232</f>
        <v>0</v>
      </c>
      <c r="CD1232" s="174">
        <f>IF(CE1232&gt;0,1,0)</f>
        <v>0</v>
      </c>
      <c r="CE1232" s="128">
        <f>VLOOKUP($E1232,[2]Current!$A:$AC,16,FALSE)</f>
        <v>0</v>
      </c>
      <c r="CF1232" s="128">
        <f>CE1232/$AS1232</f>
        <v>0</v>
      </c>
      <c r="CG1232" s="18"/>
      <c r="CH1232" s="18"/>
      <c r="CI1232" s="18"/>
      <c r="CJ1232" s="130">
        <f>IF(CK1232&gt;0,1,0)</f>
        <v>0</v>
      </c>
      <c r="CK1232" s="128">
        <f>VLOOKUP($E1232,[2]Current!$A:$AC,18,FALSE)</f>
        <v>0</v>
      </c>
      <c r="CL1232" s="128">
        <f>CK1232/$AS1232</f>
        <v>0</v>
      </c>
      <c r="CS1232" s="130">
        <f>IF(CU1232&gt;0,1,0)</f>
        <v>0</v>
      </c>
      <c r="CU1232" s="128">
        <f>VLOOKUP($E1232,[2]Current!$A:$AC,17,FALSE)</f>
        <v>0</v>
      </c>
      <c r="CV1232" s="128">
        <f>CU1232/$AS1232</f>
        <v>0</v>
      </c>
      <c r="CW1232" s="18"/>
      <c r="CX1232" s="18"/>
      <c r="CY1232" s="18"/>
      <c r="DF1232" s="16" t="e">
        <f>VLOOKUP(K1232,'[3]RNA Seq summary tables'!$V$3:$V$99,1,FALSE)</f>
        <v>#N/A</v>
      </c>
      <c r="DG1232" s="126" t="s">
        <v>116</v>
      </c>
    </row>
    <row r="1233" spans="1:288" x14ac:dyDescent="0.2">
      <c r="B1233" s="16">
        <v>2017</v>
      </c>
      <c r="C1233" s="20">
        <v>42966</v>
      </c>
      <c r="D1233" s="20" t="str">
        <f>CONCATENATE(J1233,"-",C1233)</f>
        <v>1360-42966</v>
      </c>
      <c r="E1233" s="142" t="str">
        <f>CONCATENATE(T1233,"-",U1233,"-",C1233)</f>
        <v>HW1-A7-42966</v>
      </c>
      <c r="F1233" s="20" t="s">
        <v>106</v>
      </c>
      <c r="G1233" s="20" t="s">
        <v>107</v>
      </c>
      <c r="J1233" s="21">
        <v>1360</v>
      </c>
      <c r="K1233" s="21">
        <v>2205</v>
      </c>
      <c r="L1233" s="18">
        <v>0</v>
      </c>
      <c r="M1233" s="21">
        <f>VLOOKUP($K1233,'[4]blood tubes 2017'!$D$1:$L$647,8,FALSE)</f>
        <v>0</v>
      </c>
      <c r="N1233" s="15">
        <v>0</v>
      </c>
      <c r="O1233" s="15" t="s">
        <v>214</v>
      </c>
      <c r="Q1233" s="16">
        <f t="shared" si="0"/>
        <v>0</v>
      </c>
      <c r="R1233" s="16" t="str">
        <f t="shared" si="5"/>
        <v/>
      </c>
      <c r="T1233" s="16" t="s">
        <v>133</v>
      </c>
      <c r="U1233" s="16" t="s">
        <v>120</v>
      </c>
      <c r="V1233" s="16" t="s">
        <v>114</v>
      </c>
      <c r="W1233" s="16">
        <f>AI1233/AG1233</f>
        <v>0.8902439024390244</v>
      </c>
      <c r="X1233" s="16" t="s">
        <v>115</v>
      </c>
      <c r="Y1233" s="16" t="s">
        <v>110</v>
      </c>
      <c r="Z1233" s="16">
        <v>3</v>
      </c>
      <c r="AE1233" s="16" t="s">
        <v>116</v>
      </c>
      <c r="AF1233" s="16" t="s">
        <v>116</v>
      </c>
      <c r="AG1233" s="16">
        <f>AH1233-AI1233</f>
        <v>82</v>
      </c>
      <c r="AH1233" s="16">
        <v>155</v>
      </c>
      <c r="AI1233" s="16">
        <v>73</v>
      </c>
      <c r="AK1233" s="16">
        <v>17.5</v>
      </c>
      <c r="AL1233" s="16">
        <v>0</v>
      </c>
      <c r="AM1233" s="16">
        <v>0</v>
      </c>
      <c r="AN1233" s="16">
        <v>0</v>
      </c>
      <c r="AO1233" s="16">
        <v>0</v>
      </c>
      <c r="AP1233" s="16">
        <f>SUM(AL1233:AN1233)</f>
        <v>0</v>
      </c>
      <c r="AQ1233" s="16">
        <v>1.744</v>
      </c>
      <c r="AR1233" s="16">
        <f>AP1233-1.472</f>
        <v>-1.472</v>
      </c>
      <c r="AS1233" s="16">
        <f>AQ1233-1.472</f>
        <v>0.27200000000000002</v>
      </c>
      <c r="AT1233" s="16" t="e">
        <f>VLOOKUP(E1233,[2]Current!$A$1:$W$435,7,FALSE)</f>
        <v>#N/A</v>
      </c>
      <c r="AU1233" s="16">
        <v>0</v>
      </c>
      <c r="AW1233" s="18"/>
      <c r="AX1233" s="18"/>
      <c r="AY1233" s="18"/>
      <c r="AZ1233" s="18"/>
      <c r="BA1233" s="18"/>
      <c r="BB1233" s="18"/>
      <c r="BC1233" s="18"/>
      <c r="BD1233" s="18"/>
      <c r="BG1233" s="77"/>
      <c r="BT1233" s="77"/>
      <c r="CD1233" s="77"/>
      <c r="DF1233" s="16" t="e">
        <f>VLOOKUP(K1233,'[3]RNA Seq summary tables'!$V$3:$V$99,1,FALSE)</f>
        <v>#N/A</v>
      </c>
      <c r="JR1233" s="18"/>
      <c r="JS1233" s="18"/>
      <c r="JT1233" s="18"/>
      <c r="JU1233" s="18"/>
      <c r="JV1233" s="18"/>
      <c r="JW1233" s="18"/>
      <c r="JX1233" s="18"/>
      <c r="JY1233" s="18"/>
      <c r="JZ1233" s="18"/>
      <c r="KA1233" s="18"/>
      <c r="KB1233" s="18"/>
    </row>
    <row r="1234" spans="1:288" s="27" customFormat="1" x14ac:dyDescent="0.2">
      <c r="A1234" s="18"/>
      <c r="B1234" s="16">
        <v>2017</v>
      </c>
      <c r="C1234" s="20">
        <v>42966</v>
      </c>
      <c r="D1234" s="20" t="str">
        <f>CONCATENATE(J1234,"-",C1234)</f>
        <v>1361-42966</v>
      </c>
      <c r="E1234" s="142" t="str">
        <f>CONCATENATE(T1234,"-",U1234,"-",C1234)</f>
        <v>HW1-H3-42966</v>
      </c>
      <c r="F1234" s="20" t="s">
        <v>106</v>
      </c>
      <c r="G1234" s="20" t="s">
        <v>107</v>
      </c>
      <c r="H1234" s="16"/>
      <c r="I1234" s="16"/>
      <c r="J1234" s="21">
        <v>1361</v>
      </c>
      <c r="K1234" s="21">
        <v>2217</v>
      </c>
      <c r="L1234" s="18">
        <v>0</v>
      </c>
      <c r="M1234" s="21">
        <f>VLOOKUP($K1234,'[4]blood tubes 2017'!$D$1:$L$647,8,FALSE)</f>
        <v>0</v>
      </c>
      <c r="N1234" s="15">
        <v>0</v>
      </c>
      <c r="O1234" s="15" t="s">
        <v>214</v>
      </c>
      <c r="P1234" s="16"/>
      <c r="Q1234" s="16">
        <f t="shared" si="0"/>
        <v>0</v>
      </c>
      <c r="R1234" s="16" t="str">
        <f t="shared" si="5"/>
        <v/>
      </c>
      <c r="S1234" s="16"/>
      <c r="T1234" s="16" t="s">
        <v>133</v>
      </c>
      <c r="U1234" s="16" t="s">
        <v>174</v>
      </c>
      <c r="V1234" s="16" t="s">
        <v>114</v>
      </c>
      <c r="W1234" s="16">
        <f>AI1234/AG1234</f>
        <v>0.77272727272727271</v>
      </c>
      <c r="X1234" s="16" t="s">
        <v>115</v>
      </c>
      <c r="Y1234" s="16" t="s">
        <v>110</v>
      </c>
      <c r="Z1234" s="16">
        <v>3</v>
      </c>
      <c r="AA1234" s="16"/>
      <c r="AB1234" s="16"/>
      <c r="AC1234" s="16"/>
      <c r="AD1234" s="16"/>
      <c r="AE1234" s="16" t="s">
        <v>123</v>
      </c>
      <c r="AF1234" s="16" t="s">
        <v>123</v>
      </c>
      <c r="AG1234" s="16">
        <f>AH1234-AI1234</f>
        <v>88</v>
      </c>
      <c r="AH1234" s="16">
        <v>156</v>
      </c>
      <c r="AI1234" s="16">
        <v>68</v>
      </c>
      <c r="AJ1234" s="16"/>
      <c r="AK1234" s="16">
        <v>15.5</v>
      </c>
      <c r="AL1234" s="16">
        <v>0</v>
      </c>
      <c r="AM1234" s="16">
        <v>0</v>
      </c>
      <c r="AN1234" s="16">
        <v>0</v>
      </c>
      <c r="AO1234" s="16">
        <v>0</v>
      </c>
      <c r="AP1234" s="16">
        <f>SUM(AL1234:AN1234)</f>
        <v>0</v>
      </c>
      <c r="AQ1234" s="16">
        <v>1.6259999999999999</v>
      </c>
      <c r="AR1234" s="16">
        <f>AP1234-1.472</f>
        <v>-1.472</v>
      </c>
      <c r="AS1234" s="16">
        <f>AQ1234-1.472</f>
        <v>0.15399999999999991</v>
      </c>
      <c r="AT1234" s="16" t="e">
        <f>VLOOKUP(E1234,[2]Current!$A$1:$W$435,7,FALSE)</f>
        <v>#N/A</v>
      </c>
      <c r="AU1234" s="16">
        <v>0</v>
      </c>
      <c r="AV1234" s="16"/>
      <c r="AW1234" s="18"/>
      <c r="AX1234" s="18"/>
      <c r="AY1234" s="18"/>
      <c r="AZ1234" s="18"/>
      <c r="BA1234" s="18"/>
      <c r="BB1234" s="18"/>
      <c r="BC1234" s="18"/>
      <c r="BD1234" s="18"/>
      <c r="BE1234" s="16"/>
      <c r="BF1234" s="16"/>
      <c r="BG1234" s="77"/>
      <c r="BH1234" s="16"/>
      <c r="BI1234" s="16"/>
      <c r="BJ1234" s="16"/>
      <c r="BK1234" s="16"/>
      <c r="BL1234" s="16"/>
      <c r="BM1234" s="16"/>
      <c r="BN1234" s="16"/>
      <c r="BO1234" s="16"/>
      <c r="BP1234" s="16"/>
      <c r="BQ1234" s="16"/>
      <c r="BR1234" s="16"/>
      <c r="BS1234" s="16"/>
      <c r="BT1234" s="77"/>
      <c r="BU1234" s="16"/>
      <c r="BV1234" s="16"/>
      <c r="BW1234" s="16"/>
      <c r="BX1234" s="16"/>
      <c r="BY1234" s="16"/>
      <c r="BZ1234" s="16"/>
      <c r="CA1234" s="16"/>
      <c r="CB1234" s="16"/>
      <c r="CC1234" s="16"/>
      <c r="CD1234" s="77"/>
      <c r="CE1234" s="16"/>
      <c r="CF1234" s="16"/>
      <c r="CG1234" s="16"/>
      <c r="CH1234" s="16"/>
      <c r="CI1234" s="16"/>
      <c r="CJ1234" s="16"/>
      <c r="CK1234" s="16"/>
      <c r="CL1234" s="16"/>
      <c r="CM1234" s="16"/>
      <c r="CN1234" s="16"/>
      <c r="CO1234" s="16"/>
      <c r="CP1234" s="16"/>
      <c r="CQ1234" s="16"/>
      <c r="CR1234" s="16"/>
      <c r="CS1234" s="16"/>
      <c r="CT1234" s="16"/>
      <c r="CU1234" s="16"/>
      <c r="CV1234" s="16"/>
      <c r="CW1234" s="16"/>
      <c r="CX1234" s="16"/>
      <c r="CY1234" s="16"/>
      <c r="CZ1234" s="16"/>
      <c r="DA1234" s="16"/>
      <c r="DB1234" s="16"/>
      <c r="DC1234" s="16"/>
      <c r="DD1234" s="16"/>
      <c r="DE1234" s="16"/>
      <c r="DF1234" s="16" t="e">
        <f>VLOOKUP(K1234,'[3]RNA Seq summary tables'!$V$3:$V$99,1,FALSE)</f>
        <v>#N/A</v>
      </c>
      <c r="DG1234" s="16"/>
      <c r="DH1234" s="16"/>
      <c r="DI1234" s="16"/>
      <c r="DJ1234" s="16"/>
      <c r="DK1234" s="16"/>
      <c r="DL1234" s="16"/>
      <c r="DM1234" s="16"/>
      <c r="DN1234" s="16"/>
      <c r="DO1234" s="16"/>
      <c r="DP1234" s="16"/>
      <c r="DQ1234" s="16"/>
      <c r="DR1234" s="16"/>
      <c r="DS1234" s="16"/>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18"/>
      <c r="EQ1234" s="18"/>
      <c r="ER1234" s="18"/>
      <c r="ES1234" s="18"/>
      <c r="ET1234" s="18"/>
      <c r="EU1234" s="18"/>
      <c r="EV1234" s="18"/>
      <c r="EW1234" s="18"/>
      <c r="EX1234" s="18"/>
      <c r="EY1234" s="18"/>
      <c r="EZ1234" s="18"/>
      <c r="FA1234" s="18"/>
      <c r="FB1234" s="18"/>
      <c r="FC1234" s="18"/>
      <c r="FD1234" s="18"/>
      <c r="FE1234" s="18"/>
      <c r="FF1234" s="18"/>
      <c r="FG1234" s="18"/>
      <c r="FH1234" s="18"/>
      <c r="FI1234" s="18"/>
      <c r="FJ1234" s="18"/>
      <c r="FK1234" s="18"/>
      <c r="FL1234" s="18"/>
      <c r="FM1234" s="18"/>
      <c r="FN1234" s="18"/>
      <c r="FO1234" s="18"/>
      <c r="FP1234" s="18"/>
      <c r="FQ1234" s="18"/>
      <c r="FR1234" s="18"/>
      <c r="FS1234" s="18"/>
      <c r="FT1234" s="18"/>
      <c r="FU1234" s="18"/>
      <c r="FV1234" s="18"/>
      <c r="FW1234" s="18"/>
      <c r="FX1234" s="18"/>
      <c r="FY1234" s="18"/>
      <c r="FZ1234" s="18"/>
      <c r="GA1234" s="18"/>
      <c r="GB1234" s="18"/>
      <c r="GC1234" s="18"/>
      <c r="GD1234" s="18"/>
      <c r="GE1234" s="18"/>
      <c r="GF1234" s="18"/>
      <c r="GG1234" s="18"/>
      <c r="GH1234" s="18"/>
      <c r="GI1234" s="18"/>
      <c r="GJ1234" s="18"/>
      <c r="GK1234" s="18"/>
      <c r="GL1234" s="18"/>
      <c r="GM1234" s="18"/>
      <c r="GN1234" s="18"/>
      <c r="GO1234" s="18"/>
      <c r="GP1234" s="18"/>
      <c r="GQ1234" s="18"/>
      <c r="GR1234" s="18"/>
      <c r="GS1234" s="18"/>
      <c r="GT1234" s="18"/>
      <c r="GU1234" s="18"/>
      <c r="GV1234" s="18"/>
      <c r="GW1234" s="18"/>
      <c r="GX1234" s="18"/>
      <c r="GY1234" s="18"/>
      <c r="GZ1234" s="18"/>
      <c r="HA1234" s="18"/>
      <c r="HB1234" s="18"/>
      <c r="HC1234" s="18"/>
      <c r="HD1234" s="18"/>
      <c r="HE1234" s="18"/>
      <c r="HF1234" s="18"/>
      <c r="HG1234" s="18"/>
      <c r="HH1234" s="18"/>
      <c r="HI1234" s="18"/>
      <c r="HJ1234" s="18"/>
      <c r="HK1234" s="18"/>
      <c r="HL1234" s="18"/>
      <c r="HM1234" s="18"/>
      <c r="HN1234" s="18"/>
      <c r="HO1234" s="18"/>
      <c r="HP1234" s="18"/>
      <c r="HQ1234" s="18"/>
      <c r="HR1234" s="18"/>
      <c r="HS1234" s="18"/>
      <c r="HT1234" s="18"/>
      <c r="HU1234" s="18"/>
      <c r="HV1234" s="18"/>
      <c r="HW1234" s="18"/>
      <c r="HX1234" s="18"/>
      <c r="HY1234" s="18"/>
      <c r="HZ1234" s="18"/>
      <c r="IA1234" s="18"/>
      <c r="IB1234" s="18"/>
      <c r="IC1234" s="18"/>
      <c r="ID1234" s="18"/>
      <c r="IE1234" s="18"/>
      <c r="IF1234" s="18"/>
      <c r="IG1234" s="18"/>
      <c r="IH1234" s="18"/>
      <c r="II1234" s="18"/>
      <c r="IJ1234" s="18"/>
      <c r="IK1234" s="18"/>
      <c r="IL1234" s="18"/>
      <c r="IM1234" s="18"/>
      <c r="IN1234" s="18"/>
      <c r="IO1234" s="18"/>
      <c r="IP1234" s="18"/>
      <c r="IQ1234" s="18"/>
      <c r="IR1234" s="18"/>
      <c r="IS1234" s="18"/>
      <c r="IT1234" s="18"/>
      <c r="IU1234" s="18"/>
      <c r="IV1234" s="18"/>
      <c r="IW1234" s="18"/>
      <c r="IX1234" s="18"/>
      <c r="IY1234" s="18"/>
      <c r="IZ1234" s="18"/>
      <c r="JA1234" s="18"/>
      <c r="JB1234" s="18"/>
      <c r="JC1234" s="18"/>
      <c r="JD1234" s="18"/>
      <c r="JE1234" s="18"/>
      <c r="JF1234" s="18"/>
      <c r="JG1234" s="18"/>
      <c r="JH1234" s="18"/>
      <c r="JI1234" s="18"/>
      <c r="JJ1234" s="18"/>
      <c r="JK1234" s="18"/>
      <c r="JL1234" s="18"/>
      <c r="JM1234" s="18"/>
      <c r="JN1234" s="18"/>
      <c r="JO1234" s="16"/>
      <c r="JP1234" s="16"/>
      <c r="JQ1234" s="16"/>
      <c r="JR1234" s="16"/>
      <c r="JS1234" s="16"/>
      <c r="JT1234" s="16"/>
      <c r="JU1234" s="16"/>
      <c r="JV1234" s="16"/>
      <c r="JW1234" s="16"/>
      <c r="JX1234" s="16"/>
      <c r="JY1234" s="16"/>
      <c r="JZ1234" s="16"/>
      <c r="KA1234" s="16"/>
      <c r="KB1234" s="16"/>
    </row>
    <row r="1235" spans="1:288" s="18" customFormat="1" x14ac:dyDescent="0.2">
      <c r="B1235" s="18">
        <v>2017</v>
      </c>
      <c r="C1235" s="37">
        <v>42967</v>
      </c>
      <c r="D1235" s="37" t="str">
        <f>CONCATENATE(J1235,"-",C1235)</f>
        <v>1363-42967</v>
      </c>
      <c r="E1235" s="142" t="str">
        <f>CONCATENATE(T1235,"-",U1235,"-",C1235)</f>
        <v>HW1-B8-42967</v>
      </c>
      <c r="F1235" s="20" t="s">
        <v>106</v>
      </c>
      <c r="G1235" s="37" t="s">
        <v>107</v>
      </c>
      <c r="I1235" s="16"/>
      <c r="J1235" s="36">
        <v>1363</v>
      </c>
      <c r="K1235" s="36">
        <v>2220</v>
      </c>
      <c r="L1235" s="18">
        <v>0</v>
      </c>
      <c r="M1235" s="21">
        <f>VLOOKUP($K1235,'[4]blood tubes 2017'!$D$1:$L$647,8,FALSE)</f>
        <v>0</v>
      </c>
      <c r="N1235" s="15">
        <v>0</v>
      </c>
      <c r="O1235" s="15" t="s">
        <v>214</v>
      </c>
      <c r="P1235" s="16"/>
      <c r="Q1235" s="16">
        <f t="shared" si="0"/>
        <v>0</v>
      </c>
      <c r="R1235" s="16" t="str">
        <f t="shared" si="5"/>
        <v/>
      </c>
      <c r="T1235" s="18" t="s">
        <v>133</v>
      </c>
      <c r="U1235" s="18" t="s">
        <v>209</v>
      </c>
      <c r="V1235" s="18" t="s">
        <v>114</v>
      </c>
      <c r="W1235" s="16">
        <f>AI1235/AG1235</f>
        <v>0.7640449438202247</v>
      </c>
      <c r="X1235" s="18" t="s">
        <v>115</v>
      </c>
      <c r="Y1235" s="18" t="s">
        <v>110</v>
      </c>
      <c r="Z1235" s="18">
        <v>3</v>
      </c>
      <c r="AE1235" s="18" t="s">
        <v>116</v>
      </c>
      <c r="AF1235" s="18" t="s">
        <v>116</v>
      </c>
      <c r="AG1235" s="18">
        <f>AH1235-AI1235</f>
        <v>89</v>
      </c>
      <c r="AH1235" s="18">
        <v>157</v>
      </c>
      <c r="AI1235" s="18">
        <v>68</v>
      </c>
      <c r="AK1235" s="18">
        <v>19</v>
      </c>
      <c r="AL1235" s="18">
        <v>0</v>
      </c>
      <c r="AM1235" s="18">
        <v>0</v>
      </c>
      <c r="AN1235" s="18">
        <v>0</v>
      </c>
      <c r="AO1235" s="18">
        <v>0</v>
      </c>
      <c r="AP1235" s="18">
        <f>SUM(AL1235:AN1235)</f>
        <v>0</v>
      </c>
      <c r="AQ1235" s="18">
        <v>1.5640000000000001</v>
      </c>
      <c r="AR1235" s="18">
        <f>AP1235-1.472</f>
        <v>-1.472</v>
      </c>
      <c r="AS1235" s="18">
        <f>AQ1235-1.472</f>
        <v>9.2000000000000082E-2</v>
      </c>
      <c r="AT1235" s="16" t="e">
        <f>VLOOKUP(E1235,[2]Current!$A$1:$W$435,7,FALSE)</f>
        <v>#N/A</v>
      </c>
      <c r="AU1235" s="16">
        <v>0</v>
      </c>
      <c r="BG1235" s="78"/>
      <c r="BT1235" s="78"/>
      <c r="CD1235" s="78"/>
      <c r="DF1235" s="16" t="e">
        <f>VLOOKUP(K1235,'[3]RNA Seq summary tables'!$V$3:$V$99,1,FALSE)</f>
        <v>#N/A</v>
      </c>
      <c r="DG1235" s="16"/>
      <c r="DH1235" s="16"/>
      <c r="JO1235" s="16"/>
      <c r="JP1235" s="16"/>
      <c r="JQ1235" s="16"/>
      <c r="JR1235" s="16"/>
      <c r="JS1235" s="16"/>
      <c r="JT1235" s="16"/>
      <c r="JU1235" s="16"/>
      <c r="JV1235" s="16"/>
      <c r="JW1235" s="16"/>
      <c r="JX1235" s="16"/>
      <c r="JY1235" s="16"/>
      <c r="JZ1235" s="16"/>
      <c r="KA1235" s="16"/>
      <c r="KB1235" s="16"/>
    </row>
    <row r="1236" spans="1:288" s="26" customFormat="1" ht="16" x14ac:dyDescent="0.2">
      <c r="A1236" s="18"/>
      <c r="B1236" s="18">
        <v>2017</v>
      </c>
      <c r="C1236" s="37">
        <v>42967</v>
      </c>
      <c r="D1236" s="37" t="str">
        <f>CONCATENATE(J1236,"-",C1236)</f>
        <v>1365-42967</v>
      </c>
      <c r="E1236" s="37" t="str">
        <f>CONCATENATE(T1236,"-",U1236,"-",C1236)</f>
        <v>HW1-D8-42967</v>
      </c>
      <c r="F1236" s="20" t="s">
        <v>106</v>
      </c>
      <c r="G1236" s="37" t="s">
        <v>107</v>
      </c>
      <c r="H1236" s="18"/>
      <c r="I1236" s="16">
        <v>0</v>
      </c>
      <c r="J1236" s="36">
        <v>1365</v>
      </c>
      <c r="K1236" s="36">
        <v>2223</v>
      </c>
      <c r="L1236" s="18">
        <v>0</v>
      </c>
      <c r="M1236" s="21">
        <f>VLOOKUP($K1236,'[4]blood tubes 2017'!$D$1:$L$947,8,FALSE)</f>
        <v>0</v>
      </c>
      <c r="N1236" s="15">
        <v>0</v>
      </c>
      <c r="O1236" s="15" t="s">
        <v>214</v>
      </c>
      <c r="P1236" s="16"/>
      <c r="Q1236" s="16">
        <f t="shared" si="0"/>
        <v>0</v>
      </c>
      <c r="R1236" s="16" t="str">
        <f t="shared" si="5"/>
        <v/>
      </c>
      <c r="S1236" s="18"/>
      <c r="T1236" s="18" t="s">
        <v>133</v>
      </c>
      <c r="U1236" s="18" t="s">
        <v>178</v>
      </c>
      <c r="V1236" s="18" t="s">
        <v>114</v>
      </c>
      <c r="W1236" s="16">
        <f>AI1236/AG1236</f>
        <v>0.85365853658536583</v>
      </c>
      <c r="X1236" s="18" t="s">
        <v>121</v>
      </c>
      <c r="Y1236" s="18" t="s">
        <v>110</v>
      </c>
      <c r="Z1236" s="18">
        <v>3</v>
      </c>
      <c r="AA1236" s="18" t="s">
        <v>161</v>
      </c>
      <c r="AB1236" s="18" t="s">
        <v>123</v>
      </c>
      <c r="AC1236" s="18" t="s">
        <v>123</v>
      </c>
      <c r="AD1236" s="18" t="s">
        <v>116</v>
      </c>
      <c r="AE1236" s="18"/>
      <c r="AF1236" s="18"/>
      <c r="AG1236" s="18">
        <f>AH1236-AI1236</f>
        <v>82</v>
      </c>
      <c r="AH1236" s="18">
        <v>152</v>
      </c>
      <c r="AI1236" s="18">
        <v>70</v>
      </c>
      <c r="AJ1236" s="18"/>
      <c r="AK1236" s="18">
        <v>15.5</v>
      </c>
      <c r="AL1236" s="18">
        <v>0</v>
      </c>
      <c r="AM1236" s="18">
        <v>0</v>
      </c>
      <c r="AN1236" s="18">
        <v>0</v>
      </c>
      <c r="AO1236" s="18">
        <v>0</v>
      </c>
      <c r="AP1236" s="18">
        <f>SUM(AL1236:AN1236)</f>
        <v>0</v>
      </c>
      <c r="AQ1236" s="18">
        <v>1.913</v>
      </c>
      <c r="AR1236" s="18">
        <f>AP1236-1.472</f>
        <v>-1.472</v>
      </c>
      <c r="AS1236" s="18">
        <f>AQ1236-1.472</f>
        <v>0.44100000000000006</v>
      </c>
      <c r="AT1236" s="16" t="str">
        <f>VLOOKUP(E1236,[2]Current!$A$1:$W$435,7,FALSE)</f>
        <v>TE</v>
      </c>
      <c r="AU1236" s="16" t="s">
        <v>1288</v>
      </c>
      <c r="AV1236" s="23">
        <v>1</v>
      </c>
      <c r="AW1236" s="128">
        <f>IF(AX1236&gt;0,1,0)</f>
        <v>0</v>
      </c>
      <c r="AX1236" s="128">
        <f>SUM(BA1236,BM1236,CU1236)</f>
        <v>0</v>
      </c>
      <c r="AY1236" s="128">
        <f>SUM(BB1236,BN1236,CV1236)</f>
        <v>0</v>
      </c>
      <c r="AZ1236" s="128">
        <f>IF(BA1236&gt;0,1,0)</f>
        <v>0</v>
      </c>
      <c r="BA1236" s="128">
        <f>SUM(BC1236+BF1236+BI1236)</f>
        <v>0</v>
      </c>
      <c r="BB1236" s="128">
        <f>SUM(BE1236,BH1236,BK1236)</f>
        <v>0</v>
      </c>
      <c r="BC1236" s="130">
        <f>IF(BD1236&gt;0,1,0)</f>
        <v>0</v>
      </c>
      <c r="BD1236" s="128">
        <f>VLOOKUP($E1236,[2]Current!$A:$AC,26,FALSE)</f>
        <v>0</v>
      </c>
      <c r="BE1236" s="128">
        <f>BD1236/$AS1236</f>
        <v>0</v>
      </c>
      <c r="BF1236" s="130">
        <f>IF(BG1236&gt;0,1,0)</f>
        <v>0</v>
      </c>
      <c r="BG1236" s="137">
        <f>VLOOKUP($E1236,[2]Current!$A:$AC,27,FALSE)</f>
        <v>0</v>
      </c>
      <c r="BH1236" s="128">
        <f>BG1236/$AS1236</f>
        <v>0</v>
      </c>
      <c r="BI1236" s="130">
        <f>IF(BJ1236&gt;0,1,0)</f>
        <v>0</v>
      </c>
      <c r="BJ1236" s="128">
        <f>VLOOKUP($E1236,[2]Current!$A:$AC,28,FALSE)</f>
        <v>0</v>
      </c>
      <c r="BK1236" s="128">
        <f>BJ1236/$AS1236</f>
        <v>0</v>
      </c>
      <c r="BL1236" s="128">
        <f>IF(BM1236&gt;0,1,0)</f>
        <v>0</v>
      </c>
      <c r="BM1236" s="128">
        <f>SUM(BR1236,BU1236,BX1236,CA1236,CD1236)</f>
        <v>0</v>
      </c>
      <c r="BN1236" s="131">
        <f>SUM(BT1236,BW1236,BZ1236,CC1236,CF1236)</f>
        <v>0</v>
      </c>
      <c r="BO1236" s="128">
        <f>IF(BP1236&gt;0,1,0)</f>
        <v>0</v>
      </c>
      <c r="BP1236" s="128">
        <f>BM1236+CJ1236</f>
        <v>0</v>
      </c>
      <c r="BQ1236" s="128">
        <f>BN1236+CL1236</f>
        <v>0</v>
      </c>
      <c r="BR1236" s="130">
        <f>IF(BS1236&gt;0,1,0)</f>
        <v>0</v>
      </c>
      <c r="BS1236" s="128">
        <f>VLOOKUP($E1236,[2]Current!$A:$AC,12,FALSE)</f>
        <v>0</v>
      </c>
      <c r="BT1236" s="137">
        <f>BS1236/$AS1236</f>
        <v>0</v>
      </c>
      <c r="BU1236" s="130">
        <f>IF(BV1236&gt;0,1,0)</f>
        <v>0</v>
      </c>
      <c r="BV1236" s="128">
        <f>VLOOKUP($E1236,[2]Current!$A:$AC,13,FALSE)</f>
        <v>0</v>
      </c>
      <c r="BW1236" s="128">
        <f>BV1236/$AS1236</f>
        <v>0</v>
      </c>
      <c r="BX1236" s="130">
        <f>IF(BY1236&gt;0,1,0)</f>
        <v>0</v>
      </c>
      <c r="BY1236" s="128">
        <f>VLOOKUP($E1236,[2]Current!$A:$AC,14,FALSE)</f>
        <v>0</v>
      </c>
      <c r="BZ1236" s="128">
        <f>BY1236/$AS1236</f>
        <v>0</v>
      </c>
      <c r="CA1236" s="130">
        <f>IF(CB1236&gt;0,1,0)</f>
        <v>0</v>
      </c>
      <c r="CB1236" s="128">
        <f>VLOOKUP($E1236,[2]Current!$A:$AC,15,FALSE)</f>
        <v>0</v>
      </c>
      <c r="CC1236" s="128">
        <f>CB1236/$AS1236</f>
        <v>0</v>
      </c>
      <c r="CD1236" s="174">
        <f>IF(CE1236&gt;0,1,0)</f>
        <v>0</v>
      </c>
      <c r="CE1236" s="128">
        <f>VLOOKUP($E1236,[2]Current!$A:$AC,16,FALSE)</f>
        <v>0</v>
      </c>
      <c r="CF1236" s="128">
        <f>CE1236/$AS1236</f>
        <v>0</v>
      </c>
      <c r="CG1236" s="18"/>
      <c r="CH1236" s="18"/>
      <c r="CI1236" s="18"/>
      <c r="CJ1236" s="130">
        <f>IF(CK1236&gt;0,1,0)</f>
        <v>0</v>
      </c>
      <c r="CK1236" s="128">
        <f>VLOOKUP($E1236,[2]Current!$A:$AC,18,FALSE)</f>
        <v>0</v>
      </c>
      <c r="CL1236" s="128">
        <f>CK1236/$AS1236</f>
        <v>0</v>
      </c>
      <c r="CM1236" s="16"/>
      <c r="CN1236" s="16"/>
      <c r="CO1236" s="16"/>
      <c r="CP1236" s="16"/>
      <c r="CQ1236" s="16"/>
      <c r="CR1236" s="16"/>
      <c r="CS1236" s="130">
        <f>IF(CU1236&gt;0,1,0)</f>
        <v>0</v>
      </c>
      <c r="CT1236" s="16"/>
      <c r="CU1236" s="128">
        <f>VLOOKUP($E1236,[2]Current!$A:$AC,17,FALSE)</f>
        <v>0</v>
      </c>
      <c r="CV1236" s="128">
        <f>CU1236/$AS1236</f>
        <v>0</v>
      </c>
      <c r="CW1236" s="18"/>
      <c r="CX1236" s="18"/>
      <c r="CY1236" s="18"/>
      <c r="CZ1236" s="16"/>
      <c r="DA1236" s="16"/>
      <c r="DB1236" s="16"/>
      <c r="DC1236" s="16"/>
      <c r="DD1236" s="16"/>
      <c r="DE1236" s="16"/>
      <c r="DF1236" s="16" t="e">
        <f>VLOOKUP(K1236,'[3]RNA Seq summary tables'!$V$3:$V$99,1,FALSE)</f>
        <v>#N/A</v>
      </c>
      <c r="DG1236" s="16"/>
      <c r="DH1236" s="16"/>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18"/>
      <c r="EQ1236" s="18"/>
      <c r="ER1236" s="18"/>
      <c r="ES1236" s="18"/>
      <c r="ET1236" s="18"/>
      <c r="EU1236" s="18"/>
      <c r="EV1236" s="18"/>
      <c r="EW1236" s="18"/>
      <c r="EX1236" s="18"/>
      <c r="EY1236" s="18"/>
      <c r="EZ1236" s="18"/>
      <c r="FA1236" s="18"/>
      <c r="FB1236" s="18"/>
      <c r="FC1236" s="18"/>
      <c r="FD1236" s="18"/>
      <c r="FE1236" s="18"/>
      <c r="FF1236" s="18"/>
      <c r="FG1236" s="18"/>
      <c r="FH1236" s="18"/>
      <c r="FI1236" s="18"/>
      <c r="FJ1236" s="18"/>
      <c r="FK1236" s="18"/>
      <c r="FL1236" s="18"/>
      <c r="FM1236" s="18"/>
      <c r="FN1236" s="18"/>
      <c r="FO1236" s="18"/>
      <c r="FP1236" s="18"/>
      <c r="FQ1236" s="18"/>
      <c r="FR1236" s="18"/>
      <c r="FS1236" s="18"/>
      <c r="FT1236" s="18"/>
      <c r="FU1236" s="18"/>
      <c r="FV1236" s="18"/>
      <c r="FW1236" s="18"/>
      <c r="FX1236" s="18"/>
      <c r="FY1236" s="18"/>
      <c r="FZ1236" s="18"/>
      <c r="GA1236" s="18"/>
      <c r="GB1236" s="18"/>
      <c r="GC1236" s="18"/>
      <c r="GD1236" s="18"/>
      <c r="GE1236" s="18"/>
      <c r="GF1236" s="18"/>
      <c r="GG1236" s="18"/>
      <c r="GH1236" s="18"/>
      <c r="GI1236" s="18"/>
      <c r="GJ1236" s="18"/>
      <c r="GK1236" s="18"/>
      <c r="GL1236" s="18"/>
      <c r="GM1236" s="18"/>
      <c r="GN1236" s="18"/>
      <c r="GO1236" s="18"/>
      <c r="GP1236" s="18"/>
      <c r="GQ1236" s="18"/>
      <c r="GR1236" s="18"/>
      <c r="GS1236" s="18"/>
      <c r="GT1236" s="18"/>
      <c r="GU1236" s="18"/>
      <c r="GV1236" s="18"/>
      <c r="GW1236" s="18"/>
      <c r="GX1236" s="18"/>
      <c r="GY1236" s="18"/>
      <c r="GZ1236" s="18"/>
      <c r="HA1236" s="18"/>
      <c r="HB1236" s="18"/>
      <c r="HC1236" s="18"/>
      <c r="HD1236" s="18"/>
      <c r="HE1236" s="18"/>
      <c r="HF1236" s="18"/>
      <c r="HG1236" s="18"/>
      <c r="HH1236" s="18"/>
      <c r="HI1236" s="18"/>
      <c r="HJ1236" s="18"/>
      <c r="HK1236" s="18"/>
      <c r="HL1236" s="18"/>
      <c r="HM1236" s="18"/>
      <c r="HN1236" s="18"/>
      <c r="HO1236" s="18"/>
      <c r="HP1236" s="18"/>
      <c r="HQ1236" s="18"/>
      <c r="HR1236" s="18"/>
      <c r="HS1236" s="18"/>
      <c r="HT1236" s="18"/>
      <c r="HU1236" s="18"/>
      <c r="HV1236" s="18"/>
      <c r="HW1236" s="18"/>
      <c r="HX1236" s="18"/>
      <c r="HY1236" s="18"/>
      <c r="HZ1236" s="18"/>
      <c r="IA1236" s="18"/>
      <c r="IB1236" s="18"/>
      <c r="IC1236" s="18"/>
      <c r="ID1236" s="18"/>
      <c r="IE1236" s="18"/>
      <c r="IF1236" s="18"/>
      <c r="IG1236" s="18"/>
      <c r="IH1236" s="18"/>
      <c r="II1236" s="18"/>
      <c r="IJ1236" s="18"/>
      <c r="IK1236" s="18"/>
      <c r="IL1236" s="18"/>
      <c r="IM1236" s="18"/>
      <c r="IN1236" s="18"/>
      <c r="IO1236" s="18"/>
      <c r="IP1236" s="18"/>
      <c r="IQ1236" s="18"/>
      <c r="IR1236" s="18"/>
      <c r="IS1236" s="18"/>
      <c r="IT1236" s="18"/>
      <c r="IU1236" s="18"/>
      <c r="IV1236" s="18"/>
      <c r="IW1236" s="18"/>
      <c r="IX1236" s="18"/>
      <c r="IY1236" s="18"/>
      <c r="IZ1236" s="18"/>
      <c r="JA1236" s="18"/>
      <c r="JB1236" s="18"/>
      <c r="JC1236" s="18"/>
      <c r="JD1236" s="18"/>
      <c r="JE1236" s="18"/>
      <c r="JF1236" s="18"/>
      <c r="JG1236" s="18"/>
      <c r="JH1236" s="18"/>
      <c r="JI1236" s="18"/>
      <c r="JJ1236" s="18"/>
      <c r="JK1236" s="18"/>
      <c r="JL1236" s="18"/>
      <c r="JM1236" s="18"/>
      <c r="JN1236" s="18"/>
      <c r="JO1236" s="16"/>
      <c r="JP1236" s="16"/>
      <c r="JQ1236" s="16"/>
      <c r="JR1236" s="16"/>
      <c r="JS1236" s="16"/>
      <c r="JT1236" s="16"/>
      <c r="JU1236" s="16"/>
      <c r="JV1236" s="16"/>
      <c r="JW1236" s="16"/>
      <c r="JX1236" s="16"/>
      <c r="JY1236" s="16"/>
      <c r="JZ1236" s="16"/>
      <c r="KA1236" s="16"/>
      <c r="KB1236" s="16"/>
    </row>
    <row r="1237" spans="1:288" s="26" customFormat="1" x14ac:dyDescent="0.2">
      <c r="A1237" s="18"/>
      <c r="B1237" s="18">
        <v>2017</v>
      </c>
      <c r="C1237" s="37">
        <v>42968</v>
      </c>
      <c r="D1237" s="37" t="str">
        <f>CONCATENATE(J1237,"-",C1237)</f>
        <v>1367-42968</v>
      </c>
      <c r="E1237" s="142" t="str">
        <f>CONCATENATE(T1237,"-",U1237,"-",C1237)</f>
        <v>HW2-H7-42968</v>
      </c>
      <c r="F1237" s="20" t="s">
        <v>106</v>
      </c>
      <c r="G1237" s="37" t="s">
        <v>107</v>
      </c>
      <c r="H1237" s="18"/>
      <c r="I1237" s="16"/>
      <c r="J1237" s="36">
        <v>1367</v>
      </c>
      <c r="K1237" s="36">
        <v>2227</v>
      </c>
      <c r="L1237" s="18">
        <v>0</v>
      </c>
      <c r="M1237" s="21">
        <f>VLOOKUP($K1237,'[4]blood tubes 2017'!$D$1:$L$947,8,FALSE)</f>
        <v>0</v>
      </c>
      <c r="N1237" s="15">
        <v>0</v>
      </c>
      <c r="O1237" s="15" t="s">
        <v>214</v>
      </c>
      <c r="P1237" s="16"/>
      <c r="Q1237" s="16">
        <f t="shared" si="0"/>
        <v>0</v>
      </c>
      <c r="R1237" s="16" t="str">
        <f t="shared" si="5"/>
        <v/>
      </c>
      <c r="S1237" s="18"/>
      <c r="T1237" s="18" t="s">
        <v>129</v>
      </c>
      <c r="U1237" s="18" t="s">
        <v>202</v>
      </c>
      <c r="V1237" s="18" t="s">
        <v>114</v>
      </c>
      <c r="W1237" s="16">
        <f>AI1237/AG1237</f>
        <v>0.75862068965517238</v>
      </c>
      <c r="X1237" s="18" t="s">
        <v>115</v>
      </c>
      <c r="Y1237" s="18" t="s">
        <v>110</v>
      </c>
      <c r="Z1237" s="18">
        <v>3</v>
      </c>
      <c r="AA1237" s="18"/>
      <c r="AB1237" s="18"/>
      <c r="AC1237" s="18"/>
      <c r="AD1237" s="18"/>
      <c r="AE1237" s="18" t="s">
        <v>116</v>
      </c>
      <c r="AF1237" s="18" t="s">
        <v>116</v>
      </c>
      <c r="AG1237" s="18">
        <f>AH1237-AI1237</f>
        <v>87</v>
      </c>
      <c r="AH1237" s="18">
        <v>153</v>
      </c>
      <c r="AI1237" s="18">
        <v>66</v>
      </c>
      <c r="AJ1237" s="18"/>
      <c r="AK1237" s="18">
        <v>20</v>
      </c>
      <c r="AL1237" s="18">
        <v>1</v>
      </c>
      <c r="AM1237" s="18">
        <v>0</v>
      </c>
      <c r="AN1237" s="18">
        <v>0</v>
      </c>
      <c r="AO1237" s="18">
        <v>1</v>
      </c>
      <c r="AP1237" s="18">
        <f>SUM(AL1237:AN1237)</f>
        <v>1</v>
      </c>
      <c r="AQ1237" s="18">
        <v>1.661</v>
      </c>
      <c r="AR1237" s="18">
        <f>AP1237-1.472</f>
        <v>-0.47199999999999998</v>
      </c>
      <c r="AS1237" s="18">
        <f>AQ1237-1.472</f>
        <v>0.18900000000000006</v>
      </c>
      <c r="AT1237" s="16" t="e">
        <f>VLOOKUP(E1237,[2]Current!$A$1:$W$435,7,FALSE)</f>
        <v>#N/A</v>
      </c>
      <c r="AU1237" s="16">
        <v>0</v>
      </c>
      <c r="AV1237" s="18"/>
      <c r="AW1237" s="18"/>
      <c r="AX1237" s="18"/>
      <c r="AY1237" s="18"/>
      <c r="AZ1237" s="18"/>
      <c r="BA1237" s="18"/>
      <c r="BB1237" s="18"/>
      <c r="BC1237" s="18"/>
      <c r="BD1237" s="18"/>
      <c r="BE1237" s="18"/>
      <c r="BF1237" s="18"/>
      <c r="BG1237" s="78"/>
      <c r="BH1237" s="18"/>
      <c r="BI1237" s="18"/>
      <c r="BJ1237" s="18"/>
      <c r="BK1237" s="18"/>
      <c r="BL1237" s="18"/>
      <c r="BM1237" s="18"/>
      <c r="BN1237" s="18"/>
      <c r="BO1237" s="18"/>
      <c r="BP1237" s="18"/>
      <c r="BQ1237" s="18"/>
      <c r="BR1237" s="18"/>
      <c r="BS1237" s="18"/>
      <c r="BT1237" s="78"/>
      <c r="BU1237" s="18"/>
      <c r="BV1237" s="18"/>
      <c r="BW1237" s="18"/>
      <c r="BX1237" s="18"/>
      <c r="BY1237" s="18"/>
      <c r="BZ1237" s="18"/>
      <c r="CA1237" s="18"/>
      <c r="CB1237" s="18"/>
      <c r="CC1237" s="18"/>
      <c r="CD1237" s="7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6" t="e">
        <f>VLOOKUP(K1237,'[3]RNA Seq summary tables'!$V$3:$V$99,1,FALSE)</f>
        <v>#N/A</v>
      </c>
      <c r="DG1237" s="16"/>
      <c r="DH1237" s="16"/>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18"/>
      <c r="EQ1237" s="18"/>
      <c r="ER1237" s="18"/>
      <c r="ES1237" s="18"/>
      <c r="ET1237" s="18"/>
      <c r="EU1237" s="18"/>
      <c r="EV1237" s="18"/>
      <c r="EW1237" s="18"/>
      <c r="EX1237" s="18"/>
      <c r="EY1237" s="18"/>
      <c r="EZ1237" s="18"/>
      <c r="FA1237" s="18"/>
      <c r="FB1237" s="18"/>
      <c r="FC1237" s="18"/>
      <c r="FD1237" s="18"/>
      <c r="FE1237" s="18"/>
      <c r="FF1237" s="18"/>
      <c r="FG1237" s="18"/>
      <c r="FH1237" s="18"/>
      <c r="FI1237" s="18"/>
      <c r="FJ1237" s="18"/>
      <c r="FK1237" s="18"/>
      <c r="FL1237" s="18"/>
      <c r="FM1237" s="18"/>
      <c r="FN1237" s="18"/>
      <c r="FO1237" s="18"/>
      <c r="FP1237" s="18"/>
      <c r="FQ1237" s="18"/>
      <c r="FR1237" s="18"/>
      <c r="FS1237" s="18"/>
      <c r="FT1237" s="18"/>
      <c r="FU1237" s="18"/>
      <c r="FV1237" s="18"/>
      <c r="FW1237" s="18"/>
      <c r="FX1237" s="18"/>
      <c r="FY1237" s="18"/>
      <c r="FZ1237" s="18"/>
      <c r="GA1237" s="18"/>
      <c r="GB1237" s="18"/>
      <c r="GC1237" s="18"/>
      <c r="GD1237" s="18"/>
      <c r="GE1237" s="18"/>
      <c r="GF1237" s="18"/>
      <c r="GG1237" s="18"/>
      <c r="GH1237" s="18"/>
      <c r="GI1237" s="18"/>
      <c r="GJ1237" s="18"/>
      <c r="GK1237" s="18"/>
      <c r="GL1237" s="18"/>
      <c r="GM1237" s="18"/>
      <c r="GN1237" s="18"/>
      <c r="GO1237" s="18"/>
      <c r="GP1237" s="18"/>
      <c r="GQ1237" s="18"/>
      <c r="GR1237" s="18"/>
      <c r="GS1237" s="18"/>
      <c r="GT1237" s="18"/>
      <c r="GU1237" s="18"/>
      <c r="GV1237" s="18"/>
      <c r="GW1237" s="18"/>
      <c r="GX1237" s="18"/>
      <c r="GY1237" s="18"/>
      <c r="GZ1237" s="18"/>
      <c r="HA1237" s="18"/>
      <c r="HB1237" s="18"/>
      <c r="HC1237" s="18"/>
      <c r="HD1237" s="18"/>
      <c r="HE1237" s="18"/>
      <c r="HF1237" s="18"/>
      <c r="HG1237" s="18"/>
      <c r="HH1237" s="18"/>
      <c r="HI1237" s="18"/>
      <c r="HJ1237" s="18"/>
      <c r="HK1237" s="18"/>
      <c r="HL1237" s="18"/>
      <c r="HM1237" s="18"/>
      <c r="HN1237" s="18"/>
      <c r="HO1237" s="18"/>
      <c r="HP1237" s="18"/>
      <c r="HQ1237" s="18"/>
      <c r="HR1237" s="18"/>
      <c r="HS1237" s="18"/>
      <c r="HT1237" s="18"/>
      <c r="HU1237" s="18"/>
      <c r="HV1237" s="18"/>
      <c r="HW1237" s="18"/>
      <c r="HX1237" s="18"/>
      <c r="HY1237" s="18"/>
      <c r="HZ1237" s="18"/>
      <c r="IA1237" s="18"/>
      <c r="IB1237" s="18"/>
      <c r="IC1237" s="18"/>
      <c r="ID1237" s="18"/>
      <c r="IE1237" s="18"/>
      <c r="IF1237" s="18"/>
      <c r="IG1237" s="18"/>
      <c r="IH1237" s="18"/>
      <c r="II1237" s="18"/>
      <c r="IJ1237" s="18"/>
      <c r="IK1237" s="18"/>
      <c r="IL1237" s="18"/>
      <c r="IM1237" s="18"/>
      <c r="IN1237" s="18"/>
      <c r="IO1237" s="18"/>
      <c r="IP1237" s="18"/>
      <c r="IQ1237" s="18"/>
      <c r="IR1237" s="18"/>
      <c r="IS1237" s="18"/>
      <c r="IT1237" s="18"/>
      <c r="IU1237" s="18"/>
      <c r="IV1237" s="18"/>
      <c r="IW1237" s="18"/>
      <c r="IX1237" s="18"/>
      <c r="IY1237" s="18"/>
      <c r="IZ1237" s="18"/>
      <c r="JA1237" s="18"/>
      <c r="JB1237" s="18"/>
      <c r="JC1237" s="18"/>
      <c r="JD1237" s="18"/>
      <c r="JE1237" s="18"/>
      <c r="JF1237" s="18"/>
      <c r="JG1237" s="18"/>
      <c r="JH1237" s="18"/>
      <c r="JI1237" s="18"/>
      <c r="JJ1237" s="18"/>
      <c r="JK1237" s="18"/>
      <c r="JL1237" s="18"/>
      <c r="JM1237" s="18"/>
      <c r="JN1237" s="18"/>
      <c r="JO1237" s="16"/>
      <c r="JP1237" s="16"/>
      <c r="JQ1237" s="16"/>
      <c r="JR1237" s="16"/>
      <c r="JS1237" s="16"/>
      <c r="JT1237" s="16"/>
      <c r="JU1237" s="16"/>
      <c r="JV1237" s="16"/>
      <c r="JW1237" s="16"/>
      <c r="JX1237" s="16"/>
      <c r="JY1237" s="16"/>
      <c r="JZ1237" s="16"/>
      <c r="KA1237" s="16"/>
      <c r="KB1237" s="16"/>
    </row>
    <row r="1238" spans="1:288" x14ac:dyDescent="0.2">
      <c r="B1238" s="18">
        <v>2017</v>
      </c>
      <c r="C1238" s="65">
        <v>42972</v>
      </c>
      <c r="D1238" s="65" t="str">
        <f>CONCATENATE(J1238,"-",C1238)</f>
        <v>1369-42972</v>
      </c>
      <c r="E1238" s="142" t="str">
        <f>CONCATENATE(T1238,"-",U1238,"-",C1238)</f>
        <v>SP1-C2-42972</v>
      </c>
      <c r="F1238" s="20" t="s">
        <v>106</v>
      </c>
      <c r="G1238" s="65" t="s">
        <v>107</v>
      </c>
      <c r="H1238" s="25"/>
      <c r="J1238" s="42">
        <v>1369</v>
      </c>
      <c r="K1238" s="42">
        <v>2231</v>
      </c>
      <c r="L1238" s="18">
        <v>0</v>
      </c>
      <c r="M1238" s="21">
        <f>VLOOKUP($K1238,'[4]blood tubes 2017'!$D$1:$L$947,8,FALSE)</f>
        <v>0</v>
      </c>
      <c r="N1238" s="15">
        <v>0</v>
      </c>
      <c r="O1238" s="15" t="s">
        <v>214</v>
      </c>
      <c r="Q1238" s="16">
        <f t="shared" si="0"/>
        <v>0</v>
      </c>
      <c r="R1238" s="16" t="str">
        <f t="shared" si="5"/>
        <v/>
      </c>
      <c r="S1238" s="25"/>
      <c r="T1238" s="25" t="s">
        <v>140</v>
      </c>
      <c r="U1238" s="25" t="s">
        <v>162</v>
      </c>
      <c r="V1238" s="25" t="s">
        <v>114</v>
      </c>
      <c r="W1238" s="16">
        <f>AI1238/AG1238</f>
        <v>0.88235294117647056</v>
      </c>
      <c r="X1238" s="25" t="s">
        <v>115</v>
      </c>
      <c r="Y1238" s="25" t="s">
        <v>110</v>
      </c>
      <c r="Z1238" s="25">
        <v>3</v>
      </c>
      <c r="AA1238" s="25"/>
      <c r="AB1238" s="25"/>
      <c r="AC1238" s="25"/>
      <c r="AD1238" s="25"/>
      <c r="AE1238" s="25" t="s">
        <v>123</v>
      </c>
      <c r="AF1238" s="25" t="s">
        <v>123</v>
      </c>
      <c r="AG1238" s="25">
        <f>AH1238-AI1238</f>
        <v>85</v>
      </c>
      <c r="AH1238" s="25">
        <v>160</v>
      </c>
      <c r="AI1238" s="25">
        <v>75</v>
      </c>
      <c r="AJ1238" s="25"/>
      <c r="AK1238" s="25">
        <v>18.5</v>
      </c>
      <c r="AL1238" s="25">
        <v>0</v>
      </c>
      <c r="AM1238" s="25">
        <v>0</v>
      </c>
      <c r="AN1238" s="25">
        <v>0</v>
      </c>
      <c r="AO1238" s="25">
        <v>0</v>
      </c>
      <c r="AP1238" s="25">
        <f>SUM(AL1238:AN1238)</f>
        <v>0</v>
      </c>
      <c r="AQ1238" s="25">
        <v>1.659</v>
      </c>
      <c r="AR1238" s="25">
        <f>AP1238-1.472</f>
        <v>-1.472</v>
      </c>
      <c r="AS1238" s="25">
        <f>AQ1238-1.472</f>
        <v>0.18700000000000006</v>
      </c>
      <c r="AT1238" s="16" t="e">
        <f>VLOOKUP(E1238,[2]Current!$A$1:$W$435,7,FALSE)</f>
        <v>#N/A</v>
      </c>
      <c r="AU1238" s="16">
        <v>0</v>
      </c>
      <c r="AV1238" s="25"/>
      <c r="AW1238" s="25"/>
      <c r="AX1238" s="25"/>
      <c r="AY1238" s="25"/>
      <c r="AZ1238" s="18"/>
      <c r="BA1238" s="25"/>
      <c r="BB1238" s="25"/>
      <c r="BC1238" s="18"/>
      <c r="BD1238" s="25"/>
      <c r="BE1238" s="25"/>
      <c r="BF1238" s="18"/>
      <c r="BG1238" s="78"/>
      <c r="BH1238" s="25"/>
      <c r="BI1238" s="18"/>
      <c r="BJ1238" s="25"/>
      <c r="BK1238" s="25"/>
      <c r="BL1238" s="18"/>
      <c r="BM1238" s="18"/>
      <c r="BN1238" s="18"/>
      <c r="BO1238" s="18"/>
      <c r="BP1238" s="18"/>
      <c r="BQ1238" s="18"/>
      <c r="BR1238" s="18"/>
      <c r="BS1238" s="25"/>
      <c r="BT1238" s="78"/>
      <c r="BU1238" s="18"/>
      <c r="BV1238" s="25"/>
      <c r="BW1238" s="18"/>
      <c r="BX1238" s="18"/>
      <c r="BY1238" s="25"/>
      <c r="BZ1238" s="18"/>
      <c r="CA1238" s="18"/>
      <c r="CB1238" s="25"/>
      <c r="CC1238" s="25"/>
      <c r="CD1238" s="78"/>
      <c r="CE1238" s="25"/>
      <c r="CF1238" s="25"/>
      <c r="CG1238" s="25"/>
      <c r="CH1238" s="25"/>
      <c r="CI1238" s="25"/>
      <c r="CJ1238" s="25"/>
      <c r="CK1238" s="25"/>
      <c r="CL1238" s="25"/>
      <c r="CM1238" s="25"/>
      <c r="CN1238" s="25"/>
      <c r="CO1238" s="25"/>
      <c r="CP1238" s="25"/>
      <c r="CQ1238" s="25"/>
      <c r="CR1238" s="25"/>
      <c r="CS1238" s="18"/>
      <c r="CT1238" s="18"/>
      <c r="CU1238" s="18"/>
      <c r="CV1238" s="25"/>
      <c r="CW1238" s="18"/>
      <c r="CX1238" s="25"/>
      <c r="CY1238" s="25"/>
      <c r="CZ1238" s="25"/>
      <c r="DA1238" s="25"/>
      <c r="DB1238" s="25"/>
      <c r="DC1238" s="25"/>
      <c r="DD1238" s="25"/>
      <c r="DE1238" s="25"/>
      <c r="DF1238" s="16" t="e">
        <f>VLOOKUP(K1238,'[3]RNA Seq summary tables'!$V$3:$V$99,1,FALSE)</f>
        <v>#N/A</v>
      </c>
      <c r="DI1238" s="25"/>
      <c r="DJ1238" s="25"/>
      <c r="DK1238" s="25"/>
      <c r="DL1238" s="25"/>
      <c r="DM1238" s="25"/>
      <c r="DN1238" s="25"/>
      <c r="DO1238" s="25"/>
      <c r="DP1238" s="25"/>
      <c r="DQ1238" s="25"/>
      <c r="DR1238" s="25"/>
      <c r="DS1238" s="25"/>
      <c r="DT1238" s="25"/>
      <c r="DU1238" s="25"/>
      <c r="DV1238" s="25"/>
      <c r="DW1238" s="25"/>
      <c r="DX1238" s="25"/>
      <c r="DY1238" s="25"/>
      <c r="DZ1238" s="25"/>
      <c r="EA1238" s="25"/>
      <c r="EB1238" s="25"/>
      <c r="EC1238" s="25"/>
      <c r="ED1238" s="25"/>
      <c r="EE1238" s="25"/>
    </row>
    <row r="1239" spans="1:288" x14ac:dyDescent="0.2">
      <c r="B1239" s="18">
        <v>2017</v>
      </c>
      <c r="C1239" s="37">
        <v>42972</v>
      </c>
      <c r="D1239" s="37" t="str">
        <f>CONCATENATE(J1239,"-",C1239)</f>
        <v>1371-42972</v>
      </c>
      <c r="E1239" s="20" t="str">
        <f>CONCATENATE(T1239,"-",U1239,"-",C1239)</f>
        <v>SP1-E1-42972</v>
      </c>
      <c r="F1239" s="20" t="s">
        <v>106</v>
      </c>
      <c r="G1239" s="37" t="s">
        <v>107</v>
      </c>
      <c r="H1239" s="18"/>
      <c r="I1239" s="16">
        <v>0</v>
      </c>
      <c r="J1239" s="36">
        <v>1371</v>
      </c>
      <c r="K1239" s="36">
        <v>2234</v>
      </c>
      <c r="L1239" s="18">
        <v>0</v>
      </c>
      <c r="M1239" s="21">
        <f>VLOOKUP($K1239,'[4]blood tubes 2017'!$D$1:$L$947,8,FALSE)</f>
        <v>0</v>
      </c>
      <c r="N1239" s="15">
        <v>0</v>
      </c>
      <c r="O1239" s="15" t="s">
        <v>214</v>
      </c>
      <c r="Q1239" s="16">
        <f t="shared" si="0"/>
        <v>0</v>
      </c>
      <c r="R1239" s="16" t="str">
        <f t="shared" si="5"/>
        <v/>
      </c>
      <c r="S1239" s="18"/>
      <c r="T1239" s="18" t="s">
        <v>140</v>
      </c>
      <c r="U1239" s="18" t="s">
        <v>222</v>
      </c>
      <c r="V1239" s="18" t="s">
        <v>114</v>
      </c>
      <c r="W1239" s="16">
        <f>AI1239/AG1239</f>
        <v>0.84782608695652173</v>
      </c>
      <c r="X1239" s="18" t="s">
        <v>115</v>
      </c>
      <c r="Y1239" s="18" t="s">
        <v>110</v>
      </c>
      <c r="Z1239" s="18">
        <v>3</v>
      </c>
      <c r="AA1239" s="18"/>
      <c r="AB1239" s="18"/>
      <c r="AC1239" s="18"/>
      <c r="AD1239" s="18"/>
      <c r="AE1239" s="18" t="s">
        <v>116</v>
      </c>
      <c r="AF1239" s="18" t="s">
        <v>116</v>
      </c>
      <c r="AG1239" s="18">
        <f>AH1239-AI1239</f>
        <v>92</v>
      </c>
      <c r="AH1239" s="18">
        <v>170</v>
      </c>
      <c r="AI1239" s="18">
        <v>78</v>
      </c>
      <c r="AJ1239" s="18"/>
      <c r="AK1239" s="18">
        <v>25</v>
      </c>
      <c r="AL1239" s="18">
        <v>0</v>
      </c>
      <c r="AM1239" s="18">
        <v>0</v>
      </c>
      <c r="AN1239" s="18">
        <v>0</v>
      </c>
      <c r="AO1239" s="18">
        <v>0</v>
      </c>
      <c r="AP1239" s="18">
        <f>SUM(AL1239:AN1239)</f>
        <v>0</v>
      </c>
      <c r="AQ1239" s="18">
        <v>1.6739999999999999</v>
      </c>
      <c r="AR1239" s="18">
        <f>AP1239-1.472</f>
        <v>-1.472</v>
      </c>
      <c r="AS1239" s="18">
        <f>AQ1239-1.472</f>
        <v>0.20199999999999996</v>
      </c>
      <c r="AT1239" s="18" t="str">
        <f>VLOOKUP(K1239,'[5]FECs - good data'!$C$1:$P$575,13,FALSE)</f>
        <v>SB</v>
      </c>
      <c r="AU1239" s="18"/>
      <c r="AV1239" s="18"/>
      <c r="AW1239" s="18">
        <f>IF(AX1239&gt;0,1,0)</f>
        <v>1</v>
      </c>
      <c r="AX1239" s="18">
        <f>SUM(BA1239,BM1239,CT1239)</f>
        <v>1</v>
      </c>
      <c r="AY1239" s="18">
        <f>SUM(BB1239,BN1239,CV1239)</f>
        <v>485.14851485148523</v>
      </c>
      <c r="AZ1239" s="18">
        <f>IF(BA1239&gt;0,1,0)</f>
        <v>0</v>
      </c>
      <c r="BA1239" s="18">
        <f>SUM(BC1239,BF1239,BI1239)</f>
        <v>0</v>
      </c>
      <c r="BB1239" s="18">
        <f>SUM(BE1239,BH1239,BK1239)</f>
        <v>0</v>
      </c>
      <c r="BC1239" s="18">
        <f>IF(BD1239&gt;0,1,0)</f>
        <v>0</v>
      </c>
      <c r="BD1239" s="18">
        <f>VLOOKUP($K1239,'[5]FECs - good data'!$C$1:$Z$574,14,FALSE)</f>
        <v>0</v>
      </c>
      <c r="BE1239" s="18">
        <f>BD1239/AS1239</f>
        <v>0</v>
      </c>
      <c r="BF1239" s="18">
        <f>IF(BG1239&gt;0,1,0)</f>
        <v>0</v>
      </c>
      <c r="BG1239" s="78">
        <f>VLOOKUP($K1239,'[5]FECs - good data'!$C$1:$Z$574,15,FALSE)</f>
        <v>0</v>
      </c>
      <c r="BH1239" s="18">
        <f>BG1239/AS1239</f>
        <v>0</v>
      </c>
      <c r="BI1239" s="18">
        <f>IF(BJ1239&gt;0,1,0)</f>
        <v>0</v>
      </c>
      <c r="BJ1239" s="18">
        <f>VLOOKUP($K1239,'[5]FECs - good data'!$C$1:$Z$574,16,FALSE)</f>
        <v>0</v>
      </c>
      <c r="BK1239" s="18">
        <f>BJ1239/AS1239</f>
        <v>0</v>
      </c>
      <c r="BL1239" s="16">
        <f>IF(BM1239&gt;0,1,0)</f>
        <v>1</v>
      </c>
      <c r="BM1239" s="16">
        <f>SUM(BR1239,BU1239,BX1239,CA1239,CD1239,CG1239,CJ1239,CM1239,CP1239)</f>
        <v>1</v>
      </c>
      <c r="BN1239" s="18">
        <f>SUM(BW1239,BZ1239,CC1239,CF1239,CI1239,CL1239,CO1239,CR1239,BT1239)</f>
        <v>485.14851485148523</v>
      </c>
      <c r="BO1239" s="18">
        <f>IF(BP1239&gt;0,1,0)</f>
        <v>0</v>
      </c>
      <c r="BP1239" s="18">
        <f>SUM(BU1239,BX1239,CA1239,CD1239,BR1239)</f>
        <v>0</v>
      </c>
      <c r="BQ1239" s="18">
        <f>SUM(BZ1239,CC1239,CF1239,BT1239,BW1239)</f>
        <v>0</v>
      </c>
      <c r="BR1239" s="18">
        <f>IF(BS1239&gt;0,1,0)</f>
        <v>0</v>
      </c>
      <c r="BS1239" s="18">
        <f>VLOOKUP($K1239,'[5]FECs - good data'!$C$1:$Z$574,17,FALSE)</f>
        <v>0</v>
      </c>
      <c r="BT1239" s="78">
        <f>BS1239/AS1239</f>
        <v>0</v>
      </c>
      <c r="BU1239" s="18">
        <f>IF(BV1239&gt;0,1,0)</f>
        <v>0</v>
      </c>
      <c r="BV1239" s="18">
        <f>VLOOKUP($K1239,'[5]FECs - good data'!$C$1:$Z$574,18,FALSE)</f>
        <v>0</v>
      </c>
      <c r="BW1239" s="18">
        <f>BV1239/AS1239</f>
        <v>0</v>
      </c>
      <c r="BX1239" s="18">
        <f>IF(BY1239&gt;0,1,0)</f>
        <v>0</v>
      </c>
      <c r="BY1239" s="18">
        <f>VLOOKUP($K1239,'[5]FECs - good data'!$C$1:$Z$574,19,FALSE)</f>
        <v>0</v>
      </c>
      <c r="BZ1239" s="18">
        <f>BY1239/AS1239</f>
        <v>0</v>
      </c>
      <c r="CA1239" s="18">
        <f>IF(CB1239&gt;0,1,0)</f>
        <v>0</v>
      </c>
      <c r="CB1239" s="18">
        <f>VLOOKUP($K1239,'[5]FECs - good data'!$C$1:$Z$574,20,FALSE)</f>
        <v>0</v>
      </c>
      <c r="CC1239" s="18">
        <f>CB1239/AS1239</f>
        <v>0</v>
      </c>
      <c r="CD1239" s="78">
        <f>IF(CE1239&gt;0,1,0)</f>
        <v>0</v>
      </c>
      <c r="CE1239" s="18">
        <f>VLOOKUP($K1239,'[5]FECs - good data'!$C$1:$Z$574,21,FALSE)</f>
        <v>0</v>
      </c>
      <c r="CF1239" s="18">
        <f>CE1239/AS1239</f>
        <v>0</v>
      </c>
      <c r="CG1239" s="18">
        <f>IF(CH1239&gt;0,1,0)</f>
        <v>0</v>
      </c>
      <c r="CH1239" s="18">
        <f>VLOOKUP($K1239,'[5]FECs - good data'!$C$1:$Z$574,22,FALSE)</f>
        <v>0</v>
      </c>
      <c r="CI1239" s="18">
        <f>CH1239/AS1239</f>
        <v>0</v>
      </c>
      <c r="CJ1239" s="18">
        <f>IF(CK1239&gt;0,1,0)</f>
        <v>1</v>
      </c>
      <c r="CK1239" s="18">
        <f>VLOOKUP($K1239,'[5]FECs - good data'!$C$1:$Z$674,24,FALSE)</f>
        <v>98</v>
      </c>
      <c r="CL1239" s="18">
        <f>CK1239/AS1239</f>
        <v>485.14851485148523</v>
      </c>
      <c r="CM1239" s="18"/>
      <c r="CN1239" s="18"/>
      <c r="CO1239" s="18"/>
      <c r="CP1239" s="18"/>
      <c r="CQ1239" s="18"/>
      <c r="CR1239" s="18"/>
      <c r="CS1239" s="18">
        <f>IF(CT1239&gt;0,1,0)</f>
        <v>0</v>
      </c>
      <c r="CT1239" s="18">
        <f>SUM(CW1239+CZ1239,DC1239)</f>
        <v>0</v>
      </c>
      <c r="CU1239" s="18"/>
      <c r="CV1239" s="18">
        <f>SUM(CY1239,DB1239,DE1239)</f>
        <v>0</v>
      </c>
      <c r="CW1239" s="18">
        <f>IF(CX1239&gt;0,1,0)</f>
        <v>0</v>
      </c>
      <c r="CX1239" s="18">
        <f>VLOOKUP($K1239,'[5]FECs - good data'!$C$1:$Z$574,22,FALSE)</f>
        <v>0</v>
      </c>
      <c r="CY1239" s="18">
        <f>CX1239/AS1239</f>
        <v>0</v>
      </c>
      <c r="CZ1239" s="18">
        <f>IF(DA1239&gt;0,1,0)</f>
        <v>0</v>
      </c>
      <c r="DA1239" s="18">
        <f>VLOOKUP($K1239,'[5]FECs - good data'!$C$1:$Z$5982,23,FALSE)</f>
        <v>0</v>
      </c>
      <c r="DB1239" s="18">
        <f>DA1239/AS1239</f>
        <v>0</v>
      </c>
      <c r="DC1239" s="18">
        <f>IF(DD1239&gt;0,1,0)</f>
        <v>0</v>
      </c>
      <c r="DD1239" s="18">
        <f>VLOOKUP($K1239,'[5]FECs - good data'!$C$1:$Z$574,23,FALSE)</f>
        <v>0</v>
      </c>
      <c r="DE1239" s="18">
        <f>DD1239/AS1239</f>
        <v>0</v>
      </c>
      <c r="DF1239" s="16" t="e">
        <f>VLOOKUP(K1239,'[3]RNA Seq summary tables'!$V$3:$V$99,1,FALSE)</f>
        <v>#N/A</v>
      </c>
      <c r="DI1239" s="18"/>
      <c r="DJ1239" s="18"/>
      <c r="DK1239" s="18"/>
      <c r="DL1239" s="18"/>
      <c r="DM1239" s="18"/>
      <c r="DN1239" s="18"/>
      <c r="DO1239" s="18"/>
      <c r="DP1239" s="18"/>
      <c r="DQ1239" s="18"/>
      <c r="DR1239" s="18"/>
      <c r="DS1239" s="18"/>
    </row>
    <row r="1240" spans="1:288" ht="16" x14ac:dyDescent="0.2">
      <c r="A1240" s="51">
        <v>1</v>
      </c>
      <c r="B1240" s="16">
        <v>2017</v>
      </c>
      <c r="C1240" s="20">
        <v>42972</v>
      </c>
      <c r="D1240" s="20" t="str">
        <f>CONCATENATE(J1240,"-",C1240)</f>
        <v>1374-42972</v>
      </c>
      <c r="E1240" s="37" t="str">
        <f>CONCATENATE(T1240,"-",U1240,"-",C1240)</f>
        <v>SP2-B4-42972</v>
      </c>
      <c r="F1240" s="20" t="s">
        <v>106</v>
      </c>
      <c r="G1240" s="20" t="s">
        <v>107</v>
      </c>
      <c r="H1240" s="16" t="s">
        <v>243</v>
      </c>
      <c r="I1240" s="16">
        <v>0</v>
      </c>
      <c r="J1240" s="21">
        <v>1374</v>
      </c>
      <c r="K1240" s="36" t="s">
        <v>153</v>
      </c>
      <c r="L1240" s="18">
        <v>0</v>
      </c>
      <c r="O1240" s="15" t="s">
        <v>214</v>
      </c>
      <c r="Q1240" s="16">
        <f t="shared" si="0"/>
        <v>0</v>
      </c>
      <c r="R1240" s="16" t="str">
        <f t="shared" si="5"/>
        <v/>
      </c>
      <c r="T1240" s="16" t="s">
        <v>137</v>
      </c>
      <c r="U1240" s="16" t="s">
        <v>144</v>
      </c>
      <c r="V1240" s="16" t="s">
        <v>114</v>
      </c>
      <c r="W1240" s="16">
        <f>AI1240/AG1240</f>
        <v>0.80219780219780223</v>
      </c>
      <c r="X1240" s="16" t="s">
        <v>115</v>
      </c>
      <c r="Y1240" s="16" t="s">
        <v>122</v>
      </c>
      <c r="Z1240" s="16">
        <v>2.9</v>
      </c>
      <c r="AE1240" s="16" t="s">
        <v>123</v>
      </c>
      <c r="AF1240" s="16" t="s">
        <v>123</v>
      </c>
      <c r="AG1240" s="16">
        <f>AH1240-AI1240</f>
        <v>91</v>
      </c>
      <c r="AH1240" s="16">
        <v>164</v>
      </c>
      <c r="AI1240" s="16">
        <v>73</v>
      </c>
      <c r="AK1240" s="16">
        <v>16</v>
      </c>
      <c r="AL1240" s="16">
        <v>0</v>
      </c>
      <c r="AM1240" s="16">
        <v>0</v>
      </c>
      <c r="AN1240" s="16">
        <v>0</v>
      </c>
      <c r="AO1240" s="16">
        <v>0</v>
      </c>
      <c r="AP1240" s="16">
        <f>SUM(AL1240:AN1240)</f>
        <v>0</v>
      </c>
      <c r="AQ1240" s="16">
        <v>1.633</v>
      </c>
      <c r="AR1240" s="16">
        <f>AP1240-1.472</f>
        <v>-1.472</v>
      </c>
      <c r="AS1240" s="16">
        <f>AQ1240-1.472</f>
        <v>0.16100000000000003</v>
      </c>
      <c r="AT1240" s="16" t="str">
        <f>VLOOKUP(E1240,[2]Current!$A$1:$W$435,7,FALSE)</f>
        <v>JY</v>
      </c>
      <c r="AU1240" s="16" t="s">
        <v>1288</v>
      </c>
      <c r="AV1240" s="23">
        <v>1</v>
      </c>
      <c r="AW1240" s="128">
        <f>IF(AX1240&gt;0,1,0)</f>
        <v>0</v>
      </c>
      <c r="AX1240" s="128">
        <f>SUM(BA1240,BM1240,CU1240)</f>
        <v>0</v>
      </c>
      <c r="AY1240" s="128">
        <f>SUM(BB1240,BN1240,CV1240)</f>
        <v>0</v>
      </c>
      <c r="AZ1240" s="128">
        <f>IF(BA1240&gt;0,1,0)</f>
        <v>0</v>
      </c>
      <c r="BA1240" s="128">
        <f>SUM(BC1240+BF1240+BI1240)</f>
        <v>0</v>
      </c>
      <c r="BB1240" s="128">
        <f>SUM(BE1240,BH1240,BK1240)</f>
        <v>0</v>
      </c>
      <c r="BC1240" s="130">
        <f>IF(BD1240&gt;0,1,0)</f>
        <v>0</v>
      </c>
      <c r="BD1240" s="128">
        <f>VLOOKUP($E1240,[2]Current!$A:$AC,26,FALSE)</f>
        <v>0</v>
      </c>
      <c r="BE1240" s="128">
        <f>BD1240/$AS1240</f>
        <v>0</v>
      </c>
      <c r="BF1240" s="130">
        <f>IF(BG1240&gt;0,1,0)</f>
        <v>0</v>
      </c>
      <c r="BG1240" s="137">
        <f>VLOOKUP($E1240,[2]Current!$A:$AC,27,FALSE)</f>
        <v>0</v>
      </c>
      <c r="BH1240" s="128">
        <f>BG1240/$AS1240</f>
        <v>0</v>
      </c>
      <c r="BI1240" s="130">
        <f>IF(BJ1240&gt;0,1,0)</f>
        <v>0</v>
      </c>
      <c r="BJ1240" s="128">
        <f>VLOOKUP($E1240,[2]Current!$A:$AC,28,FALSE)</f>
        <v>0</v>
      </c>
      <c r="BK1240" s="128">
        <f>BJ1240/$AS1240</f>
        <v>0</v>
      </c>
      <c r="BL1240" s="128">
        <f>IF(BM1240&gt;0,1,0)</f>
        <v>0</v>
      </c>
      <c r="BM1240" s="128">
        <f>SUM(BR1240,BU1240,BX1240,CA1240,CD1240)</f>
        <v>0</v>
      </c>
      <c r="BN1240" s="131">
        <f>SUM(BT1240,BW1240,BZ1240,CC1240,CF1240)</f>
        <v>0</v>
      </c>
      <c r="BO1240" s="128">
        <f>IF(BP1240&gt;0,1,0)</f>
        <v>0</v>
      </c>
      <c r="BP1240" s="128">
        <f>BM1240+CJ1240</f>
        <v>0</v>
      </c>
      <c r="BQ1240" s="128">
        <f>BN1240+CL1240</f>
        <v>0</v>
      </c>
      <c r="BR1240" s="130">
        <f>IF(BS1240&gt;0,1,0)</f>
        <v>0</v>
      </c>
      <c r="BS1240" s="128">
        <f>VLOOKUP($E1240,[2]Current!$A:$AC,12,FALSE)</f>
        <v>0</v>
      </c>
      <c r="BT1240" s="137">
        <f>BS1240/$AS1240</f>
        <v>0</v>
      </c>
      <c r="BU1240" s="130">
        <f>IF(BV1240&gt;0,1,0)</f>
        <v>0</v>
      </c>
      <c r="BV1240" s="128">
        <f>VLOOKUP($E1240,[2]Current!$A:$AC,13,FALSE)</f>
        <v>0</v>
      </c>
      <c r="BW1240" s="128">
        <f>BV1240/$AS1240</f>
        <v>0</v>
      </c>
      <c r="BX1240" s="130">
        <f>IF(BY1240&gt;0,1,0)</f>
        <v>0</v>
      </c>
      <c r="BY1240" s="128">
        <f>VLOOKUP($E1240,[2]Current!$A:$AC,14,FALSE)</f>
        <v>0</v>
      </c>
      <c r="BZ1240" s="128">
        <f>BY1240/$AS1240</f>
        <v>0</v>
      </c>
      <c r="CA1240" s="130">
        <f>IF(CB1240&gt;0,1,0)</f>
        <v>0</v>
      </c>
      <c r="CB1240" s="128">
        <f>VLOOKUP($E1240,[2]Current!$A:$AC,15,FALSE)</f>
        <v>0</v>
      </c>
      <c r="CC1240" s="128">
        <f>CB1240/$AS1240</f>
        <v>0</v>
      </c>
      <c r="CD1240" s="174">
        <f>IF(CE1240&gt;0,1,0)</f>
        <v>0</v>
      </c>
      <c r="CE1240" s="128">
        <f>VLOOKUP($E1240,[2]Current!$A:$AC,16,FALSE)</f>
        <v>0</v>
      </c>
      <c r="CF1240" s="128">
        <f>CE1240/$AS1240</f>
        <v>0</v>
      </c>
      <c r="CG1240" s="18"/>
      <c r="CH1240" s="18"/>
      <c r="CI1240" s="18"/>
      <c r="CJ1240" s="130">
        <f>IF(CK1240&gt;0,1,0)</f>
        <v>0</v>
      </c>
      <c r="CK1240" s="128">
        <f>VLOOKUP($E1240,[2]Current!$A:$AC,18,FALSE)</f>
        <v>0</v>
      </c>
      <c r="CL1240" s="128">
        <f>CK1240/$AS1240</f>
        <v>0</v>
      </c>
      <c r="CS1240" s="130">
        <f>IF(CU1240&gt;0,1,0)</f>
        <v>0</v>
      </c>
      <c r="CU1240" s="128">
        <f>VLOOKUP($E1240,[2]Current!$A:$AC,17,FALSE)</f>
        <v>0</v>
      </c>
      <c r="CV1240" s="128">
        <f>CU1240/$AS1240</f>
        <v>0</v>
      </c>
      <c r="CW1240" s="18"/>
      <c r="CX1240" s="18"/>
      <c r="CY1240" s="18"/>
      <c r="DF1240" s="16" t="e">
        <f>VLOOKUP(K1240,'[3]RNA Seq summary tables'!$V$3:$V$99,1,FALSE)</f>
        <v>#N/A</v>
      </c>
    </row>
    <row r="1241" spans="1:288" ht="16" x14ac:dyDescent="0.2">
      <c r="B1241" s="16">
        <v>2017</v>
      </c>
      <c r="C1241" s="43">
        <v>42972</v>
      </c>
      <c r="D1241" s="43" t="str">
        <f>CONCATENATE(J1241,"-",C1241)</f>
        <v>1377-42972</v>
      </c>
      <c r="E1241" s="37" t="str">
        <f>CONCATENATE(T1241,"-",U1241,"-",C1241)</f>
        <v>SP2-G1-42972</v>
      </c>
      <c r="F1241" s="20" t="s">
        <v>106</v>
      </c>
      <c r="G1241" s="43" t="s">
        <v>107</v>
      </c>
      <c r="H1241" s="23"/>
      <c r="J1241" s="15">
        <v>1377</v>
      </c>
      <c r="K1241" s="15">
        <v>2252</v>
      </c>
      <c r="L1241" s="18">
        <v>0</v>
      </c>
      <c r="M1241" s="21">
        <f>VLOOKUP($K1241,'[4]blood tubes 2017'!$D$1:$L$947,8,FALSE)</f>
        <v>0</v>
      </c>
      <c r="N1241" s="15">
        <v>0</v>
      </c>
      <c r="O1241" s="15" t="s">
        <v>214</v>
      </c>
      <c r="Q1241" s="16">
        <f t="shared" si="0"/>
        <v>0</v>
      </c>
      <c r="R1241" s="16" t="str">
        <f t="shared" si="5"/>
        <v/>
      </c>
      <c r="S1241" s="23"/>
      <c r="T1241" s="23" t="s">
        <v>137</v>
      </c>
      <c r="U1241" s="23" t="s">
        <v>155</v>
      </c>
      <c r="V1241" s="23" t="s">
        <v>114</v>
      </c>
      <c r="W1241" s="16">
        <f>AI1241/AG1241</f>
        <v>0.8214285714285714</v>
      </c>
      <c r="X1241" s="23" t="s">
        <v>115</v>
      </c>
      <c r="Y1241" s="23" t="s">
        <v>122</v>
      </c>
      <c r="Z1241" s="23">
        <v>2.2999999999999998</v>
      </c>
      <c r="AA1241" s="23"/>
      <c r="AB1241" s="23"/>
      <c r="AC1241" s="23"/>
      <c r="AD1241" s="23"/>
      <c r="AE1241" s="23" t="s">
        <v>123</v>
      </c>
      <c r="AF1241" s="23" t="s">
        <v>123</v>
      </c>
      <c r="AG1241" s="23">
        <f>AH1241-AI1241</f>
        <v>84</v>
      </c>
      <c r="AH1241" s="23">
        <v>153</v>
      </c>
      <c r="AI1241" s="23">
        <v>69</v>
      </c>
      <c r="AJ1241" s="23"/>
      <c r="AK1241" s="23">
        <v>15.5</v>
      </c>
      <c r="AL1241" s="23">
        <v>0</v>
      </c>
      <c r="AM1241" s="23">
        <v>0</v>
      </c>
      <c r="AN1241" s="23">
        <v>0</v>
      </c>
      <c r="AO1241" s="23">
        <v>0</v>
      </c>
      <c r="AP1241" s="23">
        <f>SUM(AL1241:AN1241)</f>
        <v>0</v>
      </c>
      <c r="AQ1241" s="23">
        <v>1.6359999999999999</v>
      </c>
      <c r="AR1241" s="23">
        <f>AP1241-1.472</f>
        <v>-1.472</v>
      </c>
      <c r="AS1241" s="23">
        <f>AQ1241-1.472</f>
        <v>0.16399999999999992</v>
      </c>
      <c r="AT1241" s="16" t="str">
        <f>VLOOKUP(E1241,[2]Current!$A$1:$W$435,7,FALSE)</f>
        <v>JY</v>
      </c>
      <c r="AU1241" s="16" t="s">
        <v>1288</v>
      </c>
      <c r="AV1241" s="23"/>
      <c r="AW1241" s="128">
        <f>IF(AX1241&gt;0,1,0)</f>
        <v>1</v>
      </c>
      <c r="AX1241" s="128">
        <f>SUM(BA1241,BM1241,CU1241)</f>
        <v>2</v>
      </c>
      <c r="AY1241" s="128">
        <f>SUM(BB1241,BN1241,CV1241)</f>
        <v>1365.853658536586</v>
      </c>
      <c r="AZ1241" s="128">
        <f>IF(BA1241&gt;0,1,0)</f>
        <v>1</v>
      </c>
      <c r="BA1241" s="128">
        <f>SUM(BC1241+BF1241+BI1241)</f>
        <v>2</v>
      </c>
      <c r="BB1241" s="128">
        <f>SUM(BE1241,BH1241,BK1241)</f>
        <v>1365.853658536586</v>
      </c>
      <c r="BC1241" s="130">
        <f>IF(BD1241&gt;0,1,0)</f>
        <v>1</v>
      </c>
      <c r="BD1241" s="128">
        <f>VLOOKUP($E1241,[2]Current!$A:$AC,26,FALSE)</f>
        <v>1</v>
      </c>
      <c r="BE1241" s="128">
        <f>BD1241/$AS1241</f>
        <v>6.0975609756097588</v>
      </c>
      <c r="BF1241" s="130">
        <f>IF(BG1241&gt;0,1,0)</f>
        <v>1</v>
      </c>
      <c r="BG1241" s="137">
        <f>VLOOKUP($E1241,[2]Current!$A:$AC,27,FALSE)</f>
        <v>223</v>
      </c>
      <c r="BH1241" s="128">
        <f>BG1241/$AS1241</f>
        <v>1359.7560975609763</v>
      </c>
      <c r="BI1241" s="130">
        <f>IF(BJ1241&gt;0,1,0)</f>
        <v>0</v>
      </c>
      <c r="BJ1241" s="128">
        <f>VLOOKUP($E1241,[2]Current!$A:$AC,28,FALSE)</f>
        <v>0</v>
      </c>
      <c r="BK1241" s="128">
        <f>BJ1241/$AS1241</f>
        <v>0</v>
      </c>
      <c r="BL1241" s="128">
        <f>IF(BM1241&gt;0,1,0)</f>
        <v>0</v>
      </c>
      <c r="BM1241" s="128">
        <f>SUM(BR1241,BU1241,BX1241,CA1241,CD1241)</f>
        <v>0</v>
      </c>
      <c r="BN1241" s="131">
        <f>SUM(BT1241,BW1241,BZ1241,CC1241,CF1241)</f>
        <v>0</v>
      </c>
      <c r="BO1241" s="128">
        <f>IF(BP1241&gt;0,1,0)</f>
        <v>0</v>
      </c>
      <c r="BP1241" s="128">
        <f>BM1241+CJ1241</f>
        <v>0</v>
      </c>
      <c r="BQ1241" s="128">
        <f>BN1241+CL1241</f>
        <v>0</v>
      </c>
      <c r="BR1241" s="130">
        <f>IF(BS1241&gt;0,1,0)</f>
        <v>0</v>
      </c>
      <c r="BS1241" s="128">
        <f>VLOOKUP($E1241,[2]Current!$A:$AC,12,FALSE)</f>
        <v>0</v>
      </c>
      <c r="BT1241" s="137">
        <f>BS1241/$AS1241</f>
        <v>0</v>
      </c>
      <c r="BU1241" s="130">
        <f>IF(BV1241&gt;0,1,0)</f>
        <v>0</v>
      </c>
      <c r="BV1241" s="128">
        <f>VLOOKUP($E1241,[2]Current!$A:$AC,13,FALSE)</f>
        <v>0</v>
      </c>
      <c r="BW1241" s="128">
        <f>BV1241/$AS1241</f>
        <v>0</v>
      </c>
      <c r="BX1241" s="130">
        <f>IF(BY1241&gt;0,1,0)</f>
        <v>0</v>
      </c>
      <c r="BY1241" s="128">
        <f>VLOOKUP($E1241,[2]Current!$A:$AC,14,FALSE)</f>
        <v>0</v>
      </c>
      <c r="BZ1241" s="128">
        <f>BY1241/$AS1241</f>
        <v>0</v>
      </c>
      <c r="CA1241" s="130">
        <f>IF(CB1241&gt;0,1,0)</f>
        <v>0</v>
      </c>
      <c r="CB1241" s="128">
        <f>VLOOKUP($E1241,[2]Current!$A:$AC,15,FALSE)</f>
        <v>0</v>
      </c>
      <c r="CC1241" s="128">
        <f>CB1241/$AS1241</f>
        <v>0</v>
      </c>
      <c r="CD1241" s="174">
        <f>IF(CE1241&gt;0,1,0)</f>
        <v>0</v>
      </c>
      <c r="CE1241" s="128">
        <f>VLOOKUP($E1241,[2]Current!$A:$AC,16,FALSE)</f>
        <v>0</v>
      </c>
      <c r="CF1241" s="128">
        <f>CE1241/$AS1241</f>
        <v>0</v>
      </c>
      <c r="CG1241" s="18"/>
      <c r="CH1241" s="18"/>
      <c r="CI1241" s="18"/>
      <c r="CJ1241" s="130">
        <f>IF(CK1241&gt;0,1,0)</f>
        <v>0</v>
      </c>
      <c r="CK1241" s="128">
        <f>VLOOKUP($E1241,[2]Current!$A:$AC,18,FALSE)</f>
        <v>0</v>
      </c>
      <c r="CL1241" s="128">
        <f>CK1241/$AS1241</f>
        <v>0</v>
      </c>
      <c r="CS1241" s="130">
        <f>IF(CU1241&gt;0,1,0)</f>
        <v>0</v>
      </c>
      <c r="CU1241" s="128">
        <f>VLOOKUP($E1241,[2]Current!$A:$AC,17,FALSE)</f>
        <v>0</v>
      </c>
      <c r="CV1241" s="128">
        <f>CU1241/$AS1241</f>
        <v>0</v>
      </c>
      <c r="CW1241" s="18"/>
      <c r="CX1241" s="18"/>
      <c r="CY1241" s="18"/>
      <c r="DF1241" s="16" t="e">
        <f>VLOOKUP(K1241,'[3]RNA Seq summary tables'!$V$3:$V$99,1,FALSE)</f>
        <v>#N/A</v>
      </c>
      <c r="DI1241" s="23"/>
      <c r="DJ1241" s="23"/>
      <c r="DK1241" s="23"/>
      <c r="DL1241" s="23"/>
      <c r="DM1241" s="23"/>
      <c r="DN1241" s="23"/>
      <c r="DO1241" s="23"/>
      <c r="DP1241" s="23"/>
      <c r="DQ1241" s="23"/>
      <c r="DR1241" s="23"/>
      <c r="DS1241" s="23"/>
    </row>
    <row r="1242" spans="1:288" x14ac:dyDescent="0.2">
      <c r="B1242" s="16">
        <v>2017</v>
      </c>
      <c r="C1242" s="20">
        <v>42973</v>
      </c>
      <c r="D1242" s="20" t="str">
        <f>CONCATENATE(J1242,"-",C1242)</f>
        <v>1379-42973</v>
      </c>
      <c r="E1242" s="142" t="str">
        <f>CONCATENATE(T1242,"-",U1242,"-",C1242)</f>
        <v>SP1-A3-42973</v>
      </c>
      <c r="F1242" s="37" t="s">
        <v>224</v>
      </c>
      <c r="G1242" s="20" t="s">
        <v>107</v>
      </c>
      <c r="H1242" s="40" t="s">
        <v>264</v>
      </c>
      <c r="J1242" s="36">
        <v>1379</v>
      </c>
      <c r="K1242" s="36">
        <v>2259</v>
      </c>
      <c r="L1242" s="18">
        <v>0</v>
      </c>
      <c r="M1242" s="36">
        <f>VLOOKUP($K1242,'[4]blood tubes 2017'!$D$1:$L$947,8,FALSE)</f>
        <v>0</v>
      </c>
      <c r="N1242" s="42">
        <v>0</v>
      </c>
      <c r="O1242" s="15" t="s">
        <v>214</v>
      </c>
      <c r="Q1242" s="16">
        <f t="shared" si="0"/>
        <v>0</v>
      </c>
      <c r="R1242" s="16" t="str">
        <f t="shared" si="5"/>
        <v/>
      </c>
      <c r="S1242" s="18"/>
      <c r="T1242" s="18" t="s">
        <v>140</v>
      </c>
      <c r="U1242" s="18" t="s">
        <v>201</v>
      </c>
      <c r="V1242" s="18" t="s">
        <v>114</v>
      </c>
      <c r="W1242" s="16">
        <f>AI1242/AG1242</f>
        <v>0.92307692307692313</v>
      </c>
      <c r="X1242" s="16" t="s">
        <v>115</v>
      </c>
      <c r="Y1242" s="16" t="s">
        <v>122</v>
      </c>
      <c r="Z1242" s="16">
        <v>2.2999999999999998</v>
      </c>
      <c r="AE1242" s="16" t="s">
        <v>123</v>
      </c>
      <c r="AF1242" s="16" t="s">
        <v>123</v>
      </c>
      <c r="AG1242" s="16">
        <f>AH1242-AI1242</f>
        <v>78</v>
      </c>
      <c r="AH1242" s="16">
        <v>150</v>
      </c>
      <c r="AI1242" s="16">
        <v>72</v>
      </c>
      <c r="AK1242" s="16">
        <v>17.5</v>
      </c>
      <c r="AL1242" s="16">
        <v>0</v>
      </c>
      <c r="AM1242" s="16">
        <v>0</v>
      </c>
      <c r="AN1242" s="16">
        <v>0</v>
      </c>
      <c r="AO1242" s="16">
        <v>0</v>
      </c>
      <c r="AP1242" s="16">
        <f>SUM(AL1242:AN1242)</f>
        <v>0</v>
      </c>
      <c r="AQ1242" s="16">
        <v>1.6679999999999999</v>
      </c>
      <c r="AR1242" s="16">
        <f>AP1242-1.472</f>
        <v>-1.472</v>
      </c>
      <c r="AS1242" s="16">
        <f>AQ1242-1.472</f>
        <v>0.19599999999999995</v>
      </c>
      <c r="AT1242" s="16" t="e">
        <f>VLOOKUP(E1242,[2]Current!$A$1:$W$435,7,FALSE)</f>
        <v>#N/A</v>
      </c>
      <c r="AU1242" s="16">
        <v>0</v>
      </c>
      <c r="AW1242" s="18"/>
      <c r="AX1242" s="18"/>
      <c r="AY1242" s="18"/>
      <c r="AZ1242" s="18"/>
      <c r="BA1242" s="18"/>
      <c r="BB1242" s="18"/>
      <c r="BC1242" s="18"/>
      <c r="BD1242" s="18"/>
      <c r="BG1242" s="77"/>
      <c r="BT1242" s="77"/>
      <c r="CD1242" s="77"/>
      <c r="DF1242" s="16" t="e">
        <f>VLOOKUP(K1242,'[3]RNA Seq summary tables'!$V$3:$V$99,1,FALSE)</f>
        <v>#N/A</v>
      </c>
    </row>
    <row r="1243" spans="1:288" s="27" customFormat="1" x14ac:dyDescent="0.2">
      <c r="A1243" s="18"/>
      <c r="B1243" s="18">
        <v>2017</v>
      </c>
      <c r="C1243" s="37">
        <v>42975</v>
      </c>
      <c r="D1243" s="37" t="str">
        <f>CONCATENATE(J1243,"-",C1243)</f>
        <v>1383-42975</v>
      </c>
      <c r="E1243" s="20" t="str">
        <f>CONCATENATE(T1243,"-",U1243,"-",C1243)</f>
        <v>PO1-A3-42975</v>
      </c>
      <c r="F1243" s="37" t="s">
        <v>224</v>
      </c>
      <c r="G1243" s="37" t="s">
        <v>107</v>
      </c>
      <c r="H1243" s="40" t="s">
        <v>264</v>
      </c>
      <c r="I1243" s="16">
        <v>0</v>
      </c>
      <c r="J1243" s="36">
        <v>1383</v>
      </c>
      <c r="K1243" s="36">
        <v>2269</v>
      </c>
      <c r="L1243" s="18">
        <v>0</v>
      </c>
      <c r="M1243" s="36">
        <f>VLOOKUP($K1243,'[4]blood tubes 2017'!$D$1:$L$947,8,FALSE)</f>
        <v>0</v>
      </c>
      <c r="N1243" s="42">
        <v>0</v>
      </c>
      <c r="O1243" s="15" t="s">
        <v>214</v>
      </c>
      <c r="P1243" s="16"/>
      <c r="Q1243" s="16">
        <f t="shared" si="0"/>
        <v>0</v>
      </c>
      <c r="R1243" s="16" t="str">
        <f t="shared" si="5"/>
        <v/>
      </c>
      <c r="S1243" s="18"/>
      <c r="T1243" s="18" t="s">
        <v>112</v>
      </c>
      <c r="U1243" s="18" t="s">
        <v>201</v>
      </c>
      <c r="V1243" s="18" t="s">
        <v>114</v>
      </c>
      <c r="W1243" s="16">
        <f>AI1243/AG1243</f>
        <v>0.97435897435897434</v>
      </c>
      <c r="X1243" s="18" t="s">
        <v>115</v>
      </c>
      <c r="Y1243" s="18" t="s">
        <v>110</v>
      </c>
      <c r="Z1243" s="18">
        <v>3</v>
      </c>
      <c r="AA1243" s="18"/>
      <c r="AB1243" s="18"/>
      <c r="AC1243" s="18"/>
      <c r="AD1243" s="18"/>
      <c r="AE1243" s="18" t="s">
        <v>123</v>
      </c>
      <c r="AF1243" s="18" t="s">
        <v>123</v>
      </c>
      <c r="AG1243" s="18">
        <f>AH1243-AI1243</f>
        <v>78</v>
      </c>
      <c r="AH1243" s="18">
        <v>154</v>
      </c>
      <c r="AI1243" s="18">
        <v>76</v>
      </c>
      <c r="AJ1243" s="18"/>
      <c r="AK1243" s="18">
        <v>13</v>
      </c>
      <c r="AL1243" s="18">
        <v>0</v>
      </c>
      <c r="AM1243" s="18">
        <v>0</v>
      </c>
      <c r="AN1243" s="18">
        <v>0</v>
      </c>
      <c r="AO1243" s="18">
        <v>0</v>
      </c>
      <c r="AP1243" s="18">
        <f>SUM(AL1243:AN1243)</f>
        <v>0</v>
      </c>
      <c r="AQ1243" s="18">
        <v>1.71</v>
      </c>
      <c r="AR1243" s="18">
        <f>AP1243-1.472</f>
        <v>-1.472</v>
      </c>
      <c r="AS1243" s="18">
        <f>AQ1243-1.472</f>
        <v>0.23799999999999999</v>
      </c>
      <c r="AT1243" s="18" t="str">
        <f>VLOOKUP(K1243,'[5]FECs - good data'!$C$1:$P$575,13,FALSE)</f>
        <v>JY</v>
      </c>
      <c r="AU1243" s="18"/>
      <c r="AV1243" s="18"/>
      <c r="AW1243" s="18">
        <f>IF(AX1243&gt;0,1,0)</f>
        <v>1</v>
      </c>
      <c r="AX1243" s="18">
        <f>SUM(BA1243,BM1243,CT1243)</f>
        <v>2</v>
      </c>
      <c r="AY1243" s="18">
        <f>SUM(BB1243,BN1243,CV1243)</f>
        <v>176.47058823529414</v>
      </c>
      <c r="AZ1243" s="18">
        <f>IF(BA1243&gt;0,1,0)</f>
        <v>1</v>
      </c>
      <c r="BA1243" s="18">
        <f>SUM(BC1243,BF1243,BI1243)</f>
        <v>1</v>
      </c>
      <c r="BB1243" s="18">
        <f>SUM(BE1243,BH1243,BK1243)</f>
        <v>113.44537815126051</v>
      </c>
      <c r="BC1243" s="18">
        <f>IF(BD1243&gt;0,1,0)</f>
        <v>0</v>
      </c>
      <c r="BD1243" s="18">
        <f>VLOOKUP($K1243,'[5]FECs - good data'!$C$1:$Z$574,14,FALSE)</f>
        <v>0</v>
      </c>
      <c r="BE1243" s="18">
        <f>BD1243/AS1243</f>
        <v>0</v>
      </c>
      <c r="BF1243" s="18">
        <f>IF(BG1243&gt;0,1,0)</f>
        <v>1</v>
      </c>
      <c r="BG1243" s="78">
        <f>VLOOKUP($K1243,'[5]FECs - good data'!$C$1:$Z$574,15,FALSE)</f>
        <v>27</v>
      </c>
      <c r="BH1243" s="18">
        <f>BG1243/AS1243</f>
        <v>113.44537815126051</v>
      </c>
      <c r="BI1243" s="18">
        <f>IF(BJ1243&gt;0,1,0)</f>
        <v>0</v>
      </c>
      <c r="BJ1243" s="18">
        <f>VLOOKUP($K1243,'[5]FECs - good data'!$C$1:$Z$574,16,FALSE)</f>
        <v>0</v>
      </c>
      <c r="BK1243" s="18">
        <f>BJ1243/AS1243</f>
        <v>0</v>
      </c>
      <c r="BL1243" s="18">
        <f>IF(BM1243&gt;0,1,0)</f>
        <v>1</v>
      </c>
      <c r="BM1243" s="18">
        <f>SUM(BR1243,BU1243,BX1243,CA1243,CD1243,CG1243,CJ1243,CM1243,CP1243)</f>
        <v>1</v>
      </c>
      <c r="BN1243" s="18">
        <f>SUM(BW1243,BZ1243,CC1243,CF1243,CI1243,CL1243,CO1243,CR1243,BT1243)</f>
        <v>63.025210084033617</v>
      </c>
      <c r="BO1243" s="16">
        <f>IF(BP1243&gt;0,1,0)</f>
        <v>1</v>
      </c>
      <c r="BP1243" s="16">
        <f>SUM(BU1243,BX1243,CA1243,CD1243,BR1243)</f>
        <v>1</v>
      </c>
      <c r="BQ1243" s="16">
        <f>SUM(BZ1243,CC1243,CF1243,BT1243,BW1243)</f>
        <v>63.025210084033617</v>
      </c>
      <c r="BR1243" s="18">
        <f>IF(BS1243&gt;0,1,0)</f>
        <v>0</v>
      </c>
      <c r="BS1243" s="18">
        <f>VLOOKUP($K1243,'[5]FECs - good data'!$C$1:$Z$574,17,FALSE)</f>
        <v>0</v>
      </c>
      <c r="BT1243" s="78">
        <f>BS1243/AS1243</f>
        <v>0</v>
      </c>
      <c r="BU1243" s="18">
        <f>IF(BV1243&gt;0,1,0)</f>
        <v>0</v>
      </c>
      <c r="BV1243" s="18">
        <f>VLOOKUP($K1243,'[5]FECs - good data'!$C$1:$Z$574,18,FALSE)</f>
        <v>0</v>
      </c>
      <c r="BW1243" s="18">
        <f>BV1243/AS1243</f>
        <v>0</v>
      </c>
      <c r="BX1243" s="18">
        <f>IF(BY1243&gt;0,1,0)</f>
        <v>1</v>
      </c>
      <c r="BY1243" s="18">
        <f>VLOOKUP($K1243,'[5]FECs - good data'!$C$1:$Z$574,19,FALSE)</f>
        <v>15</v>
      </c>
      <c r="BZ1243" s="18">
        <f>BY1243/AS1243</f>
        <v>63.025210084033617</v>
      </c>
      <c r="CA1243" s="18">
        <f>IF(CB1243&gt;0,1,0)</f>
        <v>0</v>
      </c>
      <c r="CB1243" s="18">
        <f>VLOOKUP($K1243,'[5]FECs - good data'!$C$1:$Z$574,20,FALSE)</f>
        <v>0</v>
      </c>
      <c r="CC1243" s="18">
        <f>CB1243/AS1243</f>
        <v>0</v>
      </c>
      <c r="CD1243" s="78">
        <f>IF(CE1243&gt;0,1,0)</f>
        <v>0</v>
      </c>
      <c r="CE1243" s="18">
        <f>VLOOKUP($K1243,'[5]FECs - good data'!$C$1:$Z$574,21,FALSE)</f>
        <v>0</v>
      </c>
      <c r="CF1243" s="18">
        <f>CE1243/AS1243</f>
        <v>0</v>
      </c>
      <c r="CG1243" s="18">
        <f>IF(CH1243&gt;0,1,0)</f>
        <v>0</v>
      </c>
      <c r="CH1243" s="18">
        <f>VLOOKUP($K1243,'[5]FECs - good data'!$C$1:$Z$574,22,FALSE)</f>
        <v>0</v>
      </c>
      <c r="CI1243" s="18">
        <f>CH1243/AS1243</f>
        <v>0</v>
      </c>
      <c r="CJ1243" s="18">
        <f>IF(CK1243&gt;0,1,0)</f>
        <v>0</v>
      </c>
      <c r="CK1243" s="18">
        <f>VLOOKUP($K1243,'[5]FECs - good data'!$C$1:$Z$674,24,FALSE)</f>
        <v>0</v>
      </c>
      <c r="CL1243" s="18">
        <f>CK1243/AS1243</f>
        <v>0</v>
      </c>
      <c r="CM1243" s="18"/>
      <c r="CN1243" s="18"/>
      <c r="CO1243" s="18"/>
      <c r="CP1243" s="18"/>
      <c r="CQ1243" s="18"/>
      <c r="CR1243" s="18"/>
      <c r="CS1243" s="18">
        <f>IF(CT1243&gt;0,1,0)</f>
        <v>0</v>
      </c>
      <c r="CT1243" s="18">
        <f>SUM(CW1243+CZ1243,DC1243)</f>
        <v>0</v>
      </c>
      <c r="CU1243" s="18"/>
      <c r="CV1243" s="18">
        <f>SUM(CY1243,DB1243,DE1243)</f>
        <v>0</v>
      </c>
      <c r="CW1243" s="18">
        <f>IF(CX1243&gt;0,1,0)</f>
        <v>0</v>
      </c>
      <c r="CX1243" s="18">
        <f>VLOOKUP($K1243,'[5]FECs - good data'!$C$1:$Z$574,22,FALSE)</f>
        <v>0</v>
      </c>
      <c r="CY1243" s="18">
        <f>CX1243/AS1243</f>
        <v>0</v>
      </c>
      <c r="CZ1243" s="18">
        <f>IF(DA1243&gt;0,1,0)</f>
        <v>0</v>
      </c>
      <c r="DA1243" s="18">
        <f>VLOOKUP($K1243,'[5]FECs - good data'!$C$1:$Z$5982,23,FALSE)</f>
        <v>0</v>
      </c>
      <c r="DB1243" s="18">
        <f>DA1243/AS1243</f>
        <v>0</v>
      </c>
      <c r="DC1243" s="18">
        <f>IF(DD1243&gt;0,1,0)</f>
        <v>0</v>
      </c>
      <c r="DD1243" s="18">
        <f>VLOOKUP($K1243,'[5]FECs - good data'!$C$1:$Z$574,23,FALSE)</f>
        <v>0</v>
      </c>
      <c r="DE1243" s="18">
        <f>DD1243/AS1243</f>
        <v>0</v>
      </c>
      <c r="DF1243" s="16" t="e">
        <f>VLOOKUP(K1243,'[3]RNA Seq summary tables'!$V$3:$V$99,1,FALSE)</f>
        <v>#N/A</v>
      </c>
      <c r="DG1243" s="16"/>
      <c r="DH1243" s="16"/>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18"/>
      <c r="EQ1243" s="18"/>
      <c r="ER1243" s="18"/>
      <c r="ES1243" s="18"/>
      <c r="ET1243" s="18"/>
      <c r="EU1243" s="18"/>
      <c r="EV1243" s="18"/>
      <c r="EW1243" s="18"/>
      <c r="EX1243" s="18"/>
      <c r="EY1243" s="18"/>
      <c r="EZ1243" s="18"/>
      <c r="FA1243" s="18"/>
      <c r="FB1243" s="18"/>
      <c r="FC1243" s="18"/>
      <c r="FD1243" s="18"/>
      <c r="FE1243" s="18"/>
      <c r="FF1243" s="18"/>
      <c r="FG1243" s="18"/>
      <c r="FH1243" s="18"/>
      <c r="FI1243" s="18"/>
      <c r="FJ1243" s="18"/>
      <c r="FK1243" s="18"/>
      <c r="FL1243" s="18"/>
      <c r="FM1243" s="18"/>
      <c r="FN1243" s="18"/>
      <c r="FO1243" s="18"/>
      <c r="FP1243" s="18"/>
      <c r="FQ1243" s="18"/>
      <c r="FR1243" s="18"/>
      <c r="FS1243" s="18"/>
      <c r="FT1243" s="18"/>
      <c r="FU1243" s="18"/>
      <c r="FV1243" s="18"/>
      <c r="FW1243" s="18"/>
      <c r="FX1243" s="18"/>
      <c r="FY1243" s="18"/>
      <c r="FZ1243" s="18"/>
      <c r="GA1243" s="18"/>
      <c r="GB1243" s="18"/>
      <c r="GC1243" s="18"/>
      <c r="GD1243" s="18"/>
      <c r="GE1243" s="18"/>
      <c r="GF1243" s="18"/>
      <c r="GG1243" s="18"/>
      <c r="GH1243" s="18"/>
      <c r="GI1243" s="18"/>
      <c r="GJ1243" s="18"/>
      <c r="GK1243" s="18"/>
      <c r="GL1243" s="18"/>
      <c r="GM1243" s="18"/>
      <c r="GN1243" s="18"/>
      <c r="GO1243" s="18"/>
      <c r="GP1243" s="18"/>
      <c r="GQ1243" s="18"/>
      <c r="GR1243" s="18"/>
      <c r="GS1243" s="18"/>
      <c r="GT1243" s="18"/>
      <c r="GU1243" s="18"/>
      <c r="GV1243" s="18"/>
      <c r="GW1243" s="18"/>
      <c r="GX1243" s="18"/>
      <c r="GY1243" s="18"/>
      <c r="GZ1243" s="18"/>
      <c r="HA1243" s="18"/>
      <c r="HB1243" s="18"/>
      <c r="HC1243" s="18"/>
      <c r="HD1243" s="18"/>
      <c r="HE1243" s="18"/>
      <c r="HF1243" s="18"/>
      <c r="HG1243" s="18"/>
      <c r="HH1243" s="18"/>
      <c r="HI1243" s="18"/>
      <c r="HJ1243" s="18"/>
      <c r="HK1243" s="18"/>
      <c r="HL1243" s="18"/>
      <c r="HM1243" s="18"/>
      <c r="HN1243" s="18"/>
      <c r="HO1243" s="18"/>
      <c r="HP1243" s="18"/>
      <c r="HQ1243" s="18"/>
      <c r="HR1243" s="18"/>
      <c r="HS1243" s="18"/>
      <c r="HT1243" s="18"/>
      <c r="HU1243" s="18"/>
      <c r="HV1243" s="18"/>
      <c r="HW1243" s="18"/>
      <c r="HX1243" s="18"/>
      <c r="HY1243" s="18"/>
      <c r="HZ1243" s="18"/>
      <c r="IA1243" s="18"/>
      <c r="IB1243" s="18"/>
      <c r="IC1243" s="18"/>
      <c r="ID1243" s="18"/>
      <c r="IE1243" s="18"/>
      <c r="IF1243" s="18"/>
      <c r="IG1243" s="18"/>
      <c r="IH1243" s="18"/>
      <c r="II1243" s="18"/>
      <c r="IJ1243" s="18"/>
      <c r="IK1243" s="18"/>
      <c r="IL1243" s="18"/>
      <c r="IM1243" s="18"/>
      <c r="IN1243" s="18"/>
      <c r="IO1243" s="18"/>
      <c r="IP1243" s="18"/>
      <c r="IQ1243" s="18"/>
      <c r="IR1243" s="18"/>
      <c r="IS1243" s="18"/>
      <c r="IT1243" s="18"/>
      <c r="IU1243" s="18"/>
      <c r="IV1243" s="18"/>
      <c r="IW1243" s="18"/>
      <c r="IX1243" s="18"/>
      <c r="IY1243" s="18"/>
      <c r="IZ1243" s="18"/>
      <c r="JA1243" s="18"/>
      <c r="JB1243" s="18"/>
      <c r="JC1243" s="18"/>
      <c r="JD1243" s="18"/>
      <c r="JE1243" s="18"/>
      <c r="JF1243" s="18"/>
      <c r="JG1243" s="18"/>
      <c r="JH1243" s="18"/>
      <c r="JI1243" s="18"/>
      <c r="JJ1243" s="18"/>
      <c r="JK1243" s="18"/>
      <c r="JL1243" s="18"/>
      <c r="JM1243" s="18"/>
      <c r="JN1243" s="18"/>
      <c r="JO1243" s="16"/>
      <c r="JP1243" s="16"/>
      <c r="JQ1243" s="16"/>
      <c r="JR1243" s="16"/>
      <c r="JS1243" s="16"/>
      <c r="JT1243" s="16"/>
      <c r="JU1243" s="16"/>
      <c r="JV1243" s="16"/>
      <c r="JW1243" s="16"/>
      <c r="JX1243" s="16"/>
      <c r="JY1243" s="16"/>
      <c r="JZ1243" s="16"/>
      <c r="KA1243" s="16"/>
      <c r="KB1243" s="16"/>
    </row>
    <row r="1244" spans="1:288" x14ac:dyDescent="0.2">
      <c r="B1244" s="18">
        <v>2017</v>
      </c>
      <c r="C1244" s="37">
        <v>42975</v>
      </c>
      <c r="D1244" s="37" t="str">
        <f>CONCATENATE(J1244,"-",C1244)</f>
        <v>1385-42975</v>
      </c>
      <c r="E1244" s="142" t="str">
        <f>CONCATENATE(T1244,"-",U1244,"-",C1244)</f>
        <v>PO1-G1-42975</v>
      </c>
      <c r="F1244" s="37" t="s">
        <v>224</v>
      </c>
      <c r="G1244" s="37" t="s">
        <v>107</v>
      </c>
      <c r="H1244" s="18"/>
      <c r="J1244" s="36">
        <v>1385</v>
      </c>
      <c r="K1244" s="36">
        <v>2276</v>
      </c>
      <c r="L1244" s="18">
        <v>0</v>
      </c>
      <c r="M1244" s="21">
        <f>VLOOKUP($K1244,'[4]blood tubes 2017'!$D$1:$L$947,8,FALSE)</f>
        <v>0</v>
      </c>
      <c r="N1244" s="15">
        <v>0</v>
      </c>
      <c r="O1244" s="15" t="s">
        <v>214</v>
      </c>
      <c r="Q1244" s="16">
        <f t="shared" si="0"/>
        <v>0</v>
      </c>
      <c r="R1244" s="16" t="str">
        <f t="shared" si="5"/>
        <v/>
      </c>
      <c r="S1244" s="18"/>
      <c r="T1244" s="18" t="s">
        <v>112</v>
      </c>
      <c r="U1244" s="18" t="s">
        <v>155</v>
      </c>
      <c r="V1244" s="18" t="s">
        <v>114</v>
      </c>
      <c r="W1244" s="16">
        <f>AI1244/AG1244</f>
        <v>0.82666666666666666</v>
      </c>
      <c r="X1244" s="18" t="s">
        <v>121</v>
      </c>
      <c r="Y1244" s="18" t="s">
        <v>145</v>
      </c>
      <c r="Z1244" s="18">
        <v>1</v>
      </c>
      <c r="AA1244" s="18" t="s">
        <v>119</v>
      </c>
      <c r="AB1244" s="18" t="s">
        <v>123</v>
      </c>
      <c r="AC1244" s="18" t="s">
        <v>123</v>
      </c>
      <c r="AD1244" s="18" t="s">
        <v>123</v>
      </c>
      <c r="AE1244" s="18"/>
      <c r="AF1244" s="18"/>
      <c r="AG1244" s="18">
        <f>AH1244-AI1244</f>
        <v>75</v>
      </c>
      <c r="AH1244" s="18">
        <v>137</v>
      </c>
      <c r="AI1244" s="18">
        <v>62</v>
      </c>
      <c r="AJ1244" s="18"/>
      <c r="AK1244" s="18">
        <v>10.5</v>
      </c>
      <c r="AL1244" s="18">
        <v>0</v>
      </c>
      <c r="AM1244" s="18">
        <v>0</v>
      </c>
      <c r="AN1244" s="18">
        <v>0</v>
      </c>
      <c r="AO1244" s="18">
        <v>0</v>
      </c>
      <c r="AP1244" s="18">
        <f>SUM(AL1244:AN1244)</f>
        <v>0</v>
      </c>
      <c r="AQ1244" s="18">
        <v>1.621</v>
      </c>
      <c r="AR1244" s="18">
        <f>AP1244-1.472</f>
        <v>-1.472</v>
      </c>
      <c r="AS1244" s="18">
        <f>AQ1244-1.472</f>
        <v>0.14900000000000002</v>
      </c>
      <c r="AT1244" s="16" t="e">
        <f>VLOOKUP(E1244,[2]Current!$A$1:$W$435,7,FALSE)</f>
        <v>#N/A</v>
      </c>
      <c r="AU1244" s="16">
        <v>0</v>
      </c>
      <c r="AV1244" s="18"/>
      <c r="AW1244" s="18"/>
      <c r="AX1244" s="18"/>
      <c r="AY1244" s="18"/>
      <c r="AZ1244" s="18"/>
      <c r="BA1244" s="18"/>
      <c r="BB1244" s="18"/>
      <c r="BC1244" s="18"/>
      <c r="BD1244" s="18"/>
      <c r="BE1244" s="18"/>
      <c r="BF1244" s="18"/>
      <c r="BG1244" s="78"/>
      <c r="BH1244" s="18"/>
      <c r="BI1244" s="18"/>
      <c r="BJ1244" s="18"/>
      <c r="BK1244" s="18"/>
      <c r="BL1244" s="18"/>
      <c r="BM1244" s="18"/>
      <c r="BN1244" s="18"/>
      <c r="BO1244" s="18"/>
      <c r="BP1244" s="18"/>
      <c r="BQ1244" s="18"/>
      <c r="BR1244" s="18"/>
      <c r="BS1244" s="18"/>
      <c r="BT1244" s="78"/>
      <c r="BU1244" s="18"/>
      <c r="BV1244" s="18"/>
      <c r="BW1244" s="18"/>
      <c r="BX1244" s="18"/>
      <c r="BY1244" s="18"/>
      <c r="BZ1244" s="18"/>
      <c r="CA1244" s="18"/>
      <c r="CB1244" s="18"/>
      <c r="CC1244" s="18"/>
      <c r="CD1244" s="7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6" t="e">
        <f>VLOOKUP(K1244,'[3]RNA Seq summary tables'!$V$3:$V$99,1,FALSE)</f>
        <v>#N/A</v>
      </c>
      <c r="DI1244" s="18"/>
      <c r="DJ1244" s="18"/>
      <c r="DK1244" s="18"/>
      <c r="DL1244" s="18"/>
      <c r="DM1244" s="18"/>
      <c r="DN1244" s="18"/>
      <c r="DO1244" s="18"/>
      <c r="DP1244" s="18"/>
      <c r="DQ1244" s="18"/>
      <c r="DR1244" s="18"/>
      <c r="DS1244" s="18"/>
    </row>
    <row r="1245" spans="1:288" x14ac:dyDescent="0.2">
      <c r="B1245" s="18">
        <v>2017</v>
      </c>
      <c r="C1245" s="37">
        <v>42975</v>
      </c>
      <c r="D1245" s="37" t="str">
        <f>CONCATENATE(J1245,"-",C1245)</f>
        <v>1387-42975</v>
      </c>
      <c r="E1245" s="142" t="str">
        <f>CONCATENATE(T1245,"-",U1245,"-",C1245)</f>
        <v>PO2-H3-42975</v>
      </c>
      <c r="F1245" s="37" t="s">
        <v>224</v>
      </c>
      <c r="G1245" s="37" t="s">
        <v>107</v>
      </c>
      <c r="H1245" s="40" t="s">
        <v>264</v>
      </c>
      <c r="J1245" s="36">
        <v>1387</v>
      </c>
      <c r="K1245" s="36">
        <v>2296</v>
      </c>
      <c r="L1245" s="18">
        <v>0</v>
      </c>
      <c r="M1245" s="36">
        <f>VLOOKUP($K1245,'[4]blood tubes 2017'!$D$1:$L$947,8,FALSE)</f>
        <v>0</v>
      </c>
      <c r="N1245" s="42">
        <v>0</v>
      </c>
      <c r="O1245" s="15" t="s">
        <v>214</v>
      </c>
      <c r="Q1245" s="16">
        <f t="shared" si="0"/>
        <v>0</v>
      </c>
      <c r="R1245" s="16" t="str">
        <f t="shared" si="5"/>
        <v/>
      </c>
      <c r="S1245" s="18"/>
      <c r="T1245" s="18" t="s">
        <v>127</v>
      </c>
      <c r="U1245" s="18" t="s">
        <v>174</v>
      </c>
      <c r="V1245" s="18" t="s">
        <v>114</v>
      </c>
      <c r="W1245" s="16">
        <f>AI1245/AG1245</f>
        <v>0.85526315789473684</v>
      </c>
      <c r="X1245" s="18" t="s">
        <v>121</v>
      </c>
      <c r="Y1245" s="18" t="s">
        <v>110</v>
      </c>
      <c r="Z1245" s="18">
        <v>3</v>
      </c>
      <c r="AA1245" s="18" t="s">
        <v>161</v>
      </c>
      <c r="AB1245" s="18" t="s">
        <v>123</v>
      </c>
      <c r="AC1245" s="18" t="s">
        <v>123</v>
      </c>
      <c r="AD1245" s="18" t="s">
        <v>116</v>
      </c>
      <c r="AE1245" s="18"/>
      <c r="AF1245" s="18"/>
      <c r="AG1245" s="18">
        <f>AH1245-AI1245</f>
        <v>76</v>
      </c>
      <c r="AH1245" s="18">
        <v>141</v>
      </c>
      <c r="AI1245" s="18">
        <v>65</v>
      </c>
      <c r="AJ1245" s="18"/>
      <c r="AK1245" s="18">
        <v>19</v>
      </c>
      <c r="AL1245" s="18">
        <v>0</v>
      </c>
      <c r="AM1245" s="18">
        <v>0</v>
      </c>
      <c r="AN1245" s="18">
        <v>0</v>
      </c>
      <c r="AO1245" s="18">
        <v>0</v>
      </c>
      <c r="AP1245" s="18">
        <f>SUM(AL1245:AN1245)</f>
        <v>0</v>
      </c>
      <c r="AQ1245" s="18">
        <v>1.7849999999999999</v>
      </c>
      <c r="AR1245" s="18">
        <f>AP1245-1.472</f>
        <v>-1.472</v>
      </c>
      <c r="AS1245" s="18">
        <f>AQ1245-1.472</f>
        <v>0.31299999999999994</v>
      </c>
      <c r="AT1245" s="16" t="e">
        <f>VLOOKUP(E1245,[2]Current!$A$1:$W$435,7,FALSE)</f>
        <v>#N/A</v>
      </c>
      <c r="AU1245" s="16">
        <v>0</v>
      </c>
      <c r="AV1245" s="18"/>
      <c r="AW1245" s="18"/>
      <c r="AX1245" s="18"/>
      <c r="AY1245" s="18"/>
      <c r="AZ1245" s="18"/>
      <c r="BA1245" s="18"/>
      <c r="BB1245" s="18"/>
      <c r="BC1245" s="18"/>
      <c r="BD1245" s="18"/>
      <c r="BE1245" s="18"/>
      <c r="BF1245" s="18"/>
      <c r="BG1245" s="78"/>
      <c r="BH1245" s="18"/>
      <c r="BI1245" s="18"/>
      <c r="BJ1245" s="18"/>
      <c r="BK1245" s="18"/>
      <c r="BL1245" s="18"/>
      <c r="BM1245" s="18"/>
      <c r="BN1245" s="18"/>
      <c r="BO1245" s="18"/>
      <c r="BP1245" s="18"/>
      <c r="BQ1245" s="18"/>
      <c r="BR1245" s="18"/>
      <c r="BS1245" s="18"/>
      <c r="BT1245" s="78"/>
      <c r="BU1245" s="18"/>
      <c r="BV1245" s="18"/>
      <c r="BW1245" s="18"/>
      <c r="BX1245" s="18"/>
      <c r="BY1245" s="18"/>
      <c r="BZ1245" s="18"/>
      <c r="CA1245" s="18"/>
      <c r="CB1245" s="18"/>
      <c r="CC1245" s="18"/>
      <c r="CD1245" s="7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6" t="e">
        <f>VLOOKUP(K1245,'[3]RNA Seq summary tables'!$V$3:$V$99,1,FALSE)</f>
        <v>#N/A</v>
      </c>
      <c r="DI1245" s="18"/>
      <c r="DJ1245" s="18"/>
      <c r="DK1245" s="18"/>
      <c r="DL1245" s="18"/>
      <c r="DM1245" s="18"/>
      <c r="DN1245" s="18"/>
      <c r="DO1245" s="18"/>
      <c r="DP1245" s="18"/>
      <c r="DQ1245" s="18"/>
      <c r="DR1245" s="18"/>
      <c r="DS1245" s="18"/>
    </row>
    <row r="1246" spans="1:288" s="27" customFormat="1" ht="16" x14ac:dyDescent="0.2">
      <c r="A1246" s="18"/>
      <c r="B1246" s="18">
        <v>2017</v>
      </c>
      <c r="C1246" s="65">
        <v>42976</v>
      </c>
      <c r="D1246" s="37" t="str">
        <f>CONCATENATE(J1246,"-",C1246)</f>
        <v>1389-42976</v>
      </c>
      <c r="E1246" s="37" t="str">
        <f>CONCATENATE(T1246,"-",U1246,"-",C1246)</f>
        <v>PO1-H1-42976</v>
      </c>
      <c r="F1246" s="37" t="s">
        <v>224</v>
      </c>
      <c r="G1246" s="65" t="s">
        <v>107</v>
      </c>
      <c r="H1246" s="25"/>
      <c r="I1246" s="16"/>
      <c r="J1246" s="42">
        <v>1389</v>
      </c>
      <c r="K1246" s="42">
        <v>2302</v>
      </c>
      <c r="L1246" s="18">
        <v>0</v>
      </c>
      <c r="M1246" s="36">
        <f>VLOOKUP($K1246,'[4]blood tubes 2017'!$D$1:$L$947,8,FALSE)</f>
        <v>0</v>
      </c>
      <c r="N1246" s="42">
        <v>0</v>
      </c>
      <c r="O1246" s="15" t="s">
        <v>214</v>
      </c>
      <c r="P1246" s="16"/>
      <c r="Q1246" s="16">
        <f t="shared" si="0"/>
        <v>0</v>
      </c>
      <c r="R1246" s="16" t="str">
        <f t="shared" si="5"/>
        <v/>
      </c>
      <c r="S1246" s="25"/>
      <c r="T1246" s="25" t="s">
        <v>112</v>
      </c>
      <c r="U1246" s="25" t="s">
        <v>191</v>
      </c>
      <c r="V1246" s="25" t="s">
        <v>114</v>
      </c>
      <c r="W1246" s="23">
        <f>AI1246/AG1246</f>
        <v>0.76041666666666663</v>
      </c>
      <c r="X1246" s="25" t="s">
        <v>121</v>
      </c>
      <c r="Y1246" s="25" t="s">
        <v>110</v>
      </c>
      <c r="Z1246" s="25">
        <v>3</v>
      </c>
      <c r="AA1246" s="25" t="s">
        <v>161</v>
      </c>
      <c r="AB1246" s="25" t="s">
        <v>239</v>
      </c>
      <c r="AC1246" s="25" t="s">
        <v>123</v>
      </c>
      <c r="AD1246" s="25" t="s">
        <v>116</v>
      </c>
      <c r="AE1246" s="25"/>
      <c r="AF1246" s="25"/>
      <c r="AG1246" s="25">
        <v>96</v>
      </c>
      <c r="AH1246" s="25">
        <v>169</v>
      </c>
      <c r="AI1246" s="25">
        <v>73</v>
      </c>
      <c r="AJ1246" s="25"/>
      <c r="AK1246" s="25">
        <v>31</v>
      </c>
      <c r="AL1246" s="25">
        <v>0</v>
      </c>
      <c r="AM1246" s="25">
        <v>0</v>
      </c>
      <c r="AN1246" s="25">
        <v>1</v>
      </c>
      <c r="AO1246" s="25">
        <v>1</v>
      </c>
      <c r="AP1246" s="25">
        <f>SUM(AL1246:AN1246)</f>
        <v>1</v>
      </c>
      <c r="AQ1246" s="25">
        <v>2.0640000000000001</v>
      </c>
      <c r="AR1246" s="25">
        <f>AP1246-1.472</f>
        <v>-0.47199999999999998</v>
      </c>
      <c r="AS1246" s="25">
        <f>AQ1246-1.472</f>
        <v>0.59200000000000008</v>
      </c>
      <c r="AT1246" s="16" t="str">
        <f>VLOOKUP(E1246,[2]Current!$A$1:$W$435,7,FALSE)</f>
        <v>JY</v>
      </c>
      <c r="AU1246" s="16" t="s">
        <v>1288</v>
      </c>
      <c r="AV1246" s="23"/>
      <c r="AW1246" s="128">
        <f>IF(AX1246&gt;0,1,0)</f>
        <v>1</v>
      </c>
      <c r="AX1246" s="128">
        <f>SUM(BA1246,BM1246,CU1246)</f>
        <v>69</v>
      </c>
      <c r="AY1246" s="128">
        <f>SUM(BB1246,BN1246,CV1246)</f>
        <v>199.32432432432427</v>
      </c>
      <c r="AZ1246" s="128">
        <f>IF(BA1246&gt;0,1,0)</f>
        <v>1</v>
      </c>
      <c r="BA1246" s="128">
        <f>SUM(BC1246+BF1246+BI1246)</f>
        <v>3</v>
      </c>
      <c r="BB1246" s="128">
        <f>SUM(BE1246,BH1246,BK1246)</f>
        <v>87.83783783783781</v>
      </c>
      <c r="BC1246" s="130">
        <f>IF(BD1246&gt;0,1,0)</f>
        <v>1</v>
      </c>
      <c r="BD1246" s="128">
        <f>VLOOKUP($E1246,[2]Current!$A:$AC,26,FALSE)</f>
        <v>2</v>
      </c>
      <c r="BE1246" s="128">
        <f>BD1246/$AS1246</f>
        <v>3.3783783783783781</v>
      </c>
      <c r="BF1246" s="130">
        <f>IF(BG1246&gt;0,1,0)</f>
        <v>1</v>
      </c>
      <c r="BG1246" s="137">
        <f>VLOOKUP($E1246,[2]Current!$A:$AC,27,FALSE)</f>
        <v>48</v>
      </c>
      <c r="BH1246" s="128">
        <f>BG1246/$AS1246</f>
        <v>81.081081081081066</v>
      </c>
      <c r="BI1246" s="130">
        <f>IF(BJ1246&gt;0,1,0)</f>
        <v>1</v>
      </c>
      <c r="BJ1246" s="128">
        <f>VLOOKUP($E1246,[2]Current!$A:$AC,28,FALSE)</f>
        <v>2</v>
      </c>
      <c r="BK1246" s="128">
        <f>BJ1246/$AS1246</f>
        <v>3.3783783783783781</v>
      </c>
      <c r="BL1246" s="128">
        <f>IF(BM1246&gt;0,1,0)</f>
        <v>0</v>
      </c>
      <c r="BM1246" s="128">
        <f>SUM(BR1246,BU1246,BX1246,CA1246,CD1246)</f>
        <v>0</v>
      </c>
      <c r="BN1246" s="131">
        <f>SUM(BT1246,BW1246,BZ1246,CC1246,CF1246)</f>
        <v>0</v>
      </c>
      <c r="BO1246" s="128">
        <f>IF(BP1246&gt;0,1,0)</f>
        <v>0</v>
      </c>
      <c r="BP1246" s="128">
        <f>BM1246+CJ1246</f>
        <v>0</v>
      </c>
      <c r="BQ1246" s="128">
        <f>BN1246+CL1246</f>
        <v>0</v>
      </c>
      <c r="BR1246" s="130">
        <f>IF(BS1246&gt;0,1,0)</f>
        <v>0</v>
      </c>
      <c r="BS1246" s="128">
        <f>VLOOKUP($E1246,[2]Current!$A:$AC,12,FALSE)</f>
        <v>0</v>
      </c>
      <c r="BT1246" s="137">
        <f>BS1246/$AS1246</f>
        <v>0</v>
      </c>
      <c r="BU1246" s="130">
        <f>IF(BV1246&gt;0,1,0)</f>
        <v>0</v>
      </c>
      <c r="BV1246" s="128">
        <f>VLOOKUP($E1246,[2]Current!$A:$AC,13,FALSE)</f>
        <v>0</v>
      </c>
      <c r="BW1246" s="128">
        <f>BV1246/$AS1246</f>
        <v>0</v>
      </c>
      <c r="BX1246" s="130">
        <f>IF(BY1246&gt;0,1,0)</f>
        <v>0</v>
      </c>
      <c r="BY1246" s="128">
        <f>VLOOKUP($E1246,[2]Current!$A:$AC,14,FALSE)</f>
        <v>0</v>
      </c>
      <c r="BZ1246" s="128">
        <f>BY1246/$AS1246</f>
        <v>0</v>
      </c>
      <c r="CA1246" s="130">
        <f>IF(CB1246&gt;0,1,0)</f>
        <v>0</v>
      </c>
      <c r="CB1246" s="128">
        <f>VLOOKUP($E1246,[2]Current!$A:$AC,15,FALSE)</f>
        <v>0</v>
      </c>
      <c r="CC1246" s="128">
        <f>CB1246/$AS1246</f>
        <v>0</v>
      </c>
      <c r="CD1246" s="174">
        <f>IF(CE1246&gt;0,1,0)</f>
        <v>0</v>
      </c>
      <c r="CE1246" s="128">
        <f>VLOOKUP($E1246,[2]Current!$A:$AC,16,FALSE)</f>
        <v>0</v>
      </c>
      <c r="CF1246" s="128">
        <f>CE1246/$AS1246</f>
        <v>0</v>
      </c>
      <c r="CG1246" s="18"/>
      <c r="CH1246" s="18"/>
      <c r="CI1246" s="18"/>
      <c r="CJ1246" s="130">
        <f>IF(CK1246&gt;0,1,0)</f>
        <v>0</v>
      </c>
      <c r="CK1246" s="128">
        <f>VLOOKUP($E1246,[2]Current!$A:$AC,18,FALSE)</f>
        <v>0</v>
      </c>
      <c r="CL1246" s="128">
        <f>CK1246/$AS1246</f>
        <v>0</v>
      </c>
      <c r="CM1246" s="16"/>
      <c r="CN1246" s="16"/>
      <c r="CO1246" s="16"/>
      <c r="CP1246" s="16"/>
      <c r="CQ1246" s="16"/>
      <c r="CR1246" s="16"/>
      <c r="CS1246" s="130">
        <f>IF(CU1246&gt;0,1,0)</f>
        <v>1</v>
      </c>
      <c r="CT1246" s="18"/>
      <c r="CU1246" s="128">
        <f>VLOOKUP($E1246,[2]Current!$A:$AC,17,FALSE)</f>
        <v>66</v>
      </c>
      <c r="CV1246" s="128">
        <f>CU1246/$AS1246</f>
        <v>111.48648648648647</v>
      </c>
      <c r="CW1246" s="18"/>
      <c r="CX1246" s="18"/>
      <c r="CY1246" s="18"/>
      <c r="CZ1246" s="16"/>
      <c r="DA1246" s="16"/>
      <c r="DB1246" s="16"/>
      <c r="DC1246" s="16"/>
      <c r="DD1246" s="16"/>
      <c r="DE1246" s="16"/>
      <c r="DF1246" s="16" t="e">
        <f>VLOOKUP(K1246,'[3]RNA Seq summary tables'!$V$3:$V$99,1,FALSE)</f>
        <v>#N/A</v>
      </c>
      <c r="DG1246" s="16"/>
      <c r="DH1246" s="16"/>
      <c r="DI1246" s="25"/>
      <c r="DJ1246" s="25"/>
      <c r="DK1246" s="25"/>
      <c r="DL1246" s="25"/>
      <c r="DM1246" s="25"/>
      <c r="DN1246" s="25"/>
      <c r="DO1246" s="25"/>
      <c r="DP1246" s="25"/>
      <c r="DQ1246" s="25"/>
      <c r="DR1246" s="25"/>
      <c r="DS1246" s="25"/>
      <c r="DT1246" s="25"/>
      <c r="DU1246" s="25"/>
      <c r="DV1246" s="25"/>
      <c r="DW1246" s="25"/>
      <c r="DX1246" s="25"/>
      <c r="DY1246" s="25"/>
      <c r="DZ1246" s="25"/>
      <c r="EA1246" s="25"/>
      <c r="EB1246" s="25"/>
      <c r="EC1246" s="25"/>
      <c r="ED1246" s="25"/>
      <c r="EE1246" s="25"/>
      <c r="EF1246" s="25"/>
      <c r="EG1246" s="25"/>
      <c r="EH1246" s="25"/>
      <c r="EI1246" s="25"/>
      <c r="EJ1246" s="25"/>
      <c r="EK1246" s="25"/>
      <c r="EL1246" s="25"/>
      <c r="EM1246" s="25"/>
      <c r="EN1246" s="25"/>
      <c r="EO1246" s="25"/>
      <c r="EP1246" s="25"/>
      <c r="EQ1246" s="25"/>
      <c r="ER1246" s="25"/>
      <c r="ES1246" s="25"/>
      <c r="ET1246" s="25"/>
      <c r="EU1246" s="25"/>
      <c r="EV1246" s="25"/>
      <c r="EW1246" s="25"/>
      <c r="EX1246" s="25"/>
      <c r="EY1246" s="25"/>
      <c r="EZ1246" s="25"/>
      <c r="FA1246" s="25"/>
      <c r="FB1246" s="25"/>
      <c r="FC1246" s="25"/>
      <c r="FD1246" s="25"/>
      <c r="FE1246" s="25"/>
      <c r="FF1246" s="25"/>
      <c r="FG1246" s="25"/>
      <c r="FH1246" s="25"/>
      <c r="FI1246" s="25"/>
      <c r="FJ1246" s="25"/>
      <c r="FK1246" s="25"/>
      <c r="FL1246" s="25"/>
      <c r="FM1246" s="25"/>
      <c r="FN1246" s="25"/>
      <c r="FO1246" s="25"/>
      <c r="FP1246" s="25"/>
      <c r="FQ1246" s="25"/>
      <c r="FR1246" s="25"/>
      <c r="FS1246" s="25"/>
      <c r="FT1246" s="25"/>
      <c r="FU1246" s="25"/>
      <c r="FV1246" s="25"/>
      <c r="FW1246" s="25"/>
      <c r="FX1246" s="25"/>
      <c r="FY1246" s="25"/>
      <c r="FZ1246" s="25"/>
      <c r="GA1246" s="25"/>
      <c r="GB1246" s="25"/>
      <c r="GC1246" s="25"/>
      <c r="GD1246" s="25"/>
      <c r="GE1246" s="25"/>
      <c r="GF1246" s="25"/>
      <c r="GG1246" s="25"/>
      <c r="GH1246" s="25"/>
      <c r="GI1246" s="25"/>
      <c r="GJ1246" s="25"/>
      <c r="GK1246" s="25"/>
      <c r="GL1246" s="25"/>
      <c r="GM1246" s="25"/>
      <c r="GN1246" s="25"/>
      <c r="GO1246" s="25"/>
      <c r="GP1246" s="25"/>
      <c r="GQ1246" s="25"/>
      <c r="GR1246" s="25"/>
      <c r="GS1246" s="25"/>
      <c r="GT1246" s="25"/>
      <c r="GU1246" s="25"/>
      <c r="GV1246" s="25"/>
      <c r="GW1246" s="25"/>
      <c r="GX1246" s="25"/>
      <c r="GY1246" s="25"/>
      <c r="GZ1246" s="25"/>
      <c r="HA1246" s="25"/>
      <c r="HB1246" s="25"/>
      <c r="HC1246" s="25"/>
      <c r="HD1246" s="25"/>
      <c r="HE1246" s="25"/>
      <c r="HF1246" s="25"/>
      <c r="HG1246" s="25"/>
      <c r="HH1246" s="25"/>
      <c r="HI1246" s="25"/>
      <c r="HJ1246" s="25"/>
      <c r="HK1246" s="25"/>
      <c r="HL1246" s="25"/>
      <c r="HM1246" s="25"/>
      <c r="HN1246" s="25"/>
      <c r="HO1246" s="25"/>
      <c r="HP1246" s="25"/>
      <c r="HQ1246" s="25"/>
      <c r="HR1246" s="25"/>
      <c r="HS1246" s="25"/>
      <c r="HT1246" s="25"/>
      <c r="HU1246" s="25"/>
      <c r="HV1246" s="25"/>
      <c r="HW1246" s="25"/>
      <c r="HX1246" s="25"/>
      <c r="HY1246" s="25"/>
      <c r="HZ1246" s="25"/>
      <c r="IA1246" s="25"/>
      <c r="IB1246" s="25"/>
      <c r="IC1246" s="25"/>
      <c r="ID1246" s="25"/>
      <c r="IE1246" s="25"/>
      <c r="IF1246" s="25"/>
      <c r="IG1246" s="25"/>
      <c r="IH1246" s="25"/>
      <c r="II1246" s="25"/>
      <c r="IJ1246" s="25"/>
      <c r="IK1246" s="25"/>
      <c r="IL1246" s="25"/>
      <c r="IM1246" s="25"/>
      <c r="IN1246" s="25"/>
      <c r="IO1246" s="25"/>
      <c r="IP1246" s="25"/>
      <c r="IQ1246" s="25"/>
      <c r="IR1246" s="25"/>
      <c r="IS1246" s="25"/>
      <c r="IT1246" s="25"/>
      <c r="IU1246" s="25"/>
      <c r="IV1246" s="25"/>
      <c r="IW1246" s="25"/>
      <c r="IX1246" s="25"/>
      <c r="IY1246" s="25"/>
      <c r="IZ1246" s="25"/>
      <c r="JA1246" s="25"/>
      <c r="JB1246" s="25"/>
      <c r="JC1246" s="25"/>
      <c r="JD1246" s="25"/>
      <c r="JE1246" s="25"/>
      <c r="JF1246" s="25"/>
      <c r="JG1246" s="25"/>
      <c r="JH1246" s="25"/>
      <c r="JI1246" s="25"/>
      <c r="JJ1246" s="25"/>
      <c r="JK1246" s="25"/>
      <c r="JL1246" s="25"/>
      <c r="JM1246" s="25"/>
      <c r="JN1246" s="25"/>
      <c r="JO1246" s="16"/>
      <c r="JP1246" s="16"/>
      <c r="JQ1246" s="16"/>
      <c r="JR1246" s="16"/>
      <c r="JS1246" s="16"/>
      <c r="JT1246" s="16"/>
      <c r="JU1246" s="16"/>
      <c r="JV1246" s="16"/>
      <c r="JW1246" s="16"/>
      <c r="JX1246" s="16"/>
      <c r="JY1246" s="16"/>
      <c r="JZ1246" s="16"/>
      <c r="KA1246" s="16"/>
      <c r="KB1246" s="16"/>
    </row>
    <row r="1247" spans="1:288" s="27" customFormat="1" x14ac:dyDescent="0.2">
      <c r="A1247" s="18"/>
      <c r="B1247" s="18">
        <v>2017</v>
      </c>
      <c r="C1247" s="37">
        <v>42976</v>
      </c>
      <c r="D1247" s="37" t="str">
        <f>CONCATENATE(J1247,"-",C1247)</f>
        <v>1390-42976</v>
      </c>
      <c r="E1247" s="20" t="str">
        <f>CONCATENATE(T1247,"-",U1247,"-",C1247)</f>
        <v>PO2-F1-42976</v>
      </c>
      <c r="F1247" s="37" t="s">
        <v>224</v>
      </c>
      <c r="G1247" s="37" t="s">
        <v>107</v>
      </c>
      <c r="H1247" s="18"/>
      <c r="I1247" s="16">
        <v>0</v>
      </c>
      <c r="J1247" s="36">
        <v>1390</v>
      </c>
      <c r="K1247" s="36">
        <v>2307</v>
      </c>
      <c r="L1247" s="18">
        <v>0</v>
      </c>
      <c r="M1247" s="21">
        <f>VLOOKUP($K1247,'[4]blood tubes 2017'!$D$1:$L$947,8,FALSE)</f>
        <v>0</v>
      </c>
      <c r="N1247" s="15">
        <v>0</v>
      </c>
      <c r="O1247" s="15" t="s">
        <v>214</v>
      </c>
      <c r="P1247" s="16"/>
      <c r="Q1247" s="16">
        <f t="shared" si="0"/>
        <v>0</v>
      </c>
      <c r="R1247" s="16" t="str">
        <f t="shared" si="5"/>
        <v/>
      </c>
      <c r="S1247" s="18"/>
      <c r="T1247" s="18" t="s">
        <v>127</v>
      </c>
      <c r="U1247" s="18" t="s">
        <v>217</v>
      </c>
      <c r="V1247" s="18" t="s">
        <v>114</v>
      </c>
      <c r="W1247" s="16">
        <f>AI1247/AG1247</f>
        <v>0.85333333333333339</v>
      </c>
      <c r="X1247" s="18" t="s">
        <v>121</v>
      </c>
      <c r="Y1247" s="18" t="s">
        <v>145</v>
      </c>
      <c r="Z1247" s="18">
        <v>1</v>
      </c>
      <c r="AA1247" s="18" t="s">
        <v>119</v>
      </c>
      <c r="AB1247" s="18" t="s">
        <v>123</v>
      </c>
      <c r="AC1247" s="18" t="s">
        <v>123</v>
      </c>
      <c r="AD1247" s="18" t="s">
        <v>123</v>
      </c>
      <c r="AE1247" s="18"/>
      <c r="AF1247" s="18"/>
      <c r="AG1247" s="18">
        <f>AH1247-AI1247</f>
        <v>75</v>
      </c>
      <c r="AH1247" s="18">
        <v>139</v>
      </c>
      <c r="AI1247" s="18">
        <v>64</v>
      </c>
      <c r="AJ1247" s="18"/>
      <c r="AK1247" s="18">
        <v>9.5</v>
      </c>
      <c r="AL1247" s="18">
        <v>0</v>
      </c>
      <c r="AM1247" s="18">
        <v>0</v>
      </c>
      <c r="AN1247" s="18">
        <v>0</v>
      </c>
      <c r="AO1247" s="18">
        <v>0</v>
      </c>
      <c r="AP1247" s="18">
        <f>SUM(AL1247:AN1247)</f>
        <v>0</v>
      </c>
      <c r="AQ1247" s="18"/>
      <c r="AR1247" s="18"/>
      <c r="AS1247" s="18"/>
      <c r="AT1247" s="18" t="s">
        <v>252</v>
      </c>
      <c r="AU1247" s="18"/>
      <c r="AV1247" s="18"/>
      <c r="AW1247" s="18"/>
      <c r="AX1247" s="18"/>
      <c r="AY1247" s="18"/>
      <c r="AZ1247" s="18"/>
      <c r="BA1247" s="18"/>
      <c r="BB1247" s="18"/>
      <c r="BC1247" s="18"/>
      <c r="BD1247" s="18"/>
      <c r="BE1247" s="18"/>
      <c r="BF1247" s="18"/>
      <c r="BG1247" s="78"/>
      <c r="BH1247" s="18"/>
      <c r="BI1247" s="18"/>
      <c r="BJ1247" s="18"/>
      <c r="BK1247" s="18"/>
      <c r="BL1247" s="18"/>
      <c r="BM1247" s="18"/>
      <c r="BN1247" s="18"/>
      <c r="BO1247" s="18"/>
      <c r="BP1247" s="18"/>
      <c r="BQ1247" s="18"/>
      <c r="BR1247" s="18"/>
      <c r="BS1247" s="18"/>
      <c r="BT1247" s="78"/>
      <c r="BU1247" s="18"/>
      <c r="BV1247" s="18"/>
      <c r="BW1247" s="18"/>
      <c r="BX1247" s="18"/>
      <c r="BY1247" s="18"/>
      <c r="BZ1247" s="18"/>
      <c r="CA1247" s="18"/>
      <c r="CB1247" s="18"/>
      <c r="CC1247" s="18"/>
      <c r="CD1247" s="7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6" t="e">
        <f>VLOOKUP(K1247,'[3]RNA Seq summary tables'!$V$3:$V$99,1,FALSE)</f>
        <v>#N/A</v>
      </c>
      <c r="DG1247" s="16"/>
      <c r="DH1247" s="16"/>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18"/>
      <c r="EQ1247" s="18"/>
      <c r="ER1247" s="18"/>
      <c r="ES1247" s="18"/>
      <c r="ET1247" s="18"/>
      <c r="EU1247" s="18"/>
      <c r="EV1247" s="18"/>
      <c r="EW1247" s="18"/>
      <c r="EX1247" s="18"/>
      <c r="EY1247" s="18"/>
      <c r="EZ1247" s="18"/>
      <c r="FA1247" s="18"/>
      <c r="FB1247" s="18"/>
      <c r="FC1247" s="18"/>
      <c r="FD1247" s="18"/>
      <c r="FE1247" s="18"/>
      <c r="FF1247" s="18"/>
      <c r="FG1247" s="18"/>
      <c r="FH1247" s="18"/>
      <c r="FI1247" s="18"/>
      <c r="FJ1247" s="18"/>
      <c r="FK1247" s="18"/>
      <c r="FL1247" s="18"/>
      <c r="FM1247" s="18"/>
      <c r="FN1247" s="18"/>
      <c r="FO1247" s="18"/>
      <c r="FP1247" s="18"/>
      <c r="FQ1247" s="18"/>
      <c r="FR1247" s="18"/>
      <c r="FS1247" s="18"/>
      <c r="FT1247" s="18"/>
      <c r="FU1247" s="18"/>
      <c r="FV1247" s="18"/>
      <c r="FW1247" s="18"/>
      <c r="FX1247" s="18"/>
      <c r="FY1247" s="18"/>
      <c r="FZ1247" s="18"/>
      <c r="GA1247" s="18"/>
      <c r="GB1247" s="18"/>
      <c r="GC1247" s="18"/>
      <c r="GD1247" s="18"/>
      <c r="GE1247" s="18"/>
      <c r="GF1247" s="18"/>
      <c r="GG1247" s="18"/>
      <c r="GH1247" s="18"/>
      <c r="GI1247" s="18"/>
      <c r="GJ1247" s="18"/>
      <c r="GK1247" s="18"/>
      <c r="GL1247" s="18"/>
      <c r="GM1247" s="18"/>
      <c r="GN1247" s="18"/>
      <c r="GO1247" s="18"/>
      <c r="GP1247" s="18"/>
      <c r="GQ1247" s="18"/>
      <c r="GR1247" s="18"/>
      <c r="GS1247" s="18"/>
      <c r="GT1247" s="18"/>
      <c r="GU1247" s="18"/>
      <c r="GV1247" s="18"/>
      <c r="GW1247" s="18"/>
      <c r="GX1247" s="18"/>
      <c r="GY1247" s="18"/>
      <c r="GZ1247" s="18"/>
      <c r="HA1247" s="18"/>
      <c r="HB1247" s="18"/>
      <c r="HC1247" s="18"/>
      <c r="HD1247" s="18"/>
      <c r="HE1247" s="18"/>
      <c r="HF1247" s="18"/>
      <c r="HG1247" s="18"/>
      <c r="HH1247" s="18"/>
      <c r="HI1247" s="18"/>
      <c r="HJ1247" s="18"/>
      <c r="HK1247" s="18"/>
      <c r="HL1247" s="18"/>
      <c r="HM1247" s="18"/>
      <c r="HN1247" s="18"/>
      <c r="HO1247" s="18"/>
      <c r="HP1247" s="18"/>
      <c r="HQ1247" s="18"/>
      <c r="HR1247" s="18"/>
      <c r="HS1247" s="18"/>
      <c r="HT1247" s="18"/>
      <c r="HU1247" s="18"/>
      <c r="HV1247" s="18"/>
      <c r="HW1247" s="18"/>
      <c r="HX1247" s="18"/>
      <c r="HY1247" s="18"/>
      <c r="HZ1247" s="18"/>
      <c r="IA1247" s="18"/>
      <c r="IB1247" s="18"/>
      <c r="IC1247" s="18"/>
      <c r="ID1247" s="18"/>
      <c r="IE1247" s="18"/>
      <c r="IF1247" s="18"/>
      <c r="IG1247" s="18"/>
      <c r="IH1247" s="18"/>
      <c r="II1247" s="18"/>
      <c r="IJ1247" s="18"/>
      <c r="IK1247" s="18"/>
      <c r="IL1247" s="18"/>
      <c r="IM1247" s="18"/>
      <c r="IN1247" s="18"/>
      <c r="IO1247" s="18"/>
      <c r="IP1247" s="18"/>
      <c r="IQ1247" s="18"/>
      <c r="IR1247" s="18"/>
      <c r="IS1247" s="18"/>
      <c r="IT1247" s="18"/>
      <c r="IU1247" s="18"/>
      <c r="IV1247" s="18"/>
      <c r="IW1247" s="18"/>
      <c r="IX1247" s="18"/>
      <c r="IY1247" s="18"/>
      <c r="IZ1247" s="18"/>
      <c r="JA1247" s="18"/>
      <c r="JB1247" s="18"/>
      <c r="JC1247" s="18"/>
      <c r="JD1247" s="18"/>
      <c r="JE1247" s="18"/>
      <c r="JF1247" s="18"/>
      <c r="JG1247" s="18"/>
      <c r="JH1247" s="18"/>
      <c r="JI1247" s="18"/>
      <c r="JJ1247" s="18"/>
      <c r="JK1247" s="18"/>
      <c r="JL1247" s="18"/>
      <c r="JM1247" s="18"/>
      <c r="JN1247" s="18"/>
      <c r="JO1247" s="16"/>
      <c r="JP1247" s="16"/>
      <c r="JQ1247" s="16"/>
      <c r="JR1247" s="16"/>
      <c r="JS1247" s="16"/>
      <c r="JT1247" s="16"/>
      <c r="JU1247" s="16"/>
      <c r="JV1247" s="16"/>
      <c r="JW1247" s="16"/>
      <c r="JX1247" s="16"/>
      <c r="JY1247" s="16"/>
      <c r="JZ1247" s="16"/>
      <c r="KA1247" s="16"/>
      <c r="KB1247" s="16"/>
    </row>
    <row r="1248" spans="1:288" s="27" customFormat="1" x14ac:dyDescent="0.2">
      <c r="A1248" s="18"/>
      <c r="B1248" s="18">
        <v>2017</v>
      </c>
      <c r="C1248" s="65">
        <v>42976</v>
      </c>
      <c r="D1248" s="37" t="str">
        <f>CONCATENATE(J1248,"-",C1248)</f>
        <v>1392-42976</v>
      </c>
      <c r="E1248" s="20" t="str">
        <f>CONCATENATE(T1248,"-",U1248,"-",C1248)</f>
        <v>PO2-H3-42976</v>
      </c>
      <c r="F1248" s="37" t="s">
        <v>224</v>
      </c>
      <c r="G1248" s="65" t="s">
        <v>107</v>
      </c>
      <c r="H1248" s="25"/>
      <c r="I1248" s="16">
        <v>0</v>
      </c>
      <c r="J1248" s="42">
        <v>1392</v>
      </c>
      <c r="K1248" s="42">
        <v>2311</v>
      </c>
      <c r="L1248" s="18">
        <v>0</v>
      </c>
      <c r="M1248" s="21">
        <f>VLOOKUP($K1248,'[4]blood tubes 2017'!$D$1:$L$947,8,FALSE)</f>
        <v>0</v>
      </c>
      <c r="N1248" s="15">
        <v>0</v>
      </c>
      <c r="O1248" s="15" t="s">
        <v>214</v>
      </c>
      <c r="P1248" s="16"/>
      <c r="Q1248" s="16">
        <f t="shared" si="0"/>
        <v>0</v>
      </c>
      <c r="R1248" s="16" t="str">
        <f t="shared" si="5"/>
        <v/>
      </c>
      <c r="S1248" s="25"/>
      <c r="T1248" s="25" t="s">
        <v>127</v>
      </c>
      <c r="U1248" s="25" t="s">
        <v>174</v>
      </c>
      <c r="V1248" s="25" t="s">
        <v>114</v>
      </c>
      <c r="W1248" s="23">
        <f>AI1248/AG1248</f>
        <v>0.84210526315789469</v>
      </c>
      <c r="X1248" s="25" t="s">
        <v>121</v>
      </c>
      <c r="Y1248" s="25" t="s">
        <v>110</v>
      </c>
      <c r="Z1248" s="25">
        <v>3</v>
      </c>
      <c r="AA1248" s="25" t="s">
        <v>119</v>
      </c>
      <c r="AB1248" s="25" t="s">
        <v>240</v>
      </c>
      <c r="AC1248" s="25" t="s">
        <v>116</v>
      </c>
      <c r="AD1248" s="25" t="s">
        <v>116</v>
      </c>
      <c r="AE1248" s="25"/>
      <c r="AF1248" s="25"/>
      <c r="AG1248" s="25">
        <f>AH1248-AI1248</f>
        <v>95</v>
      </c>
      <c r="AH1248" s="25">
        <v>175</v>
      </c>
      <c r="AI1248" s="25">
        <v>80</v>
      </c>
      <c r="AJ1248" s="25"/>
      <c r="AK1248" s="25">
        <v>32.5</v>
      </c>
      <c r="AL1248" s="25">
        <v>1</v>
      </c>
      <c r="AM1248" s="25">
        <v>0</v>
      </c>
      <c r="AN1248" s="25">
        <v>0</v>
      </c>
      <c r="AO1248" s="25">
        <v>1</v>
      </c>
      <c r="AP1248" s="25">
        <f>SUM(AL1248:AN1248)</f>
        <v>1</v>
      </c>
      <c r="AQ1248" s="25">
        <v>2.1949999999999998</v>
      </c>
      <c r="AR1248" s="25">
        <f>AP1248-1.472</f>
        <v>-0.47199999999999998</v>
      </c>
      <c r="AS1248" s="25">
        <f>AQ1248-1.472</f>
        <v>0.72299999999999986</v>
      </c>
      <c r="AT1248" s="18" t="str">
        <f>VLOOKUP(K1248,'[5]FECs - good data'!$C$1:$P$575,13,FALSE)</f>
        <v>TE</v>
      </c>
      <c r="AU1248" s="18"/>
      <c r="AV1248" s="18"/>
      <c r="AW1248" s="18">
        <f>IF(AX1248&gt;0,1,0)</f>
        <v>1</v>
      </c>
      <c r="AX1248" s="18">
        <f>SUM(BA1248,BM1248,CT1248)</f>
        <v>2</v>
      </c>
      <c r="AY1248" s="18">
        <f>SUM(BB1248,BN1248,CV1248)</f>
        <v>6.9156293222683276</v>
      </c>
      <c r="AZ1248" s="18">
        <f>IF(BA1248&gt;0,1,0)</f>
        <v>0</v>
      </c>
      <c r="BA1248" s="18">
        <f>SUM(BC1248,BF1248,BI1248)</f>
        <v>0</v>
      </c>
      <c r="BB1248" s="18">
        <f>SUM(BE1248,BH1248,BK1248)</f>
        <v>0</v>
      </c>
      <c r="BC1248" s="18">
        <f>IF(BD1248&gt;0,1,0)</f>
        <v>0</v>
      </c>
      <c r="BD1248" s="18">
        <f>VLOOKUP($K1248,'[5]FECs - good data'!$C$1:$Z$574,14,FALSE)</f>
        <v>0</v>
      </c>
      <c r="BE1248" s="18">
        <f>BD1248/AS1248</f>
        <v>0</v>
      </c>
      <c r="BF1248" s="18">
        <f>IF(BG1248&gt;0,1,0)</f>
        <v>0</v>
      </c>
      <c r="BG1248" s="78">
        <f>VLOOKUP($K1248,'[5]FECs - good data'!$C$1:$Z$574,15,FALSE)</f>
        <v>0</v>
      </c>
      <c r="BH1248" s="18">
        <f>BG1248/AS1248</f>
        <v>0</v>
      </c>
      <c r="BI1248" s="18">
        <f>IF(BJ1248&gt;0,1,0)</f>
        <v>0</v>
      </c>
      <c r="BJ1248" s="18">
        <f>VLOOKUP($K1248,'[5]FECs - good data'!$C$1:$Z$574,16,FALSE)</f>
        <v>0</v>
      </c>
      <c r="BK1248" s="18">
        <f>BJ1248/AS1248</f>
        <v>0</v>
      </c>
      <c r="BL1248" s="18">
        <f>IF(BM1248&gt;0,1,0)</f>
        <v>1</v>
      </c>
      <c r="BM1248" s="18">
        <f>SUM(BR1248,BU1248,BX1248,CA1248,CD1248,CG1248,CJ1248,CM1248,CP1248)</f>
        <v>2</v>
      </c>
      <c r="BN1248" s="18">
        <f>SUM(BW1248,BZ1248,CC1248,CF1248,CI1248,CL1248,CO1248,CR1248,BT1248)</f>
        <v>6.9156293222683276</v>
      </c>
      <c r="BO1248" s="16">
        <f>IF(BP1248&gt;0,1,0)</f>
        <v>1</v>
      </c>
      <c r="BP1248" s="16">
        <f>SUM(BU1248,BX1248,CA1248,CD1248,BR1248)</f>
        <v>1</v>
      </c>
      <c r="BQ1248" s="16">
        <f>SUM(BZ1248,CC1248,CF1248,BT1248,BW1248)</f>
        <v>5.5325034578146619</v>
      </c>
      <c r="BR1248" s="18">
        <f>IF(BS1248&gt;0,1,0)</f>
        <v>0</v>
      </c>
      <c r="BS1248" s="18">
        <f>VLOOKUP($K1248,'[5]FECs - good data'!$C$1:$Z$574,17,FALSE)</f>
        <v>0</v>
      </c>
      <c r="BT1248" s="78">
        <f>BS1248/AS1248</f>
        <v>0</v>
      </c>
      <c r="BU1248" s="18">
        <f>IF(BV1248&gt;0,1,0)</f>
        <v>0</v>
      </c>
      <c r="BV1248" s="18">
        <f>VLOOKUP($K1248,'[5]FECs - good data'!$C$1:$Z$574,18,FALSE)</f>
        <v>0</v>
      </c>
      <c r="BW1248" s="18">
        <f>BV1248/AS1248</f>
        <v>0</v>
      </c>
      <c r="BX1248" s="18">
        <f>IF(BY1248&gt;0,1,0)</f>
        <v>0</v>
      </c>
      <c r="BY1248" s="18">
        <f>VLOOKUP($K1248,'[5]FECs - good data'!$C$1:$Z$574,19,FALSE)</f>
        <v>0</v>
      </c>
      <c r="BZ1248" s="18">
        <f>BY1248/AS1248</f>
        <v>0</v>
      </c>
      <c r="CA1248" s="18">
        <f>IF(CB1248&gt;0,1,0)</f>
        <v>1</v>
      </c>
      <c r="CB1248" s="18">
        <f>VLOOKUP($K1248,'[5]FECs - good data'!$C$1:$Z$574,20,FALSE)</f>
        <v>4</v>
      </c>
      <c r="CC1248" s="18">
        <f>CB1248/AS1248</f>
        <v>5.5325034578146619</v>
      </c>
      <c r="CD1248" s="78">
        <f>IF(CE1248&gt;0,1,0)</f>
        <v>0</v>
      </c>
      <c r="CE1248" s="18">
        <f>VLOOKUP($K1248,'[5]FECs - good data'!$C$1:$Z$574,21,FALSE)</f>
        <v>0</v>
      </c>
      <c r="CF1248" s="18">
        <f>CE1248/AS1248</f>
        <v>0</v>
      </c>
      <c r="CG1248" s="18">
        <f>IF(CH1248&gt;0,1,0)</f>
        <v>0</v>
      </c>
      <c r="CH1248" s="18">
        <f>VLOOKUP($K1248,'[5]FECs - good data'!$C$1:$Z$574,22,FALSE)</f>
        <v>0</v>
      </c>
      <c r="CI1248" s="18">
        <f>CH1248/AS1248</f>
        <v>0</v>
      </c>
      <c r="CJ1248" s="18">
        <f>IF(CK1248&gt;0,1,0)</f>
        <v>1</v>
      </c>
      <c r="CK1248" s="18">
        <f>VLOOKUP($K1248,'[5]FECs - good data'!$C$1:$Z$674,24,FALSE)</f>
        <v>1</v>
      </c>
      <c r="CL1248" s="18">
        <f>CK1248/AS1248</f>
        <v>1.3831258644536655</v>
      </c>
      <c r="CM1248" s="18"/>
      <c r="CN1248" s="18"/>
      <c r="CO1248" s="18"/>
      <c r="CP1248" s="18"/>
      <c r="CQ1248" s="18"/>
      <c r="CR1248" s="18"/>
      <c r="CS1248" s="18">
        <f>IF(CT1248&gt;0,1,0)</f>
        <v>0</v>
      </c>
      <c r="CT1248" s="18">
        <f>SUM(CW1248+CZ1248,DC1248)</f>
        <v>0</v>
      </c>
      <c r="CU1248" s="18"/>
      <c r="CV1248" s="18">
        <f>SUM(CY1248,DB1248,DE1248)</f>
        <v>0</v>
      </c>
      <c r="CW1248" s="18">
        <f>IF(CX1248&gt;0,1,0)</f>
        <v>0</v>
      </c>
      <c r="CX1248" s="18">
        <f>VLOOKUP($K1248,'[5]FECs - good data'!$C$1:$Z$574,22,FALSE)</f>
        <v>0</v>
      </c>
      <c r="CY1248" s="18">
        <f>CX1248/AS1248</f>
        <v>0</v>
      </c>
      <c r="CZ1248" s="18">
        <f>IF(DA1248&gt;0,1,0)</f>
        <v>0</v>
      </c>
      <c r="DA1248" s="18">
        <f>VLOOKUP($K1248,'[5]FECs - good data'!$C$1:$Z$5982,23,FALSE)</f>
        <v>0</v>
      </c>
      <c r="DB1248" s="18">
        <f>DA1248/AS1248</f>
        <v>0</v>
      </c>
      <c r="DC1248" s="25">
        <f>IF(DD1248&gt;0,1,0)</f>
        <v>0</v>
      </c>
      <c r="DD1248" s="25">
        <f>VLOOKUP($K1248,'[5]FECs - good data'!$C$1:$Z$574,23,FALSE)</f>
        <v>0</v>
      </c>
      <c r="DE1248" s="25">
        <f>DD1248/AS1248</f>
        <v>0</v>
      </c>
      <c r="DF1248" s="16" t="e">
        <f>VLOOKUP(K1248,'[3]RNA Seq summary tables'!$V$3:$V$99,1,FALSE)</f>
        <v>#N/A</v>
      </c>
      <c r="DG1248" s="16"/>
      <c r="DH1248" s="16"/>
      <c r="DI1248" s="25"/>
      <c r="DJ1248" s="25"/>
      <c r="DK1248" s="25"/>
      <c r="DL1248" s="25"/>
      <c r="DM1248" s="25"/>
      <c r="DN1248" s="25"/>
      <c r="DO1248" s="25"/>
      <c r="DP1248" s="25"/>
      <c r="DQ1248" s="25"/>
      <c r="DR1248" s="25"/>
      <c r="DS1248" s="25"/>
      <c r="DT1248" s="25"/>
      <c r="DU1248" s="25"/>
      <c r="DV1248" s="25"/>
      <c r="DW1248" s="25"/>
      <c r="DX1248" s="25"/>
      <c r="DY1248" s="25"/>
      <c r="DZ1248" s="25"/>
      <c r="EA1248" s="25"/>
      <c r="EB1248" s="25"/>
      <c r="EC1248" s="25"/>
      <c r="ED1248" s="25"/>
      <c r="EE1248" s="25"/>
      <c r="EF1248" s="25"/>
      <c r="EG1248" s="25"/>
      <c r="EH1248" s="25"/>
      <c r="EI1248" s="25"/>
      <c r="EJ1248" s="25"/>
      <c r="EK1248" s="25"/>
      <c r="EL1248" s="25"/>
      <c r="EM1248" s="25"/>
      <c r="EN1248" s="25"/>
      <c r="EO1248" s="25"/>
      <c r="EP1248" s="25"/>
      <c r="EQ1248" s="25"/>
      <c r="ER1248" s="25"/>
      <c r="ES1248" s="25"/>
      <c r="ET1248" s="25"/>
      <c r="EU1248" s="25"/>
      <c r="EV1248" s="25"/>
      <c r="EW1248" s="25"/>
      <c r="EX1248" s="25"/>
      <c r="EY1248" s="25"/>
      <c r="EZ1248" s="25"/>
      <c r="FA1248" s="25"/>
      <c r="FB1248" s="25"/>
      <c r="FC1248" s="25"/>
      <c r="FD1248" s="25"/>
      <c r="FE1248" s="25"/>
      <c r="FF1248" s="25"/>
      <c r="FG1248" s="25"/>
      <c r="FH1248" s="25"/>
      <c r="FI1248" s="25"/>
      <c r="FJ1248" s="25"/>
      <c r="FK1248" s="25"/>
      <c r="FL1248" s="25"/>
      <c r="FM1248" s="25"/>
      <c r="FN1248" s="25"/>
      <c r="FO1248" s="25"/>
      <c r="FP1248" s="25"/>
      <c r="FQ1248" s="25"/>
      <c r="FR1248" s="25"/>
      <c r="FS1248" s="25"/>
      <c r="FT1248" s="25"/>
      <c r="FU1248" s="25"/>
      <c r="FV1248" s="25"/>
      <c r="FW1248" s="25"/>
      <c r="FX1248" s="25"/>
      <c r="FY1248" s="25"/>
      <c r="FZ1248" s="25"/>
      <c r="GA1248" s="25"/>
      <c r="GB1248" s="25"/>
      <c r="GC1248" s="25"/>
      <c r="GD1248" s="25"/>
      <c r="GE1248" s="25"/>
      <c r="GF1248" s="25"/>
      <c r="GG1248" s="25"/>
      <c r="GH1248" s="25"/>
      <c r="GI1248" s="25"/>
      <c r="GJ1248" s="25"/>
      <c r="GK1248" s="25"/>
      <c r="GL1248" s="25"/>
      <c r="GM1248" s="25"/>
      <c r="GN1248" s="25"/>
      <c r="GO1248" s="25"/>
      <c r="GP1248" s="25"/>
      <c r="GQ1248" s="25"/>
      <c r="GR1248" s="25"/>
      <c r="GS1248" s="25"/>
      <c r="GT1248" s="25"/>
      <c r="GU1248" s="25"/>
      <c r="GV1248" s="25"/>
      <c r="GW1248" s="25"/>
      <c r="GX1248" s="25"/>
      <c r="GY1248" s="25"/>
      <c r="GZ1248" s="25"/>
      <c r="HA1248" s="25"/>
      <c r="HB1248" s="25"/>
      <c r="HC1248" s="25"/>
      <c r="HD1248" s="25"/>
      <c r="HE1248" s="25"/>
      <c r="HF1248" s="25"/>
      <c r="HG1248" s="25"/>
      <c r="HH1248" s="25"/>
      <c r="HI1248" s="25"/>
      <c r="HJ1248" s="25"/>
      <c r="HK1248" s="25"/>
      <c r="HL1248" s="25"/>
      <c r="HM1248" s="25"/>
      <c r="HN1248" s="25"/>
      <c r="HO1248" s="25"/>
      <c r="HP1248" s="25"/>
      <c r="HQ1248" s="25"/>
      <c r="HR1248" s="25"/>
      <c r="HS1248" s="25"/>
      <c r="HT1248" s="25"/>
      <c r="HU1248" s="25"/>
      <c r="HV1248" s="25"/>
      <c r="HW1248" s="25"/>
      <c r="HX1248" s="25"/>
      <c r="HY1248" s="25"/>
      <c r="HZ1248" s="25"/>
      <c r="IA1248" s="25"/>
      <c r="IB1248" s="25"/>
      <c r="IC1248" s="25"/>
      <c r="ID1248" s="25"/>
      <c r="IE1248" s="25"/>
      <c r="IF1248" s="25"/>
      <c r="IG1248" s="25"/>
      <c r="IH1248" s="25"/>
      <c r="II1248" s="25"/>
      <c r="IJ1248" s="25"/>
      <c r="IK1248" s="25"/>
      <c r="IL1248" s="25"/>
      <c r="IM1248" s="25"/>
      <c r="IN1248" s="25"/>
      <c r="IO1248" s="25"/>
      <c r="IP1248" s="25"/>
      <c r="IQ1248" s="25"/>
      <c r="IR1248" s="25"/>
      <c r="IS1248" s="25"/>
      <c r="IT1248" s="25"/>
      <c r="IU1248" s="25"/>
      <c r="IV1248" s="25"/>
      <c r="IW1248" s="25"/>
      <c r="IX1248" s="25"/>
      <c r="IY1248" s="25"/>
      <c r="IZ1248" s="25"/>
      <c r="JA1248" s="25"/>
      <c r="JB1248" s="25"/>
      <c r="JC1248" s="25"/>
      <c r="JD1248" s="25"/>
      <c r="JE1248" s="25"/>
      <c r="JF1248" s="25"/>
      <c r="JG1248" s="25"/>
      <c r="JH1248" s="25"/>
      <c r="JI1248" s="25"/>
      <c r="JJ1248" s="25"/>
      <c r="JK1248" s="25"/>
      <c r="JL1248" s="25"/>
      <c r="JM1248" s="25"/>
      <c r="JN1248" s="25"/>
      <c r="JO1248" s="18"/>
      <c r="JP1248" s="16"/>
      <c r="JQ1248" s="16"/>
      <c r="JR1248" s="16"/>
      <c r="JS1248" s="16"/>
      <c r="JT1248" s="16"/>
      <c r="JU1248" s="16"/>
      <c r="JV1248" s="16"/>
      <c r="JW1248" s="16"/>
      <c r="JX1248" s="16"/>
      <c r="JY1248" s="16"/>
      <c r="JZ1248" s="16"/>
      <c r="KA1248" s="16"/>
      <c r="KB1248" s="16"/>
    </row>
    <row r="1249" spans="1:288" ht="16" x14ac:dyDescent="0.2">
      <c r="B1249" s="16">
        <v>2018</v>
      </c>
      <c r="C1249" s="124">
        <v>43229</v>
      </c>
      <c r="D1249" t="s">
        <v>688</v>
      </c>
      <c r="E1249" s="37" t="str">
        <f>CONCATENATE(T1249,"-",U1249,"-",C1249)</f>
        <v>PO2-B6-43229</v>
      </c>
      <c r="F1249" s="16" t="s">
        <v>227</v>
      </c>
      <c r="G1249" s="126" t="s">
        <v>107</v>
      </c>
      <c r="H1249" s="126"/>
      <c r="J1249" s="126">
        <v>1395</v>
      </c>
      <c r="K1249" s="126">
        <v>2316</v>
      </c>
      <c r="O1249" s="15" t="s">
        <v>214</v>
      </c>
      <c r="Q1249" s="16">
        <f t="shared" si="0"/>
        <v>0</v>
      </c>
      <c r="R1249" s="16" t="str">
        <f t="shared" si="5"/>
        <v/>
      </c>
      <c r="T1249" s="126" t="s">
        <v>127</v>
      </c>
      <c r="U1249" s="126" t="s">
        <v>132</v>
      </c>
      <c r="V1249" s="126" t="s">
        <v>114</v>
      </c>
      <c r="X1249" s="126" t="s">
        <v>115</v>
      </c>
      <c r="Y1249" s="126" t="s">
        <v>110</v>
      </c>
      <c r="Z1249" s="126">
        <v>3</v>
      </c>
      <c r="AA1249" s="126"/>
      <c r="AB1249" s="126"/>
      <c r="AC1249" s="126"/>
      <c r="AD1249" s="126"/>
      <c r="AE1249" s="126" t="s">
        <v>123</v>
      </c>
      <c r="AG1249" s="16">
        <f>AH1249-AI1249</f>
        <v>94</v>
      </c>
      <c r="AH1249" s="126">
        <v>173</v>
      </c>
      <c r="AI1249" s="126">
        <v>79</v>
      </c>
      <c r="AK1249" s="126">
        <v>24</v>
      </c>
      <c r="AL1249" s="126">
        <v>1</v>
      </c>
      <c r="AM1249" s="126">
        <v>0</v>
      </c>
      <c r="AN1249" s="126">
        <v>0</v>
      </c>
      <c r="AO1249" s="16">
        <f>IF(SUM(AL1249:AN1249)&gt;0,1,0)</f>
        <v>1</v>
      </c>
      <c r="AP1249" s="18">
        <f>SUM(AL1249:AN1249)</f>
        <v>1</v>
      </c>
      <c r="AR1249" s="16">
        <v>0.30300000000000016</v>
      </c>
      <c r="AS1249" s="16">
        <f>VLOOKUP(E1249,'[1]Feces weights'!$D$1:$H$459,5,FALSE)</f>
        <v>0.30300000000000016</v>
      </c>
      <c r="AT1249" s="16" t="str">
        <f>VLOOKUP(E1249,[9]Current!$A:$T,7,FALSE)</f>
        <v>IS</v>
      </c>
      <c r="AU1249" s="18" t="s">
        <v>1290</v>
      </c>
      <c r="AW1249" s="177">
        <f>IF(AY1249&gt;0,1,0)</f>
        <v>1</v>
      </c>
      <c r="AX1249" s="177">
        <f>SUM(BA1249,BM1249,CU1249)</f>
        <v>1</v>
      </c>
      <c r="AY1249" s="177">
        <f>SUM(BB1249,BN1249,CV1249)</f>
        <v>19.801980198019791</v>
      </c>
      <c r="AZ1249" s="177">
        <f>IF(BB1249&gt;0,1,0)</f>
        <v>0</v>
      </c>
      <c r="BA1249" s="177">
        <f>SUM(BC1249+BF1249+BI1249)</f>
        <v>0</v>
      </c>
      <c r="BB1249" s="177">
        <f>SUM(BE1249,BH1249,BK1249)</f>
        <v>0</v>
      </c>
      <c r="BC1249" s="178">
        <f>IF(BD1249&gt;0,1,0)</f>
        <v>0</v>
      </c>
      <c r="BD1249" s="177">
        <f>VLOOKUP($E1249,[9]Current!$1:$1048576,8,FALSE)</f>
        <v>0</v>
      </c>
      <c r="BE1249" s="177">
        <f>BD1249/$AS1249</f>
        <v>0</v>
      </c>
      <c r="BF1249" s="178">
        <f>IF(BG1249&gt;0,1,0)</f>
        <v>0</v>
      </c>
      <c r="BG1249" s="179">
        <f>VLOOKUP($E1249,[9]Current!$1:$1048576,9,FALSE)</f>
        <v>0</v>
      </c>
      <c r="BH1249" s="177">
        <f>BG1249/$AS1249</f>
        <v>0</v>
      </c>
      <c r="BI1249" s="178">
        <f>IF(BJ1249&gt;0,1,0)</f>
        <v>0</v>
      </c>
      <c r="BJ1249" s="177">
        <f>VLOOKUP($E1249,[9]Current!$1:$1048576,10,FALSE)</f>
        <v>0</v>
      </c>
      <c r="BK1249" s="177">
        <f>BJ1249/$AS1249</f>
        <v>0</v>
      </c>
      <c r="BL1249" s="177">
        <f>IF(BM1249&gt;0,1,0)</f>
        <v>1</v>
      </c>
      <c r="BM1249" s="177">
        <f>SUM(BR1249,BU1249,BX1249,CA1249,CD1249)</f>
        <v>1</v>
      </c>
      <c r="BN1249" s="181">
        <f>SUM(BT1249,BW1249,BZ1249,CC1249,CF1249)</f>
        <v>19.801980198019791</v>
      </c>
      <c r="BO1249" s="177">
        <f>IF(BP1249&gt;0,1,0)</f>
        <v>1</v>
      </c>
      <c r="BP1249" s="177">
        <f>BM1249+CJ1249</f>
        <v>1</v>
      </c>
      <c r="BQ1249" s="177">
        <f>BN1249+CL1249</f>
        <v>19.801980198019791</v>
      </c>
      <c r="BR1249" s="178">
        <f>IF(BS1249&gt;0,1,0)</f>
        <v>0</v>
      </c>
      <c r="BS1249" s="177">
        <f>VLOOKUP($E1249,[9]Current!$1:$1048576,12,FALSE)</f>
        <v>0</v>
      </c>
      <c r="BT1249" s="179">
        <f>BS1249/$AS1249</f>
        <v>0</v>
      </c>
      <c r="BU1249" s="178">
        <f>IF(BV1249&gt;0,1,0)</f>
        <v>0</v>
      </c>
      <c r="BV1249" s="177">
        <f>VLOOKUP($E1249,[9]Current!$1:$1048576,13,FALSE)</f>
        <v>0</v>
      </c>
      <c r="BW1249" s="177">
        <f>BV1249/$AS1249</f>
        <v>0</v>
      </c>
      <c r="BX1249" s="178">
        <f>IF(BY1249&gt;0,1,0)</f>
        <v>1</v>
      </c>
      <c r="BY1249" s="177">
        <f>VLOOKUP($E1249,[9]Current!$1:$1048576,14,FALSE)</f>
        <v>6</v>
      </c>
      <c r="BZ1249" s="177">
        <f>BY1249/$AS1249</f>
        <v>19.801980198019791</v>
      </c>
      <c r="CA1249" s="178">
        <f>IF(CB1249&gt;0,1,0)</f>
        <v>0</v>
      </c>
      <c r="CB1249" s="177">
        <f>VLOOKUP($E1249,[9]Current!$1:$1048576,15,FALSE)</f>
        <v>0</v>
      </c>
      <c r="CC1249" s="177">
        <f>CB1249/$AS1249</f>
        <v>0</v>
      </c>
      <c r="CD1249" s="180">
        <f>IF(CE1249&gt;0,1,0)</f>
        <v>0</v>
      </c>
      <c r="CE1249" s="177">
        <f>VLOOKUP($E1249,[9]Current!$1:$1048576,16,FALSE)</f>
        <v>0</v>
      </c>
      <c r="CF1249" s="177">
        <f>CE1249/$AS1249</f>
        <v>0</v>
      </c>
      <c r="CG1249" s="18"/>
      <c r="CH1249" s="18"/>
      <c r="CI1249" s="18"/>
      <c r="CJ1249" s="178">
        <f>IF(CK1249&gt;0,1,0)</f>
        <v>0</v>
      </c>
      <c r="CK1249" s="177">
        <f>VLOOKUP($E1249,[9]Current!$1:$1048576,18,FALSE)</f>
        <v>0</v>
      </c>
      <c r="CL1249" s="177">
        <f>CK1249/$AS1249</f>
        <v>0</v>
      </c>
      <c r="CS1249" s="178">
        <f>IF(CU1249&gt;0,1,0)</f>
        <v>0</v>
      </c>
      <c r="CT1249" s="177"/>
      <c r="CU1249" s="177">
        <f>VLOOKUP($E1249,[9]Current!$1:$1048576,17,FALSE)</f>
        <v>0</v>
      </c>
      <c r="CV1249" s="177">
        <f>CU1249/$AS1249</f>
        <v>0</v>
      </c>
      <c r="DF1249" s="16" t="e">
        <f>VLOOKUP(K1249,'[3]RNA Seq summary tables'!$V$3:$V$99,1,FALSE)</f>
        <v>#N/A</v>
      </c>
      <c r="DG1249" s="126" t="s">
        <v>116</v>
      </c>
    </row>
    <row r="1250" spans="1:288" ht="16" x14ac:dyDescent="0.2">
      <c r="B1250" s="16">
        <v>2018</v>
      </c>
      <c r="C1250" s="124">
        <v>43229</v>
      </c>
      <c r="D1250" t="s">
        <v>687</v>
      </c>
      <c r="E1250" s="37" t="str">
        <f>CONCATENATE(T1250,"-",U1250,"-",C1250)</f>
        <v>PO2-D7-43229</v>
      </c>
      <c r="F1250" s="16" t="s">
        <v>227</v>
      </c>
      <c r="G1250" s="126" t="s">
        <v>107</v>
      </c>
      <c r="H1250" s="126"/>
      <c r="J1250" s="126">
        <v>1397</v>
      </c>
      <c r="K1250" s="126"/>
      <c r="O1250" s="15" t="s">
        <v>214</v>
      </c>
      <c r="Q1250" s="16">
        <f t="shared" si="0"/>
        <v>0</v>
      </c>
      <c r="R1250" s="16" t="str">
        <f t="shared" si="5"/>
        <v/>
      </c>
      <c r="T1250" s="126" t="s">
        <v>127</v>
      </c>
      <c r="U1250" s="126" t="s">
        <v>177</v>
      </c>
      <c r="V1250" s="126" t="s">
        <v>114</v>
      </c>
      <c r="X1250" s="126" t="s">
        <v>115</v>
      </c>
      <c r="Y1250" s="126" t="s">
        <v>110</v>
      </c>
      <c r="Z1250" s="126">
        <v>3</v>
      </c>
      <c r="AA1250" s="126"/>
      <c r="AB1250" s="126"/>
      <c r="AC1250" s="126"/>
      <c r="AD1250" s="126"/>
      <c r="AE1250" s="126" t="s">
        <v>116</v>
      </c>
      <c r="AG1250" s="16">
        <f>AH1250-AI1250</f>
        <v>90</v>
      </c>
      <c r="AH1250" s="126">
        <v>165</v>
      </c>
      <c r="AI1250" s="126">
        <v>75</v>
      </c>
      <c r="AK1250" s="126">
        <v>20.5</v>
      </c>
      <c r="AL1250" s="126">
        <v>1</v>
      </c>
      <c r="AM1250" s="126">
        <v>0</v>
      </c>
      <c r="AN1250" s="126">
        <v>0</v>
      </c>
      <c r="AO1250" s="16">
        <f>IF(SUM(AL1250:AN1250)&gt;0,1,0)</f>
        <v>1</v>
      </c>
      <c r="AP1250" s="18">
        <f>SUM(AL1250:AN1250)</f>
        <v>1</v>
      </c>
      <c r="AR1250" s="16">
        <v>0.27100000000000013</v>
      </c>
      <c r="AS1250" s="16">
        <f>VLOOKUP(E1250,'[1]Feces weights'!$D$1:$H$459,5,FALSE)</f>
        <v>0.27100000000000013</v>
      </c>
      <c r="AT1250" s="16" t="str">
        <f>VLOOKUP(E1250,[9]Current!$A:$T,7,FALSE)</f>
        <v>JB</v>
      </c>
      <c r="AU1250" s="18" t="s">
        <v>1290</v>
      </c>
      <c r="AW1250" s="177">
        <f>IF(AY1250&gt;0,1,0)</f>
        <v>1</v>
      </c>
      <c r="AX1250" s="177">
        <f>SUM(BA1250,BM1250,CU1250)</f>
        <v>4</v>
      </c>
      <c r="AY1250" s="177">
        <f>SUM(BB1250,BN1250,CV1250)</f>
        <v>195.57195571955711</v>
      </c>
      <c r="AZ1250" s="177">
        <f>IF(BB1250&gt;0,1,0)</f>
        <v>1</v>
      </c>
      <c r="BA1250" s="177">
        <f>SUM(BC1250+BF1250+BI1250)</f>
        <v>2</v>
      </c>
      <c r="BB1250" s="177">
        <f>SUM(BE1250,BH1250,BK1250)</f>
        <v>66.420664206642044</v>
      </c>
      <c r="BC1250" s="178">
        <f>IF(BD1250&gt;0,1,0)</f>
        <v>1</v>
      </c>
      <c r="BD1250" s="177">
        <f>VLOOKUP($E1250,[9]Current!$1:$1048576,8,FALSE)</f>
        <v>1</v>
      </c>
      <c r="BE1250" s="177">
        <f>BD1250/$AS1250</f>
        <v>3.6900369003690021</v>
      </c>
      <c r="BF1250" s="178">
        <f>IF(BG1250&gt;0,1,0)</f>
        <v>1</v>
      </c>
      <c r="BG1250" s="179">
        <f>VLOOKUP($E1250,[9]Current!$1:$1048576,9,FALSE)</f>
        <v>17</v>
      </c>
      <c r="BH1250" s="177">
        <f>BG1250/$AS1250</f>
        <v>62.730627306273036</v>
      </c>
      <c r="BI1250" s="178">
        <f>IF(BJ1250&gt;0,1,0)</f>
        <v>0</v>
      </c>
      <c r="BJ1250" s="177">
        <f>VLOOKUP($E1250,[9]Current!$1:$1048576,10,FALSE)</f>
        <v>0</v>
      </c>
      <c r="BK1250" s="177">
        <f>BJ1250/$AS1250</f>
        <v>0</v>
      </c>
      <c r="BL1250" s="177">
        <f>IF(BM1250&gt;0,1,0)</f>
        <v>1</v>
      </c>
      <c r="BM1250" s="177">
        <f>SUM(BR1250,BU1250,BX1250,CA1250,CD1250)</f>
        <v>2</v>
      </c>
      <c r="BN1250" s="181">
        <f>SUM(BT1250,BW1250,BZ1250,CC1250,CF1250)</f>
        <v>129.15129151291507</v>
      </c>
      <c r="BO1250" s="177">
        <f>IF(BP1250&gt;0,1,0)</f>
        <v>1</v>
      </c>
      <c r="BP1250" s="177">
        <f>BM1250+CJ1250</f>
        <v>2</v>
      </c>
      <c r="BQ1250" s="177">
        <f>BN1250+CL1250</f>
        <v>129.15129151291507</v>
      </c>
      <c r="BR1250" s="178">
        <f>IF(BS1250&gt;0,1,0)</f>
        <v>0</v>
      </c>
      <c r="BS1250" s="177">
        <f>VLOOKUP($E1250,[9]Current!$1:$1048576,12,FALSE)</f>
        <v>0</v>
      </c>
      <c r="BT1250" s="179">
        <f>BS1250/$AS1250</f>
        <v>0</v>
      </c>
      <c r="BU1250" s="178">
        <f>IF(BV1250&gt;0,1,0)</f>
        <v>1</v>
      </c>
      <c r="BV1250" s="177">
        <f>VLOOKUP($E1250,[9]Current!$1:$1048576,13,FALSE)</f>
        <v>14</v>
      </c>
      <c r="BW1250" s="177">
        <f>BV1250/$AS1250</f>
        <v>51.660516605166023</v>
      </c>
      <c r="BX1250" s="178">
        <f>IF(BY1250&gt;0,1,0)</f>
        <v>1</v>
      </c>
      <c r="BY1250" s="177">
        <f>VLOOKUP($E1250,[9]Current!$1:$1048576,14,FALSE)</f>
        <v>21</v>
      </c>
      <c r="BZ1250" s="177">
        <f>BY1250/$AS1250</f>
        <v>77.490774907749042</v>
      </c>
      <c r="CA1250" s="178">
        <f>IF(CB1250&gt;0,1,0)</f>
        <v>0</v>
      </c>
      <c r="CB1250" s="177">
        <f>VLOOKUP($E1250,[9]Current!$1:$1048576,15,FALSE)</f>
        <v>0</v>
      </c>
      <c r="CC1250" s="177">
        <f>CB1250/$AS1250</f>
        <v>0</v>
      </c>
      <c r="CD1250" s="180">
        <f>IF(CE1250&gt;0,1,0)</f>
        <v>0</v>
      </c>
      <c r="CE1250" s="177">
        <f>VLOOKUP($E1250,[9]Current!$1:$1048576,16,FALSE)</f>
        <v>0</v>
      </c>
      <c r="CF1250" s="177">
        <f>CE1250/$AS1250</f>
        <v>0</v>
      </c>
      <c r="CG1250" s="18"/>
      <c r="CH1250" s="18"/>
      <c r="CI1250" s="18"/>
      <c r="CJ1250" s="178">
        <f>IF(CK1250&gt;0,1,0)</f>
        <v>0</v>
      </c>
      <c r="CK1250" s="177">
        <f>VLOOKUP($E1250,[9]Current!$1:$1048576,18,FALSE)</f>
        <v>0</v>
      </c>
      <c r="CL1250" s="177">
        <f>CK1250/$AS1250</f>
        <v>0</v>
      </c>
      <c r="CS1250" s="178">
        <f>IF(CU1250&gt;0,1,0)</f>
        <v>0</v>
      </c>
      <c r="CT1250" s="177"/>
      <c r="CU1250" s="177">
        <f>VLOOKUP($E1250,[9]Current!$1:$1048576,17,FALSE)</f>
        <v>0</v>
      </c>
      <c r="CV1250" s="177">
        <f>CU1250/$AS1250</f>
        <v>0</v>
      </c>
      <c r="DF1250" s="16" t="e">
        <f>VLOOKUP(K1250,'[3]RNA Seq summary tables'!$V$3:$V$99,1,FALSE)</f>
        <v>#N/A</v>
      </c>
      <c r="DG1250" s="125"/>
    </row>
    <row r="1251" spans="1:288" ht="16" x14ac:dyDescent="0.2">
      <c r="B1251" s="16">
        <v>2018</v>
      </c>
      <c r="C1251" s="124">
        <v>43229</v>
      </c>
      <c r="D1251" t="s">
        <v>680</v>
      </c>
      <c r="E1251" s="142" t="str">
        <f>CONCATENATE(T1251,"-",U1251,"-",C1251)</f>
        <v>PO2-G5-43229</v>
      </c>
      <c r="F1251" s="16" t="s">
        <v>227</v>
      </c>
      <c r="G1251" s="126" t="s">
        <v>107</v>
      </c>
      <c r="H1251" s="126"/>
      <c r="J1251" s="126">
        <v>1399</v>
      </c>
      <c r="K1251" s="126">
        <v>2319</v>
      </c>
      <c r="O1251" s="15" t="s">
        <v>214</v>
      </c>
      <c r="Q1251" s="16">
        <f t="shared" ref="Q1251:Q1314" si="6">IF(R1251="",0,1)</f>
        <v>0</v>
      </c>
      <c r="R1251" s="16" t="str">
        <f t="shared" si="5"/>
        <v/>
      </c>
      <c r="T1251" s="126" t="s">
        <v>127</v>
      </c>
      <c r="U1251" s="126" t="s">
        <v>200</v>
      </c>
      <c r="V1251" s="126" t="s">
        <v>114</v>
      </c>
      <c r="X1251" s="126" t="s">
        <v>121</v>
      </c>
      <c r="Y1251" s="126" t="s">
        <v>110</v>
      </c>
      <c r="Z1251" s="126">
        <v>3</v>
      </c>
      <c r="AA1251" s="126" t="s">
        <v>119</v>
      </c>
      <c r="AB1251" s="126" t="s">
        <v>123</v>
      </c>
      <c r="AC1251" s="126" t="s">
        <v>123</v>
      </c>
      <c r="AD1251" s="126"/>
      <c r="AE1251" s="126"/>
      <c r="AG1251" s="16">
        <f>AH1251-AI1251</f>
        <v>85</v>
      </c>
      <c r="AH1251" s="126">
        <v>154</v>
      </c>
      <c r="AI1251" s="126">
        <v>69</v>
      </c>
      <c r="AK1251" s="126">
        <v>18.5</v>
      </c>
      <c r="AL1251" s="126">
        <v>0</v>
      </c>
      <c r="AM1251" s="126">
        <v>0</v>
      </c>
      <c r="AN1251" s="126">
        <v>0</v>
      </c>
      <c r="AO1251" s="16">
        <f>IF(SUM(AL1251:AN1251)&gt;0,1,0)</f>
        <v>0</v>
      </c>
      <c r="AP1251" s="18">
        <f>SUM(AL1251:AN1251)</f>
        <v>0</v>
      </c>
      <c r="AR1251" s="16">
        <v>0.10000000000000009</v>
      </c>
      <c r="AS1251" s="16">
        <f>VLOOKUP(E1251,'[1]Feces weights'!$D$1:$H$459,5,FALSE)</f>
        <v>0.10000000000000009</v>
      </c>
      <c r="AT1251" s="16" t="e">
        <f>VLOOKUP(E1251,[2]Current!$A$1:$W$435,7,FALSE)</f>
        <v>#N/A</v>
      </c>
      <c r="AU1251" s="16">
        <v>0</v>
      </c>
      <c r="BC1251" s="18"/>
      <c r="BG1251" s="77"/>
      <c r="BN1251" s="126"/>
      <c r="BO1251" s="18"/>
      <c r="BT1251" s="78"/>
      <c r="BV1251" s="18"/>
      <c r="BW1251" s="25"/>
      <c r="BY1251" s="18"/>
      <c r="BZ1251" s="25"/>
      <c r="CB1251" s="18"/>
      <c r="CC1251" s="25"/>
      <c r="CD1251" s="77"/>
      <c r="CE1251" s="18"/>
      <c r="CF1251" s="25"/>
      <c r="CG1251" s="18"/>
      <c r="CH1251" s="18"/>
      <c r="CI1251" s="18"/>
      <c r="CK1251" s="18"/>
      <c r="CL1251" s="25"/>
      <c r="DF1251" s="16" t="e">
        <f>VLOOKUP(K1251,'[3]RNA Seq summary tables'!$V$3:$V$99,1,FALSE)</f>
        <v>#N/A</v>
      </c>
      <c r="DG1251" s="126" t="s">
        <v>116</v>
      </c>
    </row>
    <row r="1252" spans="1:288" ht="16" x14ac:dyDescent="0.2">
      <c r="B1252" s="16">
        <v>2018</v>
      </c>
      <c r="C1252" s="124">
        <v>43229</v>
      </c>
      <c r="D1252" t="s">
        <v>689</v>
      </c>
      <c r="E1252" s="37" t="str">
        <f>CONCATENATE(T1252,"-",U1252,"-",C1252)</f>
        <v>PO1-G4-43229</v>
      </c>
      <c r="F1252" s="16" t="s">
        <v>227</v>
      </c>
      <c r="G1252" s="126" t="s">
        <v>107</v>
      </c>
      <c r="H1252" s="126"/>
      <c r="J1252" s="126">
        <v>1401</v>
      </c>
      <c r="K1252" s="126">
        <v>2323</v>
      </c>
      <c r="O1252" s="15" t="s">
        <v>214</v>
      </c>
      <c r="Q1252" s="16">
        <f t="shared" si="6"/>
        <v>0</v>
      </c>
      <c r="R1252" s="16" t="str">
        <f t="shared" si="5"/>
        <v/>
      </c>
      <c r="T1252" s="126" t="s">
        <v>112</v>
      </c>
      <c r="U1252" s="126" t="s">
        <v>173</v>
      </c>
      <c r="V1252" s="126" t="s">
        <v>114</v>
      </c>
      <c r="X1252" s="126" t="s">
        <v>121</v>
      </c>
      <c r="Y1252" s="126" t="s">
        <v>110</v>
      </c>
      <c r="Z1252" s="126">
        <v>3</v>
      </c>
      <c r="AA1252" s="126" t="s">
        <v>161</v>
      </c>
      <c r="AB1252" s="126" t="s">
        <v>123</v>
      </c>
      <c r="AC1252" s="126" t="s">
        <v>123</v>
      </c>
      <c r="AD1252" s="126"/>
      <c r="AE1252" s="126"/>
      <c r="AG1252" s="16">
        <f>AH1252-AI1252</f>
        <v>95</v>
      </c>
      <c r="AH1252" s="126">
        <v>154</v>
      </c>
      <c r="AI1252" s="126">
        <v>59</v>
      </c>
      <c r="AK1252" s="126">
        <v>17</v>
      </c>
      <c r="AL1252" s="126">
        <v>1</v>
      </c>
      <c r="AM1252" s="126">
        <v>0</v>
      </c>
      <c r="AN1252" s="126">
        <v>0</v>
      </c>
      <c r="AO1252" s="16">
        <f>IF(SUM(AL1252:AN1252)&gt;0,1,0)</f>
        <v>1</v>
      </c>
      <c r="AP1252" s="18">
        <f>SUM(AL1252:AN1252)</f>
        <v>1</v>
      </c>
      <c r="AR1252" s="16">
        <v>0.38900000000000001</v>
      </c>
      <c r="AS1252" s="16">
        <f>VLOOKUP(E1252,'[1]Feces weights'!$D$1:$H$459,5,FALSE)</f>
        <v>0.38900000000000001</v>
      </c>
      <c r="AT1252" s="16" t="str">
        <f>VLOOKUP(E1252,[9]Current!$A:$T,7,FALSE)</f>
        <v>DP</v>
      </c>
      <c r="AU1252" s="18" t="s">
        <v>1290</v>
      </c>
      <c r="AW1252" s="177">
        <f>IF(AY1252&gt;0,1,0)</f>
        <v>1</v>
      </c>
      <c r="AX1252" s="177">
        <f>SUM(BA1252,BM1252,CU1252)</f>
        <v>1</v>
      </c>
      <c r="AY1252" s="177">
        <f>SUM(BB1252,BN1252,CV1252)</f>
        <v>835.47557840616969</v>
      </c>
      <c r="AZ1252" s="177">
        <f>IF(BB1252&gt;0,1,0)</f>
        <v>1</v>
      </c>
      <c r="BA1252" s="177">
        <f>SUM(BC1252+BF1252+BI1252)</f>
        <v>1</v>
      </c>
      <c r="BB1252" s="177">
        <f>SUM(BE1252,BH1252,BK1252)</f>
        <v>835.47557840616969</v>
      </c>
      <c r="BC1252" s="178">
        <f>IF(BD1252&gt;0,1,0)</f>
        <v>0</v>
      </c>
      <c r="BD1252" s="177">
        <f>VLOOKUP($E1252,[9]Current!$1:$1048576,8,FALSE)</f>
        <v>0</v>
      </c>
      <c r="BE1252" s="177">
        <f>BD1252/$AS1252</f>
        <v>0</v>
      </c>
      <c r="BF1252" s="178">
        <f>IF(BG1252&gt;0,1,0)</f>
        <v>1</v>
      </c>
      <c r="BG1252" s="179">
        <f>VLOOKUP($E1252,[9]Current!$1:$1048576,9,FALSE)</f>
        <v>325</v>
      </c>
      <c r="BH1252" s="177">
        <f>BG1252/$AS1252</f>
        <v>835.47557840616969</v>
      </c>
      <c r="BI1252" s="178">
        <f>IF(BJ1252&gt;0,1,0)</f>
        <v>0</v>
      </c>
      <c r="BJ1252" s="177">
        <f>VLOOKUP($E1252,[9]Current!$1:$1048576,10,FALSE)</f>
        <v>0</v>
      </c>
      <c r="BK1252" s="177">
        <f>BJ1252/$AS1252</f>
        <v>0</v>
      </c>
      <c r="BL1252" s="177">
        <f>IF(BM1252&gt;0,1,0)</f>
        <v>0</v>
      </c>
      <c r="BM1252" s="177">
        <f>SUM(BR1252,BU1252,BX1252,CA1252,CD1252)</f>
        <v>0</v>
      </c>
      <c r="BN1252" s="181">
        <f>SUM(BT1252,BW1252,BZ1252,CC1252,CF1252)</f>
        <v>0</v>
      </c>
      <c r="BO1252" s="177">
        <f>IF(BP1252&gt;0,1,0)</f>
        <v>1</v>
      </c>
      <c r="BP1252" s="177">
        <f>BM1252+CJ1252</f>
        <v>1</v>
      </c>
      <c r="BQ1252" s="177">
        <f>BN1252+CL1252</f>
        <v>5.1413881748071981</v>
      </c>
      <c r="BR1252" s="178">
        <f>IF(BS1252&gt;0,1,0)</f>
        <v>0</v>
      </c>
      <c r="BS1252" s="177">
        <f>VLOOKUP($E1252,[9]Current!$1:$1048576,12,FALSE)</f>
        <v>0</v>
      </c>
      <c r="BT1252" s="179">
        <f>BS1252/$AS1252</f>
        <v>0</v>
      </c>
      <c r="BU1252" s="178">
        <f>IF(BV1252&gt;0,1,0)</f>
        <v>0</v>
      </c>
      <c r="BV1252" s="177">
        <f>VLOOKUP($E1252,[9]Current!$1:$1048576,13,FALSE)</f>
        <v>0</v>
      </c>
      <c r="BW1252" s="177">
        <f>BV1252/$AS1252</f>
        <v>0</v>
      </c>
      <c r="BX1252" s="178">
        <f>IF(BY1252&gt;0,1,0)</f>
        <v>0</v>
      </c>
      <c r="BY1252" s="177">
        <f>VLOOKUP($E1252,[9]Current!$1:$1048576,14,FALSE)</f>
        <v>0</v>
      </c>
      <c r="BZ1252" s="177">
        <f>BY1252/$AS1252</f>
        <v>0</v>
      </c>
      <c r="CA1252" s="178">
        <f>IF(CB1252&gt;0,1,0)</f>
        <v>0</v>
      </c>
      <c r="CB1252" s="177">
        <f>VLOOKUP($E1252,[9]Current!$1:$1048576,15,FALSE)</f>
        <v>0</v>
      </c>
      <c r="CC1252" s="177">
        <f>CB1252/$AS1252</f>
        <v>0</v>
      </c>
      <c r="CD1252" s="180">
        <f>IF(CE1252&gt;0,1,0)</f>
        <v>0</v>
      </c>
      <c r="CE1252" s="177">
        <f>VLOOKUP($E1252,[9]Current!$1:$1048576,16,FALSE)</f>
        <v>0</v>
      </c>
      <c r="CF1252" s="177">
        <f>CE1252/$AS1252</f>
        <v>0</v>
      </c>
      <c r="CG1252" s="18"/>
      <c r="CH1252" s="18"/>
      <c r="CI1252" s="18"/>
      <c r="CJ1252" s="178">
        <f>IF(CK1252&gt;0,1,0)</f>
        <v>1</v>
      </c>
      <c r="CK1252" s="177">
        <f>VLOOKUP($E1252,[9]Current!$1:$1048576,18,FALSE)</f>
        <v>2</v>
      </c>
      <c r="CL1252" s="177">
        <f>CK1252/$AS1252</f>
        <v>5.1413881748071981</v>
      </c>
      <c r="CS1252" s="178">
        <f>IF(CU1252&gt;0,1,0)</f>
        <v>0</v>
      </c>
      <c r="CT1252" s="177"/>
      <c r="CU1252" s="177">
        <f>VLOOKUP($E1252,[9]Current!$1:$1048576,17,FALSE)</f>
        <v>0</v>
      </c>
      <c r="CV1252" s="177">
        <f>CU1252/$AS1252</f>
        <v>0</v>
      </c>
      <c r="DF1252" s="16" t="e">
        <f>VLOOKUP(K1252,'[3]RNA Seq summary tables'!$V$3:$V$99,1,FALSE)</f>
        <v>#N/A</v>
      </c>
      <c r="DG1252" s="126" t="s">
        <v>116</v>
      </c>
    </row>
    <row r="1253" spans="1:288" ht="16" x14ac:dyDescent="0.2">
      <c r="B1253" s="16">
        <v>2018</v>
      </c>
      <c r="C1253" s="124">
        <v>43248</v>
      </c>
      <c r="D1253" t="s">
        <v>743</v>
      </c>
      <c r="E1253" s="142" t="str">
        <f>CONCATENATE(T1253,"-",U1253,"-",C1253)</f>
        <v>PO1-H6-43248</v>
      </c>
      <c r="F1253" s="16" t="s">
        <v>227</v>
      </c>
      <c r="G1253" s="126" t="s">
        <v>107</v>
      </c>
      <c r="H1253" s="126" t="s">
        <v>1093</v>
      </c>
      <c r="J1253" s="126">
        <v>1401</v>
      </c>
      <c r="K1253" s="126">
        <v>2387</v>
      </c>
      <c r="O1253" s="15" t="s">
        <v>214</v>
      </c>
      <c r="Q1253" s="16">
        <f t="shared" si="6"/>
        <v>1</v>
      </c>
      <c r="R1253" s="16">
        <f t="shared" si="5"/>
        <v>19</v>
      </c>
      <c r="T1253" s="126" t="s">
        <v>112</v>
      </c>
      <c r="U1253" s="126" t="s">
        <v>141</v>
      </c>
      <c r="V1253" s="126" t="s">
        <v>114</v>
      </c>
      <c r="X1253" s="126" t="s">
        <v>121</v>
      </c>
      <c r="Y1253" s="126" t="s">
        <v>110</v>
      </c>
      <c r="Z1253" s="126">
        <v>3</v>
      </c>
      <c r="AA1253" s="126" t="s">
        <v>161</v>
      </c>
      <c r="AB1253" s="126" t="s">
        <v>123</v>
      </c>
      <c r="AC1253" s="126" t="s">
        <v>123</v>
      </c>
      <c r="AD1253" s="126"/>
      <c r="AE1253" s="126"/>
      <c r="AG1253" s="16">
        <f>AH1253-AI1253</f>
        <v>83</v>
      </c>
      <c r="AH1253" s="126">
        <v>154</v>
      </c>
      <c r="AI1253" s="126">
        <v>71</v>
      </c>
      <c r="AK1253" s="126">
        <v>21.5</v>
      </c>
      <c r="AL1253" s="126">
        <v>0</v>
      </c>
      <c r="AM1253" s="126">
        <v>0</v>
      </c>
      <c r="AN1253" s="126">
        <v>0</v>
      </c>
      <c r="AO1253" s="16">
        <f>IF(SUM(AL1253:AN1253)&gt;0,1,0)</f>
        <v>0</v>
      </c>
      <c r="AP1253" s="18">
        <f>SUM(AL1253:AN1253)</f>
        <v>0</v>
      </c>
      <c r="AR1253" s="16">
        <v>0.39300000000000002</v>
      </c>
      <c r="AS1253" s="16">
        <f>VLOOKUP(E1253,'[1]Feces weights'!$D$1:$H$459,5,FALSE)</f>
        <v>0.39300000000000002</v>
      </c>
      <c r="AT1253" s="16" t="e">
        <f>VLOOKUP(E1253,[2]Current!$A$1:$W$435,7,FALSE)</f>
        <v>#N/A</v>
      </c>
      <c r="AU1253" s="16">
        <v>0</v>
      </c>
      <c r="BG1253" s="77"/>
      <c r="BN1253" s="126"/>
      <c r="BT1253" s="78"/>
      <c r="BV1253" s="18"/>
      <c r="BW1253" s="25"/>
      <c r="BY1253" s="18"/>
      <c r="BZ1253" s="25"/>
      <c r="CB1253" s="18"/>
      <c r="CC1253" s="25"/>
      <c r="CD1253" s="77"/>
      <c r="CE1253" s="18"/>
      <c r="CF1253" s="25"/>
      <c r="CG1253" s="18"/>
      <c r="CH1253" s="18"/>
      <c r="CI1253" s="18"/>
      <c r="CK1253" s="18"/>
      <c r="CL1253" s="25"/>
      <c r="DF1253" s="16" t="e">
        <f>VLOOKUP(K1253,'[3]RNA Seq summary tables'!$V$3:$V$99,1,FALSE)</f>
        <v>#N/A</v>
      </c>
      <c r="DG1253" s="126" t="s">
        <v>123</v>
      </c>
    </row>
    <row r="1254" spans="1:288" ht="16" x14ac:dyDescent="0.2">
      <c r="B1254" s="16">
        <v>2018</v>
      </c>
      <c r="C1254" s="124">
        <v>43266</v>
      </c>
      <c r="D1254" t="s">
        <v>797</v>
      </c>
      <c r="E1254" s="37" t="str">
        <f>CONCATENATE(T1254,"-",U1254,"-",C1254)</f>
        <v>PO1-E2-43266</v>
      </c>
      <c r="F1254" s="16" t="s">
        <v>227</v>
      </c>
      <c r="G1254" s="126" t="s">
        <v>107</v>
      </c>
      <c r="H1254" s="126"/>
      <c r="J1254" s="126">
        <v>1401</v>
      </c>
      <c r="K1254" s="126">
        <v>2442</v>
      </c>
      <c r="O1254" s="15" t="s">
        <v>214</v>
      </c>
      <c r="Q1254" s="16">
        <f t="shared" si="6"/>
        <v>1</v>
      </c>
      <c r="R1254" s="16">
        <f t="shared" si="5"/>
        <v>18</v>
      </c>
      <c r="T1254" s="126" t="s">
        <v>112</v>
      </c>
      <c r="U1254" s="126" t="s">
        <v>136</v>
      </c>
      <c r="V1254" s="126" t="s">
        <v>114</v>
      </c>
      <c r="X1254" s="126" t="s">
        <v>121</v>
      </c>
      <c r="Y1254" s="126" t="s">
        <v>110</v>
      </c>
      <c r="Z1254" s="126">
        <v>3</v>
      </c>
      <c r="AA1254" s="126" t="s">
        <v>119</v>
      </c>
      <c r="AB1254" s="126" t="s">
        <v>123</v>
      </c>
      <c r="AC1254" s="126" t="s">
        <v>116</v>
      </c>
      <c r="AD1254" s="126"/>
      <c r="AE1254" s="126"/>
      <c r="AG1254" s="16">
        <f>AH1254-AI1254</f>
        <v>88</v>
      </c>
      <c r="AH1254" s="126">
        <v>158</v>
      </c>
      <c r="AI1254" s="126">
        <v>70</v>
      </c>
      <c r="AK1254" s="126">
        <v>18.5</v>
      </c>
      <c r="AL1254" s="126">
        <v>0</v>
      </c>
      <c r="AM1254" s="126">
        <v>0</v>
      </c>
      <c r="AN1254" s="126">
        <v>0</v>
      </c>
      <c r="AO1254" s="16">
        <f>IF(SUM(AL1254:AN1254)&gt;0,1,0)</f>
        <v>0</v>
      </c>
      <c r="AP1254" s="18">
        <f>SUM(AL1254:AN1254)</f>
        <v>0</v>
      </c>
      <c r="AR1254" s="16">
        <v>4.8000000000000043E-2</v>
      </c>
      <c r="AS1254" s="16">
        <f>VLOOKUP(E1254,'[1]Feces weights'!$D$1:$H$459,5,FALSE)</f>
        <v>4.8000000000000043E-2</v>
      </c>
      <c r="AT1254" s="16" t="str">
        <f>VLOOKUP(E1254,[2]Current!$A$1:$W$435,7,FALSE)</f>
        <v>DP</v>
      </c>
      <c r="AU1254" s="16" t="s">
        <v>1288</v>
      </c>
      <c r="AW1254" s="128">
        <f>IF(AX1254&gt;0,1,0)</f>
        <v>1</v>
      </c>
      <c r="AX1254" s="128">
        <f>SUM(BA1254,BM1254,CU1254)</f>
        <v>1</v>
      </c>
      <c r="AY1254" s="128">
        <f>SUM(BB1254,BN1254,CV1254)</f>
        <v>83.333333333333258</v>
      </c>
      <c r="AZ1254" s="128">
        <f>IF(BA1254&gt;0,1,0)</f>
        <v>1</v>
      </c>
      <c r="BA1254" s="128">
        <f>SUM(BC1254+BF1254+BI1254)</f>
        <v>1</v>
      </c>
      <c r="BB1254" s="128">
        <f>SUM(BE1254,BH1254,BK1254)</f>
        <v>83.333333333333258</v>
      </c>
      <c r="BC1254" s="130">
        <f>IF(BD1254&gt;0,1,0)</f>
        <v>0</v>
      </c>
      <c r="BD1254" s="128">
        <f>VLOOKUP($E1254,[2]Current!$A:$AC,26,FALSE)</f>
        <v>0</v>
      </c>
      <c r="BE1254" s="128">
        <f>BD1254/$AS1254</f>
        <v>0</v>
      </c>
      <c r="BF1254" s="130">
        <f>IF(BG1254&gt;0,1,0)</f>
        <v>1</v>
      </c>
      <c r="BG1254" s="137">
        <f>VLOOKUP($E1254,[2]Current!$A:$AC,27,FALSE)</f>
        <v>4</v>
      </c>
      <c r="BH1254" s="128">
        <f>BG1254/$AS1254</f>
        <v>83.333333333333258</v>
      </c>
      <c r="BI1254" s="130">
        <f>IF(BJ1254&gt;0,1,0)</f>
        <v>0</v>
      </c>
      <c r="BJ1254" s="128">
        <f>VLOOKUP($E1254,[2]Current!$A:$AC,28,FALSE)</f>
        <v>0</v>
      </c>
      <c r="BK1254" s="128">
        <f>BJ1254/$AS1254</f>
        <v>0</v>
      </c>
      <c r="BL1254" s="128">
        <f>IF(BM1254&gt;0,1,0)</f>
        <v>0</v>
      </c>
      <c r="BM1254" s="128">
        <f>SUM(BR1254,BU1254,BX1254,CA1254,CD1254)</f>
        <v>0</v>
      </c>
      <c r="BN1254" s="131">
        <f>SUM(BT1254,BW1254,BZ1254,CC1254,CF1254)</f>
        <v>0</v>
      </c>
      <c r="BO1254" s="128">
        <f>IF(BP1254&gt;0,1,0)</f>
        <v>0</v>
      </c>
      <c r="BP1254" s="128">
        <f>BM1254+CJ1254</f>
        <v>0</v>
      </c>
      <c r="BQ1254" s="128">
        <f>BN1254+CL1254</f>
        <v>0</v>
      </c>
      <c r="BR1254" s="130">
        <f>IF(BS1254&gt;0,1,0)</f>
        <v>0</v>
      </c>
      <c r="BS1254" s="128">
        <f>VLOOKUP($E1254,[2]Current!$A:$AC,12,FALSE)</f>
        <v>0</v>
      </c>
      <c r="BT1254" s="137">
        <f>BS1254/$AS1254</f>
        <v>0</v>
      </c>
      <c r="BU1254" s="130">
        <f>IF(BV1254&gt;0,1,0)</f>
        <v>0</v>
      </c>
      <c r="BV1254" s="128">
        <f>VLOOKUP($E1254,[2]Current!$A:$AC,13,FALSE)</f>
        <v>0</v>
      </c>
      <c r="BW1254" s="128">
        <f>BV1254/$AS1254</f>
        <v>0</v>
      </c>
      <c r="BX1254" s="130">
        <f>IF(BY1254&gt;0,1,0)</f>
        <v>0</v>
      </c>
      <c r="BY1254" s="128">
        <f>VLOOKUP($E1254,[2]Current!$A:$AC,14,FALSE)</f>
        <v>0</v>
      </c>
      <c r="BZ1254" s="128">
        <f>BY1254/$AS1254</f>
        <v>0</v>
      </c>
      <c r="CA1254" s="130">
        <f>IF(CB1254&gt;0,1,0)</f>
        <v>0</v>
      </c>
      <c r="CB1254" s="128">
        <f>VLOOKUP($E1254,[2]Current!$A:$AC,15,FALSE)</f>
        <v>0</v>
      </c>
      <c r="CC1254" s="128">
        <f>CB1254/$AS1254</f>
        <v>0</v>
      </c>
      <c r="CD1254" s="174">
        <f>IF(CE1254&gt;0,1,0)</f>
        <v>0</v>
      </c>
      <c r="CE1254" s="128">
        <f>VLOOKUP($E1254,[2]Current!$A:$AC,16,FALSE)</f>
        <v>0</v>
      </c>
      <c r="CF1254" s="128">
        <f>CE1254/$AS1254</f>
        <v>0</v>
      </c>
      <c r="CG1254" s="18"/>
      <c r="CH1254" s="18"/>
      <c r="CI1254" s="18"/>
      <c r="CJ1254" s="130">
        <f>IF(CK1254&gt;0,1,0)</f>
        <v>0</v>
      </c>
      <c r="CK1254" s="128">
        <f>VLOOKUP($E1254,[2]Current!$A:$AC,18,FALSE)</f>
        <v>0</v>
      </c>
      <c r="CL1254" s="128">
        <f>CK1254/$AS1254</f>
        <v>0</v>
      </c>
      <c r="CS1254" s="130">
        <f>IF(CU1254&gt;0,1,0)</f>
        <v>0</v>
      </c>
      <c r="CU1254" s="128">
        <f>VLOOKUP($E1254,[2]Current!$A:$AC,17,FALSE)</f>
        <v>0</v>
      </c>
      <c r="CV1254" s="128">
        <f>CU1254/$AS1254</f>
        <v>0</v>
      </c>
      <c r="CW1254" s="18"/>
      <c r="CX1254" s="18"/>
      <c r="CY1254" s="18"/>
      <c r="DF1254" s="16" t="e">
        <f>VLOOKUP(K1254,'[3]RNA Seq summary tables'!$V$3:$V$99,1,FALSE)</f>
        <v>#N/A</v>
      </c>
      <c r="DG1254" s="126" t="s">
        <v>116</v>
      </c>
    </row>
    <row r="1255" spans="1:288" ht="16" x14ac:dyDescent="0.2">
      <c r="B1255" s="16">
        <v>2018</v>
      </c>
      <c r="C1255" s="124">
        <v>43283</v>
      </c>
      <c r="D1255" t="s">
        <v>885</v>
      </c>
      <c r="E1255" s="37" t="str">
        <f>CONCATENATE(T1255,"-",U1255,"-",C1255)</f>
        <v>PO1-H4-43283</v>
      </c>
      <c r="F1255" s="16" t="s">
        <v>227</v>
      </c>
      <c r="G1255" s="126" t="s">
        <v>107</v>
      </c>
      <c r="H1255" s="126"/>
      <c r="J1255" s="126">
        <v>1401</v>
      </c>
      <c r="K1255" s="126">
        <v>2541</v>
      </c>
      <c r="O1255" s="15" t="s">
        <v>214</v>
      </c>
      <c r="Q1255" s="16">
        <f t="shared" si="6"/>
        <v>1</v>
      </c>
      <c r="R1255" s="16">
        <f t="shared" si="5"/>
        <v>17</v>
      </c>
      <c r="T1255" s="126" t="s">
        <v>112</v>
      </c>
      <c r="U1255" s="126" t="s">
        <v>151</v>
      </c>
      <c r="V1255" s="126" t="s">
        <v>114</v>
      </c>
      <c r="X1255" s="126" t="s">
        <v>121</v>
      </c>
      <c r="Y1255" s="126" t="s">
        <v>110</v>
      </c>
      <c r="Z1255" s="126">
        <v>3</v>
      </c>
      <c r="AA1255" s="126" t="s">
        <v>119</v>
      </c>
      <c r="AB1255" s="126" t="s">
        <v>123</v>
      </c>
      <c r="AC1255" s="126" t="s">
        <v>116</v>
      </c>
      <c r="AD1255" s="126"/>
      <c r="AE1255" s="126"/>
      <c r="AG1255" s="16">
        <f>AH1255-AI1255</f>
        <v>91</v>
      </c>
      <c r="AH1255" s="126">
        <v>162</v>
      </c>
      <c r="AI1255" s="126">
        <v>71</v>
      </c>
      <c r="AK1255" s="126">
        <v>19</v>
      </c>
      <c r="AL1255" s="126">
        <v>0</v>
      </c>
      <c r="AM1255" s="126">
        <v>0</v>
      </c>
      <c r="AN1255" s="126">
        <v>0</v>
      </c>
      <c r="AO1255" s="16">
        <f>IF(SUM(AL1255:AN1255)&gt;0,1,0)</f>
        <v>0</v>
      </c>
      <c r="AP1255" s="18">
        <f>SUM(AL1255:AN1255)</f>
        <v>0</v>
      </c>
      <c r="AR1255" s="16">
        <v>5.0000000000001155E-3</v>
      </c>
      <c r="AS1255" s="16">
        <f>VLOOKUP(E1255,'[1]Feces weights'!$D$1:$H$459,5,FALSE)</f>
        <v>5.0000000000001155E-3</v>
      </c>
      <c r="AT1255" s="16" t="str">
        <f>VLOOKUP(E1255,[2]Current!$A$1:$W$435,7,FALSE)</f>
        <v>TE</v>
      </c>
      <c r="AU1255" s="16" t="s">
        <v>1288</v>
      </c>
      <c r="AV1255" s="23">
        <v>1</v>
      </c>
      <c r="AW1255" s="128">
        <f>IF(AX1255&gt;0,1,0)</f>
        <v>0</v>
      </c>
      <c r="AX1255" s="128">
        <f>SUM(BA1255,BM1255,CU1255)</f>
        <v>0</v>
      </c>
      <c r="AY1255" s="128">
        <f>SUM(BB1255,BN1255,CV1255)</f>
        <v>0</v>
      </c>
      <c r="AZ1255" s="128">
        <f>IF(BA1255&gt;0,1,0)</f>
        <v>0</v>
      </c>
      <c r="BA1255" s="128">
        <f>SUM(BC1255+BF1255+BI1255)</f>
        <v>0</v>
      </c>
      <c r="BB1255" s="128">
        <f>SUM(BE1255,BH1255,BK1255)</f>
        <v>0</v>
      </c>
      <c r="BC1255" s="130">
        <f>IF(BD1255&gt;0,1,0)</f>
        <v>0</v>
      </c>
      <c r="BD1255" s="128">
        <f>VLOOKUP($E1255,[2]Current!$A:$AC,26,FALSE)</f>
        <v>0</v>
      </c>
      <c r="BE1255" s="128">
        <f>BD1255/$AS1255</f>
        <v>0</v>
      </c>
      <c r="BF1255" s="130">
        <f>IF(BG1255&gt;0,1,0)</f>
        <v>0</v>
      </c>
      <c r="BG1255" s="137">
        <f>VLOOKUP($E1255,[2]Current!$A:$AC,27,FALSE)</f>
        <v>0</v>
      </c>
      <c r="BH1255" s="128">
        <f>BG1255/$AS1255</f>
        <v>0</v>
      </c>
      <c r="BI1255" s="130">
        <f>IF(BJ1255&gt;0,1,0)</f>
        <v>0</v>
      </c>
      <c r="BJ1255" s="128">
        <f>VLOOKUP($E1255,[2]Current!$A:$AC,28,FALSE)</f>
        <v>0</v>
      </c>
      <c r="BK1255" s="128">
        <f>BJ1255/$AS1255</f>
        <v>0</v>
      </c>
      <c r="BL1255" s="128">
        <f>IF(BM1255&gt;0,1,0)</f>
        <v>0</v>
      </c>
      <c r="BM1255" s="128">
        <f>SUM(BR1255,BU1255,BX1255,CA1255,CD1255)</f>
        <v>0</v>
      </c>
      <c r="BN1255" s="131">
        <f>SUM(BT1255,BW1255,BZ1255,CC1255,CF1255)</f>
        <v>0</v>
      </c>
      <c r="BO1255" s="128">
        <f>IF(BP1255&gt;0,1,0)</f>
        <v>0</v>
      </c>
      <c r="BP1255" s="128">
        <f>BM1255+CJ1255</f>
        <v>0</v>
      </c>
      <c r="BQ1255" s="128">
        <f>BN1255+CL1255</f>
        <v>0</v>
      </c>
      <c r="BR1255" s="130">
        <f>IF(BS1255&gt;0,1,0)</f>
        <v>0</v>
      </c>
      <c r="BS1255" s="128">
        <f>VLOOKUP($E1255,[2]Current!$A:$AC,12,FALSE)</f>
        <v>0</v>
      </c>
      <c r="BT1255" s="137">
        <f>BS1255/$AS1255</f>
        <v>0</v>
      </c>
      <c r="BU1255" s="130">
        <f>IF(BV1255&gt;0,1,0)</f>
        <v>0</v>
      </c>
      <c r="BV1255" s="128">
        <f>VLOOKUP($E1255,[2]Current!$A:$AC,13,FALSE)</f>
        <v>0</v>
      </c>
      <c r="BW1255" s="128">
        <f>BV1255/$AS1255</f>
        <v>0</v>
      </c>
      <c r="BX1255" s="130">
        <f>IF(BY1255&gt;0,1,0)</f>
        <v>0</v>
      </c>
      <c r="BY1255" s="128">
        <f>VLOOKUP($E1255,[2]Current!$A:$AC,14,FALSE)</f>
        <v>0</v>
      </c>
      <c r="BZ1255" s="128">
        <f>BY1255/$AS1255</f>
        <v>0</v>
      </c>
      <c r="CA1255" s="130">
        <f>IF(CB1255&gt;0,1,0)</f>
        <v>0</v>
      </c>
      <c r="CB1255" s="128">
        <f>VLOOKUP($E1255,[2]Current!$A:$AC,15,FALSE)</f>
        <v>0</v>
      </c>
      <c r="CC1255" s="128">
        <f>CB1255/$AS1255</f>
        <v>0</v>
      </c>
      <c r="CD1255" s="174">
        <f>IF(CE1255&gt;0,1,0)</f>
        <v>0</v>
      </c>
      <c r="CE1255" s="128">
        <f>VLOOKUP($E1255,[2]Current!$A:$AC,16,FALSE)</f>
        <v>0</v>
      </c>
      <c r="CF1255" s="128">
        <f>CE1255/$AS1255</f>
        <v>0</v>
      </c>
      <c r="CG1255" s="18"/>
      <c r="CH1255" s="18"/>
      <c r="CI1255" s="18"/>
      <c r="CJ1255" s="130">
        <f>IF(CK1255&gt;0,1,0)</f>
        <v>0</v>
      </c>
      <c r="CK1255" s="128">
        <f>VLOOKUP($E1255,[2]Current!$A:$AC,18,FALSE)</f>
        <v>0</v>
      </c>
      <c r="CL1255" s="128">
        <f>CK1255/$AS1255</f>
        <v>0</v>
      </c>
      <c r="CS1255" s="130">
        <f>IF(CU1255&gt;0,1,0)</f>
        <v>0</v>
      </c>
      <c r="CU1255" s="128">
        <f>VLOOKUP($E1255,[2]Current!$A:$AC,17,FALSE)</f>
        <v>0</v>
      </c>
      <c r="CV1255" s="128">
        <f>CU1255/$AS1255</f>
        <v>0</v>
      </c>
      <c r="CW1255" s="18"/>
      <c r="CX1255" s="18"/>
      <c r="CY1255" s="18"/>
      <c r="DF1255" s="16" t="e">
        <f>VLOOKUP(K1255,'[3]RNA Seq summary tables'!$V$3:$V$99,1,FALSE)</f>
        <v>#N/A</v>
      </c>
      <c r="DG1255" s="126" t="s">
        <v>116</v>
      </c>
    </row>
    <row r="1256" spans="1:288" s="27" customFormat="1" ht="16" x14ac:dyDescent="0.2">
      <c r="A1256" s="18"/>
      <c r="B1256" s="16">
        <v>2018</v>
      </c>
      <c r="C1256" s="124">
        <v>43296</v>
      </c>
      <c r="D1256" t="s">
        <v>989</v>
      </c>
      <c r="E1256" s="37" t="str">
        <f>CONCATENATE(T1256,"-",U1256,"-",C1256)</f>
        <v>PO1-G4-43296</v>
      </c>
      <c r="F1256" s="16" t="s">
        <v>227</v>
      </c>
      <c r="G1256" s="126" t="s">
        <v>107</v>
      </c>
      <c r="H1256" s="126"/>
      <c r="I1256" s="16"/>
      <c r="J1256" s="126">
        <v>1401</v>
      </c>
      <c r="K1256" s="126">
        <v>2638</v>
      </c>
      <c r="L1256" s="16"/>
      <c r="M1256" s="21"/>
      <c r="N1256" s="21"/>
      <c r="O1256" s="15" t="s">
        <v>214</v>
      </c>
      <c r="P1256" s="16"/>
      <c r="Q1256" s="16">
        <f t="shared" si="6"/>
        <v>1</v>
      </c>
      <c r="R1256" s="16">
        <f t="shared" si="5"/>
        <v>13</v>
      </c>
      <c r="S1256" s="16"/>
      <c r="T1256" s="126" t="s">
        <v>112</v>
      </c>
      <c r="U1256" s="126" t="s">
        <v>173</v>
      </c>
      <c r="V1256" s="126" t="s">
        <v>114</v>
      </c>
      <c r="W1256" s="16"/>
      <c r="X1256" s="126" t="s">
        <v>121</v>
      </c>
      <c r="Y1256" s="126" t="s">
        <v>110</v>
      </c>
      <c r="Z1256" s="126">
        <v>3</v>
      </c>
      <c r="AA1256" s="126" t="s">
        <v>161</v>
      </c>
      <c r="AB1256" s="126" t="s">
        <v>123</v>
      </c>
      <c r="AC1256" s="126" t="s">
        <v>123</v>
      </c>
      <c r="AD1256" s="126"/>
      <c r="AE1256" s="126"/>
      <c r="AF1256" s="16"/>
      <c r="AG1256" s="40">
        <f>AH1256-AI1256</f>
        <v>87</v>
      </c>
      <c r="AH1256" s="126">
        <v>157</v>
      </c>
      <c r="AI1256" s="126">
        <v>70</v>
      </c>
      <c r="AJ1256" s="16"/>
      <c r="AK1256" s="126">
        <v>18</v>
      </c>
      <c r="AL1256" s="126">
        <v>0</v>
      </c>
      <c r="AM1256" s="126">
        <v>0</v>
      </c>
      <c r="AN1256" s="126">
        <v>0</v>
      </c>
      <c r="AO1256" s="16">
        <f>IF(SUM(AL1256:AN1256)&gt;0,1,0)</f>
        <v>0</v>
      </c>
      <c r="AP1256" s="18">
        <f>SUM(AL1256:AN1256)</f>
        <v>0</v>
      </c>
      <c r="AQ1256" s="16"/>
      <c r="AR1256" s="16">
        <v>0.13400000000000012</v>
      </c>
      <c r="AS1256" s="16">
        <f>VLOOKUP(E1256,'[1]Feces weights'!$D$1:$H$459,5,FALSE)</f>
        <v>0.13400000000000012</v>
      </c>
      <c r="AT1256" s="16" t="str">
        <f>VLOOKUP(E1256,[2]Current!$A$1:$W$435,7,FALSE)</f>
        <v>LV</v>
      </c>
      <c r="AU1256" s="16" t="s">
        <v>1288</v>
      </c>
      <c r="AV1256" s="23">
        <v>1</v>
      </c>
      <c r="AW1256" s="128">
        <f>IF(AX1256&gt;0,1,0)</f>
        <v>0</v>
      </c>
      <c r="AX1256" s="128">
        <f>SUM(BA1256,BM1256,CU1256)</f>
        <v>0</v>
      </c>
      <c r="AY1256" s="128">
        <f>SUM(BB1256,BN1256,CV1256)</f>
        <v>0</v>
      </c>
      <c r="AZ1256" s="128">
        <f>IF(BA1256&gt;0,1,0)</f>
        <v>0</v>
      </c>
      <c r="BA1256" s="128">
        <f>SUM(BC1256+BF1256+BI1256)</f>
        <v>0</v>
      </c>
      <c r="BB1256" s="128">
        <f>SUM(BE1256,BH1256,BK1256)</f>
        <v>0</v>
      </c>
      <c r="BC1256" s="130">
        <f>IF(BD1256&gt;0,1,0)</f>
        <v>0</v>
      </c>
      <c r="BD1256" s="128">
        <f>VLOOKUP($E1256,[2]Current!$A:$AC,26,FALSE)</f>
        <v>0</v>
      </c>
      <c r="BE1256" s="128">
        <f>BD1256/$AS1256</f>
        <v>0</v>
      </c>
      <c r="BF1256" s="130">
        <f>IF(BG1256&gt;0,1,0)</f>
        <v>0</v>
      </c>
      <c r="BG1256" s="137">
        <f>VLOOKUP($E1256,[2]Current!$A:$AC,27,FALSE)</f>
        <v>0</v>
      </c>
      <c r="BH1256" s="128">
        <f>BG1256/$AS1256</f>
        <v>0</v>
      </c>
      <c r="BI1256" s="130">
        <f>IF(BJ1256&gt;0,1,0)</f>
        <v>0</v>
      </c>
      <c r="BJ1256" s="128">
        <f>VLOOKUP($E1256,[2]Current!$A:$AC,28,FALSE)</f>
        <v>0</v>
      </c>
      <c r="BK1256" s="128">
        <f>BJ1256/$AS1256</f>
        <v>0</v>
      </c>
      <c r="BL1256" s="128">
        <f>IF(BM1256&gt;0,1,0)</f>
        <v>0</v>
      </c>
      <c r="BM1256" s="128">
        <f>SUM(BR1256,BU1256,BX1256,CA1256,CD1256)</f>
        <v>0</v>
      </c>
      <c r="BN1256" s="131">
        <f>SUM(BT1256,BW1256,BZ1256,CC1256,CF1256)</f>
        <v>0</v>
      </c>
      <c r="BO1256" s="128">
        <f>IF(BP1256&gt;0,1,0)</f>
        <v>1</v>
      </c>
      <c r="BP1256" s="128">
        <f>BM1256+CJ1256</f>
        <v>1</v>
      </c>
      <c r="BQ1256" s="128">
        <f>BN1256+CL1256</f>
        <v>7.4626865671641722</v>
      </c>
      <c r="BR1256" s="130">
        <f>IF(BS1256&gt;0,1,0)</f>
        <v>0</v>
      </c>
      <c r="BS1256" s="128">
        <f>VLOOKUP($E1256,[2]Current!$A:$AC,12,FALSE)</f>
        <v>0</v>
      </c>
      <c r="BT1256" s="137">
        <f>BS1256/$AS1256</f>
        <v>0</v>
      </c>
      <c r="BU1256" s="130">
        <f>IF(BV1256&gt;0,1,0)</f>
        <v>0</v>
      </c>
      <c r="BV1256" s="128">
        <f>VLOOKUP($E1256,[2]Current!$A:$AC,13,FALSE)</f>
        <v>0</v>
      </c>
      <c r="BW1256" s="128">
        <f>BV1256/$AS1256</f>
        <v>0</v>
      </c>
      <c r="BX1256" s="130">
        <f>IF(BY1256&gt;0,1,0)</f>
        <v>0</v>
      </c>
      <c r="BY1256" s="128">
        <f>VLOOKUP($E1256,[2]Current!$A:$AC,14,FALSE)</f>
        <v>0</v>
      </c>
      <c r="BZ1256" s="128">
        <f>BY1256/$AS1256</f>
        <v>0</v>
      </c>
      <c r="CA1256" s="130">
        <f>IF(CB1256&gt;0,1,0)</f>
        <v>0</v>
      </c>
      <c r="CB1256" s="128">
        <f>VLOOKUP($E1256,[2]Current!$A:$AC,15,FALSE)</f>
        <v>0</v>
      </c>
      <c r="CC1256" s="128">
        <f>CB1256/$AS1256</f>
        <v>0</v>
      </c>
      <c r="CD1256" s="174">
        <f>IF(CE1256&gt;0,1,0)</f>
        <v>0</v>
      </c>
      <c r="CE1256" s="128">
        <f>VLOOKUP($E1256,[2]Current!$A:$AC,16,FALSE)</f>
        <v>0</v>
      </c>
      <c r="CF1256" s="128">
        <f>CE1256/$AS1256</f>
        <v>0</v>
      </c>
      <c r="CG1256" s="18"/>
      <c r="CH1256" s="18"/>
      <c r="CI1256" s="18"/>
      <c r="CJ1256" s="130">
        <f>IF(CK1256&gt;0,1,0)</f>
        <v>1</v>
      </c>
      <c r="CK1256" s="128">
        <f>VLOOKUP($E1256,[2]Current!$A:$AC,18,FALSE)</f>
        <v>1</v>
      </c>
      <c r="CL1256" s="128">
        <f>CK1256/$AS1256</f>
        <v>7.4626865671641722</v>
      </c>
      <c r="CM1256" s="16"/>
      <c r="CN1256" s="16"/>
      <c r="CO1256" s="16"/>
      <c r="CP1256" s="16"/>
      <c r="CQ1256" s="16"/>
      <c r="CR1256" s="16"/>
      <c r="CS1256" s="130">
        <f>IF(CU1256&gt;0,1,0)</f>
        <v>0</v>
      </c>
      <c r="CT1256" s="16"/>
      <c r="CU1256" s="128">
        <f>VLOOKUP($E1256,[2]Current!$A:$AC,17,FALSE)</f>
        <v>0</v>
      </c>
      <c r="CV1256" s="128">
        <f>CU1256/$AS1256</f>
        <v>0</v>
      </c>
      <c r="CW1256" s="18"/>
      <c r="CX1256" s="18"/>
      <c r="CY1256" s="18"/>
      <c r="CZ1256" s="16"/>
      <c r="DA1256" s="16"/>
      <c r="DB1256" s="16"/>
      <c r="DC1256" s="16"/>
      <c r="DD1256" s="16"/>
      <c r="DE1256" s="16"/>
      <c r="DF1256" s="16" t="e">
        <f>VLOOKUP(K1256,'[3]RNA Seq summary tables'!$V$3:$V$99,1,FALSE)</f>
        <v>#N/A</v>
      </c>
      <c r="DG1256" s="126" t="s">
        <v>116</v>
      </c>
      <c r="DH1256" s="16"/>
      <c r="DI1256" s="16"/>
      <c r="DJ1256" s="16"/>
      <c r="DK1256" s="16"/>
      <c r="DL1256" s="16"/>
      <c r="DM1256" s="16"/>
      <c r="DN1256" s="16"/>
      <c r="DO1256" s="16"/>
      <c r="DP1256" s="16"/>
      <c r="DQ1256" s="16"/>
      <c r="DR1256" s="16"/>
      <c r="DS1256" s="16"/>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18"/>
      <c r="EQ1256" s="18"/>
      <c r="ER1256" s="18"/>
      <c r="ES1256" s="18"/>
      <c r="ET1256" s="18"/>
      <c r="EU1256" s="18"/>
      <c r="EV1256" s="18"/>
      <c r="EW1256" s="18"/>
      <c r="EX1256" s="18"/>
      <c r="EY1256" s="18"/>
      <c r="EZ1256" s="18"/>
      <c r="FA1256" s="18"/>
      <c r="FB1256" s="18"/>
      <c r="FC1256" s="18"/>
      <c r="FD1256" s="18"/>
      <c r="FE1256" s="18"/>
      <c r="FF1256" s="18"/>
      <c r="FG1256" s="18"/>
      <c r="FH1256" s="18"/>
      <c r="FI1256" s="18"/>
      <c r="FJ1256" s="18"/>
      <c r="FK1256" s="18"/>
      <c r="FL1256" s="18"/>
      <c r="FM1256" s="18"/>
      <c r="FN1256" s="18"/>
      <c r="FO1256" s="18"/>
      <c r="FP1256" s="18"/>
      <c r="FQ1256" s="18"/>
      <c r="FR1256" s="18"/>
      <c r="FS1256" s="18"/>
      <c r="FT1256" s="18"/>
      <c r="FU1256" s="18"/>
      <c r="FV1256" s="18"/>
      <c r="FW1256" s="18"/>
      <c r="FX1256" s="18"/>
      <c r="FY1256" s="18"/>
      <c r="FZ1256" s="18"/>
      <c r="GA1256" s="18"/>
      <c r="GB1256" s="18"/>
      <c r="GC1256" s="18"/>
      <c r="GD1256" s="18"/>
      <c r="GE1256" s="18"/>
      <c r="GF1256" s="18"/>
      <c r="GG1256" s="18"/>
      <c r="GH1256" s="18"/>
      <c r="GI1256" s="18"/>
      <c r="GJ1256" s="18"/>
      <c r="GK1256" s="18"/>
      <c r="GL1256" s="18"/>
      <c r="GM1256" s="18"/>
      <c r="GN1256" s="18"/>
      <c r="GO1256" s="18"/>
      <c r="GP1256" s="18"/>
      <c r="GQ1256" s="18"/>
      <c r="GR1256" s="18"/>
      <c r="GS1256" s="18"/>
      <c r="GT1256" s="18"/>
      <c r="GU1256" s="18"/>
      <c r="GV1256" s="18"/>
      <c r="GW1256" s="18"/>
      <c r="GX1256" s="18"/>
      <c r="GY1256" s="18"/>
      <c r="GZ1256" s="18"/>
      <c r="HA1256" s="18"/>
      <c r="HB1256" s="18"/>
      <c r="HC1256" s="18"/>
      <c r="HD1256" s="18"/>
      <c r="HE1256" s="18"/>
      <c r="HF1256" s="18"/>
      <c r="HG1256" s="18"/>
      <c r="HH1256" s="18"/>
      <c r="HI1256" s="18"/>
      <c r="HJ1256" s="18"/>
      <c r="HK1256" s="18"/>
      <c r="HL1256" s="18"/>
      <c r="HM1256" s="18"/>
      <c r="HN1256" s="18"/>
      <c r="HO1256" s="18"/>
      <c r="HP1256" s="18"/>
      <c r="HQ1256" s="18"/>
      <c r="HR1256" s="18"/>
      <c r="HS1256" s="18"/>
      <c r="HT1256" s="18"/>
      <c r="HU1256" s="18"/>
      <c r="HV1256" s="18"/>
      <c r="HW1256" s="18"/>
      <c r="HX1256" s="18"/>
      <c r="HY1256" s="18"/>
      <c r="HZ1256" s="18"/>
      <c r="IA1256" s="18"/>
      <c r="IB1256" s="18"/>
      <c r="IC1256" s="18"/>
      <c r="ID1256" s="18"/>
      <c r="IE1256" s="18"/>
      <c r="IF1256" s="18"/>
      <c r="IG1256" s="18"/>
      <c r="IH1256" s="18"/>
      <c r="II1256" s="18"/>
      <c r="IJ1256" s="18"/>
      <c r="IK1256" s="18"/>
      <c r="IL1256" s="18"/>
      <c r="IM1256" s="18"/>
      <c r="IN1256" s="18"/>
      <c r="IO1256" s="18"/>
      <c r="IP1256" s="18"/>
      <c r="IQ1256" s="18"/>
      <c r="IR1256" s="18"/>
      <c r="IS1256" s="18"/>
      <c r="IT1256" s="18"/>
      <c r="IU1256" s="18"/>
      <c r="IV1256" s="18"/>
      <c r="IW1256" s="18"/>
      <c r="IX1256" s="18"/>
      <c r="IY1256" s="18"/>
      <c r="IZ1256" s="18"/>
      <c r="JA1256" s="18"/>
      <c r="JB1256" s="18"/>
      <c r="JC1256" s="18"/>
      <c r="JD1256" s="18"/>
      <c r="JE1256" s="18"/>
      <c r="JF1256" s="18"/>
      <c r="JG1256" s="18"/>
      <c r="JH1256" s="18"/>
      <c r="JI1256" s="18"/>
      <c r="JJ1256" s="18"/>
      <c r="JK1256" s="18"/>
      <c r="JL1256" s="18"/>
      <c r="JM1256" s="18"/>
      <c r="JN1256" s="18"/>
      <c r="JO1256" s="16"/>
      <c r="JP1256" s="16"/>
      <c r="JQ1256" s="16"/>
      <c r="JR1256" s="16"/>
      <c r="JS1256" s="16"/>
      <c r="JT1256" s="16"/>
      <c r="JU1256" s="16"/>
      <c r="JV1256" s="16"/>
      <c r="JW1256" s="16"/>
      <c r="JX1256" s="16"/>
      <c r="JY1256" s="16"/>
      <c r="JZ1256" s="16"/>
      <c r="KA1256" s="16"/>
      <c r="KB1256" s="16"/>
    </row>
    <row r="1257" spans="1:288" ht="16" x14ac:dyDescent="0.2">
      <c r="B1257" s="16">
        <v>2018</v>
      </c>
      <c r="C1257" s="147">
        <v>43315</v>
      </c>
      <c r="D1257" t="s">
        <v>1256</v>
      </c>
      <c r="E1257" s="20" t="str">
        <f>CONCATENATE(T1257,"-",U1257,"-",C1257)</f>
        <v>PO1-H6-43315</v>
      </c>
      <c r="F1257" s="16" t="s">
        <v>227</v>
      </c>
      <c r="G1257" s="145" t="s">
        <v>107</v>
      </c>
      <c r="H1257" s="145"/>
      <c r="I1257" s="145"/>
      <c r="J1257" s="145">
        <v>1401</v>
      </c>
      <c r="K1257" s="145">
        <v>2754</v>
      </c>
      <c r="M1257" s="16"/>
      <c r="N1257" s="16"/>
      <c r="O1257" s="15" t="s">
        <v>214</v>
      </c>
      <c r="Q1257" s="16">
        <f t="shared" si="6"/>
        <v>1</v>
      </c>
      <c r="R1257" s="16">
        <f t="shared" si="5"/>
        <v>19</v>
      </c>
      <c r="S1257" s="145"/>
      <c r="T1257" s="145" t="s">
        <v>112</v>
      </c>
      <c r="U1257" s="145" t="s">
        <v>141</v>
      </c>
      <c r="V1257" s="145" t="s">
        <v>114</v>
      </c>
      <c r="W1257" s="145"/>
      <c r="X1257" s="145" t="s">
        <v>121</v>
      </c>
      <c r="Y1257" s="145" t="s">
        <v>110</v>
      </c>
      <c r="Z1257" s="145">
        <v>3</v>
      </c>
      <c r="AA1257" s="145" t="s">
        <v>161</v>
      </c>
      <c r="AB1257" s="145" t="s">
        <v>123</v>
      </c>
      <c r="AC1257" s="145" t="s">
        <v>123</v>
      </c>
      <c r="AD1257" s="145"/>
      <c r="AE1257" s="145"/>
      <c r="AF1257" s="145"/>
      <c r="AG1257" s="145">
        <f>AH1257-AI1257</f>
        <v>83</v>
      </c>
      <c r="AH1257" s="145">
        <v>154</v>
      </c>
      <c r="AI1257" s="145">
        <v>71</v>
      </c>
      <c r="AJ1257" s="145"/>
      <c r="AK1257" s="145">
        <v>14.5</v>
      </c>
      <c r="AL1257" s="145">
        <v>0</v>
      </c>
      <c r="AM1257" s="145">
        <v>0</v>
      </c>
      <c r="AN1257" s="145">
        <v>1</v>
      </c>
      <c r="AO1257" s="16">
        <f>IF(SUM(AL1257:AN1257)&gt;0, 1,0)</f>
        <v>1</v>
      </c>
      <c r="AP1257" s="16">
        <f>SUM(AL1257:AN1257)</f>
        <v>1</v>
      </c>
      <c r="AS1257" s="16">
        <f>VLOOKUP(E1257,'[1]Feces weights'!$D$1:$H$459,5,FALSE)</f>
        <v>0.3530000000000002</v>
      </c>
      <c r="AT1257" s="16" t="e">
        <f>VLOOKUP(E1257,[2]Current!$A$1:$W$435,7,FALSE)</f>
        <v>#N/A</v>
      </c>
      <c r="BG1257" s="77"/>
      <c r="BT1257" s="77"/>
      <c r="CD1257" s="77"/>
      <c r="DG1257" s="145" t="s">
        <v>123</v>
      </c>
      <c r="DT1257" s="145" t="s">
        <v>123</v>
      </c>
      <c r="DU1257" s="145"/>
      <c r="DX1257" s="145"/>
      <c r="DY1257" s="145"/>
      <c r="DZ1257" s="16"/>
      <c r="EA1257" s="16"/>
      <c r="EB1257" s="16"/>
      <c r="EC1257" s="16"/>
      <c r="ED1257" s="16"/>
      <c r="EE1257" s="16"/>
      <c r="EF1257" s="16"/>
      <c r="JO1257" s="18"/>
      <c r="JP1257" s="18"/>
      <c r="JQ1257" s="18"/>
      <c r="JR1257" s="18"/>
      <c r="JS1257" s="18"/>
      <c r="JT1257" s="18"/>
      <c r="JU1257" s="18"/>
      <c r="JV1257" s="18"/>
      <c r="JW1257" s="18"/>
      <c r="JX1257" s="18"/>
      <c r="JY1257" s="18"/>
      <c r="JZ1257" s="18"/>
      <c r="KA1257" s="18"/>
    </row>
    <row r="1258" spans="1:288" ht="16" x14ac:dyDescent="0.2">
      <c r="B1258" s="16">
        <v>2018</v>
      </c>
      <c r="C1258" s="124">
        <v>43230</v>
      </c>
      <c r="D1258" t="s">
        <v>694</v>
      </c>
      <c r="E1258" s="142" t="str">
        <f>CONCATENATE(T1258,"-",U1258,"-",C1258)</f>
        <v>PO2-C1-43230</v>
      </c>
      <c r="F1258" s="16" t="s">
        <v>227</v>
      </c>
      <c r="G1258" s="126" t="s">
        <v>107</v>
      </c>
      <c r="H1258" s="126"/>
      <c r="J1258" s="126">
        <v>1403</v>
      </c>
      <c r="K1258" s="126">
        <v>2325</v>
      </c>
      <c r="O1258" s="15" t="s">
        <v>214</v>
      </c>
      <c r="Q1258" s="16">
        <f t="shared" si="6"/>
        <v>0</v>
      </c>
      <c r="R1258" s="16" t="str">
        <f t="shared" si="5"/>
        <v/>
      </c>
      <c r="T1258" s="126" t="s">
        <v>127</v>
      </c>
      <c r="U1258" s="126" t="s">
        <v>150</v>
      </c>
      <c r="V1258" s="126" t="s">
        <v>114</v>
      </c>
      <c r="X1258" s="126" t="s">
        <v>115</v>
      </c>
      <c r="Y1258" s="126" t="s">
        <v>110</v>
      </c>
      <c r="Z1258" s="126">
        <v>3</v>
      </c>
      <c r="AA1258" s="126"/>
      <c r="AB1258" s="126"/>
      <c r="AC1258" s="126"/>
      <c r="AD1258" s="126"/>
      <c r="AE1258" s="126" t="s">
        <v>123</v>
      </c>
      <c r="AG1258" s="16">
        <f>AH1258-AI1258</f>
        <v>85</v>
      </c>
      <c r="AH1258" s="126">
        <v>143</v>
      </c>
      <c r="AI1258" s="126">
        <v>58</v>
      </c>
      <c r="AK1258" s="126">
        <v>19</v>
      </c>
      <c r="AL1258" s="126">
        <v>0</v>
      </c>
      <c r="AM1258" s="126">
        <v>0</v>
      </c>
      <c r="AN1258" s="126">
        <v>0</v>
      </c>
      <c r="AO1258" s="16">
        <f>IF(SUM(AL1258:AN1258)&gt;0,1,0)</f>
        <v>0</v>
      </c>
      <c r="AP1258" s="18">
        <f>SUM(AL1258:AN1258)</f>
        <v>0</v>
      </c>
      <c r="AR1258" s="16">
        <v>0.125</v>
      </c>
      <c r="AS1258" s="16">
        <f>VLOOKUP(E1258,'[1]Feces weights'!$D$1:$H$459,5,FALSE)</f>
        <v>0.125</v>
      </c>
      <c r="AT1258" s="16" t="e">
        <f>VLOOKUP(E1258,[2]Current!$A$1:$W$435,7,FALSE)</f>
        <v>#N/A</v>
      </c>
      <c r="AU1258" s="16">
        <v>0</v>
      </c>
      <c r="BG1258" s="77"/>
      <c r="BN1258" s="126"/>
      <c r="BT1258" s="78"/>
      <c r="BV1258" s="18"/>
      <c r="BW1258" s="25"/>
      <c r="BY1258" s="18"/>
      <c r="BZ1258" s="25"/>
      <c r="CB1258" s="18"/>
      <c r="CC1258" s="25"/>
      <c r="CD1258" s="77"/>
      <c r="CE1258" s="18"/>
      <c r="CF1258" s="25"/>
      <c r="CG1258" s="18"/>
      <c r="CH1258" s="18"/>
      <c r="CI1258" s="18"/>
      <c r="CK1258" s="18"/>
      <c r="CL1258" s="25"/>
      <c r="DF1258" s="16" t="e">
        <f>VLOOKUP(K1258,'[3]RNA Seq summary tables'!$V$3:$V$99,1,FALSE)</f>
        <v>#N/A</v>
      </c>
      <c r="DG1258" s="126" t="s">
        <v>116</v>
      </c>
    </row>
    <row r="1259" spans="1:288" ht="16" x14ac:dyDescent="0.2">
      <c r="B1259" s="16">
        <v>2018</v>
      </c>
      <c r="C1259" s="124">
        <v>43230</v>
      </c>
      <c r="D1259" t="s">
        <v>695</v>
      </c>
      <c r="E1259" s="37" t="str">
        <f>CONCATENATE(T1259,"-",U1259,"-",C1259)</f>
        <v>PO2-H3-43230</v>
      </c>
      <c r="F1259" s="16" t="s">
        <v>227</v>
      </c>
      <c r="G1259" s="126" t="s">
        <v>107</v>
      </c>
      <c r="H1259" s="126" t="s">
        <v>1088</v>
      </c>
      <c r="J1259" s="127">
        <v>1405</v>
      </c>
      <c r="K1259" s="126">
        <v>2327</v>
      </c>
      <c r="O1259" s="15" t="s">
        <v>214</v>
      </c>
      <c r="Q1259" s="16">
        <f t="shared" si="6"/>
        <v>0</v>
      </c>
      <c r="R1259" s="16" t="str">
        <f t="shared" si="5"/>
        <v/>
      </c>
      <c r="T1259" s="126" t="s">
        <v>127</v>
      </c>
      <c r="U1259" s="126" t="s">
        <v>174</v>
      </c>
      <c r="V1259" s="126" t="s">
        <v>114</v>
      </c>
      <c r="X1259" s="126" t="s">
        <v>115</v>
      </c>
      <c r="Y1259" s="126" t="s">
        <v>110</v>
      </c>
      <c r="Z1259" s="126">
        <v>3</v>
      </c>
      <c r="AA1259" s="126"/>
      <c r="AB1259" s="126"/>
      <c r="AC1259" s="126"/>
      <c r="AD1259" s="126"/>
      <c r="AE1259" s="126" t="s">
        <v>116</v>
      </c>
      <c r="AG1259" s="16">
        <f>AH1259-AI1259</f>
        <v>93</v>
      </c>
      <c r="AH1259" s="126">
        <v>171</v>
      </c>
      <c r="AI1259" s="126">
        <v>78</v>
      </c>
      <c r="AK1259" s="126">
        <v>22</v>
      </c>
      <c r="AL1259" s="126">
        <v>0</v>
      </c>
      <c r="AM1259" s="126">
        <v>0</v>
      </c>
      <c r="AN1259" s="126">
        <v>0</v>
      </c>
      <c r="AO1259" s="16">
        <f>IF(SUM(AL1259:AN1259)&gt;0,1,0)</f>
        <v>0</v>
      </c>
      <c r="AP1259" s="18">
        <f>SUM(AL1259:AN1259)</f>
        <v>0</v>
      </c>
      <c r="AR1259" s="16">
        <v>0.16300000000000003</v>
      </c>
      <c r="AS1259" s="16">
        <f>VLOOKUP(E1259,'[1]Feces weights'!$D$1:$H$459,5,FALSE)</f>
        <v>0.16300000000000003</v>
      </c>
      <c r="AT1259" s="16" t="str">
        <f>VLOOKUP(E1259,[9]Current!$A:$T,7,FALSE)</f>
        <v>IS</v>
      </c>
      <c r="AU1259" s="18" t="s">
        <v>1290</v>
      </c>
      <c r="AW1259" s="177">
        <f>IF(AY1259&gt;0,1,0)</f>
        <v>1</v>
      </c>
      <c r="AX1259" s="177">
        <f>SUM(BA1259,BM1259,CU1259)</f>
        <v>4</v>
      </c>
      <c r="AY1259" s="177">
        <f>SUM(BB1259,BN1259,CV1259)</f>
        <v>165.64417177914106</v>
      </c>
      <c r="AZ1259" s="177">
        <f>IF(BB1259&gt;0,1,0)</f>
        <v>1</v>
      </c>
      <c r="BA1259" s="177">
        <f>SUM(BC1259+BF1259+BI1259)</f>
        <v>2</v>
      </c>
      <c r="BB1259" s="177">
        <f>SUM(BE1259,BH1259,BK1259)</f>
        <v>55.214723926380358</v>
      </c>
      <c r="BC1259" s="178">
        <f>IF(BD1259&gt;0,1,0)</f>
        <v>1</v>
      </c>
      <c r="BD1259" s="177">
        <f>VLOOKUP($E1259,[9]Current!$1:$1048576,8,FALSE)</f>
        <v>3</v>
      </c>
      <c r="BE1259" s="177">
        <f>BD1259/$AS1259</f>
        <v>18.404907975460119</v>
      </c>
      <c r="BF1259" s="178">
        <f>IF(BG1259&gt;0,1,0)</f>
        <v>1</v>
      </c>
      <c r="BG1259" s="179">
        <f>VLOOKUP($E1259,[9]Current!$1:$1048576,9,FALSE)</f>
        <v>6</v>
      </c>
      <c r="BH1259" s="177">
        <f>BG1259/$AS1259</f>
        <v>36.809815950920239</v>
      </c>
      <c r="BI1259" s="178">
        <f>IF(BJ1259&gt;0,1,0)</f>
        <v>0</v>
      </c>
      <c r="BJ1259" s="177">
        <f>VLOOKUP($E1259,[9]Current!$1:$1048576,10,FALSE)</f>
        <v>0</v>
      </c>
      <c r="BK1259" s="177">
        <f>BJ1259/$AS1259</f>
        <v>0</v>
      </c>
      <c r="BL1259" s="177">
        <f>IF(BM1259&gt;0,1,0)</f>
        <v>1</v>
      </c>
      <c r="BM1259" s="177">
        <f>SUM(BR1259,BU1259,BX1259,CA1259,CD1259)</f>
        <v>2</v>
      </c>
      <c r="BN1259" s="181">
        <f>SUM(BT1259,BW1259,BZ1259,CC1259,CF1259)</f>
        <v>110.42944785276072</v>
      </c>
      <c r="BO1259" s="177">
        <f>IF(BP1259&gt;0,1,0)</f>
        <v>1</v>
      </c>
      <c r="BP1259" s="177">
        <f>BM1259+CJ1259</f>
        <v>2</v>
      </c>
      <c r="BQ1259" s="177">
        <f>BN1259+CL1259</f>
        <v>110.42944785276072</v>
      </c>
      <c r="BR1259" s="178">
        <f>IF(BS1259&gt;0,1,0)</f>
        <v>1</v>
      </c>
      <c r="BS1259" s="177">
        <f>VLOOKUP($E1259,[9]Current!$1:$1048576,12,FALSE)</f>
        <v>17</v>
      </c>
      <c r="BT1259" s="179">
        <f>BS1259/$AS1259</f>
        <v>104.29447852760734</v>
      </c>
      <c r="BU1259" s="178">
        <f>IF(BV1259&gt;0,1,0)</f>
        <v>0</v>
      </c>
      <c r="BV1259" s="177">
        <f>VLOOKUP($E1259,[9]Current!$1:$1048576,13,FALSE)</f>
        <v>0</v>
      </c>
      <c r="BW1259" s="177">
        <f>BV1259/$AS1259</f>
        <v>0</v>
      </c>
      <c r="BX1259" s="178">
        <f>IF(BY1259&gt;0,1,0)</f>
        <v>0</v>
      </c>
      <c r="BY1259" s="177">
        <f>VLOOKUP($E1259,[9]Current!$1:$1048576,14,FALSE)</f>
        <v>0</v>
      </c>
      <c r="BZ1259" s="177">
        <f>BY1259/$AS1259</f>
        <v>0</v>
      </c>
      <c r="CA1259" s="178">
        <f>IF(CB1259&gt;0,1,0)</f>
        <v>1</v>
      </c>
      <c r="CB1259" s="177">
        <f>VLOOKUP($E1259,[9]Current!$1:$1048576,15,FALSE)</f>
        <v>1</v>
      </c>
      <c r="CC1259" s="177">
        <f>CB1259/$AS1259</f>
        <v>6.1349693251533726</v>
      </c>
      <c r="CD1259" s="180">
        <f>IF(CE1259&gt;0,1,0)</f>
        <v>0</v>
      </c>
      <c r="CE1259" s="177">
        <f>VLOOKUP($E1259,[9]Current!$1:$1048576,16,FALSE)</f>
        <v>0</v>
      </c>
      <c r="CF1259" s="177">
        <f>CE1259/$AS1259</f>
        <v>0</v>
      </c>
      <c r="CG1259" s="18"/>
      <c r="CH1259" s="18"/>
      <c r="CI1259" s="18"/>
      <c r="CJ1259" s="178">
        <f>IF(CK1259&gt;0,1,0)</f>
        <v>0</v>
      </c>
      <c r="CK1259" s="177">
        <f>VLOOKUP($E1259,[9]Current!$1:$1048576,18,FALSE)</f>
        <v>0</v>
      </c>
      <c r="CL1259" s="177">
        <f>CK1259/$AS1259</f>
        <v>0</v>
      </c>
      <c r="CS1259" s="178">
        <f>IF(CU1259&gt;0,1,0)</f>
        <v>0</v>
      </c>
      <c r="CT1259" s="177"/>
      <c r="CU1259" s="177">
        <f>VLOOKUP($E1259,[9]Current!$1:$1048576,17,FALSE)</f>
        <v>0</v>
      </c>
      <c r="CV1259" s="177">
        <f>CU1259/$AS1259</f>
        <v>0</v>
      </c>
      <c r="DF1259" s="16" t="e">
        <f>VLOOKUP(K1259,'[3]RNA Seq summary tables'!$V$3:$V$99,1,FALSE)</f>
        <v>#N/A</v>
      </c>
      <c r="DG1259" s="126" t="s">
        <v>116</v>
      </c>
    </row>
    <row r="1260" spans="1:288" ht="16" x14ac:dyDescent="0.2">
      <c r="B1260" s="16">
        <v>2018</v>
      </c>
      <c r="C1260" s="124">
        <v>43230</v>
      </c>
      <c r="D1260" t="s">
        <v>690</v>
      </c>
      <c r="E1260" s="142" t="str">
        <f>CONCATENATE(T1260,"-",U1260,"-",C1260)</f>
        <v>PO1-A5-43230</v>
      </c>
      <c r="F1260" s="16" t="s">
        <v>227</v>
      </c>
      <c r="G1260" s="126" t="s">
        <v>107</v>
      </c>
      <c r="H1260" s="126"/>
      <c r="J1260" s="126">
        <v>1407</v>
      </c>
      <c r="K1260" s="126">
        <v>2329</v>
      </c>
      <c r="O1260" s="15" t="s">
        <v>214</v>
      </c>
      <c r="Q1260" s="16">
        <f t="shared" si="6"/>
        <v>0</v>
      </c>
      <c r="R1260" s="16" t="str">
        <f t="shared" si="5"/>
        <v/>
      </c>
      <c r="T1260" s="126" t="s">
        <v>112</v>
      </c>
      <c r="U1260" s="126" t="s">
        <v>167</v>
      </c>
      <c r="V1260" s="133" t="s">
        <v>142</v>
      </c>
      <c r="X1260" s="126" t="s">
        <v>121</v>
      </c>
      <c r="Y1260" s="126" t="s">
        <v>122</v>
      </c>
      <c r="Z1260" s="126">
        <v>2.9</v>
      </c>
      <c r="AA1260" s="126" t="s">
        <v>119</v>
      </c>
      <c r="AB1260" s="126" t="s">
        <v>123</v>
      </c>
      <c r="AC1260" s="126" t="s">
        <v>116</v>
      </c>
      <c r="AD1260" s="126"/>
      <c r="AE1260" s="126"/>
      <c r="AG1260" s="16">
        <f>AH1260-AI1260</f>
        <v>74</v>
      </c>
      <c r="AH1260" s="126">
        <v>153</v>
      </c>
      <c r="AI1260" s="126">
        <v>79</v>
      </c>
      <c r="AK1260" s="125">
        <v>16</v>
      </c>
      <c r="AL1260" s="126">
        <v>1</v>
      </c>
      <c r="AM1260" s="126">
        <v>0</v>
      </c>
      <c r="AN1260" s="126">
        <v>0</v>
      </c>
      <c r="AO1260" s="16">
        <f>IF(SUM(AL1260:AN1260)&gt;0,1,0)</f>
        <v>1</v>
      </c>
      <c r="AP1260" s="18">
        <f>SUM(AL1260:AN1260)</f>
        <v>1</v>
      </c>
      <c r="AQ1260" s="16" t="s">
        <v>1284</v>
      </c>
      <c r="AR1260" s="16">
        <v>-1.0999999999999899E-2</v>
      </c>
      <c r="AS1260" s="152">
        <f>VLOOKUP(E1260,'[1]Feces weights'!$D$1:$H$459,5,FALSE)</f>
        <v>-1.0999999999999899E-2</v>
      </c>
      <c r="AT1260" s="16" t="e">
        <f>VLOOKUP(E1260,[2]Current!$A$1:$W$435,7,FALSE)</f>
        <v>#N/A</v>
      </c>
      <c r="AU1260" s="16">
        <v>0</v>
      </c>
      <c r="BG1260" s="77"/>
      <c r="BN1260" s="126"/>
      <c r="BT1260" s="78"/>
      <c r="BV1260" s="18"/>
      <c r="BW1260" s="25"/>
      <c r="BY1260" s="18"/>
      <c r="BZ1260" s="25"/>
      <c r="CB1260" s="18"/>
      <c r="CC1260" s="25"/>
      <c r="CD1260" s="77"/>
      <c r="CE1260" s="18"/>
      <c r="CF1260" s="25"/>
      <c r="CG1260" s="18"/>
      <c r="CH1260" s="18"/>
      <c r="CI1260" s="18"/>
      <c r="CK1260" s="18"/>
      <c r="CL1260" s="25"/>
      <c r="DF1260" s="16" t="e">
        <f>VLOOKUP(K1260,'[3]RNA Seq summary tables'!$V$3:$V$99,1,FALSE)</f>
        <v>#N/A</v>
      </c>
      <c r="DG1260" s="126" t="s">
        <v>116</v>
      </c>
    </row>
    <row r="1261" spans="1:288" ht="16" x14ac:dyDescent="0.2">
      <c r="B1261" s="16">
        <v>2018</v>
      </c>
      <c r="C1261" s="124">
        <v>43268</v>
      </c>
      <c r="D1261" t="s">
        <v>818</v>
      </c>
      <c r="E1261" s="37" t="str">
        <f>CONCATENATE(T1261,"-",U1261,"-",C1261)</f>
        <v>PO1-A4-43268</v>
      </c>
      <c r="F1261" s="16" t="s">
        <v>227</v>
      </c>
      <c r="G1261" s="126" t="s">
        <v>107</v>
      </c>
      <c r="H1261" s="126"/>
      <c r="J1261" s="126">
        <v>1407</v>
      </c>
      <c r="K1261" s="126">
        <v>2456</v>
      </c>
      <c r="O1261" s="15" t="s">
        <v>214</v>
      </c>
      <c r="Q1261" s="16">
        <f t="shared" si="6"/>
        <v>1</v>
      </c>
      <c r="R1261" s="16">
        <f t="shared" si="5"/>
        <v>38</v>
      </c>
      <c r="T1261" s="126" t="s">
        <v>112</v>
      </c>
      <c r="U1261" s="126" t="s">
        <v>134</v>
      </c>
      <c r="V1261" s="133" t="s">
        <v>142</v>
      </c>
      <c r="X1261" s="126" t="s">
        <v>121</v>
      </c>
      <c r="Y1261" s="126" t="s">
        <v>110</v>
      </c>
      <c r="Z1261" s="126">
        <v>3</v>
      </c>
      <c r="AA1261" s="126" t="s">
        <v>119</v>
      </c>
      <c r="AB1261" s="126" t="s">
        <v>116</v>
      </c>
      <c r="AC1261" s="126" t="s">
        <v>116</v>
      </c>
      <c r="AD1261" s="126"/>
      <c r="AE1261" s="126"/>
      <c r="AG1261" s="16">
        <f>AH1261-AI1261</f>
        <v>87</v>
      </c>
      <c r="AH1261" s="126">
        <v>172</v>
      </c>
      <c r="AI1261" s="126">
        <v>85</v>
      </c>
      <c r="AK1261" s="126">
        <v>18</v>
      </c>
      <c r="AL1261" s="126">
        <v>0</v>
      </c>
      <c r="AM1261" s="126">
        <v>0</v>
      </c>
      <c r="AN1261" s="126">
        <v>0</v>
      </c>
      <c r="AO1261" s="16">
        <f>IF(SUM(AL1261:AN1261)&gt;0,1,0)</f>
        <v>0</v>
      </c>
      <c r="AP1261" s="18">
        <f>SUM(AL1261:AN1261)</f>
        <v>0</v>
      </c>
      <c r="AR1261" s="16">
        <v>0.30500000000000016</v>
      </c>
      <c r="AS1261" s="16">
        <f>VLOOKUP(E1261,'[1]Feces weights'!$D$1:$H$459,5,FALSE)</f>
        <v>0.30500000000000016</v>
      </c>
      <c r="AT1261" s="16" t="str">
        <f>VLOOKUP(E1261,[2]Current!$A$1:$W$435,7,FALSE)</f>
        <v>LV</v>
      </c>
      <c r="AU1261" s="16" t="s">
        <v>1288</v>
      </c>
      <c r="AW1261" s="128">
        <f>IF(AX1261&gt;0,1,0)</f>
        <v>1</v>
      </c>
      <c r="AX1261" s="128">
        <f>SUM(BA1261,BM1261,CU1261)</f>
        <v>4</v>
      </c>
      <c r="AY1261" s="128">
        <f>SUM(BB1261,BN1261,CV1261)</f>
        <v>74836.065573770466</v>
      </c>
      <c r="AZ1261" s="128">
        <f>IF(BA1261&gt;0,1,0)</f>
        <v>1</v>
      </c>
      <c r="BA1261" s="128">
        <f>SUM(BC1261+BF1261+BI1261)</f>
        <v>3</v>
      </c>
      <c r="BB1261" s="128">
        <f>SUM(BE1261,BH1261,BK1261)</f>
        <v>74832.786885245878</v>
      </c>
      <c r="BC1261" s="130">
        <f>IF(BD1261&gt;0,1,0)</f>
        <v>1</v>
      </c>
      <c r="BD1261" s="128">
        <f>VLOOKUP($E1261,[2]Current!$A:$AC,26,FALSE)</f>
        <v>212</v>
      </c>
      <c r="BE1261" s="128">
        <f>BD1261/$AS1261</f>
        <v>695.08196721311435</v>
      </c>
      <c r="BF1261" s="130">
        <f>IF(BG1261&gt;0,1,0)</f>
        <v>1</v>
      </c>
      <c r="BG1261" s="137">
        <f>VLOOKUP($E1261,[2]Current!$A:$AC,27,FALSE)</f>
        <v>22468</v>
      </c>
      <c r="BH1261" s="128">
        <f>BG1261/$AS1261</f>
        <v>73665.57377049177</v>
      </c>
      <c r="BI1261" s="130">
        <f>IF(BJ1261&gt;0,1,0)</f>
        <v>1</v>
      </c>
      <c r="BJ1261" s="128">
        <f>VLOOKUP($E1261,[2]Current!$A:$AC,28,FALSE)</f>
        <v>144</v>
      </c>
      <c r="BK1261" s="128">
        <f>BJ1261/$AS1261</f>
        <v>472.13114754098336</v>
      </c>
      <c r="BL1261" s="128">
        <f>IF(BM1261&gt;0,1,0)</f>
        <v>1</v>
      </c>
      <c r="BM1261" s="128">
        <f>SUM(BR1261,BU1261,BX1261,CA1261,CD1261)</f>
        <v>1</v>
      </c>
      <c r="BN1261" s="131">
        <f>SUM(BT1261,BW1261,BZ1261,CC1261,CF1261)</f>
        <v>3.2786885245901622</v>
      </c>
      <c r="BO1261" s="128">
        <f>IF(BP1261&gt;0,1,0)</f>
        <v>1</v>
      </c>
      <c r="BP1261" s="128">
        <f>BM1261+CJ1261</f>
        <v>2</v>
      </c>
      <c r="BQ1261" s="128">
        <f>BN1261+CL1261</f>
        <v>6.5573770491803245</v>
      </c>
      <c r="BR1261" s="130">
        <f>IF(BS1261&gt;0,1,0)</f>
        <v>0</v>
      </c>
      <c r="BS1261" s="128">
        <f>VLOOKUP($E1261,[2]Current!$A:$AC,12,FALSE)</f>
        <v>0</v>
      </c>
      <c r="BT1261" s="137">
        <f>BS1261/$AS1261</f>
        <v>0</v>
      </c>
      <c r="BU1261" s="130">
        <f>IF(BV1261&gt;0,1,0)</f>
        <v>0</v>
      </c>
      <c r="BV1261" s="128">
        <f>VLOOKUP($E1261,[2]Current!$A:$AC,13,FALSE)</f>
        <v>0</v>
      </c>
      <c r="BW1261" s="128">
        <f>BV1261/$AS1261</f>
        <v>0</v>
      </c>
      <c r="BX1261" s="130">
        <f>IF(BY1261&gt;0,1,0)</f>
        <v>1</v>
      </c>
      <c r="BY1261" s="128">
        <f>VLOOKUP($E1261,[2]Current!$A:$AC,14,FALSE)</f>
        <v>1</v>
      </c>
      <c r="BZ1261" s="128">
        <f>BY1261/$AS1261</f>
        <v>3.2786885245901622</v>
      </c>
      <c r="CA1261" s="130">
        <f>IF(CB1261&gt;0,1,0)</f>
        <v>0</v>
      </c>
      <c r="CB1261" s="128">
        <f>VLOOKUP($E1261,[2]Current!$A:$AC,15,FALSE)</f>
        <v>0</v>
      </c>
      <c r="CC1261" s="128">
        <f>CB1261/$AS1261</f>
        <v>0</v>
      </c>
      <c r="CD1261" s="174">
        <f>IF(CE1261&gt;0,1,0)</f>
        <v>0</v>
      </c>
      <c r="CE1261" s="128">
        <f>VLOOKUP($E1261,[2]Current!$A:$AC,16,FALSE)</f>
        <v>0</v>
      </c>
      <c r="CF1261" s="128">
        <f>CE1261/$AS1261</f>
        <v>0</v>
      </c>
      <c r="CG1261" s="18"/>
      <c r="CH1261" s="18"/>
      <c r="CI1261" s="18"/>
      <c r="CJ1261" s="130">
        <f>IF(CK1261&gt;0,1,0)</f>
        <v>1</v>
      </c>
      <c r="CK1261" s="128">
        <f>VLOOKUP($E1261,[2]Current!$A:$AC,18,FALSE)</f>
        <v>1</v>
      </c>
      <c r="CL1261" s="128">
        <f>CK1261/$AS1261</f>
        <v>3.2786885245901622</v>
      </c>
      <c r="CS1261" s="130">
        <f>IF(CU1261&gt;0,1,0)</f>
        <v>0</v>
      </c>
      <c r="CT1261" s="18"/>
      <c r="CU1261" s="128">
        <f>VLOOKUP($E1261,[2]Current!$A:$AC,17,FALSE)</f>
        <v>0</v>
      </c>
      <c r="CV1261" s="128">
        <f>CU1261/$AS1261</f>
        <v>0</v>
      </c>
      <c r="CW1261" s="18"/>
      <c r="CX1261" s="18"/>
      <c r="CY1261" s="18"/>
      <c r="DF1261" s="16" t="e">
        <f>VLOOKUP(K1261,'[3]RNA Seq summary tables'!$V$3:$V$99,1,FALSE)</f>
        <v>#N/A</v>
      </c>
      <c r="DG1261" s="126" t="s">
        <v>116</v>
      </c>
      <c r="JR1261" s="18"/>
      <c r="JS1261" s="18"/>
      <c r="JT1261" s="18"/>
      <c r="JU1261" s="18"/>
      <c r="JV1261" s="18"/>
      <c r="JW1261" s="18"/>
      <c r="JX1261" s="18"/>
      <c r="JY1261" s="18"/>
      <c r="JZ1261" s="18"/>
      <c r="KA1261" s="18"/>
      <c r="KB1261" s="18"/>
    </row>
    <row r="1262" spans="1:288" ht="16" x14ac:dyDescent="0.2">
      <c r="B1262" s="16">
        <v>2018</v>
      </c>
      <c r="C1262" s="147">
        <v>43315</v>
      </c>
      <c r="D1262" t="s">
        <v>1248</v>
      </c>
      <c r="E1262" s="20" t="str">
        <f>CONCATENATE(T1262,"-",U1262,"-",C1262)</f>
        <v>PO1-A4-43315</v>
      </c>
      <c r="F1262" s="16" t="s">
        <v>227</v>
      </c>
      <c r="G1262" s="145" t="s">
        <v>107</v>
      </c>
      <c r="H1262" s="145"/>
      <c r="I1262" s="145"/>
      <c r="J1262" s="145">
        <v>1407</v>
      </c>
      <c r="K1262" s="145">
        <v>2747</v>
      </c>
      <c r="M1262" s="16"/>
      <c r="N1262" s="16"/>
      <c r="O1262" s="15" t="s">
        <v>214</v>
      </c>
      <c r="Q1262" s="16">
        <f t="shared" si="6"/>
        <v>1</v>
      </c>
      <c r="R1262" s="16">
        <f t="shared" si="5"/>
        <v>47</v>
      </c>
      <c r="S1262" s="145"/>
      <c r="T1262" s="145" t="s">
        <v>112</v>
      </c>
      <c r="U1262" s="145" t="s">
        <v>134</v>
      </c>
      <c r="V1262" s="145" t="s">
        <v>142</v>
      </c>
      <c r="W1262" s="145"/>
      <c r="X1262" s="145" t="s">
        <v>121</v>
      </c>
      <c r="Y1262" s="145" t="s">
        <v>110</v>
      </c>
      <c r="Z1262" s="145">
        <v>3</v>
      </c>
      <c r="AA1262" s="145" t="s">
        <v>119</v>
      </c>
      <c r="AB1262" s="145" t="s">
        <v>116</v>
      </c>
      <c r="AC1262" s="145" t="s">
        <v>123</v>
      </c>
      <c r="AD1262" s="145"/>
      <c r="AE1262" s="145"/>
      <c r="AF1262" s="145"/>
      <c r="AG1262" s="145">
        <f>AH1262-AI1262</f>
        <v>79</v>
      </c>
      <c r="AH1262" s="145">
        <v>160</v>
      </c>
      <c r="AI1262" s="145">
        <v>81</v>
      </c>
      <c r="AJ1262" s="145"/>
      <c r="AK1262" s="145">
        <v>18</v>
      </c>
      <c r="AL1262" s="145">
        <v>0</v>
      </c>
      <c r="AM1262" s="145">
        <v>0</v>
      </c>
      <c r="AN1262" s="145">
        <v>0</v>
      </c>
      <c r="AO1262" s="16">
        <f>IF(SUM(AL1262:AN1262)&gt;0, 1,0)</f>
        <v>0</v>
      </c>
      <c r="AP1262" s="16">
        <f>SUM(AL1262:AN1262)</f>
        <v>0</v>
      </c>
      <c r="AS1262" s="16">
        <f>VLOOKUP(E1262,'[1]Feces weights'!$D$1:$H$459,5,FALSE)</f>
        <v>0.64500000000000024</v>
      </c>
      <c r="AT1262" s="16" t="e">
        <f>VLOOKUP(E1262,[2]Current!$A$1:$W$435,7,FALSE)</f>
        <v>#N/A</v>
      </c>
      <c r="BG1262" s="77"/>
      <c r="BT1262" s="77"/>
      <c r="CD1262" s="77"/>
      <c r="DG1262" s="145" t="s">
        <v>116</v>
      </c>
      <c r="DT1262" s="145" t="s">
        <v>123</v>
      </c>
      <c r="DU1262" s="145"/>
      <c r="DX1262" s="145"/>
      <c r="DY1262" s="145"/>
      <c r="DZ1262" s="16"/>
      <c r="EA1262" s="16"/>
      <c r="EB1262" s="16"/>
      <c r="EC1262" s="16"/>
      <c r="ED1262" s="16"/>
      <c r="EE1262" s="16"/>
      <c r="EF1262" s="16"/>
      <c r="JO1262" s="18"/>
      <c r="JP1262" s="18"/>
      <c r="JQ1262" s="18"/>
      <c r="JR1262" s="18"/>
      <c r="JS1262" s="18"/>
      <c r="JT1262" s="18"/>
      <c r="JU1262" s="18"/>
      <c r="JV1262" s="18"/>
      <c r="JW1262" s="18"/>
      <c r="JX1262" s="18"/>
      <c r="JY1262" s="18"/>
      <c r="JZ1262" s="18"/>
      <c r="KA1262" s="18"/>
    </row>
    <row r="1263" spans="1:288" ht="16" x14ac:dyDescent="0.2">
      <c r="B1263" s="16">
        <v>2018</v>
      </c>
      <c r="C1263" s="124">
        <v>43230</v>
      </c>
      <c r="D1263" t="s">
        <v>696</v>
      </c>
      <c r="E1263" s="37" t="str">
        <f>CONCATENATE(T1263,"-",U1263,"-",C1263)</f>
        <v>PO1-D2-43230</v>
      </c>
      <c r="F1263" s="16" t="s">
        <v>227</v>
      </c>
      <c r="G1263" s="126" t="s">
        <v>107</v>
      </c>
      <c r="H1263" s="126"/>
      <c r="J1263" s="126">
        <v>1409</v>
      </c>
      <c r="K1263" s="126">
        <v>2332</v>
      </c>
      <c r="O1263" s="15" t="s">
        <v>214</v>
      </c>
      <c r="Q1263" s="16">
        <f t="shared" si="6"/>
        <v>0</v>
      </c>
      <c r="R1263" s="16" t="str">
        <f t="shared" si="5"/>
        <v/>
      </c>
      <c r="T1263" s="126" t="s">
        <v>112</v>
      </c>
      <c r="U1263" s="126" t="s">
        <v>198</v>
      </c>
      <c r="V1263" s="126" t="s">
        <v>114</v>
      </c>
      <c r="X1263" s="126" t="s">
        <v>115</v>
      </c>
      <c r="Y1263" s="126" t="s">
        <v>110</v>
      </c>
      <c r="Z1263" s="126">
        <v>3</v>
      </c>
      <c r="AA1263" s="126"/>
      <c r="AB1263" s="126"/>
      <c r="AC1263" s="126"/>
      <c r="AD1263" s="126"/>
      <c r="AE1263" s="126"/>
      <c r="AG1263" s="16">
        <f>AH1263-AI1263</f>
        <v>85</v>
      </c>
      <c r="AH1263" s="126">
        <v>157</v>
      </c>
      <c r="AI1263" s="126">
        <v>72</v>
      </c>
      <c r="AK1263" s="125">
        <v>20</v>
      </c>
      <c r="AL1263" s="126">
        <v>0</v>
      </c>
      <c r="AM1263" s="126">
        <v>0</v>
      </c>
      <c r="AN1263" s="126">
        <v>0</v>
      </c>
      <c r="AO1263" s="16">
        <f>IF(SUM(AL1263:AN1263)&gt;0,1,0)</f>
        <v>0</v>
      </c>
      <c r="AP1263" s="18">
        <f>SUM(AL1263:AN1263)</f>
        <v>0</v>
      </c>
      <c r="AR1263" s="16">
        <v>0.23600000000000021</v>
      </c>
      <c r="AS1263" s="16">
        <f>VLOOKUP(E1263,'[1]Feces weights'!$D$1:$H$459,5,FALSE)</f>
        <v>0.23600000000000021</v>
      </c>
      <c r="AT1263" s="16" t="str">
        <f>VLOOKUP(E1263,[9]Current!$A:$T,7,FALSE)</f>
        <v>DP</v>
      </c>
      <c r="AU1263" s="18" t="s">
        <v>1290</v>
      </c>
      <c r="AW1263" s="177">
        <f>IF(AY1263&gt;0,1,0)</f>
        <v>1</v>
      </c>
      <c r="AX1263" s="177">
        <f>SUM(BA1263,BM1263,CU1263)</f>
        <v>5</v>
      </c>
      <c r="AY1263" s="177">
        <f>SUM(BB1263,BN1263,CV1263)</f>
        <v>5694.9152542372831</v>
      </c>
      <c r="AZ1263" s="177">
        <f>IF(BB1263&gt;0,1,0)</f>
        <v>1</v>
      </c>
      <c r="BA1263" s="177">
        <f>SUM(BC1263+BF1263+BI1263)</f>
        <v>3</v>
      </c>
      <c r="BB1263" s="177">
        <f>SUM(BE1263,BH1263,BK1263)</f>
        <v>5542.3728813559273</v>
      </c>
      <c r="BC1263" s="178">
        <f>IF(BD1263&gt;0,1,0)</f>
        <v>1</v>
      </c>
      <c r="BD1263" s="177">
        <f>VLOOKUP($E1263,[9]Current!$1:$1048576,8,FALSE)</f>
        <v>175</v>
      </c>
      <c r="BE1263" s="177">
        <f>BD1263/$AS1263</f>
        <v>741.52542372881294</v>
      </c>
      <c r="BF1263" s="178">
        <f>IF(BG1263&gt;0,1,0)</f>
        <v>1</v>
      </c>
      <c r="BG1263" s="179">
        <f>VLOOKUP($E1263,[9]Current!$1:$1048576,9,FALSE)</f>
        <v>1130</v>
      </c>
      <c r="BH1263" s="177">
        <f>BG1263/$AS1263</f>
        <v>4788.1355932203351</v>
      </c>
      <c r="BI1263" s="178">
        <f>IF(BJ1263&gt;0,1,0)</f>
        <v>1</v>
      </c>
      <c r="BJ1263" s="177">
        <f>VLOOKUP($E1263,[9]Current!$1:$1048576,10,FALSE)</f>
        <v>3</v>
      </c>
      <c r="BK1263" s="177">
        <f>BJ1263/$AS1263</f>
        <v>12.71186440677965</v>
      </c>
      <c r="BL1263" s="177">
        <f>IF(BM1263&gt;0,1,0)</f>
        <v>1</v>
      </c>
      <c r="BM1263" s="177">
        <f>SUM(BR1263,BU1263,BX1263,CA1263,CD1263)</f>
        <v>2</v>
      </c>
      <c r="BN1263" s="181">
        <f>SUM(BT1263,BW1263,BZ1263,CC1263,CF1263)</f>
        <v>152.54237288135579</v>
      </c>
      <c r="BO1263" s="177">
        <f>IF(BP1263&gt;0,1,0)</f>
        <v>1</v>
      </c>
      <c r="BP1263" s="177">
        <f>BM1263+CJ1263</f>
        <v>2</v>
      </c>
      <c r="BQ1263" s="177">
        <f>BN1263+CL1263</f>
        <v>152.54237288135579</v>
      </c>
      <c r="BR1263" s="178">
        <f>IF(BS1263&gt;0,1,0)</f>
        <v>1</v>
      </c>
      <c r="BS1263" s="177">
        <f>VLOOKUP($E1263,[9]Current!$1:$1048576,12,FALSE)</f>
        <v>14</v>
      </c>
      <c r="BT1263" s="179">
        <f>BS1263/$AS1263</f>
        <v>59.32203389830503</v>
      </c>
      <c r="BU1263" s="178">
        <f>IF(BV1263&gt;0,1,0)</f>
        <v>0</v>
      </c>
      <c r="BV1263" s="177">
        <f>VLOOKUP($E1263,[9]Current!$1:$1048576,13,FALSE)</f>
        <v>0</v>
      </c>
      <c r="BW1263" s="177">
        <f>BV1263/$AS1263</f>
        <v>0</v>
      </c>
      <c r="BX1263" s="178">
        <f>IF(BY1263&gt;0,1,0)</f>
        <v>1</v>
      </c>
      <c r="BY1263" s="177">
        <f>VLOOKUP($E1263,[9]Current!$1:$1048576,14,FALSE)</f>
        <v>22</v>
      </c>
      <c r="BZ1263" s="177">
        <f>BY1263/$AS1263</f>
        <v>93.220338983050766</v>
      </c>
      <c r="CA1263" s="178">
        <f>IF(CB1263&gt;0,1,0)</f>
        <v>0</v>
      </c>
      <c r="CB1263" s="177">
        <f>VLOOKUP($E1263,[9]Current!$1:$1048576,15,FALSE)</f>
        <v>0</v>
      </c>
      <c r="CC1263" s="177">
        <f>CB1263/$AS1263</f>
        <v>0</v>
      </c>
      <c r="CD1263" s="180">
        <f>IF(CE1263&gt;0,1,0)</f>
        <v>0</v>
      </c>
      <c r="CE1263" s="177">
        <f>VLOOKUP($E1263,[9]Current!$1:$1048576,16,FALSE)</f>
        <v>0</v>
      </c>
      <c r="CF1263" s="177">
        <f>CE1263/$AS1263</f>
        <v>0</v>
      </c>
      <c r="CG1263" s="18"/>
      <c r="CH1263" s="18"/>
      <c r="CI1263" s="18"/>
      <c r="CJ1263" s="178">
        <f>IF(CK1263&gt;0,1,0)</f>
        <v>0</v>
      </c>
      <c r="CK1263" s="177">
        <f>VLOOKUP($E1263,[9]Current!$1:$1048576,18,FALSE)</f>
        <v>0</v>
      </c>
      <c r="CL1263" s="177">
        <f>CK1263/$AS1263</f>
        <v>0</v>
      </c>
      <c r="CS1263" s="178">
        <f>IF(CU1263&gt;0,1,0)</f>
        <v>0</v>
      </c>
      <c r="CT1263" s="177"/>
      <c r="CU1263" s="177">
        <f>VLOOKUP($E1263,[9]Current!$1:$1048576,17,FALSE)</f>
        <v>0</v>
      </c>
      <c r="CV1263" s="177">
        <f>CU1263/$AS1263</f>
        <v>0</v>
      </c>
      <c r="DF1263" s="16" t="e">
        <f>VLOOKUP(K1263,'[3]RNA Seq summary tables'!$V$3:$V$99,1,FALSE)</f>
        <v>#N/A</v>
      </c>
      <c r="DG1263" s="126" t="s">
        <v>116</v>
      </c>
    </row>
    <row r="1264" spans="1:288" ht="16" x14ac:dyDescent="0.2">
      <c r="B1264" s="16">
        <v>2018</v>
      </c>
      <c r="C1264" s="124">
        <v>43231</v>
      </c>
      <c r="D1264" t="s">
        <v>699</v>
      </c>
      <c r="E1264" s="37" t="str">
        <f>CONCATENATE(T1264,"-",U1264,"-",C1264)</f>
        <v>PO1-G4-43231</v>
      </c>
      <c r="F1264" s="16" t="s">
        <v>227</v>
      </c>
      <c r="G1264" s="126" t="s">
        <v>107</v>
      </c>
      <c r="H1264" s="126"/>
      <c r="J1264" s="126">
        <v>1411</v>
      </c>
      <c r="K1264" s="126">
        <v>2336</v>
      </c>
      <c r="O1264" s="15" t="s">
        <v>214</v>
      </c>
      <c r="Q1264" s="16">
        <f t="shared" si="6"/>
        <v>0</v>
      </c>
      <c r="R1264" s="16" t="str">
        <f t="shared" si="5"/>
        <v/>
      </c>
      <c r="T1264" s="126" t="s">
        <v>112</v>
      </c>
      <c r="U1264" s="126" t="s">
        <v>173</v>
      </c>
      <c r="V1264" s="134" t="s">
        <v>1078</v>
      </c>
      <c r="X1264" s="126" t="s">
        <v>121</v>
      </c>
      <c r="Y1264" s="126" t="s">
        <v>110</v>
      </c>
      <c r="Z1264" s="126">
        <v>3</v>
      </c>
      <c r="AA1264" s="126" t="s">
        <v>119</v>
      </c>
      <c r="AB1264" s="126" t="s">
        <v>123</v>
      </c>
      <c r="AC1264" s="126" t="s">
        <v>116</v>
      </c>
      <c r="AD1264" s="126"/>
      <c r="AE1264" s="126"/>
      <c r="AG1264" s="16">
        <f>AH1264-AI1264</f>
        <v>75</v>
      </c>
      <c r="AH1264" s="126">
        <v>150</v>
      </c>
      <c r="AI1264" s="126">
        <v>75</v>
      </c>
      <c r="AK1264" s="125">
        <v>19</v>
      </c>
      <c r="AL1264" s="126">
        <v>0</v>
      </c>
      <c r="AM1264" s="126">
        <v>1</v>
      </c>
      <c r="AN1264" s="126">
        <v>0</v>
      </c>
      <c r="AO1264" s="16">
        <f>IF(SUM(AL1264:AN1264)&gt;0,1,0)</f>
        <v>1</v>
      </c>
      <c r="AP1264" s="18">
        <f>SUM(AL1264:AN1264)</f>
        <v>1</v>
      </c>
      <c r="AR1264" s="16">
        <v>0.12200000000000011</v>
      </c>
      <c r="AS1264" s="16">
        <f>VLOOKUP(E1264,'[1]Feces weights'!$D$1:$H$459,5,FALSE)</f>
        <v>0.12200000000000011</v>
      </c>
      <c r="AT1264" s="16" t="str">
        <f>VLOOKUP(E1264,[9]Current!$A:$T,7,FALSE)</f>
        <v>JB</v>
      </c>
      <c r="AU1264" s="18" t="s">
        <v>1290</v>
      </c>
      <c r="AW1264" s="177">
        <f>IF(AY1264&gt;0,1,0)</f>
        <v>1</v>
      </c>
      <c r="AX1264" s="177">
        <f>SUM(BA1264,BM1264,CU1264)</f>
        <v>1</v>
      </c>
      <c r="AY1264" s="177">
        <f>SUM(BB1264,BN1264,CV1264)</f>
        <v>81.967213114754031</v>
      </c>
      <c r="AZ1264" s="177">
        <f>IF(BB1264&gt;0,1,0)</f>
        <v>1</v>
      </c>
      <c r="BA1264" s="177">
        <f>SUM(BC1264+BF1264+BI1264)</f>
        <v>1</v>
      </c>
      <c r="BB1264" s="177">
        <f>SUM(BE1264,BH1264,BK1264)</f>
        <v>81.967213114754031</v>
      </c>
      <c r="BC1264" s="178">
        <f>IF(BD1264&gt;0,1,0)</f>
        <v>0</v>
      </c>
      <c r="BD1264" s="177">
        <f>VLOOKUP($E1264,[9]Current!$1:$1048576,8,FALSE)</f>
        <v>0</v>
      </c>
      <c r="BE1264" s="177">
        <f>BD1264/$AS1264</f>
        <v>0</v>
      </c>
      <c r="BF1264" s="178">
        <f>IF(BG1264&gt;0,1,0)</f>
        <v>1</v>
      </c>
      <c r="BG1264" s="179">
        <f>VLOOKUP($E1264,[9]Current!$1:$1048576,9,FALSE)</f>
        <v>10</v>
      </c>
      <c r="BH1264" s="177">
        <f>BG1264/$AS1264</f>
        <v>81.967213114754031</v>
      </c>
      <c r="BI1264" s="178">
        <f>IF(BJ1264&gt;0,1,0)</f>
        <v>0</v>
      </c>
      <c r="BJ1264" s="177">
        <f>VLOOKUP($E1264,[9]Current!$1:$1048576,10,FALSE)</f>
        <v>0</v>
      </c>
      <c r="BK1264" s="177">
        <f>BJ1264/$AS1264</f>
        <v>0</v>
      </c>
      <c r="BL1264" s="177">
        <f>IF(BM1264&gt;0,1,0)</f>
        <v>0</v>
      </c>
      <c r="BM1264" s="177">
        <f>SUM(BR1264,BU1264,BX1264,CA1264,CD1264)</f>
        <v>0</v>
      </c>
      <c r="BN1264" s="181">
        <f>SUM(BT1264,BW1264,BZ1264,CC1264,CF1264)</f>
        <v>0</v>
      </c>
      <c r="BO1264" s="177">
        <f>IF(BP1264&gt;0,1,0)</f>
        <v>0</v>
      </c>
      <c r="BP1264" s="177">
        <f>BM1264+CJ1264</f>
        <v>0</v>
      </c>
      <c r="BQ1264" s="177">
        <f>BN1264+CL1264</f>
        <v>0</v>
      </c>
      <c r="BR1264" s="178">
        <f>IF(BS1264&gt;0,1,0)</f>
        <v>0</v>
      </c>
      <c r="BS1264" s="177">
        <f>VLOOKUP($E1264,[9]Current!$1:$1048576,12,FALSE)</f>
        <v>0</v>
      </c>
      <c r="BT1264" s="179">
        <f>BS1264/$AS1264</f>
        <v>0</v>
      </c>
      <c r="BU1264" s="178">
        <f>IF(BV1264&gt;0,1,0)</f>
        <v>0</v>
      </c>
      <c r="BV1264" s="177">
        <f>VLOOKUP($E1264,[9]Current!$1:$1048576,13,FALSE)</f>
        <v>0</v>
      </c>
      <c r="BW1264" s="177">
        <f>BV1264/$AS1264</f>
        <v>0</v>
      </c>
      <c r="BX1264" s="178">
        <f>IF(BY1264&gt;0,1,0)</f>
        <v>0</v>
      </c>
      <c r="BY1264" s="177">
        <f>VLOOKUP($E1264,[9]Current!$1:$1048576,14,FALSE)</f>
        <v>0</v>
      </c>
      <c r="BZ1264" s="177">
        <f>BY1264/$AS1264</f>
        <v>0</v>
      </c>
      <c r="CA1264" s="178">
        <f>IF(CB1264&gt;0,1,0)</f>
        <v>0</v>
      </c>
      <c r="CB1264" s="177">
        <f>VLOOKUP($E1264,[9]Current!$1:$1048576,15,FALSE)</f>
        <v>0</v>
      </c>
      <c r="CC1264" s="177">
        <f>CB1264/$AS1264</f>
        <v>0</v>
      </c>
      <c r="CD1264" s="180">
        <f>IF(CE1264&gt;0,1,0)</f>
        <v>0</v>
      </c>
      <c r="CE1264" s="177">
        <f>VLOOKUP($E1264,[9]Current!$1:$1048576,16,FALSE)</f>
        <v>0</v>
      </c>
      <c r="CF1264" s="177">
        <f>CE1264/$AS1264</f>
        <v>0</v>
      </c>
      <c r="CG1264" s="18"/>
      <c r="CH1264" s="18"/>
      <c r="CI1264" s="18"/>
      <c r="CJ1264" s="178">
        <f>IF(CK1264&gt;0,1,0)</f>
        <v>0</v>
      </c>
      <c r="CK1264" s="177">
        <f>VLOOKUP($E1264,[9]Current!$1:$1048576,18,FALSE)</f>
        <v>0</v>
      </c>
      <c r="CL1264" s="177">
        <f>CK1264/$AS1264</f>
        <v>0</v>
      </c>
      <c r="CS1264" s="178">
        <f>IF(CU1264&gt;0,1,0)</f>
        <v>0</v>
      </c>
      <c r="CT1264" s="177"/>
      <c r="CU1264" s="177">
        <f>VLOOKUP($E1264,[9]Current!$1:$1048576,17,FALSE)</f>
        <v>0</v>
      </c>
      <c r="CV1264" s="177">
        <f>CU1264/$AS1264</f>
        <v>0</v>
      </c>
      <c r="DF1264" s="16" t="e">
        <f>VLOOKUP(K1264,'[3]RNA Seq summary tables'!$V$3:$V$99,1,FALSE)</f>
        <v>#N/A</v>
      </c>
      <c r="DG1264" s="126" t="s">
        <v>116</v>
      </c>
    </row>
    <row r="1265" spans="2:288" ht="16" x14ac:dyDescent="0.2">
      <c r="B1265" s="16">
        <v>2018</v>
      </c>
      <c r="C1265" s="124">
        <v>43232</v>
      </c>
      <c r="D1265" t="s">
        <v>705</v>
      </c>
      <c r="E1265" s="37" t="str">
        <f>CONCATENATE(T1265,"-",U1265,"-",C1265)</f>
        <v>SP2-G3-43232</v>
      </c>
      <c r="F1265" s="16" t="s">
        <v>227</v>
      </c>
      <c r="G1265" s="126" t="s">
        <v>107</v>
      </c>
      <c r="H1265" s="126"/>
      <c r="J1265" s="126">
        <v>1413</v>
      </c>
      <c r="K1265" s="126">
        <v>2339</v>
      </c>
      <c r="O1265" s="15" t="s">
        <v>214</v>
      </c>
      <c r="Q1265" s="16">
        <f t="shared" si="6"/>
        <v>0</v>
      </c>
      <c r="R1265" s="16" t="str">
        <f t="shared" si="5"/>
        <v/>
      </c>
      <c r="T1265" s="126" t="s">
        <v>137</v>
      </c>
      <c r="U1265" s="126" t="s">
        <v>179</v>
      </c>
      <c r="V1265" s="126" t="s">
        <v>114</v>
      </c>
      <c r="X1265" s="126" t="s">
        <v>115</v>
      </c>
      <c r="Y1265" s="126" t="s">
        <v>110</v>
      </c>
      <c r="Z1265" s="126">
        <v>3</v>
      </c>
      <c r="AA1265" s="126"/>
      <c r="AB1265" s="126"/>
      <c r="AC1265" s="126"/>
      <c r="AD1265" s="126"/>
      <c r="AE1265" s="126" t="s">
        <v>123</v>
      </c>
      <c r="AG1265" s="16">
        <f>AH1265-AI1265</f>
        <v>84</v>
      </c>
      <c r="AH1265" s="126">
        <v>148</v>
      </c>
      <c r="AI1265" s="126">
        <v>64</v>
      </c>
      <c r="AK1265" s="125">
        <v>20</v>
      </c>
      <c r="AL1265" s="126">
        <v>0</v>
      </c>
      <c r="AM1265" s="126">
        <v>0</v>
      </c>
      <c r="AN1265" s="126">
        <v>0</v>
      </c>
      <c r="AO1265" s="16">
        <f>IF(SUM(AL1265:AN1265)&gt;0,1,0)</f>
        <v>0</v>
      </c>
      <c r="AP1265" s="18">
        <f>SUM(AL1265:AN1265)</f>
        <v>0</v>
      </c>
      <c r="AR1265" s="16">
        <v>0.15900000000000003</v>
      </c>
      <c r="AS1265" s="16">
        <f>VLOOKUP(E1265,'[1]Feces weights'!$D$1:$H$459,5,FALSE)</f>
        <v>0.15900000000000003</v>
      </c>
      <c r="AT1265" s="16" t="str">
        <f>VLOOKUP(E1265,[9]Current!$A:$T,7,FALSE)</f>
        <v>JB</v>
      </c>
      <c r="AU1265" s="18" t="s">
        <v>1290</v>
      </c>
      <c r="AW1265" s="177">
        <f>IF(AY1265&gt;0,1,0)</f>
        <v>1</v>
      </c>
      <c r="AX1265" s="177">
        <f>SUM(BA1265,BM1265,CU1265)</f>
        <v>3</v>
      </c>
      <c r="AY1265" s="177">
        <f>SUM(BB1265,BN1265,CV1265)</f>
        <v>62.893081761006279</v>
      </c>
      <c r="AZ1265" s="177">
        <f>IF(BB1265&gt;0,1,0)</f>
        <v>1</v>
      </c>
      <c r="BA1265" s="177">
        <f>SUM(BC1265+BF1265+BI1265)</f>
        <v>2</v>
      </c>
      <c r="BB1265" s="177">
        <f>SUM(BE1265,BH1265,BK1265)</f>
        <v>56.603773584905653</v>
      </c>
      <c r="BC1265" s="178">
        <f>IF(BD1265&gt;0,1,0)</f>
        <v>1</v>
      </c>
      <c r="BD1265" s="177">
        <f>VLOOKUP($E1265,[9]Current!$1:$1048576,8,FALSE)</f>
        <v>3</v>
      </c>
      <c r="BE1265" s="177">
        <f>BD1265/$AS1265</f>
        <v>18.867924528301884</v>
      </c>
      <c r="BF1265" s="178">
        <f>IF(BG1265&gt;0,1,0)</f>
        <v>1</v>
      </c>
      <c r="BG1265" s="179">
        <f>VLOOKUP($E1265,[9]Current!$1:$1048576,9,FALSE)</f>
        <v>6</v>
      </c>
      <c r="BH1265" s="177">
        <f>BG1265/$AS1265</f>
        <v>37.735849056603769</v>
      </c>
      <c r="BI1265" s="178">
        <f>IF(BJ1265&gt;0,1,0)</f>
        <v>0</v>
      </c>
      <c r="BJ1265" s="177">
        <f>VLOOKUP($E1265,[9]Current!$1:$1048576,10,FALSE)</f>
        <v>0</v>
      </c>
      <c r="BK1265" s="177">
        <f>BJ1265/$AS1265</f>
        <v>0</v>
      </c>
      <c r="BL1265" s="177">
        <f>IF(BM1265&gt;0,1,0)</f>
        <v>1</v>
      </c>
      <c r="BM1265" s="177">
        <f>SUM(BR1265,BU1265,BX1265,CA1265,CD1265)</f>
        <v>1</v>
      </c>
      <c r="BN1265" s="181">
        <f>SUM(BT1265,BW1265,BZ1265,CC1265,CF1265)</f>
        <v>6.2893081761006275</v>
      </c>
      <c r="BO1265" s="177">
        <f>IF(BP1265&gt;0,1,0)</f>
        <v>1</v>
      </c>
      <c r="BP1265" s="177">
        <f>BM1265+CJ1265</f>
        <v>1</v>
      </c>
      <c r="BQ1265" s="177">
        <f>BN1265+CL1265</f>
        <v>6.2893081761006275</v>
      </c>
      <c r="BR1265" s="178">
        <f>IF(BS1265&gt;0,1,0)</f>
        <v>0</v>
      </c>
      <c r="BS1265" s="177">
        <f>VLOOKUP($E1265,[9]Current!$1:$1048576,12,FALSE)</f>
        <v>0</v>
      </c>
      <c r="BT1265" s="179">
        <f>BS1265/$AS1265</f>
        <v>0</v>
      </c>
      <c r="BU1265" s="178">
        <f>IF(BV1265&gt;0,1,0)</f>
        <v>0</v>
      </c>
      <c r="BV1265" s="177">
        <f>VLOOKUP($E1265,[9]Current!$1:$1048576,13,FALSE)</f>
        <v>0</v>
      </c>
      <c r="BW1265" s="177">
        <f>BV1265/$AS1265</f>
        <v>0</v>
      </c>
      <c r="BX1265" s="178">
        <f>IF(BY1265&gt;0,1,0)</f>
        <v>1</v>
      </c>
      <c r="BY1265" s="177">
        <f>VLOOKUP($E1265,[9]Current!$1:$1048576,14,FALSE)</f>
        <v>1</v>
      </c>
      <c r="BZ1265" s="177">
        <f>BY1265/$AS1265</f>
        <v>6.2893081761006275</v>
      </c>
      <c r="CA1265" s="178">
        <f>IF(CB1265&gt;0,1,0)</f>
        <v>0</v>
      </c>
      <c r="CB1265" s="177">
        <f>VLOOKUP($E1265,[9]Current!$1:$1048576,15,FALSE)</f>
        <v>0</v>
      </c>
      <c r="CC1265" s="177">
        <f>CB1265/$AS1265</f>
        <v>0</v>
      </c>
      <c r="CD1265" s="180">
        <f>IF(CE1265&gt;0,1,0)</f>
        <v>0</v>
      </c>
      <c r="CE1265" s="177">
        <f>VLOOKUP($E1265,[9]Current!$1:$1048576,16,FALSE)</f>
        <v>0</v>
      </c>
      <c r="CF1265" s="177">
        <f>CE1265/$AS1265</f>
        <v>0</v>
      </c>
      <c r="CG1265" s="18"/>
      <c r="CH1265" s="18"/>
      <c r="CI1265" s="18"/>
      <c r="CJ1265" s="178">
        <f>IF(CK1265&gt;0,1,0)</f>
        <v>0</v>
      </c>
      <c r="CK1265" s="177">
        <f>VLOOKUP($E1265,[9]Current!$1:$1048576,18,FALSE)</f>
        <v>0</v>
      </c>
      <c r="CL1265" s="177">
        <f>CK1265/$AS1265</f>
        <v>0</v>
      </c>
      <c r="CS1265" s="178">
        <f>IF(CU1265&gt;0,1,0)</f>
        <v>0</v>
      </c>
      <c r="CT1265" s="177"/>
      <c r="CU1265" s="177">
        <f>VLOOKUP($E1265,[9]Current!$1:$1048576,17,FALSE)</f>
        <v>0</v>
      </c>
      <c r="CV1265" s="177">
        <f>CU1265/$AS1265</f>
        <v>0</v>
      </c>
      <c r="DF1265" s="16" t="e">
        <f>VLOOKUP(K1265,'[3]RNA Seq summary tables'!$V$3:$V$99,1,FALSE)</f>
        <v>#N/A</v>
      </c>
      <c r="DG1265" s="126" t="s">
        <v>116</v>
      </c>
    </row>
    <row r="1266" spans="2:288" ht="16" x14ac:dyDescent="0.2">
      <c r="B1266" s="16">
        <v>2018</v>
      </c>
      <c r="C1266" s="124">
        <v>43232</v>
      </c>
      <c r="D1266" t="s">
        <v>704</v>
      </c>
      <c r="E1266" s="37" t="str">
        <f>CONCATENATE(T1266,"-",U1266,"-",C1266)</f>
        <v>SP1-D7-43232</v>
      </c>
      <c r="F1266" s="16" t="s">
        <v>227</v>
      </c>
      <c r="G1266" s="126" t="s">
        <v>107</v>
      </c>
      <c r="H1266" s="126"/>
      <c r="J1266" s="126">
        <v>1415</v>
      </c>
      <c r="K1266" s="126">
        <v>2341</v>
      </c>
      <c r="O1266" s="15" t="s">
        <v>214</v>
      </c>
      <c r="Q1266" s="16">
        <f t="shared" si="6"/>
        <v>0</v>
      </c>
      <c r="R1266" s="16" t="str">
        <f t="shared" si="5"/>
        <v/>
      </c>
      <c r="T1266" s="126" t="s">
        <v>140</v>
      </c>
      <c r="U1266" s="126" t="s">
        <v>177</v>
      </c>
      <c r="V1266" s="126" t="s">
        <v>114</v>
      </c>
      <c r="X1266" s="126" t="s">
        <v>121</v>
      </c>
      <c r="Y1266" s="126" t="s">
        <v>110</v>
      </c>
      <c r="Z1266" s="126">
        <v>3</v>
      </c>
      <c r="AA1266" s="126" t="s">
        <v>119</v>
      </c>
      <c r="AB1266" s="126" t="s">
        <v>123</v>
      </c>
      <c r="AC1266" s="126" t="s">
        <v>116</v>
      </c>
      <c r="AD1266" s="126"/>
      <c r="AE1266" s="126"/>
      <c r="AG1266" s="16">
        <f>AH1266-AI1266</f>
        <v>87</v>
      </c>
      <c r="AH1266" s="126">
        <v>149</v>
      </c>
      <c r="AI1266" s="126">
        <v>62</v>
      </c>
      <c r="AK1266" s="126">
        <v>17</v>
      </c>
      <c r="AL1266" s="126">
        <v>1</v>
      </c>
      <c r="AM1266" s="126">
        <v>0</v>
      </c>
      <c r="AN1266" s="126">
        <v>0</v>
      </c>
      <c r="AO1266" s="16">
        <f>IF(SUM(AL1266:AN1266)&gt;0,1,0)</f>
        <v>1</v>
      </c>
      <c r="AP1266" s="18">
        <f>SUM(AL1266:AN1266)</f>
        <v>1</v>
      </c>
      <c r="AR1266" s="16">
        <v>5.4000000000000048E-2</v>
      </c>
      <c r="AS1266" s="16">
        <f>VLOOKUP(E1266,'[1]Feces weights'!$D$1:$H$459,5,FALSE)</f>
        <v>5.4000000000000048E-2</v>
      </c>
      <c r="AT1266" s="16" t="str">
        <f>VLOOKUP(E1266,[9]Current!$A:$T,7,FALSE)</f>
        <v>JB</v>
      </c>
      <c r="AU1266" s="18" t="s">
        <v>1290</v>
      </c>
      <c r="AW1266" s="177">
        <f>IF(AY1266&gt;0,1,0)</f>
        <v>1</v>
      </c>
      <c r="AX1266" s="177">
        <f>SUM(BA1266,BM1266,CU1266)</f>
        <v>2</v>
      </c>
      <c r="AY1266" s="177">
        <f>SUM(BB1266,BN1266,CV1266)</f>
        <v>2092.5925925925908</v>
      </c>
      <c r="AZ1266" s="177">
        <f>IF(BB1266&gt;0,1,0)</f>
        <v>1</v>
      </c>
      <c r="BA1266" s="177">
        <f>SUM(BC1266+BF1266+BI1266)</f>
        <v>2</v>
      </c>
      <c r="BB1266" s="177">
        <f>SUM(BE1266,BH1266,BK1266)</f>
        <v>2092.5925925925908</v>
      </c>
      <c r="BC1266" s="178">
        <f>IF(BD1266&gt;0,1,0)</f>
        <v>1</v>
      </c>
      <c r="BD1266" s="177">
        <f>VLOOKUP($E1266,[9]Current!$1:$1048576,8,FALSE)</f>
        <v>73</v>
      </c>
      <c r="BE1266" s="177">
        <f>BD1266/$AS1266</f>
        <v>1351.8518518518506</v>
      </c>
      <c r="BF1266" s="178">
        <f>IF(BG1266&gt;0,1,0)</f>
        <v>1</v>
      </c>
      <c r="BG1266" s="179">
        <f>VLOOKUP($E1266,[9]Current!$1:$1048576,9,FALSE)</f>
        <v>40</v>
      </c>
      <c r="BH1266" s="177">
        <f>BG1266/$AS1266</f>
        <v>740.74074074074008</v>
      </c>
      <c r="BI1266" s="178">
        <f>IF(BJ1266&gt;0,1,0)</f>
        <v>0</v>
      </c>
      <c r="BJ1266" s="177">
        <f>VLOOKUP($E1266,[9]Current!$1:$1048576,10,FALSE)</f>
        <v>0</v>
      </c>
      <c r="BK1266" s="177">
        <f>BJ1266/$AS1266</f>
        <v>0</v>
      </c>
      <c r="BL1266" s="177">
        <f>IF(BM1266&gt;0,1,0)</f>
        <v>0</v>
      </c>
      <c r="BM1266" s="177">
        <f>SUM(BR1266,BU1266,BX1266,CA1266,CD1266)</f>
        <v>0</v>
      </c>
      <c r="BN1266" s="181">
        <f>SUM(BT1266,BW1266,BZ1266,CC1266,CF1266)</f>
        <v>0</v>
      </c>
      <c r="BO1266" s="177">
        <f>IF(BP1266&gt;0,1,0)</f>
        <v>0</v>
      </c>
      <c r="BP1266" s="177">
        <f>BM1266+CJ1266</f>
        <v>0</v>
      </c>
      <c r="BQ1266" s="177">
        <f>BN1266+CL1266</f>
        <v>0</v>
      </c>
      <c r="BR1266" s="178">
        <f>IF(BS1266&gt;0,1,0)</f>
        <v>0</v>
      </c>
      <c r="BS1266" s="177">
        <f>VLOOKUP($E1266,[9]Current!$1:$1048576,12,FALSE)</f>
        <v>0</v>
      </c>
      <c r="BT1266" s="179">
        <f>BS1266/$AS1266</f>
        <v>0</v>
      </c>
      <c r="BU1266" s="178">
        <f>IF(BV1266&gt;0,1,0)</f>
        <v>0</v>
      </c>
      <c r="BV1266" s="177">
        <f>VLOOKUP($E1266,[9]Current!$1:$1048576,13,FALSE)</f>
        <v>0</v>
      </c>
      <c r="BW1266" s="177">
        <f>BV1266/$AS1266</f>
        <v>0</v>
      </c>
      <c r="BX1266" s="178">
        <f>IF(BY1266&gt;0,1,0)</f>
        <v>0</v>
      </c>
      <c r="BY1266" s="177">
        <f>VLOOKUP($E1266,[9]Current!$1:$1048576,14,FALSE)</f>
        <v>0</v>
      </c>
      <c r="BZ1266" s="177">
        <f>BY1266/$AS1266</f>
        <v>0</v>
      </c>
      <c r="CA1266" s="178">
        <f>IF(CB1266&gt;0,1,0)</f>
        <v>0</v>
      </c>
      <c r="CB1266" s="177">
        <f>VLOOKUP($E1266,[9]Current!$1:$1048576,15,FALSE)</f>
        <v>0</v>
      </c>
      <c r="CC1266" s="177">
        <f>CB1266/$AS1266</f>
        <v>0</v>
      </c>
      <c r="CD1266" s="180">
        <f>IF(CE1266&gt;0,1,0)</f>
        <v>0</v>
      </c>
      <c r="CE1266" s="177">
        <f>VLOOKUP($E1266,[9]Current!$1:$1048576,16,FALSE)</f>
        <v>0</v>
      </c>
      <c r="CF1266" s="177">
        <f>CE1266/$AS1266</f>
        <v>0</v>
      </c>
      <c r="CG1266" s="18"/>
      <c r="CH1266" s="18"/>
      <c r="CI1266" s="18"/>
      <c r="CJ1266" s="178">
        <f>IF(CK1266&gt;0,1,0)</f>
        <v>0</v>
      </c>
      <c r="CK1266" s="177">
        <f>VLOOKUP($E1266,[9]Current!$1:$1048576,18,FALSE)</f>
        <v>0</v>
      </c>
      <c r="CL1266" s="177">
        <f>CK1266/$AS1266</f>
        <v>0</v>
      </c>
      <c r="CS1266" s="178">
        <f>IF(CU1266&gt;0,1,0)</f>
        <v>0</v>
      </c>
      <c r="CT1266" s="177"/>
      <c r="CU1266" s="177">
        <f>VLOOKUP($E1266,[9]Current!$1:$1048576,17,FALSE)</f>
        <v>0</v>
      </c>
      <c r="CV1266" s="177">
        <f>CU1266/$AS1266</f>
        <v>0</v>
      </c>
      <c r="DF1266" s="16" t="e">
        <f>VLOOKUP(K1266,'[3]RNA Seq summary tables'!$V$3:$V$99,1,FALSE)</f>
        <v>#N/A</v>
      </c>
      <c r="DG1266" s="126" t="s">
        <v>116</v>
      </c>
    </row>
    <row r="1267" spans="2:288" ht="16" x14ac:dyDescent="0.2">
      <c r="B1267" s="16">
        <v>2018</v>
      </c>
      <c r="C1267" s="124">
        <v>43233</v>
      </c>
      <c r="D1267" t="s">
        <v>710</v>
      </c>
      <c r="E1267" s="37" t="str">
        <f>CONCATENATE(T1267,"-",U1267,"-",C1267)</f>
        <v>SP1-H8-43233</v>
      </c>
      <c r="F1267" s="16" t="s">
        <v>227</v>
      </c>
      <c r="G1267" s="126" t="s">
        <v>107</v>
      </c>
      <c r="H1267" s="126"/>
      <c r="J1267" s="126">
        <v>1417</v>
      </c>
      <c r="K1267" s="126">
        <v>2343</v>
      </c>
      <c r="O1267" s="15" t="s">
        <v>214</v>
      </c>
      <c r="Q1267" s="16">
        <f t="shared" si="6"/>
        <v>0</v>
      </c>
      <c r="R1267" s="16" t="str">
        <f t="shared" si="5"/>
        <v/>
      </c>
      <c r="T1267" s="126" t="s">
        <v>140</v>
      </c>
      <c r="U1267" s="126" t="s">
        <v>152</v>
      </c>
      <c r="V1267" s="126" t="s">
        <v>114</v>
      </c>
      <c r="X1267" s="126" t="s">
        <v>115</v>
      </c>
      <c r="Y1267" s="126" t="s">
        <v>110</v>
      </c>
      <c r="Z1267" s="126">
        <v>3</v>
      </c>
      <c r="AA1267" s="126"/>
      <c r="AB1267" s="126"/>
      <c r="AC1267" s="126"/>
      <c r="AD1267" s="126"/>
      <c r="AE1267" s="126" t="s">
        <v>116</v>
      </c>
      <c r="AG1267" s="16">
        <f>AH1267-AI1267</f>
        <v>88</v>
      </c>
      <c r="AH1267" s="126">
        <v>168</v>
      </c>
      <c r="AI1267" s="126">
        <v>80</v>
      </c>
      <c r="AK1267" s="126">
        <v>23</v>
      </c>
      <c r="AL1267" s="126">
        <v>1</v>
      </c>
      <c r="AM1267" s="126">
        <v>0</v>
      </c>
      <c r="AN1267" s="126">
        <v>0</v>
      </c>
      <c r="AO1267" s="16">
        <f>IF(SUM(AL1267:AN1267)&gt;0,1,0)</f>
        <v>1</v>
      </c>
      <c r="AP1267" s="18">
        <f>SUM(AL1267:AN1267)</f>
        <v>1</v>
      </c>
      <c r="AR1267" s="16">
        <v>0.17700000000000005</v>
      </c>
      <c r="AS1267" s="16">
        <v>0.17700000000000005</v>
      </c>
      <c r="AT1267" s="16" t="str">
        <f>VLOOKUP(E1267,[9]Current!$A:$T,7,FALSE)</f>
        <v>TE</v>
      </c>
      <c r="AU1267" s="18" t="s">
        <v>1290</v>
      </c>
      <c r="AW1267" s="177">
        <f>IF(AY1267&gt;0,1,0)</f>
        <v>1</v>
      </c>
      <c r="AX1267" s="177">
        <f>SUM(BA1267,BM1267,CU1267)</f>
        <v>4</v>
      </c>
      <c r="AY1267" s="177">
        <f>SUM(BB1267,BN1267,CV1267)</f>
        <v>1327.6836158192086</v>
      </c>
      <c r="AZ1267" s="177">
        <f>IF(BB1267&gt;0,1,0)</f>
        <v>1</v>
      </c>
      <c r="BA1267" s="177">
        <f>SUM(BC1267+BF1267+BI1267)</f>
        <v>2</v>
      </c>
      <c r="BB1267" s="177">
        <f>SUM(BE1267,BH1267,BK1267)</f>
        <v>1299.4350282485871</v>
      </c>
      <c r="BC1267" s="178">
        <f>IF(BD1267&gt;0,1,0)</f>
        <v>1</v>
      </c>
      <c r="BD1267" s="177">
        <f>VLOOKUP($E1267,[9]Current!$1:$1048576,8,FALSE)</f>
        <v>44</v>
      </c>
      <c r="BE1267" s="177">
        <f>BD1267/$AS1267</f>
        <v>248.58757062146887</v>
      </c>
      <c r="BF1267" s="178">
        <f>IF(BG1267&gt;0,1,0)</f>
        <v>0</v>
      </c>
      <c r="BG1267" s="179">
        <f>VLOOKUP($E1267,[9]Current!$1:$1048576,9,FALSE)</f>
        <v>0</v>
      </c>
      <c r="BH1267" s="177">
        <f>BG1267/$AS1267</f>
        <v>0</v>
      </c>
      <c r="BI1267" s="178">
        <f>IF(BJ1267&gt;0,1,0)</f>
        <v>1</v>
      </c>
      <c r="BJ1267" s="177">
        <f>VLOOKUP($E1267,[9]Current!$1:$1048576,10,FALSE)</f>
        <v>186</v>
      </c>
      <c r="BK1267" s="177">
        <f>BJ1267/$AS1267</f>
        <v>1050.8474576271183</v>
      </c>
      <c r="BL1267" s="177">
        <f>IF(BM1267&gt;0,1,0)</f>
        <v>1</v>
      </c>
      <c r="BM1267" s="177">
        <f>SUM(BR1267,BU1267,BX1267,CA1267,CD1267)</f>
        <v>2</v>
      </c>
      <c r="BN1267" s="181">
        <f>SUM(BT1267,BW1267,BZ1267,CC1267,CF1267)</f>
        <v>28.24858757062146</v>
      </c>
      <c r="BO1267" s="177">
        <f>IF(BP1267&gt;0,1,0)</f>
        <v>1</v>
      </c>
      <c r="BP1267" s="177">
        <f>BM1267+CJ1267</f>
        <v>2</v>
      </c>
      <c r="BQ1267" s="177">
        <f>BN1267+CL1267</f>
        <v>28.24858757062146</v>
      </c>
      <c r="BR1267" s="178">
        <f>IF(BS1267&gt;0,1,0)</f>
        <v>1</v>
      </c>
      <c r="BS1267" s="177">
        <f>VLOOKUP($E1267,[9]Current!$1:$1048576,12,FALSE)</f>
        <v>2</v>
      </c>
      <c r="BT1267" s="179">
        <f>BS1267/$AS1267</f>
        <v>11.299435028248585</v>
      </c>
      <c r="BU1267" s="178">
        <f>IF(BV1267&gt;0,1,0)</f>
        <v>0</v>
      </c>
      <c r="BV1267" s="177">
        <f>VLOOKUP($E1267,[9]Current!$1:$1048576,13,FALSE)</f>
        <v>0</v>
      </c>
      <c r="BW1267" s="177">
        <f>BV1267/$AS1267</f>
        <v>0</v>
      </c>
      <c r="BX1267" s="178">
        <f>IF(BY1267&gt;0,1,0)</f>
        <v>1</v>
      </c>
      <c r="BY1267" s="177">
        <f>VLOOKUP($E1267,[9]Current!$1:$1048576,14,FALSE)</f>
        <v>3</v>
      </c>
      <c r="BZ1267" s="177">
        <f>BY1267/$AS1267</f>
        <v>16.949152542372875</v>
      </c>
      <c r="CA1267" s="178">
        <f>IF(CB1267&gt;0,1,0)</f>
        <v>0</v>
      </c>
      <c r="CB1267" s="177">
        <f>VLOOKUP($E1267,[9]Current!$1:$1048576,15,FALSE)</f>
        <v>0</v>
      </c>
      <c r="CC1267" s="177">
        <f>CB1267/$AS1267</f>
        <v>0</v>
      </c>
      <c r="CD1267" s="180">
        <f>IF(CE1267&gt;0,1,0)</f>
        <v>0</v>
      </c>
      <c r="CE1267" s="177">
        <f>VLOOKUP($E1267,[9]Current!$1:$1048576,16,FALSE)</f>
        <v>0</v>
      </c>
      <c r="CF1267" s="177">
        <f>CE1267/$AS1267</f>
        <v>0</v>
      </c>
      <c r="CG1267" s="18"/>
      <c r="CH1267" s="18"/>
      <c r="CI1267" s="18"/>
      <c r="CJ1267" s="178">
        <f>IF(CK1267&gt;0,1,0)</f>
        <v>0</v>
      </c>
      <c r="CK1267" s="177">
        <f>VLOOKUP($E1267,[9]Current!$1:$1048576,18,FALSE)</f>
        <v>0</v>
      </c>
      <c r="CL1267" s="177">
        <f>CK1267/$AS1267</f>
        <v>0</v>
      </c>
      <c r="CS1267" s="178">
        <f>IF(CU1267&gt;0,1,0)</f>
        <v>0</v>
      </c>
      <c r="CT1267" s="177"/>
      <c r="CU1267" s="177">
        <f>VLOOKUP($E1267,[9]Current!$1:$1048576,17,FALSE)</f>
        <v>0</v>
      </c>
      <c r="CV1267" s="177">
        <f>CU1267/$AS1267</f>
        <v>0</v>
      </c>
      <c r="DF1267" s="16" t="e">
        <f>VLOOKUP(K1267,'[3]RNA Seq summary tables'!$V$3:$V$99,1,FALSE)</f>
        <v>#N/A</v>
      </c>
      <c r="DG1267" s="126" t="s">
        <v>116</v>
      </c>
    </row>
    <row r="1268" spans="2:288" ht="16" x14ac:dyDescent="0.2">
      <c r="B1268" s="16">
        <v>2018</v>
      </c>
      <c r="C1268" s="124">
        <v>43251</v>
      </c>
      <c r="D1268" t="s">
        <v>757</v>
      </c>
      <c r="E1268" s="37" t="str">
        <f>CONCATENATE(T1268,"-",U1268,"-",C1268)</f>
        <v>SP1-G6-43251</v>
      </c>
      <c r="F1268" s="16" t="s">
        <v>227</v>
      </c>
      <c r="G1268" s="126" t="s">
        <v>107</v>
      </c>
      <c r="H1268" s="126"/>
      <c r="J1268" s="126">
        <v>1417</v>
      </c>
      <c r="K1268" s="126">
        <v>2395</v>
      </c>
      <c r="O1268" s="15" t="s">
        <v>214</v>
      </c>
      <c r="Q1268" s="16">
        <f t="shared" si="6"/>
        <v>1</v>
      </c>
      <c r="R1268" s="16">
        <f t="shared" si="5"/>
        <v>18</v>
      </c>
      <c r="T1268" s="126" t="s">
        <v>140</v>
      </c>
      <c r="U1268" s="126" t="s">
        <v>218</v>
      </c>
      <c r="V1268" s="126" t="s">
        <v>114</v>
      </c>
      <c r="X1268" s="126" t="s">
        <v>115</v>
      </c>
      <c r="Y1268" s="126" t="s">
        <v>110</v>
      </c>
      <c r="Z1268" s="126">
        <v>3</v>
      </c>
      <c r="AA1268" s="126"/>
      <c r="AB1268" s="126"/>
      <c r="AC1268" s="126"/>
      <c r="AD1268" s="126"/>
      <c r="AE1268" s="126" t="s">
        <v>116</v>
      </c>
      <c r="AG1268" s="16">
        <f>AH1268-AI1268</f>
        <v>91</v>
      </c>
      <c r="AH1268" s="126">
        <v>172</v>
      </c>
      <c r="AI1268" s="126">
        <v>81</v>
      </c>
      <c r="AK1268" s="126">
        <v>25.5</v>
      </c>
      <c r="AL1268" s="126">
        <v>0</v>
      </c>
      <c r="AM1268" s="126">
        <v>0</v>
      </c>
      <c r="AN1268" s="126">
        <v>0</v>
      </c>
      <c r="AO1268" s="16">
        <f>IF(SUM(AL1268:AN1268)&gt;0,1,0)</f>
        <v>0</v>
      </c>
      <c r="AP1268" s="18">
        <f>SUM(AL1268:AN1268)</f>
        <v>0</v>
      </c>
      <c r="AR1268" s="16">
        <v>0.32800000000000007</v>
      </c>
      <c r="AS1268" s="16">
        <f>VLOOKUP(E1268,'[1]Feces weights'!$D$1:$H$459,5,FALSE)</f>
        <v>0.32800000000000007</v>
      </c>
      <c r="AT1268" s="16" t="str">
        <f>VLOOKUP(E1268,[2]Current!$A$1:$W$435,7,FALSE)</f>
        <v>DP</v>
      </c>
      <c r="AU1268" s="16" t="s">
        <v>1288</v>
      </c>
      <c r="AW1268" s="128">
        <f>IF(AX1268&gt;0,1,0)</f>
        <v>1</v>
      </c>
      <c r="AX1268" s="128">
        <f>SUM(BA1268,BM1268,CU1268)</f>
        <v>3</v>
      </c>
      <c r="AY1268" s="128">
        <f>SUM(BB1268,BN1268,CV1268)</f>
        <v>1064.0243902439022</v>
      </c>
      <c r="AZ1268" s="128">
        <f>IF(BA1268&gt;0,1,0)</f>
        <v>1</v>
      </c>
      <c r="BA1268" s="128">
        <f>SUM(BC1268+BF1268+BI1268)</f>
        <v>2</v>
      </c>
      <c r="BB1268" s="128">
        <f>SUM(BE1268,BH1268,BK1268)</f>
        <v>1060.9756097560974</v>
      </c>
      <c r="BC1268" s="130">
        <f>IF(BD1268&gt;0,1,0)</f>
        <v>0</v>
      </c>
      <c r="BD1268" s="128">
        <f>VLOOKUP($E1268,[2]Current!$A:$AC,26,FALSE)</f>
        <v>0</v>
      </c>
      <c r="BE1268" s="128">
        <f>BD1268/$AS1268</f>
        <v>0</v>
      </c>
      <c r="BF1268" s="130">
        <f>IF(BG1268&gt;0,1,0)</f>
        <v>1</v>
      </c>
      <c r="BG1268" s="137">
        <f>VLOOKUP($E1268,[2]Current!$A:$AC,27,FALSE)</f>
        <v>344</v>
      </c>
      <c r="BH1268" s="128">
        <f>BG1268/$AS1268</f>
        <v>1048.7804878048778</v>
      </c>
      <c r="BI1268" s="130">
        <f>IF(BJ1268&gt;0,1,0)</f>
        <v>1</v>
      </c>
      <c r="BJ1268" s="128">
        <f>VLOOKUP($E1268,[2]Current!$A:$AC,28,FALSE)</f>
        <v>4</v>
      </c>
      <c r="BK1268" s="128">
        <f>BJ1268/$AS1268</f>
        <v>12.195121951219509</v>
      </c>
      <c r="BL1268" s="128">
        <f>IF(BM1268&gt;0,1,0)</f>
        <v>1</v>
      </c>
      <c r="BM1268" s="128">
        <f>SUM(BR1268,BU1268,BX1268,CA1268,CD1268)</f>
        <v>1</v>
      </c>
      <c r="BN1268" s="131">
        <f>SUM(BT1268,BW1268,BZ1268,CC1268,CF1268)</f>
        <v>3.0487804878048772</v>
      </c>
      <c r="BO1268" s="128">
        <f>IF(BP1268&gt;0,1,0)</f>
        <v>1</v>
      </c>
      <c r="BP1268" s="128">
        <f>BM1268+CJ1268</f>
        <v>1</v>
      </c>
      <c r="BQ1268" s="128">
        <f>BN1268+CL1268</f>
        <v>3.0487804878048772</v>
      </c>
      <c r="BR1268" s="130">
        <f>IF(BS1268&gt;0,1,0)</f>
        <v>0</v>
      </c>
      <c r="BS1268" s="128">
        <f>VLOOKUP($E1268,[2]Current!$A:$AC,12,FALSE)</f>
        <v>0</v>
      </c>
      <c r="BT1268" s="137">
        <f>BS1268/$AS1268</f>
        <v>0</v>
      </c>
      <c r="BU1268" s="130">
        <f>IF(BV1268&gt;0,1,0)</f>
        <v>0</v>
      </c>
      <c r="BV1268" s="128">
        <f>VLOOKUP($E1268,[2]Current!$A:$AC,13,FALSE)</f>
        <v>0</v>
      </c>
      <c r="BW1268" s="128">
        <f>BV1268/$AS1268</f>
        <v>0</v>
      </c>
      <c r="BX1268" s="130">
        <f>IF(BY1268&gt;0,1,0)</f>
        <v>1</v>
      </c>
      <c r="BY1268" s="128">
        <f>VLOOKUP($E1268,[2]Current!$A:$AC,14,FALSE)</f>
        <v>1</v>
      </c>
      <c r="BZ1268" s="128">
        <f>BY1268/$AS1268</f>
        <v>3.0487804878048772</v>
      </c>
      <c r="CA1268" s="130">
        <f>IF(CB1268&gt;0,1,0)</f>
        <v>0</v>
      </c>
      <c r="CB1268" s="128">
        <f>VLOOKUP($E1268,[2]Current!$A:$AC,15,FALSE)</f>
        <v>0</v>
      </c>
      <c r="CC1268" s="128">
        <f>CB1268/$AS1268</f>
        <v>0</v>
      </c>
      <c r="CD1268" s="174">
        <f>IF(CE1268&gt;0,1,0)</f>
        <v>0</v>
      </c>
      <c r="CE1268" s="128">
        <f>VLOOKUP($E1268,[2]Current!$A:$AC,16,FALSE)</f>
        <v>0</v>
      </c>
      <c r="CF1268" s="128">
        <f>CE1268/$AS1268</f>
        <v>0</v>
      </c>
      <c r="CG1268" s="18"/>
      <c r="CH1268" s="18"/>
      <c r="CI1268" s="18"/>
      <c r="CJ1268" s="130">
        <f>IF(CK1268&gt;0,1,0)</f>
        <v>0</v>
      </c>
      <c r="CK1268" s="128">
        <f>VLOOKUP($E1268,[2]Current!$A:$AC,18,FALSE)</f>
        <v>0</v>
      </c>
      <c r="CL1268" s="128">
        <f>CK1268/$AS1268</f>
        <v>0</v>
      </c>
      <c r="CS1268" s="130">
        <f>IF(CU1268&gt;0,1,0)</f>
        <v>0</v>
      </c>
      <c r="CT1268" s="18"/>
      <c r="CU1268" s="128">
        <f>VLOOKUP($E1268,[2]Current!$A:$AC,17,FALSE)</f>
        <v>0</v>
      </c>
      <c r="CV1268" s="128">
        <f>CU1268/$AS1268</f>
        <v>0</v>
      </c>
      <c r="CW1268" s="18"/>
      <c r="CX1268" s="18"/>
      <c r="CY1268" s="18"/>
      <c r="DF1268" s="16" t="e">
        <f>VLOOKUP(K1268,'[3]RNA Seq summary tables'!$V$3:$V$99,1,FALSE)</f>
        <v>#N/A</v>
      </c>
      <c r="DG1268" s="126" t="s">
        <v>123</v>
      </c>
    </row>
    <row r="1269" spans="2:288" ht="16" x14ac:dyDescent="0.2">
      <c r="B1269" s="16">
        <v>2018</v>
      </c>
      <c r="C1269" s="124">
        <v>43233</v>
      </c>
      <c r="D1269" t="s">
        <v>708</v>
      </c>
      <c r="E1269" s="37" t="str">
        <f>CONCATENATE(T1269,"-",U1269,"-",C1269)</f>
        <v>SP2-C2-43233</v>
      </c>
      <c r="F1269" s="16" t="s">
        <v>227</v>
      </c>
      <c r="G1269" s="126" t="s">
        <v>107</v>
      </c>
      <c r="H1269" s="126"/>
      <c r="J1269" s="126">
        <v>1419</v>
      </c>
      <c r="K1269" s="126">
        <v>2344</v>
      </c>
      <c r="O1269" s="15" t="s">
        <v>214</v>
      </c>
      <c r="Q1269" s="16">
        <f t="shared" si="6"/>
        <v>0</v>
      </c>
      <c r="R1269" s="16" t="str">
        <f t="shared" si="5"/>
        <v/>
      </c>
      <c r="T1269" s="126" t="s">
        <v>137</v>
      </c>
      <c r="U1269" s="126" t="s">
        <v>162</v>
      </c>
      <c r="V1269" s="126" t="s">
        <v>114</v>
      </c>
      <c r="X1269" s="126" t="s">
        <v>115</v>
      </c>
      <c r="Y1269" s="126" t="s">
        <v>110</v>
      </c>
      <c r="Z1269" s="126">
        <v>3</v>
      </c>
      <c r="AA1269" s="126"/>
      <c r="AB1269" s="126"/>
      <c r="AC1269" s="126"/>
      <c r="AD1269" s="126"/>
      <c r="AE1269" s="126" t="s">
        <v>116</v>
      </c>
      <c r="AG1269" s="16">
        <f>AH1269-AI1269</f>
        <v>91</v>
      </c>
      <c r="AH1269" s="126">
        <v>166</v>
      </c>
      <c r="AI1269" s="126">
        <v>75</v>
      </c>
      <c r="AK1269" s="126">
        <v>22</v>
      </c>
      <c r="AL1269" s="126">
        <v>1</v>
      </c>
      <c r="AM1269" s="126">
        <v>0</v>
      </c>
      <c r="AN1269" s="126">
        <v>0</v>
      </c>
      <c r="AO1269" s="16">
        <f>IF(SUM(AL1269:AN1269)&gt;0,1,0)</f>
        <v>1</v>
      </c>
      <c r="AP1269" s="18">
        <f>SUM(AL1269:AN1269)</f>
        <v>1</v>
      </c>
      <c r="AR1269" s="16">
        <v>0.12800000000000011</v>
      </c>
      <c r="AS1269" s="16">
        <f>VLOOKUP(E1269,'[1]Feces weights'!$D$1:$H$459,5,FALSE)</f>
        <v>0.12800000000000011</v>
      </c>
      <c r="AT1269" s="16" t="str">
        <f>VLOOKUP(E1269,[9]Current!$A:$T,7,FALSE)</f>
        <v>TE</v>
      </c>
      <c r="AU1269" s="18" t="s">
        <v>1290</v>
      </c>
      <c r="AW1269" s="177">
        <f>IF(AY1269&gt;0,1,0)</f>
        <v>1</v>
      </c>
      <c r="AX1269" s="177">
        <f>SUM(BA1269,BM1269,CU1269)</f>
        <v>4</v>
      </c>
      <c r="AY1269" s="177">
        <f>SUM(BB1269,BN1269,CV1269)</f>
        <v>929.6874999999992</v>
      </c>
      <c r="AZ1269" s="177">
        <f>IF(BB1269&gt;0,1,0)</f>
        <v>1</v>
      </c>
      <c r="BA1269" s="177">
        <f>SUM(BC1269+BF1269+BI1269)</f>
        <v>2</v>
      </c>
      <c r="BB1269" s="177">
        <f>SUM(BE1269,BH1269,BK1269)</f>
        <v>749.99999999999932</v>
      </c>
      <c r="BC1269" s="178">
        <f>IF(BD1269&gt;0,1,0)</f>
        <v>0</v>
      </c>
      <c r="BD1269" s="177">
        <f>VLOOKUP($E1269,[9]Current!$1:$1048576,8,FALSE)</f>
        <v>0</v>
      </c>
      <c r="BE1269" s="177">
        <f>BD1269/$AS1269</f>
        <v>0</v>
      </c>
      <c r="BF1269" s="178">
        <f>IF(BG1269&gt;0,1,0)</f>
        <v>1</v>
      </c>
      <c r="BG1269" s="179">
        <f>VLOOKUP($E1269,[9]Current!$1:$1048576,9,FALSE)</f>
        <v>1</v>
      </c>
      <c r="BH1269" s="177">
        <f>BG1269/$AS1269</f>
        <v>7.8124999999999929</v>
      </c>
      <c r="BI1269" s="178">
        <f>IF(BJ1269&gt;0,1,0)</f>
        <v>1</v>
      </c>
      <c r="BJ1269" s="177">
        <f>VLOOKUP($E1269,[9]Current!$1:$1048576,10,FALSE)</f>
        <v>95</v>
      </c>
      <c r="BK1269" s="177">
        <f>BJ1269/$AS1269</f>
        <v>742.18749999999932</v>
      </c>
      <c r="BL1269" s="177">
        <f>IF(BM1269&gt;0,1,0)</f>
        <v>1</v>
      </c>
      <c r="BM1269" s="177">
        <f>SUM(BR1269,BU1269,BX1269,CA1269,CD1269)</f>
        <v>2</v>
      </c>
      <c r="BN1269" s="181">
        <f>SUM(BT1269,BW1269,BZ1269,CC1269,CF1269)</f>
        <v>179.68749999999986</v>
      </c>
      <c r="BO1269" s="177">
        <f>IF(BP1269&gt;0,1,0)</f>
        <v>1</v>
      </c>
      <c r="BP1269" s="177">
        <f>BM1269+CJ1269</f>
        <v>2</v>
      </c>
      <c r="BQ1269" s="177">
        <f>BN1269+CL1269</f>
        <v>179.68749999999986</v>
      </c>
      <c r="BR1269" s="178">
        <f>IF(BS1269&gt;0,1,0)</f>
        <v>0</v>
      </c>
      <c r="BS1269" s="177">
        <f>VLOOKUP($E1269,[9]Current!$1:$1048576,12,FALSE)</f>
        <v>0</v>
      </c>
      <c r="BT1269" s="179">
        <f>BS1269/$AS1269</f>
        <v>0</v>
      </c>
      <c r="BU1269" s="178">
        <f>IF(BV1269&gt;0,1,0)</f>
        <v>0</v>
      </c>
      <c r="BV1269" s="177">
        <f>VLOOKUP($E1269,[9]Current!$1:$1048576,13,FALSE)</f>
        <v>0</v>
      </c>
      <c r="BW1269" s="177">
        <f>BV1269/$AS1269</f>
        <v>0</v>
      </c>
      <c r="BX1269" s="178">
        <f>IF(BY1269&gt;0,1,0)</f>
        <v>1</v>
      </c>
      <c r="BY1269" s="177">
        <f>VLOOKUP($E1269,[9]Current!$1:$1048576,14,FALSE)</f>
        <v>22</v>
      </c>
      <c r="BZ1269" s="177">
        <f>BY1269/$AS1269</f>
        <v>171.87499999999986</v>
      </c>
      <c r="CA1269" s="178">
        <f>IF(CB1269&gt;0,1,0)</f>
        <v>1</v>
      </c>
      <c r="CB1269" s="177">
        <f>VLOOKUP($E1269,[9]Current!$1:$1048576,15,FALSE)</f>
        <v>1</v>
      </c>
      <c r="CC1269" s="177">
        <f>CB1269/$AS1269</f>
        <v>7.8124999999999929</v>
      </c>
      <c r="CD1269" s="180">
        <f>IF(CE1269&gt;0,1,0)</f>
        <v>0</v>
      </c>
      <c r="CE1269" s="177">
        <f>VLOOKUP($E1269,[9]Current!$1:$1048576,16,FALSE)</f>
        <v>0</v>
      </c>
      <c r="CF1269" s="177">
        <f>CE1269/$AS1269</f>
        <v>0</v>
      </c>
      <c r="CG1269" s="18"/>
      <c r="CH1269" s="18"/>
      <c r="CI1269" s="18"/>
      <c r="CJ1269" s="178">
        <f>IF(CK1269&gt;0,1,0)</f>
        <v>0</v>
      </c>
      <c r="CK1269" s="177">
        <f>VLOOKUP($E1269,[9]Current!$1:$1048576,18,FALSE)</f>
        <v>0</v>
      </c>
      <c r="CL1269" s="177">
        <f>CK1269/$AS1269</f>
        <v>0</v>
      </c>
      <c r="CS1269" s="178">
        <f>IF(CU1269&gt;0,1,0)</f>
        <v>0</v>
      </c>
      <c r="CT1269" s="177"/>
      <c r="CU1269" s="177">
        <f>VLOOKUP($E1269,[9]Current!$1:$1048576,17,FALSE)</f>
        <v>0</v>
      </c>
      <c r="CV1269" s="177">
        <f>CU1269/$AS1269</f>
        <v>0</v>
      </c>
      <c r="DF1269" s="16" t="e">
        <f>VLOOKUP(K1269,'[3]RNA Seq summary tables'!$V$3:$V$99,1,FALSE)</f>
        <v>#N/A</v>
      </c>
      <c r="DG1269" s="126" t="s">
        <v>116</v>
      </c>
    </row>
    <row r="1270" spans="2:288" ht="16" x14ac:dyDescent="0.2">
      <c r="B1270" s="16">
        <v>2018</v>
      </c>
      <c r="C1270" s="124">
        <v>43239</v>
      </c>
      <c r="D1270" t="s">
        <v>720</v>
      </c>
      <c r="E1270" s="142" t="str">
        <f>CONCATENATE(T1270,"-",U1270,"-",C1270)</f>
        <v>BC1-F3-43239</v>
      </c>
      <c r="F1270" s="16" t="s">
        <v>227</v>
      </c>
      <c r="G1270" s="126" t="s">
        <v>107</v>
      </c>
      <c r="H1270" s="126"/>
      <c r="J1270" s="126">
        <v>1421</v>
      </c>
      <c r="K1270" s="126">
        <v>2348</v>
      </c>
      <c r="O1270" s="15" t="s">
        <v>214</v>
      </c>
      <c r="Q1270" s="16">
        <f t="shared" si="6"/>
        <v>0</v>
      </c>
      <c r="R1270" s="16" t="str">
        <f t="shared" si="5"/>
        <v/>
      </c>
      <c r="T1270" s="126" t="s">
        <v>159</v>
      </c>
      <c r="U1270" s="126" t="s">
        <v>182</v>
      </c>
      <c r="V1270" s="126" t="s">
        <v>114</v>
      </c>
      <c r="X1270" s="126" t="s">
        <v>115</v>
      </c>
      <c r="Y1270" s="126" t="s">
        <v>122</v>
      </c>
      <c r="Z1270" s="126">
        <v>2.9</v>
      </c>
      <c r="AA1270" s="126"/>
      <c r="AB1270" s="126"/>
      <c r="AC1270" s="126"/>
      <c r="AD1270" s="126"/>
      <c r="AE1270" s="126" t="s">
        <v>123</v>
      </c>
      <c r="AG1270" s="16">
        <f>AH1270-AI1270</f>
        <v>84</v>
      </c>
      <c r="AH1270" s="126">
        <v>158</v>
      </c>
      <c r="AI1270" s="126">
        <v>74</v>
      </c>
      <c r="AK1270" s="126">
        <v>23</v>
      </c>
      <c r="AL1270" s="126">
        <v>1</v>
      </c>
      <c r="AM1270" s="126">
        <v>0</v>
      </c>
      <c r="AN1270" s="126">
        <v>0</v>
      </c>
      <c r="AO1270" s="16">
        <f>IF(SUM(AL1270:AN1270)&gt;0,1,0)</f>
        <v>1</v>
      </c>
      <c r="AP1270" s="18">
        <f>SUM(AL1270:AN1270)</f>
        <v>1</v>
      </c>
      <c r="AR1270" s="16">
        <v>1.2020000000000002</v>
      </c>
      <c r="AS1270" s="16">
        <f>VLOOKUP(E1270,'[1]Feces weights'!$D$1:$H$459,5,FALSE)</f>
        <v>1.2020000000000002</v>
      </c>
      <c r="AT1270" s="16" t="e">
        <f>VLOOKUP(E1270,[2]Current!$A$1:$W$435,7,FALSE)</f>
        <v>#N/A</v>
      </c>
      <c r="AU1270" s="16">
        <v>0</v>
      </c>
      <c r="BG1270" s="77"/>
      <c r="BN1270" s="126"/>
      <c r="BT1270" s="78"/>
      <c r="BV1270" s="18"/>
      <c r="BW1270" s="25"/>
      <c r="BY1270" s="18"/>
      <c r="BZ1270" s="25"/>
      <c r="CB1270" s="18"/>
      <c r="CC1270" s="25"/>
      <c r="CD1270" s="77"/>
      <c r="CE1270" s="18"/>
      <c r="CF1270" s="25"/>
      <c r="CG1270" s="18"/>
      <c r="CH1270" s="18"/>
      <c r="CI1270" s="18"/>
      <c r="CK1270" s="18"/>
      <c r="CL1270" s="25"/>
      <c r="DF1270" s="16" t="e">
        <f>VLOOKUP(K1270,'[3]RNA Seq summary tables'!$V$3:$V$99,1,FALSE)</f>
        <v>#N/A</v>
      </c>
      <c r="DG1270" s="126" t="s">
        <v>116</v>
      </c>
    </row>
    <row r="1271" spans="2:288" ht="16" x14ac:dyDescent="0.2">
      <c r="B1271" s="16">
        <v>2018</v>
      </c>
      <c r="C1271" s="124">
        <v>43257</v>
      </c>
      <c r="D1271" t="s">
        <v>768</v>
      </c>
      <c r="E1271" s="37" t="str">
        <f>CONCATENATE(T1271,"-",U1271,"-",C1271)</f>
        <v>BC1-G5-43257</v>
      </c>
      <c r="F1271" s="16" t="s">
        <v>227</v>
      </c>
      <c r="G1271" s="126" t="s">
        <v>107</v>
      </c>
      <c r="H1271" s="126"/>
      <c r="J1271" s="126">
        <v>1421</v>
      </c>
      <c r="K1271" s="126">
        <v>2408</v>
      </c>
      <c r="O1271" s="15" t="s">
        <v>214</v>
      </c>
      <c r="Q1271" s="16">
        <f t="shared" si="6"/>
        <v>1</v>
      </c>
      <c r="R1271" s="16">
        <f t="shared" si="5"/>
        <v>18</v>
      </c>
      <c r="T1271" s="126" t="s">
        <v>159</v>
      </c>
      <c r="U1271" s="126" t="s">
        <v>200</v>
      </c>
      <c r="V1271" s="126" t="s">
        <v>114</v>
      </c>
      <c r="X1271" s="126" t="s">
        <v>115</v>
      </c>
      <c r="Y1271" s="126" t="s">
        <v>110</v>
      </c>
      <c r="Z1271" s="126">
        <v>3</v>
      </c>
      <c r="AA1271" s="126"/>
      <c r="AB1271" s="126"/>
      <c r="AC1271" s="126"/>
      <c r="AD1271" s="126"/>
      <c r="AE1271" s="126" t="s">
        <v>116</v>
      </c>
      <c r="AG1271" s="16">
        <f>AH1271-AI1271</f>
        <v>92</v>
      </c>
      <c r="AH1271" s="126">
        <v>166</v>
      </c>
      <c r="AI1271" s="126">
        <v>74</v>
      </c>
      <c r="AK1271" s="126">
        <v>20.5</v>
      </c>
      <c r="AL1271" s="126">
        <v>0</v>
      </c>
      <c r="AM1271" s="126">
        <v>0</v>
      </c>
      <c r="AN1271" s="126">
        <v>0</v>
      </c>
      <c r="AO1271" s="16">
        <f>IF(SUM(AL1271:AN1271)&gt;0,1,0)</f>
        <v>0</v>
      </c>
      <c r="AP1271" s="18">
        <f>SUM(AL1271:AN1271)</f>
        <v>0</v>
      </c>
      <c r="AR1271" s="16">
        <v>0.10000000000000009</v>
      </c>
      <c r="AS1271" s="16">
        <f>VLOOKUP(E1271,'[1]Feces weights'!$D$1:$H$459,5,FALSE)</f>
        <v>0.10000000000000009</v>
      </c>
      <c r="AT1271" s="16" t="str">
        <f>VLOOKUP(E1271,[2]Current!$A$1:$W$435,7,FALSE)</f>
        <v>DP</v>
      </c>
      <c r="AU1271" s="16" t="s">
        <v>1288</v>
      </c>
      <c r="AV1271" s="23">
        <v>1</v>
      </c>
      <c r="AW1271" s="128">
        <f>IF(AX1271&gt;0,1,0)</f>
        <v>0</v>
      </c>
      <c r="AX1271" s="128">
        <f>SUM(BA1271,BM1271,CU1271)</f>
        <v>0</v>
      </c>
      <c r="AY1271" s="128">
        <f>SUM(BB1271,BN1271,CV1271)</f>
        <v>0</v>
      </c>
      <c r="AZ1271" s="128">
        <f>IF(BA1271&gt;0,1,0)</f>
        <v>0</v>
      </c>
      <c r="BA1271" s="128">
        <f>SUM(BC1271+BF1271+BI1271)</f>
        <v>0</v>
      </c>
      <c r="BB1271" s="128">
        <f>SUM(BE1271,BH1271,BK1271)</f>
        <v>0</v>
      </c>
      <c r="BC1271" s="130">
        <f>IF(BD1271&gt;0,1,0)</f>
        <v>0</v>
      </c>
      <c r="BD1271" s="128">
        <f>VLOOKUP($E1271,[2]Current!$A:$AC,26,FALSE)</f>
        <v>0</v>
      </c>
      <c r="BE1271" s="128">
        <f>BD1271/$AS1271</f>
        <v>0</v>
      </c>
      <c r="BF1271" s="130">
        <f>IF(BG1271&gt;0,1,0)</f>
        <v>0</v>
      </c>
      <c r="BG1271" s="137">
        <f>VLOOKUP($E1271,[2]Current!$A:$AC,27,FALSE)</f>
        <v>0</v>
      </c>
      <c r="BH1271" s="128">
        <f>BG1271/$AS1271</f>
        <v>0</v>
      </c>
      <c r="BI1271" s="130">
        <f>IF(BJ1271&gt;0,1,0)</f>
        <v>0</v>
      </c>
      <c r="BJ1271" s="128">
        <f>VLOOKUP($E1271,[2]Current!$A:$AC,28,FALSE)</f>
        <v>0</v>
      </c>
      <c r="BK1271" s="128">
        <f>BJ1271/$AS1271</f>
        <v>0</v>
      </c>
      <c r="BL1271" s="128">
        <f>IF(BM1271&gt;0,1,0)</f>
        <v>0</v>
      </c>
      <c r="BM1271" s="128">
        <f>SUM(BR1271,BU1271,BX1271,CA1271,CD1271)</f>
        <v>0</v>
      </c>
      <c r="BN1271" s="131">
        <f>SUM(BT1271,BW1271,BZ1271,CC1271,CF1271)</f>
        <v>0</v>
      </c>
      <c r="BO1271" s="128">
        <f>IF(BP1271&gt;0,1,0)</f>
        <v>0</v>
      </c>
      <c r="BP1271" s="128">
        <f>BM1271+CJ1271</f>
        <v>0</v>
      </c>
      <c r="BQ1271" s="128">
        <f>BN1271+CL1271</f>
        <v>0</v>
      </c>
      <c r="BR1271" s="130">
        <f>IF(BS1271&gt;0,1,0)</f>
        <v>0</v>
      </c>
      <c r="BS1271" s="128">
        <f>VLOOKUP($E1271,[2]Current!$A:$AC,12,FALSE)</f>
        <v>0</v>
      </c>
      <c r="BT1271" s="137">
        <f>BS1271/$AS1271</f>
        <v>0</v>
      </c>
      <c r="BU1271" s="130">
        <f>IF(BV1271&gt;0,1,0)</f>
        <v>0</v>
      </c>
      <c r="BV1271" s="128">
        <f>VLOOKUP($E1271,[2]Current!$A:$AC,13,FALSE)</f>
        <v>0</v>
      </c>
      <c r="BW1271" s="128">
        <f>BV1271/$AS1271</f>
        <v>0</v>
      </c>
      <c r="BX1271" s="130">
        <f>IF(BY1271&gt;0,1,0)</f>
        <v>0</v>
      </c>
      <c r="BY1271" s="128">
        <f>VLOOKUP($E1271,[2]Current!$A:$AC,14,FALSE)</f>
        <v>0</v>
      </c>
      <c r="BZ1271" s="128">
        <f>BY1271/$AS1271</f>
        <v>0</v>
      </c>
      <c r="CA1271" s="130">
        <f>IF(CB1271&gt;0,1,0)</f>
        <v>0</v>
      </c>
      <c r="CB1271" s="128">
        <f>VLOOKUP($E1271,[2]Current!$A:$AC,15,FALSE)</f>
        <v>0</v>
      </c>
      <c r="CC1271" s="128">
        <f>CB1271/$AS1271</f>
        <v>0</v>
      </c>
      <c r="CD1271" s="174">
        <f>IF(CE1271&gt;0,1,0)</f>
        <v>0</v>
      </c>
      <c r="CE1271" s="128">
        <f>VLOOKUP($E1271,[2]Current!$A:$AC,16,FALSE)</f>
        <v>0</v>
      </c>
      <c r="CF1271" s="128">
        <f>CE1271/$AS1271</f>
        <v>0</v>
      </c>
      <c r="CG1271" s="18"/>
      <c r="CH1271" s="18"/>
      <c r="CI1271" s="18"/>
      <c r="CJ1271" s="130">
        <f>IF(CK1271&gt;0,1,0)</f>
        <v>0</v>
      </c>
      <c r="CK1271" s="128">
        <f>VLOOKUP($E1271,[2]Current!$A:$AC,18,FALSE)</f>
        <v>0</v>
      </c>
      <c r="CL1271" s="128">
        <f>CK1271/$AS1271</f>
        <v>0</v>
      </c>
      <c r="CS1271" s="130">
        <f>IF(CU1271&gt;0,1,0)</f>
        <v>0</v>
      </c>
      <c r="CT1271" s="18"/>
      <c r="CU1271" s="128">
        <f>VLOOKUP($E1271,[2]Current!$A:$AC,17,FALSE)</f>
        <v>0</v>
      </c>
      <c r="CV1271" s="128">
        <f>CU1271/$AS1271</f>
        <v>0</v>
      </c>
      <c r="CW1271" s="18"/>
      <c r="CX1271" s="18"/>
      <c r="CY1271" s="18"/>
      <c r="DF1271" s="16" t="e">
        <f>VLOOKUP(K1271,'[3]RNA Seq summary tables'!$V$3:$V$99,1,FALSE)</f>
        <v>#N/A</v>
      </c>
      <c r="DG1271" s="126" t="s">
        <v>123</v>
      </c>
    </row>
    <row r="1272" spans="2:288" ht="16" x14ac:dyDescent="0.2">
      <c r="B1272" s="16">
        <v>2018</v>
      </c>
      <c r="C1272" s="124">
        <v>43239</v>
      </c>
      <c r="D1272" t="s">
        <v>717</v>
      </c>
      <c r="E1272" s="37" t="str">
        <f>CONCATENATE(T1272,"-",U1272,"-",C1272)</f>
        <v>BC2-D1-43239</v>
      </c>
      <c r="F1272" s="16" t="s">
        <v>227</v>
      </c>
      <c r="G1272" s="126" t="s">
        <v>107</v>
      </c>
      <c r="H1272" s="126"/>
      <c r="J1272" s="126">
        <v>1423</v>
      </c>
      <c r="K1272" s="126">
        <v>2350</v>
      </c>
      <c r="O1272" s="15" t="s">
        <v>214</v>
      </c>
      <c r="Q1272" s="16">
        <f t="shared" si="6"/>
        <v>0</v>
      </c>
      <c r="R1272" s="16" t="str">
        <f t="shared" si="5"/>
        <v/>
      </c>
      <c r="T1272" s="126" t="s">
        <v>154</v>
      </c>
      <c r="U1272" s="126" t="s">
        <v>157</v>
      </c>
      <c r="V1272" s="134" t="s">
        <v>114</v>
      </c>
      <c r="X1272" s="126" t="s">
        <v>121</v>
      </c>
      <c r="Y1272" s="126" t="s">
        <v>110</v>
      </c>
      <c r="Z1272" s="126">
        <v>3</v>
      </c>
      <c r="AA1272" s="126" t="s">
        <v>161</v>
      </c>
      <c r="AB1272" s="126" t="s">
        <v>116</v>
      </c>
      <c r="AC1272" s="126" t="s">
        <v>116</v>
      </c>
      <c r="AD1272" s="126"/>
      <c r="AE1272" s="126"/>
      <c r="AG1272" s="16">
        <f>AH1272-AI1272</f>
        <v>77</v>
      </c>
      <c r="AH1272" s="126">
        <v>156</v>
      </c>
      <c r="AI1272" s="126">
        <v>79</v>
      </c>
      <c r="AK1272" s="126">
        <v>21</v>
      </c>
      <c r="AL1272" s="126">
        <v>0</v>
      </c>
      <c r="AM1272" s="126">
        <v>0</v>
      </c>
      <c r="AN1272" s="126">
        <v>0</v>
      </c>
      <c r="AO1272" s="16">
        <f>IF(SUM(AL1272:AN1272)&gt;0,1,0)</f>
        <v>0</v>
      </c>
      <c r="AP1272" s="18">
        <f>SUM(AL1272:AN1272)</f>
        <v>0</v>
      </c>
      <c r="AR1272" s="16">
        <v>0.54800000000000026</v>
      </c>
      <c r="AS1272" s="16">
        <f>VLOOKUP(E1272,'[1]Feces weights'!$D$1:$H$459,5,FALSE)</f>
        <v>0.54800000000000026</v>
      </c>
      <c r="AT1272" s="16" t="str">
        <f>VLOOKUP(E1272,[9]Current!$A:$T,7,FALSE)</f>
        <v>IS</v>
      </c>
      <c r="AU1272" s="18" t="s">
        <v>1290</v>
      </c>
      <c r="AW1272" s="177">
        <f>IF(AY1272&gt;0,1,0)</f>
        <v>1</v>
      </c>
      <c r="AX1272" s="177">
        <f>SUM(BA1272,BM1272,CU1272)</f>
        <v>2</v>
      </c>
      <c r="AY1272" s="177">
        <f>SUM(BB1272,BN1272,CV1272)</f>
        <v>3.6496350364963486</v>
      </c>
      <c r="AZ1272" s="177">
        <f>IF(BB1272&gt;0,1,0)</f>
        <v>1</v>
      </c>
      <c r="BA1272" s="177">
        <f>SUM(BC1272+BF1272+BI1272)</f>
        <v>2</v>
      </c>
      <c r="BB1272" s="177">
        <f>SUM(BE1272,BH1272,BK1272)</f>
        <v>3.6496350364963486</v>
      </c>
      <c r="BC1272" s="178">
        <f>IF(BD1272&gt;0,1,0)</f>
        <v>1</v>
      </c>
      <c r="BD1272" s="177">
        <f>VLOOKUP($E1272,[9]Current!$1:$1048576,8,FALSE)</f>
        <v>1</v>
      </c>
      <c r="BE1272" s="177">
        <f>BD1272/$AS1272</f>
        <v>1.8248175182481743</v>
      </c>
      <c r="BF1272" s="178">
        <f>IF(BG1272&gt;0,1,0)</f>
        <v>1</v>
      </c>
      <c r="BG1272" s="179">
        <f>VLOOKUP($E1272,[9]Current!$1:$1048576,9,FALSE)</f>
        <v>1</v>
      </c>
      <c r="BH1272" s="177">
        <f>BG1272/$AS1272</f>
        <v>1.8248175182481743</v>
      </c>
      <c r="BI1272" s="178">
        <f>IF(BJ1272&gt;0,1,0)</f>
        <v>0</v>
      </c>
      <c r="BJ1272" s="177">
        <f>VLOOKUP($E1272,[9]Current!$1:$1048576,10,FALSE)</f>
        <v>0</v>
      </c>
      <c r="BK1272" s="177">
        <f>BJ1272/$AS1272</f>
        <v>0</v>
      </c>
      <c r="BL1272" s="177">
        <f>IF(BM1272&gt;0,1,0)</f>
        <v>0</v>
      </c>
      <c r="BM1272" s="177">
        <f>SUM(BR1272,BU1272,BX1272,CA1272,CD1272)</f>
        <v>0</v>
      </c>
      <c r="BN1272" s="181">
        <f>SUM(BT1272,BW1272,BZ1272,CC1272,CF1272)</f>
        <v>0</v>
      </c>
      <c r="BO1272" s="177">
        <f>IF(BP1272&gt;0,1,0)</f>
        <v>0</v>
      </c>
      <c r="BP1272" s="177">
        <f>BM1272+CJ1272</f>
        <v>0</v>
      </c>
      <c r="BQ1272" s="177">
        <f>BN1272+CL1272</f>
        <v>0</v>
      </c>
      <c r="BR1272" s="178">
        <f>IF(BS1272&gt;0,1,0)</f>
        <v>0</v>
      </c>
      <c r="BS1272" s="177">
        <f>VLOOKUP($E1272,[9]Current!$1:$1048576,12,FALSE)</f>
        <v>0</v>
      </c>
      <c r="BT1272" s="179">
        <f>BS1272/$AS1272</f>
        <v>0</v>
      </c>
      <c r="BU1272" s="178">
        <f>IF(BV1272&gt;0,1,0)</f>
        <v>0</v>
      </c>
      <c r="BV1272" s="177">
        <f>VLOOKUP($E1272,[9]Current!$1:$1048576,13,FALSE)</f>
        <v>0</v>
      </c>
      <c r="BW1272" s="177">
        <f>BV1272/$AS1272</f>
        <v>0</v>
      </c>
      <c r="BX1272" s="178">
        <f>IF(BY1272&gt;0,1,0)</f>
        <v>0</v>
      </c>
      <c r="BY1272" s="177">
        <f>VLOOKUP($E1272,[9]Current!$1:$1048576,14,FALSE)</f>
        <v>0</v>
      </c>
      <c r="BZ1272" s="177">
        <f>BY1272/$AS1272</f>
        <v>0</v>
      </c>
      <c r="CA1272" s="178">
        <f>IF(CB1272&gt;0,1,0)</f>
        <v>0</v>
      </c>
      <c r="CB1272" s="177">
        <f>VLOOKUP($E1272,[9]Current!$1:$1048576,15,FALSE)</f>
        <v>0</v>
      </c>
      <c r="CC1272" s="177">
        <f>CB1272/$AS1272</f>
        <v>0</v>
      </c>
      <c r="CD1272" s="180">
        <f>IF(CE1272&gt;0,1,0)</f>
        <v>0</v>
      </c>
      <c r="CE1272" s="177">
        <f>VLOOKUP($E1272,[9]Current!$1:$1048576,16,FALSE)</f>
        <v>0</v>
      </c>
      <c r="CF1272" s="177">
        <f>CE1272/$AS1272</f>
        <v>0</v>
      </c>
      <c r="CG1272" s="18"/>
      <c r="CH1272" s="18"/>
      <c r="CI1272" s="18"/>
      <c r="CJ1272" s="178">
        <f>IF(CK1272&gt;0,1,0)</f>
        <v>0</v>
      </c>
      <c r="CK1272" s="177">
        <f>VLOOKUP($E1272,[9]Current!$1:$1048576,18,FALSE)</f>
        <v>0</v>
      </c>
      <c r="CL1272" s="177">
        <f>CK1272/$AS1272</f>
        <v>0</v>
      </c>
      <c r="CS1272" s="178">
        <f>IF(CU1272&gt;0,1,0)</f>
        <v>0</v>
      </c>
      <c r="CT1272" s="177"/>
      <c r="CU1272" s="177">
        <f>VLOOKUP($E1272,[9]Current!$1:$1048576,17,FALSE)</f>
        <v>0</v>
      </c>
      <c r="CV1272" s="177">
        <f>CU1272/$AS1272</f>
        <v>0</v>
      </c>
      <c r="DF1272" s="16" t="e">
        <f>VLOOKUP(K1272,'[3]RNA Seq summary tables'!$V$3:$V$99,1,FALSE)</f>
        <v>#N/A</v>
      </c>
      <c r="DG1272" s="126" t="s">
        <v>116</v>
      </c>
    </row>
    <row r="1273" spans="2:288" ht="16" x14ac:dyDescent="0.2">
      <c r="B1273" s="16">
        <v>2018</v>
      </c>
      <c r="C1273" s="124">
        <v>43239</v>
      </c>
      <c r="D1273" t="s">
        <v>719</v>
      </c>
      <c r="E1273" s="37" t="str">
        <f>CONCATENATE(T1273,"-",U1273,"-",C1273)</f>
        <v>BC2-D8-43239</v>
      </c>
      <c r="F1273" s="16" t="s">
        <v>227</v>
      </c>
      <c r="G1273" s="126" t="s">
        <v>107</v>
      </c>
      <c r="H1273" s="126"/>
      <c r="J1273" s="127">
        <v>1425</v>
      </c>
      <c r="K1273" s="126">
        <v>2352</v>
      </c>
      <c r="O1273" s="15" t="s">
        <v>214</v>
      </c>
      <c r="Q1273" s="16">
        <f t="shared" si="6"/>
        <v>0</v>
      </c>
      <c r="R1273" s="16" t="str">
        <f t="shared" si="5"/>
        <v/>
      </c>
      <c r="T1273" s="126" t="s">
        <v>154</v>
      </c>
      <c r="U1273" s="126" t="s">
        <v>178</v>
      </c>
      <c r="V1273" s="131" t="s">
        <v>142</v>
      </c>
      <c r="X1273" s="126" t="s">
        <v>121</v>
      </c>
      <c r="Y1273" s="126" t="s">
        <v>122</v>
      </c>
      <c r="Z1273" s="126">
        <v>2.9</v>
      </c>
      <c r="AA1273" s="126" t="s">
        <v>119</v>
      </c>
      <c r="AB1273" s="126" t="s">
        <v>123</v>
      </c>
      <c r="AC1273" s="126" t="s">
        <v>123</v>
      </c>
      <c r="AD1273" s="126"/>
      <c r="AE1273" s="126"/>
      <c r="AG1273" s="16">
        <f>AH1273-AI1273</f>
        <v>81</v>
      </c>
      <c r="AH1273" s="126">
        <v>167</v>
      </c>
      <c r="AI1273" s="126">
        <v>86</v>
      </c>
      <c r="AK1273" s="126">
        <v>16</v>
      </c>
      <c r="AL1273" s="126">
        <v>0</v>
      </c>
      <c r="AM1273" s="126">
        <v>0</v>
      </c>
      <c r="AN1273" s="126">
        <v>0</v>
      </c>
      <c r="AO1273" s="16">
        <f>IF(SUM(AL1273:AN1273)&gt;0,1,0)</f>
        <v>0</v>
      </c>
      <c r="AP1273" s="18">
        <f>SUM(AL1273:AN1273)</f>
        <v>0</v>
      </c>
      <c r="AR1273" s="16">
        <v>0.90900000000000003</v>
      </c>
      <c r="AS1273" s="16">
        <f>VLOOKUP(E1273,'[1]Feces weights'!$D$1:$H$459,5,FALSE)</f>
        <v>0.90900000000000003</v>
      </c>
      <c r="AT1273" s="16" t="str">
        <f>VLOOKUP(E1273,[9]Current!$A:$T,7,FALSE)</f>
        <v>DP</v>
      </c>
      <c r="AU1273" s="18" t="s">
        <v>1290</v>
      </c>
      <c r="AW1273" s="177">
        <f>IF(AY1273&gt;0,1,0)</f>
        <v>1</v>
      </c>
      <c r="AX1273" s="177">
        <f>SUM(BA1273,BM1273,CU1273)</f>
        <v>2</v>
      </c>
      <c r="AY1273" s="177">
        <f>SUM(BB1273,BN1273,CV1273)</f>
        <v>7.7007700770077001</v>
      </c>
      <c r="AZ1273" s="177">
        <f>IF(BB1273&gt;0,1,0)</f>
        <v>1</v>
      </c>
      <c r="BA1273" s="177">
        <f>SUM(BC1273+BF1273+BI1273)</f>
        <v>2</v>
      </c>
      <c r="BB1273" s="177">
        <f>SUM(BE1273,BH1273,BK1273)</f>
        <v>7.7007700770077001</v>
      </c>
      <c r="BC1273" s="178">
        <f>IF(BD1273&gt;0,1,0)</f>
        <v>0</v>
      </c>
      <c r="BD1273" s="177">
        <f>VLOOKUP($E1273,[9]Current!$1:$1048576,8,FALSE)</f>
        <v>0</v>
      </c>
      <c r="BE1273" s="177">
        <f>BD1273/$AS1273</f>
        <v>0</v>
      </c>
      <c r="BF1273" s="178">
        <f>IF(BG1273&gt;0,1,0)</f>
        <v>1</v>
      </c>
      <c r="BG1273" s="179">
        <f>VLOOKUP($E1273,[9]Current!$1:$1048576,9,FALSE)</f>
        <v>5</v>
      </c>
      <c r="BH1273" s="177">
        <f>BG1273/$AS1273</f>
        <v>5.5005500550055002</v>
      </c>
      <c r="BI1273" s="178">
        <f>IF(BJ1273&gt;0,1,0)</f>
        <v>1</v>
      </c>
      <c r="BJ1273" s="177">
        <f>VLOOKUP($E1273,[9]Current!$1:$1048576,10,FALSE)</f>
        <v>2</v>
      </c>
      <c r="BK1273" s="177">
        <f>BJ1273/$AS1273</f>
        <v>2.2002200220022003</v>
      </c>
      <c r="BL1273" s="177">
        <f>IF(BM1273&gt;0,1,0)</f>
        <v>0</v>
      </c>
      <c r="BM1273" s="177">
        <f>SUM(BR1273,BU1273,BX1273,CA1273,CD1273)</f>
        <v>0</v>
      </c>
      <c r="BN1273" s="181">
        <f>SUM(BT1273,BW1273,BZ1273,CC1273,CF1273)</f>
        <v>0</v>
      </c>
      <c r="BO1273" s="177">
        <f>IF(BP1273&gt;0,1,0)</f>
        <v>0</v>
      </c>
      <c r="BP1273" s="177">
        <f>BM1273+CJ1273</f>
        <v>0</v>
      </c>
      <c r="BQ1273" s="177">
        <f>BN1273+CL1273</f>
        <v>0</v>
      </c>
      <c r="BR1273" s="178">
        <f>IF(BS1273&gt;0,1,0)</f>
        <v>0</v>
      </c>
      <c r="BS1273" s="177">
        <f>VLOOKUP($E1273,[9]Current!$1:$1048576,12,FALSE)</f>
        <v>0</v>
      </c>
      <c r="BT1273" s="179">
        <f>BS1273/$AS1273</f>
        <v>0</v>
      </c>
      <c r="BU1273" s="178">
        <f>IF(BV1273&gt;0,1,0)</f>
        <v>0</v>
      </c>
      <c r="BV1273" s="177">
        <f>VLOOKUP($E1273,[9]Current!$1:$1048576,13,FALSE)</f>
        <v>0</v>
      </c>
      <c r="BW1273" s="177">
        <f>BV1273/$AS1273</f>
        <v>0</v>
      </c>
      <c r="BX1273" s="178">
        <f>IF(BY1273&gt;0,1,0)</f>
        <v>0</v>
      </c>
      <c r="BY1273" s="177">
        <f>VLOOKUP($E1273,[9]Current!$1:$1048576,14,FALSE)</f>
        <v>0</v>
      </c>
      <c r="BZ1273" s="177">
        <f>BY1273/$AS1273</f>
        <v>0</v>
      </c>
      <c r="CA1273" s="178">
        <f>IF(CB1273&gt;0,1,0)</f>
        <v>0</v>
      </c>
      <c r="CB1273" s="177">
        <f>VLOOKUP($E1273,[9]Current!$1:$1048576,15,FALSE)</f>
        <v>0</v>
      </c>
      <c r="CC1273" s="177">
        <f>CB1273/$AS1273</f>
        <v>0</v>
      </c>
      <c r="CD1273" s="180">
        <f>IF(CE1273&gt;0,1,0)</f>
        <v>0</v>
      </c>
      <c r="CE1273" s="177">
        <f>VLOOKUP($E1273,[9]Current!$1:$1048576,16,FALSE)</f>
        <v>0</v>
      </c>
      <c r="CF1273" s="177">
        <f>CE1273/$AS1273</f>
        <v>0</v>
      </c>
      <c r="CG1273" s="18"/>
      <c r="CH1273" s="18"/>
      <c r="CI1273" s="18"/>
      <c r="CJ1273" s="178">
        <f>IF(CK1273&gt;0,1,0)</f>
        <v>0</v>
      </c>
      <c r="CK1273" s="177">
        <f>VLOOKUP($E1273,[9]Current!$1:$1048576,18,FALSE)</f>
        <v>0</v>
      </c>
      <c r="CL1273" s="177">
        <f>CK1273/$AS1273</f>
        <v>0</v>
      </c>
      <c r="CS1273" s="178">
        <f>IF(CU1273&gt;0,1,0)</f>
        <v>0</v>
      </c>
      <c r="CT1273" s="177"/>
      <c r="CU1273" s="177">
        <f>VLOOKUP($E1273,[9]Current!$1:$1048576,17,FALSE)</f>
        <v>0</v>
      </c>
      <c r="CV1273" s="177">
        <f>CU1273/$AS1273</f>
        <v>0</v>
      </c>
      <c r="DF1273" s="16" t="e">
        <f>VLOOKUP(K1273,'[3]RNA Seq summary tables'!$V$3:$V$99,1,FALSE)</f>
        <v>#N/A</v>
      </c>
      <c r="DG1273" s="126" t="s">
        <v>116</v>
      </c>
    </row>
    <row r="1274" spans="2:288" ht="16" x14ac:dyDescent="0.2">
      <c r="B1274" s="16">
        <v>2018</v>
      </c>
      <c r="C1274" s="124">
        <v>43258</v>
      </c>
      <c r="D1274" t="s">
        <v>776</v>
      </c>
      <c r="E1274" s="37" t="str">
        <f>CONCATENATE(T1274,"-",U1274,"-",C1274)</f>
        <v>BC1-H7-43258</v>
      </c>
      <c r="F1274" s="16" t="s">
        <v>227</v>
      </c>
      <c r="G1274" s="126" t="s">
        <v>107</v>
      </c>
      <c r="H1274" s="126"/>
      <c r="J1274" s="127">
        <v>1425</v>
      </c>
      <c r="K1274" s="126">
        <v>2415</v>
      </c>
      <c r="O1274" s="15" t="s">
        <v>214</v>
      </c>
      <c r="Q1274" s="16">
        <f t="shared" si="6"/>
        <v>1</v>
      </c>
      <c r="R1274" s="16">
        <f t="shared" si="5"/>
        <v>19</v>
      </c>
      <c r="T1274" s="126" t="s">
        <v>159</v>
      </c>
      <c r="U1274" s="126" t="s">
        <v>202</v>
      </c>
      <c r="V1274" s="126" t="s">
        <v>114</v>
      </c>
      <c r="X1274" s="126" t="s">
        <v>121</v>
      </c>
      <c r="Y1274" s="126" t="s">
        <v>110</v>
      </c>
      <c r="Z1274" s="126">
        <v>3</v>
      </c>
      <c r="AA1274" s="126" t="s">
        <v>119</v>
      </c>
      <c r="AB1274" s="126" t="s">
        <v>116</v>
      </c>
      <c r="AC1274" s="126" t="s">
        <v>116</v>
      </c>
      <c r="AD1274" s="126"/>
      <c r="AE1274" s="126"/>
      <c r="AG1274" s="16">
        <f>AH1274-AI1274</f>
        <v>90</v>
      </c>
      <c r="AH1274" s="126">
        <v>168</v>
      </c>
      <c r="AI1274" s="126">
        <v>78</v>
      </c>
      <c r="AK1274" s="126">
        <v>19</v>
      </c>
      <c r="AL1274" s="126">
        <v>0</v>
      </c>
      <c r="AM1274" s="126">
        <v>0</v>
      </c>
      <c r="AN1274" s="126">
        <v>0</v>
      </c>
      <c r="AO1274" s="16">
        <f>IF(SUM(AL1274:AN1274)&gt;0,1,0)</f>
        <v>0</v>
      </c>
      <c r="AP1274" s="18">
        <f>SUM(AL1274:AN1274)</f>
        <v>0</v>
      </c>
      <c r="AR1274" s="16">
        <v>0.30200000000000005</v>
      </c>
      <c r="AS1274" s="16">
        <f>VLOOKUP(E1274,'[1]Feces weights'!$D$1:$H$459,5,FALSE)</f>
        <v>0.30200000000000005</v>
      </c>
      <c r="AT1274" s="16" t="str">
        <f>VLOOKUP(E1274,[9]Current!$A:$T,7,FALSE)</f>
        <v>JB</v>
      </c>
      <c r="AU1274" s="18" t="s">
        <v>1290</v>
      </c>
      <c r="AW1274" s="177">
        <f>IF(AY1274&gt;0,1,0)</f>
        <v>1</v>
      </c>
      <c r="AX1274" s="177">
        <f>SUM(BA1274,BM1274,CU1274)</f>
        <v>2</v>
      </c>
      <c r="AY1274" s="177">
        <f>SUM(BB1274,BN1274,CV1274)</f>
        <v>1470.1986754966883</v>
      </c>
      <c r="AZ1274" s="177">
        <f>IF(BB1274&gt;0,1,0)</f>
        <v>1</v>
      </c>
      <c r="BA1274" s="177">
        <f>SUM(BC1274+BF1274+BI1274)</f>
        <v>2</v>
      </c>
      <c r="BB1274" s="177">
        <f>SUM(BE1274,BH1274,BK1274)</f>
        <v>1470.1986754966883</v>
      </c>
      <c r="BC1274" s="178">
        <f>IF(BD1274&gt;0,1,0)</f>
        <v>0</v>
      </c>
      <c r="BD1274" s="177">
        <f>VLOOKUP($E1274,[9]Current!$1:$1048576,8,FALSE)</f>
        <v>0</v>
      </c>
      <c r="BE1274" s="177">
        <f>BD1274/$AS1274</f>
        <v>0</v>
      </c>
      <c r="BF1274" s="178">
        <f>IF(BG1274&gt;0,1,0)</f>
        <v>1</v>
      </c>
      <c r="BG1274" s="179">
        <f>VLOOKUP($E1274,[9]Current!$1:$1048576,9,FALSE)</f>
        <v>416</v>
      </c>
      <c r="BH1274" s="177">
        <f>BG1274/$AS1274</f>
        <v>1377.483443708609</v>
      </c>
      <c r="BI1274" s="178">
        <f>IF(BJ1274&gt;0,1,0)</f>
        <v>1</v>
      </c>
      <c r="BJ1274" s="177">
        <f>VLOOKUP($E1274,[9]Current!$1:$1048576,10,FALSE)</f>
        <v>28</v>
      </c>
      <c r="BK1274" s="177">
        <f>BJ1274/$AS1274</f>
        <v>92.71523178807945</v>
      </c>
      <c r="BL1274" s="177">
        <f>IF(BM1274&gt;0,1,0)</f>
        <v>0</v>
      </c>
      <c r="BM1274" s="177">
        <f>SUM(BR1274,BU1274,BX1274,CA1274,CD1274)</f>
        <v>0</v>
      </c>
      <c r="BN1274" s="181">
        <f>SUM(BT1274,BW1274,BZ1274,CC1274,CF1274)</f>
        <v>0</v>
      </c>
      <c r="BO1274" s="177">
        <f>IF(BP1274&gt;0,1,0)</f>
        <v>0</v>
      </c>
      <c r="BP1274" s="177">
        <f>BM1274+CJ1274</f>
        <v>0</v>
      </c>
      <c r="BQ1274" s="177">
        <f>BN1274+CL1274</f>
        <v>0</v>
      </c>
      <c r="BR1274" s="178">
        <f>IF(BS1274&gt;0,1,0)</f>
        <v>0</v>
      </c>
      <c r="BS1274" s="177">
        <f>VLOOKUP($E1274,[9]Current!$1:$1048576,12,FALSE)</f>
        <v>0</v>
      </c>
      <c r="BT1274" s="179">
        <f>BS1274/$AS1274</f>
        <v>0</v>
      </c>
      <c r="BU1274" s="178">
        <f>IF(BV1274&gt;0,1,0)</f>
        <v>0</v>
      </c>
      <c r="BV1274" s="177">
        <f>VLOOKUP($E1274,[9]Current!$1:$1048576,13,FALSE)</f>
        <v>0</v>
      </c>
      <c r="BW1274" s="177">
        <f>BV1274/$AS1274</f>
        <v>0</v>
      </c>
      <c r="BX1274" s="178">
        <f>IF(BY1274&gt;0,1,0)</f>
        <v>0</v>
      </c>
      <c r="BY1274" s="177">
        <f>VLOOKUP($E1274,[9]Current!$1:$1048576,14,FALSE)</f>
        <v>0</v>
      </c>
      <c r="BZ1274" s="177">
        <f>BY1274/$AS1274</f>
        <v>0</v>
      </c>
      <c r="CA1274" s="178">
        <f>IF(CB1274&gt;0,1,0)</f>
        <v>0</v>
      </c>
      <c r="CB1274" s="177">
        <f>VLOOKUP($E1274,[9]Current!$1:$1048576,15,FALSE)</f>
        <v>0</v>
      </c>
      <c r="CC1274" s="177">
        <f>CB1274/$AS1274</f>
        <v>0</v>
      </c>
      <c r="CD1274" s="180">
        <f>IF(CE1274&gt;0,1,0)</f>
        <v>0</v>
      </c>
      <c r="CE1274" s="177">
        <f>VLOOKUP($E1274,[9]Current!$1:$1048576,16,FALSE)</f>
        <v>0</v>
      </c>
      <c r="CF1274" s="177">
        <f>CE1274/$AS1274</f>
        <v>0</v>
      </c>
      <c r="CG1274" s="18"/>
      <c r="CH1274" s="18"/>
      <c r="CI1274" s="18"/>
      <c r="CJ1274" s="178">
        <f>IF(CK1274&gt;0,1,0)</f>
        <v>0</v>
      </c>
      <c r="CK1274" s="177">
        <f>VLOOKUP($E1274,[9]Current!$1:$1048576,18,FALSE)</f>
        <v>0</v>
      </c>
      <c r="CL1274" s="177">
        <f>CK1274/$AS1274</f>
        <v>0</v>
      </c>
      <c r="CS1274" s="178">
        <f>IF(CU1274&gt;0,1,0)</f>
        <v>0</v>
      </c>
      <c r="CT1274" s="177"/>
      <c r="CU1274" s="177">
        <f>VLOOKUP($E1274,[9]Current!$1:$1048576,17,FALSE)</f>
        <v>0</v>
      </c>
      <c r="CV1274" s="177">
        <f>CU1274/$AS1274</f>
        <v>0</v>
      </c>
      <c r="DF1274" s="16" t="e">
        <f>VLOOKUP(K1274,'[3]RNA Seq summary tables'!$V$3:$V$99,1,FALSE)</f>
        <v>#N/A</v>
      </c>
      <c r="DG1274" s="126"/>
    </row>
    <row r="1275" spans="2:288" ht="16" x14ac:dyDescent="0.2">
      <c r="B1275" s="16">
        <v>2018</v>
      </c>
      <c r="C1275" s="124">
        <v>43274</v>
      </c>
      <c r="D1275" t="s">
        <v>849</v>
      </c>
      <c r="E1275" s="37" t="str">
        <f>CONCATENATE(T1275,"-",U1275,"-",C1275)</f>
        <v>BC1-H6-43274</v>
      </c>
      <c r="F1275" s="16" t="s">
        <v>227</v>
      </c>
      <c r="G1275" s="126" t="s">
        <v>107</v>
      </c>
      <c r="H1275" s="126" t="s">
        <v>1112</v>
      </c>
      <c r="J1275" s="127">
        <v>1425</v>
      </c>
      <c r="K1275" s="126">
        <v>2486</v>
      </c>
      <c r="O1275" s="15" t="s">
        <v>214</v>
      </c>
      <c r="Q1275" s="16">
        <f t="shared" si="6"/>
        <v>1</v>
      </c>
      <c r="R1275" s="16">
        <f t="shared" si="5"/>
        <v>16</v>
      </c>
      <c r="T1275" s="126" t="s">
        <v>159</v>
      </c>
      <c r="U1275" s="126" t="s">
        <v>141</v>
      </c>
      <c r="V1275" s="126" t="s">
        <v>114</v>
      </c>
      <c r="X1275" s="126" t="s">
        <v>121</v>
      </c>
      <c r="Y1275" s="126" t="s">
        <v>110</v>
      </c>
      <c r="Z1275" s="126">
        <v>3</v>
      </c>
      <c r="AA1275" s="126" t="s">
        <v>161</v>
      </c>
      <c r="AB1275" s="126" t="s">
        <v>123</v>
      </c>
      <c r="AC1275" s="126" t="s">
        <v>123</v>
      </c>
      <c r="AD1275" s="126"/>
      <c r="AE1275" s="126"/>
      <c r="AG1275" s="16">
        <f>AH1275-AI1275</f>
        <v>86</v>
      </c>
      <c r="AH1275" s="126">
        <v>166</v>
      </c>
      <c r="AI1275" s="126">
        <v>80</v>
      </c>
      <c r="AK1275" s="126">
        <v>17</v>
      </c>
      <c r="AL1275" s="126">
        <v>0</v>
      </c>
      <c r="AM1275" s="126">
        <v>0</v>
      </c>
      <c r="AN1275" s="126">
        <v>0</v>
      </c>
      <c r="AO1275" s="16">
        <f>IF(SUM(AL1275:AN1275)&gt;0,1,0)</f>
        <v>0</v>
      </c>
      <c r="AP1275" s="18">
        <f>SUM(AL1275:AN1275)</f>
        <v>0</v>
      </c>
      <c r="AR1275" s="16">
        <v>0.45000000000000018</v>
      </c>
      <c r="AS1275" s="16">
        <f>VLOOKUP(E1275,'[1]Feces weights'!$D$1:$H$459,5,FALSE)</f>
        <v>0.45000000000000018</v>
      </c>
      <c r="AT1275" s="16" t="str">
        <f>VLOOKUP(E1275,[2]Current!$A$1:$W$435,7,FALSE)</f>
        <v>IS</v>
      </c>
      <c r="AU1275" s="16" t="s">
        <v>1288</v>
      </c>
      <c r="AV1275" s="23">
        <v>1</v>
      </c>
      <c r="AW1275" s="128">
        <f>IF(AX1275&gt;0,1,0)</f>
        <v>0</v>
      </c>
      <c r="AX1275" s="128">
        <f>SUM(BA1275,BM1275,CU1275)</f>
        <v>0</v>
      </c>
      <c r="AY1275" s="128">
        <f>SUM(BB1275,BN1275,CV1275)</f>
        <v>0</v>
      </c>
      <c r="AZ1275" s="128">
        <f>IF(BA1275&gt;0,1,0)</f>
        <v>0</v>
      </c>
      <c r="BA1275" s="128">
        <f>SUM(BC1275+BF1275+BI1275)</f>
        <v>0</v>
      </c>
      <c r="BB1275" s="128">
        <f>SUM(BE1275,BH1275,BK1275)</f>
        <v>0</v>
      </c>
      <c r="BC1275" s="130">
        <f>IF(BD1275&gt;0,1,0)</f>
        <v>0</v>
      </c>
      <c r="BD1275" s="128">
        <f>VLOOKUP($E1275,[2]Current!$A:$AC,26,FALSE)</f>
        <v>0</v>
      </c>
      <c r="BE1275" s="128">
        <f>BD1275/$AS1275</f>
        <v>0</v>
      </c>
      <c r="BF1275" s="130">
        <f>IF(BG1275&gt;0,1,0)</f>
        <v>0</v>
      </c>
      <c r="BG1275" s="137">
        <f>VLOOKUP($E1275,[2]Current!$A:$AC,27,FALSE)</f>
        <v>0</v>
      </c>
      <c r="BH1275" s="128">
        <f>BG1275/$AS1275</f>
        <v>0</v>
      </c>
      <c r="BI1275" s="130">
        <f>IF(BJ1275&gt;0,1,0)</f>
        <v>0</v>
      </c>
      <c r="BJ1275" s="128">
        <f>VLOOKUP($E1275,[2]Current!$A:$AC,28,FALSE)</f>
        <v>0</v>
      </c>
      <c r="BK1275" s="128">
        <f>BJ1275/$AS1275</f>
        <v>0</v>
      </c>
      <c r="BL1275" s="128">
        <f>IF(BM1275&gt;0,1,0)</f>
        <v>0</v>
      </c>
      <c r="BM1275" s="128">
        <f>SUM(BR1275,BU1275,BX1275,CA1275,CD1275)</f>
        <v>0</v>
      </c>
      <c r="BN1275" s="131">
        <f>SUM(BT1275,BW1275,BZ1275,CC1275,CF1275)</f>
        <v>0</v>
      </c>
      <c r="BO1275" s="128">
        <f>IF(BP1275&gt;0,1,0)</f>
        <v>0</v>
      </c>
      <c r="BP1275" s="128">
        <f>BM1275+CJ1275</f>
        <v>0</v>
      </c>
      <c r="BQ1275" s="128">
        <f>BN1275+CL1275</f>
        <v>0</v>
      </c>
      <c r="BR1275" s="130">
        <f>IF(BS1275&gt;0,1,0)</f>
        <v>0</v>
      </c>
      <c r="BS1275" s="128">
        <f>VLOOKUP($E1275,[2]Current!$A:$AC,12,FALSE)</f>
        <v>0</v>
      </c>
      <c r="BT1275" s="137">
        <f>BS1275/$AS1275</f>
        <v>0</v>
      </c>
      <c r="BU1275" s="130">
        <f>IF(BV1275&gt;0,1,0)</f>
        <v>0</v>
      </c>
      <c r="BV1275" s="128">
        <f>VLOOKUP($E1275,[2]Current!$A:$AC,13,FALSE)</f>
        <v>0</v>
      </c>
      <c r="BW1275" s="128">
        <f>BV1275/$AS1275</f>
        <v>0</v>
      </c>
      <c r="BX1275" s="130">
        <f>IF(BY1275&gt;0,1,0)</f>
        <v>0</v>
      </c>
      <c r="BY1275" s="128">
        <f>VLOOKUP($E1275,[2]Current!$A:$AC,14,FALSE)</f>
        <v>0</v>
      </c>
      <c r="BZ1275" s="128">
        <f>BY1275/$AS1275</f>
        <v>0</v>
      </c>
      <c r="CA1275" s="130">
        <f>IF(CB1275&gt;0,1,0)</f>
        <v>0</v>
      </c>
      <c r="CB1275" s="128">
        <f>VLOOKUP($E1275,[2]Current!$A:$AC,15,FALSE)</f>
        <v>0</v>
      </c>
      <c r="CC1275" s="128">
        <f>CB1275/$AS1275</f>
        <v>0</v>
      </c>
      <c r="CD1275" s="174">
        <f>IF(CE1275&gt;0,1,0)</f>
        <v>0</v>
      </c>
      <c r="CE1275" s="128">
        <f>VLOOKUP($E1275,[2]Current!$A:$AC,16,FALSE)</f>
        <v>0</v>
      </c>
      <c r="CF1275" s="128">
        <f>CE1275/$AS1275</f>
        <v>0</v>
      </c>
      <c r="CG1275" s="18"/>
      <c r="CH1275" s="18"/>
      <c r="CI1275" s="18"/>
      <c r="CJ1275" s="130">
        <f>IF(CK1275&gt;0,1,0)</f>
        <v>0</v>
      </c>
      <c r="CK1275" s="128">
        <f>VLOOKUP($E1275,[2]Current!$A:$AC,18,FALSE)</f>
        <v>0</v>
      </c>
      <c r="CL1275" s="128">
        <f>CK1275/$AS1275</f>
        <v>0</v>
      </c>
      <c r="CS1275" s="130">
        <f>IF(CU1275&gt;0,1,0)</f>
        <v>0</v>
      </c>
      <c r="CU1275" s="128">
        <f>VLOOKUP($E1275,[2]Current!$A:$AC,17,FALSE)</f>
        <v>0</v>
      </c>
      <c r="CV1275" s="128">
        <f>CU1275/$AS1275</f>
        <v>0</v>
      </c>
      <c r="CW1275" s="18"/>
      <c r="CX1275" s="18"/>
      <c r="CY1275" s="18"/>
      <c r="DF1275" s="16" t="e">
        <f>VLOOKUP(K1275,'[3]RNA Seq summary tables'!$V$3:$V$99,1,FALSE)</f>
        <v>#N/A</v>
      </c>
      <c r="DG1275" s="126" t="s">
        <v>116</v>
      </c>
      <c r="JR1275" s="18"/>
      <c r="JS1275" s="18"/>
      <c r="JT1275" s="18"/>
      <c r="JU1275" s="18"/>
      <c r="JV1275" s="18"/>
      <c r="JW1275" s="18"/>
      <c r="JX1275" s="18"/>
      <c r="JY1275" s="18"/>
      <c r="JZ1275" s="18"/>
      <c r="KA1275" s="18"/>
      <c r="KB1275" s="18"/>
    </row>
    <row r="1276" spans="2:288" ht="16" x14ac:dyDescent="0.2">
      <c r="B1276" s="16">
        <v>2018</v>
      </c>
      <c r="C1276" s="124">
        <v>43292</v>
      </c>
      <c r="D1276" t="s">
        <v>942</v>
      </c>
      <c r="E1276" s="37" t="str">
        <f>CONCATENATE(T1276,"-",U1276,"-",C1276)</f>
        <v>BC1-G7-43292</v>
      </c>
      <c r="F1276" s="16" t="s">
        <v>227</v>
      </c>
      <c r="G1276" s="126" t="s">
        <v>107</v>
      </c>
      <c r="H1276" s="126"/>
      <c r="J1276" s="127">
        <v>1425</v>
      </c>
      <c r="K1276" s="126">
        <v>2579</v>
      </c>
      <c r="O1276" s="15" t="s">
        <v>214</v>
      </c>
      <c r="Q1276" s="16">
        <f t="shared" si="6"/>
        <v>1</v>
      </c>
      <c r="R1276" s="16">
        <f t="shared" ref="R1276:R1339" si="7">IF(J1276=J1275,C1276-C1275,"")</f>
        <v>18</v>
      </c>
      <c r="T1276" s="126" t="s">
        <v>159</v>
      </c>
      <c r="U1276" s="126" t="s">
        <v>156</v>
      </c>
      <c r="V1276" s="131" t="s">
        <v>142</v>
      </c>
      <c r="X1276" s="126" t="s">
        <v>121</v>
      </c>
      <c r="Y1276" s="126" t="s">
        <v>110</v>
      </c>
      <c r="Z1276" s="126">
        <v>3</v>
      </c>
      <c r="AA1276" s="126" t="s">
        <v>119</v>
      </c>
      <c r="AB1276" s="126" t="s">
        <v>123</v>
      </c>
      <c r="AC1276" s="126" t="s">
        <v>123</v>
      </c>
      <c r="AD1276" s="126"/>
      <c r="AE1276" s="126"/>
      <c r="AG1276" s="16">
        <f>AH1276-AI1276</f>
        <v>86</v>
      </c>
      <c r="AH1276" s="126">
        <v>169</v>
      </c>
      <c r="AI1276" s="126">
        <v>83</v>
      </c>
      <c r="AK1276" s="126">
        <v>14.5</v>
      </c>
      <c r="AL1276" s="126">
        <v>0</v>
      </c>
      <c r="AM1276" s="126">
        <v>0</v>
      </c>
      <c r="AN1276" s="126">
        <v>0</v>
      </c>
      <c r="AO1276" s="16">
        <f>IF(SUM(AL1276:AN1276)&gt;0,1,0)</f>
        <v>0</v>
      </c>
      <c r="AP1276" s="18">
        <f>SUM(AL1276:AN1276)</f>
        <v>0</v>
      </c>
      <c r="AR1276" s="16">
        <v>0.14900000000000002</v>
      </c>
      <c r="AS1276" s="16">
        <f>VLOOKUP(E1276,'[1]Feces weights'!$D$1:$H$459,5,FALSE)</f>
        <v>0.14900000000000002</v>
      </c>
      <c r="AT1276" s="16" t="str">
        <f>VLOOKUP(E1276,[2]Current!$A$1:$W$435,7,FALSE)</f>
        <v>TE</v>
      </c>
      <c r="AU1276" s="16" t="s">
        <v>1288</v>
      </c>
      <c r="AW1276" s="128">
        <f>IF(AX1276&gt;0,1,0)</f>
        <v>1</v>
      </c>
      <c r="AX1276" s="128">
        <f>SUM(BA1276,BM1276,CU1276)</f>
        <v>1</v>
      </c>
      <c r="AY1276" s="128">
        <f>SUM(BB1276,BN1276,CV1276)</f>
        <v>26.845637583892614</v>
      </c>
      <c r="AZ1276" s="128">
        <f>IF(BA1276&gt;0,1,0)</f>
        <v>1</v>
      </c>
      <c r="BA1276" s="128">
        <f>SUM(BC1276+BF1276+BI1276)</f>
        <v>1</v>
      </c>
      <c r="BB1276" s="128">
        <f>SUM(BE1276,BH1276,BK1276)</f>
        <v>26.845637583892614</v>
      </c>
      <c r="BC1276" s="130">
        <f>IF(BD1276&gt;0,1,0)</f>
        <v>0</v>
      </c>
      <c r="BD1276" s="128">
        <f>VLOOKUP($E1276,[2]Current!$A:$AC,26,FALSE)</f>
        <v>0</v>
      </c>
      <c r="BE1276" s="128">
        <f>BD1276/$AS1276</f>
        <v>0</v>
      </c>
      <c r="BF1276" s="130">
        <f>IF(BG1276&gt;0,1,0)</f>
        <v>0</v>
      </c>
      <c r="BG1276" s="137">
        <f>VLOOKUP($E1276,[2]Current!$A:$AC,27,FALSE)</f>
        <v>0</v>
      </c>
      <c r="BH1276" s="128">
        <f>BG1276/$AS1276</f>
        <v>0</v>
      </c>
      <c r="BI1276" s="130">
        <f>IF(BJ1276&gt;0,1,0)</f>
        <v>1</v>
      </c>
      <c r="BJ1276" s="128">
        <f>VLOOKUP($E1276,[2]Current!$A:$AC,28,FALSE)</f>
        <v>4</v>
      </c>
      <c r="BK1276" s="128">
        <f>BJ1276/$AS1276</f>
        <v>26.845637583892614</v>
      </c>
      <c r="BL1276" s="128">
        <f>IF(BM1276&gt;0,1,0)</f>
        <v>0</v>
      </c>
      <c r="BM1276" s="128">
        <f>SUM(BR1276,BU1276,BX1276,CA1276,CD1276)</f>
        <v>0</v>
      </c>
      <c r="BN1276" s="131">
        <f>SUM(BT1276,BW1276,BZ1276,CC1276,CF1276)</f>
        <v>0</v>
      </c>
      <c r="BO1276" s="128">
        <f>IF(BP1276&gt;0,1,0)</f>
        <v>0</v>
      </c>
      <c r="BP1276" s="128">
        <f>BM1276+CJ1276</f>
        <v>0</v>
      </c>
      <c r="BQ1276" s="128">
        <f>BN1276+CL1276</f>
        <v>0</v>
      </c>
      <c r="BR1276" s="130">
        <f>IF(BS1276&gt;0,1,0)</f>
        <v>0</v>
      </c>
      <c r="BS1276" s="128">
        <f>VLOOKUP($E1276,[2]Current!$A:$AC,12,FALSE)</f>
        <v>0</v>
      </c>
      <c r="BT1276" s="137">
        <f>BS1276/$AS1276</f>
        <v>0</v>
      </c>
      <c r="BU1276" s="130">
        <f>IF(BV1276&gt;0,1,0)</f>
        <v>0</v>
      </c>
      <c r="BV1276" s="128">
        <f>VLOOKUP($E1276,[2]Current!$A:$AC,13,FALSE)</f>
        <v>0</v>
      </c>
      <c r="BW1276" s="128">
        <f>BV1276/$AS1276</f>
        <v>0</v>
      </c>
      <c r="BX1276" s="130">
        <f>IF(BY1276&gt;0,1,0)</f>
        <v>0</v>
      </c>
      <c r="BY1276" s="128">
        <f>VLOOKUP($E1276,[2]Current!$A:$AC,14,FALSE)</f>
        <v>0</v>
      </c>
      <c r="BZ1276" s="128">
        <f>BY1276/$AS1276</f>
        <v>0</v>
      </c>
      <c r="CA1276" s="130">
        <f>IF(CB1276&gt;0,1,0)</f>
        <v>0</v>
      </c>
      <c r="CB1276" s="128">
        <f>VLOOKUP($E1276,[2]Current!$A:$AC,15,FALSE)</f>
        <v>0</v>
      </c>
      <c r="CC1276" s="128">
        <f>CB1276/$AS1276</f>
        <v>0</v>
      </c>
      <c r="CD1276" s="174">
        <f>IF(CE1276&gt;0,1,0)</f>
        <v>0</v>
      </c>
      <c r="CE1276" s="128">
        <f>VLOOKUP($E1276,[2]Current!$A:$AC,16,FALSE)</f>
        <v>0</v>
      </c>
      <c r="CF1276" s="128">
        <f>CE1276/$AS1276</f>
        <v>0</v>
      </c>
      <c r="CG1276" s="18"/>
      <c r="CH1276" s="18"/>
      <c r="CI1276" s="18"/>
      <c r="CJ1276" s="130">
        <f>IF(CK1276&gt;0,1,0)</f>
        <v>0</v>
      </c>
      <c r="CK1276" s="128">
        <f>VLOOKUP($E1276,[2]Current!$A:$AC,18,FALSE)</f>
        <v>0</v>
      </c>
      <c r="CL1276" s="128">
        <f>CK1276/$AS1276</f>
        <v>0</v>
      </c>
      <c r="CS1276" s="130">
        <f>IF(CU1276&gt;0,1,0)</f>
        <v>0</v>
      </c>
      <c r="CU1276" s="128">
        <f>VLOOKUP($E1276,[2]Current!$A:$AC,17,FALSE)</f>
        <v>0</v>
      </c>
      <c r="CV1276" s="128">
        <f>CU1276/$AS1276</f>
        <v>0</v>
      </c>
      <c r="CW1276" s="18"/>
      <c r="CX1276" s="18"/>
      <c r="CY1276" s="18"/>
      <c r="DF1276" s="16" t="e">
        <f>VLOOKUP(K1276,'[3]RNA Seq summary tables'!$V$3:$V$99,1,FALSE)</f>
        <v>#N/A</v>
      </c>
      <c r="DG1276" s="126" t="s">
        <v>116</v>
      </c>
      <c r="JR1276" s="18"/>
      <c r="JS1276" s="18"/>
      <c r="JT1276" s="18"/>
      <c r="JU1276" s="18"/>
      <c r="JV1276" s="18"/>
      <c r="JW1276" s="18"/>
      <c r="JX1276" s="18"/>
      <c r="JY1276" s="18"/>
      <c r="JZ1276" s="18"/>
      <c r="KA1276" s="18"/>
      <c r="KB1276" s="18"/>
    </row>
    <row r="1277" spans="2:288" ht="16" x14ac:dyDescent="0.2">
      <c r="B1277" s="16">
        <v>2018</v>
      </c>
      <c r="C1277" s="124">
        <v>43303</v>
      </c>
      <c r="D1277" t="s">
        <v>1038</v>
      </c>
      <c r="E1277" s="37" t="str">
        <f>CONCATENATE(T1277,"-",U1277,"-",C1277)</f>
        <v>BC1-H6-43303</v>
      </c>
      <c r="F1277" s="16" t="s">
        <v>227</v>
      </c>
      <c r="G1277" s="126" t="s">
        <v>107</v>
      </c>
      <c r="H1277" s="126" t="s">
        <v>1149</v>
      </c>
      <c r="J1277" s="126">
        <v>1425</v>
      </c>
      <c r="K1277" s="126">
        <v>2674</v>
      </c>
      <c r="O1277" s="15" t="s">
        <v>214</v>
      </c>
      <c r="Q1277" s="16">
        <f t="shared" si="6"/>
        <v>1</v>
      </c>
      <c r="R1277" s="16">
        <f t="shared" si="7"/>
        <v>11</v>
      </c>
      <c r="T1277" s="126" t="s">
        <v>159</v>
      </c>
      <c r="U1277" s="126" t="s">
        <v>141</v>
      </c>
      <c r="V1277" s="126" t="s">
        <v>142</v>
      </c>
      <c r="X1277" s="126" t="s">
        <v>121</v>
      </c>
      <c r="Y1277" s="126" t="s">
        <v>110</v>
      </c>
      <c r="Z1277" s="126">
        <v>3</v>
      </c>
      <c r="AA1277" s="126" t="s">
        <v>161</v>
      </c>
      <c r="AB1277" s="126" t="s">
        <v>123</v>
      </c>
      <c r="AC1277" s="126" t="s">
        <v>123</v>
      </c>
      <c r="AD1277" s="126"/>
      <c r="AE1277" s="126"/>
      <c r="AG1277" s="40">
        <f>AH1277-AI1277</f>
        <v>87</v>
      </c>
      <c r="AH1277" s="126">
        <v>167</v>
      </c>
      <c r="AI1277" s="126">
        <v>80</v>
      </c>
      <c r="AK1277" s="126">
        <v>16.5</v>
      </c>
      <c r="AL1277" s="126">
        <v>0</v>
      </c>
      <c r="AM1277" s="126">
        <v>0</v>
      </c>
      <c r="AN1277" s="126">
        <v>0</v>
      </c>
      <c r="AO1277" s="16">
        <f>IF(SUM(AL1277:AN1277)&gt;0,1,0)</f>
        <v>0</v>
      </c>
      <c r="AP1277" s="18">
        <f>SUM(AL1277:AN1277)</f>
        <v>0</v>
      </c>
      <c r="AR1277" s="16">
        <v>0.44400000000000017</v>
      </c>
      <c r="AS1277" s="16">
        <f>VLOOKUP(E1277,'[1]Feces weights'!$D$1:$H$459,5,FALSE)</f>
        <v>0.44400000000000017</v>
      </c>
      <c r="AT1277" s="16" t="str">
        <f>VLOOKUP(E1277,[2]Current!$A$1:$W$435,7,FALSE)</f>
        <v>IS</v>
      </c>
      <c r="AU1277" s="16" t="s">
        <v>1288</v>
      </c>
      <c r="AW1277" s="128">
        <f>IF(AX1277&gt;0,1,0)</f>
        <v>1</v>
      </c>
      <c r="AX1277" s="128">
        <f>SUM(BA1277,BM1277,CU1277)</f>
        <v>2</v>
      </c>
      <c r="AY1277" s="128">
        <f>SUM(BB1277,BN1277,CV1277)</f>
        <v>9.0090090090090058</v>
      </c>
      <c r="AZ1277" s="128">
        <f>IF(BA1277&gt;0,1,0)</f>
        <v>1</v>
      </c>
      <c r="BA1277" s="128">
        <f>SUM(BC1277+BF1277+BI1277)</f>
        <v>2</v>
      </c>
      <c r="BB1277" s="128">
        <f>SUM(BE1277,BH1277,BK1277)</f>
        <v>9.0090090090090058</v>
      </c>
      <c r="BC1277" s="130">
        <f>IF(BD1277&gt;0,1,0)</f>
        <v>0</v>
      </c>
      <c r="BD1277" s="128">
        <f>VLOOKUP($E1277,[2]Current!$A:$AC,26,FALSE)</f>
        <v>0</v>
      </c>
      <c r="BE1277" s="128">
        <f>BD1277/$AS1277</f>
        <v>0</v>
      </c>
      <c r="BF1277" s="130">
        <f>IF(BG1277&gt;0,1,0)</f>
        <v>1</v>
      </c>
      <c r="BG1277" s="137">
        <f>VLOOKUP($E1277,[2]Current!$A:$AC,27,FALSE)</f>
        <v>2</v>
      </c>
      <c r="BH1277" s="128">
        <f>BG1277/$AS1277</f>
        <v>4.5045045045045029</v>
      </c>
      <c r="BI1277" s="130">
        <f>IF(BJ1277&gt;0,1,0)</f>
        <v>1</v>
      </c>
      <c r="BJ1277" s="128">
        <f>VLOOKUP($E1277,[2]Current!$A:$AC,28,FALSE)</f>
        <v>2</v>
      </c>
      <c r="BK1277" s="128">
        <f>BJ1277/$AS1277</f>
        <v>4.5045045045045029</v>
      </c>
      <c r="BL1277" s="128">
        <f>IF(BM1277&gt;0,1,0)</f>
        <v>0</v>
      </c>
      <c r="BM1277" s="128">
        <f>SUM(BR1277,BU1277,BX1277,CA1277,CD1277)</f>
        <v>0</v>
      </c>
      <c r="BN1277" s="131">
        <f>SUM(BT1277,BW1277,BZ1277,CC1277,CF1277)</f>
        <v>0</v>
      </c>
      <c r="BO1277" s="128">
        <f>IF(BP1277&gt;0,1,0)</f>
        <v>0</v>
      </c>
      <c r="BP1277" s="128">
        <f>BM1277+CJ1277</f>
        <v>0</v>
      </c>
      <c r="BQ1277" s="128">
        <f>BN1277+CL1277</f>
        <v>0</v>
      </c>
      <c r="BR1277" s="130">
        <f>IF(BS1277&gt;0,1,0)</f>
        <v>0</v>
      </c>
      <c r="BS1277" s="128">
        <f>VLOOKUP($E1277,[2]Current!$A:$AC,12,FALSE)</f>
        <v>0</v>
      </c>
      <c r="BT1277" s="137">
        <f>BS1277/$AS1277</f>
        <v>0</v>
      </c>
      <c r="BU1277" s="130">
        <f>IF(BV1277&gt;0,1,0)</f>
        <v>0</v>
      </c>
      <c r="BV1277" s="128">
        <f>VLOOKUP($E1277,[2]Current!$A:$AC,13,FALSE)</f>
        <v>0</v>
      </c>
      <c r="BW1277" s="128">
        <f>BV1277/$AS1277</f>
        <v>0</v>
      </c>
      <c r="BX1277" s="130">
        <f>IF(BY1277&gt;0,1,0)</f>
        <v>0</v>
      </c>
      <c r="BY1277" s="128">
        <f>VLOOKUP($E1277,[2]Current!$A:$AC,14,FALSE)</f>
        <v>0</v>
      </c>
      <c r="BZ1277" s="128">
        <f>BY1277/$AS1277</f>
        <v>0</v>
      </c>
      <c r="CA1277" s="130">
        <f>IF(CB1277&gt;0,1,0)</f>
        <v>0</v>
      </c>
      <c r="CB1277" s="128">
        <f>VLOOKUP($E1277,[2]Current!$A:$AC,15,FALSE)</f>
        <v>0</v>
      </c>
      <c r="CC1277" s="128">
        <f>CB1277/$AS1277</f>
        <v>0</v>
      </c>
      <c r="CD1277" s="174">
        <f>IF(CE1277&gt;0,1,0)</f>
        <v>0</v>
      </c>
      <c r="CE1277" s="128">
        <f>VLOOKUP($E1277,[2]Current!$A:$AC,16,FALSE)</f>
        <v>0</v>
      </c>
      <c r="CF1277" s="128">
        <f>CE1277/$AS1277</f>
        <v>0</v>
      </c>
      <c r="CG1277" s="18"/>
      <c r="CH1277" s="18"/>
      <c r="CI1277" s="18"/>
      <c r="CJ1277" s="130">
        <f>IF(CK1277&gt;0,1,0)</f>
        <v>0</v>
      </c>
      <c r="CK1277" s="128">
        <f>VLOOKUP($E1277,[2]Current!$A:$AC,18,FALSE)</f>
        <v>0</v>
      </c>
      <c r="CL1277" s="128">
        <f>CK1277/$AS1277</f>
        <v>0</v>
      </c>
      <c r="CS1277" s="130">
        <f>IF(CU1277&gt;0,1,0)</f>
        <v>0</v>
      </c>
      <c r="CU1277" s="128">
        <f>VLOOKUP($E1277,[2]Current!$A:$AC,17,FALSE)</f>
        <v>0</v>
      </c>
      <c r="CV1277" s="128">
        <f>CU1277/$AS1277</f>
        <v>0</v>
      </c>
      <c r="CW1277" s="18"/>
      <c r="CX1277" s="18"/>
      <c r="CY1277" s="18"/>
      <c r="DF1277" s="16" t="e">
        <f>VLOOKUP(K1277,'[3]RNA Seq summary tables'!$V$3:$V$99,1,FALSE)</f>
        <v>#N/A</v>
      </c>
      <c r="DG1277" s="126" t="s">
        <v>116</v>
      </c>
      <c r="JR1277" s="18"/>
      <c r="JS1277" s="18"/>
      <c r="JT1277" s="18"/>
      <c r="JU1277" s="18"/>
      <c r="JV1277" s="18"/>
      <c r="JW1277" s="18"/>
      <c r="JX1277" s="18"/>
      <c r="JY1277" s="18"/>
      <c r="JZ1277" s="18"/>
      <c r="KA1277" s="18"/>
      <c r="KB1277" s="18"/>
    </row>
    <row r="1278" spans="2:288" s="18" customFormat="1" ht="16" x14ac:dyDescent="0.2">
      <c r="B1278" s="16">
        <v>2018</v>
      </c>
      <c r="C1278" s="124">
        <v>43239</v>
      </c>
      <c r="D1278" t="s">
        <v>718</v>
      </c>
      <c r="E1278" s="37" t="str">
        <f>CONCATENATE(T1278,"-",U1278,"-",C1278)</f>
        <v>BC2-E4-43239</v>
      </c>
      <c r="F1278" s="16" t="s">
        <v>227</v>
      </c>
      <c r="G1278" s="126" t="s">
        <v>107</v>
      </c>
      <c r="H1278" s="126"/>
      <c r="I1278" s="16"/>
      <c r="J1278" s="126">
        <v>1427</v>
      </c>
      <c r="K1278" s="126">
        <v>2354</v>
      </c>
      <c r="L1278" s="16"/>
      <c r="M1278" s="21"/>
      <c r="N1278" s="21"/>
      <c r="O1278" s="15" t="s">
        <v>214</v>
      </c>
      <c r="P1278" s="16"/>
      <c r="Q1278" s="16">
        <f t="shared" si="6"/>
        <v>0</v>
      </c>
      <c r="R1278" s="16" t="str">
        <f t="shared" si="7"/>
        <v/>
      </c>
      <c r="S1278" s="16"/>
      <c r="T1278" s="126" t="s">
        <v>154</v>
      </c>
      <c r="U1278" s="126" t="s">
        <v>206</v>
      </c>
      <c r="V1278" s="126" t="s">
        <v>114</v>
      </c>
      <c r="W1278" s="16"/>
      <c r="X1278" s="126" t="s">
        <v>121</v>
      </c>
      <c r="Y1278" s="126" t="s">
        <v>110</v>
      </c>
      <c r="Z1278" s="126">
        <v>3</v>
      </c>
      <c r="AA1278" s="126" t="s">
        <v>161</v>
      </c>
      <c r="AB1278" s="126" t="s">
        <v>116</v>
      </c>
      <c r="AC1278" s="126" t="s">
        <v>123</v>
      </c>
      <c r="AD1278" s="126"/>
      <c r="AE1278" s="126"/>
      <c r="AF1278" s="16"/>
      <c r="AG1278" s="16">
        <f>AH1278-AI1278</f>
        <v>87</v>
      </c>
      <c r="AH1278" s="126">
        <v>162</v>
      </c>
      <c r="AI1278" s="126">
        <v>75</v>
      </c>
      <c r="AJ1278" s="16"/>
      <c r="AK1278" s="126">
        <v>22</v>
      </c>
      <c r="AL1278" s="126">
        <v>0</v>
      </c>
      <c r="AM1278" s="126">
        <v>1</v>
      </c>
      <c r="AN1278" s="126">
        <v>0</v>
      </c>
      <c r="AO1278" s="16">
        <f>IF(SUM(AL1278:AN1278)&gt;0,1,0)</f>
        <v>1</v>
      </c>
      <c r="AP1278" s="18">
        <f>SUM(AL1278:AN1278)</f>
        <v>1</v>
      </c>
      <c r="AQ1278" s="16"/>
      <c r="AR1278" s="16">
        <v>0.76700000000000013</v>
      </c>
      <c r="AS1278" s="16">
        <f>VLOOKUP(E1278,'[1]Feces weights'!$D$1:$H$459,5,FALSE)</f>
        <v>0.76700000000000013</v>
      </c>
      <c r="AT1278" s="16" t="str">
        <f>VLOOKUP(E1278,[9]Current!$A:$T,7,FALSE)</f>
        <v>JB</v>
      </c>
      <c r="AU1278" s="18" t="s">
        <v>1290</v>
      </c>
      <c r="AV1278" s="16"/>
      <c r="AW1278" s="177">
        <f>IF(AY1278&gt;0,1,0)</f>
        <v>1</v>
      </c>
      <c r="AX1278" s="177">
        <f>SUM(BA1278,BM1278,CU1278)</f>
        <v>1</v>
      </c>
      <c r="AY1278" s="177">
        <f>SUM(BB1278,BN1278,CV1278)</f>
        <v>9.1264667535853956</v>
      </c>
      <c r="AZ1278" s="177">
        <f>IF(BB1278&gt;0,1,0)</f>
        <v>1</v>
      </c>
      <c r="BA1278" s="177">
        <f>SUM(BC1278+BF1278+BI1278)</f>
        <v>1</v>
      </c>
      <c r="BB1278" s="177">
        <f>SUM(BE1278,BH1278,BK1278)</f>
        <v>9.1264667535853956</v>
      </c>
      <c r="BC1278" s="178">
        <f>IF(BD1278&gt;0,1,0)</f>
        <v>0</v>
      </c>
      <c r="BD1278" s="177">
        <f>VLOOKUP($E1278,[9]Current!$1:$1048576,8,FALSE)</f>
        <v>0</v>
      </c>
      <c r="BE1278" s="177">
        <f>BD1278/$AS1278</f>
        <v>0</v>
      </c>
      <c r="BF1278" s="178">
        <f>IF(BG1278&gt;0,1,0)</f>
        <v>1</v>
      </c>
      <c r="BG1278" s="179">
        <f>VLOOKUP($E1278,[9]Current!$1:$1048576,9,FALSE)</f>
        <v>7</v>
      </c>
      <c r="BH1278" s="177">
        <f>BG1278/$AS1278</f>
        <v>9.1264667535853956</v>
      </c>
      <c r="BI1278" s="178">
        <f>IF(BJ1278&gt;0,1,0)</f>
        <v>0</v>
      </c>
      <c r="BJ1278" s="177">
        <f>VLOOKUP($E1278,[9]Current!$1:$1048576,10,FALSE)</f>
        <v>0</v>
      </c>
      <c r="BK1278" s="177">
        <f>BJ1278/$AS1278</f>
        <v>0</v>
      </c>
      <c r="BL1278" s="177">
        <f>IF(BM1278&gt;0,1,0)</f>
        <v>0</v>
      </c>
      <c r="BM1278" s="177">
        <f>SUM(BR1278,BU1278,BX1278,CA1278,CD1278)</f>
        <v>0</v>
      </c>
      <c r="BN1278" s="181">
        <f>SUM(BT1278,BW1278,BZ1278,CC1278,CF1278)</f>
        <v>0</v>
      </c>
      <c r="BO1278" s="177">
        <f>IF(BP1278&gt;0,1,0)</f>
        <v>0</v>
      </c>
      <c r="BP1278" s="177">
        <f>BM1278+CJ1278</f>
        <v>0</v>
      </c>
      <c r="BQ1278" s="177">
        <f>BN1278+CL1278</f>
        <v>0</v>
      </c>
      <c r="BR1278" s="178">
        <f>IF(BS1278&gt;0,1,0)</f>
        <v>0</v>
      </c>
      <c r="BS1278" s="177">
        <f>VLOOKUP($E1278,[9]Current!$1:$1048576,12,FALSE)</f>
        <v>0</v>
      </c>
      <c r="BT1278" s="179">
        <f>BS1278/$AS1278</f>
        <v>0</v>
      </c>
      <c r="BU1278" s="178">
        <f>IF(BV1278&gt;0,1,0)</f>
        <v>0</v>
      </c>
      <c r="BV1278" s="177">
        <f>VLOOKUP($E1278,[9]Current!$1:$1048576,13,FALSE)</f>
        <v>0</v>
      </c>
      <c r="BW1278" s="177">
        <f>BV1278/$AS1278</f>
        <v>0</v>
      </c>
      <c r="BX1278" s="178">
        <f>IF(BY1278&gt;0,1,0)</f>
        <v>0</v>
      </c>
      <c r="BY1278" s="177">
        <f>VLOOKUP($E1278,[9]Current!$1:$1048576,14,FALSE)</f>
        <v>0</v>
      </c>
      <c r="BZ1278" s="177">
        <f>BY1278/$AS1278</f>
        <v>0</v>
      </c>
      <c r="CA1278" s="178">
        <f>IF(CB1278&gt;0,1,0)</f>
        <v>0</v>
      </c>
      <c r="CB1278" s="177">
        <f>VLOOKUP($E1278,[9]Current!$1:$1048576,15,FALSE)</f>
        <v>0</v>
      </c>
      <c r="CC1278" s="177">
        <f>CB1278/$AS1278</f>
        <v>0</v>
      </c>
      <c r="CD1278" s="180">
        <f>IF(CE1278&gt;0,1,0)</f>
        <v>0</v>
      </c>
      <c r="CE1278" s="177">
        <f>VLOOKUP($E1278,[9]Current!$1:$1048576,16,FALSE)</f>
        <v>0</v>
      </c>
      <c r="CF1278" s="177">
        <f>CE1278/$AS1278</f>
        <v>0</v>
      </c>
      <c r="CJ1278" s="178">
        <f>IF(CK1278&gt;0,1,0)</f>
        <v>0</v>
      </c>
      <c r="CK1278" s="177">
        <f>VLOOKUP($E1278,[9]Current!$1:$1048576,18,FALSE)</f>
        <v>0</v>
      </c>
      <c r="CL1278" s="177">
        <f>CK1278/$AS1278</f>
        <v>0</v>
      </c>
      <c r="CM1278" s="16"/>
      <c r="CN1278" s="16"/>
      <c r="CO1278" s="16"/>
      <c r="CP1278" s="16"/>
      <c r="CQ1278" s="16"/>
      <c r="CR1278" s="16"/>
      <c r="CS1278" s="178">
        <f>IF(CU1278&gt;0,1,0)</f>
        <v>0</v>
      </c>
      <c r="CT1278" s="177"/>
      <c r="CU1278" s="177">
        <f>VLOOKUP($E1278,[9]Current!$1:$1048576,17,FALSE)</f>
        <v>0</v>
      </c>
      <c r="CV1278" s="177">
        <f>CU1278/$AS1278</f>
        <v>0</v>
      </c>
      <c r="CW1278" s="16"/>
      <c r="CX1278" s="16"/>
      <c r="CY1278" s="16"/>
      <c r="CZ1278" s="16"/>
      <c r="DA1278" s="16"/>
      <c r="DB1278" s="16"/>
      <c r="DC1278" s="16"/>
      <c r="DD1278" s="16"/>
      <c r="DE1278" s="16"/>
      <c r="DF1278" s="16" t="e">
        <f>VLOOKUP(K1278,'[3]RNA Seq summary tables'!$V$3:$V$99,1,FALSE)</f>
        <v>#N/A</v>
      </c>
      <c r="DG1278" s="126" t="s">
        <v>116</v>
      </c>
      <c r="DH1278" s="16"/>
      <c r="DI1278" s="16"/>
      <c r="DJ1278" s="16"/>
      <c r="DK1278" s="16"/>
      <c r="DL1278" s="16"/>
      <c r="DM1278" s="16"/>
      <c r="DN1278" s="16"/>
      <c r="DO1278" s="16"/>
      <c r="DP1278" s="16"/>
      <c r="DQ1278" s="16"/>
      <c r="DR1278" s="16"/>
      <c r="DS1278" s="16"/>
      <c r="JO1278" s="16"/>
      <c r="JP1278" s="16"/>
      <c r="JQ1278" s="16"/>
      <c r="JR1278" s="16"/>
      <c r="JS1278" s="16"/>
      <c r="JT1278" s="16"/>
      <c r="JU1278" s="16"/>
      <c r="JV1278" s="16"/>
      <c r="JW1278" s="16"/>
      <c r="JX1278" s="16"/>
      <c r="JY1278" s="16"/>
      <c r="JZ1278" s="16"/>
      <c r="KA1278" s="16"/>
      <c r="KB1278" s="16"/>
    </row>
    <row r="1279" spans="2:288" s="18" customFormat="1" ht="16" x14ac:dyDescent="0.2">
      <c r="B1279" s="16">
        <v>2018</v>
      </c>
      <c r="C1279" s="124">
        <v>43239</v>
      </c>
      <c r="D1279" t="s">
        <v>715</v>
      </c>
      <c r="E1279" s="142" t="str">
        <f>CONCATENATE(T1279,"-",U1279,"-",C1279)</f>
        <v>BC2-H6-43239</v>
      </c>
      <c r="F1279" s="16" t="s">
        <v>227</v>
      </c>
      <c r="G1279" s="126" t="s">
        <v>107</v>
      </c>
      <c r="H1279" s="126" t="s">
        <v>1089</v>
      </c>
      <c r="I1279" s="16"/>
      <c r="J1279" s="126">
        <v>1429</v>
      </c>
      <c r="K1279" s="126">
        <v>2356</v>
      </c>
      <c r="L1279" s="16"/>
      <c r="M1279" s="21"/>
      <c r="N1279" s="21"/>
      <c r="O1279" s="15" t="s">
        <v>214</v>
      </c>
      <c r="P1279" s="16"/>
      <c r="Q1279" s="16">
        <f t="shared" si="6"/>
        <v>0</v>
      </c>
      <c r="R1279" s="16" t="str">
        <f t="shared" si="7"/>
        <v/>
      </c>
      <c r="S1279" s="16"/>
      <c r="T1279" s="126" t="s">
        <v>154</v>
      </c>
      <c r="U1279" s="126" t="s">
        <v>141</v>
      </c>
      <c r="V1279" s="133" t="s">
        <v>142</v>
      </c>
      <c r="W1279" s="16"/>
      <c r="X1279" s="126" t="s">
        <v>121</v>
      </c>
      <c r="Y1279" s="126" t="s">
        <v>110</v>
      </c>
      <c r="Z1279" s="126">
        <v>3</v>
      </c>
      <c r="AA1279" s="126" t="s">
        <v>161</v>
      </c>
      <c r="AB1279" s="126" t="s">
        <v>123</v>
      </c>
      <c r="AC1279" s="126" t="s">
        <v>123</v>
      </c>
      <c r="AD1279" s="126"/>
      <c r="AE1279" s="126"/>
      <c r="AF1279" s="16"/>
      <c r="AG1279" s="16">
        <f>AH1279-AI1279</f>
        <v>87</v>
      </c>
      <c r="AH1279" s="126">
        <v>174</v>
      </c>
      <c r="AI1279" s="126">
        <v>87</v>
      </c>
      <c r="AJ1279" s="16"/>
      <c r="AK1279" s="126">
        <v>22</v>
      </c>
      <c r="AL1279" s="126">
        <v>0</v>
      </c>
      <c r="AM1279" s="126">
        <v>0</v>
      </c>
      <c r="AN1279" s="126">
        <v>0</v>
      </c>
      <c r="AO1279" s="16">
        <f>IF(SUM(AL1279:AN1279)&gt;0,1,0)</f>
        <v>0</v>
      </c>
      <c r="AP1279" s="18">
        <f>SUM(AL1279:AN1279)</f>
        <v>0</v>
      </c>
      <c r="AQ1279" s="16"/>
      <c r="AR1279" s="16">
        <v>0.4720000000000002</v>
      </c>
      <c r="AS1279" s="16">
        <f>VLOOKUP(E1279,'[1]Feces weights'!$D$1:$H$459,5,FALSE)</f>
        <v>0.4720000000000002</v>
      </c>
      <c r="AT1279" s="16" t="e">
        <f>VLOOKUP(E1279,[2]Current!$A$1:$W$435,7,FALSE)</f>
        <v>#N/A</v>
      </c>
      <c r="AU1279" s="16">
        <v>0</v>
      </c>
      <c r="AV1279" s="16"/>
      <c r="AW1279" s="16"/>
      <c r="AX1279" s="16"/>
      <c r="AY1279" s="16"/>
      <c r="AZ1279" s="16"/>
      <c r="BA1279" s="16"/>
      <c r="BB1279" s="16"/>
      <c r="BC1279" s="16"/>
      <c r="BD1279" s="16"/>
      <c r="BE1279" s="16"/>
      <c r="BF1279" s="16"/>
      <c r="BG1279" s="77"/>
      <c r="BH1279" s="16"/>
      <c r="BI1279" s="16"/>
      <c r="BJ1279" s="16"/>
      <c r="BK1279" s="16"/>
      <c r="BL1279" s="16"/>
      <c r="BM1279" s="16"/>
      <c r="BN1279" s="126"/>
      <c r="BO1279" s="16"/>
      <c r="BP1279" s="16"/>
      <c r="BQ1279" s="16"/>
      <c r="BR1279" s="16"/>
      <c r="BS1279" s="16"/>
      <c r="BT1279" s="78"/>
      <c r="BU1279" s="16"/>
      <c r="BW1279" s="25"/>
      <c r="BX1279" s="16"/>
      <c r="BZ1279" s="25"/>
      <c r="CA1279" s="16"/>
      <c r="CC1279" s="25"/>
      <c r="CD1279" s="77"/>
      <c r="CF1279" s="25"/>
      <c r="CJ1279" s="16"/>
      <c r="CL1279" s="25"/>
      <c r="CM1279" s="16"/>
      <c r="CN1279" s="16"/>
      <c r="CO1279" s="16"/>
      <c r="CP1279" s="16"/>
      <c r="CQ1279" s="16"/>
      <c r="CR1279" s="16"/>
      <c r="CS1279" s="16"/>
      <c r="CT1279" s="16"/>
      <c r="CU1279" s="16"/>
      <c r="CV1279" s="16"/>
      <c r="CW1279" s="16"/>
      <c r="CX1279" s="16"/>
      <c r="CY1279" s="16"/>
      <c r="CZ1279" s="16"/>
      <c r="DA1279" s="16"/>
      <c r="DB1279" s="16"/>
      <c r="DC1279" s="16"/>
      <c r="DD1279" s="16"/>
      <c r="DE1279" s="16"/>
      <c r="DF1279" s="16" t="e">
        <f>VLOOKUP(K1279,'[3]RNA Seq summary tables'!$V$3:$V$99,1,FALSE)</f>
        <v>#N/A</v>
      </c>
      <c r="DG1279" s="126" t="s">
        <v>116</v>
      </c>
      <c r="DH1279" s="16"/>
      <c r="DI1279" s="16"/>
      <c r="DJ1279" s="16"/>
      <c r="DK1279" s="16"/>
      <c r="DL1279" s="16"/>
      <c r="DM1279" s="16"/>
      <c r="DN1279" s="16"/>
      <c r="DO1279" s="16"/>
      <c r="DP1279" s="16"/>
      <c r="DQ1279" s="16"/>
      <c r="DR1279" s="16"/>
      <c r="DS1279" s="16"/>
      <c r="JO1279" s="16"/>
      <c r="JP1279" s="16"/>
      <c r="JQ1279" s="16"/>
      <c r="JR1279" s="16"/>
      <c r="JS1279" s="16"/>
      <c r="JT1279" s="16"/>
      <c r="JU1279" s="16"/>
      <c r="JV1279" s="16"/>
      <c r="JW1279" s="16"/>
      <c r="JX1279" s="16"/>
      <c r="JY1279" s="16"/>
      <c r="JZ1279" s="16"/>
      <c r="KA1279" s="16"/>
      <c r="KB1279" s="16"/>
    </row>
    <row r="1280" spans="2:288" ht="16" x14ac:dyDescent="0.2">
      <c r="B1280" s="16">
        <v>2018</v>
      </c>
      <c r="C1280" s="124">
        <v>43240</v>
      </c>
      <c r="D1280" t="s">
        <v>721</v>
      </c>
      <c r="E1280" s="142" t="str">
        <f>CONCATENATE(T1280,"-",U1280,"-",C1280)</f>
        <v>BC1-H7-43240</v>
      </c>
      <c r="F1280" s="16" t="s">
        <v>227</v>
      </c>
      <c r="G1280" s="126" t="s">
        <v>107</v>
      </c>
      <c r="H1280" s="126"/>
      <c r="J1280" s="127">
        <v>1431</v>
      </c>
      <c r="K1280" s="126">
        <v>2358</v>
      </c>
      <c r="O1280" s="15" t="s">
        <v>214</v>
      </c>
      <c r="Q1280" s="16">
        <f t="shared" si="6"/>
        <v>0</v>
      </c>
      <c r="R1280" s="16" t="str">
        <f t="shared" si="7"/>
        <v/>
      </c>
      <c r="T1280" s="126" t="s">
        <v>159</v>
      </c>
      <c r="U1280" s="126" t="s">
        <v>202</v>
      </c>
      <c r="V1280" s="131" t="s">
        <v>114</v>
      </c>
      <c r="X1280" s="126" t="s">
        <v>115</v>
      </c>
      <c r="Y1280" s="126" t="s">
        <v>122</v>
      </c>
      <c r="Z1280" s="126">
        <v>2.9</v>
      </c>
      <c r="AA1280" s="126"/>
      <c r="AB1280" s="126"/>
      <c r="AC1280" s="126"/>
      <c r="AD1280" s="126"/>
      <c r="AE1280" s="126" t="s">
        <v>123</v>
      </c>
      <c r="AG1280" s="16">
        <f>AH1280-AI1280</f>
        <v>83</v>
      </c>
      <c r="AH1280" s="126">
        <v>169</v>
      </c>
      <c r="AI1280" s="126">
        <v>86</v>
      </c>
      <c r="AK1280" s="126">
        <v>20</v>
      </c>
      <c r="AL1280" s="126">
        <v>0</v>
      </c>
      <c r="AM1280" s="126">
        <v>1</v>
      </c>
      <c r="AN1280" s="126">
        <v>0</v>
      </c>
      <c r="AO1280" s="16">
        <f>IF(SUM(AL1280:AN1280)&gt;0,1,0)</f>
        <v>1</v>
      </c>
      <c r="AP1280" s="18">
        <f>SUM(AL1280:AN1280)</f>
        <v>1</v>
      </c>
      <c r="AR1280" s="16">
        <v>0.20600000000000018</v>
      </c>
      <c r="AS1280" s="16">
        <f>VLOOKUP(E1280,'[1]Feces weights'!$D$1:$H$459,5,FALSE)</f>
        <v>0.20600000000000018</v>
      </c>
      <c r="AT1280" s="16" t="e">
        <f>VLOOKUP(E1280,[2]Current!$A$1:$W$435,7,FALSE)</f>
        <v>#N/A</v>
      </c>
      <c r="AU1280" s="16">
        <v>0</v>
      </c>
      <c r="BG1280" s="77"/>
      <c r="BN1280" s="126"/>
      <c r="BT1280" s="78"/>
      <c r="BV1280" s="18"/>
      <c r="BW1280" s="25"/>
      <c r="BY1280" s="18"/>
      <c r="BZ1280" s="25"/>
      <c r="CB1280" s="18"/>
      <c r="CC1280" s="25"/>
      <c r="CD1280" s="77"/>
      <c r="CE1280" s="18"/>
      <c r="CF1280" s="25"/>
      <c r="CG1280" s="18"/>
      <c r="CH1280" s="18"/>
      <c r="CI1280" s="18"/>
      <c r="CK1280" s="18"/>
      <c r="CL1280" s="25"/>
      <c r="DF1280" s="16" t="e">
        <f>VLOOKUP(K1280,'[3]RNA Seq summary tables'!$V$3:$V$99,1,FALSE)</f>
        <v>#N/A</v>
      </c>
      <c r="DG1280" s="126" t="s">
        <v>116</v>
      </c>
    </row>
    <row r="1281" spans="2:288" ht="16" x14ac:dyDescent="0.2">
      <c r="B1281" s="16">
        <v>2018</v>
      </c>
      <c r="C1281" s="124">
        <v>43258</v>
      </c>
      <c r="D1281" t="s">
        <v>773</v>
      </c>
      <c r="E1281" s="37" t="str">
        <f>CONCATENATE(T1281,"-",U1281,"-",C1281)</f>
        <v>BC1-F8-43258</v>
      </c>
      <c r="F1281" s="16" t="s">
        <v>227</v>
      </c>
      <c r="G1281" s="126" t="s">
        <v>107</v>
      </c>
      <c r="H1281" s="126"/>
      <c r="J1281" s="127">
        <v>1431</v>
      </c>
      <c r="K1281" s="126">
        <v>2414</v>
      </c>
      <c r="O1281" s="15" t="s">
        <v>214</v>
      </c>
      <c r="Q1281" s="16">
        <f t="shared" si="6"/>
        <v>1</v>
      </c>
      <c r="R1281" s="16">
        <f t="shared" si="7"/>
        <v>18</v>
      </c>
      <c r="T1281" s="126" t="s">
        <v>159</v>
      </c>
      <c r="U1281" s="126" t="s">
        <v>138</v>
      </c>
      <c r="V1281" s="131" t="s">
        <v>142</v>
      </c>
      <c r="X1281" s="126" t="s">
        <v>115</v>
      </c>
      <c r="Y1281" s="126" t="s">
        <v>110</v>
      </c>
      <c r="Z1281" s="126">
        <v>3</v>
      </c>
      <c r="AA1281" s="126"/>
      <c r="AB1281" s="126"/>
      <c r="AC1281" s="126"/>
      <c r="AD1281" s="126"/>
      <c r="AE1281" s="126" t="s">
        <v>116</v>
      </c>
      <c r="AG1281" s="16">
        <f>AH1281-AI1281</f>
        <v>93</v>
      </c>
      <c r="AH1281" s="126">
        <v>173</v>
      </c>
      <c r="AI1281" s="126">
        <v>80</v>
      </c>
      <c r="AK1281" s="126">
        <v>20.5</v>
      </c>
      <c r="AL1281" s="126">
        <v>0</v>
      </c>
      <c r="AM1281" s="126">
        <v>1</v>
      </c>
      <c r="AN1281" s="126">
        <v>0</v>
      </c>
      <c r="AO1281" s="16">
        <f>IF(SUM(AL1281:AN1281)&gt;0,1,0)</f>
        <v>1</v>
      </c>
      <c r="AP1281" s="18">
        <f>SUM(AL1281:AN1281)</f>
        <v>1</v>
      </c>
      <c r="AR1281" s="16">
        <v>1.6000000000000014E-2</v>
      </c>
      <c r="AS1281" s="16">
        <f>VLOOKUP(E1281,'[1]Feces weights'!$D$1:$H$459,5,FALSE)</f>
        <v>1.6000000000000014E-2</v>
      </c>
      <c r="AT1281" s="16" t="str">
        <f>VLOOKUP(E1281,[2]Current!$A$1:$W$435,7,FALSE)</f>
        <v>IS</v>
      </c>
      <c r="AU1281" s="16" t="s">
        <v>1288</v>
      </c>
      <c r="AW1281" s="128">
        <f>IF(AX1281&gt;0,1,0)</f>
        <v>1</v>
      </c>
      <c r="AX1281" s="128">
        <f>SUM(BA1281,BM1281,CU1281)</f>
        <v>1</v>
      </c>
      <c r="AY1281" s="128">
        <f>SUM(BB1281,BN1281,CV1281)</f>
        <v>7499.9999999999936</v>
      </c>
      <c r="AZ1281" s="128">
        <f>IF(BA1281&gt;0,1,0)</f>
        <v>1</v>
      </c>
      <c r="BA1281" s="128">
        <f>SUM(BC1281+BF1281+BI1281)</f>
        <v>1</v>
      </c>
      <c r="BB1281" s="128">
        <f>SUM(BE1281,BH1281,BK1281)</f>
        <v>7499.9999999999936</v>
      </c>
      <c r="BC1281" s="130">
        <f>IF(BD1281&gt;0,1,0)</f>
        <v>0</v>
      </c>
      <c r="BD1281" s="128">
        <f>VLOOKUP($E1281,[2]Current!$A:$AC,26,FALSE)</f>
        <v>0</v>
      </c>
      <c r="BE1281" s="128">
        <f>BD1281/$AS1281</f>
        <v>0</v>
      </c>
      <c r="BF1281" s="130">
        <f>IF(BG1281&gt;0,1,0)</f>
        <v>1</v>
      </c>
      <c r="BG1281" s="137">
        <f>VLOOKUP($E1281,[2]Current!$A:$AC,27,FALSE)</f>
        <v>120</v>
      </c>
      <c r="BH1281" s="128">
        <f>BG1281/$AS1281</f>
        <v>7499.9999999999936</v>
      </c>
      <c r="BI1281" s="130">
        <f>IF(BJ1281&gt;0,1,0)</f>
        <v>0</v>
      </c>
      <c r="BJ1281" s="128">
        <f>VLOOKUP($E1281,[2]Current!$A:$AC,28,FALSE)</f>
        <v>0</v>
      </c>
      <c r="BK1281" s="128">
        <f>BJ1281/$AS1281</f>
        <v>0</v>
      </c>
      <c r="BL1281" s="128">
        <f>IF(BM1281&gt;0,1,0)</f>
        <v>0</v>
      </c>
      <c r="BM1281" s="128">
        <f>SUM(BR1281,BU1281,BX1281,CA1281,CD1281)</f>
        <v>0</v>
      </c>
      <c r="BN1281" s="131">
        <f>SUM(BT1281,BW1281,BZ1281,CC1281,CF1281)</f>
        <v>0</v>
      </c>
      <c r="BO1281" s="128">
        <f>IF(BP1281&gt;0,1,0)</f>
        <v>0</v>
      </c>
      <c r="BP1281" s="128">
        <f>BM1281+CJ1281</f>
        <v>0</v>
      </c>
      <c r="BQ1281" s="128">
        <f>BN1281+CL1281</f>
        <v>0</v>
      </c>
      <c r="BR1281" s="130">
        <f>IF(BS1281&gt;0,1,0)</f>
        <v>0</v>
      </c>
      <c r="BS1281" s="128">
        <f>VLOOKUP($E1281,[2]Current!$A:$AC,12,FALSE)</f>
        <v>0</v>
      </c>
      <c r="BT1281" s="137">
        <f>BS1281/$AS1281</f>
        <v>0</v>
      </c>
      <c r="BU1281" s="130">
        <f>IF(BV1281&gt;0,1,0)</f>
        <v>0</v>
      </c>
      <c r="BV1281" s="128">
        <f>VLOOKUP($E1281,[2]Current!$A:$AC,13,FALSE)</f>
        <v>0</v>
      </c>
      <c r="BW1281" s="128">
        <f>BV1281/$AS1281</f>
        <v>0</v>
      </c>
      <c r="BX1281" s="130">
        <f>IF(BY1281&gt;0,1,0)</f>
        <v>0</v>
      </c>
      <c r="BY1281" s="128">
        <f>VLOOKUP($E1281,[2]Current!$A:$AC,14,FALSE)</f>
        <v>0</v>
      </c>
      <c r="BZ1281" s="128">
        <f>BY1281/$AS1281</f>
        <v>0</v>
      </c>
      <c r="CA1281" s="130">
        <f>IF(CB1281&gt;0,1,0)</f>
        <v>0</v>
      </c>
      <c r="CB1281" s="128">
        <f>VLOOKUP($E1281,[2]Current!$A:$AC,15,FALSE)</f>
        <v>0</v>
      </c>
      <c r="CC1281" s="128">
        <f>CB1281/$AS1281</f>
        <v>0</v>
      </c>
      <c r="CD1281" s="174">
        <f>IF(CE1281&gt;0,1,0)</f>
        <v>0</v>
      </c>
      <c r="CE1281" s="128">
        <f>VLOOKUP($E1281,[2]Current!$A:$AC,16,FALSE)</f>
        <v>0</v>
      </c>
      <c r="CF1281" s="128">
        <f>CE1281/$AS1281</f>
        <v>0</v>
      </c>
      <c r="CG1281" s="18"/>
      <c r="CH1281" s="18"/>
      <c r="CI1281" s="18"/>
      <c r="CJ1281" s="130">
        <f>IF(CK1281&gt;0,1,0)</f>
        <v>0</v>
      </c>
      <c r="CK1281" s="128">
        <f>VLOOKUP($E1281,[2]Current!$A:$AC,18,FALSE)</f>
        <v>0</v>
      </c>
      <c r="CL1281" s="128">
        <f>CK1281/$AS1281</f>
        <v>0</v>
      </c>
      <c r="CS1281" s="130">
        <f>IF(CU1281&gt;0,1,0)</f>
        <v>0</v>
      </c>
      <c r="CT1281" s="29"/>
      <c r="CU1281" s="128">
        <f>VLOOKUP($E1281,[2]Current!$A:$AC,17,FALSE)</f>
        <v>0</v>
      </c>
      <c r="CV1281" s="128">
        <f>CU1281/$AS1281</f>
        <v>0</v>
      </c>
      <c r="CW1281" s="18"/>
      <c r="CX1281" s="18"/>
      <c r="CY1281" s="18"/>
      <c r="DF1281" s="16" t="e">
        <f>VLOOKUP(K1281,'[3]RNA Seq summary tables'!$V$3:$V$99,1,FALSE)</f>
        <v>#N/A</v>
      </c>
      <c r="DG1281" s="126"/>
    </row>
    <row r="1282" spans="2:288" ht="16" x14ac:dyDescent="0.2">
      <c r="B1282" s="16">
        <v>2018</v>
      </c>
      <c r="C1282" s="124">
        <v>43242</v>
      </c>
      <c r="D1282" t="s">
        <v>725</v>
      </c>
      <c r="E1282" s="37" t="str">
        <f>CONCATENATE(T1282,"-",U1282,"-",C1282)</f>
        <v>HW1-D6-43242</v>
      </c>
      <c r="F1282" s="16" t="s">
        <v>227</v>
      </c>
      <c r="G1282" s="126" t="s">
        <v>107</v>
      </c>
      <c r="H1282" s="126"/>
      <c r="J1282" s="126">
        <v>1434</v>
      </c>
      <c r="K1282" s="126">
        <v>2361</v>
      </c>
      <c r="O1282" s="15" t="s">
        <v>214</v>
      </c>
      <c r="Q1282" s="16">
        <f t="shared" si="6"/>
        <v>0</v>
      </c>
      <c r="R1282" s="16" t="str">
        <f t="shared" si="7"/>
        <v/>
      </c>
      <c r="T1282" s="126" t="s">
        <v>133</v>
      </c>
      <c r="U1282" s="126" t="s">
        <v>186</v>
      </c>
      <c r="V1282" s="126" t="s">
        <v>114</v>
      </c>
      <c r="X1282" s="126" t="s">
        <v>121</v>
      </c>
      <c r="Y1282" s="126" t="s">
        <v>110</v>
      </c>
      <c r="Z1282" s="126">
        <v>3</v>
      </c>
      <c r="AA1282" s="126" t="s">
        <v>161</v>
      </c>
      <c r="AB1282" s="126" t="s">
        <v>116</v>
      </c>
      <c r="AC1282" s="126" t="s">
        <v>123</v>
      </c>
      <c r="AD1282" s="126"/>
      <c r="AE1282" s="126"/>
      <c r="AG1282" s="16">
        <f>AH1282-AI1282</f>
        <v>97</v>
      </c>
      <c r="AH1282" s="126">
        <v>164</v>
      </c>
      <c r="AI1282" s="126">
        <v>67</v>
      </c>
      <c r="AK1282" s="126">
        <v>24.5</v>
      </c>
      <c r="AL1282" s="126">
        <v>0</v>
      </c>
      <c r="AM1282" s="126">
        <v>0</v>
      </c>
      <c r="AN1282" s="126">
        <v>0</v>
      </c>
      <c r="AO1282" s="16">
        <f>IF(SUM(AL1282:AN1282)&gt;0,1,0)</f>
        <v>0</v>
      </c>
      <c r="AP1282" s="18">
        <f>SUM(AL1282:AN1282)</f>
        <v>0</v>
      </c>
      <c r="AR1282" s="16">
        <v>0.40400000000000014</v>
      </c>
      <c r="AS1282" s="16">
        <f>VLOOKUP(E1282,'[1]Feces weights'!$D$1:$H$459,5,FALSE)</f>
        <v>0.40400000000000014</v>
      </c>
      <c r="AT1282" s="16" t="str">
        <f>VLOOKUP(E1282,[9]Current!$A:$T,7,FALSE)</f>
        <v>DP</v>
      </c>
      <c r="AU1282" s="18" t="s">
        <v>1290</v>
      </c>
      <c r="AW1282" s="177">
        <f>IF(AY1282&gt;0,1,0)</f>
        <v>1</v>
      </c>
      <c r="AX1282" s="177">
        <f>SUM(BA1282,BM1282,CU1282)</f>
        <v>2</v>
      </c>
      <c r="AY1282" s="177">
        <f>SUM(BB1282,BN1282,CV1282)</f>
        <v>96.534653465346508</v>
      </c>
      <c r="AZ1282" s="177">
        <f>IF(BB1282&gt;0,1,0)</f>
        <v>1</v>
      </c>
      <c r="BA1282" s="177">
        <f>SUM(BC1282+BF1282+BI1282)</f>
        <v>2</v>
      </c>
      <c r="BB1282" s="177">
        <f>SUM(BE1282,BH1282,BK1282)</f>
        <v>96.534653465346508</v>
      </c>
      <c r="BC1282" s="178">
        <f>IF(BD1282&gt;0,1,0)</f>
        <v>0</v>
      </c>
      <c r="BD1282" s="177">
        <f>VLOOKUP($E1282,[9]Current!$1:$1048576,8,FALSE)</f>
        <v>0</v>
      </c>
      <c r="BE1282" s="177">
        <f>BD1282/$AS1282</f>
        <v>0</v>
      </c>
      <c r="BF1282" s="178">
        <f>IF(BG1282&gt;0,1,0)</f>
        <v>1</v>
      </c>
      <c r="BG1282" s="179">
        <f>VLOOKUP($E1282,[9]Current!$1:$1048576,9,FALSE)</f>
        <v>32</v>
      </c>
      <c r="BH1282" s="177">
        <f>BG1282/$AS1282</f>
        <v>79.207920792079179</v>
      </c>
      <c r="BI1282" s="178">
        <f>IF(BJ1282&gt;0,1,0)</f>
        <v>1</v>
      </c>
      <c r="BJ1282" s="177">
        <f>VLOOKUP($E1282,[9]Current!$1:$1048576,10,FALSE)</f>
        <v>7</v>
      </c>
      <c r="BK1282" s="177">
        <f>BJ1282/$AS1282</f>
        <v>17.326732673267323</v>
      </c>
      <c r="BL1282" s="177">
        <f>IF(BM1282&gt;0,1,0)</f>
        <v>0</v>
      </c>
      <c r="BM1282" s="177">
        <f>SUM(BR1282,BU1282,BX1282,CA1282,CD1282)</f>
        <v>0</v>
      </c>
      <c r="BN1282" s="181">
        <f>SUM(BT1282,BW1282,BZ1282,CC1282,CF1282)</f>
        <v>0</v>
      </c>
      <c r="BO1282" s="177">
        <f>IF(BP1282&gt;0,1,0)</f>
        <v>0</v>
      </c>
      <c r="BP1282" s="177">
        <f>BM1282+CJ1282</f>
        <v>0</v>
      </c>
      <c r="BQ1282" s="177">
        <f>BN1282+CL1282</f>
        <v>0</v>
      </c>
      <c r="BR1282" s="178">
        <f>IF(BS1282&gt;0,1,0)</f>
        <v>0</v>
      </c>
      <c r="BS1282" s="177">
        <f>VLOOKUP($E1282,[9]Current!$1:$1048576,12,FALSE)</f>
        <v>0</v>
      </c>
      <c r="BT1282" s="179">
        <f>BS1282/$AS1282</f>
        <v>0</v>
      </c>
      <c r="BU1282" s="178">
        <f>IF(BV1282&gt;0,1,0)</f>
        <v>0</v>
      </c>
      <c r="BV1282" s="177">
        <f>VLOOKUP($E1282,[9]Current!$1:$1048576,13,FALSE)</f>
        <v>0</v>
      </c>
      <c r="BW1282" s="177">
        <f>BV1282/$AS1282</f>
        <v>0</v>
      </c>
      <c r="BX1282" s="178">
        <f>IF(BY1282&gt;0,1,0)</f>
        <v>0</v>
      </c>
      <c r="BY1282" s="177">
        <f>VLOOKUP($E1282,[9]Current!$1:$1048576,14,FALSE)</f>
        <v>0</v>
      </c>
      <c r="BZ1282" s="177">
        <f>BY1282/$AS1282</f>
        <v>0</v>
      </c>
      <c r="CA1282" s="178">
        <f>IF(CB1282&gt;0,1,0)</f>
        <v>0</v>
      </c>
      <c r="CB1282" s="177">
        <f>VLOOKUP($E1282,[9]Current!$1:$1048576,15,FALSE)</f>
        <v>0</v>
      </c>
      <c r="CC1282" s="177">
        <f>CB1282/$AS1282</f>
        <v>0</v>
      </c>
      <c r="CD1282" s="180">
        <f>IF(CE1282&gt;0,1,0)</f>
        <v>0</v>
      </c>
      <c r="CE1282" s="177">
        <f>VLOOKUP($E1282,[9]Current!$1:$1048576,16,FALSE)</f>
        <v>0</v>
      </c>
      <c r="CF1282" s="177">
        <f>CE1282/$AS1282</f>
        <v>0</v>
      </c>
      <c r="CG1282" s="18"/>
      <c r="CH1282" s="18"/>
      <c r="CI1282" s="18"/>
      <c r="CJ1282" s="178">
        <f>IF(CK1282&gt;0,1,0)</f>
        <v>0</v>
      </c>
      <c r="CK1282" s="177">
        <f>VLOOKUP($E1282,[9]Current!$1:$1048576,18,FALSE)</f>
        <v>0</v>
      </c>
      <c r="CL1282" s="177">
        <f>CK1282/$AS1282</f>
        <v>0</v>
      </c>
      <c r="CS1282" s="178">
        <f>IF(CU1282&gt;0,1,0)</f>
        <v>0</v>
      </c>
      <c r="CT1282" s="177"/>
      <c r="CU1282" s="177">
        <f>VLOOKUP($E1282,[9]Current!$1:$1048576,17,FALSE)</f>
        <v>0</v>
      </c>
      <c r="CV1282" s="177">
        <f>CU1282/$AS1282</f>
        <v>0</v>
      </c>
      <c r="DF1282" s="16" t="e">
        <f>VLOOKUP(K1282,'[3]RNA Seq summary tables'!$V$3:$V$99,1,FALSE)</f>
        <v>#N/A</v>
      </c>
      <c r="DG1282" s="126" t="s">
        <v>116</v>
      </c>
    </row>
    <row r="1283" spans="2:288" ht="16" x14ac:dyDescent="0.2">
      <c r="B1283" s="16">
        <v>2018</v>
      </c>
      <c r="C1283" s="124">
        <v>43260</v>
      </c>
      <c r="D1283" t="s">
        <v>790</v>
      </c>
      <c r="E1283" s="37" t="str">
        <f>CONCATENATE(T1283,"-",U1283,"-",C1283)</f>
        <v>HW1-D7-43260</v>
      </c>
      <c r="F1283" s="16" t="s">
        <v>227</v>
      </c>
      <c r="G1283" s="126" t="s">
        <v>107</v>
      </c>
      <c r="H1283" s="126" t="s">
        <v>1160</v>
      </c>
      <c r="J1283" s="126">
        <v>1434</v>
      </c>
      <c r="K1283" s="126">
        <v>2419</v>
      </c>
      <c r="O1283" s="15" t="s">
        <v>214</v>
      </c>
      <c r="Q1283" s="16">
        <f t="shared" si="6"/>
        <v>1</v>
      </c>
      <c r="R1283" s="16">
        <f t="shared" si="7"/>
        <v>18</v>
      </c>
      <c r="T1283" s="126" t="s">
        <v>133</v>
      </c>
      <c r="U1283" s="126" t="s">
        <v>177</v>
      </c>
      <c r="V1283" s="126" t="s">
        <v>114</v>
      </c>
      <c r="X1283" s="126" t="s">
        <v>121</v>
      </c>
      <c r="Y1283" s="126" t="s">
        <v>110</v>
      </c>
      <c r="Z1283" s="126">
        <v>3</v>
      </c>
      <c r="AA1283" s="126" t="s">
        <v>161</v>
      </c>
      <c r="AB1283" s="126" t="s">
        <v>116</v>
      </c>
      <c r="AC1283" s="126" t="s">
        <v>123</v>
      </c>
      <c r="AD1283" s="126"/>
      <c r="AE1283" s="126"/>
      <c r="AG1283" s="16">
        <f>AH1283-AI1283</f>
        <v>93</v>
      </c>
      <c r="AH1283" s="126">
        <v>166</v>
      </c>
      <c r="AI1283" s="126">
        <v>73</v>
      </c>
      <c r="AK1283" s="126">
        <v>23.5</v>
      </c>
      <c r="AL1283" s="126">
        <v>0</v>
      </c>
      <c r="AM1283" s="126">
        <v>0</v>
      </c>
      <c r="AN1283" s="126">
        <v>0</v>
      </c>
      <c r="AO1283" s="16">
        <f>IF(SUM(AL1283:AN1283)&gt;0,1,0)</f>
        <v>0</v>
      </c>
      <c r="AP1283" s="18">
        <f>SUM(AL1283:AN1283)</f>
        <v>0</v>
      </c>
      <c r="AR1283" s="16">
        <v>0.73300000000000032</v>
      </c>
      <c r="AS1283" s="16">
        <f>VLOOKUP(E1283,'[1]Feces weights'!$D$1:$H$459,5,FALSE)</f>
        <v>0.73300000000000032</v>
      </c>
      <c r="AT1283" s="16" t="str">
        <f>VLOOKUP(E1283,[2]Current!$A$1:$W$435,7,FALSE)</f>
        <v>JB</v>
      </c>
      <c r="AU1283" s="16" t="s">
        <v>1288</v>
      </c>
      <c r="AV1283" s="23"/>
      <c r="AW1283" s="128">
        <f>IF(AX1283&gt;0,1,0)</f>
        <v>1</v>
      </c>
      <c r="AX1283" s="128">
        <f>SUM(BA1283,BM1283,CU1283)</f>
        <v>3</v>
      </c>
      <c r="AY1283" s="128">
        <f>SUM(BB1283,BN1283,CV1283)</f>
        <v>275.57980900409262</v>
      </c>
      <c r="AZ1283" s="128">
        <f>IF(BA1283&gt;0,1,0)</f>
        <v>1</v>
      </c>
      <c r="BA1283" s="128">
        <f>SUM(BC1283+BF1283+BI1283)</f>
        <v>3</v>
      </c>
      <c r="BB1283" s="128">
        <f>SUM(BE1283,BH1283,BK1283)</f>
        <v>275.57980900409262</v>
      </c>
      <c r="BC1283" s="130">
        <f>IF(BD1283&gt;0,1,0)</f>
        <v>1</v>
      </c>
      <c r="BD1283" s="128">
        <f>VLOOKUP($E1283,[2]Current!$A:$AC,26,FALSE)</f>
        <v>46</v>
      </c>
      <c r="BE1283" s="128">
        <f>BD1283/$AS1283</f>
        <v>62.755798090040898</v>
      </c>
      <c r="BF1283" s="130">
        <f>IF(BG1283&gt;0,1,0)</f>
        <v>1</v>
      </c>
      <c r="BG1283" s="137">
        <f>VLOOKUP($E1283,[2]Current!$A:$AC,27,FALSE)</f>
        <v>148</v>
      </c>
      <c r="BH1283" s="128">
        <f>BG1283/$AS1283</f>
        <v>201.9099590723055</v>
      </c>
      <c r="BI1283" s="130">
        <f>IF(BJ1283&gt;0,1,0)</f>
        <v>1</v>
      </c>
      <c r="BJ1283" s="128">
        <f>VLOOKUP($E1283,[2]Current!$A:$AC,28,FALSE)</f>
        <v>8</v>
      </c>
      <c r="BK1283" s="128">
        <f>BJ1283/$AS1283</f>
        <v>10.914051841746243</v>
      </c>
      <c r="BL1283" s="128">
        <f>IF(BM1283&gt;0,1,0)</f>
        <v>0</v>
      </c>
      <c r="BM1283" s="128">
        <f>SUM(BR1283,BU1283,BX1283,CA1283,CD1283)</f>
        <v>0</v>
      </c>
      <c r="BN1283" s="131">
        <f>SUM(BT1283,BW1283,BZ1283,CC1283,CF1283)</f>
        <v>0</v>
      </c>
      <c r="BO1283" s="128">
        <f>IF(BP1283&gt;0,1,0)</f>
        <v>0</v>
      </c>
      <c r="BP1283" s="128">
        <f>BM1283+CJ1283</f>
        <v>0</v>
      </c>
      <c r="BQ1283" s="128">
        <f>BN1283+CL1283</f>
        <v>0</v>
      </c>
      <c r="BR1283" s="130">
        <f>IF(BS1283&gt;0,1,0)</f>
        <v>0</v>
      </c>
      <c r="BS1283" s="128">
        <f>VLOOKUP($E1283,[2]Current!$A:$AC,12,FALSE)</f>
        <v>0</v>
      </c>
      <c r="BT1283" s="137">
        <f>BS1283/$AS1283</f>
        <v>0</v>
      </c>
      <c r="BU1283" s="130">
        <f>IF(BV1283&gt;0,1,0)</f>
        <v>0</v>
      </c>
      <c r="BV1283" s="128">
        <f>VLOOKUP($E1283,[2]Current!$A:$AC,13,FALSE)</f>
        <v>0</v>
      </c>
      <c r="BW1283" s="128">
        <f>BV1283/$AS1283</f>
        <v>0</v>
      </c>
      <c r="BX1283" s="130">
        <f>IF(BY1283&gt;0,1,0)</f>
        <v>0</v>
      </c>
      <c r="BY1283" s="128">
        <f>VLOOKUP($E1283,[2]Current!$A:$AC,14,FALSE)</f>
        <v>0</v>
      </c>
      <c r="BZ1283" s="128">
        <f>BY1283/$AS1283</f>
        <v>0</v>
      </c>
      <c r="CA1283" s="130">
        <f>IF(CB1283&gt;0,1,0)</f>
        <v>0</v>
      </c>
      <c r="CB1283" s="128">
        <f>VLOOKUP($E1283,[2]Current!$A:$AC,15,FALSE)</f>
        <v>0</v>
      </c>
      <c r="CC1283" s="128">
        <f>CB1283/$AS1283</f>
        <v>0</v>
      </c>
      <c r="CD1283" s="174">
        <f>IF(CE1283&gt;0,1,0)</f>
        <v>0</v>
      </c>
      <c r="CE1283" s="128">
        <f>VLOOKUP($E1283,[2]Current!$A:$AC,16,FALSE)</f>
        <v>0</v>
      </c>
      <c r="CF1283" s="128">
        <f>CE1283/$AS1283</f>
        <v>0</v>
      </c>
      <c r="CG1283" s="18"/>
      <c r="CH1283" s="18"/>
      <c r="CI1283" s="18"/>
      <c r="CJ1283" s="130">
        <f>IF(CK1283&gt;0,1,0)</f>
        <v>0</v>
      </c>
      <c r="CK1283" s="128">
        <f>VLOOKUP($E1283,[2]Current!$A:$AC,18,FALSE)</f>
        <v>0</v>
      </c>
      <c r="CL1283" s="128">
        <f>CK1283/$AS1283</f>
        <v>0</v>
      </c>
      <c r="CS1283" s="130">
        <f>IF(CU1283&gt;0,1,0)</f>
        <v>0</v>
      </c>
      <c r="CT1283" s="18"/>
      <c r="CU1283" s="128">
        <f>VLOOKUP($E1283,[2]Current!$A:$AC,17,FALSE)</f>
        <v>0</v>
      </c>
      <c r="CV1283" s="128">
        <f>CU1283/$AS1283</f>
        <v>0</v>
      </c>
      <c r="CW1283" s="18"/>
      <c r="CX1283" s="18"/>
      <c r="CY1283" s="18"/>
      <c r="DF1283" s="16" t="e">
        <f>VLOOKUP(K1283,'[3]RNA Seq summary tables'!$V$3:$V$99,1,FALSE)</f>
        <v>#N/A</v>
      </c>
      <c r="DG1283" s="126" t="s">
        <v>116</v>
      </c>
      <c r="JR1283" s="26"/>
      <c r="JS1283" s="26"/>
      <c r="JT1283" s="26"/>
      <c r="JU1283" s="26"/>
      <c r="JV1283" s="26"/>
      <c r="JW1283" s="26"/>
      <c r="JX1283" s="26"/>
      <c r="JY1283" s="26"/>
      <c r="JZ1283" s="26"/>
      <c r="KA1283" s="26"/>
      <c r="KB1283" s="26"/>
    </row>
    <row r="1284" spans="2:288" s="18" customFormat="1" ht="16" x14ac:dyDescent="0.2">
      <c r="B1284" s="16">
        <v>2018</v>
      </c>
      <c r="C1284" s="124">
        <v>43242</v>
      </c>
      <c r="D1284" t="s">
        <v>724</v>
      </c>
      <c r="E1284" s="37" t="str">
        <f>CONCATENATE(T1284,"-",U1284,"-",C1284)</f>
        <v>HW1-H5-43242</v>
      </c>
      <c r="F1284" s="16" t="s">
        <v>227</v>
      </c>
      <c r="G1284" s="126" t="s">
        <v>107</v>
      </c>
      <c r="H1284" s="126"/>
      <c r="I1284" s="16"/>
      <c r="J1284" s="126">
        <v>1436</v>
      </c>
      <c r="K1284" s="126">
        <v>2363</v>
      </c>
      <c r="L1284" s="16"/>
      <c r="M1284" s="21"/>
      <c r="N1284" s="21"/>
      <c r="O1284" s="15" t="s">
        <v>214</v>
      </c>
      <c r="P1284" s="16"/>
      <c r="Q1284" s="16">
        <f t="shared" si="6"/>
        <v>0</v>
      </c>
      <c r="R1284" s="16" t="str">
        <f t="shared" si="7"/>
        <v/>
      </c>
      <c r="S1284" s="16"/>
      <c r="T1284" s="126" t="s">
        <v>133</v>
      </c>
      <c r="U1284" s="126" t="s">
        <v>180</v>
      </c>
      <c r="V1284" s="126" t="s">
        <v>114</v>
      </c>
      <c r="W1284" s="16"/>
      <c r="X1284" s="126" t="s">
        <v>115</v>
      </c>
      <c r="Y1284" s="126" t="s">
        <v>110</v>
      </c>
      <c r="Z1284" s="126">
        <v>3</v>
      </c>
      <c r="AA1284" s="126"/>
      <c r="AB1284" s="126"/>
      <c r="AC1284" s="126"/>
      <c r="AD1284" s="126"/>
      <c r="AE1284" s="126" t="s">
        <v>116</v>
      </c>
      <c r="AF1284" s="16"/>
      <c r="AG1284" s="16">
        <f>AH1284-AI1284</f>
        <v>88</v>
      </c>
      <c r="AH1284" s="126">
        <v>155</v>
      </c>
      <c r="AI1284" s="126">
        <v>67</v>
      </c>
      <c r="AJ1284" s="16"/>
      <c r="AK1284" s="126">
        <v>26</v>
      </c>
      <c r="AL1284" s="126">
        <v>1</v>
      </c>
      <c r="AM1284" s="126">
        <v>0</v>
      </c>
      <c r="AN1284" s="126">
        <v>0</v>
      </c>
      <c r="AO1284" s="16">
        <f>IF(SUM(AL1284:AN1284)&gt;0,1,0)</f>
        <v>1</v>
      </c>
      <c r="AP1284" s="18">
        <f>SUM(AL1284:AN1284)</f>
        <v>1</v>
      </c>
      <c r="AQ1284" s="16"/>
      <c r="AR1284" s="16">
        <v>0.24700000000000011</v>
      </c>
      <c r="AS1284" s="16">
        <f>VLOOKUP(E1284,'[1]Feces weights'!$D$1:$H$459,5,FALSE)</f>
        <v>0.24700000000000011</v>
      </c>
      <c r="AT1284" s="16" t="str">
        <f>VLOOKUP(E1284,[9]Current!$A:$T,7,FALSE)</f>
        <v>IS</v>
      </c>
      <c r="AU1284" s="18" t="s">
        <v>1290</v>
      </c>
      <c r="AV1284" s="16"/>
      <c r="AW1284" s="177">
        <f>IF(AY1284&gt;0,1,0)</f>
        <v>1</v>
      </c>
      <c r="AX1284" s="177">
        <f>SUM(BA1284,BM1284,CU1284)</f>
        <v>1</v>
      </c>
      <c r="AY1284" s="177">
        <f>SUM(BB1284,BN1284,CV1284)</f>
        <v>161.9433198380566</v>
      </c>
      <c r="AZ1284" s="177">
        <f>IF(BB1284&gt;0,1,0)</f>
        <v>1</v>
      </c>
      <c r="BA1284" s="177">
        <f>SUM(BC1284+BF1284+BI1284)</f>
        <v>1</v>
      </c>
      <c r="BB1284" s="177">
        <f>SUM(BE1284,BH1284,BK1284)</f>
        <v>161.9433198380566</v>
      </c>
      <c r="BC1284" s="178">
        <f>IF(BD1284&gt;0,1,0)</f>
        <v>0</v>
      </c>
      <c r="BD1284" s="177">
        <f>VLOOKUP($E1284,[9]Current!$1:$1048576,8,FALSE)</f>
        <v>0</v>
      </c>
      <c r="BE1284" s="177">
        <f>BD1284/$AS1284</f>
        <v>0</v>
      </c>
      <c r="BF1284" s="178">
        <f>IF(BG1284&gt;0,1,0)</f>
        <v>1</v>
      </c>
      <c r="BG1284" s="179">
        <f>VLOOKUP($E1284,[9]Current!$1:$1048576,9,FALSE)</f>
        <v>40</v>
      </c>
      <c r="BH1284" s="177">
        <f>BG1284/$AS1284</f>
        <v>161.9433198380566</v>
      </c>
      <c r="BI1284" s="178">
        <f>IF(BJ1284&gt;0,1,0)</f>
        <v>0</v>
      </c>
      <c r="BJ1284" s="177">
        <f>VLOOKUP($E1284,[9]Current!$1:$1048576,10,FALSE)</f>
        <v>0</v>
      </c>
      <c r="BK1284" s="177">
        <f>BJ1284/$AS1284</f>
        <v>0</v>
      </c>
      <c r="BL1284" s="177">
        <f>IF(BM1284&gt;0,1,0)</f>
        <v>0</v>
      </c>
      <c r="BM1284" s="177">
        <f>SUM(BR1284,BU1284,BX1284,CA1284,CD1284)</f>
        <v>0</v>
      </c>
      <c r="BN1284" s="181">
        <f>SUM(BT1284,BW1284,BZ1284,CC1284,CF1284)</f>
        <v>0</v>
      </c>
      <c r="BO1284" s="177">
        <f>IF(BP1284&gt;0,1,0)</f>
        <v>0</v>
      </c>
      <c r="BP1284" s="177">
        <f>BM1284+CJ1284</f>
        <v>0</v>
      </c>
      <c r="BQ1284" s="177">
        <f>BN1284+CL1284</f>
        <v>0</v>
      </c>
      <c r="BR1284" s="178">
        <f>IF(BS1284&gt;0,1,0)</f>
        <v>0</v>
      </c>
      <c r="BS1284" s="177">
        <f>VLOOKUP($E1284,[9]Current!$1:$1048576,12,FALSE)</f>
        <v>0</v>
      </c>
      <c r="BT1284" s="179">
        <f>BS1284/$AS1284</f>
        <v>0</v>
      </c>
      <c r="BU1284" s="178">
        <f>IF(BV1284&gt;0,1,0)</f>
        <v>0</v>
      </c>
      <c r="BV1284" s="177">
        <f>VLOOKUP($E1284,[9]Current!$1:$1048576,13,FALSE)</f>
        <v>0</v>
      </c>
      <c r="BW1284" s="177">
        <f>BV1284/$AS1284</f>
        <v>0</v>
      </c>
      <c r="BX1284" s="178">
        <f>IF(BY1284&gt;0,1,0)</f>
        <v>0</v>
      </c>
      <c r="BY1284" s="177">
        <f>VLOOKUP($E1284,[9]Current!$1:$1048576,14,FALSE)</f>
        <v>0</v>
      </c>
      <c r="BZ1284" s="177">
        <f>BY1284/$AS1284</f>
        <v>0</v>
      </c>
      <c r="CA1284" s="178">
        <f>IF(CB1284&gt;0,1,0)</f>
        <v>0</v>
      </c>
      <c r="CB1284" s="177">
        <f>VLOOKUP($E1284,[9]Current!$1:$1048576,15,FALSE)</f>
        <v>0</v>
      </c>
      <c r="CC1284" s="177">
        <f>CB1284/$AS1284</f>
        <v>0</v>
      </c>
      <c r="CD1284" s="180">
        <f>IF(CE1284&gt;0,1,0)</f>
        <v>0</v>
      </c>
      <c r="CE1284" s="177">
        <f>VLOOKUP($E1284,[9]Current!$1:$1048576,16,FALSE)</f>
        <v>0</v>
      </c>
      <c r="CF1284" s="177">
        <f>CE1284/$AS1284</f>
        <v>0</v>
      </c>
      <c r="CJ1284" s="178">
        <f>IF(CK1284&gt;0,1,0)</f>
        <v>0</v>
      </c>
      <c r="CK1284" s="177">
        <f>VLOOKUP($E1284,[9]Current!$1:$1048576,18,FALSE)</f>
        <v>0</v>
      </c>
      <c r="CL1284" s="177">
        <f>CK1284/$AS1284</f>
        <v>0</v>
      </c>
      <c r="CM1284" s="16"/>
      <c r="CN1284" s="16"/>
      <c r="CO1284" s="16"/>
      <c r="CP1284" s="16"/>
      <c r="CQ1284" s="16"/>
      <c r="CR1284" s="16"/>
      <c r="CS1284" s="178">
        <f>IF(CU1284&gt;0,1,0)</f>
        <v>0</v>
      </c>
      <c r="CT1284" s="177"/>
      <c r="CU1284" s="177">
        <f>VLOOKUP($E1284,[9]Current!$1:$1048576,17,FALSE)</f>
        <v>0</v>
      </c>
      <c r="CV1284" s="177">
        <f>CU1284/$AS1284</f>
        <v>0</v>
      </c>
      <c r="CW1284" s="16"/>
      <c r="CX1284" s="16"/>
      <c r="CY1284" s="16"/>
      <c r="CZ1284" s="16"/>
      <c r="DA1284" s="16"/>
      <c r="DB1284" s="16"/>
      <c r="DC1284" s="16"/>
      <c r="DD1284" s="16"/>
      <c r="DE1284" s="16"/>
      <c r="DF1284" s="16" t="e">
        <f>VLOOKUP(K1284,'[3]RNA Seq summary tables'!$V$3:$V$99,1,FALSE)</f>
        <v>#N/A</v>
      </c>
      <c r="DG1284" s="126" t="s">
        <v>116</v>
      </c>
      <c r="DH1284" s="16"/>
      <c r="DI1284" s="16"/>
      <c r="DJ1284" s="16"/>
      <c r="DK1284" s="16"/>
      <c r="DL1284" s="16"/>
      <c r="DM1284" s="16"/>
      <c r="DN1284" s="16"/>
      <c r="DO1284" s="16"/>
      <c r="DP1284" s="16"/>
      <c r="DQ1284" s="16"/>
      <c r="DR1284" s="16"/>
      <c r="DS1284" s="16"/>
      <c r="JO1284" s="16"/>
      <c r="JP1284" s="16"/>
      <c r="JQ1284" s="16"/>
      <c r="JR1284" s="16"/>
      <c r="JS1284" s="16"/>
      <c r="JT1284" s="16"/>
      <c r="JU1284" s="16"/>
      <c r="JV1284" s="16"/>
      <c r="JW1284" s="16"/>
      <c r="JX1284" s="16"/>
      <c r="JY1284" s="16"/>
      <c r="JZ1284" s="16"/>
      <c r="KA1284" s="16"/>
      <c r="KB1284" s="16"/>
    </row>
    <row r="1285" spans="2:288" ht="16" x14ac:dyDescent="0.2">
      <c r="B1285" s="16">
        <v>2018</v>
      </c>
      <c r="C1285" s="124">
        <v>43260</v>
      </c>
      <c r="D1285" t="s">
        <v>782</v>
      </c>
      <c r="E1285" s="37" t="str">
        <f>CONCATENATE(T1285,"-",U1285,"-",C1285)</f>
        <v>HW1-C3-43260</v>
      </c>
      <c r="F1285" s="16" t="s">
        <v>227</v>
      </c>
      <c r="G1285" s="126" t="s">
        <v>107</v>
      </c>
      <c r="H1285" s="126"/>
      <c r="J1285" s="126">
        <v>1436</v>
      </c>
      <c r="K1285" s="126">
        <v>2417</v>
      </c>
      <c r="O1285" s="15" t="s">
        <v>214</v>
      </c>
      <c r="Q1285" s="16">
        <f t="shared" si="6"/>
        <v>1</v>
      </c>
      <c r="R1285" s="16">
        <f t="shared" si="7"/>
        <v>18</v>
      </c>
      <c r="T1285" s="126" t="s">
        <v>133</v>
      </c>
      <c r="U1285" s="126" t="s">
        <v>237</v>
      </c>
      <c r="V1285" s="126" t="s">
        <v>114</v>
      </c>
      <c r="X1285" s="126" t="s">
        <v>115</v>
      </c>
      <c r="Y1285" s="126" t="s">
        <v>110</v>
      </c>
      <c r="Z1285" s="126">
        <v>3</v>
      </c>
      <c r="AA1285" s="126"/>
      <c r="AB1285" s="126"/>
      <c r="AC1285" s="126"/>
      <c r="AD1285" s="126"/>
      <c r="AE1285" s="126" t="s">
        <v>116</v>
      </c>
      <c r="AG1285" s="16">
        <f>AH1285-AI1285</f>
        <v>87</v>
      </c>
      <c r="AH1285" s="126">
        <v>159</v>
      </c>
      <c r="AI1285" s="126">
        <v>72</v>
      </c>
      <c r="AK1285" s="126">
        <v>20</v>
      </c>
      <c r="AL1285" s="126">
        <v>0</v>
      </c>
      <c r="AM1285" s="126">
        <v>0</v>
      </c>
      <c r="AN1285" s="126">
        <v>0</v>
      </c>
      <c r="AO1285" s="16">
        <f>IF(SUM(AL1285:AN1285)&gt;0,1,0)</f>
        <v>0</v>
      </c>
      <c r="AP1285" s="18">
        <f>SUM(AL1285:AN1285)</f>
        <v>0</v>
      </c>
      <c r="AR1285" s="16">
        <v>0.21600000000000019</v>
      </c>
      <c r="AS1285" s="16">
        <f>VLOOKUP(E1285,'[1]Feces weights'!$D$1:$H$459,5,FALSE)</f>
        <v>0.21600000000000019</v>
      </c>
      <c r="AT1285" s="16" t="str">
        <f>VLOOKUP(E1285,[2]Current!$A$1:$W$435,7,FALSE)</f>
        <v>IS</v>
      </c>
      <c r="AU1285" s="16" t="s">
        <v>1288</v>
      </c>
      <c r="AW1285" s="128">
        <f>IF(AX1285&gt;0,1,0)</f>
        <v>1</v>
      </c>
      <c r="AX1285" s="128">
        <f>SUM(BA1285,BM1285,CU1285)</f>
        <v>3</v>
      </c>
      <c r="AY1285" s="128">
        <f>SUM(BB1285,BN1285,CV1285)</f>
        <v>25425.925925925902</v>
      </c>
      <c r="AZ1285" s="128">
        <f>IF(BA1285&gt;0,1,0)</f>
        <v>1</v>
      </c>
      <c r="BA1285" s="128">
        <f>SUM(BC1285+BF1285+BI1285)</f>
        <v>3</v>
      </c>
      <c r="BB1285" s="128">
        <f>SUM(BE1285,BH1285,BK1285)</f>
        <v>25425.925925925902</v>
      </c>
      <c r="BC1285" s="130">
        <f>IF(BD1285&gt;0,1,0)</f>
        <v>1</v>
      </c>
      <c r="BD1285" s="128">
        <f>VLOOKUP($E1285,[2]Current!$A:$AC,26,FALSE)</f>
        <v>656</v>
      </c>
      <c r="BE1285" s="128">
        <f>BD1285/$AS1285</f>
        <v>3037.0370370370342</v>
      </c>
      <c r="BF1285" s="130">
        <f>IF(BG1285&gt;0,1,0)</f>
        <v>1</v>
      </c>
      <c r="BG1285" s="137">
        <f>VLOOKUP($E1285,[2]Current!$A:$AC,27,FALSE)</f>
        <v>4502</v>
      </c>
      <c r="BH1285" s="128">
        <f>BG1285/$AS1285</f>
        <v>20842.592592592573</v>
      </c>
      <c r="BI1285" s="130">
        <f>IF(BJ1285&gt;0,1,0)</f>
        <v>1</v>
      </c>
      <c r="BJ1285" s="128">
        <f>VLOOKUP($E1285,[2]Current!$A:$AC,28,FALSE)</f>
        <v>334</v>
      </c>
      <c r="BK1285" s="128">
        <f>BJ1285/$AS1285</f>
        <v>1546.2962962962949</v>
      </c>
      <c r="BL1285" s="128">
        <f>IF(BM1285&gt;0,1,0)</f>
        <v>0</v>
      </c>
      <c r="BM1285" s="128">
        <f>SUM(BR1285,BU1285,BX1285,CA1285,CD1285)</f>
        <v>0</v>
      </c>
      <c r="BN1285" s="131">
        <f>SUM(BT1285,BW1285,BZ1285,CC1285,CF1285)</f>
        <v>0</v>
      </c>
      <c r="BO1285" s="128">
        <f>IF(BP1285&gt;0,1,0)</f>
        <v>0</v>
      </c>
      <c r="BP1285" s="128">
        <f>BM1285+CJ1285</f>
        <v>0</v>
      </c>
      <c r="BQ1285" s="128">
        <f>BN1285+CL1285</f>
        <v>0</v>
      </c>
      <c r="BR1285" s="130">
        <f>IF(BS1285&gt;0,1,0)</f>
        <v>0</v>
      </c>
      <c r="BS1285" s="128">
        <f>VLOOKUP($E1285,[2]Current!$A:$AC,12,FALSE)</f>
        <v>0</v>
      </c>
      <c r="BT1285" s="137">
        <f>BS1285/$AS1285</f>
        <v>0</v>
      </c>
      <c r="BU1285" s="130">
        <f>IF(BV1285&gt;0,1,0)</f>
        <v>0</v>
      </c>
      <c r="BV1285" s="128">
        <f>VLOOKUP($E1285,[2]Current!$A:$AC,13,FALSE)</f>
        <v>0</v>
      </c>
      <c r="BW1285" s="128">
        <f>BV1285/$AS1285</f>
        <v>0</v>
      </c>
      <c r="BX1285" s="130">
        <f>IF(BY1285&gt;0,1,0)</f>
        <v>0</v>
      </c>
      <c r="BY1285" s="128">
        <f>VLOOKUP($E1285,[2]Current!$A:$AC,14,FALSE)</f>
        <v>0</v>
      </c>
      <c r="BZ1285" s="128">
        <f>BY1285/$AS1285</f>
        <v>0</v>
      </c>
      <c r="CA1285" s="130">
        <f>IF(CB1285&gt;0,1,0)</f>
        <v>0</v>
      </c>
      <c r="CB1285" s="128">
        <f>VLOOKUP($E1285,[2]Current!$A:$AC,15,FALSE)</f>
        <v>0</v>
      </c>
      <c r="CC1285" s="128">
        <f>CB1285/$AS1285</f>
        <v>0</v>
      </c>
      <c r="CD1285" s="174">
        <f>IF(CE1285&gt;0,1,0)</f>
        <v>0</v>
      </c>
      <c r="CE1285" s="128">
        <f>VLOOKUP($E1285,[2]Current!$A:$AC,16,FALSE)</f>
        <v>0</v>
      </c>
      <c r="CF1285" s="128">
        <f>CE1285/$AS1285</f>
        <v>0</v>
      </c>
      <c r="CG1285" s="18"/>
      <c r="CH1285" s="18"/>
      <c r="CI1285" s="18"/>
      <c r="CJ1285" s="130">
        <f>IF(CK1285&gt;0,1,0)</f>
        <v>0</v>
      </c>
      <c r="CK1285" s="128">
        <f>VLOOKUP($E1285,[2]Current!$A:$AC,18,FALSE)</f>
        <v>0</v>
      </c>
      <c r="CL1285" s="128">
        <f>CK1285/$AS1285</f>
        <v>0</v>
      </c>
      <c r="CS1285" s="130">
        <f>IF(CU1285&gt;0,1,0)</f>
        <v>0</v>
      </c>
      <c r="CT1285" s="18"/>
      <c r="CU1285" s="128">
        <f>VLOOKUP($E1285,[2]Current!$A:$AC,17,FALSE)</f>
        <v>0</v>
      </c>
      <c r="CV1285" s="128">
        <f>CU1285/$AS1285</f>
        <v>0</v>
      </c>
      <c r="CW1285" s="18"/>
      <c r="CX1285" s="18"/>
      <c r="CY1285" s="18"/>
      <c r="DF1285" s="16" t="e">
        <f>VLOOKUP(K1285,'[3]RNA Seq summary tables'!$V$3:$V$99,1,FALSE)</f>
        <v>#N/A</v>
      </c>
      <c r="DG1285" s="126" t="s">
        <v>116</v>
      </c>
    </row>
    <row r="1286" spans="2:288" ht="16" x14ac:dyDescent="0.2">
      <c r="B1286" s="16">
        <v>2018</v>
      </c>
      <c r="C1286" s="124">
        <v>43277</v>
      </c>
      <c r="D1286" t="s">
        <v>868</v>
      </c>
      <c r="E1286" s="37" t="str">
        <f>CONCATENATE(T1286,"-",U1286,"-",C1286)</f>
        <v>HW1-E1-43277</v>
      </c>
      <c r="F1286" s="16" t="s">
        <v>227</v>
      </c>
      <c r="G1286" s="126" t="s">
        <v>107</v>
      </c>
      <c r="H1286" s="126"/>
      <c r="J1286" s="126">
        <v>1436</v>
      </c>
      <c r="K1286" s="126">
        <v>2518</v>
      </c>
      <c r="O1286" s="15" t="s">
        <v>214</v>
      </c>
      <c r="Q1286" s="16">
        <f t="shared" si="6"/>
        <v>1</v>
      </c>
      <c r="R1286" s="16">
        <f t="shared" si="7"/>
        <v>17</v>
      </c>
      <c r="T1286" s="126" t="s">
        <v>133</v>
      </c>
      <c r="U1286" s="126" t="s">
        <v>222</v>
      </c>
      <c r="V1286" s="126" t="s">
        <v>114</v>
      </c>
      <c r="X1286" s="126" t="s">
        <v>115</v>
      </c>
      <c r="Y1286" s="126" t="s">
        <v>110</v>
      </c>
      <c r="Z1286" s="126">
        <v>3</v>
      </c>
      <c r="AA1286" s="126"/>
      <c r="AB1286" s="126"/>
      <c r="AC1286" s="126"/>
      <c r="AD1286" s="126"/>
      <c r="AE1286" s="126" t="s">
        <v>116</v>
      </c>
      <c r="AG1286" s="16">
        <f>AH1286-AI1286</f>
        <v>87</v>
      </c>
      <c r="AH1286" s="126">
        <v>158</v>
      </c>
      <c r="AI1286" s="126">
        <v>71</v>
      </c>
      <c r="AK1286" s="126">
        <v>22.5</v>
      </c>
      <c r="AL1286" s="126">
        <v>0</v>
      </c>
      <c r="AM1286" s="126">
        <v>0</v>
      </c>
      <c r="AN1286" s="126">
        <v>0</v>
      </c>
      <c r="AO1286" s="16">
        <f>IF(SUM(AL1286:AN1286)&gt;0,1,0)</f>
        <v>0</v>
      </c>
      <c r="AP1286" s="18">
        <f>SUM(AL1286:AN1286)</f>
        <v>0</v>
      </c>
      <c r="AR1286" s="16">
        <v>0.30800000000000005</v>
      </c>
      <c r="AS1286" s="16">
        <f>VLOOKUP(E1286,'[1]Feces weights'!$D$1:$H$459,5,FALSE)</f>
        <v>0.30800000000000005</v>
      </c>
      <c r="AT1286" s="16" t="str">
        <f>VLOOKUP(E1286,[2]Current!$A$1:$W$435,7,FALSE)</f>
        <v>LV</v>
      </c>
      <c r="AU1286" s="16" t="s">
        <v>1288</v>
      </c>
      <c r="AW1286" s="128">
        <f>IF(AX1286&gt;0,1,0)</f>
        <v>1</v>
      </c>
      <c r="AX1286" s="128">
        <f>SUM(BA1286,BM1286,CU1286)</f>
        <v>3</v>
      </c>
      <c r="AY1286" s="128">
        <f>SUM(BB1286,BN1286,CV1286)</f>
        <v>6954.5454545454531</v>
      </c>
      <c r="AZ1286" s="128">
        <f>IF(BA1286&gt;0,1,0)</f>
        <v>1</v>
      </c>
      <c r="BA1286" s="128">
        <f>SUM(BC1286+BF1286+BI1286)</f>
        <v>3</v>
      </c>
      <c r="BB1286" s="128">
        <f>SUM(BE1286,BH1286,BK1286)</f>
        <v>6954.5454545454531</v>
      </c>
      <c r="BC1286" s="130">
        <f>IF(BD1286&gt;0,1,0)</f>
        <v>1</v>
      </c>
      <c r="BD1286" s="128">
        <f>VLOOKUP($E1286,[2]Current!$A:$AC,26,FALSE)</f>
        <v>18</v>
      </c>
      <c r="BE1286" s="128">
        <f>BD1286/$AS1286</f>
        <v>58.441558441558435</v>
      </c>
      <c r="BF1286" s="130">
        <f>IF(BG1286&gt;0,1,0)</f>
        <v>1</v>
      </c>
      <c r="BG1286" s="137">
        <f>VLOOKUP($E1286,[2]Current!$A:$AC,27,FALSE)</f>
        <v>2096</v>
      </c>
      <c r="BH1286" s="128">
        <f>BG1286/$AS1286</f>
        <v>6805.1948051948038</v>
      </c>
      <c r="BI1286" s="130">
        <f>IF(BJ1286&gt;0,1,0)</f>
        <v>1</v>
      </c>
      <c r="BJ1286" s="128">
        <f>VLOOKUP($E1286,[2]Current!$A:$AC,28,FALSE)</f>
        <v>28</v>
      </c>
      <c r="BK1286" s="128">
        <f>BJ1286/$AS1286</f>
        <v>90.909090909090892</v>
      </c>
      <c r="BL1286" s="128">
        <f>IF(BM1286&gt;0,1,0)</f>
        <v>0</v>
      </c>
      <c r="BM1286" s="128">
        <f>SUM(BR1286,BU1286,BX1286,CA1286,CD1286)</f>
        <v>0</v>
      </c>
      <c r="BN1286" s="131">
        <f>SUM(BT1286,BW1286,BZ1286,CC1286,CF1286)</f>
        <v>0</v>
      </c>
      <c r="BO1286" s="128">
        <f>IF(BP1286&gt;0,1,0)</f>
        <v>0</v>
      </c>
      <c r="BP1286" s="128">
        <f>BM1286+CJ1286</f>
        <v>0</v>
      </c>
      <c r="BQ1286" s="128">
        <f>BN1286+CL1286</f>
        <v>0</v>
      </c>
      <c r="BR1286" s="130">
        <f>IF(BS1286&gt;0,1,0)</f>
        <v>0</v>
      </c>
      <c r="BS1286" s="128">
        <f>VLOOKUP($E1286,[2]Current!$A:$AC,12,FALSE)</f>
        <v>0</v>
      </c>
      <c r="BT1286" s="137">
        <f>BS1286/$AS1286</f>
        <v>0</v>
      </c>
      <c r="BU1286" s="130">
        <f>IF(BV1286&gt;0,1,0)</f>
        <v>0</v>
      </c>
      <c r="BV1286" s="128">
        <f>VLOOKUP($E1286,[2]Current!$A:$AC,13,FALSE)</f>
        <v>0</v>
      </c>
      <c r="BW1286" s="128">
        <f>BV1286/$AS1286</f>
        <v>0</v>
      </c>
      <c r="BX1286" s="130">
        <f>IF(BY1286&gt;0,1,0)</f>
        <v>0</v>
      </c>
      <c r="BY1286" s="128">
        <f>VLOOKUP($E1286,[2]Current!$A:$AC,14,FALSE)</f>
        <v>0</v>
      </c>
      <c r="BZ1286" s="128">
        <f>BY1286/$AS1286</f>
        <v>0</v>
      </c>
      <c r="CA1286" s="130">
        <f>IF(CB1286&gt;0,1,0)</f>
        <v>0</v>
      </c>
      <c r="CB1286" s="128">
        <f>VLOOKUP($E1286,[2]Current!$A:$AC,15,FALSE)</f>
        <v>0</v>
      </c>
      <c r="CC1286" s="128">
        <f>CB1286/$AS1286</f>
        <v>0</v>
      </c>
      <c r="CD1286" s="174">
        <f>IF(CE1286&gt;0,1,0)</f>
        <v>0</v>
      </c>
      <c r="CE1286" s="128">
        <f>VLOOKUP($E1286,[2]Current!$A:$AC,16,FALSE)</f>
        <v>0</v>
      </c>
      <c r="CF1286" s="128">
        <f>CE1286/$AS1286</f>
        <v>0</v>
      </c>
      <c r="CG1286" s="18"/>
      <c r="CH1286" s="18"/>
      <c r="CI1286" s="18"/>
      <c r="CJ1286" s="130">
        <f>IF(CK1286&gt;0,1,0)</f>
        <v>0</v>
      </c>
      <c r="CK1286" s="128">
        <f>VLOOKUP($E1286,[2]Current!$A:$AC,18,FALSE)</f>
        <v>0</v>
      </c>
      <c r="CL1286" s="128">
        <f>CK1286/$AS1286</f>
        <v>0</v>
      </c>
      <c r="CS1286" s="130">
        <f>IF(CU1286&gt;0,1,0)</f>
        <v>0</v>
      </c>
      <c r="CT1286" s="30"/>
      <c r="CU1286" s="128">
        <f>VLOOKUP($E1286,[2]Current!$A:$AC,17,FALSE)</f>
        <v>0</v>
      </c>
      <c r="CV1286" s="128">
        <f>CU1286/$AS1286</f>
        <v>0</v>
      </c>
      <c r="CW1286" s="18"/>
      <c r="CX1286" s="18"/>
      <c r="CY1286" s="18"/>
      <c r="DF1286" s="16" t="e">
        <f>VLOOKUP(K1286,'[3]RNA Seq summary tables'!$V$3:$V$99,1,FALSE)</f>
        <v>#N/A</v>
      </c>
      <c r="DG1286" s="126" t="s">
        <v>116</v>
      </c>
    </row>
    <row r="1287" spans="2:288" ht="16" x14ac:dyDescent="0.2">
      <c r="B1287" s="16">
        <v>2018</v>
      </c>
      <c r="C1287" s="124">
        <v>43294</v>
      </c>
      <c r="D1287" t="s">
        <v>958</v>
      </c>
      <c r="E1287" s="142" t="str">
        <f>CONCATENATE(T1287,"-",U1287,"-",C1287)</f>
        <v>HW1-G3-43294</v>
      </c>
      <c r="F1287" s="16" t="s">
        <v>227</v>
      </c>
      <c r="G1287" s="126" t="s">
        <v>107</v>
      </c>
      <c r="H1287" s="126"/>
      <c r="J1287" s="126">
        <v>1436</v>
      </c>
      <c r="K1287" s="126">
        <v>2597</v>
      </c>
      <c r="O1287" s="15" t="s">
        <v>214</v>
      </c>
      <c r="Q1287" s="16">
        <f t="shared" si="6"/>
        <v>1</v>
      </c>
      <c r="R1287" s="16">
        <f t="shared" si="7"/>
        <v>17</v>
      </c>
      <c r="T1287" s="126" t="s">
        <v>133</v>
      </c>
      <c r="U1287" s="126" t="s">
        <v>179</v>
      </c>
      <c r="V1287" s="126" t="s">
        <v>114</v>
      </c>
      <c r="X1287" s="126" t="s">
        <v>115</v>
      </c>
      <c r="Y1287" s="126" t="s">
        <v>110</v>
      </c>
      <c r="Z1287" s="126">
        <v>3</v>
      </c>
      <c r="AA1287" s="126"/>
      <c r="AB1287" s="126"/>
      <c r="AC1287" s="126"/>
      <c r="AD1287" s="126" t="s">
        <v>116</v>
      </c>
      <c r="AE1287" s="126" t="s">
        <v>116</v>
      </c>
      <c r="AG1287" s="16">
        <f>AH1287-AI1287</f>
        <v>90</v>
      </c>
      <c r="AH1287" s="126">
        <v>163</v>
      </c>
      <c r="AI1287" s="126">
        <v>73</v>
      </c>
      <c r="AK1287" s="126">
        <v>21</v>
      </c>
      <c r="AL1287" s="126">
        <v>0</v>
      </c>
      <c r="AM1287" s="126">
        <v>0</v>
      </c>
      <c r="AN1287" s="126">
        <v>0</v>
      </c>
      <c r="AO1287" s="16">
        <f>IF(SUM(AL1287:AN1287)&gt;0,1,0)</f>
        <v>0</v>
      </c>
      <c r="AP1287" s="18">
        <f>SUM(AL1287:AN1287)</f>
        <v>0</v>
      </c>
      <c r="AR1287" s="16">
        <v>0.18400000000000016</v>
      </c>
      <c r="AS1287" s="16">
        <f>VLOOKUP(E1287,'[1]Feces weights'!$D$1:$H$459,5,FALSE)</f>
        <v>0.18400000000000016</v>
      </c>
      <c r="AT1287" s="16" t="e">
        <f>VLOOKUP(E1287,[2]Current!$A$1:$W$435,7,FALSE)</f>
        <v>#N/A</v>
      </c>
      <c r="AU1287" s="16">
        <v>0</v>
      </c>
      <c r="BG1287" s="77"/>
      <c r="BN1287" s="126"/>
      <c r="BT1287" s="78"/>
      <c r="BU1287" s="18"/>
      <c r="BV1287" s="18"/>
      <c r="BW1287" s="25"/>
      <c r="BX1287" s="18"/>
      <c r="BY1287" s="18"/>
      <c r="BZ1287" s="25"/>
      <c r="CA1287" s="18"/>
      <c r="CB1287" s="18"/>
      <c r="CC1287" s="25"/>
      <c r="CD1287" s="78"/>
      <c r="CE1287" s="18"/>
      <c r="CF1287" s="25"/>
      <c r="CG1287" s="18"/>
      <c r="CH1287" s="18"/>
      <c r="CI1287" s="18"/>
      <c r="CJ1287" s="18"/>
      <c r="CK1287" s="18"/>
      <c r="CL1287" s="25"/>
      <c r="DF1287" s="16" t="e">
        <f>VLOOKUP(K1287,'[3]RNA Seq summary tables'!$V$3:$V$99,1,FALSE)</f>
        <v>#N/A</v>
      </c>
      <c r="DG1287" s="126" t="s">
        <v>116</v>
      </c>
      <c r="JR1287" s="18"/>
      <c r="JS1287" s="18"/>
      <c r="JT1287" s="18"/>
      <c r="JU1287" s="18"/>
      <c r="JV1287" s="18"/>
      <c r="JW1287" s="18"/>
      <c r="JX1287" s="18"/>
      <c r="JY1287" s="18"/>
      <c r="JZ1287" s="18"/>
      <c r="KA1287" s="18"/>
      <c r="KB1287" s="18"/>
    </row>
    <row r="1288" spans="2:288" ht="16" x14ac:dyDescent="0.2">
      <c r="B1288" s="16">
        <v>2018</v>
      </c>
      <c r="C1288" s="124">
        <v>43242</v>
      </c>
      <c r="D1288" t="s">
        <v>730</v>
      </c>
      <c r="E1288" s="37" t="str">
        <f>CONCATENATE(T1288,"-",U1288,"-",C1288)</f>
        <v>HW2-C1-43242</v>
      </c>
      <c r="F1288" s="16" t="s">
        <v>227</v>
      </c>
      <c r="G1288" s="126" t="s">
        <v>107</v>
      </c>
      <c r="H1288" s="126"/>
      <c r="J1288" s="126">
        <v>1438</v>
      </c>
      <c r="K1288" s="126">
        <v>2365</v>
      </c>
      <c r="O1288" s="15" t="s">
        <v>214</v>
      </c>
      <c r="Q1288" s="16">
        <f t="shared" si="6"/>
        <v>0</v>
      </c>
      <c r="R1288" s="16" t="str">
        <f t="shared" si="7"/>
        <v/>
      </c>
      <c r="T1288" s="126" t="s">
        <v>129</v>
      </c>
      <c r="U1288" s="126" t="s">
        <v>150</v>
      </c>
      <c r="V1288" s="126" t="s">
        <v>114</v>
      </c>
      <c r="X1288" s="126" t="s">
        <v>121</v>
      </c>
      <c r="Y1288" s="126" t="s">
        <v>110</v>
      </c>
      <c r="Z1288" s="126">
        <v>3</v>
      </c>
      <c r="AA1288" s="126" t="s">
        <v>119</v>
      </c>
      <c r="AB1288" s="126" t="s">
        <v>115</v>
      </c>
      <c r="AC1288" s="126" t="s">
        <v>116</v>
      </c>
      <c r="AD1288" s="126"/>
      <c r="AE1288" s="126"/>
      <c r="AG1288" s="16">
        <f>AH1288-AI1288</f>
        <v>95</v>
      </c>
      <c r="AH1288" s="126">
        <v>171</v>
      </c>
      <c r="AI1288" s="126">
        <v>76</v>
      </c>
      <c r="AK1288" s="126">
        <v>27</v>
      </c>
      <c r="AL1288" s="126">
        <v>1</v>
      </c>
      <c r="AM1288" s="126">
        <v>0</v>
      </c>
      <c r="AN1288" s="126">
        <v>0</v>
      </c>
      <c r="AO1288" s="16">
        <f>IF(SUM(AL1288:AN1288)&gt;0,1,0)</f>
        <v>1</v>
      </c>
      <c r="AP1288" s="18">
        <f>SUM(AL1288:AN1288)</f>
        <v>1</v>
      </c>
      <c r="AR1288" s="16">
        <v>0.89700000000000002</v>
      </c>
      <c r="AS1288" s="16">
        <f>VLOOKUP(E1288,'[1]Feces weights'!$D$1:$H$459,5,FALSE)</f>
        <v>0.89700000000000002</v>
      </c>
      <c r="AT1288" s="16" t="str">
        <f>VLOOKUP(E1288,[9]Current!$A:$T,7,FALSE)</f>
        <v>JB</v>
      </c>
      <c r="AU1288" s="18" t="s">
        <v>1290</v>
      </c>
      <c r="AW1288" s="177">
        <f>IF(AY1288&gt;0,1,0)</f>
        <v>1</v>
      </c>
      <c r="AX1288" s="177">
        <f>SUM(BA1288,BM1288,CU1288)</f>
        <v>4</v>
      </c>
      <c r="AY1288" s="177">
        <f>SUM(BB1288,BN1288,CV1288)</f>
        <v>14186.176142697879</v>
      </c>
      <c r="AZ1288" s="177">
        <f>IF(BB1288&gt;0,1,0)</f>
        <v>1</v>
      </c>
      <c r="BA1288" s="177">
        <f>SUM(BC1288+BF1288+BI1288)</f>
        <v>3</v>
      </c>
      <c r="BB1288" s="177">
        <f>SUM(BE1288,BH1288,BK1288)</f>
        <v>14183.946488294312</v>
      </c>
      <c r="BC1288" s="178">
        <f>IF(BD1288&gt;0,1,0)</f>
        <v>1</v>
      </c>
      <c r="BD1288" s="177">
        <f>VLOOKUP($E1288,[9]Current!$1:$1048576,8,FALSE)</f>
        <v>589</v>
      </c>
      <c r="BE1288" s="177">
        <f>BD1288/$AS1288</f>
        <v>656.63322185061315</v>
      </c>
      <c r="BF1288" s="178">
        <f>IF(BG1288&gt;0,1,0)</f>
        <v>1</v>
      </c>
      <c r="BG1288" s="179">
        <f>VLOOKUP($E1288,[9]Current!$1:$1048576,9,FALSE)</f>
        <v>11827</v>
      </c>
      <c r="BH1288" s="177">
        <f>BG1288/$AS1288</f>
        <v>13185.061315496097</v>
      </c>
      <c r="BI1288" s="178">
        <f>IF(BJ1288&gt;0,1,0)</f>
        <v>1</v>
      </c>
      <c r="BJ1288" s="177">
        <f>VLOOKUP($E1288,[9]Current!$1:$1048576,10,FALSE)</f>
        <v>307</v>
      </c>
      <c r="BK1288" s="177">
        <f>BJ1288/$AS1288</f>
        <v>342.25195094760312</v>
      </c>
      <c r="BL1288" s="177">
        <f>IF(BM1288&gt;0,1,0)</f>
        <v>1</v>
      </c>
      <c r="BM1288" s="177">
        <f>SUM(BR1288,BU1288,BX1288,CA1288,CD1288)</f>
        <v>1</v>
      </c>
      <c r="BN1288" s="181">
        <f>SUM(BT1288,BW1288,BZ1288,CC1288,CF1288)</f>
        <v>2.229654403567447</v>
      </c>
      <c r="BO1288" s="177">
        <f>IF(BP1288&gt;0,1,0)</f>
        <v>1</v>
      </c>
      <c r="BP1288" s="177">
        <f>BM1288+CJ1288</f>
        <v>1</v>
      </c>
      <c r="BQ1288" s="177">
        <f>BN1288+CL1288</f>
        <v>2.229654403567447</v>
      </c>
      <c r="BR1288" s="178">
        <f>IF(BS1288&gt;0,1,0)</f>
        <v>0</v>
      </c>
      <c r="BS1288" s="177">
        <f>VLOOKUP($E1288,[9]Current!$1:$1048576,12,FALSE)</f>
        <v>0</v>
      </c>
      <c r="BT1288" s="179">
        <f>BS1288/$AS1288</f>
        <v>0</v>
      </c>
      <c r="BU1288" s="178">
        <f>IF(BV1288&gt;0,1,0)</f>
        <v>0</v>
      </c>
      <c r="BV1288" s="177">
        <f>VLOOKUP($E1288,[9]Current!$1:$1048576,13,FALSE)</f>
        <v>0</v>
      </c>
      <c r="BW1288" s="177">
        <f>BV1288/$AS1288</f>
        <v>0</v>
      </c>
      <c r="BX1288" s="178">
        <f>IF(BY1288&gt;0,1,0)</f>
        <v>0</v>
      </c>
      <c r="BY1288" s="177">
        <f>VLOOKUP($E1288,[9]Current!$1:$1048576,14,FALSE)</f>
        <v>0</v>
      </c>
      <c r="BZ1288" s="177">
        <f>BY1288/$AS1288</f>
        <v>0</v>
      </c>
      <c r="CA1288" s="178">
        <f>IF(CB1288&gt;0,1,0)</f>
        <v>1</v>
      </c>
      <c r="CB1288" s="177">
        <f>VLOOKUP($E1288,[9]Current!$1:$1048576,15,FALSE)</f>
        <v>2</v>
      </c>
      <c r="CC1288" s="177">
        <f>CB1288/$AS1288</f>
        <v>2.229654403567447</v>
      </c>
      <c r="CD1288" s="180">
        <f>IF(CE1288&gt;0,1,0)</f>
        <v>0</v>
      </c>
      <c r="CE1288" s="177">
        <f>VLOOKUP($E1288,[9]Current!$1:$1048576,16,FALSE)</f>
        <v>0</v>
      </c>
      <c r="CF1288" s="177">
        <f>CE1288/$AS1288</f>
        <v>0</v>
      </c>
      <c r="CG1288" s="18"/>
      <c r="CH1288" s="18"/>
      <c r="CI1288" s="18"/>
      <c r="CJ1288" s="178">
        <f>IF(CK1288&gt;0,1,0)</f>
        <v>0</v>
      </c>
      <c r="CK1288" s="177">
        <f>VLOOKUP($E1288,[9]Current!$1:$1048576,18,FALSE)</f>
        <v>0</v>
      </c>
      <c r="CL1288" s="177">
        <f>CK1288/$AS1288</f>
        <v>0</v>
      </c>
      <c r="CS1288" s="178">
        <f>IF(CU1288&gt;0,1,0)</f>
        <v>0</v>
      </c>
      <c r="CT1288" s="177"/>
      <c r="CU1288" s="177">
        <f>VLOOKUP($E1288,[9]Current!$1:$1048576,17,FALSE)</f>
        <v>0</v>
      </c>
      <c r="CV1288" s="177">
        <f>CU1288/$AS1288</f>
        <v>0</v>
      </c>
      <c r="DF1288" s="16" t="e">
        <f>VLOOKUP(K1288,'[3]RNA Seq summary tables'!$V$3:$V$99,1,FALSE)</f>
        <v>#N/A</v>
      </c>
      <c r="DG1288" s="126" t="s">
        <v>116</v>
      </c>
    </row>
    <row r="1289" spans="2:288" ht="16" x14ac:dyDescent="0.2">
      <c r="B1289" s="16">
        <v>2018</v>
      </c>
      <c r="C1289" s="124">
        <v>43260</v>
      </c>
      <c r="D1289" t="s">
        <v>780</v>
      </c>
      <c r="E1289" s="37" t="str">
        <f>CONCATENATE(T1289,"-",U1289,"-",C1289)</f>
        <v>HW2-B1-43260</v>
      </c>
      <c r="F1289" s="16" t="s">
        <v>227</v>
      </c>
      <c r="G1289" s="126" t="s">
        <v>107</v>
      </c>
      <c r="H1289" s="126"/>
      <c r="J1289" s="126">
        <v>1438</v>
      </c>
      <c r="K1289" s="126">
        <v>2423</v>
      </c>
      <c r="O1289" s="15" t="s">
        <v>214</v>
      </c>
      <c r="Q1289" s="16">
        <f t="shared" si="6"/>
        <v>1</v>
      </c>
      <c r="R1289" s="16">
        <f t="shared" si="7"/>
        <v>18</v>
      </c>
      <c r="T1289" s="126" t="s">
        <v>129</v>
      </c>
      <c r="U1289" s="126" t="s">
        <v>113</v>
      </c>
      <c r="V1289" s="126" t="s">
        <v>114</v>
      </c>
      <c r="X1289" s="126" t="s">
        <v>121</v>
      </c>
      <c r="Y1289" s="126" t="s">
        <v>110</v>
      </c>
      <c r="Z1289" s="126">
        <v>3</v>
      </c>
      <c r="AA1289" s="126" t="s">
        <v>119</v>
      </c>
      <c r="AB1289" s="126" t="s">
        <v>123</v>
      </c>
      <c r="AC1289" s="126" t="s">
        <v>116</v>
      </c>
      <c r="AD1289" s="126"/>
      <c r="AE1289" s="126"/>
      <c r="AG1289" s="16">
        <f>AH1289-AI1289</f>
        <v>84</v>
      </c>
      <c r="AH1289" s="126">
        <v>165</v>
      </c>
      <c r="AI1289" s="126">
        <v>81</v>
      </c>
      <c r="AK1289" s="126">
        <v>26</v>
      </c>
      <c r="AL1289" s="126">
        <v>0</v>
      </c>
      <c r="AM1289" s="126">
        <v>0</v>
      </c>
      <c r="AN1289" s="126">
        <v>0</v>
      </c>
      <c r="AO1289" s="16">
        <f>IF(SUM(AL1289:AN1289)&gt;0,1,0)</f>
        <v>0</v>
      </c>
      <c r="AP1289" s="18">
        <f>SUM(AL1289:AN1289)</f>
        <v>0</v>
      </c>
      <c r="AR1289" s="16">
        <v>0.11500000000000021</v>
      </c>
      <c r="AS1289" s="16">
        <f>VLOOKUP(E1289,'[1]Feces weights'!$D$1:$H$459,5,FALSE)</f>
        <v>0.11500000000000021</v>
      </c>
      <c r="AT1289" s="16" t="str">
        <f>VLOOKUP(E1289,[2]Current!$A$1:$W$435,7,FALSE)</f>
        <v>DP</v>
      </c>
      <c r="AU1289" s="16" t="s">
        <v>1288</v>
      </c>
      <c r="AW1289" s="128">
        <f>IF(AX1289&gt;0,1,0)</f>
        <v>1</v>
      </c>
      <c r="AX1289" s="128">
        <f>SUM(BA1289,BM1289,CU1289)</f>
        <v>696</v>
      </c>
      <c r="AY1289" s="128">
        <f>SUM(BB1289,BN1289,CV1289)</f>
        <v>6104.3478260869451</v>
      </c>
      <c r="AZ1289" s="128">
        <f>IF(BA1289&gt;0,1,0)</f>
        <v>1</v>
      </c>
      <c r="BA1289" s="128">
        <f>SUM(BC1289+BF1289+BI1289)</f>
        <v>2</v>
      </c>
      <c r="BB1289" s="128">
        <f>SUM(BE1289,BH1289,BK1289)</f>
        <v>69.565217391304216</v>
      </c>
      <c r="BC1289" s="130">
        <f>IF(BD1289&gt;0,1,0)</f>
        <v>1</v>
      </c>
      <c r="BD1289" s="128">
        <f>VLOOKUP($E1289,[2]Current!$A:$AC,26,FALSE)</f>
        <v>2</v>
      </c>
      <c r="BE1289" s="128">
        <f>BD1289/$AS1289</f>
        <v>17.391304347826054</v>
      </c>
      <c r="BF1289" s="130">
        <f>IF(BG1289&gt;0,1,0)</f>
        <v>1</v>
      </c>
      <c r="BG1289" s="137">
        <f>VLOOKUP($E1289,[2]Current!$A:$AC,27,FALSE)</f>
        <v>6</v>
      </c>
      <c r="BH1289" s="128">
        <f>BG1289/$AS1289</f>
        <v>52.173913043478166</v>
      </c>
      <c r="BI1289" s="130">
        <f>IF(BJ1289&gt;0,1,0)</f>
        <v>0</v>
      </c>
      <c r="BJ1289" s="128">
        <f>VLOOKUP($E1289,[2]Current!$A:$AC,28,FALSE)</f>
        <v>0</v>
      </c>
      <c r="BK1289" s="128">
        <f>BJ1289/$AS1289</f>
        <v>0</v>
      </c>
      <c r="BL1289" s="128">
        <f>IF(BM1289&gt;0,1,0)</f>
        <v>0</v>
      </c>
      <c r="BM1289" s="128">
        <f>SUM(BR1289,BU1289,BX1289,CA1289,CD1289)</f>
        <v>0</v>
      </c>
      <c r="BN1289" s="131">
        <f>SUM(BT1289,BW1289,BZ1289,CC1289,CF1289)</f>
        <v>0</v>
      </c>
      <c r="BO1289" s="128">
        <f>IF(BP1289&gt;0,1,0)</f>
        <v>0</v>
      </c>
      <c r="BP1289" s="128">
        <f>BM1289+CJ1289</f>
        <v>0</v>
      </c>
      <c r="BQ1289" s="128">
        <f>BN1289+CL1289</f>
        <v>0</v>
      </c>
      <c r="BR1289" s="130">
        <f>IF(BS1289&gt;0,1,0)</f>
        <v>0</v>
      </c>
      <c r="BS1289" s="128">
        <f>VLOOKUP($E1289,[2]Current!$A:$AC,12,FALSE)</f>
        <v>0</v>
      </c>
      <c r="BT1289" s="137">
        <f>BS1289/$AS1289</f>
        <v>0</v>
      </c>
      <c r="BU1289" s="130">
        <f>IF(BV1289&gt;0,1,0)</f>
        <v>0</v>
      </c>
      <c r="BV1289" s="128">
        <f>VLOOKUP($E1289,[2]Current!$A:$AC,13,FALSE)</f>
        <v>0</v>
      </c>
      <c r="BW1289" s="128">
        <f>BV1289/$AS1289</f>
        <v>0</v>
      </c>
      <c r="BX1289" s="130">
        <f>IF(BY1289&gt;0,1,0)</f>
        <v>0</v>
      </c>
      <c r="BY1289" s="128">
        <f>VLOOKUP($E1289,[2]Current!$A:$AC,14,FALSE)</f>
        <v>0</v>
      </c>
      <c r="BZ1289" s="128">
        <f>BY1289/$AS1289</f>
        <v>0</v>
      </c>
      <c r="CA1289" s="130">
        <f>IF(CB1289&gt;0,1,0)</f>
        <v>0</v>
      </c>
      <c r="CB1289" s="128">
        <f>VLOOKUP($E1289,[2]Current!$A:$AC,15,FALSE)</f>
        <v>0</v>
      </c>
      <c r="CC1289" s="128">
        <f>CB1289/$AS1289</f>
        <v>0</v>
      </c>
      <c r="CD1289" s="174">
        <f>IF(CE1289&gt;0,1,0)</f>
        <v>0</v>
      </c>
      <c r="CE1289" s="128">
        <f>VLOOKUP($E1289,[2]Current!$A:$AC,16,FALSE)</f>
        <v>0</v>
      </c>
      <c r="CF1289" s="128">
        <f>CE1289/$AS1289</f>
        <v>0</v>
      </c>
      <c r="CG1289" s="18"/>
      <c r="CH1289" s="18"/>
      <c r="CI1289" s="18"/>
      <c r="CJ1289" s="130">
        <f>IF(CK1289&gt;0,1,0)</f>
        <v>0</v>
      </c>
      <c r="CK1289" s="128">
        <f>VLOOKUP($E1289,[2]Current!$A:$AC,18,FALSE)</f>
        <v>0</v>
      </c>
      <c r="CL1289" s="128">
        <f>CK1289/$AS1289</f>
        <v>0</v>
      </c>
      <c r="CS1289" s="130">
        <f>IF(CU1289&gt;0,1,0)</f>
        <v>1</v>
      </c>
      <c r="CT1289" s="18"/>
      <c r="CU1289" s="128">
        <f>VLOOKUP($E1289,[2]Current!$A:$AC,17,FALSE)</f>
        <v>694</v>
      </c>
      <c r="CV1289" s="128">
        <f>CU1289/$AS1289</f>
        <v>6034.7826086956411</v>
      </c>
      <c r="DF1289" s="16" t="e">
        <f>VLOOKUP(K1289,'[3]RNA Seq summary tables'!$V$3:$V$99,1,FALSE)</f>
        <v>#N/A</v>
      </c>
      <c r="DG1289" s="125"/>
    </row>
    <row r="1290" spans="2:288" ht="16" x14ac:dyDescent="0.2">
      <c r="B1290" s="16">
        <v>2018</v>
      </c>
      <c r="C1290" s="124">
        <v>43277</v>
      </c>
      <c r="D1290" t="s">
        <v>865</v>
      </c>
      <c r="E1290" s="37" t="str">
        <f>CONCATENATE(T1290,"-",U1290,"-",C1290)</f>
        <v>HW2-G2-43277</v>
      </c>
      <c r="F1290" s="16" t="s">
        <v>227</v>
      </c>
      <c r="G1290" s="126" t="s">
        <v>107</v>
      </c>
      <c r="H1290" s="126" t="s">
        <v>1116</v>
      </c>
      <c r="J1290" s="126">
        <v>1438</v>
      </c>
      <c r="K1290" s="126">
        <v>2501</v>
      </c>
      <c r="O1290" s="15" t="s">
        <v>214</v>
      </c>
      <c r="Q1290" s="16">
        <f t="shared" si="6"/>
        <v>1</v>
      </c>
      <c r="R1290" s="16">
        <f t="shared" si="7"/>
        <v>17</v>
      </c>
      <c r="T1290" s="126" t="s">
        <v>129</v>
      </c>
      <c r="U1290" s="126" t="s">
        <v>128</v>
      </c>
      <c r="V1290" s="126" t="s">
        <v>114</v>
      </c>
      <c r="X1290" s="126" t="s">
        <v>121</v>
      </c>
      <c r="Y1290" s="126" t="s">
        <v>110</v>
      </c>
      <c r="Z1290" s="126">
        <v>3</v>
      </c>
      <c r="AA1290" s="126" t="s">
        <v>119</v>
      </c>
      <c r="AB1290" s="126" t="s">
        <v>116</v>
      </c>
      <c r="AC1290" s="126" t="s">
        <v>116</v>
      </c>
      <c r="AD1290" s="126"/>
      <c r="AE1290" s="126"/>
      <c r="AG1290" s="16">
        <f>AH1290-AI1290</f>
        <v>90</v>
      </c>
      <c r="AH1290" s="126">
        <v>166</v>
      </c>
      <c r="AI1290" s="126">
        <v>76</v>
      </c>
      <c r="AK1290" s="126">
        <v>26</v>
      </c>
      <c r="AL1290" s="126">
        <v>0</v>
      </c>
      <c r="AM1290" s="126">
        <v>0</v>
      </c>
      <c r="AN1290" s="126">
        <v>0</v>
      </c>
      <c r="AO1290" s="16">
        <f>IF(SUM(AL1290:AN1290)&gt;0,1,0)</f>
        <v>0</v>
      </c>
      <c r="AP1290" s="18">
        <f>SUM(AL1290:AN1290)</f>
        <v>0</v>
      </c>
      <c r="AR1290" s="16">
        <v>0.2200000000000002</v>
      </c>
      <c r="AS1290" s="16">
        <f>VLOOKUP(E1290,'[1]Feces weights'!$D$1:$H$459,5,FALSE)</f>
        <v>0.2200000000000002</v>
      </c>
      <c r="AT1290" s="16" t="str">
        <f>VLOOKUP(E1290,[2]Current!$A$1:$W$435,7,FALSE)</f>
        <v>DP</v>
      </c>
      <c r="AU1290" s="16" t="s">
        <v>1288</v>
      </c>
      <c r="AW1290" s="128">
        <f>IF(AX1290&gt;0,1,0)</f>
        <v>1</v>
      </c>
      <c r="AX1290" s="128">
        <f>SUM(BA1290,BM1290,CU1290)</f>
        <v>647</v>
      </c>
      <c r="AY1290" s="128">
        <f>SUM(BB1290,BN1290,CV1290)</f>
        <v>33290.909090909066</v>
      </c>
      <c r="AZ1290" s="128">
        <f>IF(BA1290&gt;0,1,0)</f>
        <v>1</v>
      </c>
      <c r="BA1290" s="128">
        <f>SUM(BC1290+BF1290+BI1290)</f>
        <v>3</v>
      </c>
      <c r="BB1290" s="128">
        <f>SUM(BE1290,BH1290,BK1290)</f>
        <v>30363.636363636339</v>
      </c>
      <c r="BC1290" s="130">
        <f>IF(BD1290&gt;0,1,0)</f>
        <v>1</v>
      </c>
      <c r="BD1290" s="128">
        <f>VLOOKUP($E1290,[2]Current!$A:$AC,26,FALSE)</f>
        <v>4</v>
      </c>
      <c r="BE1290" s="128">
        <f>BD1290/$AS1290</f>
        <v>18.181818181818166</v>
      </c>
      <c r="BF1290" s="130">
        <f>IF(BG1290&gt;0,1,0)</f>
        <v>1</v>
      </c>
      <c r="BG1290" s="137">
        <f>VLOOKUP($E1290,[2]Current!$A:$AC,27,FALSE)</f>
        <v>6188</v>
      </c>
      <c r="BH1290" s="128">
        <f>BG1290/$AS1290</f>
        <v>28127.272727272702</v>
      </c>
      <c r="BI1290" s="130">
        <f>IF(BJ1290&gt;0,1,0)</f>
        <v>1</v>
      </c>
      <c r="BJ1290" s="128">
        <f>VLOOKUP($E1290,[2]Current!$A:$AC,28,FALSE)</f>
        <v>488</v>
      </c>
      <c r="BK1290" s="128">
        <f>BJ1290/$AS1290</f>
        <v>2218.1818181818162</v>
      </c>
      <c r="BL1290" s="128">
        <f>IF(BM1290&gt;0,1,0)</f>
        <v>0</v>
      </c>
      <c r="BM1290" s="128">
        <f>SUM(BR1290,BU1290,BX1290,CA1290,CD1290)</f>
        <v>0</v>
      </c>
      <c r="BN1290" s="131">
        <f>SUM(BT1290,BW1290,BZ1290,CC1290,CF1290)</f>
        <v>0</v>
      </c>
      <c r="BO1290" s="128">
        <f>IF(BP1290&gt;0,1,0)</f>
        <v>0</v>
      </c>
      <c r="BP1290" s="128">
        <f>BM1290+CJ1290</f>
        <v>0</v>
      </c>
      <c r="BQ1290" s="128">
        <f>BN1290+CL1290</f>
        <v>0</v>
      </c>
      <c r="BR1290" s="130">
        <f>IF(BS1290&gt;0,1,0)</f>
        <v>0</v>
      </c>
      <c r="BS1290" s="128">
        <f>VLOOKUP($E1290,[2]Current!$A:$AC,12,FALSE)</f>
        <v>0</v>
      </c>
      <c r="BT1290" s="137">
        <f>BS1290/$AS1290</f>
        <v>0</v>
      </c>
      <c r="BU1290" s="130">
        <f>IF(BV1290&gt;0,1,0)</f>
        <v>0</v>
      </c>
      <c r="BV1290" s="128">
        <f>VLOOKUP($E1290,[2]Current!$A:$AC,13,FALSE)</f>
        <v>0</v>
      </c>
      <c r="BW1290" s="128">
        <f>BV1290/$AS1290</f>
        <v>0</v>
      </c>
      <c r="BX1290" s="130">
        <f>IF(BY1290&gt;0,1,0)</f>
        <v>0</v>
      </c>
      <c r="BY1290" s="128">
        <f>VLOOKUP($E1290,[2]Current!$A:$AC,14,FALSE)</f>
        <v>0</v>
      </c>
      <c r="BZ1290" s="128">
        <f>BY1290/$AS1290</f>
        <v>0</v>
      </c>
      <c r="CA1290" s="130">
        <f>IF(CB1290&gt;0,1,0)</f>
        <v>0</v>
      </c>
      <c r="CB1290" s="128">
        <f>VLOOKUP($E1290,[2]Current!$A:$AC,15,FALSE)</f>
        <v>0</v>
      </c>
      <c r="CC1290" s="128">
        <f>CB1290/$AS1290</f>
        <v>0</v>
      </c>
      <c r="CD1290" s="174">
        <f>IF(CE1290&gt;0,1,0)</f>
        <v>0</v>
      </c>
      <c r="CE1290" s="128">
        <f>VLOOKUP($E1290,[2]Current!$A:$AC,16,FALSE)</f>
        <v>0</v>
      </c>
      <c r="CF1290" s="128">
        <f>CE1290/$AS1290</f>
        <v>0</v>
      </c>
      <c r="CG1290" s="18"/>
      <c r="CH1290" s="18"/>
      <c r="CI1290" s="18"/>
      <c r="CJ1290" s="130">
        <f>IF(CK1290&gt;0,1,0)</f>
        <v>0</v>
      </c>
      <c r="CK1290" s="128">
        <f>VLOOKUP($E1290,[2]Current!$A:$AC,18,FALSE)</f>
        <v>0</v>
      </c>
      <c r="CL1290" s="128">
        <f>CK1290/$AS1290</f>
        <v>0</v>
      </c>
      <c r="CS1290" s="130">
        <f>IF(CU1290&gt;0,1,0)</f>
        <v>1</v>
      </c>
      <c r="CT1290" s="30"/>
      <c r="CU1290" s="128">
        <f>VLOOKUP($E1290,[2]Current!$A:$AC,17,FALSE)</f>
        <v>644</v>
      </c>
      <c r="CV1290" s="128">
        <f>CU1290/$AS1290</f>
        <v>2927.2727272727248</v>
      </c>
      <c r="CW1290" s="18"/>
      <c r="CX1290" s="18"/>
      <c r="CY1290" s="18"/>
      <c r="DF1290" s="16" t="e">
        <f>VLOOKUP(K1290,'[3]RNA Seq summary tables'!$V$3:$V$99,1,FALSE)</f>
        <v>#N/A</v>
      </c>
      <c r="DG1290" s="126" t="s">
        <v>116</v>
      </c>
    </row>
    <row r="1291" spans="2:288" ht="16" x14ac:dyDescent="0.2">
      <c r="B1291" s="18">
        <v>2018</v>
      </c>
      <c r="C1291" s="193">
        <v>43305</v>
      </c>
      <c r="D1291" s="149" t="s">
        <v>1065</v>
      </c>
      <c r="E1291" s="37" t="str">
        <f>CONCATENATE(T1291,"-",U1291,"-",C1291)</f>
        <v>HW2-B2-43305</v>
      </c>
      <c r="F1291" s="16" t="s">
        <v>227</v>
      </c>
      <c r="G1291" s="126" t="s">
        <v>107</v>
      </c>
      <c r="H1291" s="126"/>
      <c r="J1291" s="126">
        <v>1438</v>
      </c>
      <c r="K1291" s="126">
        <v>2696</v>
      </c>
      <c r="O1291" s="15" t="s">
        <v>214</v>
      </c>
      <c r="Q1291" s="16">
        <f t="shared" si="6"/>
        <v>1</v>
      </c>
      <c r="R1291" s="16">
        <f t="shared" si="7"/>
        <v>28</v>
      </c>
      <c r="T1291" s="126" t="s">
        <v>129</v>
      </c>
      <c r="U1291" s="126" t="s">
        <v>130</v>
      </c>
      <c r="V1291" s="126" t="s">
        <v>114</v>
      </c>
      <c r="X1291" s="126" t="s">
        <v>121</v>
      </c>
      <c r="Y1291" s="126" t="s">
        <v>110</v>
      </c>
      <c r="Z1291" s="126">
        <v>3</v>
      </c>
      <c r="AA1291" s="126" t="s">
        <v>119</v>
      </c>
      <c r="AB1291" s="126" t="s">
        <v>123</v>
      </c>
      <c r="AC1291" s="126" t="s">
        <v>116</v>
      </c>
      <c r="AD1291" s="126"/>
      <c r="AE1291" s="126"/>
      <c r="AG1291" s="40">
        <f>AH1291-AI1291</f>
        <v>90</v>
      </c>
      <c r="AH1291" s="126">
        <v>166</v>
      </c>
      <c r="AI1291" s="126">
        <v>76</v>
      </c>
      <c r="AK1291" s="126">
        <v>25.5</v>
      </c>
      <c r="AL1291" s="126">
        <v>0</v>
      </c>
      <c r="AM1291" s="126">
        <v>0</v>
      </c>
      <c r="AN1291" s="126">
        <v>0</v>
      </c>
      <c r="AO1291" s="16">
        <f>IF(SUM(AL1291:AN1291)&gt;0,1,0)</f>
        <v>0</v>
      </c>
      <c r="AP1291" s="18">
        <f>SUM(AL1291:AN1291)</f>
        <v>0</v>
      </c>
      <c r="AR1291" s="16">
        <v>0.83600000000000008</v>
      </c>
      <c r="AS1291" s="16">
        <f>VLOOKUP(E1291,'[1]Feces weights'!$D$1:$H$459,5,FALSE)</f>
        <v>0.83600000000000008</v>
      </c>
      <c r="AT1291" s="16" t="str">
        <f>VLOOKUP(E1291,[2]Current!$A$1:$W$435,7,FALSE)</f>
        <v>TE</v>
      </c>
      <c r="AU1291" s="16" t="s">
        <v>1288</v>
      </c>
      <c r="AV1291" s="23">
        <v>1</v>
      </c>
      <c r="AW1291" s="128">
        <f>IF(AX1291&gt;0,1,0)</f>
        <v>0</v>
      </c>
      <c r="AX1291" s="128">
        <f>SUM(BA1291,BM1291,CU1291)</f>
        <v>0</v>
      </c>
      <c r="AY1291" s="128">
        <f>SUM(BB1291,BN1291,CV1291)</f>
        <v>0</v>
      </c>
      <c r="AZ1291" s="128">
        <f>IF(BA1291&gt;0,1,0)</f>
        <v>0</v>
      </c>
      <c r="BA1291" s="128">
        <f>SUM(BC1291+BF1291+BI1291)</f>
        <v>0</v>
      </c>
      <c r="BB1291" s="128">
        <f>SUM(BE1291,BH1291,BK1291)</f>
        <v>0</v>
      </c>
      <c r="BC1291" s="130">
        <f>IF(BD1291&gt;0,1,0)</f>
        <v>0</v>
      </c>
      <c r="BD1291" s="128">
        <f>VLOOKUP($E1291,[2]Current!$A:$AC,26,FALSE)</f>
        <v>0</v>
      </c>
      <c r="BE1291" s="128">
        <f>BD1291/$AS1291</f>
        <v>0</v>
      </c>
      <c r="BF1291" s="130">
        <f>IF(BG1291&gt;0,1,0)</f>
        <v>0</v>
      </c>
      <c r="BG1291" s="137">
        <f>VLOOKUP($E1291,[2]Current!$A:$AC,27,FALSE)</f>
        <v>0</v>
      </c>
      <c r="BH1291" s="128">
        <f>BG1291/$AS1291</f>
        <v>0</v>
      </c>
      <c r="BI1291" s="130">
        <f>IF(BJ1291&gt;0,1,0)</f>
        <v>0</v>
      </c>
      <c r="BJ1291" s="128">
        <f>VLOOKUP($E1291,[2]Current!$A:$AC,28,FALSE)</f>
        <v>0</v>
      </c>
      <c r="BK1291" s="128">
        <f>BJ1291/$AS1291</f>
        <v>0</v>
      </c>
      <c r="BL1291" s="128">
        <f>IF(BM1291&gt;0,1,0)</f>
        <v>0</v>
      </c>
      <c r="BM1291" s="128">
        <f>SUM(BR1291,BU1291,BX1291,CA1291,CD1291)</f>
        <v>0</v>
      </c>
      <c r="BN1291" s="131">
        <f>SUM(BT1291,BW1291,BZ1291,CC1291,CF1291)</f>
        <v>0</v>
      </c>
      <c r="BO1291" s="128">
        <f>IF(BP1291&gt;0,1,0)</f>
        <v>1</v>
      </c>
      <c r="BP1291" s="128">
        <f>BM1291+CJ1291</f>
        <v>1</v>
      </c>
      <c r="BQ1291" s="128">
        <f>BN1291+CL1291</f>
        <v>1.1961722488038276</v>
      </c>
      <c r="BR1291" s="130">
        <f>IF(BS1291&gt;0,1,0)</f>
        <v>0</v>
      </c>
      <c r="BS1291" s="128">
        <f>VLOOKUP($E1291,[2]Current!$A:$AC,12,FALSE)</f>
        <v>0</v>
      </c>
      <c r="BT1291" s="137">
        <f>BS1291/$AS1291</f>
        <v>0</v>
      </c>
      <c r="BU1291" s="130">
        <f>IF(BV1291&gt;0,1,0)</f>
        <v>0</v>
      </c>
      <c r="BV1291" s="128">
        <f>VLOOKUP($E1291,[2]Current!$A:$AC,13,FALSE)</f>
        <v>0</v>
      </c>
      <c r="BW1291" s="128">
        <f>BV1291/$AS1291</f>
        <v>0</v>
      </c>
      <c r="BX1291" s="130">
        <f>IF(BY1291&gt;0,1,0)</f>
        <v>0</v>
      </c>
      <c r="BY1291" s="128">
        <f>VLOOKUP($E1291,[2]Current!$A:$AC,14,FALSE)</f>
        <v>0</v>
      </c>
      <c r="BZ1291" s="128">
        <f>BY1291/$AS1291</f>
        <v>0</v>
      </c>
      <c r="CA1291" s="130">
        <f>IF(CB1291&gt;0,1,0)</f>
        <v>0</v>
      </c>
      <c r="CB1291" s="128">
        <f>VLOOKUP($E1291,[2]Current!$A:$AC,15,FALSE)</f>
        <v>0</v>
      </c>
      <c r="CC1291" s="128">
        <f>CB1291/$AS1291</f>
        <v>0</v>
      </c>
      <c r="CD1291" s="174">
        <f>IF(CE1291&gt;0,1,0)</f>
        <v>0</v>
      </c>
      <c r="CE1291" s="128">
        <f>VLOOKUP($E1291,[2]Current!$A:$AC,16,FALSE)</f>
        <v>0</v>
      </c>
      <c r="CF1291" s="128">
        <f>CE1291/$AS1291</f>
        <v>0</v>
      </c>
      <c r="CG1291" s="18"/>
      <c r="CH1291" s="18"/>
      <c r="CI1291" s="18"/>
      <c r="CJ1291" s="130">
        <f>IF(CK1291&gt;0,1,0)</f>
        <v>1</v>
      </c>
      <c r="CK1291" s="128">
        <f>VLOOKUP($E1291,[2]Current!$A:$AC,18,FALSE)</f>
        <v>1</v>
      </c>
      <c r="CL1291" s="128">
        <f>CK1291/$AS1291</f>
        <v>1.1961722488038276</v>
      </c>
      <c r="CS1291" s="130">
        <f>IF(CU1291&gt;0,1,0)</f>
        <v>0</v>
      </c>
      <c r="CU1291" s="128">
        <f>VLOOKUP($E1291,[2]Current!$A:$AC,17,FALSE)</f>
        <v>0</v>
      </c>
      <c r="CV1291" s="128">
        <f>CU1291/$AS1291</f>
        <v>0</v>
      </c>
      <c r="CW1291" s="18"/>
      <c r="CX1291" s="18"/>
      <c r="CY1291" s="18"/>
      <c r="DF1291" s="16" t="e">
        <f>VLOOKUP(K1291,'[3]RNA Seq summary tables'!$V$3:$V$99,1,FALSE)</f>
        <v>#N/A</v>
      </c>
      <c r="DG1291" s="126" t="s">
        <v>116</v>
      </c>
      <c r="JR1291" s="18"/>
      <c r="JS1291" s="18"/>
      <c r="JT1291" s="18"/>
      <c r="JU1291" s="18"/>
      <c r="JV1291" s="18"/>
      <c r="JW1291" s="18"/>
      <c r="JX1291" s="18"/>
      <c r="JY1291" s="18"/>
      <c r="JZ1291" s="18"/>
      <c r="KA1291" s="18"/>
      <c r="KB1291" s="18"/>
    </row>
    <row r="1292" spans="2:288" ht="16" x14ac:dyDescent="0.2">
      <c r="B1292" s="16">
        <v>2018</v>
      </c>
      <c r="C1292" s="124">
        <v>43242</v>
      </c>
      <c r="D1292" t="s">
        <v>726</v>
      </c>
      <c r="E1292" s="142" t="str">
        <f>CONCATENATE(T1292,"-",U1292,"-",C1292)</f>
        <v>HW2-F8-43242</v>
      </c>
      <c r="F1292" s="16" t="s">
        <v>227</v>
      </c>
      <c r="G1292" s="126" t="s">
        <v>107</v>
      </c>
      <c r="H1292" s="126"/>
      <c r="J1292" s="126">
        <v>1440</v>
      </c>
      <c r="K1292" s="126">
        <v>2368</v>
      </c>
      <c r="O1292" s="15" t="s">
        <v>214</v>
      </c>
      <c r="Q1292" s="16">
        <f t="shared" si="6"/>
        <v>0</v>
      </c>
      <c r="R1292" s="16" t="str">
        <f t="shared" si="7"/>
        <v/>
      </c>
      <c r="T1292" s="126" t="s">
        <v>129</v>
      </c>
      <c r="U1292" s="126" t="s">
        <v>138</v>
      </c>
      <c r="V1292" s="126" t="s">
        <v>114</v>
      </c>
      <c r="X1292" s="126" t="s">
        <v>115</v>
      </c>
      <c r="Y1292" s="126" t="s">
        <v>110</v>
      </c>
      <c r="Z1292" s="126">
        <v>3</v>
      </c>
      <c r="AA1292" s="126"/>
      <c r="AB1292" s="126"/>
      <c r="AC1292" s="126"/>
      <c r="AD1292" s="126"/>
      <c r="AE1292" s="126" t="s">
        <v>123</v>
      </c>
      <c r="AG1292" s="16">
        <f>AH1292-AI1292</f>
        <v>98</v>
      </c>
      <c r="AH1292" s="126">
        <v>174</v>
      </c>
      <c r="AI1292" s="126">
        <v>76</v>
      </c>
      <c r="AK1292" s="126">
        <v>21.5</v>
      </c>
      <c r="AL1292" s="126">
        <v>1</v>
      </c>
      <c r="AM1292" s="126">
        <v>0</v>
      </c>
      <c r="AN1292" s="126">
        <v>0</v>
      </c>
      <c r="AO1292" s="16">
        <f>IF(SUM(AL1292:AN1292)&gt;0,1,0)</f>
        <v>1</v>
      </c>
      <c r="AP1292" s="18">
        <f>SUM(AL1292:AN1292)</f>
        <v>1</v>
      </c>
      <c r="AR1292" s="16">
        <v>0.40600000000000014</v>
      </c>
      <c r="AS1292" s="16">
        <f>VLOOKUP(E1292,'[1]Feces weights'!$D$1:$H$459,5,FALSE)</f>
        <v>0.40600000000000014</v>
      </c>
      <c r="AT1292" s="16" t="e">
        <f>VLOOKUP(E1292,[2]Current!$A$1:$W$435,7,FALSE)</f>
        <v>#N/A</v>
      </c>
      <c r="AU1292" s="16">
        <v>0</v>
      </c>
      <c r="BG1292" s="77"/>
      <c r="BN1292" s="126"/>
      <c r="BT1292" s="78"/>
      <c r="BV1292" s="18"/>
      <c r="BW1292" s="25"/>
      <c r="BY1292" s="18"/>
      <c r="BZ1292" s="25"/>
      <c r="CB1292" s="18"/>
      <c r="CC1292" s="25"/>
      <c r="CD1292" s="77"/>
      <c r="CE1292" s="18"/>
      <c r="CF1292" s="25"/>
      <c r="CG1292" s="18"/>
      <c r="CH1292" s="18"/>
      <c r="CI1292" s="18"/>
      <c r="CK1292" s="18"/>
      <c r="CL1292" s="25"/>
      <c r="DF1292" s="16" t="e">
        <f>VLOOKUP(K1292,'[3]RNA Seq summary tables'!$V$3:$V$99,1,FALSE)</f>
        <v>#N/A</v>
      </c>
      <c r="DG1292" s="126" t="s">
        <v>116</v>
      </c>
    </row>
    <row r="1293" spans="2:288" ht="16" x14ac:dyDescent="0.2">
      <c r="B1293" s="16">
        <v>2018</v>
      </c>
      <c r="C1293" s="124">
        <v>43260</v>
      </c>
      <c r="D1293" t="s">
        <v>788</v>
      </c>
      <c r="E1293" s="37" t="str">
        <f>CONCATENATE(T1293,"-",U1293,"-",C1293)</f>
        <v>HW2-G7-43260</v>
      </c>
      <c r="F1293" s="16" t="s">
        <v>227</v>
      </c>
      <c r="G1293" s="126" t="s">
        <v>107</v>
      </c>
      <c r="H1293" s="126" t="s">
        <v>1100</v>
      </c>
      <c r="J1293" s="126">
        <v>1440</v>
      </c>
      <c r="K1293" s="126">
        <v>2431</v>
      </c>
      <c r="O1293" s="15" t="s">
        <v>214</v>
      </c>
      <c r="Q1293" s="16">
        <f t="shared" si="6"/>
        <v>1</v>
      </c>
      <c r="R1293" s="16">
        <f t="shared" si="7"/>
        <v>18</v>
      </c>
      <c r="T1293" s="126" t="s">
        <v>129</v>
      </c>
      <c r="U1293" s="126" t="s">
        <v>156</v>
      </c>
      <c r="V1293" s="126" t="s">
        <v>114</v>
      </c>
      <c r="X1293" s="126" t="s">
        <v>115</v>
      </c>
      <c r="Y1293" s="126" t="s">
        <v>110</v>
      </c>
      <c r="Z1293" s="126">
        <v>3</v>
      </c>
      <c r="AA1293" s="126"/>
      <c r="AB1293" s="126"/>
      <c r="AC1293" s="126"/>
      <c r="AD1293" s="126"/>
      <c r="AE1293" s="126" t="s">
        <v>116</v>
      </c>
      <c r="AG1293" s="16">
        <f>AH1293-AI1293</f>
        <v>94</v>
      </c>
      <c r="AH1293" s="126">
        <v>173</v>
      </c>
      <c r="AI1293" s="126">
        <v>79</v>
      </c>
      <c r="AK1293" s="126">
        <v>24</v>
      </c>
      <c r="AL1293" s="126">
        <v>0</v>
      </c>
      <c r="AM1293" s="126">
        <v>0</v>
      </c>
      <c r="AN1293" s="126">
        <v>0</v>
      </c>
      <c r="AO1293" s="16">
        <f>IF(SUM(AL1293:AN1293)&gt;0,1,0)</f>
        <v>0</v>
      </c>
      <c r="AP1293" s="18">
        <f>SUM(AL1293:AN1293)</f>
        <v>0</v>
      </c>
      <c r="AR1293" s="16">
        <v>0.52100000000000013</v>
      </c>
      <c r="AS1293" s="16">
        <f>VLOOKUP(E1293,'[1]Feces weights'!$D$1:$H$459,5,FALSE)</f>
        <v>0.52100000000000013</v>
      </c>
      <c r="AT1293" s="16" t="str">
        <f>VLOOKUP(E1293,[2]Current!$A$1:$W$435,7,FALSE)</f>
        <v>TE</v>
      </c>
      <c r="AU1293" s="16" t="s">
        <v>1288</v>
      </c>
      <c r="AV1293" s="23">
        <v>1</v>
      </c>
      <c r="AW1293" s="128">
        <f>IF(AX1293&gt;0,1,0)</f>
        <v>0</v>
      </c>
      <c r="AX1293" s="128">
        <f>SUM(BA1293,BM1293,CU1293)</f>
        <v>0</v>
      </c>
      <c r="AY1293" s="128">
        <f>SUM(BB1293,BN1293,CV1293)</f>
        <v>0</v>
      </c>
      <c r="AZ1293" s="128">
        <f>IF(BA1293&gt;0,1,0)</f>
        <v>0</v>
      </c>
      <c r="BA1293" s="128">
        <f>SUM(BC1293+BF1293+BI1293)</f>
        <v>0</v>
      </c>
      <c r="BB1293" s="128">
        <f>SUM(BE1293,BH1293,BK1293)</f>
        <v>0</v>
      </c>
      <c r="BC1293" s="130">
        <f>IF(BD1293&gt;0,1,0)</f>
        <v>0</v>
      </c>
      <c r="BD1293" s="128">
        <f>VLOOKUP($E1293,[2]Current!$A:$AC,26,FALSE)</f>
        <v>0</v>
      </c>
      <c r="BE1293" s="128">
        <f>BD1293/$AS1293</f>
        <v>0</v>
      </c>
      <c r="BF1293" s="130">
        <f>IF(BG1293&gt;0,1,0)</f>
        <v>0</v>
      </c>
      <c r="BG1293" s="137">
        <f>VLOOKUP($E1293,[2]Current!$A:$AC,27,FALSE)</f>
        <v>0</v>
      </c>
      <c r="BH1293" s="128">
        <f>BG1293/$AS1293</f>
        <v>0</v>
      </c>
      <c r="BI1293" s="130">
        <f>IF(BJ1293&gt;0,1,0)</f>
        <v>0</v>
      </c>
      <c r="BJ1293" s="128">
        <f>VLOOKUP($E1293,[2]Current!$A:$AC,28,FALSE)</f>
        <v>0</v>
      </c>
      <c r="BK1293" s="128">
        <f>BJ1293/$AS1293</f>
        <v>0</v>
      </c>
      <c r="BL1293" s="128">
        <f>IF(BM1293&gt;0,1,0)</f>
        <v>0</v>
      </c>
      <c r="BM1293" s="128">
        <f>SUM(BR1293,BU1293,BX1293,CA1293,CD1293)</f>
        <v>0</v>
      </c>
      <c r="BN1293" s="131">
        <f>SUM(BT1293,BW1293,BZ1293,CC1293,CF1293)</f>
        <v>0</v>
      </c>
      <c r="BO1293" s="128">
        <f>IF(BP1293&gt;0,1,0)</f>
        <v>0</v>
      </c>
      <c r="BP1293" s="128">
        <f>BM1293+CJ1293</f>
        <v>0</v>
      </c>
      <c r="BQ1293" s="128">
        <f>BN1293+CL1293</f>
        <v>0</v>
      </c>
      <c r="BR1293" s="130">
        <f>IF(BS1293&gt;0,1,0)</f>
        <v>0</v>
      </c>
      <c r="BS1293" s="128">
        <f>VLOOKUP($E1293,[2]Current!$A:$AC,12,FALSE)</f>
        <v>0</v>
      </c>
      <c r="BT1293" s="137">
        <f>BS1293/$AS1293</f>
        <v>0</v>
      </c>
      <c r="BU1293" s="130">
        <f>IF(BV1293&gt;0,1,0)</f>
        <v>0</v>
      </c>
      <c r="BV1293" s="128">
        <f>VLOOKUP($E1293,[2]Current!$A:$AC,13,FALSE)</f>
        <v>0</v>
      </c>
      <c r="BW1293" s="128">
        <f>BV1293/$AS1293</f>
        <v>0</v>
      </c>
      <c r="BX1293" s="130">
        <f>IF(BY1293&gt;0,1,0)</f>
        <v>0</v>
      </c>
      <c r="BY1293" s="128">
        <f>VLOOKUP($E1293,[2]Current!$A:$AC,14,FALSE)</f>
        <v>0</v>
      </c>
      <c r="BZ1293" s="128">
        <f>BY1293/$AS1293</f>
        <v>0</v>
      </c>
      <c r="CA1293" s="130">
        <f>IF(CB1293&gt;0,1,0)</f>
        <v>0</v>
      </c>
      <c r="CB1293" s="128">
        <f>VLOOKUP($E1293,[2]Current!$A:$AC,15,FALSE)</f>
        <v>0</v>
      </c>
      <c r="CC1293" s="128">
        <f>CB1293/$AS1293</f>
        <v>0</v>
      </c>
      <c r="CD1293" s="174">
        <f>IF(CE1293&gt;0,1,0)</f>
        <v>0</v>
      </c>
      <c r="CE1293" s="128">
        <f>VLOOKUP($E1293,[2]Current!$A:$AC,16,FALSE)</f>
        <v>0</v>
      </c>
      <c r="CF1293" s="128">
        <f>CE1293/$AS1293</f>
        <v>0</v>
      </c>
      <c r="CG1293" s="18"/>
      <c r="CH1293" s="18"/>
      <c r="CI1293" s="18"/>
      <c r="CJ1293" s="130">
        <f>IF(CK1293&gt;0,1,0)</f>
        <v>0</v>
      </c>
      <c r="CK1293" s="128">
        <f>VLOOKUP($E1293,[2]Current!$A:$AC,18,FALSE)</f>
        <v>0</v>
      </c>
      <c r="CL1293" s="128">
        <f>CK1293/$AS1293</f>
        <v>0</v>
      </c>
      <c r="CS1293" s="130">
        <f>IF(CU1293&gt;0,1,0)</f>
        <v>0</v>
      </c>
      <c r="CT1293" s="18"/>
      <c r="CU1293" s="128">
        <f>VLOOKUP($E1293,[2]Current!$A:$AC,17,FALSE)</f>
        <v>0</v>
      </c>
      <c r="CV1293" s="128">
        <f>CU1293/$AS1293</f>
        <v>0</v>
      </c>
      <c r="CW1293" s="18"/>
      <c r="CX1293" s="18"/>
      <c r="CY1293" s="18"/>
      <c r="DF1293" s="16" t="e">
        <f>VLOOKUP(K1293,'[3]RNA Seq summary tables'!$V$3:$V$99,1,FALSE)</f>
        <v>#N/A</v>
      </c>
      <c r="DG1293" s="126" t="s">
        <v>116</v>
      </c>
    </row>
    <row r="1294" spans="2:288" s="18" customFormat="1" ht="16" x14ac:dyDescent="0.2">
      <c r="B1294" s="16">
        <v>2018</v>
      </c>
      <c r="C1294" s="124">
        <v>43277</v>
      </c>
      <c r="D1294" t="s">
        <v>873</v>
      </c>
      <c r="E1294" s="37" t="str">
        <f>CONCATENATE(T1294,"-",U1294,"-",C1294)</f>
        <v>HW2-H7-43277</v>
      </c>
      <c r="F1294" s="16" t="s">
        <v>227</v>
      </c>
      <c r="G1294" s="126" t="s">
        <v>107</v>
      </c>
      <c r="H1294" s="126"/>
      <c r="I1294" s="16"/>
      <c r="J1294" s="126">
        <v>1440</v>
      </c>
      <c r="K1294" s="126">
        <v>2505</v>
      </c>
      <c r="L1294" s="16"/>
      <c r="M1294" s="21"/>
      <c r="N1294" s="21"/>
      <c r="O1294" s="15" t="s">
        <v>214</v>
      </c>
      <c r="P1294" s="16"/>
      <c r="Q1294" s="16">
        <f t="shared" si="6"/>
        <v>1</v>
      </c>
      <c r="R1294" s="16">
        <f t="shared" si="7"/>
        <v>17</v>
      </c>
      <c r="S1294" s="16"/>
      <c r="T1294" s="126" t="s">
        <v>129</v>
      </c>
      <c r="U1294" s="126" t="s">
        <v>202</v>
      </c>
      <c r="V1294" s="126" t="s">
        <v>114</v>
      </c>
      <c r="W1294" s="16"/>
      <c r="X1294" s="126" t="s">
        <v>115</v>
      </c>
      <c r="Y1294" s="126" t="s">
        <v>110</v>
      </c>
      <c r="Z1294" s="126">
        <v>3</v>
      </c>
      <c r="AA1294" s="126"/>
      <c r="AB1294" s="126"/>
      <c r="AC1294" s="126"/>
      <c r="AD1294" s="126"/>
      <c r="AE1294" s="126" t="s">
        <v>123</v>
      </c>
      <c r="AF1294" s="16"/>
      <c r="AG1294" s="16">
        <f>AH1294-AI1294</f>
        <v>89</v>
      </c>
      <c r="AH1294" s="126">
        <v>172</v>
      </c>
      <c r="AI1294" s="126">
        <v>83</v>
      </c>
      <c r="AJ1294" s="16"/>
      <c r="AK1294" s="126">
        <v>23</v>
      </c>
      <c r="AL1294" s="126">
        <v>0</v>
      </c>
      <c r="AM1294" s="126">
        <v>0</v>
      </c>
      <c r="AN1294" s="126">
        <v>0</v>
      </c>
      <c r="AO1294" s="16">
        <f>IF(SUM(AL1294:AN1294)&gt;0,1,0)</f>
        <v>0</v>
      </c>
      <c r="AP1294" s="18">
        <f>SUM(AL1294:AN1294)</f>
        <v>0</v>
      </c>
      <c r="AQ1294" s="16"/>
      <c r="AR1294" s="16">
        <v>0.4830000000000001</v>
      </c>
      <c r="AS1294" s="16">
        <f>VLOOKUP(E1294,'[1]Feces weights'!$D$1:$H$459,5,FALSE)</f>
        <v>0.4830000000000001</v>
      </c>
      <c r="AT1294" s="16" t="str">
        <f>VLOOKUP(E1294,[2]Current!$A$1:$W$435,7,FALSE)</f>
        <v>IS</v>
      </c>
      <c r="AU1294" s="16" t="s">
        <v>1288</v>
      </c>
      <c r="AV1294" s="23">
        <v>1</v>
      </c>
      <c r="AW1294" s="128">
        <f>IF(AX1294&gt;0,1,0)</f>
        <v>0</v>
      </c>
      <c r="AX1294" s="128">
        <f>SUM(BA1294,BM1294,CU1294)</f>
        <v>0</v>
      </c>
      <c r="AY1294" s="128">
        <f>SUM(BB1294,BN1294,CV1294)</f>
        <v>0</v>
      </c>
      <c r="AZ1294" s="128">
        <f>IF(BA1294&gt;0,1,0)</f>
        <v>0</v>
      </c>
      <c r="BA1294" s="128">
        <f>SUM(BC1294+BF1294+BI1294)</f>
        <v>0</v>
      </c>
      <c r="BB1294" s="128">
        <f>SUM(BE1294,BH1294,BK1294)</f>
        <v>0</v>
      </c>
      <c r="BC1294" s="130">
        <f>IF(BD1294&gt;0,1,0)</f>
        <v>0</v>
      </c>
      <c r="BD1294" s="128">
        <f>VLOOKUP($E1294,[2]Current!$A:$AC,26,FALSE)</f>
        <v>0</v>
      </c>
      <c r="BE1294" s="128">
        <f>BD1294/$AS1294</f>
        <v>0</v>
      </c>
      <c r="BF1294" s="130">
        <f>IF(BG1294&gt;0,1,0)</f>
        <v>0</v>
      </c>
      <c r="BG1294" s="137">
        <f>VLOOKUP($E1294,[2]Current!$A:$AC,27,FALSE)</f>
        <v>0</v>
      </c>
      <c r="BH1294" s="128">
        <f>BG1294/$AS1294</f>
        <v>0</v>
      </c>
      <c r="BI1294" s="130">
        <f>IF(BJ1294&gt;0,1,0)</f>
        <v>0</v>
      </c>
      <c r="BJ1294" s="128">
        <f>VLOOKUP($E1294,[2]Current!$A:$AC,28,FALSE)</f>
        <v>0</v>
      </c>
      <c r="BK1294" s="128">
        <f>BJ1294/$AS1294</f>
        <v>0</v>
      </c>
      <c r="BL1294" s="128">
        <f>IF(BM1294&gt;0,1,0)</f>
        <v>0</v>
      </c>
      <c r="BM1294" s="128">
        <f>SUM(BR1294,BU1294,BX1294,CA1294,CD1294)</f>
        <v>0</v>
      </c>
      <c r="BN1294" s="131">
        <f>SUM(BT1294,BW1294,BZ1294,CC1294,CF1294)</f>
        <v>0</v>
      </c>
      <c r="BO1294" s="128">
        <f>IF(BP1294&gt;0,1,0)</f>
        <v>0</v>
      </c>
      <c r="BP1294" s="128">
        <f>BM1294+CJ1294</f>
        <v>0</v>
      </c>
      <c r="BQ1294" s="128">
        <f>BN1294+CL1294</f>
        <v>0</v>
      </c>
      <c r="BR1294" s="130">
        <f>IF(BS1294&gt;0,1,0)</f>
        <v>0</v>
      </c>
      <c r="BS1294" s="128">
        <f>VLOOKUP($E1294,[2]Current!$A:$AC,12,FALSE)</f>
        <v>0</v>
      </c>
      <c r="BT1294" s="137">
        <f>BS1294/$AS1294</f>
        <v>0</v>
      </c>
      <c r="BU1294" s="130">
        <f>IF(BV1294&gt;0,1,0)</f>
        <v>0</v>
      </c>
      <c r="BV1294" s="128">
        <f>VLOOKUP($E1294,[2]Current!$A:$AC,13,FALSE)</f>
        <v>0</v>
      </c>
      <c r="BW1294" s="128">
        <f>BV1294/$AS1294</f>
        <v>0</v>
      </c>
      <c r="BX1294" s="130">
        <f>IF(BY1294&gt;0,1,0)</f>
        <v>0</v>
      </c>
      <c r="BY1294" s="128">
        <f>VLOOKUP($E1294,[2]Current!$A:$AC,14,FALSE)</f>
        <v>0</v>
      </c>
      <c r="BZ1294" s="128">
        <f>BY1294/$AS1294</f>
        <v>0</v>
      </c>
      <c r="CA1294" s="130">
        <f>IF(CB1294&gt;0,1,0)</f>
        <v>0</v>
      </c>
      <c r="CB1294" s="128">
        <f>VLOOKUP($E1294,[2]Current!$A:$AC,15,FALSE)</f>
        <v>0</v>
      </c>
      <c r="CC1294" s="128">
        <f>CB1294/$AS1294</f>
        <v>0</v>
      </c>
      <c r="CD1294" s="174">
        <f>IF(CE1294&gt;0,1,0)</f>
        <v>0</v>
      </c>
      <c r="CE1294" s="128">
        <f>VLOOKUP($E1294,[2]Current!$A:$AC,16,FALSE)</f>
        <v>0</v>
      </c>
      <c r="CF1294" s="128">
        <f>CE1294/$AS1294</f>
        <v>0</v>
      </c>
      <c r="CJ1294" s="130">
        <f>IF(CK1294&gt;0,1,0)</f>
        <v>0</v>
      </c>
      <c r="CK1294" s="128">
        <f>VLOOKUP($E1294,[2]Current!$A:$AC,18,FALSE)</f>
        <v>0</v>
      </c>
      <c r="CL1294" s="128">
        <f>CK1294/$AS1294</f>
        <v>0</v>
      </c>
      <c r="CM1294" s="16"/>
      <c r="CN1294" s="16"/>
      <c r="CO1294" s="16"/>
      <c r="CP1294" s="16"/>
      <c r="CQ1294" s="16"/>
      <c r="CR1294" s="16"/>
      <c r="CS1294" s="130">
        <f>IF(CU1294&gt;0,1,0)</f>
        <v>0</v>
      </c>
      <c r="CU1294" s="128">
        <f>VLOOKUP($E1294,[2]Current!$A:$AC,17,FALSE)</f>
        <v>0</v>
      </c>
      <c r="CV1294" s="128">
        <f>CU1294/$AS1294</f>
        <v>0</v>
      </c>
      <c r="CZ1294" s="16"/>
      <c r="DA1294" s="16"/>
      <c r="DB1294" s="16"/>
      <c r="DC1294" s="16"/>
      <c r="DD1294" s="16"/>
      <c r="DE1294" s="16"/>
      <c r="DF1294" s="16" t="e">
        <f>VLOOKUP(K1294,'[3]RNA Seq summary tables'!$V$3:$V$99,1,FALSE)</f>
        <v>#N/A</v>
      </c>
      <c r="DG1294" s="126" t="s">
        <v>116</v>
      </c>
      <c r="DH1294" s="16"/>
      <c r="DI1294" s="16"/>
      <c r="DJ1294" s="16"/>
      <c r="DK1294" s="16"/>
      <c r="DL1294" s="16"/>
      <c r="DM1294" s="16"/>
      <c r="DN1294" s="16"/>
      <c r="DO1294" s="16"/>
      <c r="DP1294" s="16"/>
      <c r="DQ1294" s="16"/>
      <c r="DR1294" s="16"/>
      <c r="DS1294" s="16"/>
      <c r="JO1294" s="16"/>
      <c r="JP1294" s="16"/>
      <c r="JQ1294" s="16"/>
      <c r="JR1294" s="16"/>
      <c r="JS1294" s="16"/>
      <c r="JT1294" s="16"/>
      <c r="JU1294" s="16"/>
      <c r="JV1294" s="16"/>
      <c r="JW1294" s="16"/>
      <c r="JX1294" s="16"/>
      <c r="JY1294" s="16"/>
      <c r="JZ1294" s="16"/>
      <c r="KA1294" s="16"/>
      <c r="KB1294" s="16"/>
    </row>
    <row r="1295" spans="2:288" ht="16" x14ac:dyDescent="0.2">
      <c r="B1295" s="16">
        <v>2018</v>
      </c>
      <c r="C1295" s="124">
        <v>43294</v>
      </c>
      <c r="D1295" t="s">
        <v>961</v>
      </c>
      <c r="E1295" s="142" t="str">
        <f>CONCATENATE(T1295,"-",U1295,"-",C1295)</f>
        <v>HW2-F8-43294</v>
      </c>
      <c r="F1295" s="16" t="s">
        <v>227</v>
      </c>
      <c r="G1295" s="126" t="s">
        <v>107</v>
      </c>
      <c r="H1295" s="126" t="s">
        <v>1137</v>
      </c>
      <c r="J1295" s="126">
        <v>1440</v>
      </c>
      <c r="K1295" s="126">
        <v>2609</v>
      </c>
      <c r="O1295" s="15" t="s">
        <v>214</v>
      </c>
      <c r="Q1295" s="16">
        <f t="shared" si="6"/>
        <v>1</v>
      </c>
      <c r="R1295" s="16">
        <f t="shared" si="7"/>
        <v>17</v>
      </c>
      <c r="T1295" s="126" t="s">
        <v>129</v>
      </c>
      <c r="U1295" s="126" t="s">
        <v>138</v>
      </c>
      <c r="V1295" s="126" t="s">
        <v>114</v>
      </c>
      <c r="X1295" s="126" t="s">
        <v>115</v>
      </c>
      <c r="Y1295" s="126" t="s">
        <v>110</v>
      </c>
      <c r="Z1295" s="126">
        <v>3</v>
      </c>
      <c r="AA1295" s="126"/>
      <c r="AB1295" s="126"/>
      <c r="AC1295" s="126"/>
      <c r="AD1295" s="126" t="s">
        <v>123</v>
      </c>
      <c r="AE1295" s="126" t="s">
        <v>123</v>
      </c>
      <c r="AG1295" s="16">
        <f>AH1295-AI1295</f>
        <v>89</v>
      </c>
      <c r="AH1295" s="126">
        <v>172</v>
      </c>
      <c r="AI1295" s="126">
        <v>83</v>
      </c>
      <c r="AK1295" s="126">
        <v>20.5</v>
      </c>
      <c r="AL1295" s="126">
        <v>0</v>
      </c>
      <c r="AM1295" s="126">
        <v>0</v>
      </c>
      <c r="AN1295" s="126">
        <v>0</v>
      </c>
      <c r="AO1295" s="16">
        <f>IF(SUM(AL1295:AN1295)&gt;0,1,0)</f>
        <v>0</v>
      </c>
      <c r="AP1295" s="18">
        <f>SUM(AL1295:AN1295)</f>
        <v>0</v>
      </c>
      <c r="AR1295" s="16">
        <v>0.1050000000000002</v>
      </c>
      <c r="AS1295" s="16">
        <f>VLOOKUP(E1295,'[1]Feces weights'!$D$1:$H$459,5,FALSE)</f>
        <v>0.1050000000000002</v>
      </c>
      <c r="AT1295" s="16" t="e">
        <f>VLOOKUP(E1295,[2]Current!$A$1:$W$435,7,FALSE)</f>
        <v>#N/A</v>
      </c>
      <c r="AU1295" s="16">
        <v>0</v>
      </c>
      <c r="BG1295" s="77"/>
      <c r="BN1295" s="126"/>
      <c r="BT1295" s="78"/>
      <c r="BU1295" s="18"/>
      <c r="BV1295" s="18"/>
      <c r="BW1295" s="25"/>
      <c r="BX1295" s="18"/>
      <c r="BY1295" s="18"/>
      <c r="BZ1295" s="25"/>
      <c r="CA1295" s="18"/>
      <c r="CB1295" s="18"/>
      <c r="CC1295" s="25"/>
      <c r="CD1295" s="78"/>
      <c r="CE1295" s="18"/>
      <c r="CF1295" s="25"/>
      <c r="CG1295" s="18"/>
      <c r="CH1295" s="18"/>
      <c r="CI1295" s="18"/>
      <c r="CJ1295" s="18"/>
      <c r="CK1295" s="18"/>
      <c r="CL1295" s="25"/>
      <c r="DF1295" s="16" t="e">
        <f>VLOOKUP(K1295,'[3]RNA Seq summary tables'!$V$3:$V$99,1,FALSE)</f>
        <v>#N/A</v>
      </c>
      <c r="DG1295" s="126" t="s">
        <v>116</v>
      </c>
    </row>
    <row r="1296" spans="2:288" ht="16" x14ac:dyDescent="0.2">
      <c r="B1296" s="16">
        <v>2018</v>
      </c>
      <c r="C1296" s="147">
        <v>43306</v>
      </c>
      <c r="D1296" t="s">
        <v>1185</v>
      </c>
      <c r="E1296" s="20" t="str">
        <f>CONCATENATE(T1296,"-",U1296,"-",C1296)</f>
        <v>HW2-G6-43306</v>
      </c>
      <c r="F1296" s="16" t="s">
        <v>227</v>
      </c>
      <c r="G1296" s="145" t="s">
        <v>107</v>
      </c>
      <c r="H1296" s="145"/>
      <c r="I1296" s="145"/>
      <c r="J1296" s="145">
        <v>1440</v>
      </c>
      <c r="K1296" s="145">
        <v>2708</v>
      </c>
      <c r="M1296" s="16"/>
      <c r="N1296" s="16"/>
      <c r="O1296" s="15" t="s">
        <v>214</v>
      </c>
      <c r="Q1296" s="16">
        <f t="shared" si="6"/>
        <v>1</v>
      </c>
      <c r="R1296" s="16">
        <f t="shared" si="7"/>
        <v>12</v>
      </c>
      <c r="S1296" s="145"/>
      <c r="T1296" s="145" t="s">
        <v>129</v>
      </c>
      <c r="U1296" s="145" t="s">
        <v>218</v>
      </c>
      <c r="V1296" s="145" t="s">
        <v>114</v>
      </c>
      <c r="W1296" s="145"/>
      <c r="X1296" s="145" t="s">
        <v>115</v>
      </c>
      <c r="Y1296" s="145" t="s">
        <v>110</v>
      </c>
      <c r="Z1296" s="145">
        <v>3</v>
      </c>
      <c r="AA1296" s="145"/>
      <c r="AB1296" s="145"/>
      <c r="AC1296" s="145"/>
      <c r="AD1296" s="145"/>
      <c r="AE1296" s="145" t="s">
        <v>116</v>
      </c>
      <c r="AF1296" s="145" t="s">
        <v>116</v>
      </c>
      <c r="AG1296" s="145">
        <f>AH1296-AI1296</f>
        <v>90</v>
      </c>
      <c r="AH1296" s="145">
        <v>172</v>
      </c>
      <c r="AI1296" s="145">
        <v>82</v>
      </c>
      <c r="AJ1296" s="145"/>
      <c r="AK1296" s="145">
        <v>21</v>
      </c>
      <c r="AL1296" s="145">
        <v>0</v>
      </c>
      <c r="AM1296" s="145">
        <v>0</v>
      </c>
      <c r="AN1296" s="145">
        <v>0</v>
      </c>
      <c r="AO1296" s="16">
        <f>IF(SUM(AL1296:AN1296)&gt;0, 1,0)</f>
        <v>0</v>
      </c>
      <c r="AP1296" s="16">
        <f>SUM(AL1296:AN1296)</f>
        <v>0</v>
      </c>
      <c r="AS1296" s="16">
        <f>VLOOKUP(E1296,'[1]Feces weights'!$D$1:$H$459,5,FALSE)</f>
        <v>0.19900000000000007</v>
      </c>
      <c r="AT1296" s="16" t="e">
        <f>VLOOKUP(E1296,[2]Current!$A$1:$W$435,7,FALSE)</f>
        <v>#N/A</v>
      </c>
      <c r="BG1296" s="77"/>
      <c r="BT1296" s="77"/>
      <c r="CD1296" s="77"/>
      <c r="DG1296" s="145" t="s">
        <v>123</v>
      </c>
      <c r="DT1296" s="145" t="s">
        <v>123</v>
      </c>
      <c r="DU1296" s="145"/>
      <c r="DX1296" s="145"/>
      <c r="DY1296" s="145"/>
      <c r="DZ1296" s="16"/>
      <c r="EA1296" s="16"/>
      <c r="EB1296" s="16"/>
      <c r="EC1296" s="16"/>
      <c r="ED1296" s="16"/>
      <c r="EE1296" s="16"/>
      <c r="EF1296" s="16"/>
      <c r="JO1296" s="18"/>
      <c r="JP1296" s="18"/>
      <c r="JQ1296" s="18"/>
      <c r="JR1296" s="18"/>
      <c r="JS1296" s="18"/>
      <c r="JT1296" s="18"/>
      <c r="JU1296" s="18"/>
      <c r="JV1296" s="18"/>
      <c r="JW1296" s="18"/>
      <c r="JX1296" s="18"/>
      <c r="JY1296" s="18"/>
      <c r="JZ1296" s="18"/>
      <c r="KA1296" s="18"/>
    </row>
    <row r="1297" spans="1:288" ht="16" x14ac:dyDescent="0.2">
      <c r="B1297" s="16">
        <v>2018</v>
      </c>
      <c r="C1297" s="124">
        <v>43243</v>
      </c>
      <c r="D1297" t="s">
        <v>735</v>
      </c>
      <c r="E1297" s="37" t="str">
        <f>CONCATENATE(T1297,"-",U1297,"-",C1297)</f>
        <v>HW1-F1-43243</v>
      </c>
      <c r="F1297" s="16" t="s">
        <v>227</v>
      </c>
      <c r="G1297" s="126" t="s">
        <v>107</v>
      </c>
      <c r="H1297" s="126" t="s">
        <v>1091</v>
      </c>
      <c r="J1297" s="126">
        <v>1442</v>
      </c>
      <c r="K1297" s="126">
        <v>2391</v>
      </c>
      <c r="O1297" s="15" t="s">
        <v>214</v>
      </c>
      <c r="Q1297" s="16">
        <f t="shared" si="6"/>
        <v>0</v>
      </c>
      <c r="R1297" s="16" t="str">
        <f t="shared" si="7"/>
        <v/>
      </c>
      <c r="T1297" s="126" t="s">
        <v>133</v>
      </c>
      <c r="U1297" s="126" t="s">
        <v>217</v>
      </c>
      <c r="V1297" s="126" t="s">
        <v>114</v>
      </c>
      <c r="X1297" s="126" t="s">
        <v>121</v>
      </c>
      <c r="Y1297" s="126" t="s">
        <v>110</v>
      </c>
      <c r="Z1297" s="126">
        <v>3</v>
      </c>
      <c r="AA1297" s="126" t="s">
        <v>161</v>
      </c>
      <c r="AB1297" s="126" t="s">
        <v>116</v>
      </c>
      <c r="AC1297" s="126" t="s">
        <v>123</v>
      </c>
      <c r="AD1297" s="126"/>
      <c r="AE1297" s="126"/>
      <c r="AG1297" s="16">
        <f>AH1297-AI1297</f>
        <v>93</v>
      </c>
      <c r="AH1297" s="126">
        <v>174</v>
      </c>
      <c r="AI1297" s="126">
        <v>81</v>
      </c>
      <c r="AK1297" s="126">
        <v>27</v>
      </c>
      <c r="AL1297" s="126">
        <v>0</v>
      </c>
      <c r="AM1297" s="126">
        <v>0</v>
      </c>
      <c r="AN1297" s="126">
        <v>0</v>
      </c>
      <c r="AO1297" s="16">
        <f>IF(SUM(AL1297:AN1297)&gt;0,1,0)</f>
        <v>0</v>
      </c>
      <c r="AP1297" s="18">
        <f>SUM(AL1297:AN1297)</f>
        <v>0</v>
      </c>
      <c r="AR1297" s="16">
        <v>0.31500000000000017</v>
      </c>
      <c r="AS1297" s="16">
        <f>VLOOKUP(E1297,'[1]Feces weights'!$D$1:$H$459,5,FALSE)</f>
        <v>0.31500000000000017</v>
      </c>
      <c r="AT1297" s="16" t="str">
        <f>VLOOKUP(E1297,[9]Current!$A:$T,7,FALSE)</f>
        <v>LV</v>
      </c>
      <c r="AU1297" s="18" t="s">
        <v>1290</v>
      </c>
      <c r="AW1297" s="177">
        <f>IF(AY1297&gt;0,1,0)</f>
        <v>1</v>
      </c>
      <c r="AX1297" s="177">
        <f>SUM(BA1297,BM1297,CU1297)</f>
        <v>5</v>
      </c>
      <c r="AY1297" s="177">
        <f>SUM(BB1297,BN1297,CV1297)</f>
        <v>1730.1587301587292</v>
      </c>
      <c r="AZ1297" s="177">
        <f>IF(BB1297&gt;0,1,0)</f>
        <v>1</v>
      </c>
      <c r="BA1297" s="177">
        <f>SUM(BC1297+BF1297+BI1297)</f>
        <v>3</v>
      </c>
      <c r="BB1297" s="177">
        <f>SUM(BE1297,BH1297,BK1297)</f>
        <v>1714.2857142857133</v>
      </c>
      <c r="BC1297" s="178">
        <f>IF(BD1297&gt;0,1,0)</f>
        <v>1</v>
      </c>
      <c r="BD1297" s="177">
        <f>VLOOKUP($E1297,[9]Current!$1:$1048576,8,FALSE)</f>
        <v>24</v>
      </c>
      <c r="BE1297" s="177">
        <f>BD1297/$AS1297</f>
        <v>76.190476190476147</v>
      </c>
      <c r="BF1297" s="178">
        <f>IF(BG1297&gt;0,1,0)</f>
        <v>1</v>
      </c>
      <c r="BG1297" s="179">
        <f>VLOOKUP($E1297,[9]Current!$1:$1048576,9,FALSE)</f>
        <v>508</v>
      </c>
      <c r="BH1297" s="177">
        <f>BG1297/$AS1297</f>
        <v>1612.6984126984119</v>
      </c>
      <c r="BI1297" s="178">
        <f>IF(BJ1297&gt;0,1,0)</f>
        <v>1</v>
      </c>
      <c r="BJ1297" s="177">
        <f>VLOOKUP($E1297,[9]Current!$1:$1048576,10,FALSE)</f>
        <v>8</v>
      </c>
      <c r="BK1297" s="177">
        <f>BJ1297/$AS1297</f>
        <v>25.396825396825385</v>
      </c>
      <c r="BL1297" s="177">
        <f>IF(BM1297&gt;0,1,0)</f>
        <v>1</v>
      </c>
      <c r="BM1297" s="177">
        <f>SUM(BR1297,BU1297,BX1297,CA1297,CD1297)</f>
        <v>1</v>
      </c>
      <c r="BN1297" s="181">
        <f>SUM(BT1297,BW1297,BZ1297,CC1297,CF1297)</f>
        <v>12.698412698412692</v>
      </c>
      <c r="BO1297" s="177">
        <f>IF(BP1297&gt;0,1,0)</f>
        <v>1</v>
      </c>
      <c r="BP1297" s="177">
        <f>BM1297+CJ1297</f>
        <v>2</v>
      </c>
      <c r="BQ1297" s="177">
        <f>BN1297+CL1297</f>
        <v>15.873015873015866</v>
      </c>
      <c r="BR1297" s="178">
        <f>IF(BS1297&gt;0,1,0)</f>
        <v>0</v>
      </c>
      <c r="BS1297" s="177">
        <f>VLOOKUP($E1297,[9]Current!$1:$1048576,12,FALSE)</f>
        <v>0</v>
      </c>
      <c r="BT1297" s="179">
        <f>BS1297/$AS1297</f>
        <v>0</v>
      </c>
      <c r="BU1297" s="178">
        <f>IF(BV1297&gt;0,1,0)</f>
        <v>0</v>
      </c>
      <c r="BV1297" s="177">
        <f>VLOOKUP($E1297,[9]Current!$1:$1048576,13,FALSE)</f>
        <v>0</v>
      </c>
      <c r="BW1297" s="177">
        <f>BV1297/$AS1297</f>
        <v>0</v>
      </c>
      <c r="BX1297" s="178">
        <f>IF(BY1297&gt;0,1,0)</f>
        <v>1</v>
      </c>
      <c r="BY1297" s="177">
        <f>VLOOKUP($E1297,[9]Current!$1:$1048576,14,FALSE)</f>
        <v>4</v>
      </c>
      <c r="BZ1297" s="177">
        <f>BY1297/$AS1297</f>
        <v>12.698412698412692</v>
      </c>
      <c r="CA1297" s="178">
        <f>IF(CB1297&gt;0,1,0)</f>
        <v>0</v>
      </c>
      <c r="CB1297" s="177">
        <f>VLOOKUP($E1297,[9]Current!$1:$1048576,15,FALSE)</f>
        <v>0</v>
      </c>
      <c r="CC1297" s="177">
        <f>CB1297/$AS1297</f>
        <v>0</v>
      </c>
      <c r="CD1297" s="180">
        <f>IF(CE1297&gt;0,1,0)</f>
        <v>0</v>
      </c>
      <c r="CE1297" s="177">
        <f>VLOOKUP($E1297,[9]Current!$1:$1048576,16,FALSE)</f>
        <v>0</v>
      </c>
      <c r="CF1297" s="177">
        <f>CE1297/$AS1297</f>
        <v>0</v>
      </c>
      <c r="CG1297" s="18"/>
      <c r="CH1297" s="18"/>
      <c r="CI1297" s="18"/>
      <c r="CJ1297" s="178">
        <f>IF(CK1297&gt;0,1,0)</f>
        <v>1</v>
      </c>
      <c r="CK1297" s="177">
        <f>VLOOKUP($E1297,[9]Current!$1:$1048576,18,FALSE)</f>
        <v>1</v>
      </c>
      <c r="CL1297" s="177">
        <f>CK1297/$AS1297</f>
        <v>3.1746031746031731</v>
      </c>
      <c r="CS1297" s="178">
        <f>IF(CU1297&gt;0,1,0)</f>
        <v>1</v>
      </c>
      <c r="CT1297" s="177"/>
      <c r="CU1297" s="177">
        <f>VLOOKUP($E1297,[9]Current!$1:$1048576,17,FALSE)</f>
        <v>1</v>
      </c>
      <c r="CV1297" s="177">
        <f>CU1297/$AS1297</f>
        <v>3.1746031746031731</v>
      </c>
      <c r="DF1297" s="16" t="e">
        <f>VLOOKUP(K1297,'[3]RNA Seq summary tables'!$V$3:$V$99,1,FALSE)</f>
        <v>#N/A</v>
      </c>
      <c r="DG1297" s="126" t="s">
        <v>116</v>
      </c>
    </row>
    <row r="1298" spans="1:288" ht="16" x14ac:dyDescent="0.2">
      <c r="B1298" s="16">
        <v>2018</v>
      </c>
      <c r="C1298" s="124">
        <v>43243</v>
      </c>
      <c r="D1298" t="s">
        <v>737</v>
      </c>
      <c r="E1298" s="37" t="str">
        <f>CONCATENATE(T1298,"-",U1298,"-",C1298)</f>
        <v>HW2-G1-43243</v>
      </c>
      <c r="F1298" s="16" t="s">
        <v>227</v>
      </c>
      <c r="G1298" s="126" t="s">
        <v>107</v>
      </c>
      <c r="H1298" s="126"/>
      <c r="J1298" s="127">
        <v>1444</v>
      </c>
      <c r="K1298" s="126">
        <v>2371</v>
      </c>
      <c r="O1298" s="15" t="s">
        <v>214</v>
      </c>
      <c r="Q1298" s="16">
        <f t="shared" si="6"/>
        <v>0</v>
      </c>
      <c r="R1298" s="16" t="str">
        <f t="shared" si="7"/>
        <v/>
      </c>
      <c r="T1298" s="126" t="s">
        <v>129</v>
      </c>
      <c r="U1298" s="126" t="s">
        <v>155</v>
      </c>
      <c r="V1298" s="131" t="s">
        <v>114</v>
      </c>
      <c r="X1298" s="126" t="s">
        <v>121</v>
      </c>
      <c r="Y1298" s="126" t="s">
        <v>122</v>
      </c>
      <c r="Z1298" s="126">
        <v>2.9</v>
      </c>
      <c r="AA1298" s="126" t="s">
        <v>119</v>
      </c>
      <c r="AB1298" s="126" t="s">
        <v>123</v>
      </c>
      <c r="AC1298" s="126" t="s">
        <v>123</v>
      </c>
      <c r="AD1298" s="126"/>
      <c r="AE1298" s="126"/>
      <c r="AG1298" s="16">
        <f>AH1298-AI1298</f>
        <v>84</v>
      </c>
      <c r="AH1298" s="126">
        <v>171</v>
      </c>
      <c r="AI1298" s="126">
        <v>87</v>
      </c>
      <c r="AK1298" s="126">
        <v>17</v>
      </c>
      <c r="AL1298" s="126">
        <v>0</v>
      </c>
      <c r="AM1298" s="126">
        <v>0</v>
      </c>
      <c r="AN1298" s="126">
        <v>0</v>
      </c>
      <c r="AO1298" s="16">
        <f>IF(SUM(AL1298:AN1298)&gt;0,1,0)</f>
        <v>0</v>
      </c>
      <c r="AP1298" s="18">
        <f>SUM(AL1298:AN1298)</f>
        <v>0</v>
      </c>
      <c r="AR1298" s="16">
        <v>0.37400000000000011</v>
      </c>
      <c r="AS1298" s="16">
        <f>VLOOKUP(E1298,'[1]Feces weights'!$D$1:$H$459,5,FALSE)</f>
        <v>0.37400000000000011</v>
      </c>
      <c r="AT1298" s="16" t="str">
        <f>VLOOKUP(E1298,[9]Current!$A:$T,7,FALSE)</f>
        <v>IS</v>
      </c>
      <c r="AU1298" s="18" t="s">
        <v>1290</v>
      </c>
      <c r="AW1298" s="177">
        <f>IF(AY1298&gt;0,1,0)</f>
        <v>1</v>
      </c>
      <c r="AX1298" s="177">
        <f>SUM(BA1298,BM1298,CU1298)</f>
        <v>2</v>
      </c>
      <c r="AY1298" s="177">
        <f>SUM(BB1298,BN1298,CV1298)</f>
        <v>6716.5775401069504</v>
      </c>
      <c r="AZ1298" s="177">
        <f>IF(BB1298&gt;0,1,0)</f>
        <v>1</v>
      </c>
      <c r="BA1298" s="177">
        <f>SUM(BC1298+BF1298+BI1298)</f>
        <v>2</v>
      </c>
      <c r="BB1298" s="177">
        <f>SUM(BE1298,BH1298,BK1298)</f>
        <v>6716.5775401069504</v>
      </c>
      <c r="BC1298" s="178">
        <f>IF(BD1298&gt;0,1,0)</f>
        <v>1</v>
      </c>
      <c r="BD1298" s="177">
        <f>VLOOKUP($E1298,[9]Current!$1:$1048576,8,FALSE)</f>
        <v>80</v>
      </c>
      <c r="BE1298" s="177">
        <f>BD1298/$AS1298</f>
        <v>213.90374331550797</v>
      </c>
      <c r="BF1298" s="178">
        <f>IF(BG1298&gt;0,1,0)</f>
        <v>1</v>
      </c>
      <c r="BG1298" s="179">
        <f>VLOOKUP($E1298,[9]Current!$1:$1048576,9,FALSE)</f>
        <v>2432</v>
      </c>
      <c r="BH1298" s="177">
        <f>BG1298/$AS1298</f>
        <v>6502.6737967914423</v>
      </c>
      <c r="BI1298" s="178">
        <f>IF(BJ1298&gt;0,1,0)</f>
        <v>0</v>
      </c>
      <c r="BJ1298" s="177">
        <f>VLOOKUP($E1298,[9]Current!$1:$1048576,10,FALSE)</f>
        <v>0</v>
      </c>
      <c r="BK1298" s="177">
        <f>BJ1298/$AS1298</f>
        <v>0</v>
      </c>
      <c r="BL1298" s="177">
        <f>IF(BM1298&gt;0,1,0)</f>
        <v>0</v>
      </c>
      <c r="BM1298" s="177">
        <f>SUM(BR1298,BU1298,BX1298,CA1298,CD1298)</f>
        <v>0</v>
      </c>
      <c r="BN1298" s="181">
        <f>SUM(BT1298,BW1298,BZ1298,CC1298,CF1298)</f>
        <v>0</v>
      </c>
      <c r="BO1298" s="177">
        <f>IF(BP1298&gt;0,1,0)</f>
        <v>0</v>
      </c>
      <c r="BP1298" s="177">
        <f>BM1298+CJ1298</f>
        <v>0</v>
      </c>
      <c r="BQ1298" s="177">
        <f>BN1298+CL1298</f>
        <v>0</v>
      </c>
      <c r="BR1298" s="178">
        <f>IF(BS1298&gt;0,1,0)</f>
        <v>0</v>
      </c>
      <c r="BS1298" s="177">
        <f>VLOOKUP($E1298,[9]Current!$1:$1048576,12,FALSE)</f>
        <v>0</v>
      </c>
      <c r="BT1298" s="179">
        <f>BS1298/$AS1298</f>
        <v>0</v>
      </c>
      <c r="BU1298" s="178">
        <f>IF(BV1298&gt;0,1,0)</f>
        <v>0</v>
      </c>
      <c r="BV1298" s="177">
        <f>VLOOKUP($E1298,[9]Current!$1:$1048576,13,FALSE)</f>
        <v>0</v>
      </c>
      <c r="BW1298" s="177">
        <f>BV1298/$AS1298</f>
        <v>0</v>
      </c>
      <c r="BX1298" s="178">
        <f>IF(BY1298&gt;0,1,0)</f>
        <v>0</v>
      </c>
      <c r="BY1298" s="177">
        <f>VLOOKUP($E1298,[9]Current!$1:$1048576,14,FALSE)</f>
        <v>0</v>
      </c>
      <c r="BZ1298" s="177">
        <f>BY1298/$AS1298</f>
        <v>0</v>
      </c>
      <c r="CA1298" s="178">
        <f>IF(CB1298&gt;0,1,0)</f>
        <v>0</v>
      </c>
      <c r="CB1298" s="177">
        <f>VLOOKUP($E1298,[9]Current!$1:$1048576,15,FALSE)</f>
        <v>0</v>
      </c>
      <c r="CC1298" s="177">
        <f>CB1298/$AS1298</f>
        <v>0</v>
      </c>
      <c r="CD1298" s="180">
        <f>IF(CE1298&gt;0,1,0)</f>
        <v>0</v>
      </c>
      <c r="CE1298" s="177">
        <f>VLOOKUP($E1298,[9]Current!$1:$1048576,16,FALSE)</f>
        <v>0</v>
      </c>
      <c r="CF1298" s="177">
        <f>CE1298/$AS1298</f>
        <v>0</v>
      </c>
      <c r="CG1298" s="18"/>
      <c r="CH1298" s="18"/>
      <c r="CI1298" s="18"/>
      <c r="CJ1298" s="178">
        <f>IF(CK1298&gt;0,1,0)</f>
        <v>0</v>
      </c>
      <c r="CK1298" s="177">
        <f>VLOOKUP($E1298,[9]Current!$1:$1048576,18,FALSE)</f>
        <v>0</v>
      </c>
      <c r="CL1298" s="177">
        <f>CK1298/$AS1298</f>
        <v>0</v>
      </c>
      <c r="CS1298" s="178">
        <f>IF(CU1298&gt;0,1,0)</f>
        <v>0</v>
      </c>
      <c r="CT1298" s="177"/>
      <c r="CU1298" s="177">
        <f>VLOOKUP($E1298,[9]Current!$1:$1048576,17,FALSE)</f>
        <v>0</v>
      </c>
      <c r="CV1298" s="177">
        <f>CU1298/$AS1298</f>
        <v>0</v>
      </c>
      <c r="DF1298" s="16" t="e">
        <f>VLOOKUP(K1298,'[3]RNA Seq summary tables'!$V$3:$V$99,1,FALSE)</f>
        <v>#N/A</v>
      </c>
      <c r="DG1298" s="126" t="s">
        <v>116</v>
      </c>
    </row>
    <row r="1299" spans="1:288" ht="16" x14ac:dyDescent="0.2">
      <c r="B1299" s="16">
        <v>2018</v>
      </c>
      <c r="C1299" s="124">
        <v>43277</v>
      </c>
      <c r="D1299" t="s">
        <v>878</v>
      </c>
      <c r="E1299" s="37" t="str">
        <f>CONCATENATE(T1299,"-",U1299,"-",C1299)</f>
        <v>HW2-E1-43277</v>
      </c>
      <c r="F1299" s="16" t="s">
        <v>227</v>
      </c>
      <c r="G1299" s="126" t="s">
        <v>107</v>
      </c>
      <c r="H1299" s="126"/>
      <c r="J1299" s="127">
        <v>1444</v>
      </c>
      <c r="K1299" s="126">
        <v>2522</v>
      </c>
      <c r="O1299" s="15" t="s">
        <v>214</v>
      </c>
      <c r="Q1299" s="16">
        <f t="shared" si="6"/>
        <v>1</v>
      </c>
      <c r="R1299" s="16">
        <f t="shared" si="7"/>
        <v>34</v>
      </c>
      <c r="T1299" s="126" t="s">
        <v>129</v>
      </c>
      <c r="U1299" s="126" t="s">
        <v>222</v>
      </c>
      <c r="V1299" s="131" t="s">
        <v>142</v>
      </c>
      <c r="X1299" s="126" t="s">
        <v>121</v>
      </c>
      <c r="Y1299" s="126" t="s">
        <v>110</v>
      </c>
      <c r="Z1299" s="126">
        <v>3</v>
      </c>
      <c r="AA1299" s="126" t="s">
        <v>119</v>
      </c>
      <c r="AB1299" s="126" t="s">
        <v>116</v>
      </c>
      <c r="AC1299" s="126" t="s">
        <v>116</v>
      </c>
      <c r="AD1299" s="126"/>
      <c r="AE1299" s="126"/>
      <c r="AG1299" s="16">
        <f>AH1299-AI1299</f>
        <v>87</v>
      </c>
      <c r="AH1299" s="126">
        <v>178</v>
      </c>
      <c r="AI1299" s="126">
        <v>91</v>
      </c>
      <c r="AK1299" s="126">
        <v>19.5</v>
      </c>
      <c r="AL1299" s="126">
        <v>0</v>
      </c>
      <c r="AM1299" s="126">
        <v>0</v>
      </c>
      <c r="AN1299" s="126">
        <v>0</v>
      </c>
      <c r="AO1299" s="16">
        <f>IF(SUM(AL1299:AN1299)&gt;0,1,0)</f>
        <v>0</v>
      </c>
      <c r="AP1299" s="18">
        <f>SUM(AL1299:AN1299)</f>
        <v>0</v>
      </c>
      <c r="AR1299" s="16">
        <v>1.0250000000000001</v>
      </c>
      <c r="AS1299" s="16">
        <f>VLOOKUP(E1299,'[1]Feces weights'!$D$1:$H$459,5,FALSE)</f>
        <v>1.0250000000000001</v>
      </c>
      <c r="AT1299" s="16" t="str">
        <f>VLOOKUP(E1299,[2]Current!$A$1:$W$435,7,FALSE)</f>
        <v>TE</v>
      </c>
      <c r="AU1299" s="16" t="s">
        <v>1288</v>
      </c>
      <c r="AW1299" s="128">
        <f>IF(AX1299&gt;0,1,0)</f>
        <v>1</v>
      </c>
      <c r="AX1299" s="128">
        <f>SUM(BA1299,BM1299,CU1299)</f>
        <v>11</v>
      </c>
      <c r="AY1299" s="128">
        <f>SUM(BB1299,BN1299,CV1299)</f>
        <v>295.60975609756088</v>
      </c>
      <c r="AZ1299" s="128">
        <f>IF(BA1299&gt;0,1,0)</f>
        <v>1</v>
      </c>
      <c r="BA1299" s="128">
        <f>SUM(BC1299+BF1299+BI1299)</f>
        <v>2</v>
      </c>
      <c r="BB1299" s="128">
        <f>SUM(BE1299,BH1299,BK1299)</f>
        <v>286.82926829268285</v>
      </c>
      <c r="BC1299" s="130">
        <f>IF(BD1299&gt;0,1,0)</f>
        <v>0</v>
      </c>
      <c r="BD1299" s="128">
        <f>VLOOKUP($E1299,[2]Current!$A:$AC,26,FALSE)</f>
        <v>0</v>
      </c>
      <c r="BE1299" s="128">
        <f>BD1299/$AS1299</f>
        <v>0</v>
      </c>
      <c r="BF1299" s="130">
        <f>IF(BG1299&gt;0,1,0)</f>
        <v>1</v>
      </c>
      <c r="BG1299" s="137">
        <f>VLOOKUP($E1299,[2]Current!$A:$AC,27,FALSE)</f>
        <v>14</v>
      </c>
      <c r="BH1299" s="128">
        <f>BG1299/$AS1299</f>
        <v>13.658536585365852</v>
      </c>
      <c r="BI1299" s="130">
        <f>IF(BJ1299&gt;0,1,0)</f>
        <v>1</v>
      </c>
      <c r="BJ1299" s="128">
        <f>VLOOKUP($E1299,[2]Current!$A:$AC,28,FALSE)</f>
        <v>280</v>
      </c>
      <c r="BK1299" s="128">
        <f>BJ1299/$AS1299</f>
        <v>273.17073170731703</v>
      </c>
      <c r="BL1299" s="128">
        <f>IF(BM1299&gt;0,1,0)</f>
        <v>0</v>
      </c>
      <c r="BM1299" s="128">
        <f>SUM(BR1299,BU1299,BX1299,CA1299,CD1299)</f>
        <v>0</v>
      </c>
      <c r="BN1299" s="131">
        <f>SUM(BT1299,BW1299,BZ1299,CC1299,CF1299)</f>
        <v>0</v>
      </c>
      <c r="BO1299" s="128">
        <f>IF(BP1299&gt;0,1,0)</f>
        <v>0</v>
      </c>
      <c r="BP1299" s="128">
        <f>BM1299+CJ1299</f>
        <v>0</v>
      </c>
      <c r="BQ1299" s="128">
        <f>BN1299+CL1299</f>
        <v>0</v>
      </c>
      <c r="BR1299" s="130">
        <f>IF(BS1299&gt;0,1,0)</f>
        <v>0</v>
      </c>
      <c r="BS1299" s="128">
        <f>VLOOKUP($E1299,[2]Current!$A:$AC,12,FALSE)</f>
        <v>0</v>
      </c>
      <c r="BT1299" s="137">
        <f>BS1299/$AS1299</f>
        <v>0</v>
      </c>
      <c r="BU1299" s="130">
        <f>IF(BV1299&gt;0,1,0)</f>
        <v>0</v>
      </c>
      <c r="BV1299" s="128">
        <f>VLOOKUP($E1299,[2]Current!$A:$AC,13,FALSE)</f>
        <v>0</v>
      </c>
      <c r="BW1299" s="128">
        <f>BV1299/$AS1299</f>
        <v>0</v>
      </c>
      <c r="BX1299" s="130">
        <f>IF(BY1299&gt;0,1,0)</f>
        <v>0</v>
      </c>
      <c r="BY1299" s="128">
        <f>VLOOKUP($E1299,[2]Current!$A:$AC,14,FALSE)</f>
        <v>0</v>
      </c>
      <c r="BZ1299" s="128">
        <f>BY1299/$AS1299</f>
        <v>0</v>
      </c>
      <c r="CA1299" s="130">
        <f>IF(CB1299&gt;0,1,0)</f>
        <v>0</v>
      </c>
      <c r="CB1299" s="128">
        <f>VLOOKUP($E1299,[2]Current!$A:$AC,15,FALSE)</f>
        <v>0</v>
      </c>
      <c r="CC1299" s="128">
        <f>CB1299/$AS1299</f>
        <v>0</v>
      </c>
      <c r="CD1299" s="174">
        <f>IF(CE1299&gt;0,1,0)</f>
        <v>0</v>
      </c>
      <c r="CE1299" s="128">
        <f>VLOOKUP($E1299,[2]Current!$A:$AC,16,FALSE)</f>
        <v>0</v>
      </c>
      <c r="CF1299" s="128">
        <f>CE1299/$AS1299</f>
        <v>0</v>
      </c>
      <c r="CG1299" s="18"/>
      <c r="CH1299" s="18"/>
      <c r="CI1299" s="18"/>
      <c r="CJ1299" s="130">
        <f>IF(CK1299&gt;0,1,0)</f>
        <v>0</v>
      </c>
      <c r="CK1299" s="128">
        <f>VLOOKUP($E1299,[2]Current!$A:$AC,18,FALSE)</f>
        <v>0</v>
      </c>
      <c r="CL1299" s="128">
        <f>CK1299/$AS1299</f>
        <v>0</v>
      </c>
      <c r="CS1299" s="130">
        <f>IF(CU1299&gt;0,1,0)</f>
        <v>1</v>
      </c>
      <c r="CU1299" s="128">
        <f>VLOOKUP($E1299,[2]Current!$A:$AC,17,FALSE)</f>
        <v>9</v>
      </c>
      <c r="CV1299" s="128">
        <f>CU1299/$AS1299</f>
        <v>8.7804878048780477</v>
      </c>
      <c r="CW1299" s="18"/>
      <c r="CX1299" s="18"/>
      <c r="CY1299" s="18"/>
      <c r="DF1299" s="16" t="e">
        <f>VLOOKUP(K1299,'[3]RNA Seq summary tables'!$V$3:$V$99,1,FALSE)</f>
        <v>#N/A</v>
      </c>
      <c r="DG1299" s="126" t="s">
        <v>116</v>
      </c>
    </row>
    <row r="1300" spans="1:288" ht="16" x14ac:dyDescent="0.2">
      <c r="B1300" s="16">
        <v>2018</v>
      </c>
      <c r="C1300" s="124">
        <v>43294</v>
      </c>
      <c r="D1300" t="s">
        <v>969</v>
      </c>
      <c r="E1300" s="37" t="str">
        <f>CONCATENATE(T1300,"-",U1300,"-",C1300)</f>
        <v>HW2-F1-43294</v>
      </c>
      <c r="F1300" s="16" t="s">
        <v>227</v>
      </c>
      <c r="G1300" s="126" t="s">
        <v>107</v>
      </c>
      <c r="H1300" s="126" t="s">
        <v>1085</v>
      </c>
      <c r="J1300" s="127">
        <v>1444</v>
      </c>
      <c r="K1300" s="126">
        <v>2608</v>
      </c>
      <c r="O1300" s="15" t="s">
        <v>214</v>
      </c>
      <c r="Q1300" s="16">
        <f t="shared" si="6"/>
        <v>1</v>
      </c>
      <c r="R1300" s="16">
        <f t="shared" si="7"/>
        <v>17</v>
      </c>
      <c r="T1300" s="126" t="s">
        <v>129</v>
      </c>
      <c r="U1300" s="126" t="s">
        <v>217</v>
      </c>
      <c r="V1300" s="131" t="s">
        <v>142</v>
      </c>
      <c r="X1300" s="126" t="s">
        <v>121</v>
      </c>
      <c r="Y1300" s="126" t="s">
        <v>110</v>
      </c>
      <c r="Z1300" s="126">
        <v>3</v>
      </c>
      <c r="AA1300" s="126" t="s">
        <v>119</v>
      </c>
      <c r="AB1300" s="126" t="s">
        <v>116</v>
      </c>
      <c r="AC1300" s="126" t="s">
        <v>116</v>
      </c>
      <c r="AD1300" s="126"/>
      <c r="AE1300" s="126"/>
      <c r="AG1300" s="16">
        <f>AH1300-AI1300</f>
        <v>86</v>
      </c>
      <c r="AH1300" s="126">
        <v>177</v>
      </c>
      <c r="AI1300" s="126">
        <v>91</v>
      </c>
      <c r="AK1300" s="126">
        <v>19</v>
      </c>
      <c r="AL1300" s="126">
        <v>1</v>
      </c>
      <c r="AM1300" s="126">
        <v>0</v>
      </c>
      <c r="AN1300" s="126">
        <v>0</v>
      </c>
      <c r="AO1300" s="16">
        <f>IF(SUM(AL1300:AN1300)&gt;0,1,0)</f>
        <v>1</v>
      </c>
      <c r="AP1300" s="18">
        <f>SUM(AL1300:AN1300)</f>
        <v>1</v>
      </c>
      <c r="AR1300" s="16">
        <v>0.42500000000000004</v>
      </c>
      <c r="AS1300" s="16">
        <f>VLOOKUP(E1300,'[1]Feces weights'!$D$1:$H$459,5,FALSE)</f>
        <v>0.42500000000000004</v>
      </c>
      <c r="AT1300" s="16" t="str">
        <f>VLOOKUP(E1300,[2]Current!$A$1:$W$435,7,FALSE)</f>
        <v>JB</v>
      </c>
      <c r="AU1300" s="16" t="s">
        <v>1288</v>
      </c>
      <c r="AW1300" s="128">
        <f>IF(AX1300&gt;0,1,0)</f>
        <v>1</v>
      </c>
      <c r="AX1300" s="128">
        <f>SUM(BA1300,BM1300,CU1300)</f>
        <v>1</v>
      </c>
      <c r="AY1300" s="128">
        <f>SUM(BB1300,BN1300,CV1300)</f>
        <v>65.882352941176464</v>
      </c>
      <c r="AZ1300" s="128">
        <f>IF(BA1300&gt;0,1,0)</f>
        <v>1</v>
      </c>
      <c r="BA1300" s="128">
        <f>SUM(BC1300+BF1300+BI1300)</f>
        <v>1</v>
      </c>
      <c r="BB1300" s="128">
        <f>SUM(BE1300,BH1300,BK1300)</f>
        <v>65.882352941176464</v>
      </c>
      <c r="BC1300" s="130">
        <f>IF(BD1300&gt;0,1,0)</f>
        <v>0</v>
      </c>
      <c r="BD1300" s="128">
        <f>VLOOKUP($E1300,[2]Current!$A:$AC,26,FALSE)</f>
        <v>0</v>
      </c>
      <c r="BE1300" s="128">
        <f>BD1300/$AS1300</f>
        <v>0</v>
      </c>
      <c r="BF1300" s="130">
        <f>IF(BG1300&gt;0,1,0)</f>
        <v>1</v>
      </c>
      <c r="BG1300" s="137">
        <f>VLOOKUP($E1300,[2]Current!$A:$AC,27,FALSE)</f>
        <v>28</v>
      </c>
      <c r="BH1300" s="128">
        <f>BG1300/$AS1300</f>
        <v>65.882352941176464</v>
      </c>
      <c r="BI1300" s="130">
        <f>IF(BJ1300&gt;0,1,0)</f>
        <v>0</v>
      </c>
      <c r="BJ1300" s="128">
        <f>VLOOKUP($E1300,[2]Current!$A:$AC,28,FALSE)</f>
        <v>0</v>
      </c>
      <c r="BK1300" s="128">
        <f>BJ1300/$AS1300</f>
        <v>0</v>
      </c>
      <c r="BL1300" s="128">
        <f>IF(BM1300&gt;0,1,0)</f>
        <v>0</v>
      </c>
      <c r="BM1300" s="128">
        <f>SUM(BR1300,BU1300,BX1300,CA1300,CD1300)</f>
        <v>0</v>
      </c>
      <c r="BN1300" s="131">
        <f>SUM(BT1300,BW1300,BZ1300,CC1300,CF1300)</f>
        <v>0</v>
      </c>
      <c r="BO1300" s="128">
        <f>IF(BP1300&gt;0,1,0)</f>
        <v>0</v>
      </c>
      <c r="BP1300" s="128">
        <f>BM1300+CJ1300</f>
        <v>0</v>
      </c>
      <c r="BQ1300" s="128">
        <f>BN1300+CL1300</f>
        <v>0</v>
      </c>
      <c r="BR1300" s="130">
        <f>IF(BS1300&gt;0,1,0)</f>
        <v>0</v>
      </c>
      <c r="BS1300" s="128">
        <f>VLOOKUP($E1300,[2]Current!$A:$AC,12,FALSE)</f>
        <v>0</v>
      </c>
      <c r="BT1300" s="137">
        <f>BS1300/$AS1300</f>
        <v>0</v>
      </c>
      <c r="BU1300" s="130">
        <f>IF(BV1300&gt;0,1,0)</f>
        <v>0</v>
      </c>
      <c r="BV1300" s="128">
        <f>VLOOKUP($E1300,[2]Current!$A:$AC,13,FALSE)</f>
        <v>0</v>
      </c>
      <c r="BW1300" s="128">
        <f>BV1300/$AS1300</f>
        <v>0</v>
      </c>
      <c r="BX1300" s="130">
        <f>IF(BY1300&gt;0,1,0)</f>
        <v>0</v>
      </c>
      <c r="BY1300" s="128">
        <f>VLOOKUP($E1300,[2]Current!$A:$AC,14,FALSE)</f>
        <v>0</v>
      </c>
      <c r="BZ1300" s="128">
        <f>BY1300/$AS1300</f>
        <v>0</v>
      </c>
      <c r="CA1300" s="130">
        <f>IF(CB1300&gt;0,1,0)</f>
        <v>0</v>
      </c>
      <c r="CB1300" s="128">
        <f>VLOOKUP($E1300,[2]Current!$A:$AC,15,FALSE)</f>
        <v>0</v>
      </c>
      <c r="CC1300" s="128">
        <f>CB1300/$AS1300</f>
        <v>0</v>
      </c>
      <c r="CD1300" s="174">
        <f>IF(CE1300&gt;0,1,0)</f>
        <v>0</v>
      </c>
      <c r="CE1300" s="128">
        <f>VLOOKUP($E1300,[2]Current!$A:$AC,16,FALSE)</f>
        <v>0</v>
      </c>
      <c r="CF1300" s="128">
        <f>CE1300/$AS1300</f>
        <v>0</v>
      </c>
      <c r="CG1300" s="18"/>
      <c r="CH1300" s="18"/>
      <c r="CI1300" s="18"/>
      <c r="CJ1300" s="130">
        <f>IF(CK1300&gt;0,1,0)</f>
        <v>0</v>
      </c>
      <c r="CK1300" s="128">
        <f>VLOOKUP($E1300,[2]Current!$A:$AC,18,FALSE)</f>
        <v>0</v>
      </c>
      <c r="CL1300" s="128">
        <f>CK1300/$AS1300</f>
        <v>0</v>
      </c>
      <c r="CS1300" s="130">
        <f>IF(CU1300&gt;0,1,0)</f>
        <v>0</v>
      </c>
      <c r="CU1300" s="128">
        <f>VLOOKUP($E1300,[2]Current!$A:$AC,17,FALSE)</f>
        <v>0</v>
      </c>
      <c r="CV1300" s="128">
        <f>CU1300/$AS1300</f>
        <v>0</v>
      </c>
      <c r="CW1300" s="18"/>
      <c r="CX1300" s="18"/>
      <c r="CY1300" s="18"/>
      <c r="DF1300" s="16" t="e">
        <f>VLOOKUP(K1300,'[3]RNA Seq summary tables'!$V$3:$V$99,1,FALSE)</f>
        <v>#N/A</v>
      </c>
      <c r="DG1300" s="126" t="s">
        <v>116</v>
      </c>
    </row>
    <row r="1301" spans="1:288" ht="16" x14ac:dyDescent="0.2">
      <c r="B1301" s="16">
        <v>2018</v>
      </c>
      <c r="C1301" s="147">
        <v>43306</v>
      </c>
      <c r="D1301" t="s">
        <v>1183</v>
      </c>
      <c r="E1301" s="20" t="str">
        <f>CONCATENATE(T1301,"-",U1301,"-",C1301)</f>
        <v>HW2-G2-43306</v>
      </c>
      <c r="F1301" s="16" t="s">
        <v>227</v>
      </c>
      <c r="G1301" s="145" t="s">
        <v>107</v>
      </c>
      <c r="H1301" s="145" t="s">
        <v>1142</v>
      </c>
      <c r="I1301" s="145"/>
      <c r="J1301" s="145">
        <v>1444</v>
      </c>
      <c r="K1301" s="145">
        <v>2707</v>
      </c>
      <c r="M1301" s="16"/>
      <c r="N1301" s="16"/>
      <c r="O1301" s="15" t="s">
        <v>214</v>
      </c>
      <c r="Q1301" s="16">
        <f t="shared" si="6"/>
        <v>1</v>
      </c>
      <c r="R1301" s="16">
        <f t="shared" si="7"/>
        <v>12</v>
      </c>
      <c r="S1301" s="145"/>
      <c r="T1301" s="145" t="s">
        <v>129</v>
      </c>
      <c r="U1301" s="145" t="s">
        <v>128</v>
      </c>
      <c r="V1301" s="145" t="s">
        <v>142</v>
      </c>
      <c r="W1301" s="145"/>
      <c r="X1301" s="145" t="s">
        <v>121</v>
      </c>
      <c r="Y1301" s="145" t="s">
        <v>110</v>
      </c>
      <c r="Z1301" s="145">
        <v>3</v>
      </c>
      <c r="AA1301" s="145" t="s">
        <v>119</v>
      </c>
      <c r="AB1301" s="145" t="s">
        <v>116</v>
      </c>
      <c r="AC1301" s="145" t="s">
        <v>116</v>
      </c>
      <c r="AD1301" s="145" t="s">
        <v>116</v>
      </c>
      <c r="AE1301" s="145"/>
      <c r="AF1301" s="145"/>
      <c r="AG1301" s="145">
        <f>AH1301-AI1301</f>
        <v>82</v>
      </c>
      <c r="AH1301" s="145">
        <v>172</v>
      </c>
      <c r="AI1301" s="145">
        <v>90</v>
      </c>
      <c r="AJ1301" s="145"/>
      <c r="AK1301" s="145">
        <v>19.5</v>
      </c>
      <c r="AL1301" s="145">
        <v>1</v>
      </c>
      <c r="AM1301" s="145">
        <v>0</v>
      </c>
      <c r="AN1301" s="145">
        <v>0</v>
      </c>
      <c r="AO1301" s="16">
        <f>IF(SUM(AL1301:AN1301)&gt;0, 1,0)</f>
        <v>1</v>
      </c>
      <c r="AP1301" s="16">
        <f>SUM(AL1301:AN1301)</f>
        <v>1</v>
      </c>
      <c r="AS1301" s="16">
        <f>VLOOKUP(E1301,'[1]Feces weights'!$D$1:$H$459,5,FALSE)</f>
        <v>0.37400000000000011</v>
      </c>
      <c r="AT1301" s="16" t="e">
        <f>VLOOKUP(E1301,[2]Current!$A$1:$W$435,7,FALSE)</f>
        <v>#N/A</v>
      </c>
      <c r="BG1301" s="77"/>
      <c r="BT1301" s="77"/>
      <c r="CD1301" s="77"/>
      <c r="DG1301" s="145" t="s">
        <v>123</v>
      </c>
      <c r="DT1301" s="145" t="s">
        <v>123</v>
      </c>
      <c r="DU1301" s="145"/>
      <c r="DX1301" s="145"/>
      <c r="DY1301" s="145"/>
      <c r="DZ1301" s="16"/>
      <c r="EA1301" s="16"/>
      <c r="EB1301" s="16"/>
      <c r="EC1301" s="16"/>
      <c r="ED1301" s="16"/>
      <c r="EE1301" s="16"/>
      <c r="EF1301" s="16"/>
      <c r="JO1301" s="18"/>
      <c r="JP1301" s="18"/>
      <c r="JQ1301" s="18"/>
      <c r="JR1301" s="18"/>
      <c r="JS1301" s="18"/>
      <c r="JT1301" s="18"/>
      <c r="JU1301" s="18"/>
      <c r="JV1301" s="18"/>
      <c r="JW1301" s="18"/>
      <c r="JX1301" s="18"/>
      <c r="JY1301" s="18"/>
      <c r="JZ1301" s="18"/>
      <c r="KA1301" s="18"/>
    </row>
    <row r="1302" spans="1:288" ht="16" x14ac:dyDescent="0.2">
      <c r="B1302" s="16">
        <v>2018</v>
      </c>
      <c r="C1302" s="124">
        <v>43244</v>
      </c>
      <c r="D1302" t="s">
        <v>740</v>
      </c>
      <c r="E1302" s="37" t="str">
        <f>CONCATENATE(T1302,"-",U1302,"-",C1302)</f>
        <v>HW2-A3-43244</v>
      </c>
      <c r="F1302" s="16" t="s">
        <v>227</v>
      </c>
      <c r="G1302" s="126" t="s">
        <v>107</v>
      </c>
      <c r="H1302" s="126"/>
      <c r="J1302" s="126">
        <v>1446</v>
      </c>
      <c r="K1302" s="126">
        <v>2374</v>
      </c>
      <c r="O1302" s="15" t="s">
        <v>214</v>
      </c>
      <c r="Q1302" s="16">
        <f t="shared" si="6"/>
        <v>0</v>
      </c>
      <c r="R1302" s="16" t="str">
        <f t="shared" si="7"/>
        <v/>
      </c>
      <c r="T1302" s="126" t="s">
        <v>129</v>
      </c>
      <c r="U1302" s="126" t="s">
        <v>201</v>
      </c>
      <c r="V1302" s="126" t="s">
        <v>114</v>
      </c>
      <c r="X1302" s="126" t="s">
        <v>121</v>
      </c>
      <c r="Y1302" s="126" t="s">
        <v>110</v>
      </c>
      <c r="Z1302" s="126">
        <v>3</v>
      </c>
      <c r="AA1302" s="126" t="s">
        <v>119</v>
      </c>
      <c r="AB1302" s="126" t="s">
        <v>123</v>
      </c>
      <c r="AC1302" s="126" t="s">
        <v>116</v>
      </c>
      <c r="AD1302" s="126"/>
      <c r="AE1302" s="126"/>
      <c r="AG1302" s="16">
        <f>AH1302-AI1302</f>
        <v>93</v>
      </c>
      <c r="AH1302" s="126">
        <v>170</v>
      </c>
      <c r="AI1302" s="126">
        <v>77</v>
      </c>
      <c r="AK1302" s="126">
        <v>21</v>
      </c>
      <c r="AL1302" s="126">
        <v>1</v>
      </c>
      <c r="AM1302" s="126">
        <v>0</v>
      </c>
      <c r="AN1302" s="126">
        <v>0</v>
      </c>
      <c r="AO1302" s="16">
        <f>IF(SUM(AL1302:AN1302)&gt;0,1,0)</f>
        <v>1</v>
      </c>
      <c r="AP1302" s="18">
        <f>SUM(AL1302:AN1302)</f>
        <v>1</v>
      </c>
      <c r="AR1302" s="16">
        <v>0.127</v>
      </c>
      <c r="AS1302" s="16">
        <f>VLOOKUP(E1302,'[1]Feces weights'!$D$1:$H$459,5,FALSE)</f>
        <v>0.127</v>
      </c>
      <c r="AT1302" s="16" t="str">
        <f>VLOOKUP(E1302,[9]Current!$A:$T,7,FALSE)</f>
        <v>JB</v>
      </c>
      <c r="AU1302" s="18" t="s">
        <v>1290</v>
      </c>
      <c r="AW1302" s="177">
        <f>IF(AY1302&gt;0,1,0)</f>
        <v>1</v>
      </c>
      <c r="AX1302" s="177">
        <f>SUM(BA1302,BM1302,CU1302)</f>
        <v>1</v>
      </c>
      <c r="AY1302" s="177">
        <f>SUM(BB1302,BN1302,CV1302)</f>
        <v>251.96850393700788</v>
      </c>
      <c r="AZ1302" s="177">
        <f>IF(BB1302&gt;0,1,0)</f>
        <v>1</v>
      </c>
      <c r="BA1302" s="177">
        <f>SUM(BC1302+BF1302+BI1302)</f>
        <v>1</v>
      </c>
      <c r="BB1302" s="177">
        <f>SUM(BE1302,BH1302,BK1302)</f>
        <v>251.96850393700788</v>
      </c>
      <c r="BC1302" s="178">
        <f>IF(BD1302&gt;0,1,0)</f>
        <v>0</v>
      </c>
      <c r="BD1302" s="177">
        <f>VLOOKUP($E1302,[9]Current!$1:$1048576,8,FALSE)</f>
        <v>0</v>
      </c>
      <c r="BE1302" s="177">
        <f>BD1302/$AS1302</f>
        <v>0</v>
      </c>
      <c r="BF1302" s="178">
        <f>IF(BG1302&gt;0,1,0)</f>
        <v>1</v>
      </c>
      <c r="BG1302" s="179">
        <f>VLOOKUP($E1302,[9]Current!$1:$1048576,9,FALSE)</f>
        <v>32</v>
      </c>
      <c r="BH1302" s="177">
        <f>BG1302/$AS1302</f>
        <v>251.96850393700788</v>
      </c>
      <c r="BI1302" s="178">
        <f>IF(BJ1302&gt;0,1,0)</f>
        <v>0</v>
      </c>
      <c r="BJ1302" s="177">
        <f>VLOOKUP($E1302,[9]Current!$1:$1048576,10,FALSE)</f>
        <v>0</v>
      </c>
      <c r="BK1302" s="177">
        <f>BJ1302/$AS1302</f>
        <v>0</v>
      </c>
      <c r="BL1302" s="177">
        <f>IF(BM1302&gt;0,1,0)</f>
        <v>0</v>
      </c>
      <c r="BM1302" s="177">
        <f>SUM(BR1302,BU1302,BX1302,CA1302,CD1302)</f>
        <v>0</v>
      </c>
      <c r="BN1302" s="181">
        <f>SUM(BT1302,BW1302,BZ1302,CC1302,CF1302)</f>
        <v>0</v>
      </c>
      <c r="BO1302" s="177">
        <f>IF(BP1302&gt;0,1,0)</f>
        <v>0</v>
      </c>
      <c r="BP1302" s="177">
        <f>BM1302+CJ1302</f>
        <v>0</v>
      </c>
      <c r="BQ1302" s="177">
        <f>BN1302+CL1302</f>
        <v>0</v>
      </c>
      <c r="BR1302" s="178">
        <f>IF(BS1302&gt;0,1,0)</f>
        <v>0</v>
      </c>
      <c r="BS1302" s="177">
        <f>VLOOKUP($E1302,[9]Current!$1:$1048576,12,FALSE)</f>
        <v>0</v>
      </c>
      <c r="BT1302" s="179">
        <f>BS1302/$AS1302</f>
        <v>0</v>
      </c>
      <c r="BU1302" s="178">
        <f>IF(BV1302&gt;0,1,0)</f>
        <v>0</v>
      </c>
      <c r="BV1302" s="177">
        <f>VLOOKUP($E1302,[9]Current!$1:$1048576,13,FALSE)</f>
        <v>0</v>
      </c>
      <c r="BW1302" s="177">
        <f>BV1302/$AS1302</f>
        <v>0</v>
      </c>
      <c r="BX1302" s="178">
        <f>IF(BY1302&gt;0,1,0)</f>
        <v>0</v>
      </c>
      <c r="BY1302" s="177">
        <f>VLOOKUP($E1302,[9]Current!$1:$1048576,14,FALSE)</f>
        <v>0</v>
      </c>
      <c r="BZ1302" s="177">
        <f>BY1302/$AS1302</f>
        <v>0</v>
      </c>
      <c r="CA1302" s="178">
        <f>IF(CB1302&gt;0,1,0)</f>
        <v>0</v>
      </c>
      <c r="CB1302" s="177">
        <f>VLOOKUP($E1302,[9]Current!$1:$1048576,15,FALSE)</f>
        <v>0</v>
      </c>
      <c r="CC1302" s="177">
        <f>CB1302/$AS1302</f>
        <v>0</v>
      </c>
      <c r="CD1302" s="180">
        <f>IF(CE1302&gt;0,1,0)</f>
        <v>0</v>
      </c>
      <c r="CE1302" s="177">
        <f>VLOOKUP($E1302,[9]Current!$1:$1048576,16,FALSE)</f>
        <v>0</v>
      </c>
      <c r="CF1302" s="177">
        <f>CE1302/$AS1302</f>
        <v>0</v>
      </c>
      <c r="CG1302" s="18"/>
      <c r="CH1302" s="18"/>
      <c r="CI1302" s="18"/>
      <c r="CJ1302" s="178">
        <f>IF(CK1302&gt;0,1,0)</f>
        <v>0</v>
      </c>
      <c r="CK1302" s="177">
        <f>VLOOKUP($E1302,[9]Current!$1:$1048576,18,FALSE)</f>
        <v>0</v>
      </c>
      <c r="CL1302" s="177">
        <f>CK1302/$AS1302</f>
        <v>0</v>
      </c>
      <c r="CS1302" s="178">
        <f>IF(CU1302&gt;0,1,0)</f>
        <v>0</v>
      </c>
      <c r="CT1302" s="177"/>
      <c r="CU1302" s="177">
        <f>VLOOKUP($E1302,[9]Current!$1:$1048576,17,FALSE)</f>
        <v>0</v>
      </c>
      <c r="CV1302" s="177">
        <f>CU1302/$AS1302</f>
        <v>0</v>
      </c>
      <c r="DF1302" s="16" t="e">
        <f>VLOOKUP(K1302,'[3]RNA Seq summary tables'!$V$3:$V$99,1,FALSE)</f>
        <v>#N/A</v>
      </c>
      <c r="DG1302" s="126" t="s">
        <v>116</v>
      </c>
    </row>
    <row r="1303" spans="1:288" s="27" customFormat="1" ht="16" x14ac:dyDescent="0.2">
      <c r="A1303" s="18"/>
      <c r="B1303" s="16">
        <v>2018</v>
      </c>
      <c r="C1303" s="124">
        <v>43260</v>
      </c>
      <c r="D1303" t="s">
        <v>789</v>
      </c>
      <c r="E1303" s="37" t="str">
        <f>CONCATENATE(T1303,"-",U1303,"-",C1303)</f>
        <v>HW2-A3-43260</v>
      </c>
      <c r="F1303" s="16" t="s">
        <v>227</v>
      </c>
      <c r="G1303" s="126" t="s">
        <v>107</v>
      </c>
      <c r="H1303" s="126"/>
      <c r="I1303" s="16"/>
      <c r="J1303" s="126">
        <v>1446</v>
      </c>
      <c r="K1303" s="126">
        <v>2421</v>
      </c>
      <c r="L1303" s="16"/>
      <c r="M1303" s="21"/>
      <c r="N1303" s="21"/>
      <c r="O1303" s="15" t="s">
        <v>214</v>
      </c>
      <c r="P1303" s="16"/>
      <c r="Q1303" s="16">
        <f t="shared" si="6"/>
        <v>1</v>
      </c>
      <c r="R1303" s="16">
        <f t="shared" si="7"/>
        <v>16</v>
      </c>
      <c r="S1303" s="16"/>
      <c r="T1303" s="126" t="s">
        <v>129</v>
      </c>
      <c r="U1303" s="126" t="s">
        <v>201</v>
      </c>
      <c r="V1303" s="126" t="s">
        <v>114</v>
      </c>
      <c r="W1303" s="16"/>
      <c r="X1303" s="126" t="s">
        <v>121</v>
      </c>
      <c r="Y1303" s="126" t="s">
        <v>110</v>
      </c>
      <c r="Z1303" s="126">
        <v>3</v>
      </c>
      <c r="AA1303" s="126" t="s">
        <v>119</v>
      </c>
      <c r="AB1303" s="126" t="s">
        <v>116</v>
      </c>
      <c r="AC1303" s="126" t="s">
        <v>116</v>
      </c>
      <c r="AD1303" s="126"/>
      <c r="AE1303" s="126"/>
      <c r="AF1303" s="16"/>
      <c r="AG1303" s="16">
        <f>AH1303-AI1303</f>
        <v>88</v>
      </c>
      <c r="AH1303" s="126">
        <v>160</v>
      </c>
      <c r="AI1303" s="126">
        <v>72</v>
      </c>
      <c r="AJ1303" s="16"/>
      <c r="AK1303" s="126">
        <v>21</v>
      </c>
      <c r="AL1303" s="126">
        <v>0</v>
      </c>
      <c r="AM1303" s="126">
        <v>0</v>
      </c>
      <c r="AN1303" s="126">
        <v>0</v>
      </c>
      <c r="AO1303" s="16">
        <f>IF(SUM(AL1303:AN1303)&gt;0,1,0)</f>
        <v>0</v>
      </c>
      <c r="AP1303" s="18">
        <f>SUM(AL1303:AN1303)</f>
        <v>0</v>
      </c>
      <c r="AQ1303" s="16"/>
      <c r="AR1303" s="16">
        <v>0.65900000000000003</v>
      </c>
      <c r="AS1303" s="16">
        <f>VLOOKUP(E1303,'[1]Feces weights'!$D$1:$H$459,5,FALSE)</f>
        <v>0.65900000000000003</v>
      </c>
      <c r="AT1303" s="16" t="str">
        <f>VLOOKUP(E1303,[2]Current!$A$1:$W$435,7,FALSE)</f>
        <v>TE</v>
      </c>
      <c r="AU1303" s="16" t="s">
        <v>1288</v>
      </c>
      <c r="AV1303" s="16"/>
      <c r="AW1303" s="128">
        <f>IF(AX1303&gt;0,1,0)</f>
        <v>1</v>
      </c>
      <c r="AX1303" s="128">
        <f>SUM(BA1303,BM1303,CU1303)</f>
        <v>197</v>
      </c>
      <c r="AY1303" s="128">
        <f>SUM(BB1303,BN1303,CV1303)</f>
        <v>298.93778452200303</v>
      </c>
      <c r="AZ1303" s="128">
        <f>IF(BA1303&gt;0,1,0)</f>
        <v>0</v>
      </c>
      <c r="BA1303" s="128">
        <f>SUM(BC1303+BF1303+BI1303)</f>
        <v>0</v>
      </c>
      <c r="BB1303" s="128">
        <f>SUM(BE1303,BH1303,BK1303)</f>
        <v>0</v>
      </c>
      <c r="BC1303" s="130">
        <f>IF(BD1303&gt;0,1,0)</f>
        <v>0</v>
      </c>
      <c r="BD1303" s="128">
        <f>VLOOKUP($E1303,[2]Current!$A:$AC,26,FALSE)</f>
        <v>0</v>
      </c>
      <c r="BE1303" s="128">
        <f>BD1303/$AS1303</f>
        <v>0</v>
      </c>
      <c r="BF1303" s="130">
        <f>IF(BG1303&gt;0,1,0)</f>
        <v>0</v>
      </c>
      <c r="BG1303" s="137">
        <f>VLOOKUP($E1303,[2]Current!$A:$AC,27,FALSE)</f>
        <v>0</v>
      </c>
      <c r="BH1303" s="128">
        <f>BG1303/$AS1303</f>
        <v>0</v>
      </c>
      <c r="BI1303" s="130">
        <f>IF(BJ1303&gt;0,1,0)</f>
        <v>0</v>
      </c>
      <c r="BJ1303" s="128">
        <f>VLOOKUP($E1303,[2]Current!$A:$AC,28,FALSE)</f>
        <v>0</v>
      </c>
      <c r="BK1303" s="128">
        <f>BJ1303/$AS1303</f>
        <v>0</v>
      </c>
      <c r="BL1303" s="128">
        <f>IF(BM1303&gt;0,1,0)</f>
        <v>0</v>
      </c>
      <c r="BM1303" s="128">
        <f>SUM(BR1303,BU1303,BX1303,CA1303,CD1303)</f>
        <v>0</v>
      </c>
      <c r="BN1303" s="131">
        <f>SUM(BT1303,BW1303,BZ1303,CC1303,CF1303)</f>
        <v>0</v>
      </c>
      <c r="BO1303" s="128">
        <f>IF(BP1303&gt;0,1,0)</f>
        <v>0</v>
      </c>
      <c r="BP1303" s="128">
        <f>BM1303+CJ1303</f>
        <v>0</v>
      </c>
      <c r="BQ1303" s="128">
        <f>BN1303+CL1303</f>
        <v>0</v>
      </c>
      <c r="BR1303" s="130">
        <f>IF(BS1303&gt;0,1,0)</f>
        <v>0</v>
      </c>
      <c r="BS1303" s="128">
        <f>VLOOKUP($E1303,[2]Current!$A:$AC,12,FALSE)</f>
        <v>0</v>
      </c>
      <c r="BT1303" s="137">
        <f>BS1303/$AS1303</f>
        <v>0</v>
      </c>
      <c r="BU1303" s="130">
        <f>IF(BV1303&gt;0,1,0)</f>
        <v>0</v>
      </c>
      <c r="BV1303" s="128">
        <f>VLOOKUP($E1303,[2]Current!$A:$AC,13,FALSE)</f>
        <v>0</v>
      </c>
      <c r="BW1303" s="128">
        <f>BV1303/$AS1303</f>
        <v>0</v>
      </c>
      <c r="BX1303" s="130">
        <f>IF(BY1303&gt;0,1,0)</f>
        <v>0</v>
      </c>
      <c r="BY1303" s="128">
        <f>VLOOKUP($E1303,[2]Current!$A:$AC,14,FALSE)</f>
        <v>0</v>
      </c>
      <c r="BZ1303" s="128">
        <f>BY1303/$AS1303</f>
        <v>0</v>
      </c>
      <c r="CA1303" s="130">
        <f>IF(CB1303&gt;0,1,0)</f>
        <v>0</v>
      </c>
      <c r="CB1303" s="128">
        <f>VLOOKUP($E1303,[2]Current!$A:$AC,15,FALSE)</f>
        <v>0</v>
      </c>
      <c r="CC1303" s="128">
        <f>CB1303/$AS1303</f>
        <v>0</v>
      </c>
      <c r="CD1303" s="174">
        <f>IF(CE1303&gt;0,1,0)</f>
        <v>0</v>
      </c>
      <c r="CE1303" s="128">
        <f>VLOOKUP($E1303,[2]Current!$A:$AC,16,FALSE)</f>
        <v>0</v>
      </c>
      <c r="CF1303" s="128">
        <f>CE1303/$AS1303</f>
        <v>0</v>
      </c>
      <c r="CG1303" s="18"/>
      <c r="CH1303" s="18"/>
      <c r="CI1303" s="18"/>
      <c r="CJ1303" s="130">
        <f>IF(CK1303&gt;0,1,0)</f>
        <v>0</v>
      </c>
      <c r="CK1303" s="128">
        <f>VLOOKUP($E1303,[2]Current!$A:$AC,18,FALSE)</f>
        <v>0</v>
      </c>
      <c r="CL1303" s="128">
        <f>CK1303/$AS1303</f>
        <v>0</v>
      </c>
      <c r="CM1303" s="16"/>
      <c r="CN1303" s="16"/>
      <c r="CO1303" s="16"/>
      <c r="CP1303" s="16"/>
      <c r="CQ1303" s="16"/>
      <c r="CR1303" s="16"/>
      <c r="CS1303" s="130">
        <f>IF(CU1303&gt;0,1,0)</f>
        <v>1</v>
      </c>
      <c r="CT1303" s="18"/>
      <c r="CU1303" s="128">
        <f>VLOOKUP($E1303,[2]Current!$A:$AC,17,FALSE)</f>
        <v>197</v>
      </c>
      <c r="CV1303" s="128">
        <f>CU1303/$AS1303</f>
        <v>298.93778452200303</v>
      </c>
      <c r="CW1303" s="18"/>
      <c r="CX1303" s="18"/>
      <c r="CY1303" s="18"/>
      <c r="CZ1303" s="16"/>
      <c r="DA1303" s="16"/>
      <c r="DB1303" s="16"/>
      <c r="DC1303" s="16"/>
      <c r="DD1303" s="16"/>
      <c r="DE1303" s="16"/>
      <c r="DF1303" s="16" t="e">
        <f>VLOOKUP(K1303,'[3]RNA Seq summary tables'!$V$3:$V$99,1,FALSE)</f>
        <v>#N/A</v>
      </c>
      <c r="DG1303" s="126" t="s">
        <v>116</v>
      </c>
      <c r="DH1303" s="16"/>
      <c r="DI1303" s="16"/>
      <c r="DJ1303" s="16"/>
      <c r="DK1303" s="16"/>
      <c r="DL1303" s="16"/>
      <c r="DM1303" s="16"/>
      <c r="DN1303" s="16"/>
      <c r="DO1303" s="16"/>
      <c r="DP1303" s="16"/>
      <c r="DQ1303" s="16"/>
      <c r="DR1303" s="16"/>
      <c r="DS1303" s="16"/>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18"/>
      <c r="EQ1303" s="18"/>
      <c r="ER1303" s="18"/>
      <c r="ES1303" s="18"/>
      <c r="ET1303" s="18"/>
      <c r="EU1303" s="18"/>
      <c r="EV1303" s="18"/>
      <c r="EW1303" s="18"/>
      <c r="EX1303" s="18"/>
      <c r="EY1303" s="18"/>
      <c r="EZ1303" s="18"/>
      <c r="FA1303" s="18"/>
      <c r="FB1303" s="18"/>
      <c r="FC1303" s="18"/>
      <c r="FD1303" s="18"/>
      <c r="FE1303" s="18"/>
      <c r="FF1303" s="18"/>
      <c r="FG1303" s="18"/>
      <c r="FH1303" s="18"/>
      <c r="FI1303" s="18"/>
      <c r="FJ1303" s="18"/>
      <c r="FK1303" s="18"/>
      <c r="FL1303" s="18"/>
      <c r="FM1303" s="18"/>
      <c r="FN1303" s="18"/>
      <c r="FO1303" s="18"/>
      <c r="FP1303" s="18"/>
      <c r="FQ1303" s="18"/>
      <c r="FR1303" s="18"/>
      <c r="FS1303" s="18"/>
      <c r="FT1303" s="18"/>
      <c r="FU1303" s="18"/>
      <c r="FV1303" s="18"/>
      <c r="FW1303" s="18"/>
      <c r="FX1303" s="18"/>
      <c r="FY1303" s="18"/>
      <c r="FZ1303" s="18"/>
      <c r="GA1303" s="18"/>
      <c r="GB1303" s="18"/>
      <c r="GC1303" s="18"/>
      <c r="GD1303" s="18"/>
      <c r="GE1303" s="18"/>
      <c r="GF1303" s="18"/>
      <c r="GG1303" s="18"/>
      <c r="GH1303" s="18"/>
      <c r="GI1303" s="18"/>
      <c r="GJ1303" s="18"/>
      <c r="GK1303" s="18"/>
      <c r="GL1303" s="18"/>
      <c r="GM1303" s="18"/>
      <c r="GN1303" s="18"/>
      <c r="GO1303" s="18"/>
      <c r="GP1303" s="18"/>
      <c r="GQ1303" s="18"/>
      <c r="GR1303" s="18"/>
      <c r="GS1303" s="18"/>
      <c r="GT1303" s="18"/>
      <c r="GU1303" s="18"/>
      <c r="GV1303" s="18"/>
      <c r="GW1303" s="18"/>
      <c r="GX1303" s="18"/>
      <c r="GY1303" s="18"/>
      <c r="GZ1303" s="18"/>
      <c r="HA1303" s="18"/>
      <c r="HB1303" s="18"/>
      <c r="HC1303" s="18"/>
      <c r="HD1303" s="18"/>
      <c r="HE1303" s="18"/>
      <c r="HF1303" s="18"/>
      <c r="HG1303" s="18"/>
      <c r="HH1303" s="18"/>
      <c r="HI1303" s="18"/>
      <c r="HJ1303" s="18"/>
      <c r="HK1303" s="18"/>
      <c r="HL1303" s="18"/>
      <c r="HM1303" s="18"/>
      <c r="HN1303" s="18"/>
      <c r="HO1303" s="18"/>
      <c r="HP1303" s="18"/>
      <c r="HQ1303" s="18"/>
      <c r="HR1303" s="18"/>
      <c r="HS1303" s="18"/>
      <c r="HT1303" s="18"/>
      <c r="HU1303" s="18"/>
      <c r="HV1303" s="18"/>
      <c r="HW1303" s="18"/>
      <c r="HX1303" s="18"/>
      <c r="HY1303" s="18"/>
      <c r="HZ1303" s="18"/>
      <c r="IA1303" s="18"/>
      <c r="IB1303" s="18"/>
      <c r="IC1303" s="18"/>
      <c r="ID1303" s="18"/>
      <c r="IE1303" s="18"/>
      <c r="IF1303" s="18"/>
      <c r="IG1303" s="18"/>
      <c r="IH1303" s="18"/>
      <c r="II1303" s="18"/>
      <c r="IJ1303" s="18"/>
      <c r="IK1303" s="18"/>
      <c r="IL1303" s="18"/>
      <c r="IM1303" s="18"/>
      <c r="IN1303" s="18"/>
      <c r="IO1303" s="18"/>
      <c r="IP1303" s="18"/>
      <c r="IQ1303" s="18"/>
      <c r="IR1303" s="18"/>
      <c r="IS1303" s="18"/>
      <c r="IT1303" s="18"/>
      <c r="IU1303" s="18"/>
      <c r="IV1303" s="18"/>
      <c r="IW1303" s="18"/>
      <c r="IX1303" s="18"/>
      <c r="IY1303" s="18"/>
      <c r="IZ1303" s="18"/>
      <c r="JA1303" s="18"/>
      <c r="JB1303" s="18"/>
      <c r="JC1303" s="18"/>
      <c r="JD1303" s="18"/>
      <c r="JE1303" s="18"/>
      <c r="JF1303" s="18"/>
      <c r="JG1303" s="18"/>
      <c r="JH1303" s="18"/>
      <c r="JI1303" s="18"/>
      <c r="JJ1303" s="18"/>
      <c r="JK1303" s="18"/>
      <c r="JL1303" s="18"/>
      <c r="JM1303" s="18"/>
      <c r="JN1303" s="18"/>
      <c r="JO1303" s="16"/>
      <c r="JP1303" s="16"/>
      <c r="JQ1303" s="16"/>
      <c r="JR1303" s="16"/>
      <c r="JS1303" s="16"/>
      <c r="JT1303" s="16"/>
      <c r="JU1303" s="16"/>
      <c r="JV1303" s="16"/>
      <c r="JW1303" s="16"/>
      <c r="JX1303" s="16"/>
      <c r="JY1303" s="16"/>
      <c r="JZ1303" s="16"/>
      <c r="KA1303" s="16"/>
      <c r="KB1303" s="16"/>
    </row>
    <row r="1304" spans="1:288" ht="16" x14ac:dyDescent="0.2">
      <c r="B1304" s="16">
        <v>2018</v>
      </c>
      <c r="C1304" s="124">
        <v>43277</v>
      </c>
      <c r="D1304" t="s">
        <v>860</v>
      </c>
      <c r="E1304" s="37" t="str">
        <f>CONCATENATE(T1304,"-",U1304,"-",C1304)</f>
        <v>HW2-A3-43277</v>
      </c>
      <c r="F1304" s="16" t="s">
        <v>227</v>
      </c>
      <c r="G1304" s="126" t="s">
        <v>107</v>
      </c>
      <c r="H1304" s="126" t="s">
        <v>1115</v>
      </c>
      <c r="J1304" s="126">
        <v>1446</v>
      </c>
      <c r="K1304" s="126"/>
      <c r="O1304" s="15" t="s">
        <v>214</v>
      </c>
      <c r="Q1304" s="16">
        <f t="shared" si="6"/>
        <v>1</v>
      </c>
      <c r="R1304" s="16">
        <f t="shared" si="7"/>
        <v>17</v>
      </c>
      <c r="T1304" s="126" t="s">
        <v>129</v>
      </c>
      <c r="U1304" s="126" t="s">
        <v>201</v>
      </c>
      <c r="V1304" s="125" t="s">
        <v>114</v>
      </c>
      <c r="X1304" s="126" t="s">
        <v>121</v>
      </c>
      <c r="Y1304" s="126" t="s">
        <v>110</v>
      </c>
      <c r="Z1304" s="126">
        <v>3</v>
      </c>
      <c r="AA1304" s="126" t="s">
        <v>119</v>
      </c>
      <c r="AB1304" s="126" t="s">
        <v>116</v>
      </c>
      <c r="AC1304" s="126" t="s">
        <v>123</v>
      </c>
      <c r="AD1304" s="126"/>
      <c r="AE1304" s="126"/>
      <c r="AG1304" s="16">
        <f>AH1304-AI1304</f>
        <v>80</v>
      </c>
      <c r="AH1304" s="126">
        <v>160</v>
      </c>
      <c r="AI1304" s="126">
        <v>80</v>
      </c>
      <c r="AK1304" s="126">
        <v>21.5</v>
      </c>
      <c r="AL1304" s="126">
        <v>0</v>
      </c>
      <c r="AM1304" s="126">
        <v>0</v>
      </c>
      <c r="AN1304" s="126">
        <v>0</v>
      </c>
      <c r="AO1304" s="16">
        <f>IF(SUM(AL1304:AN1304)&gt;0,1,0)</f>
        <v>0</v>
      </c>
      <c r="AP1304" s="18">
        <f>SUM(AL1304:AN1304)</f>
        <v>0</v>
      </c>
      <c r="AQ1304" s="16" t="s">
        <v>1284</v>
      </c>
      <c r="AR1304" s="16">
        <v>-8.0000000000000002E-3</v>
      </c>
      <c r="AS1304" s="152">
        <v>1E-3</v>
      </c>
      <c r="AT1304" s="16" t="str">
        <f>VLOOKUP(E1304,[2]Current!$A$1:$W$435,7,FALSE)</f>
        <v>DP</v>
      </c>
      <c r="AU1304" s="16" t="s">
        <v>1288</v>
      </c>
      <c r="AW1304" s="128">
        <f>IF(AX1304&gt;0,1,0)</f>
        <v>1</v>
      </c>
      <c r="AX1304" s="128">
        <f>SUM(BA1304,BM1304,CU1304)</f>
        <v>3</v>
      </c>
      <c r="AY1304" s="128">
        <f>SUM(BB1304,BN1304,CV1304)</f>
        <v>51000</v>
      </c>
      <c r="AZ1304" s="128">
        <f>IF(BA1304&gt;0,1,0)</f>
        <v>1</v>
      </c>
      <c r="BA1304" s="128">
        <f>SUM(BC1304+BF1304+BI1304)</f>
        <v>2</v>
      </c>
      <c r="BB1304" s="128">
        <f>SUM(BE1304,BH1304,BK1304)</f>
        <v>50000</v>
      </c>
      <c r="BC1304" s="130">
        <f>IF(BD1304&gt;0,1,0)</f>
        <v>0</v>
      </c>
      <c r="BD1304" s="128">
        <f>VLOOKUP($E1304,[2]Current!$A:$AC,26,FALSE)</f>
        <v>0</v>
      </c>
      <c r="BE1304" s="128">
        <f>BD1304/$AS1304</f>
        <v>0</v>
      </c>
      <c r="BF1304" s="130">
        <f>IF(BG1304&gt;0,1,0)</f>
        <v>1</v>
      </c>
      <c r="BG1304" s="137">
        <f>VLOOKUP($E1304,[2]Current!$A:$AC,27,FALSE)</f>
        <v>48</v>
      </c>
      <c r="BH1304" s="128">
        <f>BG1304/$AS1304</f>
        <v>48000</v>
      </c>
      <c r="BI1304" s="130">
        <f>IF(BJ1304&gt;0,1,0)</f>
        <v>1</v>
      </c>
      <c r="BJ1304" s="128">
        <f>VLOOKUP($E1304,[2]Current!$A:$AC,28,FALSE)</f>
        <v>2</v>
      </c>
      <c r="BK1304" s="128">
        <f>BJ1304/$AS1304</f>
        <v>2000</v>
      </c>
      <c r="BL1304" s="128">
        <f>IF(BM1304&gt;0,1,0)</f>
        <v>1</v>
      </c>
      <c r="BM1304" s="128">
        <f>SUM(BR1304,BU1304,BX1304,CA1304,CD1304)</f>
        <v>1</v>
      </c>
      <c r="BN1304" s="131">
        <f>SUM(BT1304,BW1304,BZ1304,CC1304,CF1304)</f>
        <v>1000</v>
      </c>
      <c r="BO1304" s="128">
        <f>IF(BP1304&gt;0,1,0)</f>
        <v>1</v>
      </c>
      <c r="BP1304" s="128">
        <f>BM1304+CJ1304</f>
        <v>1</v>
      </c>
      <c r="BQ1304" s="128">
        <f>BN1304+CL1304</f>
        <v>1000</v>
      </c>
      <c r="BR1304" s="130">
        <f>IF(BS1304&gt;0,1,0)</f>
        <v>0</v>
      </c>
      <c r="BS1304" s="128">
        <f>VLOOKUP($E1304,[2]Current!$A:$AC,12,FALSE)</f>
        <v>0</v>
      </c>
      <c r="BT1304" s="137">
        <f>BS1304/$AS1304</f>
        <v>0</v>
      </c>
      <c r="BU1304" s="130">
        <f>IF(BV1304&gt;0,1,0)</f>
        <v>0</v>
      </c>
      <c r="BV1304" s="128">
        <f>VLOOKUP($E1304,[2]Current!$A:$AC,13,FALSE)</f>
        <v>0</v>
      </c>
      <c r="BW1304" s="128">
        <f>BV1304/$AS1304</f>
        <v>0</v>
      </c>
      <c r="BX1304" s="130">
        <f>IF(BY1304&gt;0,1,0)</f>
        <v>0</v>
      </c>
      <c r="BY1304" s="128">
        <f>VLOOKUP($E1304,[2]Current!$A:$AC,14,FALSE)</f>
        <v>0</v>
      </c>
      <c r="BZ1304" s="128">
        <f>BY1304/$AS1304</f>
        <v>0</v>
      </c>
      <c r="CA1304" s="130">
        <f>IF(CB1304&gt;0,1,0)</f>
        <v>0</v>
      </c>
      <c r="CB1304" s="128">
        <f>VLOOKUP($E1304,[2]Current!$A:$AC,15,FALSE)</f>
        <v>0</v>
      </c>
      <c r="CC1304" s="128">
        <f>CB1304/$AS1304</f>
        <v>0</v>
      </c>
      <c r="CD1304" s="174">
        <f>IF(CE1304&gt;0,1,0)</f>
        <v>1</v>
      </c>
      <c r="CE1304" s="128">
        <f>VLOOKUP($E1304,[2]Current!$A:$AC,16,FALSE)</f>
        <v>1</v>
      </c>
      <c r="CF1304" s="128">
        <f>CE1304/$AS1304</f>
        <v>1000</v>
      </c>
      <c r="CG1304" s="18"/>
      <c r="CH1304" s="18"/>
      <c r="CI1304" s="18"/>
      <c r="CJ1304" s="130">
        <f>IF(CK1304&gt;0,1,0)</f>
        <v>0</v>
      </c>
      <c r="CK1304" s="128">
        <f>VLOOKUP($E1304,[2]Current!$A:$AC,18,FALSE)</f>
        <v>0</v>
      </c>
      <c r="CL1304" s="128">
        <f>CK1304/$AS1304</f>
        <v>0</v>
      </c>
      <c r="CS1304" s="130">
        <f>IF(CU1304&gt;0,1,0)</f>
        <v>0</v>
      </c>
      <c r="CU1304" s="128">
        <f>VLOOKUP($E1304,[2]Current!$A:$AC,17,FALSE)</f>
        <v>0</v>
      </c>
      <c r="CV1304" s="128">
        <f>CU1304/$AS1304</f>
        <v>0</v>
      </c>
      <c r="CW1304" s="18"/>
      <c r="CX1304" s="18"/>
      <c r="CY1304" s="18"/>
      <c r="DF1304" s="16" t="e">
        <f>VLOOKUP(K1304,'[3]RNA Seq summary tables'!$V$3:$V$99,1,FALSE)</f>
        <v>#N/A</v>
      </c>
      <c r="DG1304" s="126" t="s">
        <v>123</v>
      </c>
    </row>
    <row r="1305" spans="1:288" ht="16" x14ac:dyDescent="0.2">
      <c r="B1305" s="16">
        <v>2018</v>
      </c>
      <c r="C1305" s="124">
        <v>43244</v>
      </c>
      <c r="D1305" t="s">
        <v>739</v>
      </c>
      <c r="E1305" s="37" t="str">
        <f>CONCATENATE(T1305,"-",U1305,"-",C1305)</f>
        <v>HW2-H2-43244</v>
      </c>
      <c r="F1305" s="16" t="s">
        <v>227</v>
      </c>
      <c r="G1305" s="126" t="s">
        <v>107</v>
      </c>
      <c r="H1305" s="126"/>
      <c r="J1305" s="126">
        <v>1448</v>
      </c>
      <c r="K1305" s="126">
        <v>2376</v>
      </c>
      <c r="O1305" s="15" t="s">
        <v>214</v>
      </c>
      <c r="Q1305" s="16">
        <f t="shared" si="6"/>
        <v>0</v>
      </c>
      <c r="R1305" s="16" t="str">
        <f t="shared" si="7"/>
        <v/>
      </c>
      <c r="T1305" s="126" t="s">
        <v>129</v>
      </c>
      <c r="U1305" s="126" t="s">
        <v>190</v>
      </c>
      <c r="V1305" s="126" t="s">
        <v>114</v>
      </c>
      <c r="X1305" s="126" t="s">
        <v>121</v>
      </c>
      <c r="Y1305" s="126" t="s">
        <v>110</v>
      </c>
      <c r="Z1305" s="126">
        <v>3</v>
      </c>
      <c r="AA1305" s="126" t="s">
        <v>161</v>
      </c>
      <c r="AB1305" s="126" t="s">
        <v>123</v>
      </c>
      <c r="AC1305" s="126" t="s">
        <v>116</v>
      </c>
      <c r="AD1305" s="126"/>
      <c r="AE1305" s="126"/>
      <c r="AG1305" s="16">
        <f>AH1305-AI1305</f>
        <v>86</v>
      </c>
      <c r="AH1305" s="126">
        <v>162</v>
      </c>
      <c r="AI1305" s="126">
        <v>76</v>
      </c>
      <c r="AK1305" s="126">
        <v>25</v>
      </c>
      <c r="AL1305" s="126">
        <v>1</v>
      </c>
      <c r="AM1305" s="126">
        <v>1</v>
      </c>
      <c r="AN1305" s="126">
        <v>0</v>
      </c>
      <c r="AO1305" s="16">
        <f>IF(SUM(AL1305:AN1305)&gt;0,1,0)</f>
        <v>1</v>
      </c>
      <c r="AP1305" s="18">
        <f>SUM(AL1305:AN1305)</f>
        <v>2</v>
      </c>
      <c r="AR1305" s="16">
        <v>9.000000000000008E-2</v>
      </c>
      <c r="AS1305" s="16">
        <f>VLOOKUP(E1305,'[1]Feces weights'!$D$1:$H$459,5,FALSE)</f>
        <v>9.000000000000008E-2</v>
      </c>
      <c r="AT1305" s="16" t="str">
        <f>VLOOKUP(E1305,[9]Current!$A:$T,7,FALSE)</f>
        <v>IS</v>
      </c>
      <c r="AU1305" s="18" t="s">
        <v>1290</v>
      </c>
      <c r="AW1305" s="177">
        <f>IF(AY1305&gt;0,1,0)</f>
        <v>1</v>
      </c>
      <c r="AX1305" s="177">
        <f>SUM(BA1305,BM1305,CU1305)</f>
        <v>1</v>
      </c>
      <c r="AY1305" s="177">
        <f>SUM(BB1305,BN1305,CV1305)</f>
        <v>2577.7777777777756</v>
      </c>
      <c r="AZ1305" s="177">
        <f>IF(BB1305&gt;0,1,0)</f>
        <v>1</v>
      </c>
      <c r="BA1305" s="177">
        <f>SUM(BC1305+BF1305+BI1305)</f>
        <v>1</v>
      </c>
      <c r="BB1305" s="177">
        <f>SUM(BE1305,BH1305,BK1305)</f>
        <v>2577.7777777777756</v>
      </c>
      <c r="BC1305" s="178">
        <f>IF(BD1305&gt;0,1,0)</f>
        <v>0</v>
      </c>
      <c r="BD1305" s="177">
        <f>VLOOKUP($E1305,[9]Current!$1:$1048576,8,FALSE)</f>
        <v>0</v>
      </c>
      <c r="BE1305" s="177">
        <f>BD1305/$AS1305</f>
        <v>0</v>
      </c>
      <c r="BF1305" s="178">
        <f>IF(BG1305&gt;0,1,0)</f>
        <v>1</v>
      </c>
      <c r="BG1305" s="179">
        <f>VLOOKUP($E1305,[9]Current!$1:$1048576,9,FALSE)</f>
        <v>232</v>
      </c>
      <c r="BH1305" s="177">
        <f>BG1305/$AS1305</f>
        <v>2577.7777777777756</v>
      </c>
      <c r="BI1305" s="178">
        <f>IF(BJ1305&gt;0,1,0)</f>
        <v>0</v>
      </c>
      <c r="BJ1305" s="177">
        <f>VLOOKUP($E1305,[9]Current!$1:$1048576,10,FALSE)</f>
        <v>0</v>
      </c>
      <c r="BK1305" s="177">
        <f>BJ1305/$AS1305</f>
        <v>0</v>
      </c>
      <c r="BL1305" s="177">
        <f>IF(BM1305&gt;0,1,0)</f>
        <v>0</v>
      </c>
      <c r="BM1305" s="177">
        <f>SUM(BR1305,BU1305,BX1305,CA1305,CD1305)</f>
        <v>0</v>
      </c>
      <c r="BN1305" s="181">
        <f>SUM(BT1305,BW1305,BZ1305,CC1305,CF1305)</f>
        <v>0</v>
      </c>
      <c r="BO1305" s="177">
        <f>IF(BP1305&gt;0,1,0)</f>
        <v>0</v>
      </c>
      <c r="BP1305" s="177">
        <f>BM1305+CJ1305</f>
        <v>0</v>
      </c>
      <c r="BQ1305" s="177">
        <f>BN1305+CL1305</f>
        <v>0</v>
      </c>
      <c r="BR1305" s="178">
        <f>IF(BS1305&gt;0,1,0)</f>
        <v>0</v>
      </c>
      <c r="BS1305" s="177">
        <f>VLOOKUP($E1305,[9]Current!$1:$1048576,12,FALSE)</f>
        <v>0</v>
      </c>
      <c r="BT1305" s="179">
        <f>BS1305/$AS1305</f>
        <v>0</v>
      </c>
      <c r="BU1305" s="178">
        <f>IF(BV1305&gt;0,1,0)</f>
        <v>0</v>
      </c>
      <c r="BV1305" s="177">
        <f>VLOOKUP($E1305,[9]Current!$1:$1048576,13,FALSE)</f>
        <v>0</v>
      </c>
      <c r="BW1305" s="177">
        <f>BV1305/$AS1305</f>
        <v>0</v>
      </c>
      <c r="BX1305" s="178">
        <f>IF(BY1305&gt;0,1,0)</f>
        <v>0</v>
      </c>
      <c r="BY1305" s="177">
        <f>VLOOKUP($E1305,[9]Current!$1:$1048576,14,FALSE)</f>
        <v>0</v>
      </c>
      <c r="BZ1305" s="177">
        <f>BY1305/$AS1305</f>
        <v>0</v>
      </c>
      <c r="CA1305" s="178">
        <f>IF(CB1305&gt;0,1,0)</f>
        <v>0</v>
      </c>
      <c r="CB1305" s="177">
        <f>VLOOKUP($E1305,[9]Current!$1:$1048576,15,FALSE)</f>
        <v>0</v>
      </c>
      <c r="CC1305" s="177">
        <f>CB1305/$AS1305</f>
        <v>0</v>
      </c>
      <c r="CD1305" s="180">
        <f>IF(CE1305&gt;0,1,0)</f>
        <v>0</v>
      </c>
      <c r="CE1305" s="177">
        <f>VLOOKUP($E1305,[9]Current!$1:$1048576,16,FALSE)</f>
        <v>0</v>
      </c>
      <c r="CF1305" s="177">
        <f>CE1305/$AS1305</f>
        <v>0</v>
      </c>
      <c r="CG1305" s="18"/>
      <c r="CH1305" s="18"/>
      <c r="CI1305" s="18"/>
      <c r="CJ1305" s="178">
        <f>IF(CK1305&gt;0,1,0)</f>
        <v>0</v>
      </c>
      <c r="CK1305" s="177">
        <f>VLOOKUP($E1305,[9]Current!$1:$1048576,18,FALSE)</f>
        <v>0</v>
      </c>
      <c r="CL1305" s="177">
        <f>CK1305/$AS1305</f>
        <v>0</v>
      </c>
      <c r="CS1305" s="178">
        <f>IF(CU1305&gt;0,1,0)</f>
        <v>0</v>
      </c>
      <c r="CT1305" s="177"/>
      <c r="CU1305" s="177">
        <f>VLOOKUP($E1305,[9]Current!$1:$1048576,17,FALSE)</f>
        <v>0</v>
      </c>
      <c r="CV1305" s="177">
        <f>CU1305/$AS1305</f>
        <v>0</v>
      </c>
      <c r="DF1305" s="16" t="e">
        <f>VLOOKUP(K1305,'[3]RNA Seq summary tables'!$V$3:$V$99,1,FALSE)</f>
        <v>#N/A</v>
      </c>
      <c r="DG1305" s="126" t="s">
        <v>116</v>
      </c>
    </row>
    <row r="1306" spans="1:288" ht="16" x14ac:dyDescent="0.2">
      <c r="B1306" s="16">
        <v>2018</v>
      </c>
      <c r="C1306" s="124">
        <v>43260</v>
      </c>
      <c r="D1306" t="s">
        <v>783</v>
      </c>
      <c r="E1306" s="37" t="str">
        <f>CONCATENATE(T1306,"-",U1306,"-",C1306)</f>
        <v>HW2-H2-43260</v>
      </c>
      <c r="F1306" s="16" t="s">
        <v>227</v>
      </c>
      <c r="G1306" s="126" t="s">
        <v>107</v>
      </c>
      <c r="H1306" s="126" t="s">
        <v>1098</v>
      </c>
      <c r="J1306" s="126">
        <v>1448</v>
      </c>
      <c r="K1306" s="126">
        <v>2427</v>
      </c>
      <c r="O1306" s="15" t="s">
        <v>214</v>
      </c>
      <c r="Q1306" s="16">
        <f t="shared" si="6"/>
        <v>1</v>
      </c>
      <c r="R1306" s="16">
        <f t="shared" si="7"/>
        <v>16</v>
      </c>
      <c r="T1306" s="126" t="s">
        <v>129</v>
      </c>
      <c r="U1306" s="126" t="s">
        <v>190</v>
      </c>
      <c r="V1306" s="126" t="s">
        <v>114</v>
      </c>
      <c r="X1306" s="126" t="s">
        <v>121</v>
      </c>
      <c r="Y1306" s="126" t="s">
        <v>110</v>
      </c>
      <c r="Z1306" s="126">
        <v>3</v>
      </c>
      <c r="AA1306" s="126" t="s">
        <v>119</v>
      </c>
      <c r="AB1306" s="126" t="s">
        <v>123</v>
      </c>
      <c r="AC1306" s="126" t="s">
        <v>116</v>
      </c>
      <c r="AD1306" s="126"/>
      <c r="AE1306" s="126"/>
      <c r="AG1306" s="16">
        <f>AH1306-AI1306</f>
        <v>90</v>
      </c>
      <c r="AH1306" s="126">
        <v>164</v>
      </c>
      <c r="AI1306" s="126">
        <v>74</v>
      </c>
      <c r="AK1306" s="126">
        <v>26.5</v>
      </c>
      <c r="AL1306" s="126">
        <v>0</v>
      </c>
      <c r="AM1306" s="126">
        <v>1</v>
      </c>
      <c r="AN1306" s="126">
        <v>0</v>
      </c>
      <c r="AO1306" s="16">
        <f>IF(SUM(AL1306:AN1306)&gt;0,1,0)</f>
        <v>1</v>
      </c>
      <c r="AP1306" s="18">
        <f>SUM(AL1306:AN1306)</f>
        <v>1</v>
      </c>
      <c r="AR1306" s="16">
        <v>0.2220000000000002</v>
      </c>
      <c r="AS1306" s="16">
        <f>VLOOKUP(E1306,'[1]Feces weights'!$D$1:$H$459,5,FALSE)</f>
        <v>0.2220000000000002</v>
      </c>
      <c r="AT1306" s="16" t="str">
        <f>VLOOKUP(E1306,[9]Current!$A:$T,7,FALSE)</f>
        <v>LV</v>
      </c>
      <c r="AU1306" s="18" t="s">
        <v>1290</v>
      </c>
      <c r="AW1306" s="177">
        <f>IF(AY1306&gt;0,1,0)</f>
        <v>1</v>
      </c>
      <c r="AX1306" s="177">
        <f>SUM(BA1306,BM1306,CU1306)</f>
        <v>1</v>
      </c>
      <c r="AY1306" s="177">
        <f>SUM(BB1306,BN1306,CV1306)</f>
        <v>36.036036036036002</v>
      </c>
      <c r="AZ1306" s="177">
        <f>IF(BB1306&gt;0,1,0)</f>
        <v>1</v>
      </c>
      <c r="BA1306" s="177">
        <f>SUM(BC1306+BF1306+BI1306)</f>
        <v>1</v>
      </c>
      <c r="BB1306" s="177">
        <f>SUM(BE1306,BH1306,BK1306)</f>
        <v>36.036036036036002</v>
      </c>
      <c r="BC1306" s="178">
        <f>IF(BD1306&gt;0,1,0)</f>
        <v>0</v>
      </c>
      <c r="BD1306" s="177">
        <f>VLOOKUP($E1306,[9]Current!$1:$1048576,8,FALSE)</f>
        <v>0</v>
      </c>
      <c r="BE1306" s="177">
        <f>BD1306/$AS1306</f>
        <v>0</v>
      </c>
      <c r="BF1306" s="178">
        <f>IF(BG1306&gt;0,1,0)</f>
        <v>1</v>
      </c>
      <c r="BG1306" s="179">
        <f>VLOOKUP($E1306,[9]Current!$1:$1048576,9,FALSE)</f>
        <v>8</v>
      </c>
      <c r="BH1306" s="177">
        <f>BG1306/$AS1306</f>
        <v>36.036036036036002</v>
      </c>
      <c r="BI1306" s="178">
        <f>IF(BJ1306&gt;0,1,0)</f>
        <v>0</v>
      </c>
      <c r="BJ1306" s="177">
        <f>VLOOKUP($E1306,[9]Current!$1:$1048576,10,FALSE)</f>
        <v>0</v>
      </c>
      <c r="BK1306" s="177">
        <f>BJ1306/$AS1306</f>
        <v>0</v>
      </c>
      <c r="BL1306" s="177">
        <f>IF(BM1306&gt;0,1,0)</f>
        <v>0</v>
      </c>
      <c r="BM1306" s="177">
        <f>SUM(BR1306,BU1306,BX1306,CA1306,CD1306)</f>
        <v>0</v>
      </c>
      <c r="BN1306" s="181">
        <f>SUM(BT1306,BW1306,BZ1306,CC1306,CF1306)</f>
        <v>0</v>
      </c>
      <c r="BO1306" s="177">
        <f>IF(BP1306&gt;0,1,0)</f>
        <v>0</v>
      </c>
      <c r="BP1306" s="177">
        <f>BM1306+CJ1306</f>
        <v>0</v>
      </c>
      <c r="BQ1306" s="177">
        <f>BN1306+CL1306</f>
        <v>0</v>
      </c>
      <c r="BR1306" s="178">
        <f>IF(BS1306&gt;0,1,0)</f>
        <v>0</v>
      </c>
      <c r="BS1306" s="177">
        <f>VLOOKUP($E1306,[9]Current!$1:$1048576,12,FALSE)</f>
        <v>0</v>
      </c>
      <c r="BT1306" s="179">
        <f>BS1306/$AS1306</f>
        <v>0</v>
      </c>
      <c r="BU1306" s="178">
        <f>IF(BV1306&gt;0,1,0)</f>
        <v>0</v>
      </c>
      <c r="BV1306" s="177">
        <f>VLOOKUP($E1306,[9]Current!$1:$1048576,13,FALSE)</f>
        <v>0</v>
      </c>
      <c r="BW1306" s="177">
        <f>BV1306/$AS1306</f>
        <v>0</v>
      </c>
      <c r="BX1306" s="178">
        <f>IF(BY1306&gt;0,1,0)</f>
        <v>0</v>
      </c>
      <c r="BY1306" s="177">
        <f>VLOOKUP($E1306,[9]Current!$1:$1048576,14,FALSE)</f>
        <v>0</v>
      </c>
      <c r="BZ1306" s="177">
        <f>BY1306/$AS1306</f>
        <v>0</v>
      </c>
      <c r="CA1306" s="178">
        <f>IF(CB1306&gt;0,1,0)</f>
        <v>0</v>
      </c>
      <c r="CB1306" s="177">
        <f>VLOOKUP($E1306,[9]Current!$1:$1048576,15,FALSE)</f>
        <v>0</v>
      </c>
      <c r="CC1306" s="177">
        <f>CB1306/$AS1306</f>
        <v>0</v>
      </c>
      <c r="CD1306" s="180">
        <f>IF(CE1306&gt;0,1,0)</f>
        <v>0</v>
      </c>
      <c r="CE1306" s="177">
        <f>VLOOKUP($E1306,[9]Current!$1:$1048576,16,FALSE)</f>
        <v>0</v>
      </c>
      <c r="CF1306" s="177">
        <f>CE1306/$AS1306</f>
        <v>0</v>
      </c>
      <c r="CG1306" s="18"/>
      <c r="CH1306" s="18"/>
      <c r="CI1306" s="18"/>
      <c r="CJ1306" s="178">
        <f>IF(CK1306&gt;0,1,0)</f>
        <v>0</v>
      </c>
      <c r="CK1306" s="177">
        <f>VLOOKUP($E1306,[9]Current!$1:$1048576,18,FALSE)</f>
        <v>0</v>
      </c>
      <c r="CL1306" s="177">
        <f>CK1306/$AS1306</f>
        <v>0</v>
      </c>
      <c r="CS1306" s="178">
        <f>IF(CU1306&gt;0,1,0)</f>
        <v>0</v>
      </c>
      <c r="CT1306" s="177"/>
      <c r="CU1306" s="177">
        <f>VLOOKUP($E1306,[9]Current!$1:$1048576,17,FALSE)</f>
        <v>0</v>
      </c>
      <c r="CV1306" s="177">
        <f>CU1306/$AS1306</f>
        <v>0</v>
      </c>
      <c r="DF1306" s="16" t="e">
        <f>VLOOKUP(K1306,'[3]RNA Seq summary tables'!$V$3:$V$99,1,FALSE)</f>
        <v>#N/A</v>
      </c>
      <c r="DG1306" s="126" t="s">
        <v>116</v>
      </c>
    </row>
    <row r="1307" spans="1:288" ht="16" x14ac:dyDescent="0.2">
      <c r="B1307" s="16">
        <v>2018</v>
      </c>
      <c r="C1307" s="124">
        <v>43277</v>
      </c>
      <c r="D1307" t="s">
        <v>877</v>
      </c>
      <c r="E1307" s="37" t="str">
        <f>CONCATENATE(T1307,"-",U1307,"-",C1307)</f>
        <v>HW2-H5-43277</v>
      </c>
      <c r="F1307" s="16" t="s">
        <v>227</v>
      </c>
      <c r="G1307" s="126" t="s">
        <v>107</v>
      </c>
      <c r="H1307" s="126"/>
      <c r="J1307" s="126">
        <v>1448</v>
      </c>
      <c r="K1307" s="126">
        <v>2504</v>
      </c>
      <c r="O1307" s="15" t="s">
        <v>214</v>
      </c>
      <c r="Q1307" s="16">
        <f t="shared" si="6"/>
        <v>1</v>
      </c>
      <c r="R1307" s="16">
        <f t="shared" si="7"/>
        <v>17</v>
      </c>
      <c r="T1307" s="126" t="s">
        <v>129</v>
      </c>
      <c r="U1307" s="126" t="s">
        <v>180</v>
      </c>
      <c r="V1307" s="126" t="s">
        <v>114</v>
      </c>
      <c r="X1307" s="126" t="s">
        <v>121</v>
      </c>
      <c r="Y1307" s="126" t="s">
        <v>110</v>
      </c>
      <c r="Z1307" s="126">
        <v>3</v>
      </c>
      <c r="AA1307" s="126" t="s">
        <v>161</v>
      </c>
      <c r="AB1307" s="126" t="s">
        <v>123</v>
      </c>
      <c r="AC1307" s="126" t="s">
        <v>123</v>
      </c>
      <c r="AD1307" s="126"/>
      <c r="AE1307" s="126"/>
      <c r="AG1307" s="16">
        <f>AH1307-AI1307</f>
        <v>83</v>
      </c>
      <c r="AH1307" s="126">
        <v>160</v>
      </c>
      <c r="AI1307" s="126">
        <v>77</v>
      </c>
      <c r="AK1307" s="126">
        <v>25</v>
      </c>
      <c r="AL1307" s="126">
        <v>0</v>
      </c>
      <c r="AM1307" s="126">
        <v>0</v>
      </c>
      <c r="AN1307" s="126">
        <v>0</v>
      </c>
      <c r="AO1307" s="16">
        <f>IF(SUM(AL1307:AN1307)&gt;0,1,0)</f>
        <v>0</v>
      </c>
      <c r="AP1307" s="18">
        <f>SUM(AL1307:AN1307)</f>
        <v>0</v>
      </c>
      <c r="AR1307" s="16">
        <v>0.97100000000000031</v>
      </c>
      <c r="AS1307" s="16">
        <f>VLOOKUP(E1307,'[1]Feces weights'!$D$1:$H$459,5,FALSE)</f>
        <v>0.97100000000000031</v>
      </c>
      <c r="AT1307" s="16" t="str">
        <f>VLOOKUP(E1307,[2]Current!$A$1:$W$435,7,FALSE)</f>
        <v>TE</v>
      </c>
      <c r="AU1307" s="16" t="s">
        <v>1288</v>
      </c>
      <c r="AV1307" s="23">
        <v>1</v>
      </c>
      <c r="AW1307" s="128">
        <f>IF(AX1307&gt;0,1,0)</f>
        <v>0</v>
      </c>
      <c r="AX1307" s="128">
        <f>SUM(BA1307,BM1307,CU1307)</f>
        <v>0</v>
      </c>
      <c r="AY1307" s="128">
        <f>SUM(BB1307,BN1307,CV1307)</f>
        <v>0</v>
      </c>
      <c r="AZ1307" s="128">
        <f>IF(BA1307&gt;0,1,0)</f>
        <v>0</v>
      </c>
      <c r="BA1307" s="128">
        <f>SUM(BC1307+BF1307+BI1307)</f>
        <v>0</v>
      </c>
      <c r="BB1307" s="128">
        <f>SUM(BE1307,BH1307,BK1307)</f>
        <v>0</v>
      </c>
      <c r="BC1307" s="130">
        <f>IF(BD1307&gt;0,1,0)</f>
        <v>0</v>
      </c>
      <c r="BD1307" s="128">
        <f>VLOOKUP($E1307,[2]Current!$A:$AC,26,FALSE)</f>
        <v>0</v>
      </c>
      <c r="BE1307" s="128">
        <f>BD1307/$AS1307</f>
        <v>0</v>
      </c>
      <c r="BF1307" s="130">
        <f>IF(BG1307&gt;0,1,0)</f>
        <v>0</v>
      </c>
      <c r="BG1307" s="137">
        <f>VLOOKUP($E1307,[2]Current!$A:$AC,27,FALSE)</f>
        <v>0</v>
      </c>
      <c r="BH1307" s="128">
        <f>BG1307/$AS1307</f>
        <v>0</v>
      </c>
      <c r="BI1307" s="130">
        <f>IF(BJ1307&gt;0,1,0)</f>
        <v>0</v>
      </c>
      <c r="BJ1307" s="128">
        <f>VLOOKUP($E1307,[2]Current!$A:$AC,28,FALSE)</f>
        <v>0</v>
      </c>
      <c r="BK1307" s="128">
        <f>BJ1307/$AS1307</f>
        <v>0</v>
      </c>
      <c r="BL1307" s="128">
        <f>IF(BM1307&gt;0,1,0)</f>
        <v>0</v>
      </c>
      <c r="BM1307" s="128">
        <f>SUM(BR1307,BU1307,BX1307,CA1307,CD1307)</f>
        <v>0</v>
      </c>
      <c r="BN1307" s="131">
        <f>SUM(BT1307,BW1307,BZ1307,CC1307,CF1307)</f>
        <v>0</v>
      </c>
      <c r="BO1307" s="128">
        <f>IF(BP1307&gt;0,1,0)</f>
        <v>1</v>
      </c>
      <c r="BP1307" s="128">
        <f>BM1307+CJ1307</f>
        <v>1</v>
      </c>
      <c r="BQ1307" s="128">
        <f>BN1307+CL1307</f>
        <v>3.0895983522142112</v>
      </c>
      <c r="BR1307" s="130">
        <f>IF(BS1307&gt;0,1,0)</f>
        <v>0</v>
      </c>
      <c r="BS1307" s="128">
        <f>VLOOKUP($E1307,[2]Current!$A:$AC,12,FALSE)</f>
        <v>0</v>
      </c>
      <c r="BT1307" s="137">
        <f>BS1307/$AS1307</f>
        <v>0</v>
      </c>
      <c r="BU1307" s="130">
        <f>IF(BV1307&gt;0,1,0)</f>
        <v>0</v>
      </c>
      <c r="BV1307" s="128">
        <f>VLOOKUP($E1307,[2]Current!$A:$AC,13,FALSE)</f>
        <v>0</v>
      </c>
      <c r="BW1307" s="128">
        <f>BV1307/$AS1307</f>
        <v>0</v>
      </c>
      <c r="BX1307" s="130">
        <f>IF(BY1307&gt;0,1,0)</f>
        <v>0</v>
      </c>
      <c r="BY1307" s="128">
        <f>VLOOKUP($E1307,[2]Current!$A:$AC,14,FALSE)</f>
        <v>0</v>
      </c>
      <c r="BZ1307" s="128">
        <f>BY1307/$AS1307</f>
        <v>0</v>
      </c>
      <c r="CA1307" s="130">
        <f>IF(CB1307&gt;0,1,0)</f>
        <v>0</v>
      </c>
      <c r="CB1307" s="128">
        <f>VLOOKUP($E1307,[2]Current!$A:$AC,15,FALSE)</f>
        <v>0</v>
      </c>
      <c r="CC1307" s="128">
        <f>CB1307/$AS1307</f>
        <v>0</v>
      </c>
      <c r="CD1307" s="174">
        <f>IF(CE1307&gt;0,1,0)</f>
        <v>0</v>
      </c>
      <c r="CE1307" s="128">
        <f>VLOOKUP($E1307,[2]Current!$A:$AC,16,FALSE)</f>
        <v>0</v>
      </c>
      <c r="CF1307" s="128">
        <f>CE1307/$AS1307</f>
        <v>0</v>
      </c>
      <c r="CG1307" s="18"/>
      <c r="CH1307" s="18"/>
      <c r="CI1307" s="18"/>
      <c r="CJ1307" s="130">
        <f>IF(CK1307&gt;0,1,0)</f>
        <v>1</v>
      </c>
      <c r="CK1307" s="128">
        <f>VLOOKUP($E1307,[2]Current!$A:$AC,18,FALSE)</f>
        <v>3</v>
      </c>
      <c r="CL1307" s="128">
        <f>CK1307/$AS1307</f>
        <v>3.0895983522142112</v>
      </c>
      <c r="CS1307" s="130">
        <f>IF(CU1307&gt;0,1,0)</f>
        <v>0</v>
      </c>
      <c r="CU1307" s="128">
        <f>VLOOKUP($E1307,[2]Current!$A:$AC,17,FALSE)</f>
        <v>0</v>
      </c>
      <c r="CV1307" s="128">
        <f>CU1307/$AS1307</f>
        <v>0</v>
      </c>
      <c r="CW1307" s="18"/>
      <c r="CX1307" s="18"/>
      <c r="CY1307" s="18"/>
      <c r="DF1307" s="16" t="e">
        <f>VLOOKUP(K1307,'[3]RNA Seq summary tables'!$V$3:$V$99,1,FALSE)</f>
        <v>#N/A</v>
      </c>
      <c r="DG1307" s="126" t="s">
        <v>116</v>
      </c>
    </row>
    <row r="1308" spans="1:288" ht="16" x14ac:dyDescent="0.2">
      <c r="B1308" s="16">
        <v>2018</v>
      </c>
      <c r="C1308" s="147">
        <v>43306</v>
      </c>
      <c r="D1308" t="s">
        <v>1187</v>
      </c>
      <c r="E1308" s="20" t="str">
        <f>CONCATENATE(T1308,"-",U1308,"-",C1308)</f>
        <v>HW2-H5-43306</v>
      </c>
      <c r="F1308" s="16" t="s">
        <v>227</v>
      </c>
      <c r="G1308" s="145" t="s">
        <v>107</v>
      </c>
      <c r="H1308" s="145"/>
      <c r="I1308" s="145"/>
      <c r="J1308" s="145">
        <v>1448</v>
      </c>
      <c r="K1308" s="145">
        <v>2709</v>
      </c>
      <c r="M1308" s="16"/>
      <c r="N1308" s="16"/>
      <c r="O1308" s="15" t="s">
        <v>214</v>
      </c>
      <c r="Q1308" s="16">
        <f t="shared" si="6"/>
        <v>1</v>
      </c>
      <c r="R1308" s="16">
        <f t="shared" si="7"/>
        <v>29</v>
      </c>
      <c r="S1308" s="145"/>
      <c r="T1308" s="145" t="s">
        <v>129</v>
      </c>
      <c r="U1308" s="145" t="s">
        <v>180</v>
      </c>
      <c r="V1308" s="145" t="s">
        <v>114</v>
      </c>
      <c r="W1308" s="145"/>
      <c r="X1308" s="145" t="s">
        <v>121</v>
      </c>
      <c r="Y1308" s="145" t="s">
        <v>110</v>
      </c>
      <c r="Z1308" s="145">
        <v>3</v>
      </c>
      <c r="AA1308" s="145" t="s">
        <v>119</v>
      </c>
      <c r="AB1308" s="145" t="s">
        <v>116</v>
      </c>
      <c r="AC1308" s="145" t="s">
        <v>123</v>
      </c>
      <c r="AD1308" s="145" t="s">
        <v>116</v>
      </c>
      <c r="AE1308" s="145"/>
      <c r="AF1308" s="145"/>
      <c r="AG1308" s="145">
        <f>AH1308-AI1308</f>
        <v>83</v>
      </c>
      <c r="AH1308" s="145">
        <v>158</v>
      </c>
      <c r="AI1308" s="145">
        <v>75</v>
      </c>
      <c r="AJ1308" s="145"/>
      <c r="AK1308" s="145">
        <v>23</v>
      </c>
      <c r="AL1308" s="145">
        <v>0</v>
      </c>
      <c r="AM1308" s="145">
        <v>0</v>
      </c>
      <c r="AN1308" s="145">
        <v>0</v>
      </c>
      <c r="AO1308" s="16">
        <f>IF(SUM(AL1308:AN1308)&gt;0, 1,0)</f>
        <v>0</v>
      </c>
      <c r="AP1308" s="16">
        <f>SUM(AL1308:AN1308)</f>
        <v>0</v>
      </c>
      <c r="AS1308" s="16">
        <f>VLOOKUP(E1308,'[1]Feces weights'!$D$1:$H$459,5,FALSE)</f>
        <v>0.60800000000000032</v>
      </c>
      <c r="AT1308" s="16" t="e">
        <f>VLOOKUP(E1308,[2]Current!$A$1:$W$435,7,FALSE)</f>
        <v>#N/A</v>
      </c>
      <c r="BG1308" s="77"/>
      <c r="BT1308" s="77"/>
      <c r="CD1308" s="77"/>
      <c r="DG1308" s="145" t="s">
        <v>123</v>
      </c>
      <c r="DT1308" s="145" t="s">
        <v>123</v>
      </c>
      <c r="DU1308" s="145"/>
      <c r="DX1308" s="145"/>
      <c r="DY1308" s="145"/>
      <c r="DZ1308" s="16"/>
      <c r="EA1308" s="16"/>
      <c r="EB1308" s="16"/>
      <c r="EC1308" s="16"/>
      <c r="ED1308" s="16"/>
      <c r="EE1308" s="16"/>
      <c r="EF1308" s="16"/>
      <c r="JO1308" s="18"/>
      <c r="JP1308" s="18"/>
      <c r="JQ1308" s="18"/>
      <c r="JR1308" s="18"/>
      <c r="JS1308" s="18"/>
      <c r="JT1308" s="18"/>
      <c r="JU1308" s="18"/>
      <c r="JV1308" s="18"/>
      <c r="JW1308" s="18"/>
      <c r="JX1308" s="18"/>
      <c r="JY1308" s="18"/>
      <c r="JZ1308" s="18"/>
      <c r="KA1308" s="18"/>
    </row>
    <row r="1309" spans="1:288" ht="16" x14ac:dyDescent="0.2">
      <c r="B1309" s="16">
        <v>2018</v>
      </c>
      <c r="C1309" s="124">
        <v>43248</v>
      </c>
      <c r="D1309" t="s">
        <v>751</v>
      </c>
      <c r="E1309" s="37" t="str">
        <f>CONCATENATE(T1309,"-",U1309,"-",C1309)</f>
        <v>PO2-A1-43248</v>
      </c>
      <c r="F1309" s="16" t="s">
        <v>227</v>
      </c>
      <c r="G1309" s="126" t="s">
        <v>107</v>
      </c>
      <c r="H1309" s="126"/>
      <c r="J1309" s="126">
        <v>1451</v>
      </c>
      <c r="K1309" s="126">
        <v>2378</v>
      </c>
      <c r="O1309" s="15" t="s">
        <v>214</v>
      </c>
      <c r="Q1309" s="16">
        <f t="shared" si="6"/>
        <v>0</v>
      </c>
      <c r="R1309" s="16" t="str">
        <f t="shared" si="7"/>
        <v/>
      </c>
      <c r="T1309" s="126" t="s">
        <v>127</v>
      </c>
      <c r="U1309" s="126" t="s">
        <v>210</v>
      </c>
      <c r="V1309" s="126" t="s">
        <v>114</v>
      </c>
      <c r="X1309" s="126" t="s">
        <v>121</v>
      </c>
      <c r="Y1309" s="126" t="s">
        <v>110</v>
      </c>
      <c r="Z1309" s="126">
        <v>3</v>
      </c>
      <c r="AA1309" s="126" t="s">
        <v>119</v>
      </c>
      <c r="AB1309" s="126" t="s">
        <v>116</v>
      </c>
      <c r="AC1309" s="126" t="s">
        <v>116</v>
      </c>
      <c r="AD1309" s="126"/>
      <c r="AE1309" s="126"/>
      <c r="AG1309" s="16">
        <f>AH1309-AI1309</f>
        <v>87</v>
      </c>
      <c r="AH1309" s="126">
        <v>157</v>
      </c>
      <c r="AI1309" s="126">
        <v>70</v>
      </c>
      <c r="AK1309" s="126">
        <v>23</v>
      </c>
      <c r="AL1309" s="126">
        <v>0</v>
      </c>
      <c r="AM1309" s="126">
        <v>0</v>
      </c>
      <c r="AN1309" s="126">
        <v>0</v>
      </c>
      <c r="AO1309" s="16">
        <f>IF(SUM(AL1309:AN1309)&gt;0,1,0)</f>
        <v>0</v>
      </c>
      <c r="AP1309" s="18">
        <f>SUM(AL1309:AN1309)</f>
        <v>0</v>
      </c>
      <c r="AR1309" s="16">
        <v>1.0480000000000003</v>
      </c>
      <c r="AS1309" s="16">
        <f>VLOOKUP(E1309,'[1]Feces weights'!$D$1:$H$459,5,FALSE)</f>
        <v>1.0480000000000003</v>
      </c>
      <c r="AT1309" s="16" t="str">
        <f>VLOOKUP(E1309,[9]Current!$A:$T,7,FALSE)</f>
        <v>LV</v>
      </c>
      <c r="AU1309" s="18" t="s">
        <v>1290</v>
      </c>
      <c r="AW1309" s="177">
        <f>IF(AY1309&gt;0,1,0)</f>
        <v>1</v>
      </c>
      <c r="AX1309" s="177">
        <f>SUM(BA1309,BM1309,CU1309)</f>
        <v>4</v>
      </c>
      <c r="AY1309" s="177">
        <f>SUM(BB1309,BN1309,CV1309)</f>
        <v>255.72519083969462</v>
      </c>
      <c r="AZ1309" s="177">
        <f>IF(BB1309&gt;0,1,0)</f>
        <v>1</v>
      </c>
      <c r="BA1309" s="177">
        <f>SUM(BC1309+BF1309+BI1309)</f>
        <v>1</v>
      </c>
      <c r="BB1309" s="177">
        <f>SUM(BE1309,BH1309,BK1309)</f>
        <v>236.64122137404576</v>
      </c>
      <c r="BC1309" s="178">
        <f>IF(BD1309&gt;0,1,0)</f>
        <v>0</v>
      </c>
      <c r="BD1309" s="177">
        <f>VLOOKUP($E1309,[9]Current!$1:$1048576,8,FALSE)</f>
        <v>0</v>
      </c>
      <c r="BE1309" s="177">
        <f>BD1309/$AS1309</f>
        <v>0</v>
      </c>
      <c r="BF1309" s="178">
        <f>IF(BG1309&gt;0,1,0)</f>
        <v>1</v>
      </c>
      <c r="BG1309" s="179">
        <f>VLOOKUP($E1309,[9]Current!$1:$1048576,9,FALSE)</f>
        <v>248</v>
      </c>
      <c r="BH1309" s="177">
        <f>BG1309/$AS1309</f>
        <v>236.64122137404576</v>
      </c>
      <c r="BI1309" s="178">
        <f>IF(BJ1309&gt;0,1,0)</f>
        <v>0</v>
      </c>
      <c r="BJ1309" s="177">
        <f>VLOOKUP($E1309,[9]Current!$1:$1048576,10,FALSE)</f>
        <v>0</v>
      </c>
      <c r="BK1309" s="177">
        <f>BJ1309/$AS1309</f>
        <v>0</v>
      </c>
      <c r="BL1309" s="177">
        <f>IF(BM1309&gt;0,1,0)</f>
        <v>1</v>
      </c>
      <c r="BM1309" s="177">
        <f>SUM(BR1309,BU1309,BX1309,CA1309,CD1309)</f>
        <v>2</v>
      </c>
      <c r="BN1309" s="181">
        <f>SUM(BT1309,BW1309,BZ1309,CC1309,CF1309)</f>
        <v>18.129770992366407</v>
      </c>
      <c r="BO1309" s="177">
        <f>IF(BP1309&gt;0,1,0)</f>
        <v>1</v>
      </c>
      <c r="BP1309" s="177">
        <f>BM1309+CJ1309</f>
        <v>2</v>
      </c>
      <c r="BQ1309" s="177">
        <f>BN1309+CL1309</f>
        <v>18.129770992366407</v>
      </c>
      <c r="BR1309" s="178">
        <f>IF(BS1309&gt;0,1,0)</f>
        <v>1</v>
      </c>
      <c r="BS1309" s="177">
        <f>VLOOKUP($E1309,[9]Current!$1:$1048576,12,FALSE)</f>
        <v>18</v>
      </c>
      <c r="BT1309" s="179">
        <f>BS1309/$AS1309</f>
        <v>17.175572519083964</v>
      </c>
      <c r="BU1309" s="178">
        <f>IF(BV1309&gt;0,1,0)</f>
        <v>1</v>
      </c>
      <c r="BV1309" s="177">
        <f>VLOOKUP($E1309,[9]Current!$1:$1048576,13,FALSE)</f>
        <v>1</v>
      </c>
      <c r="BW1309" s="177">
        <f>BV1309/$AS1309</f>
        <v>0.95419847328244256</v>
      </c>
      <c r="BX1309" s="178">
        <f>IF(BY1309&gt;0,1,0)</f>
        <v>0</v>
      </c>
      <c r="BY1309" s="177">
        <f>VLOOKUP($E1309,[9]Current!$1:$1048576,14,FALSE)</f>
        <v>0</v>
      </c>
      <c r="BZ1309" s="177">
        <f>BY1309/$AS1309</f>
        <v>0</v>
      </c>
      <c r="CA1309" s="178">
        <f>IF(CB1309&gt;0,1,0)</f>
        <v>0</v>
      </c>
      <c r="CB1309" s="177">
        <f>VLOOKUP($E1309,[9]Current!$1:$1048576,15,FALSE)</f>
        <v>0</v>
      </c>
      <c r="CC1309" s="177">
        <f>CB1309/$AS1309</f>
        <v>0</v>
      </c>
      <c r="CD1309" s="180">
        <f>IF(CE1309&gt;0,1,0)</f>
        <v>0</v>
      </c>
      <c r="CE1309" s="177">
        <f>VLOOKUP($E1309,[9]Current!$1:$1048576,16,FALSE)</f>
        <v>0</v>
      </c>
      <c r="CF1309" s="177">
        <f>CE1309/$AS1309</f>
        <v>0</v>
      </c>
      <c r="CG1309" s="18"/>
      <c r="CH1309" s="18"/>
      <c r="CI1309" s="18"/>
      <c r="CJ1309" s="178">
        <f>IF(CK1309&gt;0,1,0)</f>
        <v>0</v>
      </c>
      <c r="CK1309" s="177">
        <f>VLOOKUP($E1309,[9]Current!$1:$1048576,18,FALSE)</f>
        <v>0</v>
      </c>
      <c r="CL1309" s="177">
        <f>CK1309/$AS1309</f>
        <v>0</v>
      </c>
      <c r="CS1309" s="178">
        <f>IF(CU1309&gt;0,1,0)</f>
        <v>1</v>
      </c>
      <c r="CT1309" s="177"/>
      <c r="CU1309" s="177">
        <f>VLOOKUP($E1309,[9]Current!$1:$1048576,17,FALSE)</f>
        <v>1</v>
      </c>
      <c r="CV1309" s="177">
        <f>CU1309/$AS1309</f>
        <v>0.95419847328244256</v>
      </c>
      <c r="DF1309" s="16" t="e">
        <f>VLOOKUP(K1309,'[3]RNA Seq summary tables'!$V$3:$V$99,1,FALSE)</f>
        <v>#N/A</v>
      </c>
      <c r="DG1309" s="126" t="s">
        <v>123</v>
      </c>
    </row>
    <row r="1310" spans="1:288" ht="16" x14ac:dyDescent="0.2">
      <c r="B1310" s="16">
        <v>2018</v>
      </c>
      <c r="C1310" s="124">
        <v>43266</v>
      </c>
      <c r="D1310" t="s">
        <v>799</v>
      </c>
      <c r="E1310" s="37" t="str">
        <f>CONCATENATE(T1310,"-",U1310,"-",C1310)</f>
        <v>PO2-D1-43266</v>
      </c>
      <c r="F1310" s="16" t="s">
        <v>227</v>
      </c>
      <c r="G1310" s="126" t="s">
        <v>107</v>
      </c>
      <c r="H1310" s="126"/>
      <c r="J1310" s="126">
        <v>1451</v>
      </c>
      <c r="K1310" s="126">
        <v>2435</v>
      </c>
      <c r="O1310" s="15" t="s">
        <v>214</v>
      </c>
      <c r="Q1310" s="16">
        <f t="shared" si="6"/>
        <v>1</v>
      </c>
      <c r="R1310" s="16">
        <f t="shared" si="7"/>
        <v>18</v>
      </c>
      <c r="T1310" s="126" t="s">
        <v>127</v>
      </c>
      <c r="U1310" s="126" t="s">
        <v>157</v>
      </c>
      <c r="V1310" s="126" t="s">
        <v>114</v>
      </c>
      <c r="X1310" s="126" t="s">
        <v>121</v>
      </c>
      <c r="Y1310" s="126" t="s">
        <v>110</v>
      </c>
      <c r="Z1310" s="126">
        <v>3</v>
      </c>
      <c r="AA1310" s="126" t="s">
        <v>119</v>
      </c>
      <c r="AB1310" s="126" t="s">
        <v>116</v>
      </c>
      <c r="AC1310" s="126" t="s">
        <v>123</v>
      </c>
      <c r="AD1310" s="126"/>
      <c r="AE1310" s="126"/>
      <c r="AG1310" s="16">
        <f>AH1310-AI1310</f>
        <v>90</v>
      </c>
      <c r="AH1310" s="126">
        <v>161</v>
      </c>
      <c r="AI1310" s="126">
        <v>71</v>
      </c>
      <c r="AK1310" s="126">
        <v>19.5</v>
      </c>
      <c r="AL1310" s="126">
        <v>0</v>
      </c>
      <c r="AM1310" s="126">
        <v>0</v>
      </c>
      <c r="AN1310" s="126">
        <v>0</v>
      </c>
      <c r="AO1310" s="16">
        <f>IF(SUM(AL1310:AN1310)&gt;0,1,0)</f>
        <v>0</v>
      </c>
      <c r="AP1310" s="18">
        <f>SUM(AL1310:AN1310)</f>
        <v>0</v>
      </c>
      <c r="AR1310" s="16">
        <v>7.2000000000000064E-2</v>
      </c>
      <c r="AS1310" s="16">
        <f>VLOOKUP(E1310,'[1]Feces weights'!$D$1:$H$459,5,FALSE)</f>
        <v>7.2000000000000064E-2</v>
      </c>
      <c r="AT1310" s="16" t="str">
        <f>VLOOKUP(E1310,[2]Current!$A$1:$W$435,7,FALSE)</f>
        <v>TE</v>
      </c>
      <c r="AU1310" s="16" t="s">
        <v>1288</v>
      </c>
      <c r="AV1310" s="23">
        <v>1</v>
      </c>
      <c r="AW1310" s="128">
        <f>IF(AX1310&gt;0,1,0)</f>
        <v>0</v>
      </c>
      <c r="AX1310" s="128">
        <f>SUM(BA1310,BM1310,CU1310)</f>
        <v>0</v>
      </c>
      <c r="AY1310" s="128">
        <f>SUM(BB1310,BN1310,CV1310)</f>
        <v>0</v>
      </c>
      <c r="AZ1310" s="128">
        <f>IF(BA1310&gt;0,1,0)</f>
        <v>0</v>
      </c>
      <c r="BA1310" s="128">
        <f>SUM(BC1310+BF1310+BI1310)</f>
        <v>0</v>
      </c>
      <c r="BB1310" s="128">
        <f>SUM(BE1310,BH1310,BK1310)</f>
        <v>0</v>
      </c>
      <c r="BC1310" s="130">
        <f>IF(BD1310&gt;0,1,0)</f>
        <v>0</v>
      </c>
      <c r="BD1310" s="128">
        <f>VLOOKUP($E1310,[2]Current!$A:$AC,26,FALSE)</f>
        <v>0</v>
      </c>
      <c r="BE1310" s="128">
        <f>BD1310/$AS1310</f>
        <v>0</v>
      </c>
      <c r="BF1310" s="130">
        <f>IF(BG1310&gt;0,1,0)</f>
        <v>0</v>
      </c>
      <c r="BG1310" s="137">
        <f>VLOOKUP($E1310,[2]Current!$A:$AC,27,FALSE)</f>
        <v>0</v>
      </c>
      <c r="BH1310" s="128">
        <f>BG1310/$AS1310</f>
        <v>0</v>
      </c>
      <c r="BI1310" s="130">
        <f>IF(BJ1310&gt;0,1,0)</f>
        <v>0</v>
      </c>
      <c r="BJ1310" s="128">
        <f>VLOOKUP($E1310,[2]Current!$A:$AC,28,FALSE)</f>
        <v>0</v>
      </c>
      <c r="BK1310" s="128">
        <f>BJ1310/$AS1310</f>
        <v>0</v>
      </c>
      <c r="BL1310" s="128">
        <f>IF(BM1310&gt;0,1,0)</f>
        <v>0</v>
      </c>
      <c r="BM1310" s="128">
        <f>SUM(BR1310,BU1310,BX1310,CA1310,CD1310)</f>
        <v>0</v>
      </c>
      <c r="BN1310" s="131">
        <f>SUM(BT1310,BW1310,BZ1310,CC1310,CF1310)</f>
        <v>0</v>
      </c>
      <c r="BO1310" s="128">
        <f>IF(BP1310&gt;0,1,0)</f>
        <v>0</v>
      </c>
      <c r="BP1310" s="128">
        <f>BM1310+CJ1310</f>
        <v>0</v>
      </c>
      <c r="BQ1310" s="128">
        <f>BN1310+CL1310</f>
        <v>0</v>
      </c>
      <c r="BR1310" s="130">
        <f>IF(BS1310&gt;0,1,0)</f>
        <v>0</v>
      </c>
      <c r="BS1310" s="128">
        <f>VLOOKUP($E1310,[2]Current!$A:$AC,12,FALSE)</f>
        <v>0</v>
      </c>
      <c r="BT1310" s="137">
        <f>BS1310/$AS1310</f>
        <v>0</v>
      </c>
      <c r="BU1310" s="130">
        <f>IF(BV1310&gt;0,1,0)</f>
        <v>0</v>
      </c>
      <c r="BV1310" s="128">
        <f>VLOOKUP($E1310,[2]Current!$A:$AC,13,FALSE)</f>
        <v>0</v>
      </c>
      <c r="BW1310" s="128">
        <f>BV1310/$AS1310</f>
        <v>0</v>
      </c>
      <c r="BX1310" s="130">
        <f>IF(BY1310&gt;0,1,0)</f>
        <v>0</v>
      </c>
      <c r="BY1310" s="128">
        <f>VLOOKUP($E1310,[2]Current!$A:$AC,14,FALSE)</f>
        <v>0</v>
      </c>
      <c r="BZ1310" s="128">
        <f>BY1310/$AS1310</f>
        <v>0</v>
      </c>
      <c r="CA1310" s="130">
        <f>IF(CB1310&gt;0,1,0)</f>
        <v>0</v>
      </c>
      <c r="CB1310" s="128">
        <f>VLOOKUP($E1310,[2]Current!$A:$AC,15,FALSE)</f>
        <v>0</v>
      </c>
      <c r="CC1310" s="128">
        <f>CB1310/$AS1310</f>
        <v>0</v>
      </c>
      <c r="CD1310" s="174">
        <f>IF(CE1310&gt;0,1,0)</f>
        <v>0</v>
      </c>
      <c r="CE1310" s="128">
        <f>VLOOKUP($E1310,[2]Current!$A:$AC,16,FALSE)</f>
        <v>0</v>
      </c>
      <c r="CF1310" s="128">
        <f>CE1310/$AS1310</f>
        <v>0</v>
      </c>
      <c r="CG1310" s="18"/>
      <c r="CH1310" s="18"/>
      <c r="CI1310" s="18"/>
      <c r="CJ1310" s="130">
        <f>IF(CK1310&gt;0,1,0)</f>
        <v>0</v>
      </c>
      <c r="CK1310" s="128">
        <f>VLOOKUP($E1310,[2]Current!$A:$AC,18,FALSE)</f>
        <v>0</v>
      </c>
      <c r="CL1310" s="128">
        <f>CK1310/$AS1310</f>
        <v>0</v>
      </c>
      <c r="CS1310" s="130">
        <f>IF(CU1310&gt;0,1,0)</f>
        <v>0</v>
      </c>
      <c r="CU1310" s="128">
        <f>VLOOKUP($E1310,[2]Current!$A:$AC,17,FALSE)</f>
        <v>0</v>
      </c>
      <c r="CV1310" s="128">
        <f>CU1310/$AS1310</f>
        <v>0</v>
      </c>
      <c r="CW1310" s="18"/>
      <c r="CX1310" s="18"/>
      <c r="CY1310" s="18"/>
      <c r="DF1310" s="16" t="e">
        <f>VLOOKUP(K1310,'[3]RNA Seq summary tables'!$V$3:$V$99,1,FALSE)</f>
        <v>#N/A</v>
      </c>
      <c r="DG1310" s="126" t="s">
        <v>116</v>
      </c>
    </row>
    <row r="1311" spans="1:288" ht="16" x14ac:dyDescent="0.2">
      <c r="B1311" s="16">
        <v>2018</v>
      </c>
      <c r="C1311" s="124">
        <v>43283</v>
      </c>
      <c r="D1311" t="s">
        <v>900</v>
      </c>
      <c r="E1311" s="37" t="str">
        <f>CONCATENATE(T1311,"-",U1311,"-",C1311)</f>
        <v>PO2-D1-43283</v>
      </c>
      <c r="F1311" s="16" t="s">
        <v>227</v>
      </c>
      <c r="G1311" s="126" t="s">
        <v>107</v>
      </c>
      <c r="H1311" s="126"/>
      <c r="J1311" s="126">
        <v>1451</v>
      </c>
      <c r="K1311" s="126">
        <v>2529</v>
      </c>
      <c r="O1311" s="15" t="s">
        <v>214</v>
      </c>
      <c r="Q1311" s="16">
        <f t="shared" si="6"/>
        <v>1</v>
      </c>
      <c r="R1311" s="16">
        <f t="shared" si="7"/>
        <v>17</v>
      </c>
      <c r="T1311" s="126" t="s">
        <v>127</v>
      </c>
      <c r="U1311" s="126" t="s">
        <v>157</v>
      </c>
      <c r="V1311" s="126" t="s">
        <v>114</v>
      </c>
      <c r="X1311" s="126" t="s">
        <v>121</v>
      </c>
      <c r="Y1311" s="126" t="s">
        <v>110</v>
      </c>
      <c r="Z1311" s="126">
        <v>3</v>
      </c>
      <c r="AA1311" s="126" t="s">
        <v>119</v>
      </c>
      <c r="AB1311" s="126" t="s">
        <v>123</v>
      </c>
      <c r="AC1311" s="126" t="s">
        <v>116</v>
      </c>
      <c r="AD1311" s="126"/>
      <c r="AE1311" s="126"/>
      <c r="AG1311" s="16">
        <f>AH1311-AI1311</f>
        <v>84</v>
      </c>
      <c r="AH1311" s="126">
        <v>155</v>
      </c>
      <c r="AI1311" s="126">
        <v>71</v>
      </c>
      <c r="AK1311" s="126">
        <v>22</v>
      </c>
      <c r="AL1311" s="126">
        <v>0</v>
      </c>
      <c r="AM1311" s="126">
        <v>0</v>
      </c>
      <c r="AN1311" s="126">
        <v>0</v>
      </c>
      <c r="AO1311" s="16">
        <f>IF(SUM(AL1311:AN1311)&gt;0,1,0)</f>
        <v>0</v>
      </c>
      <c r="AP1311" s="18">
        <f>SUM(AL1311:AN1311)</f>
        <v>0</v>
      </c>
      <c r="AR1311" s="16">
        <v>0.15300000000000002</v>
      </c>
      <c r="AS1311" s="16">
        <f>VLOOKUP(E1311,'[1]Feces weights'!$D$1:$H$459,5,FALSE)</f>
        <v>0.15300000000000002</v>
      </c>
      <c r="AT1311" s="16" t="str">
        <f>VLOOKUP(E1311,[2]Current!$A$1:$W$435,7,FALSE)</f>
        <v>TE</v>
      </c>
      <c r="AU1311" s="16" t="s">
        <v>1288</v>
      </c>
      <c r="AV1311" s="23">
        <v>1</v>
      </c>
      <c r="AW1311" s="128">
        <f>IF(AX1311&gt;0,1,0)</f>
        <v>0</v>
      </c>
      <c r="AX1311" s="128">
        <f>SUM(BA1311,BM1311,CU1311)</f>
        <v>0</v>
      </c>
      <c r="AY1311" s="128">
        <f>SUM(BB1311,BN1311,CV1311)</f>
        <v>0</v>
      </c>
      <c r="AZ1311" s="128">
        <f>IF(BA1311&gt;0,1,0)</f>
        <v>0</v>
      </c>
      <c r="BA1311" s="128">
        <f>SUM(BC1311+BF1311+BI1311)</f>
        <v>0</v>
      </c>
      <c r="BB1311" s="128">
        <f>SUM(BE1311,BH1311,BK1311)</f>
        <v>0</v>
      </c>
      <c r="BC1311" s="130">
        <f>IF(BD1311&gt;0,1,0)</f>
        <v>0</v>
      </c>
      <c r="BD1311" s="128">
        <f>VLOOKUP($E1311,[2]Current!$A:$AC,26,FALSE)</f>
        <v>0</v>
      </c>
      <c r="BE1311" s="128">
        <f>BD1311/$AS1311</f>
        <v>0</v>
      </c>
      <c r="BF1311" s="130">
        <f>IF(BG1311&gt;0,1,0)</f>
        <v>0</v>
      </c>
      <c r="BG1311" s="137">
        <f>VLOOKUP($E1311,[2]Current!$A:$AC,27,FALSE)</f>
        <v>0</v>
      </c>
      <c r="BH1311" s="128">
        <f>BG1311/$AS1311</f>
        <v>0</v>
      </c>
      <c r="BI1311" s="130">
        <f>IF(BJ1311&gt;0,1,0)</f>
        <v>0</v>
      </c>
      <c r="BJ1311" s="128">
        <f>VLOOKUP($E1311,[2]Current!$A:$AC,28,FALSE)</f>
        <v>0</v>
      </c>
      <c r="BK1311" s="128">
        <f>BJ1311/$AS1311</f>
        <v>0</v>
      </c>
      <c r="BL1311" s="128">
        <f>IF(BM1311&gt;0,1,0)</f>
        <v>0</v>
      </c>
      <c r="BM1311" s="128">
        <f>SUM(BR1311,BU1311,BX1311,CA1311,CD1311)</f>
        <v>0</v>
      </c>
      <c r="BN1311" s="131">
        <f>SUM(BT1311,BW1311,BZ1311,CC1311,CF1311)</f>
        <v>0</v>
      </c>
      <c r="BO1311" s="128">
        <f>IF(BP1311&gt;0,1,0)</f>
        <v>0</v>
      </c>
      <c r="BP1311" s="128">
        <f>BM1311+CJ1311</f>
        <v>0</v>
      </c>
      <c r="BQ1311" s="128">
        <f>BN1311+CL1311</f>
        <v>0</v>
      </c>
      <c r="BR1311" s="130">
        <f>IF(BS1311&gt;0,1,0)</f>
        <v>0</v>
      </c>
      <c r="BS1311" s="128">
        <f>VLOOKUP($E1311,[2]Current!$A:$AC,12,FALSE)</f>
        <v>0</v>
      </c>
      <c r="BT1311" s="137">
        <f>BS1311/$AS1311</f>
        <v>0</v>
      </c>
      <c r="BU1311" s="130">
        <f>IF(BV1311&gt;0,1,0)</f>
        <v>0</v>
      </c>
      <c r="BV1311" s="128">
        <f>VLOOKUP($E1311,[2]Current!$A:$AC,13,FALSE)</f>
        <v>0</v>
      </c>
      <c r="BW1311" s="128">
        <f>BV1311/$AS1311</f>
        <v>0</v>
      </c>
      <c r="BX1311" s="130">
        <f>IF(BY1311&gt;0,1,0)</f>
        <v>0</v>
      </c>
      <c r="BY1311" s="128">
        <f>VLOOKUP($E1311,[2]Current!$A:$AC,14,FALSE)</f>
        <v>0</v>
      </c>
      <c r="BZ1311" s="128">
        <f>BY1311/$AS1311</f>
        <v>0</v>
      </c>
      <c r="CA1311" s="130">
        <f>IF(CB1311&gt;0,1,0)</f>
        <v>0</v>
      </c>
      <c r="CB1311" s="128">
        <f>VLOOKUP($E1311,[2]Current!$A:$AC,15,FALSE)</f>
        <v>0</v>
      </c>
      <c r="CC1311" s="128">
        <f>CB1311/$AS1311</f>
        <v>0</v>
      </c>
      <c r="CD1311" s="174">
        <f>IF(CE1311&gt;0,1,0)</f>
        <v>0</v>
      </c>
      <c r="CE1311" s="128">
        <f>VLOOKUP($E1311,[2]Current!$A:$AC,16,FALSE)</f>
        <v>0</v>
      </c>
      <c r="CF1311" s="128">
        <f>CE1311/$AS1311</f>
        <v>0</v>
      </c>
      <c r="CG1311" s="18"/>
      <c r="CH1311" s="18"/>
      <c r="CI1311" s="18"/>
      <c r="CJ1311" s="130">
        <f>IF(CK1311&gt;0,1,0)</f>
        <v>0</v>
      </c>
      <c r="CK1311" s="128">
        <f>VLOOKUP($E1311,[2]Current!$A:$AC,18,FALSE)</f>
        <v>0</v>
      </c>
      <c r="CL1311" s="128">
        <f>CK1311/$AS1311</f>
        <v>0</v>
      </c>
      <c r="CS1311" s="130">
        <f>IF(CU1311&gt;0,1,0)</f>
        <v>0</v>
      </c>
      <c r="CU1311" s="128">
        <f>VLOOKUP($E1311,[2]Current!$A:$AC,17,FALSE)</f>
        <v>0</v>
      </c>
      <c r="CV1311" s="128">
        <f>CU1311/$AS1311</f>
        <v>0</v>
      </c>
      <c r="CW1311" s="18"/>
      <c r="CX1311" s="18"/>
      <c r="CY1311" s="18"/>
      <c r="DF1311" s="16" t="e">
        <f>VLOOKUP(K1311,'[3]RNA Seq summary tables'!$V$3:$V$99,1,FALSE)</f>
        <v>#N/A</v>
      </c>
      <c r="DG1311" s="126" t="s">
        <v>116</v>
      </c>
    </row>
    <row r="1312" spans="1:288" ht="16" x14ac:dyDescent="0.2">
      <c r="B1312" s="16">
        <v>2018</v>
      </c>
      <c r="C1312" s="124">
        <v>43249</v>
      </c>
      <c r="D1312" t="s">
        <v>752</v>
      </c>
      <c r="E1312" s="37" t="str">
        <f>CONCATENATE(T1312,"-",U1312,"-",C1312)</f>
        <v>PO2-H6-43249</v>
      </c>
      <c r="F1312" s="16" t="s">
        <v>227</v>
      </c>
      <c r="G1312" s="126" t="s">
        <v>107</v>
      </c>
      <c r="H1312" s="126"/>
      <c r="J1312" s="126">
        <v>1453</v>
      </c>
      <c r="K1312" s="126">
        <v>2389</v>
      </c>
      <c r="O1312" s="15" t="s">
        <v>214</v>
      </c>
      <c r="Q1312" s="16">
        <f t="shared" si="6"/>
        <v>0</v>
      </c>
      <c r="R1312" s="16" t="str">
        <f t="shared" si="7"/>
        <v/>
      </c>
      <c r="T1312" s="126" t="s">
        <v>127</v>
      </c>
      <c r="U1312" s="126" t="s">
        <v>141</v>
      </c>
      <c r="V1312" s="126" t="s">
        <v>114</v>
      </c>
      <c r="X1312" s="126" t="s">
        <v>121</v>
      </c>
      <c r="Y1312" s="126" t="s">
        <v>145</v>
      </c>
      <c r="Z1312" s="126">
        <v>1</v>
      </c>
      <c r="AA1312" s="126" t="s">
        <v>119</v>
      </c>
      <c r="AB1312" s="126" t="s">
        <v>123</v>
      </c>
      <c r="AC1312" s="126" t="s">
        <v>123</v>
      </c>
      <c r="AD1312" s="126"/>
      <c r="AE1312" s="126"/>
      <c r="AG1312" s="16">
        <f>AH1312-AI1312</f>
        <v>78</v>
      </c>
      <c r="AH1312" s="126">
        <v>145</v>
      </c>
      <c r="AI1312" s="126">
        <v>67</v>
      </c>
      <c r="AK1312" s="126">
        <v>15</v>
      </c>
      <c r="AL1312" s="126">
        <v>1</v>
      </c>
      <c r="AM1312" s="126">
        <v>0</v>
      </c>
      <c r="AN1312" s="126">
        <v>0</v>
      </c>
      <c r="AO1312" s="16">
        <f>IF(SUM(AL1312:AN1312)&gt;0,1,0)</f>
        <v>1</v>
      </c>
      <c r="AP1312" s="18">
        <f>SUM(AL1312:AN1312)</f>
        <v>1</v>
      </c>
      <c r="AR1312" s="16">
        <v>0.49600000000000022</v>
      </c>
      <c r="AS1312" s="16">
        <f>VLOOKUP(E1312,'[1]Feces weights'!$D$1:$H$459,5,FALSE)</f>
        <v>0.49600000000000022</v>
      </c>
      <c r="AT1312" s="16" t="str">
        <f>VLOOKUP(E1312,[9]Current!$A:$T,7,FALSE)</f>
        <v>JB</v>
      </c>
      <c r="AU1312" s="18" t="s">
        <v>1290</v>
      </c>
      <c r="AW1312" s="177">
        <f>IF(AY1312&gt;0,1,0)</f>
        <v>1</v>
      </c>
      <c r="AX1312" s="177">
        <f>SUM(BA1312,BM1312,CU1312)</f>
        <v>3</v>
      </c>
      <c r="AY1312" s="177">
        <f>SUM(BB1312,BN1312,CV1312)</f>
        <v>90596.77419354835</v>
      </c>
      <c r="AZ1312" s="177">
        <f>IF(BB1312&gt;0,1,0)</f>
        <v>1</v>
      </c>
      <c r="BA1312" s="177">
        <f>SUM(BC1312+BF1312+BI1312)</f>
        <v>3</v>
      </c>
      <c r="BB1312" s="177">
        <f>SUM(BE1312,BH1312,BK1312)</f>
        <v>90596.77419354835</v>
      </c>
      <c r="BC1312" s="178">
        <f>IF(BD1312&gt;0,1,0)</f>
        <v>1</v>
      </c>
      <c r="BD1312" s="177">
        <f>VLOOKUP($E1312,[9]Current!$1:$1048576,8,FALSE)</f>
        <v>208</v>
      </c>
      <c r="BE1312" s="177">
        <f>BD1312/$AS1312</f>
        <v>419.35483870967721</v>
      </c>
      <c r="BF1312" s="178">
        <f>IF(BG1312&gt;0,1,0)</f>
        <v>1</v>
      </c>
      <c r="BG1312" s="179">
        <f>VLOOKUP($E1312,[9]Current!$1:$1048576,9,FALSE)</f>
        <v>44396</v>
      </c>
      <c r="BH1312" s="177">
        <f>BG1312/$AS1312</f>
        <v>89508.064516128987</v>
      </c>
      <c r="BI1312" s="178">
        <f>IF(BJ1312&gt;0,1,0)</f>
        <v>1</v>
      </c>
      <c r="BJ1312" s="177">
        <f>VLOOKUP($E1312,[9]Current!$1:$1048576,10,FALSE)</f>
        <v>332</v>
      </c>
      <c r="BK1312" s="177">
        <f>BJ1312/$AS1312</f>
        <v>669.3548387096771</v>
      </c>
      <c r="BL1312" s="177">
        <f>IF(BM1312&gt;0,1,0)</f>
        <v>0</v>
      </c>
      <c r="BM1312" s="177">
        <f>SUM(BR1312,BU1312,BX1312,CA1312,CD1312)</f>
        <v>0</v>
      </c>
      <c r="BN1312" s="181">
        <f>SUM(BT1312,BW1312,BZ1312,CC1312,CF1312)</f>
        <v>0</v>
      </c>
      <c r="BO1312" s="177">
        <f>IF(BP1312&gt;0,1,0)</f>
        <v>0</v>
      </c>
      <c r="BP1312" s="177">
        <f>BM1312+CJ1312</f>
        <v>0</v>
      </c>
      <c r="BQ1312" s="177">
        <f>BN1312+CL1312</f>
        <v>0</v>
      </c>
      <c r="BR1312" s="178">
        <f>IF(BS1312&gt;0,1,0)</f>
        <v>0</v>
      </c>
      <c r="BS1312" s="177">
        <f>VLOOKUP($E1312,[9]Current!$1:$1048576,12,FALSE)</f>
        <v>0</v>
      </c>
      <c r="BT1312" s="179">
        <f>BS1312/$AS1312</f>
        <v>0</v>
      </c>
      <c r="BU1312" s="178">
        <f>IF(BV1312&gt;0,1,0)</f>
        <v>0</v>
      </c>
      <c r="BV1312" s="177">
        <f>VLOOKUP($E1312,[9]Current!$1:$1048576,13,FALSE)</f>
        <v>0</v>
      </c>
      <c r="BW1312" s="177">
        <f>BV1312/$AS1312</f>
        <v>0</v>
      </c>
      <c r="BX1312" s="178">
        <f>IF(BY1312&gt;0,1,0)</f>
        <v>0</v>
      </c>
      <c r="BY1312" s="177">
        <f>VLOOKUP($E1312,[9]Current!$1:$1048576,14,FALSE)</f>
        <v>0</v>
      </c>
      <c r="BZ1312" s="177">
        <f>BY1312/$AS1312</f>
        <v>0</v>
      </c>
      <c r="CA1312" s="178">
        <f>IF(CB1312&gt;0,1,0)</f>
        <v>0</v>
      </c>
      <c r="CB1312" s="177">
        <f>VLOOKUP($E1312,[9]Current!$1:$1048576,15,FALSE)</f>
        <v>0</v>
      </c>
      <c r="CC1312" s="177">
        <f>CB1312/$AS1312</f>
        <v>0</v>
      </c>
      <c r="CD1312" s="180">
        <f>IF(CE1312&gt;0,1,0)</f>
        <v>0</v>
      </c>
      <c r="CE1312" s="177">
        <f>VLOOKUP($E1312,[9]Current!$1:$1048576,16,FALSE)</f>
        <v>0</v>
      </c>
      <c r="CF1312" s="177">
        <f>CE1312/$AS1312</f>
        <v>0</v>
      </c>
      <c r="CG1312" s="18"/>
      <c r="CH1312" s="18"/>
      <c r="CI1312" s="18"/>
      <c r="CJ1312" s="178">
        <f>IF(CK1312&gt;0,1,0)</f>
        <v>0</v>
      </c>
      <c r="CK1312" s="177">
        <f>VLOOKUP($E1312,[9]Current!$1:$1048576,18,FALSE)</f>
        <v>0</v>
      </c>
      <c r="CL1312" s="177">
        <f>CK1312/$AS1312</f>
        <v>0</v>
      </c>
      <c r="CS1312" s="178">
        <f>IF(CU1312&gt;0,1,0)</f>
        <v>0</v>
      </c>
      <c r="CT1312" s="177"/>
      <c r="CU1312" s="177">
        <f>VLOOKUP($E1312,[9]Current!$1:$1048576,17,FALSE)</f>
        <v>0</v>
      </c>
      <c r="CV1312" s="177">
        <f>CU1312/$AS1312</f>
        <v>0</v>
      </c>
      <c r="DF1312" s="16" t="e">
        <f>VLOOKUP(K1312,'[3]RNA Seq summary tables'!$V$3:$V$99,1,FALSE)</f>
        <v>#N/A</v>
      </c>
      <c r="DG1312" s="126" t="s">
        <v>123</v>
      </c>
    </row>
    <row r="1313" spans="2:288" ht="16" x14ac:dyDescent="0.2">
      <c r="B1313" s="16">
        <v>2018</v>
      </c>
      <c r="C1313" s="124">
        <v>43250</v>
      </c>
      <c r="D1313" t="s">
        <v>753</v>
      </c>
      <c r="E1313" s="37" t="str">
        <f>CONCATENATE(T1313,"-",U1313,"-",C1313)</f>
        <v>PO2-C8-43250</v>
      </c>
      <c r="F1313" s="16" t="s">
        <v>227</v>
      </c>
      <c r="G1313" s="126" t="s">
        <v>107</v>
      </c>
      <c r="H1313" s="126"/>
      <c r="J1313" s="126">
        <v>1455</v>
      </c>
      <c r="K1313" s="126">
        <v>2391</v>
      </c>
      <c r="O1313" s="15" t="s">
        <v>214</v>
      </c>
      <c r="Q1313" s="16">
        <f t="shared" si="6"/>
        <v>0</v>
      </c>
      <c r="R1313" s="16" t="str">
        <f t="shared" si="7"/>
        <v/>
      </c>
      <c r="T1313" s="126" t="s">
        <v>127</v>
      </c>
      <c r="U1313" s="126" t="s">
        <v>188</v>
      </c>
      <c r="V1313" s="126" t="s">
        <v>114</v>
      </c>
      <c r="X1313" s="126" t="s">
        <v>115</v>
      </c>
      <c r="Y1313" s="126" t="s">
        <v>145</v>
      </c>
      <c r="Z1313" s="126">
        <v>1</v>
      </c>
      <c r="AA1313" s="126"/>
      <c r="AB1313" s="126"/>
      <c r="AC1313" s="126"/>
      <c r="AD1313" s="126"/>
      <c r="AE1313" s="126" t="s">
        <v>123</v>
      </c>
      <c r="AG1313" s="16">
        <f>AH1313-AI1313</f>
        <v>77</v>
      </c>
      <c r="AH1313" s="126">
        <v>139</v>
      </c>
      <c r="AI1313" s="126">
        <v>62</v>
      </c>
      <c r="AK1313" s="126">
        <v>17.5</v>
      </c>
      <c r="AL1313" s="126">
        <v>0</v>
      </c>
      <c r="AM1313" s="126">
        <v>0</v>
      </c>
      <c r="AN1313" s="126">
        <v>0</v>
      </c>
      <c r="AO1313" s="16">
        <f>IF(SUM(AL1313:AN1313)&gt;0,1,0)</f>
        <v>0</v>
      </c>
      <c r="AP1313" s="18">
        <f>SUM(AL1313:AN1313)</f>
        <v>0</v>
      </c>
      <c r="AR1313" s="16">
        <v>0.32500000000000018</v>
      </c>
      <c r="AS1313" s="16">
        <f>VLOOKUP(E1313,'[1]Feces weights'!$D$1:$H$459,5,FALSE)</f>
        <v>0.32500000000000018</v>
      </c>
      <c r="AT1313" s="16" t="str">
        <f>VLOOKUP(E1313,[9]Current!$A:$T,7,FALSE)</f>
        <v>TE</v>
      </c>
      <c r="AU1313" s="18" t="s">
        <v>1290</v>
      </c>
      <c r="AW1313" s="177">
        <f>IF(AY1313&gt;0,1,0)</f>
        <v>1</v>
      </c>
      <c r="AX1313" s="177">
        <f>SUM(BA1313,BM1313,CU1313)</f>
        <v>3</v>
      </c>
      <c r="AY1313" s="177">
        <f>SUM(BB1313,BN1313,CV1313)</f>
        <v>18929.230769230759</v>
      </c>
      <c r="AZ1313" s="177">
        <f>IF(BB1313&gt;0,1,0)</f>
        <v>1</v>
      </c>
      <c r="BA1313" s="177">
        <f>SUM(BC1313+BF1313+BI1313)</f>
        <v>3</v>
      </c>
      <c r="BB1313" s="177">
        <f>SUM(BE1313,BH1313,BK1313)</f>
        <v>18929.230769230759</v>
      </c>
      <c r="BC1313" s="178">
        <f>IF(BD1313&gt;0,1,0)</f>
        <v>1</v>
      </c>
      <c r="BD1313" s="177">
        <f>VLOOKUP($E1313,[9]Current!$1:$1048576,8,FALSE)</f>
        <v>16</v>
      </c>
      <c r="BE1313" s="177">
        <f>BD1313/$AS1313</f>
        <v>49.230769230769205</v>
      </c>
      <c r="BF1313" s="178">
        <f>IF(BG1313&gt;0,1,0)</f>
        <v>1</v>
      </c>
      <c r="BG1313" s="179">
        <f>VLOOKUP($E1313,[9]Current!$1:$1048576,9,FALSE)</f>
        <v>232</v>
      </c>
      <c r="BH1313" s="177">
        <f>BG1313/$AS1313</f>
        <v>713.84615384615347</v>
      </c>
      <c r="BI1313" s="178">
        <f>IF(BJ1313&gt;0,1,0)</f>
        <v>1</v>
      </c>
      <c r="BJ1313" s="177">
        <f>VLOOKUP($E1313,[9]Current!$1:$1048576,10,FALSE)</f>
        <v>5904</v>
      </c>
      <c r="BK1313" s="177">
        <f>BJ1313/$AS1313</f>
        <v>18166.153846153837</v>
      </c>
      <c r="BL1313" s="177">
        <f>IF(BM1313&gt;0,1,0)</f>
        <v>0</v>
      </c>
      <c r="BM1313" s="177">
        <f>SUM(BR1313,BU1313,BX1313,CA1313,CD1313)</f>
        <v>0</v>
      </c>
      <c r="BN1313" s="181">
        <f>SUM(BT1313,BW1313,BZ1313,CC1313,CF1313)</f>
        <v>0</v>
      </c>
      <c r="BO1313" s="177">
        <f>IF(BP1313&gt;0,1,0)</f>
        <v>0</v>
      </c>
      <c r="BP1313" s="177">
        <f>BM1313+CJ1313</f>
        <v>0</v>
      </c>
      <c r="BQ1313" s="177">
        <f>BN1313+CL1313</f>
        <v>0</v>
      </c>
      <c r="BR1313" s="178">
        <f>IF(BS1313&gt;0,1,0)</f>
        <v>0</v>
      </c>
      <c r="BS1313" s="177">
        <f>VLOOKUP($E1313,[9]Current!$1:$1048576,12,FALSE)</f>
        <v>0</v>
      </c>
      <c r="BT1313" s="179">
        <f>BS1313/$AS1313</f>
        <v>0</v>
      </c>
      <c r="BU1313" s="178">
        <f>IF(BV1313&gt;0,1,0)</f>
        <v>0</v>
      </c>
      <c r="BV1313" s="177">
        <f>VLOOKUP($E1313,[9]Current!$1:$1048576,13,FALSE)</f>
        <v>0</v>
      </c>
      <c r="BW1313" s="177">
        <f>BV1313/$AS1313</f>
        <v>0</v>
      </c>
      <c r="BX1313" s="178">
        <f>IF(BY1313&gt;0,1,0)</f>
        <v>0</v>
      </c>
      <c r="BY1313" s="177">
        <f>VLOOKUP($E1313,[9]Current!$1:$1048576,14,FALSE)</f>
        <v>0</v>
      </c>
      <c r="BZ1313" s="177">
        <f>BY1313/$AS1313</f>
        <v>0</v>
      </c>
      <c r="CA1313" s="178">
        <f>IF(CB1313&gt;0,1,0)</f>
        <v>0</v>
      </c>
      <c r="CB1313" s="177">
        <f>VLOOKUP($E1313,[9]Current!$1:$1048576,15,FALSE)</f>
        <v>0</v>
      </c>
      <c r="CC1313" s="177">
        <f>CB1313/$AS1313</f>
        <v>0</v>
      </c>
      <c r="CD1313" s="180">
        <f>IF(CE1313&gt;0,1,0)</f>
        <v>0</v>
      </c>
      <c r="CE1313" s="177">
        <f>VLOOKUP($E1313,[9]Current!$1:$1048576,16,FALSE)</f>
        <v>0</v>
      </c>
      <c r="CF1313" s="177">
        <f>CE1313/$AS1313</f>
        <v>0</v>
      </c>
      <c r="CG1313" s="18"/>
      <c r="CH1313" s="18"/>
      <c r="CI1313" s="18"/>
      <c r="CJ1313" s="178">
        <f>IF(CK1313&gt;0,1,0)</f>
        <v>0</v>
      </c>
      <c r="CK1313" s="177">
        <f>VLOOKUP($E1313,[9]Current!$1:$1048576,18,FALSE)</f>
        <v>0</v>
      </c>
      <c r="CL1313" s="177">
        <f>CK1313/$AS1313</f>
        <v>0</v>
      </c>
      <c r="CS1313" s="178">
        <f>IF(CU1313&gt;0,1,0)</f>
        <v>0</v>
      </c>
      <c r="CT1313" s="177"/>
      <c r="CU1313" s="177">
        <f>VLOOKUP($E1313,[9]Current!$1:$1048576,17,FALSE)</f>
        <v>0</v>
      </c>
      <c r="CV1313" s="177">
        <f>CU1313/$AS1313</f>
        <v>0</v>
      </c>
      <c r="DF1313" s="16" t="e">
        <f>VLOOKUP(K1313,'[3]RNA Seq summary tables'!$V$3:$V$99,1,FALSE)</f>
        <v>#N/A</v>
      </c>
      <c r="DG1313" s="126" t="s">
        <v>123</v>
      </c>
    </row>
    <row r="1314" spans="2:288" ht="16" x14ac:dyDescent="0.2">
      <c r="B1314" s="16">
        <v>2018</v>
      </c>
      <c r="C1314" s="124">
        <v>43252</v>
      </c>
      <c r="D1314" t="s">
        <v>761</v>
      </c>
      <c r="E1314" s="37" t="str">
        <f>CONCATENATE(T1314,"-",U1314,"-",C1314)</f>
        <v>SP2-E1-43252</v>
      </c>
      <c r="F1314" s="16" t="s">
        <v>227</v>
      </c>
      <c r="G1314" s="126" t="s">
        <v>107</v>
      </c>
      <c r="H1314" s="126"/>
      <c r="J1314" s="126">
        <v>1457</v>
      </c>
      <c r="K1314" s="126">
        <v>2396</v>
      </c>
      <c r="O1314" s="15" t="s">
        <v>214</v>
      </c>
      <c r="Q1314" s="16">
        <f t="shared" si="6"/>
        <v>0</v>
      </c>
      <c r="R1314" s="16" t="str">
        <f t="shared" si="7"/>
        <v/>
      </c>
      <c r="T1314" s="126" t="s">
        <v>137</v>
      </c>
      <c r="U1314" s="126" t="s">
        <v>222</v>
      </c>
      <c r="V1314" s="126" t="s">
        <v>114</v>
      </c>
      <c r="X1314" s="126" t="s">
        <v>115</v>
      </c>
      <c r="Y1314" s="126" t="s">
        <v>122</v>
      </c>
      <c r="Z1314" s="126">
        <v>2.2999999999999998</v>
      </c>
      <c r="AA1314" s="126"/>
      <c r="AB1314" s="126"/>
      <c r="AC1314" s="126"/>
      <c r="AD1314" s="126"/>
      <c r="AE1314" s="126" t="s">
        <v>123</v>
      </c>
      <c r="AG1314" s="16">
        <f>AH1314-AI1314</f>
        <v>82</v>
      </c>
      <c r="AH1314" s="126">
        <v>145</v>
      </c>
      <c r="AI1314" s="126">
        <v>63</v>
      </c>
      <c r="AK1314" s="126">
        <v>15</v>
      </c>
      <c r="AL1314" s="126">
        <v>1</v>
      </c>
      <c r="AM1314" s="126">
        <v>0</v>
      </c>
      <c r="AN1314" s="126">
        <v>0</v>
      </c>
      <c r="AO1314" s="16">
        <f>IF(SUM(AL1314:AN1314)&gt;0,1,0)</f>
        <v>1</v>
      </c>
      <c r="AP1314" s="18">
        <f>SUM(AL1314:AN1314)</f>
        <v>1</v>
      </c>
      <c r="AR1314" s="16">
        <v>0.33300000000000018</v>
      </c>
      <c r="AS1314" s="16">
        <f>VLOOKUP(E1314,'[1]Feces weights'!$D$1:$H$459,5,FALSE)</f>
        <v>0.33300000000000018</v>
      </c>
      <c r="AT1314" s="16" t="str">
        <f>VLOOKUP(E1314,[2]Current!$A$1:$W$435,7,FALSE)</f>
        <v>IS</v>
      </c>
      <c r="AU1314" s="16" t="s">
        <v>1288</v>
      </c>
      <c r="AW1314" s="128">
        <f>IF(AX1314&gt;0,1,0)</f>
        <v>1</v>
      </c>
      <c r="AX1314" s="128">
        <f>SUM(BA1314,BM1314,CU1314)</f>
        <v>2</v>
      </c>
      <c r="AY1314" s="128">
        <f>SUM(BB1314,BN1314,CV1314)</f>
        <v>12828.82882882882</v>
      </c>
      <c r="AZ1314" s="128">
        <f>IF(BA1314&gt;0,1,0)</f>
        <v>1</v>
      </c>
      <c r="BA1314" s="128">
        <f>SUM(BC1314+BF1314+BI1314)</f>
        <v>2</v>
      </c>
      <c r="BB1314" s="128">
        <f>SUM(BE1314,BH1314,BK1314)</f>
        <v>12828.82882882882</v>
      </c>
      <c r="BC1314" s="130">
        <f>IF(BD1314&gt;0,1,0)</f>
        <v>1</v>
      </c>
      <c r="BD1314" s="128">
        <f>VLOOKUP($E1314,[2]Current!$A:$AC,26,FALSE)</f>
        <v>20</v>
      </c>
      <c r="BE1314" s="128">
        <f>BD1314/$AS1314</f>
        <v>60.060060060060025</v>
      </c>
      <c r="BF1314" s="130">
        <f>IF(BG1314&gt;0,1,0)</f>
        <v>1</v>
      </c>
      <c r="BG1314" s="137">
        <f>VLOOKUP($E1314,[2]Current!$A:$AC,27,FALSE)</f>
        <v>4252</v>
      </c>
      <c r="BH1314" s="128">
        <f>BG1314/$AS1314</f>
        <v>12768.768768768761</v>
      </c>
      <c r="BI1314" s="130">
        <f>IF(BJ1314&gt;0,1,0)</f>
        <v>0</v>
      </c>
      <c r="BJ1314" s="128">
        <f>VLOOKUP($E1314,[2]Current!$A:$AC,28,FALSE)</f>
        <v>0</v>
      </c>
      <c r="BK1314" s="128">
        <f>BJ1314/$AS1314</f>
        <v>0</v>
      </c>
      <c r="BL1314" s="128">
        <f>IF(BM1314&gt;0,1,0)</f>
        <v>0</v>
      </c>
      <c r="BM1314" s="128">
        <f>SUM(BR1314,BU1314,BX1314,CA1314,CD1314)</f>
        <v>0</v>
      </c>
      <c r="BN1314" s="131">
        <f>SUM(BT1314,BW1314,BZ1314,CC1314,CF1314)</f>
        <v>0</v>
      </c>
      <c r="BO1314" s="128">
        <f>IF(BP1314&gt;0,1,0)</f>
        <v>0</v>
      </c>
      <c r="BP1314" s="128">
        <f>BM1314+CJ1314</f>
        <v>0</v>
      </c>
      <c r="BQ1314" s="128">
        <f>BN1314+CL1314</f>
        <v>0</v>
      </c>
      <c r="BR1314" s="130">
        <f>IF(BS1314&gt;0,1,0)</f>
        <v>0</v>
      </c>
      <c r="BS1314" s="128">
        <f>VLOOKUP($E1314,[2]Current!$A:$AC,12,FALSE)</f>
        <v>0</v>
      </c>
      <c r="BT1314" s="137">
        <f>BS1314/$AS1314</f>
        <v>0</v>
      </c>
      <c r="BU1314" s="130">
        <f>IF(BV1314&gt;0,1,0)</f>
        <v>0</v>
      </c>
      <c r="BV1314" s="128">
        <f>VLOOKUP($E1314,[2]Current!$A:$AC,13,FALSE)</f>
        <v>0</v>
      </c>
      <c r="BW1314" s="128">
        <f>BV1314/$AS1314</f>
        <v>0</v>
      </c>
      <c r="BX1314" s="130">
        <f>IF(BY1314&gt;0,1,0)</f>
        <v>0</v>
      </c>
      <c r="BY1314" s="128">
        <f>VLOOKUP($E1314,[2]Current!$A:$AC,14,FALSE)</f>
        <v>0</v>
      </c>
      <c r="BZ1314" s="128">
        <f>BY1314/$AS1314</f>
        <v>0</v>
      </c>
      <c r="CA1314" s="130">
        <f>IF(CB1314&gt;0,1,0)</f>
        <v>0</v>
      </c>
      <c r="CB1314" s="128">
        <f>VLOOKUP($E1314,[2]Current!$A:$AC,15,FALSE)</f>
        <v>0</v>
      </c>
      <c r="CC1314" s="128">
        <f>CB1314/$AS1314</f>
        <v>0</v>
      </c>
      <c r="CD1314" s="174">
        <f>IF(CE1314&gt;0,1,0)</f>
        <v>0</v>
      </c>
      <c r="CE1314" s="128">
        <f>VLOOKUP($E1314,[2]Current!$A:$AC,16,FALSE)</f>
        <v>0</v>
      </c>
      <c r="CF1314" s="128">
        <f>CE1314/$AS1314</f>
        <v>0</v>
      </c>
      <c r="CG1314" s="18"/>
      <c r="CH1314" s="18"/>
      <c r="CI1314" s="18"/>
      <c r="CJ1314" s="130">
        <f>IF(CK1314&gt;0,1,0)</f>
        <v>0</v>
      </c>
      <c r="CK1314" s="128">
        <f>VLOOKUP($E1314,[2]Current!$A:$AC,18,FALSE)</f>
        <v>0</v>
      </c>
      <c r="CL1314" s="128">
        <f>CK1314/$AS1314</f>
        <v>0</v>
      </c>
      <c r="CS1314" s="130">
        <f>IF(CU1314&gt;0,1,0)</f>
        <v>0</v>
      </c>
      <c r="CT1314" s="18"/>
      <c r="CU1314" s="128">
        <f>VLOOKUP($E1314,[2]Current!$A:$AC,17,FALSE)</f>
        <v>0</v>
      </c>
      <c r="CV1314" s="128">
        <f>CU1314/$AS1314</f>
        <v>0</v>
      </c>
      <c r="CW1314" s="18"/>
      <c r="CX1314" s="18"/>
      <c r="CY1314" s="18"/>
      <c r="DF1314" s="16" t="e">
        <f>VLOOKUP(K1314,'[3]RNA Seq summary tables'!$V$3:$V$99,1,FALSE)</f>
        <v>#N/A</v>
      </c>
      <c r="DG1314" s="126" t="s">
        <v>123</v>
      </c>
    </row>
    <row r="1315" spans="2:288" ht="16" x14ac:dyDescent="0.2">
      <c r="B1315" s="16">
        <v>2018</v>
      </c>
      <c r="C1315" s="124">
        <v>43252</v>
      </c>
      <c r="D1315" t="s">
        <v>760</v>
      </c>
      <c r="E1315" s="142" t="str">
        <f>CONCATENATE(T1315,"-",U1315,"-",C1315)</f>
        <v>SP2-G5-43252</v>
      </c>
      <c r="F1315" s="16" t="s">
        <v>227</v>
      </c>
      <c r="G1315" s="126" t="s">
        <v>107</v>
      </c>
      <c r="H1315" s="126"/>
      <c r="J1315" s="126">
        <v>1459</v>
      </c>
      <c r="K1315" s="126">
        <v>2400</v>
      </c>
      <c r="O1315" s="15" t="s">
        <v>214</v>
      </c>
      <c r="Q1315" s="16">
        <f t="shared" ref="Q1315:Q1378" si="8">IF(R1315="",0,1)</f>
        <v>0</v>
      </c>
      <c r="R1315" s="16" t="str">
        <f t="shared" si="7"/>
        <v/>
      </c>
      <c r="T1315" s="126" t="s">
        <v>137</v>
      </c>
      <c r="U1315" s="126" t="s">
        <v>200</v>
      </c>
      <c r="V1315" s="126" t="s">
        <v>114</v>
      </c>
      <c r="X1315" s="126" t="s">
        <v>121</v>
      </c>
      <c r="Y1315" s="126" t="s">
        <v>110</v>
      </c>
      <c r="Z1315" s="126">
        <v>3</v>
      </c>
      <c r="AA1315" s="126" t="s">
        <v>119</v>
      </c>
      <c r="AB1315" s="126" t="s">
        <v>123</v>
      </c>
      <c r="AC1315" s="126" t="s">
        <v>116</v>
      </c>
      <c r="AD1315" s="126"/>
      <c r="AE1315" s="126"/>
      <c r="AG1315" s="16">
        <f>AH1315-AI1315</f>
        <v>88</v>
      </c>
      <c r="AH1315" s="126">
        <v>167</v>
      </c>
      <c r="AI1315" s="126">
        <v>79</v>
      </c>
      <c r="AK1315" s="126">
        <v>21.5</v>
      </c>
      <c r="AL1315" s="126">
        <v>0</v>
      </c>
      <c r="AM1315" s="126">
        <v>0</v>
      </c>
      <c r="AN1315" s="126">
        <v>0</v>
      </c>
      <c r="AO1315" s="16">
        <f>IF(SUM(AL1315:AN1315)&gt;0,1,0)</f>
        <v>0</v>
      </c>
      <c r="AP1315" s="18">
        <f>SUM(AL1315:AN1315)</f>
        <v>0</v>
      </c>
      <c r="AR1315" s="16">
        <v>0.19700000000000006</v>
      </c>
      <c r="AS1315" s="16">
        <f>VLOOKUP(E1315,'[1]Feces weights'!$D$1:$H$459,5,FALSE)</f>
        <v>0.19700000000000006</v>
      </c>
      <c r="AT1315" s="16" t="e">
        <f>VLOOKUP(E1315,[2]Current!$A$1:$W$435,7,FALSE)</f>
        <v>#N/A</v>
      </c>
      <c r="AU1315" s="16">
        <v>0</v>
      </c>
      <c r="BG1315" s="77"/>
      <c r="BN1315" s="126"/>
      <c r="BT1315" s="78"/>
      <c r="BV1315" s="18"/>
      <c r="BW1315" s="25"/>
      <c r="BY1315" s="18"/>
      <c r="BZ1315" s="25"/>
      <c r="CB1315" s="18"/>
      <c r="CC1315" s="25"/>
      <c r="CD1315" s="77"/>
      <c r="CE1315" s="18"/>
      <c r="CF1315" s="25"/>
      <c r="CG1315" s="18"/>
      <c r="CH1315" s="18"/>
      <c r="CI1315" s="18"/>
      <c r="CK1315" s="18"/>
      <c r="CL1315" s="25"/>
      <c r="DF1315" s="16" t="e">
        <f>VLOOKUP(K1315,'[3]RNA Seq summary tables'!$V$3:$V$99,1,FALSE)</f>
        <v>#N/A</v>
      </c>
      <c r="DG1315" s="126" t="s">
        <v>123</v>
      </c>
    </row>
    <row r="1316" spans="2:288" ht="16" x14ac:dyDescent="0.2">
      <c r="B1316" s="16">
        <v>2018</v>
      </c>
      <c r="C1316" s="124">
        <v>43269</v>
      </c>
      <c r="D1316" t="s">
        <v>824</v>
      </c>
      <c r="E1316" s="37" t="str">
        <f>CONCATENATE(T1316,"-",U1316,"-",C1316)</f>
        <v>SP2-H5-43269</v>
      </c>
      <c r="F1316" s="16" t="s">
        <v>227</v>
      </c>
      <c r="G1316" s="126" t="s">
        <v>107</v>
      </c>
      <c r="H1316" s="126"/>
      <c r="J1316" s="126">
        <v>1459</v>
      </c>
      <c r="K1316" s="126">
        <v>2464</v>
      </c>
      <c r="O1316" s="15" t="s">
        <v>214</v>
      </c>
      <c r="Q1316" s="16">
        <f t="shared" si="8"/>
        <v>1</v>
      </c>
      <c r="R1316" s="16">
        <f t="shared" si="7"/>
        <v>17</v>
      </c>
      <c r="T1316" s="126" t="s">
        <v>137</v>
      </c>
      <c r="U1316" s="126" t="s">
        <v>180</v>
      </c>
      <c r="V1316" s="126" t="s">
        <v>114</v>
      </c>
      <c r="X1316" s="126" t="s">
        <v>121</v>
      </c>
      <c r="Y1316" s="126" t="s">
        <v>110</v>
      </c>
      <c r="Z1316" s="126">
        <v>3</v>
      </c>
      <c r="AA1316" s="126" t="s">
        <v>119</v>
      </c>
      <c r="AB1316" s="126" t="s">
        <v>123</v>
      </c>
      <c r="AC1316" s="126" t="s">
        <v>116</v>
      </c>
      <c r="AD1316" s="126"/>
      <c r="AE1316" s="126"/>
      <c r="AG1316" s="16">
        <f>AH1316-AI1316</f>
        <v>100</v>
      </c>
      <c r="AH1316" s="126">
        <v>176</v>
      </c>
      <c r="AI1316" s="126">
        <v>76</v>
      </c>
      <c r="AK1316" s="126">
        <v>22.5</v>
      </c>
      <c r="AL1316" s="126">
        <v>1</v>
      </c>
      <c r="AM1316" s="126">
        <v>0</v>
      </c>
      <c r="AN1316" s="126">
        <v>0</v>
      </c>
      <c r="AO1316" s="16">
        <f>IF(SUM(AL1316:AN1316)&gt;0,1,0)</f>
        <v>1</v>
      </c>
      <c r="AP1316" s="18">
        <f>SUM(AL1316:AN1316)</f>
        <v>1</v>
      </c>
      <c r="AR1316" s="16">
        <v>1.9000000000000128E-2</v>
      </c>
      <c r="AS1316" s="16">
        <f>VLOOKUP(E1316,'[1]Feces weights'!$D$1:$H$459,5,FALSE)</f>
        <v>1.9000000000000128E-2</v>
      </c>
      <c r="AT1316" s="16" t="str">
        <f>VLOOKUP(E1316,[2]Current!$A$1:$W$435,7,FALSE)</f>
        <v>LV</v>
      </c>
      <c r="AU1316" s="16" t="s">
        <v>1288</v>
      </c>
      <c r="AW1316" s="128">
        <f>IF(AX1316&gt;0,1,0)</f>
        <v>1</v>
      </c>
      <c r="AX1316" s="128">
        <f>SUM(BA1316,BM1316,CU1316)</f>
        <v>140</v>
      </c>
      <c r="AY1316" s="128">
        <f>SUM(BB1316,BN1316,CV1316)</f>
        <v>7368.4210526315292</v>
      </c>
      <c r="AZ1316" s="128">
        <f>IF(BA1316&gt;0,1,0)</f>
        <v>0</v>
      </c>
      <c r="BA1316" s="128">
        <f>SUM(BC1316+BF1316+BI1316)</f>
        <v>0</v>
      </c>
      <c r="BB1316" s="128">
        <f>SUM(BE1316,BH1316,BK1316)</f>
        <v>0</v>
      </c>
      <c r="BC1316" s="130">
        <f>IF(BD1316&gt;0,1,0)</f>
        <v>0</v>
      </c>
      <c r="BD1316" s="128">
        <f>VLOOKUP($E1316,[2]Current!$A:$AC,26,FALSE)</f>
        <v>0</v>
      </c>
      <c r="BE1316" s="128">
        <f>BD1316/$AS1316</f>
        <v>0</v>
      </c>
      <c r="BF1316" s="130">
        <f>IF(BG1316&gt;0,1,0)</f>
        <v>0</v>
      </c>
      <c r="BG1316" s="137">
        <f>VLOOKUP($E1316,[2]Current!$A:$AC,27,FALSE)</f>
        <v>0</v>
      </c>
      <c r="BH1316" s="128">
        <f>BG1316/$AS1316</f>
        <v>0</v>
      </c>
      <c r="BI1316" s="130">
        <f>IF(BJ1316&gt;0,1,0)</f>
        <v>0</v>
      </c>
      <c r="BJ1316" s="128">
        <f>VLOOKUP($E1316,[2]Current!$A:$AC,28,FALSE)</f>
        <v>0</v>
      </c>
      <c r="BK1316" s="128">
        <f>BJ1316/$AS1316</f>
        <v>0</v>
      </c>
      <c r="BL1316" s="128">
        <f>IF(BM1316&gt;0,1,0)</f>
        <v>0</v>
      </c>
      <c r="BM1316" s="128">
        <f>SUM(BR1316,BU1316,BX1316,CA1316,CD1316)</f>
        <v>0</v>
      </c>
      <c r="BN1316" s="131">
        <f>SUM(BT1316,BW1316,BZ1316,CC1316,CF1316)</f>
        <v>0</v>
      </c>
      <c r="BO1316" s="128">
        <f>IF(BP1316&gt;0,1,0)</f>
        <v>0</v>
      </c>
      <c r="BP1316" s="128">
        <f>BM1316+CJ1316</f>
        <v>0</v>
      </c>
      <c r="BQ1316" s="128">
        <f>BN1316+CL1316</f>
        <v>0</v>
      </c>
      <c r="BR1316" s="130">
        <f>IF(BS1316&gt;0,1,0)</f>
        <v>0</v>
      </c>
      <c r="BS1316" s="128">
        <f>VLOOKUP($E1316,[2]Current!$A:$AC,12,FALSE)</f>
        <v>0</v>
      </c>
      <c r="BT1316" s="137">
        <f>BS1316/$AS1316</f>
        <v>0</v>
      </c>
      <c r="BU1316" s="130">
        <f>IF(BV1316&gt;0,1,0)</f>
        <v>0</v>
      </c>
      <c r="BV1316" s="128">
        <f>VLOOKUP($E1316,[2]Current!$A:$AC,13,FALSE)</f>
        <v>0</v>
      </c>
      <c r="BW1316" s="128">
        <f>BV1316/$AS1316</f>
        <v>0</v>
      </c>
      <c r="BX1316" s="130">
        <f>IF(BY1316&gt;0,1,0)</f>
        <v>0</v>
      </c>
      <c r="BY1316" s="128">
        <f>VLOOKUP($E1316,[2]Current!$A:$AC,14,FALSE)</f>
        <v>0</v>
      </c>
      <c r="BZ1316" s="128">
        <f>BY1316/$AS1316</f>
        <v>0</v>
      </c>
      <c r="CA1316" s="130">
        <f>IF(CB1316&gt;0,1,0)</f>
        <v>0</v>
      </c>
      <c r="CB1316" s="128">
        <f>VLOOKUP($E1316,[2]Current!$A:$AC,15,FALSE)</f>
        <v>0</v>
      </c>
      <c r="CC1316" s="128">
        <f>CB1316/$AS1316</f>
        <v>0</v>
      </c>
      <c r="CD1316" s="174">
        <f>IF(CE1316&gt;0,1,0)</f>
        <v>0</v>
      </c>
      <c r="CE1316" s="128">
        <f>VLOOKUP($E1316,[2]Current!$A:$AC,16,FALSE)</f>
        <v>0</v>
      </c>
      <c r="CF1316" s="128">
        <f>CE1316/$AS1316</f>
        <v>0</v>
      </c>
      <c r="CG1316" s="18"/>
      <c r="CH1316" s="18"/>
      <c r="CI1316" s="18"/>
      <c r="CJ1316" s="130">
        <f>IF(CK1316&gt;0,1,0)</f>
        <v>0</v>
      </c>
      <c r="CK1316" s="128">
        <f>VLOOKUP($E1316,[2]Current!$A:$AC,18,FALSE)</f>
        <v>0</v>
      </c>
      <c r="CL1316" s="128">
        <f>CK1316/$AS1316</f>
        <v>0</v>
      </c>
      <c r="CS1316" s="130">
        <f>IF(CU1316&gt;0,1,0)</f>
        <v>1</v>
      </c>
      <c r="CU1316" s="128">
        <f>VLOOKUP($E1316,[2]Current!$A:$AC,17,FALSE)</f>
        <v>140</v>
      </c>
      <c r="CV1316" s="128">
        <f>CU1316/$AS1316</f>
        <v>7368.4210526315292</v>
      </c>
      <c r="CW1316" s="18"/>
      <c r="CX1316" s="18"/>
      <c r="CY1316" s="18"/>
      <c r="DF1316" s="16" t="e">
        <f>VLOOKUP(K1316,'[3]RNA Seq summary tables'!$V$3:$V$99,1,FALSE)</f>
        <v>#N/A</v>
      </c>
      <c r="DG1316" s="126" t="s">
        <v>116</v>
      </c>
    </row>
    <row r="1317" spans="2:288" ht="16" x14ac:dyDescent="0.2">
      <c r="B1317" s="16">
        <v>2018</v>
      </c>
      <c r="C1317" s="124">
        <v>43286</v>
      </c>
      <c r="D1317" t="s">
        <v>924</v>
      </c>
      <c r="E1317" s="37" t="str">
        <f>CONCATENATE(T1317,"-",U1317,"-",C1317)</f>
        <v>SP2-F3-43286</v>
      </c>
      <c r="F1317" s="16" t="s">
        <v>227</v>
      </c>
      <c r="G1317" s="126" t="s">
        <v>107</v>
      </c>
      <c r="H1317" s="126"/>
      <c r="J1317" s="126">
        <v>1459</v>
      </c>
      <c r="K1317" s="126">
        <v>2557</v>
      </c>
      <c r="O1317" s="15" t="s">
        <v>214</v>
      </c>
      <c r="Q1317" s="16">
        <f t="shared" si="8"/>
        <v>1</v>
      </c>
      <c r="R1317" s="16">
        <f t="shared" si="7"/>
        <v>17</v>
      </c>
      <c r="T1317" s="126" t="s">
        <v>137</v>
      </c>
      <c r="U1317" s="126" t="s">
        <v>182</v>
      </c>
      <c r="V1317" s="126" t="s">
        <v>114</v>
      </c>
      <c r="X1317" s="126" t="s">
        <v>121</v>
      </c>
      <c r="Y1317" s="126" t="s">
        <v>110</v>
      </c>
      <c r="Z1317" s="126">
        <v>3</v>
      </c>
      <c r="AA1317" s="126" t="s">
        <v>119</v>
      </c>
      <c r="AB1317" s="126" t="s">
        <v>123</v>
      </c>
      <c r="AC1317" s="126" t="s">
        <v>123</v>
      </c>
      <c r="AD1317" s="126"/>
      <c r="AE1317" s="126"/>
      <c r="AG1317" s="16">
        <f>AH1317-AI1317</f>
        <v>88</v>
      </c>
      <c r="AH1317" s="126">
        <v>168</v>
      </c>
      <c r="AI1317" s="126">
        <v>80</v>
      </c>
      <c r="AK1317" s="126">
        <v>21.5</v>
      </c>
      <c r="AL1317" s="126">
        <v>0</v>
      </c>
      <c r="AM1317" s="126">
        <v>0</v>
      </c>
      <c r="AN1317" s="126">
        <v>0</v>
      </c>
      <c r="AO1317" s="16">
        <f>IF(SUM(AL1317:AN1317)&gt;0,1,0)</f>
        <v>0</v>
      </c>
      <c r="AP1317" s="18">
        <f>SUM(AL1317:AN1317)</f>
        <v>0</v>
      </c>
      <c r="AR1317" s="16">
        <v>6.4000000000000057E-2</v>
      </c>
      <c r="AS1317" s="16">
        <f>VLOOKUP(E1317,'[1]Feces weights'!$D$1:$H$459,5,FALSE)</f>
        <v>6.4000000000000057E-2</v>
      </c>
      <c r="AT1317" s="16" t="str">
        <f>VLOOKUP(E1317,[2]Current!$A$1:$W$435,7,FALSE)</f>
        <v>TE</v>
      </c>
      <c r="AU1317" s="16" t="s">
        <v>1288</v>
      </c>
      <c r="AW1317" s="128">
        <f>IF(AX1317&gt;0,1,0)</f>
        <v>1</v>
      </c>
      <c r="AX1317" s="128">
        <f>SUM(BA1317,BM1317,CU1317)</f>
        <v>2</v>
      </c>
      <c r="AY1317" s="128">
        <f>SUM(BB1317,BN1317,CV1317)</f>
        <v>781.24999999999932</v>
      </c>
      <c r="AZ1317" s="128">
        <f>IF(BA1317&gt;0,1,0)</f>
        <v>1</v>
      </c>
      <c r="BA1317" s="128">
        <f>SUM(BC1317+BF1317+BI1317)</f>
        <v>2</v>
      </c>
      <c r="BB1317" s="128">
        <f>SUM(BE1317,BH1317,BK1317)</f>
        <v>781.24999999999932</v>
      </c>
      <c r="BC1317" s="130">
        <f>IF(BD1317&gt;0,1,0)</f>
        <v>1</v>
      </c>
      <c r="BD1317" s="128">
        <f>VLOOKUP($E1317,[2]Current!$A:$AC,26,FALSE)</f>
        <v>2</v>
      </c>
      <c r="BE1317" s="128">
        <f>BD1317/$AS1317</f>
        <v>31.249999999999972</v>
      </c>
      <c r="BF1317" s="130">
        <f>IF(BG1317&gt;0,1,0)</f>
        <v>0</v>
      </c>
      <c r="BG1317" s="137">
        <f>VLOOKUP($E1317,[2]Current!$A:$AC,27,FALSE)</f>
        <v>0</v>
      </c>
      <c r="BH1317" s="128">
        <f>BG1317/$AS1317</f>
        <v>0</v>
      </c>
      <c r="BI1317" s="130">
        <f>IF(BJ1317&gt;0,1,0)</f>
        <v>1</v>
      </c>
      <c r="BJ1317" s="128">
        <f>VLOOKUP($E1317,[2]Current!$A:$AC,28,FALSE)</f>
        <v>48</v>
      </c>
      <c r="BK1317" s="128">
        <f>BJ1317/$AS1317</f>
        <v>749.99999999999932</v>
      </c>
      <c r="BL1317" s="128">
        <f>IF(BM1317&gt;0,1,0)</f>
        <v>0</v>
      </c>
      <c r="BM1317" s="128">
        <f>SUM(BR1317,BU1317,BX1317,CA1317,CD1317)</f>
        <v>0</v>
      </c>
      <c r="BN1317" s="131">
        <f>SUM(BT1317,BW1317,BZ1317,CC1317,CF1317)</f>
        <v>0</v>
      </c>
      <c r="BO1317" s="128">
        <f>IF(BP1317&gt;0,1,0)</f>
        <v>0</v>
      </c>
      <c r="BP1317" s="128">
        <f>BM1317+CJ1317</f>
        <v>0</v>
      </c>
      <c r="BQ1317" s="128">
        <f>BN1317+CL1317</f>
        <v>0</v>
      </c>
      <c r="BR1317" s="130">
        <f>IF(BS1317&gt;0,1,0)</f>
        <v>0</v>
      </c>
      <c r="BS1317" s="128">
        <f>VLOOKUP($E1317,[2]Current!$A:$AC,12,FALSE)</f>
        <v>0</v>
      </c>
      <c r="BT1317" s="137">
        <f>BS1317/$AS1317</f>
        <v>0</v>
      </c>
      <c r="BU1317" s="130">
        <f>IF(BV1317&gt;0,1,0)</f>
        <v>0</v>
      </c>
      <c r="BV1317" s="128">
        <f>VLOOKUP($E1317,[2]Current!$A:$AC,13,FALSE)</f>
        <v>0</v>
      </c>
      <c r="BW1317" s="128">
        <f>BV1317/$AS1317</f>
        <v>0</v>
      </c>
      <c r="BX1317" s="130">
        <f>IF(BY1317&gt;0,1,0)</f>
        <v>0</v>
      </c>
      <c r="BY1317" s="128">
        <f>VLOOKUP($E1317,[2]Current!$A:$AC,14,FALSE)</f>
        <v>0</v>
      </c>
      <c r="BZ1317" s="128">
        <f>BY1317/$AS1317</f>
        <v>0</v>
      </c>
      <c r="CA1317" s="130">
        <f>IF(CB1317&gt;0,1,0)</f>
        <v>0</v>
      </c>
      <c r="CB1317" s="128">
        <f>VLOOKUP($E1317,[2]Current!$A:$AC,15,FALSE)</f>
        <v>0</v>
      </c>
      <c r="CC1317" s="128">
        <f>CB1317/$AS1317</f>
        <v>0</v>
      </c>
      <c r="CD1317" s="174">
        <f>IF(CE1317&gt;0,1,0)</f>
        <v>0</v>
      </c>
      <c r="CE1317" s="128">
        <f>VLOOKUP($E1317,[2]Current!$A:$AC,16,FALSE)</f>
        <v>0</v>
      </c>
      <c r="CF1317" s="128">
        <f>CE1317/$AS1317</f>
        <v>0</v>
      </c>
      <c r="CG1317" s="18"/>
      <c r="CH1317" s="18"/>
      <c r="CI1317" s="18"/>
      <c r="CJ1317" s="130">
        <f>IF(CK1317&gt;0,1,0)</f>
        <v>0</v>
      </c>
      <c r="CK1317" s="128">
        <f>VLOOKUP($E1317,[2]Current!$A:$AC,18,FALSE)</f>
        <v>0</v>
      </c>
      <c r="CL1317" s="128">
        <f>CK1317/$AS1317</f>
        <v>0</v>
      </c>
      <c r="CS1317" s="130">
        <f>IF(CU1317&gt;0,1,0)</f>
        <v>0</v>
      </c>
      <c r="CU1317" s="128">
        <f>VLOOKUP($E1317,[2]Current!$A:$AC,17,FALSE)</f>
        <v>0</v>
      </c>
      <c r="CV1317" s="128">
        <f>CU1317/$AS1317</f>
        <v>0</v>
      </c>
      <c r="CW1317" s="18"/>
      <c r="CX1317" s="18"/>
      <c r="CY1317" s="18"/>
      <c r="DF1317" s="16" t="e">
        <f>VLOOKUP(K1317,'[3]RNA Seq summary tables'!$V$3:$V$99,1,FALSE)</f>
        <v>#N/A</v>
      </c>
      <c r="DG1317" s="126" t="s">
        <v>116</v>
      </c>
      <c r="JR1317" s="18"/>
      <c r="JS1317" s="18"/>
      <c r="JT1317" s="18"/>
      <c r="JU1317" s="18"/>
      <c r="JV1317" s="18"/>
      <c r="JW1317" s="18"/>
      <c r="JX1317" s="18"/>
      <c r="JY1317" s="18"/>
      <c r="JZ1317" s="18"/>
      <c r="KA1317" s="18"/>
      <c r="KB1317" s="18"/>
    </row>
    <row r="1318" spans="2:288" ht="16" x14ac:dyDescent="0.2">
      <c r="B1318" s="16">
        <v>2018</v>
      </c>
      <c r="C1318" s="124">
        <v>43301</v>
      </c>
      <c r="D1318" t="s">
        <v>1012</v>
      </c>
      <c r="E1318" s="37" t="str">
        <f>CONCATENATE(T1318,"-",U1318,"-",C1318)</f>
        <v>SP2-H3-43301</v>
      </c>
      <c r="F1318" s="16" t="s">
        <v>227</v>
      </c>
      <c r="G1318" s="126" t="s">
        <v>107</v>
      </c>
      <c r="H1318" s="126"/>
      <c r="J1318" s="126">
        <v>1459</v>
      </c>
      <c r="K1318" s="126">
        <v>2653</v>
      </c>
      <c r="O1318" s="15" t="s">
        <v>214</v>
      </c>
      <c r="Q1318" s="16">
        <f t="shared" si="8"/>
        <v>1</v>
      </c>
      <c r="R1318" s="16">
        <f t="shared" si="7"/>
        <v>15</v>
      </c>
      <c r="T1318" s="126" t="s">
        <v>137</v>
      </c>
      <c r="U1318" s="126" t="s">
        <v>174</v>
      </c>
      <c r="V1318" s="126" t="s">
        <v>114</v>
      </c>
      <c r="X1318" s="126" t="s">
        <v>121</v>
      </c>
      <c r="Y1318" s="126" t="s">
        <v>110</v>
      </c>
      <c r="Z1318" s="126">
        <v>3</v>
      </c>
      <c r="AA1318" s="126" t="s">
        <v>119</v>
      </c>
      <c r="AB1318" s="126" t="s">
        <v>123</v>
      </c>
      <c r="AC1318" s="126" t="s">
        <v>123</v>
      </c>
      <c r="AD1318" s="126"/>
      <c r="AE1318" s="126"/>
      <c r="AG1318" s="40">
        <f>AH1318-AI1318</f>
        <v>89</v>
      </c>
      <c r="AH1318" s="126">
        <v>168</v>
      </c>
      <c r="AI1318" s="126">
        <v>79</v>
      </c>
      <c r="AK1318" s="126">
        <v>20.5</v>
      </c>
      <c r="AL1318" s="126">
        <v>1</v>
      </c>
      <c r="AM1318" s="126">
        <v>0</v>
      </c>
      <c r="AN1318" s="126">
        <v>0</v>
      </c>
      <c r="AO1318" s="16">
        <f>IF(SUM(AL1318:AN1318)&gt;0,1,0)</f>
        <v>1</v>
      </c>
      <c r="AP1318" s="18">
        <f>SUM(AL1318:AN1318)</f>
        <v>1</v>
      </c>
      <c r="AR1318" s="16">
        <v>0.14300000000000002</v>
      </c>
      <c r="AS1318" s="16">
        <f>VLOOKUP(E1318,'[1]Feces weights'!$D$1:$H$459,5,FALSE)</f>
        <v>0.14300000000000002</v>
      </c>
      <c r="AT1318" s="16" t="str">
        <f>VLOOKUP(E1318,[2]Current!$A$1:$W$435,7,FALSE)</f>
        <v>JY</v>
      </c>
      <c r="AU1318" s="16" t="s">
        <v>1288</v>
      </c>
      <c r="AV1318" s="23">
        <v>1</v>
      </c>
      <c r="AW1318" s="128">
        <f>IF(AX1318&gt;0,1,0)</f>
        <v>0</v>
      </c>
      <c r="AX1318" s="128">
        <f>SUM(BA1318,BM1318,CU1318)</f>
        <v>0</v>
      </c>
      <c r="AY1318" s="128">
        <f>SUM(BB1318,BN1318,CV1318)</f>
        <v>0</v>
      </c>
      <c r="AZ1318" s="128">
        <f>IF(BA1318&gt;0,1,0)</f>
        <v>0</v>
      </c>
      <c r="BA1318" s="128">
        <f>SUM(BC1318+BF1318+BI1318)</f>
        <v>0</v>
      </c>
      <c r="BB1318" s="128">
        <f>SUM(BE1318,BH1318,BK1318)</f>
        <v>0</v>
      </c>
      <c r="BC1318" s="130">
        <f>IF(BD1318&gt;0,1,0)</f>
        <v>0</v>
      </c>
      <c r="BD1318" s="128">
        <f>VLOOKUP($E1318,[2]Current!$A:$AC,26,FALSE)</f>
        <v>0</v>
      </c>
      <c r="BE1318" s="128">
        <f>BD1318/$AS1318</f>
        <v>0</v>
      </c>
      <c r="BF1318" s="130">
        <f>IF(BG1318&gt;0,1,0)</f>
        <v>0</v>
      </c>
      <c r="BG1318" s="137">
        <f>VLOOKUP($E1318,[2]Current!$A:$AC,27,FALSE)</f>
        <v>0</v>
      </c>
      <c r="BH1318" s="128">
        <f>BG1318/$AS1318</f>
        <v>0</v>
      </c>
      <c r="BI1318" s="130">
        <f>IF(BJ1318&gt;0,1,0)</f>
        <v>0</v>
      </c>
      <c r="BJ1318" s="128">
        <f>VLOOKUP($E1318,[2]Current!$A:$AC,28,FALSE)</f>
        <v>0</v>
      </c>
      <c r="BK1318" s="128">
        <f>BJ1318/$AS1318</f>
        <v>0</v>
      </c>
      <c r="BL1318" s="128">
        <f>IF(BM1318&gt;0,1,0)</f>
        <v>0</v>
      </c>
      <c r="BM1318" s="128">
        <f>SUM(BR1318,BU1318,BX1318,CA1318,CD1318)</f>
        <v>0</v>
      </c>
      <c r="BN1318" s="131">
        <f>SUM(BT1318,BW1318,BZ1318,CC1318,CF1318)</f>
        <v>0</v>
      </c>
      <c r="BO1318" s="128">
        <f>IF(BP1318&gt;0,1,0)</f>
        <v>0</v>
      </c>
      <c r="BP1318" s="128">
        <f>BM1318+CJ1318</f>
        <v>0</v>
      </c>
      <c r="BQ1318" s="128">
        <f>BN1318+CL1318</f>
        <v>0</v>
      </c>
      <c r="BR1318" s="130">
        <f>IF(BS1318&gt;0,1,0)</f>
        <v>0</v>
      </c>
      <c r="BS1318" s="128">
        <f>VLOOKUP($E1318,[2]Current!$A:$AC,12,FALSE)</f>
        <v>0</v>
      </c>
      <c r="BT1318" s="137">
        <f>BS1318/$AS1318</f>
        <v>0</v>
      </c>
      <c r="BU1318" s="130">
        <f>IF(BV1318&gt;0,1,0)</f>
        <v>0</v>
      </c>
      <c r="BV1318" s="128">
        <f>VLOOKUP($E1318,[2]Current!$A:$AC,13,FALSE)</f>
        <v>0</v>
      </c>
      <c r="BW1318" s="128">
        <f>BV1318/$AS1318</f>
        <v>0</v>
      </c>
      <c r="BX1318" s="130">
        <f>IF(BY1318&gt;0,1,0)</f>
        <v>0</v>
      </c>
      <c r="BY1318" s="128">
        <f>VLOOKUP($E1318,[2]Current!$A:$AC,14,FALSE)</f>
        <v>0</v>
      </c>
      <c r="BZ1318" s="128">
        <f>BY1318/$AS1318</f>
        <v>0</v>
      </c>
      <c r="CA1318" s="130">
        <f>IF(CB1318&gt;0,1,0)</f>
        <v>0</v>
      </c>
      <c r="CB1318" s="128">
        <f>VLOOKUP($E1318,[2]Current!$A:$AC,15,FALSE)</f>
        <v>0</v>
      </c>
      <c r="CC1318" s="128">
        <f>CB1318/$AS1318</f>
        <v>0</v>
      </c>
      <c r="CD1318" s="174">
        <f>IF(CE1318&gt;0,1,0)</f>
        <v>0</v>
      </c>
      <c r="CE1318" s="128">
        <f>VLOOKUP($E1318,[2]Current!$A:$AC,16,FALSE)</f>
        <v>0</v>
      </c>
      <c r="CF1318" s="128">
        <f>CE1318/$AS1318</f>
        <v>0</v>
      </c>
      <c r="CG1318" s="18"/>
      <c r="CH1318" s="18"/>
      <c r="CI1318" s="18"/>
      <c r="CJ1318" s="130">
        <f>IF(CK1318&gt;0,1,0)</f>
        <v>0</v>
      </c>
      <c r="CK1318" s="128">
        <f>VLOOKUP($E1318,[2]Current!$A:$AC,18,FALSE)</f>
        <v>0</v>
      </c>
      <c r="CL1318" s="128">
        <f>CK1318/$AS1318</f>
        <v>0</v>
      </c>
      <c r="CS1318" s="130">
        <f>IF(CU1318&gt;0,1,0)</f>
        <v>0</v>
      </c>
      <c r="CU1318" s="128">
        <f>VLOOKUP($E1318,[2]Current!$A:$AC,17,FALSE)</f>
        <v>0</v>
      </c>
      <c r="CV1318" s="128">
        <f>CU1318/$AS1318</f>
        <v>0</v>
      </c>
      <c r="CW1318" s="18"/>
      <c r="CX1318" s="18"/>
      <c r="CY1318" s="18"/>
      <c r="DF1318" s="16" t="e">
        <f>VLOOKUP(K1318,'[3]RNA Seq summary tables'!$V$3:$V$99,1,FALSE)</f>
        <v>#N/A</v>
      </c>
      <c r="DG1318" s="126" t="s">
        <v>123</v>
      </c>
    </row>
    <row r="1319" spans="2:288" ht="16" x14ac:dyDescent="0.2">
      <c r="B1319" s="16">
        <v>2018</v>
      </c>
      <c r="C1319" s="147">
        <v>43313</v>
      </c>
      <c r="D1319" t="s">
        <v>1203</v>
      </c>
      <c r="E1319" s="20" t="str">
        <f>CONCATENATE(T1319,"-",U1319,"-",C1319)</f>
        <v>SP2-E5-43313</v>
      </c>
      <c r="F1319" s="16" t="s">
        <v>227</v>
      </c>
      <c r="G1319" s="145" t="s">
        <v>107</v>
      </c>
      <c r="H1319" s="145"/>
      <c r="I1319" s="145"/>
      <c r="J1319" s="145">
        <v>1459</v>
      </c>
      <c r="K1319" s="145">
        <v>2717</v>
      </c>
      <c r="M1319" s="16"/>
      <c r="N1319" s="16"/>
      <c r="O1319" s="15" t="s">
        <v>214</v>
      </c>
      <c r="Q1319" s="16">
        <f t="shared" si="8"/>
        <v>1</v>
      </c>
      <c r="R1319" s="16">
        <f t="shared" si="7"/>
        <v>12</v>
      </c>
      <c r="S1319" s="145"/>
      <c r="T1319" s="145" t="s">
        <v>137</v>
      </c>
      <c r="U1319" s="145" t="s">
        <v>158</v>
      </c>
      <c r="V1319" s="145" t="s">
        <v>114</v>
      </c>
      <c r="W1319" s="145"/>
      <c r="X1319" s="145" t="s">
        <v>121</v>
      </c>
      <c r="Y1319" s="145" t="s">
        <v>110</v>
      </c>
      <c r="Z1319" s="145">
        <v>3</v>
      </c>
      <c r="AA1319" s="145" t="s">
        <v>161</v>
      </c>
      <c r="AB1319" s="145" t="s">
        <v>123</v>
      </c>
      <c r="AC1319" s="145" t="s">
        <v>123</v>
      </c>
      <c r="AD1319" s="145" t="s">
        <v>116</v>
      </c>
      <c r="AE1319" s="145"/>
      <c r="AF1319" s="145"/>
      <c r="AG1319" s="145">
        <f>AH1319-AI1319</f>
        <v>89</v>
      </c>
      <c r="AH1319" s="145">
        <v>168</v>
      </c>
      <c r="AI1319" s="145">
        <v>79</v>
      </c>
      <c r="AJ1319" s="145"/>
      <c r="AK1319" s="145">
        <v>23</v>
      </c>
      <c r="AL1319" s="145">
        <v>0</v>
      </c>
      <c r="AM1319" s="145">
        <v>0</v>
      </c>
      <c r="AN1319" s="145">
        <v>0</v>
      </c>
      <c r="AO1319" s="16">
        <f>IF(SUM(AL1319:AN1319)&gt;0, 1,0)</f>
        <v>0</v>
      </c>
      <c r="AP1319" s="16">
        <f>SUM(AL1319:AN1319)</f>
        <v>0</v>
      </c>
      <c r="AS1319" s="16">
        <f>VLOOKUP(E1319,'[1]Feces weights'!$D$1:$H$459,5,FALSE)</f>
        <v>0.123</v>
      </c>
      <c r="AT1319" s="16" t="e">
        <f>VLOOKUP(E1319,[2]Current!$A$1:$W$435,7,FALSE)</f>
        <v>#N/A</v>
      </c>
      <c r="BG1319" s="77"/>
      <c r="BT1319" s="77"/>
      <c r="CD1319" s="77"/>
      <c r="DG1319" s="145" t="s">
        <v>116</v>
      </c>
      <c r="DT1319" s="145" t="s">
        <v>123</v>
      </c>
      <c r="DU1319" s="145"/>
      <c r="DX1319" s="145"/>
      <c r="DY1319" s="145"/>
      <c r="DZ1319" s="16"/>
      <c r="EA1319" s="16"/>
      <c r="EB1319" s="16"/>
      <c r="EC1319" s="16"/>
      <c r="ED1319" s="16"/>
      <c r="EE1319" s="16"/>
      <c r="EF1319" s="16"/>
      <c r="JO1319" s="18"/>
      <c r="JP1319" s="18"/>
      <c r="JQ1319" s="18"/>
      <c r="JR1319" s="18"/>
      <c r="JS1319" s="18"/>
      <c r="JT1319" s="18"/>
      <c r="JU1319" s="18"/>
      <c r="JV1319" s="18"/>
      <c r="JW1319" s="18"/>
      <c r="JX1319" s="18"/>
      <c r="JY1319" s="18"/>
      <c r="JZ1319" s="18"/>
      <c r="KA1319" s="18"/>
    </row>
    <row r="1320" spans="2:288" ht="16" x14ac:dyDescent="0.2">
      <c r="B1320" s="16">
        <v>2018</v>
      </c>
      <c r="C1320" s="193">
        <v>43253</v>
      </c>
      <c r="D1320" s="149" t="s">
        <v>1282</v>
      </c>
      <c r="E1320" s="37" t="str">
        <f>CONCATENATE(T1320,"-",U1320,"-",C1320)</f>
        <v>SP2-B4-43253</v>
      </c>
      <c r="F1320" s="16" t="s">
        <v>227</v>
      </c>
      <c r="G1320" s="126" t="s">
        <v>107</v>
      </c>
      <c r="H1320" s="126"/>
      <c r="J1320" s="126">
        <v>1461</v>
      </c>
      <c r="K1320" s="126">
        <v>2399</v>
      </c>
      <c r="O1320" s="15" t="s">
        <v>214</v>
      </c>
      <c r="Q1320" s="16">
        <f t="shared" si="8"/>
        <v>0</v>
      </c>
      <c r="R1320" s="16" t="str">
        <f t="shared" si="7"/>
        <v/>
      </c>
      <c r="T1320" s="126" t="s">
        <v>137</v>
      </c>
      <c r="U1320" s="126" t="s">
        <v>144</v>
      </c>
      <c r="V1320" s="126" t="s">
        <v>114</v>
      </c>
      <c r="X1320" s="126" t="s">
        <v>115</v>
      </c>
      <c r="Y1320" s="126" t="s">
        <v>110</v>
      </c>
      <c r="Z1320" s="126">
        <v>3</v>
      </c>
      <c r="AA1320" s="126"/>
      <c r="AB1320" s="126"/>
      <c r="AC1320" s="126"/>
      <c r="AD1320" s="126"/>
      <c r="AE1320" s="126" t="s">
        <v>116</v>
      </c>
      <c r="AG1320" s="16">
        <f>AH1320-AI1320</f>
        <v>88</v>
      </c>
      <c r="AH1320" s="126">
        <v>168</v>
      </c>
      <c r="AI1320" s="194">
        <v>80</v>
      </c>
      <c r="AJ1320" s="195"/>
      <c r="AK1320" s="194">
        <v>20</v>
      </c>
      <c r="AL1320" s="126">
        <v>0</v>
      </c>
      <c r="AM1320" s="126">
        <v>0</v>
      </c>
      <c r="AN1320" s="126">
        <v>0</v>
      </c>
      <c r="AO1320" s="16">
        <f>IF(SUM(AL1320:AN1320)&gt;0,1,0)</f>
        <v>0</v>
      </c>
      <c r="AP1320" s="18">
        <f>SUM(AL1320:AN1320)</f>
        <v>0</v>
      </c>
      <c r="AS1320" s="16">
        <f>VLOOKUP(E1320,'[1]Feces weights'!$D$1:$H$459,5,FALSE)</f>
        <v>0.53800000000000003</v>
      </c>
      <c r="AT1320" s="16" t="str">
        <f>VLOOKUP(E1320,[9]Current!$A:$T,7,FALSE)</f>
        <v>LV</v>
      </c>
      <c r="AU1320" s="18" t="s">
        <v>1290</v>
      </c>
      <c r="AW1320" s="177">
        <f>IF(AY1320&gt;0,1,0)</f>
        <v>1</v>
      </c>
      <c r="AX1320" s="177">
        <f>SUM(BA1320,BM1320,CU1320)</f>
        <v>337</v>
      </c>
      <c r="AY1320" s="177">
        <f>SUM(BB1320,BN1320,CV1320)</f>
        <v>3180.2973977695165</v>
      </c>
      <c r="AZ1320" s="177">
        <f>IF(BB1320&gt;0,1,0)</f>
        <v>1</v>
      </c>
      <c r="BA1320" s="177">
        <f>SUM(BC1320+BF1320+BI1320)</f>
        <v>1</v>
      </c>
      <c r="BB1320" s="177">
        <f>SUM(BE1320,BH1320,BK1320)</f>
        <v>2550.185873605948</v>
      </c>
      <c r="BC1320" s="178">
        <f>IF(BD1320&gt;0,1,0)</f>
        <v>0</v>
      </c>
      <c r="BD1320" s="177">
        <f>VLOOKUP($E1320,[9]Current!$1:$1048576,8,FALSE)</f>
        <v>0</v>
      </c>
      <c r="BE1320" s="177">
        <f>BD1320/$AS1320</f>
        <v>0</v>
      </c>
      <c r="BF1320" s="178">
        <f>IF(BG1320&gt;0,1,0)</f>
        <v>1</v>
      </c>
      <c r="BG1320" s="179">
        <f>VLOOKUP($E1320,[9]Current!$1:$1048576,9,FALSE)</f>
        <v>1372</v>
      </c>
      <c r="BH1320" s="177">
        <f>BG1320/$AS1320</f>
        <v>2550.185873605948</v>
      </c>
      <c r="BI1320" s="178">
        <f>IF(BJ1320&gt;0,1,0)</f>
        <v>0</v>
      </c>
      <c r="BJ1320" s="177">
        <f>VLOOKUP($E1320,[9]Current!$1:$1048576,10,FALSE)</f>
        <v>0</v>
      </c>
      <c r="BK1320" s="177">
        <f>BJ1320/$AS1320</f>
        <v>0</v>
      </c>
      <c r="BL1320" s="177">
        <f>IF(BM1320&gt;0,1,0)</f>
        <v>1</v>
      </c>
      <c r="BM1320" s="177">
        <f>SUM(BR1320,BU1320,BX1320,CA1320,CD1320)</f>
        <v>1</v>
      </c>
      <c r="BN1320" s="181">
        <f>SUM(BT1320,BW1320,BZ1320,CC1320,CF1320)</f>
        <v>7.4349442379182156</v>
      </c>
      <c r="BO1320" s="177">
        <f>IF(BP1320&gt;0,1,0)</f>
        <v>1</v>
      </c>
      <c r="BP1320" s="177">
        <f>BM1320+CJ1320</f>
        <v>1</v>
      </c>
      <c r="BQ1320" s="177">
        <f>BN1320+CL1320</f>
        <v>7.4349442379182156</v>
      </c>
      <c r="BR1320" s="178">
        <f>IF(BS1320&gt;0,1,0)</f>
        <v>0</v>
      </c>
      <c r="BS1320" s="177">
        <f>VLOOKUP($E1320,[9]Current!$1:$1048576,12,FALSE)</f>
        <v>0</v>
      </c>
      <c r="BT1320" s="179">
        <f>BS1320/$AS1320</f>
        <v>0</v>
      </c>
      <c r="BU1320" s="178">
        <f>IF(BV1320&gt;0,1,0)</f>
        <v>1</v>
      </c>
      <c r="BV1320" s="177">
        <f>VLOOKUP($E1320,[9]Current!$1:$1048576,13,FALSE)</f>
        <v>4</v>
      </c>
      <c r="BW1320" s="177">
        <f>BV1320/$AS1320</f>
        <v>7.4349442379182156</v>
      </c>
      <c r="BX1320" s="178">
        <f>IF(BY1320&gt;0,1,0)</f>
        <v>0</v>
      </c>
      <c r="BY1320" s="177">
        <f>VLOOKUP($E1320,[9]Current!$1:$1048576,14,FALSE)</f>
        <v>0</v>
      </c>
      <c r="BZ1320" s="177">
        <f>BY1320/$AS1320</f>
        <v>0</v>
      </c>
      <c r="CA1320" s="178">
        <f>IF(CB1320&gt;0,1,0)</f>
        <v>0</v>
      </c>
      <c r="CB1320" s="177">
        <f>VLOOKUP($E1320,[9]Current!$1:$1048576,15,FALSE)</f>
        <v>0</v>
      </c>
      <c r="CC1320" s="177">
        <f>CB1320/$AS1320</f>
        <v>0</v>
      </c>
      <c r="CD1320" s="180">
        <f>IF(CE1320&gt;0,1,0)</f>
        <v>0</v>
      </c>
      <c r="CE1320" s="177">
        <f>VLOOKUP($E1320,[9]Current!$1:$1048576,16,FALSE)</f>
        <v>0</v>
      </c>
      <c r="CF1320" s="177">
        <f>CE1320/$AS1320</f>
        <v>0</v>
      </c>
      <c r="CG1320" s="18"/>
      <c r="CH1320" s="18"/>
      <c r="CI1320" s="18"/>
      <c r="CJ1320" s="178">
        <f>IF(CK1320&gt;0,1,0)</f>
        <v>0</v>
      </c>
      <c r="CK1320" s="177">
        <f>VLOOKUP($E1320,[9]Current!$1:$1048576,18,FALSE)</f>
        <v>0</v>
      </c>
      <c r="CL1320" s="177">
        <f>CK1320/$AS1320</f>
        <v>0</v>
      </c>
      <c r="CS1320" s="178">
        <f>IF(CU1320&gt;0,1,0)</f>
        <v>1</v>
      </c>
      <c r="CT1320" s="177"/>
      <c r="CU1320" s="177">
        <f>VLOOKUP($E1320,[9]Current!$1:$1048576,17,FALSE)</f>
        <v>335</v>
      </c>
      <c r="CV1320" s="177">
        <f>CU1320/$AS1320</f>
        <v>622.67657992565057</v>
      </c>
      <c r="DF1320" s="16" t="e">
        <f>VLOOKUP(K1320,'[3]RNA Seq summary tables'!$V$3:$V$99,1,FALSE)</f>
        <v>#N/A</v>
      </c>
      <c r="DG1320" s="126" t="s">
        <v>123</v>
      </c>
    </row>
    <row r="1321" spans="2:288" ht="16" x14ac:dyDescent="0.2">
      <c r="B1321" s="16">
        <v>2018</v>
      </c>
      <c r="C1321" s="124">
        <v>43269</v>
      </c>
      <c r="D1321" t="s">
        <v>826</v>
      </c>
      <c r="E1321" s="37" t="str">
        <f>CONCATENATE(T1321,"-",U1321,"-",C1321)</f>
        <v>SP2-B5-43269</v>
      </c>
      <c r="F1321" s="16" t="s">
        <v>227</v>
      </c>
      <c r="G1321" s="126" t="s">
        <v>107</v>
      </c>
      <c r="H1321" s="126"/>
      <c r="J1321" s="126">
        <v>1461</v>
      </c>
      <c r="K1321" s="126">
        <v>2459</v>
      </c>
      <c r="O1321" s="15" t="s">
        <v>214</v>
      </c>
      <c r="Q1321" s="16">
        <f t="shared" si="8"/>
        <v>1</v>
      </c>
      <c r="R1321" s="16">
        <f t="shared" si="7"/>
        <v>16</v>
      </c>
      <c r="T1321" s="126" t="s">
        <v>137</v>
      </c>
      <c r="U1321" s="126" t="s">
        <v>160</v>
      </c>
      <c r="V1321" s="126" t="s">
        <v>114</v>
      </c>
      <c r="X1321" s="126" t="s">
        <v>115</v>
      </c>
      <c r="Y1321" s="126" t="s">
        <v>110</v>
      </c>
      <c r="Z1321" s="126">
        <v>3</v>
      </c>
      <c r="AA1321" s="126"/>
      <c r="AB1321" s="126"/>
      <c r="AC1321" s="126"/>
      <c r="AD1321" s="126"/>
      <c r="AE1321" s="126" t="s">
        <v>123</v>
      </c>
      <c r="AG1321" s="16">
        <f>AH1321-AI1321</f>
        <v>82</v>
      </c>
      <c r="AH1321" s="126">
        <v>161</v>
      </c>
      <c r="AI1321" s="126">
        <v>79</v>
      </c>
      <c r="AK1321" s="126">
        <v>18.5</v>
      </c>
      <c r="AL1321" s="126">
        <v>0</v>
      </c>
      <c r="AM1321" s="126">
        <v>0</v>
      </c>
      <c r="AN1321" s="126">
        <v>0</v>
      </c>
      <c r="AO1321" s="16">
        <f>IF(SUM(AL1321:AN1321)&gt;0,1,0)</f>
        <v>0</v>
      </c>
      <c r="AP1321" s="18">
        <f>SUM(AL1321:AN1321)</f>
        <v>0</v>
      </c>
      <c r="AR1321" s="16">
        <v>3.300000000000014E-2</v>
      </c>
      <c r="AS1321" s="16">
        <f>VLOOKUP(E1321,'[1]Feces weights'!$D$1:$H$459,5,FALSE)</f>
        <v>3.300000000000014E-2</v>
      </c>
      <c r="AT1321" s="16" t="str">
        <f>VLOOKUP(E1321,[2]Current!$A$1:$W$435,7,FALSE)</f>
        <v>DP</v>
      </c>
      <c r="AU1321" s="16" t="s">
        <v>1288</v>
      </c>
      <c r="AW1321" s="128">
        <f>IF(AX1321&gt;0,1,0)</f>
        <v>1</v>
      </c>
      <c r="AX1321" s="128">
        <f>SUM(BA1321,BM1321,CU1321)</f>
        <v>3</v>
      </c>
      <c r="AY1321" s="128">
        <f>SUM(BB1321,BN1321,CV1321)</f>
        <v>7333.3333333333021</v>
      </c>
      <c r="AZ1321" s="128">
        <f>IF(BA1321&gt;0,1,0)</f>
        <v>1</v>
      </c>
      <c r="BA1321" s="128">
        <f>SUM(BC1321+BF1321+BI1321)</f>
        <v>3</v>
      </c>
      <c r="BB1321" s="128">
        <f>SUM(BE1321,BH1321,BK1321)</f>
        <v>7333.3333333333021</v>
      </c>
      <c r="BC1321" s="130">
        <f>IF(BD1321&gt;0,1,0)</f>
        <v>1</v>
      </c>
      <c r="BD1321" s="128">
        <f>VLOOKUP($E1321,[2]Current!$A:$AC,26,FALSE)</f>
        <v>4</v>
      </c>
      <c r="BE1321" s="128">
        <f>BD1321/$AS1321</f>
        <v>121.21212121212069</v>
      </c>
      <c r="BF1321" s="130">
        <f>IF(BG1321&gt;0,1,0)</f>
        <v>1</v>
      </c>
      <c r="BG1321" s="137">
        <f>VLOOKUP($E1321,[2]Current!$A:$AC,27,FALSE)</f>
        <v>236</v>
      </c>
      <c r="BH1321" s="128">
        <f>BG1321/$AS1321</f>
        <v>7151.515151515121</v>
      </c>
      <c r="BI1321" s="130">
        <f>IF(BJ1321&gt;0,1,0)</f>
        <v>1</v>
      </c>
      <c r="BJ1321" s="128">
        <f>VLOOKUP($E1321,[2]Current!$A:$AC,28,FALSE)</f>
        <v>2</v>
      </c>
      <c r="BK1321" s="128">
        <f>BJ1321/$AS1321</f>
        <v>60.606060606060346</v>
      </c>
      <c r="BL1321" s="128">
        <f>IF(BM1321&gt;0,1,0)</f>
        <v>0</v>
      </c>
      <c r="BM1321" s="128">
        <f>SUM(BR1321,BU1321,BX1321,CA1321,CD1321)</f>
        <v>0</v>
      </c>
      <c r="BN1321" s="131">
        <f>SUM(BT1321,BW1321,BZ1321,CC1321,CF1321)</f>
        <v>0</v>
      </c>
      <c r="BO1321" s="128">
        <f>IF(BP1321&gt;0,1,0)</f>
        <v>0</v>
      </c>
      <c r="BP1321" s="128">
        <f>BM1321+CJ1321</f>
        <v>0</v>
      </c>
      <c r="BQ1321" s="128">
        <f>BN1321+CL1321</f>
        <v>0</v>
      </c>
      <c r="BR1321" s="130">
        <f>IF(BS1321&gt;0,1,0)</f>
        <v>0</v>
      </c>
      <c r="BS1321" s="128">
        <f>VLOOKUP($E1321,[2]Current!$A:$AC,12,FALSE)</f>
        <v>0</v>
      </c>
      <c r="BT1321" s="137">
        <f>BS1321/$AS1321</f>
        <v>0</v>
      </c>
      <c r="BU1321" s="130">
        <f>IF(BV1321&gt;0,1,0)</f>
        <v>0</v>
      </c>
      <c r="BV1321" s="128">
        <f>VLOOKUP($E1321,[2]Current!$A:$AC,13,FALSE)</f>
        <v>0</v>
      </c>
      <c r="BW1321" s="128">
        <f>BV1321/$AS1321</f>
        <v>0</v>
      </c>
      <c r="BX1321" s="130">
        <f>IF(BY1321&gt;0,1,0)</f>
        <v>0</v>
      </c>
      <c r="BY1321" s="128">
        <f>VLOOKUP($E1321,[2]Current!$A:$AC,14,FALSE)</f>
        <v>0</v>
      </c>
      <c r="BZ1321" s="128">
        <f>BY1321/$AS1321</f>
        <v>0</v>
      </c>
      <c r="CA1321" s="130">
        <f>IF(CB1321&gt;0,1,0)</f>
        <v>0</v>
      </c>
      <c r="CB1321" s="128">
        <f>VLOOKUP($E1321,[2]Current!$A:$AC,15,FALSE)</f>
        <v>0</v>
      </c>
      <c r="CC1321" s="128">
        <f>CB1321/$AS1321</f>
        <v>0</v>
      </c>
      <c r="CD1321" s="174">
        <f>IF(CE1321&gt;0,1,0)</f>
        <v>0</v>
      </c>
      <c r="CE1321" s="128">
        <f>VLOOKUP($E1321,[2]Current!$A:$AC,16,FALSE)</f>
        <v>0</v>
      </c>
      <c r="CF1321" s="128">
        <f>CE1321/$AS1321</f>
        <v>0</v>
      </c>
      <c r="CG1321" s="18"/>
      <c r="CH1321" s="18"/>
      <c r="CI1321" s="18"/>
      <c r="CJ1321" s="130">
        <f>IF(CK1321&gt;0,1,0)</f>
        <v>0</v>
      </c>
      <c r="CK1321" s="128">
        <f>VLOOKUP($E1321,[2]Current!$A:$AC,18,FALSE)</f>
        <v>0</v>
      </c>
      <c r="CL1321" s="128">
        <f>CK1321/$AS1321</f>
        <v>0</v>
      </c>
      <c r="CS1321" s="130">
        <f>IF(CU1321&gt;0,1,0)</f>
        <v>0</v>
      </c>
      <c r="CU1321" s="128">
        <f>VLOOKUP($E1321,[2]Current!$A:$AC,17,FALSE)</f>
        <v>0</v>
      </c>
      <c r="CV1321" s="128">
        <f>CU1321/$AS1321</f>
        <v>0</v>
      </c>
      <c r="CW1321" s="18"/>
      <c r="CX1321" s="18"/>
      <c r="CY1321" s="18"/>
      <c r="DF1321" s="16" t="e">
        <f>VLOOKUP(K1321,'[3]RNA Seq summary tables'!$V$3:$V$99,1,FALSE)</f>
        <v>#N/A</v>
      </c>
      <c r="DG1321" s="126" t="s">
        <v>116</v>
      </c>
    </row>
    <row r="1322" spans="2:288" ht="16" x14ac:dyDescent="0.2">
      <c r="B1322" s="16">
        <v>2018</v>
      </c>
      <c r="C1322" s="124">
        <v>43286</v>
      </c>
      <c r="D1322" t="s">
        <v>913</v>
      </c>
      <c r="E1322" s="37" t="str">
        <f>CONCATENATE(T1322,"-",U1322,"-",C1322)</f>
        <v>SP2-A4-43286</v>
      </c>
      <c r="F1322" s="16" t="s">
        <v>227</v>
      </c>
      <c r="G1322" s="126" t="s">
        <v>107</v>
      </c>
      <c r="H1322" s="126"/>
      <c r="J1322" s="126">
        <v>1461</v>
      </c>
      <c r="K1322" s="126">
        <v>2552</v>
      </c>
      <c r="O1322" s="15" t="s">
        <v>214</v>
      </c>
      <c r="Q1322" s="16">
        <f t="shared" si="8"/>
        <v>1</v>
      </c>
      <c r="R1322" s="16">
        <f t="shared" si="7"/>
        <v>17</v>
      </c>
      <c r="T1322" s="126" t="s">
        <v>137</v>
      </c>
      <c r="U1322" s="126" t="s">
        <v>134</v>
      </c>
      <c r="V1322" s="126" t="s">
        <v>114</v>
      </c>
      <c r="X1322" s="126" t="s">
        <v>115</v>
      </c>
      <c r="Y1322" s="126" t="s">
        <v>110</v>
      </c>
      <c r="Z1322" s="126">
        <v>3</v>
      </c>
      <c r="AA1322" s="126"/>
      <c r="AB1322" s="126"/>
      <c r="AC1322" s="126"/>
      <c r="AD1322" s="126"/>
      <c r="AE1322" s="126" t="s">
        <v>123</v>
      </c>
      <c r="AG1322" s="16">
        <f>AH1322-AI1322</f>
        <v>82</v>
      </c>
      <c r="AH1322" s="126">
        <v>163</v>
      </c>
      <c r="AI1322" s="126">
        <v>81</v>
      </c>
      <c r="AK1322" s="126">
        <v>18.5</v>
      </c>
      <c r="AL1322" s="126">
        <v>0</v>
      </c>
      <c r="AM1322" s="126">
        <v>0</v>
      </c>
      <c r="AN1322" s="126">
        <v>0</v>
      </c>
      <c r="AO1322" s="16">
        <f>IF(SUM(AL1322:AN1322)&gt;0,1,0)</f>
        <v>0</v>
      </c>
      <c r="AP1322" s="18">
        <f>SUM(AL1322:AN1322)</f>
        <v>0</v>
      </c>
      <c r="AQ1322" s="16" t="s">
        <v>1284</v>
      </c>
      <c r="AR1322" s="16">
        <v>-8.999999999999897E-3</v>
      </c>
      <c r="AS1322" s="152">
        <v>1E-3</v>
      </c>
      <c r="AT1322" s="16" t="str">
        <f>VLOOKUP(E1322,[2]Current!$A$1:$W$435,7,FALSE)</f>
        <v>TE</v>
      </c>
      <c r="AU1322" s="16" t="s">
        <v>1288</v>
      </c>
      <c r="AW1322" s="128">
        <f>IF(AX1322&gt;0,1,0)</f>
        <v>1</v>
      </c>
      <c r="AX1322" s="128">
        <f>SUM(BA1322,BM1322,CU1322)</f>
        <v>3</v>
      </c>
      <c r="AY1322" s="128">
        <f>SUM(BB1322,BN1322,CV1322)</f>
        <v>158000</v>
      </c>
      <c r="AZ1322" s="128">
        <f>IF(BA1322&gt;0,1,0)</f>
        <v>1</v>
      </c>
      <c r="BA1322" s="128">
        <f>SUM(BC1322+BF1322+BI1322)</f>
        <v>3</v>
      </c>
      <c r="BB1322" s="128">
        <f>SUM(BE1322,BH1322,BK1322)</f>
        <v>158000</v>
      </c>
      <c r="BC1322" s="130">
        <f>IF(BD1322&gt;0,1,0)</f>
        <v>1</v>
      </c>
      <c r="BD1322" s="128">
        <f>VLOOKUP($E1322,[2]Current!$A:$AC,26,FALSE)</f>
        <v>124</v>
      </c>
      <c r="BE1322" s="128">
        <f>BD1322/$AS1322</f>
        <v>124000</v>
      </c>
      <c r="BF1322" s="130">
        <f>IF(BG1322&gt;0,1,0)</f>
        <v>1</v>
      </c>
      <c r="BG1322" s="137">
        <f>VLOOKUP($E1322,[2]Current!$A:$AC,27,FALSE)</f>
        <v>24</v>
      </c>
      <c r="BH1322" s="128">
        <f>BG1322/$AS1322</f>
        <v>24000</v>
      </c>
      <c r="BI1322" s="130">
        <f>IF(BJ1322&gt;0,1,0)</f>
        <v>1</v>
      </c>
      <c r="BJ1322" s="128">
        <f>VLOOKUP($E1322,[2]Current!$A:$AC,28,FALSE)</f>
        <v>10</v>
      </c>
      <c r="BK1322" s="128">
        <f>BJ1322/$AS1322</f>
        <v>10000</v>
      </c>
      <c r="BL1322" s="128">
        <f>IF(BM1322&gt;0,1,0)</f>
        <v>0</v>
      </c>
      <c r="BM1322" s="128">
        <f>SUM(BR1322,BU1322,BX1322,CA1322,CD1322)</f>
        <v>0</v>
      </c>
      <c r="BN1322" s="131">
        <f>SUM(BT1322,BW1322,BZ1322,CC1322,CF1322)</f>
        <v>0</v>
      </c>
      <c r="BO1322" s="128">
        <f>IF(BP1322&gt;0,1,0)</f>
        <v>0</v>
      </c>
      <c r="BP1322" s="128">
        <f>BM1322+CJ1322</f>
        <v>0</v>
      </c>
      <c r="BQ1322" s="128">
        <f>BN1322+CL1322</f>
        <v>0</v>
      </c>
      <c r="BR1322" s="130">
        <f>IF(BS1322&gt;0,1,0)</f>
        <v>0</v>
      </c>
      <c r="BS1322" s="128">
        <f>VLOOKUP($E1322,[2]Current!$A:$AC,12,FALSE)</f>
        <v>0</v>
      </c>
      <c r="BT1322" s="137">
        <f>BS1322/$AS1322</f>
        <v>0</v>
      </c>
      <c r="BU1322" s="130">
        <f>IF(BV1322&gt;0,1,0)</f>
        <v>0</v>
      </c>
      <c r="BV1322" s="128">
        <f>VLOOKUP($E1322,[2]Current!$A:$AC,13,FALSE)</f>
        <v>0</v>
      </c>
      <c r="BW1322" s="128">
        <f>BV1322/$AS1322</f>
        <v>0</v>
      </c>
      <c r="BX1322" s="130">
        <f>IF(BY1322&gt;0,1,0)</f>
        <v>0</v>
      </c>
      <c r="BY1322" s="128">
        <f>VLOOKUP($E1322,[2]Current!$A:$AC,14,FALSE)</f>
        <v>0</v>
      </c>
      <c r="BZ1322" s="128">
        <f>BY1322/$AS1322</f>
        <v>0</v>
      </c>
      <c r="CA1322" s="130">
        <f>IF(CB1322&gt;0,1,0)</f>
        <v>0</v>
      </c>
      <c r="CB1322" s="128">
        <f>VLOOKUP($E1322,[2]Current!$A:$AC,15,FALSE)</f>
        <v>0</v>
      </c>
      <c r="CC1322" s="128">
        <f>CB1322/$AS1322</f>
        <v>0</v>
      </c>
      <c r="CD1322" s="174">
        <f>IF(CE1322&gt;0,1,0)</f>
        <v>0</v>
      </c>
      <c r="CE1322" s="128">
        <f>VLOOKUP($E1322,[2]Current!$A:$AC,16,FALSE)</f>
        <v>0</v>
      </c>
      <c r="CF1322" s="128">
        <f>CE1322/$AS1322</f>
        <v>0</v>
      </c>
      <c r="CG1322" s="18"/>
      <c r="CH1322" s="18"/>
      <c r="CI1322" s="18"/>
      <c r="CJ1322" s="130">
        <f>IF(CK1322&gt;0,1,0)</f>
        <v>0</v>
      </c>
      <c r="CK1322" s="128">
        <f>VLOOKUP($E1322,[2]Current!$A:$AC,18,FALSE)</f>
        <v>0</v>
      </c>
      <c r="CL1322" s="128">
        <f>CK1322/$AS1322</f>
        <v>0</v>
      </c>
      <c r="CS1322" s="130">
        <f>IF(CU1322&gt;0,1,0)</f>
        <v>0</v>
      </c>
      <c r="CT1322" s="18"/>
      <c r="CU1322" s="128">
        <f>VLOOKUP($E1322,[2]Current!$A:$AC,17,FALSE)</f>
        <v>0</v>
      </c>
      <c r="CV1322" s="128">
        <f>CU1322/$AS1322</f>
        <v>0</v>
      </c>
      <c r="CW1322" s="18"/>
      <c r="CX1322" s="18"/>
      <c r="CY1322" s="18"/>
      <c r="DF1322" s="16" t="e">
        <f>VLOOKUP(K1322,'[3]RNA Seq summary tables'!$V$3:$V$99,1,FALSE)</f>
        <v>#N/A</v>
      </c>
      <c r="DG1322" s="126" t="s">
        <v>116</v>
      </c>
    </row>
    <row r="1323" spans="2:288" ht="16" x14ac:dyDescent="0.2">
      <c r="B1323" s="16">
        <v>2018</v>
      </c>
      <c r="C1323" s="124">
        <v>43257</v>
      </c>
      <c r="D1323" t="s">
        <v>766</v>
      </c>
      <c r="E1323" s="37" t="str">
        <f>CONCATENATE(T1323,"-",U1323,"-",C1323)</f>
        <v>BC1-E4-43257</v>
      </c>
      <c r="F1323" s="16" t="s">
        <v>227</v>
      </c>
      <c r="G1323" s="126" t="s">
        <v>107</v>
      </c>
      <c r="H1323" s="126"/>
      <c r="J1323" s="126">
        <v>1463</v>
      </c>
      <c r="K1323" s="126">
        <v>2406</v>
      </c>
      <c r="O1323" s="15" t="s">
        <v>214</v>
      </c>
      <c r="Q1323" s="16">
        <f t="shared" si="8"/>
        <v>0</v>
      </c>
      <c r="R1323" s="16" t="str">
        <f t="shared" si="7"/>
        <v/>
      </c>
      <c r="T1323" s="126" t="s">
        <v>159</v>
      </c>
      <c r="U1323" s="126" t="s">
        <v>206</v>
      </c>
      <c r="V1323" s="126" t="s">
        <v>114</v>
      </c>
      <c r="X1323" s="126" t="s">
        <v>115</v>
      </c>
      <c r="Y1323" s="126" t="s">
        <v>145</v>
      </c>
      <c r="Z1323" s="126">
        <v>1</v>
      </c>
      <c r="AA1323" s="126"/>
      <c r="AB1323" s="126"/>
      <c r="AC1323" s="126"/>
      <c r="AD1323" s="126"/>
      <c r="AE1323" s="126" t="s">
        <v>123</v>
      </c>
      <c r="AG1323" s="16">
        <f>AH1323-AI1323</f>
        <v>73</v>
      </c>
      <c r="AH1323" s="126">
        <v>131</v>
      </c>
      <c r="AI1323" s="126">
        <v>58</v>
      </c>
      <c r="AK1323" s="126">
        <v>10.5</v>
      </c>
      <c r="AL1323" s="126">
        <v>0</v>
      </c>
      <c r="AM1323" s="126">
        <v>0</v>
      </c>
      <c r="AN1323" s="126">
        <v>0</v>
      </c>
      <c r="AO1323" s="16">
        <f>IF(SUM(AL1323:AN1323)&gt;0,1,0)</f>
        <v>0</v>
      </c>
      <c r="AP1323" s="18">
        <f>SUM(AL1323:AN1323)</f>
        <v>0</v>
      </c>
      <c r="AR1323" s="16">
        <v>2E-3</v>
      </c>
      <c r="AS1323" s="16">
        <v>2E-3</v>
      </c>
      <c r="AT1323" s="16" t="str">
        <f>VLOOKUP(E1323,[9]Current!$A:$T,7,FALSE)</f>
        <v>JB</v>
      </c>
      <c r="AU1323" s="18" t="s">
        <v>1290</v>
      </c>
      <c r="AW1323" s="177">
        <f>IF(AY1323&gt;0,1,0)</f>
        <v>1</v>
      </c>
      <c r="AX1323" s="177">
        <f>SUM(BA1323,BM1323,CU1323)</f>
        <v>1</v>
      </c>
      <c r="AY1323" s="177">
        <f>SUM(BB1323,BN1323,CV1323)</f>
        <v>4000</v>
      </c>
      <c r="AZ1323" s="177">
        <f>IF(BB1323&gt;0,1,0)</f>
        <v>1</v>
      </c>
      <c r="BA1323" s="177">
        <f>SUM(BC1323+BF1323+BI1323)</f>
        <v>1</v>
      </c>
      <c r="BB1323" s="177">
        <f>SUM(BE1323,BH1323,BK1323)</f>
        <v>4000</v>
      </c>
      <c r="BC1323" s="178">
        <f>IF(BD1323&gt;0,1,0)</f>
        <v>0</v>
      </c>
      <c r="BD1323" s="177">
        <f>VLOOKUP($E1323,[9]Current!$1:$1048576,8,FALSE)</f>
        <v>0</v>
      </c>
      <c r="BE1323" s="177">
        <f>BD1323/$AS1323</f>
        <v>0</v>
      </c>
      <c r="BF1323" s="178">
        <f>IF(BG1323&gt;0,1,0)</f>
        <v>1</v>
      </c>
      <c r="BG1323" s="179">
        <f>VLOOKUP($E1323,[9]Current!$1:$1048576,9,FALSE)</f>
        <v>8</v>
      </c>
      <c r="BH1323" s="177">
        <f>BG1323/$AS1323</f>
        <v>4000</v>
      </c>
      <c r="BI1323" s="178">
        <f>IF(BJ1323&gt;0,1,0)</f>
        <v>0</v>
      </c>
      <c r="BJ1323" s="177">
        <f>VLOOKUP($E1323,[9]Current!$1:$1048576,10,FALSE)</f>
        <v>0</v>
      </c>
      <c r="BK1323" s="177">
        <f>BJ1323/$AS1323</f>
        <v>0</v>
      </c>
      <c r="BL1323" s="177">
        <f>IF(BM1323&gt;0,1,0)</f>
        <v>0</v>
      </c>
      <c r="BM1323" s="177">
        <f>SUM(BR1323,BU1323,BX1323,CA1323,CD1323)</f>
        <v>0</v>
      </c>
      <c r="BN1323" s="181">
        <f>SUM(BT1323,BW1323,BZ1323,CC1323,CF1323)</f>
        <v>0</v>
      </c>
      <c r="BO1323" s="177">
        <f>IF(BP1323&gt;0,1,0)</f>
        <v>0</v>
      </c>
      <c r="BP1323" s="177">
        <f>BM1323+CJ1323</f>
        <v>0</v>
      </c>
      <c r="BQ1323" s="177">
        <f>BN1323+CL1323</f>
        <v>0</v>
      </c>
      <c r="BR1323" s="178">
        <f>IF(BS1323&gt;0,1,0)</f>
        <v>0</v>
      </c>
      <c r="BS1323" s="177">
        <f>VLOOKUP($E1323,[9]Current!$1:$1048576,12,FALSE)</f>
        <v>0</v>
      </c>
      <c r="BT1323" s="179">
        <f>BS1323/$AS1323</f>
        <v>0</v>
      </c>
      <c r="BU1323" s="178">
        <f>IF(BV1323&gt;0,1,0)</f>
        <v>0</v>
      </c>
      <c r="BV1323" s="177">
        <f>VLOOKUP($E1323,[9]Current!$1:$1048576,13,FALSE)</f>
        <v>0</v>
      </c>
      <c r="BW1323" s="177">
        <f>BV1323/$AS1323</f>
        <v>0</v>
      </c>
      <c r="BX1323" s="178">
        <f>IF(BY1323&gt;0,1,0)</f>
        <v>0</v>
      </c>
      <c r="BY1323" s="177">
        <f>VLOOKUP($E1323,[9]Current!$1:$1048576,14,FALSE)</f>
        <v>0</v>
      </c>
      <c r="BZ1323" s="177">
        <f>BY1323/$AS1323</f>
        <v>0</v>
      </c>
      <c r="CA1323" s="178">
        <f>IF(CB1323&gt;0,1,0)</f>
        <v>0</v>
      </c>
      <c r="CB1323" s="177">
        <f>VLOOKUP($E1323,[9]Current!$1:$1048576,15,FALSE)</f>
        <v>0</v>
      </c>
      <c r="CC1323" s="177">
        <f>CB1323/$AS1323</f>
        <v>0</v>
      </c>
      <c r="CD1323" s="180">
        <f>IF(CE1323&gt;0,1,0)</f>
        <v>0</v>
      </c>
      <c r="CE1323" s="177">
        <f>VLOOKUP($E1323,[9]Current!$1:$1048576,16,FALSE)</f>
        <v>0</v>
      </c>
      <c r="CF1323" s="177">
        <f>CE1323/$AS1323</f>
        <v>0</v>
      </c>
      <c r="CG1323" s="18"/>
      <c r="CH1323" s="18"/>
      <c r="CI1323" s="18"/>
      <c r="CJ1323" s="178">
        <f>IF(CK1323&gt;0,1,0)</f>
        <v>0</v>
      </c>
      <c r="CK1323" s="177">
        <f>VLOOKUP($E1323,[9]Current!$1:$1048576,18,FALSE)</f>
        <v>0</v>
      </c>
      <c r="CL1323" s="177">
        <f>CK1323/$AS1323</f>
        <v>0</v>
      </c>
      <c r="CS1323" s="178">
        <f>IF(CU1323&gt;0,1,0)</f>
        <v>0</v>
      </c>
      <c r="CT1323" s="177"/>
      <c r="CU1323" s="177">
        <f>VLOOKUP($E1323,[9]Current!$1:$1048576,17,FALSE)</f>
        <v>0</v>
      </c>
      <c r="CV1323" s="177">
        <f>CU1323/$AS1323</f>
        <v>0</v>
      </c>
      <c r="DF1323" s="16" t="e">
        <f>VLOOKUP(K1323,'[3]RNA Seq summary tables'!$V$3:$V$99,1,FALSE)</f>
        <v>#N/A</v>
      </c>
      <c r="DG1323" s="126" t="s">
        <v>123</v>
      </c>
    </row>
    <row r="1324" spans="2:288" ht="16" x14ac:dyDescent="0.2">
      <c r="B1324" s="16">
        <v>2018</v>
      </c>
      <c r="C1324" s="124">
        <v>43274</v>
      </c>
      <c r="D1324" t="s">
        <v>843</v>
      </c>
      <c r="E1324" s="37" t="str">
        <f>CONCATENATE(T1324,"-",U1324,"-",C1324)</f>
        <v>BC1-D2-43274</v>
      </c>
      <c r="F1324" s="16" t="s">
        <v>227</v>
      </c>
      <c r="G1324" s="126" t="s">
        <v>107</v>
      </c>
      <c r="H1324" s="126"/>
      <c r="J1324" s="126">
        <v>1463</v>
      </c>
      <c r="K1324" s="126">
        <v>2484</v>
      </c>
      <c r="O1324" s="15" t="s">
        <v>214</v>
      </c>
      <c r="Q1324" s="16">
        <f t="shared" si="8"/>
        <v>1</v>
      </c>
      <c r="R1324" s="16">
        <f t="shared" si="7"/>
        <v>17</v>
      </c>
      <c r="T1324" s="126" t="s">
        <v>159</v>
      </c>
      <c r="U1324" s="126" t="s">
        <v>198</v>
      </c>
      <c r="V1324" s="126" t="s">
        <v>114</v>
      </c>
      <c r="X1324" s="126" t="s">
        <v>115</v>
      </c>
      <c r="Y1324" s="126" t="s">
        <v>122</v>
      </c>
      <c r="Z1324" s="126">
        <v>2.9</v>
      </c>
      <c r="AA1324" s="126"/>
      <c r="AB1324" s="126"/>
      <c r="AC1324" s="126"/>
      <c r="AD1324" s="126"/>
      <c r="AE1324" s="126" t="s">
        <v>123</v>
      </c>
      <c r="AG1324" s="16">
        <f>AH1324-AI1324</f>
        <v>82</v>
      </c>
      <c r="AH1324" s="126">
        <v>151</v>
      </c>
      <c r="AI1324" s="126">
        <v>69</v>
      </c>
      <c r="AK1324" s="126">
        <v>18</v>
      </c>
      <c r="AL1324" s="126">
        <v>0</v>
      </c>
      <c r="AM1324" s="126">
        <v>0</v>
      </c>
      <c r="AN1324" s="126">
        <v>0</v>
      </c>
      <c r="AO1324" s="16">
        <f>IF(SUM(AL1324:AN1324)&gt;0,1,0)</f>
        <v>0</v>
      </c>
      <c r="AP1324" s="18">
        <f>SUM(AL1324:AN1324)</f>
        <v>0</v>
      </c>
      <c r="AR1324" s="16">
        <v>0.13700000000000001</v>
      </c>
      <c r="AS1324" s="16">
        <f>VLOOKUP(E1324,'[1]Feces weights'!$D$1:$H$459,5,FALSE)</f>
        <v>0.13700000000000001</v>
      </c>
      <c r="AT1324" s="16" t="str">
        <f>VLOOKUP(E1324,[2]Current!$A$1:$W$435,7,FALSE)</f>
        <v>IS</v>
      </c>
      <c r="AU1324" s="16" t="s">
        <v>1288</v>
      </c>
      <c r="AV1324" s="23">
        <v>1</v>
      </c>
      <c r="AW1324" s="128">
        <f>IF(AX1324&gt;0,1,0)</f>
        <v>0</v>
      </c>
      <c r="AX1324" s="128">
        <f>SUM(BA1324,BM1324,CU1324)</f>
        <v>0</v>
      </c>
      <c r="AY1324" s="128">
        <f>SUM(BB1324,BN1324,CV1324)</f>
        <v>0</v>
      </c>
      <c r="AZ1324" s="128">
        <f>IF(BA1324&gt;0,1,0)</f>
        <v>0</v>
      </c>
      <c r="BA1324" s="128">
        <f>SUM(BC1324+BF1324+BI1324)</f>
        <v>0</v>
      </c>
      <c r="BB1324" s="128">
        <f>SUM(BE1324,BH1324,BK1324)</f>
        <v>0</v>
      </c>
      <c r="BC1324" s="130">
        <f>IF(BD1324&gt;0,1,0)</f>
        <v>0</v>
      </c>
      <c r="BD1324" s="128">
        <f>VLOOKUP($E1324,[2]Current!$A:$AC,26,FALSE)</f>
        <v>0</v>
      </c>
      <c r="BE1324" s="128">
        <f>BD1324/$AS1324</f>
        <v>0</v>
      </c>
      <c r="BF1324" s="130">
        <f>IF(BG1324&gt;0,1,0)</f>
        <v>0</v>
      </c>
      <c r="BG1324" s="137">
        <f>VLOOKUP($E1324,[2]Current!$A:$AC,27,FALSE)</f>
        <v>0</v>
      </c>
      <c r="BH1324" s="128">
        <f>BG1324/$AS1324</f>
        <v>0</v>
      </c>
      <c r="BI1324" s="130">
        <f>IF(BJ1324&gt;0,1,0)</f>
        <v>0</v>
      </c>
      <c r="BJ1324" s="128">
        <f>VLOOKUP($E1324,[2]Current!$A:$AC,28,FALSE)</f>
        <v>0</v>
      </c>
      <c r="BK1324" s="128">
        <f>BJ1324/$AS1324</f>
        <v>0</v>
      </c>
      <c r="BL1324" s="128">
        <f>IF(BM1324&gt;0,1,0)</f>
        <v>0</v>
      </c>
      <c r="BM1324" s="128">
        <f>SUM(BR1324,BU1324,BX1324,CA1324,CD1324)</f>
        <v>0</v>
      </c>
      <c r="BN1324" s="131">
        <f>SUM(BT1324,BW1324,BZ1324,CC1324,CF1324)</f>
        <v>0</v>
      </c>
      <c r="BO1324" s="128">
        <f>IF(BP1324&gt;0,1,0)</f>
        <v>0</v>
      </c>
      <c r="BP1324" s="128">
        <f>BM1324+CJ1324</f>
        <v>0</v>
      </c>
      <c r="BQ1324" s="128">
        <f>BN1324+CL1324</f>
        <v>0</v>
      </c>
      <c r="BR1324" s="130">
        <f>IF(BS1324&gt;0,1,0)</f>
        <v>0</v>
      </c>
      <c r="BS1324" s="128">
        <f>VLOOKUP($E1324,[2]Current!$A:$AC,12,FALSE)</f>
        <v>0</v>
      </c>
      <c r="BT1324" s="137">
        <f>BS1324/$AS1324</f>
        <v>0</v>
      </c>
      <c r="BU1324" s="130">
        <f>IF(BV1324&gt;0,1,0)</f>
        <v>0</v>
      </c>
      <c r="BV1324" s="128">
        <f>VLOOKUP($E1324,[2]Current!$A:$AC,13,FALSE)</f>
        <v>0</v>
      </c>
      <c r="BW1324" s="128">
        <f>BV1324/$AS1324</f>
        <v>0</v>
      </c>
      <c r="BX1324" s="130">
        <f>IF(BY1324&gt;0,1,0)</f>
        <v>0</v>
      </c>
      <c r="BY1324" s="128">
        <f>VLOOKUP($E1324,[2]Current!$A:$AC,14,FALSE)</f>
        <v>0</v>
      </c>
      <c r="BZ1324" s="128">
        <f>BY1324/$AS1324</f>
        <v>0</v>
      </c>
      <c r="CA1324" s="130">
        <f>IF(CB1324&gt;0,1,0)</f>
        <v>0</v>
      </c>
      <c r="CB1324" s="128">
        <f>VLOOKUP($E1324,[2]Current!$A:$AC,15,FALSE)</f>
        <v>0</v>
      </c>
      <c r="CC1324" s="128">
        <f>CB1324/$AS1324</f>
        <v>0</v>
      </c>
      <c r="CD1324" s="174">
        <f>IF(CE1324&gt;0,1,0)</f>
        <v>0</v>
      </c>
      <c r="CE1324" s="128">
        <f>VLOOKUP($E1324,[2]Current!$A:$AC,16,FALSE)</f>
        <v>0</v>
      </c>
      <c r="CF1324" s="128">
        <f>CE1324/$AS1324</f>
        <v>0</v>
      </c>
      <c r="CG1324" s="18"/>
      <c r="CH1324" s="18"/>
      <c r="CI1324" s="18"/>
      <c r="CJ1324" s="130">
        <f>IF(CK1324&gt;0,1,0)</f>
        <v>0</v>
      </c>
      <c r="CK1324" s="128">
        <f>VLOOKUP($E1324,[2]Current!$A:$AC,18,FALSE)</f>
        <v>0</v>
      </c>
      <c r="CL1324" s="128">
        <f>CK1324/$AS1324</f>
        <v>0</v>
      </c>
      <c r="CS1324" s="130">
        <f>IF(CU1324&gt;0,1,0)</f>
        <v>0</v>
      </c>
      <c r="CU1324" s="128">
        <f>VLOOKUP($E1324,[2]Current!$A:$AC,17,FALSE)</f>
        <v>0</v>
      </c>
      <c r="CV1324" s="128">
        <f>CU1324/$AS1324</f>
        <v>0</v>
      </c>
      <c r="CW1324" s="18"/>
      <c r="CX1324" s="18"/>
      <c r="CY1324" s="18"/>
      <c r="DF1324" s="16" t="e">
        <f>VLOOKUP(K1324,'[3]RNA Seq summary tables'!$V$3:$V$99,1,FALSE)</f>
        <v>#N/A</v>
      </c>
      <c r="DG1324" s="126"/>
    </row>
    <row r="1325" spans="2:288" ht="16" x14ac:dyDescent="0.2">
      <c r="B1325" s="16">
        <v>2018</v>
      </c>
      <c r="C1325" s="124">
        <v>43257</v>
      </c>
      <c r="D1325" t="s">
        <v>767</v>
      </c>
      <c r="E1325" s="37" t="str">
        <f>CONCATENATE(T1325,"-",U1325,"-",C1325)</f>
        <v>BC2-A2-43257</v>
      </c>
      <c r="F1325" s="16" t="s">
        <v>227</v>
      </c>
      <c r="G1325" s="126" t="s">
        <v>107</v>
      </c>
      <c r="H1325" s="126" t="s">
        <v>1097</v>
      </c>
      <c r="J1325" s="126">
        <v>1465</v>
      </c>
      <c r="K1325" s="126">
        <v>2411</v>
      </c>
      <c r="O1325" s="15" t="s">
        <v>214</v>
      </c>
      <c r="Q1325" s="16">
        <f t="shared" si="8"/>
        <v>0</v>
      </c>
      <c r="R1325" s="16" t="str">
        <f t="shared" si="7"/>
        <v/>
      </c>
      <c r="T1325" s="126" t="s">
        <v>154</v>
      </c>
      <c r="U1325" s="126" t="s">
        <v>171</v>
      </c>
      <c r="V1325" s="126" t="s">
        <v>114</v>
      </c>
      <c r="X1325" s="126" t="s">
        <v>121</v>
      </c>
      <c r="Y1325" s="126" t="s">
        <v>110</v>
      </c>
      <c r="Z1325" s="126">
        <v>3</v>
      </c>
      <c r="AA1325" s="126" t="s">
        <v>161</v>
      </c>
      <c r="AB1325" s="126" t="s">
        <v>116</v>
      </c>
      <c r="AC1325" s="126" t="s">
        <v>123</v>
      </c>
      <c r="AD1325" s="126"/>
      <c r="AE1325" s="126"/>
      <c r="AG1325" s="16">
        <f>AH1325-AI1325</f>
        <v>95</v>
      </c>
      <c r="AH1325" s="126">
        <v>176</v>
      </c>
      <c r="AI1325" s="126">
        <v>81</v>
      </c>
      <c r="AK1325" s="126">
        <v>20</v>
      </c>
      <c r="AL1325" s="126">
        <v>1</v>
      </c>
      <c r="AM1325" s="126">
        <v>0</v>
      </c>
      <c r="AN1325" s="126">
        <v>0</v>
      </c>
      <c r="AO1325" s="16">
        <f>IF(SUM(AL1325:AN1325)&gt;0,1,0)</f>
        <v>1</v>
      </c>
      <c r="AP1325" s="18">
        <f>SUM(AL1325:AN1325)</f>
        <v>1</v>
      </c>
      <c r="AR1325" s="16">
        <v>7.3000000000000176E-2</v>
      </c>
      <c r="AS1325" s="16">
        <f>VLOOKUP(E1325,'[1]Feces weights'!$D$1:$H$459,5,FALSE)</f>
        <v>7.3000000000000176E-2</v>
      </c>
      <c r="AT1325" s="16" t="str">
        <f>VLOOKUP(E1325,[2]Current!$A$1:$W$435,7,FALSE)</f>
        <v>IS</v>
      </c>
      <c r="AU1325" s="16" t="s">
        <v>1288</v>
      </c>
      <c r="AW1325" s="128">
        <f>IF(AX1325&gt;0,1,0)</f>
        <v>1</v>
      </c>
      <c r="AX1325" s="128">
        <f>SUM(BA1325,BM1325,CU1325)</f>
        <v>1</v>
      </c>
      <c r="AY1325" s="128">
        <f>SUM(BB1325,BN1325,CV1325)</f>
        <v>6739.7260273972443</v>
      </c>
      <c r="AZ1325" s="128">
        <f>IF(BA1325&gt;0,1,0)</f>
        <v>1</v>
      </c>
      <c r="BA1325" s="128">
        <f>SUM(BC1325+BF1325+BI1325)</f>
        <v>1</v>
      </c>
      <c r="BB1325" s="128">
        <f>SUM(BE1325,BH1325,BK1325)</f>
        <v>6739.7260273972443</v>
      </c>
      <c r="BC1325" s="130">
        <f>IF(BD1325&gt;0,1,0)</f>
        <v>0</v>
      </c>
      <c r="BD1325" s="128">
        <f>VLOOKUP($E1325,[2]Current!$A:$AC,26,FALSE)</f>
        <v>0</v>
      </c>
      <c r="BE1325" s="128">
        <f>BD1325/$AS1325</f>
        <v>0</v>
      </c>
      <c r="BF1325" s="130">
        <f>IF(BG1325&gt;0,1,0)</f>
        <v>1</v>
      </c>
      <c r="BG1325" s="137">
        <f>VLOOKUP($E1325,[2]Current!$A:$AC,27,FALSE)</f>
        <v>492</v>
      </c>
      <c r="BH1325" s="128">
        <f>BG1325/$AS1325</f>
        <v>6739.7260273972443</v>
      </c>
      <c r="BI1325" s="130">
        <f>IF(BJ1325&gt;0,1,0)</f>
        <v>0</v>
      </c>
      <c r="BJ1325" s="128">
        <f>VLOOKUP($E1325,[2]Current!$A:$AC,28,FALSE)</f>
        <v>0</v>
      </c>
      <c r="BK1325" s="128">
        <f>BJ1325/$AS1325</f>
        <v>0</v>
      </c>
      <c r="BL1325" s="128">
        <f>IF(BM1325&gt;0,1,0)</f>
        <v>0</v>
      </c>
      <c r="BM1325" s="128">
        <f>SUM(BR1325,BU1325,BX1325,CA1325,CD1325)</f>
        <v>0</v>
      </c>
      <c r="BN1325" s="131">
        <f>SUM(BT1325,BW1325,BZ1325,CC1325,CF1325)</f>
        <v>0</v>
      </c>
      <c r="BO1325" s="128">
        <f>IF(BP1325&gt;0,1,0)</f>
        <v>0</v>
      </c>
      <c r="BP1325" s="128">
        <f>BM1325+CJ1325</f>
        <v>0</v>
      </c>
      <c r="BQ1325" s="128">
        <f>BN1325+CL1325</f>
        <v>0</v>
      </c>
      <c r="BR1325" s="130">
        <f>IF(BS1325&gt;0,1,0)</f>
        <v>0</v>
      </c>
      <c r="BS1325" s="128">
        <f>VLOOKUP($E1325,[2]Current!$A:$AC,12,FALSE)</f>
        <v>0</v>
      </c>
      <c r="BT1325" s="137">
        <f>BS1325/$AS1325</f>
        <v>0</v>
      </c>
      <c r="BU1325" s="130">
        <f>IF(BV1325&gt;0,1,0)</f>
        <v>0</v>
      </c>
      <c r="BV1325" s="128">
        <f>VLOOKUP($E1325,[2]Current!$A:$AC,13,FALSE)</f>
        <v>0</v>
      </c>
      <c r="BW1325" s="128">
        <f>BV1325/$AS1325</f>
        <v>0</v>
      </c>
      <c r="BX1325" s="130">
        <f>IF(BY1325&gt;0,1,0)</f>
        <v>0</v>
      </c>
      <c r="BY1325" s="128">
        <f>VLOOKUP($E1325,[2]Current!$A:$AC,14,FALSE)</f>
        <v>0</v>
      </c>
      <c r="BZ1325" s="128">
        <f>BY1325/$AS1325</f>
        <v>0</v>
      </c>
      <c r="CA1325" s="130">
        <f>IF(CB1325&gt;0,1,0)</f>
        <v>0</v>
      </c>
      <c r="CB1325" s="128">
        <f>VLOOKUP($E1325,[2]Current!$A:$AC,15,FALSE)</f>
        <v>0</v>
      </c>
      <c r="CC1325" s="128">
        <f>CB1325/$AS1325</f>
        <v>0</v>
      </c>
      <c r="CD1325" s="174">
        <f>IF(CE1325&gt;0,1,0)</f>
        <v>0</v>
      </c>
      <c r="CE1325" s="128">
        <f>VLOOKUP($E1325,[2]Current!$A:$AC,16,FALSE)</f>
        <v>0</v>
      </c>
      <c r="CF1325" s="128">
        <f>CE1325/$AS1325</f>
        <v>0</v>
      </c>
      <c r="CG1325" s="18"/>
      <c r="CH1325" s="18"/>
      <c r="CI1325" s="18"/>
      <c r="CJ1325" s="130">
        <f>IF(CK1325&gt;0,1,0)</f>
        <v>0</v>
      </c>
      <c r="CK1325" s="128">
        <f>VLOOKUP($E1325,[2]Current!$A:$AC,18,FALSE)</f>
        <v>0</v>
      </c>
      <c r="CL1325" s="128">
        <f>CK1325/$AS1325</f>
        <v>0</v>
      </c>
      <c r="CS1325" s="130">
        <f>IF(CU1325&gt;0,1,0)</f>
        <v>0</v>
      </c>
      <c r="CT1325" s="41"/>
      <c r="CU1325" s="128">
        <f>VLOOKUP($E1325,[2]Current!$A:$AC,17,FALSE)</f>
        <v>0</v>
      </c>
      <c r="CV1325" s="128">
        <f>CU1325/$AS1325</f>
        <v>0</v>
      </c>
      <c r="CW1325" s="18"/>
      <c r="CX1325" s="18"/>
      <c r="CY1325" s="18"/>
      <c r="DF1325" s="16" t="e">
        <f>VLOOKUP(K1325,'[3]RNA Seq summary tables'!$V$3:$V$99,1,FALSE)</f>
        <v>#N/A</v>
      </c>
      <c r="DG1325" s="126"/>
    </row>
    <row r="1326" spans="2:288" ht="16" x14ac:dyDescent="0.2">
      <c r="B1326" s="16">
        <v>2018</v>
      </c>
      <c r="C1326" s="124">
        <v>43275</v>
      </c>
      <c r="D1326" t="s">
        <v>852</v>
      </c>
      <c r="E1326" s="37" t="str">
        <f>CONCATENATE(T1326,"-",U1326,"-",C1326)</f>
        <v>BC2-A1-43275</v>
      </c>
      <c r="F1326" s="16" t="s">
        <v>227</v>
      </c>
      <c r="G1326" s="126" t="s">
        <v>107</v>
      </c>
      <c r="H1326" s="126"/>
      <c r="J1326" s="126">
        <v>1465</v>
      </c>
      <c r="K1326" s="126">
        <v>2492</v>
      </c>
      <c r="O1326" s="15" t="s">
        <v>214</v>
      </c>
      <c r="Q1326" s="16">
        <f t="shared" si="8"/>
        <v>1</v>
      </c>
      <c r="R1326" s="16">
        <f t="shared" si="7"/>
        <v>18</v>
      </c>
      <c r="T1326" s="126" t="s">
        <v>154</v>
      </c>
      <c r="U1326" s="126" t="s">
        <v>210</v>
      </c>
      <c r="V1326" s="136" t="s">
        <v>114</v>
      </c>
      <c r="X1326" s="126" t="s">
        <v>121</v>
      </c>
      <c r="Y1326" s="126" t="s">
        <v>110</v>
      </c>
      <c r="Z1326" s="126">
        <v>3</v>
      </c>
      <c r="AA1326" s="126" t="s">
        <v>161</v>
      </c>
      <c r="AB1326" s="126" t="s">
        <v>116</v>
      </c>
      <c r="AC1326" s="126" t="s">
        <v>123</v>
      </c>
      <c r="AD1326" s="126"/>
      <c r="AE1326" s="126"/>
      <c r="AG1326" s="16">
        <f>AH1326-AI1326</f>
        <v>86</v>
      </c>
      <c r="AH1326" s="126">
        <v>166</v>
      </c>
      <c r="AI1326" s="126">
        <v>80</v>
      </c>
      <c r="AK1326" s="126">
        <v>20</v>
      </c>
      <c r="AL1326" s="126">
        <v>0</v>
      </c>
      <c r="AM1326" s="126">
        <v>0</v>
      </c>
      <c r="AN1326" s="126">
        <v>0</v>
      </c>
      <c r="AO1326" s="16">
        <f>IF(SUM(AL1326:AN1326)&gt;0,1,0)</f>
        <v>0</v>
      </c>
      <c r="AP1326" s="18">
        <f>SUM(AL1326:AN1326)</f>
        <v>0</v>
      </c>
      <c r="AR1326" s="16">
        <v>4.7000000000000153E-2</v>
      </c>
      <c r="AS1326" s="16">
        <f>VLOOKUP(E1326,'[1]Feces weights'!$D$1:$H$459,5,FALSE)</f>
        <v>4.7000000000000153E-2</v>
      </c>
      <c r="AT1326" s="16" t="str">
        <f>VLOOKUP(E1326,[2]Current!$A$1:$W$435,7,FALSE)</f>
        <v>TE</v>
      </c>
      <c r="AU1326" s="16" t="s">
        <v>1288</v>
      </c>
      <c r="AW1326" s="128">
        <f>IF(AX1326&gt;0,1,0)</f>
        <v>1</v>
      </c>
      <c r="AX1326" s="128">
        <f>SUM(BA1326,BM1326,CU1326)</f>
        <v>2</v>
      </c>
      <c r="AY1326" s="128">
        <f>SUM(BB1326,BN1326,CV1326)</f>
        <v>7914.893617021251</v>
      </c>
      <c r="AZ1326" s="128">
        <f>IF(BA1326&gt;0,1,0)</f>
        <v>1</v>
      </c>
      <c r="BA1326" s="128">
        <f>SUM(BC1326+BF1326+BI1326)</f>
        <v>2</v>
      </c>
      <c r="BB1326" s="128">
        <f>SUM(BE1326,BH1326,BK1326)</f>
        <v>7914.893617021251</v>
      </c>
      <c r="BC1326" s="130">
        <f>IF(BD1326&gt;0,1,0)</f>
        <v>0</v>
      </c>
      <c r="BD1326" s="128">
        <f>VLOOKUP($E1326,[2]Current!$A:$AC,26,FALSE)</f>
        <v>0</v>
      </c>
      <c r="BE1326" s="128">
        <f>BD1326/$AS1326</f>
        <v>0</v>
      </c>
      <c r="BF1326" s="130">
        <f>IF(BG1326&gt;0,1,0)</f>
        <v>1</v>
      </c>
      <c r="BG1326" s="137">
        <f>VLOOKUP($E1326,[2]Current!$A:$AC,27,FALSE)</f>
        <v>34</v>
      </c>
      <c r="BH1326" s="128">
        <f>BG1326/$AS1326</f>
        <v>723.40425531914661</v>
      </c>
      <c r="BI1326" s="130">
        <f>IF(BJ1326&gt;0,1,0)</f>
        <v>1</v>
      </c>
      <c r="BJ1326" s="128">
        <f>VLOOKUP($E1326,[2]Current!$A:$AC,28,FALSE)</f>
        <v>338</v>
      </c>
      <c r="BK1326" s="128">
        <f>BJ1326/$AS1326</f>
        <v>7191.4893617021044</v>
      </c>
      <c r="BL1326" s="128">
        <f>IF(BM1326&gt;0,1,0)</f>
        <v>0</v>
      </c>
      <c r="BM1326" s="128">
        <f>SUM(BR1326,BU1326,BX1326,CA1326,CD1326)</f>
        <v>0</v>
      </c>
      <c r="BN1326" s="131">
        <f>SUM(BT1326,BW1326,BZ1326,CC1326,CF1326)</f>
        <v>0</v>
      </c>
      <c r="BO1326" s="128">
        <f>IF(BP1326&gt;0,1,0)</f>
        <v>0</v>
      </c>
      <c r="BP1326" s="128">
        <f>BM1326+CJ1326</f>
        <v>0</v>
      </c>
      <c r="BQ1326" s="128">
        <f>BN1326+CL1326</f>
        <v>0</v>
      </c>
      <c r="BR1326" s="130">
        <f>IF(BS1326&gt;0,1,0)</f>
        <v>0</v>
      </c>
      <c r="BS1326" s="128">
        <f>VLOOKUP($E1326,[2]Current!$A:$AC,12,FALSE)</f>
        <v>0</v>
      </c>
      <c r="BT1326" s="137">
        <f>BS1326/$AS1326</f>
        <v>0</v>
      </c>
      <c r="BU1326" s="130">
        <f>IF(BV1326&gt;0,1,0)</f>
        <v>0</v>
      </c>
      <c r="BV1326" s="128">
        <f>VLOOKUP($E1326,[2]Current!$A:$AC,13,FALSE)</f>
        <v>0</v>
      </c>
      <c r="BW1326" s="128">
        <f>BV1326/$AS1326</f>
        <v>0</v>
      </c>
      <c r="BX1326" s="130">
        <f>IF(BY1326&gt;0,1,0)</f>
        <v>0</v>
      </c>
      <c r="BY1326" s="128">
        <f>VLOOKUP($E1326,[2]Current!$A:$AC,14,FALSE)</f>
        <v>0</v>
      </c>
      <c r="BZ1326" s="128">
        <f>BY1326/$AS1326</f>
        <v>0</v>
      </c>
      <c r="CA1326" s="130">
        <f>IF(CB1326&gt;0,1,0)</f>
        <v>0</v>
      </c>
      <c r="CB1326" s="128">
        <f>VLOOKUP($E1326,[2]Current!$A:$AC,15,FALSE)</f>
        <v>0</v>
      </c>
      <c r="CC1326" s="128">
        <f>CB1326/$AS1326</f>
        <v>0</v>
      </c>
      <c r="CD1326" s="174">
        <f>IF(CE1326&gt;0,1,0)</f>
        <v>0</v>
      </c>
      <c r="CE1326" s="128">
        <f>VLOOKUP($E1326,[2]Current!$A:$AC,16,FALSE)</f>
        <v>0</v>
      </c>
      <c r="CF1326" s="128">
        <f>CE1326/$AS1326</f>
        <v>0</v>
      </c>
      <c r="CG1326" s="18"/>
      <c r="CH1326" s="18"/>
      <c r="CI1326" s="18"/>
      <c r="CJ1326" s="130">
        <f>IF(CK1326&gt;0,1,0)</f>
        <v>0</v>
      </c>
      <c r="CK1326" s="128">
        <f>VLOOKUP($E1326,[2]Current!$A:$AC,18,FALSE)</f>
        <v>0</v>
      </c>
      <c r="CL1326" s="128">
        <f>CK1326/$AS1326</f>
        <v>0</v>
      </c>
      <c r="CS1326" s="130">
        <f>IF(CU1326&gt;0,1,0)</f>
        <v>0</v>
      </c>
      <c r="CU1326" s="128">
        <f>VLOOKUP($E1326,[2]Current!$A:$AC,17,FALSE)</f>
        <v>0</v>
      </c>
      <c r="CV1326" s="128">
        <f>CU1326/$AS1326</f>
        <v>0</v>
      </c>
      <c r="CW1326" s="18"/>
      <c r="CX1326" s="18"/>
      <c r="CY1326" s="18"/>
      <c r="DF1326" s="16" t="e">
        <f>VLOOKUP(K1326,'[3]RNA Seq summary tables'!$V$3:$V$99,1,FALSE)</f>
        <v>#N/A</v>
      </c>
      <c r="DG1326" s="126" t="s">
        <v>116</v>
      </c>
    </row>
    <row r="1327" spans="2:288" ht="16" x14ac:dyDescent="0.2">
      <c r="B1327" s="16">
        <v>2018</v>
      </c>
      <c r="C1327" s="124">
        <v>43303</v>
      </c>
      <c r="D1327" t="s">
        <v>1031</v>
      </c>
      <c r="E1327" s="37" t="str">
        <f>CONCATENATE(T1327,"-",U1327,"-",C1327)</f>
        <v>BC2-D1-43303</v>
      </c>
      <c r="F1327" s="16" t="s">
        <v>227</v>
      </c>
      <c r="G1327" s="126" t="s">
        <v>107</v>
      </c>
      <c r="H1327" s="126"/>
      <c r="J1327" s="126">
        <v>1465</v>
      </c>
      <c r="K1327" s="126">
        <v>2678</v>
      </c>
      <c r="O1327" s="15" t="s">
        <v>214</v>
      </c>
      <c r="Q1327" s="16">
        <f t="shared" si="8"/>
        <v>1</v>
      </c>
      <c r="R1327" s="16">
        <f t="shared" si="7"/>
        <v>28</v>
      </c>
      <c r="T1327" s="126" t="s">
        <v>154</v>
      </c>
      <c r="U1327" s="126" t="s">
        <v>157</v>
      </c>
      <c r="V1327" s="126" t="s">
        <v>114</v>
      </c>
      <c r="X1327" s="126" t="s">
        <v>121</v>
      </c>
      <c r="Y1327" s="126" t="s">
        <v>110</v>
      </c>
      <c r="Z1327" s="126">
        <v>3</v>
      </c>
      <c r="AA1327" s="126" t="s">
        <v>119</v>
      </c>
      <c r="AB1327" s="126" t="s">
        <v>123</v>
      </c>
      <c r="AC1327" s="126" t="s">
        <v>116</v>
      </c>
      <c r="AD1327" s="126"/>
      <c r="AE1327" s="126"/>
      <c r="AG1327" s="40">
        <f>AH1327-AI1327</f>
        <v>89</v>
      </c>
      <c r="AH1327" s="126">
        <v>165</v>
      </c>
      <c r="AI1327" s="126">
        <v>76</v>
      </c>
      <c r="AK1327" s="126">
        <v>20.5</v>
      </c>
      <c r="AL1327" s="126">
        <v>0</v>
      </c>
      <c r="AM1327" s="126">
        <v>0</v>
      </c>
      <c r="AN1327" s="126">
        <v>0</v>
      </c>
      <c r="AO1327" s="16">
        <f>IF(SUM(AL1327:AN1327)&gt;0,1,0)</f>
        <v>0</v>
      </c>
      <c r="AP1327" s="18">
        <f>SUM(AL1327:AN1327)</f>
        <v>0</v>
      </c>
      <c r="AR1327" s="16">
        <v>0.19500000000000006</v>
      </c>
      <c r="AS1327" s="16">
        <f>VLOOKUP(E1327,'[1]Feces weights'!$D$1:$H$459,5,FALSE)</f>
        <v>0.19500000000000006</v>
      </c>
      <c r="AT1327" s="16" t="str">
        <f>VLOOKUP(E1327,[2]Current!$A$1:$W$435,7,FALSE)</f>
        <v>JY</v>
      </c>
      <c r="AU1327" s="16" t="s">
        <v>1288</v>
      </c>
      <c r="AV1327" s="23">
        <v>1</v>
      </c>
      <c r="AW1327" s="128">
        <f>IF(AX1327&gt;0,1,0)</f>
        <v>0</v>
      </c>
      <c r="AX1327" s="128">
        <f>SUM(BA1327,BM1327,CU1327)</f>
        <v>0</v>
      </c>
      <c r="AY1327" s="128">
        <f>SUM(BB1327,BN1327,CV1327)</f>
        <v>0</v>
      </c>
      <c r="AZ1327" s="128">
        <f>IF(BA1327&gt;0,1,0)</f>
        <v>0</v>
      </c>
      <c r="BA1327" s="128">
        <f>SUM(BC1327+BF1327+BI1327)</f>
        <v>0</v>
      </c>
      <c r="BB1327" s="128">
        <f>SUM(BE1327,BH1327,BK1327)</f>
        <v>0</v>
      </c>
      <c r="BC1327" s="130">
        <f>IF(BD1327&gt;0,1,0)</f>
        <v>0</v>
      </c>
      <c r="BD1327" s="128">
        <f>VLOOKUP($E1327,[2]Current!$A:$AC,26,FALSE)</f>
        <v>0</v>
      </c>
      <c r="BE1327" s="128">
        <f>BD1327/$AS1327</f>
        <v>0</v>
      </c>
      <c r="BF1327" s="130">
        <f>IF(BG1327&gt;0,1,0)</f>
        <v>0</v>
      </c>
      <c r="BG1327" s="137">
        <f>VLOOKUP($E1327,[2]Current!$A:$AC,27,FALSE)</f>
        <v>0</v>
      </c>
      <c r="BH1327" s="128">
        <f>BG1327/$AS1327</f>
        <v>0</v>
      </c>
      <c r="BI1327" s="130">
        <f>IF(BJ1327&gt;0,1,0)</f>
        <v>0</v>
      </c>
      <c r="BJ1327" s="128">
        <f>VLOOKUP($E1327,[2]Current!$A:$AC,28,FALSE)</f>
        <v>0</v>
      </c>
      <c r="BK1327" s="128">
        <f>BJ1327/$AS1327</f>
        <v>0</v>
      </c>
      <c r="BL1327" s="128">
        <f>IF(BM1327&gt;0,1,0)</f>
        <v>0</v>
      </c>
      <c r="BM1327" s="128">
        <f>SUM(BR1327,BU1327,BX1327,CA1327,CD1327)</f>
        <v>0</v>
      </c>
      <c r="BN1327" s="131">
        <f>SUM(BT1327,BW1327,BZ1327,CC1327,CF1327)</f>
        <v>0</v>
      </c>
      <c r="BO1327" s="128">
        <f>IF(BP1327&gt;0,1,0)</f>
        <v>0</v>
      </c>
      <c r="BP1327" s="128">
        <f>BM1327+CJ1327</f>
        <v>0</v>
      </c>
      <c r="BQ1327" s="128">
        <f>BN1327+CL1327</f>
        <v>0</v>
      </c>
      <c r="BR1327" s="130">
        <f>IF(BS1327&gt;0,1,0)</f>
        <v>0</v>
      </c>
      <c r="BS1327" s="128">
        <f>VLOOKUP($E1327,[2]Current!$A:$AC,12,FALSE)</f>
        <v>0</v>
      </c>
      <c r="BT1327" s="137">
        <f>BS1327/$AS1327</f>
        <v>0</v>
      </c>
      <c r="BU1327" s="130">
        <f>IF(BV1327&gt;0,1,0)</f>
        <v>0</v>
      </c>
      <c r="BV1327" s="128">
        <f>VLOOKUP($E1327,[2]Current!$A:$AC,13,FALSE)</f>
        <v>0</v>
      </c>
      <c r="BW1327" s="128">
        <f>BV1327/$AS1327</f>
        <v>0</v>
      </c>
      <c r="BX1327" s="130">
        <f>IF(BY1327&gt;0,1,0)</f>
        <v>0</v>
      </c>
      <c r="BY1327" s="128">
        <f>VLOOKUP($E1327,[2]Current!$A:$AC,14,FALSE)</f>
        <v>0</v>
      </c>
      <c r="BZ1327" s="128">
        <f>BY1327/$AS1327</f>
        <v>0</v>
      </c>
      <c r="CA1327" s="130">
        <f>IF(CB1327&gt;0,1,0)</f>
        <v>0</v>
      </c>
      <c r="CB1327" s="128">
        <f>VLOOKUP($E1327,[2]Current!$A:$AC,15,FALSE)</f>
        <v>0</v>
      </c>
      <c r="CC1327" s="128">
        <f>CB1327/$AS1327</f>
        <v>0</v>
      </c>
      <c r="CD1327" s="174">
        <f>IF(CE1327&gt;0,1,0)</f>
        <v>0</v>
      </c>
      <c r="CE1327" s="128">
        <f>VLOOKUP($E1327,[2]Current!$A:$AC,16,FALSE)</f>
        <v>0</v>
      </c>
      <c r="CF1327" s="128">
        <f>CE1327/$AS1327</f>
        <v>0</v>
      </c>
      <c r="CG1327" s="18"/>
      <c r="CH1327" s="18"/>
      <c r="CI1327" s="18"/>
      <c r="CJ1327" s="130">
        <f>IF(CK1327&gt;0,1,0)</f>
        <v>0</v>
      </c>
      <c r="CK1327" s="128">
        <f>VLOOKUP($E1327,[2]Current!$A:$AC,18,FALSE)</f>
        <v>0</v>
      </c>
      <c r="CL1327" s="128">
        <f>CK1327/$AS1327</f>
        <v>0</v>
      </c>
      <c r="CS1327" s="130">
        <f>IF(CU1327&gt;0,1,0)</f>
        <v>0</v>
      </c>
      <c r="CU1327" s="128">
        <f>VLOOKUP($E1327,[2]Current!$A:$AC,17,FALSE)</f>
        <v>0</v>
      </c>
      <c r="CV1327" s="128">
        <f>CU1327/$AS1327</f>
        <v>0</v>
      </c>
      <c r="CW1327" s="18"/>
      <c r="CX1327" s="18"/>
      <c r="CY1327" s="18"/>
      <c r="DF1327" s="16" t="e">
        <f>VLOOKUP(K1327,'[3]RNA Seq summary tables'!$V$3:$V$99,1,FALSE)</f>
        <v>#N/A</v>
      </c>
      <c r="DG1327" s="126" t="s">
        <v>116</v>
      </c>
    </row>
    <row r="1328" spans="2:288" ht="16" x14ac:dyDescent="0.2">
      <c r="B1328" s="16">
        <v>2018</v>
      </c>
      <c r="C1328" s="124">
        <v>43258</v>
      </c>
      <c r="D1328" t="s">
        <v>775</v>
      </c>
      <c r="E1328" s="37" t="str">
        <f>CONCATENATE(T1328,"-",U1328,"-",C1328)</f>
        <v>BC1-H5-43258</v>
      </c>
      <c r="F1328" s="16" t="s">
        <v>227</v>
      </c>
      <c r="G1328" s="126" t="s">
        <v>107</v>
      </c>
      <c r="H1328" s="126"/>
      <c r="J1328" s="126">
        <v>1467</v>
      </c>
      <c r="K1328" s="126">
        <v>2413</v>
      </c>
      <c r="O1328" s="15" t="s">
        <v>214</v>
      </c>
      <c r="Q1328" s="16">
        <f t="shared" si="8"/>
        <v>0</v>
      </c>
      <c r="R1328" s="16" t="str">
        <f t="shared" si="7"/>
        <v/>
      </c>
      <c r="T1328" s="126" t="s">
        <v>159</v>
      </c>
      <c r="U1328" s="126" t="s">
        <v>180</v>
      </c>
      <c r="V1328" s="133" t="s">
        <v>142</v>
      </c>
      <c r="X1328" s="126" t="s">
        <v>115</v>
      </c>
      <c r="Y1328" s="126" t="s">
        <v>110</v>
      </c>
      <c r="Z1328" s="126">
        <v>3</v>
      </c>
      <c r="AA1328" s="126"/>
      <c r="AB1328" s="126"/>
      <c r="AC1328" s="126"/>
      <c r="AD1328" s="126"/>
      <c r="AE1328" s="126" t="s">
        <v>116</v>
      </c>
      <c r="AG1328" s="16">
        <f>AH1328-AI1328</f>
        <v>91</v>
      </c>
      <c r="AH1328" s="126">
        <v>181</v>
      </c>
      <c r="AI1328" s="126">
        <v>90</v>
      </c>
      <c r="AK1328" s="126">
        <v>18.5</v>
      </c>
      <c r="AL1328" s="126">
        <v>1</v>
      </c>
      <c r="AM1328" s="126">
        <v>0</v>
      </c>
      <c r="AN1328" s="126">
        <v>0</v>
      </c>
      <c r="AO1328" s="16">
        <f>IF(SUM(AL1328:AN1328)&gt;0,1,0)</f>
        <v>1</v>
      </c>
      <c r="AP1328" s="18">
        <f>SUM(AL1328:AN1328)</f>
        <v>1</v>
      </c>
      <c r="AR1328" s="16">
        <v>3.8000000000000034E-2</v>
      </c>
      <c r="AS1328" s="16">
        <f>VLOOKUP(E1328,'[1]Feces weights'!$D$1:$H$459,5,FALSE)</f>
        <v>3.8000000000000034E-2</v>
      </c>
      <c r="AT1328" s="16" t="str">
        <f>VLOOKUP(E1328,[2]Current!$A$1:$W$435,7,FALSE)</f>
        <v>TE</v>
      </c>
      <c r="AU1328" s="16" t="s">
        <v>1288</v>
      </c>
      <c r="AW1328" s="128">
        <f>IF(AX1328&gt;0,1,0)</f>
        <v>1</v>
      </c>
      <c r="AX1328" s="128">
        <f>SUM(BA1328,BM1328,CU1328)</f>
        <v>1</v>
      </c>
      <c r="AY1328" s="128">
        <f>SUM(BB1328,BN1328,CV1328)</f>
        <v>26.315789473684188</v>
      </c>
      <c r="AZ1328" s="128">
        <f>IF(BA1328&gt;0,1,0)</f>
        <v>0</v>
      </c>
      <c r="BA1328" s="128">
        <f>SUM(BC1328+BF1328+BI1328)</f>
        <v>0</v>
      </c>
      <c r="BB1328" s="128">
        <f>SUM(BE1328,BH1328,BK1328)</f>
        <v>0</v>
      </c>
      <c r="BC1328" s="130">
        <f>IF(BD1328&gt;0,1,0)</f>
        <v>0</v>
      </c>
      <c r="BD1328" s="128">
        <f>VLOOKUP($E1328,[2]Current!$A:$AC,26,FALSE)</f>
        <v>0</v>
      </c>
      <c r="BE1328" s="128">
        <f>BD1328/$AS1328</f>
        <v>0</v>
      </c>
      <c r="BF1328" s="130">
        <f>IF(BG1328&gt;0,1,0)</f>
        <v>0</v>
      </c>
      <c r="BG1328" s="137">
        <f>VLOOKUP($E1328,[2]Current!$A:$AC,27,FALSE)</f>
        <v>0</v>
      </c>
      <c r="BH1328" s="128">
        <f>BG1328/$AS1328</f>
        <v>0</v>
      </c>
      <c r="BI1328" s="130">
        <f>IF(BJ1328&gt;0,1,0)</f>
        <v>0</v>
      </c>
      <c r="BJ1328" s="128">
        <f>VLOOKUP($E1328,[2]Current!$A:$AC,28,FALSE)</f>
        <v>0</v>
      </c>
      <c r="BK1328" s="128">
        <f>BJ1328/$AS1328</f>
        <v>0</v>
      </c>
      <c r="BL1328" s="128">
        <f>IF(BM1328&gt;0,1,0)</f>
        <v>0</v>
      </c>
      <c r="BM1328" s="128">
        <f>SUM(BR1328,BU1328,BX1328,CA1328,CD1328)</f>
        <v>0</v>
      </c>
      <c r="BN1328" s="131">
        <f>SUM(BT1328,BW1328,BZ1328,CC1328,CF1328)</f>
        <v>0</v>
      </c>
      <c r="BO1328" s="128">
        <f>IF(BP1328&gt;0,1,0)</f>
        <v>0</v>
      </c>
      <c r="BP1328" s="128">
        <f>BM1328+CJ1328</f>
        <v>0</v>
      </c>
      <c r="BQ1328" s="128">
        <f>BN1328+CL1328</f>
        <v>0</v>
      </c>
      <c r="BR1328" s="130">
        <f>IF(BS1328&gt;0,1,0)</f>
        <v>0</v>
      </c>
      <c r="BS1328" s="128">
        <f>VLOOKUP($E1328,[2]Current!$A:$AC,12,FALSE)</f>
        <v>0</v>
      </c>
      <c r="BT1328" s="137">
        <f>BS1328/$AS1328</f>
        <v>0</v>
      </c>
      <c r="BU1328" s="130">
        <f>IF(BV1328&gt;0,1,0)</f>
        <v>0</v>
      </c>
      <c r="BV1328" s="128">
        <f>VLOOKUP($E1328,[2]Current!$A:$AC,13,FALSE)</f>
        <v>0</v>
      </c>
      <c r="BW1328" s="128">
        <f>BV1328/$AS1328</f>
        <v>0</v>
      </c>
      <c r="BX1328" s="130">
        <f>IF(BY1328&gt;0,1,0)</f>
        <v>0</v>
      </c>
      <c r="BY1328" s="128">
        <f>VLOOKUP($E1328,[2]Current!$A:$AC,14,FALSE)</f>
        <v>0</v>
      </c>
      <c r="BZ1328" s="128">
        <f>BY1328/$AS1328</f>
        <v>0</v>
      </c>
      <c r="CA1328" s="130">
        <f>IF(CB1328&gt;0,1,0)</f>
        <v>0</v>
      </c>
      <c r="CB1328" s="128">
        <f>VLOOKUP($E1328,[2]Current!$A:$AC,15,FALSE)</f>
        <v>0</v>
      </c>
      <c r="CC1328" s="128">
        <f>CB1328/$AS1328</f>
        <v>0</v>
      </c>
      <c r="CD1328" s="174">
        <f>IF(CE1328&gt;0,1,0)</f>
        <v>0</v>
      </c>
      <c r="CE1328" s="128">
        <f>VLOOKUP($E1328,[2]Current!$A:$AC,16,FALSE)</f>
        <v>0</v>
      </c>
      <c r="CF1328" s="128">
        <f>CE1328/$AS1328</f>
        <v>0</v>
      </c>
      <c r="CG1328" s="18"/>
      <c r="CH1328" s="18"/>
      <c r="CI1328" s="18"/>
      <c r="CJ1328" s="130">
        <f>IF(CK1328&gt;0,1,0)</f>
        <v>0</v>
      </c>
      <c r="CK1328" s="128">
        <f>VLOOKUP($E1328,[2]Current!$A:$AC,18,FALSE)</f>
        <v>0</v>
      </c>
      <c r="CL1328" s="128">
        <f>CK1328/$AS1328</f>
        <v>0</v>
      </c>
      <c r="CS1328" s="130">
        <f>IF(CU1328&gt;0,1,0)</f>
        <v>1</v>
      </c>
      <c r="CU1328" s="128">
        <f>VLOOKUP($E1328,[2]Current!$A:$AC,17,FALSE)</f>
        <v>1</v>
      </c>
      <c r="CV1328" s="128">
        <f>CU1328/$AS1328</f>
        <v>26.315789473684188</v>
      </c>
      <c r="CW1328" s="18"/>
      <c r="CX1328" s="18"/>
      <c r="CY1328" s="18"/>
      <c r="DF1328" s="16" t="e">
        <f>VLOOKUP(K1328,'[3]RNA Seq summary tables'!$V$3:$V$99,1,FALSE)</f>
        <v>#N/A</v>
      </c>
      <c r="DG1328" s="126" t="s">
        <v>116</v>
      </c>
    </row>
    <row r="1329" spans="1:288" ht="16" x14ac:dyDescent="0.2">
      <c r="A1329" s="18" t="s">
        <v>1287</v>
      </c>
      <c r="B1329" s="16">
        <v>2018</v>
      </c>
      <c r="C1329" s="124">
        <v>43260</v>
      </c>
      <c r="D1329" t="s">
        <v>778</v>
      </c>
      <c r="E1329" s="37" t="str">
        <f>CONCATENATE(T1329,"-",U1329,"-",C1329)</f>
        <v>HW2-D3-43260</v>
      </c>
      <c r="F1329" s="16" t="s">
        <v>227</v>
      </c>
      <c r="G1329" s="126" t="s">
        <v>107</v>
      </c>
      <c r="H1329" s="126"/>
      <c r="J1329" s="126">
        <v>1469</v>
      </c>
      <c r="K1329" s="126">
        <v>2424</v>
      </c>
      <c r="O1329" s="15" t="s">
        <v>214</v>
      </c>
      <c r="Q1329" s="16">
        <f t="shared" si="8"/>
        <v>0</v>
      </c>
      <c r="R1329" s="16" t="str">
        <f t="shared" si="7"/>
        <v/>
      </c>
      <c r="T1329" s="126" t="s">
        <v>129</v>
      </c>
      <c r="U1329" s="126" t="s">
        <v>149</v>
      </c>
      <c r="V1329" s="126" t="s">
        <v>114</v>
      </c>
      <c r="X1329" s="126" t="s">
        <v>121</v>
      </c>
      <c r="Y1329" s="126" t="s">
        <v>122</v>
      </c>
      <c r="Z1329" s="126">
        <v>2.6</v>
      </c>
      <c r="AA1329" s="126" t="s">
        <v>119</v>
      </c>
      <c r="AB1329" s="126" t="s">
        <v>123</v>
      </c>
      <c r="AC1329" s="126" t="s">
        <v>123</v>
      </c>
      <c r="AD1329" s="126"/>
      <c r="AE1329" s="126"/>
      <c r="AG1329" s="16">
        <f>AH1329-AI1329</f>
        <v>77</v>
      </c>
      <c r="AH1329" s="126">
        <v>142</v>
      </c>
      <c r="AI1329" s="126">
        <v>65</v>
      </c>
      <c r="AK1329" s="126">
        <v>15</v>
      </c>
      <c r="AL1329" s="126">
        <v>0</v>
      </c>
      <c r="AM1329" s="126">
        <v>0</v>
      </c>
      <c r="AN1329" s="126">
        <v>0</v>
      </c>
      <c r="AO1329" s="16">
        <f>IF(SUM(AL1329:AN1329)&gt;0,1,0)</f>
        <v>0</v>
      </c>
      <c r="AP1329" s="18">
        <f>SUM(AL1329:AN1329)</f>
        <v>0</v>
      </c>
      <c r="AR1329" s="16">
        <v>0.10000000000000009</v>
      </c>
      <c r="AS1329" s="16">
        <f>VLOOKUP(E1329,'[1]Feces weights'!$D$1:$H$459,5,FALSE)</f>
        <v>0.10000000000000009</v>
      </c>
      <c r="AT1329" s="16" t="str">
        <f>VLOOKUP(E1329,[2]Current!$A$1:$W$435,7,FALSE)</f>
        <v>DP</v>
      </c>
      <c r="AU1329" s="16" t="s">
        <v>1288</v>
      </c>
      <c r="AW1329" s="128">
        <f>IF(AX1329&gt;0,1,0)</f>
        <v>1</v>
      </c>
      <c r="AX1329" s="128">
        <f>SUM(BA1329,BM1329,CU1329)</f>
        <v>1</v>
      </c>
      <c r="AY1329" s="128">
        <f>SUM(BB1329,BN1329,CV1329)</f>
        <v>39.999999999999964</v>
      </c>
      <c r="AZ1329" s="128">
        <f>IF(BA1329&gt;0,1,0)</f>
        <v>1</v>
      </c>
      <c r="BA1329" s="128">
        <f>SUM(BC1329+BF1329+BI1329)</f>
        <v>1</v>
      </c>
      <c r="BB1329" s="128">
        <f>SUM(BE1329,BH1329,BK1329)</f>
        <v>39.999999999999964</v>
      </c>
      <c r="BC1329" s="130">
        <f>IF(BD1329&gt;0,1,0)</f>
        <v>0</v>
      </c>
      <c r="BD1329" s="128">
        <f>VLOOKUP($E1329,[2]Current!$A:$AC,26,FALSE)</f>
        <v>0</v>
      </c>
      <c r="BE1329" s="128">
        <f>BD1329/$AS1329</f>
        <v>0</v>
      </c>
      <c r="BF1329" s="130">
        <f>IF(BG1329&gt;0,1,0)</f>
        <v>1</v>
      </c>
      <c r="BG1329" s="137">
        <f>VLOOKUP($E1329,[2]Current!$A:$AC,27,FALSE)</f>
        <v>4</v>
      </c>
      <c r="BH1329" s="128">
        <f>BG1329/$AS1329</f>
        <v>39.999999999999964</v>
      </c>
      <c r="BI1329" s="130">
        <f>IF(BJ1329&gt;0,1,0)</f>
        <v>0</v>
      </c>
      <c r="BJ1329" s="128">
        <f>VLOOKUP($E1329,[2]Current!$A:$AC,28,FALSE)</f>
        <v>0</v>
      </c>
      <c r="BK1329" s="128">
        <f>BJ1329/$AS1329</f>
        <v>0</v>
      </c>
      <c r="BL1329" s="128">
        <f>IF(BM1329&gt;0,1,0)</f>
        <v>0</v>
      </c>
      <c r="BM1329" s="128">
        <f>SUM(BR1329,BU1329,BX1329,CA1329,CD1329)</f>
        <v>0</v>
      </c>
      <c r="BN1329" s="131">
        <f>SUM(BT1329,BW1329,BZ1329,CC1329,CF1329)</f>
        <v>0</v>
      </c>
      <c r="BO1329" s="128">
        <f>IF(BP1329&gt;0,1,0)</f>
        <v>0</v>
      </c>
      <c r="BP1329" s="128">
        <f>BM1329+CJ1329</f>
        <v>0</v>
      </c>
      <c r="BQ1329" s="128">
        <f>BN1329+CL1329</f>
        <v>0</v>
      </c>
      <c r="BR1329" s="130">
        <f>IF(BS1329&gt;0,1,0)</f>
        <v>0</v>
      </c>
      <c r="BS1329" s="128">
        <f>VLOOKUP($E1329,[2]Current!$A:$AC,12,FALSE)</f>
        <v>0</v>
      </c>
      <c r="BT1329" s="137">
        <f>BS1329/$AS1329</f>
        <v>0</v>
      </c>
      <c r="BU1329" s="130">
        <f>IF(BV1329&gt;0,1,0)</f>
        <v>0</v>
      </c>
      <c r="BV1329" s="128">
        <f>VLOOKUP($E1329,[2]Current!$A:$AC,13,FALSE)</f>
        <v>0</v>
      </c>
      <c r="BW1329" s="128">
        <f>BV1329/$AS1329</f>
        <v>0</v>
      </c>
      <c r="BX1329" s="130">
        <f>IF(BY1329&gt;0,1,0)</f>
        <v>0</v>
      </c>
      <c r="BY1329" s="128">
        <f>VLOOKUP($E1329,[2]Current!$A:$AC,14,FALSE)</f>
        <v>0</v>
      </c>
      <c r="BZ1329" s="128">
        <f>BY1329/$AS1329</f>
        <v>0</v>
      </c>
      <c r="CA1329" s="130">
        <f>IF(CB1329&gt;0,1,0)</f>
        <v>0</v>
      </c>
      <c r="CB1329" s="128">
        <f>VLOOKUP($E1329,[2]Current!$A:$AC,15,FALSE)</f>
        <v>0</v>
      </c>
      <c r="CC1329" s="128">
        <f>CB1329/$AS1329</f>
        <v>0</v>
      </c>
      <c r="CD1329" s="174">
        <f>IF(CE1329&gt;0,1,0)</f>
        <v>0</v>
      </c>
      <c r="CE1329" s="128">
        <f>VLOOKUP($E1329,[2]Current!$A:$AC,16,FALSE)</f>
        <v>0</v>
      </c>
      <c r="CF1329" s="128">
        <f>CE1329/$AS1329</f>
        <v>0</v>
      </c>
      <c r="CG1329" s="18"/>
      <c r="CH1329" s="18"/>
      <c r="CI1329" s="18"/>
      <c r="CJ1329" s="130">
        <f>IF(CK1329&gt;0,1,0)</f>
        <v>0</v>
      </c>
      <c r="CK1329" s="128">
        <f>VLOOKUP($E1329,[2]Current!$A:$AC,18,FALSE)</f>
        <v>0</v>
      </c>
      <c r="CL1329" s="128">
        <f>CK1329/$AS1329</f>
        <v>0</v>
      </c>
      <c r="CS1329" s="130">
        <f>IF(CU1329&gt;0,1,0)</f>
        <v>0</v>
      </c>
      <c r="CU1329" s="128">
        <f>VLOOKUP($E1329,[2]Current!$A:$AC,17,FALSE)</f>
        <v>0</v>
      </c>
      <c r="CV1329" s="128">
        <f>CU1329/$AS1329</f>
        <v>0</v>
      </c>
      <c r="DF1329" s="16" t="e">
        <f>VLOOKUP(K1329,'[3]RNA Seq summary tables'!$V$3:$V$99,1,FALSE)</f>
        <v>#N/A</v>
      </c>
      <c r="DG1329" s="126" t="s">
        <v>116</v>
      </c>
    </row>
    <row r="1330" spans="1:288" s="18" customFormat="1" ht="16" x14ac:dyDescent="0.2">
      <c r="B1330" s="16">
        <v>2018</v>
      </c>
      <c r="C1330" s="124">
        <v>43277</v>
      </c>
      <c r="D1330" t="s">
        <v>869</v>
      </c>
      <c r="E1330" s="37" t="str">
        <f>CONCATENATE(T1330,"-",U1330,"-",C1330)</f>
        <v>HW2-G4-43277</v>
      </c>
      <c r="F1330" s="16" t="s">
        <v>227</v>
      </c>
      <c r="G1330" s="126" t="s">
        <v>107</v>
      </c>
      <c r="H1330" s="126"/>
      <c r="I1330" s="16"/>
      <c r="J1330" s="126">
        <v>1469</v>
      </c>
      <c r="K1330" s="126">
        <v>2502</v>
      </c>
      <c r="L1330" s="16"/>
      <c r="M1330" s="21"/>
      <c r="N1330" s="21"/>
      <c r="O1330" s="15" t="s">
        <v>214</v>
      </c>
      <c r="P1330" s="16"/>
      <c r="Q1330" s="16">
        <f t="shared" si="8"/>
        <v>1</v>
      </c>
      <c r="R1330" s="16">
        <f t="shared" si="7"/>
        <v>17</v>
      </c>
      <c r="S1330" s="16"/>
      <c r="T1330" s="126" t="s">
        <v>129</v>
      </c>
      <c r="U1330" s="126" t="s">
        <v>173</v>
      </c>
      <c r="V1330" s="126" t="s">
        <v>114</v>
      </c>
      <c r="W1330" s="16"/>
      <c r="X1330" s="126" t="s">
        <v>121</v>
      </c>
      <c r="Y1330" s="126" t="s">
        <v>110</v>
      </c>
      <c r="Z1330" s="126">
        <v>3</v>
      </c>
      <c r="AA1330" s="126" t="s">
        <v>119</v>
      </c>
      <c r="AB1330" s="126" t="s">
        <v>123</v>
      </c>
      <c r="AC1330" s="126" t="s">
        <v>116</v>
      </c>
      <c r="AD1330" s="126"/>
      <c r="AE1330" s="126"/>
      <c r="AF1330" s="16"/>
      <c r="AG1330" s="16">
        <f>AH1330-AI1330</f>
        <v>77</v>
      </c>
      <c r="AH1330" s="126">
        <v>145</v>
      </c>
      <c r="AI1330" s="126">
        <v>68</v>
      </c>
      <c r="AJ1330" s="16"/>
      <c r="AK1330" s="126">
        <v>16.5</v>
      </c>
      <c r="AL1330" s="126">
        <v>0</v>
      </c>
      <c r="AM1330" s="126">
        <v>0</v>
      </c>
      <c r="AN1330" s="126">
        <v>0</v>
      </c>
      <c r="AO1330" s="16">
        <f>IF(SUM(AL1330:AN1330)&gt;0,1,0)</f>
        <v>0</v>
      </c>
      <c r="AP1330" s="18">
        <f>SUM(AL1330:AN1330)</f>
        <v>0</v>
      </c>
      <c r="AQ1330" s="16"/>
      <c r="AR1330" s="16">
        <v>0.32200000000000006</v>
      </c>
      <c r="AS1330" s="16">
        <f>VLOOKUP(E1330,'[1]Feces weights'!$D$1:$H$459,5,FALSE)</f>
        <v>0.32200000000000006</v>
      </c>
      <c r="AT1330" s="16" t="str">
        <f>VLOOKUP(E1330,[2]Current!$A$1:$W$435,7,FALSE)</f>
        <v>TE</v>
      </c>
      <c r="AU1330" s="16" t="s">
        <v>1288</v>
      </c>
      <c r="AV1330" s="16"/>
      <c r="AW1330" s="128">
        <f>IF(AX1330&gt;0,1,0)</f>
        <v>1</v>
      </c>
      <c r="AX1330" s="128">
        <f>SUM(BA1330,BM1330,CU1330)</f>
        <v>2</v>
      </c>
      <c r="AY1330" s="128">
        <f>SUM(BB1330,BN1330,CV1330)</f>
        <v>378.88198757763968</v>
      </c>
      <c r="AZ1330" s="128">
        <f>IF(BA1330&gt;0,1,0)</f>
        <v>1</v>
      </c>
      <c r="BA1330" s="128">
        <f>SUM(BC1330+BF1330+BI1330)</f>
        <v>2</v>
      </c>
      <c r="BB1330" s="128">
        <f>SUM(BE1330,BH1330,BK1330)</f>
        <v>378.88198757763968</v>
      </c>
      <c r="BC1330" s="130">
        <f>IF(BD1330&gt;0,1,0)</f>
        <v>0</v>
      </c>
      <c r="BD1330" s="128">
        <f>VLOOKUP($E1330,[2]Current!$A:$AC,26,FALSE)</f>
        <v>0</v>
      </c>
      <c r="BE1330" s="128">
        <f>BD1330/$AS1330</f>
        <v>0</v>
      </c>
      <c r="BF1330" s="130">
        <f>IF(BG1330&gt;0,1,0)</f>
        <v>1</v>
      </c>
      <c r="BG1330" s="137">
        <f>VLOOKUP($E1330,[2]Current!$A:$AC,27,FALSE)</f>
        <v>38</v>
      </c>
      <c r="BH1330" s="128">
        <f>BG1330/$AS1330</f>
        <v>118.01242236024842</v>
      </c>
      <c r="BI1330" s="130">
        <f>IF(BJ1330&gt;0,1,0)</f>
        <v>1</v>
      </c>
      <c r="BJ1330" s="128">
        <f>VLOOKUP($E1330,[2]Current!$A:$AC,28,FALSE)</f>
        <v>84</v>
      </c>
      <c r="BK1330" s="128">
        <f>BJ1330/$AS1330</f>
        <v>260.86956521739125</v>
      </c>
      <c r="BL1330" s="128">
        <f>IF(BM1330&gt;0,1,0)</f>
        <v>0</v>
      </c>
      <c r="BM1330" s="128">
        <f>SUM(BR1330,BU1330,BX1330,CA1330,CD1330)</f>
        <v>0</v>
      </c>
      <c r="BN1330" s="131">
        <f>SUM(BT1330,BW1330,BZ1330,CC1330,CF1330)</f>
        <v>0</v>
      </c>
      <c r="BO1330" s="128">
        <f>IF(BP1330&gt;0,1,0)</f>
        <v>0</v>
      </c>
      <c r="BP1330" s="128">
        <f>BM1330+CJ1330</f>
        <v>0</v>
      </c>
      <c r="BQ1330" s="128">
        <f>BN1330+CL1330</f>
        <v>0</v>
      </c>
      <c r="BR1330" s="130">
        <f>IF(BS1330&gt;0,1,0)</f>
        <v>0</v>
      </c>
      <c r="BS1330" s="128">
        <f>VLOOKUP($E1330,[2]Current!$A:$AC,12,FALSE)</f>
        <v>0</v>
      </c>
      <c r="BT1330" s="137">
        <f>BS1330/$AS1330</f>
        <v>0</v>
      </c>
      <c r="BU1330" s="130">
        <f>IF(BV1330&gt;0,1,0)</f>
        <v>0</v>
      </c>
      <c r="BV1330" s="128">
        <f>VLOOKUP($E1330,[2]Current!$A:$AC,13,FALSE)</f>
        <v>0</v>
      </c>
      <c r="BW1330" s="128">
        <f>BV1330/$AS1330</f>
        <v>0</v>
      </c>
      <c r="BX1330" s="130">
        <f>IF(BY1330&gt;0,1,0)</f>
        <v>0</v>
      </c>
      <c r="BY1330" s="128">
        <f>VLOOKUP($E1330,[2]Current!$A:$AC,14,FALSE)</f>
        <v>0</v>
      </c>
      <c r="BZ1330" s="128">
        <f>BY1330/$AS1330</f>
        <v>0</v>
      </c>
      <c r="CA1330" s="130">
        <f>IF(CB1330&gt;0,1,0)</f>
        <v>0</v>
      </c>
      <c r="CB1330" s="128">
        <f>VLOOKUP($E1330,[2]Current!$A:$AC,15,FALSE)</f>
        <v>0</v>
      </c>
      <c r="CC1330" s="128">
        <f>CB1330/$AS1330</f>
        <v>0</v>
      </c>
      <c r="CD1330" s="174">
        <f>IF(CE1330&gt;0,1,0)</f>
        <v>0</v>
      </c>
      <c r="CE1330" s="128">
        <f>VLOOKUP($E1330,[2]Current!$A:$AC,16,FALSE)</f>
        <v>0</v>
      </c>
      <c r="CF1330" s="128">
        <f>CE1330/$AS1330</f>
        <v>0</v>
      </c>
      <c r="CJ1330" s="130">
        <f>IF(CK1330&gt;0,1,0)</f>
        <v>0</v>
      </c>
      <c r="CK1330" s="128">
        <f>VLOOKUP($E1330,[2]Current!$A:$AC,18,FALSE)</f>
        <v>0</v>
      </c>
      <c r="CL1330" s="128">
        <f>CK1330/$AS1330</f>
        <v>0</v>
      </c>
      <c r="CM1330" s="16"/>
      <c r="CN1330" s="16"/>
      <c r="CO1330" s="16"/>
      <c r="CP1330" s="16"/>
      <c r="CQ1330" s="16"/>
      <c r="CR1330" s="16"/>
      <c r="CS1330" s="130">
        <f>IF(CU1330&gt;0,1,0)</f>
        <v>0</v>
      </c>
      <c r="CT1330" s="16"/>
      <c r="CU1330" s="128">
        <f>VLOOKUP($E1330,[2]Current!$A:$AC,17,FALSE)</f>
        <v>0</v>
      </c>
      <c r="CV1330" s="128">
        <f>CU1330/$AS1330</f>
        <v>0</v>
      </c>
      <c r="CZ1330" s="16"/>
      <c r="DA1330" s="16"/>
      <c r="DB1330" s="16"/>
      <c r="DC1330" s="16"/>
      <c r="DD1330" s="16"/>
      <c r="DE1330" s="16"/>
      <c r="DF1330" s="16" t="e">
        <f>VLOOKUP(K1330,'[3]RNA Seq summary tables'!$V$3:$V$99,1,FALSE)</f>
        <v>#N/A</v>
      </c>
      <c r="DG1330" s="126" t="s">
        <v>116</v>
      </c>
      <c r="DH1330" s="16"/>
      <c r="DI1330" s="16"/>
      <c r="DJ1330" s="16"/>
      <c r="DK1330" s="16"/>
      <c r="DL1330" s="16"/>
      <c r="DM1330" s="16"/>
      <c r="DN1330" s="16"/>
      <c r="DO1330" s="16"/>
      <c r="DP1330" s="16"/>
      <c r="DQ1330" s="16"/>
      <c r="DR1330" s="16"/>
      <c r="DS1330" s="16"/>
      <c r="JO1330" s="16"/>
      <c r="JP1330" s="16"/>
      <c r="JQ1330" s="16"/>
      <c r="JR1330" s="16"/>
      <c r="JS1330" s="16"/>
      <c r="JT1330" s="16"/>
      <c r="JU1330" s="16"/>
      <c r="JV1330" s="16"/>
      <c r="JW1330" s="16"/>
      <c r="JX1330" s="16"/>
      <c r="JY1330" s="16"/>
      <c r="JZ1330" s="16"/>
      <c r="KA1330" s="16"/>
      <c r="KB1330" s="16"/>
    </row>
    <row r="1331" spans="1:288" ht="16" x14ac:dyDescent="0.2">
      <c r="B1331" s="16">
        <v>2018</v>
      </c>
      <c r="C1331" s="124">
        <v>43248</v>
      </c>
      <c r="D1331" t="s">
        <v>742</v>
      </c>
      <c r="E1331" s="37" t="str">
        <f>CONCATENATE(T1331,"-",U1331,"-",C1331)</f>
        <v>PO1-C2-43248</v>
      </c>
      <c r="F1331" s="16" t="s">
        <v>227</v>
      </c>
      <c r="G1331" s="126" t="s">
        <v>107</v>
      </c>
      <c r="H1331" s="126"/>
      <c r="J1331" s="126">
        <v>1471</v>
      </c>
      <c r="K1331" s="126">
        <v>2384</v>
      </c>
      <c r="O1331" s="15" t="s">
        <v>214</v>
      </c>
      <c r="Q1331" s="16">
        <f t="shared" si="8"/>
        <v>0</v>
      </c>
      <c r="R1331" s="16" t="str">
        <f t="shared" si="7"/>
        <v/>
      </c>
      <c r="T1331" s="126" t="s">
        <v>112</v>
      </c>
      <c r="U1331" s="126" t="s">
        <v>162</v>
      </c>
      <c r="V1331" s="133" t="s">
        <v>142</v>
      </c>
      <c r="X1331" s="126" t="s">
        <v>121</v>
      </c>
      <c r="Y1331" s="126" t="s">
        <v>110</v>
      </c>
      <c r="Z1331" s="126">
        <v>3</v>
      </c>
      <c r="AA1331" s="126" t="s">
        <v>119</v>
      </c>
      <c r="AB1331" s="126" t="s">
        <v>123</v>
      </c>
      <c r="AC1331" s="126" t="s">
        <v>116</v>
      </c>
      <c r="AD1331" s="126"/>
      <c r="AE1331" s="126"/>
      <c r="AG1331" s="16">
        <f>AH1331-AI1331</f>
        <v>80</v>
      </c>
      <c r="AH1331" s="126">
        <v>163</v>
      </c>
      <c r="AI1331" s="126">
        <v>83</v>
      </c>
      <c r="AK1331" s="126">
        <v>13.5</v>
      </c>
      <c r="AL1331" s="126">
        <v>0</v>
      </c>
      <c r="AM1331" s="126">
        <v>0</v>
      </c>
      <c r="AN1331" s="126">
        <v>0</v>
      </c>
      <c r="AO1331" s="16">
        <f>IF(SUM(AL1331:AN1331)&gt;0,1,0)</f>
        <v>0</v>
      </c>
      <c r="AP1331" s="18">
        <f>SUM(AL1331:AN1331)</f>
        <v>0</v>
      </c>
      <c r="AR1331" s="16">
        <v>0.3580000000000001</v>
      </c>
      <c r="AS1331" s="16">
        <f>VLOOKUP(E1331,'[1]Feces weights'!$D$1:$H$459,5,FALSE)</f>
        <v>0.3580000000000001</v>
      </c>
      <c r="AT1331" s="16" t="str">
        <f>VLOOKUP(E1331,[2]Current!$A$1:$W$435,7,FALSE)</f>
        <v>DP</v>
      </c>
      <c r="AU1331" s="16" t="s">
        <v>1288</v>
      </c>
      <c r="AW1331" s="128">
        <f>IF(AX1331&gt;0,1,0)</f>
        <v>1</v>
      </c>
      <c r="AX1331" s="128">
        <f>SUM(BA1331,BM1331,CU1331)</f>
        <v>1</v>
      </c>
      <c r="AY1331" s="128">
        <f>SUM(BB1331,BN1331,CV1331)</f>
        <v>424.58100558659208</v>
      </c>
      <c r="AZ1331" s="128">
        <f>IF(BA1331&gt;0,1,0)</f>
        <v>1</v>
      </c>
      <c r="BA1331" s="128">
        <f>SUM(BC1331+BF1331+BI1331)</f>
        <v>1</v>
      </c>
      <c r="BB1331" s="128">
        <f>SUM(BE1331,BH1331,BK1331)</f>
        <v>424.58100558659208</v>
      </c>
      <c r="BC1331" s="130">
        <f>IF(BD1331&gt;0,1,0)</f>
        <v>0</v>
      </c>
      <c r="BD1331" s="128">
        <f>VLOOKUP($E1331,[2]Current!$A:$AC,26,FALSE)</f>
        <v>0</v>
      </c>
      <c r="BE1331" s="128">
        <f>BD1331/$AS1331</f>
        <v>0</v>
      </c>
      <c r="BF1331" s="130">
        <f>IF(BG1331&gt;0,1,0)</f>
        <v>1</v>
      </c>
      <c r="BG1331" s="137">
        <f>VLOOKUP($E1331,[2]Current!$A:$AC,27,FALSE)</f>
        <v>152</v>
      </c>
      <c r="BH1331" s="128">
        <f>BG1331/$AS1331</f>
        <v>424.58100558659208</v>
      </c>
      <c r="BI1331" s="130">
        <f>IF(BJ1331&gt;0,1,0)</f>
        <v>0</v>
      </c>
      <c r="BJ1331" s="128">
        <f>VLOOKUP($E1331,[2]Current!$A:$AC,28,FALSE)</f>
        <v>0</v>
      </c>
      <c r="BK1331" s="128">
        <f>BJ1331/$AS1331</f>
        <v>0</v>
      </c>
      <c r="BL1331" s="128">
        <f>IF(BM1331&gt;0,1,0)</f>
        <v>0</v>
      </c>
      <c r="BM1331" s="128">
        <f>SUM(BR1331,BU1331,BX1331,CA1331,CD1331)</f>
        <v>0</v>
      </c>
      <c r="BN1331" s="131">
        <f>SUM(BT1331,BW1331,BZ1331,CC1331,CF1331)</f>
        <v>0</v>
      </c>
      <c r="BO1331" s="128">
        <f>IF(BP1331&gt;0,1,0)</f>
        <v>0</v>
      </c>
      <c r="BP1331" s="128">
        <f>BM1331+CJ1331</f>
        <v>0</v>
      </c>
      <c r="BQ1331" s="128">
        <f>BN1331+CL1331</f>
        <v>0</v>
      </c>
      <c r="BR1331" s="130">
        <f>IF(BS1331&gt;0,1,0)</f>
        <v>0</v>
      </c>
      <c r="BS1331" s="128">
        <f>VLOOKUP($E1331,[2]Current!$A:$AC,12,FALSE)</f>
        <v>0</v>
      </c>
      <c r="BT1331" s="137">
        <f>BS1331/$AS1331</f>
        <v>0</v>
      </c>
      <c r="BU1331" s="130">
        <f>IF(BV1331&gt;0,1,0)</f>
        <v>0</v>
      </c>
      <c r="BV1331" s="128">
        <f>VLOOKUP($E1331,[2]Current!$A:$AC,13,FALSE)</f>
        <v>0</v>
      </c>
      <c r="BW1331" s="128">
        <f>BV1331/$AS1331</f>
        <v>0</v>
      </c>
      <c r="BX1331" s="130">
        <f>IF(BY1331&gt;0,1,0)</f>
        <v>0</v>
      </c>
      <c r="BY1331" s="128">
        <f>VLOOKUP($E1331,[2]Current!$A:$AC,14,FALSE)</f>
        <v>0</v>
      </c>
      <c r="BZ1331" s="128">
        <f>BY1331/$AS1331</f>
        <v>0</v>
      </c>
      <c r="CA1331" s="130">
        <f>IF(CB1331&gt;0,1,0)</f>
        <v>0</v>
      </c>
      <c r="CB1331" s="128">
        <f>VLOOKUP($E1331,[2]Current!$A:$AC,15,FALSE)</f>
        <v>0</v>
      </c>
      <c r="CC1331" s="128">
        <f>CB1331/$AS1331</f>
        <v>0</v>
      </c>
      <c r="CD1331" s="174">
        <f>IF(CE1331&gt;0,1,0)</f>
        <v>0</v>
      </c>
      <c r="CE1331" s="128">
        <f>VLOOKUP($E1331,[2]Current!$A:$AC,16,FALSE)</f>
        <v>0</v>
      </c>
      <c r="CF1331" s="128">
        <f>CE1331/$AS1331</f>
        <v>0</v>
      </c>
      <c r="CG1331" s="18"/>
      <c r="CH1331" s="18"/>
      <c r="CI1331" s="18"/>
      <c r="CJ1331" s="130">
        <f>IF(CK1331&gt;0,1,0)</f>
        <v>0</v>
      </c>
      <c r="CK1331" s="128">
        <f>VLOOKUP($E1331,[2]Current!$A:$AC,18,FALSE)</f>
        <v>0</v>
      </c>
      <c r="CL1331" s="128">
        <f>CK1331/$AS1331</f>
        <v>0</v>
      </c>
      <c r="CS1331" s="130">
        <f>IF(CU1331&gt;0,1,0)</f>
        <v>0</v>
      </c>
      <c r="CU1331" s="128">
        <f>VLOOKUP($E1331,[2]Current!$A:$AC,17,FALSE)</f>
        <v>0</v>
      </c>
      <c r="CV1331" s="128">
        <f>CU1331/$AS1331</f>
        <v>0</v>
      </c>
      <c r="CW1331" s="18"/>
      <c r="CX1331" s="18"/>
      <c r="CY1331" s="18"/>
      <c r="DF1331" s="16" t="e">
        <f>VLOOKUP(K1331,'[3]RNA Seq summary tables'!$V$3:$V$99,1,FALSE)</f>
        <v>#N/A</v>
      </c>
      <c r="DG1331" s="126" t="s">
        <v>123</v>
      </c>
    </row>
    <row r="1332" spans="1:288" s="60" customFormat="1" ht="16" x14ac:dyDescent="0.2">
      <c r="A1332" s="18"/>
      <c r="B1332" s="16">
        <v>2018</v>
      </c>
      <c r="C1332" s="124">
        <v>43266</v>
      </c>
      <c r="D1332" t="s">
        <v>806</v>
      </c>
      <c r="E1332" s="37" t="str">
        <f>CONCATENATE(T1332,"-",U1332,"-",C1332)</f>
        <v>PO1-D3-43266</v>
      </c>
      <c r="F1332" s="16" t="s">
        <v>227</v>
      </c>
      <c r="G1332" s="126" t="s">
        <v>107</v>
      </c>
      <c r="H1332" s="126"/>
      <c r="I1332" s="16"/>
      <c r="J1332" s="126">
        <v>1471</v>
      </c>
      <c r="K1332" s="126">
        <v>2441</v>
      </c>
      <c r="L1332" s="16"/>
      <c r="M1332" s="21"/>
      <c r="N1332" s="21"/>
      <c r="O1332" s="15" t="s">
        <v>214</v>
      </c>
      <c r="P1332" s="16"/>
      <c r="Q1332" s="16">
        <f t="shared" si="8"/>
        <v>1</v>
      </c>
      <c r="R1332" s="16">
        <f t="shared" si="7"/>
        <v>18</v>
      </c>
      <c r="S1332" s="16"/>
      <c r="T1332" s="126" t="s">
        <v>112</v>
      </c>
      <c r="U1332" s="126" t="s">
        <v>149</v>
      </c>
      <c r="V1332" s="133" t="s">
        <v>142</v>
      </c>
      <c r="W1332" s="16"/>
      <c r="X1332" s="126" t="s">
        <v>121</v>
      </c>
      <c r="Y1332" s="126" t="s">
        <v>110</v>
      </c>
      <c r="Z1332" s="126">
        <v>3</v>
      </c>
      <c r="AA1332" s="126" t="s">
        <v>119</v>
      </c>
      <c r="AB1332" s="126" t="s">
        <v>123</v>
      </c>
      <c r="AC1332" s="126" t="s">
        <v>116</v>
      </c>
      <c r="AD1332" s="126"/>
      <c r="AE1332" s="126"/>
      <c r="AF1332" s="16"/>
      <c r="AG1332" s="16">
        <f>AH1332-AI1332</f>
        <v>85</v>
      </c>
      <c r="AH1332" s="126">
        <v>169</v>
      </c>
      <c r="AI1332" s="126">
        <v>84</v>
      </c>
      <c r="AJ1332" s="16"/>
      <c r="AK1332" s="126">
        <v>15.5</v>
      </c>
      <c r="AL1332" s="126">
        <v>0</v>
      </c>
      <c r="AM1332" s="126">
        <v>0</v>
      </c>
      <c r="AN1332" s="126">
        <v>0</v>
      </c>
      <c r="AO1332" s="16">
        <f>IF(SUM(AL1332:AN1332)&gt;0,1,0)</f>
        <v>0</v>
      </c>
      <c r="AP1332" s="18">
        <f>SUM(AL1332:AN1332)</f>
        <v>0</v>
      </c>
      <c r="AQ1332" s="16"/>
      <c r="AR1332" s="16">
        <v>0.38700000000000001</v>
      </c>
      <c r="AS1332" s="16">
        <f>VLOOKUP(E1332,'[1]Feces weights'!$D$1:$H$459,5,FALSE)</f>
        <v>0.38700000000000001</v>
      </c>
      <c r="AT1332" s="16" t="str">
        <f>VLOOKUP(E1332,[2]Current!$A$1:$W$435,7,FALSE)</f>
        <v>TE</v>
      </c>
      <c r="AU1332" s="16" t="s">
        <v>1288</v>
      </c>
      <c r="AV1332" s="23">
        <v>1</v>
      </c>
      <c r="AW1332" s="128">
        <f>IF(AX1332&gt;0,1,0)</f>
        <v>0</v>
      </c>
      <c r="AX1332" s="128">
        <f>SUM(BA1332,BM1332,CU1332)</f>
        <v>0</v>
      </c>
      <c r="AY1332" s="128">
        <f>SUM(BB1332,BN1332,CV1332)</f>
        <v>0</v>
      </c>
      <c r="AZ1332" s="128">
        <f>IF(BA1332&gt;0,1,0)</f>
        <v>0</v>
      </c>
      <c r="BA1332" s="128">
        <f>SUM(BC1332+BF1332+BI1332)</f>
        <v>0</v>
      </c>
      <c r="BB1332" s="128">
        <f>SUM(BE1332,BH1332,BK1332)</f>
        <v>0</v>
      </c>
      <c r="BC1332" s="130">
        <f>IF(BD1332&gt;0,1,0)</f>
        <v>0</v>
      </c>
      <c r="BD1332" s="128">
        <f>VLOOKUP($E1332,[2]Current!$A:$AC,26,FALSE)</f>
        <v>0</v>
      </c>
      <c r="BE1332" s="128">
        <f>BD1332/$AS1332</f>
        <v>0</v>
      </c>
      <c r="BF1332" s="130">
        <f>IF(BG1332&gt;0,1,0)</f>
        <v>0</v>
      </c>
      <c r="BG1332" s="137">
        <f>VLOOKUP($E1332,[2]Current!$A:$AC,27,FALSE)</f>
        <v>0</v>
      </c>
      <c r="BH1332" s="128">
        <f>BG1332/$AS1332</f>
        <v>0</v>
      </c>
      <c r="BI1332" s="130">
        <f>IF(BJ1332&gt;0,1,0)</f>
        <v>0</v>
      </c>
      <c r="BJ1332" s="128">
        <f>VLOOKUP($E1332,[2]Current!$A:$AC,28,FALSE)</f>
        <v>0</v>
      </c>
      <c r="BK1332" s="128">
        <f>BJ1332/$AS1332</f>
        <v>0</v>
      </c>
      <c r="BL1332" s="128">
        <f>IF(BM1332&gt;0,1,0)</f>
        <v>0</v>
      </c>
      <c r="BM1332" s="128">
        <f>SUM(BR1332,BU1332,BX1332,CA1332,CD1332)</f>
        <v>0</v>
      </c>
      <c r="BN1332" s="131">
        <f>SUM(BT1332,BW1332,BZ1332,CC1332,CF1332)</f>
        <v>0</v>
      </c>
      <c r="BO1332" s="128">
        <f>IF(BP1332&gt;0,1,0)</f>
        <v>0</v>
      </c>
      <c r="BP1332" s="128">
        <f>BM1332+CJ1332</f>
        <v>0</v>
      </c>
      <c r="BQ1332" s="128">
        <f>BN1332+CL1332</f>
        <v>0</v>
      </c>
      <c r="BR1332" s="130">
        <f>IF(BS1332&gt;0,1,0)</f>
        <v>0</v>
      </c>
      <c r="BS1332" s="128">
        <f>VLOOKUP($E1332,[2]Current!$A:$AC,12,FALSE)</f>
        <v>0</v>
      </c>
      <c r="BT1332" s="137">
        <f>BS1332/$AS1332</f>
        <v>0</v>
      </c>
      <c r="BU1332" s="130">
        <f>IF(BV1332&gt;0,1,0)</f>
        <v>0</v>
      </c>
      <c r="BV1332" s="128">
        <f>VLOOKUP($E1332,[2]Current!$A:$AC,13,FALSE)</f>
        <v>0</v>
      </c>
      <c r="BW1332" s="128">
        <f>BV1332/$AS1332</f>
        <v>0</v>
      </c>
      <c r="BX1332" s="130">
        <f>IF(BY1332&gt;0,1,0)</f>
        <v>0</v>
      </c>
      <c r="BY1332" s="128">
        <f>VLOOKUP($E1332,[2]Current!$A:$AC,14,FALSE)</f>
        <v>0</v>
      </c>
      <c r="BZ1332" s="128">
        <f>BY1332/$AS1332</f>
        <v>0</v>
      </c>
      <c r="CA1332" s="130">
        <f>IF(CB1332&gt;0,1,0)</f>
        <v>0</v>
      </c>
      <c r="CB1332" s="128">
        <f>VLOOKUP($E1332,[2]Current!$A:$AC,15,FALSE)</f>
        <v>0</v>
      </c>
      <c r="CC1332" s="128">
        <f>CB1332/$AS1332</f>
        <v>0</v>
      </c>
      <c r="CD1332" s="174">
        <f>IF(CE1332&gt;0,1,0)</f>
        <v>0</v>
      </c>
      <c r="CE1332" s="128">
        <f>VLOOKUP($E1332,[2]Current!$A:$AC,16,FALSE)</f>
        <v>0</v>
      </c>
      <c r="CF1332" s="128">
        <f>CE1332/$AS1332</f>
        <v>0</v>
      </c>
      <c r="CG1332" s="18"/>
      <c r="CH1332" s="18"/>
      <c r="CI1332" s="18"/>
      <c r="CJ1332" s="130">
        <f>IF(CK1332&gt;0,1,0)</f>
        <v>0</v>
      </c>
      <c r="CK1332" s="128">
        <f>VLOOKUP($E1332,[2]Current!$A:$AC,18,FALSE)</f>
        <v>0</v>
      </c>
      <c r="CL1332" s="128">
        <f>CK1332/$AS1332</f>
        <v>0</v>
      </c>
      <c r="CM1332" s="16"/>
      <c r="CN1332" s="16"/>
      <c r="CO1332" s="16"/>
      <c r="CP1332" s="16"/>
      <c r="CQ1332" s="16"/>
      <c r="CR1332" s="16"/>
      <c r="CS1332" s="130">
        <f>IF(CU1332&gt;0,1,0)</f>
        <v>0</v>
      </c>
      <c r="CT1332" s="16"/>
      <c r="CU1332" s="128">
        <f>VLOOKUP($E1332,[2]Current!$A:$AC,17,FALSE)</f>
        <v>0</v>
      </c>
      <c r="CV1332" s="128">
        <f>CU1332/$AS1332</f>
        <v>0</v>
      </c>
      <c r="CW1332" s="18"/>
      <c r="CX1332" s="18"/>
      <c r="CY1332" s="18"/>
      <c r="CZ1332" s="16"/>
      <c r="DA1332" s="16"/>
      <c r="DB1332" s="16"/>
      <c r="DC1332" s="16"/>
      <c r="DD1332" s="16"/>
      <c r="DE1332" s="16"/>
      <c r="DF1332" s="16" t="e">
        <f>VLOOKUP(K1332,'[3]RNA Seq summary tables'!$V$3:$V$99,1,FALSE)</f>
        <v>#N/A</v>
      </c>
      <c r="DG1332" s="126" t="s">
        <v>116</v>
      </c>
      <c r="DH1332" s="16"/>
      <c r="DI1332" s="16"/>
      <c r="DJ1332" s="16"/>
      <c r="DK1332" s="16"/>
      <c r="DL1332" s="16"/>
      <c r="DM1332" s="16"/>
      <c r="DN1332" s="16"/>
      <c r="DO1332" s="16"/>
      <c r="DP1332" s="16"/>
      <c r="DQ1332" s="16"/>
      <c r="DR1332" s="16"/>
      <c r="DS1332" s="16"/>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18"/>
      <c r="EQ1332" s="18"/>
      <c r="ER1332" s="18"/>
      <c r="ES1332" s="18"/>
      <c r="ET1332" s="18"/>
      <c r="EU1332" s="18"/>
      <c r="EV1332" s="18"/>
      <c r="EW1332" s="18"/>
      <c r="EX1332" s="18"/>
      <c r="EY1332" s="18"/>
      <c r="EZ1332" s="18"/>
      <c r="FA1332" s="18"/>
      <c r="FB1332" s="18"/>
      <c r="FC1332" s="18"/>
      <c r="FD1332" s="18"/>
      <c r="FE1332" s="18"/>
      <c r="FF1332" s="18"/>
      <c r="FG1332" s="18"/>
      <c r="FH1332" s="18"/>
      <c r="FI1332" s="18"/>
      <c r="FJ1332" s="18"/>
      <c r="FK1332" s="18"/>
      <c r="FL1332" s="18"/>
      <c r="FM1332" s="18"/>
      <c r="FN1332" s="18"/>
      <c r="FO1332" s="18"/>
      <c r="FP1332" s="18"/>
      <c r="FQ1332" s="18"/>
      <c r="FR1332" s="18"/>
      <c r="FS1332" s="18"/>
      <c r="FT1332" s="18"/>
      <c r="FU1332" s="18"/>
      <c r="FV1332" s="18"/>
      <c r="FW1332" s="18"/>
      <c r="FX1332" s="18"/>
      <c r="FY1332" s="18"/>
      <c r="FZ1332" s="18"/>
      <c r="GA1332" s="18"/>
      <c r="GB1332" s="18"/>
      <c r="GC1332" s="18"/>
      <c r="GD1332" s="18"/>
      <c r="GE1332" s="18"/>
      <c r="GF1332" s="18"/>
      <c r="GG1332" s="18"/>
      <c r="GH1332" s="18"/>
      <c r="GI1332" s="18"/>
      <c r="GJ1332" s="18"/>
      <c r="GK1332" s="18"/>
      <c r="GL1332" s="18"/>
      <c r="GM1332" s="18"/>
      <c r="GN1332" s="18"/>
      <c r="GO1332" s="18"/>
      <c r="GP1332" s="18"/>
      <c r="GQ1332" s="18"/>
      <c r="GR1332" s="18"/>
      <c r="GS1332" s="18"/>
      <c r="GT1332" s="18"/>
      <c r="GU1332" s="18"/>
      <c r="GV1332" s="18"/>
      <c r="GW1332" s="18"/>
      <c r="GX1332" s="18"/>
      <c r="GY1332" s="18"/>
      <c r="GZ1332" s="18"/>
      <c r="HA1332" s="18"/>
      <c r="HB1332" s="18"/>
      <c r="HC1332" s="18"/>
      <c r="HD1332" s="18"/>
      <c r="HE1332" s="18"/>
      <c r="HF1332" s="18"/>
      <c r="HG1332" s="18"/>
      <c r="HH1332" s="18"/>
      <c r="HI1332" s="18"/>
      <c r="HJ1332" s="18"/>
      <c r="HK1332" s="18"/>
      <c r="HL1332" s="18"/>
      <c r="HM1332" s="18"/>
      <c r="HN1332" s="18"/>
      <c r="HO1332" s="18"/>
      <c r="HP1332" s="18"/>
      <c r="HQ1332" s="18"/>
      <c r="HR1332" s="18"/>
      <c r="HS1332" s="18"/>
      <c r="HT1332" s="18"/>
      <c r="HU1332" s="18"/>
      <c r="HV1332" s="18"/>
      <c r="HW1332" s="18"/>
      <c r="HX1332" s="18"/>
      <c r="HY1332" s="18"/>
      <c r="HZ1332" s="18"/>
      <c r="IA1332" s="18"/>
      <c r="IB1332" s="18"/>
      <c r="IC1332" s="18"/>
      <c r="ID1332" s="18"/>
      <c r="IE1332" s="18"/>
      <c r="IF1332" s="18"/>
      <c r="IG1332" s="18"/>
      <c r="IH1332" s="18"/>
      <c r="II1332" s="18"/>
      <c r="IJ1332" s="18"/>
      <c r="IK1332" s="18"/>
      <c r="IL1332" s="18"/>
      <c r="IM1332" s="18"/>
      <c r="IN1332" s="18"/>
      <c r="IO1332" s="18"/>
      <c r="IP1332" s="18"/>
      <c r="IQ1332" s="18"/>
      <c r="IR1332" s="18"/>
      <c r="IS1332" s="18"/>
      <c r="IT1332" s="18"/>
      <c r="IU1332" s="18"/>
      <c r="IV1332" s="18"/>
      <c r="IW1332" s="18"/>
      <c r="IX1332" s="18"/>
      <c r="IY1332" s="18"/>
      <c r="IZ1332" s="18"/>
      <c r="JA1332" s="18"/>
      <c r="JB1332" s="18"/>
      <c r="JC1332" s="18"/>
      <c r="JD1332" s="18"/>
      <c r="JE1332" s="18"/>
      <c r="JF1332" s="18"/>
      <c r="JG1332" s="18"/>
      <c r="JH1332" s="18"/>
      <c r="JI1332" s="18"/>
      <c r="JJ1332" s="18"/>
      <c r="JK1332" s="18"/>
      <c r="JL1332" s="18"/>
      <c r="JM1332" s="18"/>
      <c r="JN1332" s="18"/>
      <c r="JO1332" s="16"/>
      <c r="JP1332" s="16"/>
      <c r="JQ1332" s="16"/>
      <c r="JR1332" s="16"/>
      <c r="JS1332" s="16"/>
      <c r="JT1332" s="16"/>
      <c r="JU1332" s="16"/>
      <c r="JV1332" s="16"/>
      <c r="JW1332" s="16"/>
      <c r="JX1332" s="16"/>
      <c r="JY1332" s="16"/>
      <c r="JZ1332" s="16"/>
      <c r="KA1332" s="16"/>
      <c r="KB1332" s="16"/>
    </row>
    <row r="1333" spans="1:288" s="60" customFormat="1" ht="16" x14ac:dyDescent="0.2">
      <c r="A1333" s="18"/>
      <c r="B1333" s="16">
        <v>2018</v>
      </c>
      <c r="C1333" s="124">
        <v>43283</v>
      </c>
      <c r="D1333" t="s">
        <v>891</v>
      </c>
      <c r="E1333" s="37" t="str">
        <f>CONCATENATE(T1333,"-",U1333,"-",C1333)</f>
        <v>PO1-C1-43283</v>
      </c>
      <c r="F1333" s="16" t="s">
        <v>227</v>
      </c>
      <c r="G1333" s="126" t="s">
        <v>107</v>
      </c>
      <c r="H1333" s="126" t="s">
        <v>1125</v>
      </c>
      <c r="I1333" s="23"/>
      <c r="J1333" s="126">
        <v>1471</v>
      </c>
      <c r="K1333" s="126">
        <v>2537</v>
      </c>
      <c r="L1333" s="23"/>
      <c r="M1333" s="21"/>
      <c r="N1333" s="21"/>
      <c r="O1333" s="15" t="s">
        <v>214</v>
      </c>
      <c r="P1333" s="16"/>
      <c r="Q1333" s="16">
        <f t="shared" si="8"/>
        <v>1</v>
      </c>
      <c r="R1333" s="16">
        <f t="shared" si="7"/>
        <v>17</v>
      </c>
      <c r="S1333" s="23"/>
      <c r="T1333" s="126" t="s">
        <v>112</v>
      </c>
      <c r="U1333" s="126" t="s">
        <v>150</v>
      </c>
      <c r="V1333" s="133" t="s">
        <v>142</v>
      </c>
      <c r="W1333" s="23"/>
      <c r="X1333" s="126" t="s">
        <v>121</v>
      </c>
      <c r="Y1333" s="126" t="s">
        <v>110</v>
      </c>
      <c r="Z1333" s="126">
        <v>3</v>
      </c>
      <c r="AA1333" s="126" t="s">
        <v>161</v>
      </c>
      <c r="AB1333" s="126" t="s">
        <v>116</v>
      </c>
      <c r="AC1333" s="126" t="s">
        <v>123</v>
      </c>
      <c r="AD1333" s="126"/>
      <c r="AE1333" s="126"/>
      <c r="AF1333" s="23"/>
      <c r="AG1333" s="23">
        <f>AH1333-AI1333</f>
        <v>82</v>
      </c>
      <c r="AH1333" s="126">
        <v>168</v>
      </c>
      <c r="AI1333" s="126">
        <v>86</v>
      </c>
      <c r="AJ1333" s="23"/>
      <c r="AK1333" s="126">
        <v>14</v>
      </c>
      <c r="AL1333" s="126">
        <v>0</v>
      </c>
      <c r="AM1333" s="126">
        <v>0</v>
      </c>
      <c r="AN1333" s="126">
        <v>0</v>
      </c>
      <c r="AO1333" s="23">
        <f>IF(SUM(AL1333:AN1333)&gt;0,1,0)</f>
        <v>0</v>
      </c>
      <c r="AP1333" s="25">
        <f>SUM(AL1333:AN1333)</f>
        <v>0</v>
      </c>
      <c r="AQ1333" s="23"/>
      <c r="AR1333" s="23">
        <v>2.8000000000000025E-2</v>
      </c>
      <c r="AS1333" s="16">
        <f>VLOOKUP(E1333,'[1]Feces weights'!$D$1:$H$459,5,FALSE)</f>
        <v>2.8000000000000025E-2</v>
      </c>
      <c r="AT1333" s="16" t="str">
        <f>VLOOKUP(E1333,[2]Current!$A$1:$W$435,7,FALSE)</f>
        <v>TE</v>
      </c>
      <c r="AU1333" s="16" t="s">
        <v>1288</v>
      </c>
      <c r="AV1333" s="23">
        <v>1</v>
      </c>
      <c r="AW1333" s="128">
        <f>IF(AX1333&gt;0,1,0)</f>
        <v>0</v>
      </c>
      <c r="AX1333" s="128">
        <f>SUM(BA1333,BM1333,CU1333)</f>
        <v>0</v>
      </c>
      <c r="AY1333" s="128">
        <f>SUM(BB1333,BN1333,CV1333)</f>
        <v>0</v>
      </c>
      <c r="AZ1333" s="128">
        <f>IF(BA1333&gt;0,1,0)</f>
        <v>0</v>
      </c>
      <c r="BA1333" s="128">
        <f>SUM(BC1333+BF1333+BI1333)</f>
        <v>0</v>
      </c>
      <c r="BB1333" s="128">
        <f>SUM(BE1333,BH1333,BK1333)</f>
        <v>0</v>
      </c>
      <c r="BC1333" s="130">
        <f>IF(BD1333&gt;0,1,0)</f>
        <v>0</v>
      </c>
      <c r="BD1333" s="128">
        <f>VLOOKUP($E1333,[2]Current!$A:$AC,26,FALSE)</f>
        <v>0</v>
      </c>
      <c r="BE1333" s="128">
        <f>BD1333/$AS1333</f>
        <v>0</v>
      </c>
      <c r="BF1333" s="130">
        <f>IF(BG1333&gt;0,1,0)</f>
        <v>0</v>
      </c>
      <c r="BG1333" s="137">
        <f>VLOOKUP($E1333,[2]Current!$A:$AC,27,FALSE)</f>
        <v>0</v>
      </c>
      <c r="BH1333" s="128">
        <f>BG1333/$AS1333</f>
        <v>0</v>
      </c>
      <c r="BI1333" s="130">
        <f>IF(BJ1333&gt;0,1,0)</f>
        <v>0</v>
      </c>
      <c r="BJ1333" s="128">
        <f>VLOOKUP($E1333,[2]Current!$A:$AC,28,FALSE)</f>
        <v>0</v>
      </c>
      <c r="BK1333" s="128">
        <f>BJ1333/$AS1333</f>
        <v>0</v>
      </c>
      <c r="BL1333" s="128">
        <f>IF(BM1333&gt;0,1,0)</f>
        <v>0</v>
      </c>
      <c r="BM1333" s="128">
        <f>SUM(BR1333,BU1333,BX1333,CA1333,CD1333)</f>
        <v>0</v>
      </c>
      <c r="BN1333" s="131">
        <f>SUM(BT1333,BW1333,BZ1333,CC1333,CF1333)</f>
        <v>0</v>
      </c>
      <c r="BO1333" s="128">
        <f>IF(BP1333&gt;0,1,0)</f>
        <v>1</v>
      </c>
      <c r="BP1333" s="128">
        <f>BM1333+CJ1333</f>
        <v>1</v>
      </c>
      <c r="BQ1333" s="128">
        <f>BN1333+CL1333</f>
        <v>35.71428571428568</v>
      </c>
      <c r="BR1333" s="130">
        <f>IF(BS1333&gt;0,1,0)</f>
        <v>0</v>
      </c>
      <c r="BS1333" s="128">
        <f>VLOOKUP($E1333,[2]Current!$A:$AC,12,FALSE)</f>
        <v>0</v>
      </c>
      <c r="BT1333" s="137">
        <f>BS1333/$AS1333</f>
        <v>0</v>
      </c>
      <c r="BU1333" s="130">
        <f>IF(BV1333&gt;0,1,0)</f>
        <v>0</v>
      </c>
      <c r="BV1333" s="128">
        <f>VLOOKUP($E1333,[2]Current!$A:$AC,13,FALSE)</f>
        <v>0</v>
      </c>
      <c r="BW1333" s="128">
        <f>BV1333/$AS1333</f>
        <v>0</v>
      </c>
      <c r="BX1333" s="130">
        <f>IF(BY1333&gt;0,1,0)</f>
        <v>0</v>
      </c>
      <c r="BY1333" s="128">
        <f>VLOOKUP($E1333,[2]Current!$A:$AC,14,FALSE)</f>
        <v>0</v>
      </c>
      <c r="BZ1333" s="128">
        <f>BY1333/$AS1333</f>
        <v>0</v>
      </c>
      <c r="CA1333" s="130">
        <f>IF(CB1333&gt;0,1,0)</f>
        <v>0</v>
      </c>
      <c r="CB1333" s="128">
        <f>VLOOKUP($E1333,[2]Current!$A:$AC,15,FALSE)</f>
        <v>0</v>
      </c>
      <c r="CC1333" s="128">
        <f>CB1333/$AS1333</f>
        <v>0</v>
      </c>
      <c r="CD1333" s="174">
        <f>IF(CE1333&gt;0,1,0)</f>
        <v>0</v>
      </c>
      <c r="CE1333" s="128">
        <f>VLOOKUP($E1333,[2]Current!$A:$AC,16,FALSE)</f>
        <v>0</v>
      </c>
      <c r="CF1333" s="128">
        <f>CE1333/$AS1333</f>
        <v>0</v>
      </c>
      <c r="CG1333" s="18"/>
      <c r="CH1333" s="18"/>
      <c r="CI1333" s="18"/>
      <c r="CJ1333" s="130">
        <f>IF(CK1333&gt;0,1,0)</f>
        <v>1</v>
      </c>
      <c r="CK1333" s="128">
        <f>VLOOKUP($E1333,[2]Current!$A:$AC,18,FALSE)</f>
        <v>1</v>
      </c>
      <c r="CL1333" s="128">
        <f>CK1333/$AS1333</f>
        <v>35.71428571428568</v>
      </c>
      <c r="CM1333" s="16"/>
      <c r="CN1333" s="16"/>
      <c r="CO1333" s="16"/>
      <c r="CP1333" s="16"/>
      <c r="CQ1333" s="16"/>
      <c r="CR1333" s="16"/>
      <c r="CS1333" s="130">
        <f>IF(CU1333&gt;0,1,0)</f>
        <v>0</v>
      </c>
      <c r="CT1333" s="16"/>
      <c r="CU1333" s="128">
        <f>VLOOKUP($E1333,[2]Current!$A:$AC,17,FALSE)</f>
        <v>0</v>
      </c>
      <c r="CV1333" s="128">
        <f>CU1333/$AS1333</f>
        <v>0</v>
      </c>
      <c r="CW1333" s="18"/>
      <c r="CX1333" s="18"/>
      <c r="CY1333" s="18"/>
      <c r="CZ1333" s="16"/>
      <c r="DA1333" s="16"/>
      <c r="DB1333" s="16"/>
      <c r="DC1333" s="16"/>
      <c r="DD1333" s="16"/>
      <c r="DE1333" s="16"/>
      <c r="DF1333" s="16" t="e">
        <f>VLOOKUP(K1333,'[3]RNA Seq summary tables'!$V$3:$V$99,1,FALSE)</f>
        <v>#N/A</v>
      </c>
      <c r="DG1333" s="126" t="s">
        <v>116</v>
      </c>
      <c r="DH1333" s="23"/>
      <c r="DI1333" s="23"/>
      <c r="DJ1333" s="23"/>
      <c r="DK1333" s="23"/>
      <c r="DL1333" s="23"/>
      <c r="DM1333" s="23"/>
      <c r="DN1333" s="23"/>
      <c r="DO1333" s="23"/>
      <c r="DP1333" s="23"/>
      <c r="DQ1333" s="23"/>
      <c r="DR1333" s="23"/>
      <c r="DS1333" s="23"/>
      <c r="DT1333" s="25"/>
      <c r="DU1333" s="25"/>
      <c r="DV1333" s="25"/>
      <c r="DW1333" s="25"/>
      <c r="DX1333" s="25"/>
      <c r="DY1333" s="25"/>
      <c r="DZ1333" s="25"/>
      <c r="EA1333" s="25"/>
      <c r="EB1333" s="25"/>
      <c r="EC1333" s="25"/>
      <c r="ED1333" s="25"/>
      <c r="EE1333" s="25"/>
      <c r="EF1333" s="25"/>
      <c r="EG1333" s="25"/>
      <c r="EH1333" s="25"/>
      <c r="EI1333" s="25"/>
      <c r="EJ1333" s="25"/>
      <c r="EK1333" s="25"/>
      <c r="EL1333" s="25"/>
      <c r="EM1333" s="25"/>
      <c r="EN1333" s="25"/>
      <c r="EO1333" s="25"/>
      <c r="EP1333" s="25"/>
      <c r="EQ1333" s="25"/>
      <c r="ER1333" s="25"/>
      <c r="ES1333" s="25"/>
      <c r="ET1333" s="25"/>
      <c r="EU1333" s="25"/>
      <c r="EV1333" s="25"/>
      <c r="EW1333" s="25"/>
      <c r="EX1333" s="25"/>
      <c r="EY1333" s="25"/>
      <c r="EZ1333" s="25"/>
      <c r="FA1333" s="25"/>
      <c r="FB1333" s="25"/>
      <c r="FC1333" s="25"/>
      <c r="FD1333" s="25"/>
      <c r="FE1333" s="25"/>
      <c r="FF1333" s="25"/>
      <c r="FG1333" s="25"/>
      <c r="FH1333" s="25"/>
      <c r="FI1333" s="25"/>
      <c r="FJ1333" s="25"/>
      <c r="FK1333" s="25"/>
      <c r="FL1333" s="25"/>
      <c r="FM1333" s="25"/>
      <c r="FN1333" s="25"/>
      <c r="FO1333" s="25"/>
      <c r="FP1333" s="25"/>
      <c r="FQ1333" s="25"/>
      <c r="FR1333" s="25"/>
      <c r="FS1333" s="25"/>
      <c r="FT1333" s="25"/>
      <c r="FU1333" s="25"/>
      <c r="FV1333" s="25"/>
      <c r="FW1333" s="25"/>
      <c r="FX1333" s="25"/>
      <c r="FY1333" s="25"/>
      <c r="FZ1333" s="25"/>
      <c r="GA1333" s="25"/>
      <c r="GB1333" s="25"/>
      <c r="GC1333" s="25"/>
      <c r="GD1333" s="25"/>
      <c r="GE1333" s="25"/>
      <c r="GF1333" s="25"/>
      <c r="GG1333" s="25"/>
      <c r="GH1333" s="25"/>
      <c r="GI1333" s="25"/>
      <c r="GJ1333" s="25"/>
      <c r="GK1333" s="25"/>
      <c r="GL1333" s="25"/>
      <c r="GM1333" s="25"/>
      <c r="GN1333" s="25"/>
      <c r="GO1333" s="25"/>
      <c r="GP1333" s="25"/>
      <c r="GQ1333" s="25"/>
      <c r="GR1333" s="25"/>
      <c r="GS1333" s="25"/>
      <c r="GT1333" s="25"/>
      <c r="GU1333" s="25"/>
      <c r="GV1333" s="25"/>
      <c r="GW1333" s="25"/>
      <c r="GX1333" s="25"/>
      <c r="GY1333" s="25"/>
      <c r="GZ1333" s="25"/>
      <c r="HA1333" s="25"/>
      <c r="HB1333" s="25"/>
      <c r="HC1333" s="25"/>
      <c r="HD1333" s="25"/>
      <c r="HE1333" s="25"/>
      <c r="HF1333" s="25"/>
      <c r="HG1333" s="25"/>
      <c r="HH1333" s="25"/>
      <c r="HI1333" s="25"/>
      <c r="HJ1333" s="25"/>
      <c r="HK1333" s="25"/>
      <c r="HL1333" s="25"/>
      <c r="HM1333" s="25"/>
      <c r="HN1333" s="25"/>
      <c r="HO1333" s="25"/>
      <c r="HP1333" s="25"/>
      <c r="HQ1333" s="25"/>
      <c r="HR1333" s="25"/>
      <c r="HS1333" s="25"/>
      <c r="HT1333" s="25"/>
      <c r="HU1333" s="25"/>
      <c r="HV1333" s="25"/>
      <c r="HW1333" s="25"/>
      <c r="HX1333" s="25"/>
      <c r="HY1333" s="25"/>
      <c r="HZ1333" s="25"/>
      <c r="IA1333" s="25"/>
      <c r="IB1333" s="25"/>
      <c r="IC1333" s="25"/>
      <c r="ID1333" s="25"/>
      <c r="IE1333" s="25"/>
      <c r="IF1333" s="25"/>
      <c r="IG1333" s="25"/>
      <c r="IH1333" s="25"/>
      <c r="II1333" s="25"/>
      <c r="IJ1333" s="25"/>
      <c r="IK1333" s="25"/>
      <c r="IL1333" s="25"/>
      <c r="IM1333" s="25"/>
      <c r="IN1333" s="25"/>
      <c r="IO1333" s="25"/>
      <c r="IP1333" s="25"/>
      <c r="IQ1333" s="25"/>
      <c r="IR1333" s="25"/>
      <c r="IS1333" s="25"/>
      <c r="IT1333" s="25"/>
      <c r="IU1333" s="25"/>
      <c r="IV1333" s="25"/>
      <c r="IW1333" s="25"/>
      <c r="IX1333" s="25"/>
      <c r="IY1333" s="25"/>
      <c r="IZ1333" s="25"/>
      <c r="JA1333" s="25"/>
      <c r="JB1333" s="25"/>
      <c r="JC1333" s="25"/>
      <c r="JD1333" s="25"/>
      <c r="JE1333" s="25"/>
      <c r="JF1333" s="25"/>
      <c r="JG1333" s="25"/>
      <c r="JH1333" s="25"/>
      <c r="JI1333" s="25"/>
      <c r="JJ1333" s="25"/>
      <c r="JK1333" s="25"/>
      <c r="JL1333" s="25"/>
      <c r="JM1333" s="25"/>
      <c r="JN1333" s="25"/>
      <c r="JO1333" s="23"/>
      <c r="JP1333" s="23"/>
      <c r="JQ1333" s="23"/>
      <c r="JR1333" s="18"/>
      <c r="JS1333" s="18"/>
      <c r="JT1333" s="18"/>
      <c r="JU1333" s="18"/>
      <c r="JV1333" s="18"/>
      <c r="JW1333" s="18"/>
      <c r="JX1333" s="18"/>
      <c r="JY1333" s="18"/>
      <c r="JZ1333" s="18"/>
      <c r="KA1333" s="18"/>
      <c r="KB1333" s="18"/>
    </row>
    <row r="1334" spans="1:288" ht="16" x14ac:dyDescent="0.2">
      <c r="B1334" s="16">
        <v>2018</v>
      </c>
      <c r="C1334" s="124">
        <v>43296</v>
      </c>
      <c r="D1334" t="s">
        <v>987</v>
      </c>
      <c r="E1334" s="37" t="str">
        <f>CONCATENATE(T1334,"-",U1334,"-",C1334)</f>
        <v>PO1-F8-43296</v>
      </c>
      <c r="F1334" s="16" t="s">
        <v>227</v>
      </c>
      <c r="G1334" s="126" t="s">
        <v>107</v>
      </c>
      <c r="H1334" s="126" t="s">
        <v>1086</v>
      </c>
      <c r="J1334" s="126">
        <v>1471</v>
      </c>
      <c r="K1334" s="126">
        <v>2635</v>
      </c>
      <c r="O1334" s="15" t="s">
        <v>214</v>
      </c>
      <c r="Q1334" s="16">
        <f t="shared" si="8"/>
        <v>1</v>
      </c>
      <c r="R1334" s="16">
        <f t="shared" si="7"/>
        <v>13</v>
      </c>
      <c r="T1334" s="126" t="s">
        <v>112</v>
      </c>
      <c r="U1334" s="126" t="s">
        <v>138</v>
      </c>
      <c r="V1334" s="126" t="s">
        <v>142</v>
      </c>
      <c r="X1334" s="126" t="s">
        <v>121</v>
      </c>
      <c r="Y1334" s="126" t="s">
        <v>110</v>
      </c>
      <c r="Z1334" s="126">
        <v>3</v>
      </c>
      <c r="AA1334" s="126" t="s">
        <v>161</v>
      </c>
      <c r="AB1334" s="126" t="s">
        <v>116</v>
      </c>
      <c r="AC1334" s="126" t="s">
        <v>123</v>
      </c>
      <c r="AD1334" s="126"/>
      <c r="AE1334" s="126"/>
      <c r="AG1334" s="40">
        <f>AH1334-AI1334</f>
        <v>81</v>
      </c>
      <c r="AH1334" s="126">
        <v>166</v>
      </c>
      <c r="AI1334" s="126">
        <v>85</v>
      </c>
      <c r="AK1334" s="126">
        <v>15.5</v>
      </c>
      <c r="AL1334" s="126">
        <v>1</v>
      </c>
      <c r="AM1334" s="126">
        <v>0</v>
      </c>
      <c r="AN1334" s="126">
        <v>0</v>
      </c>
      <c r="AO1334" s="16">
        <f>IF(SUM(AL1334:AN1334)&gt;0,1,0)</f>
        <v>1</v>
      </c>
      <c r="AP1334" s="18">
        <f>SUM(AL1334:AN1334)</f>
        <v>1</v>
      </c>
      <c r="AR1334" s="16">
        <v>0.125</v>
      </c>
      <c r="AS1334" s="16">
        <f>VLOOKUP(E1334,'[1]Feces weights'!$D$1:$H$459,5,FALSE)</f>
        <v>0.125</v>
      </c>
      <c r="AT1334" s="16" t="str">
        <f>VLOOKUP(E1334,[2]Current!$A$1:$W$435,7,FALSE)</f>
        <v>JY</v>
      </c>
      <c r="AU1334" s="16" t="s">
        <v>1288</v>
      </c>
      <c r="AV1334" s="23">
        <v>1</v>
      </c>
      <c r="AW1334" s="128">
        <f>IF(AX1334&gt;0,1,0)</f>
        <v>0</v>
      </c>
      <c r="AX1334" s="128">
        <f>SUM(BA1334,BM1334,CU1334)</f>
        <v>0</v>
      </c>
      <c r="AY1334" s="128">
        <f>SUM(BB1334,BN1334,CV1334)</f>
        <v>0</v>
      </c>
      <c r="AZ1334" s="128">
        <f>IF(BA1334&gt;0,1,0)</f>
        <v>0</v>
      </c>
      <c r="BA1334" s="128">
        <f>SUM(BC1334+BF1334+BI1334)</f>
        <v>0</v>
      </c>
      <c r="BB1334" s="128">
        <f>SUM(BE1334,BH1334,BK1334)</f>
        <v>0</v>
      </c>
      <c r="BC1334" s="130">
        <f>IF(BD1334&gt;0,1,0)</f>
        <v>0</v>
      </c>
      <c r="BD1334" s="128">
        <f>VLOOKUP($E1334,[2]Current!$A:$AC,26,FALSE)</f>
        <v>0</v>
      </c>
      <c r="BE1334" s="128">
        <f>BD1334/$AS1334</f>
        <v>0</v>
      </c>
      <c r="BF1334" s="130">
        <f>IF(BG1334&gt;0,1,0)</f>
        <v>0</v>
      </c>
      <c r="BG1334" s="137">
        <f>VLOOKUP($E1334,[2]Current!$A:$AC,27,FALSE)</f>
        <v>0</v>
      </c>
      <c r="BH1334" s="128">
        <f>BG1334/$AS1334</f>
        <v>0</v>
      </c>
      <c r="BI1334" s="130">
        <f>IF(BJ1334&gt;0,1,0)</f>
        <v>0</v>
      </c>
      <c r="BJ1334" s="128">
        <f>VLOOKUP($E1334,[2]Current!$A:$AC,28,FALSE)</f>
        <v>0</v>
      </c>
      <c r="BK1334" s="128">
        <f>BJ1334/$AS1334</f>
        <v>0</v>
      </c>
      <c r="BL1334" s="128">
        <f>IF(BM1334&gt;0,1,0)</f>
        <v>0</v>
      </c>
      <c r="BM1334" s="128">
        <f>SUM(BR1334,BU1334,BX1334,CA1334,CD1334)</f>
        <v>0</v>
      </c>
      <c r="BN1334" s="131">
        <f>SUM(BT1334,BW1334,BZ1334,CC1334,CF1334)</f>
        <v>0</v>
      </c>
      <c r="BO1334" s="128">
        <f>IF(BP1334&gt;0,1,0)</f>
        <v>0</v>
      </c>
      <c r="BP1334" s="128">
        <f>BM1334+CJ1334</f>
        <v>0</v>
      </c>
      <c r="BQ1334" s="128">
        <f>BN1334+CL1334</f>
        <v>0</v>
      </c>
      <c r="BR1334" s="130">
        <f>IF(BS1334&gt;0,1,0)</f>
        <v>0</v>
      </c>
      <c r="BS1334" s="128">
        <f>VLOOKUP($E1334,[2]Current!$A:$AC,12,FALSE)</f>
        <v>0</v>
      </c>
      <c r="BT1334" s="137">
        <f>BS1334/$AS1334</f>
        <v>0</v>
      </c>
      <c r="BU1334" s="130">
        <f>IF(BV1334&gt;0,1,0)</f>
        <v>0</v>
      </c>
      <c r="BV1334" s="128">
        <f>VLOOKUP($E1334,[2]Current!$A:$AC,13,FALSE)</f>
        <v>0</v>
      </c>
      <c r="BW1334" s="128">
        <f>BV1334/$AS1334</f>
        <v>0</v>
      </c>
      <c r="BX1334" s="130">
        <f>IF(BY1334&gt;0,1,0)</f>
        <v>0</v>
      </c>
      <c r="BY1334" s="128">
        <f>VLOOKUP($E1334,[2]Current!$A:$AC,14,FALSE)</f>
        <v>0</v>
      </c>
      <c r="BZ1334" s="128">
        <f>BY1334/$AS1334</f>
        <v>0</v>
      </c>
      <c r="CA1334" s="130">
        <f>IF(CB1334&gt;0,1,0)</f>
        <v>0</v>
      </c>
      <c r="CB1334" s="128">
        <f>VLOOKUP($E1334,[2]Current!$A:$AC,15,FALSE)</f>
        <v>0</v>
      </c>
      <c r="CC1334" s="128">
        <f>CB1334/$AS1334</f>
        <v>0</v>
      </c>
      <c r="CD1334" s="174">
        <f>IF(CE1334&gt;0,1,0)</f>
        <v>0</v>
      </c>
      <c r="CE1334" s="128">
        <f>VLOOKUP($E1334,[2]Current!$A:$AC,16,FALSE)</f>
        <v>0</v>
      </c>
      <c r="CF1334" s="128">
        <f>CE1334/$AS1334</f>
        <v>0</v>
      </c>
      <c r="CG1334" s="18"/>
      <c r="CH1334" s="18"/>
      <c r="CI1334" s="18"/>
      <c r="CJ1334" s="130">
        <f>IF(CK1334&gt;0,1,0)</f>
        <v>0</v>
      </c>
      <c r="CK1334" s="128">
        <f>VLOOKUP($E1334,[2]Current!$A:$AC,18,FALSE)</f>
        <v>0</v>
      </c>
      <c r="CL1334" s="128">
        <f>CK1334/$AS1334</f>
        <v>0</v>
      </c>
      <c r="CS1334" s="130">
        <f>IF(CU1334&gt;0,1,0)</f>
        <v>0</v>
      </c>
      <c r="CU1334" s="128">
        <f>VLOOKUP($E1334,[2]Current!$A:$AC,17,FALSE)</f>
        <v>0</v>
      </c>
      <c r="CV1334" s="128">
        <f>CU1334/$AS1334</f>
        <v>0</v>
      </c>
      <c r="CW1334" s="18"/>
      <c r="CX1334" s="18"/>
      <c r="CY1334" s="18"/>
      <c r="DF1334" s="16" t="e">
        <f>VLOOKUP(K1334,'[3]RNA Seq summary tables'!$V$3:$V$99,1,FALSE)</f>
        <v>#N/A</v>
      </c>
      <c r="DG1334" s="126" t="s">
        <v>116</v>
      </c>
    </row>
    <row r="1335" spans="1:288" ht="16" x14ac:dyDescent="0.2">
      <c r="A1335" s="18">
        <v>1</v>
      </c>
      <c r="B1335" s="18">
        <v>2018</v>
      </c>
      <c r="C1335" s="148">
        <v>43315</v>
      </c>
      <c r="D1335" s="149" t="s">
        <v>1249</v>
      </c>
      <c r="E1335" s="37" t="str">
        <f>CONCATENATE(T1335,"-",U1335,"-",C1335)</f>
        <v>PO1-B3-43315</v>
      </c>
      <c r="F1335" s="18" t="s">
        <v>227</v>
      </c>
      <c r="G1335" s="150" t="s">
        <v>107</v>
      </c>
      <c r="H1335" s="150"/>
      <c r="I1335" s="150"/>
      <c r="J1335" s="150">
        <v>1471</v>
      </c>
      <c r="K1335" s="150">
        <v>2748</v>
      </c>
      <c r="L1335" s="18"/>
      <c r="M1335" s="18"/>
      <c r="N1335" s="18"/>
      <c r="O1335" s="15" t="s">
        <v>214</v>
      </c>
      <c r="Q1335" s="16">
        <f t="shared" si="8"/>
        <v>1</v>
      </c>
      <c r="R1335" s="16">
        <f t="shared" si="7"/>
        <v>19</v>
      </c>
      <c r="S1335" s="150"/>
      <c r="T1335" s="150" t="s">
        <v>112</v>
      </c>
      <c r="U1335" s="150" t="s">
        <v>131</v>
      </c>
      <c r="V1335" s="150" t="s">
        <v>142</v>
      </c>
      <c r="W1335" s="150"/>
      <c r="X1335" s="150" t="s">
        <v>121</v>
      </c>
      <c r="Y1335" s="150" t="s">
        <v>110</v>
      </c>
      <c r="Z1335" s="150">
        <v>3</v>
      </c>
      <c r="AA1335" s="150" t="s">
        <v>161</v>
      </c>
      <c r="AB1335" s="150" t="s">
        <v>116</v>
      </c>
      <c r="AC1335" s="150" t="s">
        <v>123</v>
      </c>
      <c r="AD1335" s="150"/>
      <c r="AE1335" s="150"/>
      <c r="AF1335" s="150"/>
      <c r="AG1335" s="150">
        <f>AH1335-AI1335</f>
        <v>87</v>
      </c>
      <c r="AH1335" s="150">
        <v>171</v>
      </c>
      <c r="AI1335" s="150">
        <v>84</v>
      </c>
      <c r="AJ1335" s="150"/>
      <c r="AK1335" s="150">
        <v>18.5</v>
      </c>
      <c r="AL1335" s="145">
        <v>0</v>
      </c>
      <c r="AM1335" s="145">
        <v>0</v>
      </c>
      <c r="AN1335" s="145">
        <v>0</v>
      </c>
      <c r="AO1335" s="16">
        <f>IF(SUM(AL1335:AN1335)&gt;0, 1,0)</f>
        <v>0</v>
      </c>
      <c r="AP1335" s="16">
        <f>SUM(AL1335:AN1335)</f>
        <v>0</v>
      </c>
      <c r="AQ1335" s="18"/>
      <c r="AR1335" s="18"/>
      <c r="AS1335" s="18">
        <f>VLOOKUP(E1335,'[1]Feces weights'!$D$1:$H$459,5,FALSE)</f>
        <v>0.40800000000000014</v>
      </c>
      <c r="AT1335" s="18" t="e">
        <f>VLOOKUP(E1335,[2]Current!$A$1:$W$435,7,FALSE)</f>
        <v>#N/A</v>
      </c>
      <c r="AU1335" s="18"/>
      <c r="AV1335" s="18"/>
      <c r="AW1335" s="18"/>
      <c r="AX1335" s="18"/>
      <c r="AY1335" s="18"/>
      <c r="AZ1335" s="18"/>
      <c r="BA1335" s="18"/>
      <c r="BB1335" s="18"/>
      <c r="BC1335" s="18"/>
      <c r="BD1335" s="18"/>
      <c r="BE1335" s="18"/>
      <c r="BF1335" s="18"/>
      <c r="BG1335" s="78"/>
      <c r="BH1335" s="18"/>
      <c r="BI1335" s="18"/>
      <c r="BJ1335" s="18"/>
      <c r="BK1335" s="18"/>
      <c r="BL1335" s="18"/>
      <c r="BM1335" s="18"/>
      <c r="BN1335" s="18"/>
      <c r="BO1335" s="18"/>
      <c r="BP1335" s="18"/>
      <c r="BQ1335" s="18"/>
      <c r="BR1335" s="18"/>
      <c r="BS1335" s="18"/>
      <c r="BT1335" s="78"/>
      <c r="BU1335" s="18"/>
      <c r="BV1335" s="18"/>
      <c r="BW1335" s="18"/>
      <c r="BX1335" s="18"/>
      <c r="BY1335" s="18"/>
      <c r="BZ1335" s="18"/>
      <c r="CA1335" s="18"/>
      <c r="CB1335" s="18"/>
      <c r="CC1335" s="18"/>
      <c r="CD1335" s="7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50" t="s">
        <v>123</v>
      </c>
      <c r="DH1335" s="18"/>
      <c r="DI1335" s="18"/>
      <c r="DJ1335" s="18"/>
      <c r="DK1335" s="18"/>
      <c r="DL1335" s="18"/>
      <c r="DM1335" s="18"/>
      <c r="DN1335" s="18"/>
      <c r="DO1335" s="18"/>
      <c r="DP1335" s="18"/>
      <c r="DQ1335" s="18"/>
      <c r="DR1335" s="18"/>
      <c r="DS1335" s="18"/>
      <c r="DT1335" s="150" t="s">
        <v>123</v>
      </c>
      <c r="DU1335" s="150"/>
      <c r="DX1335" s="150"/>
      <c r="DY1335" s="150"/>
      <c r="JO1335" s="18"/>
      <c r="JP1335" s="18"/>
      <c r="JQ1335" s="18"/>
      <c r="JR1335" s="18"/>
      <c r="JS1335" s="18"/>
      <c r="JT1335" s="18"/>
      <c r="JU1335" s="18"/>
      <c r="JV1335" s="18"/>
      <c r="JW1335" s="18"/>
      <c r="JX1335" s="18"/>
      <c r="JY1335" s="18"/>
      <c r="JZ1335" s="18"/>
      <c r="KA1335" s="18"/>
      <c r="KB1335" s="18"/>
    </row>
    <row r="1336" spans="1:288" ht="16" x14ac:dyDescent="0.2">
      <c r="B1336" s="16">
        <v>2018</v>
      </c>
      <c r="C1336" s="124">
        <v>43267</v>
      </c>
      <c r="D1336" t="s">
        <v>812</v>
      </c>
      <c r="E1336" s="37" t="str">
        <f>CONCATENATE(T1336,"-",U1336,"-",C1336)</f>
        <v>PO2-F8-43267</v>
      </c>
      <c r="F1336" s="16" t="s">
        <v>227</v>
      </c>
      <c r="G1336" s="126" t="s">
        <v>107</v>
      </c>
      <c r="H1336" s="126" t="s">
        <v>1104</v>
      </c>
      <c r="J1336" s="126">
        <v>1472</v>
      </c>
      <c r="K1336" s="126">
        <v>2449</v>
      </c>
      <c r="O1336" s="15" t="s">
        <v>214</v>
      </c>
      <c r="Q1336" s="16">
        <f t="shared" si="8"/>
        <v>0</v>
      </c>
      <c r="R1336" s="16" t="str">
        <f t="shared" si="7"/>
        <v/>
      </c>
      <c r="T1336" s="126" t="s">
        <v>127</v>
      </c>
      <c r="U1336" s="126" t="s">
        <v>138</v>
      </c>
      <c r="V1336" s="126" t="s">
        <v>114</v>
      </c>
      <c r="X1336" s="126" t="s">
        <v>115</v>
      </c>
      <c r="Y1336" s="126" t="s">
        <v>110</v>
      </c>
      <c r="Z1336" s="126">
        <v>3</v>
      </c>
      <c r="AA1336" s="126"/>
      <c r="AB1336" s="126"/>
      <c r="AC1336" s="126"/>
      <c r="AD1336" s="126"/>
      <c r="AE1336" s="126" t="s">
        <v>116</v>
      </c>
      <c r="AG1336" s="16">
        <f>AH1336-AI1336</f>
        <v>83</v>
      </c>
      <c r="AH1336" s="126">
        <v>153</v>
      </c>
      <c r="AI1336" s="126">
        <v>70</v>
      </c>
      <c r="AK1336" s="126">
        <v>21</v>
      </c>
      <c r="AL1336" s="126">
        <v>0</v>
      </c>
      <c r="AM1336" s="126">
        <v>0</v>
      </c>
      <c r="AN1336" s="126">
        <v>0</v>
      </c>
      <c r="AO1336" s="16">
        <f>IF(SUM(AL1336:AN1336)&gt;0,1,0)</f>
        <v>0</v>
      </c>
      <c r="AP1336" s="18">
        <f>SUM(AL1336:AN1336)</f>
        <v>0</v>
      </c>
      <c r="AR1336" s="16">
        <v>0.13100000000000001</v>
      </c>
      <c r="AS1336" s="16">
        <f>VLOOKUP(E1336,'[1]Feces weights'!$D$1:$H$459,5,FALSE)</f>
        <v>0.13100000000000001</v>
      </c>
      <c r="AT1336" s="16" t="str">
        <f>VLOOKUP(E1336,[2]Current!$A$1:$W$435,7,FALSE)</f>
        <v>IS</v>
      </c>
      <c r="AU1336" s="16" t="s">
        <v>1288</v>
      </c>
      <c r="AW1336" s="128">
        <f>IF(AX1336&gt;0,1,0)</f>
        <v>1</v>
      </c>
      <c r="AX1336" s="128">
        <f>SUM(BA1336,BM1336,CU1336)</f>
        <v>1</v>
      </c>
      <c r="AY1336" s="128">
        <f>SUM(BB1336,BN1336,CV1336)</f>
        <v>7.6335877862595414</v>
      </c>
      <c r="AZ1336" s="128">
        <f>IF(BA1336&gt;0,1,0)</f>
        <v>0</v>
      </c>
      <c r="BA1336" s="128">
        <f>SUM(BC1336+BF1336+BI1336)</f>
        <v>0</v>
      </c>
      <c r="BB1336" s="128">
        <f>SUM(BE1336,BH1336,BK1336)</f>
        <v>0</v>
      </c>
      <c r="BC1336" s="130">
        <f>IF(BD1336&gt;0,1,0)</f>
        <v>0</v>
      </c>
      <c r="BD1336" s="128">
        <f>VLOOKUP($E1336,[2]Current!$A:$AC,26,FALSE)</f>
        <v>0</v>
      </c>
      <c r="BE1336" s="128">
        <f>BD1336/$AS1336</f>
        <v>0</v>
      </c>
      <c r="BF1336" s="130">
        <f>IF(BG1336&gt;0,1,0)</f>
        <v>0</v>
      </c>
      <c r="BG1336" s="137">
        <f>VLOOKUP($E1336,[2]Current!$A:$AC,27,FALSE)</f>
        <v>0</v>
      </c>
      <c r="BH1336" s="128">
        <f>BG1336/$AS1336</f>
        <v>0</v>
      </c>
      <c r="BI1336" s="130">
        <f>IF(BJ1336&gt;0,1,0)</f>
        <v>0</v>
      </c>
      <c r="BJ1336" s="128">
        <f>VLOOKUP($E1336,[2]Current!$A:$AC,28,FALSE)</f>
        <v>0</v>
      </c>
      <c r="BK1336" s="128">
        <f>BJ1336/$AS1336</f>
        <v>0</v>
      </c>
      <c r="BL1336" s="128">
        <f>IF(BM1336&gt;0,1,0)</f>
        <v>1</v>
      </c>
      <c r="BM1336" s="128">
        <f>SUM(BR1336,BU1336,BX1336,CA1336,CD1336)</f>
        <v>1</v>
      </c>
      <c r="BN1336" s="131">
        <f>SUM(BT1336,BW1336,BZ1336,CC1336,CF1336)</f>
        <v>7.6335877862595414</v>
      </c>
      <c r="BO1336" s="128">
        <f>IF(BP1336&gt;0,1,0)</f>
        <v>1</v>
      </c>
      <c r="BP1336" s="128">
        <f>BM1336+CJ1336</f>
        <v>1</v>
      </c>
      <c r="BQ1336" s="128">
        <f>BN1336+CL1336</f>
        <v>7.6335877862595414</v>
      </c>
      <c r="BR1336" s="130">
        <f>IF(BS1336&gt;0,1,0)</f>
        <v>0</v>
      </c>
      <c r="BS1336" s="128">
        <f>VLOOKUP($E1336,[2]Current!$A:$AC,12,FALSE)</f>
        <v>0</v>
      </c>
      <c r="BT1336" s="137">
        <f>BS1336/$AS1336</f>
        <v>0</v>
      </c>
      <c r="BU1336" s="130">
        <f>IF(BV1336&gt;0,1,0)</f>
        <v>0</v>
      </c>
      <c r="BV1336" s="128">
        <f>VLOOKUP($E1336,[2]Current!$A:$AC,13,FALSE)</f>
        <v>0</v>
      </c>
      <c r="BW1336" s="128">
        <f>BV1336/$AS1336</f>
        <v>0</v>
      </c>
      <c r="BX1336" s="130">
        <f>IF(BY1336&gt;0,1,0)</f>
        <v>1</v>
      </c>
      <c r="BY1336" s="128">
        <f>VLOOKUP($E1336,[2]Current!$A:$AC,14,FALSE)</f>
        <v>1</v>
      </c>
      <c r="BZ1336" s="128">
        <f>BY1336/$AS1336</f>
        <v>7.6335877862595414</v>
      </c>
      <c r="CA1336" s="130">
        <f>IF(CB1336&gt;0,1,0)</f>
        <v>0</v>
      </c>
      <c r="CB1336" s="128">
        <f>VLOOKUP($E1336,[2]Current!$A:$AC,15,FALSE)</f>
        <v>0</v>
      </c>
      <c r="CC1336" s="128">
        <f>CB1336/$AS1336</f>
        <v>0</v>
      </c>
      <c r="CD1336" s="174">
        <f>IF(CE1336&gt;0,1,0)</f>
        <v>0</v>
      </c>
      <c r="CE1336" s="128">
        <f>VLOOKUP($E1336,[2]Current!$A:$AC,16,FALSE)</f>
        <v>0</v>
      </c>
      <c r="CF1336" s="128">
        <f>CE1336/$AS1336</f>
        <v>0</v>
      </c>
      <c r="CG1336" s="18"/>
      <c r="CH1336" s="18"/>
      <c r="CI1336" s="18"/>
      <c r="CJ1336" s="130">
        <f>IF(CK1336&gt;0,1,0)</f>
        <v>0</v>
      </c>
      <c r="CK1336" s="128">
        <f>VLOOKUP($E1336,[2]Current!$A:$AC,18,FALSE)</f>
        <v>0</v>
      </c>
      <c r="CL1336" s="128">
        <f>CK1336/$AS1336</f>
        <v>0</v>
      </c>
      <c r="CS1336" s="130">
        <f>IF(CU1336&gt;0,1,0)</f>
        <v>0</v>
      </c>
      <c r="CT1336" s="18"/>
      <c r="CU1336" s="128">
        <f>VLOOKUP($E1336,[2]Current!$A:$AC,17,FALSE)</f>
        <v>0</v>
      </c>
      <c r="CV1336" s="128">
        <f>CU1336/$AS1336</f>
        <v>0</v>
      </c>
      <c r="CW1336" s="18"/>
      <c r="CX1336" s="18"/>
      <c r="CY1336" s="18"/>
      <c r="DF1336" s="16" t="e">
        <f>VLOOKUP(K1336,'[3]RNA Seq summary tables'!$V$3:$V$99,1,FALSE)</f>
        <v>#N/A</v>
      </c>
      <c r="DG1336" s="126" t="s">
        <v>116</v>
      </c>
    </row>
    <row r="1337" spans="1:288" ht="16" x14ac:dyDescent="0.2">
      <c r="B1337" s="16">
        <v>2018</v>
      </c>
      <c r="C1337" s="124">
        <v>43248</v>
      </c>
      <c r="D1337" t="s">
        <v>749</v>
      </c>
      <c r="E1337" s="37" t="str">
        <f>CONCATENATE(T1337,"-",U1337,"-",C1337)</f>
        <v>PO2-G7-43248</v>
      </c>
      <c r="F1337" s="16" t="s">
        <v>227</v>
      </c>
      <c r="G1337" s="126" t="s">
        <v>107</v>
      </c>
      <c r="H1337" s="126"/>
      <c r="J1337" s="126">
        <v>1473</v>
      </c>
      <c r="K1337" s="126">
        <v>2381</v>
      </c>
      <c r="O1337" s="15" t="s">
        <v>214</v>
      </c>
      <c r="Q1337" s="16">
        <f t="shared" si="8"/>
        <v>0</v>
      </c>
      <c r="R1337" s="16" t="str">
        <f t="shared" si="7"/>
        <v/>
      </c>
      <c r="T1337" s="126" t="s">
        <v>127</v>
      </c>
      <c r="U1337" s="126" t="s">
        <v>156</v>
      </c>
      <c r="V1337" s="126" t="s">
        <v>114</v>
      </c>
      <c r="X1337" s="126" t="s">
        <v>121</v>
      </c>
      <c r="Y1337" s="126" t="s">
        <v>110</v>
      </c>
      <c r="Z1337" s="126">
        <v>3</v>
      </c>
      <c r="AA1337" s="126" t="s">
        <v>119</v>
      </c>
      <c r="AB1337" s="126" t="s">
        <v>123</v>
      </c>
      <c r="AC1337" s="126" t="s">
        <v>116</v>
      </c>
      <c r="AD1337" s="126"/>
      <c r="AE1337" s="126"/>
      <c r="AG1337" s="16">
        <f>AH1337-AI1337</f>
        <v>80</v>
      </c>
      <c r="AH1337" s="126">
        <v>156</v>
      </c>
      <c r="AI1337" s="126">
        <v>76</v>
      </c>
      <c r="AK1337" s="126">
        <v>21</v>
      </c>
      <c r="AL1337" s="126">
        <v>1</v>
      </c>
      <c r="AM1337" s="126">
        <v>1</v>
      </c>
      <c r="AN1337" s="126">
        <v>0</v>
      </c>
      <c r="AO1337" s="16">
        <f>IF(SUM(AL1337:AN1337)&gt;0,1,0)</f>
        <v>1</v>
      </c>
      <c r="AP1337" s="18">
        <f>SUM(AL1337:AN1337)</f>
        <v>2</v>
      </c>
      <c r="AR1337" s="16">
        <v>0.81400000000000028</v>
      </c>
      <c r="AS1337" s="16">
        <f>VLOOKUP(E1337,'[1]Feces weights'!$D$1:$H$459,5,FALSE)</f>
        <v>0.81400000000000028</v>
      </c>
      <c r="AT1337" s="16" t="str">
        <f>VLOOKUP(E1337,[9]Current!$A:$T,7,FALSE)</f>
        <v>LV</v>
      </c>
      <c r="AU1337" s="18" t="s">
        <v>1290</v>
      </c>
      <c r="AW1337" s="177">
        <f>IF(AY1337&gt;0,1,0)</f>
        <v>1</v>
      </c>
      <c r="AX1337" s="177">
        <f>SUM(BA1337,BM1337,CU1337)</f>
        <v>1</v>
      </c>
      <c r="AY1337" s="177">
        <f>SUM(BB1337,BN1337,CV1337)</f>
        <v>2496.3144963144955</v>
      </c>
      <c r="AZ1337" s="177">
        <f>IF(BB1337&gt;0,1,0)</f>
        <v>1</v>
      </c>
      <c r="BA1337" s="177">
        <f>SUM(BC1337+BF1337+BI1337)</f>
        <v>1</v>
      </c>
      <c r="BB1337" s="177">
        <f>SUM(BE1337,BH1337,BK1337)</f>
        <v>2496.3144963144955</v>
      </c>
      <c r="BC1337" s="178">
        <f>IF(BD1337&gt;0,1,0)</f>
        <v>0</v>
      </c>
      <c r="BD1337" s="177">
        <f>VLOOKUP($E1337,[9]Current!$1:$1048576,8,FALSE)</f>
        <v>0</v>
      </c>
      <c r="BE1337" s="177">
        <f>BD1337/$AS1337</f>
        <v>0</v>
      </c>
      <c r="BF1337" s="178">
        <f>IF(BG1337&gt;0,1,0)</f>
        <v>1</v>
      </c>
      <c r="BG1337" s="179">
        <f>VLOOKUP($E1337,[9]Current!$1:$1048576,9,FALSE)</f>
        <v>2032</v>
      </c>
      <c r="BH1337" s="177">
        <f>BG1337/$AS1337</f>
        <v>2496.3144963144955</v>
      </c>
      <c r="BI1337" s="178">
        <f>IF(BJ1337&gt;0,1,0)</f>
        <v>0</v>
      </c>
      <c r="BJ1337" s="177">
        <f>VLOOKUP($E1337,[9]Current!$1:$1048576,10,FALSE)</f>
        <v>0</v>
      </c>
      <c r="BK1337" s="177">
        <f>BJ1337/$AS1337</f>
        <v>0</v>
      </c>
      <c r="BL1337" s="177">
        <f>IF(BM1337&gt;0,1,0)</f>
        <v>0</v>
      </c>
      <c r="BM1337" s="177">
        <f>SUM(BR1337,BU1337,BX1337,CA1337,CD1337)</f>
        <v>0</v>
      </c>
      <c r="BN1337" s="181">
        <f>SUM(BT1337,BW1337,BZ1337,CC1337,CF1337)</f>
        <v>0</v>
      </c>
      <c r="BO1337" s="177">
        <f>IF(BP1337&gt;0,1,0)</f>
        <v>0</v>
      </c>
      <c r="BP1337" s="177">
        <f>BM1337+CJ1337</f>
        <v>0</v>
      </c>
      <c r="BQ1337" s="177">
        <f>BN1337+CL1337</f>
        <v>0</v>
      </c>
      <c r="BR1337" s="178">
        <f>IF(BS1337&gt;0,1,0)</f>
        <v>0</v>
      </c>
      <c r="BS1337" s="177">
        <f>VLOOKUP($E1337,[9]Current!$1:$1048576,12,FALSE)</f>
        <v>0</v>
      </c>
      <c r="BT1337" s="179">
        <f>BS1337/$AS1337</f>
        <v>0</v>
      </c>
      <c r="BU1337" s="178">
        <f>IF(BV1337&gt;0,1,0)</f>
        <v>0</v>
      </c>
      <c r="BV1337" s="177">
        <f>VLOOKUP($E1337,[9]Current!$1:$1048576,13,FALSE)</f>
        <v>0</v>
      </c>
      <c r="BW1337" s="177">
        <f>BV1337/$AS1337</f>
        <v>0</v>
      </c>
      <c r="BX1337" s="178">
        <f>IF(BY1337&gt;0,1,0)</f>
        <v>0</v>
      </c>
      <c r="BY1337" s="177">
        <f>VLOOKUP($E1337,[9]Current!$1:$1048576,14,FALSE)</f>
        <v>0</v>
      </c>
      <c r="BZ1337" s="177">
        <f>BY1337/$AS1337</f>
        <v>0</v>
      </c>
      <c r="CA1337" s="178">
        <f>IF(CB1337&gt;0,1,0)</f>
        <v>0</v>
      </c>
      <c r="CB1337" s="177">
        <f>VLOOKUP($E1337,[9]Current!$1:$1048576,15,FALSE)</f>
        <v>0</v>
      </c>
      <c r="CC1337" s="177">
        <f>CB1337/$AS1337</f>
        <v>0</v>
      </c>
      <c r="CD1337" s="180">
        <f>IF(CE1337&gt;0,1,0)</f>
        <v>0</v>
      </c>
      <c r="CE1337" s="177">
        <f>VLOOKUP($E1337,[9]Current!$1:$1048576,16,FALSE)</f>
        <v>0</v>
      </c>
      <c r="CF1337" s="177">
        <f>CE1337/$AS1337</f>
        <v>0</v>
      </c>
      <c r="CG1337" s="18"/>
      <c r="CH1337" s="18"/>
      <c r="CI1337" s="18"/>
      <c r="CJ1337" s="178">
        <f>IF(CK1337&gt;0,1,0)</f>
        <v>0</v>
      </c>
      <c r="CK1337" s="177">
        <f>VLOOKUP($E1337,[9]Current!$1:$1048576,18,FALSE)</f>
        <v>0</v>
      </c>
      <c r="CL1337" s="177">
        <f>CK1337/$AS1337</f>
        <v>0</v>
      </c>
      <c r="CS1337" s="178">
        <f>IF(CU1337&gt;0,1,0)</f>
        <v>0</v>
      </c>
      <c r="CT1337" s="177"/>
      <c r="CU1337" s="177">
        <f>VLOOKUP($E1337,[9]Current!$1:$1048576,17,FALSE)</f>
        <v>0</v>
      </c>
      <c r="CV1337" s="177">
        <f>CU1337/$AS1337</f>
        <v>0</v>
      </c>
      <c r="DF1337" s="16" t="e">
        <f>VLOOKUP(K1337,'[3]RNA Seq summary tables'!$V$3:$V$99,1,FALSE)</f>
        <v>#N/A</v>
      </c>
      <c r="DG1337" s="126" t="s">
        <v>123</v>
      </c>
    </row>
    <row r="1338" spans="1:288" ht="16" x14ac:dyDescent="0.2">
      <c r="B1338" s="16">
        <v>2018</v>
      </c>
      <c r="C1338" s="124">
        <v>43266</v>
      </c>
      <c r="D1338" t="s">
        <v>802</v>
      </c>
      <c r="E1338" s="37" t="str">
        <f>CONCATENATE(T1338,"-",U1338,"-",C1338)</f>
        <v>PO2-G6-43266</v>
      </c>
      <c r="F1338" s="16" t="s">
        <v>227</v>
      </c>
      <c r="G1338" s="126" t="s">
        <v>107</v>
      </c>
      <c r="H1338" s="126"/>
      <c r="J1338" s="126">
        <v>1473</v>
      </c>
      <c r="K1338" s="126">
        <v>2439</v>
      </c>
      <c r="O1338" s="15" t="s">
        <v>214</v>
      </c>
      <c r="Q1338" s="16">
        <f t="shared" si="8"/>
        <v>1</v>
      </c>
      <c r="R1338" s="16">
        <f t="shared" si="7"/>
        <v>18</v>
      </c>
      <c r="T1338" s="126" t="s">
        <v>127</v>
      </c>
      <c r="U1338" s="126" t="s">
        <v>218</v>
      </c>
      <c r="V1338" s="126" t="s">
        <v>114</v>
      </c>
      <c r="X1338" s="126" t="s">
        <v>121</v>
      </c>
      <c r="Y1338" s="126" t="s">
        <v>110</v>
      </c>
      <c r="Z1338" s="126">
        <v>3</v>
      </c>
      <c r="AA1338" s="126" t="s">
        <v>119</v>
      </c>
      <c r="AB1338" s="126" t="s">
        <v>123</v>
      </c>
      <c r="AC1338" s="126" t="s">
        <v>116</v>
      </c>
      <c r="AD1338" s="126"/>
      <c r="AE1338" s="126"/>
      <c r="AG1338" s="16">
        <f>AH1338-AI1338</f>
        <v>86</v>
      </c>
      <c r="AH1338" s="126">
        <v>156</v>
      </c>
      <c r="AI1338" s="126">
        <v>70</v>
      </c>
      <c r="AK1338" s="126">
        <v>18.5</v>
      </c>
      <c r="AL1338" s="126">
        <v>1</v>
      </c>
      <c r="AM1338" s="126">
        <v>0</v>
      </c>
      <c r="AN1338" s="126">
        <v>0</v>
      </c>
      <c r="AO1338" s="16">
        <f>IF(SUM(AL1338:AN1338)&gt;0,1,0)</f>
        <v>1</v>
      </c>
      <c r="AP1338" s="18">
        <f>SUM(AL1338:AN1338)</f>
        <v>1</v>
      </c>
      <c r="AR1338" s="16">
        <v>0.15100000000000002</v>
      </c>
      <c r="AS1338" s="16">
        <f>VLOOKUP(E1338,'[1]Feces weights'!$D$1:$H$459,5,FALSE)</f>
        <v>0.15100000000000002</v>
      </c>
      <c r="AT1338" s="16" t="str">
        <f>VLOOKUP(E1338,[2]Current!$A$1:$W$435,7,FALSE)</f>
        <v>JB</v>
      </c>
      <c r="AU1338" s="16" t="s">
        <v>1288</v>
      </c>
      <c r="AW1338" s="128">
        <f>IF(AX1338&gt;0,1,0)</f>
        <v>1</v>
      </c>
      <c r="AX1338" s="128">
        <f>SUM(BA1338,BM1338,CU1338)</f>
        <v>2</v>
      </c>
      <c r="AY1338" s="128">
        <f>SUM(BB1338,BN1338,CV1338)</f>
        <v>4993.3774834437072</v>
      </c>
      <c r="AZ1338" s="128">
        <f>IF(BA1338&gt;0,1,0)</f>
        <v>1</v>
      </c>
      <c r="BA1338" s="128">
        <f>SUM(BC1338+BF1338+BI1338)</f>
        <v>2</v>
      </c>
      <c r="BB1338" s="128">
        <f>SUM(BE1338,BH1338,BK1338)</f>
        <v>4993.3774834437072</v>
      </c>
      <c r="BC1338" s="130">
        <f>IF(BD1338&gt;0,1,0)</f>
        <v>1</v>
      </c>
      <c r="BD1338" s="128">
        <f>VLOOKUP($E1338,[2]Current!$A:$AC,26,FALSE)</f>
        <v>14</v>
      </c>
      <c r="BE1338" s="128">
        <f>BD1338/$AS1338</f>
        <v>92.71523178807945</v>
      </c>
      <c r="BF1338" s="130">
        <f>IF(BG1338&gt;0,1,0)</f>
        <v>1</v>
      </c>
      <c r="BG1338" s="137">
        <f>VLOOKUP($E1338,[2]Current!$A:$AC,27,FALSE)</f>
        <v>740</v>
      </c>
      <c r="BH1338" s="128">
        <f>BG1338/$AS1338</f>
        <v>4900.6622516556281</v>
      </c>
      <c r="BI1338" s="130">
        <f>IF(BJ1338&gt;0,1,0)</f>
        <v>0</v>
      </c>
      <c r="BJ1338" s="128">
        <f>VLOOKUP($E1338,[2]Current!$A:$AC,28,FALSE)</f>
        <v>0</v>
      </c>
      <c r="BK1338" s="128">
        <f>BJ1338/$AS1338</f>
        <v>0</v>
      </c>
      <c r="BL1338" s="128">
        <f>IF(BM1338&gt;0,1,0)</f>
        <v>0</v>
      </c>
      <c r="BM1338" s="128">
        <f>SUM(BR1338,BU1338,BX1338,CA1338,CD1338)</f>
        <v>0</v>
      </c>
      <c r="BN1338" s="131">
        <f>SUM(BT1338,BW1338,BZ1338,CC1338,CF1338)</f>
        <v>0</v>
      </c>
      <c r="BO1338" s="128">
        <f>IF(BP1338&gt;0,1,0)</f>
        <v>0</v>
      </c>
      <c r="BP1338" s="128">
        <f>BM1338+CJ1338</f>
        <v>0</v>
      </c>
      <c r="BQ1338" s="128">
        <f>BN1338+CL1338</f>
        <v>0</v>
      </c>
      <c r="BR1338" s="130">
        <f>IF(BS1338&gt;0,1,0)</f>
        <v>0</v>
      </c>
      <c r="BS1338" s="128">
        <f>VLOOKUP($E1338,[2]Current!$A:$AC,12,FALSE)</f>
        <v>0</v>
      </c>
      <c r="BT1338" s="137">
        <f>BS1338/$AS1338</f>
        <v>0</v>
      </c>
      <c r="BU1338" s="130">
        <f>IF(BV1338&gt;0,1,0)</f>
        <v>0</v>
      </c>
      <c r="BV1338" s="128">
        <f>VLOOKUP($E1338,[2]Current!$A:$AC,13,FALSE)</f>
        <v>0</v>
      </c>
      <c r="BW1338" s="128">
        <f>BV1338/$AS1338</f>
        <v>0</v>
      </c>
      <c r="BX1338" s="130">
        <f>IF(BY1338&gt;0,1,0)</f>
        <v>0</v>
      </c>
      <c r="BY1338" s="128">
        <f>VLOOKUP($E1338,[2]Current!$A:$AC,14,FALSE)</f>
        <v>0</v>
      </c>
      <c r="BZ1338" s="128">
        <f>BY1338/$AS1338</f>
        <v>0</v>
      </c>
      <c r="CA1338" s="130">
        <f>IF(CB1338&gt;0,1,0)</f>
        <v>0</v>
      </c>
      <c r="CB1338" s="128">
        <f>VLOOKUP($E1338,[2]Current!$A:$AC,15,FALSE)</f>
        <v>0</v>
      </c>
      <c r="CC1338" s="128">
        <f>CB1338/$AS1338</f>
        <v>0</v>
      </c>
      <c r="CD1338" s="174">
        <f>IF(CE1338&gt;0,1,0)</f>
        <v>0</v>
      </c>
      <c r="CE1338" s="128">
        <f>VLOOKUP($E1338,[2]Current!$A:$AC,16,FALSE)</f>
        <v>0</v>
      </c>
      <c r="CF1338" s="128">
        <f>CE1338/$AS1338</f>
        <v>0</v>
      </c>
      <c r="CG1338" s="18"/>
      <c r="CH1338" s="18"/>
      <c r="CI1338" s="18"/>
      <c r="CJ1338" s="130">
        <f>IF(CK1338&gt;0,1,0)</f>
        <v>0</v>
      </c>
      <c r="CK1338" s="128">
        <f>VLOOKUP($E1338,[2]Current!$A:$AC,18,FALSE)</f>
        <v>0</v>
      </c>
      <c r="CL1338" s="128">
        <f>CK1338/$AS1338</f>
        <v>0</v>
      </c>
      <c r="CS1338" s="130">
        <f>IF(CU1338&gt;0,1,0)</f>
        <v>0</v>
      </c>
      <c r="CU1338" s="128">
        <f>VLOOKUP($E1338,[2]Current!$A:$AC,17,FALSE)</f>
        <v>0</v>
      </c>
      <c r="CV1338" s="128">
        <f>CU1338/$AS1338</f>
        <v>0</v>
      </c>
      <c r="CW1338" s="18"/>
      <c r="CX1338" s="18"/>
      <c r="CY1338" s="18"/>
      <c r="DF1338" s="16" t="e">
        <f>VLOOKUP(K1338,'[3]RNA Seq summary tables'!$V$3:$V$99,1,FALSE)</f>
        <v>#N/A</v>
      </c>
      <c r="DG1338" s="126" t="s">
        <v>116</v>
      </c>
    </row>
    <row r="1339" spans="1:288" ht="16" x14ac:dyDescent="0.2">
      <c r="B1339" s="16">
        <v>2018</v>
      </c>
      <c r="C1339" s="124">
        <v>43283</v>
      </c>
      <c r="D1339" t="s">
        <v>895</v>
      </c>
      <c r="E1339" s="37" t="str">
        <f>CONCATENATE(T1339,"-",U1339,"-",C1339)</f>
        <v>PO2-G8-43283</v>
      </c>
      <c r="F1339" s="16" t="s">
        <v>227</v>
      </c>
      <c r="G1339" s="126" t="s">
        <v>107</v>
      </c>
      <c r="H1339" s="126"/>
      <c r="J1339" s="126">
        <v>1473</v>
      </c>
      <c r="K1339" s="126">
        <v>2533</v>
      </c>
      <c r="O1339" s="15" t="s">
        <v>214</v>
      </c>
      <c r="Q1339" s="16">
        <f t="shared" si="8"/>
        <v>1</v>
      </c>
      <c r="R1339" s="16">
        <f t="shared" si="7"/>
        <v>17</v>
      </c>
      <c r="T1339" s="126" t="s">
        <v>127</v>
      </c>
      <c r="U1339" s="126" t="s">
        <v>216</v>
      </c>
      <c r="V1339" s="126" t="s">
        <v>114</v>
      </c>
      <c r="X1339" s="126" t="s">
        <v>121</v>
      </c>
      <c r="Y1339" s="126" t="s">
        <v>110</v>
      </c>
      <c r="Z1339" s="126">
        <v>3</v>
      </c>
      <c r="AA1339" s="126" t="s">
        <v>119</v>
      </c>
      <c r="AB1339" s="126" t="s">
        <v>123</v>
      </c>
      <c r="AC1339" s="126" t="s">
        <v>123</v>
      </c>
      <c r="AD1339" s="126"/>
      <c r="AE1339" s="126"/>
      <c r="AG1339" s="16">
        <f>AH1339-AI1339</f>
        <v>86</v>
      </c>
      <c r="AH1339" s="126">
        <v>155</v>
      </c>
      <c r="AI1339" s="126">
        <v>69</v>
      </c>
      <c r="AK1339" s="126">
        <v>20</v>
      </c>
      <c r="AL1339" s="126">
        <v>1</v>
      </c>
      <c r="AM1339" s="126">
        <v>0</v>
      </c>
      <c r="AN1339" s="126">
        <v>0</v>
      </c>
      <c r="AO1339" s="16">
        <f>IF(SUM(AL1339:AN1339)&gt;0,1,0)</f>
        <v>1</v>
      </c>
      <c r="AP1339" s="18">
        <f>SUM(AL1339:AN1339)</f>
        <v>1</v>
      </c>
      <c r="AR1339" s="16">
        <v>9.000000000000008E-2</v>
      </c>
      <c r="AS1339" s="16">
        <f>VLOOKUP(E1339,'[1]Feces weights'!$D$1:$H$459,5,FALSE)</f>
        <v>9.000000000000008E-2</v>
      </c>
      <c r="AT1339" s="16" t="str">
        <f>VLOOKUP(E1339,[2]Current!$A$1:$W$435,7,FALSE)</f>
        <v>DP</v>
      </c>
      <c r="AU1339" s="16" t="s">
        <v>1288</v>
      </c>
      <c r="AW1339" s="128">
        <f>IF(AX1339&gt;0,1,0)</f>
        <v>1</v>
      </c>
      <c r="AX1339" s="128">
        <f>SUM(BA1339,BM1339,CU1339)</f>
        <v>3</v>
      </c>
      <c r="AY1339" s="128">
        <f>SUM(BB1339,BN1339,CV1339)</f>
        <v>888.888888888888</v>
      </c>
      <c r="AZ1339" s="128">
        <f>IF(BA1339&gt;0,1,0)</f>
        <v>1</v>
      </c>
      <c r="BA1339" s="128">
        <f>SUM(BC1339+BF1339+BI1339)</f>
        <v>3</v>
      </c>
      <c r="BB1339" s="128">
        <f>SUM(BE1339,BH1339,BK1339)</f>
        <v>888.888888888888</v>
      </c>
      <c r="BC1339" s="130">
        <f>IF(BD1339&gt;0,1,0)</f>
        <v>1</v>
      </c>
      <c r="BD1339" s="128">
        <f>VLOOKUP($E1339,[2]Current!$A:$AC,26,FALSE)</f>
        <v>2</v>
      </c>
      <c r="BE1339" s="128">
        <f>BD1339/$AS1339</f>
        <v>22.222222222222204</v>
      </c>
      <c r="BF1339" s="130">
        <f>IF(BG1339&gt;0,1,0)</f>
        <v>1</v>
      </c>
      <c r="BG1339" s="137">
        <f>VLOOKUP($E1339,[2]Current!$A:$AC,27,FALSE)</f>
        <v>76</v>
      </c>
      <c r="BH1339" s="128">
        <f>BG1339/$AS1339</f>
        <v>844.44444444444366</v>
      </c>
      <c r="BI1339" s="130">
        <f>IF(BJ1339&gt;0,1,0)</f>
        <v>1</v>
      </c>
      <c r="BJ1339" s="128">
        <f>VLOOKUP($E1339,[2]Current!$A:$AC,28,FALSE)</f>
        <v>2</v>
      </c>
      <c r="BK1339" s="128">
        <f>BJ1339/$AS1339</f>
        <v>22.222222222222204</v>
      </c>
      <c r="BL1339" s="128">
        <f>IF(BM1339&gt;0,1,0)</f>
        <v>0</v>
      </c>
      <c r="BM1339" s="128">
        <f>SUM(BR1339,BU1339,BX1339,CA1339,CD1339)</f>
        <v>0</v>
      </c>
      <c r="BN1339" s="131">
        <f>SUM(BT1339,BW1339,BZ1339,CC1339,CF1339)</f>
        <v>0</v>
      </c>
      <c r="BO1339" s="128">
        <f>IF(BP1339&gt;0,1,0)</f>
        <v>0</v>
      </c>
      <c r="BP1339" s="128">
        <f>BM1339+CJ1339</f>
        <v>0</v>
      </c>
      <c r="BQ1339" s="128">
        <f>BN1339+CL1339</f>
        <v>0</v>
      </c>
      <c r="BR1339" s="130">
        <f>IF(BS1339&gt;0,1,0)</f>
        <v>0</v>
      </c>
      <c r="BS1339" s="128">
        <f>VLOOKUP($E1339,[2]Current!$A:$AC,12,FALSE)</f>
        <v>0</v>
      </c>
      <c r="BT1339" s="137">
        <f>BS1339/$AS1339</f>
        <v>0</v>
      </c>
      <c r="BU1339" s="130">
        <f>IF(BV1339&gt;0,1,0)</f>
        <v>0</v>
      </c>
      <c r="BV1339" s="128">
        <f>VLOOKUP($E1339,[2]Current!$A:$AC,13,FALSE)</f>
        <v>0</v>
      </c>
      <c r="BW1339" s="128">
        <f>BV1339/$AS1339</f>
        <v>0</v>
      </c>
      <c r="BX1339" s="130">
        <f>IF(BY1339&gt;0,1,0)</f>
        <v>0</v>
      </c>
      <c r="BY1339" s="128">
        <f>VLOOKUP($E1339,[2]Current!$A:$AC,14,FALSE)</f>
        <v>0</v>
      </c>
      <c r="BZ1339" s="128">
        <f>BY1339/$AS1339</f>
        <v>0</v>
      </c>
      <c r="CA1339" s="130">
        <f>IF(CB1339&gt;0,1,0)</f>
        <v>0</v>
      </c>
      <c r="CB1339" s="128">
        <f>VLOOKUP($E1339,[2]Current!$A:$AC,15,FALSE)</f>
        <v>0</v>
      </c>
      <c r="CC1339" s="128">
        <f>CB1339/$AS1339</f>
        <v>0</v>
      </c>
      <c r="CD1339" s="174">
        <f>IF(CE1339&gt;0,1,0)</f>
        <v>0</v>
      </c>
      <c r="CE1339" s="128">
        <f>VLOOKUP($E1339,[2]Current!$A:$AC,16,FALSE)</f>
        <v>0</v>
      </c>
      <c r="CF1339" s="128">
        <f>CE1339/$AS1339</f>
        <v>0</v>
      </c>
      <c r="CG1339" s="18"/>
      <c r="CH1339" s="18"/>
      <c r="CI1339" s="18"/>
      <c r="CJ1339" s="130">
        <f>IF(CK1339&gt;0,1,0)</f>
        <v>0</v>
      </c>
      <c r="CK1339" s="128">
        <f>VLOOKUP($E1339,[2]Current!$A:$AC,18,FALSE)</f>
        <v>0</v>
      </c>
      <c r="CL1339" s="128">
        <f>CK1339/$AS1339</f>
        <v>0</v>
      </c>
      <c r="CS1339" s="130">
        <f>IF(CU1339&gt;0,1,0)</f>
        <v>0</v>
      </c>
      <c r="CU1339" s="128">
        <f>VLOOKUP($E1339,[2]Current!$A:$AC,17,FALSE)</f>
        <v>0</v>
      </c>
      <c r="CV1339" s="128">
        <f>CU1339/$AS1339</f>
        <v>0</v>
      </c>
      <c r="CW1339" s="18"/>
      <c r="CX1339" s="18"/>
      <c r="CY1339" s="18"/>
      <c r="DF1339" s="16" t="e">
        <f>VLOOKUP(K1339,'[3]RNA Seq summary tables'!$V$3:$V$99,1,FALSE)</f>
        <v>#N/A</v>
      </c>
      <c r="DG1339" s="126" t="s">
        <v>116</v>
      </c>
    </row>
    <row r="1340" spans="1:288" s="18" customFormat="1" ht="16" x14ac:dyDescent="0.2">
      <c r="B1340" s="16">
        <v>2018</v>
      </c>
      <c r="C1340" s="124">
        <v>43296</v>
      </c>
      <c r="D1340" t="s">
        <v>996</v>
      </c>
      <c r="E1340" s="37" t="str">
        <f>CONCATENATE(T1340,"-",U1340,"-",C1340)</f>
        <v>PO2-G6-43296</v>
      </c>
      <c r="F1340" s="16" t="s">
        <v>227</v>
      </c>
      <c r="G1340" s="126" t="s">
        <v>107</v>
      </c>
      <c r="H1340" s="126"/>
      <c r="I1340" s="16"/>
      <c r="J1340" s="126">
        <v>1473</v>
      </c>
      <c r="K1340" s="126">
        <v>2628</v>
      </c>
      <c r="L1340" s="16"/>
      <c r="M1340" s="21"/>
      <c r="N1340" s="21"/>
      <c r="O1340" s="15" t="s">
        <v>214</v>
      </c>
      <c r="P1340" s="16"/>
      <c r="Q1340" s="16">
        <f t="shared" si="8"/>
        <v>1</v>
      </c>
      <c r="R1340" s="16">
        <f t="shared" ref="R1340:R1403" si="9">IF(J1340=J1339,C1340-C1339,"")</f>
        <v>13</v>
      </c>
      <c r="S1340" s="16"/>
      <c r="T1340" s="126" t="s">
        <v>127</v>
      </c>
      <c r="U1340" s="126" t="s">
        <v>218</v>
      </c>
      <c r="V1340" s="126" t="s">
        <v>114</v>
      </c>
      <c r="W1340" s="16"/>
      <c r="X1340" s="126" t="s">
        <v>121</v>
      </c>
      <c r="Y1340" s="126" t="s">
        <v>110</v>
      </c>
      <c r="Z1340" s="126">
        <v>3</v>
      </c>
      <c r="AA1340" s="126" t="s">
        <v>119</v>
      </c>
      <c r="AB1340" s="126" t="s">
        <v>123</v>
      </c>
      <c r="AC1340" s="126" t="s">
        <v>123</v>
      </c>
      <c r="AD1340" s="126"/>
      <c r="AE1340" s="126"/>
      <c r="AF1340" s="16"/>
      <c r="AG1340" s="40">
        <f>AH1340-AI1340</f>
        <v>89</v>
      </c>
      <c r="AH1340" s="126">
        <v>160</v>
      </c>
      <c r="AI1340" s="126">
        <v>71</v>
      </c>
      <c r="AJ1340" s="16"/>
      <c r="AK1340" s="126">
        <v>18.5</v>
      </c>
      <c r="AL1340" s="126">
        <v>0</v>
      </c>
      <c r="AM1340" s="126">
        <v>0</v>
      </c>
      <c r="AN1340" s="126">
        <v>0</v>
      </c>
      <c r="AO1340" s="16">
        <f>IF(SUM(AL1340:AN1340)&gt;0,1,0)</f>
        <v>0</v>
      </c>
      <c r="AP1340" s="18">
        <f>SUM(AL1340:AN1340)</f>
        <v>0</v>
      </c>
      <c r="AQ1340" s="16"/>
      <c r="AR1340" s="16">
        <v>0.20700000000000007</v>
      </c>
      <c r="AS1340" s="16">
        <f>VLOOKUP(E1340,'[1]Feces weights'!$D$1:$H$459,5,FALSE)</f>
        <v>0.20700000000000007</v>
      </c>
      <c r="AT1340" s="16" t="str">
        <f>VLOOKUP(E1340,[2]Current!$A$1:$W$435,7,FALSE)</f>
        <v>TE</v>
      </c>
      <c r="AU1340" s="16" t="s">
        <v>1288</v>
      </c>
      <c r="AV1340" s="23"/>
      <c r="AW1340" s="128">
        <f>IF(AX1340&gt;0,1,0)</f>
        <v>1</v>
      </c>
      <c r="AX1340" s="128">
        <f>SUM(BA1340,BM1340,CU1340)</f>
        <v>3</v>
      </c>
      <c r="AY1340" s="128">
        <f>SUM(BB1340,BN1340,CV1340)</f>
        <v>2222.2222222222217</v>
      </c>
      <c r="AZ1340" s="128">
        <f>IF(BA1340&gt;0,1,0)</f>
        <v>1</v>
      </c>
      <c r="BA1340" s="128">
        <f>SUM(BC1340+BF1340+BI1340)</f>
        <v>3</v>
      </c>
      <c r="BB1340" s="128">
        <f>SUM(BE1340,BH1340,BK1340)</f>
        <v>2222.2222222222217</v>
      </c>
      <c r="BC1340" s="130">
        <f>IF(BD1340&gt;0,1,0)</f>
        <v>1</v>
      </c>
      <c r="BD1340" s="128">
        <f>VLOOKUP($E1340,[2]Current!$A:$AC,26,FALSE)</f>
        <v>56</v>
      </c>
      <c r="BE1340" s="128">
        <f>BD1340/$AS1340</f>
        <v>270.53140096618347</v>
      </c>
      <c r="BF1340" s="130">
        <f>IF(BG1340&gt;0,1,0)</f>
        <v>1</v>
      </c>
      <c r="BG1340" s="137">
        <f>VLOOKUP($E1340,[2]Current!$A:$AC,27,FALSE)</f>
        <v>66</v>
      </c>
      <c r="BH1340" s="128">
        <f>BG1340/$AS1340</f>
        <v>318.84057971014482</v>
      </c>
      <c r="BI1340" s="130">
        <f>IF(BJ1340&gt;0,1,0)</f>
        <v>1</v>
      </c>
      <c r="BJ1340" s="128">
        <f>VLOOKUP($E1340,[2]Current!$A:$AC,28,FALSE)</f>
        <v>338</v>
      </c>
      <c r="BK1340" s="128">
        <f>BJ1340/$AS1340</f>
        <v>1632.8502415458931</v>
      </c>
      <c r="BL1340" s="128">
        <f>IF(BM1340&gt;0,1,0)</f>
        <v>0</v>
      </c>
      <c r="BM1340" s="128">
        <f>SUM(BR1340,BU1340,BX1340,CA1340,CD1340)</f>
        <v>0</v>
      </c>
      <c r="BN1340" s="131">
        <f>SUM(BT1340,BW1340,BZ1340,CC1340,CF1340)</f>
        <v>0</v>
      </c>
      <c r="BO1340" s="128">
        <f>IF(BP1340&gt;0,1,0)</f>
        <v>0</v>
      </c>
      <c r="BP1340" s="128">
        <f>BM1340+CJ1340</f>
        <v>0</v>
      </c>
      <c r="BQ1340" s="128">
        <f>BN1340+CL1340</f>
        <v>0</v>
      </c>
      <c r="BR1340" s="130">
        <f>IF(BS1340&gt;0,1,0)</f>
        <v>0</v>
      </c>
      <c r="BS1340" s="128">
        <f>VLOOKUP($E1340,[2]Current!$A:$AC,12,FALSE)</f>
        <v>0</v>
      </c>
      <c r="BT1340" s="137">
        <f>BS1340/$AS1340</f>
        <v>0</v>
      </c>
      <c r="BU1340" s="130">
        <f>IF(BV1340&gt;0,1,0)</f>
        <v>0</v>
      </c>
      <c r="BV1340" s="128">
        <f>VLOOKUP($E1340,[2]Current!$A:$AC,13,FALSE)</f>
        <v>0</v>
      </c>
      <c r="BW1340" s="128">
        <f>BV1340/$AS1340</f>
        <v>0</v>
      </c>
      <c r="BX1340" s="130">
        <f>IF(BY1340&gt;0,1,0)</f>
        <v>0</v>
      </c>
      <c r="BY1340" s="128">
        <f>VLOOKUP($E1340,[2]Current!$A:$AC,14,FALSE)</f>
        <v>0</v>
      </c>
      <c r="BZ1340" s="128">
        <f>BY1340/$AS1340</f>
        <v>0</v>
      </c>
      <c r="CA1340" s="130">
        <f>IF(CB1340&gt;0,1,0)</f>
        <v>0</v>
      </c>
      <c r="CB1340" s="128">
        <f>VLOOKUP($E1340,[2]Current!$A:$AC,15,FALSE)</f>
        <v>0</v>
      </c>
      <c r="CC1340" s="128">
        <f>CB1340/$AS1340</f>
        <v>0</v>
      </c>
      <c r="CD1340" s="174">
        <f>IF(CE1340&gt;0,1,0)</f>
        <v>0</v>
      </c>
      <c r="CE1340" s="128">
        <f>VLOOKUP($E1340,[2]Current!$A:$AC,16,FALSE)</f>
        <v>0</v>
      </c>
      <c r="CF1340" s="128">
        <f>CE1340/$AS1340</f>
        <v>0</v>
      </c>
      <c r="CJ1340" s="130">
        <f>IF(CK1340&gt;0,1,0)</f>
        <v>0</v>
      </c>
      <c r="CK1340" s="128">
        <f>VLOOKUP($E1340,[2]Current!$A:$AC,18,FALSE)</f>
        <v>0</v>
      </c>
      <c r="CL1340" s="128">
        <f>CK1340/$AS1340</f>
        <v>0</v>
      </c>
      <c r="CM1340" s="16"/>
      <c r="CN1340" s="16"/>
      <c r="CO1340" s="16"/>
      <c r="CP1340" s="16"/>
      <c r="CQ1340" s="16"/>
      <c r="CR1340" s="16"/>
      <c r="CS1340" s="130">
        <f>IF(CU1340&gt;0,1,0)</f>
        <v>0</v>
      </c>
      <c r="CT1340" s="16"/>
      <c r="CU1340" s="128">
        <f>VLOOKUP($E1340,[2]Current!$A:$AC,17,FALSE)</f>
        <v>0</v>
      </c>
      <c r="CV1340" s="128">
        <f>CU1340/$AS1340</f>
        <v>0</v>
      </c>
      <c r="CZ1340" s="16"/>
      <c r="DA1340" s="16"/>
      <c r="DB1340" s="16"/>
      <c r="DC1340" s="16"/>
      <c r="DD1340" s="16"/>
      <c r="DE1340" s="16"/>
      <c r="DF1340" s="16" t="e">
        <f>VLOOKUP(K1340,'[3]RNA Seq summary tables'!$V$3:$V$99,1,FALSE)</f>
        <v>#N/A</v>
      </c>
      <c r="DG1340" s="126" t="s">
        <v>116</v>
      </c>
      <c r="DH1340" s="16"/>
      <c r="DI1340" s="16"/>
      <c r="DJ1340" s="16"/>
      <c r="DK1340" s="16"/>
      <c r="DL1340" s="16"/>
      <c r="DM1340" s="16"/>
      <c r="DN1340" s="16"/>
      <c r="DO1340" s="16"/>
      <c r="DP1340" s="16"/>
      <c r="DQ1340" s="16"/>
      <c r="DR1340" s="16"/>
      <c r="DS1340" s="16"/>
      <c r="JO1340" s="16"/>
      <c r="JP1340" s="16"/>
      <c r="JQ1340" s="16"/>
    </row>
    <row r="1341" spans="1:288" ht="16" x14ac:dyDescent="0.2">
      <c r="B1341" s="16">
        <v>2018</v>
      </c>
      <c r="C1341" s="147">
        <v>43315</v>
      </c>
      <c r="D1341" t="s">
        <v>1246</v>
      </c>
      <c r="E1341" s="20" t="str">
        <f>CONCATENATE(T1341,"-",U1341,"-",C1341)</f>
        <v>PO2-H4-43315</v>
      </c>
      <c r="F1341" s="16" t="s">
        <v>227</v>
      </c>
      <c r="G1341" s="145" t="s">
        <v>107</v>
      </c>
      <c r="H1341" s="145"/>
      <c r="I1341" s="145"/>
      <c r="J1341" s="145">
        <v>1473</v>
      </c>
      <c r="K1341" s="145">
        <v>2745</v>
      </c>
      <c r="M1341" s="16"/>
      <c r="N1341" s="16"/>
      <c r="O1341" s="15" t="s">
        <v>214</v>
      </c>
      <c r="Q1341" s="16">
        <f t="shared" si="8"/>
        <v>1</v>
      </c>
      <c r="R1341" s="16">
        <f t="shared" si="9"/>
        <v>19</v>
      </c>
      <c r="S1341" s="145"/>
      <c r="T1341" s="145" t="s">
        <v>127</v>
      </c>
      <c r="U1341" s="145" t="s">
        <v>151</v>
      </c>
      <c r="V1341" s="145" t="s">
        <v>114</v>
      </c>
      <c r="W1341" s="145"/>
      <c r="X1341" s="145" t="s">
        <v>121</v>
      </c>
      <c r="Y1341" s="145" t="s">
        <v>110</v>
      </c>
      <c r="Z1341" s="145">
        <v>3</v>
      </c>
      <c r="AA1341" s="145" t="s">
        <v>161</v>
      </c>
      <c r="AB1341" s="145" t="s">
        <v>116</v>
      </c>
      <c r="AC1341" s="145" t="s">
        <v>123</v>
      </c>
      <c r="AD1341" s="145"/>
      <c r="AE1341" s="145"/>
      <c r="AF1341" s="145"/>
      <c r="AG1341" s="145">
        <f>AH1341-AI1341</f>
        <v>83</v>
      </c>
      <c r="AH1341" s="145">
        <v>154</v>
      </c>
      <c r="AI1341" s="145">
        <v>71</v>
      </c>
      <c r="AJ1341" s="145"/>
      <c r="AK1341" s="145">
        <v>20</v>
      </c>
      <c r="AL1341" s="145">
        <v>0</v>
      </c>
      <c r="AM1341" s="145">
        <v>0</v>
      </c>
      <c r="AN1341" s="145">
        <v>0</v>
      </c>
      <c r="AO1341" s="16">
        <f>IF(SUM(AL1341:AN1341)&gt;0, 1,0)</f>
        <v>0</v>
      </c>
      <c r="AP1341" s="16">
        <f>SUM(AL1341:AN1341)</f>
        <v>0</v>
      </c>
      <c r="AS1341" s="16">
        <f>VLOOKUP(E1341,'[1]Feces weights'!$D$1:$H$459,5,FALSE)</f>
        <v>0.30900000000000016</v>
      </c>
      <c r="AT1341" s="16" t="e">
        <f>VLOOKUP(E1341,[2]Current!$A$1:$W$435,7,FALSE)</f>
        <v>#N/A</v>
      </c>
      <c r="BG1341" s="77"/>
      <c r="BT1341" s="77"/>
      <c r="CD1341" s="77"/>
      <c r="DG1341" s="145" t="s">
        <v>116</v>
      </c>
      <c r="DT1341" s="145" t="s">
        <v>123</v>
      </c>
      <c r="DU1341" s="145"/>
      <c r="DX1341" s="145"/>
      <c r="DY1341" s="145"/>
      <c r="DZ1341" s="16"/>
      <c r="EA1341" s="16"/>
      <c r="EB1341" s="16"/>
      <c r="EC1341" s="16"/>
      <c r="ED1341" s="16"/>
      <c r="EE1341" s="16"/>
      <c r="EF1341" s="16"/>
      <c r="JO1341" s="18"/>
      <c r="JP1341" s="18"/>
      <c r="JQ1341" s="18"/>
      <c r="JR1341" s="18"/>
      <c r="JS1341" s="18"/>
      <c r="JT1341" s="18"/>
      <c r="JU1341" s="18"/>
      <c r="JV1341" s="18"/>
      <c r="JW1341" s="18"/>
      <c r="JX1341" s="18"/>
      <c r="JY1341" s="18"/>
      <c r="JZ1341" s="18"/>
      <c r="KA1341" s="18"/>
    </row>
    <row r="1342" spans="1:288" ht="16" x14ac:dyDescent="0.2">
      <c r="B1342" s="16">
        <v>2018</v>
      </c>
      <c r="C1342" s="124">
        <v>43261</v>
      </c>
      <c r="D1342" t="s">
        <v>791</v>
      </c>
      <c r="E1342" s="37" t="str">
        <f>CONCATENATE(T1342,"-",U1342,"-",C1342)</f>
        <v>HW2-H2-43261</v>
      </c>
      <c r="F1342" s="16" t="s">
        <v>227</v>
      </c>
      <c r="G1342" s="126" t="s">
        <v>107</v>
      </c>
      <c r="H1342" s="126"/>
      <c r="J1342" s="126">
        <v>1477</v>
      </c>
      <c r="K1342" s="126">
        <v>2430</v>
      </c>
      <c r="O1342" s="15" t="s">
        <v>214</v>
      </c>
      <c r="Q1342" s="16">
        <f t="shared" si="8"/>
        <v>0</v>
      </c>
      <c r="R1342" s="16" t="str">
        <f t="shared" si="9"/>
        <v/>
      </c>
      <c r="T1342" s="126" t="s">
        <v>129</v>
      </c>
      <c r="U1342" s="126" t="s">
        <v>190</v>
      </c>
      <c r="V1342" s="126" t="s">
        <v>114</v>
      </c>
      <c r="X1342" s="126" t="s">
        <v>115</v>
      </c>
      <c r="Y1342" s="126" t="s">
        <v>110</v>
      </c>
      <c r="Z1342" s="126">
        <v>3</v>
      </c>
      <c r="AA1342" s="126"/>
      <c r="AB1342" s="126"/>
      <c r="AC1342" s="126"/>
      <c r="AD1342" s="126"/>
      <c r="AE1342" s="126" t="s">
        <v>116</v>
      </c>
      <c r="AG1342" s="16">
        <f>AH1342-AI1342</f>
        <v>91</v>
      </c>
      <c r="AH1342" s="126">
        <v>163</v>
      </c>
      <c r="AI1342" s="126">
        <v>72</v>
      </c>
      <c r="AK1342" s="126">
        <v>23.5</v>
      </c>
      <c r="AL1342" s="126">
        <v>1</v>
      </c>
      <c r="AM1342" s="126">
        <v>1</v>
      </c>
      <c r="AN1342" s="126">
        <v>0</v>
      </c>
      <c r="AO1342" s="16">
        <f>IF(SUM(AL1342:AN1342)&gt;0,1,0)</f>
        <v>1</v>
      </c>
      <c r="AP1342" s="18">
        <f>SUM(AL1342:AN1342)</f>
        <v>2</v>
      </c>
      <c r="AR1342" s="16">
        <v>0.12200000000000011</v>
      </c>
      <c r="AS1342" s="16">
        <f>VLOOKUP(E1342,'[1]Feces weights'!$D$1:$H$459,5,FALSE)</f>
        <v>0.12200000000000011</v>
      </c>
      <c r="AT1342" s="16" t="str">
        <f>VLOOKUP(E1342,[2]Current!$A$1:$W$435,7,FALSE)</f>
        <v>IS</v>
      </c>
      <c r="AU1342" s="16" t="s">
        <v>1288</v>
      </c>
      <c r="AW1342" s="128">
        <f>IF(AX1342&gt;0,1,0)</f>
        <v>1</v>
      </c>
      <c r="AX1342" s="128">
        <f>SUM(BA1342,BM1342,CU1342)</f>
        <v>2</v>
      </c>
      <c r="AY1342" s="128">
        <f>SUM(BB1342,BN1342,CV1342)</f>
        <v>442.62295081967176</v>
      </c>
      <c r="AZ1342" s="128">
        <f>IF(BA1342&gt;0,1,0)</f>
        <v>1</v>
      </c>
      <c r="BA1342" s="128">
        <f>SUM(BC1342+BF1342+BI1342)</f>
        <v>2</v>
      </c>
      <c r="BB1342" s="128">
        <f>SUM(BE1342,BH1342,BK1342)</f>
        <v>442.62295081967176</v>
      </c>
      <c r="BC1342" s="130">
        <f>IF(BD1342&gt;0,1,0)</f>
        <v>1</v>
      </c>
      <c r="BD1342" s="128">
        <f>VLOOKUP($E1342,[2]Current!$A:$AC,26,FALSE)</f>
        <v>2</v>
      </c>
      <c r="BE1342" s="128">
        <f>BD1342/$AS1342</f>
        <v>16.393442622950804</v>
      </c>
      <c r="BF1342" s="130">
        <f>IF(BG1342&gt;0,1,0)</f>
        <v>1</v>
      </c>
      <c r="BG1342" s="137">
        <f>VLOOKUP($E1342,[2]Current!$A:$AC,27,FALSE)</f>
        <v>52</v>
      </c>
      <c r="BH1342" s="128">
        <f>BG1342/$AS1342</f>
        <v>426.22950819672093</v>
      </c>
      <c r="BI1342" s="130">
        <f>IF(BJ1342&gt;0,1,0)</f>
        <v>0</v>
      </c>
      <c r="BJ1342" s="128">
        <f>VLOOKUP($E1342,[2]Current!$A:$AC,28,FALSE)</f>
        <v>0</v>
      </c>
      <c r="BK1342" s="128">
        <f>BJ1342/$AS1342</f>
        <v>0</v>
      </c>
      <c r="BL1342" s="128">
        <f>IF(BM1342&gt;0,1,0)</f>
        <v>0</v>
      </c>
      <c r="BM1342" s="128">
        <f>SUM(BR1342,BU1342,BX1342,CA1342,CD1342)</f>
        <v>0</v>
      </c>
      <c r="BN1342" s="131">
        <f>SUM(BT1342,BW1342,BZ1342,CC1342,CF1342)</f>
        <v>0</v>
      </c>
      <c r="BO1342" s="128">
        <f>IF(BP1342&gt;0,1,0)</f>
        <v>1</v>
      </c>
      <c r="BP1342" s="128">
        <f>BM1342+CJ1342</f>
        <v>1</v>
      </c>
      <c r="BQ1342" s="128">
        <f>BN1342+CL1342</f>
        <v>8.1967213114754021</v>
      </c>
      <c r="BR1342" s="130">
        <f>IF(BS1342&gt;0,1,0)</f>
        <v>0</v>
      </c>
      <c r="BS1342" s="128">
        <f>VLOOKUP($E1342,[2]Current!$A:$AC,12,FALSE)</f>
        <v>0</v>
      </c>
      <c r="BT1342" s="137">
        <f>BS1342/$AS1342</f>
        <v>0</v>
      </c>
      <c r="BU1342" s="130">
        <f>IF(BV1342&gt;0,1,0)</f>
        <v>0</v>
      </c>
      <c r="BV1342" s="128">
        <f>VLOOKUP($E1342,[2]Current!$A:$AC,13,FALSE)</f>
        <v>0</v>
      </c>
      <c r="BW1342" s="128">
        <f>BV1342/$AS1342</f>
        <v>0</v>
      </c>
      <c r="BX1342" s="130">
        <f>IF(BY1342&gt;0,1,0)</f>
        <v>0</v>
      </c>
      <c r="BY1342" s="128">
        <f>VLOOKUP($E1342,[2]Current!$A:$AC,14,FALSE)</f>
        <v>0</v>
      </c>
      <c r="BZ1342" s="128">
        <f>BY1342/$AS1342</f>
        <v>0</v>
      </c>
      <c r="CA1342" s="130">
        <f>IF(CB1342&gt;0,1,0)</f>
        <v>0</v>
      </c>
      <c r="CB1342" s="128">
        <f>VLOOKUP($E1342,[2]Current!$A:$AC,15,FALSE)</f>
        <v>0</v>
      </c>
      <c r="CC1342" s="128">
        <f>CB1342/$AS1342</f>
        <v>0</v>
      </c>
      <c r="CD1342" s="174">
        <f>IF(CE1342&gt;0,1,0)</f>
        <v>0</v>
      </c>
      <c r="CE1342" s="128">
        <f>VLOOKUP($E1342,[2]Current!$A:$AC,16,FALSE)</f>
        <v>0</v>
      </c>
      <c r="CF1342" s="128">
        <f>CE1342/$AS1342</f>
        <v>0</v>
      </c>
      <c r="CG1342" s="18"/>
      <c r="CH1342" s="18"/>
      <c r="CI1342" s="18"/>
      <c r="CJ1342" s="130">
        <f>IF(CK1342&gt;0,1,0)</f>
        <v>1</v>
      </c>
      <c r="CK1342" s="128">
        <f>VLOOKUP($E1342,[2]Current!$A:$AC,18,FALSE)</f>
        <v>1</v>
      </c>
      <c r="CL1342" s="128">
        <f>CK1342/$AS1342</f>
        <v>8.1967213114754021</v>
      </c>
      <c r="CS1342" s="130">
        <f>IF(CU1342&gt;0,1,0)</f>
        <v>0</v>
      </c>
      <c r="CU1342" s="128">
        <f>VLOOKUP($E1342,[2]Current!$A:$AC,17,FALSE)</f>
        <v>0</v>
      </c>
      <c r="CV1342" s="128">
        <f>CU1342/$AS1342</f>
        <v>0</v>
      </c>
      <c r="CW1342" s="18"/>
      <c r="CX1342" s="18"/>
      <c r="CY1342" s="18"/>
      <c r="DF1342" s="16" t="e">
        <f>VLOOKUP(K1342,'[3]RNA Seq summary tables'!$V$3:$V$99,1,FALSE)</f>
        <v>#N/A</v>
      </c>
      <c r="DG1342" s="126" t="s">
        <v>116</v>
      </c>
    </row>
    <row r="1343" spans="1:288" ht="16" x14ac:dyDescent="0.2">
      <c r="B1343" s="16">
        <v>2018</v>
      </c>
      <c r="C1343" s="124">
        <v>43262</v>
      </c>
      <c r="D1343" t="s">
        <v>793</v>
      </c>
      <c r="E1343" s="37" t="str">
        <f>CONCATENATE(T1343,"-",U1343,"-",C1343)</f>
        <v>HW1-F2-43262</v>
      </c>
      <c r="F1343" s="16" t="s">
        <v>227</v>
      </c>
      <c r="G1343" s="126" t="s">
        <v>107</v>
      </c>
      <c r="H1343" s="126"/>
      <c r="J1343" s="126">
        <v>1479</v>
      </c>
      <c r="K1343" s="126">
        <v>2433</v>
      </c>
      <c r="O1343" s="15" t="s">
        <v>214</v>
      </c>
      <c r="Q1343" s="16">
        <f t="shared" si="8"/>
        <v>0</v>
      </c>
      <c r="R1343" s="16" t="str">
        <f t="shared" si="9"/>
        <v/>
      </c>
      <c r="T1343" s="126" t="s">
        <v>133</v>
      </c>
      <c r="U1343" s="126" t="s">
        <v>187</v>
      </c>
      <c r="V1343" s="126" t="s">
        <v>114</v>
      </c>
      <c r="X1343" s="126" t="s">
        <v>121</v>
      </c>
      <c r="Y1343" s="126" t="s">
        <v>122</v>
      </c>
      <c r="Z1343" s="126">
        <v>2.6</v>
      </c>
      <c r="AA1343" s="126" t="s">
        <v>161</v>
      </c>
      <c r="AB1343" s="126" t="s">
        <v>123</v>
      </c>
      <c r="AC1343" s="126" t="s">
        <v>123</v>
      </c>
      <c r="AD1343" s="126"/>
      <c r="AE1343" s="126"/>
      <c r="AG1343" s="16">
        <f>AH1343-AI1343</f>
        <v>73</v>
      </c>
      <c r="AH1343" s="126">
        <v>142</v>
      </c>
      <c r="AI1343" s="126">
        <v>69</v>
      </c>
      <c r="AK1343" s="126">
        <v>16</v>
      </c>
      <c r="AL1343" s="126">
        <v>0</v>
      </c>
      <c r="AM1343" s="126">
        <v>0</v>
      </c>
      <c r="AN1343" s="126">
        <v>0</v>
      </c>
      <c r="AO1343" s="16">
        <f>IF(SUM(AL1343:AN1343)&gt;0,1,0)</f>
        <v>0</v>
      </c>
      <c r="AP1343" s="18">
        <f>SUM(AL1343:AN1343)</f>
        <v>0</v>
      </c>
      <c r="AR1343" s="16">
        <v>0.129</v>
      </c>
      <c r="AS1343" s="16">
        <f>VLOOKUP(E1343,'[1]Feces weights'!$D$1:$H$459,5,FALSE)</f>
        <v>0.129</v>
      </c>
      <c r="AT1343" s="16" t="str">
        <f>VLOOKUP(E1343,[2]Current!$A$1:$W$435,7,FALSE)</f>
        <v>LV</v>
      </c>
      <c r="AU1343" s="16" t="s">
        <v>1288</v>
      </c>
      <c r="AW1343" s="128">
        <f>IF(AX1343&gt;0,1,0)</f>
        <v>1</v>
      </c>
      <c r="AX1343" s="128">
        <f>SUM(BA1343,BM1343,CU1343)</f>
        <v>1</v>
      </c>
      <c r="AY1343" s="128">
        <f>SUM(BB1343,BN1343,CV1343)</f>
        <v>403.10077519379843</v>
      </c>
      <c r="AZ1343" s="128">
        <f>IF(BA1343&gt;0,1,0)</f>
        <v>1</v>
      </c>
      <c r="BA1343" s="128">
        <f>SUM(BC1343+BF1343+BI1343)</f>
        <v>1</v>
      </c>
      <c r="BB1343" s="128">
        <f>SUM(BE1343,BH1343,BK1343)</f>
        <v>403.10077519379843</v>
      </c>
      <c r="BC1343" s="130">
        <f>IF(BD1343&gt;0,1,0)</f>
        <v>0</v>
      </c>
      <c r="BD1343" s="128">
        <f>VLOOKUP($E1343,[2]Current!$A:$AC,26,FALSE)</f>
        <v>0</v>
      </c>
      <c r="BE1343" s="128">
        <f>BD1343/$AS1343</f>
        <v>0</v>
      </c>
      <c r="BF1343" s="130">
        <f>IF(BG1343&gt;0,1,0)</f>
        <v>1</v>
      </c>
      <c r="BG1343" s="137">
        <f>VLOOKUP($E1343,[2]Current!$A:$AC,27,FALSE)</f>
        <v>52</v>
      </c>
      <c r="BH1343" s="128">
        <f>BG1343/$AS1343</f>
        <v>403.10077519379843</v>
      </c>
      <c r="BI1343" s="130">
        <f>IF(BJ1343&gt;0,1,0)</f>
        <v>0</v>
      </c>
      <c r="BJ1343" s="128">
        <f>VLOOKUP($E1343,[2]Current!$A:$AC,28,FALSE)</f>
        <v>0</v>
      </c>
      <c r="BK1343" s="128">
        <f>BJ1343/$AS1343</f>
        <v>0</v>
      </c>
      <c r="BL1343" s="128">
        <f>IF(BM1343&gt;0,1,0)</f>
        <v>0</v>
      </c>
      <c r="BM1343" s="128">
        <f>SUM(BR1343,BU1343,BX1343,CA1343,CD1343)</f>
        <v>0</v>
      </c>
      <c r="BN1343" s="131">
        <f>SUM(BT1343,BW1343,BZ1343,CC1343,CF1343)</f>
        <v>0</v>
      </c>
      <c r="BO1343" s="128">
        <f>IF(BP1343&gt;0,1,0)</f>
        <v>0</v>
      </c>
      <c r="BP1343" s="128">
        <f>BM1343+CJ1343</f>
        <v>0</v>
      </c>
      <c r="BQ1343" s="128">
        <f>BN1343+CL1343</f>
        <v>0</v>
      </c>
      <c r="BR1343" s="130">
        <f>IF(BS1343&gt;0,1,0)</f>
        <v>0</v>
      </c>
      <c r="BS1343" s="128">
        <f>VLOOKUP($E1343,[2]Current!$A:$AC,12,FALSE)</f>
        <v>0</v>
      </c>
      <c r="BT1343" s="137">
        <f>BS1343/$AS1343</f>
        <v>0</v>
      </c>
      <c r="BU1343" s="130">
        <f>IF(BV1343&gt;0,1,0)</f>
        <v>0</v>
      </c>
      <c r="BV1343" s="128">
        <f>VLOOKUP($E1343,[2]Current!$A:$AC,13,FALSE)</f>
        <v>0</v>
      </c>
      <c r="BW1343" s="128">
        <f>BV1343/$AS1343</f>
        <v>0</v>
      </c>
      <c r="BX1343" s="130">
        <f>IF(BY1343&gt;0,1,0)</f>
        <v>0</v>
      </c>
      <c r="BY1343" s="128">
        <f>VLOOKUP($E1343,[2]Current!$A:$AC,14,FALSE)</f>
        <v>0</v>
      </c>
      <c r="BZ1343" s="128">
        <f>BY1343/$AS1343</f>
        <v>0</v>
      </c>
      <c r="CA1343" s="130">
        <f>IF(CB1343&gt;0,1,0)</f>
        <v>0</v>
      </c>
      <c r="CB1343" s="128">
        <f>VLOOKUP($E1343,[2]Current!$A:$AC,15,FALSE)</f>
        <v>0</v>
      </c>
      <c r="CC1343" s="128">
        <f>CB1343/$AS1343</f>
        <v>0</v>
      </c>
      <c r="CD1343" s="174">
        <f>IF(CE1343&gt;0,1,0)</f>
        <v>0</v>
      </c>
      <c r="CE1343" s="128">
        <f>VLOOKUP($E1343,[2]Current!$A:$AC,16,FALSE)</f>
        <v>0</v>
      </c>
      <c r="CF1343" s="128">
        <f>CE1343/$AS1343</f>
        <v>0</v>
      </c>
      <c r="CG1343" s="18"/>
      <c r="CH1343" s="18"/>
      <c r="CI1343" s="18"/>
      <c r="CJ1343" s="130">
        <f>IF(CK1343&gt;0,1,0)</f>
        <v>0</v>
      </c>
      <c r="CK1343" s="128">
        <f>VLOOKUP($E1343,[2]Current!$A:$AC,18,FALSE)</f>
        <v>0</v>
      </c>
      <c r="CL1343" s="128">
        <f>CK1343/$AS1343</f>
        <v>0</v>
      </c>
      <c r="CS1343" s="130">
        <f>IF(CU1343&gt;0,1,0)</f>
        <v>0</v>
      </c>
      <c r="CU1343" s="128">
        <f>VLOOKUP($E1343,[2]Current!$A:$AC,17,FALSE)</f>
        <v>0</v>
      </c>
      <c r="CV1343" s="128">
        <f>CU1343/$AS1343</f>
        <v>0</v>
      </c>
      <c r="CW1343" s="18"/>
      <c r="CX1343" s="18"/>
      <c r="CY1343" s="18"/>
      <c r="DF1343" s="16" t="e">
        <f>VLOOKUP(K1343,'[3]RNA Seq summary tables'!$V$3:$V$99,1,FALSE)</f>
        <v>#N/A</v>
      </c>
      <c r="DG1343" s="125" t="s">
        <v>116</v>
      </c>
    </row>
    <row r="1344" spans="1:288" ht="16" x14ac:dyDescent="0.2">
      <c r="B1344" s="16">
        <v>2018</v>
      </c>
      <c r="C1344" s="124">
        <v>43277</v>
      </c>
      <c r="D1344" t="s">
        <v>864</v>
      </c>
      <c r="E1344" s="37" t="str">
        <f>CONCATENATE(T1344,"-",U1344,"-",C1344)</f>
        <v>HW1-F1-43277</v>
      </c>
      <c r="F1344" s="16" t="s">
        <v>227</v>
      </c>
      <c r="G1344" s="126" t="s">
        <v>107</v>
      </c>
      <c r="H1344" s="126"/>
      <c r="J1344" s="126">
        <v>1479</v>
      </c>
      <c r="K1344" s="126">
        <v>2515</v>
      </c>
      <c r="O1344" s="15" t="s">
        <v>214</v>
      </c>
      <c r="Q1344" s="16">
        <f t="shared" si="8"/>
        <v>1</v>
      </c>
      <c r="R1344" s="16">
        <f t="shared" si="9"/>
        <v>15</v>
      </c>
      <c r="T1344" s="126" t="s">
        <v>133</v>
      </c>
      <c r="U1344" s="126" t="s">
        <v>217</v>
      </c>
      <c r="V1344" s="126" t="s">
        <v>114</v>
      </c>
      <c r="X1344" s="126" t="s">
        <v>121</v>
      </c>
      <c r="Y1344" s="126" t="s">
        <v>110</v>
      </c>
      <c r="Z1344" s="126">
        <v>3</v>
      </c>
      <c r="AA1344" s="126" t="s">
        <v>119</v>
      </c>
      <c r="AB1344" s="126" t="s">
        <v>123</v>
      </c>
      <c r="AC1344" s="126" t="s">
        <v>123</v>
      </c>
      <c r="AD1344" s="126"/>
      <c r="AE1344" s="126"/>
      <c r="AG1344" s="16">
        <f>AH1344-AI1344</f>
        <v>80</v>
      </c>
      <c r="AH1344" s="126">
        <v>149</v>
      </c>
      <c r="AI1344" s="126">
        <v>69</v>
      </c>
      <c r="AK1344" s="126">
        <v>16</v>
      </c>
      <c r="AL1344" s="126">
        <v>0</v>
      </c>
      <c r="AM1344" s="126">
        <v>0</v>
      </c>
      <c r="AN1344" s="126">
        <v>0</v>
      </c>
      <c r="AO1344" s="16">
        <f>IF(SUM(AL1344:AN1344)&gt;0,1,0)</f>
        <v>0</v>
      </c>
      <c r="AP1344" s="18">
        <f>SUM(AL1344:AN1344)</f>
        <v>0</v>
      </c>
      <c r="AR1344" s="16">
        <v>0.20600000000000018</v>
      </c>
      <c r="AS1344" s="16">
        <f>VLOOKUP(E1344,'[1]Feces weights'!$D$1:$H$459,5,FALSE)</f>
        <v>0.20600000000000018</v>
      </c>
      <c r="AT1344" s="16" t="str">
        <f>VLOOKUP(E1344,[2]Current!$A$1:$W$435,7,FALSE)</f>
        <v>JB</v>
      </c>
      <c r="AU1344" s="16" t="s">
        <v>1288</v>
      </c>
      <c r="AW1344" s="128">
        <f>IF(AX1344&gt;0,1,0)</f>
        <v>1</v>
      </c>
      <c r="AX1344" s="128">
        <f>SUM(BA1344,BM1344,CU1344)</f>
        <v>2</v>
      </c>
      <c r="AY1344" s="128">
        <f>SUM(BB1344,BN1344,CV1344)</f>
        <v>9961.1650485436803</v>
      </c>
      <c r="AZ1344" s="128">
        <f>IF(BA1344&gt;0,1,0)</f>
        <v>1</v>
      </c>
      <c r="BA1344" s="128">
        <f>SUM(BC1344+BF1344+BI1344)</f>
        <v>2</v>
      </c>
      <c r="BB1344" s="128">
        <f>SUM(BE1344,BH1344,BK1344)</f>
        <v>9961.1650485436803</v>
      </c>
      <c r="BC1344" s="130">
        <f>IF(BD1344&gt;0,1,0)</f>
        <v>1</v>
      </c>
      <c r="BD1344" s="128">
        <f>VLOOKUP($E1344,[2]Current!$A:$AC,26,FALSE)</f>
        <v>1906</v>
      </c>
      <c r="BE1344" s="128">
        <f>BD1344/$AS1344</f>
        <v>9252.4271844660107</v>
      </c>
      <c r="BF1344" s="130">
        <f>IF(BG1344&gt;0,1,0)</f>
        <v>1</v>
      </c>
      <c r="BG1344" s="137">
        <f>VLOOKUP($E1344,[2]Current!$A:$AC,27,FALSE)</f>
        <v>146</v>
      </c>
      <c r="BH1344" s="128">
        <f>BG1344/$AS1344</f>
        <v>708.73786407766931</v>
      </c>
      <c r="BI1344" s="130">
        <f>IF(BJ1344&gt;0,1,0)</f>
        <v>0</v>
      </c>
      <c r="BJ1344" s="128">
        <f>VLOOKUP($E1344,[2]Current!$A:$AC,28,FALSE)</f>
        <v>0</v>
      </c>
      <c r="BK1344" s="128">
        <f>BJ1344/$AS1344</f>
        <v>0</v>
      </c>
      <c r="BL1344" s="128">
        <f>IF(BM1344&gt;0,1,0)</f>
        <v>0</v>
      </c>
      <c r="BM1344" s="128">
        <f>SUM(BR1344,BU1344,BX1344,CA1344,CD1344)</f>
        <v>0</v>
      </c>
      <c r="BN1344" s="131">
        <f>SUM(BT1344,BW1344,BZ1344,CC1344,CF1344)</f>
        <v>0</v>
      </c>
      <c r="BO1344" s="128">
        <f>IF(BP1344&gt;0,1,0)</f>
        <v>0</v>
      </c>
      <c r="BP1344" s="128">
        <f>BM1344+CJ1344</f>
        <v>0</v>
      </c>
      <c r="BQ1344" s="128">
        <f>BN1344+CL1344</f>
        <v>0</v>
      </c>
      <c r="BR1344" s="130">
        <f>IF(BS1344&gt;0,1,0)</f>
        <v>0</v>
      </c>
      <c r="BS1344" s="128">
        <f>VLOOKUP($E1344,[2]Current!$A:$AC,12,FALSE)</f>
        <v>0</v>
      </c>
      <c r="BT1344" s="137">
        <f>BS1344/$AS1344</f>
        <v>0</v>
      </c>
      <c r="BU1344" s="130">
        <f>IF(BV1344&gt;0,1,0)</f>
        <v>0</v>
      </c>
      <c r="BV1344" s="128">
        <f>VLOOKUP($E1344,[2]Current!$A:$AC,13,FALSE)</f>
        <v>0</v>
      </c>
      <c r="BW1344" s="128">
        <f>BV1344/$AS1344</f>
        <v>0</v>
      </c>
      <c r="BX1344" s="130">
        <f>IF(BY1344&gt;0,1,0)</f>
        <v>0</v>
      </c>
      <c r="BY1344" s="128">
        <f>VLOOKUP($E1344,[2]Current!$A:$AC,14,FALSE)</f>
        <v>0</v>
      </c>
      <c r="BZ1344" s="128">
        <f>BY1344/$AS1344</f>
        <v>0</v>
      </c>
      <c r="CA1344" s="130">
        <f>IF(CB1344&gt;0,1,0)</f>
        <v>0</v>
      </c>
      <c r="CB1344" s="128">
        <f>VLOOKUP($E1344,[2]Current!$A:$AC,15,FALSE)</f>
        <v>0</v>
      </c>
      <c r="CC1344" s="128">
        <f>CB1344/$AS1344</f>
        <v>0</v>
      </c>
      <c r="CD1344" s="174">
        <f>IF(CE1344&gt;0,1,0)</f>
        <v>0</v>
      </c>
      <c r="CE1344" s="128">
        <f>VLOOKUP($E1344,[2]Current!$A:$AC,16,FALSE)</f>
        <v>0</v>
      </c>
      <c r="CF1344" s="128">
        <f>CE1344/$AS1344</f>
        <v>0</v>
      </c>
      <c r="CG1344" s="18"/>
      <c r="CH1344" s="18"/>
      <c r="CI1344" s="18"/>
      <c r="CJ1344" s="130">
        <f>IF(CK1344&gt;0,1,0)</f>
        <v>0</v>
      </c>
      <c r="CK1344" s="128">
        <f>VLOOKUP($E1344,[2]Current!$A:$AC,18,FALSE)</f>
        <v>0</v>
      </c>
      <c r="CL1344" s="128">
        <f>CK1344/$AS1344</f>
        <v>0</v>
      </c>
      <c r="CS1344" s="130">
        <f>IF(CU1344&gt;0,1,0)</f>
        <v>0</v>
      </c>
      <c r="CT1344" s="30"/>
      <c r="CU1344" s="128">
        <f>VLOOKUP($E1344,[2]Current!$A:$AC,17,FALSE)</f>
        <v>0</v>
      </c>
      <c r="CV1344" s="128">
        <f>CU1344/$AS1344</f>
        <v>0</v>
      </c>
      <c r="CW1344" s="18"/>
      <c r="CX1344" s="18"/>
      <c r="CY1344" s="18"/>
      <c r="DF1344" s="16" t="e">
        <f>VLOOKUP(K1344,'[3]RNA Seq summary tables'!$V$3:$V$99,1,FALSE)</f>
        <v>#N/A</v>
      </c>
      <c r="DG1344" s="126" t="s">
        <v>116</v>
      </c>
    </row>
    <row r="1345" spans="2:288" ht="16" x14ac:dyDescent="0.2">
      <c r="B1345" s="16">
        <v>2018</v>
      </c>
      <c r="C1345" s="124">
        <v>43279</v>
      </c>
      <c r="D1345" t="s">
        <v>883</v>
      </c>
      <c r="E1345" s="37" t="str">
        <f>CONCATENATE(T1345,"-",U1345,"-",C1345)</f>
        <v>HW1-G1-43279</v>
      </c>
      <c r="F1345" s="16" t="s">
        <v>227</v>
      </c>
      <c r="G1345" s="126" t="s">
        <v>107</v>
      </c>
      <c r="H1345" s="126"/>
      <c r="J1345" s="126">
        <v>1479</v>
      </c>
      <c r="K1345" s="126">
        <v>2523</v>
      </c>
      <c r="O1345" s="15" t="s">
        <v>214</v>
      </c>
      <c r="Q1345" s="16">
        <f t="shared" si="8"/>
        <v>1</v>
      </c>
      <c r="R1345" s="16">
        <f t="shared" si="9"/>
        <v>2</v>
      </c>
      <c r="T1345" s="126" t="s">
        <v>133</v>
      </c>
      <c r="U1345" s="126" t="s">
        <v>155</v>
      </c>
      <c r="V1345" s="126" t="s">
        <v>114</v>
      </c>
      <c r="X1345" s="126" t="s">
        <v>121</v>
      </c>
      <c r="Y1345" s="126" t="s">
        <v>110</v>
      </c>
      <c r="Z1345" s="126">
        <v>3</v>
      </c>
      <c r="AA1345" s="126" t="s">
        <v>119</v>
      </c>
      <c r="AB1345" s="126" t="s">
        <v>123</v>
      </c>
      <c r="AC1345" s="126" t="s">
        <v>123</v>
      </c>
      <c r="AD1345" s="126"/>
      <c r="AE1345" s="126"/>
      <c r="AG1345" s="16">
        <f>AH1345-AI1345</f>
        <v>86</v>
      </c>
      <c r="AH1345" s="126">
        <v>155</v>
      </c>
      <c r="AI1345" s="126">
        <v>69</v>
      </c>
      <c r="AK1345" s="126">
        <v>16</v>
      </c>
      <c r="AL1345" s="126">
        <v>0</v>
      </c>
      <c r="AM1345" s="126">
        <v>0</v>
      </c>
      <c r="AN1345" s="126">
        <v>0</v>
      </c>
      <c r="AO1345" s="16">
        <f>IF(SUM(AL1345:AN1345)&gt;0,1,0)</f>
        <v>0</v>
      </c>
      <c r="AP1345" s="18">
        <f>SUM(AL1345:AN1345)</f>
        <v>0</v>
      </c>
      <c r="AR1345" s="16">
        <v>0.10000000000000009</v>
      </c>
      <c r="AS1345" s="16">
        <f>VLOOKUP(E1345,'[1]Feces weights'!$D$1:$H$459,5,FALSE)</f>
        <v>0.10000000000000009</v>
      </c>
      <c r="AT1345" s="16" t="str">
        <f>VLOOKUP(E1345,[2]Current!$A$1:$W$435,7,FALSE)</f>
        <v>LV</v>
      </c>
      <c r="AU1345" s="16" t="s">
        <v>1288</v>
      </c>
      <c r="AW1345" s="128">
        <f>IF(AX1345&gt;0,1,0)</f>
        <v>1</v>
      </c>
      <c r="AX1345" s="128">
        <f>SUM(BA1345,BM1345,CU1345)</f>
        <v>1</v>
      </c>
      <c r="AY1345" s="128">
        <f>SUM(BB1345,BN1345,CV1345)</f>
        <v>31059.999999999971</v>
      </c>
      <c r="AZ1345" s="128">
        <f>IF(BA1345&gt;0,1,0)</f>
        <v>1</v>
      </c>
      <c r="BA1345" s="128">
        <f>SUM(BC1345+BF1345+BI1345)</f>
        <v>1</v>
      </c>
      <c r="BB1345" s="128">
        <f>SUM(BE1345,BH1345,BK1345)</f>
        <v>31059.999999999971</v>
      </c>
      <c r="BC1345" s="130">
        <f>IF(BD1345&gt;0,1,0)</f>
        <v>0</v>
      </c>
      <c r="BD1345" s="128">
        <f>VLOOKUP($E1345,[2]Current!$A:$AC,26,FALSE)</f>
        <v>0</v>
      </c>
      <c r="BE1345" s="128">
        <f>BD1345/$AS1345</f>
        <v>0</v>
      </c>
      <c r="BF1345" s="130">
        <f>IF(BG1345&gt;0,1,0)</f>
        <v>1</v>
      </c>
      <c r="BG1345" s="137">
        <f>VLOOKUP($E1345,[2]Current!$A:$AC,27,FALSE)</f>
        <v>3106</v>
      </c>
      <c r="BH1345" s="128">
        <f>BG1345/$AS1345</f>
        <v>31059.999999999971</v>
      </c>
      <c r="BI1345" s="130">
        <f>IF(BJ1345&gt;0,1,0)</f>
        <v>0</v>
      </c>
      <c r="BJ1345" s="128">
        <f>VLOOKUP($E1345,[2]Current!$A:$AC,28,FALSE)</f>
        <v>0</v>
      </c>
      <c r="BK1345" s="128">
        <f>BJ1345/$AS1345</f>
        <v>0</v>
      </c>
      <c r="BL1345" s="128">
        <f>IF(BM1345&gt;0,1,0)</f>
        <v>0</v>
      </c>
      <c r="BM1345" s="128">
        <f>SUM(BR1345,BU1345,BX1345,CA1345,CD1345)</f>
        <v>0</v>
      </c>
      <c r="BN1345" s="131">
        <f>SUM(BT1345,BW1345,BZ1345,CC1345,CF1345)</f>
        <v>0</v>
      </c>
      <c r="BO1345" s="128">
        <f>IF(BP1345&gt;0,1,0)</f>
        <v>0</v>
      </c>
      <c r="BP1345" s="128">
        <f>BM1345+CJ1345</f>
        <v>0</v>
      </c>
      <c r="BQ1345" s="128">
        <f>BN1345+CL1345</f>
        <v>0</v>
      </c>
      <c r="BR1345" s="130">
        <f>IF(BS1345&gt;0,1,0)</f>
        <v>0</v>
      </c>
      <c r="BS1345" s="128">
        <f>VLOOKUP($E1345,[2]Current!$A:$AC,12,FALSE)</f>
        <v>0</v>
      </c>
      <c r="BT1345" s="137">
        <f>BS1345/$AS1345</f>
        <v>0</v>
      </c>
      <c r="BU1345" s="130">
        <f>IF(BV1345&gt;0,1,0)</f>
        <v>0</v>
      </c>
      <c r="BV1345" s="128">
        <f>VLOOKUP($E1345,[2]Current!$A:$AC,13,FALSE)</f>
        <v>0</v>
      </c>
      <c r="BW1345" s="128">
        <f>BV1345/$AS1345</f>
        <v>0</v>
      </c>
      <c r="BX1345" s="130">
        <f>IF(BY1345&gt;0,1,0)</f>
        <v>0</v>
      </c>
      <c r="BY1345" s="128">
        <f>VLOOKUP($E1345,[2]Current!$A:$AC,14,FALSE)</f>
        <v>0</v>
      </c>
      <c r="BZ1345" s="128">
        <f>BY1345/$AS1345</f>
        <v>0</v>
      </c>
      <c r="CA1345" s="130">
        <f>IF(CB1345&gt;0,1,0)</f>
        <v>0</v>
      </c>
      <c r="CB1345" s="128">
        <f>VLOOKUP($E1345,[2]Current!$A:$AC,15,FALSE)</f>
        <v>0</v>
      </c>
      <c r="CC1345" s="128">
        <f>CB1345/$AS1345</f>
        <v>0</v>
      </c>
      <c r="CD1345" s="174">
        <f>IF(CE1345&gt;0,1,0)</f>
        <v>0</v>
      </c>
      <c r="CE1345" s="128">
        <f>VLOOKUP($E1345,[2]Current!$A:$AC,16,FALSE)</f>
        <v>0</v>
      </c>
      <c r="CF1345" s="128">
        <f>CE1345/$AS1345</f>
        <v>0</v>
      </c>
      <c r="CG1345" s="18"/>
      <c r="CH1345" s="18"/>
      <c r="CI1345" s="18"/>
      <c r="CJ1345" s="130">
        <f>IF(CK1345&gt;0,1,0)</f>
        <v>0</v>
      </c>
      <c r="CK1345" s="128">
        <f>VLOOKUP($E1345,[2]Current!$A:$AC,18,FALSE)</f>
        <v>0</v>
      </c>
      <c r="CL1345" s="128">
        <f>CK1345/$AS1345</f>
        <v>0</v>
      </c>
      <c r="CS1345" s="130">
        <f>IF(CU1345&gt;0,1,0)</f>
        <v>0</v>
      </c>
      <c r="CU1345" s="128">
        <f>VLOOKUP($E1345,[2]Current!$A:$AC,17,FALSE)</f>
        <v>0</v>
      </c>
      <c r="CV1345" s="128">
        <f>CU1345/$AS1345</f>
        <v>0</v>
      </c>
      <c r="CW1345" s="18"/>
      <c r="CX1345" s="18"/>
      <c r="CY1345" s="18"/>
      <c r="DF1345" s="16" t="e">
        <f>VLOOKUP(K1345,'[3]RNA Seq summary tables'!$V$3:$V$99,1,FALSE)</f>
        <v>#N/A</v>
      </c>
      <c r="DG1345" s="126" t="s">
        <v>116</v>
      </c>
    </row>
    <row r="1346" spans="2:288" ht="16" x14ac:dyDescent="0.2">
      <c r="B1346" s="16">
        <v>2018</v>
      </c>
      <c r="C1346" s="193">
        <v>43305</v>
      </c>
      <c r="D1346" s="149" t="s">
        <v>1058</v>
      </c>
      <c r="E1346" s="37" t="str">
        <f>CONCATENATE(T1346,"-",U1346,"-",C1346)</f>
        <v>HW1-H3-43305</v>
      </c>
      <c r="F1346" s="16" t="s">
        <v>227</v>
      </c>
      <c r="G1346" s="126" t="s">
        <v>107</v>
      </c>
      <c r="H1346" s="126"/>
      <c r="J1346" s="126">
        <v>1479</v>
      </c>
      <c r="K1346" s="126">
        <v>2692</v>
      </c>
      <c r="O1346" s="15" t="s">
        <v>214</v>
      </c>
      <c r="Q1346" s="16">
        <f t="shared" si="8"/>
        <v>1</v>
      </c>
      <c r="R1346" s="16">
        <f t="shared" si="9"/>
        <v>26</v>
      </c>
      <c r="T1346" s="126" t="s">
        <v>133</v>
      </c>
      <c r="U1346" s="126" t="s">
        <v>174</v>
      </c>
      <c r="V1346" s="126" t="s">
        <v>114</v>
      </c>
      <c r="X1346" s="126" t="s">
        <v>121</v>
      </c>
      <c r="Y1346" s="126" t="s">
        <v>110</v>
      </c>
      <c r="Z1346" s="126">
        <v>3</v>
      </c>
      <c r="AA1346" s="126" t="s">
        <v>119</v>
      </c>
      <c r="AB1346" s="126" t="s">
        <v>123</v>
      </c>
      <c r="AC1346" s="126" t="s">
        <v>116</v>
      </c>
      <c r="AD1346" s="126"/>
      <c r="AE1346" s="126"/>
      <c r="AG1346" s="40">
        <f>AH1346-AI1346</f>
        <v>78</v>
      </c>
      <c r="AH1346" s="126">
        <v>148</v>
      </c>
      <c r="AI1346" s="126">
        <v>70</v>
      </c>
      <c r="AK1346" s="126">
        <v>19</v>
      </c>
      <c r="AL1346" s="126">
        <v>0</v>
      </c>
      <c r="AM1346" s="126">
        <v>0</v>
      </c>
      <c r="AN1346" s="126">
        <v>0</v>
      </c>
      <c r="AO1346" s="16">
        <f>IF(SUM(AL1346:AN1346)&gt;0,1,0)</f>
        <v>0</v>
      </c>
      <c r="AP1346" s="18">
        <f>SUM(AL1346:AN1346)</f>
        <v>0</v>
      </c>
      <c r="AR1346" s="16">
        <v>0.43900000000000006</v>
      </c>
      <c r="AS1346" s="16">
        <f>VLOOKUP(E1346,'[1]Feces weights'!$D$1:$H$459,5,FALSE)</f>
        <v>0.43900000000000006</v>
      </c>
      <c r="AT1346" s="16" t="str">
        <f>VLOOKUP(E1346,[2]Current!$A$1:$W$435,7,FALSE)</f>
        <v>JY</v>
      </c>
      <c r="AU1346" s="16" t="s">
        <v>1288</v>
      </c>
      <c r="AV1346" s="23"/>
      <c r="AW1346" s="128">
        <f>IF(AX1346&gt;0,1,0)</f>
        <v>1</v>
      </c>
      <c r="AX1346" s="128">
        <f>SUM(BA1346,BM1346,CU1346)</f>
        <v>2</v>
      </c>
      <c r="AY1346" s="128">
        <f>SUM(BB1346,BN1346,CV1346)</f>
        <v>45.558086560364458</v>
      </c>
      <c r="AZ1346" s="128">
        <f>IF(BA1346&gt;0,1,0)</f>
        <v>1</v>
      </c>
      <c r="BA1346" s="128">
        <f>SUM(BC1346+BF1346+BI1346)</f>
        <v>2</v>
      </c>
      <c r="BB1346" s="128">
        <f>SUM(BE1346,BH1346,BK1346)</f>
        <v>45.558086560364458</v>
      </c>
      <c r="BC1346" s="130">
        <f>IF(BD1346&gt;0,1,0)</f>
        <v>0</v>
      </c>
      <c r="BD1346" s="128">
        <f>VLOOKUP($E1346,[2]Current!$A:$AC,26,FALSE)</f>
        <v>0</v>
      </c>
      <c r="BE1346" s="128">
        <f>BD1346/$AS1346</f>
        <v>0</v>
      </c>
      <c r="BF1346" s="130">
        <f>IF(BG1346&gt;0,1,0)</f>
        <v>1</v>
      </c>
      <c r="BG1346" s="137">
        <f>VLOOKUP($E1346,[2]Current!$A:$AC,27,FALSE)</f>
        <v>18</v>
      </c>
      <c r="BH1346" s="128">
        <f>BG1346/$AS1346</f>
        <v>41.002277904328011</v>
      </c>
      <c r="BI1346" s="130">
        <f>IF(BJ1346&gt;0,1,0)</f>
        <v>1</v>
      </c>
      <c r="BJ1346" s="128">
        <f>VLOOKUP($E1346,[2]Current!$A:$AC,28,FALSE)</f>
        <v>2</v>
      </c>
      <c r="BK1346" s="128">
        <f>BJ1346/$AS1346</f>
        <v>4.5558086560364455</v>
      </c>
      <c r="BL1346" s="128">
        <f>IF(BM1346&gt;0,1,0)</f>
        <v>0</v>
      </c>
      <c r="BM1346" s="128">
        <f>SUM(BR1346,BU1346,BX1346,CA1346,CD1346)</f>
        <v>0</v>
      </c>
      <c r="BN1346" s="131">
        <f>SUM(BT1346,BW1346,BZ1346,CC1346,CF1346)</f>
        <v>0</v>
      </c>
      <c r="BO1346" s="128">
        <f>IF(BP1346&gt;0,1,0)</f>
        <v>0</v>
      </c>
      <c r="BP1346" s="128">
        <f>BM1346+CJ1346</f>
        <v>0</v>
      </c>
      <c r="BQ1346" s="128">
        <f>BN1346+CL1346</f>
        <v>0</v>
      </c>
      <c r="BR1346" s="130">
        <f>IF(BS1346&gt;0,1,0)</f>
        <v>0</v>
      </c>
      <c r="BS1346" s="128">
        <f>VLOOKUP($E1346,[2]Current!$A:$AC,12,FALSE)</f>
        <v>0</v>
      </c>
      <c r="BT1346" s="137">
        <f>BS1346/$AS1346</f>
        <v>0</v>
      </c>
      <c r="BU1346" s="130">
        <f>IF(BV1346&gt;0,1,0)</f>
        <v>0</v>
      </c>
      <c r="BV1346" s="128">
        <f>VLOOKUP($E1346,[2]Current!$A:$AC,13,FALSE)</f>
        <v>0</v>
      </c>
      <c r="BW1346" s="128">
        <f>BV1346/$AS1346</f>
        <v>0</v>
      </c>
      <c r="BX1346" s="130">
        <f>IF(BY1346&gt;0,1,0)</f>
        <v>0</v>
      </c>
      <c r="BY1346" s="128">
        <f>VLOOKUP($E1346,[2]Current!$A:$AC,14,FALSE)</f>
        <v>0</v>
      </c>
      <c r="BZ1346" s="128">
        <f>BY1346/$AS1346</f>
        <v>0</v>
      </c>
      <c r="CA1346" s="130">
        <f>IF(CB1346&gt;0,1,0)</f>
        <v>0</v>
      </c>
      <c r="CB1346" s="128">
        <f>VLOOKUP($E1346,[2]Current!$A:$AC,15,FALSE)</f>
        <v>0</v>
      </c>
      <c r="CC1346" s="128">
        <f>CB1346/$AS1346</f>
        <v>0</v>
      </c>
      <c r="CD1346" s="174">
        <f>IF(CE1346&gt;0,1,0)</f>
        <v>0</v>
      </c>
      <c r="CE1346" s="128">
        <f>VLOOKUP($E1346,[2]Current!$A:$AC,16,FALSE)</f>
        <v>0</v>
      </c>
      <c r="CF1346" s="128">
        <f>CE1346/$AS1346</f>
        <v>0</v>
      </c>
      <c r="CG1346" s="18"/>
      <c r="CH1346" s="18"/>
      <c r="CI1346" s="18"/>
      <c r="CJ1346" s="130">
        <f>IF(CK1346&gt;0,1,0)</f>
        <v>0</v>
      </c>
      <c r="CK1346" s="128">
        <f>VLOOKUP($E1346,[2]Current!$A:$AC,18,FALSE)</f>
        <v>0</v>
      </c>
      <c r="CL1346" s="128">
        <f>CK1346/$AS1346</f>
        <v>0</v>
      </c>
      <c r="CS1346" s="130">
        <f>IF(CU1346&gt;0,1,0)</f>
        <v>0</v>
      </c>
      <c r="CU1346" s="128">
        <f>VLOOKUP($E1346,[2]Current!$A:$AC,17,FALSE)</f>
        <v>0</v>
      </c>
      <c r="CV1346" s="128">
        <f>CU1346/$AS1346</f>
        <v>0</v>
      </c>
      <c r="CW1346" s="18"/>
      <c r="CX1346" s="18"/>
      <c r="CY1346" s="18"/>
      <c r="DF1346" s="16" t="e">
        <f>VLOOKUP(K1346,'[3]RNA Seq summary tables'!$V$3:$V$99,1,FALSE)</f>
        <v>#N/A</v>
      </c>
      <c r="DG1346" s="126" t="s">
        <v>116</v>
      </c>
    </row>
    <row r="1347" spans="2:288" ht="16" x14ac:dyDescent="0.2">
      <c r="B1347" s="16">
        <v>2018</v>
      </c>
      <c r="C1347" s="124">
        <v>43266</v>
      </c>
      <c r="D1347" t="s">
        <v>796</v>
      </c>
      <c r="E1347" s="37" t="str">
        <f>CONCATENATE(T1347,"-",U1347,"-",C1347)</f>
        <v>PO2-E3-43266</v>
      </c>
      <c r="F1347" s="16" t="s">
        <v>227</v>
      </c>
      <c r="G1347" s="126" t="s">
        <v>107</v>
      </c>
      <c r="H1347" s="126"/>
      <c r="J1347" s="126">
        <v>1481</v>
      </c>
      <c r="K1347" s="126">
        <v>2437</v>
      </c>
      <c r="O1347" s="15" t="s">
        <v>214</v>
      </c>
      <c r="Q1347" s="16">
        <f t="shared" si="8"/>
        <v>0</v>
      </c>
      <c r="R1347" s="16" t="str">
        <f t="shared" si="9"/>
        <v/>
      </c>
      <c r="T1347" s="126" t="s">
        <v>127</v>
      </c>
      <c r="U1347" s="126" t="s">
        <v>225</v>
      </c>
      <c r="V1347" s="126" t="s">
        <v>114</v>
      </c>
      <c r="X1347" s="126" t="s">
        <v>115</v>
      </c>
      <c r="Y1347" s="126" t="s">
        <v>145</v>
      </c>
      <c r="Z1347" s="126">
        <v>1</v>
      </c>
      <c r="AA1347" s="126"/>
      <c r="AB1347" s="126"/>
      <c r="AC1347" s="126"/>
      <c r="AD1347" s="126"/>
      <c r="AE1347" s="126" t="s">
        <v>123</v>
      </c>
      <c r="AG1347" s="16">
        <f>AH1347-AI1347</f>
        <v>68</v>
      </c>
      <c r="AH1347" s="126">
        <v>126</v>
      </c>
      <c r="AI1347" s="126">
        <v>58</v>
      </c>
      <c r="AK1347" s="126">
        <v>10</v>
      </c>
      <c r="AL1347" s="126">
        <v>0</v>
      </c>
      <c r="AM1347" s="126">
        <v>0</v>
      </c>
      <c r="AN1347" s="126">
        <v>0</v>
      </c>
      <c r="AO1347" s="16">
        <f>IF(SUM(AL1347:AN1347)&gt;0,1,0)</f>
        <v>0</v>
      </c>
      <c r="AP1347" s="18">
        <f>SUM(AL1347:AN1347)</f>
        <v>0</v>
      </c>
      <c r="AR1347" s="16">
        <v>1.9000000000000128E-2</v>
      </c>
      <c r="AS1347" s="16">
        <f>VLOOKUP(E1347,'[1]Feces weights'!$D$1:$H$459,5,FALSE)</f>
        <v>1.9000000000000128E-2</v>
      </c>
      <c r="AT1347" s="16" t="str">
        <f>VLOOKUP(E1347,[2]Current!$A$1:$W$435,7,FALSE)</f>
        <v>IS</v>
      </c>
      <c r="AU1347" s="16" t="s">
        <v>1288</v>
      </c>
      <c r="AW1347" s="128">
        <f>IF(AX1347&gt;0,1,0)</f>
        <v>1</v>
      </c>
      <c r="AX1347" s="128">
        <f>SUM(BA1347,BM1347,CU1347)</f>
        <v>3</v>
      </c>
      <c r="AY1347" s="128">
        <f>SUM(BB1347,BN1347,CV1347)</f>
        <v>39157.894736841838</v>
      </c>
      <c r="AZ1347" s="128">
        <f>IF(BA1347&gt;0,1,0)</f>
        <v>1</v>
      </c>
      <c r="BA1347" s="128">
        <f>SUM(BC1347+BF1347+BI1347)</f>
        <v>3</v>
      </c>
      <c r="BB1347" s="128">
        <f>SUM(BE1347,BH1347,BK1347)</f>
        <v>39157.894736841838</v>
      </c>
      <c r="BC1347" s="130">
        <f>IF(BD1347&gt;0,1,0)</f>
        <v>1</v>
      </c>
      <c r="BD1347" s="128">
        <f>VLOOKUP($E1347,[2]Current!$A:$AC,26,FALSE)</f>
        <v>6</v>
      </c>
      <c r="BE1347" s="128">
        <f>BD1347/$AS1347</f>
        <v>315.78947368420842</v>
      </c>
      <c r="BF1347" s="130">
        <f>IF(BG1347&gt;0,1,0)</f>
        <v>1</v>
      </c>
      <c r="BG1347" s="137">
        <f>VLOOKUP($E1347,[2]Current!$A:$AC,27,FALSE)</f>
        <v>732</v>
      </c>
      <c r="BH1347" s="128">
        <f>BG1347/$AS1347</f>
        <v>38526.315789473425</v>
      </c>
      <c r="BI1347" s="130">
        <f>IF(BJ1347&gt;0,1,0)</f>
        <v>1</v>
      </c>
      <c r="BJ1347" s="128">
        <f>VLOOKUP($E1347,[2]Current!$A:$AC,28,FALSE)</f>
        <v>6</v>
      </c>
      <c r="BK1347" s="128">
        <f>BJ1347/$AS1347</f>
        <v>315.78947368420842</v>
      </c>
      <c r="BL1347" s="128">
        <f>IF(BM1347&gt;0,1,0)</f>
        <v>0</v>
      </c>
      <c r="BM1347" s="128">
        <f>SUM(BR1347,BU1347,BX1347,CA1347,CD1347)</f>
        <v>0</v>
      </c>
      <c r="BN1347" s="131">
        <f>SUM(BT1347,BW1347,BZ1347,CC1347,CF1347)</f>
        <v>0</v>
      </c>
      <c r="BO1347" s="128">
        <f>IF(BP1347&gt;0,1,0)</f>
        <v>0</v>
      </c>
      <c r="BP1347" s="128">
        <f>BM1347+CJ1347</f>
        <v>0</v>
      </c>
      <c r="BQ1347" s="128">
        <f>BN1347+CL1347</f>
        <v>0</v>
      </c>
      <c r="BR1347" s="130">
        <f>IF(BS1347&gt;0,1,0)</f>
        <v>0</v>
      </c>
      <c r="BS1347" s="128">
        <f>VLOOKUP($E1347,[2]Current!$A:$AC,12,FALSE)</f>
        <v>0</v>
      </c>
      <c r="BT1347" s="137">
        <f>BS1347/$AS1347</f>
        <v>0</v>
      </c>
      <c r="BU1347" s="130">
        <f>IF(BV1347&gt;0,1,0)</f>
        <v>0</v>
      </c>
      <c r="BV1347" s="128">
        <f>VLOOKUP($E1347,[2]Current!$A:$AC,13,FALSE)</f>
        <v>0</v>
      </c>
      <c r="BW1347" s="128">
        <f>BV1347/$AS1347</f>
        <v>0</v>
      </c>
      <c r="BX1347" s="130">
        <f>IF(BY1347&gt;0,1,0)</f>
        <v>0</v>
      </c>
      <c r="BY1347" s="128">
        <f>VLOOKUP($E1347,[2]Current!$A:$AC,14,FALSE)</f>
        <v>0</v>
      </c>
      <c r="BZ1347" s="128">
        <f>BY1347/$AS1347</f>
        <v>0</v>
      </c>
      <c r="CA1347" s="130">
        <f>IF(CB1347&gt;0,1,0)</f>
        <v>0</v>
      </c>
      <c r="CB1347" s="128">
        <f>VLOOKUP($E1347,[2]Current!$A:$AC,15,FALSE)</f>
        <v>0</v>
      </c>
      <c r="CC1347" s="128">
        <f>CB1347/$AS1347</f>
        <v>0</v>
      </c>
      <c r="CD1347" s="174">
        <f>IF(CE1347&gt;0,1,0)</f>
        <v>0</v>
      </c>
      <c r="CE1347" s="128">
        <f>VLOOKUP($E1347,[2]Current!$A:$AC,16,FALSE)</f>
        <v>0</v>
      </c>
      <c r="CF1347" s="128">
        <f>CE1347/$AS1347</f>
        <v>0</v>
      </c>
      <c r="CG1347" s="18"/>
      <c r="CH1347" s="18"/>
      <c r="CI1347" s="18"/>
      <c r="CJ1347" s="130">
        <f>IF(CK1347&gt;0,1,0)</f>
        <v>0</v>
      </c>
      <c r="CK1347" s="128">
        <f>VLOOKUP($E1347,[2]Current!$A:$AC,18,FALSE)</f>
        <v>0</v>
      </c>
      <c r="CL1347" s="128">
        <f>CK1347/$AS1347</f>
        <v>0</v>
      </c>
      <c r="CS1347" s="130">
        <f>IF(CU1347&gt;0,1,0)</f>
        <v>0</v>
      </c>
      <c r="CT1347" s="18"/>
      <c r="CU1347" s="128">
        <f>VLOOKUP($E1347,[2]Current!$A:$AC,17,FALSE)</f>
        <v>0</v>
      </c>
      <c r="CV1347" s="128">
        <f>CU1347/$AS1347</f>
        <v>0</v>
      </c>
      <c r="CW1347" s="18"/>
      <c r="CX1347" s="18"/>
      <c r="CY1347" s="18"/>
      <c r="DF1347" s="16" t="e">
        <f>VLOOKUP(K1347,'[3]RNA Seq summary tables'!$V$3:$V$99,1,FALSE)</f>
        <v>#N/A</v>
      </c>
      <c r="DG1347" s="126"/>
    </row>
    <row r="1348" spans="2:288" ht="16" x14ac:dyDescent="0.2">
      <c r="B1348" s="16">
        <v>2018</v>
      </c>
      <c r="C1348" s="124">
        <v>43283</v>
      </c>
      <c r="D1348" t="s">
        <v>886</v>
      </c>
      <c r="E1348" s="37" t="str">
        <f>CONCATENATE(T1348,"-",U1348,"-",C1348)</f>
        <v>PO2-B5-43283</v>
      </c>
      <c r="F1348" s="16" t="s">
        <v>227</v>
      </c>
      <c r="G1348" s="126" t="s">
        <v>107</v>
      </c>
      <c r="H1348" s="126"/>
      <c r="J1348" s="126">
        <v>1481</v>
      </c>
      <c r="K1348" s="126">
        <v>2528</v>
      </c>
      <c r="O1348" s="15" t="s">
        <v>214</v>
      </c>
      <c r="Q1348" s="16">
        <f t="shared" si="8"/>
        <v>1</v>
      </c>
      <c r="R1348" s="16">
        <f t="shared" si="9"/>
        <v>17</v>
      </c>
      <c r="T1348" s="126" t="s">
        <v>127</v>
      </c>
      <c r="U1348" s="126" t="s">
        <v>160</v>
      </c>
      <c r="V1348" s="126" t="s">
        <v>114</v>
      </c>
      <c r="X1348" s="126" t="s">
        <v>115</v>
      </c>
      <c r="Y1348" s="126" t="s">
        <v>110</v>
      </c>
      <c r="Z1348" s="126">
        <v>3</v>
      </c>
      <c r="AA1348" s="126"/>
      <c r="AB1348" s="126"/>
      <c r="AC1348" s="126"/>
      <c r="AD1348" s="126"/>
      <c r="AE1348" s="126" t="s">
        <v>123</v>
      </c>
      <c r="AG1348" s="16">
        <f>AH1348-AI1348</f>
        <v>75</v>
      </c>
      <c r="AH1348" s="126">
        <v>142</v>
      </c>
      <c r="AI1348" s="126">
        <v>67</v>
      </c>
      <c r="AK1348" s="126">
        <v>16</v>
      </c>
      <c r="AL1348" s="126">
        <v>0</v>
      </c>
      <c r="AM1348" s="126">
        <v>0</v>
      </c>
      <c r="AN1348" s="126">
        <v>0</v>
      </c>
      <c r="AO1348" s="16">
        <f>IF(SUM(AL1348:AN1348)&gt;0,1,0)</f>
        <v>0</v>
      </c>
      <c r="AP1348" s="18">
        <f>SUM(AL1348:AN1348)</f>
        <v>0</v>
      </c>
      <c r="AR1348" s="16">
        <v>1.3000000000000123E-2</v>
      </c>
      <c r="AS1348" s="16">
        <f>VLOOKUP(E1348,'[1]Feces weights'!$D$1:$H$459,5,FALSE)</f>
        <v>1.3000000000000123E-2</v>
      </c>
      <c r="AT1348" s="16" t="str">
        <f>VLOOKUP(E1348,[2]Current!$A$1:$W$435,7,FALSE)</f>
        <v>JB</v>
      </c>
      <c r="AU1348" s="16" t="s">
        <v>1288</v>
      </c>
      <c r="AV1348" s="23">
        <v>1</v>
      </c>
      <c r="AW1348" s="128">
        <f>IF(AX1348&gt;0,1,0)</f>
        <v>0</v>
      </c>
      <c r="AX1348" s="128">
        <f>SUM(BA1348,BM1348,CU1348)</f>
        <v>0</v>
      </c>
      <c r="AY1348" s="128">
        <f>SUM(BB1348,BN1348,CV1348)</f>
        <v>0</v>
      </c>
      <c r="AZ1348" s="128">
        <f>IF(BA1348&gt;0,1,0)</f>
        <v>0</v>
      </c>
      <c r="BA1348" s="128">
        <f>SUM(BC1348+BF1348+BI1348)</f>
        <v>0</v>
      </c>
      <c r="BB1348" s="128">
        <f>SUM(BE1348,BH1348,BK1348)</f>
        <v>0</v>
      </c>
      <c r="BC1348" s="130">
        <f>IF(BD1348&gt;0,1,0)</f>
        <v>0</v>
      </c>
      <c r="BD1348" s="128">
        <f>VLOOKUP($E1348,[2]Current!$A:$AC,26,FALSE)</f>
        <v>0</v>
      </c>
      <c r="BE1348" s="128">
        <f>BD1348/$AS1348</f>
        <v>0</v>
      </c>
      <c r="BF1348" s="130">
        <f>IF(BG1348&gt;0,1,0)</f>
        <v>0</v>
      </c>
      <c r="BG1348" s="137">
        <f>VLOOKUP($E1348,[2]Current!$A:$AC,27,FALSE)</f>
        <v>0</v>
      </c>
      <c r="BH1348" s="128">
        <f>BG1348/$AS1348</f>
        <v>0</v>
      </c>
      <c r="BI1348" s="130">
        <f>IF(BJ1348&gt;0,1,0)</f>
        <v>0</v>
      </c>
      <c r="BJ1348" s="128">
        <f>VLOOKUP($E1348,[2]Current!$A:$AC,28,FALSE)</f>
        <v>0</v>
      </c>
      <c r="BK1348" s="128">
        <f>BJ1348/$AS1348</f>
        <v>0</v>
      </c>
      <c r="BL1348" s="128">
        <f>IF(BM1348&gt;0,1,0)</f>
        <v>0</v>
      </c>
      <c r="BM1348" s="128">
        <f>SUM(BR1348,BU1348,BX1348,CA1348,CD1348)</f>
        <v>0</v>
      </c>
      <c r="BN1348" s="131">
        <f>SUM(BT1348,BW1348,BZ1348,CC1348,CF1348)</f>
        <v>0</v>
      </c>
      <c r="BO1348" s="128">
        <f>IF(BP1348&gt;0,1,0)</f>
        <v>0</v>
      </c>
      <c r="BP1348" s="128">
        <f>BM1348+CJ1348</f>
        <v>0</v>
      </c>
      <c r="BQ1348" s="128">
        <f>BN1348+CL1348</f>
        <v>0</v>
      </c>
      <c r="BR1348" s="130">
        <f>IF(BS1348&gt;0,1,0)</f>
        <v>0</v>
      </c>
      <c r="BS1348" s="128">
        <f>VLOOKUP($E1348,[2]Current!$A:$AC,12,FALSE)</f>
        <v>0</v>
      </c>
      <c r="BT1348" s="137">
        <f>BS1348/$AS1348</f>
        <v>0</v>
      </c>
      <c r="BU1348" s="130">
        <f>IF(BV1348&gt;0,1,0)</f>
        <v>0</v>
      </c>
      <c r="BV1348" s="128">
        <f>VLOOKUP($E1348,[2]Current!$A:$AC,13,FALSE)</f>
        <v>0</v>
      </c>
      <c r="BW1348" s="128">
        <f>BV1348/$AS1348</f>
        <v>0</v>
      </c>
      <c r="BX1348" s="130">
        <f>IF(BY1348&gt;0,1,0)</f>
        <v>0</v>
      </c>
      <c r="BY1348" s="128">
        <f>VLOOKUP($E1348,[2]Current!$A:$AC,14,FALSE)</f>
        <v>0</v>
      </c>
      <c r="BZ1348" s="128">
        <f>BY1348/$AS1348</f>
        <v>0</v>
      </c>
      <c r="CA1348" s="130">
        <f>IF(CB1348&gt;0,1,0)</f>
        <v>0</v>
      </c>
      <c r="CB1348" s="128">
        <f>VLOOKUP($E1348,[2]Current!$A:$AC,15,FALSE)</f>
        <v>0</v>
      </c>
      <c r="CC1348" s="128">
        <f>CB1348/$AS1348</f>
        <v>0</v>
      </c>
      <c r="CD1348" s="174">
        <f>IF(CE1348&gt;0,1,0)</f>
        <v>0</v>
      </c>
      <c r="CE1348" s="128">
        <f>VLOOKUP($E1348,[2]Current!$A:$AC,16,FALSE)</f>
        <v>0</v>
      </c>
      <c r="CF1348" s="128">
        <f>CE1348/$AS1348</f>
        <v>0</v>
      </c>
      <c r="CG1348" s="18"/>
      <c r="CH1348" s="18"/>
      <c r="CI1348" s="18"/>
      <c r="CJ1348" s="130">
        <f>IF(CK1348&gt;0,1,0)</f>
        <v>0</v>
      </c>
      <c r="CK1348" s="128">
        <f>VLOOKUP($E1348,[2]Current!$A:$AC,18,FALSE)</f>
        <v>0</v>
      </c>
      <c r="CL1348" s="128">
        <f>CK1348/$AS1348</f>
        <v>0</v>
      </c>
      <c r="CS1348" s="130">
        <f>IF(CU1348&gt;0,1,0)</f>
        <v>0</v>
      </c>
      <c r="CU1348" s="128">
        <f>VLOOKUP($E1348,[2]Current!$A:$AC,17,FALSE)</f>
        <v>0</v>
      </c>
      <c r="CV1348" s="128">
        <f>CU1348/$AS1348</f>
        <v>0</v>
      </c>
      <c r="CW1348" s="18"/>
      <c r="CX1348" s="18"/>
      <c r="CY1348" s="18"/>
      <c r="DF1348" s="16" t="e">
        <f>VLOOKUP(K1348,'[3]RNA Seq summary tables'!$V$3:$V$99,1,FALSE)</f>
        <v>#N/A</v>
      </c>
      <c r="DG1348" s="126" t="s">
        <v>116</v>
      </c>
      <c r="JR1348" s="27"/>
      <c r="JS1348" s="27"/>
      <c r="JT1348" s="27"/>
      <c r="JU1348" s="27"/>
      <c r="JV1348" s="27"/>
      <c r="JW1348" s="27"/>
      <c r="JX1348" s="27"/>
      <c r="JY1348" s="27"/>
      <c r="JZ1348" s="27"/>
      <c r="KA1348" s="27"/>
      <c r="KB1348" s="27"/>
    </row>
    <row r="1349" spans="2:288" ht="16" x14ac:dyDescent="0.2">
      <c r="B1349" s="16">
        <v>2018</v>
      </c>
      <c r="C1349" s="124">
        <v>43267</v>
      </c>
      <c r="D1349" t="s">
        <v>808</v>
      </c>
      <c r="E1349" s="37" t="str">
        <f>CONCATENATE(T1349,"-",U1349,"-",C1349)</f>
        <v>PO2-F1-43267</v>
      </c>
      <c r="F1349" s="16" t="s">
        <v>227</v>
      </c>
      <c r="G1349" s="126" t="s">
        <v>107</v>
      </c>
      <c r="H1349" s="126"/>
      <c r="J1349" s="126">
        <v>1483</v>
      </c>
      <c r="K1349" s="126">
        <v>2446</v>
      </c>
      <c r="O1349" s="15" t="s">
        <v>214</v>
      </c>
      <c r="Q1349" s="16">
        <f t="shared" si="8"/>
        <v>0</v>
      </c>
      <c r="R1349" s="16" t="str">
        <f t="shared" si="9"/>
        <v/>
      </c>
      <c r="T1349" s="126" t="s">
        <v>127</v>
      </c>
      <c r="U1349" s="126" t="s">
        <v>217</v>
      </c>
      <c r="V1349" s="126" t="s">
        <v>114</v>
      </c>
      <c r="X1349" s="126" t="s">
        <v>121</v>
      </c>
      <c r="Y1349" s="126" t="s">
        <v>145</v>
      </c>
      <c r="Z1349" s="126">
        <v>1</v>
      </c>
      <c r="AA1349" s="126"/>
      <c r="AB1349" s="126"/>
      <c r="AC1349" s="126"/>
      <c r="AD1349" s="126"/>
      <c r="AE1349" s="126" t="s">
        <v>123</v>
      </c>
      <c r="AG1349" s="16">
        <f>AH1349-AI1349</f>
        <v>71</v>
      </c>
      <c r="AH1349" s="126">
        <v>134</v>
      </c>
      <c r="AI1349" s="126">
        <v>63</v>
      </c>
      <c r="AK1349" s="126">
        <v>10.5</v>
      </c>
      <c r="AL1349" s="126">
        <v>0</v>
      </c>
      <c r="AM1349" s="126">
        <v>0</v>
      </c>
      <c r="AN1349" s="126">
        <v>0</v>
      </c>
      <c r="AO1349" s="16">
        <f>IF(SUM(AL1349:AN1349)&gt;0,1,0)</f>
        <v>0</v>
      </c>
      <c r="AP1349" s="18">
        <f>SUM(AL1349:AN1349)</f>
        <v>0</v>
      </c>
      <c r="AR1349" s="16">
        <v>3.1000000000000139E-2</v>
      </c>
      <c r="AS1349" s="16">
        <f>VLOOKUP(E1349,'[1]Feces weights'!$D$1:$H$459,5,FALSE)</f>
        <v>3.1000000000000139E-2</v>
      </c>
      <c r="AT1349" s="16" t="str">
        <f>VLOOKUP(E1349,[2]Current!$A$1:$W$435,7,FALSE)</f>
        <v>DP</v>
      </c>
      <c r="AU1349" s="16" t="s">
        <v>1288</v>
      </c>
      <c r="AW1349" s="128">
        <f>IF(AX1349&gt;0,1,0)</f>
        <v>1</v>
      </c>
      <c r="AX1349" s="128">
        <f>SUM(BA1349,BM1349,CU1349)</f>
        <v>2</v>
      </c>
      <c r="AY1349" s="128">
        <f>SUM(BB1349,BN1349,CV1349)</f>
        <v>2516.1290322580535</v>
      </c>
      <c r="AZ1349" s="128">
        <f>IF(BA1349&gt;0,1,0)</f>
        <v>1</v>
      </c>
      <c r="BA1349" s="128">
        <f>SUM(BC1349+BF1349+BI1349)</f>
        <v>2</v>
      </c>
      <c r="BB1349" s="128">
        <f>SUM(BE1349,BH1349,BK1349)</f>
        <v>2516.1290322580535</v>
      </c>
      <c r="BC1349" s="130">
        <f>IF(BD1349&gt;0,1,0)</f>
        <v>0</v>
      </c>
      <c r="BD1349" s="128">
        <f>VLOOKUP($E1349,[2]Current!$A:$AC,26,FALSE)</f>
        <v>0</v>
      </c>
      <c r="BE1349" s="128">
        <f>BD1349/$AS1349</f>
        <v>0</v>
      </c>
      <c r="BF1349" s="130">
        <f>IF(BG1349&gt;0,1,0)</f>
        <v>1</v>
      </c>
      <c r="BG1349" s="137">
        <f>VLOOKUP($E1349,[2]Current!$A:$AC,27,FALSE)</f>
        <v>74</v>
      </c>
      <c r="BH1349" s="128">
        <f>BG1349/$AS1349</f>
        <v>2387.0967741935378</v>
      </c>
      <c r="BI1349" s="130">
        <f>IF(BJ1349&gt;0,1,0)</f>
        <v>1</v>
      </c>
      <c r="BJ1349" s="128">
        <f>VLOOKUP($E1349,[2]Current!$A:$AC,28,FALSE)</f>
        <v>4</v>
      </c>
      <c r="BK1349" s="128">
        <f>BJ1349/$AS1349</f>
        <v>129.03225806451556</v>
      </c>
      <c r="BL1349" s="128">
        <f>IF(BM1349&gt;0,1,0)</f>
        <v>0</v>
      </c>
      <c r="BM1349" s="128">
        <f>SUM(BR1349,BU1349,BX1349,CA1349,CD1349)</f>
        <v>0</v>
      </c>
      <c r="BN1349" s="131">
        <f>SUM(BT1349,BW1349,BZ1349,CC1349,CF1349)</f>
        <v>0</v>
      </c>
      <c r="BO1349" s="128">
        <f>IF(BP1349&gt;0,1,0)</f>
        <v>0</v>
      </c>
      <c r="BP1349" s="128">
        <f>BM1349+CJ1349</f>
        <v>0</v>
      </c>
      <c r="BQ1349" s="128">
        <f>BN1349+CL1349</f>
        <v>0</v>
      </c>
      <c r="BR1349" s="130">
        <f>IF(BS1349&gt;0,1,0)</f>
        <v>0</v>
      </c>
      <c r="BS1349" s="128">
        <f>VLOOKUP($E1349,[2]Current!$A:$AC,12,FALSE)</f>
        <v>0</v>
      </c>
      <c r="BT1349" s="137">
        <f>BS1349/$AS1349</f>
        <v>0</v>
      </c>
      <c r="BU1349" s="130">
        <f>IF(BV1349&gt;0,1,0)</f>
        <v>0</v>
      </c>
      <c r="BV1349" s="128">
        <f>VLOOKUP($E1349,[2]Current!$A:$AC,13,FALSE)</f>
        <v>0</v>
      </c>
      <c r="BW1349" s="128">
        <f>BV1349/$AS1349</f>
        <v>0</v>
      </c>
      <c r="BX1349" s="130">
        <f>IF(BY1349&gt;0,1,0)</f>
        <v>0</v>
      </c>
      <c r="BY1349" s="128">
        <f>VLOOKUP($E1349,[2]Current!$A:$AC,14,FALSE)</f>
        <v>0</v>
      </c>
      <c r="BZ1349" s="128">
        <f>BY1349/$AS1349</f>
        <v>0</v>
      </c>
      <c r="CA1349" s="130">
        <f>IF(CB1349&gt;0,1,0)</f>
        <v>0</v>
      </c>
      <c r="CB1349" s="128">
        <f>VLOOKUP($E1349,[2]Current!$A:$AC,15,FALSE)</f>
        <v>0</v>
      </c>
      <c r="CC1349" s="128">
        <f>CB1349/$AS1349</f>
        <v>0</v>
      </c>
      <c r="CD1349" s="174">
        <f>IF(CE1349&gt;0,1,0)</f>
        <v>0</v>
      </c>
      <c r="CE1349" s="128">
        <f>VLOOKUP($E1349,[2]Current!$A:$AC,16,FALSE)</f>
        <v>0</v>
      </c>
      <c r="CF1349" s="128">
        <f>CE1349/$AS1349</f>
        <v>0</v>
      </c>
      <c r="CG1349" s="18"/>
      <c r="CH1349" s="18"/>
      <c r="CI1349" s="18"/>
      <c r="CJ1349" s="130">
        <f>IF(CK1349&gt;0,1,0)</f>
        <v>0</v>
      </c>
      <c r="CK1349" s="128">
        <f>VLOOKUP($E1349,[2]Current!$A:$AC,18,FALSE)</f>
        <v>0</v>
      </c>
      <c r="CL1349" s="128">
        <f>CK1349/$AS1349</f>
        <v>0</v>
      </c>
      <c r="CS1349" s="130">
        <f>IF(CU1349&gt;0,1,0)</f>
        <v>0</v>
      </c>
      <c r="CU1349" s="128">
        <f>VLOOKUP($E1349,[2]Current!$A:$AC,17,FALSE)</f>
        <v>0</v>
      </c>
      <c r="CV1349" s="128">
        <f>CU1349/$AS1349</f>
        <v>0</v>
      </c>
      <c r="CW1349" s="18"/>
      <c r="CX1349" s="18"/>
      <c r="CY1349" s="18"/>
      <c r="DF1349" s="16" t="e">
        <f>VLOOKUP(K1349,'[3]RNA Seq summary tables'!$V$3:$V$99,1,FALSE)</f>
        <v>#N/A</v>
      </c>
      <c r="DG1349" s="126"/>
    </row>
    <row r="1350" spans="2:288" ht="16" x14ac:dyDescent="0.2">
      <c r="B1350" s="16">
        <v>2018</v>
      </c>
      <c r="C1350" s="124">
        <v>43285</v>
      </c>
      <c r="D1350" t="s">
        <v>909</v>
      </c>
      <c r="E1350" s="37" t="str">
        <f>CONCATENATE(T1350,"-",U1350,"-",C1350)</f>
        <v>PO2-F1-43285</v>
      </c>
      <c r="F1350" s="16" t="s">
        <v>227</v>
      </c>
      <c r="G1350" s="126" t="s">
        <v>107</v>
      </c>
      <c r="H1350" s="126"/>
      <c r="J1350" s="126">
        <v>1483</v>
      </c>
      <c r="K1350" s="126">
        <v>2550</v>
      </c>
      <c r="O1350" s="15" t="s">
        <v>214</v>
      </c>
      <c r="Q1350" s="16">
        <f t="shared" si="8"/>
        <v>1</v>
      </c>
      <c r="R1350" s="16">
        <f t="shared" si="9"/>
        <v>18</v>
      </c>
      <c r="T1350" s="126" t="s">
        <v>127</v>
      </c>
      <c r="U1350" s="126" t="s">
        <v>217</v>
      </c>
      <c r="V1350" s="136" t="s">
        <v>114</v>
      </c>
      <c r="X1350" s="126" t="s">
        <v>121</v>
      </c>
      <c r="Y1350" s="126" t="s">
        <v>122</v>
      </c>
      <c r="Z1350" s="126">
        <v>2.9</v>
      </c>
      <c r="AA1350" s="126" t="s">
        <v>119</v>
      </c>
      <c r="AB1350" s="126" t="s">
        <v>123</v>
      </c>
      <c r="AC1350" s="126" t="s">
        <v>123</v>
      </c>
      <c r="AD1350" s="126"/>
      <c r="AE1350" s="126"/>
      <c r="AG1350" s="16">
        <f>AH1350-AI1350</f>
        <v>79</v>
      </c>
      <c r="AH1350" s="126">
        <v>148</v>
      </c>
      <c r="AI1350" s="126">
        <v>69</v>
      </c>
      <c r="AK1350" s="126">
        <v>15</v>
      </c>
      <c r="AL1350" s="126">
        <v>0</v>
      </c>
      <c r="AM1350" s="126">
        <v>0</v>
      </c>
      <c r="AN1350" s="126">
        <v>0</v>
      </c>
      <c r="AO1350" s="16">
        <f>IF(SUM(AL1350:AN1350)&gt;0,1,0)</f>
        <v>0</v>
      </c>
      <c r="AP1350" s="18">
        <f>SUM(AL1350:AN1350)</f>
        <v>0</v>
      </c>
      <c r="AR1350" s="16">
        <v>3.8000000000000034E-2</v>
      </c>
      <c r="AS1350" s="16">
        <f>VLOOKUP(E1350,'[1]Feces weights'!$D$1:$H$459,5,FALSE)</f>
        <v>3.8000000000000034E-2</v>
      </c>
      <c r="AT1350" s="16" t="str">
        <f>VLOOKUP(E1350,[2]Current!$A$1:$W$435,7,FALSE)</f>
        <v>JB</v>
      </c>
      <c r="AU1350" s="16" t="s">
        <v>1288</v>
      </c>
      <c r="AV1350" s="23">
        <v>1</v>
      </c>
      <c r="AW1350" s="128">
        <f>IF(AX1350&gt;0,1,0)</f>
        <v>0</v>
      </c>
      <c r="AX1350" s="128">
        <f>SUM(BA1350,BM1350,CU1350)</f>
        <v>0</v>
      </c>
      <c r="AY1350" s="128">
        <f>SUM(BB1350,BN1350,CV1350)</f>
        <v>0</v>
      </c>
      <c r="AZ1350" s="128">
        <f>IF(BA1350&gt;0,1,0)</f>
        <v>0</v>
      </c>
      <c r="BA1350" s="128">
        <f>SUM(BC1350+BF1350+BI1350)</f>
        <v>0</v>
      </c>
      <c r="BB1350" s="128">
        <f>SUM(BE1350,BH1350,BK1350)</f>
        <v>0</v>
      </c>
      <c r="BC1350" s="130">
        <f>IF(BD1350&gt;0,1,0)</f>
        <v>0</v>
      </c>
      <c r="BD1350" s="128">
        <f>VLOOKUP($E1350,[2]Current!$A:$AC,26,FALSE)</f>
        <v>0</v>
      </c>
      <c r="BE1350" s="128">
        <f>BD1350/$AS1350</f>
        <v>0</v>
      </c>
      <c r="BF1350" s="130">
        <f>IF(BG1350&gt;0,1,0)</f>
        <v>0</v>
      </c>
      <c r="BG1350" s="137">
        <f>VLOOKUP($E1350,[2]Current!$A:$AC,27,FALSE)</f>
        <v>0</v>
      </c>
      <c r="BH1350" s="128">
        <f>BG1350/$AS1350</f>
        <v>0</v>
      </c>
      <c r="BI1350" s="130">
        <f>IF(BJ1350&gt;0,1,0)</f>
        <v>0</v>
      </c>
      <c r="BJ1350" s="128">
        <f>VLOOKUP($E1350,[2]Current!$A:$AC,28,FALSE)</f>
        <v>0</v>
      </c>
      <c r="BK1350" s="128">
        <f>BJ1350/$AS1350</f>
        <v>0</v>
      </c>
      <c r="BL1350" s="128">
        <f>IF(BM1350&gt;0,1,0)</f>
        <v>0</v>
      </c>
      <c r="BM1350" s="128">
        <f>SUM(BR1350,BU1350,BX1350,CA1350,CD1350)</f>
        <v>0</v>
      </c>
      <c r="BN1350" s="131">
        <f>SUM(BT1350,BW1350,BZ1350,CC1350,CF1350)</f>
        <v>0</v>
      </c>
      <c r="BO1350" s="128">
        <f>IF(BP1350&gt;0,1,0)</f>
        <v>0</v>
      </c>
      <c r="BP1350" s="128">
        <f>BM1350+CJ1350</f>
        <v>0</v>
      </c>
      <c r="BQ1350" s="128">
        <f>BN1350+CL1350</f>
        <v>0</v>
      </c>
      <c r="BR1350" s="130">
        <f>IF(BS1350&gt;0,1,0)</f>
        <v>0</v>
      </c>
      <c r="BS1350" s="128">
        <f>VLOOKUP($E1350,[2]Current!$A:$AC,12,FALSE)</f>
        <v>0</v>
      </c>
      <c r="BT1350" s="137">
        <f>BS1350/$AS1350</f>
        <v>0</v>
      </c>
      <c r="BU1350" s="130">
        <f>IF(BV1350&gt;0,1,0)</f>
        <v>0</v>
      </c>
      <c r="BV1350" s="128">
        <f>VLOOKUP($E1350,[2]Current!$A:$AC,13,FALSE)</f>
        <v>0</v>
      </c>
      <c r="BW1350" s="128">
        <f>BV1350/$AS1350</f>
        <v>0</v>
      </c>
      <c r="BX1350" s="130">
        <f>IF(BY1350&gt;0,1,0)</f>
        <v>0</v>
      </c>
      <c r="BY1350" s="128">
        <f>VLOOKUP($E1350,[2]Current!$A:$AC,14,FALSE)</f>
        <v>0</v>
      </c>
      <c r="BZ1350" s="128">
        <f>BY1350/$AS1350</f>
        <v>0</v>
      </c>
      <c r="CA1350" s="130">
        <f>IF(CB1350&gt;0,1,0)</f>
        <v>0</v>
      </c>
      <c r="CB1350" s="128">
        <f>VLOOKUP($E1350,[2]Current!$A:$AC,15,FALSE)</f>
        <v>0</v>
      </c>
      <c r="CC1350" s="128">
        <f>CB1350/$AS1350</f>
        <v>0</v>
      </c>
      <c r="CD1350" s="174">
        <f>IF(CE1350&gt;0,1,0)</f>
        <v>0</v>
      </c>
      <c r="CE1350" s="128">
        <f>VLOOKUP($E1350,[2]Current!$A:$AC,16,FALSE)</f>
        <v>0</v>
      </c>
      <c r="CF1350" s="128">
        <f>CE1350/$AS1350</f>
        <v>0</v>
      </c>
      <c r="CG1350" s="18"/>
      <c r="CH1350" s="18"/>
      <c r="CI1350" s="18"/>
      <c r="CJ1350" s="130">
        <f>IF(CK1350&gt;0,1,0)</f>
        <v>0</v>
      </c>
      <c r="CK1350" s="128">
        <f>VLOOKUP($E1350,[2]Current!$A:$AC,18,FALSE)</f>
        <v>0</v>
      </c>
      <c r="CL1350" s="128">
        <f>CK1350/$AS1350</f>
        <v>0</v>
      </c>
      <c r="CS1350" s="130">
        <f>IF(CU1350&gt;0,1,0)</f>
        <v>0</v>
      </c>
      <c r="CU1350" s="128">
        <f>VLOOKUP($E1350,[2]Current!$A:$AC,17,FALSE)</f>
        <v>0</v>
      </c>
      <c r="CV1350" s="128">
        <f>CU1350/$AS1350</f>
        <v>0</v>
      </c>
      <c r="CW1350" s="18"/>
      <c r="CX1350" s="18"/>
      <c r="CY1350" s="18"/>
      <c r="DF1350" s="16" t="e">
        <f>VLOOKUP(K1350,'[3]RNA Seq summary tables'!$V$3:$V$99,1,FALSE)</f>
        <v>#N/A</v>
      </c>
      <c r="DG1350" s="126" t="s">
        <v>123</v>
      </c>
      <c r="JR1350" s="18"/>
      <c r="JS1350" s="18"/>
      <c r="JT1350" s="18"/>
      <c r="JU1350" s="18"/>
      <c r="JV1350" s="18"/>
      <c r="JW1350" s="18"/>
      <c r="JX1350" s="18"/>
      <c r="JY1350" s="18"/>
      <c r="JZ1350" s="18"/>
      <c r="KA1350" s="18"/>
      <c r="KB1350" s="18"/>
    </row>
    <row r="1351" spans="2:288" ht="16" x14ac:dyDescent="0.2">
      <c r="B1351" s="16">
        <v>2018</v>
      </c>
      <c r="C1351" s="124">
        <v>43296</v>
      </c>
      <c r="D1351" t="s">
        <v>997</v>
      </c>
      <c r="E1351" s="37" t="str">
        <f>CONCATENATE(T1351,"-",U1351,"-",C1351)</f>
        <v>PO2-H3-43296</v>
      </c>
      <c r="F1351" s="16" t="s">
        <v>227</v>
      </c>
      <c r="G1351" s="126" t="s">
        <v>107</v>
      </c>
      <c r="H1351" s="126"/>
      <c r="J1351" s="126">
        <v>1483</v>
      </c>
      <c r="K1351" s="126">
        <v>2630</v>
      </c>
      <c r="O1351" s="15" t="s">
        <v>214</v>
      </c>
      <c r="Q1351" s="16">
        <f t="shared" si="8"/>
        <v>1</v>
      </c>
      <c r="R1351" s="16">
        <f t="shared" si="9"/>
        <v>11</v>
      </c>
      <c r="T1351" s="126" t="s">
        <v>127</v>
      </c>
      <c r="U1351" s="126" t="s">
        <v>174</v>
      </c>
      <c r="V1351" s="126" t="s">
        <v>114</v>
      </c>
      <c r="X1351" s="126" t="s">
        <v>121</v>
      </c>
      <c r="Y1351" s="126" t="s">
        <v>110</v>
      </c>
      <c r="Z1351" s="126">
        <v>3</v>
      </c>
      <c r="AA1351" s="126" t="s">
        <v>119</v>
      </c>
      <c r="AB1351" s="126" t="s">
        <v>123</v>
      </c>
      <c r="AC1351" s="126" t="s">
        <v>116</v>
      </c>
      <c r="AD1351" s="126"/>
      <c r="AE1351" s="126"/>
      <c r="AG1351" s="40">
        <f>AH1351-AI1351</f>
        <v>76</v>
      </c>
      <c r="AH1351" s="126">
        <v>147</v>
      </c>
      <c r="AI1351" s="126">
        <v>71</v>
      </c>
      <c r="AK1351" s="126">
        <v>14</v>
      </c>
      <c r="AL1351" s="126">
        <v>0</v>
      </c>
      <c r="AM1351" s="126">
        <v>0</v>
      </c>
      <c r="AN1351" s="126">
        <v>0</v>
      </c>
      <c r="AO1351" s="16">
        <f>IF(SUM(AL1351:AN1351)&gt;0,1,0)</f>
        <v>0</v>
      </c>
      <c r="AP1351" s="18">
        <f>SUM(AL1351:AN1351)</f>
        <v>0</v>
      </c>
      <c r="AR1351" s="16">
        <v>0.20900000000000007</v>
      </c>
      <c r="AS1351" s="16">
        <f>VLOOKUP(E1351,'[1]Feces weights'!$D$1:$H$459,5,FALSE)</f>
        <v>0.20900000000000007</v>
      </c>
      <c r="AT1351" s="16" t="str">
        <f>VLOOKUP(E1351,[2]Current!$A$1:$W$435,7,FALSE)</f>
        <v>LV</v>
      </c>
      <c r="AU1351" s="16" t="s">
        <v>1288</v>
      </c>
      <c r="AV1351" s="23">
        <v>1</v>
      </c>
      <c r="AW1351" s="128">
        <f>IF(AX1351&gt;0,1,0)</f>
        <v>0</v>
      </c>
      <c r="AX1351" s="128">
        <f>SUM(BA1351,BM1351,CU1351)</f>
        <v>0</v>
      </c>
      <c r="AY1351" s="128">
        <f>SUM(BB1351,BN1351,CV1351)</f>
        <v>0</v>
      </c>
      <c r="AZ1351" s="128">
        <f>IF(BA1351&gt;0,1,0)</f>
        <v>0</v>
      </c>
      <c r="BA1351" s="128">
        <f>SUM(BC1351+BF1351+BI1351)</f>
        <v>0</v>
      </c>
      <c r="BB1351" s="128">
        <f>SUM(BE1351,BH1351,BK1351)</f>
        <v>0</v>
      </c>
      <c r="BC1351" s="130">
        <f>IF(BD1351&gt;0,1,0)</f>
        <v>0</v>
      </c>
      <c r="BD1351" s="128">
        <f>VLOOKUP($E1351,[2]Current!$A:$AC,26,FALSE)</f>
        <v>0</v>
      </c>
      <c r="BE1351" s="128">
        <f>BD1351/$AS1351</f>
        <v>0</v>
      </c>
      <c r="BF1351" s="130">
        <f>IF(BG1351&gt;0,1,0)</f>
        <v>0</v>
      </c>
      <c r="BG1351" s="137">
        <f>VLOOKUP($E1351,[2]Current!$A:$AC,27,FALSE)</f>
        <v>0</v>
      </c>
      <c r="BH1351" s="128">
        <f>BG1351/$AS1351</f>
        <v>0</v>
      </c>
      <c r="BI1351" s="130">
        <f>IF(BJ1351&gt;0,1,0)</f>
        <v>0</v>
      </c>
      <c r="BJ1351" s="128">
        <f>VLOOKUP($E1351,[2]Current!$A:$AC,28,FALSE)</f>
        <v>0</v>
      </c>
      <c r="BK1351" s="128">
        <f>BJ1351/$AS1351</f>
        <v>0</v>
      </c>
      <c r="BL1351" s="128">
        <f>IF(BM1351&gt;0,1,0)</f>
        <v>0</v>
      </c>
      <c r="BM1351" s="128">
        <f>SUM(BR1351,BU1351,BX1351,CA1351,CD1351)</f>
        <v>0</v>
      </c>
      <c r="BN1351" s="131">
        <f>SUM(BT1351,BW1351,BZ1351,CC1351,CF1351)</f>
        <v>0</v>
      </c>
      <c r="BO1351" s="128">
        <f>IF(BP1351&gt;0,1,0)</f>
        <v>0</v>
      </c>
      <c r="BP1351" s="128">
        <f>BM1351+CJ1351</f>
        <v>0</v>
      </c>
      <c r="BQ1351" s="128">
        <f>BN1351+CL1351</f>
        <v>0</v>
      </c>
      <c r="BR1351" s="130">
        <f>IF(BS1351&gt;0,1,0)</f>
        <v>0</v>
      </c>
      <c r="BS1351" s="128">
        <f>VLOOKUP($E1351,[2]Current!$A:$AC,12,FALSE)</f>
        <v>0</v>
      </c>
      <c r="BT1351" s="137">
        <f>BS1351/$AS1351</f>
        <v>0</v>
      </c>
      <c r="BU1351" s="130">
        <f>IF(BV1351&gt;0,1,0)</f>
        <v>0</v>
      </c>
      <c r="BV1351" s="128">
        <f>VLOOKUP($E1351,[2]Current!$A:$AC,13,FALSE)</f>
        <v>0</v>
      </c>
      <c r="BW1351" s="128">
        <f>BV1351/$AS1351</f>
        <v>0</v>
      </c>
      <c r="BX1351" s="130">
        <f>IF(BY1351&gt;0,1,0)</f>
        <v>0</v>
      </c>
      <c r="BY1351" s="128">
        <f>VLOOKUP($E1351,[2]Current!$A:$AC,14,FALSE)</f>
        <v>0</v>
      </c>
      <c r="BZ1351" s="128">
        <f>BY1351/$AS1351</f>
        <v>0</v>
      </c>
      <c r="CA1351" s="130">
        <f>IF(CB1351&gt;0,1,0)</f>
        <v>0</v>
      </c>
      <c r="CB1351" s="128">
        <f>VLOOKUP($E1351,[2]Current!$A:$AC,15,FALSE)</f>
        <v>0</v>
      </c>
      <c r="CC1351" s="128">
        <f>CB1351/$AS1351</f>
        <v>0</v>
      </c>
      <c r="CD1351" s="174">
        <f>IF(CE1351&gt;0,1,0)</f>
        <v>0</v>
      </c>
      <c r="CE1351" s="128">
        <f>VLOOKUP($E1351,[2]Current!$A:$AC,16,FALSE)</f>
        <v>0</v>
      </c>
      <c r="CF1351" s="128">
        <f>CE1351/$AS1351</f>
        <v>0</v>
      </c>
      <c r="CG1351" s="18"/>
      <c r="CH1351" s="18"/>
      <c r="CI1351" s="18"/>
      <c r="CJ1351" s="130">
        <f>IF(CK1351&gt;0,1,0)</f>
        <v>0</v>
      </c>
      <c r="CK1351" s="128">
        <f>VLOOKUP($E1351,[2]Current!$A:$AC,18,FALSE)</f>
        <v>0</v>
      </c>
      <c r="CL1351" s="128">
        <f>CK1351/$AS1351</f>
        <v>0</v>
      </c>
      <c r="CS1351" s="130">
        <f>IF(CU1351&gt;0,1,0)</f>
        <v>0</v>
      </c>
      <c r="CU1351" s="128">
        <f>VLOOKUP($E1351,[2]Current!$A:$AC,17,FALSE)</f>
        <v>0</v>
      </c>
      <c r="CV1351" s="128">
        <f>CU1351/$AS1351</f>
        <v>0</v>
      </c>
      <c r="CW1351" s="18"/>
      <c r="CX1351" s="18"/>
      <c r="CY1351" s="18"/>
      <c r="DF1351" s="16" t="e">
        <f>VLOOKUP(K1351,'[3]RNA Seq summary tables'!$V$3:$V$99,1,FALSE)</f>
        <v>#N/A</v>
      </c>
      <c r="DG1351" s="126" t="s">
        <v>116</v>
      </c>
    </row>
    <row r="1352" spans="2:288" ht="16" x14ac:dyDescent="0.2">
      <c r="B1352" s="16">
        <v>2018</v>
      </c>
      <c r="C1352" s="147">
        <v>43315</v>
      </c>
      <c r="D1352" t="s">
        <v>1245</v>
      </c>
      <c r="E1352" s="20" t="str">
        <f>CONCATENATE(T1352,"-",U1352,"-",C1352)</f>
        <v>PO2-G3-43315</v>
      </c>
      <c r="F1352" s="16" t="s">
        <v>227</v>
      </c>
      <c r="G1352" s="145" t="s">
        <v>107</v>
      </c>
      <c r="H1352" s="145"/>
      <c r="I1352" s="145"/>
      <c r="J1352" s="145">
        <v>1483</v>
      </c>
      <c r="K1352" s="145">
        <v>2744</v>
      </c>
      <c r="M1352" s="16"/>
      <c r="N1352" s="16"/>
      <c r="O1352" s="15" t="s">
        <v>214</v>
      </c>
      <c r="Q1352" s="16">
        <f t="shared" si="8"/>
        <v>1</v>
      </c>
      <c r="R1352" s="16">
        <f t="shared" si="9"/>
        <v>19</v>
      </c>
      <c r="S1352" s="145"/>
      <c r="T1352" s="145" t="s">
        <v>127</v>
      </c>
      <c r="U1352" s="145" t="s">
        <v>179</v>
      </c>
      <c r="V1352" s="145" t="s">
        <v>114</v>
      </c>
      <c r="W1352" s="145"/>
      <c r="X1352" s="145" t="s">
        <v>121</v>
      </c>
      <c r="Y1352" s="145" t="s">
        <v>110</v>
      </c>
      <c r="Z1352" s="145">
        <v>3</v>
      </c>
      <c r="AA1352" s="145" t="s">
        <v>119</v>
      </c>
      <c r="AB1352" s="145" t="s">
        <v>123</v>
      </c>
      <c r="AC1352" s="145" t="s">
        <v>116</v>
      </c>
      <c r="AD1352" s="145"/>
      <c r="AE1352" s="145"/>
      <c r="AF1352" s="145"/>
      <c r="AG1352" s="145">
        <f>AH1352-AI1352</f>
        <v>81</v>
      </c>
      <c r="AH1352" s="145">
        <v>153</v>
      </c>
      <c r="AI1352" s="145">
        <v>72</v>
      </c>
      <c r="AJ1352" s="145"/>
      <c r="AK1352" s="145">
        <v>17.5</v>
      </c>
      <c r="AL1352" s="145">
        <v>0</v>
      </c>
      <c r="AM1352" s="145">
        <v>0</v>
      </c>
      <c r="AN1352" s="145">
        <v>0</v>
      </c>
      <c r="AO1352" s="16">
        <f>IF(SUM(AL1352:AN1352)&gt;0, 1,0)</f>
        <v>0</v>
      </c>
      <c r="AP1352" s="16">
        <f>SUM(AL1352:AN1352)</f>
        <v>0</v>
      </c>
      <c r="AS1352" s="16">
        <f>VLOOKUP(E1352,'[1]Feces weights'!$D$1:$H$459,5,FALSE)</f>
        <v>0.92300000000000026</v>
      </c>
      <c r="AT1352" s="16" t="e">
        <f>VLOOKUP(E1352,[2]Current!$A$1:$W$435,7,FALSE)</f>
        <v>#N/A</v>
      </c>
      <c r="BG1352" s="77"/>
      <c r="BT1352" s="77"/>
      <c r="CD1352" s="77"/>
      <c r="DG1352" s="145" t="s">
        <v>116</v>
      </c>
      <c r="DT1352" s="145" t="s">
        <v>123</v>
      </c>
      <c r="DU1352" s="145"/>
      <c r="DX1352" s="145"/>
      <c r="DY1352" s="145"/>
      <c r="DZ1352" s="16"/>
      <c r="EA1352" s="16"/>
      <c r="EB1352" s="16"/>
      <c r="EC1352" s="16"/>
      <c r="ED1352" s="16"/>
      <c r="EE1352" s="16"/>
      <c r="EF1352" s="16"/>
      <c r="JO1352" s="18"/>
      <c r="JP1352" s="18"/>
      <c r="JQ1352" s="18"/>
      <c r="JR1352" s="18"/>
      <c r="JS1352" s="18"/>
      <c r="JT1352" s="18"/>
      <c r="JU1352" s="18"/>
      <c r="JV1352" s="18"/>
      <c r="JW1352" s="18"/>
      <c r="JX1352" s="18"/>
      <c r="JY1352" s="18"/>
      <c r="JZ1352" s="18"/>
      <c r="KA1352" s="18"/>
    </row>
    <row r="1353" spans="2:288" ht="16" x14ac:dyDescent="0.2">
      <c r="B1353" s="16">
        <v>2018</v>
      </c>
      <c r="C1353" s="124">
        <v>43267</v>
      </c>
      <c r="D1353" t="s">
        <v>814</v>
      </c>
      <c r="E1353" s="37" t="str">
        <f>CONCATENATE(T1353,"-",U1353,"-",C1353)</f>
        <v>PO2-A4-43267</v>
      </c>
      <c r="F1353" s="16" t="s">
        <v>227</v>
      </c>
      <c r="G1353" s="126" t="s">
        <v>107</v>
      </c>
      <c r="H1353" s="126"/>
      <c r="J1353" s="126">
        <v>1485</v>
      </c>
      <c r="K1353" s="126">
        <v>2450</v>
      </c>
      <c r="O1353" s="15" t="s">
        <v>214</v>
      </c>
      <c r="Q1353" s="16">
        <f t="shared" si="8"/>
        <v>0</v>
      </c>
      <c r="R1353" s="16" t="str">
        <f t="shared" si="9"/>
        <v/>
      </c>
      <c r="T1353" s="126" t="s">
        <v>127</v>
      </c>
      <c r="U1353" s="126" t="s">
        <v>134</v>
      </c>
      <c r="V1353" s="126" t="s">
        <v>114</v>
      </c>
      <c r="X1353" s="126" t="s">
        <v>115</v>
      </c>
      <c r="Y1353" s="126" t="s">
        <v>110</v>
      </c>
      <c r="Z1353" s="126">
        <v>3</v>
      </c>
      <c r="AA1353" s="126"/>
      <c r="AB1353" s="126"/>
      <c r="AC1353" s="126"/>
      <c r="AD1353" s="126"/>
      <c r="AE1353" s="126" t="s">
        <v>116</v>
      </c>
      <c r="AG1353" s="16">
        <f>AH1353-AI1353</f>
        <v>93</v>
      </c>
      <c r="AH1353" s="126">
        <v>176</v>
      </c>
      <c r="AI1353" s="126">
        <v>83</v>
      </c>
      <c r="AK1353" s="126">
        <v>22.5</v>
      </c>
      <c r="AL1353" s="126">
        <v>0</v>
      </c>
      <c r="AM1353" s="126">
        <v>0</v>
      </c>
      <c r="AN1353" s="126">
        <v>0</v>
      </c>
      <c r="AO1353" s="16">
        <f>IF(SUM(AL1353:AN1353)&gt;0,1,0)</f>
        <v>0</v>
      </c>
      <c r="AP1353" s="18">
        <f>SUM(AL1353:AN1353)</f>
        <v>0</v>
      </c>
      <c r="AR1353" s="16">
        <v>0.16200000000000014</v>
      </c>
      <c r="AS1353" s="16">
        <f>VLOOKUP(E1353,'[1]Feces weights'!$D$1:$H$459,5,FALSE)</f>
        <v>0.16200000000000014</v>
      </c>
      <c r="AT1353" s="16" t="str">
        <f>VLOOKUP(E1353,[2]Current!$A$1:$W$435,7,FALSE)</f>
        <v>DP</v>
      </c>
      <c r="AU1353" s="16" t="s">
        <v>1288</v>
      </c>
      <c r="AV1353" s="23">
        <v>1</v>
      </c>
      <c r="AW1353" s="128">
        <f>IF(AX1353&gt;0,1,0)</f>
        <v>0</v>
      </c>
      <c r="AX1353" s="128">
        <f>SUM(BA1353,BM1353,CU1353)</f>
        <v>0</v>
      </c>
      <c r="AY1353" s="128">
        <f>SUM(BB1353,BN1353,CV1353)</f>
        <v>0</v>
      </c>
      <c r="AZ1353" s="128">
        <f>IF(BA1353&gt;0,1,0)</f>
        <v>0</v>
      </c>
      <c r="BA1353" s="128">
        <f>SUM(BC1353+BF1353+BI1353)</f>
        <v>0</v>
      </c>
      <c r="BB1353" s="128">
        <f>SUM(BE1353,BH1353,BK1353)</f>
        <v>0</v>
      </c>
      <c r="BC1353" s="130">
        <f>IF(BD1353&gt;0,1,0)</f>
        <v>0</v>
      </c>
      <c r="BD1353" s="128">
        <f>VLOOKUP($E1353,[2]Current!$A:$AC,26,FALSE)</f>
        <v>0</v>
      </c>
      <c r="BE1353" s="128">
        <f>BD1353/$AS1353</f>
        <v>0</v>
      </c>
      <c r="BF1353" s="130">
        <f>IF(BG1353&gt;0,1,0)</f>
        <v>0</v>
      </c>
      <c r="BG1353" s="137">
        <f>VLOOKUP($E1353,[2]Current!$A:$AC,27,FALSE)</f>
        <v>0</v>
      </c>
      <c r="BH1353" s="128">
        <f>BG1353/$AS1353</f>
        <v>0</v>
      </c>
      <c r="BI1353" s="130">
        <f>IF(BJ1353&gt;0,1,0)</f>
        <v>0</v>
      </c>
      <c r="BJ1353" s="128">
        <f>VLOOKUP($E1353,[2]Current!$A:$AC,28,FALSE)</f>
        <v>0</v>
      </c>
      <c r="BK1353" s="128">
        <f>BJ1353/$AS1353</f>
        <v>0</v>
      </c>
      <c r="BL1353" s="128">
        <f>IF(BM1353&gt;0,1,0)</f>
        <v>0</v>
      </c>
      <c r="BM1353" s="128">
        <f>SUM(BR1353,BU1353,BX1353,CA1353,CD1353)</f>
        <v>0</v>
      </c>
      <c r="BN1353" s="131">
        <f>SUM(BT1353,BW1353,BZ1353,CC1353,CF1353)</f>
        <v>0</v>
      </c>
      <c r="BO1353" s="128">
        <f>IF(BP1353&gt;0,1,0)</f>
        <v>0</v>
      </c>
      <c r="BP1353" s="128">
        <f>BM1353+CJ1353</f>
        <v>0</v>
      </c>
      <c r="BQ1353" s="128">
        <f>BN1353+CL1353</f>
        <v>0</v>
      </c>
      <c r="BR1353" s="130">
        <f>IF(BS1353&gt;0,1,0)</f>
        <v>0</v>
      </c>
      <c r="BS1353" s="128">
        <f>VLOOKUP($E1353,[2]Current!$A:$AC,12,FALSE)</f>
        <v>0</v>
      </c>
      <c r="BT1353" s="137">
        <f>BS1353/$AS1353</f>
        <v>0</v>
      </c>
      <c r="BU1353" s="130">
        <f>IF(BV1353&gt;0,1,0)</f>
        <v>0</v>
      </c>
      <c r="BV1353" s="128">
        <f>VLOOKUP($E1353,[2]Current!$A:$AC,13,FALSE)</f>
        <v>0</v>
      </c>
      <c r="BW1353" s="128">
        <f>BV1353/$AS1353</f>
        <v>0</v>
      </c>
      <c r="BX1353" s="130">
        <f>IF(BY1353&gt;0,1,0)</f>
        <v>0</v>
      </c>
      <c r="BY1353" s="128">
        <f>VLOOKUP($E1353,[2]Current!$A:$AC,14,FALSE)</f>
        <v>0</v>
      </c>
      <c r="BZ1353" s="128">
        <f>BY1353/$AS1353</f>
        <v>0</v>
      </c>
      <c r="CA1353" s="130">
        <f>IF(CB1353&gt;0,1,0)</f>
        <v>0</v>
      </c>
      <c r="CB1353" s="128">
        <f>VLOOKUP($E1353,[2]Current!$A:$AC,15,FALSE)</f>
        <v>0</v>
      </c>
      <c r="CC1353" s="128">
        <f>CB1353/$AS1353</f>
        <v>0</v>
      </c>
      <c r="CD1353" s="174">
        <f>IF(CE1353&gt;0,1,0)</f>
        <v>0</v>
      </c>
      <c r="CE1353" s="128">
        <f>VLOOKUP($E1353,[2]Current!$A:$AC,16,FALSE)</f>
        <v>0</v>
      </c>
      <c r="CF1353" s="128">
        <f>CE1353/$AS1353</f>
        <v>0</v>
      </c>
      <c r="CG1353" s="18"/>
      <c r="CH1353" s="18"/>
      <c r="CI1353" s="18"/>
      <c r="CJ1353" s="130">
        <f>IF(CK1353&gt;0,1,0)</f>
        <v>0</v>
      </c>
      <c r="CK1353" s="128">
        <f>VLOOKUP($E1353,[2]Current!$A:$AC,18,FALSE)</f>
        <v>0</v>
      </c>
      <c r="CL1353" s="128">
        <f>CK1353/$AS1353</f>
        <v>0</v>
      </c>
      <c r="CS1353" s="130">
        <f>IF(CU1353&gt;0,1,0)</f>
        <v>0</v>
      </c>
      <c r="CU1353" s="128">
        <f>VLOOKUP($E1353,[2]Current!$A:$AC,17,FALSE)</f>
        <v>0</v>
      </c>
      <c r="CV1353" s="128">
        <f>CU1353/$AS1353</f>
        <v>0</v>
      </c>
      <c r="CW1353" s="18"/>
      <c r="CX1353" s="18"/>
      <c r="CY1353" s="18"/>
      <c r="DF1353" s="16" t="e">
        <f>VLOOKUP(K1353,'[3]RNA Seq summary tables'!$V$3:$V$99,1,FALSE)</f>
        <v>#N/A</v>
      </c>
      <c r="DG1353" s="126" t="s">
        <v>116</v>
      </c>
    </row>
    <row r="1354" spans="2:288" ht="16" x14ac:dyDescent="0.2">
      <c r="B1354" s="16">
        <v>2018</v>
      </c>
      <c r="C1354" s="124">
        <v>43283</v>
      </c>
      <c r="D1354" t="s">
        <v>888</v>
      </c>
      <c r="E1354" s="37" t="str">
        <f>CONCATENATE(T1354,"-",U1354,"-",C1354)</f>
        <v>PO2-A8-43283</v>
      </c>
      <c r="F1354" s="16" t="s">
        <v>227</v>
      </c>
      <c r="G1354" s="126" t="s">
        <v>107</v>
      </c>
      <c r="H1354" s="126"/>
      <c r="J1354" s="126">
        <v>1485</v>
      </c>
      <c r="K1354" s="126">
        <v>2527</v>
      </c>
      <c r="O1354" s="15" t="s">
        <v>214</v>
      </c>
      <c r="Q1354" s="16">
        <f t="shared" si="8"/>
        <v>1</v>
      </c>
      <c r="R1354" s="16">
        <f t="shared" si="9"/>
        <v>16</v>
      </c>
      <c r="T1354" s="126" t="s">
        <v>127</v>
      </c>
      <c r="U1354" s="126" t="s">
        <v>194</v>
      </c>
      <c r="V1354" s="126" t="s">
        <v>114</v>
      </c>
      <c r="X1354" s="126" t="s">
        <v>115</v>
      </c>
      <c r="Y1354" s="126" t="s">
        <v>110</v>
      </c>
      <c r="Z1354" s="126">
        <v>3</v>
      </c>
      <c r="AA1354" s="126"/>
      <c r="AB1354" s="126"/>
      <c r="AC1354" s="126"/>
      <c r="AD1354" s="126"/>
      <c r="AE1354" s="126" t="s">
        <v>116</v>
      </c>
      <c r="AG1354" s="16">
        <f>AH1354-AI1354</f>
        <v>89</v>
      </c>
      <c r="AH1354" s="126">
        <v>174</v>
      </c>
      <c r="AI1354" s="126">
        <v>85</v>
      </c>
      <c r="AK1354" s="126">
        <v>24</v>
      </c>
      <c r="AL1354" s="126">
        <v>0</v>
      </c>
      <c r="AM1354" s="126">
        <v>0</v>
      </c>
      <c r="AN1354" s="126">
        <v>0</v>
      </c>
      <c r="AO1354" s="16">
        <f>IF(SUM(AL1354:AN1354)&gt;0,1,0)</f>
        <v>0</v>
      </c>
      <c r="AP1354" s="18">
        <f>SUM(AL1354:AN1354)</f>
        <v>0</v>
      </c>
      <c r="AR1354" s="16">
        <v>1.5000000000000124E-2</v>
      </c>
      <c r="AS1354" s="16">
        <f>VLOOKUP(E1354,'[1]Feces weights'!$D$1:$H$459,5,FALSE)</f>
        <v>1.5000000000000124E-2</v>
      </c>
      <c r="AT1354" s="16" t="str">
        <f>VLOOKUP(E1354,[2]Current!$A$1:$W$435,7,FALSE)</f>
        <v>TE</v>
      </c>
      <c r="AU1354" s="16" t="s">
        <v>1288</v>
      </c>
      <c r="AV1354" s="23">
        <v>1</v>
      </c>
      <c r="AW1354" s="128">
        <f>IF(AX1354&gt;0,1,0)</f>
        <v>0</v>
      </c>
      <c r="AX1354" s="128">
        <f>SUM(BA1354,BM1354,CU1354)</f>
        <v>0</v>
      </c>
      <c r="AY1354" s="128">
        <f>SUM(BB1354,BN1354,CV1354)</f>
        <v>0</v>
      </c>
      <c r="AZ1354" s="128">
        <f>IF(BA1354&gt;0,1,0)</f>
        <v>0</v>
      </c>
      <c r="BA1354" s="128">
        <f>SUM(BC1354+BF1354+BI1354)</f>
        <v>0</v>
      </c>
      <c r="BB1354" s="128">
        <f>SUM(BE1354,BH1354,BK1354)</f>
        <v>0</v>
      </c>
      <c r="BC1354" s="130">
        <f>IF(BD1354&gt;0,1,0)</f>
        <v>0</v>
      </c>
      <c r="BD1354" s="128">
        <f>VLOOKUP($E1354,[2]Current!$A:$AC,26,FALSE)</f>
        <v>0</v>
      </c>
      <c r="BE1354" s="128">
        <f>BD1354/$AS1354</f>
        <v>0</v>
      </c>
      <c r="BF1354" s="130">
        <f>IF(BG1354&gt;0,1,0)</f>
        <v>0</v>
      </c>
      <c r="BG1354" s="137">
        <f>VLOOKUP($E1354,[2]Current!$A:$AC,27,FALSE)</f>
        <v>0</v>
      </c>
      <c r="BH1354" s="128">
        <f>BG1354/$AS1354</f>
        <v>0</v>
      </c>
      <c r="BI1354" s="130">
        <f>IF(BJ1354&gt;0,1,0)</f>
        <v>0</v>
      </c>
      <c r="BJ1354" s="128">
        <f>VLOOKUP($E1354,[2]Current!$A:$AC,28,FALSE)</f>
        <v>0</v>
      </c>
      <c r="BK1354" s="128">
        <f>BJ1354/$AS1354</f>
        <v>0</v>
      </c>
      <c r="BL1354" s="128">
        <f>IF(BM1354&gt;0,1,0)</f>
        <v>0</v>
      </c>
      <c r="BM1354" s="128">
        <f>SUM(BR1354,BU1354,BX1354,CA1354,CD1354)</f>
        <v>0</v>
      </c>
      <c r="BN1354" s="131">
        <f>SUM(BT1354,BW1354,BZ1354,CC1354,CF1354)</f>
        <v>0</v>
      </c>
      <c r="BO1354" s="128">
        <f>IF(BP1354&gt;0,1,0)</f>
        <v>0</v>
      </c>
      <c r="BP1354" s="128">
        <f>BM1354+CJ1354</f>
        <v>0</v>
      </c>
      <c r="BQ1354" s="128">
        <f>BN1354+CL1354</f>
        <v>0</v>
      </c>
      <c r="BR1354" s="130">
        <f>IF(BS1354&gt;0,1,0)</f>
        <v>0</v>
      </c>
      <c r="BS1354" s="128">
        <f>VLOOKUP($E1354,[2]Current!$A:$AC,12,FALSE)</f>
        <v>0</v>
      </c>
      <c r="BT1354" s="137">
        <f>BS1354/$AS1354</f>
        <v>0</v>
      </c>
      <c r="BU1354" s="130">
        <f>IF(BV1354&gt;0,1,0)</f>
        <v>0</v>
      </c>
      <c r="BV1354" s="128">
        <f>VLOOKUP($E1354,[2]Current!$A:$AC,13,FALSE)</f>
        <v>0</v>
      </c>
      <c r="BW1354" s="128">
        <f>BV1354/$AS1354</f>
        <v>0</v>
      </c>
      <c r="BX1354" s="130">
        <f>IF(BY1354&gt;0,1,0)</f>
        <v>0</v>
      </c>
      <c r="BY1354" s="128">
        <f>VLOOKUP($E1354,[2]Current!$A:$AC,14,FALSE)</f>
        <v>0</v>
      </c>
      <c r="BZ1354" s="128">
        <f>BY1354/$AS1354</f>
        <v>0</v>
      </c>
      <c r="CA1354" s="130">
        <f>IF(CB1354&gt;0,1,0)</f>
        <v>0</v>
      </c>
      <c r="CB1354" s="128">
        <f>VLOOKUP($E1354,[2]Current!$A:$AC,15,FALSE)</f>
        <v>0</v>
      </c>
      <c r="CC1354" s="128">
        <f>CB1354/$AS1354</f>
        <v>0</v>
      </c>
      <c r="CD1354" s="174">
        <f>IF(CE1354&gt;0,1,0)</f>
        <v>0</v>
      </c>
      <c r="CE1354" s="128">
        <f>VLOOKUP($E1354,[2]Current!$A:$AC,16,FALSE)</f>
        <v>0</v>
      </c>
      <c r="CF1354" s="128">
        <f>CE1354/$AS1354</f>
        <v>0</v>
      </c>
      <c r="CG1354" s="18"/>
      <c r="CH1354" s="18"/>
      <c r="CI1354" s="18"/>
      <c r="CJ1354" s="130">
        <f>IF(CK1354&gt;0,1,0)</f>
        <v>0</v>
      </c>
      <c r="CK1354" s="128">
        <f>VLOOKUP($E1354,[2]Current!$A:$AC,18,FALSE)</f>
        <v>0</v>
      </c>
      <c r="CL1354" s="128">
        <f>CK1354/$AS1354</f>
        <v>0</v>
      </c>
      <c r="CS1354" s="130">
        <f>IF(CU1354&gt;0,1,0)</f>
        <v>0</v>
      </c>
      <c r="CU1354" s="128">
        <f>VLOOKUP($E1354,[2]Current!$A:$AC,17,FALSE)</f>
        <v>0</v>
      </c>
      <c r="CV1354" s="128">
        <f>CU1354/$AS1354</f>
        <v>0</v>
      </c>
      <c r="CW1354" s="18"/>
      <c r="CX1354" s="18"/>
      <c r="CY1354" s="18"/>
      <c r="DF1354" s="16" t="e">
        <f>VLOOKUP(K1354,'[3]RNA Seq summary tables'!$V$3:$V$99,1,FALSE)</f>
        <v>#N/A</v>
      </c>
      <c r="DG1354" s="126" t="s">
        <v>116</v>
      </c>
      <c r="JR1354" s="29"/>
      <c r="JS1354" s="29"/>
      <c r="JT1354" s="29"/>
      <c r="JU1354" s="29"/>
      <c r="JV1354" s="29"/>
      <c r="JW1354" s="29"/>
      <c r="JX1354" s="29"/>
      <c r="JY1354" s="29"/>
      <c r="JZ1354" s="29"/>
      <c r="KA1354" s="29"/>
      <c r="KB1354" s="29"/>
    </row>
    <row r="1355" spans="2:288" ht="16" x14ac:dyDescent="0.2">
      <c r="B1355" s="16">
        <v>2018</v>
      </c>
      <c r="C1355" s="124">
        <v>43296</v>
      </c>
      <c r="D1355" t="s">
        <v>982</v>
      </c>
      <c r="E1355" s="142" t="str">
        <f>CONCATENATE(T1355,"-",U1355,"-",C1355)</f>
        <v>PO2-A4-43296</v>
      </c>
      <c r="F1355" s="16" t="s">
        <v>227</v>
      </c>
      <c r="G1355" s="126" t="s">
        <v>107</v>
      </c>
      <c r="H1355" s="126"/>
      <c r="J1355" s="126">
        <v>1485</v>
      </c>
      <c r="K1355" s="126">
        <v>2620</v>
      </c>
      <c r="O1355" s="15" t="s">
        <v>214</v>
      </c>
      <c r="Q1355" s="16">
        <f t="shared" si="8"/>
        <v>1</v>
      </c>
      <c r="R1355" s="16">
        <f t="shared" si="9"/>
        <v>13</v>
      </c>
      <c r="T1355" s="126" t="s">
        <v>127</v>
      </c>
      <c r="U1355" s="126" t="s">
        <v>134</v>
      </c>
      <c r="V1355" s="126" t="s">
        <v>114</v>
      </c>
      <c r="X1355" s="126" t="s">
        <v>115</v>
      </c>
      <c r="Y1355" s="126" t="s">
        <v>110</v>
      </c>
      <c r="Z1355" s="126">
        <v>3</v>
      </c>
      <c r="AA1355" s="126"/>
      <c r="AB1355" s="126"/>
      <c r="AC1355" s="126"/>
      <c r="AD1355" s="126" t="s">
        <v>116</v>
      </c>
      <c r="AE1355" s="126" t="s">
        <v>116</v>
      </c>
      <c r="AG1355" s="40">
        <f>AH1355-AI1355</f>
        <v>90</v>
      </c>
      <c r="AH1355" s="126">
        <v>175</v>
      </c>
      <c r="AI1355" s="126">
        <v>85</v>
      </c>
      <c r="AK1355" s="126">
        <v>23</v>
      </c>
      <c r="AL1355" s="126">
        <v>0</v>
      </c>
      <c r="AM1355" s="126">
        <v>0</v>
      </c>
      <c r="AN1355" s="126">
        <v>0</v>
      </c>
      <c r="AO1355" s="16">
        <f>IF(SUM(AL1355:AN1355)&gt;0,1,0)</f>
        <v>0</v>
      </c>
      <c r="AP1355" s="18">
        <f>SUM(AL1355:AN1355)</f>
        <v>0</v>
      </c>
      <c r="AR1355" s="16">
        <v>8.3000000000000185E-2</v>
      </c>
      <c r="AS1355" s="16">
        <f>VLOOKUP(E1355,'[1]Feces weights'!$D$1:$H$459,5,FALSE)</f>
        <v>8.3000000000000185E-2</v>
      </c>
      <c r="AT1355" s="16" t="e">
        <f>VLOOKUP(E1355,[2]Current!$A$1:$W$435,7,FALSE)</f>
        <v>#N/A</v>
      </c>
      <c r="AU1355" s="16">
        <v>0</v>
      </c>
      <c r="BG1355" s="77"/>
      <c r="BN1355" s="126"/>
      <c r="BT1355" s="78"/>
      <c r="BU1355" s="18"/>
      <c r="BV1355" s="18"/>
      <c r="BW1355" s="25"/>
      <c r="BX1355" s="18"/>
      <c r="BY1355" s="18"/>
      <c r="BZ1355" s="25"/>
      <c r="CA1355" s="18"/>
      <c r="CB1355" s="18"/>
      <c r="CC1355" s="25"/>
      <c r="CD1355" s="78"/>
      <c r="CE1355" s="18"/>
      <c r="CF1355" s="25"/>
      <c r="CG1355" s="18"/>
      <c r="CH1355" s="18"/>
      <c r="CI1355" s="18"/>
      <c r="CJ1355" s="18"/>
      <c r="CK1355" s="18"/>
      <c r="CL1355" s="25"/>
      <c r="DF1355" s="16" t="e">
        <f>VLOOKUP(K1355,'[3]RNA Seq summary tables'!$V$3:$V$99,1,FALSE)</f>
        <v>#N/A</v>
      </c>
      <c r="DG1355" s="126" t="s">
        <v>116</v>
      </c>
    </row>
    <row r="1356" spans="2:288" ht="16" x14ac:dyDescent="0.2">
      <c r="B1356" s="16">
        <v>2018</v>
      </c>
      <c r="C1356" s="147">
        <v>43315</v>
      </c>
      <c r="D1356" t="s">
        <v>1239</v>
      </c>
      <c r="E1356" s="20" t="str">
        <f>CONCATENATE(T1356,"-",U1356,"-",C1356)</f>
        <v>PO2-A7-43315</v>
      </c>
      <c r="F1356" s="16" t="s">
        <v>227</v>
      </c>
      <c r="G1356" s="145" t="s">
        <v>107</v>
      </c>
      <c r="H1356" s="145"/>
      <c r="I1356" s="145"/>
      <c r="J1356" s="145">
        <v>1485</v>
      </c>
      <c r="K1356" s="145">
        <v>2738</v>
      </c>
      <c r="M1356" s="16"/>
      <c r="N1356" s="16"/>
      <c r="O1356" s="15" t="s">
        <v>214</v>
      </c>
      <c r="Q1356" s="16">
        <f t="shared" si="8"/>
        <v>1</v>
      </c>
      <c r="R1356" s="16">
        <f t="shared" si="9"/>
        <v>19</v>
      </c>
      <c r="S1356" s="145"/>
      <c r="T1356" s="145" t="s">
        <v>127</v>
      </c>
      <c r="U1356" s="145" t="s">
        <v>120</v>
      </c>
      <c r="V1356" s="145" t="s">
        <v>114</v>
      </c>
      <c r="W1356" s="145"/>
      <c r="X1356" s="145" t="s">
        <v>115</v>
      </c>
      <c r="Y1356" s="145" t="s">
        <v>110</v>
      </c>
      <c r="Z1356" s="145">
        <v>3</v>
      </c>
      <c r="AA1356" s="145"/>
      <c r="AB1356" s="145"/>
      <c r="AC1356" s="145"/>
      <c r="AD1356" s="145"/>
      <c r="AE1356" s="145" t="s">
        <v>116</v>
      </c>
      <c r="AF1356" s="145" t="s">
        <v>116</v>
      </c>
      <c r="AG1356" s="145">
        <f>AH1356-AI1356</f>
        <v>92</v>
      </c>
      <c r="AH1356" s="145">
        <v>176</v>
      </c>
      <c r="AI1356" s="145">
        <v>84</v>
      </c>
      <c r="AJ1356" s="145"/>
      <c r="AK1356" s="145">
        <v>24.5</v>
      </c>
      <c r="AL1356" s="145">
        <v>0</v>
      </c>
      <c r="AM1356" s="145">
        <v>0</v>
      </c>
      <c r="AN1356" s="145">
        <v>0</v>
      </c>
      <c r="AO1356" s="16">
        <f>IF(SUM(AL1356:AN1356)&gt;0, 1,0)</f>
        <v>0</v>
      </c>
      <c r="AP1356" s="16">
        <f>SUM(AL1356:AN1356)</f>
        <v>0</v>
      </c>
      <c r="AS1356" s="16">
        <f>VLOOKUP(E1356,'[1]Feces weights'!$D$1:$H$459,5,FALSE)</f>
        <v>0.17000000000000015</v>
      </c>
      <c r="AT1356" s="16" t="e">
        <f>VLOOKUP(E1356,[2]Current!$A$1:$W$435,7,FALSE)</f>
        <v>#N/A</v>
      </c>
      <c r="BG1356" s="77"/>
      <c r="BT1356" s="77"/>
      <c r="CD1356" s="77"/>
      <c r="DG1356" s="145" t="s">
        <v>123</v>
      </c>
      <c r="DT1356" s="145" t="s">
        <v>123</v>
      </c>
      <c r="DU1356" s="145"/>
      <c r="DX1356" s="145"/>
      <c r="DY1356" s="145"/>
      <c r="DZ1356" s="16"/>
      <c r="EA1356" s="16"/>
      <c r="EB1356" s="16"/>
      <c r="EC1356" s="16"/>
      <c r="ED1356" s="16"/>
      <c r="EE1356" s="16"/>
      <c r="EF1356" s="16"/>
      <c r="JO1356" s="18"/>
      <c r="JP1356" s="18"/>
      <c r="JQ1356" s="18"/>
      <c r="JR1356" s="18"/>
      <c r="JS1356" s="18"/>
      <c r="JT1356" s="18"/>
      <c r="JU1356" s="18"/>
      <c r="JV1356" s="18"/>
      <c r="JW1356" s="18"/>
      <c r="JX1356" s="18"/>
      <c r="JY1356" s="18"/>
      <c r="JZ1356" s="18"/>
      <c r="KA1356" s="18"/>
    </row>
    <row r="1357" spans="2:288" ht="16" x14ac:dyDescent="0.2">
      <c r="B1357" s="16">
        <v>2018</v>
      </c>
      <c r="C1357" s="124">
        <v>43267</v>
      </c>
      <c r="D1357" t="s">
        <v>807</v>
      </c>
      <c r="E1357" s="37" t="str">
        <f>CONCATENATE(T1357,"-",U1357,"-",C1357)</f>
        <v>PO1-A4-43267</v>
      </c>
      <c r="F1357" s="16" t="s">
        <v>227</v>
      </c>
      <c r="G1357" s="126" t="s">
        <v>107</v>
      </c>
      <c r="H1357" s="126"/>
      <c r="J1357" s="126">
        <v>1487</v>
      </c>
      <c r="K1357" s="126">
        <v>2452</v>
      </c>
      <c r="O1357" s="15" t="s">
        <v>214</v>
      </c>
      <c r="Q1357" s="16">
        <f t="shared" si="8"/>
        <v>0</v>
      </c>
      <c r="R1357" s="16" t="str">
        <f t="shared" si="9"/>
        <v/>
      </c>
      <c r="T1357" s="126" t="s">
        <v>112</v>
      </c>
      <c r="U1357" s="126" t="s">
        <v>134</v>
      </c>
      <c r="V1357" s="126" t="s">
        <v>114</v>
      </c>
      <c r="X1357" s="126" t="s">
        <v>115</v>
      </c>
      <c r="Y1357" s="126" t="s">
        <v>110</v>
      </c>
      <c r="Z1357" s="126">
        <v>3</v>
      </c>
      <c r="AA1357" s="126"/>
      <c r="AB1357" s="126"/>
      <c r="AC1357" s="126"/>
      <c r="AD1357" s="126"/>
      <c r="AE1357" s="126" t="s">
        <v>116</v>
      </c>
      <c r="AG1357" s="16">
        <f>AH1357-AI1357</f>
        <v>93</v>
      </c>
      <c r="AH1357" s="126">
        <v>162</v>
      </c>
      <c r="AI1357" s="126">
        <v>69</v>
      </c>
      <c r="AK1357" s="126">
        <v>22.5</v>
      </c>
      <c r="AL1357" s="126">
        <v>1</v>
      </c>
      <c r="AM1357" s="126">
        <v>0</v>
      </c>
      <c r="AN1357" s="126">
        <v>0</v>
      </c>
      <c r="AO1357" s="16">
        <f>IF(SUM(AL1357:AN1357)&gt;0,1,0)</f>
        <v>1</v>
      </c>
      <c r="AP1357" s="18">
        <f>SUM(AL1357:AN1357)</f>
        <v>1</v>
      </c>
      <c r="AQ1357" s="16" t="s">
        <v>1284</v>
      </c>
      <c r="AR1357" s="16">
        <v>-3.3999999999999808E-2</v>
      </c>
      <c r="AS1357" s="152">
        <v>1E-3</v>
      </c>
      <c r="AT1357" s="16" t="str">
        <f>VLOOKUP(E1357,[2]Current!$A$1:$W$435,7,FALSE)</f>
        <v>LV</v>
      </c>
      <c r="AU1357" s="16" t="s">
        <v>1288</v>
      </c>
      <c r="AV1357" s="16">
        <v>1</v>
      </c>
      <c r="AW1357" s="128">
        <f>IF(AX1357&gt;0,1,0)</f>
        <v>0</v>
      </c>
      <c r="AX1357" s="128">
        <f>SUM(BA1357,BM1357,CU1357)</f>
        <v>0</v>
      </c>
      <c r="AY1357" s="128">
        <f>SUM(BB1357,BN1357,CV1357)</f>
        <v>0</v>
      </c>
      <c r="AZ1357" s="128">
        <f>IF(BA1357&gt;0,1,0)</f>
        <v>0</v>
      </c>
      <c r="BA1357" s="128">
        <f>SUM(BC1357+BF1357+BI1357)</f>
        <v>0</v>
      </c>
      <c r="BB1357" s="128">
        <f>SUM(BE1357,BH1357,BK1357)</f>
        <v>0</v>
      </c>
      <c r="BC1357" s="130">
        <f>IF(BD1357&gt;0,1,0)</f>
        <v>0</v>
      </c>
      <c r="BD1357" s="128">
        <f>VLOOKUP($E1357,[2]Current!$A:$AC,26,FALSE)</f>
        <v>0</v>
      </c>
      <c r="BE1357" s="128">
        <f>BD1357/$AS1357</f>
        <v>0</v>
      </c>
      <c r="BF1357" s="130">
        <f>IF(BG1357&gt;0,1,0)</f>
        <v>0</v>
      </c>
      <c r="BG1357" s="137">
        <f>VLOOKUP($E1357,[2]Current!$A:$AC,27,FALSE)</f>
        <v>0</v>
      </c>
      <c r="BH1357" s="128">
        <f>BG1357/$AS1357</f>
        <v>0</v>
      </c>
      <c r="BI1357" s="130">
        <f>IF(BJ1357&gt;0,1,0)</f>
        <v>0</v>
      </c>
      <c r="BJ1357" s="128">
        <f>VLOOKUP($E1357,[2]Current!$A:$AC,28,FALSE)</f>
        <v>0</v>
      </c>
      <c r="BK1357" s="128">
        <f>BJ1357/$AS1357</f>
        <v>0</v>
      </c>
      <c r="BL1357" s="128">
        <f>IF(BM1357&gt;0,1,0)</f>
        <v>0</v>
      </c>
      <c r="BM1357" s="128">
        <f>SUM(BR1357,BU1357,BX1357,CA1357,CD1357)</f>
        <v>0</v>
      </c>
      <c r="BN1357" s="131">
        <f>SUM(BT1357,BW1357,BZ1357,CC1357,CF1357)</f>
        <v>0</v>
      </c>
      <c r="BO1357" s="128">
        <f>IF(BP1357&gt;0,1,0)</f>
        <v>0</v>
      </c>
      <c r="BP1357" s="128">
        <f>BM1357+CJ1357</f>
        <v>0</v>
      </c>
      <c r="BQ1357" s="128">
        <f>BN1357+CL1357</f>
        <v>0</v>
      </c>
      <c r="BR1357" s="130">
        <f>IF(BS1357&gt;0,1,0)</f>
        <v>0</v>
      </c>
      <c r="BS1357" s="128">
        <f>VLOOKUP($E1357,[2]Current!$A:$AC,12,FALSE)</f>
        <v>0</v>
      </c>
      <c r="BT1357" s="137">
        <f>BS1357/$AS1357</f>
        <v>0</v>
      </c>
      <c r="BU1357" s="130">
        <f>IF(BV1357&gt;0,1,0)</f>
        <v>0</v>
      </c>
      <c r="BV1357" s="128">
        <f>VLOOKUP($E1357,[2]Current!$A:$AC,13,FALSE)</f>
        <v>0</v>
      </c>
      <c r="BW1357" s="128">
        <f>BV1357/$AS1357</f>
        <v>0</v>
      </c>
      <c r="BX1357" s="130">
        <f>IF(BY1357&gt;0,1,0)</f>
        <v>0</v>
      </c>
      <c r="BY1357" s="128">
        <f>VLOOKUP($E1357,[2]Current!$A:$AC,14,FALSE)</f>
        <v>0</v>
      </c>
      <c r="BZ1357" s="128">
        <f>BY1357/$AS1357</f>
        <v>0</v>
      </c>
      <c r="CA1357" s="130">
        <f>IF(CB1357&gt;0,1,0)</f>
        <v>0</v>
      </c>
      <c r="CB1357" s="128">
        <f>VLOOKUP($E1357,[2]Current!$A:$AC,15,FALSE)</f>
        <v>0</v>
      </c>
      <c r="CC1357" s="128">
        <f>CB1357/$AS1357</f>
        <v>0</v>
      </c>
      <c r="CD1357" s="174">
        <f>IF(CE1357&gt;0,1,0)</f>
        <v>0</v>
      </c>
      <c r="CE1357" s="128">
        <f>VLOOKUP($E1357,[2]Current!$A:$AC,16,FALSE)</f>
        <v>0</v>
      </c>
      <c r="CF1357" s="128">
        <f>CE1357/$AS1357</f>
        <v>0</v>
      </c>
      <c r="CG1357" s="18"/>
      <c r="CH1357" s="18"/>
      <c r="CI1357" s="18"/>
      <c r="CJ1357" s="130">
        <f>IF(CK1357&gt;0,1,0)</f>
        <v>0</v>
      </c>
      <c r="CK1357" s="128">
        <f>VLOOKUP($E1357,[2]Current!$A:$AC,18,FALSE)</f>
        <v>0</v>
      </c>
      <c r="CL1357" s="128">
        <f>CK1357/$AS1357</f>
        <v>0</v>
      </c>
      <c r="CS1357" s="130">
        <f>IF(CU1357&gt;0,1,0)</f>
        <v>0</v>
      </c>
      <c r="CU1357" s="128">
        <f>VLOOKUP($E1357,[2]Current!$A:$AC,17,FALSE)</f>
        <v>0</v>
      </c>
      <c r="CV1357" s="128">
        <f>CU1357/$AS1357</f>
        <v>0</v>
      </c>
      <c r="CW1357" s="18"/>
      <c r="CX1357" s="18"/>
      <c r="CY1357" s="18"/>
      <c r="DF1357" s="16" t="e">
        <f>VLOOKUP(K1357,'[3]RNA Seq summary tables'!$V$3:$V$99,1,FALSE)</f>
        <v>#N/A</v>
      </c>
      <c r="DG1357" s="126" t="s">
        <v>116</v>
      </c>
    </row>
    <row r="1358" spans="2:288" ht="16" x14ac:dyDescent="0.2">
      <c r="B1358" s="16">
        <v>2018</v>
      </c>
      <c r="C1358" s="124">
        <v>43283</v>
      </c>
      <c r="D1358" t="s">
        <v>898</v>
      </c>
      <c r="E1358" s="37" t="str">
        <f>CONCATENATE(T1358,"-",U1358,"-",C1358)</f>
        <v>PO1-B5-43283</v>
      </c>
      <c r="F1358" s="16" t="s">
        <v>227</v>
      </c>
      <c r="G1358" s="126" t="s">
        <v>107</v>
      </c>
      <c r="H1358" s="126"/>
      <c r="J1358" s="126">
        <v>1487</v>
      </c>
      <c r="K1358" s="126">
        <v>2536</v>
      </c>
      <c r="O1358" s="15" t="s">
        <v>214</v>
      </c>
      <c r="Q1358" s="16">
        <f t="shared" si="8"/>
        <v>1</v>
      </c>
      <c r="R1358" s="16">
        <f t="shared" si="9"/>
        <v>16</v>
      </c>
      <c r="T1358" s="126" t="s">
        <v>112</v>
      </c>
      <c r="U1358" s="126" t="s">
        <v>160</v>
      </c>
      <c r="V1358" s="126" t="s">
        <v>114</v>
      </c>
      <c r="X1358" s="126" t="s">
        <v>115</v>
      </c>
      <c r="Y1358" s="126" t="s">
        <v>110</v>
      </c>
      <c r="Z1358" s="126">
        <v>3</v>
      </c>
      <c r="AA1358" s="126"/>
      <c r="AB1358" s="126"/>
      <c r="AC1358" s="126"/>
      <c r="AD1358" s="126"/>
      <c r="AE1358" s="126" t="s">
        <v>116</v>
      </c>
      <c r="AG1358" s="16">
        <f>AH1358-AI1358</f>
        <v>98</v>
      </c>
      <c r="AH1358" s="126">
        <v>169</v>
      </c>
      <c r="AI1358" s="126">
        <v>71</v>
      </c>
      <c r="AK1358" s="126">
        <v>18.5</v>
      </c>
      <c r="AL1358" s="126">
        <v>0</v>
      </c>
      <c r="AM1358" s="126">
        <v>0</v>
      </c>
      <c r="AN1358" s="126">
        <v>0</v>
      </c>
      <c r="AO1358" s="16">
        <f>IF(SUM(AL1358:AN1358)&gt;0,1,0)</f>
        <v>0</v>
      </c>
      <c r="AP1358" s="18">
        <f>SUM(AL1358:AN1358)</f>
        <v>0</v>
      </c>
      <c r="AR1358" s="16">
        <v>0.12000000000000011</v>
      </c>
      <c r="AS1358" s="16">
        <f>VLOOKUP(E1358,'[1]Feces weights'!$D$1:$H$459,5,FALSE)</f>
        <v>0.12000000000000011</v>
      </c>
      <c r="AT1358" s="16" t="str">
        <f>VLOOKUP(E1358,[2]Current!$A$1:$W$435,7,FALSE)</f>
        <v>DP</v>
      </c>
      <c r="AU1358" s="16" t="s">
        <v>1288</v>
      </c>
      <c r="AW1358" s="128">
        <f>IF(AX1358&gt;0,1,0)</f>
        <v>1</v>
      </c>
      <c r="AX1358" s="128">
        <f>SUM(BA1358,BM1358,CU1358)</f>
        <v>6</v>
      </c>
      <c r="AY1358" s="128">
        <f>SUM(BB1358,BN1358,CV1358)</f>
        <v>10633.333333333325</v>
      </c>
      <c r="AZ1358" s="128">
        <f>IF(BA1358&gt;0,1,0)</f>
        <v>1</v>
      </c>
      <c r="BA1358" s="128">
        <f>SUM(BC1358+BF1358+BI1358)</f>
        <v>2</v>
      </c>
      <c r="BB1358" s="128">
        <f>SUM(BE1358,BH1358,BK1358)</f>
        <v>10599.999999999991</v>
      </c>
      <c r="BC1358" s="130">
        <f>IF(BD1358&gt;0,1,0)</f>
        <v>1</v>
      </c>
      <c r="BD1358" s="128">
        <f>VLOOKUP($E1358,[2]Current!$A:$AC,26,FALSE)</f>
        <v>20</v>
      </c>
      <c r="BE1358" s="128">
        <f>BD1358/$AS1358</f>
        <v>166.66666666666652</v>
      </c>
      <c r="BF1358" s="130">
        <f>IF(BG1358&gt;0,1,0)</f>
        <v>1</v>
      </c>
      <c r="BG1358" s="137">
        <f>VLOOKUP($E1358,[2]Current!$A:$AC,27,FALSE)</f>
        <v>1252</v>
      </c>
      <c r="BH1358" s="128">
        <f>BG1358/$AS1358</f>
        <v>10433.333333333325</v>
      </c>
      <c r="BI1358" s="130">
        <f>IF(BJ1358&gt;0,1,0)</f>
        <v>0</v>
      </c>
      <c r="BJ1358" s="128">
        <f>VLOOKUP($E1358,[2]Current!$A:$AC,28,FALSE)</f>
        <v>0</v>
      </c>
      <c r="BK1358" s="128">
        <f>BJ1358/$AS1358</f>
        <v>0</v>
      </c>
      <c r="BL1358" s="128">
        <f>IF(BM1358&gt;0,1,0)</f>
        <v>0</v>
      </c>
      <c r="BM1358" s="128">
        <f>SUM(BR1358,BU1358,BX1358,CA1358,CD1358)</f>
        <v>0</v>
      </c>
      <c r="BN1358" s="131">
        <f>SUM(BT1358,BW1358,BZ1358,CC1358,CF1358)</f>
        <v>0</v>
      </c>
      <c r="BO1358" s="128">
        <f>IF(BP1358&gt;0,1,0)</f>
        <v>0</v>
      </c>
      <c r="BP1358" s="128">
        <f>BM1358+CJ1358</f>
        <v>0</v>
      </c>
      <c r="BQ1358" s="128">
        <f>BN1358+CL1358</f>
        <v>0</v>
      </c>
      <c r="BR1358" s="130">
        <f>IF(BS1358&gt;0,1,0)</f>
        <v>0</v>
      </c>
      <c r="BS1358" s="128">
        <f>VLOOKUP($E1358,[2]Current!$A:$AC,12,FALSE)</f>
        <v>0</v>
      </c>
      <c r="BT1358" s="137">
        <f>BS1358/$AS1358</f>
        <v>0</v>
      </c>
      <c r="BU1358" s="130">
        <f>IF(BV1358&gt;0,1,0)</f>
        <v>0</v>
      </c>
      <c r="BV1358" s="128">
        <f>VLOOKUP($E1358,[2]Current!$A:$AC,13,FALSE)</f>
        <v>0</v>
      </c>
      <c r="BW1358" s="128">
        <f>BV1358/$AS1358</f>
        <v>0</v>
      </c>
      <c r="BX1358" s="130">
        <f>IF(BY1358&gt;0,1,0)</f>
        <v>0</v>
      </c>
      <c r="BY1358" s="128">
        <f>VLOOKUP($E1358,[2]Current!$A:$AC,14,FALSE)</f>
        <v>0</v>
      </c>
      <c r="BZ1358" s="128">
        <f>BY1358/$AS1358</f>
        <v>0</v>
      </c>
      <c r="CA1358" s="130">
        <f>IF(CB1358&gt;0,1,0)</f>
        <v>0</v>
      </c>
      <c r="CB1358" s="128">
        <f>VLOOKUP($E1358,[2]Current!$A:$AC,15,FALSE)</f>
        <v>0</v>
      </c>
      <c r="CC1358" s="128">
        <f>CB1358/$AS1358</f>
        <v>0</v>
      </c>
      <c r="CD1358" s="174">
        <f>IF(CE1358&gt;0,1,0)</f>
        <v>0</v>
      </c>
      <c r="CE1358" s="128">
        <f>VLOOKUP($E1358,[2]Current!$A:$AC,16,FALSE)</f>
        <v>0</v>
      </c>
      <c r="CF1358" s="128">
        <f>CE1358/$AS1358</f>
        <v>0</v>
      </c>
      <c r="CG1358" s="18"/>
      <c r="CH1358" s="18"/>
      <c r="CI1358" s="18"/>
      <c r="CJ1358" s="130">
        <f>IF(CK1358&gt;0,1,0)</f>
        <v>0</v>
      </c>
      <c r="CK1358" s="128">
        <f>VLOOKUP($E1358,[2]Current!$A:$AC,18,FALSE)</f>
        <v>0</v>
      </c>
      <c r="CL1358" s="128">
        <f>CK1358/$AS1358</f>
        <v>0</v>
      </c>
      <c r="CS1358" s="130">
        <f>IF(CU1358&gt;0,1,0)</f>
        <v>1</v>
      </c>
      <c r="CU1358" s="128">
        <f>VLOOKUP($E1358,[2]Current!$A:$AC,17,FALSE)</f>
        <v>4</v>
      </c>
      <c r="CV1358" s="128">
        <f>CU1358/$AS1358</f>
        <v>33.3333333333333</v>
      </c>
      <c r="CW1358" s="18"/>
      <c r="CX1358" s="18"/>
      <c r="CY1358" s="18"/>
      <c r="DF1358" s="16" t="e">
        <f>VLOOKUP(K1358,'[3]RNA Seq summary tables'!$V$3:$V$99,1,FALSE)</f>
        <v>#N/A</v>
      </c>
      <c r="DG1358" s="126" t="s">
        <v>116</v>
      </c>
    </row>
    <row r="1359" spans="2:288" ht="16" x14ac:dyDescent="0.2">
      <c r="B1359" s="16">
        <v>2018</v>
      </c>
      <c r="C1359" s="124">
        <v>43296</v>
      </c>
      <c r="D1359" t="s">
        <v>991</v>
      </c>
      <c r="E1359" s="142" t="str">
        <f>CONCATENATE(T1359,"-",U1359,"-",C1359)</f>
        <v>PO1-A4-43296</v>
      </c>
      <c r="F1359" s="16" t="s">
        <v>227</v>
      </c>
      <c r="G1359" s="126" t="s">
        <v>107</v>
      </c>
      <c r="H1359" s="126"/>
      <c r="J1359" s="126">
        <v>1487</v>
      </c>
      <c r="K1359" s="126">
        <v>2632</v>
      </c>
      <c r="O1359" s="15" t="s">
        <v>214</v>
      </c>
      <c r="Q1359" s="16">
        <f t="shared" si="8"/>
        <v>1</v>
      </c>
      <c r="R1359" s="16">
        <f t="shared" si="9"/>
        <v>13</v>
      </c>
      <c r="T1359" s="126" t="s">
        <v>112</v>
      </c>
      <c r="U1359" s="126" t="s">
        <v>134</v>
      </c>
      <c r="V1359" s="126" t="s">
        <v>114</v>
      </c>
      <c r="X1359" s="126" t="s">
        <v>115</v>
      </c>
      <c r="Y1359" s="126" t="s">
        <v>110</v>
      </c>
      <c r="Z1359" s="126">
        <v>3</v>
      </c>
      <c r="AA1359" s="126"/>
      <c r="AB1359" s="126"/>
      <c r="AC1359" s="126"/>
      <c r="AD1359" s="126" t="s">
        <v>116</v>
      </c>
      <c r="AE1359" s="126" t="s">
        <v>116</v>
      </c>
      <c r="AG1359" s="40">
        <f>AH1359-AI1359</f>
        <v>95</v>
      </c>
      <c r="AH1359" s="126">
        <v>167</v>
      </c>
      <c r="AI1359" s="126">
        <v>72</v>
      </c>
      <c r="AK1359" s="126">
        <v>23.5</v>
      </c>
      <c r="AL1359" s="126">
        <v>0</v>
      </c>
      <c r="AM1359" s="126">
        <v>0</v>
      </c>
      <c r="AN1359" s="126">
        <v>0</v>
      </c>
      <c r="AO1359" s="16">
        <f>IF(SUM(AL1359:AN1359)&gt;0,1,0)</f>
        <v>0</v>
      </c>
      <c r="AP1359" s="18">
        <f>SUM(AL1359:AN1359)</f>
        <v>0</v>
      </c>
      <c r="AR1359" s="16">
        <v>0.14900000000000002</v>
      </c>
      <c r="AS1359" s="16">
        <f>VLOOKUP(E1359,'[1]Feces weights'!$D$1:$H$459,5,FALSE)</f>
        <v>0.14900000000000002</v>
      </c>
      <c r="AT1359" s="16" t="e">
        <f>VLOOKUP(E1359,[2]Current!$A$1:$W$435,7,FALSE)</f>
        <v>#N/A</v>
      </c>
      <c r="AU1359" s="16">
        <v>0</v>
      </c>
      <c r="BG1359" s="77"/>
      <c r="BN1359" s="126"/>
      <c r="BT1359" s="78"/>
      <c r="BU1359" s="18"/>
      <c r="BV1359" s="18"/>
      <c r="BW1359" s="25"/>
      <c r="BX1359" s="18"/>
      <c r="BY1359" s="18"/>
      <c r="BZ1359" s="25"/>
      <c r="CA1359" s="18"/>
      <c r="CB1359" s="18"/>
      <c r="CC1359" s="25"/>
      <c r="CD1359" s="78"/>
      <c r="CE1359" s="18"/>
      <c r="CF1359" s="25"/>
      <c r="CG1359" s="18"/>
      <c r="CH1359" s="18"/>
      <c r="CI1359" s="18"/>
      <c r="CJ1359" s="18"/>
      <c r="CK1359" s="18"/>
      <c r="CL1359" s="25"/>
      <c r="DF1359" s="16" t="e">
        <f>VLOOKUP(K1359,'[3]RNA Seq summary tables'!$V$3:$V$99,1,FALSE)</f>
        <v>#N/A</v>
      </c>
      <c r="DG1359" s="126" t="s">
        <v>116</v>
      </c>
    </row>
    <row r="1360" spans="2:288" ht="16" x14ac:dyDescent="0.2">
      <c r="B1360" s="16">
        <v>2018</v>
      </c>
      <c r="C1360" s="124">
        <v>43267</v>
      </c>
      <c r="D1360" t="s">
        <v>811</v>
      </c>
      <c r="E1360" s="37" t="str">
        <f>CONCATENATE(T1360,"-",U1360,"-",C1360)</f>
        <v>PO1-B5-43267</v>
      </c>
      <c r="F1360" s="16" t="s">
        <v>227</v>
      </c>
      <c r="G1360" s="126" t="s">
        <v>107</v>
      </c>
      <c r="H1360" s="126" t="s">
        <v>1103</v>
      </c>
      <c r="J1360" s="126">
        <v>1489</v>
      </c>
      <c r="K1360" s="126">
        <v>2454</v>
      </c>
      <c r="O1360" s="15" t="s">
        <v>214</v>
      </c>
      <c r="Q1360" s="16">
        <f t="shared" si="8"/>
        <v>0</v>
      </c>
      <c r="R1360" s="16" t="str">
        <f t="shared" si="9"/>
        <v/>
      </c>
      <c r="T1360" s="126" t="s">
        <v>112</v>
      </c>
      <c r="U1360" s="126" t="s">
        <v>160</v>
      </c>
      <c r="V1360" s="126" t="s">
        <v>114</v>
      </c>
      <c r="X1360" s="126" t="s">
        <v>121</v>
      </c>
      <c r="Y1360" s="126" t="s">
        <v>110</v>
      </c>
      <c r="Z1360" s="126">
        <v>3</v>
      </c>
      <c r="AA1360" s="126" t="s">
        <v>119</v>
      </c>
      <c r="AB1360" s="126" t="s">
        <v>123</v>
      </c>
      <c r="AC1360" s="126" t="s">
        <v>116</v>
      </c>
      <c r="AD1360" s="126"/>
      <c r="AE1360" s="126"/>
      <c r="AG1360" s="16">
        <f>AH1360-AI1360</f>
        <v>91</v>
      </c>
      <c r="AH1360" s="126">
        <v>162</v>
      </c>
      <c r="AI1360" s="126">
        <v>71</v>
      </c>
      <c r="AK1360" s="126">
        <v>21</v>
      </c>
      <c r="AL1360" s="126">
        <v>0</v>
      </c>
      <c r="AM1360" s="126">
        <v>1</v>
      </c>
      <c r="AN1360" s="126">
        <v>0</v>
      </c>
      <c r="AO1360" s="16">
        <f>IF(SUM(AL1360:AN1360)&gt;0,1,0)</f>
        <v>1</v>
      </c>
      <c r="AP1360" s="18">
        <f>SUM(AL1360:AN1360)</f>
        <v>1</v>
      </c>
      <c r="AR1360" s="16">
        <v>9.6000000000000085E-2</v>
      </c>
      <c r="AS1360" s="16">
        <f>VLOOKUP(E1360,'[1]Feces weights'!$D$1:$H$459,5,FALSE)</f>
        <v>9.6000000000000085E-2</v>
      </c>
      <c r="AT1360" s="16" t="str">
        <f>VLOOKUP(E1360,[2]Current!$A$1:$W$435,7,FALSE)</f>
        <v>IS</v>
      </c>
      <c r="AU1360" s="16" t="s">
        <v>1288</v>
      </c>
      <c r="AW1360" s="128">
        <f>IF(AX1360&gt;0,1,0)</f>
        <v>1</v>
      </c>
      <c r="AX1360" s="128">
        <f>SUM(BA1360,BM1360,CU1360)</f>
        <v>2</v>
      </c>
      <c r="AY1360" s="128">
        <f>SUM(BB1360,BN1360,CV1360)</f>
        <v>729.16666666666606</v>
      </c>
      <c r="AZ1360" s="128">
        <f>IF(BA1360&gt;0,1,0)</f>
        <v>1</v>
      </c>
      <c r="BA1360" s="128">
        <f>SUM(BC1360+BF1360+BI1360)</f>
        <v>2</v>
      </c>
      <c r="BB1360" s="128">
        <f>SUM(BE1360,BH1360,BK1360)</f>
        <v>729.16666666666606</v>
      </c>
      <c r="BC1360" s="130">
        <f>IF(BD1360&gt;0,1,0)</f>
        <v>1</v>
      </c>
      <c r="BD1360" s="128">
        <f>VLOOKUP($E1360,[2]Current!$A:$AC,26,FALSE)</f>
        <v>10</v>
      </c>
      <c r="BE1360" s="128">
        <f>BD1360/$AS1360</f>
        <v>104.16666666666657</v>
      </c>
      <c r="BF1360" s="130">
        <f>IF(BG1360&gt;0,1,0)</f>
        <v>1</v>
      </c>
      <c r="BG1360" s="137">
        <f>VLOOKUP($E1360,[2]Current!$A:$AC,27,FALSE)</f>
        <v>60</v>
      </c>
      <c r="BH1360" s="128">
        <f>BG1360/$AS1360</f>
        <v>624.99999999999943</v>
      </c>
      <c r="BI1360" s="130">
        <f>IF(BJ1360&gt;0,1,0)</f>
        <v>0</v>
      </c>
      <c r="BJ1360" s="128">
        <f>VLOOKUP($E1360,[2]Current!$A:$AC,28,FALSE)</f>
        <v>0</v>
      </c>
      <c r="BK1360" s="128">
        <f>BJ1360/$AS1360</f>
        <v>0</v>
      </c>
      <c r="BL1360" s="128">
        <f>IF(BM1360&gt;0,1,0)</f>
        <v>0</v>
      </c>
      <c r="BM1360" s="128">
        <f>SUM(BR1360,BU1360,BX1360,CA1360,CD1360)</f>
        <v>0</v>
      </c>
      <c r="BN1360" s="131">
        <f>SUM(BT1360,BW1360,BZ1360,CC1360,CF1360)</f>
        <v>0</v>
      </c>
      <c r="BO1360" s="128">
        <f>IF(BP1360&gt;0,1,0)</f>
        <v>0</v>
      </c>
      <c r="BP1360" s="128">
        <f>BM1360+CJ1360</f>
        <v>0</v>
      </c>
      <c r="BQ1360" s="128">
        <f>BN1360+CL1360</f>
        <v>0</v>
      </c>
      <c r="BR1360" s="130">
        <f>IF(BS1360&gt;0,1,0)</f>
        <v>0</v>
      </c>
      <c r="BS1360" s="128">
        <f>VLOOKUP($E1360,[2]Current!$A:$AC,12,FALSE)</f>
        <v>0</v>
      </c>
      <c r="BT1360" s="137">
        <f>BS1360/$AS1360</f>
        <v>0</v>
      </c>
      <c r="BU1360" s="130">
        <f>IF(BV1360&gt;0,1,0)</f>
        <v>0</v>
      </c>
      <c r="BV1360" s="128">
        <f>VLOOKUP($E1360,[2]Current!$A:$AC,13,FALSE)</f>
        <v>0</v>
      </c>
      <c r="BW1360" s="128">
        <f>BV1360/$AS1360</f>
        <v>0</v>
      </c>
      <c r="BX1360" s="130">
        <f>IF(BY1360&gt;0,1,0)</f>
        <v>0</v>
      </c>
      <c r="BY1360" s="128">
        <f>VLOOKUP($E1360,[2]Current!$A:$AC,14,FALSE)</f>
        <v>0</v>
      </c>
      <c r="BZ1360" s="128">
        <f>BY1360/$AS1360</f>
        <v>0</v>
      </c>
      <c r="CA1360" s="130">
        <f>IF(CB1360&gt;0,1,0)</f>
        <v>0</v>
      </c>
      <c r="CB1360" s="128">
        <f>VLOOKUP($E1360,[2]Current!$A:$AC,15,FALSE)</f>
        <v>0</v>
      </c>
      <c r="CC1360" s="128">
        <f>CB1360/$AS1360</f>
        <v>0</v>
      </c>
      <c r="CD1360" s="174">
        <f>IF(CE1360&gt;0,1,0)</f>
        <v>0</v>
      </c>
      <c r="CE1360" s="128">
        <f>VLOOKUP($E1360,[2]Current!$A:$AC,16,FALSE)</f>
        <v>0</v>
      </c>
      <c r="CF1360" s="128">
        <f>CE1360/$AS1360</f>
        <v>0</v>
      </c>
      <c r="CG1360" s="18"/>
      <c r="CH1360" s="18"/>
      <c r="CI1360" s="18"/>
      <c r="CJ1360" s="130">
        <f>IF(CK1360&gt;0,1,0)</f>
        <v>0</v>
      </c>
      <c r="CK1360" s="128">
        <f>VLOOKUP($E1360,[2]Current!$A:$AC,18,FALSE)</f>
        <v>0</v>
      </c>
      <c r="CL1360" s="128">
        <f>CK1360/$AS1360</f>
        <v>0</v>
      </c>
      <c r="CS1360" s="130">
        <f>IF(CU1360&gt;0,1,0)</f>
        <v>0</v>
      </c>
      <c r="CU1360" s="128">
        <f>VLOOKUP($E1360,[2]Current!$A:$AC,17,FALSE)</f>
        <v>0</v>
      </c>
      <c r="CV1360" s="128">
        <f>CU1360/$AS1360</f>
        <v>0</v>
      </c>
      <c r="CW1360" s="18"/>
      <c r="CX1360" s="18"/>
      <c r="CY1360" s="18"/>
      <c r="DF1360" s="16" t="e">
        <f>VLOOKUP(K1360,'[3]RNA Seq summary tables'!$V$3:$V$99,1,FALSE)</f>
        <v>#N/A</v>
      </c>
      <c r="DG1360" s="126" t="s">
        <v>116</v>
      </c>
    </row>
    <row r="1361" spans="1:288" ht="16" x14ac:dyDescent="0.2">
      <c r="B1361" s="16">
        <v>2018</v>
      </c>
      <c r="C1361" s="124">
        <v>43284</v>
      </c>
      <c r="D1361" t="s">
        <v>902</v>
      </c>
      <c r="E1361" s="37" t="str">
        <f>CONCATENATE(T1361,"-",U1361,"-",C1361)</f>
        <v>PO1-A4-43284</v>
      </c>
      <c r="F1361" s="16" t="s">
        <v>227</v>
      </c>
      <c r="G1361" s="126" t="s">
        <v>107</v>
      </c>
      <c r="H1361" s="126" t="s">
        <v>1098</v>
      </c>
      <c r="J1361" s="126">
        <v>1489</v>
      </c>
      <c r="K1361" s="126">
        <v>2544</v>
      </c>
      <c r="O1361" s="15" t="s">
        <v>214</v>
      </c>
      <c r="Q1361" s="16">
        <f t="shared" si="8"/>
        <v>1</v>
      </c>
      <c r="R1361" s="16">
        <f t="shared" si="9"/>
        <v>17</v>
      </c>
      <c r="T1361" s="126" t="s">
        <v>112</v>
      </c>
      <c r="U1361" s="126" t="s">
        <v>134</v>
      </c>
      <c r="V1361" s="126" t="s">
        <v>114</v>
      </c>
      <c r="X1361" s="126" t="s">
        <v>121</v>
      </c>
      <c r="Y1361" s="126" t="s">
        <v>110</v>
      </c>
      <c r="Z1361" s="126">
        <v>3</v>
      </c>
      <c r="AA1361" s="126" t="s">
        <v>119</v>
      </c>
      <c r="AB1361" s="126" t="s">
        <v>123</v>
      </c>
      <c r="AC1361" s="126" t="s">
        <v>116</v>
      </c>
      <c r="AD1361" s="126"/>
      <c r="AE1361" s="126"/>
      <c r="AG1361" s="16">
        <f>AH1361-AI1361</f>
        <v>84</v>
      </c>
      <c r="AH1361" s="126">
        <v>157</v>
      </c>
      <c r="AI1361" s="126">
        <v>73</v>
      </c>
      <c r="AK1361" s="126">
        <v>22</v>
      </c>
      <c r="AL1361" s="126">
        <v>0</v>
      </c>
      <c r="AM1361" s="126">
        <v>1</v>
      </c>
      <c r="AN1361" s="126">
        <v>0</v>
      </c>
      <c r="AO1361" s="16">
        <f>IF(SUM(AL1361:AN1361)&gt;0,1,0)</f>
        <v>1</v>
      </c>
      <c r="AP1361" s="18">
        <f>SUM(AL1361:AN1361)</f>
        <v>1</v>
      </c>
      <c r="AR1361" s="16">
        <v>0.13500000000000001</v>
      </c>
      <c r="AS1361" s="16">
        <f>VLOOKUP(E1361,'[1]Feces weights'!$D$1:$H$459,5,FALSE)</f>
        <v>0.13500000000000001</v>
      </c>
      <c r="AT1361" s="16" t="str">
        <f>VLOOKUP(E1361,[2]Current!$A$1:$W$435,7,FALSE)</f>
        <v>JB</v>
      </c>
      <c r="AU1361" s="16" t="s">
        <v>1288</v>
      </c>
      <c r="AW1361" s="128">
        <f>IF(AX1361&gt;0,1,0)</f>
        <v>1</v>
      </c>
      <c r="AX1361" s="128">
        <f>SUM(BA1361,BM1361,CU1361)</f>
        <v>1</v>
      </c>
      <c r="AY1361" s="128">
        <f>SUM(BB1361,BN1361,CV1361)</f>
        <v>4503.7037037037035</v>
      </c>
      <c r="AZ1361" s="128">
        <f>IF(BA1361&gt;0,1,0)</f>
        <v>1</v>
      </c>
      <c r="BA1361" s="128">
        <f>SUM(BC1361+BF1361+BI1361)</f>
        <v>1</v>
      </c>
      <c r="BB1361" s="128">
        <f>SUM(BE1361,BH1361,BK1361)</f>
        <v>4503.7037037037035</v>
      </c>
      <c r="BC1361" s="130">
        <f>IF(BD1361&gt;0,1,0)</f>
        <v>0</v>
      </c>
      <c r="BD1361" s="128">
        <f>VLOOKUP($E1361,[2]Current!$A:$AC,26,FALSE)</f>
        <v>0</v>
      </c>
      <c r="BE1361" s="128">
        <f>BD1361/$AS1361</f>
        <v>0</v>
      </c>
      <c r="BF1361" s="130">
        <f>IF(BG1361&gt;0,1,0)</f>
        <v>1</v>
      </c>
      <c r="BG1361" s="137">
        <f>VLOOKUP($E1361,[2]Current!$A:$AC,27,FALSE)</f>
        <v>608</v>
      </c>
      <c r="BH1361" s="128">
        <f>BG1361/$AS1361</f>
        <v>4503.7037037037035</v>
      </c>
      <c r="BI1361" s="130">
        <f>IF(BJ1361&gt;0,1,0)</f>
        <v>0</v>
      </c>
      <c r="BJ1361" s="128">
        <f>VLOOKUP($E1361,[2]Current!$A:$AC,28,FALSE)</f>
        <v>0</v>
      </c>
      <c r="BK1361" s="128">
        <f>BJ1361/$AS1361</f>
        <v>0</v>
      </c>
      <c r="BL1361" s="128">
        <f>IF(BM1361&gt;0,1,0)</f>
        <v>0</v>
      </c>
      <c r="BM1361" s="128">
        <f>SUM(BR1361,BU1361,BX1361,CA1361,CD1361)</f>
        <v>0</v>
      </c>
      <c r="BN1361" s="131">
        <f>SUM(BT1361,BW1361,BZ1361,CC1361,CF1361)</f>
        <v>0</v>
      </c>
      <c r="BO1361" s="128">
        <f>IF(BP1361&gt;0,1,0)</f>
        <v>0</v>
      </c>
      <c r="BP1361" s="128">
        <f>BM1361+CJ1361</f>
        <v>0</v>
      </c>
      <c r="BQ1361" s="128">
        <f>BN1361+CL1361</f>
        <v>0</v>
      </c>
      <c r="BR1361" s="130">
        <f>IF(BS1361&gt;0,1,0)</f>
        <v>0</v>
      </c>
      <c r="BS1361" s="128">
        <f>VLOOKUP($E1361,[2]Current!$A:$AC,12,FALSE)</f>
        <v>0</v>
      </c>
      <c r="BT1361" s="137">
        <f>BS1361/$AS1361</f>
        <v>0</v>
      </c>
      <c r="BU1361" s="130">
        <f>IF(BV1361&gt;0,1,0)</f>
        <v>0</v>
      </c>
      <c r="BV1361" s="128">
        <f>VLOOKUP($E1361,[2]Current!$A:$AC,13,FALSE)</f>
        <v>0</v>
      </c>
      <c r="BW1361" s="128">
        <f>BV1361/$AS1361</f>
        <v>0</v>
      </c>
      <c r="BX1361" s="130">
        <f>IF(BY1361&gt;0,1,0)</f>
        <v>0</v>
      </c>
      <c r="BY1361" s="128">
        <f>VLOOKUP($E1361,[2]Current!$A:$AC,14,FALSE)</f>
        <v>0</v>
      </c>
      <c r="BZ1361" s="128">
        <f>BY1361/$AS1361</f>
        <v>0</v>
      </c>
      <c r="CA1361" s="130">
        <f>IF(CB1361&gt;0,1,0)</f>
        <v>0</v>
      </c>
      <c r="CB1361" s="128">
        <f>VLOOKUP($E1361,[2]Current!$A:$AC,15,FALSE)</f>
        <v>0</v>
      </c>
      <c r="CC1361" s="128">
        <f>CB1361/$AS1361</f>
        <v>0</v>
      </c>
      <c r="CD1361" s="174">
        <f>IF(CE1361&gt;0,1,0)</f>
        <v>0</v>
      </c>
      <c r="CE1361" s="128">
        <f>VLOOKUP($E1361,[2]Current!$A:$AC,16,FALSE)</f>
        <v>0</v>
      </c>
      <c r="CF1361" s="128">
        <f>CE1361/$AS1361</f>
        <v>0</v>
      </c>
      <c r="CG1361" s="18"/>
      <c r="CH1361" s="18"/>
      <c r="CI1361" s="18"/>
      <c r="CJ1361" s="130">
        <f>IF(CK1361&gt;0,1,0)</f>
        <v>0</v>
      </c>
      <c r="CK1361" s="128">
        <f>VLOOKUP($E1361,[2]Current!$A:$AC,18,FALSE)</f>
        <v>0</v>
      </c>
      <c r="CL1361" s="128">
        <f>CK1361/$AS1361</f>
        <v>0</v>
      </c>
      <c r="CS1361" s="130">
        <f>IF(CU1361&gt;0,1,0)</f>
        <v>0</v>
      </c>
      <c r="CU1361" s="128">
        <f>VLOOKUP($E1361,[2]Current!$A:$AC,17,FALSE)</f>
        <v>0</v>
      </c>
      <c r="CV1361" s="128">
        <f>CU1361/$AS1361</f>
        <v>0</v>
      </c>
      <c r="CW1361" s="18"/>
      <c r="CX1361" s="18"/>
      <c r="CY1361" s="18"/>
      <c r="DF1361" s="16" t="e">
        <f>VLOOKUP(K1361,'[3]RNA Seq summary tables'!$V$3:$V$99,1,FALSE)</f>
        <v>#N/A</v>
      </c>
      <c r="DG1361" s="126" t="s">
        <v>116</v>
      </c>
    </row>
    <row r="1362" spans="1:288" ht="16" x14ac:dyDescent="0.2">
      <c r="B1362" s="16">
        <v>2018</v>
      </c>
      <c r="C1362" s="124">
        <v>43269</v>
      </c>
      <c r="D1362" t="s">
        <v>830</v>
      </c>
      <c r="E1362" s="37" t="str">
        <f>CONCATENATE(T1362,"-",U1362,"-",C1362)</f>
        <v>SP2-A8-43269</v>
      </c>
      <c r="F1362" s="16" t="s">
        <v>227</v>
      </c>
      <c r="G1362" s="126" t="s">
        <v>107</v>
      </c>
      <c r="H1362" s="126" t="s">
        <v>1108</v>
      </c>
      <c r="J1362" s="126">
        <v>1491</v>
      </c>
      <c r="K1362" s="126">
        <v>2458</v>
      </c>
      <c r="O1362" s="15" t="s">
        <v>214</v>
      </c>
      <c r="Q1362" s="16">
        <f t="shared" si="8"/>
        <v>0</v>
      </c>
      <c r="R1362" s="16" t="str">
        <f t="shared" si="9"/>
        <v/>
      </c>
      <c r="T1362" s="126" t="s">
        <v>137</v>
      </c>
      <c r="U1362" s="126" t="s">
        <v>194</v>
      </c>
      <c r="V1362" s="126" t="s">
        <v>114</v>
      </c>
      <c r="X1362" s="126" t="s">
        <v>121</v>
      </c>
      <c r="Y1362" s="126" t="s">
        <v>110</v>
      </c>
      <c r="Z1362" s="126">
        <v>3</v>
      </c>
      <c r="AA1362" s="126" t="s">
        <v>119</v>
      </c>
      <c r="AB1362" s="126" t="s">
        <v>116</v>
      </c>
      <c r="AC1362" s="126" t="s">
        <v>116</v>
      </c>
      <c r="AD1362" s="126"/>
      <c r="AE1362" s="126"/>
      <c r="AG1362" s="16">
        <f>AH1362-AI1362</f>
        <v>93</v>
      </c>
      <c r="AH1362" s="126">
        <v>174</v>
      </c>
      <c r="AI1362" s="126">
        <v>81</v>
      </c>
      <c r="AK1362" s="126">
        <v>28.5</v>
      </c>
      <c r="AL1362" s="126">
        <v>1</v>
      </c>
      <c r="AM1362" s="126">
        <v>0</v>
      </c>
      <c r="AN1362" s="126">
        <v>0</v>
      </c>
      <c r="AO1362" s="16">
        <f>IF(SUM(AL1362:AN1362)&gt;0,1,0)</f>
        <v>1</v>
      </c>
      <c r="AP1362" s="18">
        <f>SUM(AL1362:AN1362)</f>
        <v>1</v>
      </c>
      <c r="AR1362" s="16">
        <v>0.1080000000000001</v>
      </c>
      <c r="AS1362" s="16">
        <f>VLOOKUP(E1362,'[1]Feces weights'!$D$1:$H$459,5,FALSE)</f>
        <v>0.1080000000000001</v>
      </c>
      <c r="AT1362" s="16" t="str">
        <f>VLOOKUP(E1362,[2]Current!$A$1:$W$435,7,FALSE)</f>
        <v>JB</v>
      </c>
      <c r="AU1362" s="16" t="s">
        <v>1288</v>
      </c>
      <c r="AW1362" s="128">
        <f>IF(AX1362&gt;0,1,0)</f>
        <v>1</v>
      </c>
      <c r="AX1362" s="128">
        <f>SUM(BA1362,BM1362,CU1362)</f>
        <v>1</v>
      </c>
      <c r="AY1362" s="128">
        <f>SUM(BB1362,BN1362,CV1362)</f>
        <v>18.518518518518501</v>
      </c>
      <c r="AZ1362" s="128">
        <f>IF(BA1362&gt;0,1,0)</f>
        <v>0</v>
      </c>
      <c r="BA1362" s="128">
        <f>SUM(BC1362+BF1362+BI1362)</f>
        <v>0</v>
      </c>
      <c r="BB1362" s="128">
        <f>SUM(BE1362,BH1362,BK1362)</f>
        <v>0</v>
      </c>
      <c r="BC1362" s="130">
        <f>IF(BD1362&gt;0,1,0)</f>
        <v>0</v>
      </c>
      <c r="BD1362" s="128">
        <f>VLOOKUP($E1362,[2]Current!$A:$AC,26,FALSE)</f>
        <v>0</v>
      </c>
      <c r="BE1362" s="128">
        <f>BD1362/$AS1362</f>
        <v>0</v>
      </c>
      <c r="BF1362" s="130">
        <f>IF(BG1362&gt;0,1,0)</f>
        <v>0</v>
      </c>
      <c r="BG1362" s="137">
        <f>VLOOKUP($E1362,[2]Current!$A:$AC,27,FALSE)</f>
        <v>0</v>
      </c>
      <c r="BH1362" s="128">
        <f>BG1362/$AS1362</f>
        <v>0</v>
      </c>
      <c r="BI1362" s="130">
        <f>IF(BJ1362&gt;0,1,0)</f>
        <v>0</v>
      </c>
      <c r="BJ1362" s="128">
        <f>VLOOKUP($E1362,[2]Current!$A:$AC,28,FALSE)</f>
        <v>0</v>
      </c>
      <c r="BK1362" s="128">
        <f>BJ1362/$AS1362</f>
        <v>0</v>
      </c>
      <c r="BL1362" s="128">
        <f>IF(BM1362&gt;0,1,0)</f>
        <v>1</v>
      </c>
      <c r="BM1362" s="128">
        <f>SUM(BR1362,BU1362,BX1362,CA1362,CD1362)</f>
        <v>1</v>
      </c>
      <c r="BN1362" s="131">
        <f>SUM(BT1362,BW1362,BZ1362,CC1362,CF1362)</f>
        <v>18.518518518518501</v>
      </c>
      <c r="BO1362" s="128">
        <f>IF(BP1362&gt;0,1,0)</f>
        <v>1</v>
      </c>
      <c r="BP1362" s="128">
        <f>BM1362+CJ1362</f>
        <v>1</v>
      </c>
      <c r="BQ1362" s="128">
        <f>BN1362+CL1362</f>
        <v>18.518518518518501</v>
      </c>
      <c r="BR1362" s="130">
        <f>IF(BS1362&gt;0,1,0)</f>
        <v>0</v>
      </c>
      <c r="BS1362" s="128">
        <f>VLOOKUP($E1362,[2]Current!$A:$AC,12,FALSE)</f>
        <v>0</v>
      </c>
      <c r="BT1362" s="137">
        <f>BS1362/$AS1362</f>
        <v>0</v>
      </c>
      <c r="BU1362" s="130">
        <f>IF(BV1362&gt;0,1,0)</f>
        <v>0</v>
      </c>
      <c r="BV1362" s="128">
        <f>VLOOKUP($E1362,[2]Current!$A:$AC,13,FALSE)</f>
        <v>0</v>
      </c>
      <c r="BW1362" s="128">
        <f>BV1362/$AS1362</f>
        <v>0</v>
      </c>
      <c r="BX1362" s="130">
        <f>IF(BY1362&gt;0,1,0)</f>
        <v>1</v>
      </c>
      <c r="BY1362" s="128">
        <f>VLOOKUP($E1362,[2]Current!$A:$AC,14,FALSE)</f>
        <v>2</v>
      </c>
      <c r="BZ1362" s="128">
        <f>BY1362/$AS1362</f>
        <v>18.518518518518501</v>
      </c>
      <c r="CA1362" s="130">
        <f>IF(CB1362&gt;0,1,0)</f>
        <v>0</v>
      </c>
      <c r="CB1362" s="128">
        <f>VLOOKUP($E1362,[2]Current!$A:$AC,15,FALSE)</f>
        <v>0</v>
      </c>
      <c r="CC1362" s="128">
        <f>CB1362/$AS1362</f>
        <v>0</v>
      </c>
      <c r="CD1362" s="174">
        <f>IF(CE1362&gt;0,1,0)</f>
        <v>0</v>
      </c>
      <c r="CE1362" s="128">
        <f>VLOOKUP($E1362,[2]Current!$A:$AC,16,FALSE)</f>
        <v>0</v>
      </c>
      <c r="CF1362" s="128">
        <f>CE1362/$AS1362</f>
        <v>0</v>
      </c>
      <c r="CG1362" s="18"/>
      <c r="CH1362" s="18"/>
      <c r="CI1362" s="18"/>
      <c r="CJ1362" s="130">
        <f>IF(CK1362&gt;0,1,0)</f>
        <v>0</v>
      </c>
      <c r="CK1362" s="128">
        <f>VLOOKUP($E1362,[2]Current!$A:$AC,18,FALSE)</f>
        <v>0</v>
      </c>
      <c r="CL1362" s="128">
        <f>CK1362/$AS1362</f>
        <v>0</v>
      </c>
      <c r="CS1362" s="130">
        <f>IF(CU1362&gt;0,1,0)</f>
        <v>0</v>
      </c>
      <c r="CT1362" s="18"/>
      <c r="CU1362" s="128">
        <f>VLOOKUP($E1362,[2]Current!$A:$AC,17,FALSE)</f>
        <v>0</v>
      </c>
      <c r="CV1362" s="128">
        <f>CU1362/$AS1362</f>
        <v>0</v>
      </c>
      <c r="CW1362" s="18"/>
      <c r="CX1362" s="18"/>
      <c r="CY1362" s="18"/>
      <c r="DF1362" s="16" t="e">
        <f>VLOOKUP(K1362,'[3]RNA Seq summary tables'!$V$3:$V$99,1,FALSE)</f>
        <v>#N/A</v>
      </c>
      <c r="DG1362" s="126" t="s">
        <v>116</v>
      </c>
    </row>
    <row r="1363" spans="1:288" ht="16" x14ac:dyDescent="0.2">
      <c r="B1363" s="16">
        <v>2018</v>
      </c>
      <c r="C1363" s="124">
        <v>43301</v>
      </c>
      <c r="D1363" t="s">
        <v>1025</v>
      </c>
      <c r="E1363" s="37" t="str">
        <f>CONCATENATE(T1363,"-",U1363,"-",C1363)</f>
        <v>SP2-A7-43301</v>
      </c>
      <c r="F1363" s="16" t="s">
        <v>227</v>
      </c>
      <c r="G1363" s="126" t="s">
        <v>107</v>
      </c>
      <c r="H1363" s="126"/>
      <c r="J1363" s="126">
        <v>1491</v>
      </c>
      <c r="K1363" s="126">
        <v>2647</v>
      </c>
      <c r="O1363" s="15" t="s">
        <v>214</v>
      </c>
      <c r="Q1363" s="16">
        <f t="shared" si="8"/>
        <v>1</v>
      </c>
      <c r="R1363" s="16">
        <f t="shared" si="9"/>
        <v>32</v>
      </c>
      <c r="T1363" s="126" t="s">
        <v>137</v>
      </c>
      <c r="U1363" s="126" t="s">
        <v>120</v>
      </c>
      <c r="V1363" s="126" t="s">
        <v>114</v>
      </c>
      <c r="X1363" s="126" t="s">
        <v>121</v>
      </c>
      <c r="Y1363" s="126" t="s">
        <v>110</v>
      </c>
      <c r="Z1363" s="126">
        <v>3</v>
      </c>
      <c r="AA1363" s="126" t="s">
        <v>119</v>
      </c>
      <c r="AB1363" s="126" t="s">
        <v>116</v>
      </c>
      <c r="AC1363" s="126" t="s">
        <v>123</v>
      </c>
      <c r="AD1363" s="126"/>
      <c r="AE1363" s="126"/>
      <c r="AG1363" s="40">
        <f>AH1363-AI1363</f>
        <v>93</v>
      </c>
      <c r="AH1363" s="126">
        <v>174</v>
      </c>
      <c r="AI1363" s="126">
        <v>81</v>
      </c>
      <c r="AK1363" s="126">
        <v>24.5</v>
      </c>
      <c r="AL1363" s="126">
        <v>0</v>
      </c>
      <c r="AM1363" s="126">
        <v>0</v>
      </c>
      <c r="AN1363" s="126">
        <v>0</v>
      </c>
      <c r="AO1363" s="16">
        <f>IF(SUM(AL1363:AN1363)&gt;0,1,0)</f>
        <v>0</v>
      </c>
      <c r="AP1363" s="18">
        <f>SUM(AL1363:AN1363)</f>
        <v>0</v>
      </c>
      <c r="AR1363" s="16">
        <v>0.42000000000000015</v>
      </c>
      <c r="AS1363" s="16">
        <f>VLOOKUP(E1363,'[1]Feces weights'!$D$1:$H$459,5,FALSE)</f>
        <v>0.42000000000000015</v>
      </c>
      <c r="AT1363" s="16" t="str">
        <f>VLOOKUP(E1363,[2]Current!$A$1:$W$435,7,FALSE)</f>
        <v>TE</v>
      </c>
      <c r="AU1363" s="16" t="s">
        <v>1288</v>
      </c>
      <c r="AV1363" s="23">
        <v>1</v>
      </c>
      <c r="AW1363" s="128">
        <f>IF(AX1363&gt;0,1,0)</f>
        <v>0</v>
      </c>
      <c r="AX1363" s="128">
        <f>SUM(BA1363,BM1363,CU1363)</f>
        <v>0</v>
      </c>
      <c r="AY1363" s="128">
        <f>SUM(BB1363,BN1363,CV1363)</f>
        <v>0</v>
      </c>
      <c r="AZ1363" s="128">
        <f>IF(BA1363&gt;0,1,0)</f>
        <v>0</v>
      </c>
      <c r="BA1363" s="128">
        <f>SUM(BC1363+BF1363+BI1363)</f>
        <v>0</v>
      </c>
      <c r="BB1363" s="128">
        <f>SUM(BE1363,BH1363,BK1363)</f>
        <v>0</v>
      </c>
      <c r="BC1363" s="130">
        <f>IF(BD1363&gt;0,1,0)</f>
        <v>0</v>
      </c>
      <c r="BD1363" s="128">
        <f>VLOOKUP($E1363,[2]Current!$A:$AC,26,FALSE)</f>
        <v>0</v>
      </c>
      <c r="BE1363" s="128">
        <f>BD1363/$AS1363</f>
        <v>0</v>
      </c>
      <c r="BF1363" s="130">
        <f>IF(BG1363&gt;0,1,0)</f>
        <v>0</v>
      </c>
      <c r="BG1363" s="137">
        <f>VLOOKUP($E1363,[2]Current!$A:$AC,27,FALSE)</f>
        <v>0</v>
      </c>
      <c r="BH1363" s="128">
        <f>BG1363/$AS1363</f>
        <v>0</v>
      </c>
      <c r="BI1363" s="130">
        <f>IF(BJ1363&gt;0,1,0)</f>
        <v>0</v>
      </c>
      <c r="BJ1363" s="128">
        <f>VLOOKUP($E1363,[2]Current!$A:$AC,28,FALSE)</f>
        <v>0</v>
      </c>
      <c r="BK1363" s="128">
        <f>BJ1363/$AS1363</f>
        <v>0</v>
      </c>
      <c r="BL1363" s="128">
        <f>IF(BM1363&gt;0,1,0)</f>
        <v>0</v>
      </c>
      <c r="BM1363" s="128">
        <f>SUM(BR1363,BU1363,BX1363,CA1363,CD1363)</f>
        <v>0</v>
      </c>
      <c r="BN1363" s="131">
        <f>SUM(BT1363,BW1363,BZ1363,CC1363,CF1363)</f>
        <v>0</v>
      </c>
      <c r="BO1363" s="128">
        <f>IF(BP1363&gt;0,1,0)</f>
        <v>0</v>
      </c>
      <c r="BP1363" s="128">
        <f>BM1363+CJ1363</f>
        <v>0</v>
      </c>
      <c r="BQ1363" s="128">
        <f>BN1363+CL1363</f>
        <v>0</v>
      </c>
      <c r="BR1363" s="130">
        <f>IF(BS1363&gt;0,1,0)</f>
        <v>0</v>
      </c>
      <c r="BS1363" s="128">
        <f>VLOOKUP($E1363,[2]Current!$A:$AC,12,FALSE)</f>
        <v>0</v>
      </c>
      <c r="BT1363" s="137">
        <f>BS1363/$AS1363</f>
        <v>0</v>
      </c>
      <c r="BU1363" s="130">
        <f>IF(BV1363&gt;0,1,0)</f>
        <v>0</v>
      </c>
      <c r="BV1363" s="128">
        <f>VLOOKUP($E1363,[2]Current!$A:$AC,13,FALSE)</f>
        <v>0</v>
      </c>
      <c r="BW1363" s="128">
        <f>BV1363/$AS1363</f>
        <v>0</v>
      </c>
      <c r="BX1363" s="130">
        <f>IF(BY1363&gt;0,1,0)</f>
        <v>0</v>
      </c>
      <c r="BY1363" s="128">
        <f>VLOOKUP($E1363,[2]Current!$A:$AC,14,FALSE)</f>
        <v>0</v>
      </c>
      <c r="BZ1363" s="128">
        <f>BY1363/$AS1363</f>
        <v>0</v>
      </c>
      <c r="CA1363" s="130">
        <f>IF(CB1363&gt;0,1,0)</f>
        <v>0</v>
      </c>
      <c r="CB1363" s="128">
        <f>VLOOKUP($E1363,[2]Current!$A:$AC,15,FALSE)</f>
        <v>0</v>
      </c>
      <c r="CC1363" s="128">
        <f>CB1363/$AS1363</f>
        <v>0</v>
      </c>
      <c r="CD1363" s="174">
        <f>IF(CE1363&gt;0,1,0)</f>
        <v>0</v>
      </c>
      <c r="CE1363" s="128">
        <f>VLOOKUP($E1363,[2]Current!$A:$AC,16,FALSE)</f>
        <v>0</v>
      </c>
      <c r="CF1363" s="128">
        <f>CE1363/$AS1363</f>
        <v>0</v>
      </c>
      <c r="CG1363" s="18"/>
      <c r="CH1363" s="18"/>
      <c r="CI1363" s="18"/>
      <c r="CJ1363" s="130">
        <f>IF(CK1363&gt;0,1,0)</f>
        <v>0</v>
      </c>
      <c r="CK1363" s="128">
        <f>VLOOKUP($E1363,[2]Current!$A:$AC,18,FALSE)</f>
        <v>0</v>
      </c>
      <c r="CL1363" s="128">
        <f>CK1363/$AS1363</f>
        <v>0</v>
      </c>
      <c r="CS1363" s="130">
        <f>IF(CU1363&gt;0,1,0)</f>
        <v>0</v>
      </c>
      <c r="CU1363" s="128">
        <f>VLOOKUP($E1363,[2]Current!$A:$AC,17,FALSE)</f>
        <v>0</v>
      </c>
      <c r="CV1363" s="128">
        <f>CU1363/$AS1363</f>
        <v>0</v>
      </c>
      <c r="CW1363" s="18"/>
      <c r="CX1363" s="18"/>
      <c r="CY1363" s="18"/>
      <c r="DF1363" s="16" t="e">
        <f>VLOOKUP(K1363,'[3]RNA Seq summary tables'!$V$3:$V$99,1,FALSE)</f>
        <v>#N/A</v>
      </c>
      <c r="DG1363" s="126" t="s">
        <v>116</v>
      </c>
    </row>
    <row r="1364" spans="1:288" ht="16" x14ac:dyDescent="0.2">
      <c r="B1364" s="16">
        <v>2018</v>
      </c>
      <c r="C1364" s="124">
        <v>43269</v>
      </c>
      <c r="D1364" t="s">
        <v>831</v>
      </c>
      <c r="E1364" s="37" t="str">
        <f>CONCATENATE(T1364,"-",U1364,"-",C1364)</f>
        <v>SP2-F4-43269</v>
      </c>
      <c r="F1364" s="16" t="s">
        <v>227</v>
      </c>
      <c r="G1364" s="126" t="s">
        <v>107</v>
      </c>
      <c r="H1364" s="126" t="s">
        <v>1109</v>
      </c>
      <c r="J1364" s="126">
        <v>1493</v>
      </c>
      <c r="K1364" s="126">
        <v>2461</v>
      </c>
      <c r="O1364" s="15" t="s">
        <v>214</v>
      </c>
      <c r="Q1364" s="16">
        <f t="shared" si="8"/>
        <v>0</v>
      </c>
      <c r="R1364" s="16" t="str">
        <f t="shared" si="9"/>
        <v/>
      </c>
      <c r="T1364" s="126" t="s">
        <v>137</v>
      </c>
      <c r="U1364" s="126" t="s">
        <v>184</v>
      </c>
      <c r="V1364" s="126" t="s">
        <v>114</v>
      </c>
      <c r="X1364" s="126" t="s">
        <v>115</v>
      </c>
      <c r="Y1364" s="126" t="s">
        <v>110</v>
      </c>
      <c r="Z1364" s="126">
        <v>3</v>
      </c>
      <c r="AA1364" s="126"/>
      <c r="AB1364" s="126"/>
      <c r="AC1364" s="126"/>
      <c r="AD1364" s="126"/>
      <c r="AE1364" s="126" t="s">
        <v>116</v>
      </c>
      <c r="AG1364" s="16">
        <f>AH1364-AI1364</f>
        <v>91</v>
      </c>
      <c r="AH1364" s="126">
        <v>165</v>
      </c>
      <c r="AI1364" s="126">
        <v>74</v>
      </c>
      <c r="AK1364" s="126">
        <v>23</v>
      </c>
      <c r="AL1364" s="126">
        <v>0</v>
      </c>
      <c r="AM1364" s="126">
        <v>1</v>
      </c>
      <c r="AN1364" s="126">
        <v>0</v>
      </c>
      <c r="AO1364" s="16">
        <f>IF(SUM(AL1364:AN1364)&gt;0,1,0)</f>
        <v>1</v>
      </c>
      <c r="AP1364" s="18">
        <f>SUM(AL1364:AN1364)</f>
        <v>1</v>
      </c>
      <c r="AR1364" s="16">
        <v>0.11300000000000021</v>
      </c>
      <c r="AS1364" s="16">
        <f>VLOOKUP(E1364,'[1]Feces weights'!$D$1:$H$459,5,FALSE)</f>
        <v>0.11300000000000021</v>
      </c>
      <c r="AT1364" s="16" t="str">
        <f>VLOOKUP(E1364,[2]Current!$A$1:$W$435,7,FALSE)</f>
        <v>DP</v>
      </c>
      <c r="AU1364" s="16" t="s">
        <v>1288</v>
      </c>
      <c r="AW1364" s="128">
        <f>IF(AX1364&gt;0,1,0)</f>
        <v>1</v>
      </c>
      <c r="AX1364" s="128">
        <f>SUM(BA1364,BM1364,CU1364)</f>
        <v>1</v>
      </c>
      <c r="AY1364" s="128">
        <f>SUM(BB1364,BN1364,CV1364)</f>
        <v>1185.8407079645995</v>
      </c>
      <c r="AZ1364" s="128">
        <f>IF(BA1364&gt;0,1,0)</f>
        <v>1</v>
      </c>
      <c r="BA1364" s="128">
        <f>SUM(BC1364+BF1364+BI1364)</f>
        <v>1</v>
      </c>
      <c r="BB1364" s="128">
        <f>SUM(BE1364,BH1364,BK1364)</f>
        <v>1185.8407079645995</v>
      </c>
      <c r="BC1364" s="130">
        <f>IF(BD1364&gt;0,1,0)</f>
        <v>1</v>
      </c>
      <c r="BD1364" s="128">
        <f>VLOOKUP($E1364,[2]Current!$A:$AC,26,FALSE)</f>
        <v>134</v>
      </c>
      <c r="BE1364" s="128">
        <f>BD1364/$AS1364</f>
        <v>1185.8407079645995</v>
      </c>
      <c r="BF1364" s="130">
        <f>IF(BG1364&gt;0,1,0)</f>
        <v>0</v>
      </c>
      <c r="BG1364" s="137">
        <f>VLOOKUP($E1364,[2]Current!$A:$AC,27,FALSE)</f>
        <v>0</v>
      </c>
      <c r="BH1364" s="128">
        <f>BG1364/$AS1364</f>
        <v>0</v>
      </c>
      <c r="BI1364" s="130">
        <f>IF(BJ1364&gt;0,1,0)</f>
        <v>0</v>
      </c>
      <c r="BJ1364" s="128">
        <f>VLOOKUP($E1364,[2]Current!$A:$AC,28,FALSE)</f>
        <v>0</v>
      </c>
      <c r="BK1364" s="128">
        <f>BJ1364/$AS1364</f>
        <v>0</v>
      </c>
      <c r="BL1364" s="128">
        <f>IF(BM1364&gt;0,1,0)</f>
        <v>0</v>
      </c>
      <c r="BM1364" s="128">
        <f>SUM(BR1364,BU1364,BX1364,CA1364,CD1364)</f>
        <v>0</v>
      </c>
      <c r="BN1364" s="131">
        <f>SUM(BT1364,BW1364,BZ1364,CC1364,CF1364)</f>
        <v>0</v>
      </c>
      <c r="BO1364" s="128">
        <f>IF(BP1364&gt;0,1,0)</f>
        <v>0</v>
      </c>
      <c r="BP1364" s="128">
        <f>BM1364+CJ1364</f>
        <v>0</v>
      </c>
      <c r="BQ1364" s="128">
        <f>BN1364+CL1364</f>
        <v>0</v>
      </c>
      <c r="BR1364" s="130">
        <f>IF(BS1364&gt;0,1,0)</f>
        <v>0</v>
      </c>
      <c r="BS1364" s="128">
        <f>VLOOKUP($E1364,[2]Current!$A:$AC,12,FALSE)</f>
        <v>0</v>
      </c>
      <c r="BT1364" s="137">
        <f>BS1364/$AS1364</f>
        <v>0</v>
      </c>
      <c r="BU1364" s="130">
        <f>IF(BV1364&gt;0,1,0)</f>
        <v>0</v>
      </c>
      <c r="BV1364" s="128">
        <f>VLOOKUP($E1364,[2]Current!$A:$AC,13,FALSE)</f>
        <v>0</v>
      </c>
      <c r="BW1364" s="128">
        <f>BV1364/$AS1364</f>
        <v>0</v>
      </c>
      <c r="BX1364" s="130">
        <f>IF(BY1364&gt;0,1,0)</f>
        <v>0</v>
      </c>
      <c r="BY1364" s="128">
        <f>VLOOKUP($E1364,[2]Current!$A:$AC,14,FALSE)</f>
        <v>0</v>
      </c>
      <c r="BZ1364" s="128">
        <f>BY1364/$AS1364</f>
        <v>0</v>
      </c>
      <c r="CA1364" s="130">
        <f>IF(CB1364&gt;0,1,0)</f>
        <v>0</v>
      </c>
      <c r="CB1364" s="128">
        <f>VLOOKUP($E1364,[2]Current!$A:$AC,15,FALSE)</f>
        <v>0</v>
      </c>
      <c r="CC1364" s="128">
        <f>CB1364/$AS1364</f>
        <v>0</v>
      </c>
      <c r="CD1364" s="174">
        <f>IF(CE1364&gt;0,1,0)</f>
        <v>0</v>
      </c>
      <c r="CE1364" s="128">
        <f>VLOOKUP($E1364,[2]Current!$A:$AC,16,FALSE)</f>
        <v>0</v>
      </c>
      <c r="CF1364" s="128">
        <f>CE1364/$AS1364</f>
        <v>0</v>
      </c>
      <c r="CG1364" s="18"/>
      <c r="CH1364" s="18"/>
      <c r="CI1364" s="18"/>
      <c r="CJ1364" s="130">
        <f>IF(CK1364&gt;0,1,0)</f>
        <v>0</v>
      </c>
      <c r="CK1364" s="128">
        <f>VLOOKUP($E1364,[2]Current!$A:$AC,18,FALSE)</f>
        <v>0</v>
      </c>
      <c r="CL1364" s="128">
        <f>CK1364/$AS1364</f>
        <v>0</v>
      </c>
      <c r="CS1364" s="130">
        <f>IF(CU1364&gt;0,1,0)</f>
        <v>0</v>
      </c>
      <c r="CU1364" s="128">
        <f>VLOOKUP($E1364,[2]Current!$A:$AC,17,FALSE)</f>
        <v>0</v>
      </c>
      <c r="CV1364" s="128">
        <f>CU1364/$AS1364</f>
        <v>0</v>
      </c>
      <c r="CW1364" s="18"/>
      <c r="CX1364" s="18"/>
      <c r="CY1364" s="18"/>
      <c r="DF1364" s="16" t="e">
        <f>VLOOKUP(K1364,'[3]RNA Seq summary tables'!$V$3:$V$99,1,FALSE)</f>
        <v>#N/A</v>
      </c>
      <c r="DG1364" s="126" t="s">
        <v>116</v>
      </c>
    </row>
    <row r="1365" spans="1:288" ht="16" x14ac:dyDescent="0.2">
      <c r="B1365" s="16">
        <v>2018</v>
      </c>
      <c r="C1365" s="124">
        <v>43286</v>
      </c>
      <c r="D1365" t="s">
        <v>925</v>
      </c>
      <c r="E1365" s="37" t="str">
        <f>CONCATENATE(T1365,"-",U1365,"-",C1365)</f>
        <v>SP2-E7-43286</v>
      </c>
      <c r="F1365" s="16" t="s">
        <v>227</v>
      </c>
      <c r="G1365" s="126" t="s">
        <v>107</v>
      </c>
      <c r="H1365" s="126"/>
      <c r="J1365" s="126">
        <v>1493</v>
      </c>
      <c r="K1365" s="126">
        <v>2556</v>
      </c>
      <c r="O1365" s="15" t="s">
        <v>214</v>
      </c>
      <c r="Q1365" s="16">
        <f t="shared" si="8"/>
        <v>1</v>
      </c>
      <c r="R1365" s="16">
        <f t="shared" si="9"/>
        <v>17</v>
      </c>
      <c r="T1365" s="126" t="s">
        <v>137</v>
      </c>
      <c r="U1365" s="126" t="s">
        <v>135</v>
      </c>
      <c r="V1365" s="126" t="s">
        <v>114</v>
      </c>
      <c r="X1365" s="126" t="s">
        <v>115</v>
      </c>
      <c r="Y1365" s="126" t="s">
        <v>110</v>
      </c>
      <c r="Z1365" s="126">
        <v>3</v>
      </c>
      <c r="AA1365" s="126"/>
      <c r="AB1365" s="126"/>
      <c r="AC1365" s="126"/>
      <c r="AD1365" s="126"/>
      <c r="AE1365" s="126" t="s">
        <v>116</v>
      </c>
      <c r="AG1365" s="16">
        <f>AH1365-AI1365</f>
        <v>93</v>
      </c>
      <c r="AH1365" s="126">
        <v>168</v>
      </c>
      <c r="AI1365" s="126">
        <v>75</v>
      </c>
      <c r="AK1365" s="126">
        <v>23</v>
      </c>
      <c r="AL1365" s="126">
        <v>1</v>
      </c>
      <c r="AM1365" s="126">
        <v>0</v>
      </c>
      <c r="AN1365" s="126">
        <v>0</v>
      </c>
      <c r="AO1365" s="16">
        <f>IF(SUM(AL1365:AN1365)&gt;0,1,0)</f>
        <v>1</v>
      </c>
      <c r="AP1365" s="18">
        <f>SUM(AL1365:AN1365)</f>
        <v>1</v>
      </c>
      <c r="AR1365" s="16">
        <v>8.1000000000000183E-2</v>
      </c>
      <c r="AS1365" s="16">
        <f>VLOOKUP(E1365,'[1]Feces weights'!$D$1:$H$459,5,FALSE)</f>
        <v>8.1000000000000183E-2</v>
      </c>
      <c r="AT1365" s="16" t="str">
        <f>VLOOKUP(E1365,[2]Current!$A$1:$W$435,7,FALSE)</f>
        <v>TE</v>
      </c>
      <c r="AU1365" s="16" t="s">
        <v>1288</v>
      </c>
      <c r="AV1365" s="23">
        <v>1</v>
      </c>
      <c r="AW1365" s="128">
        <f>IF(AX1365&gt;0,1,0)</f>
        <v>0</v>
      </c>
      <c r="AX1365" s="128">
        <f>SUM(BA1365,BM1365,CU1365)</f>
        <v>0</v>
      </c>
      <c r="AY1365" s="128">
        <f>SUM(BB1365,BN1365,CV1365)</f>
        <v>0</v>
      </c>
      <c r="AZ1365" s="128">
        <f>IF(BA1365&gt;0,1,0)</f>
        <v>0</v>
      </c>
      <c r="BA1365" s="128">
        <f>SUM(BC1365+BF1365+BI1365)</f>
        <v>0</v>
      </c>
      <c r="BB1365" s="128">
        <f>SUM(BE1365,BH1365,BK1365)</f>
        <v>0</v>
      </c>
      <c r="BC1365" s="130">
        <f>IF(BD1365&gt;0,1,0)</f>
        <v>0</v>
      </c>
      <c r="BD1365" s="128">
        <f>VLOOKUP($E1365,[2]Current!$A:$AC,26,FALSE)</f>
        <v>0</v>
      </c>
      <c r="BE1365" s="128">
        <f>BD1365/$AS1365</f>
        <v>0</v>
      </c>
      <c r="BF1365" s="130">
        <f>IF(BG1365&gt;0,1,0)</f>
        <v>0</v>
      </c>
      <c r="BG1365" s="137">
        <f>VLOOKUP($E1365,[2]Current!$A:$AC,27,FALSE)</f>
        <v>0</v>
      </c>
      <c r="BH1365" s="128">
        <f>BG1365/$AS1365</f>
        <v>0</v>
      </c>
      <c r="BI1365" s="130">
        <f>IF(BJ1365&gt;0,1,0)</f>
        <v>0</v>
      </c>
      <c r="BJ1365" s="128">
        <f>VLOOKUP($E1365,[2]Current!$A:$AC,28,FALSE)</f>
        <v>0</v>
      </c>
      <c r="BK1365" s="128">
        <f>BJ1365/$AS1365</f>
        <v>0</v>
      </c>
      <c r="BL1365" s="128">
        <f>IF(BM1365&gt;0,1,0)</f>
        <v>0</v>
      </c>
      <c r="BM1365" s="128">
        <f>SUM(BR1365,BU1365,BX1365,CA1365,CD1365)</f>
        <v>0</v>
      </c>
      <c r="BN1365" s="131">
        <f>SUM(BT1365,BW1365,BZ1365,CC1365,CF1365)</f>
        <v>0</v>
      </c>
      <c r="BO1365" s="128">
        <f>IF(BP1365&gt;0,1,0)</f>
        <v>0</v>
      </c>
      <c r="BP1365" s="128">
        <f>BM1365+CJ1365</f>
        <v>0</v>
      </c>
      <c r="BQ1365" s="128">
        <f>BN1365+CL1365</f>
        <v>0</v>
      </c>
      <c r="BR1365" s="130">
        <f>IF(BS1365&gt;0,1,0)</f>
        <v>0</v>
      </c>
      <c r="BS1365" s="128">
        <f>VLOOKUP($E1365,[2]Current!$A:$AC,12,FALSE)</f>
        <v>0</v>
      </c>
      <c r="BT1365" s="137">
        <f>BS1365/$AS1365</f>
        <v>0</v>
      </c>
      <c r="BU1365" s="130">
        <f>IF(BV1365&gt;0,1,0)</f>
        <v>0</v>
      </c>
      <c r="BV1365" s="128">
        <f>VLOOKUP($E1365,[2]Current!$A:$AC,13,FALSE)</f>
        <v>0</v>
      </c>
      <c r="BW1365" s="128">
        <f>BV1365/$AS1365</f>
        <v>0</v>
      </c>
      <c r="BX1365" s="130">
        <f>IF(BY1365&gt;0,1,0)</f>
        <v>0</v>
      </c>
      <c r="BY1365" s="128">
        <f>VLOOKUP($E1365,[2]Current!$A:$AC,14,FALSE)</f>
        <v>0</v>
      </c>
      <c r="BZ1365" s="128">
        <f>BY1365/$AS1365</f>
        <v>0</v>
      </c>
      <c r="CA1365" s="130">
        <f>IF(CB1365&gt;0,1,0)</f>
        <v>0</v>
      </c>
      <c r="CB1365" s="128">
        <f>VLOOKUP($E1365,[2]Current!$A:$AC,15,FALSE)</f>
        <v>0</v>
      </c>
      <c r="CC1365" s="128">
        <f>CB1365/$AS1365</f>
        <v>0</v>
      </c>
      <c r="CD1365" s="174">
        <f>IF(CE1365&gt;0,1,0)</f>
        <v>0</v>
      </c>
      <c r="CE1365" s="128">
        <f>VLOOKUP($E1365,[2]Current!$A:$AC,16,FALSE)</f>
        <v>0</v>
      </c>
      <c r="CF1365" s="128">
        <f>CE1365/$AS1365</f>
        <v>0</v>
      </c>
      <c r="CG1365" s="18"/>
      <c r="CH1365" s="18"/>
      <c r="CI1365" s="18"/>
      <c r="CJ1365" s="130">
        <f>IF(CK1365&gt;0,1,0)</f>
        <v>0</v>
      </c>
      <c r="CK1365" s="128">
        <f>VLOOKUP($E1365,[2]Current!$A:$AC,18,FALSE)</f>
        <v>0</v>
      </c>
      <c r="CL1365" s="128">
        <f>CK1365/$AS1365</f>
        <v>0</v>
      </c>
      <c r="CS1365" s="130">
        <f>IF(CU1365&gt;0,1,0)</f>
        <v>0</v>
      </c>
      <c r="CU1365" s="128">
        <f>VLOOKUP($E1365,[2]Current!$A:$AC,17,FALSE)</f>
        <v>0</v>
      </c>
      <c r="CV1365" s="128">
        <f>CU1365/$AS1365</f>
        <v>0</v>
      </c>
      <c r="CW1365" s="18"/>
      <c r="CX1365" s="18"/>
      <c r="CY1365" s="18"/>
      <c r="DF1365" s="16" t="e">
        <f>VLOOKUP(K1365,'[3]RNA Seq summary tables'!$V$3:$V$99,1,FALSE)</f>
        <v>#N/A</v>
      </c>
      <c r="DG1365" s="126" t="s">
        <v>116</v>
      </c>
    </row>
    <row r="1366" spans="1:288" s="27" customFormat="1" ht="16" x14ac:dyDescent="0.2">
      <c r="A1366" s="18"/>
      <c r="B1366" s="16">
        <v>2018</v>
      </c>
      <c r="C1366" s="124">
        <v>43301</v>
      </c>
      <c r="D1366" t="s">
        <v>1020</v>
      </c>
      <c r="E1366" s="142" t="str">
        <f>CONCATENATE(T1366,"-",U1366,"-",C1366)</f>
        <v>SP2-H6-43301</v>
      </c>
      <c r="F1366" s="16" t="s">
        <v>227</v>
      </c>
      <c r="G1366" s="126" t="s">
        <v>107</v>
      </c>
      <c r="H1366" s="126"/>
      <c r="I1366" s="16"/>
      <c r="J1366" s="126">
        <v>1493</v>
      </c>
      <c r="K1366" s="126">
        <v>2654</v>
      </c>
      <c r="L1366" s="16"/>
      <c r="M1366" s="21"/>
      <c r="N1366" s="21"/>
      <c r="O1366" s="15" t="s">
        <v>214</v>
      </c>
      <c r="P1366" s="16"/>
      <c r="Q1366" s="16">
        <f t="shared" si="8"/>
        <v>1</v>
      </c>
      <c r="R1366" s="16">
        <f t="shared" si="9"/>
        <v>15</v>
      </c>
      <c r="S1366" s="16"/>
      <c r="T1366" s="126" t="s">
        <v>137</v>
      </c>
      <c r="U1366" s="126" t="s">
        <v>141</v>
      </c>
      <c r="V1366" s="126" t="s">
        <v>114</v>
      </c>
      <c r="W1366" s="16"/>
      <c r="X1366" s="126" t="s">
        <v>115</v>
      </c>
      <c r="Y1366" s="126" t="s">
        <v>110</v>
      </c>
      <c r="Z1366" s="126">
        <v>3</v>
      </c>
      <c r="AA1366" s="126"/>
      <c r="AB1366" s="126"/>
      <c r="AC1366" s="126"/>
      <c r="AD1366" s="126" t="s">
        <v>116</v>
      </c>
      <c r="AE1366" s="126" t="s">
        <v>116</v>
      </c>
      <c r="AF1366" s="16"/>
      <c r="AG1366" s="40">
        <f>AH1366-AI1366</f>
        <v>87</v>
      </c>
      <c r="AH1366" s="126">
        <v>158</v>
      </c>
      <c r="AI1366" s="126">
        <v>71</v>
      </c>
      <c r="AJ1366" s="16"/>
      <c r="AK1366" s="126">
        <v>23</v>
      </c>
      <c r="AL1366" s="126">
        <v>1</v>
      </c>
      <c r="AM1366" s="126">
        <v>0</v>
      </c>
      <c r="AN1366" s="126">
        <v>0</v>
      </c>
      <c r="AO1366" s="16">
        <f>IF(SUM(AL1366:AN1366)&gt;0,1,0)</f>
        <v>1</v>
      </c>
      <c r="AP1366" s="18">
        <f>SUM(AL1366:AN1366)</f>
        <v>1</v>
      </c>
      <c r="AQ1366" s="16"/>
      <c r="AR1366" s="16">
        <v>0.32500000000000018</v>
      </c>
      <c r="AS1366" s="16">
        <f>VLOOKUP(E1366,'[1]Feces weights'!$D$1:$H$459,5,FALSE)</f>
        <v>0.32500000000000018</v>
      </c>
      <c r="AT1366" s="16" t="e">
        <f>VLOOKUP(E1366,[2]Current!$A$1:$W$435,7,FALSE)</f>
        <v>#N/A</v>
      </c>
      <c r="AU1366" s="16">
        <v>0</v>
      </c>
      <c r="AV1366" s="16"/>
      <c r="AW1366" s="16"/>
      <c r="AX1366" s="16"/>
      <c r="AY1366" s="16"/>
      <c r="AZ1366" s="16"/>
      <c r="BA1366" s="16"/>
      <c r="BB1366" s="16"/>
      <c r="BC1366" s="16"/>
      <c r="BD1366" s="16"/>
      <c r="BE1366" s="16"/>
      <c r="BF1366" s="16"/>
      <c r="BG1366" s="77"/>
      <c r="BH1366" s="16"/>
      <c r="BI1366" s="16"/>
      <c r="BJ1366" s="16"/>
      <c r="BK1366" s="16"/>
      <c r="BL1366" s="16"/>
      <c r="BM1366" s="16"/>
      <c r="BN1366" s="126"/>
      <c r="BO1366" s="16"/>
      <c r="BP1366" s="16"/>
      <c r="BQ1366" s="16"/>
      <c r="BR1366" s="16"/>
      <c r="BS1366" s="16"/>
      <c r="BT1366" s="78"/>
      <c r="BU1366" s="18"/>
      <c r="BV1366" s="18"/>
      <c r="BW1366" s="25"/>
      <c r="BX1366" s="18"/>
      <c r="BY1366" s="18"/>
      <c r="BZ1366" s="25"/>
      <c r="CA1366" s="18"/>
      <c r="CB1366" s="18"/>
      <c r="CC1366" s="25"/>
      <c r="CD1366" s="78"/>
      <c r="CE1366" s="18"/>
      <c r="CF1366" s="25"/>
      <c r="CG1366" s="18"/>
      <c r="CH1366" s="18"/>
      <c r="CI1366" s="18"/>
      <c r="CJ1366" s="18"/>
      <c r="CK1366" s="18"/>
      <c r="CL1366" s="25"/>
      <c r="CM1366" s="16"/>
      <c r="CN1366" s="16"/>
      <c r="CO1366" s="16"/>
      <c r="CP1366" s="16"/>
      <c r="CQ1366" s="16"/>
      <c r="CR1366" s="16"/>
      <c r="CS1366" s="16"/>
      <c r="CT1366" s="16"/>
      <c r="CU1366" s="16"/>
      <c r="CV1366" s="16"/>
      <c r="CW1366" s="16"/>
      <c r="CX1366" s="16"/>
      <c r="CY1366" s="16"/>
      <c r="CZ1366" s="16"/>
      <c r="DA1366" s="16"/>
      <c r="DB1366" s="16"/>
      <c r="DC1366" s="16"/>
      <c r="DD1366" s="16"/>
      <c r="DE1366" s="16"/>
      <c r="DF1366" s="16" t="e">
        <f>VLOOKUP(K1366,'[3]RNA Seq summary tables'!$V$3:$V$99,1,FALSE)</f>
        <v>#N/A</v>
      </c>
      <c r="DG1366" s="126" t="s">
        <v>123</v>
      </c>
      <c r="DH1366" s="16"/>
      <c r="DI1366" s="16"/>
      <c r="DJ1366" s="16"/>
      <c r="DK1366" s="16"/>
      <c r="DL1366" s="16"/>
      <c r="DM1366" s="16"/>
      <c r="DN1366" s="16"/>
      <c r="DO1366" s="16"/>
      <c r="DP1366" s="16"/>
      <c r="DQ1366" s="16"/>
      <c r="DR1366" s="16"/>
      <c r="DS1366" s="16"/>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18"/>
      <c r="EQ1366" s="18"/>
      <c r="ER1366" s="18"/>
      <c r="ES1366" s="18"/>
      <c r="ET1366" s="18"/>
      <c r="EU1366" s="18"/>
      <c r="EV1366" s="18"/>
      <c r="EW1366" s="18"/>
      <c r="EX1366" s="18"/>
      <c r="EY1366" s="18"/>
      <c r="EZ1366" s="18"/>
      <c r="FA1366" s="18"/>
      <c r="FB1366" s="18"/>
      <c r="FC1366" s="18"/>
      <c r="FD1366" s="18"/>
      <c r="FE1366" s="18"/>
      <c r="FF1366" s="18"/>
      <c r="FG1366" s="18"/>
      <c r="FH1366" s="18"/>
      <c r="FI1366" s="18"/>
      <c r="FJ1366" s="18"/>
      <c r="FK1366" s="18"/>
      <c r="FL1366" s="18"/>
      <c r="FM1366" s="18"/>
      <c r="FN1366" s="18"/>
      <c r="FO1366" s="18"/>
      <c r="FP1366" s="18"/>
      <c r="FQ1366" s="18"/>
      <c r="FR1366" s="18"/>
      <c r="FS1366" s="18"/>
      <c r="FT1366" s="18"/>
      <c r="FU1366" s="18"/>
      <c r="FV1366" s="18"/>
      <c r="FW1366" s="18"/>
      <c r="FX1366" s="18"/>
      <c r="FY1366" s="18"/>
      <c r="FZ1366" s="18"/>
      <c r="GA1366" s="18"/>
      <c r="GB1366" s="18"/>
      <c r="GC1366" s="18"/>
      <c r="GD1366" s="18"/>
      <c r="GE1366" s="18"/>
      <c r="GF1366" s="18"/>
      <c r="GG1366" s="18"/>
      <c r="GH1366" s="18"/>
      <c r="GI1366" s="18"/>
      <c r="GJ1366" s="18"/>
      <c r="GK1366" s="18"/>
      <c r="GL1366" s="18"/>
      <c r="GM1366" s="18"/>
      <c r="GN1366" s="18"/>
      <c r="GO1366" s="18"/>
      <c r="GP1366" s="18"/>
      <c r="GQ1366" s="18"/>
      <c r="GR1366" s="18"/>
      <c r="GS1366" s="18"/>
      <c r="GT1366" s="18"/>
      <c r="GU1366" s="18"/>
      <c r="GV1366" s="18"/>
      <c r="GW1366" s="18"/>
      <c r="GX1366" s="18"/>
      <c r="GY1366" s="18"/>
      <c r="GZ1366" s="18"/>
      <c r="HA1366" s="18"/>
      <c r="HB1366" s="18"/>
      <c r="HC1366" s="18"/>
      <c r="HD1366" s="18"/>
      <c r="HE1366" s="18"/>
      <c r="HF1366" s="18"/>
      <c r="HG1366" s="18"/>
      <c r="HH1366" s="18"/>
      <c r="HI1366" s="18"/>
      <c r="HJ1366" s="18"/>
      <c r="HK1366" s="18"/>
      <c r="HL1366" s="18"/>
      <c r="HM1366" s="18"/>
      <c r="HN1366" s="18"/>
      <c r="HO1366" s="18"/>
      <c r="HP1366" s="18"/>
      <c r="HQ1366" s="18"/>
      <c r="HR1366" s="18"/>
      <c r="HS1366" s="18"/>
      <c r="HT1366" s="18"/>
      <c r="HU1366" s="18"/>
      <c r="HV1366" s="18"/>
      <c r="HW1366" s="18"/>
      <c r="HX1366" s="18"/>
      <c r="HY1366" s="18"/>
      <c r="HZ1366" s="18"/>
      <c r="IA1366" s="18"/>
      <c r="IB1366" s="18"/>
      <c r="IC1366" s="18"/>
      <c r="ID1366" s="18"/>
      <c r="IE1366" s="18"/>
      <c r="IF1366" s="18"/>
      <c r="IG1366" s="18"/>
      <c r="IH1366" s="18"/>
      <c r="II1366" s="18"/>
      <c r="IJ1366" s="18"/>
      <c r="IK1366" s="18"/>
      <c r="IL1366" s="18"/>
      <c r="IM1366" s="18"/>
      <c r="IN1366" s="18"/>
      <c r="IO1366" s="18"/>
      <c r="IP1366" s="18"/>
      <c r="IQ1366" s="18"/>
      <c r="IR1366" s="18"/>
      <c r="IS1366" s="18"/>
      <c r="IT1366" s="18"/>
      <c r="IU1366" s="18"/>
      <c r="IV1366" s="18"/>
      <c r="IW1366" s="18"/>
      <c r="IX1366" s="18"/>
      <c r="IY1366" s="18"/>
      <c r="IZ1366" s="18"/>
      <c r="JA1366" s="18"/>
      <c r="JB1366" s="18"/>
      <c r="JC1366" s="18"/>
      <c r="JD1366" s="18"/>
      <c r="JE1366" s="18"/>
      <c r="JF1366" s="18"/>
      <c r="JG1366" s="18"/>
      <c r="JH1366" s="18"/>
      <c r="JI1366" s="18"/>
      <c r="JJ1366" s="18"/>
      <c r="JK1366" s="18"/>
      <c r="JL1366" s="18"/>
      <c r="JM1366" s="18"/>
      <c r="JN1366" s="18"/>
      <c r="JO1366" s="16"/>
      <c r="JP1366" s="16"/>
      <c r="JQ1366" s="16"/>
      <c r="JR1366" s="16"/>
      <c r="JS1366" s="16"/>
      <c r="JT1366" s="16"/>
      <c r="JU1366" s="16"/>
      <c r="JV1366" s="16"/>
      <c r="JW1366" s="16"/>
      <c r="JX1366" s="16"/>
      <c r="JY1366" s="16"/>
      <c r="JZ1366" s="16"/>
      <c r="KA1366" s="16"/>
      <c r="KB1366" s="16"/>
    </row>
    <row r="1367" spans="1:288" ht="16" x14ac:dyDescent="0.2">
      <c r="B1367" s="16">
        <v>2018</v>
      </c>
      <c r="C1367" s="124">
        <v>43269</v>
      </c>
      <c r="D1367" t="s">
        <v>828</v>
      </c>
      <c r="E1367" s="37" t="str">
        <f>CONCATENATE(T1367,"-",U1367,"-",C1367)</f>
        <v>SP1-H3-43269</v>
      </c>
      <c r="F1367" s="16" t="s">
        <v>227</v>
      </c>
      <c r="G1367" s="126" t="s">
        <v>107</v>
      </c>
      <c r="H1367" s="126"/>
      <c r="J1367" s="126">
        <v>1495</v>
      </c>
      <c r="K1367" s="126">
        <v>2466</v>
      </c>
      <c r="O1367" s="15" t="s">
        <v>214</v>
      </c>
      <c r="Q1367" s="16">
        <f t="shared" si="8"/>
        <v>0</v>
      </c>
      <c r="R1367" s="16" t="str">
        <f t="shared" si="9"/>
        <v/>
      </c>
      <c r="T1367" s="126" t="s">
        <v>140</v>
      </c>
      <c r="U1367" s="126" t="s">
        <v>174</v>
      </c>
      <c r="V1367" s="126" t="s">
        <v>114</v>
      </c>
      <c r="X1367" s="126" t="s">
        <v>115</v>
      </c>
      <c r="Y1367" s="126" t="s">
        <v>110</v>
      </c>
      <c r="Z1367" s="126">
        <v>3</v>
      </c>
      <c r="AA1367" s="126"/>
      <c r="AB1367" s="126"/>
      <c r="AC1367" s="126"/>
      <c r="AD1367" s="126"/>
      <c r="AE1367" s="126" t="s">
        <v>123</v>
      </c>
      <c r="AG1367" s="16">
        <f>AH1367-AI1367</f>
        <v>89</v>
      </c>
      <c r="AH1367" s="126">
        <v>158</v>
      </c>
      <c r="AI1367" s="126">
        <v>69</v>
      </c>
      <c r="AK1367" s="126">
        <v>19</v>
      </c>
      <c r="AL1367" s="126">
        <v>1</v>
      </c>
      <c r="AM1367" s="126">
        <v>0</v>
      </c>
      <c r="AN1367" s="126">
        <v>0</v>
      </c>
      <c r="AO1367" s="16">
        <f>IF(SUM(AL1367:AN1367)&gt;0,1,0)</f>
        <v>1</v>
      </c>
      <c r="AP1367" s="18">
        <f>SUM(AL1367:AN1367)</f>
        <v>1</v>
      </c>
      <c r="AR1367" s="16">
        <v>4.7000000000000153E-2</v>
      </c>
      <c r="AS1367" s="16">
        <f>VLOOKUP(E1367,'[1]Feces weights'!$D$1:$H$459,5,FALSE)</f>
        <v>4.7000000000000153E-2</v>
      </c>
      <c r="AT1367" s="16" t="str">
        <f>VLOOKUP(E1367,[2]Current!$A$1:$W$435,7,FALSE)</f>
        <v>JB</v>
      </c>
      <c r="AU1367" s="16" t="s">
        <v>1288</v>
      </c>
      <c r="AW1367" s="128">
        <f>IF(AX1367&gt;0,1,0)</f>
        <v>1</v>
      </c>
      <c r="AX1367" s="128">
        <f>SUM(BA1367,BM1367,CU1367)</f>
        <v>118</v>
      </c>
      <c r="AY1367" s="128">
        <f>SUM(BB1367,BN1367,CV1367)</f>
        <v>2510.6382978723323</v>
      </c>
      <c r="AZ1367" s="128">
        <f>IF(BA1367&gt;0,1,0)</f>
        <v>0</v>
      </c>
      <c r="BA1367" s="128">
        <f>SUM(BC1367+BF1367+BI1367)</f>
        <v>0</v>
      </c>
      <c r="BB1367" s="128">
        <f>SUM(BE1367,BH1367,BK1367)</f>
        <v>0</v>
      </c>
      <c r="BC1367" s="130">
        <f>IF(BD1367&gt;0,1,0)</f>
        <v>0</v>
      </c>
      <c r="BD1367" s="128">
        <f>VLOOKUP($E1367,[2]Current!$A:$AC,26,FALSE)</f>
        <v>0</v>
      </c>
      <c r="BE1367" s="128">
        <f>BD1367/$AS1367</f>
        <v>0</v>
      </c>
      <c r="BF1367" s="130">
        <f>IF(BG1367&gt;0,1,0)</f>
        <v>0</v>
      </c>
      <c r="BG1367" s="137">
        <f>VLOOKUP($E1367,[2]Current!$A:$AC,27,FALSE)</f>
        <v>0</v>
      </c>
      <c r="BH1367" s="128">
        <f>BG1367/$AS1367</f>
        <v>0</v>
      </c>
      <c r="BI1367" s="130">
        <f>IF(BJ1367&gt;0,1,0)</f>
        <v>0</v>
      </c>
      <c r="BJ1367" s="128">
        <f>VLOOKUP($E1367,[2]Current!$A:$AC,28,FALSE)</f>
        <v>0</v>
      </c>
      <c r="BK1367" s="128">
        <f>BJ1367/$AS1367</f>
        <v>0</v>
      </c>
      <c r="BL1367" s="128">
        <f>IF(BM1367&gt;0,1,0)</f>
        <v>0</v>
      </c>
      <c r="BM1367" s="128">
        <f>SUM(BR1367,BU1367,BX1367,CA1367,CD1367)</f>
        <v>0</v>
      </c>
      <c r="BN1367" s="131">
        <f>SUM(BT1367,BW1367,BZ1367,CC1367,CF1367)</f>
        <v>0</v>
      </c>
      <c r="BO1367" s="128">
        <f>IF(BP1367&gt;0,1,0)</f>
        <v>0</v>
      </c>
      <c r="BP1367" s="128">
        <f>BM1367+CJ1367</f>
        <v>0</v>
      </c>
      <c r="BQ1367" s="128">
        <f>BN1367+CL1367</f>
        <v>0</v>
      </c>
      <c r="BR1367" s="130">
        <f>IF(BS1367&gt;0,1,0)</f>
        <v>0</v>
      </c>
      <c r="BS1367" s="128">
        <f>VLOOKUP($E1367,[2]Current!$A:$AC,12,FALSE)</f>
        <v>0</v>
      </c>
      <c r="BT1367" s="137">
        <f>BS1367/$AS1367</f>
        <v>0</v>
      </c>
      <c r="BU1367" s="130">
        <f>IF(BV1367&gt;0,1,0)</f>
        <v>0</v>
      </c>
      <c r="BV1367" s="128">
        <f>VLOOKUP($E1367,[2]Current!$A:$AC,13,FALSE)</f>
        <v>0</v>
      </c>
      <c r="BW1367" s="128">
        <f>BV1367/$AS1367</f>
        <v>0</v>
      </c>
      <c r="BX1367" s="130">
        <f>IF(BY1367&gt;0,1,0)</f>
        <v>0</v>
      </c>
      <c r="BY1367" s="128">
        <f>VLOOKUP($E1367,[2]Current!$A:$AC,14,FALSE)</f>
        <v>0</v>
      </c>
      <c r="BZ1367" s="128">
        <f>BY1367/$AS1367</f>
        <v>0</v>
      </c>
      <c r="CA1367" s="130">
        <f>IF(CB1367&gt;0,1,0)</f>
        <v>0</v>
      </c>
      <c r="CB1367" s="128">
        <f>VLOOKUP($E1367,[2]Current!$A:$AC,15,FALSE)</f>
        <v>0</v>
      </c>
      <c r="CC1367" s="128">
        <f>CB1367/$AS1367</f>
        <v>0</v>
      </c>
      <c r="CD1367" s="174">
        <f>IF(CE1367&gt;0,1,0)</f>
        <v>0</v>
      </c>
      <c r="CE1367" s="128">
        <f>VLOOKUP($E1367,[2]Current!$A:$AC,16,FALSE)</f>
        <v>0</v>
      </c>
      <c r="CF1367" s="128">
        <f>CE1367/$AS1367</f>
        <v>0</v>
      </c>
      <c r="CG1367" s="18"/>
      <c r="CH1367" s="18"/>
      <c r="CI1367" s="18"/>
      <c r="CJ1367" s="130">
        <f>IF(CK1367&gt;0,1,0)</f>
        <v>0</v>
      </c>
      <c r="CK1367" s="128">
        <f>VLOOKUP($E1367,[2]Current!$A:$AC,18,FALSE)</f>
        <v>0</v>
      </c>
      <c r="CL1367" s="128">
        <f>CK1367/$AS1367</f>
        <v>0</v>
      </c>
      <c r="CS1367" s="130">
        <f>IF(CU1367&gt;0,1,0)</f>
        <v>1</v>
      </c>
      <c r="CU1367" s="128">
        <f>VLOOKUP($E1367,[2]Current!$A:$AC,17,FALSE)</f>
        <v>118</v>
      </c>
      <c r="CV1367" s="128">
        <f>CU1367/$AS1367</f>
        <v>2510.6382978723323</v>
      </c>
      <c r="CW1367" s="18"/>
      <c r="CX1367" s="18"/>
      <c r="CY1367" s="18"/>
      <c r="DF1367" s="16" t="e">
        <f>VLOOKUP(K1367,'[3]RNA Seq summary tables'!$V$3:$V$99,1,FALSE)</f>
        <v>#N/A</v>
      </c>
      <c r="DG1367" s="126" t="s">
        <v>116</v>
      </c>
    </row>
    <row r="1368" spans="1:288" ht="16" x14ac:dyDescent="0.2">
      <c r="B1368" s="16">
        <v>2018</v>
      </c>
      <c r="C1368" s="124">
        <v>43269</v>
      </c>
      <c r="D1368" t="s">
        <v>825</v>
      </c>
      <c r="E1368" s="37" t="str">
        <f>CONCATENATE(T1368,"-",U1368,"-",C1368)</f>
        <v>SP1-G8-43269</v>
      </c>
      <c r="F1368" s="16" t="s">
        <v>227</v>
      </c>
      <c r="G1368" s="126" t="s">
        <v>107</v>
      </c>
      <c r="H1368" s="126" t="s">
        <v>1108</v>
      </c>
      <c r="J1368" s="126">
        <v>1497</v>
      </c>
      <c r="K1368" s="126">
        <v>2469</v>
      </c>
      <c r="O1368" s="15" t="s">
        <v>214</v>
      </c>
      <c r="Q1368" s="16">
        <f t="shared" si="8"/>
        <v>0</v>
      </c>
      <c r="R1368" s="16" t="str">
        <f t="shared" si="9"/>
        <v/>
      </c>
      <c r="T1368" s="126" t="s">
        <v>140</v>
      </c>
      <c r="U1368" s="126" t="s">
        <v>216</v>
      </c>
      <c r="V1368" s="126" t="s">
        <v>114</v>
      </c>
      <c r="X1368" s="126" t="s">
        <v>121</v>
      </c>
      <c r="Y1368" s="126" t="s">
        <v>110</v>
      </c>
      <c r="Z1368" s="126">
        <v>3</v>
      </c>
      <c r="AA1368" s="126" t="s">
        <v>161</v>
      </c>
      <c r="AB1368" s="126" t="s">
        <v>116</v>
      </c>
      <c r="AC1368" s="126" t="s">
        <v>116</v>
      </c>
      <c r="AD1368" s="126"/>
      <c r="AE1368" s="126"/>
      <c r="AG1368" s="16">
        <f>AH1368-AI1368</f>
        <v>97</v>
      </c>
      <c r="AH1368" s="126">
        <v>176</v>
      </c>
      <c r="AI1368" s="126">
        <v>79</v>
      </c>
      <c r="AK1368" s="126">
        <v>29</v>
      </c>
      <c r="AL1368" s="126">
        <v>0</v>
      </c>
      <c r="AM1368" s="126">
        <v>0</v>
      </c>
      <c r="AN1368" s="126">
        <v>0</v>
      </c>
      <c r="AO1368" s="16">
        <f>IF(SUM(AL1368:AN1368)&gt;0,1,0)</f>
        <v>0</v>
      </c>
      <c r="AP1368" s="18">
        <f>SUM(AL1368:AN1368)</f>
        <v>0</v>
      </c>
      <c r="AR1368" s="16">
        <v>2.200000000000002E-2</v>
      </c>
      <c r="AS1368" s="16">
        <f>VLOOKUP(E1368,'[1]Feces weights'!$D$1:$H$459,5,FALSE)</f>
        <v>2.200000000000002E-2</v>
      </c>
      <c r="AT1368" s="16" t="str">
        <f>VLOOKUP(E1368,[2]Current!$A$1:$W$435,7,FALSE)</f>
        <v>LV</v>
      </c>
      <c r="AU1368" s="16" t="s">
        <v>1288</v>
      </c>
      <c r="AW1368" s="128">
        <f>IF(AX1368&gt;0,1,0)</f>
        <v>1</v>
      </c>
      <c r="AX1368" s="128">
        <f>SUM(BA1368,BM1368,CU1368)</f>
        <v>3</v>
      </c>
      <c r="AY1368" s="128">
        <f>SUM(BB1368,BN1368,CV1368)</f>
        <v>1818.1818181818167</v>
      </c>
      <c r="AZ1368" s="128">
        <f>IF(BA1368&gt;0,1,0)</f>
        <v>1</v>
      </c>
      <c r="BA1368" s="128">
        <f>SUM(BC1368+BF1368+BI1368)</f>
        <v>2</v>
      </c>
      <c r="BB1368" s="128">
        <f>SUM(BE1368,BH1368,BK1368)</f>
        <v>181.81818181818164</v>
      </c>
      <c r="BC1368" s="130">
        <f>IF(BD1368&gt;0,1,0)</f>
        <v>1</v>
      </c>
      <c r="BD1368" s="128">
        <f>VLOOKUP($E1368,[2]Current!$A:$AC,26,FALSE)</f>
        <v>2</v>
      </c>
      <c r="BE1368" s="128">
        <f>BD1368/$AS1368</f>
        <v>90.909090909090821</v>
      </c>
      <c r="BF1368" s="130">
        <f>IF(BG1368&gt;0,1,0)</f>
        <v>1</v>
      </c>
      <c r="BG1368" s="137">
        <f>VLOOKUP($E1368,[2]Current!$A:$AC,27,FALSE)</f>
        <v>2</v>
      </c>
      <c r="BH1368" s="128">
        <f>BG1368/$AS1368</f>
        <v>90.909090909090821</v>
      </c>
      <c r="BI1368" s="130">
        <f>IF(BJ1368&gt;0,1,0)</f>
        <v>0</v>
      </c>
      <c r="BJ1368" s="128">
        <f>VLOOKUP($E1368,[2]Current!$A:$AC,28,FALSE)</f>
        <v>0</v>
      </c>
      <c r="BK1368" s="128">
        <f>BJ1368/$AS1368</f>
        <v>0</v>
      </c>
      <c r="BL1368" s="128">
        <f>IF(BM1368&gt;0,1,0)</f>
        <v>1</v>
      </c>
      <c r="BM1368" s="128">
        <f>SUM(BR1368,BU1368,BX1368,CA1368,CD1368)</f>
        <v>1</v>
      </c>
      <c r="BN1368" s="131">
        <f>SUM(BT1368,BW1368,BZ1368,CC1368,CF1368)</f>
        <v>1636.3636363636349</v>
      </c>
      <c r="BO1368" s="128">
        <f>IF(BP1368&gt;0,1,0)</f>
        <v>1</v>
      </c>
      <c r="BP1368" s="128">
        <f>BM1368+CJ1368</f>
        <v>1</v>
      </c>
      <c r="BQ1368" s="128">
        <f>BN1368+CL1368</f>
        <v>1636.3636363636349</v>
      </c>
      <c r="BR1368" s="130">
        <f>IF(BS1368&gt;0,1,0)</f>
        <v>0</v>
      </c>
      <c r="BS1368" s="128">
        <f>VLOOKUP($E1368,[2]Current!$A:$AC,12,FALSE)</f>
        <v>0</v>
      </c>
      <c r="BT1368" s="137">
        <f>BS1368/$AS1368</f>
        <v>0</v>
      </c>
      <c r="BU1368" s="130">
        <f>IF(BV1368&gt;0,1,0)</f>
        <v>0</v>
      </c>
      <c r="BV1368" s="128">
        <f>VLOOKUP($E1368,[2]Current!$A:$AC,13,FALSE)</f>
        <v>0</v>
      </c>
      <c r="BW1368" s="128">
        <f>BV1368/$AS1368</f>
        <v>0</v>
      </c>
      <c r="BX1368" s="130">
        <f>IF(BY1368&gt;0,1,0)</f>
        <v>1</v>
      </c>
      <c r="BY1368" s="128">
        <f>VLOOKUP($E1368,[2]Current!$A:$AC,14,FALSE)</f>
        <v>36</v>
      </c>
      <c r="BZ1368" s="128">
        <f>BY1368/$AS1368</f>
        <v>1636.3636363636349</v>
      </c>
      <c r="CA1368" s="130">
        <f>IF(CB1368&gt;0,1,0)</f>
        <v>0</v>
      </c>
      <c r="CB1368" s="128">
        <f>VLOOKUP($E1368,[2]Current!$A:$AC,15,FALSE)</f>
        <v>0</v>
      </c>
      <c r="CC1368" s="128">
        <f>CB1368/$AS1368</f>
        <v>0</v>
      </c>
      <c r="CD1368" s="174">
        <f>IF(CE1368&gt;0,1,0)</f>
        <v>0</v>
      </c>
      <c r="CE1368" s="128">
        <f>VLOOKUP($E1368,[2]Current!$A:$AC,16,FALSE)</f>
        <v>0</v>
      </c>
      <c r="CF1368" s="128">
        <f>CE1368/$AS1368</f>
        <v>0</v>
      </c>
      <c r="CG1368" s="18"/>
      <c r="CH1368" s="18"/>
      <c r="CI1368" s="18"/>
      <c r="CJ1368" s="130">
        <f>IF(CK1368&gt;0,1,0)</f>
        <v>0</v>
      </c>
      <c r="CK1368" s="128">
        <f>VLOOKUP($E1368,[2]Current!$A:$AC,18,FALSE)</f>
        <v>0</v>
      </c>
      <c r="CL1368" s="128">
        <f>CK1368/$AS1368</f>
        <v>0</v>
      </c>
      <c r="CS1368" s="130">
        <f>IF(CU1368&gt;0,1,0)</f>
        <v>0</v>
      </c>
      <c r="CT1368" s="18"/>
      <c r="CU1368" s="128">
        <f>VLOOKUP($E1368,[2]Current!$A:$AC,17,FALSE)</f>
        <v>0</v>
      </c>
      <c r="CV1368" s="128">
        <f>CU1368/$AS1368</f>
        <v>0</v>
      </c>
      <c r="CW1368" s="18"/>
      <c r="CX1368" s="18"/>
      <c r="CY1368" s="18"/>
      <c r="DF1368" s="16" t="e">
        <f>VLOOKUP(K1368,'[3]RNA Seq summary tables'!$V$3:$V$99,1,FALSE)</f>
        <v>#N/A</v>
      </c>
      <c r="DG1368" s="126" t="s">
        <v>116</v>
      </c>
      <c r="JR1368" s="18"/>
      <c r="JS1368" s="18"/>
      <c r="JT1368" s="18"/>
      <c r="JU1368" s="18"/>
      <c r="JV1368" s="18"/>
      <c r="JW1368" s="18"/>
      <c r="JX1368" s="18"/>
      <c r="JY1368" s="18"/>
      <c r="JZ1368" s="18"/>
      <c r="KA1368" s="18"/>
      <c r="KB1368" s="18"/>
    </row>
    <row r="1369" spans="1:288" ht="16" x14ac:dyDescent="0.2">
      <c r="B1369" s="16">
        <v>2018</v>
      </c>
      <c r="C1369" s="124">
        <v>43270</v>
      </c>
      <c r="D1369" t="s">
        <v>837</v>
      </c>
      <c r="E1369" s="37" t="str">
        <f>CONCATENATE(T1369,"-",U1369,"-",C1369)</f>
        <v>SP2-G1-43270</v>
      </c>
      <c r="F1369" s="16" t="s">
        <v>227</v>
      </c>
      <c r="G1369" s="126" t="s">
        <v>107</v>
      </c>
      <c r="H1369" s="126"/>
      <c r="J1369" s="126">
        <v>1500</v>
      </c>
      <c r="K1369" s="126">
        <v>2474</v>
      </c>
      <c r="O1369" s="15" t="s">
        <v>214</v>
      </c>
      <c r="Q1369" s="16">
        <f t="shared" si="8"/>
        <v>0</v>
      </c>
      <c r="R1369" s="16" t="str">
        <f t="shared" si="9"/>
        <v/>
      </c>
      <c r="T1369" s="126" t="s">
        <v>137</v>
      </c>
      <c r="U1369" s="126" t="s">
        <v>155</v>
      </c>
      <c r="V1369" s="126" t="s">
        <v>114</v>
      </c>
      <c r="X1369" s="126" t="s">
        <v>121</v>
      </c>
      <c r="Y1369" s="126" t="s">
        <v>145</v>
      </c>
      <c r="Z1369" s="126">
        <v>1</v>
      </c>
      <c r="AA1369" s="126"/>
      <c r="AB1369" s="126"/>
      <c r="AC1369" s="126"/>
      <c r="AD1369" s="126"/>
      <c r="AE1369" s="126" t="s">
        <v>123</v>
      </c>
      <c r="AG1369" s="16">
        <f>AH1369-AI1369</f>
        <v>79</v>
      </c>
      <c r="AH1369" s="126">
        <v>144</v>
      </c>
      <c r="AI1369" s="126">
        <v>65</v>
      </c>
      <c r="AK1369" s="126">
        <v>13</v>
      </c>
      <c r="AL1369" s="126">
        <v>0</v>
      </c>
      <c r="AM1369" s="126">
        <v>0</v>
      </c>
      <c r="AN1369" s="126">
        <v>0</v>
      </c>
      <c r="AO1369" s="16">
        <f>IF(SUM(AL1369:AN1369)&gt;0,1,0)</f>
        <v>0</v>
      </c>
      <c r="AP1369" s="18">
        <f>SUM(AL1369:AN1369)</f>
        <v>0</v>
      </c>
      <c r="AR1369" s="16">
        <v>0.18000000000000016</v>
      </c>
      <c r="AS1369" s="16">
        <f>VLOOKUP(E1369,'[1]Feces weights'!$D$1:$H$459,5,FALSE)</f>
        <v>0.18000000000000016</v>
      </c>
      <c r="AT1369" s="16" t="str">
        <f>VLOOKUP(E1369,[2]Current!$A$1:$W$435,7,FALSE)</f>
        <v>DP</v>
      </c>
      <c r="AU1369" s="16" t="s">
        <v>1288</v>
      </c>
      <c r="AW1369" s="128">
        <f>IF(AX1369&gt;0,1,0)</f>
        <v>1</v>
      </c>
      <c r="AX1369" s="128">
        <f>SUM(BA1369,BM1369,CU1369)</f>
        <v>2</v>
      </c>
      <c r="AY1369" s="128">
        <f>SUM(BB1369,BN1369,CV1369)</f>
        <v>2322.2222222222199</v>
      </c>
      <c r="AZ1369" s="128">
        <f>IF(BA1369&gt;0,1,0)</f>
        <v>1</v>
      </c>
      <c r="BA1369" s="128">
        <f>SUM(BC1369+BF1369+BI1369)</f>
        <v>2</v>
      </c>
      <c r="BB1369" s="128">
        <f>SUM(BE1369,BH1369,BK1369)</f>
        <v>2322.2222222222199</v>
      </c>
      <c r="BC1369" s="130">
        <f>IF(BD1369&gt;0,1,0)</f>
        <v>1</v>
      </c>
      <c r="BD1369" s="128">
        <f>VLOOKUP($E1369,[2]Current!$A:$AC,26,FALSE)</f>
        <v>28</v>
      </c>
      <c r="BE1369" s="128">
        <f>BD1369/$AS1369</f>
        <v>155.55555555555543</v>
      </c>
      <c r="BF1369" s="130">
        <f>IF(BG1369&gt;0,1,0)</f>
        <v>1</v>
      </c>
      <c r="BG1369" s="137">
        <f>VLOOKUP($E1369,[2]Current!$A:$AC,27,FALSE)</f>
        <v>390</v>
      </c>
      <c r="BH1369" s="128">
        <f>BG1369/$AS1369</f>
        <v>2166.6666666666647</v>
      </c>
      <c r="BI1369" s="130">
        <f>IF(BJ1369&gt;0,1,0)</f>
        <v>0</v>
      </c>
      <c r="BJ1369" s="128">
        <f>VLOOKUP($E1369,[2]Current!$A:$AC,28,FALSE)</f>
        <v>0</v>
      </c>
      <c r="BK1369" s="128">
        <f>BJ1369/$AS1369</f>
        <v>0</v>
      </c>
      <c r="BL1369" s="128">
        <f>IF(BM1369&gt;0,1,0)</f>
        <v>0</v>
      </c>
      <c r="BM1369" s="128">
        <f>SUM(BR1369,BU1369,BX1369,CA1369,CD1369)</f>
        <v>0</v>
      </c>
      <c r="BN1369" s="131">
        <f>SUM(BT1369,BW1369,BZ1369,CC1369,CF1369)</f>
        <v>0</v>
      </c>
      <c r="BO1369" s="128">
        <f>IF(BP1369&gt;0,1,0)</f>
        <v>0</v>
      </c>
      <c r="BP1369" s="128">
        <f>BM1369+CJ1369</f>
        <v>0</v>
      </c>
      <c r="BQ1369" s="128">
        <f>BN1369+CL1369</f>
        <v>0</v>
      </c>
      <c r="BR1369" s="130">
        <f>IF(BS1369&gt;0,1,0)</f>
        <v>0</v>
      </c>
      <c r="BS1369" s="128">
        <f>VLOOKUP($E1369,[2]Current!$A:$AC,12,FALSE)</f>
        <v>0</v>
      </c>
      <c r="BT1369" s="137">
        <f>BS1369/$AS1369</f>
        <v>0</v>
      </c>
      <c r="BU1369" s="130">
        <f>IF(BV1369&gt;0,1,0)</f>
        <v>0</v>
      </c>
      <c r="BV1369" s="128">
        <f>VLOOKUP($E1369,[2]Current!$A:$AC,13,FALSE)</f>
        <v>0</v>
      </c>
      <c r="BW1369" s="128">
        <f>BV1369/$AS1369</f>
        <v>0</v>
      </c>
      <c r="BX1369" s="130">
        <f>IF(BY1369&gt;0,1,0)</f>
        <v>0</v>
      </c>
      <c r="BY1369" s="128">
        <f>VLOOKUP($E1369,[2]Current!$A:$AC,14,FALSE)</f>
        <v>0</v>
      </c>
      <c r="BZ1369" s="128">
        <f>BY1369/$AS1369</f>
        <v>0</v>
      </c>
      <c r="CA1369" s="130">
        <f>IF(CB1369&gt;0,1,0)</f>
        <v>0</v>
      </c>
      <c r="CB1369" s="128">
        <f>VLOOKUP($E1369,[2]Current!$A:$AC,15,FALSE)</f>
        <v>0</v>
      </c>
      <c r="CC1369" s="128">
        <f>CB1369/$AS1369</f>
        <v>0</v>
      </c>
      <c r="CD1369" s="174">
        <f>IF(CE1369&gt;0,1,0)</f>
        <v>0</v>
      </c>
      <c r="CE1369" s="128">
        <f>VLOOKUP($E1369,[2]Current!$A:$AC,16,FALSE)</f>
        <v>0</v>
      </c>
      <c r="CF1369" s="128">
        <f>CE1369/$AS1369</f>
        <v>0</v>
      </c>
      <c r="CG1369" s="18"/>
      <c r="CH1369" s="18"/>
      <c r="CI1369" s="18"/>
      <c r="CJ1369" s="130">
        <f>IF(CK1369&gt;0,1,0)</f>
        <v>0</v>
      </c>
      <c r="CK1369" s="128">
        <f>VLOOKUP($E1369,[2]Current!$A:$AC,18,FALSE)</f>
        <v>0</v>
      </c>
      <c r="CL1369" s="128">
        <f>CK1369/$AS1369</f>
        <v>0</v>
      </c>
      <c r="CS1369" s="130">
        <f>IF(CU1369&gt;0,1,0)</f>
        <v>0</v>
      </c>
      <c r="CU1369" s="128">
        <f>VLOOKUP($E1369,[2]Current!$A:$AC,17,FALSE)</f>
        <v>0</v>
      </c>
      <c r="CV1369" s="128">
        <f>CU1369/$AS1369</f>
        <v>0</v>
      </c>
      <c r="CW1369" s="18"/>
      <c r="CX1369" s="18"/>
      <c r="CY1369" s="18"/>
      <c r="DF1369" s="16" t="e">
        <f>VLOOKUP(K1369,'[3]RNA Seq summary tables'!$V$3:$V$99,1,FALSE)</f>
        <v>#N/A</v>
      </c>
      <c r="DG1369" s="126"/>
    </row>
    <row r="1370" spans="1:288" ht="16" x14ac:dyDescent="0.2">
      <c r="B1370" s="16">
        <v>2018</v>
      </c>
      <c r="C1370" s="124">
        <v>43286</v>
      </c>
      <c r="D1370" t="s">
        <v>911</v>
      </c>
      <c r="E1370" s="37" t="str">
        <f>CONCATENATE(T1370,"-",U1370,"-",C1370)</f>
        <v>SP2-A2-43286</v>
      </c>
      <c r="F1370" s="16" t="s">
        <v>227</v>
      </c>
      <c r="G1370" s="126" t="s">
        <v>107</v>
      </c>
      <c r="H1370" s="126"/>
      <c r="J1370" s="126">
        <v>1500</v>
      </c>
      <c r="K1370" s="126">
        <v>2551</v>
      </c>
      <c r="O1370" s="15" t="s">
        <v>214</v>
      </c>
      <c r="Q1370" s="16">
        <f t="shared" si="8"/>
        <v>1</v>
      </c>
      <c r="R1370" s="16">
        <f t="shared" si="9"/>
        <v>16</v>
      </c>
      <c r="T1370" s="126" t="s">
        <v>137</v>
      </c>
      <c r="U1370" s="126" t="s">
        <v>171</v>
      </c>
      <c r="V1370" s="126" t="s">
        <v>114</v>
      </c>
      <c r="X1370" s="126" t="s">
        <v>121</v>
      </c>
      <c r="Y1370" s="126" t="s">
        <v>110</v>
      </c>
      <c r="Z1370" s="126">
        <v>3</v>
      </c>
      <c r="AA1370" s="126" t="s">
        <v>119</v>
      </c>
      <c r="AB1370" s="126" t="s">
        <v>123</v>
      </c>
      <c r="AC1370" s="126" t="s">
        <v>123</v>
      </c>
      <c r="AD1370" s="126"/>
      <c r="AE1370" s="126"/>
      <c r="AG1370" s="16">
        <f>AH1370-AI1370</f>
        <v>82</v>
      </c>
      <c r="AH1370" s="126">
        <v>151</v>
      </c>
      <c r="AI1370" s="126">
        <v>69</v>
      </c>
      <c r="AK1370" s="126">
        <v>15</v>
      </c>
      <c r="AL1370" s="126">
        <v>0</v>
      </c>
      <c r="AM1370" s="126">
        <v>0</v>
      </c>
      <c r="AN1370" s="126">
        <v>0</v>
      </c>
      <c r="AO1370" s="16">
        <f>IF(SUM(AL1370:AN1370)&gt;0,1,0)</f>
        <v>0</v>
      </c>
      <c r="AP1370" s="18">
        <f>SUM(AL1370:AN1370)</f>
        <v>0</v>
      </c>
      <c r="AQ1370" s="16" t="s">
        <v>1284</v>
      </c>
      <c r="AR1370" s="16">
        <v>-2.6999999999999913E-2</v>
      </c>
      <c r="AS1370" s="152">
        <v>1E-3</v>
      </c>
      <c r="AT1370" s="16" t="str">
        <f>VLOOKUP(E1370,[2]Current!$A$1:$W$435,7,FALSE)</f>
        <v>DP</v>
      </c>
      <c r="AU1370" s="16" t="s">
        <v>1288</v>
      </c>
      <c r="AV1370" s="16">
        <v>1</v>
      </c>
      <c r="AW1370" s="128">
        <f>IF(AX1370&gt;0,1,0)</f>
        <v>0</v>
      </c>
      <c r="AX1370" s="128">
        <f>SUM(BA1370,BM1370,CU1370)</f>
        <v>0</v>
      </c>
      <c r="AY1370" s="128">
        <f>SUM(BB1370,BN1370,CV1370)</f>
        <v>0</v>
      </c>
      <c r="AZ1370" s="128">
        <f>IF(BA1370&gt;0,1,0)</f>
        <v>0</v>
      </c>
      <c r="BA1370" s="128">
        <f>SUM(BC1370+BF1370+BI1370)</f>
        <v>0</v>
      </c>
      <c r="BB1370" s="128">
        <f>SUM(BE1370,BH1370,BK1370)</f>
        <v>0</v>
      </c>
      <c r="BC1370" s="130">
        <f>IF(BD1370&gt;0,1,0)</f>
        <v>0</v>
      </c>
      <c r="BD1370" s="128">
        <f>VLOOKUP($E1370,[2]Current!$A:$AC,26,FALSE)</f>
        <v>0</v>
      </c>
      <c r="BE1370" s="128">
        <f>BD1370/$AS1370</f>
        <v>0</v>
      </c>
      <c r="BF1370" s="130">
        <f>IF(BG1370&gt;0,1,0)</f>
        <v>0</v>
      </c>
      <c r="BG1370" s="137">
        <f>VLOOKUP($E1370,[2]Current!$A:$AC,27,FALSE)</f>
        <v>0</v>
      </c>
      <c r="BH1370" s="128">
        <f>BG1370/$AS1370</f>
        <v>0</v>
      </c>
      <c r="BI1370" s="130">
        <f>IF(BJ1370&gt;0,1,0)</f>
        <v>0</v>
      </c>
      <c r="BJ1370" s="128">
        <f>VLOOKUP($E1370,[2]Current!$A:$AC,28,FALSE)</f>
        <v>0</v>
      </c>
      <c r="BK1370" s="128">
        <f>BJ1370/$AS1370</f>
        <v>0</v>
      </c>
      <c r="BL1370" s="128">
        <f>IF(BM1370&gt;0,1,0)</f>
        <v>0</v>
      </c>
      <c r="BM1370" s="128">
        <f>SUM(BR1370,BU1370,BX1370,CA1370,CD1370)</f>
        <v>0</v>
      </c>
      <c r="BN1370" s="131">
        <f>SUM(BT1370,BW1370,BZ1370,CC1370,CF1370)</f>
        <v>0</v>
      </c>
      <c r="BO1370" s="128">
        <f>IF(BP1370&gt;0,1,0)</f>
        <v>0</v>
      </c>
      <c r="BP1370" s="128">
        <f>BM1370+CJ1370</f>
        <v>0</v>
      </c>
      <c r="BQ1370" s="128">
        <f>BN1370+CL1370</f>
        <v>0</v>
      </c>
      <c r="BR1370" s="130">
        <f>IF(BS1370&gt;0,1,0)</f>
        <v>0</v>
      </c>
      <c r="BS1370" s="128">
        <f>VLOOKUP($E1370,[2]Current!$A:$AC,12,FALSE)</f>
        <v>0</v>
      </c>
      <c r="BT1370" s="137">
        <f>BS1370/$AS1370</f>
        <v>0</v>
      </c>
      <c r="BU1370" s="130">
        <f>IF(BV1370&gt;0,1,0)</f>
        <v>0</v>
      </c>
      <c r="BV1370" s="128">
        <f>VLOOKUP($E1370,[2]Current!$A:$AC,13,FALSE)</f>
        <v>0</v>
      </c>
      <c r="BW1370" s="128">
        <f>BV1370/$AS1370</f>
        <v>0</v>
      </c>
      <c r="BX1370" s="130">
        <f>IF(BY1370&gt;0,1,0)</f>
        <v>0</v>
      </c>
      <c r="BY1370" s="128">
        <f>VLOOKUP($E1370,[2]Current!$A:$AC,14,FALSE)</f>
        <v>0</v>
      </c>
      <c r="BZ1370" s="128">
        <f>BY1370/$AS1370</f>
        <v>0</v>
      </c>
      <c r="CA1370" s="130">
        <f>IF(CB1370&gt;0,1,0)</f>
        <v>0</v>
      </c>
      <c r="CB1370" s="128">
        <f>VLOOKUP($E1370,[2]Current!$A:$AC,15,FALSE)</f>
        <v>0</v>
      </c>
      <c r="CC1370" s="128">
        <f>CB1370/$AS1370</f>
        <v>0</v>
      </c>
      <c r="CD1370" s="174">
        <f>IF(CE1370&gt;0,1,0)</f>
        <v>0</v>
      </c>
      <c r="CE1370" s="128">
        <f>VLOOKUP($E1370,[2]Current!$A:$AC,16,FALSE)</f>
        <v>0</v>
      </c>
      <c r="CF1370" s="128">
        <f>CE1370/$AS1370</f>
        <v>0</v>
      </c>
      <c r="CG1370" s="18"/>
      <c r="CH1370" s="18"/>
      <c r="CI1370" s="18"/>
      <c r="CJ1370" s="130">
        <f>IF(CK1370&gt;0,1,0)</f>
        <v>0</v>
      </c>
      <c r="CK1370" s="128">
        <f>VLOOKUP($E1370,[2]Current!$A:$AC,18,FALSE)</f>
        <v>0</v>
      </c>
      <c r="CL1370" s="128">
        <f>CK1370/$AS1370</f>
        <v>0</v>
      </c>
      <c r="CS1370" s="130">
        <f>IF(CU1370&gt;0,1,0)</f>
        <v>0</v>
      </c>
      <c r="CU1370" s="128">
        <f>VLOOKUP($E1370,[2]Current!$A:$AC,17,FALSE)</f>
        <v>0</v>
      </c>
      <c r="CV1370" s="128">
        <f>CU1370/$AS1370</f>
        <v>0</v>
      </c>
      <c r="CW1370" s="18"/>
      <c r="CX1370" s="18"/>
      <c r="CY1370" s="18"/>
      <c r="DF1370" s="16" t="e">
        <f>VLOOKUP(K1370,'[3]RNA Seq summary tables'!$V$3:$V$99,1,FALSE)</f>
        <v>#N/A</v>
      </c>
      <c r="DG1370" s="126" t="s">
        <v>116</v>
      </c>
    </row>
    <row r="1371" spans="1:288" ht="16" x14ac:dyDescent="0.2">
      <c r="B1371" s="16">
        <v>2018</v>
      </c>
      <c r="C1371" s="124">
        <v>43301</v>
      </c>
      <c r="D1371" t="s">
        <v>1014</v>
      </c>
      <c r="E1371" s="37" t="str">
        <f>CONCATENATE(T1371,"-",U1371,"-",C1371)</f>
        <v>SP2-B3-43301</v>
      </c>
      <c r="F1371" s="16" t="s">
        <v>227</v>
      </c>
      <c r="G1371" s="126" t="s">
        <v>107</v>
      </c>
      <c r="H1371" s="126" t="s">
        <v>1145</v>
      </c>
      <c r="J1371" s="126">
        <v>1500</v>
      </c>
      <c r="K1371" s="126">
        <v>2648</v>
      </c>
      <c r="O1371" s="15" t="s">
        <v>214</v>
      </c>
      <c r="Q1371" s="16">
        <f t="shared" si="8"/>
        <v>1</v>
      </c>
      <c r="R1371" s="16">
        <f t="shared" si="9"/>
        <v>15</v>
      </c>
      <c r="T1371" s="126" t="s">
        <v>137</v>
      </c>
      <c r="U1371" s="126" t="s">
        <v>131</v>
      </c>
      <c r="V1371" s="126" t="s">
        <v>114</v>
      </c>
      <c r="X1371" s="126" t="s">
        <v>121</v>
      </c>
      <c r="Y1371" s="126" t="s">
        <v>110</v>
      </c>
      <c r="Z1371" s="126">
        <v>3</v>
      </c>
      <c r="AA1371" s="126" t="s">
        <v>119</v>
      </c>
      <c r="AB1371" s="126" t="s">
        <v>123</v>
      </c>
      <c r="AC1371" s="126" t="s">
        <v>123</v>
      </c>
      <c r="AD1371" s="126"/>
      <c r="AE1371" s="126"/>
      <c r="AG1371" s="40">
        <f>AH1371-AI1371</f>
        <v>84</v>
      </c>
      <c r="AH1371" s="126">
        <v>152</v>
      </c>
      <c r="AI1371" s="126">
        <v>68</v>
      </c>
      <c r="AK1371" s="126">
        <v>14</v>
      </c>
      <c r="AL1371" s="126">
        <v>0</v>
      </c>
      <c r="AM1371" s="126">
        <v>0</v>
      </c>
      <c r="AN1371" s="126">
        <v>0</v>
      </c>
      <c r="AO1371" s="16">
        <f>IF(SUM(AL1371:AN1371)&gt;0,1,0)</f>
        <v>0</v>
      </c>
      <c r="AP1371" s="18">
        <f>SUM(AL1371:AN1371)</f>
        <v>0</v>
      </c>
      <c r="AR1371" s="16">
        <v>0.17200000000000015</v>
      </c>
      <c r="AS1371" s="16">
        <f>VLOOKUP(E1371,'[1]Feces weights'!$D$1:$H$459,5,FALSE)</f>
        <v>0.17200000000000015</v>
      </c>
      <c r="AT1371" s="16" t="str">
        <f>VLOOKUP(E1371,[2]Current!$A$1:$W$435,7,FALSE)</f>
        <v>DP</v>
      </c>
      <c r="AU1371" s="16" t="s">
        <v>1288</v>
      </c>
      <c r="AW1371" s="128">
        <f>IF(AX1371&gt;0,1,0)</f>
        <v>1</v>
      </c>
      <c r="AX1371" s="128">
        <f>SUM(BA1371,BM1371,CU1371)</f>
        <v>228</v>
      </c>
      <c r="AY1371" s="128">
        <f>SUM(BB1371,BN1371,CV1371)</f>
        <v>1988.3720930232541</v>
      </c>
      <c r="AZ1371" s="128">
        <f>IF(BA1371&gt;0,1,0)</f>
        <v>1</v>
      </c>
      <c r="BA1371" s="128">
        <f>SUM(BC1371+BF1371+BI1371)</f>
        <v>2</v>
      </c>
      <c r="BB1371" s="128">
        <f>SUM(BE1371,BH1371,BK1371)</f>
        <v>674.41860465116224</v>
      </c>
      <c r="BC1371" s="130">
        <f>IF(BD1371&gt;0,1,0)</f>
        <v>1</v>
      </c>
      <c r="BD1371" s="128">
        <f>VLOOKUP($E1371,[2]Current!$A:$AC,26,FALSE)</f>
        <v>108</v>
      </c>
      <c r="BE1371" s="128">
        <f>BD1371/$AS1371</f>
        <v>627.9069767441855</v>
      </c>
      <c r="BF1371" s="130">
        <f>IF(BG1371&gt;0,1,0)</f>
        <v>1</v>
      </c>
      <c r="BG1371" s="137">
        <f>VLOOKUP($E1371,[2]Current!$A:$AC,27,FALSE)</f>
        <v>8</v>
      </c>
      <c r="BH1371" s="128">
        <f>BG1371/$AS1371</f>
        <v>46.511627906976706</v>
      </c>
      <c r="BI1371" s="130">
        <f>IF(BJ1371&gt;0,1,0)</f>
        <v>0</v>
      </c>
      <c r="BJ1371" s="128">
        <f>VLOOKUP($E1371,[2]Current!$A:$AC,28,FALSE)</f>
        <v>0</v>
      </c>
      <c r="BK1371" s="128">
        <f>BJ1371/$AS1371</f>
        <v>0</v>
      </c>
      <c r="BL1371" s="128">
        <f>IF(BM1371&gt;0,1,0)</f>
        <v>0</v>
      </c>
      <c r="BM1371" s="128">
        <f>SUM(BR1371,BU1371,BX1371,CA1371,CD1371)</f>
        <v>0</v>
      </c>
      <c r="BN1371" s="131">
        <f>SUM(BT1371,BW1371,BZ1371,CC1371,CF1371)</f>
        <v>0</v>
      </c>
      <c r="BO1371" s="128">
        <f>IF(BP1371&gt;0,1,0)</f>
        <v>0</v>
      </c>
      <c r="BP1371" s="128">
        <f>BM1371+CJ1371</f>
        <v>0</v>
      </c>
      <c r="BQ1371" s="128">
        <f>BN1371+CL1371</f>
        <v>0</v>
      </c>
      <c r="BR1371" s="130">
        <f>IF(BS1371&gt;0,1,0)</f>
        <v>0</v>
      </c>
      <c r="BS1371" s="128">
        <f>VLOOKUP($E1371,[2]Current!$A:$AC,12,FALSE)</f>
        <v>0</v>
      </c>
      <c r="BT1371" s="137">
        <f>BS1371/$AS1371</f>
        <v>0</v>
      </c>
      <c r="BU1371" s="130">
        <f>IF(BV1371&gt;0,1,0)</f>
        <v>0</v>
      </c>
      <c r="BV1371" s="128">
        <f>VLOOKUP($E1371,[2]Current!$A:$AC,13,FALSE)</f>
        <v>0</v>
      </c>
      <c r="BW1371" s="128">
        <f>BV1371/$AS1371</f>
        <v>0</v>
      </c>
      <c r="BX1371" s="130">
        <f>IF(BY1371&gt;0,1,0)</f>
        <v>0</v>
      </c>
      <c r="BY1371" s="128">
        <f>VLOOKUP($E1371,[2]Current!$A:$AC,14,FALSE)</f>
        <v>0</v>
      </c>
      <c r="BZ1371" s="128">
        <f>BY1371/$AS1371</f>
        <v>0</v>
      </c>
      <c r="CA1371" s="130">
        <f>IF(CB1371&gt;0,1,0)</f>
        <v>0</v>
      </c>
      <c r="CB1371" s="128">
        <f>VLOOKUP($E1371,[2]Current!$A:$AC,15,FALSE)</f>
        <v>0</v>
      </c>
      <c r="CC1371" s="128">
        <f>CB1371/$AS1371</f>
        <v>0</v>
      </c>
      <c r="CD1371" s="174">
        <f>IF(CE1371&gt;0,1,0)</f>
        <v>0</v>
      </c>
      <c r="CE1371" s="128">
        <f>VLOOKUP($E1371,[2]Current!$A:$AC,16,FALSE)</f>
        <v>0</v>
      </c>
      <c r="CF1371" s="128">
        <f>CE1371/$AS1371</f>
        <v>0</v>
      </c>
      <c r="CG1371" s="18"/>
      <c r="CH1371" s="18"/>
      <c r="CI1371" s="18"/>
      <c r="CJ1371" s="130">
        <f>IF(CK1371&gt;0,1,0)</f>
        <v>0</v>
      </c>
      <c r="CK1371" s="128">
        <f>VLOOKUP($E1371,[2]Current!$A:$AC,18,FALSE)</f>
        <v>0</v>
      </c>
      <c r="CL1371" s="128">
        <f>CK1371/$AS1371</f>
        <v>0</v>
      </c>
      <c r="CS1371" s="130">
        <f>IF(CU1371&gt;0,1,0)</f>
        <v>1</v>
      </c>
      <c r="CU1371" s="128">
        <f>VLOOKUP($E1371,[2]Current!$A:$AC,17,FALSE)</f>
        <v>226</v>
      </c>
      <c r="CV1371" s="128">
        <f>CU1371/$AS1371</f>
        <v>1313.9534883720919</v>
      </c>
      <c r="CW1371" s="18"/>
      <c r="CX1371" s="18"/>
      <c r="CY1371" s="18"/>
      <c r="DF1371" s="16" t="e">
        <f>VLOOKUP(K1371,'[3]RNA Seq summary tables'!$V$3:$V$99,1,FALSE)</f>
        <v>#N/A</v>
      </c>
      <c r="DG1371" s="126" t="s">
        <v>116</v>
      </c>
    </row>
    <row r="1372" spans="1:288" ht="16" x14ac:dyDescent="0.2">
      <c r="B1372" s="16">
        <v>2018</v>
      </c>
      <c r="C1372" s="147">
        <v>43313</v>
      </c>
      <c r="D1372" t="s">
        <v>1202</v>
      </c>
      <c r="E1372" s="20" t="str">
        <f>CONCATENATE(T1372,"-",U1372,"-",C1372)</f>
        <v>SP2-E2-43313</v>
      </c>
      <c r="F1372" s="16" t="s">
        <v>227</v>
      </c>
      <c r="G1372" s="145" t="s">
        <v>107</v>
      </c>
      <c r="H1372" s="145"/>
      <c r="I1372" s="145"/>
      <c r="J1372" s="145">
        <v>1500</v>
      </c>
      <c r="K1372" s="145">
        <v>2718</v>
      </c>
      <c r="M1372" s="16"/>
      <c r="N1372" s="16"/>
      <c r="O1372" s="15" t="s">
        <v>214</v>
      </c>
      <c r="Q1372" s="16">
        <f t="shared" si="8"/>
        <v>1</v>
      </c>
      <c r="R1372" s="16">
        <f t="shared" si="9"/>
        <v>12</v>
      </c>
      <c r="S1372" s="145"/>
      <c r="T1372" s="145" t="s">
        <v>137</v>
      </c>
      <c r="U1372" s="145" t="s">
        <v>136</v>
      </c>
      <c r="V1372" s="145" t="s">
        <v>114</v>
      </c>
      <c r="W1372" s="145"/>
      <c r="X1372" s="145" t="s">
        <v>121</v>
      </c>
      <c r="Y1372" s="145" t="s">
        <v>110</v>
      </c>
      <c r="Z1372" s="145">
        <v>3</v>
      </c>
      <c r="AA1372" s="145" t="s">
        <v>119</v>
      </c>
      <c r="AB1372" s="145" t="s">
        <v>123</v>
      </c>
      <c r="AC1372" s="145" t="s">
        <v>116</v>
      </c>
      <c r="AD1372" s="145" t="s">
        <v>116</v>
      </c>
      <c r="AE1372" s="145"/>
      <c r="AF1372" s="145"/>
      <c r="AG1372" s="145">
        <f>AH1372-AI1372</f>
        <v>85</v>
      </c>
      <c r="AH1372" s="145">
        <v>155</v>
      </c>
      <c r="AI1372" s="145">
        <v>70</v>
      </c>
      <c r="AJ1372" s="145"/>
      <c r="AK1372" s="145">
        <v>17</v>
      </c>
      <c r="AL1372" s="145">
        <v>0</v>
      </c>
      <c r="AM1372" s="145">
        <v>0</v>
      </c>
      <c r="AN1372" s="145">
        <v>0</v>
      </c>
      <c r="AO1372" s="16">
        <f>IF(SUM(AL1372:AN1372)&gt;0, 1,0)</f>
        <v>0</v>
      </c>
      <c r="AP1372" s="16">
        <f>SUM(AL1372:AN1372)</f>
        <v>0</v>
      </c>
      <c r="AS1372" s="16">
        <f>VLOOKUP(E1372,'[1]Feces weights'!$D$1:$H$459,5,FALSE)</f>
        <v>0.375</v>
      </c>
      <c r="AT1372" s="16" t="e">
        <f>VLOOKUP(E1372,[2]Current!$A$1:$W$435,7,FALSE)</f>
        <v>#N/A</v>
      </c>
      <c r="BG1372" s="77"/>
      <c r="BT1372" s="77"/>
      <c r="CD1372" s="77"/>
      <c r="DG1372" s="145" t="s">
        <v>123</v>
      </c>
      <c r="DT1372" s="145" t="s">
        <v>123</v>
      </c>
      <c r="DU1372" s="145"/>
      <c r="DX1372" s="145"/>
      <c r="DY1372" s="145"/>
      <c r="DZ1372" s="16"/>
      <c r="EA1372" s="16"/>
      <c r="EB1372" s="16"/>
      <c r="EC1372" s="16"/>
      <c r="ED1372" s="16"/>
      <c r="EE1372" s="16"/>
      <c r="EF1372" s="16"/>
      <c r="JO1372" s="18"/>
      <c r="JP1372" s="18"/>
      <c r="JQ1372" s="18"/>
      <c r="JR1372" s="18"/>
      <c r="JS1372" s="18"/>
      <c r="JT1372" s="18"/>
      <c r="JU1372" s="18"/>
      <c r="JV1372" s="18"/>
      <c r="JW1372" s="18"/>
      <c r="JX1372" s="18"/>
      <c r="JY1372" s="18"/>
      <c r="JZ1372" s="18"/>
      <c r="KA1372" s="18"/>
    </row>
    <row r="1373" spans="1:288" ht="16" x14ac:dyDescent="0.2">
      <c r="B1373" s="16">
        <v>2018</v>
      </c>
      <c r="C1373" s="124">
        <v>43270</v>
      </c>
      <c r="D1373" t="s">
        <v>836</v>
      </c>
      <c r="E1373" s="37" t="str">
        <f>CONCATENATE(T1373,"-",U1373,"-",C1373)</f>
        <v>SP1-C1-43270</v>
      </c>
      <c r="F1373" s="16" t="s">
        <v>227</v>
      </c>
      <c r="G1373" s="126" t="s">
        <v>107</v>
      </c>
      <c r="H1373" s="126"/>
      <c r="J1373" s="126">
        <v>1502</v>
      </c>
      <c r="K1373" s="126">
        <v>2476</v>
      </c>
      <c r="O1373" s="15" t="s">
        <v>214</v>
      </c>
      <c r="Q1373" s="16">
        <f t="shared" si="8"/>
        <v>0</v>
      </c>
      <c r="R1373" s="16" t="str">
        <f t="shared" si="9"/>
        <v/>
      </c>
      <c r="T1373" s="126" t="s">
        <v>140</v>
      </c>
      <c r="U1373" s="126" t="s">
        <v>150</v>
      </c>
      <c r="V1373" s="133" t="s">
        <v>142</v>
      </c>
      <c r="X1373" s="126" t="s">
        <v>115</v>
      </c>
      <c r="Y1373" s="126" t="s">
        <v>145</v>
      </c>
      <c r="Z1373" s="126">
        <v>1</v>
      </c>
      <c r="AA1373" s="126"/>
      <c r="AB1373" s="126"/>
      <c r="AC1373" s="126"/>
      <c r="AD1373" s="126"/>
      <c r="AE1373" s="126" t="s">
        <v>123</v>
      </c>
      <c r="AG1373" s="16">
        <f>AH1373-AI1373</f>
        <v>81</v>
      </c>
      <c r="AH1373" s="126">
        <v>162</v>
      </c>
      <c r="AI1373" s="126">
        <v>81</v>
      </c>
      <c r="AK1373" s="126">
        <v>12</v>
      </c>
      <c r="AL1373" s="126">
        <v>0</v>
      </c>
      <c r="AM1373" s="126">
        <v>0</v>
      </c>
      <c r="AN1373" s="126">
        <v>0</v>
      </c>
      <c r="AO1373" s="16">
        <f>IF(SUM(AL1373:AN1373)&gt;0,1,0)</f>
        <v>0</v>
      </c>
      <c r="AP1373" s="18">
        <f>SUM(AL1373:AN1373)</f>
        <v>0</v>
      </c>
      <c r="AR1373" s="16">
        <v>7.4000000000000066E-2</v>
      </c>
      <c r="AS1373" s="16">
        <f>VLOOKUP(E1373,'[1]Feces weights'!$D$1:$H$459,5,FALSE)</f>
        <v>7.4000000000000066E-2</v>
      </c>
      <c r="AT1373" s="16" t="str">
        <f>VLOOKUP(E1373,[2]Current!$A$1:$W$435,7,FALSE)</f>
        <v>LV</v>
      </c>
      <c r="AU1373" s="16" t="s">
        <v>1288</v>
      </c>
      <c r="AV1373" s="23">
        <v>1</v>
      </c>
      <c r="AW1373" s="128">
        <f>IF(AX1373&gt;0,1,0)</f>
        <v>0</v>
      </c>
      <c r="AX1373" s="128">
        <f>SUM(BA1373,BM1373,CU1373)</f>
        <v>0</v>
      </c>
      <c r="AY1373" s="128">
        <f>SUM(BB1373,BN1373,CV1373)</f>
        <v>0</v>
      </c>
      <c r="AZ1373" s="128">
        <f>IF(BA1373&gt;0,1,0)</f>
        <v>0</v>
      </c>
      <c r="BA1373" s="128">
        <f>SUM(BC1373+BF1373+BI1373)</f>
        <v>0</v>
      </c>
      <c r="BB1373" s="128">
        <f>SUM(BE1373,BH1373,BK1373)</f>
        <v>0</v>
      </c>
      <c r="BC1373" s="130">
        <f>IF(BD1373&gt;0,1,0)</f>
        <v>0</v>
      </c>
      <c r="BD1373" s="128">
        <f>VLOOKUP($E1373,[2]Current!$A:$AC,26,FALSE)</f>
        <v>0</v>
      </c>
      <c r="BE1373" s="128">
        <f>BD1373/$AS1373</f>
        <v>0</v>
      </c>
      <c r="BF1373" s="130">
        <f>IF(BG1373&gt;0,1,0)</f>
        <v>0</v>
      </c>
      <c r="BG1373" s="137">
        <f>VLOOKUP($E1373,[2]Current!$A:$AC,27,FALSE)</f>
        <v>0</v>
      </c>
      <c r="BH1373" s="128">
        <f>BG1373/$AS1373</f>
        <v>0</v>
      </c>
      <c r="BI1373" s="130">
        <f>IF(BJ1373&gt;0,1,0)</f>
        <v>0</v>
      </c>
      <c r="BJ1373" s="128">
        <f>VLOOKUP($E1373,[2]Current!$A:$AC,28,FALSE)</f>
        <v>0</v>
      </c>
      <c r="BK1373" s="128">
        <f>BJ1373/$AS1373</f>
        <v>0</v>
      </c>
      <c r="BL1373" s="128">
        <f>IF(BM1373&gt;0,1,0)</f>
        <v>0</v>
      </c>
      <c r="BM1373" s="128">
        <f>SUM(BR1373,BU1373,BX1373,CA1373,CD1373)</f>
        <v>0</v>
      </c>
      <c r="BN1373" s="131">
        <f>SUM(BT1373,BW1373,BZ1373,CC1373,CF1373)</f>
        <v>0</v>
      </c>
      <c r="BO1373" s="128">
        <f>IF(BP1373&gt;0,1,0)</f>
        <v>0</v>
      </c>
      <c r="BP1373" s="128">
        <f>BM1373+CJ1373</f>
        <v>0</v>
      </c>
      <c r="BQ1373" s="128">
        <f>BN1373+CL1373</f>
        <v>0</v>
      </c>
      <c r="BR1373" s="130">
        <f>IF(BS1373&gt;0,1,0)</f>
        <v>0</v>
      </c>
      <c r="BS1373" s="128">
        <f>VLOOKUP($E1373,[2]Current!$A:$AC,12,FALSE)</f>
        <v>0</v>
      </c>
      <c r="BT1373" s="137">
        <f>BS1373/$AS1373</f>
        <v>0</v>
      </c>
      <c r="BU1373" s="130">
        <f>IF(BV1373&gt;0,1,0)</f>
        <v>0</v>
      </c>
      <c r="BV1373" s="128">
        <f>VLOOKUP($E1373,[2]Current!$A:$AC,13,FALSE)</f>
        <v>0</v>
      </c>
      <c r="BW1373" s="128">
        <f>BV1373/$AS1373</f>
        <v>0</v>
      </c>
      <c r="BX1373" s="130">
        <f>IF(BY1373&gt;0,1,0)</f>
        <v>0</v>
      </c>
      <c r="BY1373" s="128">
        <f>VLOOKUP($E1373,[2]Current!$A:$AC,14,FALSE)</f>
        <v>0</v>
      </c>
      <c r="BZ1373" s="128">
        <f>BY1373/$AS1373</f>
        <v>0</v>
      </c>
      <c r="CA1373" s="130">
        <f>IF(CB1373&gt;0,1,0)</f>
        <v>0</v>
      </c>
      <c r="CB1373" s="128">
        <f>VLOOKUP($E1373,[2]Current!$A:$AC,15,FALSE)</f>
        <v>0</v>
      </c>
      <c r="CC1373" s="128">
        <f>CB1373/$AS1373</f>
        <v>0</v>
      </c>
      <c r="CD1373" s="174">
        <f>IF(CE1373&gt;0,1,0)</f>
        <v>0</v>
      </c>
      <c r="CE1373" s="128">
        <f>VLOOKUP($E1373,[2]Current!$A:$AC,16,FALSE)</f>
        <v>0</v>
      </c>
      <c r="CF1373" s="128">
        <f>CE1373/$AS1373</f>
        <v>0</v>
      </c>
      <c r="CG1373" s="18"/>
      <c r="CH1373" s="18"/>
      <c r="CI1373" s="18"/>
      <c r="CJ1373" s="130">
        <f>IF(CK1373&gt;0,1,0)</f>
        <v>0</v>
      </c>
      <c r="CK1373" s="128">
        <f>VLOOKUP($E1373,[2]Current!$A:$AC,18,FALSE)</f>
        <v>0</v>
      </c>
      <c r="CL1373" s="128">
        <f>CK1373/$AS1373</f>
        <v>0</v>
      </c>
      <c r="CS1373" s="130">
        <f>IF(CU1373&gt;0,1,0)</f>
        <v>0</v>
      </c>
      <c r="CT1373" s="18"/>
      <c r="CU1373" s="128">
        <f>VLOOKUP($E1373,[2]Current!$A:$AC,17,FALSE)</f>
        <v>0</v>
      </c>
      <c r="CV1373" s="128">
        <f>CU1373/$AS1373</f>
        <v>0</v>
      </c>
      <c r="CW1373" s="18"/>
      <c r="CX1373" s="18"/>
      <c r="CY1373" s="18"/>
      <c r="DF1373" s="16" t="e">
        <f>VLOOKUP(K1373,'[3]RNA Seq summary tables'!$V$3:$V$99,1,FALSE)</f>
        <v>#N/A</v>
      </c>
      <c r="DG1373" s="126"/>
    </row>
    <row r="1374" spans="1:288" ht="16" x14ac:dyDescent="0.2">
      <c r="B1374" s="16">
        <v>2018</v>
      </c>
      <c r="C1374" s="124">
        <v>43301</v>
      </c>
      <c r="D1374" t="s">
        <v>1018</v>
      </c>
      <c r="E1374" s="142" t="str">
        <f>CONCATENATE(T1374,"-",U1374,"-",C1374)</f>
        <v>SP1-D1-43301</v>
      </c>
      <c r="F1374" s="16" t="s">
        <v>227</v>
      </c>
      <c r="G1374" s="126" t="s">
        <v>107</v>
      </c>
      <c r="H1374" s="126" t="s">
        <v>1086</v>
      </c>
      <c r="J1374" s="126">
        <v>1502</v>
      </c>
      <c r="K1374" s="126">
        <v>2661</v>
      </c>
      <c r="O1374" s="15" t="s">
        <v>214</v>
      </c>
      <c r="Q1374" s="16">
        <f t="shared" si="8"/>
        <v>1</v>
      </c>
      <c r="R1374" s="16">
        <f t="shared" si="9"/>
        <v>31</v>
      </c>
      <c r="T1374" s="126" t="s">
        <v>140</v>
      </c>
      <c r="U1374" s="126" t="s">
        <v>157</v>
      </c>
      <c r="V1374" s="126" t="s">
        <v>142</v>
      </c>
      <c r="X1374" s="126" t="s">
        <v>115</v>
      </c>
      <c r="Y1374" s="126" t="s">
        <v>110</v>
      </c>
      <c r="Z1374" s="126">
        <v>3</v>
      </c>
      <c r="AA1374" s="126"/>
      <c r="AB1374" s="126"/>
      <c r="AC1374" s="126"/>
      <c r="AD1374" s="126" t="s">
        <v>116</v>
      </c>
      <c r="AE1374" s="126" t="s">
        <v>116</v>
      </c>
      <c r="AG1374" s="40">
        <f>AH1374-AI1374</f>
        <v>84</v>
      </c>
      <c r="AH1374" s="126">
        <v>174</v>
      </c>
      <c r="AI1374" s="126">
        <v>90</v>
      </c>
      <c r="AK1374" s="126">
        <v>16.5</v>
      </c>
      <c r="AL1374" s="126">
        <v>0</v>
      </c>
      <c r="AM1374" s="126">
        <v>0</v>
      </c>
      <c r="AN1374" s="126">
        <v>0</v>
      </c>
      <c r="AO1374" s="16">
        <f>IF(SUM(AL1374:AN1374)&gt;0,1,0)</f>
        <v>0</v>
      </c>
      <c r="AP1374" s="18">
        <f>SUM(AL1374:AN1374)</f>
        <v>0</v>
      </c>
      <c r="AR1374" s="16">
        <v>0.21900000000000008</v>
      </c>
      <c r="AS1374" s="16">
        <f>VLOOKUP(E1374,'[1]Feces weights'!$D$1:$H$459,5,FALSE)</f>
        <v>0.21900000000000008</v>
      </c>
      <c r="AT1374" s="16" t="e">
        <f>VLOOKUP(E1374,[2]Current!$A$1:$W$435,7,FALSE)</f>
        <v>#N/A</v>
      </c>
      <c r="AU1374" s="16">
        <v>0</v>
      </c>
      <c r="BG1374" s="77"/>
      <c r="BN1374" s="126"/>
      <c r="BT1374" s="78"/>
      <c r="BU1374" s="18"/>
      <c r="BV1374" s="18"/>
      <c r="BW1374" s="25"/>
      <c r="BX1374" s="18"/>
      <c r="BY1374" s="18"/>
      <c r="BZ1374" s="25"/>
      <c r="CA1374" s="18"/>
      <c r="CB1374" s="18"/>
      <c r="CC1374" s="25"/>
      <c r="CD1374" s="78"/>
      <c r="CE1374" s="18"/>
      <c r="CF1374" s="25"/>
      <c r="CG1374" s="18"/>
      <c r="CH1374" s="18"/>
      <c r="CI1374" s="18"/>
      <c r="CJ1374" s="18"/>
      <c r="CK1374" s="18"/>
      <c r="CL1374" s="25"/>
      <c r="DF1374" s="16" t="e">
        <f>VLOOKUP(K1374,'[3]RNA Seq summary tables'!$V$3:$V$99,1,FALSE)</f>
        <v>#N/A</v>
      </c>
      <c r="DG1374" s="126" t="s">
        <v>123</v>
      </c>
    </row>
    <row r="1375" spans="1:288" ht="16" x14ac:dyDescent="0.2">
      <c r="B1375" s="16">
        <v>2018</v>
      </c>
      <c r="C1375" s="147">
        <v>43314</v>
      </c>
      <c r="D1375" t="s">
        <v>1233</v>
      </c>
      <c r="E1375" s="20" t="str">
        <f>CONCATENATE(T1375,"-",U1375,"-",C1375)</f>
        <v>SP1-C1-43314</v>
      </c>
      <c r="F1375" s="16" t="s">
        <v>227</v>
      </c>
      <c r="G1375" s="145" t="s">
        <v>107</v>
      </c>
      <c r="H1375" s="145"/>
      <c r="I1375" s="145"/>
      <c r="J1375" s="145">
        <v>1502</v>
      </c>
      <c r="K1375" s="145">
        <v>2736</v>
      </c>
      <c r="M1375" s="16"/>
      <c r="N1375" s="16"/>
      <c r="O1375" s="15" t="s">
        <v>214</v>
      </c>
      <c r="Q1375" s="16">
        <f t="shared" si="8"/>
        <v>1</v>
      </c>
      <c r="R1375" s="16">
        <f t="shared" si="9"/>
        <v>13</v>
      </c>
      <c r="S1375" s="145"/>
      <c r="T1375" s="145" t="s">
        <v>140</v>
      </c>
      <c r="U1375" s="145" t="s">
        <v>150</v>
      </c>
      <c r="V1375" s="145" t="s">
        <v>142</v>
      </c>
      <c r="W1375" s="145"/>
      <c r="X1375" s="145" t="s">
        <v>115</v>
      </c>
      <c r="Y1375" s="145" t="s">
        <v>110</v>
      </c>
      <c r="Z1375" s="145">
        <v>3</v>
      </c>
      <c r="AA1375" s="145"/>
      <c r="AB1375" s="145"/>
      <c r="AC1375" s="145"/>
      <c r="AD1375" s="145"/>
      <c r="AE1375" s="145" t="s">
        <v>123</v>
      </c>
      <c r="AF1375" s="145" t="s">
        <v>123</v>
      </c>
      <c r="AG1375" s="145">
        <f>AH1375-AI1375</f>
        <v>89</v>
      </c>
      <c r="AH1375" s="145">
        <v>183</v>
      </c>
      <c r="AI1375" s="145">
        <v>94</v>
      </c>
      <c r="AJ1375" s="145"/>
      <c r="AK1375" s="145">
        <v>16</v>
      </c>
      <c r="AL1375" s="145">
        <v>1</v>
      </c>
      <c r="AM1375" s="145">
        <v>0</v>
      </c>
      <c r="AN1375" s="145">
        <v>0</v>
      </c>
      <c r="AO1375" s="16">
        <f>IF(SUM(AL1375:AN1375)&gt;0, 1,0)</f>
        <v>1</v>
      </c>
      <c r="AP1375" s="16">
        <f>SUM(AL1375:AN1375)</f>
        <v>1</v>
      </c>
      <c r="AS1375" s="16">
        <f>VLOOKUP(E1375,'[1]Feces weights'!$D$1:$H$459,5,FALSE)</f>
        <v>0.43600000000000017</v>
      </c>
      <c r="AT1375" s="16" t="e">
        <f>VLOOKUP(E1375,[2]Current!$A$1:$W$435,7,FALSE)</f>
        <v>#N/A</v>
      </c>
      <c r="BG1375" s="77"/>
      <c r="BT1375" s="77"/>
      <c r="CD1375" s="77"/>
      <c r="DG1375" s="145" t="s">
        <v>123</v>
      </c>
      <c r="DT1375" s="145" t="s">
        <v>123</v>
      </c>
      <c r="DU1375" s="145"/>
      <c r="DX1375" s="145"/>
      <c r="DY1375" s="145"/>
      <c r="DZ1375" s="16"/>
      <c r="EA1375" s="16"/>
      <c r="EB1375" s="16"/>
      <c r="EC1375" s="16"/>
      <c r="ED1375" s="16"/>
      <c r="EE1375" s="16"/>
      <c r="EF1375" s="16"/>
      <c r="JO1375" s="18"/>
      <c r="JP1375" s="18"/>
      <c r="JQ1375" s="18"/>
      <c r="JR1375" s="18"/>
      <c r="JS1375" s="18"/>
      <c r="JT1375" s="18"/>
      <c r="JU1375" s="18"/>
      <c r="JV1375" s="18"/>
      <c r="JW1375" s="18"/>
      <c r="JX1375" s="18"/>
      <c r="JY1375" s="18"/>
      <c r="JZ1375" s="18"/>
      <c r="KA1375" s="18"/>
    </row>
    <row r="1376" spans="1:288" ht="16" x14ac:dyDescent="0.2">
      <c r="B1376" s="16">
        <v>2018</v>
      </c>
      <c r="C1376" s="124">
        <v>43271</v>
      </c>
      <c r="D1376" t="s">
        <v>840</v>
      </c>
      <c r="E1376" s="37" t="str">
        <f>CONCATENATE(T1376,"-",U1376,"-",C1376)</f>
        <v>SP1-B7-43271</v>
      </c>
      <c r="F1376" s="16" t="s">
        <v>227</v>
      </c>
      <c r="G1376" s="126" t="s">
        <v>107</v>
      </c>
      <c r="H1376" s="126" t="s">
        <v>1111</v>
      </c>
      <c r="J1376" s="126">
        <v>1504</v>
      </c>
      <c r="K1376" s="126">
        <v>2478</v>
      </c>
      <c r="O1376" s="15" t="s">
        <v>214</v>
      </c>
      <c r="Q1376" s="16">
        <f t="shared" si="8"/>
        <v>0</v>
      </c>
      <c r="R1376" s="16" t="str">
        <f t="shared" si="9"/>
        <v/>
      </c>
      <c r="T1376" s="126" t="s">
        <v>140</v>
      </c>
      <c r="U1376" s="126" t="s">
        <v>168</v>
      </c>
      <c r="V1376" s="126" t="s">
        <v>114</v>
      </c>
      <c r="X1376" s="126" t="s">
        <v>115</v>
      </c>
      <c r="Y1376" s="126" t="s">
        <v>110</v>
      </c>
      <c r="Z1376" s="126">
        <v>3</v>
      </c>
      <c r="AA1376" s="126"/>
      <c r="AB1376" s="126"/>
      <c r="AC1376" s="126"/>
      <c r="AD1376" s="126"/>
      <c r="AE1376" s="126" t="s">
        <v>123</v>
      </c>
      <c r="AG1376" s="16">
        <f>AH1376-AI1376</f>
        <v>83</v>
      </c>
      <c r="AH1376" s="126">
        <v>147</v>
      </c>
      <c r="AI1376" s="126">
        <v>64</v>
      </c>
      <c r="AK1376" s="126">
        <v>15.5</v>
      </c>
      <c r="AL1376" s="126">
        <v>0</v>
      </c>
      <c r="AM1376" s="126">
        <v>1</v>
      </c>
      <c r="AN1376" s="126">
        <v>0</v>
      </c>
      <c r="AO1376" s="16">
        <f>IF(SUM(AL1376:AN1376)&gt;0,1,0)</f>
        <v>1</v>
      </c>
      <c r="AP1376" s="18">
        <f>SUM(AL1376:AN1376)</f>
        <v>1</v>
      </c>
      <c r="AR1376" s="16">
        <v>6.7000000000000171E-2</v>
      </c>
      <c r="AS1376" s="16">
        <f>VLOOKUP(E1376,'[1]Feces weights'!$D$1:$H$459,5,FALSE)</f>
        <v>6.7000000000000171E-2</v>
      </c>
      <c r="AT1376" s="16" t="str">
        <f>VLOOKUP(E1376,[2]Current!$A$1:$W$435,7,FALSE)</f>
        <v>DP</v>
      </c>
      <c r="AU1376" s="16" t="s">
        <v>1288</v>
      </c>
      <c r="AW1376" s="128">
        <f>IF(AX1376&gt;0,1,0)</f>
        <v>1</v>
      </c>
      <c r="AX1376" s="128">
        <f>SUM(BA1376,BM1376,CU1376)</f>
        <v>4</v>
      </c>
      <c r="AY1376" s="128">
        <f>SUM(BB1376,BN1376,CV1376)</f>
        <v>32910.447761193944</v>
      </c>
      <c r="AZ1376" s="128">
        <f>IF(BA1376&gt;0,1,0)</f>
        <v>1</v>
      </c>
      <c r="BA1376" s="128">
        <f>SUM(BC1376+BF1376+BI1376)</f>
        <v>3</v>
      </c>
      <c r="BB1376" s="128">
        <f>SUM(BE1376,BH1376,BK1376)</f>
        <v>32746.268656716333</v>
      </c>
      <c r="BC1376" s="130">
        <f>IF(BD1376&gt;0,1,0)</f>
        <v>1</v>
      </c>
      <c r="BD1376" s="128">
        <f>VLOOKUP($E1376,[2]Current!$A:$AC,26,FALSE)</f>
        <v>108</v>
      </c>
      <c r="BE1376" s="128">
        <f>BD1376/$AS1376</f>
        <v>1611.9402985074587</v>
      </c>
      <c r="BF1376" s="130">
        <f>IF(BG1376&gt;0,1,0)</f>
        <v>1</v>
      </c>
      <c r="BG1376" s="137">
        <f>VLOOKUP($E1376,[2]Current!$A:$AC,27,FALSE)</f>
        <v>2080</v>
      </c>
      <c r="BH1376" s="128">
        <f>BG1376/$AS1376</f>
        <v>31044.776119402904</v>
      </c>
      <c r="BI1376" s="130">
        <f>IF(BJ1376&gt;0,1,0)</f>
        <v>1</v>
      </c>
      <c r="BJ1376" s="128">
        <f>VLOOKUP($E1376,[2]Current!$A:$AC,28,FALSE)</f>
        <v>6</v>
      </c>
      <c r="BK1376" s="128">
        <f>BJ1376/$AS1376</f>
        <v>89.552238805969921</v>
      </c>
      <c r="BL1376" s="128">
        <f>IF(BM1376&gt;0,1,0)</f>
        <v>1</v>
      </c>
      <c r="BM1376" s="128">
        <f>SUM(BR1376,BU1376,BX1376,CA1376,CD1376)</f>
        <v>1</v>
      </c>
      <c r="BN1376" s="131">
        <f>SUM(BT1376,BW1376,BZ1376,CC1376,CF1376)</f>
        <v>164.17910447761153</v>
      </c>
      <c r="BO1376" s="128">
        <f>IF(BP1376&gt;0,1,0)</f>
        <v>1</v>
      </c>
      <c r="BP1376" s="128">
        <f>BM1376+CJ1376</f>
        <v>1</v>
      </c>
      <c r="BQ1376" s="128">
        <f>BN1376+CL1376</f>
        <v>164.17910447761153</v>
      </c>
      <c r="BR1376" s="130">
        <f>IF(BS1376&gt;0,1,0)</f>
        <v>0</v>
      </c>
      <c r="BS1376" s="128">
        <f>VLOOKUP($E1376,[2]Current!$A:$AC,12,FALSE)</f>
        <v>0</v>
      </c>
      <c r="BT1376" s="137">
        <f>BS1376/$AS1376</f>
        <v>0</v>
      </c>
      <c r="BU1376" s="130">
        <f>IF(BV1376&gt;0,1,0)</f>
        <v>0</v>
      </c>
      <c r="BV1376" s="128">
        <f>VLOOKUP($E1376,[2]Current!$A:$AC,13,FALSE)</f>
        <v>0</v>
      </c>
      <c r="BW1376" s="128">
        <f>BV1376/$AS1376</f>
        <v>0</v>
      </c>
      <c r="BX1376" s="130">
        <f>IF(BY1376&gt;0,1,0)</f>
        <v>1</v>
      </c>
      <c r="BY1376" s="128">
        <f>VLOOKUP($E1376,[2]Current!$A:$AC,14,FALSE)</f>
        <v>11</v>
      </c>
      <c r="BZ1376" s="128">
        <f>BY1376/$AS1376</f>
        <v>164.17910447761153</v>
      </c>
      <c r="CA1376" s="130">
        <f>IF(CB1376&gt;0,1,0)</f>
        <v>0</v>
      </c>
      <c r="CB1376" s="128">
        <f>VLOOKUP($E1376,[2]Current!$A:$AC,15,FALSE)</f>
        <v>0</v>
      </c>
      <c r="CC1376" s="128">
        <f>CB1376/$AS1376</f>
        <v>0</v>
      </c>
      <c r="CD1376" s="174">
        <f>IF(CE1376&gt;0,1,0)</f>
        <v>0</v>
      </c>
      <c r="CE1376" s="128">
        <f>VLOOKUP($E1376,[2]Current!$A:$AC,16,FALSE)</f>
        <v>0</v>
      </c>
      <c r="CF1376" s="128">
        <f>CE1376/$AS1376</f>
        <v>0</v>
      </c>
      <c r="CG1376" s="18"/>
      <c r="CH1376" s="18"/>
      <c r="CI1376" s="18"/>
      <c r="CJ1376" s="130">
        <f>IF(CK1376&gt;0,1,0)</f>
        <v>0</v>
      </c>
      <c r="CK1376" s="128">
        <f>VLOOKUP($E1376,[2]Current!$A:$AC,18,FALSE)</f>
        <v>0</v>
      </c>
      <c r="CL1376" s="128">
        <f>CK1376/$AS1376</f>
        <v>0</v>
      </c>
      <c r="CS1376" s="130">
        <f>IF(CU1376&gt;0,1,0)</f>
        <v>0</v>
      </c>
      <c r="CU1376" s="128">
        <f>VLOOKUP($E1376,[2]Current!$A:$AC,17,FALSE)</f>
        <v>0</v>
      </c>
      <c r="CV1376" s="128">
        <f>CU1376/$AS1376</f>
        <v>0</v>
      </c>
      <c r="CW1376" s="18"/>
      <c r="CX1376" s="18"/>
      <c r="CY1376" s="18"/>
      <c r="DF1376" s="16" t="e">
        <f>VLOOKUP(K1376,'[3]RNA Seq summary tables'!$V$3:$V$99,1,FALSE)</f>
        <v>#N/A</v>
      </c>
      <c r="DG1376" s="126" t="s">
        <v>116</v>
      </c>
    </row>
    <row r="1377" spans="1:288" ht="16" x14ac:dyDescent="0.2">
      <c r="B1377" s="16">
        <v>2018</v>
      </c>
      <c r="C1377" s="124">
        <v>43274</v>
      </c>
      <c r="D1377" t="s">
        <v>846</v>
      </c>
      <c r="E1377" s="37" t="str">
        <f>CONCATENATE(T1377,"-",U1377,"-",C1377)</f>
        <v>BC1-A7-43274</v>
      </c>
      <c r="F1377" s="16" t="s">
        <v>227</v>
      </c>
      <c r="G1377" s="126" t="s">
        <v>107</v>
      </c>
      <c r="H1377" s="126"/>
      <c r="J1377" s="126">
        <v>1506</v>
      </c>
      <c r="K1377" s="126">
        <v>2481</v>
      </c>
      <c r="O1377" s="15" t="s">
        <v>214</v>
      </c>
      <c r="Q1377" s="16">
        <f t="shared" si="8"/>
        <v>0</v>
      </c>
      <c r="R1377" s="16" t="str">
        <f t="shared" si="9"/>
        <v/>
      </c>
      <c r="T1377" s="126" t="s">
        <v>159</v>
      </c>
      <c r="U1377" s="126" t="s">
        <v>120</v>
      </c>
      <c r="V1377" s="133" t="s">
        <v>142</v>
      </c>
      <c r="X1377" s="126" t="s">
        <v>121</v>
      </c>
      <c r="Y1377" s="126" t="s">
        <v>110</v>
      </c>
      <c r="Z1377" s="126">
        <v>3</v>
      </c>
      <c r="AA1377" s="126" t="s">
        <v>119</v>
      </c>
      <c r="AB1377" s="126" t="s">
        <v>116</v>
      </c>
      <c r="AC1377" s="126" t="s">
        <v>123</v>
      </c>
      <c r="AD1377" s="126"/>
      <c r="AE1377" s="126"/>
      <c r="AG1377" s="16">
        <f>AH1377-AI1377</f>
        <v>88</v>
      </c>
      <c r="AH1377" s="126">
        <v>182</v>
      </c>
      <c r="AI1377" s="126">
        <v>94</v>
      </c>
      <c r="AK1377" s="126">
        <v>20</v>
      </c>
      <c r="AL1377" s="126">
        <v>0</v>
      </c>
      <c r="AM1377" s="126">
        <v>0</v>
      </c>
      <c r="AN1377" s="126">
        <v>0</v>
      </c>
      <c r="AO1377" s="16">
        <f>IF(SUM(AL1377:AN1377)&gt;0,1,0)</f>
        <v>0</v>
      </c>
      <c r="AP1377" s="18">
        <f>SUM(AL1377:AN1377)</f>
        <v>0</v>
      </c>
      <c r="AR1377" s="16">
        <v>0.21000000000000019</v>
      </c>
      <c r="AS1377" s="16">
        <f>VLOOKUP(E1377,'[1]Feces weights'!$D$1:$H$459,5,FALSE)</f>
        <v>0.21000000000000019</v>
      </c>
      <c r="AT1377" s="16" t="str">
        <f>VLOOKUP(E1377,[2]Current!$A$1:$W$435,7,FALSE)</f>
        <v>DP</v>
      </c>
      <c r="AU1377" s="16" t="s">
        <v>1288</v>
      </c>
      <c r="AW1377" s="128">
        <f>IF(AX1377&gt;0,1,0)</f>
        <v>1</v>
      </c>
      <c r="AX1377" s="128">
        <f>SUM(BA1377,BM1377,CU1377)</f>
        <v>2</v>
      </c>
      <c r="AY1377" s="128">
        <f>SUM(BB1377,BN1377,CV1377)</f>
        <v>409.52380952380918</v>
      </c>
      <c r="AZ1377" s="128">
        <f>IF(BA1377&gt;0,1,0)</f>
        <v>1</v>
      </c>
      <c r="BA1377" s="128">
        <f>SUM(BC1377+BF1377+BI1377)</f>
        <v>2</v>
      </c>
      <c r="BB1377" s="128">
        <f>SUM(BE1377,BH1377,BK1377)</f>
        <v>409.52380952380918</v>
      </c>
      <c r="BC1377" s="130">
        <f>IF(BD1377&gt;0,1,0)</f>
        <v>0</v>
      </c>
      <c r="BD1377" s="128">
        <f>VLOOKUP($E1377,[2]Current!$A:$AC,26,FALSE)</f>
        <v>0</v>
      </c>
      <c r="BE1377" s="128">
        <f>BD1377/$AS1377</f>
        <v>0</v>
      </c>
      <c r="BF1377" s="130">
        <f>IF(BG1377&gt;0,1,0)</f>
        <v>1</v>
      </c>
      <c r="BG1377" s="137">
        <f>VLOOKUP($E1377,[2]Current!$A:$AC,27,FALSE)</f>
        <v>84</v>
      </c>
      <c r="BH1377" s="128">
        <f>BG1377/$AS1377</f>
        <v>399.99999999999966</v>
      </c>
      <c r="BI1377" s="130">
        <f>IF(BJ1377&gt;0,1,0)</f>
        <v>1</v>
      </c>
      <c r="BJ1377" s="128">
        <f>VLOOKUP($E1377,[2]Current!$A:$AC,28,FALSE)</f>
        <v>2</v>
      </c>
      <c r="BK1377" s="128">
        <f>BJ1377/$AS1377</f>
        <v>9.5238095238095148</v>
      </c>
      <c r="BL1377" s="128">
        <f>IF(BM1377&gt;0,1,0)</f>
        <v>0</v>
      </c>
      <c r="BM1377" s="128">
        <f>SUM(BR1377,BU1377,BX1377,CA1377,CD1377)</f>
        <v>0</v>
      </c>
      <c r="BN1377" s="131">
        <f>SUM(BT1377,BW1377,BZ1377,CC1377,CF1377)</f>
        <v>0</v>
      </c>
      <c r="BO1377" s="128">
        <f>IF(BP1377&gt;0,1,0)</f>
        <v>0</v>
      </c>
      <c r="BP1377" s="128">
        <f>BM1377+CJ1377</f>
        <v>0</v>
      </c>
      <c r="BQ1377" s="128">
        <f>BN1377+CL1377</f>
        <v>0</v>
      </c>
      <c r="BR1377" s="130">
        <f>IF(BS1377&gt;0,1,0)</f>
        <v>0</v>
      </c>
      <c r="BS1377" s="128">
        <f>VLOOKUP($E1377,[2]Current!$A:$AC,12,FALSE)</f>
        <v>0</v>
      </c>
      <c r="BT1377" s="137">
        <f>BS1377/$AS1377</f>
        <v>0</v>
      </c>
      <c r="BU1377" s="130">
        <f>IF(BV1377&gt;0,1,0)</f>
        <v>0</v>
      </c>
      <c r="BV1377" s="128">
        <f>VLOOKUP($E1377,[2]Current!$A:$AC,13,FALSE)</f>
        <v>0</v>
      </c>
      <c r="BW1377" s="128">
        <f>BV1377/$AS1377</f>
        <v>0</v>
      </c>
      <c r="BX1377" s="130">
        <f>IF(BY1377&gt;0,1,0)</f>
        <v>0</v>
      </c>
      <c r="BY1377" s="128">
        <f>VLOOKUP($E1377,[2]Current!$A:$AC,14,FALSE)</f>
        <v>0</v>
      </c>
      <c r="BZ1377" s="128">
        <f>BY1377/$AS1377</f>
        <v>0</v>
      </c>
      <c r="CA1377" s="130">
        <f>IF(CB1377&gt;0,1,0)</f>
        <v>0</v>
      </c>
      <c r="CB1377" s="128">
        <f>VLOOKUP($E1377,[2]Current!$A:$AC,15,FALSE)</f>
        <v>0</v>
      </c>
      <c r="CC1377" s="128">
        <f>CB1377/$AS1377</f>
        <v>0</v>
      </c>
      <c r="CD1377" s="174">
        <f>IF(CE1377&gt;0,1,0)</f>
        <v>0</v>
      </c>
      <c r="CE1377" s="128">
        <f>VLOOKUP($E1377,[2]Current!$A:$AC,16,FALSE)</f>
        <v>0</v>
      </c>
      <c r="CF1377" s="128">
        <f>CE1377/$AS1377</f>
        <v>0</v>
      </c>
      <c r="CG1377" s="18"/>
      <c r="CH1377" s="18"/>
      <c r="CI1377" s="18"/>
      <c r="CJ1377" s="130">
        <f>IF(CK1377&gt;0,1,0)</f>
        <v>0</v>
      </c>
      <c r="CK1377" s="128">
        <f>VLOOKUP($E1377,[2]Current!$A:$AC,18,FALSE)</f>
        <v>0</v>
      </c>
      <c r="CL1377" s="128">
        <f>CK1377/$AS1377</f>
        <v>0</v>
      </c>
      <c r="CS1377" s="130">
        <f>IF(CU1377&gt;0,1,0)</f>
        <v>0</v>
      </c>
      <c r="CU1377" s="128">
        <f>VLOOKUP($E1377,[2]Current!$A:$AC,17,FALSE)</f>
        <v>0</v>
      </c>
      <c r="CV1377" s="128">
        <f>CU1377/$AS1377</f>
        <v>0</v>
      </c>
      <c r="CW1377" s="18"/>
      <c r="CX1377" s="18"/>
      <c r="CY1377" s="18"/>
      <c r="DF1377" s="16" t="e">
        <f>VLOOKUP(K1377,'[3]RNA Seq summary tables'!$V$3:$V$99,1,FALSE)</f>
        <v>#N/A</v>
      </c>
      <c r="DG1377" s="126" t="s">
        <v>116</v>
      </c>
    </row>
    <row r="1378" spans="1:288" ht="16" x14ac:dyDescent="0.2">
      <c r="B1378" s="16">
        <v>2018</v>
      </c>
      <c r="C1378" s="124">
        <v>43274</v>
      </c>
      <c r="D1378" t="s">
        <v>842</v>
      </c>
      <c r="E1378" s="37" t="str">
        <f>CONCATENATE(T1378,"-",U1378,"-",C1378)</f>
        <v>BC2-D1-43274</v>
      </c>
      <c r="F1378" s="16" t="s">
        <v>227</v>
      </c>
      <c r="G1378" s="126" t="s">
        <v>107</v>
      </c>
      <c r="H1378" s="126"/>
      <c r="J1378" s="126">
        <v>1508</v>
      </c>
      <c r="K1378" s="126">
        <v>2487</v>
      </c>
      <c r="O1378" s="15" t="s">
        <v>214</v>
      </c>
      <c r="Q1378" s="16">
        <f t="shared" si="8"/>
        <v>0</v>
      </c>
      <c r="R1378" s="16" t="str">
        <f t="shared" si="9"/>
        <v/>
      </c>
      <c r="T1378" s="126" t="s">
        <v>154</v>
      </c>
      <c r="U1378" s="126" t="s">
        <v>157</v>
      </c>
      <c r="V1378" s="126" t="s">
        <v>114</v>
      </c>
      <c r="X1378" s="126" t="s">
        <v>121</v>
      </c>
      <c r="Y1378" s="126" t="s">
        <v>110</v>
      </c>
      <c r="Z1378" s="126">
        <v>3</v>
      </c>
      <c r="AA1378" s="126" t="s">
        <v>119</v>
      </c>
      <c r="AB1378" s="126" t="s">
        <v>116</v>
      </c>
      <c r="AC1378" s="126" t="s">
        <v>123</v>
      </c>
      <c r="AD1378" s="126"/>
      <c r="AE1378" s="126"/>
      <c r="AG1378" s="16">
        <f>AH1378-AI1378</f>
        <v>91</v>
      </c>
      <c r="AH1378" s="126">
        <v>167</v>
      </c>
      <c r="AI1378" s="126">
        <v>76</v>
      </c>
      <c r="AK1378" s="126">
        <v>21.5</v>
      </c>
      <c r="AL1378" s="126">
        <v>0</v>
      </c>
      <c r="AM1378" s="126">
        <v>0</v>
      </c>
      <c r="AN1378" s="126">
        <v>0</v>
      </c>
      <c r="AO1378" s="16">
        <f>IF(SUM(AL1378:AN1378)&gt;0,1,0)</f>
        <v>0</v>
      </c>
      <c r="AP1378" s="18">
        <f>SUM(AL1378:AN1378)</f>
        <v>0</v>
      </c>
      <c r="AR1378" s="16">
        <v>5.500000000000016E-2</v>
      </c>
      <c r="AS1378" s="16">
        <f>VLOOKUP(E1378,'[1]Feces weights'!$D$1:$H$459,5,FALSE)</f>
        <v>5.500000000000016E-2</v>
      </c>
      <c r="AT1378" s="16" t="str">
        <f>VLOOKUP(E1378,[2]Current!$A$1:$W$435,7,FALSE)</f>
        <v>LV</v>
      </c>
      <c r="AU1378" s="16" t="s">
        <v>1288</v>
      </c>
      <c r="AW1378" s="128">
        <f>IF(AX1378&gt;0,1,0)</f>
        <v>1</v>
      </c>
      <c r="AX1378" s="128">
        <f>SUM(BA1378,BM1378,CU1378)</f>
        <v>2</v>
      </c>
      <c r="AY1378" s="128">
        <f>SUM(BB1378,BN1378,CV1378)</f>
        <v>545.4545454545439</v>
      </c>
      <c r="AZ1378" s="128">
        <f>IF(BA1378&gt;0,1,0)</f>
        <v>1</v>
      </c>
      <c r="BA1378" s="128">
        <f>SUM(BC1378+BF1378+BI1378)</f>
        <v>2</v>
      </c>
      <c r="BB1378" s="128">
        <f>SUM(BE1378,BH1378,BK1378)</f>
        <v>545.4545454545439</v>
      </c>
      <c r="BC1378" s="130">
        <f>IF(BD1378&gt;0,1,0)</f>
        <v>0</v>
      </c>
      <c r="BD1378" s="128">
        <f>VLOOKUP($E1378,[2]Current!$A:$AC,26,FALSE)</f>
        <v>0</v>
      </c>
      <c r="BE1378" s="128">
        <f>BD1378/$AS1378</f>
        <v>0</v>
      </c>
      <c r="BF1378" s="130">
        <f>IF(BG1378&gt;0,1,0)</f>
        <v>1</v>
      </c>
      <c r="BG1378" s="137">
        <f>VLOOKUP($E1378,[2]Current!$A:$AC,27,FALSE)</f>
        <v>26</v>
      </c>
      <c r="BH1378" s="128">
        <f>BG1378/$AS1378</f>
        <v>472.72727272727133</v>
      </c>
      <c r="BI1378" s="130">
        <f>IF(BJ1378&gt;0,1,0)</f>
        <v>1</v>
      </c>
      <c r="BJ1378" s="128">
        <f>VLOOKUP($E1378,[2]Current!$A:$AC,28,FALSE)</f>
        <v>4</v>
      </c>
      <c r="BK1378" s="128">
        <f>BJ1378/$AS1378</f>
        <v>72.727272727272521</v>
      </c>
      <c r="BL1378" s="128">
        <f>IF(BM1378&gt;0,1,0)</f>
        <v>0</v>
      </c>
      <c r="BM1378" s="128">
        <f>SUM(BR1378,BU1378,BX1378,CA1378,CD1378)</f>
        <v>0</v>
      </c>
      <c r="BN1378" s="131">
        <f>SUM(BT1378,BW1378,BZ1378,CC1378,CF1378)</f>
        <v>0</v>
      </c>
      <c r="BO1378" s="128">
        <f>IF(BP1378&gt;0,1,0)</f>
        <v>0</v>
      </c>
      <c r="BP1378" s="128">
        <f>BM1378+CJ1378</f>
        <v>0</v>
      </c>
      <c r="BQ1378" s="128">
        <f>BN1378+CL1378</f>
        <v>0</v>
      </c>
      <c r="BR1378" s="130">
        <f>IF(BS1378&gt;0,1,0)</f>
        <v>0</v>
      </c>
      <c r="BS1378" s="128">
        <f>VLOOKUP($E1378,[2]Current!$A:$AC,12,FALSE)</f>
        <v>0</v>
      </c>
      <c r="BT1378" s="137">
        <f>BS1378/$AS1378</f>
        <v>0</v>
      </c>
      <c r="BU1378" s="130">
        <f>IF(BV1378&gt;0,1,0)</f>
        <v>0</v>
      </c>
      <c r="BV1378" s="128">
        <f>VLOOKUP($E1378,[2]Current!$A:$AC,13,FALSE)</f>
        <v>0</v>
      </c>
      <c r="BW1378" s="128">
        <f>BV1378/$AS1378</f>
        <v>0</v>
      </c>
      <c r="BX1378" s="130">
        <f>IF(BY1378&gt;0,1,0)</f>
        <v>0</v>
      </c>
      <c r="BY1378" s="128">
        <f>VLOOKUP($E1378,[2]Current!$A:$AC,14,FALSE)</f>
        <v>0</v>
      </c>
      <c r="BZ1378" s="128">
        <f>BY1378/$AS1378</f>
        <v>0</v>
      </c>
      <c r="CA1378" s="130">
        <f>IF(CB1378&gt;0,1,0)</f>
        <v>0</v>
      </c>
      <c r="CB1378" s="128">
        <f>VLOOKUP($E1378,[2]Current!$A:$AC,15,FALSE)</f>
        <v>0</v>
      </c>
      <c r="CC1378" s="128">
        <f>CB1378/$AS1378</f>
        <v>0</v>
      </c>
      <c r="CD1378" s="174">
        <f>IF(CE1378&gt;0,1,0)</f>
        <v>0</v>
      </c>
      <c r="CE1378" s="128">
        <f>VLOOKUP($E1378,[2]Current!$A:$AC,16,FALSE)</f>
        <v>0</v>
      </c>
      <c r="CF1378" s="128">
        <f>CE1378/$AS1378</f>
        <v>0</v>
      </c>
      <c r="CG1378" s="18"/>
      <c r="CH1378" s="18"/>
      <c r="CI1378" s="18"/>
      <c r="CJ1378" s="130">
        <f>IF(CK1378&gt;0,1,0)</f>
        <v>0</v>
      </c>
      <c r="CK1378" s="128">
        <f>VLOOKUP($E1378,[2]Current!$A:$AC,18,FALSE)</f>
        <v>0</v>
      </c>
      <c r="CL1378" s="128">
        <f>CK1378/$AS1378</f>
        <v>0</v>
      </c>
      <c r="CS1378" s="130">
        <f>IF(CU1378&gt;0,1,0)</f>
        <v>0</v>
      </c>
      <c r="CU1378" s="128">
        <f>VLOOKUP($E1378,[2]Current!$A:$AC,17,FALSE)</f>
        <v>0</v>
      </c>
      <c r="CV1378" s="128">
        <f>CU1378/$AS1378</f>
        <v>0</v>
      </c>
      <c r="CW1378" s="18"/>
      <c r="CX1378" s="18"/>
      <c r="CY1378" s="18"/>
      <c r="DF1378" s="16" t="e">
        <f>VLOOKUP(K1378,'[3]RNA Seq summary tables'!$V$3:$V$99,1,FALSE)</f>
        <v>#N/A</v>
      </c>
      <c r="DG1378" s="126" t="s">
        <v>116</v>
      </c>
    </row>
    <row r="1379" spans="1:288" ht="16" x14ac:dyDescent="0.2">
      <c r="B1379" s="16">
        <v>2018</v>
      </c>
      <c r="C1379" s="124">
        <v>43275</v>
      </c>
      <c r="D1379" t="s">
        <v>853</v>
      </c>
      <c r="E1379" s="37" t="str">
        <f>CONCATENATE(T1379,"-",U1379,"-",C1379)</f>
        <v>BC2-F2-43275</v>
      </c>
      <c r="F1379" s="16" t="s">
        <v>227</v>
      </c>
      <c r="G1379" s="126" t="s">
        <v>107</v>
      </c>
      <c r="H1379" s="126"/>
      <c r="J1379" s="126">
        <v>1510</v>
      </c>
      <c r="K1379" s="126">
        <v>2491</v>
      </c>
      <c r="O1379" s="15" t="s">
        <v>214</v>
      </c>
      <c r="Q1379" s="16">
        <f t="shared" ref="Q1379:Q1442" si="10">IF(R1379="",0,1)</f>
        <v>0</v>
      </c>
      <c r="R1379" s="16" t="str">
        <f t="shared" si="9"/>
        <v/>
      </c>
      <c r="T1379" s="126" t="s">
        <v>154</v>
      </c>
      <c r="U1379" s="126" t="s">
        <v>187</v>
      </c>
      <c r="V1379" s="136" t="s">
        <v>114</v>
      </c>
      <c r="X1379" s="126" t="s">
        <v>121</v>
      </c>
      <c r="Y1379" s="126" t="s">
        <v>122</v>
      </c>
      <c r="Z1379" s="126">
        <v>2.2999999999999998</v>
      </c>
      <c r="AA1379" s="126" t="s">
        <v>123</v>
      </c>
      <c r="AB1379" s="126" t="s">
        <v>123</v>
      </c>
      <c r="AC1379" s="126" t="s">
        <v>123</v>
      </c>
      <c r="AD1379" s="126"/>
      <c r="AE1379" s="126"/>
      <c r="AG1379" s="16">
        <f>AH1379-AI1379</f>
        <v>78</v>
      </c>
      <c r="AH1379" s="126">
        <v>146</v>
      </c>
      <c r="AI1379" s="126">
        <v>68</v>
      </c>
      <c r="AK1379" s="126">
        <v>13</v>
      </c>
      <c r="AL1379" s="126">
        <v>0</v>
      </c>
      <c r="AM1379" s="126">
        <v>0</v>
      </c>
      <c r="AN1379" s="126">
        <v>0</v>
      </c>
      <c r="AO1379" s="16">
        <f>IF(SUM(AL1379:AN1379)&gt;0,1,0)</f>
        <v>0</v>
      </c>
      <c r="AP1379" s="18">
        <f>SUM(AL1379:AN1379)</f>
        <v>0</v>
      </c>
      <c r="AR1379" s="16">
        <v>5.0000000000000044E-2</v>
      </c>
      <c r="AS1379" s="16">
        <f>VLOOKUP(E1379,'[1]Feces weights'!$D$1:$H$459,5,FALSE)</f>
        <v>5.0000000000000044E-2</v>
      </c>
      <c r="AT1379" s="16" t="str">
        <f>VLOOKUP(E1379,[2]Current!$A$1:$W$435,7,FALSE)</f>
        <v>DP</v>
      </c>
      <c r="AU1379" s="16" t="s">
        <v>1288</v>
      </c>
      <c r="AW1379" s="128">
        <f>IF(AX1379&gt;0,1,0)</f>
        <v>1</v>
      </c>
      <c r="AX1379" s="128">
        <f>SUM(BA1379,BM1379,CU1379)</f>
        <v>3</v>
      </c>
      <c r="AY1379" s="128">
        <f>SUM(BB1379,BN1379,CV1379)</f>
        <v>5639.9999999999955</v>
      </c>
      <c r="AZ1379" s="128">
        <f>IF(BA1379&gt;0,1,0)</f>
        <v>1</v>
      </c>
      <c r="BA1379" s="128">
        <f>SUM(BC1379+BF1379+BI1379)</f>
        <v>3</v>
      </c>
      <c r="BB1379" s="128">
        <f>SUM(BE1379,BH1379,BK1379)</f>
        <v>5639.9999999999955</v>
      </c>
      <c r="BC1379" s="130">
        <f>IF(BD1379&gt;0,1,0)</f>
        <v>1</v>
      </c>
      <c r="BD1379" s="128">
        <f>VLOOKUP($E1379,[2]Current!$A:$AC,26,FALSE)</f>
        <v>16</v>
      </c>
      <c r="BE1379" s="128">
        <f>BD1379/$AS1379</f>
        <v>319.99999999999972</v>
      </c>
      <c r="BF1379" s="130">
        <f>IF(BG1379&gt;0,1,0)</f>
        <v>1</v>
      </c>
      <c r="BG1379" s="137">
        <f>VLOOKUP($E1379,[2]Current!$A:$AC,27,FALSE)</f>
        <v>262</v>
      </c>
      <c r="BH1379" s="128">
        <f>BG1379/$AS1379</f>
        <v>5239.9999999999955</v>
      </c>
      <c r="BI1379" s="130">
        <f>IF(BJ1379&gt;0,1,0)</f>
        <v>1</v>
      </c>
      <c r="BJ1379" s="128">
        <f>VLOOKUP($E1379,[2]Current!$A:$AC,28,FALSE)</f>
        <v>4</v>
      </c>
      <c r="BK1379" s="128">
        <f>BJ1379/$AS1379</f>
        <v>79.999999999999929</v>
      </c>
      <c r="BL1379" s="128">
        <f>IF(BM1379&gt;0,1,0)</f>
        <v>0</v>
      </c>
      <c r="BM1379" s="128">
        <f>SUM(BR1379,BU1379,BX1379,CA1379,CD1379)</f>
        <v>0</v>
      </c>
      <c r="BN1379" s="131">
        <f>SUM(BT1379,BW1379,BZ1379,CC1379,CF1379)</f>
        <v>0</v>
      </c>
      <c r="BO1379" s="128">
        <f>IF(BP1379&gt;0,1,0)</f>
        <v>0</v>
      </c>
      <c r="BP1379" s="128">
        <f>BM1379+CJ1379</f>
        <v>0</v>
      </c>
      <c r="BQ1379" s="128">
        <f>BN1379+CL1379</f>
        <v>0</v>
      </c>
      <c r="BR1379" s="130">
        <f>IF(BS1379&gt;0,1,0)</f>
        <v>0</v>
      </c>
      <c r="BS1379" s="128">
        <f>VLOOKUP($E1379,[2]Current!$A:$AC,12,FALSE)</f>
        <v>0</v>
      </c>
      <c r="BT1379" s="137">
        <f>BS1379/$AS1379</f>
        <v>0</v>
      </c>
      <c r="BU1379" s="130">
        <f>IF(BV1379&gt;0,1,0)</f>
        <v>0</v>
      </c>
      <c r="BV1379" s="128">
        <f>VLOOKUP($E1379,[2]Current!$A:$AC,13,FALSE)</f>
        <v>0</v>
      </c>
      <c r="BW1379" s="128">
        <f>BV1379/$AS1379</f>
        <v>0</v>
      </c>
      <c r="BX1379" s="130">
        <f>IF(BY1379&gt;0,1,0)</f>
        <v>0</v>
      </c>
      <c r="BY1379" s="128">
        <f>VLOOKUP($E1379,[2]Current!$A:$AC,14,FALSE)</f>
        <v>0</v>
      </c>
      <c r="BZ1379" s="128">
        <f>BY1379/$AS1379</f>
        <v>0</v>
      </c>
      <c r="CA1379" s="130">
        <f>IF(CB1379&gt;0,1,0)</f>
        <v>0</v>
      </c>
      <c r="CB1379" s="128">
        <f>VLOOKUP($E1379,[2]Current!$A:$AC,15,FALSE)</f>
        <v>0</v>
      </c>
      <c r="CC1379" s="128">
        <f>CB1379/$AS1379</f>
        <v>0</v>
      </c>
      <c r="CD1379" s="174">
        <f>IF(CE1379&gt;0,1,0)</f>
        <v>0</v>
      </c>
      <c r="CE1379" s="128">
        <f>VLOOKUP($E1379,[2]Current!$A:$AC,16,FALSE)</f>
        <v>0</v>
      </c>
      <c r="CF1379" s="128">
        <f>CE1379/$AS1379</f>
        <v>0</v>
      </c>
      <c r="CG1379" s="18"/>
      <c r="CH1379" s="18"/>
      <c r="CI1379" s="18"/>
      <c r="CJ1379" s="130">
        <f>IF(CK1379&gt;0,1,0)</f>
        <v>0</v>
      </c>
      <c r="CK1379" s="128">
        <f>VLOOKUP($E1379,[2]Current!$A:$AC,18,FALSE)</f>
        <v>0</v>
      </c>
      <c r="CL1379" s="128">
        <f>CK1379/$AS1379</f>
        <v>0</v>
      </c>
      <c r="CS1379" s="130">
        <f>IF(CU1379&gt;0,1,0)</f>
        <v>0</v>
      </c>
      <c r="CU1379" s="128">
        <f>VLOOKUP($E1379,[2]Current!$A:$AC,17,FALSE)</f>
        <v>0</v>
      </c>
      <c r="CV1379" s="128">
        <f>CU1379/$AS1379</f>
        <v>0</v>
      </c>
      <c r="CW1379" s="18"/>
      <c r="CX1379" s="18"/>
      <c r="CY1379" s="18"/>
      <c r="DF1379" s="16" t="e">
        <f>VLOOKUP(K1379,'[3]RNA Seq summary tables'!$V$3:$V$99,1,FALSE)</f>
        <v>#N/A</v>
      </c>
      <c r="DG1379" s="126" t="s">
        <v>123</v>
      </c>
    </row>
    <row r="1380" spans="1:288" ht="16" x14ac:dyDescent="0.2">
      <c r="B1380" s="16">
        <v>2018</v>
      </c>
      <c r="C1380" s="124">
        <v>43293</v>
      </c>
      <c r="D1380" t="s">
        <v>951</v>
      </c>
      <c r="E1380" s="37" t="str">
        <f>CONCATENATE(T1380,"-",U1380,"-",C1380)</f>
        <v>BC2-G7-43293</v>
      </c>
      <c r="F1380" s="16" t="s">
        <v>227</v>
      </c>
      <c r="G1380" s="126" t="s">
        <v>107</v>
      </c>
      <c r="H1380" s="126" t="s">
        <v>1135</v>
      </c>
      <c r="J1380" s="126">
        <v>1510</v>
      </c>
      <c r="K1380" s="126">
        <v>2590</v>
      </c>
      <c r="O1380" s="15" t="s">
        <v>214</v>
      </c>
      <c r="Q1380" s="16">
        <f t="shared" si="10"/>
        <v>1</v>
      </c>
      <c r="R1380" s="16">
        <f t="shared" si="9"/>
        <v>18</v>
      </c>
      <c r="T1380" s="126" t="s">
        <v>154</v>
      </c>
      <c r="U1380" s="126" t="s">
        <v>156</v>
      </c>
      <c r="V1380" s="126" t="s">
        <v>114</v>
      </c>
      <c r="X1380" s="126" t="s">
        <v>121</v>
      </c>
      <c r="Y1380" s="126" t="s">
        <v>122</v>
      </c>
      <c r="Z1380" s="126">
        <v>2.9</v>
      </c>
      <c r="AA1380" s="126" t="s">
        <v>119</v>
      </c>
      <c r="AB1380" s="126" t="s">
        <v>123</v>
      </c>
      <c r="AC1380" s="126" t="s">
        <v>123</v>
      </c>
      <c r="AD1380" s="126"/>
      <c r="AE1380" s="126"/>
      <c r="AG1380" s="16">
        <f>AH1380-AI1380</f>
        <v>81</v>
      </c>
      <c r="AH1380" s="126">
        <v>152</v>
      </c>
      <c r="AI1380" s="126">
        <v>71</v>
      </c>
      <c r="AK1380" s="126">
        <v>15.5</v>
      </c>
      <c r="AL1380" s="126">
        <v>0</v>
      </c>
      <c r="AM1380" s="126">
        <v>0</v>
      </c>
      <c r="AN1380" s="126">
        <v>0</v>
      </c>
      <c r="AO1380" s="16">
        <f>IF(SUM(AL1380:AN1380)&gt;0,1,0)</f>
        <v>0</v>
      </c>
      <c r="AP1380" s="18">
        <f>SUM(AL1380:AN1380)</f>
        <v>0</v>
      </c>
      <c r="AR1380" s="16">
        <v>0.14100000000000001</v>
      </c>
      <c r="AS1380" s="16">
        <f>VLOOKUP(E1380,'[1]Feces weights'!$D$1:$H$459,5,FALSE)</f>
        <v>0.14100000000000001</v>
      </c>
      <c r="AT1380" s="16" t="str">
        <f>VLOOKUP(E1380,[2]Current!$A$1:$W$435,7,FALSE)</f>
        <v>DP</v>
      </c>
      <c r="AU1380" s="16" t="s">
        <v>1288</v>
      </c>
      <c r="AW1380" s="128">
        <f>IF(AX1380&gt;0,1,0)</f>
        <v>1</v>
      </c>
      <c r="AX1380" s="128">
        <f>SUM(BA1380,BM1380,CU1380)</f>
        <v>3</v>
      </c>
      <c r="AY1380" s="128">
        <f>SUM(BB1380,BN1380,CV1380)</f>
        <v>109560.28368794324</v>
      </c>
      <c r="AZ1380" s="128">
        <f>IF(BA1380&gt;0,1,0)</f>
        <v>1</v>
      </c>
      <c r="BA1380" s="128">
        <f>SUM(BC1380+BF1380+BI1380)</f>
        <v>3</v>
      </c>
      <c r="BB1380" s="128">
        <f>SUM(BE1380,BH1380,BK1380)</f>
        <v>109560.28368794324</v>
      </c>
      <c r="BC1380" s="130">
        <f>IF(BD1380&gt;0,1,0)</f>
        <v>1</v>
      </c>
      <c r="BD1380" s="128">
        <f>VLOOKUP($E1380,[2]Current!$A:$AC,26,FALSE)</f>
        <v>80</v>
      </c>
      <c r="BE1380" s="128">
        <f>BD1380/$AS1380</f>
        <v>567.37588652482259</v>
      </c>
      <c r="BF1380" s="130">
        <f>IF(BG1380&gt;0,1,0)</f>
        <v>1</v>
      </c>
      <c r="BG1380" s="137">
        <f>VLOOKUP($E1380,[2]Current!$A:$AC,27,FALSE)</f>
        <v>15020</v>
      </c>
      <c r="BH1380" s="128">
        <f>BG1380/$AS1380</f>
        <v>106524.82269503544</v>
      </c>
      <c r="BI1380" s="130">
        <f>IF(BJ1380&gt;0,1,0)</f>
        <v>1</v>
      </c>
      <c r="BJ1380" s="128">
        <f>VLOOKUP($E1380,[2]Current!$A:$AC,28,FALSE)</f>
        <v>348</v>
      </c>
      <c r="BK1380" s="128">
        <f>BJ1380/$AS1380</f>
        <v>2468.0851063829787</v>
      </c>
      <c r="BL1380" s="128">
        <f>IF(BM1380&gt;0,1,0)</f>
        <v>0</v>
      </c>
      <c r="BM1380" s="128">
        <f>SUM(BR1380,BU1380,BX1380,CA1380,CD1380)</f>
        <v>0</v>
      </c>
      <c r="BN1380" s="131">
        <f>SUM(BT1380,BW1380,BZ1380,CC1380,CF1380)</f>
        <v>0</v>
      </c>
      <c r="BO1380" s="128">
        <f>IF(BP1380&gt;0,1,0)</f>
        <v>0</v>
      </c>
      <c r="BP1380" s="128">
        <f>BM1380+CJ1380</f>
        <v>0</v>
      </c>
      <c r="BQ1380" s="128">
        <f>BN1380+CL1380</f>
        <v>0</v>
      </c>
      <c r="BR1380" s="130">
        <f>IF(BS1380&gt;0,1,0)</f>
        <v>0</v>
      </c>
      <c r="BS1380" s="128">
        <f>VLOOKUP($E1380,[2]Current!$A:$AC,12,FALSE)</f>
        <v>0</v>
      </c>
      <c r="BT1380" s="137">
        <f>BS1380/$AS1380</f>
        <v>0</v>
      </c>
      <c r="BU1380" s="130">
        <f>IF(BV1380&gt;0,1,0)</f>
        <v>0</v>
      </c>
      <c r="BV1380" s="128">
        <f>VLOOKUP($E1380,[2]Current!$A:$AC,13,FALSE)</f>
        <v>0</v>
      </c>
      <c r="BW1380" s="128">
        <f>BV1380/$AS1380</f>
        <v>0</v>
      </c>
      <c r="BX1380" s="130">
        <f>IF(BY1380&gt;0,1,0)</f>
        <v>0</v>
      </c>
      <c r="BY1380" s="128">
        <f>VLOOKUP($E1380,[2]Current!$A:$AC,14,FALSE)</f>
        <v>0</v>
      </c>
      <c r="BZ1380" s="128">
        <f>BY1380/$AS1380</f>
        <v>0</v>
      </c>
      <c r="CA1380" s="130">
        <f>IF(CB1380&gt;0,1,0)</f>
        <v>0</v>
      </c>
      <c r="CB1380" s="128">
        <f>VLOOKUP($E1380,[2]Current!$A:$AC,15,FALSE)</f>
        <v>0</v>
      </c>
      <c r="CC1380" s="128">
        <f>CB1380/$AS1380</f>
        <v>0</v>
      </c>
      <c r="CD1380" s="174">
        <f>IF(CE1380&gt;0,1,0)</f>
        <v>0</v>
      </c>
      <c r="CE1380" s="128">
        <f>VLOOKUP($E1380,[2]Current!$A:$AC,16,FALSE)</f>
        <v>0</v>
      </c>
      <c r="CF1380" s="128">
        <f>CE1380/$AS1380</f>
        <v>0</v>
      </c>
      <c r="CG1380" s="18"/>
      <c r="CH1380" s="18"/>
      <c r="CI1380" s="18"/>
      <c r="CJ1380" s="130">
        <f>IF(CK1380&gt;0,1,0)</f>
        <v>0</v>
      </c>
      <c r="CK1380" s="128">
        <f>VLOOKUP($E1380,[2]Current!$A:$AC,18,FALSE)</f>
        <v>0</v>
      </c>
      <c r="CL1380" s="128">
        <f>CK1380/$AS1380</f>
        <v>0</v>
      </c>
      <c r="CS1380" s="130">
        <f>IF(CU1380&gt;0,1,0)</f>
        <v>0</v>
      </c>
      <c r="CU1380" s="128">
        <f>VLOOKUP($E1380,[2]Current!$A:$AC,17,FALSE)</f>
        <v>0</v>
      </c>
      <c r="CV1380" s="128">
        <f>CU1380/$AS1380</f>
        <v>0</v>
      </c>
      <c r="CW1380" s="18"/>
      <c r="CX1380" s="18"/>
      <c r="CY1380" s="18"/>
      <c r="DF1380" s="16" t="e">
        <f>VLOOKUP(K1380,'[3]RNA Seq summary tables'!$V$3:$V$99,1,FALSE)</f>
        <v>#N/A</v>
      </c>
      <c r="DG1380" s="126" t="s">
        <v>123</v>
      </c>
    </row>
    <row r="1381" spans="1:288" ht="16" x14ac:dyDescent="0.2">
      <c r="B1381" s="16">
        <v>2018</v>
      </c>
      <c r="C1381" s="124">
        <v>43275</v>
      </c>
      <c r="D1381" t="s">
        <v>851</v>
      </c>
      <c r="E1381" s="37" t="str">
        <f>CONCATENATE(T1381,"-",U1381,"-",C1381)</f>
        <v>BC2-H7-43275</v>
      </c>
      <c r="F1381" s="16" t="s">
        <v>227</v>
      </c>
      <c r="G1381" s="126" t="s">
        <v>107</v>
      </c>
      <c r="H1381" s="126"/>
      <c r="J1381" s="126">
        <v>1512</v>
      </c>
      <c r="K1381" s="126">
        <v>2495</v>
      </c>
      <c r="O1381" s="15" t="s">
        <v>214</v>
      </c>
      <c r="Q1381" s="16">
        <f t="shared" si="10"/>
        <v>0</v>
      </c>
      <c r="R1381" s="16" t="str">
        <f t="shared" si="9"/>
        <v/>
      </c>
      <c r="T1381" s="126" t="s">
        <v>154</v>
      </c>
      <c r="U1381" s="126" t="s">
        <v>202</v>
      </c>
      <c r="V1381" s="136" t="s">
        <v>114</v>
      </c>
      <c r="X1381" s="126" t="s">
        <v>115</v>
      </c>
      <c r="Y1381" s="126" t="s">
        <v>110</v>
      </c>
      <c r="Z1381" s="126">
        <v>3</v>
      </c>
      <c r="AA1381" s="126"/>
      <c r="AB1381" s="126"/>
      <c r="AC1381" s="126"/>
      <c r="AD1381" s="126"/>
      <c r="AE1381" s="126" t="s">
        <v>116</v>
      </c>
      <c r="AG1381" s="16">
        <f>AH1381-AI1381</f>
        <v>84</v>
      </c>
      <c r="AH1381" s="126">
        <v>150</v>
      </c>
      <c r="AI1381" s="126">
        <v>66</v>
      </c>
      <c r="AK1381" s="126">
        <v>15.5</v>
      </c>
      <c r="AL1381" s="126">
        <v>0</v>
      </c>
      <c r="AM1381" s="126">
        <v>0</v>
      </c>
      <c r="AN1381" s="126">
        <v>0</v>
      </c>
      <c r="AO1381" s="16">
        <f>IF(SUM(AL1381:AN1381)&gt;0,1,0)</f>
        <v>0</v>
      </c>
      <c r="AP1381" s="18">
        <f>SUM(AL1381:AN1381)</f>
        <v>0</v>
      </c>
      <c r="AR1381" s="16">
        <v>3.1000000000000139E-2</v>
      </c>
      <c r="AS1381" s="16">
        <f>VLOOKUP(E1381,'[1]Feces weights'!$D$1:$H$459,5,FALSE)</f>
        <v>3.1000000000000139E-2</v>
      </c>
      <c r="AT1381" s="16" t="str">
        <f>VLOOKUP(E1381,[2]Current!$A$1:$W$435,7,FALSE)</f>
        <v>JB</v>
      </c>
      <c r="AU1381" s="16" t="s">
        <v>1288</v>
      </c>
      <c r="AV1381" s="23">
        <v>1</v>
      </c>
      <c r="AW1381" s="128">
        <f>IF(AX1381&gt;0,1,0)</f>
        <v>0</v>
      </c>
      <c r="AX1381" s="128">
        <f>SUM(BA1381,BM1381,CU1381)</f>
        <v>0</v>
      </c>
      <c r="AY1381" s="128">
        <f>SUM(BB1381,BN1381,CV1381)</f>
        <v>0</v>
      </c>
      <c r="AZ1381" s="128">
        <f>IF(BA1381&gt;0,1,0)</f>
        <v>0</v>
      </c>
      <c r="BA1381" s="128">
        <f>SUM(BC1381+BF1381+BI1381)</f>
        <v>0</v>
      </c>
      <c r="BB1381" s="128">
        <f>SUM(BE1381,BH1381,BK1381)</f>
        <v>0</v>
      </c>
      <c r="BC1381" s="130">
        <f>IF(BD1381&gt;0,1,0)</f>
        <v>0</v>
      </c>
      <c r="BD1381" s="128">
        <f>VLOOKUP($E1381,[2]Current!$A:$AC,26,FALSE)</f>
        <v>0</v>
      </c>
      <c r="BE1381" s="128">
        <f>BD1381/$AS1381</f>
        <v>0</v>
      </c>
      <c r="BF1381" s="130">
        <f>IF(BG1381&gt;0,1,0)</f>
        <v>0</v>
      </c>
      <c r="BG1381" s="137">
        <f>VLOOKUP($E1381,[2]Current!$A:$AC,27,FALSE)</f>
        <v>0</v>
      </c>
      <c r="BH1381" s="128">
        <f>BG1381/$AS1381</f>
        <v>0</v>
      </c>
      <c r="BI1381" s="130">
        <f>IF(BJ1381&gt;0,1,0)</f>
        <v>0</v>
      </c>
      <c r="BJ1381" s="128">
        <f>VLOOKUP($E1381,[2]Current!$A:$AC,28,FALSE)</f>
        <v>0</v>
      </c>
      <c r="BK1381" s="128">
        <f>BJ1381/$AS1381</f>
        <v>0</v>
      </c>
      <c r="BL1381" s="128">
        <f>IF(BM1381&gt;0,1,0)</f>
        <v>0</v>
      </c>
      <c r="BM1381" s="128">
        <f>SUM(BR1381,BU1381,BX1381,CA1381,CD1381)</f>
        <v>0</v>
      </c>
      <c r="BN1381" s="131">
        <f>SUM(BT1381,BW1381,BZ1381,CC1381,CF1381)</f>
        <v>0</v>
      </c>
      <c r="BO1381" s="128">
        <f>IF(BP1381&gt;0,1,0)</f>
        <v>0</v>
      </c>
      <c r="BP1381" s="128">
        <f>BM1381+CJ1381</f>
        <v>0</v>
      </c>
      <c r="BQ1381" s="128">
        <f>BN1381+CL1381</f>
        <v>0</v>
      </c>
      <c r="BR1381" s="130">
        <f>IF(BS1381&gt;0,1,0)</f>
        <v>0</v>
      </c>
      <c r="BS1381" s="128">
        <f>VLOOKUP($E1381,[2]Current!$A:$AC,12,FALSE)</f>
        <v>0</v>
      </c>
      <c r="BT1381" s="137">
        <f>BS1381/$AS1381</f>
        <v>0</v>
      </c>
      <c r="BU1381" s="130">
        <f>IF(BV1381&gt;0,1,0)</f>
        <v>0</v>
      </c>
      <c r="BV1381" s="128">
        <f>VLOOKUP($E1381,[2]Current!$A:$AC,13,FALSE)</f>
        <v>0</v>
      </c>
      <c r="BW1381" s="128">
        <f>BV1381/$AS1381</f>
        <v>0</v>
      </c>
      <c r="BX1381" s="130">
        <f>IF(BY1381&gt;0,1,0)</f>
        <v>0</v>
      </c>
      <c r="BY1381" s="128">
        <f>VLOOKUP($E1381,[2]Current!$A:$AC,14,FALSE)</f>
        <v>0</v>
      </c>
      <c r="BZ1381" s="128">
        <f>BY1381/$AS1381</f>
        <v>0</v>
      </c>
      <c r="CA1381" s="130">
        <f>IF(CB1381&gt;0,1,0)</f>
        <v>0</v>
      </c>
      <c r="CB1381" s="128">
        <f>VLOOKUP($E1381,[2]Current!$A:$AC,15,FALSE)</f>
        <v>0</v>
      </c>
      <c r="CC1381" s="128">
        <f>CB1381/$AS1381</f>
        <v>0</v>
      </c>
      <c r="CD1381" s="174">
        <f>IF(CE1381&gt;0,1,0)</f>
        <v>0</v>
      </c>
      <c r="CE1381" s="128">
        <f>VLOOKUP($E1381,[2]Current!$A:$AC,16,FALSE)</f>
        <v>0</v>
      </c>
      <c r="CF1381" s="128">
        <f>CE1381/$AS1381</f>
        <v>0</v>
      </c>
      <c r="CG1381" s="18"/>
      <c r="CH1381" s="18"/>
      <c r="CI1381" s="18"/>
      <c r="CJ1381" s="130">
        <f>IF(CK1381&gt;0,1,0)</f>
        <v>0</v>
      </c>
      <c r="CK1381" s="128">
        <f>VLOOKUP($E1381,[2]Current!$A:$AC,18,FALSE)</f>
        <v>0</v>
      </c>
      <c r="CL1381" s="128">
        <f>CK1381/$AS1381</f>
        <v>0</v>
      </c>
      <c r="CS1381" s="130">
        <f>IF(CU1381&gt;0,1,0)</f>
        <v>0</v>
      </c>
      <c r="CU1381" s="128">
        <f>VLOOKUP($E1381,[2]Current!$A:$AC,17,FALSE)</f>
        <v>0</v>
      </c>
      <c r="CV1381" s="128">
        <f>CU1381/$AS1381</f>
        <v>0</v>
      </c>
      <c r="CW1381" s="18"/>
      <c r="CX1381" s="18"/>
      <c r="CY1381" s="18"/>
      <c r="DF1381" s="16" t="e">
        <f>VLOOKUP(K1381,'[3]RNA Seq summary tables'!$V$3:$V$99,1,FALSE)</f>
        <v>#N/A</v>
      </c>
      <c r="DG1381" s="126" t="s">
        <v>116</v>
      </c>
    </row>
    <row r="1382" spans="1:288" ht="16" x14ac:dyDescent="0.2">
      <c r="B1382" s="16">
        <v>2018</v>
      </c>
      <c r="C1382" s="124">
        <v>43292</v>
      </c>
      <c r="D1382" t="s">
        <v>937</v>
      </c>
      <c r="E1382" s="37" t="str">
        <f>CONCATENATE(T1382,"-",U1382,"-",C1382)</f>
        <v>BC2-E1-43292</v>
      </c>
      <c r="F1382" s="16" t="s">
        <v>227</v>
      </c>
      <c r="G1382" s="126" t="s">
        <v>107</v>
      </c>
      <c r="H1382" s="126"/>
      <c r="J1382" s="126">
        <v>1512</v>
      </c>
      <c r="K1382" s="126">
        <v>2587</v>
      </c>
      <c r="O1382" s="15" t="s">
        <v>214</v>
      </c>
      <c r="Q1382" s="16">
        <f t="shared" si="10"/>
        <v>1</v>
      </c>
      <c r="R1382" s="16">
        <f t="shared" si="9"/>
        <v>17</v>
      </c>
      <c r="T1382" s="126" t="s">
        <v>154</v>
      </c>
      <c r="U1382" s="126" t="s">
        <v>222</v>
      </c>
      <c r="V1382" s="126" t="s">
        <v>114</v>
      </c>
      <c r="X1382" s="126" t="s">
        <v>115</v>
      </c>
      <c r="Y1382" s="126" t="s">
        <v>110</v>
      </c>
      <c r="Z1382" s="126">
        <v>3</v>
      </c>
      <c r="AA1382" s="126"/>
      <c r="AB1382" s="126"/>
      <c r="AC1382" s="126"/>
      <c r="AD1382" s="126"/>
      <c r="AE1382" s="126" t="s">
        <v>123</v>
      </c>
      <c r="AG1382" s="16">
        <f>AH1382-AI1382</f>
        <v>85</v>
      </c>
      <c r="AH1382" s="126">
        <v>157</v>
      </c>
      <c r="AI1382" s="126">
        <v>72</v>
      </c>
      <c r="AK1382" s="126">
        <v>16.5</v>
      </c>
      <c r="AL1382" s="126">
        <v>0</v>
      </c>
      <c r="AM1382" s="126">
        <v>0</v>
      </c>
      <c r="AN1382" s="126">
        <v>0</v>
      </c>
      <c r="AO1382" s="16">
        <f>IF(SUM(AL1382:AN1382)&gt;0,1,0)</f>
        <v>0</v>
      </c>
      <c r="AP1382" s="18">
        <f>SUM(AL1382:AN1382)</f>
        <v>0</v>
      </c>
      <c r="AR1382" s="16">
        <v>3.400000000000003E-2</v>
      </c>
      <c r="AS1382" s="16">
        <f>VLOOKUP(E1382,'[1]Feces weights'!$D$1:$H$459,5,FALSE)</f>
        <v>3.400000000000003E-2</v>
      </c>
      <c r="AT1382" s="16" t="str">
        <f>VLOOKUP(E1382,[2]Current!$A$1:$W$435,7,FALSE)</f>
        <v>TE</v>
      </c>
      <c r="AU1382" s="16" t="s">
        <v>1288</v>
      </c>
      <c r="AV1382" s="23">
        <v>1</v>
      </c>
      <c r="AW1382" s="128">
        <f>IF(AX1382&gt;0,1,0)</f>
        <v>0</v>
      </c>
      <c r="AX1382" s="128">
        <f>SUM(BA1382,BM1382,CU1382)</f>
        <v>0</v>
      </c>
      <c r="AY1382" s="128">
        <f>SUM(BB1382,BN1382,CV1382)</f>
        <v>0</v>
      </c>
      <c r="AZ1382" s="128">
        <f>IF(BA1382&gt;0,1,0)</f>
        <v>0</v>
      </c>
      <c r="BA1382" s="128">
        <f>SUM(BC1382+BF1382+BI1382)</f>
        <v>0</v>
      </c>
      <c r="BB1382" s="128">
        <f>SUM(BE1382,BH1382,BK1382)</f>
        <v>0</v>
      </c>
      <c r="BC1382" s="130">
        <f>IF(BD1382&gt;0,1,0)</f>
        <v>0</v>
      </c>
      <c r="BD1382" s="128">
        <f>VLOOKUP($E1382,[2]Current!$A:$AC,26,FALSE)</f>
        <v>0</v>
      </c>
      <c r="BE1382" s="128">
        <f>BD1382/$AS1382</f>
        <v>0</v>
      </c>
      <c r="BF1382" s="130">
        <f>IF(BG1382&gt;0,1,0)</f>
        <v>0</v>
      </c>
      <c r="BG1382" s="137">
        <f>VLOOKUP($E1382,[2]Current!$A:$AC,27,FALSE)</f>
        <v>0</v>
      </c>
      <c r="BH1382" s="128">
        <f>BG1382/$AS1382</f>
        <v>0</v>
      </c>
      <c r="BI1382" s="130">
        <f>IF(BJ1382&gt;0,1,0)</f>
        <v>0</v>
      </c>
      <c r="BJ1382" s="128">
        <f>VLOOKUP($E1382,[2]Current!$A:$AC,28,FALSE)</f>
        <v>0</v>
      </c>
      <c r="BK1382" s="128">
        <f>BJ1382/$AS1382</f>
        <v>0</v>
      </c>
      <c r="BL1382" s="128">
        <f>IF(BM1382&gt;0,1,0)</f>
        <v>0</v>
      </c>
      <c r="BM1382" s="128">
        <f>SUM(BR1382,BU1382,BX1382,CA1382,CD1382)</f>
        <v>0</v>
      </c>
      <c r="BN1382" s="131">
        <f>SUM(BT1382,BW1382,BZ1382,CC1382,CF1382)</f>
        <v>0</v>
      </c>
      <c r="BO1382" s="128">
        <f>IF(BP1382&gt;0,1,0)</f>
        <v>0</v>
      </c>
      <c r="BP1382" s="128">
        <f>BM1382+CJ1382</f>
        <v>0</v>
      </c>
      <c r="BQ1382" s="128">
        <f>BN1382+CL1382</f>
        <v>0</v>
      </c>
      <c r="BR1382" s="130">
        <f>IF(BS1382&gt;0,1,0)</f>
        <v>0</v>
      </c>
      <c r="BS1382" s="128">
        <f>VLOOKUP($E1382,[2]Current!$A:$AC,12,FALSE)</f>
        <v>0</v>
      </c>
      <c r="BT1382" s="137">
        <f>BS1382/$AS1382</f>
        <v>0</v>
      </c>
      <c r="BU1382" s="130">
        <f>IF(BV1382&gt;0,1,0)</f>
        <v>0</v>
      </c>
      <c r="BV1382" s="128">
        <f>VLOOKUP($E1382,[2]Current!$A:$AC,13,FALSE)</f>
        <v>0</v>
      </c>
      <c r="BW1382" s="128">
        <f>BV1382/$AS1382</f>
        <v>0</v>
      </c>
      <c r="BX1382" s="130">
        <f>IF(BY1382&gt;0,1,0)</f>
        <v>0</v>
      </c>
      <c r="BY1382" s="128">
        <f>VLOOKUP($E1382,[2]Current!$A:$AC,14,FALSE)</f>
        <v>0</v>
      </c>
      <c r="BZ1382" s="128">
        <f>BY1382/$AS1382</f>
        <v>0</v>
      </c>
      <c r="CA1382" s="130">
        <f>IF(CB1382&gt;0,1,0)</f>
        <v>0</v>
      </c>
      <c r="CB1382" s="128">
        <f>VLOOKUP($E1382,[2]Current!$A:$AC,15,FALSE)</f>
        <v>0</v>
      </c>
      <c r="CC1382" s="128">
        <f>CB1382/$AS1382</f>
        <v>0</v>
      </c>
      <c r="CD1382" s="174">
        <f>IF(CE1382&gt;0,1,0)</f>
        <v>0</v>
      </c>
      <c r="CE1382" s="128">
        <f>VLOOKUP($E1382,[2]Current!$A:$AC,16,FALSE)</f>
        <v>0</v>
      </c>
      <c r="CF1382" s="128">
        <f>CE1382/$AS1382</f>
        <v>0</v>
      </c>
      <c r="CG1382" s="18"/>
      <c r="CH1382" s="18"/>
      <c r="CI1382" s="18"/>
      <c r="CJ1382" s="130">
        <f>IF(CK1382&gt;0,1,0)</f>
        <v>0</v>
      </c>
      <c r="CK1382" s="128">
        <f>VLOOKUP($E1382,[2]Current!$A:$AC,18,FALSE)</f>
        <v>0</v>
      </c>
      <c r="CL1382" s="128">
        <f>CK1382/$AS1382</f>
        <v>0</v>
      </c>
      <c r="CS1382" s="130">
        <f>IF(CU1382&gt;0,1,0)</f>
        <v>0</v>
      </c>
      <c r="CU1382" s="128">
        <f>VLOOKUP($E1382,[2]Current!$A:$AC,17,FALSE)</f>
        <v>0</v>
      </c>
      <c r="CV1382" s="128">
        <f>CU1382/$AS1382</f>
        <v>0</v>
      </c>
      <c r="CW1382" s="18"/>
      <c r="CX1382" s="18"/>
      <c r="CY1382" s="18"/>
      <c r="DF1382" s="16" t="e">
        <f>VLOOKUP(K1382,'[3]RNA Seq summary tables'!$V$3:$V$99,1,FALSE)</f>
        <v>#N/A</v>
      </c>
      <c r="DG1382" s="126" t="s">
        <v>116</v>
      </c>
    </row>
    <row r="1383" spans="1:288" ht="16" x14ac:dyDescent="0.2">
      <c r="B1383" s="16">
        <v>2018</v>
      </c>
      <c r="C1383" s="124">
        <v>43303</v>
      </c>
      <c r="D1383" t="s">
        <v>1035</v>
      </c>
      <c r="E1383" s="142" t="str">
        <f>CONCATENATE(T1383,"-",U1383,"-",C1383)</f>
        <v>BC2-H6-43303</v>
      </c>
      <c r="F1383" s="16" t="s">
        <v>227</v>
      </c>
      <c r="G1383" s="126" t="s">
        <v>107</v>
      </c>
      <c r="H1383" s="126"/>
      <c r="J1383" s="126">
        <v>1512</v>
      </c>
      <c r="K1383" s="126">
        <v>2676</v>
      </c>
      <c r="O1383" s="15" t="s">
        <v>214</v>
      </c>
      <c r="Q1383" s="16">
        <f t="shared" si="10"/>
        <v>1</v>
      </c>
      <c r="R1383" s="16">
        <f t="shared" si="9"/>
        <v>11</v>
      </c>
      <c r="T1383" s="126" t="s">
        <v>154</v>
      </c>
      <c r="U1383" s="126" t="s">
        <v>141</v>
      </c>
      <c r="V1383" s="126" t="s">
        <v>114</v>
      </c>
      <c r="X1383" s="126" t="s">
        <v>115</v>
      </c>
      <c r="Y1383" s="126" t="s">
        <v>110</v>
      </c>
      <c r="Z1383" s="126">
        <v>3</v>
      </c>
      <c r="AA1383" s="126"/>
      <c r="AB1383" s="126"/>
      <c r="AC1383" s="126"/>
      <c r="AD1383" s="126" t="s">
        <v>123</v>
      </c>
      <c r="AE1383" s="126" t="s">
        <v>123</v>
      </c>
      <c r="AG1383" s="40">
        <f>AH1383-AI1383</f>
        <v>86</v>
      </c>
      <c r="AH1383" s="126">
        <v>157</v>
      </c>
      <c r="AI1383" s="126">
        <v>71</v>
      </c>
      <c r="AK1383" s="126">
        <v>19</v>
      </c>
      <c r="AL1383" s="126">
        <v>0</v>
      </c>
      <c r="AM1383" s="126">
        <v>1</v>
      </c>
      <c r="AN1383" s="126">
        <v>0</v>
      </c>
      <c r="AO1383" s="16">
        <f>IF(SUM(AL1383:AN1383)&gt;0,1,0)</f>
        <v>1</v>
      </c>
      <c r="AP1383" s="18">
        <f>SUM(AL1383:AN1383)</f>
        <v>1</v>
      </c>
      <c r="AR1383" s="16">
        <v>0.34800000000000009</v>
      </c>
      <c r="AS1383" s="16">
        <f>VLOOKUP(E1383,'[1]Feces weights'!$D$1:$H$459,5,FALSE)</f>
        <v>0.34800000000000009</v>
      </c>
      <c r="AT1383" s="16" t="e">
        <f>VLOOKUP(E1383,[2]Current!$A$1:$W$435,7,FALSE)</f>
        <v>#N/A</v>
      </c>
      <c r="AU1383" s="16">
        <v>0</v>
      </c>
      <c r="BG1383" s="77"/>
      <c r="BN1383" s="126"/>
      <c r="BT1383" s="78"/>
      <c r="BU1383" s="18"/>
      <c r="BV1383" s="18"/>
      <c r="BW1383" s="25"/>
      <c r="BX1383" s="18"/>
      <c r="BY1383" s="18"/>
      <c r="BZ1383" s="25"/>
      <c r="CA1383" s="18"/>
      <c r="CB1383" s="18"/>
      <c r="CC1383" s="25"/>
      <c r="CD1383" s="78"/>
      <c r="CE1383" s="18"/>
      <c r="CF1383" s="25"/>
      <c r="CG1383" s="18"/>
      <c r="CH1383" s="18"/>
      <c r="CI1383" s="18"/>
      <c r="CJ1383" s="18"/>
      <c r="CK1383" s="18"/>
      <c r="CL1383" s="25"/>
      <c r="DF1383" s="16" t="e">
        <f>VLOOKUP(K1383,'[3]RNA Seq summary tables'!$V$3:$V$99,1,FALSE)</f>
        <v>#N/A</v>
      </c>
      <c r="DG1383" s="126" t="s">
        <v>116</v>
      </c>
    </row>
    <row r="1384" spans="1:288" ht="16" x14ac:dyDescent="0.2">
      <c r="B1384" s="16">
        <v>2018</v>
      </c>
      <c r="C1384" s="124">
        <v>43276</v>
      </c>
      <c r="D1384" t="s">
        <v>858</v>
      </c>
      <c r="E1384" s="37" t="str">
        <f>CONCATENATE(T1384,"-",U1384,"-",C1384)</f>
        <v>BC2-A1-43276</v>
      </c>
      <c r="F1384" s="16" t="s">
        <v>227</v>
      </c>
      <c r="G1384" s="126" t="s">
        <v>107</v>
      </c>
      <c r="H1384" s="126"/>
      <c r="J1384" s="126">
        <v>1514</v>
      </c>
      <c r="K1384" s="126">
        <v>2497</v>
      </c>
      <c r="O1384" s="15" t="s">
        <v>214</v>
      </c>
      <c r="Q1384" s="16">
        <f t="shared" si="10"/>
        <v>0</v>
      </c>
      <c r="R1384" s="16" t="str">
        <f t="shared" si="9"/>
        <v/>
      </c>
      <c r="T1384" s="126" t="s">
        <v>154</v>
      </c>
      <c r="U1384" s="126" t="s">
        <v>210</v>
      </c>
      <c r="V1384" s="126" t="s">
        <v>114</v>
      </c>
      <c r="X1384" s="126" t="s">
        <v>121</v>
      </c>
      <c r="Y1384" s="126" t="s">
        <v>122</v>
      </c>
      <c r="Z1384" s="126">
        <v>2.6</v>
      </c>
      <c r="AA1384" s="126" t="s">
        <v>123</v>
      </c>
      <c r="AB1384" s="126" t="s">
        <v>123</v>
      </c>
      <c r="AC1384" s="126" t="s">
        <v>123</v>
      </c>
      <c r="AD1384" s="126"/>
      <c r="AE1384" s="126"/>
      <c r="AG1384" s="16">
        <f>AH1384-AI1384</f>
        <v>73</v>
      </c>
      <c r="AH1384" s="126">
        <v>135</v>
      </c>
      <c r="AI1384" s="126">
        <v>62</v>
      </c>
      <c r="AK1384" s="126">
        <v>14</v>
      </c>
      <c r="AL1384" s="126">
        <v>0</v>
      </c>
      <c r="AM1384" s="126">
        <v>0</v>
      </c>
      <c r="AN1384" s="126">
        <v>0</v>
      </c>
      <c r="AO1384" s="16">
        <f>IF(SUM(AL1384:AN1384)&gt;0,1,0)</f>
        <v>0</v>
      </c>
      <c r="AP1384" s="18">
        <f>SUM(AL1384:AN1384)</f>
        <v>0</v>
      </c>
      <c r="AR1384" s="16">
        <v>2.0000000000000018E-2</v>
      </c>
      <c r="AS1384" s="16">
        <f>VLOOKUP(E1384,'[1]Feces weights'!$D$1:$H$459,5,FALSE)</f>
        <v>2.0000000000000018E-2</v>
      </c>
      <c r="AT1384" s="16" t="str">
        <f>VLOOKUP(E1384,[2]Current!$A$1:$W$435,7,FALSE)</f>
        <v>TE</v>
      </c>
      <c r="AU1384" s="16" t="s">
        <v>1288</v>
      </c>
      <c r="AW1384" s="128">
        <f>IF(AX1384&gt;0,1,0)</f>
        <v>1</v>
      </c>
      <c r="AX1384" s="128">
        <f>SUM(BA1384,BM1384,CU1384)</f>
        <v>2</v>
      </c>
      <c r="AY1384" s="128">
        <f>SUM(BB1384,BN1384,CV1384)</f>
        <v>899.99999999999932</v>
      </c>
      <c r="AZ1384" s="128">
        <f>IF(BA1384&gt;0,1,0)</f>
        <v>1</v>
      </c>
      <c r="BA1384" s="128">
        <f>SUM(BC1384+BF1384+BI1384)</f>
        <v>2</v>
      </c>
      <c r="BB1384" s="128">
        <f>SUM(BE1384,BH1384,BK1384)</f>
        <v>899.99999999999932</v>
      </c>
      <c r="BC1384" s="130">
        <f>IF(BD1384&gt;0,1,0)</f>
        <v>0</v>
      </c>
      <c r="BD1384" s="128">
        <f>VLOOKUP($E1384,[2]Current!$A:$AC,26,FALSE)</f>
        <v>0</v>
      </c>
      <c r="BE1384" s="128">
        <f>BD1384/$AS1384</f>
        <v>0</v>
      </c>
      <c r="BF1384" s="130">
        <f>IF(BG1384&gt;0,1,0)</f>
        <v>1</v>
      </c>
      <c r="BG1384" s="137">
        <f>VLOOKUP($E1384,[2]Current!$A:$AC,27,FALSE)</f>
        <v>4</v>
      </c>
      <c r="BH1384" s="128">
        <f>BG1384/$AS1384</f>
        <v>199.99999999999983</v>
      </c>
      <c r="BI1384" s="130">
        <f>IF(BJ1384&gt;0,1,0)</f>
        <v>1</v>
      </c>
      <c r="BJ1384" s="128">
        <f>VLOOKUP($E1384,[2]Current!$A:$AC,28,FALSE)</f>
        <v>14</v>
      </c>
      <c r="BK1384" s="128">
        <f>BJ1384/$AS1384</f>
        <v>699.99999999999943</v>
      </c>
      <c r="BL1384" s="128">
        <f>IF(BM1384&gt;0,1,0)</f>
        <v>0</v>
      </c>
      <c r="BM1384" s="128">
        <f>SUM(BR1384,BU1384,BX1384,CA1384,CD1384)</f>
        <v>0</v>
      </c>
      <c r="BN1384" s="131">
        <f>SUM(BT1384,BW1384,BZ1384,CC1384,CF1384)</f>
        <v>0</v>
      </c>
      <c r="BO1384" s="128">
        <f>IF(BP1384&gt;0,1,0)</f>
        <v>0</v>
      </c>
      <c r="BP1384" s="128">
        <f>BM1384+CJ1384</f>
        <v>0</v>
      </c>
      <c r="BQ1384" s="128">
        <f>BN1384+CL1384</f>
        <v>0</v>
      </c>
      <c r="BR1384" s="130">
        <f>IF(BS1384&gt;0,1,0)</f>
        <v>0</v>
      </c>
      <c r="BS1384" s="128">
        <f>VLOOKUP($E1384,[2]Current!$A:$AC,12,FALSE)</f>
        <v>0</v>
      </c>
      <c r="BT1384" s="137">
        <f>BS1384/$AS1384</f>
        <v>0</v>
      </c>
      <c r="BU1384" s="130">
        <f>IF(BV1384&gt;0,1,0)</f>
        <v>0</v>
      </c>
      <c r="BV1384" s="128">
        <f>VLOOKUP($E1384,[2]Current!$A:$AC,13,FALSE)</f>
        <v>0</v>
      </c>
      <c r="BW1384" s="128">
        <f>BV1384/$AS1384</f>
        <v>0</v>
      </c>
      <c r="BX1384" s="130">
        <f>IF(BY1384&gt;0,1,0)</f>
        <v>0</v>
      </c>
      <c r="BY1384" s="128">
        <f>VLOOKUP($E1384,[2]Current!$A:$AC,14,FALSE)</f>
        <v>0</v>
      </c>
      <c r="BZ1384" s="128">
        <f>BY1384/$AS1384</f>
        <v>0</v>
      </c>
      <c r="CA1384" s="130">
        <f>IF(CB1384&gt;0,1,0)</f>
        <v>0</v>
      </c>
      <c r="CB1384" s="128">
        <f>VLOOKUP($E1384,[2]Current!$A:$AC,15,FALSE)</f>
        <v>0</v>
      </c>
      <c r="CC1384" s="128">
        <f>CB1384/$AS1384</f>
        <v>0</v>
      </c>
      <c r="CD1384" s="174">
        <f>IF(CE1384&gt;0,1,0)</f>
        <v>0</v>
      </c>
      <c r="CE1384" s="128">
        <f>VLOOKUP($E1384,[2]Current!$A:$AC,16,FALSE)</f>
        <v>0</v>
      </c>
      <c r="CF1384" s="128">
        <f>CE1384/$AS1384</f>
        <v>0</v>
      </c>
      <c r="CG1384" s="18"/>
      <c r="CH1384" s="18"/>
      <c r="CI1384" s="18"/>
      <c r="CJ1384" s="130">
        <f>IF(CK1384&gt;0,1,0)</f>
        <v>0</v>
      </c>
      <c r="CK1384" s="128">
        <f>VLOOKUP($E1384,[2]Current!$A:$AC,18,FALSE)</f>
        <v>0</v>
      </c>
      <c r="CL1384" s="128">
        <f>CK1384/$AS1384</f>
        <v>0</v>
      </c>
      <c r="CS1384" s="130">
        <f>IF(CU1384&gt;0,1,0)</f>
        <v>0</v>
      </c>
      <c r="CU1384" s="128">
        <f>VLOOKUP($E1384,[2]Current!$A:$AC,17,FALSE)</f>
        <v>0</v>
      </c>
      <c r="CV1384" s="128">
        <f>CU1384/$AS1384</f>
        <v>0</v>
      </c>
      <c r="CW1384" s="18"/>
      <c r="CX1384" s="18"/>
      <c r="CY1384" s="18"/>
      <c r="DF1384" s="16" t="e">
        <f>VLOOKUP(K1384,'[3]RNA Seq summary tables'!$V$3:$V$99,1,FALSE)</f>
        <v>#N/A</v>
      </c>
      <c r="DG1384" s="126" t="s">
        <v>123</v>
      </c>
    </row>
    <row r="1385" spans="1:288" ht="16" x14ac:dyDescent="0.2">
      <c r="B1385" s="16">
        <v>2018</v>
      </c>
      <c r="C1385" s="124">
        <v>43277</v>
      </c>
      <c r="D1385" t="s">
        <v>870</v>
      </c>
      <c r="E1385" s="37" t="str">
        <f>CONCATENATE(T1385,"-",U1385,"-",C1385)</f>
        <v>HW1-B3-43277</v>
      </c>
      <c r="F1385" s="16" t="s">
        <v>227</v>
      </c>
      <c r="G1385" s="126" t="s">
        <v>107</v>
      </c>
      <c r="H1385" s="126"/>
      <c r="J1385" s="126">
        <v>1516</v>
      </c>
      <c r="K1385" s="126">
        <v>2511</v>
      </c>
      <c r="O1385" s="15" t="s">
        <v>214</v>
      </c>
      <c r="Q1385" s="16">
        <f t="shared" si="10"/>
        <v>0</v>
      </c>
      <c r="R1385" s="16" t="str">
        <f t="shared" si="9"/>
        <v/>
      </c>
      <c r="T1385" s="126" t="s">
        <v>133</v>
      </c>
      <c r="U1385" s="126" t="s">
        <v>131</v>
      </c>
      <c r="V1385" s="126" t="s">
        <v>114</v>
      </c>
      <c r="X1385" s="126" t="s">
        <v>121</v>
      </c>
      <c r="Y1385" s="126" t="s">
        <v>145</v>
      </c>
      <c r="Z1385" s="126">
        <v>1</v>
      </c>
      <c r="AA1385" s="126" t="s">
        <v>123</v>
      </c>
      <c r="AB1385" s="126" t="s">
        <v>123</v>
      </c>
      <c r="AC1385" s="126" t="s">
        <v>123</v>
      </c>
      <c r="AD1385" s="126"/>
      <c r="AE1385" s="126"/>
      <c r="AG1385" s="16">
        <f>AH1385-AI1385</f>
        <v>71</v>
      </c>
      <c r="AH1385" s="126">
        <v>132</v>
      </c>
      <c r="AI1385" s="126">
        <v>61</v>
      </c>
      <c r="AK1385" s="126">
        <v>13</v>
      </c>
      <c r="AL1385" s="126">
        <v>0</v>
      </c>
      <c r="AM1385" s="126">
        <v>0</v>
      </c>
      <c r="AN1385" s="126">
        <v>0</v>
      </c>
      <c r="AO1385" s="16">
        <f>IF(SUM(AL1385:AN1385)&gt;0,1,0)</f>
        <v>0</v>
      </c>
      <c r="AP1385" s="18">
        <f>SUM(AL1385:AN1385)</f>
        <v>0</v>
      </c>
      <c r="AR1385" s="16">
        <v>0.33300000000000018</v>
      </c>
      <c r="AS1385" s="16">
        <f>VLOOKUP(E1385,'[1]Feces weights'!$D$1:$H$459,5,FALSE)</f>
        <v>0.33300000000000018</v>
      </c>
      <c r="AT1385" s="16" t="str">
        <f>VLOOKUP(E1385,[2]Current!$A$1:$W$435,7,FALSE)</f>
        <v>DP</v>
      </c>
      <c r="AU1385" s="16" t="s">
        <v>1288</v>
      </c>
      <c r="AW1385" s="128">
        <f>IF(AX1385&gt;0,1,0)</f>
        <v>1</v>
      </c>
      <c r="AX1385" s="128">
        <f>SUM(BA1385,BM1385,CU1385)</f>
        <v>3</v>
      </c>
      <c r="AY1385" s="128">
        <f>SUM(BB1385,BN1385,CV1385)</f>
        <v>27195.195195195178</v>
      </c>
      <c r="AZ1385" s="128">
        <f>IF(BA1385&gt;0,1,0)</f>
        <v>1</v>
      </c>
      <c r="BA1385" s="128">
        <f>SUM(BC1385+BF1385+BI1385)</f>
        <v>3</v>
      </c>
      <c r="BB1385" s="128">
        <f>SUM(BE1385,BH1385,BK1385)</f>
        <v>27195.195195195178</v>
      </c>
      <c r="BC1385" s="130">
        <f>IF(BD1385&gt;0,1,0)</f>
        <v>1</v>
      </c>
      <c r="BD1385" s="128">
        <f>VLOOKUP($E1385,[2]Current!$A:$AC,26,FALSE)</f>
        <v>24</v>
      </c>
      <c r="BE1385" s="128">
        <f>BD1385/$AS1385</f>
        <v>72.072072072072032</v>
      </c>
      <c r="BF1385" s="130">
        <f>IF(BG1385&gt;0,1,0)</f>
        <v>1</v>
      </c>
      <c r="BG1385" s="137">
        <f>VLOOKUP($E1385,[2]Current!$A:$AC,27,FALSE)</f>
        <v>7832</v>
      </c>
      <c r="BH1385" s="128">
        <f>BG1385/$AS1385</f>
        <v>23519.519519519505</v>
      </c>
      <c r="BI1385" s="130">
        <f>IF(BJ1385&gt;0,1,0)</f>
        <v>1</v>
      </c>
      <c r="BJ1385" s="128">
        <f>VLOOKUP($E1385,[2]Current!$A:$AC,28,FALSE)</f>
        <v>1200</v>
      </c>
      <c r="BK1385" s="128">
        <f>BJ1385/$AS1385</f>
        <v>3603.6036036036016</v>
      </c>
      <c r="BL1385" s="128">
        <f>IF(BM1385&gt;0,1,0)</f>
        <v>0</v>
      </c>
      <c r="BM1385" s="128">
        <f>SUM(BR1385,BU1385,BX1385,CA1385,CD1385)</f>
        <v>0</v>
      </c>
      <c r="BN1385" s="131">
        <f>SUM(BT1385,BW1385,BZ1385,CC1385,CF1385)</f>
        <v>0</v>
      </c>
      <c r="BO1385" s="128">
        <f>IF(BP1385&gt;0,1,0)</f>
        <v>0</v>
      </c>
      <c r="BP1385" s="128">
        <f>BM1385+CJ1385</f>
        <v>0</v>
      </c>
      <c r="BQ1385" s="128">
        <f>BN1385+CL1385</f>
        <v>0</v>
      </c>
      <c r="BR1385" s="130">
        <f>IF(BS1385&gt;0,1,0)</f>
        <v>0</v>
      </c>
      <c r="BS1385" s="128">
        <f>VLOOKUP($E1385,[2]Current!$A:$AC,12,FALSE)</f>
        <v>0</v>
      </c>
      <c r="BT1385" s="137">
        <f>BS1385/$AS1385</f>
        <v>0</v>
      </c>
      <c r="BU1385" s="130">
        <f>IF(BV1385&gt;0,1,0)</f>
        <v>0</v>
      </c>
      <c r="BV1385" s="128">
        <f>VLOOKUP($E1385,[2]Current!$A:$AC,13,FALSE)</f>
        <v>0</v>
      </c>
      <c r="BW1385" s="128">
        <f>BV1385/$AS1385</f>
        <v>0</v>
      </c>
      <c r="BX1385" s="130">
        <f>IF(BY1385&gt;0,1,0)</f>
        <v>0</v>
      </c>
      <c r="BY1385" s="128">
        <f>VLOOKUP($E1385,[2]Current!$A:$AC,14,FALSE)</f>
        <v>0</v>
      </c>
      <c r="BZ1385" s="128">
        <f>BY1385/$AS1385</f>
        <v>0</v>
      </c>
      <c r="CA1385" s="130">
        <f>IF(CB1385&gt;0,1,0)</f>
        <v>0</v>
      </c>
      <c r="CB1385" s="128">
        <f>VLOOKUP($E1385,[2]Current!$A:$AC,15,FALSE)</f>
        <v>0</v>
      </c>
      <c r="CC1385" s="128">
        <f>CB1385/$AS1385</f>
        <v>0</v>
      </c>
      <c r="CD1385" s="174">
        <f>IF(CE1385&gt;0,1,0)</f>
        <v>0</v>
      </c>
      <c r="CE1385" s="128">
        <f>VLOOKUP($E1385,[2]Current!$A:$AC,16,FALSE)</f>
        <v>0</v>
      </c>
      <c r="CF1385" s="128">
        <f>CE1385/$AS1385</f>
        <v>0</v>
      </c>
      <c r="CG1385" s="18"/>
      <c r="CH1385" s="18"/>
      <c r="CI1385" s="18"/>
      <c r="CJ1385" s="130">
        <f>IF(CK1385&gt;0,1,0)</f>
        <v>0</v>
      </c>
      <c r="CK1385" s="128">
        <f>VLOOKUP($E1385,[2]Current!$A:$AC,18,FALSE)</f>
        <v>0</v>
      </c>
      <c r="CL1385" s="128">
        <f>CK1385/$AS1385</f>
        <v>0</v>
      </c>
      <c r="CS1385" s="130">
        <f>IF(CU1385&gt;0,1,0)</f>
        <v>0</v>
      </c>
      <c r="CT1385" s="30"/>
      <c r="CU1385" s="128">
        <f>VLOOKUP($E1385,[2]Current!$A:$AC,17,FALSE)</f>
        <v>0</v>
      </c>
      <c r="CV1385" s="128">
        <f>CU1385/$AS1385</f>
        <v>0</v>
      </c>
      <c r="CW1385" s="18"/>
      <c r="CX1385" s="18"/>
      <c r="CY1385" s="18"/>
      <c r="DF1385" s="16" t="e">
        <f>VLOOKUP(K1385,'[3]RNA Seq summary tables'!$V$3:$V$99,1,FALSE)</f>
        <v>#N/A</v>
      </c>
      <c r="DG1385" s="126" t="s">
        <v>123</v>
      </c>
    </row>
    <row r="1386" spans="1:288" ht="16" x14ac:dyDescent="0.2">
      <c r="B1386" s="16">
        <v>2018</v>
      </c>
      <c r="C1386" s="124">
        <v>43277</v>
      </c>
      <c r="D1386" t="s">
        <v>863</v>
      </c>
      <c r="E1386" s="37" t="str">
        <f>CONCATENATE(T1386,"-",U1386,"-",C1386)</f>
        <v>HW1-E4-43277</v>
      </c>
      <c r="F1386" s="16" t="s">
        <v>227</v>
      </c>
      <c r="G1386" s="126" t="s">
        <v>107</v>
      </c>
      <c r="H1386" s="126"/>
      <c r="J1386" s="126">
        <v>1519</v>
      </c>
      <c r="K1386" s="126">
        <v>2517</v>
      </c>
      <c r="O1386" s="15" t="s">
        <v>214</v>
      </c>
      <c r="Q1386" s="16">
        <f t="shared" si="10"/>
        <v>0</v>
      </c>
      <c r="R1386" s="16" t="str">
        <f t="shared" si="9"/>
        <v/>
      </c>
      <c r="T1386" s="126" t="s">
        <v>133</v>
      </c>
      <c r="U1386" s="126" t="s">
        <v>206</v>
      </c>
      <c r="V1386" s="126" t="s">
        <v>114</v>
      </c>
      <c r="X1386" s="126" t="s">
        <v>115</v>
      </c>
      <c r="Y1386" s="126" t="s">
        <v>110</v>
      </c>
      <c r="Z1386" s="126">
        <v>3</v>
      </c>
      <c r="AA1386" s="126"/>
      <c r="AB1386" s="126"/>
      <c r="AC1386" s="126"/>
      <c r="AD1386" s="126"/>
      <c r="AE1386" s="126" t="s">
        <v>123</v>
      </c>
      <c r="AG1386" s="16">
        <f>AH1386-AI1386</f>
        <v>79</v>
      </c>
      <c r="AH1386" s="126">
        <v>152</v>
      </c>
      <c r="AI1386" s="126">
        <v>73</v>
      </c>
      <c r="AK1386" s="126">
        <v>16.5</v>
      </c>
      <c r="AL1386" s="126">
        <v>0</v>
      </c>
      <c r="AM1386" s="126">
        <v>0</v>
      </c>
      <c r="AN1386" s="126">
        <v>0</v>
      </c>
      <c r="AO1386" s="16">
        <f>IF(SUM(AL1386:AN1386)&gt;0,1,0)</f>
        <v>0</v>
      </c>
      <c r="AP1386" s="18">
        <f>SUM(AL1386:AN1386)</f>
        <v>0</v>
      </c>
      <c r="AR1386" s="16">
        <v>0.17800000000000016</v>
      </c>
      <c r="AS1386" s="16">
        <f>VLOOKUP(E1386,'[1]Feces weights'!$D$1:$H$459,5,FALSE)</f>
        <v>0.17800000000000016</v>
      </c>
      <c r="AT1386" s="16" t="str">
        <f>VLOOKUP(E1386,[2]Current!$A$1:$W$435,7,FALSE)</f>
        <v>LV</v>
      </c>
      <c r="AU1386" s="16" t="s">
        <v>1288</v>
      </c>
      <c r="AW1386" s="128">
        <f>IF(AX1386&gt;0,1,0)</f>
        <v>1</v>
      </c>
      <c r="AX1386" s="128">
        <f>SUM(BA1386,BM1386,CU1386)</f>
        <v>1</v>
      </c>
      <c r="AY1386" s="128">
        <f>SUM(BB1386,BN1386,CV1386)</f>
        <v>22.471910112359531</v>
      </c>
      <c r="AZ1386" s="128">
        <f>IF(BA1386&gt;0,1,0)</f>
        <v>1</v>
      </c>
      <c r="BA1386" s="128">
        <f>SUM(BC1386+BF1386+BI1386)</f>
        <v>1</v>
      </c>
      <c r="BB1386" s="128">
        <f>SUM(BE1386,BH1386,BK1386)</f>
        <v>22.471910112359531</v>
      </c>
      <c r="BC1386" s="130">
        <f>IF(BD1386&gt;0,1,0)</f>
        <v>0</v>
      </c>
      <c r="BD1386" s="128">
        <f>VLOOKUP($E1386,[2]Current!$A:$AC,26,FALSE)</f>
        <v>0</v>
      </c>
      <c r="BE1386" s="128">
        <f>BD1386/$AS1386</f>
        <v>0</v>
      </c>
      <c r="BF1386" s="130">
        <f>IF(BG1386&gt;0,1,0)</f>
        <v>1</v>
      </c>
      <c r="BG1386" s="137">
        <f>VLOOKUP($E1386,[2]Current!$A:$AC,27,FALSE)</f>
        <v>4</v>
      </c>
      <c r="BH1386" s="128">
        <f>BG1386/$AS1386</f>
        <v>22.471910112359531</v>
      </c>
      <c r="BI1386" s="130">
        <f>IF(BJ1386&gt;0,1,0)</f>
        <v>0</v>
      </c>
      <c r="BJ1386" s="128">
        <f>VLOOKUP($E1386,[2]Current!$A:$AC,28,FALSE)</f>
        <v>0</v>
      </c>
      <c r="BK1386" s="128">
        <f>BJ1386/$AS1386</f>
        <v>0</v>
      </c>
      <c r="BL1386" s="128">
        <f>IF(BM1386&gt;0,1,0)</f>
        <v>0</v>
      </c>
      <c r="BM1386" s="128">
        <f>SUM(BR1386,BU1386,BX1386,CA1386,CD1386)</f>
        <v>0</v>
      </c>
      <c r="BN1386" s="131">
        <f>SUM(BT1386,BW1386,BZ1386,CC1386,CF1386)</f>
        <v>0</v>
      </c>
      <c r="BO1386" s="128">
        <f>IF(BP1386&gt;0,1,0)</f>
        <v>0</v>
      </c>
      <c r="BP1386" s="128">
        <f>BM1386+CJ1386</f>
        <v>0</v>
      </c>
      <c r="BQ1386" s="128">
        <f>BN1386+CL1386</f>
        <v>0</v>
      </c>
      <c r="BR1386" s="130">
        <f>IF(BS1386&gt;0,1,0)</f>
        <v>0</v>
      </c>
      <c r="BS1386" s="128">
        <f>VLOOKUP($E1386,[2]Current!$A:$AC,12,FALSE)</f>
        <v>0</v>
      </c>
      <c r="BT1386" s="137">
        <f>BS1386/$AS1386</f>
        <v>0</v>
      </c>
      <c r="BU1386" s="130">
        <f>IF(BV1386&gt;0,1,0)</f>
        <v>0</v>
      </c>
      <c r="BV1386" s="128">
        <f>VLOOKUP($E1386,[2]Current!$A:$AC,13,FALSE)</f>
        <v>0</v>
      </c>
      <c r="BW1386" s="128">
        <f>BV1386/$AS1386</f>
        <v>0</v>
      </c>
      <c r="BX1386" s="130">
        <f>IF(BY1386&gt;0,1,0)</f>
        <v>0</v>
      </c>
      <c r="BY1386" s="128">
        <f>VLOOKUP($E1386,[2]Current!$A:$AC,14,FALSE)</f>
        <v>0</v>
      </c>
      <c r="BZ1386" s="128">
        <f>BY1386/$AS1386</f>
        <v>0</v>
      </c>
      <c r="CA1386" s="130">
        <f>IF(CB1386&gt;0,1,0)</f>
        <v>0</v>
      </c>
      <c r="CB1386" s="128">
        <f>VLOOKUP($E1386,[2]Current!$A:$AC,15,FALSE)</f>
        <v>0</v>
      </c>
      <c r="CC1386" s="128">
        <f>CB1386/$AS1386</f>
        <v>0</v>
      </c>
      <c r="CD1386" s="174">
        <f>IF(CE1386&gt;0,1,0)</f>
        <v>0</v>
      </c>
      <c r="CE1386" s="128">
        <f>VLOOKUP($E1386,[2]Current!$A:$AC,16,FALSE)</f>
        <v>0</v>
      </c>
      <c r="CF1386" s="128">
        <f>CE1386/$AS1386</f>
        <v>0</v>
      </c>
      <c r="CG1386" s="18"/>
      <c r="CH1386" s="18"/>
      <c r="CI1386" s="18"/>
      <c r="CJ1386" s="130">
        <f>IF(CK1386&gt;0,1,0)</f>
        <v>0</v>
      </c>
      <c r="CK1386" s="128">
        <f>VLOOKUP($E1386,[2]Current!$A:$AC,18,FALSE)</f>
        <v>0</v>
      </c>
      <c r="CL1386" s="128">
        <f>CK1386/$AS1386</f>
        <v>0</v>
      </c>
      <c r="CS1386" s="130">
        <f>IF(CU1386&gt;0,1,0)</f>
        <v>0</v>
      </c>
      <c r="CU1386" s="128">
        <f>VLOOKUP($E1386,[2]Current!$A:$AC,17,FALSE)</f>
        <v>0</v>
      </c>
      <c r="CV1386" s="128">
        <f>CU1386/$AS1386</f>
        <v>0</v>
      </c>
      <c r="CW1386" s="18"/>
      <c r="CX1386" s="18"/>
      <c r="CY1386" s="18"/>
      <c r="DF1386" s="16" t="e">
        <f>VLOOKUP(K1386,'[3]RNA Seq summary tables'!$V$3:$V$99,1,FALSE)</f>
        <v>#N/A</v>
      </c>
      <c r="DG1386" s="126" t="s">
        <v>116</v>
      </c>
    </row>
    <row r="1387" spans="1:288" ht="16" x14ac:dyDescent="0.2">
      <c r="B1387" s="16">
        <v>2018</v>
      </c>
      <c r="C1387" s="124">
        <v>43295</v>
      </c>
      <c r="D1387" t="s">
        <v>977</v>
      </c>
      <c r="E1387" s="142" t="str">
        <f>CONCATENATE(T1387,"-",U1387,"-",C1387)</f>
        <v>HW1-A7-43295</v>
      </c>
      <c r="F1387" s="16" t="s">
        <v>227</v>
      </c>
      <c r="G1387" s="126" t="s">
        <v>107</v>
      </c>
      <c r="H1387" s="126"/>
      <c r="J1387" s="126">
        <v>1519</v>
      </c>
      <c r="K1387" s="126">
        <v>2617</v>
      </c>
      <c r="O1387" s="15" t="s">
        <v>214</v>
      </c>
      <c r="Q1387" s="16">
        <f t="shared" si="10"/>
        <v>1</v>
      </c>
      <c r="R1387" s="16">
        <f t="shared" si="9"/>
        <v>18</v>
      </c>
      <c r="T1387" s="126" t="s">
        <v>133</v>
      </c>
      <c r="U1387" s="126" t="s">
        <v>120</v>
      </c>
      <c r="V1387" s="126" t="s">
        <v>114</v>
      </c>
      <c r="X1387" s="126" t="s">
        <v>115</v>
      </c>
      <c r="Y1387" s="126" t="s">
        <v>110</v>
      </c>
      <c r="Z1387" s="126">
        <v>3</v>
      </c>
      <c r="AA1387" s="126"/>
      <c r="AB1387" s="126"/>
      <c r="AC1387" s="126"/>
      <c r="AD1387" s="126" t="s">
        <v>123</v>
      </c>
      <c r="AE1387" s="126" t="s">
        <v>123</v>
      </c>
      <c r="AG1387" s="16">
        <f>AH1387-AI1387</f>
        <v>83</v>
      </c>
      <c r="AH1387" s="126">
        <v>156</v>
      </c>
      <c r="AI1387" s="126">
        <v>73</v>
      </c>
      <c r="AK1387" s="126">
        <v>15</v>
      </c>
      <c r="AL1387" s="126">
        <v>0</v>
      </c>
      <c r="AM1387" s="126">
        <v>0</v>
      </c>
      <c r="AN1387" s="126">
        <v>0</v>
      </c>
      <c r="AO1387" s="16">
        <f>IF(SUM(AL1387:AN1387)&gt;0,1,0)</f>
        <v>0</v>
      </c>
      <c r="AP1387" s="18">
        <f>SUM(AL1387:AN1387)</f>
        <v>0</v>
      </c>
      <c r="AR1387" s="16">
        <v>0.24700000000000011</v>
      </c>
      <c r="AS1387" s="16">
        <f>VLOOKUP(E1387,'[1]Feces weights'!$D$1:$H$459,5,FALSE)</f>
        <v>0.24700000000000011</v>
      </c>
      <c r="AT1387" s="16" t="e">
        <f>VLOOKUP(E1387,[2]Current!$A$1:$W$435,7,FALSE)</f>
        <v>#N/A</v>
      </c>
      <c r="AU1387" s="16">
        <v>0</v>
      </c>
      <c r="BG1387" s="77"/>
      <c r="BN1387" s="126"/>
      <c r="BT1387" s="78"/>
      <c r="BU1387" s="18"/>
      <c r="BV1387" s="18"/>
      <c r="BW1387" s="25"/>
      <c r="BX1387" s="18"/>
      <c r="BY1387" s="18"/>
      <c r="BZ1387" s="25"/>
      <c r="CA1387" s="18"/>
      <c r="CB1387" s="18"/>
      <c r="CC1387" s="25"/>
      <c r="CD1387" s="78"/>
      <c r="CE1387" s="18"/>
      <c r="CF1387" s="25"/>
      <c r="CG1387" s="18"/>
      <c r="CH1387" s="18"/>
      <c r="CI1387" s="18"/>
      <c r="CJ1387" s="18"/>
      <c r="CK1387" s="18"/>
      <c r="CL1387" s="25"/>
      <c r="DF1387" s="16" t="e">
        <f>VLOOKUP(K1387,'[3]RNA Seq summary tables'!$V$3:$V$99,1,FALSE)</f>
        <v>#N/A</v>
      </c>
      <c r="DG1387" s="126" t="s">
        <v>116</v>
      </c>
    </row>
    <row r="1388" spans="1:288" s="27" customFormat="1" ht="16" x14ac:dyDescent="0.2">
      <c r="A1388" s="18"/>
      <c r="B1388" s="16">
        <v>2018</v>
      </c>
      <c r="C1388" s="193">
        <v>43305</v>
      </c>
      <c r="D1388" s="149" t="s">
        <v>1048</v>
      </c>
      <c r="E1388" s="142" t="str">
        <f>CONCATENATE(T1388,"-",U1388,"-",C1388)</f>
        <v>HW1-B7-43305</v>
      </c>
      <c r="F1388" s="16" t="s">
        <v>227</v>
      </c>
      <c r="G1388" s="126" t="s">
        <v>107</v>
      </c>
      <c r="H1388" s="126"/>
      <c r="I1388" s="16"/>
      <c r="J1388" s="126">
        <v>1519</v>
      </c>
      <c r="K1388" s="126">
        <v>2685</v>
      </c>
      <c r="L1388" s="16"/>
      <c r="M1388" s="21"/>
      <c r="N1388" s="21"/>
      <c r="O1388" s="15" t="s">
        <v>214</v>
      </c>
      <c r="P1388" s="16"/>
      <c r="Q1388" s="16">
        <f t="shared" si="10"/>
        <v>1</v>
      </c>
      <c r="R1388" s="16">
        <f t="shared" si="9"/>
        <v>10</v>
      </c>
      <c r="S1388" s="16"/>
      <c r="T1388" s="126" t="s">
        <v>133</v>
      </c>
      <c r="U1388" s="126" t="s">
        <v>168</v>
      </c>
      <c r="V1388" s="126" t="s">
        <v>114</v>
      </c>
      <c r="W1388" s="16"/>
      <c r="X1388" s="126" t="s">
        <v>115</v>
      </c>
      <c r="Y1388" s="126" t="s">
        <v>110</v>
      </c>
      <c r="Z1388" s="126">
        <v>3</v>
      </c>
      <c r="AA1388" s="126"/>
      <c r="AB1388" s="126"/>
      <c r="AC1388" s="126"/>
      <c r="AD1388" s="126" t="s">
        <v>116</v>
      </c>
      <c r="AE1388" s="126" t="s">
        <v>116</v>
      </c>
      <c r="AF1388" s="16"/>
      <c r="AG1388" s="40">
        <f>AH1388-AI1388</f>
        <v>79</v>
      </c>
      <c r="AH1388" s="126">
        <v>151</v>
      </c>
      <c r="AI1388" s="126">
        <v>72</v>
      </c>
      <c r="AJ1388" s="16"/>
      <c r="AK1388" s="126">
        <v>18</v>
      </c>
      <c r="AL1388" s="126">
        <v>0</v>
      </c>
      <c r="AM1388" s="126">
        <v>0</v>
      </c>
      <c r="AN1388" s="126">
        <v>0</v>
      </c>
      <c r="AO1388" s="16">
        <f>IF(SUM(AL1388:AN1388)&gt;0,1,0)</f>
        <v>0</v>
      </c>
      <c r="AP1388" s="18">
        <f>SUM(AL1388:AN1388)</f>
        <v>0</v>
      </c>
      <c r="AQ1388" s="16"/>
      <c r="AR1388" s="16">
        <v>0.19600000000000017</v>
      </c>
      <c r="AS1388" s="16">
        <f>VLOOKUP(E1388,'[1]Feces weights'!$D$1:$H$459,5,FALSE)</f>
        <v>0.19600000000000017</v>
      </c>
      <c r="AT1388" s="16" t="e">
        <f>VLOOKUP(E1388,[2]Current!$A$1:$W$435,7,FALSE)</f>
        <v>#N/A</v>
      </c>
      <c r="AU1388" s="16">
        <v>0</v>
      </c>
      <c r="AV1388" s="16"/>
      <c r="AW1388" s="16"/>
      <c r="AX1388" s="16"/>
      <c r="AY1388" s="16"/>
      <c r="AZ1388" s="16"/>
      <c r="BA1388" s="16"/>
      <c r="BB1388" s="16"/>
      <c r="BC1388" s="16"/>
      <c r="BD1388" s="16"/>
      <c r="BE1388" s="16"/>
      <c r="BF1388" s="16"/>
      <c r="BG1388" s="77"/>
      <c r="BH1388" s="16"/>
      <c r="BI1388" s="16"/>
      <c r="BJ1388" s="16"/>
      <c r="BK1388" s="16"/>
      <c r="BL1388" s="16"/>
      <c r="BM1388" s="16"/>
      <c r="BN1388" s="126"/>
      <c r="BO1388" s="16"/>
      <c r="BP1388" s="16"/>
      <c r="BQ1388" s="16"/>
      <c r="BR1388" s="16"/>
      <c r="BS1388" s="16"/>
      <c r="BT1388" s="78"/>
      <c r="BU1388" s="18"/>
      <c r="BV1388" s="18"/>
      <c r="BW1388" s="25"/>
      <c r="BX1388" s="18"/>
      <c r="BY1388" s="18"/>
      <c r="BZ1388" s="25"/>
      <c r="CA1388" s="18"/>
      <c r="CB1388" s="18"/>
      <c r="CC1388" s="25"/>
      <c r="CD1388" s="78"/>
      <c r="CE1388" s="18"/>
      <c r="CF1388" s="25"/>
      <c r="CG1388" s="18"/>
      <c r="CH1388" s="18"/>
      <c r="CI1388" s="18"/>
      <c r="CJ1388" s="18"/>
      <c r="CK1388" s="18"/>
      <c r="CL1388" s="25"/>
      <c r="CM1388" s="16"/>
      <c r="CN1388" s="16"/>
      <c r="CO1388" s="16"/>
      <c r="CP1388" s="16"/>
      <c r="CQ1388" s="16"/>
      <c r="CR1388" s="16"/>
      <c r="CS1388" s="16"/>
      <c r="CT1388" s="16"/>
      <c r="CU1388" s="16"/>
      <c r="CV1388" s="16"/>
      <c r="CW1388" s="16"/>
      <c r="CX1388" s="16"/>
      <c r="CY1388" s="16"/>
      <c r="CZ1388" s="16"/>
      <c r="DA1388" s="16"/>
      <c r="DB1388" s="16"/>
      <c r="DC1388" s="16"/>
      <c r="DD1388" s="16"/>
      <c r="DE1388" s="16"/>
      <c r="DF1388" s="16" t="e">
        <f>VLOOKUP(K1388,'[3]RNA Seq summary tables'!$V$3:$V$99,1,FALSE)</f>
        <v>#N/A</v>
      </c>
      <c r="DG1388" s="126" t="s">
        <v>116</v>
      </c>
      <c r="DH1388" s="16"/>
      <c r="DI1388" s="16"/>
      <c r="DJ1388" s="16"/>
      <c r="DK1388" s="16"/>
      <c r="DL1388" s="16"/>
      <c r="DM1388" s="16"/>
      <c r="DN1388" s="16"/>
      <c r="DO1388" s="16"/>
      <c r="DP1388" s="16"/>
      <c r="DQ1388" s="16"/>
      <c r="DR1388" s="16"/>
      <c r="DS1388" s="16"/>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18"/>
      <c r="EQ1388" s="18"/>
      <c r="ER1388" s="18"/>
      <c r="ES1388" s="18"/>
      <c r="ET1388" s="18"/>
      <c r="EU1388" s="18"/>
      <c r="EV1388" s="18"/>
      <c r="EW1388" s="18"/>
      <c r="EX1388" s="18"/>
      <c r="EY1388" s="18"/>
      <c r="EZ1388" s="18"/>
      <c r="FA1388" s="18"/>
      <c r="FB1388" s="18"/>
      <c r="FC1388" s="18"/>
      <c r="FD1388" s="18"/>
      <c r="FE1388" s="18"/>
      <c r="FF1388" s="18"/>
      <c r="FG1388" s="18"/>
      <c r="FH1388" s="18"/>
      <c r="FI1388" s="18"/>
      <c r="FJ1388" s="18"/>
      <c r="FK1388" s="18"/>
      <c r="FL1388" s="18"/>
      <c r="FM1388" s="18"/>
      <c r="FN1388" s="18"/>
      <c r="FO1388" s="18"/>
      <c r="FP1388" s="18"/>
      <c r="FQ1388" s="18"/>
      <c r="FR1388" s="18"/>
      <c r="FS1388" s="18"/>
      <c r="FT1388" s="18"/>
      <c r="FU1388" s="18"/>
      <c r="FV1388" s="18"/>
      <c r="FW1388" s="18"/>
      <c r="FX1388" s="18"/>
      <c r="FY1388" s="18"/>
      <c r="FZ1388" s="18"/>
      <c r="GA1388" s="18"/>
      <c r="GB1388" s="18"/>
      <c r="GC1388" s="18"/>
      <c r="GD1388" s="18"/>
      <c r="GE1388" s="18"/>
      <c r="GF1388" s="18"/>
      <c r="GG1388" s="18"/>
      <c r="GH1388" s="18"/>
      <c r="GI1388" s="18"/>
      <c r="GJ1388" s="18"/>
      <c r="GK1388" s="18"/>
      <c r="GL1388" s="18"/>
      <c r="GM1388" s="18"/>
      <c r="GN1388" s="18"/>
      <c r="GO1388" s="18"/>
      <c r="GP1388" s="18"/>
      <c r="GQ1388" s="18"/>
      <c r="GR1388" s="18"/>
      <c r="GS1388" s="18"/>
      <c r="GT1388" s="18"/>
      <c r="GU1388" s="18"/>
      <c r="GV1388" s="18"/>
      <c r="GW1388" s="18"/>
      <c r="GX1388" s="18"/>
      <c r="GY1388" s="18"/>
      <c r="GZ1388" s="18"/>
      <c r="HA1388" s="18"/>
      <c r="HB1388" s="18"/>
      <c r="HC1388" s="18"/>
      <c r="HD1388" s="18"/>
      <c r="HE1388" s="18"/>
      <c r="HF1388" s="18"/>
      <c r="HG1388" s="18"/>
      <c r="HH1388" s="18"/>
      <c r="HI1388" s="18"/>
      <c r="HJ1388" s="18"/>
      <c r="HK1388" s="18"/>
      <c r="HL1388" s="18"/>
      <c r="HM1388" s="18"/>
      <c r="HN1388" s="18"/>
      <c r="HO1388" s="18"/>
      <c r="HP1388" s="18"/>
      <c r="HQ1388" s="18"/>
      <c r="HR1388" s="18"/>
      <c r="HS1388" s="18"/>
      <c r="HT1388" s="18"/>
      <c r="HU1388" s="18"/>
      <c r="HV1388" s="18"/>
      <c r="HW1388" s="18"/>
      <c r="HX1388" s="18"/>
      <c r="HY1388" s="18"/>
      <c r="HZ1388" s="18"/>
      <c r="IA1388" s="18"/>
      <c r="IB1388" s="18"/>
      <c r="IC1388" s="18"/>
      <c r="ID1388" s="18"/>
      <c r="IE1388" s="18"/>
      <c r="IF1388" s="18"/>
      <c r="IG1388" s="18"/>
      <c r="IH1388" s="18"/>
      <c r="II1388" s="18"/>
      <c r="IJ1388" s="18"/>
      <c r="IK1388" s="18"/>
      <c r="IL1388" s="18"/>
      <c r="IM1388" s="18"/>
      <c r="IN1388" s="18"/>
      <c r="IO1388" s="18"/>
      <c r="IP1388" s="18"/>
      <c r="IQ1388" s="18"/>
      <c r="IR1388" s="18"/>
      <c r="IS1388" s="18"/>
      <c r="IT1388" s="18"/>
      <c r="IU1388" s="18"/>
      <c r="IV1388" s="18"/>
      <c r="IW1388" s="18"/>
      <c r="IX1388" s="18"/>
      <c r="IY1388" s="18"/>
      <c r="IZ1388" s="18"/>
      <c r="JA1388" s="18"/>
      <c r="JB1388" s="18"/>
      <c r="JC1388" s="18"/>
      <c r="JD1388" s="18"/>
      <c r="JE1388" s="18"/>
      <c r="JF1388" s="18"/>
      <c r="JG1388" s="18"/>
      <c r="JH1388" s="18"/>
      <c r="JI1388" s="18"/>
      <c r="JJ1388" s="18"/>
      <c r="JK1388" s="18"/>
      <c r="JL1388" s="18"/>
      <c r="JM1388" s="18"/>
      <c r="JN1388" s="18"/>
      <c r="JO1388" s="16"/>
      <c r="JP1388" s="16"/>
      <c r="JQ1388" s="16"/>
      <c r="JR1388" s="16"/>
      <c r="JS1388" s="16"/>
      <c r="JT1388" s="16"/>
      <c r="JU1388" s="16"/>
      <c r="JV1388" s="16"/>
      <c r="JW1388" s="16"/>
      <c r="JX1388" s="16"/>
      <c r="JY1388" s="16"/>
      <c r="JZ1388" s="16"/>
      <c r="KA1388" s="16"/>
      <c r="KB1388" s="16"/>
    </row>
    <row r="1389" spans="1:288" ht="16" x14ac:dyDescent="0.2">
      <c r="B1389" s="16">
        <v>2018</v>
      </c>
      <c r="C1389" s="124">
        <v>43278</v>
      </c>
      <c r="D1389" t="s">
        <v>879</v>
      </c>
      <c r="E1389" s="37" t="str">
        <f>CONCATENATE(T1389,"-",U1389,"-",C1389)</f>
        <v>HW2-A1-43278</v>
      </c>
      <c r="F1389" s="16" t="s">
        <v>227</v>
      </c>
      <c r="G1389" s="126" t="s">
        <v>107</v>
      </c>
      <c r="H1389" s="126" t="s">
        <v>1120</v>
      </c>
      <c r="J1389" s="126">
        <v>1521</v>
      </c>
      <c r="K1389" s="126">
        <v>2506</v>
      </c>
      <c r="O1389" s="15" t="s">
        <v>214</v>
      </c>
      <c r="Q1389" s="16">
        <f t="shared" si="10"/>
        <v>0</v>
      </c>
      <c r="R1389" s="16" t="str">
        <f t="shared" si="9"/>
        <v/>
      </c>
      <c r="T1389" s="126" t="s">
        <v>129</v>
      </c>
      <c r="U1389" s="126" t="s">
        <v>210</v>
      </c>
      <c r="V1389" s="126" t="s">
        <v>114</v>
      </c>
      <c r="X1389" s="126" t="s">
        <v>121</v>
      </c>
      <c r="Y1389" s="126" t="s">
        <v>145</v>
      </c>
      <c r="Z1389" s="126">
        <v>1</v>
      </c>
      <c r="AA1389" s="126" t="s">
        <v>119</v>
      </c>
      <c r="AB1389" s="126" t="s">
        <v>123</v>
      </c>
      <c r="AC1389" s="126" t="s">
        <v>123</v>
      </c>
      <c r="AD1389" s="126"/>
      <c r="AE1389" s="126"/>
      <c r="AG1389" s="16">
        <f>AH1389-AI1389</f>
        <v>70</v>
      </c>
      <c r="AH1389" s="126">
        <v>124</v>
      </c>
      <c r="AI1389" s="126">
        <v>54</v>
      </c>
      <c r="AK1389" s="126">
        <v>12.5</v>
      </c>
      <c r="AL1389" s="126">
        <v>1</v>
      </c>
      <c r="AM1389" s="126">
        <v>0</v>
      </c>
      <c r="AN1389" s="126">
        <v>0</v>
      </c>
      <c r="AO1389" s="16">
        <f>IF(SUM(AL1389:AN1389)&gt;0,1,0)</f>
        <v>1</v>
      </c>
      <c r="AP1389" s="18">
        <f>SUM(AL1389:AN1389)</f>
        <v>1</v>
      </c>
      <c r="AR1389" s="16">
        <v>0.15500000000000003</v>
      </c>
      <c r="AS1389" s="16">
        <f>VLOOKUP(E1389,'[1]Feces weights'!$D$1:$H$459,5,FALSE)</f>
        <v>0.15500000000000003</v>
      </c>
      <c r="AT1389" s="16" t="str">
        <f>VLOOKUP(E1389,[2]Current!$A$1:$W$435,7,FALSE)</f>
        <v>JB</v>
      </c>
      <c r="AU1389" s="16" t="s">
        <v>1288</v>
      </c>
      <c r="AW1389" s="128">
        <f>IF(AX1389&gt;0,1,0)</f>
        <v>1</v>
      </c>
      <c r="AX1389" s="128">
        <f>SUM(BA1389,BM1389,CU1389)</f>
        <v>2</v>
      </c>
      <c r="AY1389" s="128">
        <f>SUM(BB1389,BN1389,CV1389)</f>
        <v>92593.548387096758</v>
      </c>
      <c r="AZ1389" s="128">
        <f>IF(BA1389&gt;0,1,0)</f>
        <v>1</v>
      </c>
      <c r="BA1389" s="128">
        <f>SUM(BC1389+BF1389+BI1389)</f>
        <v>2</v>
      </c>
      <c r="BB1389" s="128">
        <f>SUM(BE1389,BH1389,BK1389)</f>
        <v>92593.548387096758</v>
      </c>
      <c r="BC1389" s="130">
        <f>IF(BD1389&gt;0,1,0)</f>
        <v>0</v>
      </c>
      <c r="BD1389" s="128">
        <f>VLOOKUP($E1389,[2]Current!$A:$AC,26,FALSE)</f>
        <v>0</v>
      </c>
      <c r="BE1389" s="128">
        <f>BD1389/$AS1389</f>
        <v>0</v>
      </c>
      <c r="BF1389" s="130">
        <f>IF(BG1389&gt;0,1,0)</f>
        <v>1</v>
      </c>
      <c r="BG1389" s="137">
        <f>VLOOKUP($E1389,[2]Current!$A:$AC,27,FALSE)</f>
        <v>14264</v>
      </c>
      <c r="BH1389" s="128">
        <f>BG1389/$AS1389</f>
        <v>92025.806451612894</v>
      </c>
      <c r="BI1389" s="130">
        <f>IF(BJ1389&gt;0,1,0)</f>
        <v>1</v>
      </c>
      <c r="BJ1389" s="128">
        <f>VLOOKUP($E1389,[2]Current!$A:$AC,28,FALSE)</f>
        <v>88</v>
      </c>
      <c r="BK1389" s="128">
        <f>BJ1389/$AS1389</f>
        <v>567.74193548387086</v>
      </c>
      <c r="BL1389" s="128">
        <f>IF(BM1389&gt;0,1,0)</f>
        <v>0</v>
      </c>
      <c r="BM1389" s="128">
        <f>SUM(BR1389,BU1389,BX1389,CA1389,CD1389)</f>
        <v>0</v>
      </c>
      <c r="BN1389" s="131">
        <f>SUM(BT1389,BW1389,BZ1389,CC1389,CF1389)</f>
        <v>0</v>
      </c>
      <c r="BO1389" s="128">
        <f>IF(BP1389&gt;0,1,0)</f>
        <v>0</v>
      </c>
      <c r="BP1389" s="128">
        <f>BM1389+CJ1389</f>
        <v>0</v>
      </c>
      <c r="BQ1389" s="128">
        <f>BN1389+CL1389</f>
        <v>0</v>
      </c>
      <c r="BR1389" s="130">
        <f>IF(BS1389&gt;0,1,0)</f>
        <v>0</v>
      </c>
      <c r="BS1389" s="128">
        <f>VLOOKUP($E1389,[2]Current!$A:$AC,12,FALSE)</f>
        <v>0</v>
      </c>
      <c r="BT1389" s="137">
        <f>BS1389/$AS1389</f>
        <v>0</v>
      </c>
      <c r="BU1389" s="130">
        <f>IF(BV1389&gt;0,1,0)</f>
        <v>0</v>
      </c>
      <c r="BV1389" s="128">
        <f>VLOOKUP($E1389,[2]Current!$A:$AC,13,FALSE)</f>
        <v>0</v>
      </c>
      <c r="BW1389" s="128">
        <f>BV1389/$AS1389</f>
        <v>0</v>
      </c>
      <c r="BX1389" s="130">
        <f>IF(BY1389&gt;0,1,0)</f>
        <v>0</v>
      </c>
      <c r="BY1389" s="128">
        <f>VLOOKUP($E1389,[2]Current!$A:$AC,14,FALSE)</f>
        <v>0</v>
      </c>
      <c r="BZ1389" s="128">
        <f>BY1389/$AS1389</f>
        <v>0</v>
      </c>
      <c r="CA1389" s="130">
        <f>IF(CB1389&gt;0,1,0)</f>
        <v>0</v>
      </c>
      <c r="CB1389" s="128">
        <f>VLOOKUP($E1389,[2]Current!$A:$AC,15,FALSE)</f>
        <v>0</v>
      </c>
      <c r="CC1389" s="128">
        <f>CB1389/$AS1389</f>
        <v>0</v>
      </c>
      <c r="CD1389" s="174">
        <f>IF(CE1389&gt;0,1,0)</f>
        <v>0</v>
      </c>
      <c r="CE1389" s="128">
        <f>VLOOKUP($E1389,[2]Current!$A:$AC,16,FALSE)</f>
        <v>0</v>
      </c>
      <c r="CF1389" s="128">
        <f>CE1389/$AS1389</f>
        <v>0</v>
      </c>
      <c r="CG1389" s="18"/>
      <c r="CH1389" s="18"/>
      <c r="CI1389" s="18"/>
      <c r="CJ1389" s="130">
        <f>IF(CK1389&gt;0,1,0)</f>
        <v>0</v>
      </c>
      <c r="CK1389" s="128">
        <f>VLOOKUP($E1389,[2]Current!$A:$AC,18,FALSE)</f>
        <v>0</v>
      </c>
      <c r="CL1389" s="128">
        <f>CK1389/$AS1389</f>
        <v>0</v>
      </c>
      <c r="CS1389" s="130">
        <f>IF(CU1389&gt;0,1,0)</f>
        <v>0</v>
      </c>
      <c r="CU1389" s="128">
        <f>VLOOKUP($E1389,[2]Current!$A:$AC,17,FALSE)</f>
        <v>0</v>
      </c>
      <c r="CV1389" s="128">
        <f>CU1389/$AS1389</f>
        <v>0</v>
      </c>
      <c r="CW1389" s="18"/>
      <c r="CX1389" s="18"/>
      <c r="CY1389" s="18"/>
      <c r="DF1389" s="16" t="e">
        <f>VLOOKUP(K1389,'[3]RNA Seq summary tables'!$V$3:$V$99,1,FALSE)</f>
        <v>#N/A</v>
      </c>
      <c r="DG1389" s="126" t="s">
        <v>123</v>
      </c>
    </row>
    <row r="1390" spans="1:288" ht="16" x14ac:dyDescent="0.2">
      <c r="B1390" s="16">
        <v>2018</v>
      </c>
      <c r="C1390" s="124">
        <v>43295</v>
      </c>
      <c r="D1390" t="s">
        <v>976</v>
      </c>
      <c r="E1390" s="37" t="str">
        <f>CONCATENATE(T1390,"-",U1390,"-",C1390)</f>
        <v>HW2-A4-43295</v>
      </c>
      <c r="F1390" s="16" t="s">
        <v>227</v>
      </c>
      <c r="G1390" s="126" t="s">
        <v>107</v>
      </c>
      <c r="H1390" s="126"/>
      <c r="J1390" s="126">
        <v>1521</v>
      </c>
      <c r="K1390" s="126">
        <v>2611</v>
      </c>
      <c r="O1390" s="15" t="s">
        <v>214</v>
      </c>
      <c r="Q1390" s="16">
        <f t="shared" si="10"/>
        <v>1</v>
      </c>
      <c r="R1390" s="16">
        <f t="shared" si="9"/>
        <v>17</v>
      </c>
      <c r="T1390" s="126" t="s">
        <v>129</v>
      </c>
      <c r="U1390" s="126" t="s">
        <v>134</v>
      </c>
      <c r="V1390" s="126" t="s">
        <v>114</v>
      </c>
      <c r="X1390" s="126" t="s">
        <v>121</v>
      </c>
      <c r="Y1390" s="126" t="s">
        <v>122</v>
      </c>
      <c r="Z1390" s="126">
        <v>2.6</v>
      </c>
      <c r="AA1390" s="126" t="s">
        <v>119</v>
      </c>
      <c r="AB1390" s="126" t="s">
        <v>123</v>
      </c>
      <c r="AC1390" s="126" t="s">
        <v>123</v>
      </c>
      <c r="AD1390" s="126"/>
      <c r="AE1390" s="126"/>
      <c r="AG1390" s="16">
        <f>AH1390-AI1390</f>
        <v>75</v>
      </c>
      <c r="AH1390" s="126">
        <v>135</v>
      </c>
      <c r="AI1390" s="126">
        <v>60</v>
      </c>
      <c r="AK1390" s="126">
        <v>11.5</v>
      </c>
      <c r="AL1390" s="126">
        <v>0</v>
      </c>
      <c r="AM1390" s="126">
        <v>0</v>
      </c>
      <c r="AN1390" s="126">
        <v>0</v>
      </c>
      <c r="AO1390" s="16">
        <f>IF(SUM(AL1390:AN1390)&gt;0,1,0)</f>
        <v>0</v>
      </c>
      <c r="AP1390" s="18">
        <f>SUM(AL1390:AN1390)</f>
        <v>0</v>
      </c>
      <c r="AR1390" s="16">
        <v>0.17300000000000004</v>
      </c>
      <c r="AS1390" s="16">
        <f>VLOOKUP(E1390,'[1]Feces weights'!$D$1:$H$459,5,FALSE)</f>
        <v>0.17300000000000004</v>
      </c>
      <c r="AT1390" s="16" t="str">
        <f>VLOOKUP(E1390,[2]Current!$A$1:$W$435,7,FALSE)</f>
        <v>TE</v>
      </c>
      <c r="AU1390" s="16" t="s">
        <v>1288</v>
      </c>
      <c r="AW1390" s="128">
        <f>IF(AX1390&gt;0,1,0)</f>
        <v>1</v>
      </c>
      <c r="AX1390" s="128">
        <f>SUM(BA1390,BM1390,CU1390)</f>
        <v>2</v>
      </c>
      <c r="AY1390" s="128">
        <f>SUM(BB1390,BN1390,CV1390)</f>
        <v>2416.1849710982651</v>
      </c>
      <c r="AZ1390" s="128">
        <f>IF(BA1390&gt;0,1,0)</f>
        <v>1</v>
      </c>
      <c r="BA1390" s="128">
        <f>SUM(BC1390+BF1390+BI1390)</f>
        <v>2</v>
      </c>
      <c r="BB1390" s="128">
        <f>SUM(BE1390,BH1390,BK1390)</f>
        <v>2416.1849710982651</v>
      </c>
      <c r="BC1390" s="130">
        <f>IF(BD1390&gt;0,1,0)</f>
        <v>0</v>
      </c>
      <c r="BD1390" s="128">
        <f>VLOOKUP($E1390,[2]Current!$A:$AC,26,FALSE)</f>
        <v>0</v>
      </c>
      <c r="BE1390" s="128">
        <f>BD1390/$AS1390</f>
        <v>0</v>
      </c>
      <c r="BF1390" s="130">
        <f>IF(BG1390&gt;0,1,0)</f>
        <v>1</v>
      </c>
      <c r="BG1390" s="137">
        <f>VLOOKUP($E1390,[2]Current!$A:$AC,27,FALSE)</f>
        <v>146</v>
      </c>
      <c r="BH1390" s="128">
        <f>BG1390/$AS1390</f>
        <v>843.93063583815012</v>
      </c>
      <c r="BI1390" s="130">
        <f>IF(BJ1390&gt;0,1,0)</f>
        <v>1</v>
      </c>
      <c r="BJ1390" s="128">
        <f>VLOOKUP($E1390,[2]Current!$A:$AC,28,FALSE)</f>
        <v>272</v>
      </c>
      <c r="BK1390" s="128">
        <f>BJ1390/$AS1390</f>
        <v>1572.2543352601151</v>
      </c>
      <c r="BL1390" s="128">
        <f>IF(BM1390&gt;0,1,0)</f>
        <v>0</v>
      </c>
      <c r="BM1390" s="128">
        <f>SUM(BR1390,BU1390,BX1390,CA1390,CD1390)</f>
        <v>0</v>
      </c>
      <c r="BN1390" s="131">
        <f>SUM(BT1390,BW1390,BZ1390,CC1390,CF1390)</f>
        <v>0</v>
      </c>
      <c r="BO1390" s="128">
        <f>IF(BP1390&gt;0,1,0)</f>
        <v>0</v>
      </c>
      <c r="BP1390" s="128">
        <f>BM1390+CJ1390</f>
        <v>0</v>
      </c>
      <c r="BQ1390" s="128">
        <f>BN1390+CL1390</f>
        <v>0</v>
      </c>
      <c r="BR1390" s="130">
        <f>IF(BS1390&gt;0,1,0)</f>
        <v>0</v>
      </c>
      <c r="BS1390" s="128">
        <f>VLOOKUP($E1390,[2]Current!$A:$AC,12,FALSE)</f>
        <v>0</v>
      </c>
      <c r="BT1390" s="137">
        <f>BS1390/$AS1390</f>
        <v>0</v>
      </c>
      <c r="BU1390" s="130">
        <f>IF(BV1390&gt;0,1,0)</f>
        <v>0</v>
      </c>
      <c r="BV1390" s="128">
        <f>VLOOKUP($E1390,[2]Current!$A:$AC,13,FALSE)</f>
        <v>0</v>
      </c>
      <c r="BW1390" s="128">
        <f>BV1390/$AS1390</f>
        <v>0</v>
      </c>
      <c r="BX1390" s="130">
        <f>IF(BY1390&gt;0,1,0)</f>
        <v>0</v>
      </c>
      <c r="BY1390" s="128">
        <f>VLOOKUP($E1390,[2]Current!$A:$AC,14,FALSE)</f>
        <v>0</v>
      </c>
      <c r="BZ1390" s="128">
        <f>BY1390/$AS1390</f>
        <v>0</v>
      </c>
      <c r="CA1390" s="130">
        <f>IF(CB1390&gt;0,1,0)</f>
        <v>0</v>
      </c>
      <c r="CB1390" s="128">
        <f>VLOOKUP($E1390,[2]Current!$A:$AC,15,FALSE)</f>
        <v>0</v>
      </c>
      <c r="CC1390" s="128">
        <f>CB1390/$AS1390</f>
        <v>0</v>
      </c>
      <c r="CD1390" s="174">
        <f>IF(CE1390&gt;0,1,0)</f>
        <v>0</v>
      </c>
      <c r="CE1390" s="128">
        <f>VLOOKUP($E1390,[2]Current!$A:$AC,16,FALSE)</f>
        <v>0</v>
      </c>
      <c r="CF1390" s="128">
        <f>CE1390/$AS1390</f>
        <v>0</v>
      </c>
      <c r="CG1390" s="18"/>
      <c r="CH1390" s="18"/>
      <c r="CI1390" s="18"/>
      <c r="CJ1390" s="130">
        <f>IF(CK1390&gt;0,1,0)</f>
        <v>0</v>
      </c>
      <c r="CK1390" s="128">
        <f>VLOOKUP($E1390,[2]Current!$A:$AC,18,FALSE)</f>
        <v>0</v>
      </c>
      <c r="CL1390" s="128">
        <f>CK1390/$AS1390</f>
        <v>0</v>
      </c>
      <c r="CS1390" s="130">
        <f>IF(CU1390&gt;0,1,0)</f>
        <v>0</v>
      </c>
      <c r="CU1390" s="128">
        <f>VLOOKUP($E1390,[2]Current!$A:$AC,17,FALSE)</f>
        <v>0</v>
      </c>
      <c r="CV1390" s="128">
        <f>CU1390/$AS1390</f>
        <v>0</v>
      </c>
      <c r="CW1390" s="18"/>
      <c r="CX1390" s="18"/>
      <c r="CY1390" s="18"/>
      <c r="DF1390" s="16" t="e">
        <f>VLOOKUP(K1390,'[3]RNA Seq summary tables'!$V$3:$V$99,1,FALSE)</f>
        <v>#N/A</v>
      </c>
      <c r="DG1390" s="126" t="s">
        <v>123</v>
      </c>
    </row>
    <row r="1391" spans="1:288" ht="16" x14ac:dyDescent="0.2">
      <c r="B1391" s="16">
        <v>2018</v>
      </c>
      <c r="C1391" s="124">
        <v>43283</v>
      </c>
      <c r="D1391" t="s">
        <v>896</v>
      </c>
      <c r="E1391" s="37" t="str">
        <f>CONCATENATE(T1391,"-",U1391,"-",C1391)</f>
        <v>PO2-G6-43283</v>
      </c>
      <c r="F1391" s="16" t="s">
        <v>227</v>
      </c>
      <c r="G1391" s="126" t="s">
        <v>107</v>
      </c>
      <c r="H1391" s="126"/>
      <c r="J1391" s="126">
        <v>1523</v>
      </c>
      <c r="K1391" s="126">
        <v>2532</v>
      </c>
      <c r="O1391" s="15" t="s">
        <v>214</v>
      </c>
      <c r="Q1391" s="16">
        <f t="shared" si="10"/>
        <v>0</v>
      </c>
      <c r="R1391" s="16" t="str">
        <f t="shared" si="9"/>
        <v/>
      </c>
      <c r="T1391" s="126" t="s">
        <v>127</v>
      </c>
      <c r="U1391" s="126" t="s">
        <v>218</v>
      </c>
      <c r="V1391" s="126" t="s">
        <v>114</v>
      </c>
      <c r="X1391" s="126" t="s">
        <v>115</v>
      </c>
      <c r="Y1391" s="126" t="s">
        <v>122</v>
      </c>
      <c r="Z1391" s="126">
        <v>2.2999999999999998</v>
      </c>
      <c r="AA1391" s="126"/>
      <c r="AB1391" s="126"/>
      <c r="AC1391" s="126"/>
      <c r="AD1391" s="126"/>
      <c r="AE1391" s="126" t="s">
        <v>123</v>
      </c>
      <c r="AG1391" s="16">
        <f>AH1391-AI1391</f>
        <v>72</v>
      </c>
      <c r="AH1391" s="126">
        <v>138</v>
      </c>
      <c r="AI1391" s="126">
        <v>66</v>
      </c>
      <c r="AK1391" s="126">
        <v>13</v>
      </c>
      <c r="AL1391" s="126">
        <v>0</v>
      </c>
      <c r="AM1391" s="126">
        <v>0</v>
      </c>
      <c r="AN1391" s="126">
        <v>0</v>
      </c>
      <c r="AO1391" s="16">
        <f>IF(SUM(AL1391:AN1391)&gt;0,1,0)</f>
        <v>0</v>
      </c>
      <c r="AP1391" s="18">
        <f>SUM(AL1391:AN1391)</f>
        <v>0</v>
      </c>
      <c r="AR1391" s="16">
        <v>9.6000000000000085E-2</v>
      </c>
      <c r="AS1391" s="16">
        <f>VLOOKUP(E1391,'[1]Feces weights'!$D$1:$H$459,5,FALSE)</f>
        <v>9.6000000000000085E-2</v>
      </c>
      <c r="AT1391" s="16" t="str">
        <f>VLOOKUP(E1391,[2]Current!$A$1:$W$435,7,FALSE)</f>
        <v>JB</v>
      </c>
      <c r="AU1391" s="16" t="s">
        <v>1288</v>
      </c>
      <c r="AW1391" s="128">
        <f>IF(AX1391&gt;0,1,0)</f>
        <v>1</v>
      </c>
      <c r="AX1391" s="128">
        <f>SUM(BA1391,BM1391,CU1391)</f>
        <v>1</v>
      </c>
      <c r="AY1391" s="128">
        <f>SUM(BB1391,BN1391,CV1391)</f>
        <v>249.99999999999977</v>
      </c>
      <c r="AZ1391" s="128">
        <f>IF(BA1391&gt;0,1,0)</f>
        <v>1</v>
      </c>
      <c r="BA1391" s="128">
        <f>SUM(BC1391+BF1391+BI1391)</f>
        <v>1</v>
      </c>
      <c r="BB1391" s="128">
        <f>SUM(BE1391,BH1391,BK1391)</f>
        <v>249.99999999999977</v>
      </c>
      <c r="BC1391" s="130">
        <f>IF(BD1391&gt;0,1,0)</f>
        <v>0</v>
      </c>
      <c r="BD1391" s="128">
        <f>VLOOKUP($E1391,[2]Current!$A:$AC,26,FALSE)</f>
        <v>0</v>
      </c>
      <c r="BE1391" s="128">
        <f>BD1391/$AS1391</f>
        <v>0</v>
      </c>
      <c r="BF1391" s="130">
        <f>IF(BG1391&gt;0,1,0)</f>
        <v>1</v>
      </c>
      <c r="BG1391" s="137">
        <f>VLOOKUP($E1391,[2]Current!$A:$AC,27,FALSE)</f>
        <v>24</v>
      </c>
      <c r="BH1391" s="128">
        <f>BG1391/$AS1391</f>
        <v>249.99999999999977</v>
      </c>
      <c r="BI1391" s="130">
        <f>IF(BJ1391&gt;0,1,0)</f>
        <v>0</v>
      </c>
      <c r="BJ1391" s="128">
        <f>VLOOKUP($E1391,[2]Current!$A:$AC,28,FALSE)</f>
        <v>0</v>
      </c>
      <c r="BK1391" s="128">
        <f>BJ1391/$AS1391</f>
        <v>0</v>
      </c>
      <c r="BL1391" s="128">
        <f>IF(BM1391&gt;0,1,0)</f>
        <v>0</v>
      </c>
      <c r="BM1391" s="128">
        <f>SUM(BR1391,BU1391,BX1391,CA1391,CD1391)</f>
        <v>0</v>
      </c>
      <c r="BN1391" s="131">
        <f>SUM(BT1391,BW1391,BZ1391,CC1391,CF1391)</f>
        <v>0</v>
      </c>
      <c r="BO1391" s="128">
        <f>IF(BP1391&gt;0,1,0)</f>
        <v>0</v>
      </c>
      <c r="BP1391" s="128">
        <f>BM1391+CJ1391</f>
        <v>0</v>
      </c>
      <c r="BQ1391" s="128">
        <f>BN1391+CL1391</f>
        <v>0</v>
      </c>
      <c r="BR1391" s="130">
        <f>IF(BS1391&gt;0,1,0)</f>
        <v>0</v>
      </c>
      <c r="BS1391" s="128">
        <f>VLOOKUP($E1391,[2]Current!$A:$AC,12,FALSE)</f>
        <v>0</v>
      </c>
      <c r="BT1391" s="137">
        <f>BS1391/$AS1391</f>
        <v>0</v>
      </c>
      <c r="BU1391" s="130">
        <f>IF(BV1391&gt;0,1,0)</f>
        <v>0</v>
      </c>
      <c r="BV1391" s="128">
        <f>VLOOKUP($E1391,[2]Current!$A:$AC,13,FALSE)</f>
        <v>0</v>
      </c>
      <c r="BW1391" s="128">
        <f>BV1391/$AS1391</f>
        <v>0</v>
      </c>
      <c r="BX1391" s="130">
        <f>IF(BY1391&gt;0,1,0)</f>
        <v>0</v>
      </c>
      <c r="BY1391" s="128">
        <f>VLOOKUP($E1391,[2]Current!$A:$AC,14,FALSE)</f>
        <v>0</v>
      </c>
      <c r="BZ1391" s="128">
        <f>BY1391/$AS1391</f>
        <v>0</v>
      </c>
      <c r="CA1391" s="130">
        <f>IF(CB1391&gt;0,1,0)</f>
        <v>0</v>
      </c>
      <c r="CB1391" s="128">
        <f>VLOOKUP($E1391,[2]Current!$A:$AC,15,FALSE)</f>
        <v>0</v>
      </c>
      <c r="CC1391" s="128">
        <f>CB1391/$AS1391</f>
        <v>0</v>
      </c>
      <c r="CD1391" s="174">
        <f>IF(CE1391&gt;0,1,0)</f>
        <v>0</v>
      </c>
      <c r="CE1391" s="128">
        <f>VLOOKUP($E1391,[2]Current!$A:$AC,16,FALSE)</f>
        <v>0</v>
      </c>
      <c r="CF1391" s="128">
        <f>CE1391/$AS1391</f>
        <v>0</v>
      </c>
      <c r="CG1391" s="18"/>
      <c r="CH1391" s="18"/>
      <c r="CI1391" s="18"/>
      <c r="CJ1391" s="130">
        <f>IF(CK1391&gt;0,1,0)</f>
        <v>0</v>
      </c>
      <c r="CK1391" s="128">
        <f>VLOOKUP($E1391,[2]Current!$A:$AC,18,FALSE)</f>
        <v>0</v>
      </c>
      <c r="CL1391" s="128">
        <f>CK1391/$AS1391</f>
        <v>0</v>
      </c>
      <c r="CS1391" s="130">
        <f>IF(CU1391&gt;0,1,0)</f>
        <v>0</v>
      </c>
      <c r="CU1391" s="128">
        <f>VLOOKUP($E1391,[2]Current!$A:$AC,17,FALSE)</f>
        <v>0</v>
      </c>
      <c r="CV1391" s="128">
        <f>CU1391/$AS1391</f>
        <v>0</v>
      </c>
      <c r="CW1391" s="18"/>
      <c r="CX1391" s="18"/>
      <c r="CY1391" s="18"/>
      <c r="DF1391" s="16" t="e">
        <f>VLOOKUP(K1391,'[3]RNA Seq summary tables'!$V$3:$V$99,1,FALSE)</f>
        <v>#N/A</v>
      </c>
      <c r="DG1391" s="126" t="s">
        <v>123</v>
      </c>
    </row>
    <row r="1392" spans="1:288" ht="16" x14ac:dyDescent="0.2">
      <c r="B1392" s="16">
        <v>2018</v>
      </c>
      <c r="C1392" s="124">
        <v>43283</v>
      </c>
      <c r="D1392" t="s">
        <v>890</v>
      </c>
      <c r="E1392" s="37" t="str">
        <f>CONCATENATE(T1392,"-",U1392,"-",C1392)</f>
        <v>PO1-F1-43283</v>
      </c>
      <c r="F1392" s="16" t="s">
        <v>227</v>
      </c>
      <c r="G1392" s="126" t="s">
        <v>107</v>
      </c>
      <c r="H1392" s="126"/>
      <c r="J1392" s="126">
        <v>1525</v>
      </c>
      <c r="K1392" s="126">
        <v>2539</v>
      </c>
      <c r="O1392" s="15" t="s">
        <v>214</v>
      </c>
      <c r="Q1392" s="16">
        <f t="shared" si="10"/>
        <v>0</v>
      </c>
      <c r="R1392" s="16" t="str">
        <f t="shared" si="9"/>
        <v/>
      </c>
      <c r="T1392" s="126" t="s">
        <v>112</v>
      </c>
      <c r="U1392" s="126" t="s">
        <v>217</v>
      </c>
      <c r="V1392" s="126" t="s">
        <v>114</v>
      </c>
      <c r="X1392" s="126" t="s">
        <v>115</v>
      </c>
      <c r="Y1392" s="126" t="s">
        <v>145</v>
      </c>
      <c r="Z1392" s="126">
        <v>1</v>
      </c>
      <c r="AA1392" s="126"/>
      <c r="AB1392" s="126"/>
      <c r="AC1392" s="126"/>
      <c r="AD1392" s="126"/>
      <c r="AE1392" s="126" t="s">
        <v>123</v>
      </c>
      <c r="AG1392" s="16">
        <f>AH1392-AI1392</f>
        <v>73</v>
      </c>
      <c r="AH1392" s="126">
        <v>131</v>
      </c>
      <c r="AI1392" s="126">
        <v>58</v>
      </c>
      <c r="AK1392" s="126">
        <v>12</v>
      </c>
      <c r="AL1392" s="126">
        <v>0</v>
      </c>
      <c r="AM1392" s="126">
        <v>0</v>
      </c>
      <c r="AN1392" s="126">
        <v>0</v>
      </c>
      <c r="AO1392" s="16">
        <f>IF(SUM(AL1392:AN1392)&gt;0,1,0)</f>
        <v>0</v>
      </c>
      <c r="AP1392" s="18">
        <f>SUM(AL1392:AN1392)</f>
        <v>0</v>
      </c>
      <c r="AR1392" s="16">
        <v>2.5000000000000133E-2</v>
      </c>
      <c r="AS1392" s="16">
        <f>VLOOKUP(E1392,'[1]Feces weights'!$D$1:$H$459,5,FALSE)</f>
        <v>2.5000000000000133E-2</v>
      </c>
      <c r="AT1392" s="16" t="str">
        <f>VLOOKUP(E1392,[2]Current!$A$1:$W$435,7,FALSE)</f>
        <v>DP</v>
      </c>
      <c r="AU1392" s="16" t="s">
        <v>1288</v>
      </c>
      <c r="AW1392" s="128">
        <f>IF(AX1392&gt;0,1,0)</f>
        <v>1</v>
      </c>
      <c r="AX1392" s="128">
        <f>SUM(BA1392,BM1392,CU1392)</f>
        <v>2</v>
      </c>
      <c r="AY1392" s="128">
        <f>SUM(BB1392,BN1392,CV1392)</f>
        <v>1119.9999999999941</v>
      </c>
      <c r="AZ1392" s="128">
        <f>IF(BA1392&gt;0,1,0)</f>
        <v>1</v>
      </c>
      <c r="BA1392" s="128">
        <f>SUM(BC1392+BF1392+BI1392)</f>
        <v>2</v>
      </c>
      <c r="BB1392" s="128">
        <f>SUM(BE1392,BH1392,BK1392)</f>
        <v>1119.9999999999941</v>
      </c>
      <c r="BC1392" s="130">
        <f>IF(BD1392&gt;0,1,0)</f>
        <v>1</v>
      </c>
      <c r="BD1392" s="128">
        <f>VLOOKUP($E1392,[2]Current!$A:$AC,26,FALSE)</f>
        <v>2</v>
      </c>
      <c r="BE1392" s="128">
        <f>BD1392/$AS1392</f>
        <v>79.999999999999574</v>
      </c>
      <c r="BF1392" s="130">
        <f>IF(BG1392&gt;0,1,0)</f>
        <v>1</v>
      </c>
      <c r="BG1392" s="137">
        <f>VLOOKUP($E1392,[2]Current!$A:$AC,27,FALSE)</f>
        <v>26</v>
      </c>
      <c r="BH1392" s="128">
        <f>BG1392/$AS1392</f>
        <v>1039.9999999999945</v>
      </c>
      <c r="BI1392" s="130">
        <f>IF(BJ1392&gt;0,1,0)</f>
        <v>0</v>
      </c>
      <c r="BJ1392" s="128">
        <f>VLOOKUP($E1392,[2]Current!$A:$AC,28,FALSE)</f>
        <v>0</v>
      </c>
      <c r="BK1392" s="128">
        <f>BJ1392/$AS1392</f>
        <v>0</v>
      </c>
      <c r="BL1392" s="128">
        <f>IF(BM1392&gt;0,1,0)</f>
        <v>0</v>
      </c>
      <c r="BM1392" s="128">
        <f>SUM(BR1392,BU1392,BX1392,CA1392,CD1392)</f>
        <v>0</v>
      </c>
      <c r="BN1392" s="131">
        <f>SUM(BT1392,BW1392,BZ1392,CC1392,CF1392)</f>
        <v>0</v>
      </c>
      <c r="BO1392" s="128">
        <f>IF(BP1392&gt;0,1,0)</f>
        <v>0</v>
      </c>
      <c r="BP1392" s="128">
        <f>BM1392+CJ1392</f>
        <v>0</v>
      </c>
      <c r="BQ1392" s="128">
        <f>BN1392+CL1392</f>
        <v>0</v>
      </c>
      <c r="BR1392" s="130">
        <f>IF(BS1392&gt;0,1,0)</f>
        <v>0</v>
      </c>
      <c r="BS1392" s="128">
        <f>VLOOKUP($E1392,[2]Current!$A:$AC,12,FALSE)</f>
        <v>0</v>
      </c>
      <c r="BT1392" s="137">
        <f>BS1392/$AS1392</f>
        <v>0</v>
      </c>
      <c r="BU1392" s="130">
        <f>IF(BV1392&gt;0,1,0)</f>
        <v>0</v>
      </c>
      <c r="BV1392" s="128">
        <f>VLOOKUP($E1392,[2]Current!$A:$AC,13,FALSE)</f>
        <v>0</v>
      </c>
      <c r="BW1392" s="128">
        <f>BV1392/$AS1392</f>
        <v>0</v>
      </c>
      <c r="BX1392" s="130">
        <f>IF(BY1392&gt;0,1,0)</f>
        <v>0</v>
      </c>
      <c r="BY1392" s="128">
        <f>VLOOKUP($E1392,[2]Current!$A:$AC,14,FALSE)</f>
        <v>0</v>
      </c>
      <c r="BZ1392" s="128">
        <f>BY1392/$AS1392</f>
        <v>0</v>
      </c>
      <c r="CA1392" s="130">
        <f>IF(CB1392&gt;0,1,0)</f>
        <v>0</v>
      </c>
      <c r="CB1392" s="128">
        <f>VLOOKUP($E1392,[2]Current!$A:$AC,15,FALSE)</f>
        <v>0</v>
      </c>
      <c r="CC1392" s="128">
        <f>CB1392/$AS1392</f>
        <v>0</v>
      </c>
      <c r="CD1392" s="174">
        <f>IF(CE1392&gt;0,1,0)</f>
        <v>0</v>
      </c>
      <c r="CE1392" s="128">
        <f>VLOOKUP($E1392,[2]Current!$A:$AC,16,FALSE)</f>
        <v>0</v>
      </c>
      <c r="CF1392" s="128">
        <f>CE1392/$AS1392</f>
        <v>0</v>
      </c>
      <c r="CG1392" s="18"/>
      <c r="CH1392" s="18"/>
      <c r="CI1392" s="18"/>
      <c r="CJ1392" s="130">
        <f>IF(CK1392&gt;0,1,0)</f>
        <v>0</v>
      </c>
      <c r="CK1392" s="128">
        <f>VLOOKUP($E1392,[2]Current!$A:$AC,18,FALSE)</f>
        <v>0</v>
      </c>
      <c r="CL1392" s="128">
        <f>CK1392/$AS1392</f>
        <v>0</v>
      </c>
      <c r="CS1392" s="130">
        <f>IF(CU1392&gt;0,1,0)</f>
        <v>0</v>
      </c>
      <c r="CU1392" s="128">
        <f>VLOOKUP($E1392,[2]Current!$A:$AC,17,FALSE)</f>
        <v>0</v>
      </c>
      <c r="CV1392" s="128">
        <f>CU1392/$AS1392</f>
        <v>0</v>
      </c>
      <c r="CW1392" s="18"/>
      <c r="CX1392" s="18"/>
      <c r="CY1392" s="18"/>
      <c r="DF1392" s="16" t="e">
        <f>VLOOKUP(K1392,'[3]RNA Seq summary tables'!$V$3:$V$99,1,FALSE)</f>
        <v>#N/A</v>
      </c>
      <c r="DG1392" s="126" t="s">
        <v>123</v>
      </c>
    </row>
    <row r="1393" spans="2:288" ht="16" x14ac:dyDescent="0.2">
      <c r="B1393" s="16">
        <v>2018</v>
      </c>
      <c r="C1393" s="124">
        <v>43296</v>
      </c>
      <c r="D1393" t="s">
        <v>993</v>
      </c>
      <c r="E1393" s="37" t="str">
        <f>CONCATENATE(T1393,"-",U1393,"-",C1393)</f>
        <v>PO1-G2-43296</v>
      </c>
      <c r="F1393" s="16" t="s">
        <v>227</v>
      </c>
      <c r="G1393" s="126" t="s">
        <v>107</v>
      </c>
      <c r="H1393" s="126" t="s">
        <v>1087</v>
      </c>
      <c r="J1393" s="126">
        <v>1525</v>
      </c>
      <c r="K1393" s="126">
        <v>2637</v>
      </c>
      <c r="O1393" s="15" t="s">
        <v>214</v>
      </c>
      <c r="Q1393" s="16">
        <f t="shared" si="10"/>
        <v>1</v>
      </c>
      <c r="R1393" s="16">
        <f t="shared" si="9"/>
        <v>13</v>
      </c>
      <c r="T1393" s="126" t="s">
        <v>112</v>
      </c>
      <c r="U1393" s="126" t="s">
        <v>128</v>
      </c>
      <c r="V1393" s="126" t="s">
        <v>114</v>
      </c>
      <c r="X1393" s="126" t="s">
        <v>115</v>
      </c>
      <c r="Y1393" s="126" t="s">
        <v>122</v>
      </c>
      <c r="Z1393" s="126">
        <v>2.9</v>
      </c>
      <c r="AA1393" s="126"/>
      <c r="AB1393" s="126"/>
      <c r="AC1393" s="126"/>
      <c r="AD1393" s="126"/>
      <c r="AE1393" s="126" t="s">
        <v>123</v>
      </c>
      <c r="AG1393" s="40">
        <f>AH1393-AI1393</f>
        <v>77</v>
      </c>
      <c r="AH1393" s="126">
        <v>136</v>
      </c>
      <c r="AI1393" s="126">
        <v>59</v>
      </c>
      <c r="AK1393" s="126">
        <v>12.5</v>
      </c>
      <c r="AL1393" s="126">
        <v>0</v>
      </c>
      <c r="AM1393" s="126">
        <v>0</v>
      </c>
      <c r="AN1393" s="126">
        <v>0</v>
      </c>
      <c r="AO1393" s="16">
        <f>IF(SUM(AL1393:AN1393)&gt;0,1,0)</f>
        <v>0</v>
      </c>
      <c r="AP1393" s="18">
        <f>SUM(AL1393:AN1393)</f>
        <v>0</v>
      </c>
      <c r="AR1393" s="16">
        <v>0.16600000000000015</v>
      </c>
      <c r="AS1393" s="16">
        <f>VLOOKUP(E1393,'[1]Feces weights'!$D$1:$H$459,5,FALSE)</f>
        <v>0.16600000000000015</v>
      </c>
      <c r="AT1393" s="16" t="str">
        <f>VLOOKUP(E1393,[2]Current!$A$1:$W$435,7,FALSE)</f>
        <v>DP</v>
      </c>
      <c r="AU1393" s="16" t="s">
        <v>1288</v>
      </c>
      <c r="AW1393" s="128">
        <f>IF(AX1393&gt;0,1,0)</f>
        <v>1</v>
      </c>
      <c r="AX1393" s="128">
        <f>SUM(BA1393,BM1393,CU1393)</f>
        <v>6</v>
      </c>
      <c r="AY1393" s="128">
        <f>SUM(BB1393,BN1393,CV1393)</f>
        <v>2078.3132530120465</v>
      </c>
      <c r="AZ1393" s="128">
        <f>IF(BA1393&gt;0,1,0)</f>
        <v>1</v>
      </c>
      <c r="BA1393" s="128">
        <f>SUM(BC1393+BF1393+BI1393)</f>
        <v>3</v>
      </c>
      <c r="BB1393" s="128">
        <f>SUM(BE1393,BH1393,BK1393)</f>
        <v>2060.24096385542</v>
      </c>
      <c r="BC1393" s="130">
        <f>IF(BD1393&gt;0,1,0)</f>
        <v>1</v>
      </c>
      <c r="BD1393" s="128">
        <f>VLOOKUP($E1393,[2]Current!$A:$AC,26,FALSE)</f>
        <v>6</v>
      </c>
      <c r="BE1393" s="128">
        <f>BD1393/$AS1393</f>
        <v>36.144578313252978</v>
      </c>
      <c r="BF1393" s="130">
        <f>IF(BG1393&gt;0,1,0)</f>
        <v>1</v>
      </c>
      <c r="BG1393" s="137">
        <f>VLOOKUP($E1393,[2]Current!$A:$AC,27,FALSE)</f>
        <v>326</v>
      </c>
      <c r="BH1393" s="128">
        <f>BG1393/$AS1393</f>
        <v>1963.8554216867453</v>
      </c>
      <c r="BI1393" s="130">
        <f>IF(BJ1393&gt;0,1,0)</f>
        <v>1</v>
      </c>
      <c r="BJ1393" s="128">
        <f>VLOOKUP($E1393,[2]Current!$A:$AC,28,FALSE)</f>
        <v>10</v>
      </c>
      <c r="BK1393" s="128">
        <f>BJ1393/$AS1393</f>
        <v>60.240963855421633</v>
      </c>
      <c r="BL1393" s="128">
        <f>IF(BM1393&gt;0,1,0)</f>
        <v>0</v>
      </c>
      <c r="BM1393" s="128">
        <f>SUM(BR1393,BU1393,BX1393,CA1393,CD1393)</f>
        <v>0</v>
      </c>
      <c r="BN1393" s="131">
        <f>SUM(BT1393,BW1393,BZ1393,CC1393,CF1393)</f>
        <v>0</v>
      </c>
      <c r="BO1393" s="128">
        <f>IF(BP1393&gt;0,1,0)</f>
        <v>0</v>
      </c>
      <c r="BP1393" s="128">
        <f>BM1393+CJ1393</f>
        <v>0</v>
      </c>
      <c r="BQ1393" s="128">
        <f>BN1393+CL1393</f>
        <v>0</v>
      </c>
      <c r="BR1393" s="130">
        <f>IF(BS1393&gt;0,1,0)</f>
        <v>0</v>
      </c>
      <c r="BS1393" s="128">
        <f>VLOOKUP($E1393,[2]Current!$A:$AC,12,FALSE)</f>
        <v>0</v>
      </c>
      <c r="BT1393" s="137">
        <f>BS1393/$AS1393</f>
        <v>0</v>
      </c>
      <c r="BU1393" s="130">
        <f>IF(BV1393&gt;0,1,0)</f>
        <v>0</v>
      </c>
      <c r="BV1393" s="128">
        <f>VLOOKUP($E1393,[2]Current!$A:$AC,13,FALSE)</f>
        <v>0</v>
      </c>
      <c r="BW1393" s="128">
        <f>BV1393/$AS1393</f>
        <v>0</v>
      </c>
      <c r="BX1393" s="130">
        <f>IF(BY1393&gt;0,1,0)</f>
        <v>0</v>
      </c>
      <c r="BY1393" s="128">
        <f>VLOOKUP($E1393,[2]Current!$A:$AC,14,FALSE)</f>
        <v>0</v>
      </c>
      <c r="BZ1393" s="128">
        <f>BY1393/$AS1393</f>
        <v>0</v>
      </c>
      <c r="CA1393" s="130">
        <f>IF(CB1393&gt;0,1,0)</f>
        <v>0</v>
      </c>
      <c r="CB1393" s="128">
        <f>VLOOKUP($E1393,[2]Current!$A:$AC,15,FALSE)</f>
        <v>0</v>
      </c>
      <c r="CC1393" s="128">
        <f>CB1393/$AS1393</f>
        <v>0</v>
      </c>
      <c r="CD1393" s="174">
        <f>IF(CE1393&gt;0,1,0)</f>
        <v>0</v>
      </c>
      <c r="CE1393" s="128">
        <f>VLOOKUP($E1393,[2]Current!$A:$AC,16,FALSE)</f>
        <v>0</v>
      </c>
      <c r="CF1393" s="128">
        <f>CE1393/$AS1393</f>
        <v>0</v>
      </c>
      <c r="CG1393" s="18"/>
      <c r="CH1393" s="18"/>
      <c r="CI1393" s="18"/>
      <c r="CJ1393" s="130">
        <f>IF(CK1393&gt;0,1,0)</f>
        <v>0</v>
      </c>
      <c r="CK1393" s="128">
        <f>VLOOKUP($E1393,[2]Current!$A:$AC,18,FALSE)</f>
        <v>0</v>
      </c>
      <c r="CL1393" s="128">
        <f>CK1393/$AS1393</f>
        <v>0</v>
      </c>
      <c r="CS1393" s="130">
        <f>IF(CU1393&gt;0,1,0)</f>
        <v>1</v>
      </c>
      <c r="CU1393" s="128">
        <f>VLOOKUP($E1393,[2]Current!$A:$AC,17,FALSE)</f>
        <v>3</v>
      </c>
      <c r="CV1393" s="128">
        <f>CU1393/$AS1393</f>
        <v>18.072289156626489</v>
      </c>
      <c r="CW1393" s="18"/>
      <c r="CX1393" s="18"/>
      <c r="CY1393" s="18"/>
      <c r="DF1393" s="16" t="e">
        <f>VLOOKUP(K1393,'[3]RNA Seq summary tables'!$V$3:$V$99,1,FALSE)</f>
        <v>#N/A</v>
      </c>
      <c r="DG1393" s="126" t="s">
        <v>123</v>
      </c>
    </row>
    <row r="1394" spans="2:288" ht="16" x14ac:dyDescent="0.2">
      <c r="B1394" s="16">
        <v>2018</v>
      </c>
      <c r="C1394" s="124">
        <v>43284</v>
      </c>
      <c r="D1394" t="s">
        <v>905</v>
      </c>
      <c r="E1394" s="37" t="str">
        <f>CONCATENATE(T1394,"-",U1394,"-",C1394)</f>
        <v>PO1-C8-43284</v>
      </c>
      <c r="F1394" s="16" t="s">
        <v>227</v>
      </c>
      <c r="G1394" s="126" t="s">
        <v>107</v>
      </c>
      <c r="H1394" s="126"/>
      <c r="J1394" s="126">
        <v>1527</v>
      </c>
      <c r="K1394" s="126">
        <v>2543</v>
      </c>
      <c r="O1394" s="15" t="s">
        <v>214</v>
      </c>
      <c r="Q1394" s="16">
        <f t="shared" si="10"/>
        <v>0</v>
      </c>
      <c r="R1394" s="16" t="str">
        <f t="shared" si="9"/>
        <v/>
      </c>
      <c r="T1394" s="126" t="s">
        <v>112</v>
      </c>
      <c r="U1394" s="126" t="s">
        <v>188</v>
      </c>
      <c r="V1394" s="126" t="s">
        <v>114</v>
      </c>
      <c r="X1394" s="126" t="s">
        <v>115</v>
      </c>
      <c r="Y1394" s="126" t="s">
        <v>145</v>
      </c>
      <c r="Z1394" s="126">
        <v>1</v>
      </c>
      <c r="AA1394" s="126"/>
      <c r="AB1394" s="126"/>
      <c r="AC1394" s="126"/>
      <c r="AD1394" s="126"/>
      <c r="AE1394" s="126" t="s">
        <v>123</v>
      </c>
      <c r="AG1394" s="16">
        <f>AH1394-AI1394</f>
        <v>79</v>
      </c>
      <c r="AH1394" s="126">
        <v>144</v>
      </c>
      <c r="AI1394" s="126">
        <v>65</v>
      </c>
      <c r="AK1394" s="126">
        <v>12</v>
      </c>
      <c r="AL1394" s="126">
        <v>0</v>
      </c>
      <c r="AM1394" s="126">
        <v>0</v>
      </c>
      <c r="AN1394" s="126">
        <v>0</v>
      </c>
      <c r="AO1394" s="16">
        <f>IF(SUM(AL1394:AN1394)&gt;0,1,0)</f>
        <v>0</v>
      </c>
      <c r="AP1394" s="18">
        <f>SUM(AL1394:AN1394)</f>
        <v>0</v>
      </c>
      <c r="AR1394" s="16">
        <v>0.246</v>
      </c>
      <c r="AS1394" s="16">
        <f>VLOOKUP(E1394,'[1]Feces weights'!$D$1:$H$459,5,FALSE)</f>
        <v>0.246</v>
      </c>
      <c r="AT1394" s="16" t="str">
        <f>VLOOKUP(E1394,[2]Current!$A$1:$W$435,7,FALSE)</f>
        <v>DP</v>
      </c>
      <c r="AU1394" s="16" t="s">
        <v>1288</v>
      </c>
      <c r="AW1394" s="128">
        <f>IF(AX1394&gt;0,1,0)</f>
        <v>1</v>
      </c>
      <c r="AX1394" s="128">
        <f>SUM(BA1394,BM1394,CU1394)</f>
        <v>1</v>
      </c>
      <c r="AY1394" s="128">
        <f>SUM(BB1394,BN1394,CV1394)</f>
        <v>158.53658536585365</v>
      </c>
      <c r="AZ1394" s="128">
        <f>IF(BA1394&gt;0,1,0)</f>
        <v>1</v>
      </c>
      <c r="BA1394" s="128">
        <f>SUM(BC1394+BF1394+BI1394)</f>
        <v>1</v>
      </c>
      <c r="BB1394" s="128">
        <f>SUM(BE1394,BH1394,BK1394)</f>
        <v>158.53658536585365</v>
      </c>
      <c r="BC1394" s="130">
        <f>IF(BD1394&gt;0,1,0)</f>
        <v>0</v>
      </c>
      <c r="BD1394" s="128">
        <f>VLOOKUP($E1394,[2]Current!$A:$AC,26,FALSE)</f>
        <v>0</v>
      </c>
      <c r="BE1394" s="128">
        <f>BD1394/$AS1394</f>
        <v>0</v>
      </c>
      <c r="BF1394" s="130">
        <f>IF(BG1394&gt;0,1,0)</f>
        <v>1</v>
      </c>
      <c r="BG1394" s="137">
        <f>VLOOKUP($E1394,[2]Current!$A:$AC,27,FALSE)</f>
        <v>39</v>
      </c>
      <c r="BH1394" s="128">
        <f>BG1394/$AS1394</f>
        <v>158.53658536585365</v>
      </c>
      <c r="BI1394" s="130">
        <f>IF(BJ1394&gt;0,1,0)</f>
        <v>0</v>
      </c>
      <c r="BJ1394" s="128">
        <f>VLOOKUP($E1394,[2]Current!$A:$AC,28,FALSE)</f>
        <v>0</v>
      </c>
      <c r="BK1394" s="128">
        <f>BJ1394/$AS1394</f>
        <v>0</v>
      </c>
      <c r="BL1394" s="128">
        <f>IF(BM1394&gt;0,1,0)</f>
        <v>0</v>
      </c>
      <c r="BM1394" s="128">
        <f>SUM(BR1394,BU1394,BX1394,CA1394,CD1394)</f>
        <v>0</v>
      </c>
      <c r="BN1394" s="131">
        <f>SUM(BT1394,BW1394,BZ1394,CC1394,CF1394)</f>
        <v>0</v>
      </c>
      <c r="BO1394" s="128">
        <f>IF(BP1394&gt;0,1,0)</f>
        <v>0</v>
      </c>
      <c r="BP1394" s="128">
        <f>BM1394+CJ1394</f>
        <v>0</v>
      </c>
      <c r="BQ1394" s="128">
        <f>BN1394+CL1394</f>
        <v>0</v>
      </c>
      <c r="BR1394" s="130">
        <f>IF(BS1394&gt;0,1,0)</f>
        <v>0</v>
      </c>
      <c r="BS1394" s="128">
        <f>VLOOKUP($E1394,[2]Current!$A:$AC,12,FALSE)</f>
        <v>0</v>
      </c>
      <c r="BT1394" s="137">
        <f>BS1394/$AS1394</f>
        <v>0</v>
      </c>
      <c r="BU1394" s="130">
        <f>IF(BV1394&gt;0,1,0)</f>
        <v>0</v>
      </c>
      <c r="BV1394" s="128">
        <f>VLOOKUP($E1394,[2]Current!$A:$AC,13,FALSE)</f>
        <v>0</v>
      </c>
      <c r="BW1394" s="128">
        <f>BV1394/$AS1394</f>
        <v>0</v>
      </c>
      <c r="BX1394" s="130">
        <f>IF(BY1394&gt;0,1,0)</f>
        <v>0</v>
      </c>
      <c r="BY1394" s="128">
        <f>VLOOKUP($E1394,[2]Current!$A:$AC,14,FALSE)</f>
        <v>0</v>
      </c>
      <c r="BZ1394" s="128">
        <f>BY1394/$AS1394</f>
        <v>0</v>
      </c>
      <c r="CA1394" s="130">
        <f>IF(CB1394&gt;0,1,0)</f>
        <v>0</v>
      </c>
      <c r="CB1394" s="128">
        <f>VLOOKUP($E1394,[2]Current!$A:$AC,15,FALSE)</f>
        <v>0</v>
      </c>
      <c r="CC1394" s="128">
        <f>CB1394/$AS1394</f>
        <v>0</v>
      </c>
      <c r="CD1394" s="174">
        <f>IF(CE1394&gt;0,1,0)</f>
        <v>0</v>
      </c>
      <c r="CE1394" s="128">
        <f>VLOOKUP($E1394,[2]Current!$A:$AC,16,FALSE)</f>
        <v>0</v>
      </c>
      <c r="CF1394" s="128">
        <f>CE1394/$AS1394</f>
        <v>0</v>
      </c>
      <c r="CG1394" s="18"/>
      <c r="CH1394" s="18"/>
      <c r="CI1394" s="18"/>
      <c r="CJ1394" s="130">
        <f>IF(CK1394&gt;0,1,0)</f>
        <v>0</v>
      </c>
      <c r="CK1394" s="128">
        <f>VLOOKUP($E1394,[2]Current!$A:$AC,18,FALSE)</f>
        <v>0</v>
      </c>
      <c r="CL1394" s="128">
        <f>CK1394/$AS1394</f>
        <v>0</v>
      </c>
      <c r="CS1394" s="130">
        <f>IF(CU1394&gt;0,1,0)</f>
        <v>0</v>
      </c>
      <c r="CU1394" s="128">
        <f>VLOOKUP($E1394,[2]Current!$A:$AC,17,FALSE)</f>
        <v>0</v>
      </c>
      <c r="CV1394" s="128">
        <f>CU1394/$AS1394</f>
        <v>0</v>
      </c>
      <c r="CW1394" s="18"/>
      <c r="CX1394" s="18"/>
      <c r="CY1394" s="18"/>
      <c r="DF1394" s="16" t="e">
        <f>VLOOKUP(K1394,'[3]RNA Seq summary tables'!$V$3:$V$99,1,FALSE)</f>
        <v>#N/A</v>
      </c>
      <c r="DG1394" s="126" t="s">
        <v>123</v>
      </c>
    </row>
    <row r="1395" spans="2:288" ht="16" x14ac:dyDescent="0.2">
      <c r="B1395" s="16">
        <v>2018</v>
      </c>
      <c r="C1395" s="124">
        <v>43296</v>
      </c>
      <c r="D1395" t="s">
        <v>986</v>
      </c>
      <c r="E1395" s="37" t="str">
        <f>CONCATENATE(T1395,"-",U1395,"-",C1395)</f>
        <v>PO1-D8-43296</v>
      </c>
      <c r="F1395" s="16" t="s">
        <v>227</v>
      </c>
      <c r="G1395" s="126" t="s">
        <v>107</v>
      </c>
      <c r="H1395" s="126"/>
      <c r="J1395" s="126">
        <v>1527</v>
      </c>
      <c r="K1395" s="126">
        <v>2641</v>
      </c>
      <c r="O1395" s="15" t="s">
        <v>214</v>
      </c>
      <c r="Q1395" s="16">
        <f t="shared" si="10"/>
        <v>1</v>
      </c>
      <c r="R1395" s="16">
        <f t="shared" si="9"/>
        <v>12</v>
      </c>
      <c r="T1395" s="126" t="s">
        <v>112</v>
      </c>
      <c r="U1395" s="126" t="s">
        <v>178</v>
      </c>
      <c r="V1395" s="126" t="s">
        <v>114</v>
      </c>
      <c r="X1395" s="126" t="s">
        <v>115</v>
      </c>
      <c r="Y1395" s="126" t="s">
        <v>122</v>
      </c>
      <c r="Z1395" s="126">
        <v>2.9</v>
      </c>
      <c r="AA1395" s="126"/>
      <c r="AB1395" s="126"/>
      <c r="AC1395" s="126"/>
      <c r="AD1395" s="126"/>
      <c r="AE1395" s="126" t="s">
        <v>123</v>
      </c>
      <c r="AG1395" s="40">
        <f>AH1395-AI1395</f>
        <v>80</v>
      </c>
      <c r="AH1395" s="126">
        <v>147</v>
      </c>
      <c r="AI1395" s="126">
        <v>67</v>
      </c>
      <c r="AK1395" s="126">
        <v>14.5</v>
      </c>
      <c r="AL1395" s="126">
        <v>0</v>
      </c>
      <c r="AM1395" s="126">
        <v>0</v>
      </c>
      <c r="AN1395" s="126">
        <v>0</v>
      </c>
      <c r="AO1395" s="16">
        <f>IF(SUM(AL1395:AN1395)&gt;0,1,0)</f>
        <v>0</v>
      </c>
      <c r="AP1395" s="18">
        <f>SUM(AL1395:AN1395)</f>
        <v>0</v>
      </c>
      <c r="AR1395" s="16">
        <v>0.11500000000000021</v>
      </c>
      <c r="AS1395" s="16">
        <f>VLOOKUP(E1395,'[1]Feces weights'!$D$1:$H$459,5,FALSE)</f>
        <v>0.11500000000000021</v>
      </c>
      <c r="AT1395" s="16" t="str">
        <f>VLOOKUP(E1395,[2]Current!$A$1:$W$435,7,FALSE)</f>
        <v>JB</v>
      </c>
      <c r="AU1395" s="16" t="s">
        <v>1288</v>
      </c>
      <c r="AV1395" s="23">
        <v>1</v>
      </c>
      <c r="AW1395" s="128">
        <f>IF(AX1395&gt;0,1,0)</f>
        <v>0</v>
      </c>
      <c r="AX1395" s="128">
        <f>SUM(BA1395,BM1395,CU1395)</f>
        <v>0</v>
      </c>
      <c r="AY1395" s="128">
        <f>SUM(BB1395,BN1395,CV1395)</f>
        <v>0</v>
      </c>
      <c r="AZ1395" s="128">
        <f>IF(BA1395&gt;0,1,0)</f>
        <v>0</v>
      </c>
      <c r="BA1395" s="128">
        <f>SUM(BC1395+BF1395+BI1395)</f>
        <v>0</v>
      </c>
      <c r="BB1395" s="128">
        <f>SUM(BE1395,BH1395,BK1395)</f>
        <v>0</v>
      </c>
      <c r="BC1395" s="130">
        <f>IF(BD1395&gt;0,1,0)</f>
        <v>0</v>
      </c>
      <c r="BD1395" s="128">
        <f>VLOOKUP($E1395,[2]Current!$A:$AC,26,FALSE)</f>
        <v>0</v>
      </c>
      <c r="BE1395" s="128">
        <f>BD1395/$AS1395</f>
        <v>0</v>
      </c>
      <c r="BF1395" s="130">
        <f>IF(BG1395&gt;0,1,0)</f>
        <v>0</v>
      </c>
      <c r="BG1395" s="137">
        <f>VLOOKUP($E1395,[2]Current!$A:$AC,27,FALSE)</f>
        <v>0</v>
      </c>
      <c r="BH1395" s="128">
        <f>BG1395/$AS1395</f>
        <v>0</v>
      </c>
      <c r="BI1395" s="130">
        <f>IF(BJ1395&gt;0,1,0)</f>
        <v>0</v>
      </c>
      <c r="BJ1395" s="128">
        <f>VLOOKUP($E1395,[2]Current!$A:$AC,28,FALSE)</f>
        <v>0</v>
      </c>
      <c r="BK1395" s="128">
        <f>BJ1395/$AS1395</f>
        <v>0</v>
      </c>
      <c r="BL1395" s="128">
        <f>IF(BM1395&gt;0,1,0)</f>
        <v>0</v>
      </c>
      <c r="BM1395" s="128">
        <f>SUM(BR1395,BU1395,BX1395,CA1395,CD1395)</f>
        <v>0</v>
      </c>
      <c r="BN1395" s="131">
        <f>SUM(BT1395,BW1395,BZ1395,CC1395,CF1395)</f>
        <v>0</v>
      </c>
      <c r="BO1395" s="128">
        <f>IF(BP1395&gt;0,1,0)</f>
        <v>0</v>
      </c>
      <c r="BP1395" s="128">
        <f>BM1395+CJ1395</f>
        <v>0</v>
      </c>
      <c r="BQ1395" s="128">
        <f>BN1395+CL1395</f>
        <v>0</v>
      </c>
      <c r="BR1395" s="130">
        <f>IF(BS1395&gt;0,1,0)</f>
        <v>0</v>
      </c>
      <c r="BS1395" s="128">
        <f>VLOOKUP($E1395,[2]Current!$A:$AC,12,FALSE)</f>
        <v>0</v>
      </c>
      <c r="BT1395" s="137">
        <f>BS1395/$AS1395</f>
        <v>0</v>
      </c>
      <c r="BU1395" s="130">
        <f>IF(BV1395&gt;0,1,0)</f>
        <v>0</v>
      </c>
      <c r="BV1395" s="128">
        <f>VLOOKUP($E1395,[2]Current!$A:$AC,13,FALSE)</f>
        <v>0</v>
      </c>
      <c r="BW1395" s="128">
        <f>BV1395/$AS1395</f>
        <v>0</v>
      </c>
      <c r="BX1395" s="130">
        <f>IF(BY1395&gt;0,1,0)</f>
        <v>0</v>
      </c>
      <c r="BY1395" s="128">
        <f>VLOOKUP($E1395,[2]Current!$A:$AC,14,FALSE)</f>
        <v>0</v>
      </c>
      <c r="BZ1395" s="128">
        <f>BY1395/$AS1395</f>
        <v>0</v>
      </c>
      <c r="CA1395" s="130">
        <f>IF(CB1395&gt;0,1,0)</f>
        <v>0</v>
      </c>
      <c r="CB1395" s="128">
        <f>VLOOKUP($E1395,[2]Current!$A:$AC,15,FALSE)</f>
        <v>0</v>
      </c>
      <c r="CC1395" s="128">
        <f>CB1395/$AS1395</f>
        <v>0</v>
      </c>
      <c r="CD1395" s="174">
        <f>IF(CE1395&gt;0,1,0)</f>
        <v>0</v>
      </c>
      <c r="CE1395" s="128">
        <f>VLOOKUP($E1395,[2]Current!$A:$AC,16,FALSE)</f>
        <v>0</v>
      </c>
      <c r="CF1395" s="128">
        <f>CE1395/$AS1395</f>
        <v>0</v>
      </c>
      <c r="CG1395" s="18"/>
      <c r="CH1395" s="18"/>
      <c r="CI1395" s="18"/>
      <c r="CJ1395" s="130">
        <f>IF(CK1395&gt;0,1,0)</f>
        <v>0</v>
      </c>
      <c r="CK1395" s="128">
        <f>VLOOKUP($E1395,[2]Current!$A:$AC,18,FALSE)</f>
        <v>0</v>
      </c>
      <c r="CL1395" s="128">
        <f>CK1395/$AS1395</f>
        <v>0</v>
      </c>
      <c r="CS1395" s="130">
        <f>IF(CU1395&gt;0,1,0)</f>
        <v>0</v>
      </c>
      <c r="CT1395" s="18"/>
      <c r="CU1395" s="128">
        <f>VLOOKUP($E1395,[2]Current!$A:$AC,17,FALSE)</f>
        <v>0</v>
      </c>
      <c r="CV1395" s="128">
        <f>CU1395/$AS1395</f>
        <v>0</v>
      </c>
      <c r="CW1395" s="18"/>
      <c r="CX1395" s="18"/>
      <c r="CY1395" s="18"/>
      <c r="DF1395" s="16" t="e">
        <f>VLOOKUP(K1395,'[3]RNA Seq summary tables'!$V$3:$V$99,1,FALSE)</f>
        <v>#N/A</v>
      </c>
      <c r="DG1395" s="126" t="s">
        <v>123</v>
      </c>
      <c r="JR1395" s="18"/>
      <c r="JS1395" s="18"/>
      <c r="JT1395" s="18"/>
      <c r="JU1395" s="18"/>
      <c r="JV1395" s="18"/>
      <c r="JW1395" s="18"/>
      <c r="JX1395" s="18"/>
      <c r="JY1395" s="18"/>
      <c r="JZ1395" s="18"/>
      <c r="KA1395" s="18"/>
      <c r="KB1395" s="18"/>
    </row>
    <row r="1396" spans="2:288" ht="16" x14ac:dyDescent="0.2">
      <c r="B1396" s="16">
        <v>2018</v>
      </c>
      <c r="C1396" s="147">
        <v>43315</v>
      </c>
      <c r="D1396" t="s">
        <v>1252</v>
      </c>
      <c r="E1396" s="20" t="str">
        <f>CONCATENATE(T1396,"-",U1396,"-",C1396)</f>
        <v>PO1-D7-43315</v>
      </c>
      <c r="F1396" s="16" t="s">
        <v>227</v>
      </c>
      <c r="G1396" s="145" t="s">
        <v>107</v>
      </c>
      <c r="H1396" s="145"/>
      <c r="I1396" s="145"/>
      <c r="J1396" s="145">
        <v>1527</v>
      </c>
      <c r="K1396" s="145">
        <v>2751</v>
      </c>
      <c r="M1396" s="16"/>
      <c r="N1396" s="16"/>
      <c r="O1396" s="15" t="s">
        <v>214</v>
      </c>
      <c r="Q1396" s="16">
        <f t="shared" si="10"/>
        <v>1</v>
      </c>
      <c r="R1396" s="16">
        <f t="shared" si="9"/>
        <v>19</v>
      </c>
      <c r="S1396" s="145"/>
      <c r="T1396" s="145" t="s">
        <v>112</v>
      </c>
      <c r="U1396" s="145" t="s">
        <v>177</v>
      </c>
      <c r="V1396" s="145" t="s">
        <v>114</v>
      </c>
      <c r="W1396" s="145"/>
      <c r="X1396" s="145" t="s">
        <v>115</v>
      </c>
      <c r="Y1396" s="145" t="s">
        <v>110</v>
      </c>
      <c r="Z1396" s="145">
        <v>3</v>
      </c>
      <c r="AA1396" s="145"/>
      <c r="AB1396" s="145"/>
      <c r="AC1396" s="145"/>
      <c r="AD1396" s="145"/>
      <c r="AE1396" s="145" t="s">
        <v>123</v>
      </c>
      <c r="AF1396" s="145" t="s">
        <v>123</v>
      </c>
      <c r="AG1396" s="145">
        <f>AH1396-AI1396</f>
        <v>80</v>
      </c>
      <c r="AH1396" s="145">
        <v>151</v>
      </c>
      <c r="AI1396" s="145">
        <v>71</v>
      </c>
      <c r="AJ1396" s="145"/>
      <c r="AK1396" s="145">
        <v>14</v>
      </c>
      <c r="AL1396" s="145">
        <v>0</v>
      </c>
      <c r="AM1396" s="145">
        <v>0</v>
      </c>
      <c r="AN1396" s="145">
        <v>0</v>
      </c>
      <c r="AO1396" s="16">
        <f>IF(SUM(AL1396:AN1396)&gt;0, 1,0)</f>
        <v>0</v>
      </c>
      <c r="AP1396" s="16">
        <f>SUM(AL1396:AN1396)</f>
        <v>0</v>
      </c>
      <c r="AS1396" s="16">
        <f>VLOOKUP(E1396,'[1]Feces weights'!$D$1:$H$459,5,FALSE)</f>
        <v>0.33500000000000019</v>
      </c>
      <c r="AT1396" s="16" t="e">
        <f>VLOOKUP(E1396,[2]Current!$A$1:$W$435,7,FALSE)</f>
        <v>#N/A</v>
      </c>
      <c r="BG1396" s="77"/>
      <c r="BT1396" s="77"/>
      <c r="CD1396" s="77"/>
      <c r="DG1396" s="145" t="s">
        <v>123</v>
      </c>
      <c r="DT1396" s="145" t="s">
        <v>123</v>
      </c>
      <c r="DU1396" s="145"/>
      <c r="DX1396" s="145"/>
      <c r="DY1396" s="145"/>
      <c r="DZ1396" s="16"/>
      <c r="EA1396" s="16"/>
      <c r="EB1396" s="16"/>
      <c r="EC1396" s="16"/>
      <c r="ED1396" s="16"/>
      <c r="EE1396" s="16"/>
      <c r="EF1396" s="16"/>
      <c r="JO1396" s="18"/>
      <c r="JP1396" s="18"/>
      <c r="JQ1396" s="18"/>
      <c r="JR1396" s="18"/>
      <c r="JS1396" s="18"/>
      <c r="JT1396" s="18"/>
      <c r="JU1396" s="18"/>
      <c r="JV1396" s="18"/>
      <c r="JW1396" s="18"/>
      <c r="JX1396" s="18"/>
      <c r="JY1396" s="18"/>
      <c r="JZ1396" s="18"/>
      <c r="KA1396" s="18"/>
    </row>
    <row r="1397" spans="2:288" ht="16" x14ac:dyDescent="0.2">
      <c r="B1397" s="16">
        <v>2018</v>
      </c>
      <c r="C1397" s="124">
        <v>43285</v>
      </c>
      <c r="D1397" t="s">
        <v>910</v>
      </c>
      <c r="E1397" s="37" t="str">
        <f>CONCATENATE(T1397,"-",U1397,"-",C1397)</f>
        <v>PO2-C8-43285</v>
      </c>
      <c r="F1397" s="16" t="s">
        <v>227</v>
      </c>
      <c r="G1397" s="126" t="s">
        <v>107</v>
      </c>
      <c r="H1397" s="126"/>
      <c r="J1397" s="126">
        <v>1529</v>
      </c>
      <c r="K1397" s="126">
        <v>2549</v>
      </c>
      <c r="O1397" s="15" t="s">
        <v>214</v>
      </c>
      <c r="Q1397" s="16">
        <f t="shared" si="10"/>
        <v>0</v>
      </c>
      <c r="R1397" s="16" t="str">
        <f t="shared" si="9"/>
        <v/>
      </c>
      <c r="T1397" s="126" t="s">
        <v>127</v>
      </c>
      <c r="U1397" s="126" t="s">
        <v>188</v>
      </c>
      <c r="V1397" s="136" t="s">
        <v>114</v>
      </c>
      <c r="X1397" s="126" t="s">
        <v>115</v>
      </c>
      <c r="Y1397" s="126" t="s">
        <v>110</v>
      </c>
      <c r="Z1397" s="126">
        <v>3</v>
      </c>
      <c r="AA1397" s="126"/>
      <c r="AB1397" s="126"/>
      <c r="AC1397" s="126"/>
      <c r="AD1397" s="126"/>
      <c r="AE1397" s="126" t="s">
        <v>116</v>
      </c>
      <c r="AG1397" s="16">
        <f>AH1397-AI1397</f>
        <v>78</v>
      </c>
      <c r="AH1397" s="126">
        <v>150</v>
      </c>
      <c r="AI1397" s="126">
        <v>72</v>
      </c>
      <c r="AK1397" s="126">
        <v>15.5</v>
      </c>
      <c r="AL1397" s="126">
        <v>0</v>
      </c>
      <c r="AM1397" s="126">
        <v>0</v>
      </c>
      <c r="AN1397" s="126">
        <v>0</v>
      </c>
      <c r="AO1397" s="16">
        <f>IF(SUM(AL1397:AN1397)&gt;0,1,0)</f>
        <v>0</v>
      </c>
      <c r="AP1397" s="18">
        <f>SUM(AL1397:AN1397)</f>
        <v>0</v>
      </c>
      <c r="AR1397" s="16">
        <v>0.14000000000000012</v>
      </c>
      <c r="AS1397" s="16">
        <f>VLOOKUP(E1397,'[1]Feces weights'!$D$1:$H$459,5,FALSE)</f>
        <v>0.14000000000000012</v>
      </c>
      <c r="AT1397" s="16" t="str">
        <f>VLOOKUP(E1397,[2]Current!$A$1:$W$435,7,FALSE)</f>
        <v>DP</v>
      </c>
      <c r="AU1397" s="16" t="s">
        <v>1288</v>
      </c>
      <c r="AW1397" s="128">
        <f>IF(AX1397&gt;0,1,0)</f>
        <v>1</v>
      </c>
      <c r="AX1397" s="128">
        <f>SUM(BA1397,BM1397,CU1397)</f>
        <v>4</v>
      </c>
      <c r="AY1397" s="128">
        <f>SUM(BB1397,BN1397,CV1397)</f>
        <v>23921.428571428551</v>
      </c>
      <c r="AZ1397" s="128">
        <f>IF(BA1397&gt;0,1,0)</f>
        <v>1</v>
      </c>
      <c r="BA1397" s="128">
        <f>SUM(BC1397+BF1397+BI1397)</f>
        <v>2</v>
      </c>
      <c r="BB1397" s="128">
        <f>SUM(BE1397,BH1397,BK1397)</f>
        <v>22742.857142857123</v>
      </c>
      <c r="BC1397" s="130">
        <f>IF(BD1397&gt;0,1,0)</f>
        <v>0</v>
      </c>
      <c r="BD1397" s="128">
        <f>VLOOKUP($E1397,[2]Current!$A:$AC,26,FALSE)</f>
        <v>0</v>
      </c>
      <c r="BE1397" s="128">
        <f>BD1397/$AS1397</f>
        <v>0</v>
      </c>
      <c r="BF1397" s="130">
        <f>IF(BG1397&gt;0,1,0)</f>
        <v>1</v>
      </c>
      <c r="BG1397" s="137">
        <f>VLOOKUP($E1397,[2]Current!$A:$AC,27,FALSE)</f>
        <v>3144</v>
      </c>
      <c r="BH1397" s="128">
        <f>BG1397/$AS1397</f>
        <v>22457.142857142837</v>
      </c>
      <c r="BI1397" s="130">
        <f>IF(BJ1397&gt;0,1,0)</f>
        <v>1</v>
      </c>
      <c r="BJ1397" s="128">
        <f>VLOOKUP($E1397,[2]Current!$A:$AC,28,FALSE)</f>
        <v>40</v>
      </c>
      <c r="BK1397" s="128">
        <f>BJ1397/$AS1397</f>
        <v>285.71428571428544</v>
      </c>
      <c r="BL1397" s="128">
        <f>IF(BM1397&gt;0,1,0)</f>
        <v>1</v>
      </c>
      <c r="BM1397" s="128">
        <f>SUM(BR1397,BU1397,BX1397,CA1397,CD1397)</f>
        <v>2</v>
      </c>
      <c r="BN1397" s="131">
        <f>SUM(BT1397,BW1397,BZ1397,CC1397,CF1397)</f>
        <v>1178.5714285714275</v>
      </c>
      <c r="BO1397" s="128">
        <f>IF(BP1397&gt;0,1,0)</f>
        <v>1</v>
      </c>
      <c r="BP1397" s="128">
        <f>BM1397+CJ1397</f>
        <v>2</v>
      </c>
      <c r="BQ1397" s="128">
        <f>BN1397+CL1397</f>
        <v>1178.5714285714275</v>
      </c>
      <c r="BR1397" s="130">
        <f>IF(BS1397&gt;0,1,0)</f>
        <v>1</v>
      </c>
      <c r="BS1397" s="128">
        <f>VLOOKUP($E1397,[2]Current!$A:$AC,12,FALSE)</f>
        <v>159</v>
      </c>
      <c r="BT1397" s="137">
        <f>BS1397/$AS1397</f>
        <v>1135.7142857142846</v>
      </c>
      <c r="BU1397" s="130">
        <f>IF(BV1397&gt;0,1,0)</f>
        <v>1</v>
      </c>
      <c r="BV1397" s="128">
        <f>VLOOKUP($E1397,[2]Current!$A:$AC,13,FALSE)</f>
        <v>6</v>
      </c>
      <c r="BW1397" s="128">
        <f>BV1397/$AS1397</f>
        <v>42.857142857142819</v>
      </c>
      <c r="BX1397" s="130">
        <f>IF(BY1397&gt;0,1,0)</f>
        <v>0</v>
      </c>
      <c r="BY1397" s="128">
        <f>VLOOKUP($E1397,[2]Current!$A:$AC,14,FALSE)</f>
        <v>0</v>
      </c>
      <c r="BZ1397" s="128">
        <f>BY1397/$AS1397</f>
        <v>0</v>
      </c>
      <c r="CA1397" s="130">
        <f>IF(CB1397&gt;0,1,0)</f>
        <v>0</v>
      </c>
      <c r="CB1397" s="128">
        <f>VLOOKUP($E1397,[2]Current!$A:$AC,15,FALSE)</f>
        <v>0</v>
      </c>
      <c r="CC1397" s="128">
        <f>CB1397/$AS1397</f>
        <v>0</v>
      </c>
      <c r="CD1397" s="174">
        <f>IF(CE1397&gt;0,1,0)</f>
        <v>0</v>
      </c>
      <c r="CE1397" s="128">
        <f>VLOOKUP($E1397,[2]Current!$A:$AC,16,FALSE)</f>
        <v>0</v>
      </c>
      <c r="CF1397" s="128">
        <f>CE1397/$AS1397</f>
        <v>0</v>
      </c>
      <c r="CG1397" s="18"/>
      <c r="CH1397" s="18"/>
      <c r="CI1397" s="18"/>
      <c r="CJ1397" s="130">
        <f>IF(CK1397&gt;0,1,0)</f>
        <v>0</v>
      </c>
      <c r="CK1397" s="128">
        <f>VLOOKUP($E1397,[2]Current!$A:$AC,18,FALSE)</f>
        <v>0</v>
      </c>
      <c r="CL1397" s="128">
        <f>CK1397/$AS1397</f>
        <v>0</v>
      </c>
      <c r="CS1397" s="130">
        <f>IF(CU1397&gt;0,1,0)</f>
        <v>0</v>
      </c>
      <c r="CU1397" s="128">
        <f>VLOOKUP($E1397,[2]Current!$A:$AC,17,FALSE)</f>
        <v>0</v>
      </c>
      <c r="CV1397" s="128">
        <f>CU1397/$AS1397</f>
        <v>0</v>
      </c>
      <c r="CW1397" s="18"/>
      <c r="CX1397" s="18"/>
      <c r="CY1397" s="18"/>
      <c r="DF1397" s="16" t="e">
        <f>VLOOKUP(K1397,'[3]RNA Seq summary tables'!$V$3:$V$99,1,FALSE)</f>
        <v>#N/A</v>
      </c>
      <c r="DG1397" s="126" t="s">
        <v>116</v>
      </c>
    </row>
    <row r="1398" spans="2:288" ht="16" x14ac:dyDescent="0.2">
      <c r="B1398" s="16">
        <v>2018</v>
      </c>
      <c r="C1398" s="124">
        <v>43296</v>
      </c>
      <c r="D1398" t="s">
        <v>981</v>
      </c>
      <c r="E1398" s="142" t="str">
        <f>CONCATENATE(T1398,"-",U1398,"-",C1398)</f>
        <v>PO2-D7-43296</v>
      </c>
      <c r="F1398" s="16" t="s">
        <v>227</v>
      </c>
      <c r="G1398" s="126" t="s">
        <v>107</v>
      </c>
      <c r="H1398" s="126"/>
      <c r="J1398" s="126">
        <v>1529</v>
      </c>
      <c r="K1398" s="126">
        <v>2625</v>
      </c>
      <c r="O1398" s="15" t="s">
        <v>214</v>
      </c>
      <c r="Q1398" s="16">
        <f t="shared" si="10"/>
        <v>1</v>
      </c>
      <c r="R1398" s="16">
        <f t="shared" si="9"/>
        <v>11</v>
      </c>
      <c r="T1398" s="126" t="s">
        <v>127</v>
      </c>
      <c r="U1398" s="126" t="s">
        <v>177</v>
      </c>
      <c r="V1398" s="126" t="s">
        <v>114</v>
      </c>
      <c r="X1398" s="126" t="s">
        <v>115</v>
      </c>
      <c r="Y1398" s="126" t="s">
        <v>110</v>
      </c>
      <c r="Z1398" s="126">
        <v>3</v>
      </c>
      <c r="AA1398" s="126"/>
      <c r="AB1398" s="126"/>
      <c r="AC1398" s="126"/>
      <c r="AD1398" s="126" t="s">
        <v>116</v>
      </c>
      <c r="AE1398" s="126" t="s">
        <v>116</v>
      </c>
      <c r="AG1398" s="40">
        <f>AH1398-AI1398</f>
        <v>82</v>
      </c>
      <c r="AH1398" s="126">
        <v>156</v>
      </c>
      <c r="AI1398" s="126">
        <v>74</v>
      </c>
      <c r="AK1398" s="126">
        <v>19</v>
      </c>
      <c r="AL1398" s="126">
        <v>0</v>
      </c>
      <c r="AM1398" s="126">
        <v>0</v>
      </c>
      <c r="AN1398" s="126">
        <v>0</v>
      </c>
      <c r="AO1398" s="16">
        <f>IF(SUM(AL1398:AN1398)&gt;0,1,0)</f>
        <v>0</v>
      </c>
      <c r="AP1398" s="18">
        <f>SUM(AL1398:AN1398)</f>
        <v>0</v>
      </c>
      <c r="AR1398" s="16">
        <v>7.9000000000000181E-2</v>
      </c>
      <c r="AS1398" s="16">
        <f>VLOOKUP(E1398,'[1]Feces weights'!$D$1:$H$459,5,FALSE)</f>
        <v>7.9000000000000181E-2</v>
      </c>
      <c r="AT1398" s="16" t="e">
        <f>VLOOKUP(E1398,[2]Current!$A$1:$W$435,7,FALSE)</f>
        <v>#N/A</v>
      </c>
      <c r="AU1398" s="16">
        <v>0</v>
      </c>
      <c r="BG1398" s="77"/>
      <c r="BN1398" s="126"/>
      <c r="BT1398" s="78"/>
      <c r="BU1398" s="18"/>
      <c r="BV1398" s="18"/>
      <c r="BW1398" s="25"/>
      <c r="BX1398" s="18"/>
      <c r="BY1398" s="18"/>
      <c r="BZ1398" s="25"/>
      <c r="CA1398" s="18"/>
      <c r="CB1398" s="18"/>
      <c r="CC1398" s="25"/>
      <c r="CD1398" s="78"/>
      <c r="CE1398" s="18"/>
      <c r="CF1398" s="25"/>
      <c r="CG1398" s="18"/>
      <c r="CH1398" s="18"/>
      <c r="CI1398" s="18"/>
      <c r="CJ1398" s="18"/>
      <c r="CK1398" s="18"/>
      <c r="CL1398" s="25"/>
      <c r="DF1398" s="16" t="e">
        <f>VLOOKUP(K1398,'[3]RNA Seq summary tables'!$V$3:$V$99,1,FALSE)</f>
        <v>#N/A</v>
      </c>
      <c r="DG1398" s="126" t="s">
        <v>116</v>
      </c>
    </row>
    <row r="1399" spans="2:288" ht="16" x14ac:dyDescent="0.2">
      <c r="B1399" s="16">
        <v>2018</v>
      </c>
      <c r="C1399" s="147">
        <v>43315</v>
      </c>
      <c r="D1399" t="s">
        <v>1243</v>
      </c>
      <c r="E1399" s="20" t="str">
        <f>CONCATENATE(T1399,"-",U1399,"-",C1399)</f>
        <v>PO2-E8-43315</v>
      </c>
      <c r="F1399" s="16" t="s">
        <v>227</v>
      </c>
      <c r="G1399" s="145" t="s">
        <v>107</v>
      </c>
      <c r="H1399" s="145"/>
      <c r="I1399" s="145"/>
      <c r="J1399" s="145">
        <v>1529</v>
      </c>
      <c r="K1399" s="145">
        <v>2742</v>
      </c>
      <c r="M1399" s="16"/>
      <c r="N1399" s="16"/>
      <c r="O1399" s="15" t="s">
        <v>214</v>
      </c>
      <c r="Q1399" s="16">
        <f t="shared" si="10"/>
        <v>1</v>
      </c>
      <c r="R1399" s="16">
        <f t="shared" si="9"/>
        <v>19</v>
      </c>
      <c r="S1399" s="145"/>
      <c r="T1399" s="145" t="s">
        <v>127</v>
      </c>
      <c r="U1399" s="145" t="s">
        <v>181</v>
      </c>
      <c r="V1399" s="145" t="s">
        <v>114</v>
      </c>
      <c r="W1399" s="145"/>
      <c r="X1399" s="145" t="s">
        <v>115</v>
      </c>
      <c r="Y1399" s="145" t="s">
        <v>110</v>
      </c>
      <c r="Z1399" s="145">
        <v>3</v>
      </c>
      <c r="AA1399" s="145"/>
      <c r="AB1399" s="145"/>
      <c r="AC1399" s="145"/>
      <c r="AD1399" s="145"/>
      <c r="AE1399" s="145" t="s">
        <v>116</v>
      </c>
      <c r="AF1399" s="145" t="s">
        <v>116</v>
      </c>
      <c r="AG1399" s="145">
        <f>AH1399-AI1399</f>
        <v>77</v>
      </c>
      <c r="AH1399" s="145">
        <v>152</v>
      </c>
      <c r="AI1399" s="145">
        <v>75</v>
      </c>
      <c r="AJ1399" s="145"/>
      <c r="AK1399" s="145">
        <v>16</v>
      </c>
      <c r="AL1399" s="145">
        <v>0</v>
      </c>
      <c r="AM1399" s="145">
        <v>0</v>
      </c>
      <c r="AN1399" s="145">
        <v>0</v>
      </c>
      <c r="AO1399" s="16">
        <f>IF(SUM(AL1399:AN1399)&gt;0, 1,0)</f>
        <v>0</v>
      </c>
      <c r="AP1399" s="16">
        <f>SUM(AL1399:AN1399)</f>
        <v>0</v>
      </c>
      <c r="AS1399" s="16">
        <f>VLOOKUP(E1399,'[1]Feces weights'!$D$1:$H$459,5,FALSE)</f>
        <v>0.29200000000000004</v>
      </c>
      <c r="AT1399" s="16" t="e">
        <f>VLOOKUP(E1399,[2]Current!$A$1:$W$435,7,FALSE)</f>
        <v>#N/A</v>
      </c>
      <c r="BG1399" s="77"/>
      <c r="BT1399" s="77"/>
      <c r="CD1399" s="77"/>
      <c r="DG1399" s="145" t="s">
        <v>116</v>
      </c>
      <c r="DT1399" s="145" t="s">
        <v>123</v>
      </c>
      <c r="DU1399" s="145"/>
      <c r="DX1399" s="145"/>
      <c r="DY1399" s="145"/>
      <c r="DZ1399" s="16"/>
      <c r="EA1399" s="16"/>
      <c r="EB1399" s="16"/>
      <c r="EC1399" s="16"/>
      <c r="ED1399" s="16"/>
      <c r="EE1399" s="16"/>
      <c r="EF1399" s="16"/>
      <c r="JO1399" s="18"/>
      <c r="JP1399" s="18"/>
      <c r="JQ1399" s="18"/>
      <c r="JR1399" s="18"/>
      <c r="JS1399" s="18"/>
      <c r="JT1399" s="18"/>
      <c r="JU1399" s="18"/>
      <c r="JV1399" s="18"/>
      <c r="JW1399" s="18"/>
      <c r="JX1399" s="18"/>
      <c r="JY1399" s="18"/>
      <c r="JZ1399" s="18"/>
      <c r="KA1399" s="18"/>
    </row>
    <row r="1400" spans="2:288" ht="16" x14ac:dyDescent="0.2">
      <c r="B1400" s="16">
        <v>2018</v>
      </c>
      <c r="C1400" s="124">
        <v>43286</v>
      </c>
      <c r="D1400" t="s">
        <v>929</v>
      </c>
      <c r="E1400" s="37" t="str">
        <f>CONCATENATE(T1400,"-",U1400,"-",C1400)</f>
        <v>SP2-B8-43286</v>
      </c>
      <c r="F1400" s="16" t="s">
        <v>227</v>
      </c>
      <c r="G1400" s="126" t="s">
        <v>107</v>
      </c>
      <c r="H1400" s="126"/>
      <c r="J1400" s="126">
        <v>1531</v>
      </c>
      <c r="K1400" s="126">
        <v>2554</v>
      </c>
      <c r="O1400" s="15" t="s">
        <v>214</v>
      </c>
      <c r="Q1400" s="16">
        <f t="shared" si="10"/>
        <v>0</v>
      </c>
      <c r="R1400" s="16" t="str">
        <f t="shared" si="9"/>
        <v/>
      </c>
      <c r="T1400" s="126" t="s">
        <v>137</v>
      </c>
      <c r="U1400" s="126" t="s">
        <v>209</v>
      </c>
      <c r="V1400" s="126" t="s">
        <v>114</v>
      </c>
      <c r="X1400" s="126" t="s">
        <v>121</v>
      </c>
      <c r="Y1400" s="126" t="s">
        <v>110</v>
      </c>
      <c r="Z1400" s="126">
        <v>3</v>
      </c>
      <c r="AA1400" s="126" t="s">
        <v>119</v>
      </c>
      <c r="AB1400" s="126" t="s">
        <v>116</v>
      </c>
      <c r="AC1400" s="126" t="s">
        <v>116</v>
      </c>
      <c r="AD1400" s="126"/>
      <c r="AE1400" s="126"/>
      <c r="AG1400" s="16">
        <f>AH1400-AI1400</f>
        <v>87</v>
      </c>
      <c r="AH1400" s="126">
        <v>165</v>
      </c>
      <c r="AI1400" s="126">
        <v>78</v>
      </c>
      <c r="AK1400" s="126">
        <v>25.5</v>
      </c>
      <c r="AL1400" s="126">
        <v>0</v>
      </c>
      <c r="AM1400" s="126">
        <v>0</v>
      </c>
      <c r="AN1400" s="126">
        <v>0</v>
      </c>
      <c r="AO1400" s="16">
        <f>IF(SUM(AL1400:AN1400)&gt;0,1,0)</f>
        <v>0</v>
      </c>
      <c r="AP1400" s="18">
        <f>SUM(AL1400:AN1400)</f>
        <v>0</v>
      </c>
      <c r="AR1400" s="16">
        <v>0.18200000000000016</v>
      </c>
      <c r="AS1400" s="16">
        <f>VLOOKUP(E1400,'[1]Feces weights'!$D$1:$H$459,5,FALSE)</f>
        <v>0.18200000000000016</v>
      </c>
      <c r="AT1400" s="16" t="str">
        <f>VLOOKUP(E1400,[2]Current!$A$1:$W$435,7,FALSE)</f>
        <v>TE</v>
      </c>
      <c r="AU1400" s="16" t="s">
        <v>1288</v>
      </c>
      <c r="AW1400" s="128">
        <f>IF(AX1400&gt;0,1,0)</f>
        <v>1</v>
      </c>
      <c r="AX1400" s="128">
        <f>SUM(BA1400,BM1400,CU1400)</f>
        <v>44</v>
      </c>
      <c r="AY1400" s="128">
        <f>SUM(BB1400,BN1400,CV1400)</f>
        <v>401.0989010989008</v>
      </c>
      <c r="AZ1400" s="128">
        <f>IF(BA1400&gt;0,1,0)</f>
        <v>1</v>
      </c>
      <c r="BA1400" s="128">
        <f>SUM(BC1400+BF1400+BI1400)</f>
        <v>3</v>
      </c>
      <c r="BB1400" s="128">
        <f>SUM(BE1400,BH1400,BK1400)</f>
        <v>175.82417582417568</v>
      </c>
      <c r="BC1400" s="130">
        <f>IF(BD1400&gt;0,1,0)</f>
        <v>1</v>
      </c>
      <c r="BD1400" s="128">
        <f>VLOOKUP($E1400,[2]Current!$A:$AC,26,FALSE)</f>
        <v>4</v>
      </c>
      <c r="BE1400" s="128">
        <f>BD1400/$AS1400</f>
        <v>21.978021978021957</v>
      </c>
      <c r="BF1400" s="130">
        <f>IF(BG1400&gt;0,1,0)</f>
        <v>1</v>
      </c>
      <c r="BG1400" s="137">
        <f>VLOOKUP($E1400,[2]Current!$A:$AC,27,FALSE)</f>
        <v>18</v>
      </c>
      <c r="BH1400" s="128">
        <f>BG1400/$AS1400</f>
        <v>98.90109890109882</v>
      </c>
      <c r="BI1400" s="130">
        <f>IF(BJ1400&gt;0,1,0)</f>
        <v>1</v>
      </c>
      <c r="BJ1400" s="128">
        <f>VLOOKUP($E1400,[2]Current!$A:$AC,28,FALSE)</f>
        <v>10</v>
      </c>
      <c r="BK1400" s="128">
        <f>BJ1400/$AS1400</f>
        <v>54.945054945054899</v>
      </c>
      <c r="BL1400" s="128">
        <f>IF(BM1400&gt;0,1,0)</f>
        <v>0</v>
      </c>
      <c r="BM1400" s="128">
        <f>SUM(BR1400,BU1400,BX1400,CA1400,CD1400)</f>
        <v>0</v>
      </c>
      <c r="BN1400" s="131">
        <f>SUM(BT1400,BW1400,BZ1400,CC1400,CF1400)</f>
        <v>0</v>
      </c>
      <c r="BO1400" s="128">
        <f>IF(BP1400&gt;0,1,0)</f>
        <v>0</v>
      </c>
      <c r="BP1400" s="128">
        <f>BM1400+CJ1400</f>
        <v>0</v>
      </c>
      <c r="BQ1400" s="128">
        <f>BN1400+CL1400</f>
        <v>0</v>
      </c>
      <c r="BR1400" s="130">
        <f>IF(BS1400&gt;0,1,0)</f>
        <v>0</v>
      </c>
      <c r="BS1400" s="128">
        <f>VLOOKUP($E1400,[2]Current!$A:$AC,12,FALSE)</f>
        <v>0</v>
      </c>
      <c r="BT1400" s="137">
        <f>BS1400/$AS1400</f>
        <v>0</v>
      </c>
      <c r="BU1400" s="130">
        <f>IF(BV1400&gt;0,1,0)</f>
        <v>0</v>
      </c>
      <c r="BV1400" s="128">
        <f>VLOOKUP($E1400,[2]Current!$A:$AC,13,FALSE)</f>
        <v>0</v>
      </c>
      <c r="BW1400" s="128">
        <f>BV1400/$AS1400</f>
        <v>0</v>
      </c>
      <c r="BX1400" s="130">
        <f>IF(BY1400&gt;0,1,0)</f>
        <v>0</v>
      </c>
      <c r="BY1400" s="128">
        <f>VLOOKUP($E1400,[2]Current!$A:$AC,14,FALSE)</f>
        <v>0</v>
      </c>
      <c r="BZ1400" s="128">
        <f>BY1400/$AS1400</f>
        <v>0</v>
      </c>
      <c r="CA1400" s="130">
        <f>IF(CB1400&gt;0,1,0)</f>
        <v>0</v>
      </c>
      <c r="CB1400" s="128">
        <f>VLOOKUP($E1400,[2]Current!$A:$AC,15,FALSE)</f>
        <v>0</v>
      </c>
      <c r="CC1400" s="128">
        <f>CB1400/$AS1400</f>
        <v>0</v>
      </c>
      <c r="CD1400" s="174">
        <f>IF(CE1400&gt;0,1,0)</f>
        <v>0</v>
      </c>
      <c r="CE1400" s="128">
        <f>VLOOKUP($E1400,[2]Current!$A:$AC,16,FALSE)</f>
        <v>0</v>
      </c>
      <c r="CF1400" s="128">
        <f>CE1400/$AS1400</f>
        <v>0</v>
      </c>
      <c r="CG1400" s="18"/>
      <c r="CH1400" s="18"/>
      <c r="CI1400" s="18"/>
      <c r="CJ1400" s="130">
        <f>IF(CK1400&gt;0,1,0)</f>
        <v>0</v>
      </c>
      <c r="CK1400" s="128">
        <f>VLOOKUP($E1400,[2]Current!$A:$AC,18,FALSE)</f>
        <v>0</v>
      </c>
      <c r="CL1400" s="128">
        <f>CK1400/$AS1400</f>
        <v>0</v>
      </c>
      <c r="CS1400" s="130">
        <f>IF(CU1400&gt;0,1,0)</f>
        <v>1</v>
      </c>
      <c r="CU1400" s="128">
        <f>VLOOKUP($E1400,[2]Current!$A:$AC,17,FALSE)</f>
        <v>41</v>
      </c>
      <c r="CV1400" s="128">
        <f>CU1400/$AS1400</f>
        <v>225.27472527472509</v>
      </c>
      <c r="CW1400" s="18"/>
      <c r="CX1400" s="18"/>
      <c r="CY1400" s="18"/>
      <c r="DF1400" s="16" t="e">
        <f>VLOOKUP(K1400,'[3]RNA Seq summary tables'!$V$3:$V$99,1,FALSE)</f>
        <v>#N/A</v>
      </c>
      <c r="DG1400" s="126" t="s">
        <v>116</v>
      </c>
    </row>
    <row r="1401" spans="2:288" ht="16" x14ac:dyDescent="0.2">
      <c r="B1401" s="16">
        <v>2018</v>
      </c>
      <c r="C1401" s="124">
        <v>43286</v>
      </c>
      <c r="D1401" t="s">
        <v>919</v>
      </c>
      <c r="E1401" s="37" t="str">
        <f>CONCATENATE(T1401,"-",U1401,"-",C1401)</f>
        <v>SP2-G1-43286</v>
      </c>
      <c r="F1401" s="16" t="s">
        <v>227</v>
      </c>
      <c r="G1401" s="126" t="s">
        <v>107</v>
      </c>
      <c r="H1401" s="127" t="s">
        <v>1128</v>
      </c>
      <c r="J1401" s="126">
        <v>1533</v>
      </c>
      <c r="K1401" s="126">
        <v>2559</v>
      </c>
      <c r="O1401" s="15" t="s">
        <v>214</v>
      </c>
      <c r="Q1401" s="16">
        <f t="shared" si="10"/>
        <v>0</v>
      </c>
      <c r="R1401" s="16" t="str">
        <f t="shared" si="9"/>
        <v/>
      </c>
      <c r="T1401" s="126" t="s">
        <v>137</v>
      </c>
      <c r="U1401" s="126" t="s">
        <v>155</v>
      </c>
      <c r="V1401" s="126" t="s">
        <v>114</v>
      </c>
      <c r="X1401" s="126" t="s">
        <v>121</v>
      </c>
      <c r="Y1401" s="126" t="s">
        <v>122</v>
      </c>
      <c r="Z1401" s="126">
        <v>2.6</v>
      </c>
      <c r="AA1401" s="126" t="s">
        <v>119</v>
      </c>
      <c r="AB1401" s="126" t="s">
        <v>123</v>
      </c>
      <c r="AC1401" s="126" t="s">
        <v>123</v>
      </c>
      <c r="AD1401" s="126"/>
      <c r="AE1401" s="126"/>
      <c r="AG1401" s="16">
        <f>AH1401-AI1401</f>
        <v>79</v>
      </c>
      <c r="AH1401" s="126">
        <v>148</v>
      </c>
      <c r="AI1401" s="126">
        <v>69</v>
      </c>
      <c r="AK1401" s="126">
        <v>15</v>
      </c>
      <c r="AL1401" s="126">
        <v>0</v>
      </c>
      <c r="AM1401" s="126">
        <v>0</v>
      </c>
      <c r="AN1401" s="126">
        <v>0</v>
      </c>
      <c r="AO1401" s="16">
        <f>IF(SUM(AL1401:AN1401)&gt;0,1,0)</f>
        <v>0</v>
      </c>
      <c r="AP1401" s="18">
        <f>SUM(AL1401:AN1401)</f>
        <v>0</v>
      </c>
      <c r="AR1401" s="16">
        <v>1.0000000000000009E-2</v>
      </c>
      <c r="AS1401" s="16">
        <f>VLOOKUP(E1401,'[1]Feces weights'!$D$1:$H$459,5,FALSE)</f>
        <v>1.0000000000000009E-2</v>
      </c>
      <c r="AT1401" s="16" t="str">
        <f>VLOOKUP(E1401,[2]Current!$A$1:$W$435,7,FALSE)</f>
        <v>TE</v>
      </c>
      <c r="AU1401" s="16" t="s">
        <v>1288</v>
      </c>
      <c r="AV1401" s="23">
        <v>1</v>
      </c>
      <c r="AW1401" s="128">
        <f>IF(AX1401&gt;0,1,0)</f>
        <v>0</v>
      </c>
      <c r="AX1401" s="128">
        <f>SUM(BA1401,BM1401,CU1401)</f>
        <v>0</v>
      </c>
      <c r="AY1401" s="128">
        <f>SUM(BB1401,BN1401,CV1401)</f>
        <v>0</v>
      </c>
      <c r="AZ1401" s="128">
        <f>IF(BA1401&gt;0,1,0)</f>
        <v>0</v>
      </c>
      <c r="BA1401" s="128">
        <f>SUM(BC1401+BF1401+BI1401)</f>
        <v>0</v>
      </c>
      <c r="BB1401" s="128">
        <f>SUM(BE1401,BH1401,BK1401)</f>
        <v>0</v>
      </c>
      <c r="BC1401" s="130">
        <f>IF(BD1401&gt;0,1,0)</f>
        <v>0</v>
      </c>
      <c r="BD1401" s="128">
        <f>VLOOKUP($E1401,[2]Current!$A:$AC,26,FALSE)</f>
        <v>0</v>
      </c>
      <c r="BE1401" s="128">
        <f>BD1401/$AS1401</f>
        <v>0</v>
      </c>
      <c r="BF1401" s="130">
        <f>IF(BG1401&gt;0,1,0)</f>
        <v>0</v>
      </c>
      <c r="BG1401" s="137">
        <f>VLOOKUP($E1401,[2]Current!$A:$AC,27,FALSE)</f>
        <v>0</v>
      </c>
      <c r="BH1401" s="128">
        <f>BG1401/$AS1401</f>
        <v>0</v>
      </c>
      <c r="BI1401" s="130">
        <f>IF(BJ1401&gt;0,1,0)</f>
        <v>0</v>
      </c>
      <c r="BJ1401" s="128">
        <f>VLOOKUP($E1401,[2]Current!$A:$AC,28,FALSE)</f>
        <v>0</v>
      </c>
      <c r="BK1401" s="128">
        <f>BJ1401/$AS1401</f>
        <v>0</v>
      </c>
      <c r="BL1401" s="128">
        <f>IF(BM1401&gt;0,1,0)</f>
        <v>0</v>
      </c>
      <c r="BM1401" s="128">
        <f>SUM(BR1401,BU1401,BX1401,CA1401,CD1401)</f>
        <v>0</v>
      </c>
      <c r="BN1401" s="131">
        <f>SUM(BT1401,BW1401,BZ1401,CC1401,CF1401)</f>
        <v>0</v>
      </c>
      <c r="BO1401" s="128">
        <f>IF(BP1401&gt;0,1,0)</f>
        <v>0</v>
      </c>
      <c r="BP1401" s="128">
        <f>BM1401+CJ1401</f>
        <v>0</v>
      </c>
      <c r="BQ1401" s="128">
        <f>BN1401+CL1401</f>
        <v>0</v>
      </c>
      <c r="BR1401" s="130">
        <f>IF(BS1401&gt;0,1,0)</f>
        <v>0</v>
      </c>
      <c r="BS1401" s="128">
        <f>VLOOKUP($E1401,[2]Current!$A:$AC,12,FALSE)</f>
        <v>0</v>
      </c>
      <c r="BT1401" s="137">
        <f>BS1401/$AS1401</f>
        <v>0</v>
      </c>
      <c r="BU1401" s="130">
        <f>IF(BV1401&gt;0,1,0)</f>
        <v>0</v>
      </c>
      <c r="BV1401" s="128">
        <f>VLOOKUP($E1401,[2]Current!$A:$AC,13,FALSE)</f>
        <v>0</v>
      </c>
      <c r="BW1401" s="128">
        <f>BV1401/$AS1401</f>
        <v>0</v>
      </c>
      <c r="BX1401" s="130">
        <f>IF(BY1401&gt;0,1,0)</f>
        <v>0</v>
      </c>
      <c r="BY1401" s="128">
        <f>VLOOKUP($E1401,[2]Current!$A:$AC,14,FALSE)</f>
        <v>0</v>
      </c>
      <c r="BZ1401" s="128">
        <f>BY1401/$AS1401</f>
        <v>0</v>
      </c>
      <c r="CA1401" s="130">
        <f>IF(CB1401&gt;0,1,0)</f>
        <v>0</v>
      </c>
      <c r="CB1401" s="128">
        <f>VLOOKUP($E1401,[2]Current!$A:$AC,15,FALSE)</f>
        <v>0</v>
      </c>
      <c r="CC1401" s="128">
        <f>CB1401/$AS1401</f>
        <v>0</v>
      </c>
      <c r="CD1401" s="174">
        <f>IF(CE1401&gt;0,1,0)</f>
        <v>0</v>
      </c>
      <c r="CE1401" s="128">
        <f>VLOOKUP($E1401,[2]Current!$A:$AC,16,FALSE)</f>
        <v>0</v>
      </c>
      <c r="CF1401" s="128">
        <f>CE1401/$AS1401</f>
        <v>0</v>
      </c>
      <c r="CG1401" s="18"/>
      <c r="CH1401" s="18"/>
      <c r="CI1401" s="18"/>
      <c r="CJ1401" s="130">
        <f>IF(CK1401&gt;0,1,0)</f>
        <v>0</v>
      </c>
      <c r="CK1401" s="128">
        <f>VLOOKUP($E1401,[2]Current!$A:$AC,18,FALSE)</f>
        <v>0</v>
      </c>
      <c r="CL1401" s="128">
        <f>CK1401/$AS1401</f>
        <v>0</v>
      </c>
      <c r="CS1401" s="130">
        <f>IF(CU1401&gt;0,1,0)</f>
        <v>0</v>
      </c>
      <c r="CU1401" s="128">
        <f>VLOOKUP($E1401,[2]Current!$A:$AC,17,FALSE)</f>
        <v>0</v>
      </c>
      <c r="CV1401" s="128">
        <f>CU1401/$AS1401</f>
        <v>0</v>
      </c>
      <c r="CW1401" s="18"/>
      <c r="CX1401" s="18"/>
      <c r="CY1401" s="18"/>
      <c r="DF1401" s="16" t="e">
        <f>VLOOKUP(K1401,'[3]RNA Seq summary tables'!$V$3:$V$99,1,FALSE)</f>
        <v>#N/A</v>
      </c>
      <c r="DG1401" s="126" t="s">
        <v>123</v>
      </c>
    </row>
    <row r="1402" spans="2:288" ht="16" x14ac:dyDescent="0.2">
      <c r="B1402" s="16">
        <v>2018</v>
      </c>
      <c r="C1402" s="124">
        <v>43286</v>
      </c>
      <c r="D1402" t="s">
        <v>917</v>
      </c>
      <c r="E1402" s="37" t="str">
        <f>CONCATENATE(T1402,"-",U1402,"-",C1402)</f>
        <v>SP1-A3-43286</v>
      </c>
      <c r="F1402" s="16" t="s">
        <v>227</v>
      </c>
      <c r="G1402" s="126" t="s">
        <v>107</v>
      </c>
      <c r="H1402" s="126"/>
      <c r="J1402" s="126">
        <v>1535</v>
      </c>
      <c r="K1402" s="126">
        <v>2563</v>
      </c>
      <c r="O1402" s="15" t="s">
        <v>214</v>
      </c>
      <c r="Q1402" s="16">
        <f t="shared" si="10"/>
        <v>0</v>
      </c>
      <c r="R1402" s="16" t="str">
        <f t="shared" si="9"/>
        <v/>
      </c>
      <c r="T1402" s="126" t="s">
        <v>140</v>
      </c>
      <c r="U1402" s="126" t="s">
        <v>201</v>
      </c>
      <c r="V1402" s="133" t="s">
        <v>142</v>
      </c>
      <c r="X1402" s="126" t="s">
        <v>121</v>
      </c>
      <c r="Y1402" s="126" t="s">
        <v>110</v>
      </c>
      <c r="Z1402" s="126">
        <v>3</v>
      </c>
      <c r="AA1402" s="126" t="s">
        <v>119</v>
      </c>
      <c r="AB1402" s="126" t="s">
        <v>123</v>
      </c>
      <c r="AC1402" s="126" t="s">
        <v>116</v>
      </c>
      <c r="AD1402" s="126"/>
      <c r="AE1402" s="126"/>
      <c r="AG1402" s="16">
        <f>AH1402-AI1402</f>
        <v>87</v>
      </c>
      <c r="AH1402" s="126">
        <v>172</v>
      </c>
      <c r="AI1402" s="126">
        <v>85</v>
      </c>
      <c r="AK1402" s="126">
        <v>15.5</v>
      </c>
      <c r="AL1402" s="126">
        <v>0</v>
      </c>
      <c r="AM1402" s="126">
        <v>0</v>
      </c>
      <c r="AN1402" s="126">
        <v>0</v>
      </c>
      <c r="AO1402" s="16">
        <f>IF(SUM(AL1402:AN1402)&gt;0,1,0)</f>
        <v>0</v>
      </c>
      <c r="AP1402" s="18">
        <f>SUM(AL1402:AN1402)</f>
        <v>0</v>
      </c>
      <c r="AR1402" s="16">
        <v>3.0000000000001137E-3</v>
      </c>
      <c r="AS1402" s="16">
        <f>VLOOKUP(E1402,'[1]Feces weights'!$D$1:$H$459,5,FALSE)</f>
        <v>3.0000000000001137E-3</v>
      </c>
      <c r="AT1402" s="16" t="str">
        <f>VLOOKUP(E1402,[2]Current!$A$1:$W$435,7,FALSE)</f>
        <v>JB</v>
      </c>
      <c r="AU1402" s="16" t="s">
        <v>1288</v>
      </c>
      <c r="AW1402" s="128">
        <f>IF(AX1402&gt;0,1,0)</f>
        <v>1</v>
      </c>
      <c r="AX1402" s="128">
        <f>SUM(BA1402,BM1402,CU1402)</f>
        <v>1</v>
      </c>
      <c r="AY1402" s="128">
        <f>SUM(BB1402,BN1402,CV1402)</f>
        <v>420666.66666665074</v>
      </c>
      <c r="AZ1402" s="128">
        <f>IF(BA1402&gt;0,1,0)</f>
        <v>1</v>
      </c>
      <c r="BA1402" s="128">
        <f>SUM(BC1402+BF1402+BI1402)</f>
        <v>1</v>
      </c>
      <c r="BB1402" s="128">
        <f>SUM(BE1402,BH1402,BK1402)</f>
        <v>420666.66666665074</v>
      </c>
      <c r="BC1402" s="130">
        <f>IF(BD1402&gt;0,1,0)</f>
        <v>0</v>
      </c>
      <c r="BD1402" s="128">
        <f>VLOOKUP($E1402,[2]Current!$A:$AC,26,FALSE)</f>
        <v>0</v>
      </c>
      <c r="BE1402" s="128">
        <f>BD1402/$AS1402</f>
        <v>0</v>
      </c>
      <c r="BF1402" s="130">
        <f>IF(BG1402&gt;0,1,0)</f>
        <v>1</v>
      </c>
      <c r="BG1402" s="137">
        <f>VLOOKUP($E1402,[2]Current!$A:$AC,27,FALSE)</f>
        <v>1262</v>
      </c>
      <c r="BH1402" s="128">
        <f>BG1402/$AS1402</f>
        <v>420666.66666665074</v>
      </c>
      <c r="BI1402" s="130">
        <f>IF(BJ1402&gt;0,1,0)</f>
        <v>0</v>
      </c>
      <c r="BJ1402" s="128">
        <f>VLOOKUP($E1402,[2]Current!$A:$AC,28,FALSE)</f>
        <v>0</v>
      </c>
      <c r="BK1402" s="128">
        <f>BJ1402/$AS1402</f>
        <v>0</v>
      </c>
      <c r="BL1402" s="128">
        <f>IF(BM1402&gt;0,1,0)</f>
        <v>0</v>
      </c>
      <c r="BM1402" s="128">
        <f>SUM(BR1402,BU1402,BX1402,CA1402,CD1402)</f>
        <v>0</v>
      </c>
      <c r="BN1402" s="131">
        <f>SUM(BT1402,BW1402,BZ1402,CC1402,CF1402)</f>
        <v>0</v>
      </c>
      <c r="BO1402" s="128">
        <f>IF(BP1402&gt;0,1,0)</f>
        <v>0</v>
      </c>
      <c r="BP1402" s="128">
        <f>BM1402+CJ1402</f>
        <v>0</v>
      </c>
      <c r="BQ1402" s="128">
        <f>BN1402+CL1402</f>
        <v>0</v>
      </c>
      <c r="BR1402" s="130">
        <f>IF(BS1402&gt;0,1,0)</f>
        <v>0</v>
      </c>
      <c r="BS1402" s="128">
        <f>VLOOKUP($E1402,[2]Current!$A:$AC,12,FALSE)</f>
        <v>0</v>
      </c>
      <c r="BT1402" s="137">
        <f>BS1402/$AS1402</f>
        <v>0</v>
      </c>
      <c r="BU1402" s="130">
        <f>IF(BV1402&gt;0,1,0)</f>
        <v>0</v>
      </c>
      <c r="BV1402" s="128">
        <f>VLOOKUP($E1402,[2]Current!$A:$AC,13,FALSE)</f>
        <v>0</v>
      </c>
      <c r="BW1402" s="128">
        <f>BV1402/$AS1402</f>
        <v>0</v>
      </c>
      <c r="BX1402" s="130">
        <f>IF(BY1402&gt;0,1,0)</f>
        <v>0</v>
      </c>
      <c r="BY1402" s="128">
        <f>VLOOKUP($E1402,[2]Current!$A:$AC,14,FALSE)</f>
        <v>0</v>
      </c>
      <c r="BZ1402" s="128">
        <f>BY1402/$AS1402</f>
        <v>0</v>
      </c>
      <c r="CA1402" s="130">
        <f>IF(CB1402&gt;0,1,0)</f>
        <v>0</v>
      </c>
      <c r="CB1402" s="128">
        <f>VLOOKUP($E1402,[2]Current!$A:$AC,15,FALSE)</f>
        <v>0</v>
      </c>
      <c r="CC1402" s="128">
        <f>CB1402/$AS1402</f>
        <v>0</v>
      </c>
      <c r="CD1402" s="174">
        <f>IF(CE1402&gt;0,1,0)</f>
        <v>0</v>
      </c>
      <c r="CE1402" s="128">
        <f>VLOOKUP($E1402,[2]Current!$A:$AC,16,FALSE)</f>
        <v>0</v>
      </c>
      <c r="CF1402" s="128">
        <f>CE1402/$AS1402</f>
        <v>0</v>
      </c>
      <c r="CG1402" s="18"/>
      <c r="CH1402" s="18"/>
      <c r="CI1402" s="18"/>
      <c r="CJ1402" s="130">
        <f>IF(CK1402&gt;0,1,0)</f>
        <v>0</v>
      </c>
      <c r="CK1402" s="128">
        <f>VLOOKUP($E1402,[2]Current!$A:$AC,18,FALSE)</f>
        <v>0</v>
      </c>
      <c r="CL1402" s="128">
        <f>CK1402/$AS1402</f>
        <v>0</v>
      </c>
      <c r="CS1402" s="130">
        <f>IF(CU1402&gt;0,1,0)</f>
        <v>0</v>
      </c>
      <c r="CU1402" s="128">
        <f>VLOOKUP($E1402,[2]Current!$A:$AC,17,FALSE)</f>
        <v>0</v>
      </c>
      <c r="CV1402" s="128">
        <f>CU1402/$AS1402</f>
        <v>0</v>
      </c>
      <c r="CW1402" s="18"/>
      <c r="CX1402" s="18"/>
      <c r="CY1402" s="18"/>
      <c r="DF1402" s="16" t="e">
        <f>VLOOKUP(K1402,'[3]RNA Seq summary tables'!$V$3:$V$99,1,FALSE)</f>
        <v>#N/A</v>
      </c>
      <c r="DG1402" s="126" t="s">
        <v>116</v>
      </c>
    </row>
    <row r="1403" spans="2:288" ht="16" x14ac:dyDescent="0.2">
      <c r="B1403" s="16">
        <v>2018</v>
      </c>
      <c r="C1403" s="124">
        <v>43286</v>
      </c>
      <c r="D1403" t="s">
        <v>916</v>
      </c>
      <c r="E1403" s="37" t="str">
        <f>CONCATENATE(T1403,"-",U1403,"-",C1403)</f>
        <v>SP1-D8-43286</v>
      </c>
      <c r="F1403" s="16" t="s">
        <v>227</v>
      </c>
      <c r="G1403" s="126" t="s">
        <v>107</v>
      </c>
      <c r="H1403" s="126"/>
      <c r="J1403" s="126">
        <v>1537</v>
      </c>
      <c r="K1403" s="126">
        <v>2566</v>
      </c>
      <c r="O1403" s="15" t="s">
        <v>214</v>
      </c>
      <c r="Q1403" s="16">
        <f t="shared" si="10"/>
        <v>0</v>
      </c>
      <c r="R1403" s="16" t="str">
        <f t="shared" si="9"/>
        <v/>
      </c>
      <c r="T1403" s="126" t="s">
        <v>140</v>
      </c>
      <c r="U1403" s="126" t="s">
        <v>178</v>
      </c>
      <c r="V1403" s="126" t="s">
        <v>114</v>
      </c>
      <c r="X1403" s="126" t="s">
        <v>115</v>
      </c>
      <c r="Y1403" s="126" t="s">
        <v>110</v>
      </c>
      <c r="Z1403" s="126">
        <v>3</v>
      </c>
      <c r="AA1403" s="126"/>
      <c r="AB1403" s="126"/>
      <c r="AC1403" s="126"/>
      <c r="AD1403" s="126"/>
      <c r="AE1403" s="126" t="s">
        <v>123</v>
      </c>
      <c r="AG1403" s="16">
        <f>AH1403-AI1403</f>
        <v>80</v>
      </c>
      <c r="AH1403" s="126">
        <v>151</v>
      </c>
      <c r="AI1403" s="126">
        <v>71</v>
      </c>
      <c r="AK1403" s="126">
        <v>16</v>
      </c>
      <c r="AL1403" s="126">
        <v>0</v>
      </c>
      <c r="AM1403" s="126">
        <v>0</v>
      </c>
      <c r="AN1403" s="126">
        <v>0</v>
      </c>
      <c r="AO1403" s="16">
        <f>IF(SUM(AL1403:AN1403)&gt;0,1,0)</f>
        <v>0</v>
      </c>
      <c r="AP1403" s="18">
        <f>SUM(AL1403:AN1403)</f>
        <v>0</v>
      </c>
      <c r="AR1403" s="16">
        <v>2E-3</v>
      </c>
      <c r="AS1403" s="16">
        <v>2E-3</v>
      </c>
      <c r="AT1403" s="16" t="str">
        <f>VLOOKUP(E1403,[2]Current!$A$1:$W$435,7,FALSE)</f>
        <v>DP</v>
      </c>
      <c r="AU1403" s="16" t="s">
        <v>1288</v>
      </c>
      <c r="AW1403" s="128">
        <f>IF(AX1403&gt;0,1,0)</f>
        <v>1</v>
      </c>
      <c r="AX1403" s="128">
        <f>SUM(BA1403,BM1403,CU1403)</f>
        <v>3</v>
      </c>
      <c r="AY1403" s="128">
        <f>SUM(BB1403,BN1403,CV1403)</f>
        <v>2607000</v>
      </c>
      <c r="AZ1403" s="128">
        <f>IF(BA1403&gt;0,1,0)</f>
        <v>1</v>
      </c>
      <c r="BA1403" s="128">
        <f>SUM(BC1403+BF1403+BI1403)</f>
        <v>3</v>
      </c>
      <c r="BB1403" s="128">
        <f>SUM(BE1403,BH1403,BK1403)</f>
        <v>2607000</v>
      </c>
      <c r="BC1403" s="130">
        <f>IF(BD1403&gt;0,1,0)</f>
        <v>1</v>
      </c>
      <c r="BD1403" s="128">
        <f>VLOOKUP($E1403,[2]Current!$A:$AC,26,FALSE)</f>
        <v>710</v>
      </c>
      <c r="BE1403" s="128">
        <f>BD1403/$AS1403</f>
        <v>355000</v>
      </c>
      <c r="BF1403" s="130">
        <f>IF(BG1403&gt;0,1,0)</f>
        <v>1</v>
      </c>
      <c r="BG1403" s="137">
        <f>VLOOKUP($E1403,[2]Current!$A:$AC,27,FALSE)</f>
        <v>4464</v>
      </c>
      <c r="BH1403" s="128">
        <f>BG1403/$AS1403</f>
        <v>2232000</v>
      </c>
      <c r="BI1403" s="130">
        <f>IF(BJ1403&gt;0,1,0)</f>
        <v>1</v>
      </c>
      <c r="BJ1403" s="128">
        <f>VLOOKUP($E1403,[2]Current!$A:$AC,28,FALSE)</f>
        <v>40</v>
      </c>
      <c r="BK1403" s="128">
        <f>BJ1403/$AS1403</f>
        <v>20000</v>
      </c>
      <c r="BL1403" s="128">
        <f>IF(BM1403&gt;0,1,0)</f>
        <v>0</v>
      </c>
      <c r="BM1403" s="128">
        <f>SUM(BR1403,BU1403,BX1403,CA1403,CD1403)</f>
        <v>0</v>
      </c>
      <c r="BN1403" s="131">
        <f>SUM(BT1403,BW1403,BZ1403,CC1403,CF1403)</f>
        <v>0</v>
      </c>
      <c r="BO1403" s="128">
        <f>IF(BP1403&gt;0,1,0)</f>
        <v>0</v>
      </c>
      <c r="BP1403" s="128">
        <f>BM1403+CJ1403</f>
        <v>0</v>
      </c>
      <c r="BQ1403" s="128">
        <f>BN1403+CL1403</f>
        <v>0</v>
      </c>
      <c r="BR1403" s="130">
        <f>IF(BS1403&gt;0,1,0)</f>
        <v>0</v>
      </c>
      <c r="BS1403" s="128">
        <f>VLOOKUP($E1403,[2]Current!$A:$AC,12,FALSE)</f>
        <v>0</v>
      </c>
      <c r="BT1403" s="137">
        <f>BS1403/$AS1403</f>
        <v>0</v>
      </c>
      <c r="BU1403" s="130">
        <f>IF(BV1403&gt;0,1,0)</f>
        <v>0</v>
      </c>
      <c r="BV1403" s="128">
        <f>VLOOKUP($E1403,[2]Current!$A:$AC,13,FALSE)</f>
        <v>0</v>
      </c>
      <c r="BW1403" s="128">
        <f>BV1403/$AS1403</f>
        <v>0</v>
      </c>
      <c r="BX1403" s="130">
        <f>IF(BY1403&gt;0,1,0)</f>
        <v>0</v>
      </c>
      <c r="BY1403" s="128">
        <f>VLOOKUP($E1403,[2]Current!$A:$AC,14,FALSE)</f>
        <v>0</v>
      </c>
      <c r="BZ1403" s="128">
        <f>BY1403/$AS1403</f>
        <v>0</v>
      </c>
      <c r="CA1403" s="130">
        <f>IF(CB1403&gt;0,1,0)</f>
        <v>0</v>
      </c>
      <c r="CB1403" s="128">
        <f>VLOOKUP($E1403,[2]Current!$A:$AC,15,FALSE)</f>
        <v>0</v>
      </c>
      <c r="CC1403" s="128">
        <f>CB1403/$AS1403</f>
        <v>0</v>
      </c>
      <c r="CD1403" s="174">
        <f>IF(CE1403&gt;0,1,0)</f>
        <v>0</v>
      </c>
      <c r="CE1403" s="128">
        <f>VLOOKUP($E1403,[2]Current!$A:$AC,16,FALSE)</f>
        <v>0</v>
      </c>
      <c r="CF1403" s="128">
        <f>CE1403/$AS1403</f>
        <v>0</v>
      </c>
      <c r="CG1403" s="18"/>
      <c r="CH1403" s="18"/>
      <c r="CI1403" s="18"/>
      <c r="CJ1403" s="130">
        <f>IF(CK1403&gt;0,1,0)</f>
        <v>0</v>
      </c>
      <c r="CK1403" s="128">
        <f>VLOOKUP($E1403,[2]Current!$A:$AC,18,FALSE)</f>
        <v>0</v>
      </c>
      <c r="CL1403" s="128">
        <f>CK1403/$AS1403</f>
        <v>0</v>
      </c>
      <c r="CS1403" s="130">
        <f>IF(CU1403&gt;0,1,0)</f>
        <v>0</v>
      </c>
      <c r="CU1403" s="128">
        <f>VLOOKUP($E1403,[2]Current!$A:$AC,17,FALSE)</f>
        <v>0</v>
      </c>
      <c r="CV1403" s="128">
        <f>CU1403/$AS1403</f>
        <v>0</v>
      </c>
      <c r="CW1403" s="18"/>
      <c r="CX1403" s="18"/>
      <c r="CY1403" s="18"/>
      <c r="DF1403" s="16" t="e">
        <f>VLOOKUP(K1403,'[3]RNA Seq summary tables'!$V$3:$V$99,1,FALSE)</f>
        <v>#N/A</v>
      </c>
      <c r="DG1403" s="126" t="s">
        <v>116</v>
      </c>
    </row>
    <row r="1404" spans="2:288" ht="16" x14ac:dyDescent="0.2">
      <c r="B1404" s="16">
        <v>2018</v>
      </c>
      <c r="C1404" s="124">
        <v>43301</v>
      </c>
      <c r="D1404" t="s">
        <v>1011</v>
      </c>
      <c r="E1404" s="142" t="str">
        <f>CONCATENATE(T1404,"-",U1404,"-",C1404)</f>
        <v>SP1-E6-43301</v>
      </c>
      <c r="F1404" s="16" t="s">
        <v>227</v>
      </c>
      <c r="G1404" s="126" t="s">
        <v>107</v>
      </c>
      <c r="H1404" s="126"/>
      <c r="J1404" s="126">
        <v>1537</v>
      </c>
      <c r="K1404" s="126">
        <v>2662</v>
      </c>
      <c r="O1404" s="15" t="s">
        <v>214</v>
      </c>
      <c r="Q1404" s="16">
        <f t="shared" si="10"/>
        <v>1</v>
      </c>
      <c r="R1404" s="16">
        <f t="shared" ref="R1404:R1446" si="11">IF(J1404=J1403,C1404-C1403,"")</f>
        <v>15</v>
      </c>
      <c r="T1404" s="126" t="s">
        <v>140</v>
      </c>
      <c r="U1404" s="126" t="s">
        <v>232</v>
      </c>
      <c r="V1404" s="126" t="s">
        <v>114</v>
      </c>
      <c r="X1404" s="126" t="s">
        <v>115</v>
      </c>
      <c r="Y1404" s="126" t="s">
        <v>110</v>
      </c>
      <c r="Z1404" s="126">
        <v>3</v>
      </c>
      <c r="AA1404" s="126"/>
      <c r="AB1404" s="126"/>
      <c r="AC1404" s="126"/>
      <c r="AD1404" s="126" t="s">
        <v>123</v>
      </c>
      <c r="AE1404" s="126" t="s">
        <v>123</v>
      </c>
      <c r="AG1404" s="40">
        <f>AH1404-AI1404</f>
        <v>79</v>
      </c>
      <c r="AH1404" s="126">
        <v>147</v>
      </c>
      <c r="AI1404" s="126">
        <v>68</v>
      </c>
      <c r="AK1404" s="126">
        <v>17</v>
      </c>
      <c r="AL1404" s="126">
        <v>0</v>
      </c>
      <c r="AM1404" s="126">
        <v>0</v>
      </c>
      <c r="AN1404" s="126">
        <v>0</v>
      </c>
      <c r="AO1404" s="16">
        <f>IF(SUM(AL1404:AN1404)&gt;0,1,0)</f>
        <v>0</v>
      </c>
      <c r="AP1404" s="18">
        <f>SUM(AL1404:AN1404)</f>
        <v>0</v>
      </c>
      <c r="AR1404" s="16">
        <v>0.14200000000000013</v>
      </c>
      <c r="AS1404" s="16">
        <f>VLOOKUP(E1404,'[1]Feces weights'!$D$1:$H$459,5,FALSE)</f>
        <v>0.14200000000000013</v>
      </c>
      <c r="AT1404" s="16" t="e">
        <f>VLOOKUP(E1404,[2]Current!$A$1:$W$435,7,FALSE)</f>
        <v>#N/A</v>
      </c>
      <c r="AU1404" s="16">
        <v>0</v>
      </c>
      <c r="BG1404" s="77"/>
      <c r="BN1404" s="126"/>
      <c r="BT1404" s="78"/>
      <c r="BU1404" s="18"/>
      <c r="BV1404" s="18"/>
      <c r="BW1404" s="25"/>
      <c r="BX1404" s="18"/>
      <c r="BY1404" s="18"/>
      <c r="BZ1404" s="25"/>
      <c r="CA1404" s="18"/>
      <c r="CB1404" s="18"/>
      <c r="CC1404" s="25"/>
      <c r="CD1404" s="78"/>
      <c r="CE1404" s="18"/>
      <c r="CF1404" s="25"/>
      <c r="CG1404" s="18"/>
      <c r="CH1404" s="18"/>
      <c r="CI1404" s="18"/>
      <c r="CJ1404" s="18"/>
      <c r="CK1404" s="18"/>
      <c r="CL1404" s="25"/>
      <c r="DF1404" s="16" t="e">
        <f>VLOOKUP(K1404,'[3]RNA Seq summary tables'!$V$3:$V$99,1,FALSE)</f>
        <v>#N/A</v>
      </c>
      <c r="DG1404" s="126" t="s">
        <v>116</v>
      </c>
    </row>
    <row r="1405" spans="2:288" ht="16" x14ac:dyDescent="0.2">
      <c r="B1405" s="16">
        <v>2018</v>
      </c>
      <c r="C1405" s="147">
        <v>43313</v>
      </c>
      <c r="D1405" t="s">
        <v>1211</v>
      </c>
      <c r="E1405" s="20" t="str">
        <f>CONCATENATE(T1405,"-",U1405,"-",C1405)</f>
        <v>SP1-C2-43313</v>
      </c>
      <c r="F1405" s="16" t="s">
        <v>227</v>
      </c>
      <c r="G1405" s="145" t="s">
        <v>107</v>
      </c>
      <c r="H1405" s="145"/>
      <c r="I1405" s="145"/>
      <c r="J1405" s="145">
        <v>1537</v>
      </c>
      <c r="K1405" s="145">
        <v>2726</v>
      </c>
      <c r="M1405" s="16"/>
      <c r="N1405" s="16"/>
      <c r="O1405" s="15" t="s">
        <v>214</v>
      </c>
      <c r="Q1405" s="16">
        <f t="shared" si="10"/>
        <v>1</v>
      </c>
      <c r="R1405" s="16">
        <f t="shared" si="11"/>
        <v>12</v>
      </c>
      <c r="S1405" s="145"/>
      <c r="T1405" s="145" t="s">
        <v>140</v>
      </c>
      <c r="U1405" s="145" t="s">
        <v>162</v>
      </c>
      <c r="V1405" s="145" t="s">
        <v>114</v>
      </c>
      <c r="W1405" s="145"/>
      <c r="X1405" s="145" t="s">
        <v>115</v>
      </c>
      <c r="Y1405" s="145" t="s">
        <v>110</v>
      </c>
      <c r="Z1405" s="145">
        <v>3</v>
      </c>
      <c r="AA1405" s="145"/>
      <c r="AB1405" s="145"/>
      <c r="AC1405" s="145"/>
      <c r="AD1405" s="145"/>
      <c r="AE1405" s="145" t="s">
        <v>123</v>
      </c>
      <c r="AF1405" s="145" t="s">
        <v>123</v>
      </c>
      <c r="AG1405" s="145">
        <f>AH1405-AI1405</f>
        <v>81</v>
      </c>
      <c r="AH1405" s="145">
        <v>151</v>
      </c>
      <c r="AI1405" s="145">
        <v>70</v>
      </c>
      <c r="AJ1405" s="145"/>
      <c r="AK1405" s="145">
        <v>18</v>
      </c>
      <c r="AL1405" s="145">
        <v>0</v>
      </c>
      <c r="AM1405" s="145">
        <v>0</v>
      </c>
      <c r="AN1405" s="145">
        <v>0</v>
      </c>
      <c r="AO1405" s="16">
        <f>IF(SUM(AL1405:AN1405)&gt;0, 1,0)</f>
        <v>0</v>
      </c>
      <c r="AP1405" s="16">
        <f>SUM(AL1405:AN1405)</f>
        <v>0</v>
      </c>
      <c r="AS1405" s="16">
        <f>VLOOKUP(E1405,'[1]Feces weights'!$D$1:$H$459,5,FALSE)</f>
        <v>0.31900000000000017</v>
      </c>
      <c r="AT1405" s="16" t="e">
        <f>VLOOKUP(E1405,[2]Current!$A$1:$W$435,7,FALSE)</f>
        <v>#N/A</v>
      </c>
      <c r="BG1405" s="77"/>
      <c r="BT1405" s="77"/>
      <c r="CD1405" s="77"/>
      <c r="DG1405" s="145" t="s">
        <v>123</v>
      </c>
      <c r="DT1405" s="145" t="s">
        <v>123</v>
      </c>
      <c r="DU1405" s="145"/>
      <c r="DX1405" s="145"/>
      <c r="DY1405" s="145"/>
      <c r="DZ1405" s="16"/>
      <c r="EA1405" s="16"/>
      <c r="EB1405" s="16"/>
      <c r="EC1405" s="16"/>
      <c r="ED1405" s="16"/>
      <c r="EE1405" s="16"/>
      <c r="EF1405" s="16"/>
      <c r="JO1405" s="18"/>
      <c r="JP1405" s="18"/>
      <c r="JQ1405" s="18"/>
      <c r="JR1405" s="18"/>
      <c r="JS1405" s="18"/>
      <c r="JT1405" s="18"/>
      <c r="JU1405" s="18"/>
      <c r="JV1405" s="18"/>
      <c r="JW1405" s="18"/>
      <c r="JX1405" s="18"/>
      <c r="JY1405" s="18"/>
      <c r="JZ1405" s="18"/>
      <c r="KA1405" s="18"/>
    </row>
    <row r="1406" spans="2:288" ht="16" x14ac:dyDescent="0.2">
      <c r="B1406" s="16">
        <v>2018</v>
      </c>
      <c r="C1406" s="124">
        <v>43286</v>
      </c>
      <c r="D1406" t="s">
        <v>921</v>
      </c>
      <c r="E1406" s="37" t="str">
        <f>CONCATENATE(T1406,"-",U1406,"-",C1406)</f>
        <v>SP1-F3-43286</v>
      </c>
      <c r="F1406" s="16" t="s">
        <v>227</v>
      </c>
      <c r="G1406" s="126" t="s">
        <v>107</v>
      </c>
      <c r="H1406" s="126" t="s">
        <v>1129</v>
      </c>
      <c r="J1406" s="126">
        <v>1539</v>
      </c>
      <c r="K1406" s="126">
        <v>2568</v>
      </c>
      <c r="O1406" s="15" t="s">
        <v>214</v>
      </c>
      <c r="Q1406" s="16">
        <f t="shared" si="10"/>
        <v>0</v>
      </c>
      <c r="R1406" s="16" t="str">
        <f t="shared" si="11"/>
        <v/>
      </c>
      <c r="T1406" s="126" t="s">
        <v>140</v>
      </c>
      <c r="U1406" s="126" t="s">
        <v>182</v>
      </c>
      <c r="V1406" s="126" t="s">
        <v>114</v>
      </c>
      <c r="X1406" s="126" t="s">
        <v>115</v>
      </c>
      <c r="Y1406" s="126" t="s">
        <v>110</v>
      </c>
      <c r="Z1406" s="126">
        <v>3</v>
      </c>
      <c r="AA1406" s="126"/>
      <c r="AB1406" s="126"/>
      <c r="AC1406" s="126"/>
      <c r="AD1406" s="126"/>
      <c r="AE1406" s="126" t="s">
        <v>116</v>
      </c>
      <c r="AG1406" s="16">
        <f>AH1406-AI1406</f>
        <v>73</v>
      </c>
      <c r="AH1406" s="126">
        <v>146</v>
      </c>
      <c r="AI1406" s="126">
        <v>73</v>
      </c>
      <c r="AK1406" s="126">
        <v>17.5</v>
      </c>
      <c r="AL1406" s="126">
        <v>0</v>
      </c>
      <c r="AM1406" s="126">
        <v>0</v>
      </c>
      <c r="AN1406" s="126">
        <v>0</v>
      </c>
      <c r="AO1406" s="16">
        <f>IF(SUM(AL1406:AN1406)&gt;0,1,0)</f>
        <v>0</v>
      </c>
      <c r="AP1406" s="18">
        <f>SUM(AL1406:AN1406)</f>
        <v>0</v>
      </c>
      <c r="AR1406" s="16">
        <v>2.100000000000013E-2</v>
      </c>
      <c r="AS1406" s="16">
        <f>VLOOKUP(E1406,'[1]Feces weights'!$D$1:$H$459,5,FALSE)</f>
        <v>2.100000000000013E-2</v>
      </c>
      <c r="AT1406" s="16" t="str">
        <f>VLOOKUP(E1406,[2]Current!$A$1:$W$435,7,FALSE)</f>
        <v>JB</v>
      </c>
      <c r="AU1406" s="16" t="s">
        <v>1288</v>
      </c>
      <c r="AW1406" s="128">
        <f>IF(AX1406&gt;0,1,0)</f>
        <v>1</v>
      </c>
      <c r="AX1406" s="128">
        <f>SUM(BA1406,BM1406,CU1406)</f>
        <v>1</v>
      </c>
      <c r="AY1406" s="128">
        <f>SUM(BB1406,BN1406,CV1406)</f>
        <v>73428.571428570969</v>
      </c>
      <c r="AZ1406" s="128">
        <f>IF(BA1406&gt;0,1,0)</f>
        <v>1</v>
      </c>
      <c r="BA1406" s="128">
        <f>SUM(BC1406+BF1406+BI1406)</f>
        <v>1</v>
      </c>
      <c r="BB1406" s="128">
        <f>SUM(BE1406,BH1406,BK1406)</f>
        <v>73428.571428570969</v>
      </c>
      <c r="BC1406" s="130">
        <f>IF(BD1406&gt;0,1,0)</f>
        <v>0</v>
      </c>
      <c r="BD1406" s="128">
        <f>VLOOKUP($E1406,[2]Current!$A:$AC,26,FALSE)</f>
        <v>0</v>
      </c>
      <c r="BE1406" s="128">
        <f>BD1406/$AS1406</f>
        <v>0</v>
      </c>
      <c r="BF1406" s="130">
        <f>IF(BG1406&gt;0,1,0)</f>
        <v>1</v>
      </c>
      <c r="BG1406" s="137">
        <f>VLOOKUP($E1406,[2]Current!$A:$AC,27,FALSE)</f>
        <v>1542</v>
      </c>
      <c r="BH1406" s="128">
        <f>BG1406/$AS1406</f>
        <v>73428.571428570969</v>
      </c>
      <c r="BI1406" s="130">
        <f>IF(BJ1406&gt;0,1,0)</f>
        <v>0</v>
      </c>
      <c r="BJ1406" s="128">
        <f>VLOOKUP($E1406,[2]Current!$A:$AC,28,FALSE)</f>
        <v>0</v>
      </c>
      <c r="BK1406" s="128">
        <f>BJ1406/$AS1406</f>
        <v>0</v>
      </c>
      <c r="BL1406" s="128">
        <f>IF(BM1406&gt;0,1,0)</f>
        <v>0</v>
      </c>
      <c r="BM1406" s="128">
        <f>SUM(BR1406,BU1406,BX1406,CA1406,CD1406)</f>
        <v>0</v>
      </c>
      <c r="BN1406" s="131">
        <f>SUM(BT1406,BW1406,BZ1406,CC1406,CF1406)</f>
        <v>0</v>
      </c>
      <c r="BO1406" s="128">
        <f>IF(BP1406&gt;0,1,0)</f>
        <v>0</v>
      </c>
      <c r="BP1406" s="128">
        <f>BM1406+CJ1406</f>
        <v>0</v>
      </c>
      <c r="BQ1406" s="128">
        <f>BN1406+CL1406</f>
        <v>0</v>
      </c>
      <c r="BR1406" s="130">
        <f>IF(BS1406&gt;0,1,0)</f>
        <v>0</v>
      </c>
      <c r="BS1406" s="128">
        <f>VLOOKUP($E1406,[2]Current!$A:$AC,12,FALSE)</f>
        <v>0</v>
      </c>
      <c r="BT1406" s="137">
        <f>BS1406/$AS1406</f>
        <v>0</v>
      </c>
      <c r="BU1406" s="130">
        <f>IF(BV1406&gt;0,1,0)</f>
        <v>0</v>
      </c>
      <c r="BV1406" s="128">
        <f>VLOOKUP($E1406,[2]Current!$A:$AC,13,FALSE)</f>
        <v>0</v>
      </c>
      <c r="BW1406" s="128">
        <f>BV1406/$AS1406</f>
        <v>0</v>
      </c>
      <c r="BX1406" s="130">
        <f>IF(BY1406&gt;0,1,0)</f>
        <v>0</v>
      </c>
      <c r="BY1406" s="128">
        <f>VLOOKUP($E1406,[2]Current!$A:$AC,14,FALSE)</f>
        <v>0</v>
      </c>
      <c r="BZ1406" s="128">
        <f>BY1406/$AS1406</f>
        <v>0</v>
      </c>
      <c r="CA1406" s="130">
        <f>IF(CB1406&gt;0,1,0)</f>
        <v>0</v>
      </c>
      <c r="CB1406" s="128">
        <f>VLOOKUP($E1406,[2]Current!$A:$AC,15,FALSE)</f>
        <v>0</v>
      </c>
      <c r="CC1406" s="128">
        <f>CB1406/$AS1406</f>
        <v>0</v>
      </c>
      <c r="CD1406" s="174">
        <f>IF(CE1406&gt;0,1,0)</f>
        <v>0</v>
      </c>
      <c r="CE1406" s="128">
        <f>VLOOKUP($E1406,[2]Current!$A:$AC,16,FALSE)</f>
        <v>0</v>
      </c>
      <c r="CF1406" s="128">
        <f>CE1406/$AS1406</f>
        <v>0</v>
      </c>
      <c r="CG1406" s="18"/>
      <c r="CH1406" s="18"/>
      <c r="CI1406" s="18"/>
      <c r="CJ1406" s="130">
        <f>IF(CK1406&gt;0,1,0)</f>
        <v>0</v>
      </c>
      <c r="CK1406" s="128">
        <f>VLOOKUP($E1406,[2]Current!$A:$AC,18,FALSE)</f>
        <v>0</v>
      </c>
      <c r="CL1406" s="128">
        <f>CK1406/$AS1406</f>
        <v>0</v>
      </c>
      <c r="CS1406" s="130">
        <f>IF(CU1406&gt;0,1,0)</f>
        <v>0</v>
      </c>
      <c r="CU1406" s="128">
        <f>VLOOKUP($E1406,[2]Current!$A:$AC,17,FALSE)</f>
        <v>0</v>
      </c>
      <c r="CV1406" s="128">
        <f>CU1406/$AS1406</f>
        <v>0</v>
      </c>
      <c r="CW1406" s="18"/>
      <c r="CX1406" s="18"/>
      <c r="CY1406" s="18"/>
      <c r="DF1406" s="16" t="e">
        <f>VLOOKUP(K1406,'[3]RNA Seq summary tables'!$V$3:$V$99,1,FALSE)</f>
        <v>#N/A</v>
      </c>
      <c r="DG1406" s="126" t="s">
        <v>116</v>
      </c>
    </row>
    <row r="1407" spans="2:288" s="18" customFormat="1" ht="16" x14ac:dyDescent="0.2">
      <c r="B1407" s="16">
        <v>2018</v>
      </c>
      <c r="C1407" s="124">
        <v>43301</v>
      </c>
      <c r="D1407" t="s">
        <v>1013</v>
      </c>
      <c r="E1407" s="142" t="str">
        <f>CONCATENATE(T1407,"-",U1407,"-",C1407)</f>
        <v>SP1-G6-43301</v>
      </c>
      <c r="F1407" s="16" t="s">
        <v>227</v>
      </c>
      <c r="G1407" s="126" t="s">
        <v>107</v>
      </c>
      <c r="H1407" s="126"/>
      <c r="I1407" s="16"/>
      <c r="J1407" s="126">
        <v>1539</v>
      </c>
      <c r="K1407" s="126">
        <v>2663</v>
      </c>
      <c r="L1407" s="16"/>
      <c r="M1407" s="21"/>
      <c r="N1407" s="21"/>
      <c r="O1407" s="15" t="s">
        <v>214</v>
      </c>
      <c r="P1407" s="16"/>
      <c r="Q1407" s="16">
        <f t="shared" si="10"/>
        <v>1</v>
      </c>
      <c r="R1407" s="16">
        <f t="shared" si="11"/>
        <v>15</v>
      </c>
      <c r="S1407" s="16"/>
      <c r="T1407" s="126" t="s">
        <v>140</v>
      </c>
      <c r="U1407" s="126" t="s">
        <v>218</v>
      </c>
      <c r="V1407" s="126" t="s">
        <v>114</v>
      </c>
      <c r="W1407" s="16"/>
      <c r="X1407" s="126" t="s">
        <v>115</v>
      </c>
      <c r="Y1407" s="126" t="s">
        <v>110</v>
      </c>
      <c r="Z1407" s="126">
        <v>3</v>
      </c>
      <c r="AA1407" s="126"/>
      <c r="AB1407" s="126"/>
      <c r="AC1407" s="126"/>
      <c r="AD1407" s="126" t="s">
        <v>123</v>
      </c>
      <c r="AE1407" s="126" t="s">
        <v>123</v>
      </c>
      <c r="AF1407" s="16"/>
      <c r="AG1407" s="40">
        <f>AH1407-AI1407</f>
        <v>81</v>
      </c>
      <c r="AH1407" s="126">
        <v>154</v>
      </c>
      <c r="AI1407" s="126">
        <v>73</v>
      </c>
      <c r="AJ1407" s="16"/>
      <c r="AK1407" s="126">
        <v>17</v>
      </c>
      <c r="AL1407" s="126">
        <v>0</v>
      </c>
      <c r="AM1407" s="126">
        <v>0</v>
      </c>
      <c r="AN1407" s="126">
        <v>0</v>
      </c>
      <c r="AO1407" s="16">
        <f>IF(SUM(AL1407:AN1407)&gt;0,1,0)</f>
        <v>0</v>
      </c>
      <c r="AP1407" s="18">
        <f>SUM(AL1407:AN1407)</f>
        <v>0</v>
      </c>
      <c r="AQ1407" s="16"/>
      <c r="AR1407" s="16">
        <v>0.14900000000000002</v>
      </c>
      <c r="AS1407" s="16">
        <f>VLOOKUP(E1407,'[1]Feces weights'!$D$1:$H$459,5,FALSE)</f>
        <v>0.14900000000000002</v>
      </c>
      <c r="AT1407" s="16" t="e">
        <f>VLOOKUP(E1407,[2]Current!$A$1:$W$435,7,FALSE)</f>
        <v>#N/A</v>
      </c>
      <c r="AU1407" s="16">
        <v>0</v>
      </c>
      <c r="AV1407" s="16"/>
      <c r="AW1407" s="16"/>
      <c r="AX1407" s="16"/>
      <c r="AY1407" s="16"/>
      <c r="AZ1407" s="16"/>
      <c r="BA1407" s="16"/>
      <c r="BB1407" s="16"/>
      <c r="BC1407" s="16"/>
      <c r="BD1407" s="16"/>
      <c r="BE1407" s="16"/>
      <c r="BF1407" s="16"/>
      <c r="BG1407" s="77"/>
      <c r="BH1407" s="16"/>
      <c r="BI1407" s="16"/>
      <c r="BJ1407" s="16"/>
      <c r="BK1407" s="16"/>
      <c r="BL1407" s="16"/>
      <c r="BM1407" s="16"/>
      <c r="BN1407" s="126"/>
      <c r="BO1407" s="16"/>
      <c r="BP1407" s="16"/>
      <c r="BQ1407" s="16"/>
      <c r="BR1407" s="16"/>
      <c r="BS1407" s="16"/>
      <c r="BT1407" s="78"/>
      <c r="BW1407" s="25"/>
      <c r="BZ1407" s="25"/>
      <c r="CC1407" s="25"/>
      <c r="CD1407" s="78"/>
      <c r="CF1407" s="25"/>
      <c r="CL1407" s="25"/>
      <c r="CM1407" s="16"/>
      <c r="CN1407" s="16"/>
      <c r="CO1407" s="16"/>
      <c r="CP1407" s="16"/>
      <c r="CQ1407" s="16"/>
      <c r="CR1407" s="16"/>
      <c r="CS1407" s="16"/>
      <c r="CT1407" s="16"/>
      <c r="CU1407" s="16"/>
      <c r="CV1407" s="16"/>
      <c r="CW1407" s="16"/>
      <c r="CX1407" s="16"/>
      <c r="CY1407" s="16"/>
      <c r="CZ1407" s="16"/>
      <c r="DA1407" s="16"/>
      <c r="DB1407" s="16"/>
      <c r="DC1407" s="16"/>
      <c r="DD1407" s="16"/>
      <c r="DE1407" s="16"/>
      <c r="DF1407" s="16" t="e">
        <f>VLOOKUP(K1407,'[3]RNA Seq summary tables'!$V$3:$V$99,1,FALSE)</f>
        <v>#N/A</v>
      </c>
      <c r="DG1407" s="126" t="s">
        <v>116</v>
      </c>
      <c r="DH1407" s="16"/>
      <c r="DI1407" s="16"/>
      <c r="DJ1407" s="16"/>
      <c r="DK1407" s="16"/>
      <c r="DL1407" s="16"/>
      <c r="DM1407" s="16"/>
      <c r="DN1407" s="16"/>
      <c r="DO1407" s="16"/>
      <c r="DP1407" s="16"/>
      <c r="DQ1407" s="16"/>
      <c r="DR1407" s="16"/>
      <c r="DS1407" s="16"/>
      <c r="JO1407" s="16"/>
      <c r="JP1407" s="16"/>
      <c r="JQ1407" s="16"/>
      <c r="JR1407" s="16"/>
      <c r="JS1407" s="16"/>
      <c r="JT1407" s="16"/>
      <c r="JU1407" s="16"/>
      <c r="JV1407" s="16"/>
      <c r="JW1407" s="16"/>
      <c r="JX1407" s="16"/>
      <c r="JY1407" s="16"/>
      <c r="JZ1407" s="16"/>
      <c r="KA1407" s="16"/>
      <c r="KB1407" s="16"/>
    </row>
    <row r="1408" spans="2:288" ht="16" x14ac:dyDescent="0.2">
      <c r="B1408" s="16">
        <v>2018</v>
      </c>
      <c r="C1408" s="124">
        <v>43288</v>
      </c>
      <c r="D1408" t="s">
        <v>931</v>
      </c>
      <c r="E1408" s="37" t="str">
        <f>CONCATENATE(T1408,"-",U1408,"-",C1408)</f>
        <v>SP1-B7-43288</v>
      </c>
      <c r="F1408" s="16" t="s">
        <v>227</v>
      </c>
      <c r="G1408" s="126" t="s">
        <v>107</v>
      </c>
      <c r="H1408" s="126" t="s">
        <v>1086</v>
      </c>
      <c r="J1408" s="126">
        <v>1541</v>
      </c>
      <c r="K1408" s="126">
        <v>2572</v>
      </c>
      <c r="O1408" s="15" t="s">
        <v>214</v>
      </c>
      <c r="Q1408" s="16">
        <f t="shared" si="10"/>
        <v>0</v>
      </c>
      <c r="R1408" s="16" t="str">
        <f t="shared" si="11"/>
        <v/>
      </c>
      <c r="T1408" s="126" t="s">
        <v>140</v>
      </c>
      <c r="U1408" s="126" t="s">
        <v>168</v>
      </c>
      <c r="V1408" s="133" t="s">
        <v>142</v>
      </c>
      <c r="X1408" s="126" t="s">
        <v>121</v>
      </c>
      <c r="Y1408" s="126" t="s">
        <v>122</v>
      </c>
      <c r="Z1408" s="126">
        <v>2.9</v>
      </c>
      <c r="AA1408" s="126" t="s">
        <v>119</v>
      </c>
      <c r="AB1408" s="126" t="s">
        <v>123</v>
      </c>
      <c r="AC1408" s="126" t="s">
        <v>123</v>
      </c>
      <c r="AD1408" s="126"/>
      <c r="AE1408" s="126"/>
      <c r="AG1408" s="16">
        <f>AH1408-AI1408</f>
        <v>68</v>
      </c>
      <c r="AH1408" s="126">
        <v>151</v>
      </c>
      <c r="AI1408" s="126">
        <v>83</v>
      </c>
      <c r="AK1408" s="126">
        <v>13</v>
      </c>
      <c r="AL1408" s="126">
        <v>0</v>
      </c>
      <c r="AM1408" s="126">
        <v>0</v>
      </c>
      <c r="AN1408" s="126">
        <v>0</v>
      </c>
      <c r="AO1408" s="16">
        <f>IF(SUM(AL1408:AN1408)&gt;0,1,0)</f>
        <v>0</v>
      </c>
      <c r="AP1408" s="18">
        <f>SUM(AL1408:AN1408)</f>
        <v>0</v>
      </c>
      <c r="AR1408" s="16">
        <v>0.1140000000000001</v>
      </c>
      <c r="AS1408" s="16">
        <f>VLOOKUP(E1408,'[1]Feces weights'!$D$1:$H$459,5,FALSE)</f>
        <v>0.1140000000000001</v>
      </c>
      <c r="AT1408" s="16" t="str">
        <f>VLOOKUP(E1408,[2]Current!$A$1:$W$435,7,FALSE)</f>
        <v>DP</v>
      </c>
      <c r="AU1408" s="16" t="s">
        <v>1288</v>
      </c>
      <c r="AV1408" s="23">
        <v>1</v>
      </c>
      <c r="AW1408" s="128">
        <f>IF(AX1408&gt;0,1,0)</f>
        <v>0</v>
      </c>
      <c r="AX1408" s="128">
        <f>SUM(BA1408,BM1408,CU1408)</f>
        <v>0</v>
      </c>
      <c r="AY1408" s="128">
        <f>SUM(BB1408,BN1408,CV1408)</f>
        <v>0</v>
      </c>
      <c r="AZ1408" s="128">
        <f>IF(BA1408&gt;0,1,0)</f>
        <v>0</v>
      </c>
      <c r="BA1408" s="128">
        <f>SUM(BC1408+BF1408+BI1408)</f>
        <v>0</v>
      </c>
      <c r="BB1408" s="128">
        <f>SUM(BE1408,BH1408,BK1408)</f>
        <v>0</v>
      </c>
      <c r="BC1408" s="130">
        <f>IF(BD1408&gt;0,1,0)</f>
        <v>0</v>
      </c>
      <c r="BD1408" s="128">
        <f>VLOOKUP($E1408,[2]Current!$A:$AC,26,FALSE)</f>
        <v>0</v>
      </c>
      <c r="BE1408" s="128">
        <f>BD1408/$AS1408</f>
        <v>0</v>
      </c>
      <c r="BF1408" s="130">
        <f>IF(BG1408&gt;0,1,0)</f>
        <v>0</v>
      </c>
      <c r="BG1408" s="137">
        <f>VLOOKUP($E1408,[2]Current!$A:$AC,27,FALSE)</f>
        <v>0</v>
      </c>
      <c r="BH1408" s="128">
        <f>BG1408/$AS1408</f>
        <v>0</v>
      </c>
      <c r="BI1408" s="130">
        <f>IF(BJ1408&gt;0,1,0)</f>
        <v>0</v>
      </c>
      <c r="BJ1408" s="128">
        <f>VLOOKUP($E1408,[2]Current!$A:$AC,28,FALSE)</f>
        <v>0</v>
      </c>
      <c r="BK1408" s="128">
        <f>BJ1408/$AS1408</f>
        <v>0</v>
      </c>
      <c r="BL1408" s="128">
        <f>IF(BM1408&gt;0,1,0)</f>
        <v>0</v>
      </c>
      <c r="BM1408" s="128">
        <f>SUM(BR1408,BU1408,BX1408,CA1408,CD1408)</f>
        <v>0</v>
      </c>
      <c r="BN1408" s="131">
        <f>SUM(BT1408,BW1408,BZ1408,CC1408,CF1408)</f>
        <v>0</v>
      </c>
      <c r="BO1408" s="128">
        <f>IF(BP1408&gt;0,1,0)</f>
        <v>0</v>
      </c>
      <c r="BP1408" s="128">
        <f>BM1408+CJ1408</f>
        <v>0</v>
      </c>
      <c r="BQ1408" s="128">
        <f>BN1408+CL1408</f>
        <v>0</v>
      </c>
      <c r="BR1408" s="130">
        <f>IF(BS1408&gt;0,1,0)</f>
        <v>0</v>
      </c>
      <c r="BS1408" s="128">
        <f>VLOOKUP($E1408,[2]Current!$A:$AC,12,FALSE)</f>
        <v>0</v>
      </c>
      <c r="BT1408" s="137">
        <f>BS1408/$AS1408</f>
        <v>0</v>
      </c>
      <c r="BU1408" s="130">
        <f>IF(BV1408&gt;0,1,0)</f>
        <v>0</v>
      </c>
      <c r="BV1408" s="128">
        <f>VLOOKUP($E1408,[2]Current!$A:$AC,13,FALSE)</f>
        <v>0</v>
      </c>
      <c r="BW1408" s="128">
        <f>BV1408/$AS1408</f>
        <v>0</v>
      </c>
      <c r="BX1408" s="130">
        <f>IF(BY1408&gt;0,1,0)</f>
        <v>0</v>
      </c>
      <c r="BY1408" s="128">
        <f>VLOOKUP($E1408,[2]Current!$A:$AC,14,FALSE)</f>
        <v>0</v>
      </c>
      <c r="BZ1408" s="128">
        <f>BY1408/$AS1408</f>
        <v>0</v>
      </c>
      <c r="CA1408" s="130">
        <f>IF(CB1408&gt;0,1,0)</f>
        <v>0</v>
      </c>
      <c r="CB1408" s="128">
        <f>VLOOKUP($E1408,[2]Current!$A:$AC,15,FALSE)</f>
        <v>0</v>
      </c>
      <c r="CC1408" s="128">
        <f>CB1408/$AS1408</f>
        <v>0</v>
      </c>
      <c r="CD1408" s="174">
        <f>IF(CE1408&gt;0,1,0)</f>
        <v>0</v>
      </c>
      <c r="CE1408" s="128">
        <f>VLOOKUP($E1408,[2]Current!$A:$AC,16,FALSE)</f>
        <v>0</v>
      </c>
      <c r="CF1408" s="128">
        <f>CE1408/$AS1408</f>
        <v>0</v>
      </c>
      <c r="CG1408" s="18"/>
      <c r="CH1408" s="18"/>
      <c r="CI1408" s="18"/>
      <c r="CJ1408" s="130">
        <f>IF(CK1408&gt;0,1,0)</f>
        <v>0</v>
      </c>
      <c r="CK1408" s="128">
        <f>VLOOKUP($E1408,[2]Current!$A:$AC,18,FALSE)</f>
        <v>0</v>
      </c>
      <c r="CL1408" s="128">
        <f>CK1408/$AS1408</f>
        <v>0</v>
      </c>
      <c r="CS1408" s="130">
        <f>IF(CU1408&gt;0,1,0)</f>
        <v>0</v>
      </c>
      <c r="CU1408" s="128">
        <f>VLOOKUP($E1408,[2]Current!$A:$AC,17,FALSE)</f>
        <v>0</v>
      </c>
      <c r="CV1408" s="128">
        <f>CU1408/$AS1408</f>
        <v>0</v>
      </c>
      <c r="CW1408" s="18"/>
      <c r="CX1408" s="18"/>
      <c r="CY1408" s="18"/>
      <c r="DF1408" s="16" t="e">
        <f>VLOOKUP(K1408,'[3]RNA Seq summary tables'!$V$3:$V$99,1,FALSE)</f>
        <v>#N/A</v>
      </c>
      <c r="DG1408" s="126" t="s">
        <v>123</v>
      </c>
    </row>
    <row r="1409" spans="2:288" ht="16" x14ac:dyDescent="0.2">
      <c r="B1409" s="16">
        <v>2018</v>
      </c>
      <c r="C1409" s="124">
        <v>43301</v>
      </c>
      <c r="D1409" t="s">
        <v>1015</v>
      </c>
      <c r="E1409" s="37" t="str">
        <f>CONCATENATE(T1409,"-",U1409,"-",C1409)</f>
        <v>SP1-A8-43301</v>
      </c>
      <c r="F1409" s="16" t="s">
        <v>227</v>
      </c>
      <c r="G1409" s="126" t="s">
        <v>107</v>
      </c>
      <c r="H1409" s="126" t="s">
        <v>1086</v>
      </c>
      <c r="J1409" s="126">
        <v>1541</v>
      </c>
      <c r="K1409" s="126">
        <v>2658</v>
      </c>
      <c r="O1409" s="15" t="s">
        <v>214</v>
      </c>
      <c r="Q1409" s="16">
        <f t="shared" si="10"/>
        <v>1</v>
      </c>
      <c r="R1409" s="16">
        <f t="shared" si="11"/>
        <v>13</v>
      </c>
      <c r="T1409" s="126" t="s">
        <v>140</v>
      </c>
      <c r="U1409" s="126" t="s">
        <v>194</v>
      </c>
      <c r="V1409" s="126" t="s">
        <v>142</v>
      </c>
      <c r="X1409" s="126" t="s">
        <v>121</v>
      </c>
      <c r="Y1409" s="126" t="s">
        <v>122</v>
      </c>
      <c r="Z1409" s="126">
        <v>2.9</v>
      </c>
      <c r="AA1409" s="126" t="s">
        <v>119</v>
      </c>
      <c r="AB1409" s="126" t="s">
        <v>123</v>
      </c>
      <c r="AC1409" s="126" t="s">
        <v>123</v>
      </c>
      <c r="AD1409" s="126"/>
      <c r="AE1409" s="126"/>
      <c r="AG1409" s="40">
        <f>AH1409-AI1409</f>
        <v>71</v>
      </c>
      <c r="AH1409" s="126">
        <v>151</v>
      </c>
      <c r="AI1409" s="126">
        <v>80</v>
      </c>
      <c r="AK1409" s="126">
        <v>11.5</v>
      </c>
      <c r="AL1409" s="126">
        <v>0</v>
      </c>
      <c r="AM1409" s="126">
        <v>0</v>
      </c>
      <c r="AN1409" s="126">
        <v>0</v>
      </c>
      <c r="AO1409" s="16">
        <f>IF(SUM(AL1409:AN1409)&gt;0,1,0)</f>
        <v>0</v>
      </c>
      <c r="AP1409" s="18">
        <f>SUM(AL1409:AN1409)</f>
        <v>0</v>
      </c>
      <c r="AR1409" s="16">
        <v>0.19000000000000017</v>
      </c>
      <c r="AS1409" s="16">
        <f>VLOOKUP(E1409,'[1]Feces weights'!$D$1:$H$459,5,FALSE)</f>
        <v>0.19000000000000017</v>
      </c>
      <c r="AT1409" s="16" t="str">
        <f>VLOOKUP(E1409,[2]Current!$A$1:$W$435,7,FALSE)</f>
        <v>LV</v>
      </c>
      <c r="AU1409" s="16" t="s">
        <v>1288</v>
      </c>
      <c r="AV1409" s="23">
        <v>1</v>
      </c>
      <c r="AW1409" s="128">
        <f>IF(AX1409&gt;0,1,0)</f>
        <v>0</v>
      </c>
      <c r="AX1409" s="128">
        <f>SUM(BA1409,BM1409,CU1409)</f>
        <v>0</v>
      </c>
      <c r="AY1409" s="128">
        <f>SUM(BB1409,BN1409,CV1409)</f>
        <v>0</v>
      </c>
      <c r="AZ1409" s="128">
        <f>IF(BA1409&gt;0,1,0)</f>
        <v>0</v>
      </c>
      <c r="BA1409" s="128">
        <f>SUM(BC1409+BF1409+BI1409)</f>
        <v>0</v>
      </c>
      <c r="BB1409" s="128">
        <f>SUM(BE1409,BH1409,BK1409)</f>
        <v>0</v>
      </c>
      <c r="BC1409" s="130">
        <f>IF(BD1409&gt;0,1,0)</f>
        <v>0</v>
      </c>
      <c r="BD1409" s="128">
        <f>VLOOKUP($E1409,[2]Current!$A:$AC,26,FALSE)</f>
        <v>0</v>
      </c>
      <c r="BE1409" s="128">
        <f>BD1409/$AS1409</f>
        <v>0</v>
      </c>
      <c r="BF1409" s="130">
        <f>IF(BG1409&gt;0,1,0)</f>
        <v>0</v>
      </c>
      <c r="BG1409" s="137">
        <f>VLOOKUP($E1409,[2]Current!$A:$AC,27,FALSE)</f>
        <v>0</v>
      </c>
      <c r="BH1409" s="128">
        <f>BG1409/$AS1409</f>
        <v>0</v>
      </c>
      <c r="BI1409" s="130">
        <f>IF(BJ1409&gt;0,1,0)</f>
        <v>0</v>
      </c>
      <c r="BJ1409" s="128">
        <f>VLOOKUP($E1409,[2]Current!$A:$AC,28,FALSE)</f>
        <v>0</v>
      </c>
      <c r="BK1409" s="128">
        <f>BJ1409/$AS1409</f>
        <v>0</v>
      </c>
      <c r="BL1409" s="128">
        <f>IF(BM1409&gt;0,1,0)</f>
        <v>0</v>
      </c>
      <c r="BM1409" s="128">
        <f>SUM(BR1409,BU1409,BX1409,CA1409,CD1409)</f>
        <v>0</v>
      </c>
      <c r="BN1409" s="131">
        <f>SUM(BT1409,BW1409,BZ1409,CC1409,CF1409)</f>
        <v>0</v>
      </c>
      <c r="BO1409" s="128">
        <f>IF(BP1409&gt;0,1,0)</f>
        <v>0</v>
      </c>
      <c r="BP1409" s="128">
        <f>BM1409+CJ1409</f>
        <v>0</v>
      </c>
      <c r="BQ1409" s="128">
        <f>BN1409+CL1409</f>
        <v>0</v>
      </c>
      <c r="BR1409" s="130">
        <f>IF(BS1409&gt;0,1,0)</f>
        <v>0</v>
      </c>
      <c r="BS1409" s="128">
        <f>VLOOKUP($E1409,[2]Current!$A:$AC,12,FALSE)</f>
        <v>0</v>
      </c>
      <c r="BT1409" s="137">
        <f>BS1409/$AS1409</f>
        <v>0</v>
      </c>
      <c r="BU1409" s="130">
        <f>IF(BV1409&gt;0,1,0)</f>
        <v>0</v>
      </c>
      <c r="BV1409" s="128">
        <f>VLOOKUP($E1409,[2]Current!$A:$AC,13,FALSE)</f>
        <v>0</v>
      </c>
      <c r="BW1409" s="128">
        <f>BV1409/$AS1409</f>
        <v>0</v>
      </c>
      <c r="BX1409" s="130">
        <f>IF(BY1409&gt;0,1,0)</f>
        <v>0</v>
      </c>
      <c r="BY1409" s="128">
        <f>VLOOKUP($E1409,[2]Current!$A:$AC,14,FALSE)</f>
        <v>0</v>
      </c>
      <c r="BZ1409" s="128">
        <f>BY1409/$AS1409</f>
        <v>0</v>
      </c>
      <c r="CA1409" s="130">
        <f>IF(CB1409&gt;0,1,0)</f>
        <v>0</v>
      </c>
      <c r="CB1409" s="128">
        <f>VLOOKUP($E1409,[2]Current!$A:$AC,15,FALSE)</f>
        <v>0</v>
      </c>
      <c r="CC1409" s="128">
        <f>CB1409/$AS1409</f>
        <v>0</v>
      </c>
      <c r="CD1409" s="174">
        <f>IF(CE1409&gt;0,1,0)</f>
        <v>0</v>
      </c>
      <c r="CE1409" s="128">
        <f>VLOOKUP($E1409,[2]Current!$A:$AC,16,FALSE)</f>
        <v>0</v>
      </c>
      <c r="CF1409" s="128">
        <f>CE1409/$AS1409</f>
        <v>0</v>
      </c>
      <c r="CG1409" s="18"/>
      <c r="CH1409" s="18"/>
      <c r="CI1409" s="18"/>
      <c r="CJ1409" s="130">
        <f>IF(CK1409&gt;0,1,0)</f>
        <v>0</v>
      </c>
      <c r="CK1409" s="128">
        <f>VLOOKUP($E1409,[2]Current!$A:$AC,18,FALSE)</f>
        <v>0</v>
      </c>
      <c r="CL1409" s="128">
        <f>CK1409/$AS1409</f>
        <v>0</v>
      </c>
      <c r="CS1409" s="130">
        <f>IF(CU1409&gt;0,1,0)</f>
        <v>0</v>
      </c>
      <c r="CU1409" s="128">
        <f>VLOOKUP($E1409,[2]Current!$A:$AC,17,FALSE)</f>
        <v>0</v>
      </c>
      <c r="CV1409" s="128">
        <f>CU1409/$AS1409</f>
        <v>0</v>
      </c>
      <c r="CW1409" s="18"/>
      <c r="CX1409" s="18"/>
      <c r="CY1409" s="18"/>
      <c r="DF1409" s="16" t="e">
        <f>VLOOKUP(K1409,'[3]RNA Seq summary tables'!$V$3:$V$99,1,FALSE)</f>
        <v>#N/A</v>
      </c>
      <c r="DG1409" s="126" t="s">
        <v>123</v>
      </c>
    </row>
    <row r="1410" spans="2:288" ht="16" x14ac:dyDescent="0.2">
      <c r="B1410" s="16">
        <v>2018</v>
      </c>
      <c r="C1410" s="124">
        <v>43292</v>
      </c>
      <c r="D1410" t="s">
        <v>935</v>
      </c>
      <c r="E1410" s="37" t="str">
        <f>CONCATENATE(T1410,"-",U1410,"-",C1410)</f>
        <v>BC1-A8-43292</v>
      </c>
      <c r="F1410" s="16" t="s">
        <v>227</v>
      </c>
      <c r="G1410" s="126" t="s">
        <v>107</v>
      </c>
      <c r="H1410" s="126"/>
      <c r="J1410" s="126">
        <v>1543</v>
      </c>
      <c r="K1410" s="126">
        <v>2575</v>
      </c>
      <c r="O1410" s="15" t="s">
        <v>214</v>
      </c>
      <c r="Q1410" s="16">
        <f t="shared" si="10"/>
        <v>0</v>
      </c>
      <c r="R1410" s="16" t="str">
        <f t="shared" si="11"/>
        <v/>
      </c>
      <c r="T1410" s="126" t="s">
        <v>159</v>
      </c>
      <c r="U1410" s="126" t="s">
        <v>194</v>
      </c>
      <c r="V1410" s="133" t="s">
        <v>142</v>
      </c>
      <c r="X1410" s="126" t="s">
        <v>121</v>
      </c>
      <c r="Y1410" s="126" t="s">
        <v>122</v>
      </c>
      <c r="Z1410" s="126">
        <v>2.2999999999999998</v>
      </c>
      <c r="AA1410" s="126" t="s">
        <v>123</v>
      </c>
      <c r="AB1410" s="126" t="s">
        <v>123</v>
      </c>
      <c r="AC1410" s="126" t="s">
        <v>123</v>
      </c>
      <c r="AD1410" s="126"/>
      <c r="AE1410" s="126"/>
      <c r="AG1410" s="16">
        <f>AH1410-AI1410</f>
        <v>75</v>
      </c>
      <c r="AH1410" s="126">
        <v>157</v>
      </c>
      <c r="AI1410" s="126">
        <v>82</v>
      </c>
      <c r="AK1410" s="126">
        <v>10.5</v>
      </c>
      <c r="AL1410" s="126">
        <v>0</v>
      </c>
      <c r="AM1410" s="126">
        <v>0</v>
      </c>
      <c r="AN1410" s="126">
        <v>0</v>
      </c>
      <c r="AO1410" s="16">
        <f>IF(SUM(AL1410:AN1410)&gt;0,1,0)</f>
        <v>0</v>
      </c>
      <c r="AP1410" s="18">
        <f>SUM(AL1410:AN1410)</f>
        <v>0</v>
      </c>
      <c r="AQ1410" s="16" t="s">
        <v>1284</v>
      </c>
      <c r="AR1410" s="16">
        <v>2E-3</v>
      </c>
      <c r="AS1410" s="152">
        <v>1E-3</v>
      </c>
      <c r="AT1410" s="16" t="str">
        <f>VLOOKUP(E1410,[2]Current!$A$1:$W$435,7,FALSE)</f>
        <v>IS</v>
      </c>
      <c r="AU1410" s="16" t="s">
        <v>1288</v>
      </c>
      <c r="AW1410" s="128">
        <f>IF(AX1410&gt;0,1,0)</f>
        <v>1</v>
      </c>
      <c r="AX1410" s="128">
        <f>SUM(BA1410,BM1410,CU1410)</f>
        <v>1</v>
      </c>
      <c r="AY1410" s="128">
        <f>SUM(BB1410,BN1410,CV1410)</f>
        <v>290000</v>
      </c>
      <c r="AZ1410" s="128">
        <f>IF(BA1410&gt;0,1,0)</f>
        <v>1</v>
      </c>
      <c r="BA1410" s="128">
        <f>SUM(BC1410+BF1410+BI1410)</f>
        <v>1</v>
      </c>
      <c r="BB1410" s="128">
        <f>SUM(BE1410,BH1410,BK1410)</f>
        <v>290000</v>
      </c>
      <c r="BC1410" s="130">
        <f>IF(BD1410&gt;0,1,0)</f>
        <v>0</v>
      </c>
      <c r="BD1410" s="128">
        <f>VLOOKUP($E1410,[2]Current!$A:$AC,26,FALSE)</f>
        <v>0</v>
      </c>
      <c r="BE1410" s="128">
        <f>BD1410/$AS1410</f>
        <v>0</v>
      </c>
      <c r="BF1410" s="130">
        <f>IF(BG1410&gt;0,1,0)</f>
        <v>1</v>
      </c>
      <c r="BG1410" s="137">
        <f>VLOOKUP($E1410,[2]Current!$A:$AC,27,FALSE)</f>
        <v>290</v>
      </c>
      <c r="BH1410" s="128">
        <f>BG1410/$AS1410</f>
        <v>290000</v>
      </c>
      <c r="BI1410" s="130">
        <f>IF(BJ1410&gt;0,1,0)</f>
        <v>0</v>
      </c>
      <c r="BJ1410" s="128">
        <f>VLOOKUP($E1410,[2]Current!$A:$AC,28,FALSE)</f>
        <v>0</v>
      </c>
      <c r="BK1410" s="128">
        <f>BJ1410/$AS1410</f>
        <v>0</v>
      </c>
      <c r="BL1410" s="128">
        <f>IF(BM1410&gt;0,1,0)</f>
        <v>0</v>
      </c>
      <c r="BM1410" s="128">
        <f>SUM(BR1410,BU1410,BX1410,CA1410,CD1410)</f>
        <v>0</v>
      </c>
      <c r="BN1410" s="131">
        <f>SUM(BT1410,BW1410,BZ1410,CC1410,CF1410)</f>
        <v>0</v>
      </c>
      <c r="BO1410" s="128">
        <f>IF(BP1410&gt;0,1,0)</f>
        <v>0</v>
      </c>
      <c r="BP1410" s="128">
        <f>BM1410+CJ1410</f>
        <v>0</v>
      </c>
      <c r="BQ1410" s="128">
        <f>BN1410+CL1410</f>
        <v>0</v>
      </c>
      <c r="BR1410" s="130">
        <f>IF(BS1410&gt;0,1,0)</f>
        <v>0</v>
      </c>
      <c r="BS1410" s="128">
        <f>VLOOKUP($E1410,[2]Current!$A:$AC,12,FALSE)</f>
        <v>0</v>
      </c>
      <c r="BT1410" s="137">
        <f>BS1410/$AS1410</f>
        <v>0</v>
      </c>
      <c r="BU1410" s="130">
        <f>IF(BV1410&gt;0,1,0)</f>
        <v>0</v>
      </c>
      <c r="BV1410" s="128">
        <f>VLOOKUP($E1410,[2]Current!$A:$AC,13,FALSE)</f>
        <v>0</v>
      </c>
      <c r="BW1410" s="128">
        <f>BV1410/$AS1410</f>
        <v>0</v>
      </c>
      <c r="BX1410" s="130">
        <f>IF(BY1410&gt;0,1,0)</f>
        <v>0</v>
      </c>
      <c r="BY1410" s="128">
        <f>VLOOKUP($E1410,[2]Current!$A:$AC,14,FALSE)</f>
        <v>0</v>
      </c>
      <c r="BZ1410" s="128">
        <f>BY1410/$AS1410</f>
        <v>0</v>
      </c>
      <c r="CA1410" s="130">
        <f>IF(CB1410&gt;0,1,0)</f>
        <v>0</v>
      </c>
      <c r="CB1410" s="128">
        <f>VLOOKUP($E1410,[2]Current!$A:$AC,15,FALSE)</f>
        <v>0</v>
      </c>
      <c r="CC1410" s="128">
        <f>CB1410/$AS1410</f>
        <v>0</v>
      </c>
      <c r="CD1410" s="174">
        <f>IF(CE1410&gt;0,1,0)</f>
        <v>0</v>
      </c>
      <c r="CE1410" s="128">
        <f>VLOOKUP($E1410,[2]Current!$A:$AC,16,FALSE)</f>
        <v>0</v>
      </c>
      <c r="CF1410" s="128">
        <f>CE1410/$AS1410</f>
        <v>0</v>
      </c>
      <c r="CG1410" s="18"/>
      <c r="CH1410" s="18"/>
      <c r="CI1410" s="18"/>
      <c r="CJ1410" s="130">
        <f>IF(CK1410&gt;0,1,0)</f>
        <v>0</v>
      </c>
      <c r="CK1410" s="128">
        <f>VLOOKUP($E1410,[2]Current!$A:$AC,18,FALSE)</f>
        <v>0</v>
      </c>
      <c r="CL1410" s="128">
        <f>CK1410/$AS1410</f>
        <v>0</v>
      </c>
      <c r="CS1410" s="130">
        <f>IF(CU1410&gt;0,1,0)</f>
        <v>0</v>
      </c>
      <c r="CU1410" s="128">
        <f>VLOOKUP($E1410,[2]Current!$A:$AC,17,FALSE)</f>
        <v>0</v>
      </c>
      <c r="CV1410" s="128">
        <f>CU1410/$AS1410</f>
        <v>0</v>
      </c>
      <c r="CW1410" s="18"/>
      <c r="CX1410" s="18"/>
      <c r="CY1410" s="18"/>
      <c r="DF1410" s="16" t="e">
        <f>VLOOKUP(K1410,'[3]RNA Seq summary tables'!$V$3:$V$99,1,FALSE)</f>
        <v>#N/A</v>
      </c>
      <c r="DG1410" s="126" t="s">
        <v>123</v>
      </c>
      <c r="JR1410" s="18"/>
      <c r="JS1410" s="18"/>
      <c r="JT1410" s="18"/>
      <c r="JU1410" s="18"/>
      <c r="JV1410" s="18"/>
      <c r="JW1410" s="18"/>
      <c r="JX1410" s="18"/>
      <c r="JY1410" s="18"/>
      <c r="JZ1410" s="18"/>
      <c r="KA1410" s="18"/>
      <c r="KB1410" s="18"/>
    </row>
    <row r="1411" spans="2:288" ht="16" x14ac:dyDescent="0.2">
      <c r="B1411" s="16">
        <v>2018</v>
      </c>
      <c r="C1411" s="124">
        <v>43303</v>
      </c>
      <c r="D1411" t="s">
        <v>1033</v>
      </c>
      <c r="E1411" s="37" t="str">
        <f>CONCATENATE(T1411,"-",U1411,"-",C1411)</f>
        <v>BC1-A7-43303</v>
      </c>
      <c r="F1411" s="16" t="s">
        <v>227</v>
      </c>
      <c r="G1411" s="126" t="s">
        <v>107</v>
      </c>
      <c r="H1411" s="126" t="s">
        <v>1086</v>
      </c>
      <c r="J1411" s="126">
        <v>1543</v>
      </c>
      <c r="K1411" s="126">
        <v>2671</v>
      </c>
      <c r="O1411" s="15" t="s">
        <v>214</v>
      </c>
      <c r="Q1411" s="16">
        <f t="shared" si="10"/>
        <v>1</v>
      </c>
      <c r="R1411" s="16">
        <f t="shared" si="11"/>
        <v>11</v>
      </c>
      <c r="T1411" s="126" t="s">
        <v>159</v>
      </c>
      <c r="U1411" s="126" t="s">
        <v>120</v>
      </c>
      <c r="V1411" s="126" t="s">
        <v>142</v>
      </c>
      <c r="X1411" s="126" t="s">
        <v>121</v>
      </c>
      <c r="Y1411" s="126" t="s">
        <v>122</v>
      </c>
      <c r="Z1411" s="126">
        <v>2.6</v>
      </c>
      <c r="AA1411" s="126" t="s">
        <v>119</v>
      </c>
      <c r="AB1411" s="126" t="s">
        <v>123</v>
      </c>
      <c r="AC1411" s="126" t="s">
        <v>123</v>
      </c>
      <c r="AD1411" s="126"/>
      <c r="AE1411" s="126"/>
      <c r="AG1411" s="40">
        <f>AH1411-AI1411</f>
        <v>82</v>
      </c>
      <c r="AH1411" s="126">
        <v>166</v>
      </c>
      <c r="AI1411" s="126">
        <v>84</v>
      </c>
      <c r="AK1411" s="126">
        <v>15</v>
      </c>
      <c r="AL1411" s="126">
        <v>0</v>
      </c>
      <c r="AM1411" s="126">
        <v>0</v>
      </c>
      <c r="AN1411" s="126">
        <v>0</v>
      </c>
      <c r="AO1411" s="16">
        <f>IF(SUM(AL1411:AN1411)&gt;0,1,0)</f>
        <v>0</v>
      </c>
      <c r="AP1411" s="18">
        <f>SUM(AL1411:AN1411)</f>
        <v>0</v>
      </c>
      <c r="AR1411" s="16">
        <v>0.23200000000000021</v>
      </c>
      <c r="AS1411" s="16">
        <f>VLOOKUP(E1411,'[1]Feces weights'!$D$1:$H$459,5,FALSE)</f>
        <v>0.23200000000000021</v>
      </c>
      <c r="AT1411" s="16" t="str">
        <f>VLOOKUP(E1411,[2]Current!$A$1:$W$435,7,FALSE)</f>
        <v>DP</v>
      </c>
      <c r="AU1411" s="16" t="s">
        <v>1288</v>
      </c>
      <c r="AW1411" s="128">
        <f>IF(AX1411&gt;0,1,0)</f>
        <v>1</v>
      </c>
      <c r="AX1411" s="128">
        <f>SUM(BA1411,BM1411,CU1411)</f>
        <v>2</v>
      </c>
      <c r="AY1411" s="128">
        <f>SUM(BB1411,BN1411,CV1411)</f>
        <v>137530.17241379299</v>
      </c>
      <c r="AZ1411" s="128">
        <f>IF(BA1411&gt;0,1,0)</f>
        <v>1</v>
      </c>
      <c r="BA1411" s="128">
        <f>SUM(BC1411+BF1411+BI1411)</f>
        <v>2</v>
      </c>
      <c r="BB1411" s="128">
        <f>SUM(BE1411,BH1411,BK1411)</f>
        <v>137530.17241379299</v>
      </c>
      <c r="BC1411" s="130">
        <f>IF(BD1411&gt;0,1,0)</f>
        <v>0</v>
      </c>
      <c r="BD1411" s="128">
        <f>VLOOKUP($E1411,[2]Current!$A:$AC,26,FALSE)</f>
        <v>0</v>
      </c>
      <c r="BE1411" s="128">
        <f>BD1411/$AS1411</f>
        <v>0</v>
      </c>
      <c r="BF1411" s="130">
        <f>IF(BG1411&gt;0,1,0)</f>
        <v>1</v>
      </c>
      <c r="BG1411" s="137">
        <f>VLOOKUP($E1411,[2]Current!$A:$AC,27,FALSE)</f>
        <v>31388</v>
      </c>
      <c r="BH1411" s="128">
        <f>BG1411/$AS1411</f>
        <v>135293.10344827574</v>
      </c>
      <c r="BI1411" s="130">
        <f>IF(BJ1411&gt;0,1,0)</f>
        <v>1</v>
      </c>
      <c r="BJ1411" s="128">
        <f>VLOOKUP($E1411,[2]Current!$A:$AC,28,FALSE)</f>
        <v>519</v>
      </c>
      <c r="BK1411" s="128">
        <f>BJ1411/$AS1411</f>
        <v>2237.0689655172396</v>
      </c>
      <c r="BL1411" s="128">
        <f>IF(BM1411&gt;0,1,0)</f>
        <v>0</v>
      </c>
      <c r="BM1411" s="128">
        <f>SUM(BR1411,BU1411,BX1411,CA1411,CD1411)</f>
        <v>0</v>
      </c>
      <c r="BN1411" s="131">
        <f>SUM(BT1411,BW1411,BZ1411,CC1411,CF1411)</f>
        <v>0</v>
      </c>
      <c r="BO1411" s="128">
        <f>IF(BP1411&gt;0,1,0)</f>
        <v>0</v>
      </c>
      <c r="BP1411" s="128">
        <f>BM1411+CJ1411</f>
        <v>0</v>
      </c>
      <c r="BQ1411" s="128">
        <f>BN1411+CL1411</f>
        <v>0</v>
      </c>
      <c r="BR1411" s="130">
        <f>IF(BS1411&gt;0,1,0)</f>
        <v>0</v>
      </c>
      <c r="BS1411" s="128">
        <f>VLOOKUP($E1411,[2]Current!$A:$AC,12,FALSE)</f>
        <v>0</v>
      </c>
      <c r="BT1411" s="137">
        <f>BS1411/$AS1411</f>
        <v>0</v>
      </c>
      <c r="BU1411" s="130">
        <f>IF(BV1411&gt;0,1,0)</f>
        <v>0</v>
      </c>
      <c r="BV1411" s="128">
        <f>VLOOKUP($E1411,[2]Current!$A:$AC,13,FALSE)</f>
        <v>0</v>
      </c>
      <c r="BW1411" s="128">
        <f>BV1411/$AS1411</f>
        <v>0</v>
      </c>
      <c r="BX1411" s="130">
        <f>IF(BY1411&gt;0,1,0)</f>
        <v>0</v>
      </c>
      <c r="BY1411" s="128">
        <f>VLOOKUP($E1411,[2]Current!$A:$AC,14,FALSE)</f>
        <v>0</v>
      </c>
      <c r="BZ1411" s="128">
        <f>BY1411/$AS1411</f>
        <v>0</v>
      </c>
      <c r="CA1411" s="130">
        <f>IF(CB1411&gt;0,1,0)</f>
        <v>0</v>
      </c>
      <c r="CB1411" s="128">
        <f>VLOOKUP($E1411,[2]Current!$A:$AC,15,FALSE)</f>
        <v>0</v>
      </c>
      <c r="CC1411" s="128">
        <f>CB1411/$AS1411</f>
        <v>0</v>
      </c>
      <c r="CD1411" s="174">
        <f>IF(CE1411&gt;0,1,0)</f>
        <v>0</v>
      </c>
      <c r="CE1411" s="128">
        <f>VLOOKUP($E1411,[2]Current!$A:$AC,16,FALSE)</f>
        <v>0</v>
      </c>
      <c r="CF1411" s="128">
        <f>CE1411/$AS1411</f>
        <v>0</v>
      </c>
      <c r="CG1411" s="18"/>
      <c r="CH1411" s="18"/>
      <c r="CI1411" s="18"/>
      <c r="CJ1411" s="130">
        <f>IF(CK1411&gt;0,1,0)</f>
        <v>0</v>
      </c>
      <c r="CK1411" s="128">
        <f>VLOOKUP($E1411,[2]Current!$A:$AC,18,FALSE)</f>
        <v>0</v>
      </c>
      <c r="CL1411" s="128">
        <f>CK1411/$AS1411</f>
        <v>0</v>
      </c>
      <c r="CS1411" s="130">
        <f>IF(CU1411&gt;0,1,0)</f>
        <v>0</v>
      </c>
      <c r="CU1411" s="128">
        <f>VLOOKUP($E1411,[2]Current!$A:$AC,17,FALSE)</f>
        <v>0</v>
      </c>
      <c r="CV1411" s="128">
        <f>CU1411/$AS1411</f>
        <v>0</v>
      </c>
      <c r="CW1411" s="18"/>
      <c r="CX1411" s="18"/>
      <c r="CY1411" s="18"/>
      <c r="DF1411" s="16" t="e">
        <f>VLOOKUP(K1411,'[3]RNA Seq summary tables'!$V$3:$V$99,1,FALSE)</f>
        <v>#N/A</v>
      </c>
      <c r="DG1411" s="126" t="s">
        <v>123</v>
      </c>
      <c r="JR1411" s="18"/>
      <c r="JS1411" s="18"/>
      <c r="JT1411" s="18"/>
      <c r="JU1411" s="18"/>
      <c r="JV1411" s="18"/>
      <c r="JW1411" s="18"/>
      <c r="JX1411" s="18"/>
      <c r="JY1411" s="18"/>
      <c r="JZ1411" s="18"/>
      <c r="KA1411" s="18"/>
      <c r="KB1411" s="18"/>
    </row>
    <row r="1412" spans="2:288" ht="16" x14ac:dyDescent="0.2">
      <c r="B1412" s="16">
        <v>2018</v>
      </c>
      <c r="C1412" s="124">
        <v>43292</v>
      </c>
      <c r="D1412" t="s">
        <v>939</v>
      </c>
      <c r="E1412" s="37" t="str">
        <f>CONCATENATE(T1412,"-",U1412,"-",C1412)</f>
        <v>BC2-G1-43292</v>
      </c>
      <c r="F1412" s="16" t="s">
        <v>227</v>
      </c>
      <c r="G1412" s="126" t="s">
        <v>107</v>
      </c>
      <c r="H1412" s="126"/>
      <c r="J1412" s="126">
        <v>1548</v>
      </c>
      <c r="K1412" s="126">
        <v>2585</v>
      </c>
      <c r="O1412" s="15" t="s">
        <v>214</v>
      </c>
      <c r="Q1412" s="16">
        <f t="shared" si="10"/>
        <v>0</v>
      </c>
      <c r="R1412" s="16" t="str">
        <f t="shared" si="11"/>
        <v/>
      </c>
      <c r="T1412" s="126" t="s">
        <v>154</v>
      </c>
      <c r="U1412" s="126" t="s">
        <v>155</v>
      </c>
      <c r="V1412" s="126" t="s">
        <v>114</v>
      </c>
      <c r="X1412" s="126" t="s">
        <v>121</v>
      </c>
      <c r="Y1412" s="126" t="s">
        <v>145</v>
      </c>
      <c r="Z1412" s="126">
        <v>1</v>
      </c>
      <c r="AA1412" s="126" t="s">
        <v>119</v>
      </c>
      <c r="AB1412" s="126" t="s">
        <v>123</v>
      </c>
      <c r="AC1412" s="126" t="s">
        <v>123</v>
      </c>
      <c r="AD1412" s="126"/>
      <c r="AE1412" s="126"/>
      <c r="AG1412" s="16">
        <f>AH1412-AI1412</f>
        <v>65</v>
      </c>
      <c r="AH1412" s="126">
        <v>126</v>
      </c>
      <c r="AI1412" s="126">
        <v>61</v>
      </c>
      <c r="AK1412" s="126">
        <v>11</v>
      </c>
      <c r="AL1412" s="126">
        <v>0</v>
      </c>
      <c r="AM1412" s="126">
        <v>0</v>
      </c>
      <c r="AN1412" s="126">
        <v>0</v>
      </c>
      <c r="AO1412" s="16">
        <f>IF(SUM(AL1412:AN1412)&gt;0,1,0)</f>
        <v>0</v>
      </c>
      <c r="AP1412" s="18">
        <f>SUM(AL1412:AN1412)</f>
        <v>0</v>
      </c>
      <c r="AR1412" s="16">
        <v>6.800000000000006E-2</v>
      </c>
      <c r="AS1412" s="16">
        <f>VLOOKUP(E1412,'[1]Feces weights'!$D$1:$H$459,5,FALSE)</f>
        <v>6.800000000000006E-2</v>
      </c>
      <c r="AT1412" s="16" t="str">
        <f>VLOOKUP(E1412,[2]Current!$A$1:$W$435,7,FALSE)</f>
        <v>DP</v>
      </c>
      <c r="AU1412" s="16" t="s">
        <v>1288</v>
      </c>
      <c r="AW1412" s="128">
        <f>IF(AX1412&gt;0,1,0)</f>
        <v>1</v>
      </c>
      <c r="AX1412" s="128">
        <f>SUM(BA1412,BM1412,CU1412)</f>
        <v>169</v>
      </c>
      <c r="AY1412" s="128">
        <f>SUM(BB1412,BN1412,CV1412)</f>
        <v>31852.941176470562</v>
      </c>
      <c r="AZ1412" s="128">
        <f>IF(BA1412&gt;0,1,0)</f>
        <v>1</v>
      </c>
      <c r="BA1412" s="128">
        <f>SUM(BC1412+BF1412+BI1412)</f>
        <v>3</v>
      </c>
      <c r="BB1412" s="128">
        <f>SUM(BE1412,BH1412,BK1412)</f>
        <v>29411.764705882328</v>
      </c>
      <c r="BC1412" s="130">
        <f>IF(BD1412&gt;0,1,0)</f>
        <v>1</v>
      </c>
      <c r="BD1412" s="128">
        <f>VLOOKUP($E1412,[2]Current!$A:$AC,26,FALSE)</f>
        <v>224</v>
      </c>
      <c r="BE1412" s="128">
        <f>BD1412/$AS1412</f>
        <v>3294.1176470588207</v>
      </c>
      <c r="BF1412" s="130">
        <f>IF(BG1412&gt;0,1,0)</f>
        <v>1</v>
      </c>
      <c r="BG1412" s="137">
        <f>VLOOKUP($E1412,[2]Current!$A:$AC,27,FALSE)</f>
        <v>1758</v>
      </c>
      <c r="BH1412" s="128">
        <f>BG1412/$AS1412</f>
        <v>25852.941176470566</v>
      </c>
      <c r="BI1412" s="130">
        <f>IF(BJ1412&gt;0,1,0)</f>
        <v>1</v>
      </c>
      <c r="BJ1412" s="128">
        <f>VLOOKUP($E1412,[2]Current!$A:$AC,28,FALSE)</f>
        <v>18</v>
      </c>
      <c r="BK1412" s="128">
        <f>BJ1412/$AS1412</f>
        <v>264.70588235294093</v>
      </c>
      <c r="BL1412" s="128">
        <f>IF(BM1412&gt;0,1,0)</f>
        <v>0</v>
      </c>
      <c r="BM1412" s="128">
        <f>SUM(BR1412,BU1412,BX1412,CA1412,CD1412)</f>
        <v>0</v>
      </c>
      <c r="BN1412" s="131">
        <f>SUM(BT1412,BW1412,BZ1412,CC1412,CF1412)</f>
        <v>0</v>
      </c>
      <c r="BO1412" s="128">
        <f>IF(BP1412&gt;0,1,0)</f>
        <v>0</v>
      </c>
      <c r="BP1412" s="128">
        <f>BM1412+CJ1412</f>
        <v>0</v>
      </c>
      <c r="BQ1412" s="128">
        <f>BN1412+CL1412</f>
        <v>0</v>
      </c>
      <c r="BR1412" s="130">
        <f>IF(BS1412&gt;0,1,0)</f>
        <v>0</v>
      </c>
      <c r="BS1412" s="128">
        <f>VLOOKUP($E1412,[2]Current!$A:$AC,12,FALSE)</f>
        <v>0</v>
      </c>
      <c r="BT1412" s="137">
        <f>BS1412/$AS1412</f>
        <v>0</v>
      </c>
      <c r="BU1412" s="130">
        <f>IF(BV1412&gt;0,1,0)</f>
        <v>0</v>
      </c>
      <c r="BV1412" s="128">
        <f>VLOOKUP($E1412,[2]Current!$A:$AC,13,FALSE)</f>
        <v>0</v>
      </c>
      <c r="BW1412" s="128">
        <f>BV1412/$AS1412</f>
        <v>0</v>
      </c>
      <c r="BX1412" s="130">
        <f>IF(BY1412&gt;0,1,0)</f>
        <v>0</v>
      </c>
      <c r="BY1412" s="128">
        <f>VLOOKUP($E1412,[2]Current!$A:$AC,14,FALSE)</f>
        <v>0</v>
      </c>
      <c r="BZ1412" s="128">
        <f>BY1412/$AS1412</f>
        <v>0</v>
      </c>
      <c r="CA1412" s="130">
        <f>IF(CB1412&gt;0,1,0)</f>
        <v>0</v>
      </c>
      <c r="CB1412" s="128">
        <f>VLOOKUP($E1412,[2]Current!$A:$AC,15,FALSE)</f>
        <v>0</v>
      </c>
      <c r="CC1412" s="128">
        <f>CB1412/$AS1412</f>
        <v>0</v>
      </c>
      <c r="CD1412" s="174">
        <f>IF(CE1412&gt;0,1,0)</f>
        <v>0</v>
      </c>
      <c r="CE1412" s="128">
        <f>VLOOKUP($E1412,[2]Current!$A:$AC,16,FALSE)</f>
        <v>0</v>
      </c>
      <c r="CF1412" s="128">
        <f>CE1412/$AS1412</f>
        <v>0</v>
      </c>
      <c r="CG1412" s="18"/>
      <c r="CH1412" s="18"/>
      <c r="CI1412" s="18"/>
      <c r="CJ1412" s="130">
        <f>IF(CK1412&gt;0,1,0)</f>
        <v>0</v>
      </c>
      <c r="CK1412" s="128">
        <f>VLOOKUP($E1412,[2]Current!$A:$AC,18,FALSE)</f>
        <v>0</v>
      </c>
      <c r="CL1412" s="128">
        <f>CK1412/$AS1412</f>
        <v>0</v>
      </c>
      <c r="CS1412" s="130">
        <f>IF(CU1412&gt;0,1,0)</f>
        <v>1</v>
      </c>
      <c r="CU1412" s="128">
        <f>VLOOKUP($E1412,[2]Current!$A:$AC,17,FALSE)</f>
        <v>166</v>
      </c>
      <c r="CV1412" s="128">
        <f>CU1412/$AS1412</f>
        <v>2441.1764705882333</v>
      </c>
      <c r="CW1412" s="18"/>
      <c r="CX1412" s="18"/>
      <c r="CY1412" s="18"/>
      <c r="DF1412" s="16" t="e">
        <f>VLOOKUP(K1412,'[3]RNA Seq summary tables'!$V$3:$V$99,1,FALSE)</f>
        <v>#N/A</v>
      </c>
      <c r="DG1412" s="126" t="s">
        <v>123</v>
      </c>
    </row>
    <row r="1413" spans="2:288" ht="16" x14ac:dyDescent="0.2">
      <c r="B1413" s="16">
        <v>2018</v>
      </c>
      <c r="C1413" s="124">
        <v>43303</v>
      </c>
      <c r="D1413" t="s">
        <v>1034</v>
      </c>
      <c r="E1413" s="37" t="str">
        <f>CONCATENATE(T1413,"-",U1413,"-",C1413)</f>
        <v>BC2-D3-43303</v>
      </c>
      <c r="F1413" s="16" t="s">
        <v>227</v>
      </c>
      <c r="G1413" s="126" t="s">
        <v>107</v>
      </c>
      <c r="H1413" s="126"/>
      <c r="J1413" s="126">
        <v>1548</v>
      </c>
      <c r="K1413" s="126">
        <v>2679</v>
      </c>
      <c r="O1413" s="15" t="s">
        <v>214</v>
      </c>
      <c r="Q1413" s="16">
        <f t="shared" si="10"/>
        <v>1</v>
      </c>
      <c r="R1413" s="16">
        <f t="shared" si="11"/>
        <v>11</v>
      </c>
      <c r="T1413" s="126" t="s">
        <v>154</v>
      </c>
      <c r="U1413" s="126" t="s">
        <v>149</v>
      </c>
      <c r="V1413" s="126" t="s">
        <v>114</v>
      </c>
      <c r="X1413" s="126" t="s">
        <v>121</v>
      </c>
      <c r="Y1413" s="126" t="s">
        <v>122</v>
      </c>
      <c r="Z1413" s="126">
        <v>2.6</v>
      </c>
      <c r="AA1413" s="126" t="s">
        <v>119</v>
      </c>
      <c r="AB1413" s="126" t="s">
        <v>123</v>
      </c>
      <c r="AC1413" s="126" t="s">
        <v>123</v>
      </c>
      <c r="AD1413" s="126"/>
      <c r="AE1413" s="126"/>
      <c r="AG1413" s="40">
        <f>AH1413-AI1413</f>
        <v>75</v>
      </c>
      <c r="AH1413" s="126">
        <v>138</v>
      </c>
      <c r="AI1413" s="126">
        <v>63</v>
      </c>
      <c r="AK1413" s="126">
        <v>15</v>
      </c>
      <c r="AL1413" s="126">
        <v>0</v>
      </c>
      <c r="AM1413" s="126">
        <v>0</v>
      </c>
      <c r="AN1413" s="126">
        <v>0</v>
      </c>
      <c r="AO1413" s="16">
        <f>IF(SUM(AL1413:AN1413)&gt;0,1,0)</f>
        <v>0</v>
      </c>
      <c r="AP1413" s="18">
        <f>SUM(AL1413:AN1413)</f>
        <v>0</v>
      </c>
      <c r="AR1413" s="16">
        <v>0.2370000000000001</v>
      </c>
      <c r="AS1413" s="16">
        <f>VLOOKUP(E1413,'[1]Feces weights'!$D$1:$H$459,5,FALSE)</f>
        <v>0.2370000000000001</v>
      </c>
      <c r="AT1413" s="16" t="str">
        <f>VLOOKUP(E1413,[2]Current!$A$1:$W$435,7,FALSE)</f>
        <v>JB</v>
      </c>
      <c r="AU1413" s="16" t="s">
        <v>1288</v>
      </c>
      <c r="AW1413" s="128">
        <f>IF(AX1413&gt;0,1,0)</f>
        <v>1</v>
      </c>
      <c r="AX1413" s="128">
        <f>SUM(BA1413,BM1413,CU1413)</f>
        <v>3</v>
      </c>
      <c r="AY1413" s="128">
        <f>SUM(BB1413,BN1413,CV1413)</f>
        <v>10860.759493670881</v>
      </c>
      <c r="AZ1413" s="128">
        <f>IF(BA1413&gt;0,1,0)</f>
        <v>1</v>
      </c>
      <c r="BA1413" s="128">
        <f>SUM(BC1413+BF1413+BI1413)</f>
        <v>3</v>
      </c>
      <c r="BB1413" s="128">
        <f>SUM(BE1413,BH1413,BK1413)</f>
        <v>10860.759493670881</v>
      </c>
      <c r="BC1413" s="130">
        <f>IF(BD1413&gt;0,1,0)</f>
        <v>1</v>
      </c>
      <c r="BD1413" s="128">
        <f>VLOOKUP($E1413,[2]Current!$A:$AC,26,FALSE)</f>
        <v>934</v>
      </c>
      <c r="BE1413" s="128">
        <f>BD1413/$AS1413</f>
        <v>3940.9282700421923</v>
      </c>
      <c r="BF1413" s="130">
        <f>IF(BG1413&gt;0,1,0)</f>
        <v>1</v>
      </c>
      <c r="BG1413" s="137">
        <f>VLOOKUP($E1413,[2]Current!$A:$AC,27,FALSE)</f>
        <v>1412</v>
      </c>
      <c r="BH1413" s="128">
        <f>BG1413/$AS1413</f>
        <v>5957.8059071729931</v>
      </c>
      <c r="BI1413" s="130">
        <f>IF(BJ1413&gt;0,1,0)</f>
        <v>1</v>
      </c>
      <c r="BJ1413" s="128">
        <f>VLOOKUP($E1413,[2]Current!$A:$AC,28,FALSE)</f>
        <v>228</v>
      </c>
      <c r="BK1413" s="128">
        <f>BJ1413/$AS1413</f>
        <v>962.02531645569582</v>
      </c>
      <c r="BL1413" s="128">
        <f>IF(BM1413&gt;0,1,0)</f>
        <v>0</v>
      </c>
      <c r="BM1413" s="128">
        <f>SUM(BR1413,BU1413,BX1413,CA1413,CD1413)</f>
        <v>0</v>
      </c>
      <c r="BN1413" s="131">
        <f>SUM(BT1413,BW1413,BZ1413,CC1413,CF1413)</f>
        <v>0</v>
      </c>
      <c r="BO1413" s="128">
        <f>IF(BP1413&gt;0,1,0)</f>
        <v>1</v>
      </c>
      <c r="BP1413" s="128">
        <f>BM1413+CJ1413</f>
        <v>1</v>
      </c>
      <c r="BQ1413" s="128">
        <f>BN1413+CL1413</f>
        <v>16.877637130801681</v>
      </c>
      <c r="BR1413" s="130">
        <f>IF(BS1413&gt;0,1,0)</f>
        <v>0</v>
      </c>
      <c r="BS1413" s="128">
        <f>VLOOKUP($E1413,[2]Current!$A:$AC,12,FALSE)</f>
        <v>0</v>
      </c>
      <c r="BT1413" s="137">
        <f>BS1413/$AS1413</f>
        <v>0</v>
      </c>
      <c r="BU1413" s="130">
        <f>IF(BV1413&gt;0,1,0)</f>
        <v>0</v>
      </c>
      <c r="BV1413" s="128">
        <f>VLOOKUP($E1413,[2]Current!$A:$AC,13,FALSE)</f>
        <v>0</v>
      </c>
      <c r="BW1413" s="128">
        <f>BV1413/$AS1413</f>
        <v>0</v>
      </c>
      <c r="BX1413" s="130">
        <f>IF(BY1413&gt;0,1,0)</f>
        <v>0</v>
      </c>
      <c r="BY1413" s="128">
        <f>VLOOKUP($E1413,[2]Current!$A:$AC,14,FALSE)</f>
        <v>0</v>
      </c>
      <c r="BZ1413" s="128">
        <f>BY1413/$AS1413</f>
        <v>0</v>
      </c>
      <c r="CA1413" s="130">
        <f>IF(CB1413&gt;0,1,0)</f>
        <v>0</v>
      </c>
      <c r="CB1413" s="128">
        <f>VLOOKUP($E1413,[2]Current!$A:$AC,15,FALSE)</f>
        <v>0</v>
      </c>
      <c r="CC1413" s="128">
        <f>CB1413/$AS1413</f>
        <v>0</v>
      </c>
      <c r="CD1413" s="174">
        <f>IF(CE1413&gt;0,1,0)</f>
        <v>0</v>
      </c>
      <c r="CE1413" s="128">
        <f>VLOOKUP($E1413,[2]Current!$A:$AC,16,FALSE)</f>
        <v>0</v>
      </c>
      <c r="CF1413" s="128">
        <f>CE1413/$AS1413</f>
        <v>0</v>
      </c>
      <c r="CG1413" s="18"/>
      <c r="CH1413" s="18"/>
      <c r="CI1413" s="18"/>
      <c r="CJ1413" s="130">
        <f>IF(CK1413&gt;0,1,0)</f>
        <v>1</v>
      </c>
      <c r="CK1413" s="128">
        <f>VLOOKUP($E1413,[2]Current!$A:$AC,18,FALSE)</f>
        <v>4</v>
      </c>
      <c r="CL1413" s="128">
        <f>CK1413/$AS1413</f>
        <v>16.877637130801681</v>
      </c>
      <c r="CS1413" s="130">
        <f>IF(CU1413&gt;0,1,0)</f>
        <v>0</v>
      </c>
      <c r="CU1413" s="128">
        <f>VLOOKUP($E1413,[2]Current!$A:$AC,17,FALSE)</f>
        <v>0</v>
      </c>
      <c r="CV1413" s="128">
        <f>CU1413/$AS1413</f>
        <v>0</v>
      </c>
      <c r="CW1413" s="18"/>
      <c r="CX1413" s="18"/>
      <c r="CY1413" s="18"/>
      <c r="DF1413" s="16" t="e">
        <f>VLOOKUP(K1413,'[3]RNA Seq summary tables'!$V$3:$V$99,1,FALSE)</f>
        <v>#N/A</v>
      </c>
      <c r="DG1413" s="126" t="s">
        <v>123</v>
      </c>
    </row>
    <row r="1414" spans="2:288" ht="16" x14ac:dyDescent="0.2">
      <c r="B1414" s="18">
        <v>2018</v>
      </c>
      <c r="C1414" s="193">
        <v>43293</v>
      </c>
      <c r="D1414" s="149" t="s">
        <v>950</v>
      </c>
      <c r="E1414" s="37" t="str">
        <f>CONCATENATE(T1414,"-",U1414,"-",C1414)</f>
        <v>BC2-C8-43293</v>
      </c>
      <c r="F1414" s="16" t="s">
        <v>227</v>
      </c>
      <c r="G1414" s="126" t="s">
        <v>107</v>
      </c>
      <c r="H1414" s="126" t="s">
        <v>1134</v>
      </c>
      <c r="J1414" s="126">
        <v>1550</v>
      </c>
      <c r="K1414" s="126">
        <v>2589</v>
      </c>
      <c r="O1414" s="15" t="s">
        <v>214</v>
      </c>
      <c r="Q1414" s="16">
        <f t="shared" si="10"/>
        <v>0</v>
      </c>
      <c r="R1414" s="16" t="str">
        <f t="shared" si="11"/>
        <v/>
      </c>
      <c r="T1414" s="126" t="s">
        <v>154</v>
      </c>
      <c r="U1414" s="126" t="s">
        <v>188</v>
      </c>
      <c r="V1414" s="133" t="s">
        <v>142</v>
      </c>
      <c r="X1414" s="126" t="s">
        <v>121</v>
      </c>
      <c r="Y1414" s="126" t="s">
        <v>145</v>
      </c>
      <c r="Z1414" s="126">
        <v>1</v>
      </c>
      <c r="AA1414" s="126" t="s">
        <v>119</v>
      </c>
      <c r="AB1414" s="126" t="s">
        <v>123</v>
      </c>
      <c r="AC1414" s="126" t="s">
        <v>123</v>
      </c>
      <c r="AD1414" s="126"/>
      <c r="AE1414" s="126"/>
      <c r="AG1414" s="16">
        <f>AH1414-AI1414</f>
        <v>62</v>
      </c>
      <c r="AH1414" s="126">
        <v>125</v>
      </c>
      <c r="AI1414" s="126">
        <v>63</v>
      </c>
      <c r="AK1414" s="126">
        <v>8</v>
      </c>
      <c r="AL1414" s="126">
        <v>1</v>
      </c>
      <c r="AM1414" s="126">
        <v>0</v>
      </c>
      <c r="AN1414" s="126">
        <v>0</v>
      </c>
      <c r="AO1414" s="16">
        <f>IF(SUM(AL1414:AN1414)&gt;0,1,0)</f>
        <v>1</v>
      </c>
      <c r="AP1414" s="18">
        <f>SUM(AL1414:AN1414)</f>
        <v>1</v>
      </c>
      <c r="AR1414" s="16">
        <v>2.8000000000000025E-2</v>
      </c>
      <c r="AS1414" s="16">
        <f>VLOOKUP(E1414,'[1]Feces weights'!$D$1:$H$459,5,FALSE)</f>
        <v>2.8000000000000025E-2</v>
      </c>
      <c r="AT1414" s="16" t="str">
        <f>VLOOKUP(E1414,[2]Current!$A$1:$W$435,7,FALSE)</f>
        <v>JB</v>
      </c>
      <c r="AU1414" s="16" t="s">
        <v>1288</v>
      </c>
      <c r="AV1414" s="23">
        <v>1</v>
      </c>
      <c r="AW1414" s="128">
        <f>IF(AX1414&gt;0,1,0)</f>
        <v>0</v>
      </c>
      <c r="AX1414" s="128">
        <f>SUM(BA1414,BM1414,CU1414)</f>
        <v>0</v>
      </c>
      <c r="AY1414" s="128">
        <f>SUM(BB1414,BN1414,CV1414)</f>
        <v>0</v>
      </c>
      <c r="AZ1414" s="128">
        <f>IF(BA1414&gt;0,1,0)</f>
        <v>0</v>
      </c>
      <c r="BA1414" s="128">
        <f>SUM(BC1414+BF1414+BI1414)</f>
        <v>0</v>
      </c>
      <c r="BB1414" s="128">
        <f>SUM(BE1414,BH1414,BK1414)</f>
        <v>0</v>
      </c>
      <c r="BC1414" s="130">
        <f>IF(BD1414&gt;0,1,0)</f>
        <v>0</v>
      </c>
      <c r="BD1414" s="128">
        <f>VLOOKUP($E1414,[2]Current!$A:$AC,26,FALSE)</f>
        <v>0</v>
      </c>
      <c r="BE1414" s="128">
        <f>BD1414/$AS1414</f>
        <v>0</v>
      </c>
      <c r="BF1414" s="130">
        <f>IF(BG1414&gt;0,1,0)</f>
        <v>0</v>
      </c>
      <c r="BG1414" s="137">
        <f>VLOOKUP($E1414,[2]Current!$A:$AC,27,FALSE)</f>
        <v>0</v>
      </c>
      <c r="BH1414" s="128">
        <f>BG1414/$AS1414</f>
        <v>0</v>
      </c>
      <c r="BI1414" s="130">
        <f>IF(BJ1414&gt;0,1,0)</f>
        <v>0</v>
      </c>
      <c r="BJ1414" s="128">
        <f>VLOOKUP($E1414,[2]Current!$A:$AC,28,FALSE)</f>
        <v>0</v>
      </c>
      <c r="BK1414" s="128">
        <f>BJ1414/$AS1414</f>
        <v>0</v>
      </c>
      <c r="BL1414" s="128">
        <f>IF(BM1414&gt;0,1,0)</f>
        <v>0</v>
      </c>
      <c r="BM1414" s="128">
        <f>SUM(BR1414,BU1414,BX1414,CA1414,CD1414)</f>
        <v>0</v>
      </c>
      <c r="BN1414" s="131">
        <f>SUM(BT1414,BW1414,BZ1414,CC1414,CF1414)</f>
        <v>0</v>
      </c>
      <c r="BO1414" s="128">
        <f>IF(BP1414&gt;0,1,0)</f>
        <v>0</v>
      </c>
      <c r="BP1414" s="128">
        <f>BM1414+CJ1414</f>
        <v>0</v>
      </c>
      <c r="BQ1414" s="128">
        <f>BN1414+CL1414</f>
        <v>0</v>
      </c>
      <c r="BR1414" s="130">
        <f>IF(BS1414&gt;0,1,0)</f>
        <v>0</v>
      </c>
      <c r="BS1414" s="128">
        <f>VLOOKUP($E1414,[2]Current!$A:$AC,12,FALSE)</f>
        <v>0</v>
      </c>
      <c r="BT1414" s="137">
        <f>BS1414/$AS1414</f>
        <v>0</v>
      </c>
      <c r="BU1414" s="130">
        <f>IF(BV1414&gt;0,1,0)</f>
        <v>0</v>
      </c>
      <c r="BV1414" s="128">
        <f>VLOOKUP($E1414,[2]Current!$A:$AC,13,FALSE)</f>
        <v>0</v>
      </c>
      <c r="BW1414" s="128">
        <f>BV1414/$AS1414</f>
        <v>0</v>
      </c>
      <c r="BX1414" s="130">
        <f>IF(BY1414&gt;0,1,0)</f>
        <v>0</v>
      </c>
      <c r="BY1414" s="128">
        <f>VLOOKUP($E1414,[2]Current!$A:$AC,14,FALSE)</f>
        <v>0</v>
      </c>
      <c r="BZ1414" s="128">
        <f>BY1414/$AS1414</f>
        <v>0</v>
      </c>
      <c r="CA1414" s="130">
        <f>IF(CB1414&gt;0,1,0)</f>
        <v>0</v>
      </c>
      <c r="CB1414" s="128">
        <f>VLOOKUP($E1414,[2]Current!$A:$AC,15,FALSE)</f>
        <v>0</v>
      </c>
      <c r="CC1414" s="128">
        <f>CB1414/$AS1414</f>
        <v>0</v>
      </c>
      <c r="CD1414" s="174">
        <f>IF(CE1414&gt;0,1,0)</f>
        <v>0</v>
      </c>
      <c r="CE1414" s="128">
        <f>VLOOKUP($E1414,[2]Current!$A:$AC,16,FALSE)</f>
        <v>0</v>
      </c>
      <c r="CF1414" s="128">
        <f>CE1414/$AS1414</f>
        <v>0</v>
      </c>
      <c r="CG1414" s="18"/>
      <c r="CH1414" s="18"/>
      <c r="CI1414" s="18"/>
      <c r="CJ1414" s="130">
        <f>IF(CK1414&gt;0,1,0)</f>
        <v>0</v>
      </c>
      <c r="CK1414" s="128">
        <f>VLOOKUP($E1414,[2]Current!$A:$AC,18,FALSE)</f>
        <v>0</v>
      </c>
      <c r="CL1414" s="128">
        <f>CK1414/$AS1414</f>
        <v>0</v>
      </c>
      <c r="CS1414" s="130">
        <f>IF(CU1414&gt;0,1,0)</f>
        <v>0</v>
      </c>
      <c r="CU1414" s="128">
        <f>VLOOKUP($E1414,[2]Current!$A:$AC,17,FALSE)</f>
        <v>0</v>
      </c>
      <c r="CV1414" s="128">
        <f>CU1414/$AS1414</f>
        <v>0</v>
      </c>
      <c r="CW1414" s="18"/>
      <c r="CX1414" s="18"/>
      <c r="CY1414" s="18"/>
      <c r="DF1414" s="16" t="e">
        <f>VLOOKUP(K1414,'[3]RNA Seq summary tables'!$V$3:$V$99,1,FALSE)</f>
        <v>#N/A</v>
      </c>
      <c r="DG1414" s="126" t="s">
        <v>123</v>
      </c>
      <c r="JR1414" s="18"/>
      <c r="JS1414" s="18"/>
      <c r="JT1414" s="18"/>
      <c r="JU1414" s="18"/>
      <c r="JV1414" s="18"/>
      <c r="JW1414" s="18"/>
      <c r="JX1414" s="18"/>
      <c r="JY1414" s="18"/>
      <c r="JZ1414" s="18"/>
      <c r="KA1414" s="18"/>
      <c r="KB1414" s="18"/>
    </row>
    <row r="1415" spans="2:288" ht="16" x14ac:dyDescent="0.2">
      <c r="B1415" s="18">
        <v>2018</v>
      </c>
      <c r="C1415" s="193">
        <v>43294</v>
      </c>
      <c r="D1415" s="149" t="s">
        <v>955</v>
      </c>
      <c r="E1415" s="37" t="str">
        <f>CONCATENATE(T1415,"-",U1415,"-",C1415)</f>
        <v>HW1-A5-43294</v>
      </c>
      <c r="F1415" s="16" t="s">
        <v>227</v>
      </c>
      <c r="G1415" s="126" t="s">
        <v>107</v>
      </c>
      <c r="H1415" s="126"/>
      <c r="J1415" s="126">
        <v>1552</v>
      </c>
      <c r="K1415" s="126">
        <v>2594</v>
      </c>
      <c r="O1415" s="15" t="s">
        <v>214</v>
      </c>
      <c r="Q1415" s="16">
        <f t="shared" si="10"/>
        <v>0</v>
      </c>
      <c r="R1415" s="16" t="str">
        <f t="shared" si="11"/>
        <v/>
      </c>
      <c r="T1415" s="126" t="s">
        <v>133</v>
      </c>
      <c r="U1415" s="126" t="s">
        <v>167</v>
      </c>
      <c r="V1415" s="126" t="s">
        <v>114</v>
      </c>
      <c r="X1415" s="126" t="s">
        <v>115</v>
      </c>
      <c r="Y1415" s="126" t="s">
        <v>145</v>
      </c>
      <c r="Z1415" s="126">
        <v>1</v>
      </c>
      <c r="AA1415" s="126"/>
      <c r="AB1415" s="126"/>
      <c r="AC1415" s="126"/>
      <c r="AD1415" s="126"/>
      <c r="AE1415" s="126" t="s">
        <v>123</v>
      </c>
      <c r="AG1415" s="16">
        <f>AH1415-AI1415</f>
        <v>66</v>
      </c>
      <c r="AH1415" s="126">
        <v>128</v>
      </c>
      <c r="AI1415" s="126">
        <v>62</v>
      </c>
      <c r="AK1415" s="126">
        <v>10</v>
      </c>
      <c r="AL1415" s="126">
        <v>0</v>
      </c>
      <c r="AM1415" s="126">
        <v>0</v>
      </c>
      <c r="AN1415" s="126">
        <v>0</v>
      </c>
      <c r="AO1415" s="16">
        <f>IF(SUM(AL1415:AN1415)&gt;0,1,0)</f>
        <v>0</v>
      </c>
      <c r="AP1415" s="18">
        <f>SUM(AL1415:AN1415)</f>
        <v>0</v>
      </c>
      <c r="AR1415" s="16">
        <v>7.1000000000000174E-2</v>
      </c>
      <c r="AS1415" s="16">
        <f>VLOOKUP(E1415,'[1]Feces weights'!$D$1:$H$459,5,FALSE)</f>
        <v>7.1000000000000174E-2</v>
      </c>
      <c r="AT1415" s="16" t="str">
        <f>VLOOKUP(E1415,[2]Current!$A$1:$W$435,7,FALSE)</f>
        <v>DP</v>
      </c>
      <c r="AU1415" s="16" t="s">
        <v>1288</v>
      </c>
      <c r="AW1415" s="128">
        <f>IF(AX1415&gt;0,1,0)</f>
        <v>1</v>
      </c>
      <c r="AX1415" s="128">
        <f>SUM(BA1415,BM1415,CU1415)</f>
        <v>2</v>
      </c>
      <c r="AY1415" s="128">
        <f>SUM(BB1415,BN1415,CV1415)</f>
        <v>1042.253521126758</v>
      </c>
      <c r="AZ1415" s="128">
        <f>IF(BA1415&gt;0,1,0)</f>
        <v>1</v>
      </c>
      <c r="BA1415" s="128">
        <f>SUM(BC1415+BF1415+BI1415)</f>
        <v>2</v>
      </c>
      <c r="BB1415" s="128">
        <f>SUM(BE1415,BH1415,BK1415)</f>
        <v>1042.253521126758</v>
      </c>
      <c r="BC1415" s="130">
        <f>IF(BD1415&gt;0,1,0)</f>
        <v>0</v>
      </c>
      <c r="BD1415" s="128">
        <f>VLOOKUP($E1415,[2]Current!$A:$AC,26,FALSE)</f>
        <v>0</v>
      </c>
      <c r="BE1415" s="128">
        <f>BD1415/$AS1415</f>
        <v>0</v>
      </c>
      <c r="BF1415" s="130">
        <f>IF(BG1415&gt;0,1,0)</f>
        <v>1</v>
      </c>
      <c r="BG1415" s="137">
        <f>VLOOKUP($E1415,[2]Current!$A:$AC,27,FALSE)</f>
        <v>68</v>
      </c>
      <c r="BH1415" s="128">
        <f>BG1415/$AS1415</f>
        <v>957.74647887323704</v>
      </c>
      <c r="BI1415" s="130">
        <f>IF(BJ1415&gt;0,1,0)</f>
        <v>1</v>
      </c>
      <c r="BJ1415" s="128">
        <f>VLOOKUP($E1415,[2]Current!$A:$AC,28,FALSE)</f>
        <v>6</v>
      </c>
      <c r="BK1415" s="128">
        <f>BJ1415/$AS1415</f>
        <v>84.507042253520922</v>
      </c>
      <c r="BL1415" s="128">
        <f>IF(BM1415&gt;0,1,0)</f>
        <v>0</v>
      </c>
      <c r="BM1415" s="128">
        <f>SUM(BR1415,BU1415,BX1415,CA1415,CD1415)</f>
        <v>0</v>
      </c>
      <c r="BN1415" s="131">
        <f>SUM(BT1415,BW1415,BZ1415,CC1415,CF1415)</f>
        <v>0</v>
      </c>
      <c r="BO1415" s="128">
        <f>IF(BP1415&gt;0,1,0)</f>
        <v>0</v>
      </c>
      <c r="BP1415" s="128">
        <f>BM1415+CJ1415</f>
        <v>0</v>
      </c>
      <c r="BQ1415" s="128">
        <f>BN1415+CL1415</f>
        <v>0</v>
      </c>
      <c r="BR1415" s="130">
        <f>IF(BS1415&gt;0,1,0)</f>
        <v>0</v>
      </c>
      <c r="BS1415" s="128">
        <f>VLOOKUP($E1415,[2]Current!$A:$AC,12,FALSE)</f>
        <v>0</v>
      </c>
      <c r="BT1415" s="137">
        <f>BS1415/$AS1415</f>
        <v>0</v>
      </c>
      <c r="BU1415" s="130">
        <f>IF(BV1415&gt;0,1,0)</f>
        <v>0</v>
      </c>
      <c r="BV1415" s="128">
        <f>VLOOKUP($E1415,[2]Current!$A:$AC,13,FALSE)</f>
        <v>0</v>
      </c>
      <c r="BW1415" s="128">
        <f>BV1415/$AS1415</f>
        <v>0</v>
      </c>
      <c r="BX1415" s="130">
        <f>IF(BY1415&gt;0,1,0)</f>
        <v>0</v>
      </c>
      <c r="BY1415" s="128">
        <f>VLOOKUP($E1415,[2]Current!$A:$AC,14,FALSE)</f>
        <v>0</v>
      </c>
      <c r="BZ1415" s="128">
        <f>BY1415/$AS1415</f>
        <v>0</v>
      </c>
      <c r="CA1415" s="130">
        <f>IF(CB1415&gt;0,1,0)</f>
        <v>0</v>
      </c>
      <c r="CB1415" s="128">
        <f>VLOOKUP($E1415,[2]Current!$A:$AC,15,FALSE)</f>
        <v>0</v>
      </c>
      <c r="CC1415" s="128">
        <f>CB1415/$AS1415</f>
        <v>0</v>
      </c>
      <c r="CD1415" s="174">
        <f>IF(CE1415&gt;0,1,0)</f>
        <v>0</v>
      </c>
      <c r="CE1415" s="128">
        <f>VLOOKUP($E1415,[2]Current!$A:$AC,16,FALSE)</f>
        <v>0</v>
      </c>
      <c r="CF1415" s="128">
        <f>CE1415/$AS1415</f>
        <v>0</v>
      </c>
      <c r="CG1415" s="18"/>
      <c r="CH1415" s="18"/>
      <c r="CI1415" s="18"/>
      <c r="CJ1415" s="130">
        <f>IF(CK1415&gt;0,1,0)</f>
        <v>0</v>
      </c>
      <c r="CK1415" s="128">
        <f>VLOOKUP($E1415,[2]Current!$A:$AC,18,FALSE)</f>
        <v>0</v>
      </c>
      <c r="CL1415" s="128">
        <f>CK1415/$AS1415</f>
        <v>0</v>
      </c>
      <c r="CS1415" s="130">
        <f>IF(CU1415&gt;0,1,0)</f>
        <v>0</v>
      </c>
      <c r="CU1415" s="128">
        <f>VLOOKUP($E1415,[2]Current!$A:$AC,17,FALSE)</f>
        <v>0</v>
      </c>
      <c r="CV1415" s="128">
        <f>CU1415/$AS1415</f>
        <v>0</v>
      </c>
      <c r="CW1415" s="18"/>
      <c r="CX1415" s="18"/>
      <c r="CY1415" s="18"/>
      <c r="DF1415" s="16" t="e">
        <f>VLOOKUP(K1415,'[3]RNA Seq summary tables'!$V$3:$V$99,1,FALSE)</f>
        <v>#N/A</v>
      </c>
      <c r="DG1415" s="126" t="s">
        <v>123</v>
      </c>
      <c r="JR1415" s="18"/>
      <c r="JS1415" s="18"/>
      <c r="JT1415" s="18"/>
      <c r="JU1415" s="18"/>
      <c r="JV1415" s="18"/>
      <c r="JW1415" s="18"/>
      <c r="JX1415" s="18"/>
      <c r="JY1415" s="18"/>
      <c r="JZ1415" s="18"/>
      <c r="KA1415" s="18"/>
      <c r="KB1415" s="18"/>
    </row>
    <row r="1416" spans="2:288" ht="16" x14ac:dyDescent="0.2">
      <c r="B1416" s="18">
        <v>2018</v>
      </c>
      <c r="C1416" s="193">
        <v>43305</v>
      </c>
      <c r="D1416" s="149" t="s">
        <v>1061</v>
      </c>
      <c r="E1416" s="142" t="str">
        <f>CONCATENATE(T1416,"-",U1416,"-",C1416)</f>
        <v>HW1-C4-43305</v>
      </c>
      <c r="F1416" s="16" t="s">
        <v>227</v>
      </c>
      <c r="G1416" s="126" t="s">
        <v>107</v>
      </c>
      <c r="H1416" s="126"/>
      <c r="J1416" s="126">
        <v>1552</v>
      </c>
      <c r="K1416" s="126">
        <v>2687</v>
      </c>
      <c r="O1416" s="15" t="s">
        <v>214</v>
      </c>
      <c r="Q1416" s="16">
        <f t="shared" si="10"/>
        <v>1</v>
      </c>
      <c r="R1416" s="16">
        <f t="shared" si="11"/>
        <v>11</v>
      </c>
      <c r="T1416" s="126" t="s">
        <v>133</v>
      </c>
      <c r="U1416" s="126" t="s">
        <v>229</v>
      </c>
      <c r="V1416" s="126" t="s">
        <v>114</v>
      </c>
      <c r="X1416" s="126" t="s">
        <v>115</v>
      </c>
      <c r="Y1416" s="126" t="s">
        <v>122</v>
      </c>
      <c r="Z1416" s="126">
        <v>2.6</v>
      </c>
      <c r="AA1416" s="126"/>
      <c r="AB1416" s="126"/>
      <c r="AC1416" s="126"/>
      <c r="AD1416" s="126" t="s">
        <v>123</v>
      </c>
      <c r="AE1416" s="126" t="s">
        <v>123</v>
      </c>
      <c r="AG1416" s="40">
        <f>AH1416-AI1416</f>
        <v>75</v>
      </c>
      <c r="AH1416" s="126">
        <v>140</v>
      </c>
      <c r="AI1416" s="126">
        <v>65</v>
      </c>
      <c r="AK1416" s="126">
        <v>14.5</v>
      </c>
      <c r="AL1416" s="126">
        <v>0</v>
      </c>
      <c r="AM1416" s="126">
        <v>0</v>
      </c>
      <c r="AN1416" s="126">
        <v>0</v>
      </c>
      <c r="AO1416" s="16">
        <f>IF(SUM(AL1416:AN1416)&gt;0,1,0)</f>
        <v>0</v>
      </c>
      <c r="AP1416" s="18">
        <f>SUM(AL1416:AN1416)</f>
        <v>0</v>
      </c>
      <c r="AR1416" s="16">
        <v>0.52500000000000013</v>
      </c>
      <c r="AS1416" s="16">
        <f>VLOOKUP(E1416,'[1]Feces weights'!$D$1:$H$459,5,FALSE)</f>
        <v>0.52500000000000013</v>
      </c>
      <c r="AT1416" s="16" t="e">
        <f>VLOOKUP(E1416,[2]Current!$A$1:$W$435,7,FALSE)</f>
        <v>#N/A</v>
      </c>
      <c r="AU1416" s="16">
        <v>0</v>
      </c>
      <c r="BG1416" s="77"/>
      <c r="BN1416" s="126"/>
      <c r="BT1416" s="78"/>
      <c r="BU1416" s="18"/>
      <c r="BV1416" s="18"/>
      <c r="BW1416" s="25"/>
      <c r="BX1416" s="18"/>
      <c r="BY1416" s="18"/>
      <c r="BZ1416" s="25"/>
      <c r="CA1416" s="18"/>
      <c r="CB1416" s="18"/>
      <c r="CC1416" s="25"/>
      <c r="CD1416" s="78"/>
      <c r="CE1416" s="18"/>
      <c r="CF1416" s="25"/>
      <c r="CG1416" s="18"/>
      <c r="CH1416" s="18"/>
      <c r="CI1416" s="18"/>
      <c r="CJ1416" s="18"/>
      <c r="CK1416" s="18"/>
      <c r="CL1416" s="25"/>
      <c r="DF1416" s="16" t="e">
        <f>VLOOKUP(K1416,'[3]RNA Seq summary tables'!$V$3:$V$99,1,FALSE)</f>
        <v>#N/A</v>
      </c>
      <c r="DG1416" s="126" t="s">
        <v>123</v>
      </c>
    </row>
    <row r="1417" spans="2:288" ht="16" x14ac:dyDescent="0.2">
      <c r="B1417" s="18">
        <v>2018</v>
      </c>
      <c r="C1417" s="193">
        <v>43294</v>
      </c>
      <c r="D1417" s="149" t="s">
        <v>956</v>
      </c>
      <c r="E1417" s="37" t="str">
        <f>CONCATENATE(T1417,"-",U1417,"-",C1417)</f>
        <v>HW1-H1-43294</v>
      </c>
      <c r="F1417" s="16" t="s">
        <v>227</v>
      </c>
      <c r="G1417" s="126" t="s">
        <v>107</v>
      </c>
      <c r="H1417" s="126"/>
      <c r="J1417" s="126">
        <v>1554</v>
      </c>
      <c r="K1417" s="126">
        <v>2598</v>
      </c>
      <c r="O1417" s="15" t="s">
        <v>214</v>
      </c>
      <c r="Q1417" s="16">
        <f t="shared" si="10"/>
        <v>0</v>
      </c>
      <c r="R1417" s="16" t="str">
        <f t="shared" si="11"/>
        <v/>
      </c>
      <c r="T1417" s="126" t="s">
        <v>133</v>
      </c>
      <c r="U1417" s="126" t="s">
        <v>191</v>
      </c>
      <c r="V1417" s="126" t="s">
        <v>114</v>
      </c>
      <c r="X1417" s="126" t="s">
        <v>115</v>
      </c>
      <c r="Y1417" s="126" t="s">
        <v>110</v>
      </c>
      <c r="Z1417" s="126">
        <v>3</v>
      </c>
      <c r="AA1417" s="126"/>
      <c r="AB1417" s="126"/>
      <c r="AC1417" s="126"/>
      <c r="AD1417" s="126"/>
      <c r="AE1417" s="126" t="s">
        <v>123</v>
      </c>
      <c r="AG1417" s="16">
        <f>AH1417-AI1417</f>
        <v>79</v>
      </c>
      <c r="AH1417" s="126">
        <v>148</v>
      </c>
      <c r="AI1417" s="126">
        <v>69</v>
      </c>
      <c r="AK1417" s="126">
        <v>15</v>
      </c>
      <c r="AL1417" s="126">
        <v>1</v>
      </c>
      <c r="AM1417" s="126">
        <v>0</v>
      </c>
      <c r="AN1417" s="126">
        <v>0</v>
      </c>
      <c r="AO1417" s="16">
        <f>IF(SUM(AL1417:AN1417)&gt;0,1,0)</f>
        <v>1</v>
      </c>
      <c r="AP1417" s="18">
        <f>SUM(AL1417:AN1417)</f>
        <v>1</v>
      </c>
      <c r="AR1417" s="16">
        <v>9.3000000000000194E-2</v>
      </c>
      <c r="AS1417" s="16">
        <f>VLOOKUP(E1417,'[1]Feces weights'!$D$1:$H$459,5,FALSE)</f>
        <v>9.3000000000000194E-2</v>
      </c>
      <c r="AT1417" s="16" t="str">
        <f>VLOOKUP(E1417,[2]Current!$A$1:$W$435,7,FALSE)</f>
        <v>TE</v>
      </c>
      <c r="AU1417" s="16" t="s">
        <v>1288</v>
      </c>
      <c r="AW1417" s="128">
        <f>IF(AX1417&gt;0,1,0)</f>
        <v>1</v>
      </c>
      <c r="AX1417" s="128">
        <f>SUM(BA1417,BM1417,CU1417)</f>
        <v>2</v>
      </c>
      <c r="AY1417" s="128">
        <f>SUM(BB1417,BN1417,CV1417)</f>
        <v>1247.3118279569865</v>
      </c>
      <c r="AZ1417" s="128">
        <f>IF(BA1417&gt;0,1,0)</f>
        <v>1</v>
      </c>
      <c r="BA1417" s="128">
        <f>SUM(BC1417+BF1417+BI1417)</f>
        <v>2</v>
      </c>
      <c r="BB1417" s="128">
        <f>SUM(BE1417,BH1417,BK1417)</f>
        <v>1247.3118279569865</v>
      </c>
      <c r="BC1417" s="130">
        <f>IF(BD1417&gt;0,1,0)</f>
        <v>0</v>
      </c>
      <c r="BD1417" s="128">
        <f>VLOOKUP($E1417,[2]Current!$A:$AC,26,FALSE)</f>
        <v>0</v>
      </c>
      <c r="BE1417" s="128">
        <f>BD1417/$AS1417</f>
        <v>0</v>
      </c>
      <c r="BF1417" s="130">
        <f>IF(BG1417&gt;0,1,0)</f>
        <v>1</v>
      </c>
      <c r="BG1417" s="137">
        <f>VLOOKUP($E1417,[2]Current!$A:$AC,27,FALSE)</f>
        <v>18</v>
      </c>
      <c r="BH1417" s="128">
        <f>BG1417/$AS1417</f>
        <v>193.54838709677378</v>
      </c>
      <c r="BI1417" s="130">
        <f>IF(BJ1417&gt;0,1,0)</f>
        <v>1</v>
      </c>
      <c r="BJ1417" s="128">
        <f>VLOOKUP($E1417,[2]Current!$A:$AC,28,FALSE)</f>
        <v>98</v>
      </c>
      <c r="BK1417" s="128">
        <f>BJ1417/$AS1417</f>
        <v>1053.7634408602128</v>
      </c>
      <c r="BL1417" s="128">
        <f>IF(BM1417&gt;0,1,0)</f>
        <v>0</v>
      </c>
      <c r="BM1417" s="128">
        <f>SUM(BR1417,BU1417,BX1417,CA1417,CD1417)</f>
        <v>0</v>
      </c>
      <c r="BN1417" s="131">
        <f>SUM(BT1417,BW1417,BZ1417,CC1417,CF1417)</f>
        <v>0</v>
      </c>
      <c r="BO1417" s="128">
        <f>IF(BP1417&gt;0,1,0)</f>
        <v>0</v>
      </c>
      <c r="BP1417" s="128">
        <f>BM1417+CJ1417</f>
        <v>0</v>
      </c>
      <c r="BQ1417" s="128">
        <f>BN1417+CL1417</f>
        <v>0</v>
      </c>
      <c r="BR1417" s="130">
        <f>IF(BS1417&gt;0,1,0)</f>
        <v>0</v>
      </c>
      <c r="BS1417" s="128">
        <f>VLOOKUP($E1417,[2]Current!$A:$AC,12,FALSE)</f>
        <v>0</v>
      </c>
      <c r="BT1417" s="137">
        <f>BS1417/$AS1417</f>
        <v>0</v>
      </c>
      <c r="BU1417" s="130">
        <f>IF(BV1417&gt;0,1,0)</f>
        <v>0</v>
      </c>
      <c r="BV1417" s="128">
        <f>VLOOKUP($E1417,[2]Current!$A:$AC,13,FALSE)</f>
        <v>0</v>
      </c>
      <c r="BW1417" s="128">
        <f>BV1417/$AS1417</f>
        <v>0</v>
      </c>
      <c r="BX1417" s="130">
        <f>IF(BY1417&gt;0,1,0)</f>
        <v>0</v>
      </c>
      <c r="BY1417" s="128">
        <f>VLOOKUP($E1417,[2]Current!$A:$AC,14,FALSE)</f>
        <v>0</v>
      </c>
      <c r="BZ1417" s="128">
        <f>BY1417/$AS1417</f>
        <v>0</v>
      </c>
      <c r="CA1417" s="130">
        <f>IF(CB1417&gt;0,1,0)</f>
        <v>0</v>
      </c>
      <c r="CB1417" s="128">
        <f>VLOOKUP($E1417,[2]Current!$A:$AC,15,FALSE)</f>
        <v>0</v>
      </c>
      <c r="CC1417" s="128">
        <f>CB1417/$AS1417</f>
        <v>0</v>
      </c>
      <c r="CD1417" s="174">
        <f>IF(CE1417&gt;0,1,0)</f>
        <v>0</v>
      </c>
      <c r="CE1417" s="128">
        <f>VLOOKUP($E1417,[2]Current!$A:$AC,16,FALSE)</f>
        <v>0</v>
      </c>
      <c r="CF1417" s="128">
        <f>CE1417/$AS1417</f>
        <v>0</v>
      </c>
      <c r="CG1417" s="18"/>
      <c r="CH1417" s="18"/>
      <c r="CI1417" s="18"/>
      <c r="CJ1417" s="130">
        <f>IF(CK1417&gt;0,1,0)</f>
        <v>0</v>
      </c>
      <c r="CK1417" s="128">
        <f>VLOOKUP($E1417,[2]Current!$A:$AC,18,FALSE)</f>
        <v>0</v>
      </c>
      <c r="CL1417" s="128">
        <f>CK1417/$AS1417</f>
        <v>0</v>
      </c>
      <c r="CS1417" s="130">
        <f>IF(CU1417&gt;0,1,0)</f>
        <v>0</v>
      </c>
      <c r="CU1417" s="128">
        <f>VLOOKUP($E1417,[2]Current!$A:$AC,17,FALSE)</f>
        <v>0</v>
      </c>
      <c r="CV1417" s="128">
        <f>CU1417/$AS1417</f>
        <v>0</v>
      </c>
      <c r="CW1417" s="18"/>
      <c r="CX1417" s="18"/>
      <c r="CY1417" s="18"/>
      <c r="DF1417" s="16" t="e">
        <f>VLOOKUP(K1417,'[3]RNA Seq summary tables'!$V$3:$V$99,1,FALSE)</f>
        <v>#N/A</v>
      </c>
      <c r="DG1417" s="126" t="s">
        <v>116</v>
      </c>
    </row>
    <row r="1418" spans="2:288" ht="16" x14ac:dyDescent="0.2">
      <c r="B1418" s="18">
        <v>2018</v>
      </c>
      <c r="C1418" s="193">
        <v>43305</v>
      </c>
      <c r="D1418" s="149" t="s">
        <v>1047</v>
      </c>
      <c r="E1418" s="142" t="str">
        <f>CONCATENATE(T1418,"-",U1418,"-",C1418)</f>
        <v>HW1-G2-43305</v>
      </c>
      <c r="F1418" s="16" t="s">
        <v>227</v>
      </c>
      <c r="G1418" s="126" t="s">
        <v>107</v>
      </c>
      <c r="H1418" s="126"/>
      <c r="J1418" s="126">
        <v>1554</v>
      </c>
      <c r="K1418" s="126">
        <v>2690</v>
      </c>
      <c r="O1418" s="15" t="s">
        <v>214</v>
      </c>
      <c r="Q1418" s="16">
        <f t="shared" si="10"/>
        <v>1</v>
      </c>
      <c r="R1418" s="16">
        <f t="shared" si="11"/>
        <v>11</v>
      </c>
      <c r="T1418" s="126" t="s">
        <v>133</v>
      </c>
      <c r="U1418" s="126" t="s">
        <v>128</v>
      </c>
      <c r="V1418" s="126" t="s">
        <v>114</v>
      </c>
      <c r="X1418" s="126" t="s">
        <v>115</v>
      </c>
      <c r="Y1418" s="126" t="s">
        <v>110</v>
      </c>
      <c r="Z1418" s="126">
        <v>3</v>
      </c>
      <c r="AA1418" s="126"/>
      <c r="AB1418" s="126"/>
      <c r="AC1418" s="126"/>
      <c r="AD1418" s="126" t="s">
        <v>116</v>
      </c>
      <c r="AE1418" s="126" t="s">
        <v>116</v>
      </c>
      <c r="AG1418" s="40">
        <f>AH1418-AI1418</f>
        <v>79</v>
      </c>
      <c r="AH1418" s="126">
        <v>148</v>
      </c>
      <c r="AI1418" s="126">
        <v>69</v>
      </c>
      <c r="AK1418" s="126">
        <v>16.5</v>
      </c>
      <c r="AL1418" s="126">
        <v>0</v>
      </c>
      <c r="AM1418" s="126">
        <v>0</v>
      </c>
      <c r="AN1418" s="126">
        <v>0</v>
      </c>
      <c r="AO1418" s="16">
        <f>IF(SUM(AL1418:AN1418)&gt;0,1,0)</f>
        <v>0</v>
      </c>
      <c r="AP1418" s="18">
        <f>SUM(AL1418:AN1418)</f>
        <v>0</v>
      </c>
      <c r="AR1418" s="16">
        <v>0.18800000000000017</v>
      </c>
      <c r="AS1418" s="16">
        <f>VLOOKUP(E1418,'[1]Feces weights'!$D$1:$H$459,5,FALSE)</f>
        <v>0.18800000000000017</v>
      </c>
      <c r="AT1418" s="16" t="e">
        <f>VLOOKUP(E1418,[2]Current!$A$1:$W$435,7,FALSE)</f>
        <v>#N/A</v>
      </c>
      <c r="AU1418" s="16">
        <v>0</v>
      </c>
      <c r="BG1418" s="77"/>
      <c r="BN1418" s="126"/>
      <c r="BT1418" s="78"/>
      <c r="BU1418" s="18"/>
      <c r="BV1418" s="18"/>
      <c r="BW1418" s="25"/>
      <c r="BX1418" s="18"/>
      <c r="BY1418" s="18"/>
      <c r="BZ1418" s="25"/>
      <c r="CA1418" s="18"/>
      <c r="CB1418" s="18"/>
      <c r="CC1418" s="25"/>
      <c r="CD1418" s="78"/>
      <c r="CE1418" s="18"/>
      <c r="CF1418" s="25"/>
      <c r="CG1418" s="18"/>
      <c r="CH1418" s="18"/>
      <c r="CI1418" s="18"/>
      <c r="CJ1418" s="18"/>
      <c r="CK1418" s="18"/>
      <c r="CL1418" s="25"/>
      <c r="DF1418" s="16" t="e">
        <f>VLOOKUP(K1418,'[3]RNA Seq summary tables'!$V$3:$V$99,1,FALSE)</f>
        <v>#N/A</v>
      </c>
      <c r="DG1418" s="126" t="s">
        <v>116</v>
      </c>
      <c r="JR1418" s="30"/>
      <c r="JS1418" s="30"/>
      <c r="JT1418" s="30"/>
      <c r="JU1418" s="30"/>
      <c r="JV1418" s="30"/>
      <c r="JW1418" s="30"/>
      <c r="JX1418" s="30"/>
      <c r="JY1418" s="30"/>
      <c r="JZ1418" s="30"/>
      <c r="KA1418" s="30"/>
      <c r="KB1418" s="30"/>
    </row>
    <row r="1419" spans="2:288" ht="16" x14ac:dyDescent="0.2">
      <c r="B1419" s="18">
        <v>2018</v>
      </c>
      <c r="C1419" s="193">
        <v>43294</v>
      </c>
      <c r="D1419" s="149" t="s">
        <v>966</v>
      </c>
      <c r="E1419" s="37" t="str">
        <f>CONCATENATE(T1419,"-",U1419,"-",C1419)</f>
        <v>HW2-C8-43294</v>
      </c>
      <c r="F1419" s="16" t="s">
        <v>227</v>
      </c>
      <c r="G1419" s="126" t="s">
        <v>107</v>
      </c>
      <c r="H1419" s="126"/>
      <c r="J1419" s="126">
        <v>1556</v>
      </c>
      <c r="K1419" s="126">
        <v>2603</v>
      </c>
      <c r="O1419" s="15" t="s">
        <v>214</v>
      </c>
      <c r="Q1419" s="16">
        <f t="shared" si="10"/>
        <v>0</v>
      </c>
      <c r="R1419" s="16" t="str">
        <f t="shared" si="11"/>
        <v/>
      </c>
      <c r="T1419" s="126" t="s">
        <v>129</v>
      </c>
      <c r="U1419" s="126" t="s">
        <v>188</v>
      </c>
      <c r="V1419" s="126" t="s">
        <v>114</v>
      </c>
      <c r="X1419" s="126" t="s">
        <v>115</v>
      </c>
      <c r="Y1419" s="126" t="s">
        <v>122</v>
      </c>
      <c r="Z1419" s="126">
        <v>2.6</v>
      </c>
      <c r="AA1419" s="126"/>
      <c r="AB1419" s="126"/>
      <c r="AC1419" s="126"/>
      <c r="AD1419" s="126"/>
      <c r="AE1419" s="126" t="s">
        <v>123</v>
      </c>
      <c r="AG1419" s="16">
        <f>AH1419-AI1419</f>
        <v>82</v>
      </c>
      <c r="AH1419" s="126">
        <v>149</v>
      </c>
      <c r="AI1419" s="126">
        <v>67</v>
      </c>
      <c r="AK1419" s="126">
        <v>13</v>
      </c>
      <c r="AL1419" s="126">
        <v>0</v>
      </c>
      <c r="AM1419" s="126">
        <v>0</v>
      </c>
      <c r="AN1419" s="126">
        <v>0</v>
      </c>
      <c r="AO1419" s="16">
        <f>IF(SUM(AL1419:AN1419)&gt;0,1,0)</f>
        <v>0</v>
      </c>
      <c r="AP1419" s="18">
        <f>SUM(AL1419:AN1419)</f>
        <v>0</v>
      </c>
      <c r="AR1419" s="16">
        <v>0.19800000000000018</v>
      </c>
      <c r="AS1419" s="16">
        <f>VLOOKUP(E1419,'[1]Feces weights'!$D$1:$H$459,5,FALSE)</f>
        <v>0.19800000000000018</v>
      </c>
      <c r="AT1419" s="16" t="str">
        <f>VLOOKUP(E1419,[2]Current!$A$1:$W$435,7,FALSE)</f>
        <v>LV</v>
      </c>
      <c r="AU1419" s="16" t="s">
        <v>1288</v>
      </c>
      <c r="AW1419" s="128">
        <f>IF(AX1419&gt;0,1,0)</f>
        <v>1</v>
      </c>
      <c r="AX1419" s="128">
        <f>SUM(BA1419,BM1419,CU1419)</f>
        <v>2</v>
      </c>
      <c r="AY1419" s="128">
        <f>SUM(BB1419,BN1419,CV1419)</f>
        <v>858.58585858585775</v>
      </c>
      <c r="AZ1419" s="128">
        <f>IF(BA1419&gt;0,1,0)</f>
        <v>1</v>
      </c>
      <c r="BA1419" s="128">
        <f>SUM(BC1419+BF1419+BI1419)</f>
        <v>1</v>
      </c>
      <c r="BB1419" s="128">
        <f>SUM(BE1419,BH1419,BK1419)</f>
        <v>272.72727272727246</v>
      </c>
      <c r="BC1419" s="130">
        <f>IF(BD1419&gt;0,1,0)</f>
        <v>0</v>
      </c>
      <c r="BD1419" s="128">
        <f>VLOOKUP($E1419,[2]Current!$A:$AC,26,FALSE)</f>
        <v>0</v>
      </c>
      <c r="BE1419" s="128">
        <f>BD1419/$AS1419</f>
        <v>0</v>
      </c>
      <c r="BF1419" s="130">
        <f>IF(BG1419&gt;0,1,0)</f>
        <v>1</v>
      </c>
      <c r="BG1419" s="137">
        <f>VLOOKUP($E1419,[2]Current!$A:$AC,27,FALSE)</f>
        <v>54</v>
      </c>
      <c r="BH1419" s="128">
        <f>BG1419/$AS1419</f>
        <v>272.72727272727246</v>
      </c>
      <c r="BI1419" s="130">
        <f>IF(BJ1419&gt;0,1,0)</f>
        <v>0</v>
      </c>
      <c r="BJ1419" s="128">
        <f>VLOOKUP($E1419,[2]Current!$A:$AC,28,FALSE)</f>
        <v>0</v>
      </c>
      <c r="BK1419" s="128">
        <f>BJ1419/$AS1419</f>
        <v>0</v>
      </c>
      <c r="BL1419" s="128">
        <f>IF(BM1419&gt;0,1,0)</f>
        <v>1</v>
      </c>
      <c r="BM1419" s="128">
        <f>SUM(BR1419,BU1419,BX1419,CA1419,CD1419)</f>
        <v>1</v>
      </c>
      <c r="BN1419" s="131">
        <f>SUM(BT1419,BW1419,BZ1419,CC1419,CF1419)</f>
        <v>585.85858585858534</v>
      </c>
      <c r="BO1419" s="128">
        <f>IF(BP1419&gt;0,1,0)</f>
        <v>1</v>
      </c>
      <c r="BP1419" s="128">
        <f>BM1419+CJ1419</f>
        <v>1</v>
      </c>
      <c r="BQ1419" s="128">
        <f>BN1419+CL1419</f>
        <v>585.85858585858534</v>
      </c>
      <c r="BR1419" s="130">
        <f>IF(BS1419&gt;0,1,0)</f>
        <v>0</v>
      </c>
      <c r="BS1419" s="128">
        <f>VLOOKUP($E1419,[2]Current!$A:$AC,12,FALSE)</f>
        <v>0</v>
      </c>
      <c r="BT1419" s="137">
        <f>BS1419/$AS1419</f>
        <v>0</v>
      </c>
      <c r="BU1419" s="130">
        <f>IF(BV1419&gt;0,1,0)</f>
        <v>0</v>
      </c>
      <c r="BV1419" s="128">
        <f>VLOOKUP($E1419,[2]Current!$A:$AC,13,FALSE)</f>
        <v>0</v>
      </c>
      <c r="BW1419" s="128">
        <f>BV1419/$AS1419</f>
        <v>0</v>
      </c>
      <c r="BX1419" s="130">
        <f>IF(BY1419&gt;0,1,0)</f>
        <v>1</v>
      </c>
      <c r="BY1419" s="128">
        <f>VLOOKUP($E1419,[2]Current!$A:$AC,14,FALSE)</f>
        <v>116</v>
      </c>
      <c r="BZ1419" s="128">
        <f>BY1419/$AS1419</f>
        <v>585.85858585858534</v>
      </c>
      <c r="CA1419" s="130">
        <f>IF(CB1419&gt;0,1,0)</f>
        <v>0</v>
      </c>
      <c r="CB1419" s="128">
        <f>VLOOKUP($E1419,[2]Current!$A:$AC,15,FALSE)</f>
        <v>0</v>
      </c>
      <c r="CC1419" s="128">
        <f>CB1419/$AS1419</f>
        <v>0</v>
      </c>
      <c r="CD1419" s="174">
        <f>IF(CE1419&gt;0,1,0)</f>
        <v>0</v>
      </c>
      <c r="CE1419" s="128">
        <f>VLOOKUP($E1419,[2]Current!$A:$AC,16,FALSE)</f>
        <v>0</v>
      </c>
      <c r="CF1419" s="128">
        <f>CE1419/$AS1419</f>
        <v>0</v>
      </c>
      <c r="CG1419" s="18"/>
      <c r="CH1419" s="18"/>
      <c r="CI1419" s="18"/>
      <c r="CJ1419" s="130">
        <f>IF(CK1419&gt;0,1,0)</f>
        <v>0</v>
      </c>
      <c r="CK1419" s="128">
        <f>VLOOKUP($E1419,[2]Current!$A:$AC,18,FALSE)</f>
        <v>0</v>
      </c>
      <c r="CL1419" s="128">
        <f>CK1419/$AS1419</f>
        <v>0</v>
      </c>
      <c r="CS1419" s="130">
        <f>IF(CU1419&gt;0,1,0)</f>
        <v>0</v>
      </c>
      <c r="CU1419" s="128">
        <f>VLOOKUP($E1419,[2]Current!$A:$AC,17,FALSE)</f>
        <v>0</v>
      </c>
      <c r="CV1419" s="128">
        <f>CU1419/$AS1419</f>
        <v>0</v>
      </c>
      <c r="CW1419" s="18"/>
      <c r="CX1419" s="18"/>
      <c r="CY1419" s="18"/>
      <c r="DF1419" s="16" t="e">
        <f>VLOOKUP(K1419,'[3]RNA Seq summary tables'!$V$3:$V$99,1,FALSE)</f>
        <v>#N/A</v>
      </c>
      <c r="DG1419" s="126" t="s">
        <v>123</v>
      </c>
      <c r="JR1419" s="18"/>
      <c r="JS1419" s="18"/>
      <c r="JT1419" s="18"/>
      <c r="JU1419" s="18"/>
      <c r="JV1419" s="18"/>
      <c r="JW1419" s="18"/>
      <c r="JX1419" s="18"/>
      <c r="JY1419" s="18"/>
      <c r="JZ1419" s="18"/>
      <c r="KA1419" s="18"/>
      <c r="KB1419" s="18"/>
    </row>
    <row r="1420" spans="2:288" ht="16" x14ac:dyDescent="0.2">
      <c r="B1420" s="18">
        <v>2018</v>
      </c>
      <c r="C1420" s="193">
        <v>43305</v>
      </c>
      <c r="D1420" s="149" t="s">
        <v>1066</v>
      </c>
      <c r="E1420" s="142" t="str">
        <f>CONCATENATE(T1420,"-",U1420,"-",C1420)</f>
        <v>HW2-B6-43305</v>
      </c>
      <c r="F1420" s="16" t="s">
        <v>227</v>
      </c>
      <c r="G1420" s="126" t="s">
        <v>107</v>
      </c>
      <c r="H1420" s="126"/>
      <c r="J1420" s="126">
        <v>1556</v>
      </c>
      <c r="K1420" s="126">
        <v>2697</v>
      </c>
      <c r="O1420" s="15" t="s">
        <v>214</v>
      </c>
      <c r="Q1420" s="16">
        <f t="shared" si="10"/>
        <v>1</v>
      </c>
      <c r="R1420" s="16">
        <f t="shared" si="11"/>
        <v>11</v>
      </c>
      <c r="T1420" s="126" t="s">
        <v>129</v>
      </c>
      <c r="U1420" s="126" t="s">
        <v>132</v>
      </c>
      <c r="V1420" s="126" t="s">
        <v>114</v>
      </c>
      <c r="X1420" s="126" t="s">
        <v>115</v>
      </c>
      <c r="Y1420" s="126" t="s">
        <v>110</v>
      </c>
      <c r="Z1420" s="126">
        <v>3</v>
      </c>
      <c r="AA1420" s="126"/>
      <c r="AB1420" s="126"/>
      <c r="AC1420" s="126"/>
      <c r="AD1420" s="126" t="s">
        <v>116</v>
      </c>
      <c r="AE1420" s="126" t="s">
        <v>116</v>
      </c>
      <c r="AG1420" s="40">
        <f>AH1420-AI1420</f>
        <v>78</v>
      </c>
      <c r="AH1420" s="126">
        <v>148</v>
      </c>
      <c r="AI1420" s="126">
        <v>70</v>
      </c>
      <c r="AK1420" s="126">
        <v>16</v>
      </c>
      <c r="AL1420" s="126">
        <v>0</v>
      </c>
      <c r="AM1420" s="126">
        <v>0</v>
      </c>
      <c r="AN1420" s="126">
        <v>0</v>
      </c>
      <c r="AO1420" s="16">
        <f>IF(SUM(AL1420:AN1420)&gt;0,1,0)</f>
        <v>0</v>
      </c>
      <c r="AP1420" s="18">
        <f>SUM(AL1420:AN1420)</f>
        <v>0</v>
      </c>
      <c r="AR1420" s="16">
        <v>0.90000000000000013</v>
      </c>
      <c r="AS1420" s="16">
        <f>VLOOKUP(E1420,'[1]Feces weights'!$D$1:$H$459,5,FALSE)</f>
        <v>0.90000000000000013</v>
      </c>
      <c r="AT1420" s="16" t="e">
        <f>VLOOKUP(E1420,[2]Current!$A$1:$W$435,7,FALSE)</f>
        <v>#N/A</v>
      </c>
      <c r="AU1420" s="16">
        <v>0</v>
      </c>
      <c r="BG1420" s="77"/>
      <c r="BN1420" s="126"/>
      <c r="BT1420" s="78"/>
      <c r="BU1420" s="18"/>
      <c r="BV1420" s="18"/>
      <c r="BW1420" s="25"/>
      <c r="BX1420" s="18"/>
      <c r="BY1420" s="18"/>
      <c r="BZ1420" s="25"/>
      <c r="CA1420" s="18"/>
      <c r="CB1420" s="18"/>
      <c r="CC1420" s="25"/>
      <c r="CD1420" s="78"/>
      <c r="CE1420" s="18"/>
      <c r="CF1420" s="25"/>
      <c r="CG1420" s="18"/>
      <c r="CH1420" s="18"/>
      <c r="CI1420" s="18"/>
      <c r="CJ1420" s="18"/>
      <c r="CK1420" s="18"/>
      <c r="CL1420" s="25"/>
      <c r="DF1420" s="16" t="e">
        <f>VLOOKUP(K1420,'[3]RNA Seq summary tables'!$V$3:$V$99,1,FALSE)</f>
        <v>#N/A</v>
      </c>
      <c r="DG1420" s="126" t="s">
        <v>123</v>
      </c>
    </row>
    <row r="1421" spans="2:288" ht="16" x14ac:dyDescent="0.2">
      <c r="B1421" s="18">
        <v>2018</v>
      </c>
      <c r="C1421" s="193">
        <v>43295</v>
      </c>
      <c r="D1421" s="149" t="s">
        <v>971</v>
      </c>
      <c r="E1421" s="37" t="str">
        <f>CONCATENATE(T1421,"-",U1421,"-",C1421)</f>
        <v>HW2-H8-43295</v>
      </c>
      <c r="F1421" s="16" t="s">
        <v>227</v>
      </c>
      <c r="G1421" s="126" t="s">
        <v>107</v>
      </c>
      <c r="H1421" s="126" t="s">
        <v>1140</v>
      </c>
      <c r="J1421" s="126">
        <v>1559</v>
      </c>
      <c r="K1421" s="126">
        <v>2614</v>
      </c>
      <c r="O1421" s="15" t="s">
        <v>214</v>
      </c>
      <c r="Q1421" s="16">
        <f t="shared" si="10"/>
        <v>0</v>
      </c>
      <c r="R1421" s="16" t="str">
        <f t="shared" si="11"/>
        <v/>
      </c>
      <c r="T1421" s="126" t="s">
        <v>129</v>
      </c>
      <c r="U1421" s="126" t="s">
        <v>152</v>
      </c>
      <c r="V1421" s="126" t="s">
        <v>142</v>
      </c>
      <c r="X1421" s="126" t="s">
        <v>121</v>
      </c>
      <c r="Y1421" s="126" t="s">
        <v>110</v>
      </c>
      <c r="Z1421" s="126">
        <v>3</v>
      </c>
      <c r="AA1421" s="126" t="s">
        <v>119</v>
      </c>
      <c r="AB1421" s="126" t="s">
        <v>123</v>
      </c>
      <c r="AC1421" s="126" t="s">
        <v>116</v>
      </c>
      <c r="AD1421" s="126"/>
      <c r="AE1421" s="126"/>
      <c r="AG1421" s="16">
        <f>AH1421-AI1421</f>
        <v>73</v>
      </c>
      <c r="AH1421" s="126">
        <v>147</v>
      </c>
      <c r="AI1421" s="126">
        <v>74</v>
      </c>
      <c r="AK1421" s="126">
        <v>14.5</v>
      </c>
      <c r="AL1421" s="126">
        <v>1</v>
      </c>
      <c r="AM1421" s="126">
        <v>0</v>
      </c>
      <c r="AN1421" s="126">
        <v>0</v>
      </c>
      <c r="AO1421" s="16">
        <f>IF(SUM(AL1421:AN1421)&gt;0,1,0)</f>
        <v>1</v>
      </c>
      <c r="AP1421" s="18">
        <f>SUM(AL1421:AN1421)</f>
        <v>1</v>
      </c>
      <c r="AR1421" s="16">
        <v>8.0000000000000071E-3</v>
      </c>
      <c r="AS1421" s="16">
        <f>VLOOKUP(E1421,'[1]Feces weights'!$D$1:$H$459,5,FALSE)</f>
        <v>8.0000000000000071E-3</v>
      </c>
      <c r="AT1421" s="16" t="str">
        <f>VLOOKUP(E1421,[2]Current!$A$1:$W$435,7,FALSE)</f>
        <v>TE</v>
      </c>
      <c r="AU1421" s="16" t="s">
        <v>1288</v>
      </c>
      <c r="AV1421" s="23"/>
      <c r="AW1421" s="128">
        <f>IF(AX1421&gt;0,1,0)</f>
        <v>1</v>
      </c>
      <c r="AX1421" s="128">
        <f>SUM(BA1421,BM1421,CU1421)</f>
        <v>1</v>
      </c>
      <c r="AY1421" s="128">
        <f>SUM(BB1421,BN1421,CV1421)</f>
        <v>8249.9999999999927</v>
      </c>
      <c r="AZ1421" s="128">
        <f>IF(BA1421&gt;0,1,0)</f>
        <v>1</v>
      </c>
      <c r="BA1421" s="128">
        <f>SUM(BC1421+BF1421+BI1421)</f>
        <v>1</v>
      </c>
      <c r="BB1421" s="128">
        <f>SUM(BE1421,BH1421,BK1421)</f>
        <v>8249.9999999999927</v>
      </c>
      <c r="BC1421" s="130">
        <f>IF(BD1421&gt;0,1,0)</f>
        <v>0</v>
      </c>
      <c r="BD1421" s="128">
        <f>VLOOKUP($E1421,[2]Current!$A:$AC,26,FALSE)</f>
        <v>0</v>
      </c>
      <c r="BE1421" s="128">
        <f>BD1421/$AS1421</f>
        <v>0</v>
      </c>
      <c r="BF1421" s="130">
        <f>IF(BG1421&gt;0,1,0)</f>
        <v>0</v>
      </c>
      <c r="BG1421" s="137">
        <f>VLOOKUP($E1421,[2]Current!$A:$AC,27,FALSE)</f>
        <v>0</v>
      </c>
      <c r="BH1421" s="128">
        <f>BG1421/$AS1421</f>
        <v>0</v>
      </c>
      <c r="BI1421" s="130">
        <f>IF(BJ1421&gt;0,1,0)</f>
        <v>1</v>
      </c>
      <c r="BJ1421" s="128">
        <f>VLOOKUP($E1421,[2]Current!$A:$AC,28,FALSE)</f>
        <v>66</v>
      </c>
      <c r="BK1421" s="128">
        <f>BJ1421/$AS1421</f>
        <v>8249.9999999999927</v>
      </c>
      <c r="BL1421" s="128">
        <f>IF(BM1421&gt;0,1,0)</f>
        <v>0</v>
      </c>
      <c r="BM1421" s="128">
        <f>SUM(BR1421,BU1421,BX1421,CA1421,CD1421)</f>
        <v>0</v>
      </c>
      <c r="BN1421" s="131">
        <f>SUM(BT1421,BW1421,BZ1421,CC1421,CF1421)</f>
        <v>0</v>
      </c>
      <c r="BO1421" s="128">
        <f>IF(BP1421&gt;0,1,0)</f>
        <v>0</v>
      </c>
      <c r="BP1421" s="128">
        <f>BM1421+CJ1421</f>
        <v>0</v>
      </c>
      <c r="BQ1421" s="128">
        <f>BN1421+CL1421</f>
        <v>0</v>
      </c>
      <c r="BR1421" s="130">
        <f>IF(BS1421&gt;0,1,0)</f>
        <v>0</v>
      </c>
      <c r="BS1421" s="128">
        <f>VLOOKUP($E1421,[2]Current!$A:$AC,12,FALSE)</f>
        <v>0</v>
      </c>
      <c r="BT1421" s="137">
        <f>BS1421/$AS1421</f>
        <v>0</v>
      </c>
      <c r="BU1421" s="130">
        <f>IF(BV1421&gt;0,1,0)</f>
        <v>0</v>
      </c>
      <c r="BV1421" s="128">
        <f>VLOOKUP($E1421,[2]Current!$A:$AC,13,FALSE)</f>
        <v>0</v>
      </c>
      <c r="BW1421" s="128">
        <f>BV1421/$AS1421</f>
        <v>0</v>
      </c>
      <c r="BX1421" s="130">
        <f>IF(BY1421&gt;0,1,0)</f>
        <v>0</v>
      </c>
      <c r="BY1421" s="128">
        <f>VLOOKUP($E1421,[2]Current!$A:$AC,14,FALSE)</f>
        <v>0</v>
      </c>
      <c r="BZ1421" s="128">
        <f>BY1421/$AS1421</f>
        <v>0</v>
      </c>
      <c r="CA1421" s="130">
        <f>IF(CB1421&gt;0,1,0)</f>
        <v>0</v>
      </c>
      <c r="CB1421" s="128">
        <f>VLOOKUP($E1421,[2]Current!$A:$AC,15,FALSE)</f>
        <v>0</v>
      </c>
      <c r="CC1421" s="128">
        <f>CB1421/$AS1421</f>
        <v>0</v>
      </c>
      <c r="CD1421" s="174">
        <f>IF(CE1421&gt;0,1,0)</f>
        <v>0</v>
      </c>
      <c r="CE1421" s="128">
        <f>VLOOKUP($E1421,[2]Current!$A:$AC,16,FALSE)</f>
        <v>0</v>
      </c>
      <c r="CF1421" s="128">
        <f>CE1421/$AS1421</f>
        <v>0</v>
      </c>
      <c r="CG1421" s="18"/>
      <c r="CH1421" s="18"/>
      <c r="CI1421" s="18"/>
      <c r="CJ1421" s="130">
        <f>IF(CK1421&gt;0,1,0)</f>
        <v>0</v>
      </c>
      <c r="CK1421" s="128">
        <f>VLOOKUP($E1421,[2]Current!$A:$AC,18,FALSE)</f>
        <v>0</v>
      </c>
      <c r="CL1421" s="128">
        <f>CK1421/$AS1421</f>
        <v>0</v>
      </c>
      <c r="CS1421" s="130">
        <f>IF(CU1421&gt;0,1,0)</f>
        <v>0</v>
      </c>
      <c r="CU1421" s="128">
        <f>VLOOKUP($E1421,[2]Current!$A:$AC,17,FALSE)</f>
        <v>0</v>
      </c>
      <c r="CV1421" s="128">
        <f>CU1421/$AS1421</f>
        <v>0</v>
      </c>
      <c r="CW1421" s="18"/>
      <c r="CX1421" s="18"/>
      <c r="CY1421" s="18"/>
      <c r="DF1421" s="16" t="e">
        <f>VLOOKUP(K1421,'[3]RNA Seq summary tables'!$V$3:$V$99,1,FALSE)</f>
        <v>#N/A</v>
      </c>
      <c r="DG1421" s="126" t="s">
        <v>116</v>
      </c>
    </row>
    <row r="1422" spans="2:288" ht="16" x14ac:dyDescent="0.2">
      <c r="B1422" s="18">
        <v>2018</v>
      </c>
      <c r="C1422" s="193">
        <v>43305</v>
      </c>
      <c r="D1422" s="149" t="s">
        <v>1054</v>
      </c>
      <c r="E1422" s="37" t="str">
        <f>CONCATENATE(T1422,"-",U1422,"-",C1422)</f>
        <v>HW2-E8-43305</v>
      </c>
      <c r="F1422" s="16" t="s">
        <v>227</v>
      </c>
      <c r="G1422" s="126" t="s">
        <v>107</v>
      </c>
      <c r="H1422" s="126" t="s">
        <v>1155</v>
      </c>
      <c r="J1422" s="126">
        <v>1559</v>
      </c>
      <c r="K1422" s="126">
        <v>2701</v>
      </c>
      <c r="O1422" s="15" t="s">
        <v>214</v>
      </c>
      <c r="Q1422" s="16">
        <f t="shared" si="10"/>
        <v>1</v>
      </c>
      <c r="R1422" s="16">
        <f t="shared" si="11"/>
        <v>10</v>
      </c>
      <c r="T1422" s="126" t="s">
        <v>129</v>
      </c>
      <c r="U1422" s="126" t="s">
        <v>181</v>
      </c>
      <c r="V1422" s="126" t="s">
        <v>114</v>
      </c>
      <c r="X1422" s="126" t="s">
        <v>121</v>
      </c>
      <c r="Y1422" s="126" t="s">
        <v>110</v>
      </c>
      <c r="Z1422" s="126">
        <v>3</v>
      </c>
      <c r="AA1422" s="126" t="s">
        <v>119</v>
      </c>
      <c r="AB1422" s="126" t="s">
        <v>123</v>
      </c>
      <c r="AC1422" s="126" t="s">
        <v>123</v>
      </c>
      <c r="AD1422" s="126"/>
      <c r="AE1422" s="126"/>
      <c r="AG1422" s="40">
        <f>AH1422-AI1422</f>
        <v>76</v>
      </c>
      <c r="AH1422" s="126">
        <v>151</v>
      </c>
      <c r="AI1422" s="126">
        <v>75</v>
      </c>
      <c r="AK1422" s="126">
        <v>13.5</v>
      </c>
      <c r="AL1422" s="126">
        <v>0</v>
      </c>
      <c r="AM1422" s="126">
        <v>0</v>
      </c>
      <c r="AN1422" s="126">
        <v>0</v>
      </c>
      <c r="AO1422" s="16">
        <f>IF(SUM(AL1422:AN1422)&gt;0,1,0)</f>
        <v>0</v>
      </c>
      <c r="AP1422" s="18">
        <f>SUM(AL1422:AN1422)</f>
        <v>0</v>
      </c>
      <c r="AR1422" s="16">
        <v>0.31300000000000017</v>
      </c>
      <c r="AS1422" s="16">
        <f>VLOOKUP(E1422,'[1]Feces weights'!$D$1:$H$459,5,FALSE)</f>
        <v>0.31300000000000017</v>
      </c>
      <c r="AT1422" s="16" t="str">
        <f>VLOOKUP(E1422,[2]Current!$A$1:$W$435,7,FALSE)</f>
        <v>NB</v>
      </c>
      <c r="AU1422" s="16" t="s">
        <v>1288</v>
      </c>
      <c r="AV1422" s="23"/>
      <c r="AW1422" s="128">
        <f>IF(AX1422&gt;0,1,0)</f>
        <v>1</v>
      </c>
      <c r="AX1422" s="128">
        <f>SUM(BA1422,BM1422,CU1422)</f>
        <v>1</v>
      </c>
      <c r="AY1422" s="128">
        <f>SUM(BB1422,BN1422,CV1422)</f>
        <v>44.728434504792311</v>
      </c>
      <c r="AZ1422" s="128">
        <f>IF(BA1422&gt;0,1,0)</f>
        <v>1</v>
      </c>
      <c r="BA1422" s="128">
        <f>SUM(BC1422+BF1422+BI1422)</f>
        <v>1</v>
      </c>
      <c r="BB1422" s="128">
        <f>SUM(BE1422,BH1422,BK1422)</f>
        <v>44.728434504792311</v>
      </c>
      <c r="BC1422" s="130">
        <f>IF(BD1422&gt;0,1,0)</f>
        <v>1</v>
      </c>
      <c r="BD1422" s="128">
        <f>VLOOKUP($E1422,[2]Current!$A:$AC,26,FALSE)</f>
        <v>14</v>
      </c>
      <c r="BE1422" s="128">
        <f>BD1422/$AS1422</f>
        <v>44.728434504792311</v>
      </c>
      <c r="BF1422" s="130">
        <f>IF(BG1422&gt;0,1,0)</f>
        <v>0</v>
      </c>
      <c r="BG1422" s="137">
        <f>VLOOKUP($E1422,[2]Current!$A:$AC,27,FALSE)</f>
        <v>0</v>
      </c>
      <c r="BH1422" s="128">
        <f>BG1422/$AS1422</f>
        <v>0</v>
      </c>
      <c r="BI1422" s="130">
        <f>IF(BJ1422&gt;0,1,0)</f>
        <v>0</v>
      </c>
      <c r="BJ1422" s="128">
        <f>VLOOKUP($E1422,[2]Current!$A:$AC,28,FALSE)</f>
        <v>0</v>
      </c>
      <c r="BK1422" s="128">
        <f>BJ1422/$AS1422</f>
        <v>0</v>
      </c>
      <c r="BL1422" s="128">
        <f>IF(BM1422&gt;0,1,0)</f>
        <v>0</v>
      </c>
      <c r="BM1422" s="128">
        <f>SUM(BR1422,BU1422,BX1422,CA1422,CD1422)</f>
        <v>0</v>
      </c>
      <c r="BN1422" s="131">
        <f>SUM(BT1422,BW1422,BZ1422,CC1422,CF1422)</f>
        <v>0</v>
      </c>
      <c r="BO1422" s="128">
        <f>IF(BP1422&gt;0,1,0)</f>
        <v>0</v>
      </c>
      <c r="BP1422" s="128">
        <f>BM1422+CJ1422</f>
        <v>0</v>
      </c>
      <c r="BQ1422" s="128">
        <f>BN1422+CL1422</f>
        <v>0</v>
      </c>
      <c r="BR1422" s="130">
        <f>IF(BS1422&gt;0,1,0)</f>
        <v>0</v>
      </c>
      <c r="BS1422" s="128">
        <f>VLOOKUP($E1422,[2]Current!$A:$AC,12,FALSE)</f>
        <v>0</v>
      </c>
      <c r="BT1422" s="137">
        <f>BS1422/$AS1422</f>
        <v>0</v>
      </c>
      <c r="BU1422" s="130">
        <f>IF(BV1422&gt;0,1,0)</f>
        <v>0</v>
      </c>
      <c r="BV1422" s="128">
        <f>VLOOKUP($E1422,[2]Current!$A:$AC,13,FALSE)</f>
        <v>0</v>
      </c>
      <c r="BW1422" s="128">
        <f>BV1422/$AS1422</f>
        <v>0</v>
      </c>
      <c r="BX1422" s="130">
        <f>IF(BY1422&gt;0,1,0)</f>
        <v>0</v>
      </c>
      <c r="BY1422" s="128">
        <f>VLOOKUP($E1422,[2]Current!$A:$AC,14,FALSE)</f>
        <v>0</v>
      </c>
      <c r="BZ1422" s="128">
        <f>BY1422/$AS1422</f>
        <v>0</v>
      </c>
      <c r="CA1422" s="130">
        <f>IF(CB1422&gt;0,1,0)</f>
        <v>0</v>
      </c>
      <c r="CB1422" s="128">
        <f>VLOOKUP($E1422,[2]Current!$A:$AC,15,FALSE)</f>
        <v>0</v>
      </c>
      <c r="CC1422" s="128">
        <f>CB1422/$AS1422</f>
        <v>0</v>
      </c>
      <c r="CD1422" s="174">
        <f>IF(CE1422&gt;0,1,0)</f>
        <v>0</v>
      </c>
      <c r="CE1422" s="128">
        <f>VLOOKUP($E1422,[2]Current!$A:$AC,16,FALSE)</f>
        <v>0</v>
      </c>
      <c r="CF1422" s="128">
        <f>CE1422/$AS1422</f>
        <v>0</v>
      </c>
      <c r="CG1422" s="18"/>
      <c r="CH1422" s="18"/>
      <c r="CI1422" s="18"/>
      <c r="CJ1422" s="130">
        <f>IF(CK1422&gt;0,1,0)</f>
        <v>0</v>
      </c>
      <c r="CK1422" s="128">
        <f>VLOOKUP($E1422,[2]Current!$A:$AC,18,FALSE)</f>
        <v>0</v>
      </c>
      <c r="CL1422" s="128">
        <f>CK1422/$AS1422</f>
        <v>0</v>
      </c>
      <c r="CS1422" s="130">
        <f>IF(CU1422&gt;0,1,0)</f>
        <v>0</v>
      </c>
      <c r="CU1422" s="128">
        <f>VLOOKUP($E1422,[2]Current!$A:$AC,17,FALSE)</f>
        <v>0</v>
      </c>
      <c r="CV1422" s="128">
        <f>CU1422/$AS1422</f>
        <v>0</v>
      </c>
      <c r="CW1422" s="18"/>
      <c r="CX1422" s="18"/>
      <c r="CY1422" s="18"/>
      <c r="DF1422" s="16" t="e">
        <f>VLOOKUP(K1422,'[3]RNA Seq summary tables'!$V$3:$V$99,1,FALSE)</f>
        <v>#N/A</v>
      </c>
      <c r="DG1422" s="126" t="s">
        <v>116</v>
      </c>
      <c r="JR1422" s="18"/>
      <c r="JS1422" s="18"/>
      <c r="JT1422" s="18"/>
      <c r="JU1422" s="18"/>
      <c r="JV1422" s="18"/>
      <c r="JW1422" s="18"/>
      <c r="JX1422" s="18"/>
      <c r="JY1422" s="18"/>
      <c r="JZ1422" s="18"/>
      <c r="KA1422" s="18"/>
      <c r="KB1422" s="18"/>
    </row>
    <row r="1423" spans="2:288" ht="16" x14ac:dyDescent="0.2">
      <c r="B1423" s="18">
        <v>2018</v>
      </c>
      <c r="C1423" s="193">
        <v>43296</v>
      </c>
      <c r="D1423" s="149" t="s">
        <v>1001</v>
      </c>
      <c r="E1423" s="142" t="str">
        <f>CONCATENATE(T1423,"-",U1423,"-",C1423)</f>
        <v>PO2-C7-43296</v>
      </c>
      <c r="F1423" s="16" t="s">
        <v>227</v>
      </c>
      <c r="G1423" s="126" t="s">
        <v>107</v>
      </c>
      <c r="H1423" s="126"/>
      <c r="J1423" s="126">
        <v>1564</v>
      </c>
      <c r="K1423" s="126">
        <v>2623</v>
      </c>
      <c r="O1423" s="15" t="s">
        <v>214</v>
      </c>
      <c r="Q1423" s="16">
        <f t="shared" si="10"/>
        <v>0</v>
      </c>
      <c r="R1423" s="16" t="str">
        <f t="shared" si="11"/>
        <v/>
      </c>
      <c r="T1423" s="126" t="s">
        <v>127</v>
      </c>
      <c r="U1423" s="126" t="s">
        <v>207</v>
      </c>
      <c r="V1423" s="126" t="s">
        <v>114</v>
      </c>
      <c r="X1423" s="126" t="s">
        <v>115</v>
      </c>
      <c r="Y1423" s="126" t="s">
        <v>110</v>
      </c>
      <c r="Z1423" s="126">
        <v>3</v>
      </c>
      <c r="AA1423" s="126"/>
      <c r="AB1423" s="126"/>
      <c r="AC1423" s="126"/>
      <c r="AD1423" s="126" t="s">
        <v>123</v>
      </c>
      <c r="AE1423" s="126" t="s">
        <v>123</v>
      </c>
      <c r="AG1423" s="40">
        <f>AH1423-AI1423</f>
        <v>77</v>
      </c>
      <c r="AH1423" s="126">
        <v>143</v>
      </c>
      <c r="AI1423" s="126">
        <v>66</v>
      </c>
      <c r="AK1423" s="126">
        <v>16.5</v>
      </c>
      <c r="AL1423" s="126">
        <v>0</v>
      </c>
      <c r="AM1423" s="126">
        <v>0</v>
      </c>
      <c r="AN1423" s="126">
        <v>0</v>
      </c>
      <c r="AO1423" s="16">
        <f>IF(SUM(AL1423:AN1423)&gt;0,1,0)</f>
        <v>0</v>
      </c>
      <c r="AP1423" s="18">
        <f>SUM(AL1423:AN1423)</f>
        <v>0</v>
      </c>
      <c r="AR1423" s="16">
        <v>0.35400000000000009</v>
      </c>
      <c r="AS1423" s="16">
        <f>VLOOKUP(E1423,'[1]Feces weights'!$D$1:$H$459,5,FALSE)</f>
        <v>0.35400000000000009</v>
      </c>
      <c r="AT1423" s="16" t="e">
        <f>VLOOKUP(E1423,[2]Current!$A$1:$W$435,7,FALSE)</f>
        <v>#N/A</v>
      </c>
      <c r="AU1423" s="16">
        <v>0</v>
      </c>
      <c r="BG1423" s="77"/>
      <c r="BN1423" s="126"/>
      <c r="BT1423" s="78"/>
      <c r="BU1423" s="18"/>
      <c r="BV1423" s="18"/>
      <c r="BW1423" s="25"/>
      <c r="BX1423" s="18"/>
      <c r="BY1423" s="18"/>
      <c r="BZ1423" s="25"/>
      <c r="CA1423" s="18"/>
      <c r="CB1423" s="18"/>
      <c r="CC1423" s="25"/>
      <c r="CD1423" s="78"/>
      <c r="CE1423" s="18"/>
      <c r="CF1423" s="25"/>
      <c r="CG1423" s="18"/>
      <c r="CH1423" s="18"/>
      <c r="CI1423" s="18"/>
      <c r="CJ1423" s="18"/>
      <c r="CK1423" s="18"/>
      <c r="CL1423" s="25"/>
      <c r="DF1423" s="16" t="e">
        <f>VLOOKUP(K1423,'[3]RNA Seq summary tables'!$V$3:$V$99,1,FALSE)</f>
        <v>#N/A</v>
      </c>
      <c r="DG1423" s="126" t="s">
        <v>116</v>
      </c>
    </row>
    <row r="1424" spans="2:288" ht="16" x14ac:dyDescent="0.2">
      <c r="B1424" s="18">
        <v>2018</v>
      </c>
      <c r="C1424" s="193">
        <v>43296</v>
      </c>
      <c r="D1424" s="149" t="s">
        <v>990</v>
      </c>
      <c r="E1424" s="37" t="str">
        <f>CONCATENATE(T1424,"-",U1424,"-",C1424)</f>
        <v>PO1-E8-43296</v>
      </c>
      <c r="F1424" s="16" t="s">
        <v>227</v>
      </c>
      <c r="G1424" s="126" t="s">
        <v>107</v>
      </c>
      <c r="H1424" s="126"/>
      <c r="I1424" s="23"/>
      <c r="J1424" s="126">
        <v>1566</v>
      </c>
      <c r="K1424" s="126">
        <v>2634</v>
      </c>
      <c r="L1424" s="23"/>
      <c r="O1424" s="15" t="s">
        <v>214</v>
      </c>
      <c r="Q1424" s="16">
        <f t="shared" si="10"/>
        <v>0</v>
      </c>
      <c r="R1424" s="16" t="str">
        <f t="shared" si="11"/>
        <v/>
      </c>
      <c r="S1424" s="23"/>
      <c r="T1424" s="126" t="s">
        <v>112</v>
      </c>
      <c r="U1424" s="126" t="s">
        <v>181</v>
      </c>
      <c r="V1424" s="126" t="s">
        <v>114</v>
      </c>
      <c r="W1424" s="23"/>
      <c r="X1424" s="126" t="s">
        <v>115</v>
      </c>
      <c r="Y1424" s="126" t="s">
        <v>122</v>
      </c>
      <c r="Z1424" s="126">
        <v>2.2999999999999998</v>
      </c>
      <c r="AA1424" s="126"/>
      <c r="AB1424" s="126"/>
      <c r="AC1424" s="126"/>
      <c r="AD1424" s="126"/>
      <c r="AE1424" s="126" t="s">
        <v>123</v>
      </c>
      <c r="AF1424" s="23"/>
      <c r="AG1424" s="75">
        <f>AH1424-AI1424</f>
        <v>72</v>
      </c>
      <c r="AH1424" s="126">
        <v>139</v>
      </c>
      <c r="AI1424" s="126">
        <v>67</v>
      </c>
      <c r="AJ1424" s="23"/>
      <c r="AK1424" s="126">
        <v>15.5</v>
      </c>
      <c r="AL1424" s="126">
        <v>0</v>
      </c>
      <c r="AM1424" s="126">
        <v>0</v>
      </c>
      <c r="AN1424" s="126">
        <v>0</v>
      </c>
      <c r="AO1424" s="23">
        <f>IF(SUM(AL1424:AN1424)&gt;0,1,0)</f>
        <v>0</v>
      </c>
      <c r="AP1424" s="25">
        <f>SUM(AL1424:AN1424)</f>
        <v>0</v>
      </c>
      <c r="AQ1424" s="23"/>
      <c r="AR1424" s="23">
        <v>0.14200000000000013</v>
      </c>
      <c r="AS1424" s="16">
        <f>VLOOKUP(E1424,'[1]Feces weights'!$D$1:$H$459,5,FALSE)</f>
        <v>0.14200000000000013</v>
      </c>
      <c r="AT1424" s="16" t="str">
        <f>VLOOKUP(E1424,[2]Current!$A$1:$W$435,7,FALSE)</f>
        <v>TE</v>
      </c>
      <c r="AU1424" s="16" t="s">
        <v>1288</v>
      </c>
      <c r="AW1424" s="128">
        <f>IF(AX1424&gt;0,1,0)</f>
        <v>1</v>
      </c>
      <c r="AX1424" s="128">
        <f>SUM(BA1424,BM1424,CU1424)</f>
        <v>3</v>
      </c>
      <c r="AY1424" s="128">
        <f>SUM(BB1424,BN1424,CV1424)</f>
        <v>18084.507042253506</v>
      </c>
      <c r="AZ1424" s="128">
        <f>IF(BA1424&gt;0,1,0)</f>
        <v>1</v>
      </c>
      <c r="BA1424" s="128">
        <f>SUM(BC1424+BF1424+BI1424)</f>
        <v>3</v>
      </c>
      <c r="BB1424" s="128">
        <f>SUM(BE1424,BH1424,BK1424)</f>
        <v>18084.507042253506</v>
      </c>
      <c r="BC1424" s="130">
        <f>IF(BD1424&gt;0,1,0)</f>
        <v>1</v>
      </c>
      <c r="BD1424" s="128">
        <f>VLOOKUP($E1424,[2]Current!$A:$AC,26,FALSE)</f>
        <v>172</v>
      </c>
      <c r="BE1424" s="128">
        <f>BD1424/$AS1424</f>
        <v>1211.2676056338018</v>
      </c>
      <c r="BF1424" s="130">
        <f>IF(BG1424&gt;0,1,0)</f>
        <v>1</v>
      </c>
      <c r="BG1424" s="137">
        <f>VLOOKUP($E1424,[2]Current!$A:$AC,27,FALSE)</f>
        <v>210</v>
      </c>
      <c r="BH1424" s="128">
        <f>BG1424/$AS1424</f>
        <v>1478.8732394366184</v>
      </c>
      <c r="BI1424" s="130">
        <f>IF(BJ1424&gt;0,1,0)</f>
        <v>1</v>
      </c>
      <c r="BJ1424" s="128">
        <f>VLOOKUP($E1424,[2]Current!$A:$AC,28,FALSE)</f>
        <v>2186</v>
      </c>
      <c r="BK1424" s="128">
        <f>BJ1424/$AS1424</f>
        <v>15394.366197183084</v>
      </c>
      <c r="BL1424" s="128">
        <f>IF(BM1424&gt;0,1,0)</f>
        <v>0</v>
      </c>
      <c r="BM1424" s="128">
        <f>SUM(BR1424,BU1424,BX1424,CA1424,CD1424)</f>
        <v>0</v>
      </c>
      <c r="BN1424" s="131">
        <f>SUM(BT1424,BW1424,BZ1424,CC1424,CF1424)</f>
        <v>0</v>
      </c>
      <c r="BO1424" s="128">
        <f>IF(BP1424&gt;0,1,0)</f>
        <v>0</v>
      </c>
      <c r="BP1424" s="128">
        <f>BM1424+CJ1424</f>
        <v>0</v>
      </c>
      <c r="BQ1424" s="128">
        <f>BN1424+CL1424</f>
        <v>0</v>
      </c>
      <c r="BR1424" s="130">
        <f>IF(BS1424&gt;0,1,0)</f>
        <v>0</v>
      </c>
      <c r="BS1424" s="128">
        <f>VLOOKUP($E1424,[2]Current!$A:$AC,12,FALSE)</f>
        <v>0</v>
      </c>
      <c r="BT1424" s="137">
        <f>BS1424/$AS1424</f>
        <v>0</v>
      </c>
      <c r="BU1424" s="130">
        <f>IF(BV1424&gt;0,1,0)</f>
        <v>0</v>
      </c>
      <c r="BV1424" s="128">
        <f>VLOOKUP($E1424,[2]Current!$A:$AC,13,FALSE)</f>
        <v>0</v>
      </c>
      <c r="BW1424" s="128">
        <f>BV1424/$AS1424</f>
        <v>0</v>
      </c>
      <c r="BX1424" s="130">
        <f>IF(BY1424&gt;0,1,0)</f>
        <v>0</v>
      </c>
      <c r="BY1424" s="128">
        <f>VLOOKUP($E1424,[2]Current!$A:$AC,14,FALSE)</f>
        <v>0</v>
      </c>
      <c r="BZ1424" s="128">
        <f>BY1424/$AS1424</f>
        <v>0</v>
      </c>
      <c r="CA1424" s="130">
        <f>IF(CB1424&gt;0,1,0)</f>
        <v>0</v>
      </c>
      <c r="CB1424" s="128">
        <f>VLOOKUP($E1424,[2]Current!$A:$AC,15,FALSE)</f>
        <v>0</v>
      </c>
      <c r="CC1424" s="128">
        <f>CB1424/$AS1424</f>
        <v>0</v>
      </c>
      <c r="CD1424" s="174">
        <f>IF(CE1424&gt;0,1,0)</f>
        <v>0</v>
      </c>
      <c r="CE1424" s="128">
        <f>VLOOKUP($E1424,[2]Current!$A:$AC,16,FALSE)</f>
        <v>0</v>
      </c>
      <c r="CF1424" s="128">
        <f>CE1424/$AS1424</f>
        <v>0</v>
      </c>
      <c r="CG1424" s="18"/>
      <c r="CH1424" s="18"/>
      <c r="CI1424" s="18"/>
      <c r="CJ1424" s="130">
        <f>IF(CK1424&gt;0,1,0)</f>
        <v>0</v>
      </c>
      <c r="CK1424" s="128">
        <f>VLOOKUP($E1424,[2]Current!$A:$AC,18,FALSE)</f>
        <v>0</v>
      </c>
      <c r="CL1424" s="128">
        <f>CK1424/$AS1424</f>
        <v>0</v>
      </c>
      <c r="CS1424" s="130">
        <f>IF(CU1424&gt;0,1,0)</f>
        <v>0</v>
      </c>
      <c r="CU1424" s="128">
        <f>VLOOKUP($E1424,[2]Current!$A:$AC,17,FALSE)</f>
        <v>0</v>
      </c>
      <c r="CV1424" s="128">
        <f>CU1424/$AS1424</f>
        <v>0</v>
      </c>
      <c r="CW1424" s="18"/>
      <c r="CX1424" s="18"/>
      <c r="CY1424" s="18"/>
      <c r="DF1424" s="16" t="e">
        <f>VLOOKUP(K1424,'[3]RNA Seq summary tables'!$V$3:$V$99,1,FALSE)</f>
        <v>#N/A</v>
      </c>
      <c r="DG1424" s="126" t="s">
        <v>123</v>
      </c>
      <c r="DH1424" s="23"/>
      <c r="DI1424" s="23"/>
      <c r="DJ1424" s="23"/>
      <c r="DK1424" s="23"/>
      <c r="DL1424" s="23"/>
      <c r="DM1424" s="23"/>
      <c r="DN1424" s="23"/>
      <c r="DO1424" s="23"/>
      <c r="DP1424" s="23"/>
      <c r="DQ1424" s="23"/>
      <c r="DR1424" s="23"/>
      <c r="DS1424" s="23"/>
      <c r="DT1424" s="25"/>
      <c r="DU1424" s="25"/>
      <c r="DV1424" s="25"/>
      <c r="DW1424" s="25"/>
      <c r="DX1424" s="25"/>
      <c r="DY1424" s="25"/>
      <c r="DZ1424" s="25"/>
      <c r="EA1424" s="25"/>
      <c r="EB1424" s="25"/>
      <c r="EC1424" s="25"/>
      <c r="ED1424" s="25"/>
      <c r="EE1424" s="25"/>
      <c r="EF1424" s="25"/>
      <c r="EG1424" s="25"/>
      <c r="EH1424" s="25"/>
      <c r="EI1424" s="25"/>
      <c r="EJ1424" s="25"/>
      <c r="EK1424" s="25"/>
      <c r="EL1424" s="25"/>
      <c r="EM1424" s="25"/>
      <c r="EN1424" s="25"/>
      <c r="EO1424" s="25"/>
      <c r="EP1424" s="25"/>
      <c r="EQ1424" s="25"/>
      <c r="ER1424" s="25"/>
      <c r="ES1424" s="25"/>
      <c r="ET1424" s="25"/>
      <c r="EU1424" s="25"/>
      <c r="EV1424" s="25"/>
      <c r="EW1424" s="25"/>
      <c r="EX1424" s="25"/>
      <c r="EY1424" s="25"/>
      <c r="EZ1424" s="25"/>
      <c r="FA1424" s="25"/>
      <c r="FB1424" s="25"/>
      <c r="FC1424" s="25"/>
      <c r="FD1424" s="25"/>
      <c r="FE1424" s="25"/>
      <c r="FF1424" s="25"/>
      <c r="FG1424" s="25"/>
      <c r="FH1424" s="25"/>
      <c r="FI1424" s="25"/>
      <c r="FJ1424" s="25"/>
      <c r="FK1424" s="25"/>
      <c r="FL1424" s="25"/>
      <c r="FM1424" s="25"/>
      <c r="FN1424" s="25"/>
      <c r="FO1424" s="25"/>
      <c r="FP1424" s="25"/>
      <c r="FQ1424" s="25"/>
      <c r="FR1424" s="25"/>
      <c r="FS1424" s="25"/>
      <c r="FT1424" s="25"/>
      <c r="FU1424" s="25"/>
      <c r="FV1424" s="25"/>
      <c r="FW1424" s="25"/>
      <c r="FX1424" s="25"/>
      <c r="FY1424" s="25"/>
      <c r="FZ1424" s="25"/>
      <c r="GA1424" s="25"/>
      <c r="GB1424" s="25"/>
      <c r="GC1424" s="25"/>
      <c r="GD1424" s="25"/>
      <c r="GE1424" s="25"/>
      <c r="GF1424" s="25"/>
      <c r="GG1424" s="25"/>
      <c r="GH1424" s="25"/>
      <c r="GI1424" s="25"/>
      <c r="GJ1424" s="25"/>
      <c r="GK1424" s="25"/>
      <c r="GL1424" s="25"/>
      <c r="GM1424" s="25"/>
      <c r="GN1424" s="25"/>
      <c r="GO1424" s="25"/>
      <c r="GP1424" s="25"/>
      <c r="GQ1424" s="25"/>
      <c r="GR1424" s="25"/>
      <c r="GS1424" s="25"/>
      <c r="GT1424" s="25"/>
      <c r="GU1424" s="25"/>
      <c r="GV1424" s="25"/>
      <c r="GW1424" s="25"/>
      <c r="GX1424" s="25"/>
      <c r="GY1424" s="25"/>
      <c r="GZ1424" s="25"/>
      <c r="HA1424" s="25"/>
      <c r="HB1424" s="25"/>
      <c r="HC1424" s="25"/>
      <c r="HD1424" s="25"/>
      <c r="HE1424" s="25"/>
      <c r="HF1424" s="25"/>
      <c r="HG1424" s="25"/>
      <c r="HH1424" s="25"/>
      <c r="HI1424" s="25"/>
      <c r="HJ1424" s="25"/>
      <c r="HK1424" s="25"/>
      <c r="HL1424" s="25"/>
      <c r="HM1424" s="25"/>
      <c r="HN1424" s="25"/>
      <c r="HO1424" s="25"/>
      <c r="HP1424" s="25"/>
      <c r="HQ1424" s="25"/>
      <c r="HR1424" s="25"/>
      <c r="HS1424" s="25"/>
      <c r="HT1424" s="25"/>
      <c r="HU1424" s="25"/>
      <c r="HV1424" s="25"/>
      <c r="HW1424" s="25"/>
      <c r="HX1424" s="25"/>
      <c r="HY1424" s="25"/>
      <c r="HZ1424" s="25"/>
      <c r="IA1424" s="25"/>
      <c r="IB1424" s="25"/>
      <c r="IC1424" s="25"/>
      <c r="ID1424" s="25"/>
      <c r="IE1424" s="25"/>
      <c r="IF1424" s="25"/>
      <c r="IG1424" s="25"/>
      <c r="IH1424" s="25"/>
      <c r="II1424" s="25"/>
      <c r="IJ1424" s="25"/>
      <c r="IK1424" s="25"/>
      <c r="IL1424" s="25"/>
      <c r="IM1424" s="25"/>
      <c r="IN1424" s="25"/>
      <c r="IO1424" s="25"/>
      <c r="IP1424" s="25"/>
      <c r="IQ1424" s="25"/>
      <c r="IR1424" s="25"/>
      <c r="IS1424" s="25"/>
      <c r="IT1424" s="25"/>
      <c r="IU1424" s="25"/>
      <c r="IV1424" s="25"/>
      <c r="IW1424" s="25"/>
      <c r="IX1424" s="25"/>
      <c r="IY1424" s="25"/>
      <c r="IZ1424" s="25"/>
      <c r="JA1424" s="25"/>
      <c r="JB1424" s="25"/>
      <c r="JC1424" s="25"/>
      <c r="JD1424" s="25"/>
      <c r="JE1424" s="25"/>
      <c r="JF1424" s="25"/>
      <c r="JG1424" s="25"/>
      <c r="JH1424" s="25"/>
      <c r="JI1424" s="25"/>
      <c r="JJ1424" s="25"/>
      <c r="JK1424" s="25"/>
      <c r="JL1424" s="25"/>
      <c r="JM1424" s="25"/>
      <c r="JN1424" s="25"/>
      <c r="JO1424" s="23"/>
      <c r="JP1424" s="23"/>
      <c r="JQ1424" s="23"/>
      <c r="JR1424" s="18"/>
      <c r="JS1424" s="18"/>
      <c r="JT1424" s="18"/>
      <c r="JU1424" s="18"/>
      <c r="JV1424" s="18"/>
      <c r="JW1424" s="18"/>
      <c r="JX1424" s="18"/>
      <c r="JY1424" s="18"/>
      <c r="JZ1424" s="18"/>
      <c r="KA1424" s="18"/>
      <c r="KB1424" s="18"/>
    </row>
    <row r="1425" spans="1:288" ht="16" x14ac:dyDescent="0.2">
      <c r="B1425" s="18">
        <v>2018</v>
      </c>
      <c r="C1425" s="193">
        <v>43297</v>
      </c>
      <c r="D1425" s="149" t="s">
        <v>1005</v>
      </c>
      <c r="E1425" s="142" t="str">
        <f>CONCATENATE(T1425,"-",U1425,"-",C1425)</f>
        <v>PO1-D1-43297</v>
      </c>
      <c r="F1425" s="16" t="s">
        <v>227</v>
      </c>
      <c r="G1425" s="126" t="s">
        <v>107</v>
      </c>
      <c r="H1425" s="126" t="s">
        <v>1086</v>
      </c>
      <c r="J1425" s="126">
        <v>1568</v>
      </c>
      <c r="K1425" s="126">
        <v>2644</v>
      </c>
      <c r="O1425" s="15" t="s">
        <v>214</v>
      </c>
      <c r="Q1425" s="16">
        <f t="shared" si="10"/>
        <v>0</v>
      </c>
      <c r="R1425" s="16" t="str">
        <f t="shared" si="11"/>
        <v/>
      </c>
      <c r="T1425" s="126" t="s">
        <v>112</v>
      </c>
      <c r="U1425" s="126" t="s">
        <v>157</v>
      </c>
      <c r="V1425" s="126" t="s">
        <v>142</v>
      </c>
      <c r="X1425" s="126" t="s">
        <v>115</v>
      </c>
      <c r="Y1425" s="126" t="s">
        <v>110</v>
      </c>
      <c r="Z1425" s="126">
        <v>3</v>
      </c>
      <c r="AA1425" s="126"/>
      <c r="AB1425" s="126"/>
      <c r="AC1425" s="126"/>
      <c r="AD1425" s="126" t="s">
        <v>123</v>
      </c>
      <c r="AE1425" s="126" t="s">
        <v>123</v>
      </c>
      <c r="AG1425" s="40">
        <f>AH1425-AI1425</f>
        <v>81</v>
      </c>
      <c r="AH1425" s="126">
        <v>163</v>
      </c>
      <c r="AI1425" s="126">
        <v>82</v>
      </c>
      <c r="AK1425" s="126">
        <v>13</v>
      </c>
      <c r="AL1425" s="126">
        <v>1</v>
      </c>
      <c r="AM1425" s="126">
        <v>0</v>
      </c>
      <c r="AN1425" s="126">
        <v>0</v>
      </c>
      <c r="AO1425" s="16">
        <f>IF(SUM(AL1425:AN1425)&gt;0,1,0)</f>
        <v>1</v>
      </c>
      <c r="AP1425" s="18">
        <f>SUM(AL1425:AN1425)</f>
        <v>1</v>
      </c>
      <c r="AR1425" s="16">
        <v>0.17000000000000015</v>
      </c>
      <c r="AS1425" s="16">
        <f>VLOOKUP(E1425,'[1]Feces weights'!$D$1:$H$459,5,FALSE)</f>
        <v>0.17000000000000015</v>
      </c>
      <c r="AT1425" s="16" t="e">
        <f>VLOOKUP(E1425,[2]Current!$A$1:$W$435,7,FALSE)</f>
        <v>#N/A</v>
      </c>
      <c r="AU1425" s="16">
        <v>0</v>
      </c>
      <c r="BG1425" s="77"/>
      <c r="BN1425" s="126"/>
      <c r="BT1425" s="78"/>
      <c r="BU1425" s="18"/>
      <c r="BV1425" s="18"/>
      <c r="BW1425" s="25"/>
      <c r="BX1425" s="18"/>
      <c r="BY1425" s="18"/>
      <c r="BZ1425" s="25"/>
      <c r="CA1425" s="18"/>
      <c r="CB1425" s="18"/>
      <c r="CC1425" s="25"/>
      <c r="CD1425" s="78"/>
      <c r="CE1425" s="18"/>
      <c r="CF1425" s="25"/>
      <c r="CG1425" s="18"/>
      <c r="CH1425" s="18"/>
      <c r="CI1425" s="18"/>
      <c r="CJ1425" s="18"/>
      <c r="CK1425" s="18"/>
      <c r="CL1425" s="25"/>
      <c r="DF1425" s="16" t="e">
        <f>VLOOKUP(K1425,'[3]RNA Seq summary tables'!$V$3:$V$99,1,FALSE)</f>
        <v>#N/A</v>
      </c>
      <c r="DG1425" s="126" t="s">
        <v>116</v>
      </c>
    </row>
    <row r="1426" spans="1:288" ht="16" x14ac:dyDescent="0.2">
      <c r="B1426" s="18">
        <v>2018</v>
      </c>
      <c r="C1426" s="193">
        <v>43301</v>
      </c>
      <c r="D1426" s="149" t="s">
        <v>1021</v>
      </c>
      <c r="E1426" s="37" t="str">
        <f>CONCATENATE(T1426,"-",U1426,"-",C1426)</f>
        <v>SP1-A5-43301</v>
      </c>
      <c r="F1426" s="16" t="s">
        <v>227</v>
      </c>
      <c r="G1426" s="126" t="s">
        <v>107</v>
      </c>
      <c r="H1426" s="126"/>
      <c r="J1426" s="126">
        <v>1570</v>
      </c>
      <c r="K1426" s="126">
        <v>2656</v>
      </c>
      <c r="O1426" s="15" t="s">
        <v>214</v>
      </c>
      <c r="Q1426" s="16">
        <f t="shared" si="10"/>
        <v>0</v>
      </c>
      <c r="R1426" s="16" t="str">
        <f t="shared" si="11"/>
        <v/>
      </c>
      <c r="T1426" s="126" t="s">
        <v>140</v>
      </c>
      <c r="U1426" s="126" t="s">
        <v>167</v>
      </c>
      <c r="V1426" s="126" t="s">
        <v>114</v>
      </c>
      <c r="X1426" s="126" t="s">
        <v>115</v>
      </c>
      <c r="Y1426" s="126" t="s">
        <v>122</v>
      </c>
      <c r="Z1426" s="126">
        <v>2.6</v>
      </c>
      <c r="AA1426" s="126"/>
      <c r="AB1426" s="126"/>
      <c r="AC1426" s="126"/>
      <c r="AD1426" s="126"/>
      <c r="AE1426" s="126" t="s">
        <v>123</v>
      </c>
      <c r="AG1426" s="40">
        <f>AH1426-AI1426</f>
        <v>80</v>
      </c>
      <c r="AH1426" s="126">
        <v>155</v>
      </c>
      <c r="AI1426" s="126">
        <v>75</v>
      </c>
      <c r="AK1426" s="126">
        <v>15</v>
      </c>
      <c r="AL1426" s="126">
        <v>0</v>
      </c>
      <c r="AM1426" s="126">
        <v>0</v>
      </c>
      <c r="AN1426" s="126">
        <v>1</v>
      </c>
      <c r="AO1426" s="16">
        <f>IF(SUM(AL1426:AN1426)&gt;0,1,0)</f>
        <v>1</v>
      </c>
      <c r="AP1426" s="18">
        <f>SUM(AL1426:AN1426)</f>
        <v>1</v>
      </c>
      <c r="AR1426" s="16">
        <v>0.39400000000000013</v>
      </c>
      <c r="AS1426" s="16">
        <f>VLOOKUP(E1426,'[1]Feces weights'!$D$1:$H$459,5,FALSE)</f>
        <v>0.39400000000000013</v>
      </c>
      <c r="AT1426" s="16" t="str">
        <f>VLOOKUP(E1426,[2]Current!$A$1:$W$435,7,FALSE)</f>
        <v>TE</v>
      </c>
      <c r="AU1426" s="16" t="s">
        <v>1288</v>
      </c>
      <c r="AW1426" s="128">
        <f>IF(AX1426&gt;0,1,0)</f>
        <v>1</v>
      </c>
      <c r="AX1426" s="128">
        <f>SUM(BA1426,BM1426,CU1426)</f>
        <v>3</v>
      </c>
      <c r="AY1426" s="128">
        <f>SUM(BB1426,BN1426,CV1426)</f>
        <v>796.95431472081191</v>
      </c>
      <c r="AZ1426" s="128">
        <f>IF(BA1426&gt;0,1,0)</f>
        <v>1</v>
      </c>
      <c r="BA1426" s="128">
        <f>SUM(BC1426+BF1426+BI1426)</f>
        <v>3</v>
      </c>
      <c r="BB1426" s="128">
        <f>SUM(BE1426,BH1426,BK1426)</f>
        <v>796.95431472081191</v>
      </c>
      <c r="BC1426" s="130">
        <f>IF(BD1426&gt;0,1,0)</f>
        <v>1</v>
      </c>
      <c r="BD1426" s="128">
        <f>VLOOKUP($E1426,[2]Current!$A:$AC,26,FALSE)</f>
        <v>4</v>
      </c>
      <c r="BE1426" s="128">
        <f>BD1426/$AS1426</f>
        <v>10.152284263959388</v>
      </c>
      <c r="BF1426" s="130">
        <f>IF(BG1426&gt;0,1,0)</f>
        <v>1</v>
      </c>
      <c r="BG1426" s="137">
        <f>VLOOKUP($E1426,[2]Current!$A:$AC,27,FALSE)</f>
        <v>40</v>
      </c>
      <c r="BH1426" s="128">
        <f>BG1426/$AS1426</f>
        <v>101.52284263959388</v>
      </c>
      <c r="BI1426" s="130">
        <f>IF(BJ1426&gt;0,1,0)</f>
        <v>1</v>
      </c>
      <c r="BJ1426" s="128">
        <f>VLOOKUP($E1426,[2]Current!$A:$AC,28,FALSE)</f>
        <v>270</v>
      </c>
      <c r="BK1426" s="128">
        <f>BJ1426/$AS1426</f>
        <v>685.27918781725862</v>
      </c>
      <c r="BL1426" s="128">
        <f>IF(BM1426&gt;0,1,0)</f>
        <v>0</v>
      </c>
      <c r="BM1426" s="128">
        <f>SUM(BR1426,BU1426,BX1426,CA1426,CD1426)</f>
        <v>0</v>
      </c>
      <c r="BN1426" s="131">
        <f>SUM(BT1426,BW1426,BZ1426,CC1426,CF1426)</f>
        <v>0</v>
      </c>
      <c r="BO1426" s="128">
        <f>IF(BP1426&gt;0,1,0)</f>
        <v>0</v>
      </c>
      <c r="BP1426" s="128">
        <f>BM1426+CJ1426</f>
        <v>0</v>
      </c>
      <c r="BQ1426" s="128">
        <f>BN1426+CL1426</f>
        <v>0</v>
      </c>
      <c r="BR1426" s="130">
        <f>IF(BS1426&gt;0,1,0)</f>
        <v>0</v>
      </c>
      <c r="BS1426" s="128">
        <f>VLOOKUP($E1426,[2]Current!$A:$AC,12,FALSE)</f>
        <v>0</v>
      </c>
      <c r="BT1426" s="137">
        <f>BS1426/$AS1426</f>
        <v>0</v>
      </c>
      <c r="BU1426" s="130">
        <f>IF(BV1426&gt;0,1,0)</f>
        <v>0</v>
      </c>
      <c r="BV1426" s="128">
        <f>VLOOKUP($E1426,[2]Current!$A:$AC,13,FALSE)</f>
        <v>0</v>
      </c>
      <c r="BW1426" s="128">
        <f>BV1426/$AS1426</f>
        <v>0</v>
      </c>
      <c r="BX1426" s="130">
        <f>IF(BY1426&gt;0,1,0)</f>
        <v>0</v>
      </c>
      <c r="BY1426" s="128">
        <f>VLOOKUP($E1426,[2]Current!$A:$AC,14,FALSE)</f>
        <v>0</v>
      </c>
      <c r="BZ1426" s="128">
        <f>BY1426/$AS1426</f>
        <v>0</v>
      </c>
      <c r="CA1426" s="130">
        <f>IF(CB1426&gt;0,1,0)</f>
        <v>0</v>
      </c>
      <c r="CB1426" s="128">
        <f>VLOOKUP($E1426,[2]Current!$A:$AC,15,FALSE)</f>
        <v>0</v>
      </c>
      <c r="CC1426" s="128">
        <f>CB1426/$AS1426</f>
        <v>0</v>
      </c>
      <c r="CD1426" s="174">
        <f>IF(CE1426&gt;0,1,0)</f>
        <v>0</v>
      </c>
      <c r="CE1426" s="128">
        <f>VLOOKUP($E1426,[2]Current!$A:$AC,16,FALSE)</f>
        <v>0</v>
      </c>
      <c r="CF1426" s="128">
        <f>CE1426/$AS1426</f>
        <v>0</v>
      </c>
      <c r="CG1426" s="18"/>
      <c r="CH1426" s="18"/>
      <c r="CI1426" s="18"/>
      <c r="CJ1426" s="130">
        <f>IF(CK1426&gt;0,1,0)</f>
        <v>0</v>
      </c>
      <c r="CK1426" s="128">
        <f>VLOOKUP($E1426,[2]Current!$A:$AC,18,FALSE)</f>
        <v>0</v>
      </c>
      <c r="CL1426" s="128">
        <f>CK1426/$AS1426</f>
        <v>0</v>
      </c>
      <c r="CS1426" s="130">
        <f>IF(CU1426&gt;0,1,0)</f>
        <v>0</v>
      </c>
      <c r="CU1426" s="128">
        <f>VLOOKUP($E1426,[2]Current!$A:$AC,17,FALSE)</f>
        <v>0</v>
      </c>
      <c r="CV1426" s="128">
        <f>CU1426/$AS1426</f>
        <v>0</v>
      </c>
      <c r="CW1426" s="18"/>
      <c r="CX1426" s="18"/>
      <c r="CY1426" s="18"/>
      <c r="DF1426" s="16" t="e">
        <f>VLOOKUP(K1426,'[3]RNA Seq summary tables'!$V$3:$V$99,1,FALSE)</f>
        <v>#N/A</v>
      </c>
      <c r="DG1426" s="126" t="s">
        <v>123</v>
      </c>
    </row>
    <row r="1427" spans="1:288" ht="16" x14ac:dyDescent="0.2">
      <c r="B1427" s="18">
        <v>2018</v>
      </c>
      <c r="C1427" s="148">
        <v>43313</v>
      </c>
      <c r="D1427" s="149" t="s">
        <v>1216</v>
      </c>
      <c r="E1427" s="20" t="str">
        <f>CONCATENATE(T1427,"-",U1427,"-",C1427)</f>
        <v>SP1-G8-43313</v>
      </c>
      <c r="F1427" s="16" t="s">
        <v>227</v>
      </c>
      <c r="G1427" s="145" t="s">
        <v>107</v>
      </c>
      <c r="H1427" s="145"/>
      <c r="I1427" s="145"/>
      <c r="J1427" s="145">
        <v>1570</v>
      </c>
      <c r="K1427" s="145">
        <v>2731</v>
      </c>
      <c r="M1427" s="16"/>
      <c r="N1427" s="16"/>
      <c r="O1427" s="15" t="s">
        <v>214</v>
      </c>
      <c r="Q1427" s="16">
        <f t="shared" si="10"/>
        <v>1</v>
      </c>
      <c r="R1427" s="16">
        <f t="shared" si="11"/>
        <v>12</v>
      </c>
      <c r="S1427" s="145"/>
      <c r="T1427" s="145" t="s">
        <v>140</v>
      </c>
      <c r="U1427" s="145" t="s">
        <v>216</v>
      </c>
      <c r="V1427" s="145" t="s">
        <v>114</v>
      </c>
      <c r="W1427" s="145"/>
      <c r="X1427" s="145" t="s">
        <v>115</v>
      </c>
      <c r="Y1427" s="145" t="s">
        <v>110</v>
      </c>
      <c r="Z1427" s="145">
        <v>3</v>
      </c>
      <c r="AA1427" s="145"/>
      <c r="AB1427" s="145"/>
      <c r="AC1427" s="145"/>
      <c r="AD1427" s="145"/>
      <c r="AE1427" s="145" t="s">
        <v>116</v>
      </c>
      <c r="AF1427" s="145" t="s">
        <v>116</v>
      </c>
      <c r="AG1427" s="145">
        <f>AH1427-AI1427</f>
        <v>91</v>
      </c>
      <c r="AH1427" s="145">
        <v>162</v>
      </c>
      <c r="AI1427" s="145">
        <v>71</v>
      </c>
      <c r="AJ1427" s="145"/>
      <c r="AK1427" s="145">
        <v>18</v>
      </c>
      <c r="AL1427" s="145">
        <v>1</v>
      </c>
      <c r="AM1427" s="145">
        <v>0</v>
      </c>
      <c r="AN1427" s="145">
        <v>0</v>
      </c>
      <c r="AO1427" s="16">
        <f>IF(SUM(AL1427:AN1427)&gt;0, 1,0)</f>
        <v>1</v>
      </c>
      <c r="AP1427" s="16">
        <f>SUM(AL1427:AN1427)</f>
        <v>1</v>
      </c>
      <c r="AQ1427" s="16" t="s">
        <v>1278</v>
      </c>
      <c r="AT1427" s="16" t="e">
        <f>VLOOKUP(E1427,[2]Current!$A$1:$W$435,7,FALSE)</f>
        <v>#N/A</v>
      </c>
      <c r="BG1427" s="77"/>
      <c r="BT1427" s="77"/>
      <c r="CD1427" s="77"/>
      <c r="DG1427" s="145" t="s">
        <v>123</v>
      </c>
      <c r="DT1427" s="145" t="s">
        <v>123</v>
      </c>
      <c r="DU1427" s="145"/>
      <c r="DX1427" s="145"/>
      <c r="DY1427" s="145"/>
      <c r="DZ1427" s="16"/>
      <c r="EA1427" s="16"/>
      <c r="EB1427" s="16"/>
      <c r="EC1427" s="16"/>
      <c r="ED1427" s="16"/>
      <c r="EE1427" s="16"/>
      <c r="EF1427" s="16"/>
      <c r="JO1427" s="18"/>
      <c r="JP1427" s="18"/>
      <c r="JQ1427" s="18"/>
      <c r="JR1427" s="18"/>
      <c r="JS1427" s="18"/>
      <c r="JT1427" s="18"/>
      <c r="JU1427" s="18"/>
      <c r="JV1427" s="18"/>
      <c r="JW1427" s="18"/>
      <c r="JX1427" s="18"/>
      <c r="JY1427" s="18"/>
      <c r="JZ1427" s="18"/>
      <c r="KA1427" s="18"/>
    </row>
    <row r="1428" spans="1:288" ht="16" x14ac:dyDescent="0.2">
      <c r="B1428" s="18">
        <v>2018</v>
      </c>
      <c r="C1428" s="193">
        <v>43302</v>
      </c>
      <c r="D1428" s="149" t="s">
        <v>1026</v>
      </c>
      <c r="E1428" s="37" t="str">
        <f>CONCATENATE(T1428,"-",U1428,"-",C1428)</f>
        <v>SP2-B2-43302</v>
      </c>
      <c r="F1428" s="16" t="s">
        <v>227</v>
      </c>
      <c r="G1428" s="126" t="s">
        <v>107</v>
      </c>
      <c r="H1428" s="126" t="s">
        <v>1143</v>
      </c>
      <c r="J1428" s="126">
        <v>1572</v>
      </c>
      <c r="K1428" s="126">
        <v>2666</v>
      </c>
      <c r="O1428" s="15" t="s">
        <v>214</v>
      </c>
      <c r="Q1428" s="16">
        <f t="shared" si="10"/>
        <v>0</v>
      </c>
      <c r="R1428" s="16" t="str">
        <f t="shared" si="11"/>
        <v/>
      </c>
      <c r="T1428" s="126" t="s">
        <v>137</v>
      </c>
      <c r="U1428" s="126" t="s">
        <v>130</v>
      </c>
      <c r="V1428" s="126" t="s">
        <v>114</v>
      </c>
      <c r="X1428" s="126" t="s">
        <v>121</v>
      </c>
      <c r="Y1428" s="126" t="s">
        <v>110</v>
      </c>
      <c r="Z1428" s="126">
        <v>3</v>
      </c>
      <c r="AA1428" s="126" t="s">
        <v>119</v>
      </c>
      <c r="AB1428" s="126" t="s">
        <v>123</v>
      </c>
      <c r="AC1428" s="126" t="s">
        <v>116</v>
      </c>
      <c r="AD1428" s="126"/>
      <c r="AE1428" s="126"/>
      <c r="AG1428" s="40">
        <f>AH1428-AI1428</f>
        <v>83</v>
      </c>
      <c r="AH1428" s="126">
        <v>161</v>
      </c>
      <c r="AI1428" s="126">
        <v>78</v>
      </c>
      <c r="AK1428" s="126">
        <v>19</v>
      </c>
      <c r="AL1428" s="126">
        <v>1</v>
      </c>
      <c r="AM1428" s="126">
        <v>0</v>
      </c>
      <c r="AN1428" s="126">
        <v>0</v>
      </c>
      <c r="AO1428" s="16">
        <f>IF(SUM(AL1428:AN1428)&gt;0,1,0)</f>
        <v>1</v>
      </c>
      <c r="AP1428" s="18">
        <f>SUM(AL1428:AN1428)</f>
        <v>1</v>
      </c>
      <c r="AR1428" s="16">
        <v>0.22900000000000009</v>
      </c>
      <c r="AS1428" s="16">
        <f>VLOOKUP(E1428,'[1]Feces weights'!$D$1:$H$459,5,FALSE)</f>
        <v>0.22900000000000009</v>
      </c>
      <c r="AT1428" s="16" t="str">
        <f>VLOOKUP(E1428,[2]Current!$A$1:$W$435,7,FALSE)</f>
        <v>JY</v>
      </c>
      <c r="AU1428" s="16" t="s">
        <v>1288</v>
      </c>
      <c r="AV1428" s="23"/>
      <c r="AW1428" s="128">
        <f>IF(AX1428&gt;0,1,0)</f>
        <v>1</v>
      </c>
      <c r="AX1428" s="128">
        <f>SUM(BA1428,BM1428,CU1428)</f>
        <v>119</v>
      </c>
      <c r="AY1428" s="128">
        <f>SUM(BB1428,BN1428,CV1428)</f>
        <v>550.21834061135348</v>
      </c>
      <c r="AZ1428" s="128">
        <f>IF(BA1428&gt;0,1,0)</f>
        <v>1</v>
      </c>
      <c r="BA1428" s="128">
        <f>SUM(BC1428+BF1428+BI1428)</f>
        <v>1</v>
      </c>
      <c r="BB1428" s="128">
        <f>SUM(BE1428,BH1428,BK1428)</f>
        <v>34.934497816593876</v>
      </c>
      <c r="BC1428" s="130">
        <f>IF(BD1428&gt;0,1,0)</f>
        <v>0</v>
      </c>
      <c r="BD1428" s="128">
        <f>VLOOKUP($E1428,[2]Current!$A:$AC,26,FALSE)</f>
        <v>0</v>
      </c>
      <c r="BE1428" s="128">
        <f>BD1428/$AS1428</f>
        <v>0</v>
      </c>
      <c r="BF1428" s="130">
        <f>IF(BG1428&gt;0,1,0)</f>
        <v>1</v>
      </c>
      <c r="BG1428" s="137">
        <f>VLOOKUP($E1428,[2]Current!$A:$AC,27,FALSE)</f>
        <v>8</v>
      </c>
      <c r="BH1428" s="128">
        <f>BG1428/$AS1428</f>
        <v>34.934497816593876</v>
      </c>
      <c r="BI1428" s="130">
        <f>IF(BJ1428&gt;0,1,0)</f>
        <v>0</v>
      </c>
      <c r="BJ1428" s="128">
        <f>VLOOKUP($E1428,[2]Current!$A:$AC,28,FALSE)</f>
        <v>0</v>
      </c>
      <c r="BK1428" s="128">
        <f>BJ1428/$AS1428</f>
        <v>0</v>
      </c>
      <c r="BL1428" s="128">
        <f>IF(BM1428&gt;0,1,0)</f>
        <v>1</v>
      </c>
      <c r="BM1428" s="128">
        <f>SUM(BR1428,BU1428,BX1428,CA1428,CD1428)</f>
        <v>1</v>
      </c>
      <c r="BN1428" s="131">
        <f>SUM(BT1428,BW1428,BZ1428,CC1428,CF1428)</f>
        <v>4.3668122270742344</v>
      </c>
      <c r="BO1428" s="128">
        <f>IF(BP1428&gt;0,1,0)</f>
        <v>1</v>
      </c>
      <c r="BP1428" s="128">
        <f>BM1428+CJ1428</f>
        <v>1</v>
      </c>
      <c r="BQ1428" s="128">
        <f>BN1428+CL1428</f>
        <v>4.3668122270742344</v>
      </c>
      <c r="BR1428" s="130">
        <f>IF(BS1428&gt;0,1,0)</f>
        <v>0</v>
      </c>
      <c r="BS1428" s="128">
        <f>VLOOKUP($E1428,[2]Current!$A:$AC,12,FALSE)</f>
        <v>0</v>
      </c>
      <c r="BT1428" s="137">
        <f>BS1428/$AS1428</f>
        <v>0</v>
      </c>
      <c r="BU1428" s="130">
        <f>IF(BV1428&gt;0,1,0)</f>
        <v>0</v>
      </c>
      <c r="BV1428" s="128">
        <f>VLOOKUP($E1428,[2]Current!$A:$AC,13,FALSE)</f>
        <v>0</v>
      </c>
      <c r="BW1428" s="128">
        <f>BV1428/$AS1428</f>
        <v>0</v>
      </c>
      <c r="BX1428" s="130">
        <f>IF(BY1428&gt;0,1,0)</f>
        <v>1</v>
      </c>
      <c r="BY1428" s="128">
        <f>VLOOKUP($E1428,[2]Current!$A:$AC,14,FALSE)</f>
        <v>1</v>
      </c>
      <c r="BZ1428" s="128">
        <f>BY1428/$AS1428</f>
        <v>4.3668122270742344</v>
      </c>
      <c r="CA1428" s="130">
        <f>IF(CB1428&gt;0,1,0)</f>
        <v>0</v>
      </c>
      <c r="CB1428" s="128">
        <f>VLOOKUP($E1428,[2]Current!$A:$AC,15,FALSE)</f>
        <v>0</v>
      </c>
      <c r="CC1428" s="128">
        <f>CB1428/$AS1428</f>
        <v>0</v>
      </c>
      <c r="CD1428" s="174">
        <f>IF(CE1428&gt;0,1,0)</f>
        <v>0</v>
      </c>
      <c r="CE1428" s="128">
        <f>VLOOKUP($E1428,[2]Current!$A:$AC,16,FALSE)</f>
        <v>0</v>
      </c>
      <c r="CF1428" s="128">
        <f>CE1428/$AS1428</f>
        <v>0</v>
      </c>
      <c r="CG1428" s="18"/>
      <c r="CH1428" s="18"/>
      <c r="CI1428" s="18"/>
      <c r="CJ1428" s="130">
        <f>IF(CK1428&gt;0,1,0)</f>
        <v>0</v>
      </c>
      <c r="CK1428" s="128">
        <f>VLOOKUP($E1428,[2]Current!$A:$AC,18,FALSE)</f>
        <v>0</v>
      </c>
      <c r="CL1428" s="128">
        <f>CK1428/$AS1428</f>
        <v>0</v>
      </c>
      <c r="CS1428" s="130">
        <f>IF(CU1428&gt;0,1,0)</f>
        <v>1</v>
      </c>
      <c r="CU1428" s="128">
        <f>VLOOKUP($E1428,[2]Current!$A:$AC,17,FALSE)</f>
        <v>117</v>
      </c>
      <c r="CV1428" s="128">
        <f>CU1428/$AS1428</f>
        <v>510.9170305676854</v>
      </c>
      <c r="CW1428" s="18"/>
      <c r="CX1428" s="18"/>
      <c r="CY1428" s="18"/>
      <c r="DF1428" s="16" t="e">
        <f>VLOOKUP(K1428,'[3]RNA Seq summary tables'!$V$3:$V$99,1,FALSE)</f>
        <v>#N/A</v>
      </c>
      <c r="DG1428" s="126" t="s">
        <v>123</v>
      </c>
    </row>
    <row r="1429" spans="1:288" ht="16" x14ac:dyDescent="0.2">
      <c r="B1429" s="18">
        <v>2018</v>
      </c>
      <c r="C1429" s="148">
        <v>43313</v>
      </c>
      <c r="D1429" s="149" t="s">
        <v>1200</v>
      </c>
      <c r="E1429" s="20" t="str">
        <f>CONCATENATE(T1429,"-",U1429,"-",C1429)</f>
        <v>SP2-B2-43313</v>
      </c>
      <c r="F1429" s="16" t="s">
        <v>227</v>
      </c>
      <c r="G1429" s="145" t="s">
        <v>107</v>
      </c>
      <c r="H1429" s="145"/>
      <c r="I1429" s="145"/>
      <c r="J1429" s="145">
        <v>1572</v>
      </c>
      <c r="K1429" s="145">
        <v>2715</v>
      </c>
      <c r="M1429" s="16"/>
      <c r="N1429" s="16"/>
      <c r="O1429" s="15" t="s">
        <v>214</v>
      </c>
      <c r="Q1429" s="16">
        <f t="shared" si="10"/>
        <v>1</v>
      </c>
      <c r="R1429" s="16">
        <f t="shared" si="11"/>
        <v>11</v>
      </c>
      <c r="S1429" s="145"/>
      <c r="T1429" s="145" t="s">
        <v>137</v>
      </c>
      <c r="U1429" s="145" t="s">
        <v>130</v>
      </c>
      <c r="V1429" s="145" t="s">
        <v>114</v>
      </c>
      <c r="W1429" s="145"/>
      <c r="X1429" s="145" t="s">
        <v>121</v>
      </c>
      <c r="Y1429" s="145" t="s">
        <v>110</v>
      </c>
      <c r="Z1429" s="145">
        <v>3</v>
      </c>
      <c r="AA1429" s="145" t="s">
        <v>119</v>
      </c>
      <c r="AB1429" s="145" t="s">
        <v>123</v>
      </c>
      <c r="AC1429" s="145" t="s">
        <v>116</v>
      </c>
      <c r="AD1429" s="145" t="s">
        <v>116</v>
      </c>
      <c r="AE1429" s="145"/>
      <c r="AF1429" s="145"/>
      <c r="AG1429" s="145">
        <f>AH1429-AI1429</f>
        <v>86</v>
      </c>
      <c r="AH1429" s="145">
        <v>162</v>
      </c>
      <c r="AI1429" s="145">
        <v>76</v>
      </c>
      <c r="AJ1429" s="145"/>
      <c r="AK1429" s="145">
        <v>19</v>
      </c>
      <c r="AL1429" s="145">
        <v>0</v>
      </c>
      <c r="AM1429" s="145">
        <v>0</v>
      </c>
      <c r="AN1429" s="145">
        <v>0</v>
      </c>
      <c r="AO1429" s="16">
        <f>IF(SUM(AL1429:AN1429)&gt;0, 1,0)</f>
        <v>0</v>
      </c>
      <c r="AP1429" s="16">
        <f>SUM(AL1429:AN1429)</f>
        <v>0</v>
      </c>
      <c r="AS1429" s="16">
        <f>VLOOKUP(E1429,'[1]Feces weights'!$D$1:$H$459,5,FALSE)</f>
        <v>0.25</v>
      </c>
      <c r="AT1429" s="16" t="e">
        <f>VLOOKUP(E1429,[2]Current!$A$1:$W$435,7,FALSE)</f>
        <v>#N/A</v>
      </c>
      <c r="BG1429" s="77"/>
      <c r="BT1429" s="77"/>
      <c r="CD1429" s="77"/>
      <c r="DG1429" s="145" t="s">
        <v>123</v>
      </c>
      <c r="DT1429" s="145" t="s">
        <v>123</v>
      </c>
      <c r="DU1429" s="145"/>
      <c r="DX1429" s="145"/>
      <c r="DY1429" s="145"/>
      <c r="DZ1429" s="16"/>
      <c r="EA1429" s="16"/>
      <c r="EB1429" s="16"/>
      <c r="EC1429" s="16"/>
      <c r="ED1429" s="16"/>
      <c r="EE1429" s="16"/>
      <c r="EF1429" s="16"/>
      <c r="JO1429" s="18"/>
      <c r="JP1429" s="18"/>
      <c r="JQ1429" s="18"/>
      <c r="JR1429" s="18"/>
      <c r="JS1429" s="18"/>
      <c r="JT1429" s="18"/>
      <c r="JU1429" s="18"/>
      <c r="JV1429" s="18"/>
      <c r="JW1429" s="18"/>
      <c r="JX1429" s="18"/>
      <c r="JY1429" s="18"/>
      <c r="JZ1429" s="18"/>
      <c r="KA1429" s="18"/>
    </row>
    <row r="1430" spans="1:288" ht="16" x14ac:dyDescent="0.2">
      <c r="B1430" s="18">
        <v>2018</v>
      </c>
      <c r="C1430" s="193">
        <v>43303</v>
      </c>
      <c r="D1430" s="149" t="s">
        <v>1039</v>
      </c>
      <c r="E1430" s="37" t="str">
        <f>CONCATENATE(T1430,"-",U1430,"-",C1430)</f>
        <v>BC1-A1-43303</v>
      </c>
      <c r="F1430" s="16" t="s">
        <v>227</v>
      </c>
      <c r="G1430" s="126" t="s">
        <v>107</v>
      </c>
      <c r="H1430" s="126" t="s">
        <v>1086</v>
      </c>
      <c r="J1430" s="126">
        <v>1574</v>
      </c>
      <c r="K1430" s="126">
        <v>2670</v>
      </c>
      <c r="O1430" s="15" t="s">
        <v>214</v>
      </c>
      <c r="Q1430" s="16">
        <f t="shared" si="10"/>
        <v>0</v>
      </c>
      <c r="R1430" s="16" t="str">
        <f t="shared" si="11"/>
        <v/>
      </c>
      <c r="T1430" s="126" t="s">
        <v>159</v>
      </c>
      <c r="U1430" s="126" t="s">
        <v>210</v>
      </c>
      <c r="V1430" s="126" t="s">
        <v>142</v>
      </c>
      <c r="X1430" s="126" t="s">
        <v>121</v>
      </c>
      <c r="Y1430" s="126" t="s">
        <v>145</v>
      </c>
      <c r="Z1430" s="126">
        <v>1</v>
      </c>
      <c r="AA1430" s="126" t="s">
        <v>119</v>
      </c>
      <c r="AB1430" s="126" t="s">
        <v>123</v>
      </c>
      <c r="AC1430" s="126" t="s">
        <v>123</v>
      </c>
      <c r="AD1430" s="126"/>
      <c r="AE1430" s="126"/>
      <c r="AG1430" s="40">
        <f>AH1430-AI1430</f>
        <v>69</v>
      </c>
      <c r="AH1430" s="126">
        <v>141</v>
      </c>
      <c r="AI1430" s="126">
        <v>72</v>
      </c>
      <c r="AK1430" s="126">
        <v>10.5</v>
      </c>
      <c r="AL1430" s="126">
        <v>0</v>
      </c>
      <c r="AM1430" s="126">
        <v>0</v>
      </c>
      <c r="AN1430" s="126">
        <v>0</v>
      </c>
      <c r="AO1430" s="16">
        <f>IF(SUM(AL1430:AN1430)&gt;0,1,0)</f>
        <v>0</v>
      </c>
      <c r="AP1430" s="18">
        <f>SUM(AL1430:AN1430)</f>
        <v>0</v>
      </c>
      <c r="AR1430" s="16">
        <v>0.48600000000000021</v>
      </c>
      <c r="AS1430" s="16">
        <f>VLOOKUP(E1430,'[1]Feces weights'!$D$1:$H$459,5,FALSE)</f>
        <v>0.48600000000000021</v>
      </c>
      <c r="AT1430" s="16" t="str">
        <f>VLOOKUP(E1430,[2]Current!$A$1:$W$435,7,FALSE)</f>
        <v>DP</v>
      </c>
      <c r="AU1430" s="16" t="s">
        <v>1288</v>
      </c>
      <c r="AW1430" s="128">
        <f>IF(AX1430&gt;0,1,0)</f>
        <v>1</v>
      </c>
      <c r="AX1430" s="128">
        <f>SUM(BA1430,BM1430,CU1430)</f>
        <v>3</v>
      </c>
      <c r="AY1430" s="128">
        <f>SUM(BB1430,BN1430,CV1430)</f>
        <v>111.11111111111106</v>
      </c>
      <c r="AZ1430" s="128">
        <f>IF(BA1430&gt;0,1,0)</f>
        <v>1</v>
      </c>
      <c r="BA1430" s="128">
        <f>SUM(BC1430+BF1430+BI1430)</f>
        <v>3</v>
      </c>
      <c r="BB1430" s="128">
        <f>SUM(BE1430,BH1430,BK1430)</f>
        <v>111.11111111111106</v>
      </c>
      <c r="BC1430" s="130">
        <f>IF(BD1430&gt;0,1,0)</f>
        <v>1</v>
      </c>
      <c r="BD1430" s="128">
        <f>VLOOKUP($E1430,[2]Current!$A:$AC,26,FALSE)</f>
        <v>18</v>
      </c>
      <c r="BE1430" s="128">
        <f>BD1430/$AS1430</f>
        <v>37.037037037037024</v>
      </c>
      <c r="BF1430" s="130">
        <f>IF(BG1430&gt;0,1,0)</f>
        <v>1</v>
      </c>
      <c r="BG1430" s="137">
        <f>VLOOKUP($E1430,[2]Current!$A:$AC,27,FALSE)</f>
        <v>32</v>
      </c>
      <c r="BH1430" s="128">
        <f>BG1430/$AS1430</f>
        <v>65.843621399176925</v>
      </c>
      <c r="BI1430" s="130">
        <f>IF(BJ1430&gt;0,1,0)</f>
        <v>1</v>
      </c>
      <c r="BJ1430" s="128">
        <f>VLOOKUP($E1430,[2]Current!$A:$AC,28,FALSE)</f>
        <v>4</v>
      </c>
      <c r="BK1430" s="128">
        <f>BJ1430/$AS1430</f>
        <v>8.2304526748971156</v>
      </c>
      <c r="BL1430" s="128">
        <f>IF(BM1430&gt;0,1,0)</f>
        <v>0</v>
      </c>
      <c r="BM1430" s="128">
        <f>SUM(BR1430,BU1430,BX1430,CA1430,CD1430)</f>
        <v>0</v>
      </c>
      <c r="BN1430" s="131">
        <f>SUM(BT1430,BW1430,BZ1430,CC1430,CF1430)</f>
        <v>0</v>
      </c>
      <c r="BO1430" s="128">
        <f>IF(BP1430&gt;0,1,0)</f>
        <v>0</v>
      </c>
      <c r="BP1430" s="128">
        <f>BM1430+CJ1430</f>
        <v>0</v>
      </c>
      <c r="BQ1430" s="128">
        <f>BN1430+CL1430</f>
        <v>0</v>
      </c>
      <c r="BR1430" s="130">
        <f>IF(BS1430&gt;0,1,0)</f>
        <v>0</v>
      </c>
      <c r="BS1430" s="128">
        <f>VLOOKUP($E1430,[2]Current!$A:$AC,12,FALSE)</f>
        <v>0</v>
      </c>
      <c r="BT1430" s="137">
        <f>BS1430/$AS1430</f>
        <v>0</v>
      </c>
      <c r="BU1430" s="130">
        <f>IF(BV1430&gt;0,1,0)</f>
        <v>0</v>
      </c>
      <c r="BV1430" s="128">
        <f>VLOOKUP($E1430,[2]Current!$A:$AC,13,FALSE)</f>
        <v>0</v>
      </c>
      <c r="BW1430" s="128">
        <f>BV1430/$AS1430</f>
        <v>0</v>
      </c>
      <c r="BX1430" s="130">
        <f>IF(BY1430&gt;0,1,0)</f>
        <v>0</v>
      </c>
      <c r="BY1430" s="128">
        <f>VLOOKUP($E1430,[2]Current!$A:$AC,14,FALSE)</f>
        <v>0</v>
      </c>
      <c r="BZ1430" s="128">
        <f>BY1430/$AS1430</f>
        <v>0</v>
      </c>
      <c r="CA1430" s="130">
        <f>IF(CB1430&gt;0,1,0)</f>
        <v>0</v>
      </c>
      <c r="CB1430" s="128">
        <f>VLOOKUP($E1430,[2]Current!$A:$AC,15,FALSE)</f>
        <v>0</v>
      </c>
      <c r="CC1430" s="128">
        <f>CB1430/$AS1430</f>
        <v>0</v>
      </c>
      <c r="CD1430" s="174">
        <f>IF(CE1430&gt;0,1,0)</f>
        <v>0</v>
      </c>
      <c r="CE1430" s="128">
        <f>VLOOKUP($E1430,[2]Current!$A:$AC,16,FALSE)</f>
        <v>0</v>
      </c>
      <c r="CF1430" s="128">
        <f>CE1430/$AS1430</f>
        <v>0</v>
      </c>
      <c r="CG1430" s="18"/>
      <c r="CH1430" s="18"/>
      <c r="CI1430" s="18"/>
      <c r="CJ1430" s="130">
        <f>IF(CK1430&gt;0,1,0)</f>
        <v>0</v>
      </c>
      <c r="CK1430" s="128">
        <f>VLOOKUP($E1430,[2]Current!$A:$AC,18,FALSE)</f>
        <v>0</v>
      </c>
      <c r="CL1430" s="128">
        <f>CK1430/$AS1430</f>
        <v>0</v>
      </c>
      <c r="CS1430" s="130">
        <f>IF(CU1430&gt;0,1,0)</f>
        <v>0</v>
      </c>
      <c r="CU1430" s="128">
        <f>VLOOKUP($E1430,[2]Current!$A:$AC,17,FALSE)</f>
        <v>0</v>
      </c>
      <c r="CV1430" s="128">
        <f>CU1430/$AS1430</f>
        <v>0</v>
      </c>
      <c r="CW1430" s="18"/>
      <c r="CX1430" s="18"/>
      <c r="CY1430" s="18"/>
      <c r="DF1430" s="16" t="e">
        <f>VLOOKUP(K1430,'[3]RNA Seq summary tables'!$V$3:$V$99,1,FALSE)</f>
        <v>#N/A</v>
      </c>
      <c r="DG1430" s="126" t="s">
        <v>123</v>
      </c>
    </row>
    <row r="1431" spans="1:288" ht="16" x14ac:dyDescent="0.2">
      <c r="B1431" s="18">
        <v>2018</v>
      </c>
      <c r="C1431" s="193">
        <v>43305</v>
      </c>
      <c r="D1431" s="149" t="s">
        <v>1050</v>
      </c>
      <c r="E1431" s="37" t="str">
        <f>CONCATENATE(T1431,"-",U1431,"-",C1431)</f>
        <v>HW1-B8-43305</v>
      </c>
      <c r="F1431" s="16" t="s">
        <v>227</v>
      </c>
      <c r="G1431" s="126" t="s">
        <v>107</v>
      </c>
      <c r="H1431" s="126" t="s">
        <v>1153</v>
      </c>
      <c r="J1431" s="126">
        <v>1576</v>
      </c>
      <c r="K1431" s="126"/>
      <c r="O1431" s="15" t="s">
        <v>214</v>
      </c>
      <c r="Q1431" s="16">
        <f t="shared" si="10"/>
        <v>0</v>
      </c>
      <c r="R1431" s="16" t="str">
        <f t="shared" si="11"/>
        <v/>
      </c>
      <c r="T1431" s="126" t="s">
        <v>133</v>
      </c>
      <c r="U1431" s="126" t="s">
        <v>209</v>
      </c>
      <c r="V1431" s="126" t="s">
        <v>114</v>
      </c>
      <c r="X1431" s="126" t="s">
        <v>121</v>
      </c>
      <c r="Y1431" s="126" t="s">
        <v>145</v>
      </c>
      <c r="Z1431" s="126">
        <v>1</v>
      </c>
      <c r="AA1431" s="126" t="s">
        <v>119</v>
      </c>
      <c r="AB1431" s="126" t="s">
        <v>123</v>
      </c>
      <c r="AC1431" s="126" t="s">
        <v>123</v>
      </c>
      <c r="AD1431" s="126"/>
      <c r="AE1431" s="126"/>
      <c r="AG1431" s="40">
        <f>AH1431-AI1431</f>
        <v>74</v>
      </c>
      <c r="AH1431" s="126">
        <v>138</v>
      </c>
      <c r="AI1431" s="126">
        <v>64</v>
      </c>
      <c r="AK1431" s="126">
        <v>11.5</v>
      </c>
      <c r="AL1431" s="126">
        <v>0</v>
      </c>
      <c r="AM1431" s="126">
        <v>1</v>
      </c>
      <c r="AN1431" s="126">
        <v>1</v>
      </c>
      <c r="AO1431" s="16">
        <f>IF(SUM(AL1431:AN1431)&gt;0,1,0)</f>
        <v>1</v>
      </c>
      <c r="AP1431" s="18">
        <f>SUM(AL1431:AN1431)</f>
        <v>2</v>
      </c>
      <c r="AR1431" s="16">
        <v>0.26300000000000012</v>
      </c>
      <c r="AS1431" s="16">
        <f>VLOOKUP(E1431,'[1]Feces weights'!$D$1:$H$459,5,FALSE)</f>
        <v>0.26300000000000012</v>
      </c>
      <c r="AT1431" s="16" t="e">
        <f>VLOOKUP(E1431,[2]Current!$A$1:$W$435,7,FALSE)</f>
        <v>#N/A</v>
      </c>
      <c r="AU1431" s="16">
        <v>0</v>
      </c>
      <c r="BG1431" s="77"/>
      <c r="BN1431" s="126"/>
      <c r="BT1431" s="78"/>
      <c r="BU1431" s="18"/>
      <c r="BV1431" s="18"/>
      <c r="BW1431" s="25"/>
      <c r="BX1431" s="18"/>
      <c r="BY1431" s="18"/>
      <c r="BZ1431" s="25"/>
      <c r="CA1431" s="18"/>
      <c r="CB1431" s="18"/>
      <c r="CC1431" s="25"/>
      <c r="CD1431" s="78"/>
      <c r="CE1431" s="18"/>
      <c r="CF1431" s="25"/>
      <c r="CG1431" s="18"/>
      <c r="CH1431" s="18"/>
      <c r="CI1431" s="18"/>
      <c r="CJ1431" s="18"/>
      <c r="CK1431" s="18"/>
      <c r="CL1431" s="25"/>
      <c r="DF1431" s="16" t="e">
        <f>VLOOKUP(K1431,'[3]RNA Seq summary tables'!$V$3:$V$99,1,FALSE)</f>
        <v>#N/A</v>
      </c>
      <c r="DG1431" s="126" t="s">
        <v>123</v>
      </c>
    </row>
    <row r="1432" spans="1:288" ht="16" x14ac:dyDescent="0.2">
      <c r="B1432" s="18">
        <v>2018</v>
      </c>
      <c r="C1432" s="193">
        <v>43305</v>
      </c>
      <c r="D1432" s="149" t="s">
        <v>1053</v>
      </c>
      <c r="E1432" s="142" t="str">
        <f>CONCATENATE(T1432,"-",U1432,"-",C1432)</f>
        <v>HW1-F8-43305</v>
      </c>
      <c r="F1432" s="16" t="s">
        <v>227</v>
      </c>
      <c r="G1432" s="126" t="s">
        <v>107</v>
      </c>
      <c r="H1432" s="126"/>
      <c r="J1432" s="126">
        <v>1578</v>
      </c>
      <c r="K1432" s="126">
        <v>2689</v>
      </c>
      <c r="O1432" s="15" t="s">
        <v>214</v>
      </c>
      <c r="Q1432" s="16">
        <f t="shared" si="10"/>
        <v>0</v>
      </c>
      <c r="R1432" s="16" t="str">
        <f t="shared" si="11"/>
        <v/>
      </c>
      <c r="T1432" s="126" t="s">
        <v>133</v>
      </c>
      <c r="U1432" s="126" t="s">
        <v>138</v>
      </c>
      <c r="V1432" s="126" t="s">
        <v>114</v>
      </c>
      <c r="X1432" s="126" t="s">
        <v>115</v>
      </c>
      <c r="Y1432" s="126" t="s">
        <v>110</v>
      </c>
      <c r="Z1432" s="126">
        <v>3</v>
      </c>
      <c r="AA1432" s="126"/>
      <c r="AB1432" s="126"/>
      <c r="AC1432" s="126"/>
      <c r="AD1432" s="126" t="s">
        <v>116</v>
      </c>
      <c r="AE1432" s="126" t="s">
        <v>116</v>
      </c>
      <c r="AG1432" s="40">
        <f>AH1432-AI1432</f>
        <v>84</v>
      </c>
      <c r="AH1432" s="126">
        <v>163</v>
      </c>
      <c r="AI1432" s="126">
        <v>79</v>
      </c>
      <c r="AK1432" s="126">
        <v>16.5</v>
      </c>
      <c r="AL1432" s="126">
        <v>1</v>
      </c>
      <c r="AM1432" s="126">
        <v>0</v>
      </c>
      <c r="AN1432" s="126">
        <v>0</v>
      </c>
      <c r="AO1432" s="16">
        <f>IF(SUM(AL1432:AN1432)&gt;0,1,0)</f>
        <v>1</v>
      </c>
      <c r="AP1432" s="18">
        <f>SUM(AL1432:AN1432)</f>
        <v>1</v>
      </c>
      <c r="AR1432" s="16">
        <v>0.31100000000000017</v>
      </c>
      <c r="AS1432" s="16">
        <f>VLOOKUP(E1432,'[1]Feces weights'!$D$1:$H$459,5,FALSE)</f>
        <v>0.31100000000000017</v>
      </c>
      <c r="AT1432" s="16" t="e">
        <f>VLOOKUP(E1432,[2]Current!$A$1:$W$435,7,FALSE)</f>
        <v>#N/A</v>
      </c>
      <c r="AU1432" s="18">
        <v>0</v>
      </c>
      <c r="AV1432" s="18"/>
      <c r="AW1432" s="18"/>
      <c r="AX1432" s="18"/>
      <c r="AY1432" s="18"/>
      <c r="AZ1432" s="18"/>
      <c r="BA1432" s="18"/>
      <c r="BB1432" s="18"/>
      <c r="BC1432" s="149"/>
      <c r="BD1432" s="18"/>
      <c r="BE1432" s="18"/>
      <c r="BF1432" s="149"/>
      <c r="BG1432" s="78"/>
      <c r="BH1432" s="18"/>
      <c r="BI1432" s="149"/>
      <c r="BJ1432" s="18"/>
      <c r="BK1432" s="18"/>
      <c r="BL1432" s="18"/>
      <c r="BM1432" s="18"/>
      <c r="BN1432" s="125"/>
      <c r="BO1432" s="18"/>
      <c r="BP1432" s="18"/>
      <c r="BQ1432" s="18"/>
      <c r="BR1432" s="149"/>
      <c r="BS1432" s="18"/>
      <c r="BT1432" s="78"/>
      <c r="BU1432" s="149"/>
      <c r="BV1432" s="18"/>
      <c r="BW1432" s="18"/>
      <c r="BX1432" s="149"/>
      <c r="BY1432" s="18"/>
      <c r="BZ1432" s="18"/>
      <c r="CA1432" s="149"/>
      <c r="CB1432" s="18"/>
      <c r="CC1432" s="18"/>
      <c r="CD1432" s="187"/>
      <c r="CE1432" s="18"/>
      <c r="CF1432" s="18"/>
      <c r="CG1432" s="18"/>
      <c r="CH1432" s="18"/>
      <c r="CI1432" s="18"/>
      <c r="CJ1432" s="149"/>
      <c r="CK1432" s="18"/>
      <c r="CL1432" s="18"/>
      <c r="CM1432" s="18"/>
      <c r="CN1432" s="18"/>
      <c r="CO1432" s="18"/>
      <c r="CP1432" s="18"/>
      <c r="CQ1432" s="18"/>
      <c r="CR1432" s="18"/>
      <c r="CS1432" s="149"/>
      <c r="CT1432" s="18"/>
      <c r="CU1432" s="18"/>
      <c r="CV1432" s="18"/>
      <c r="CW1432" s="25"/>
      <c r="CX1432" s="25"/>
      <c r="CY1432" s="25"/>
      <c r="CZ1432" s="25"/>
      <c r="DA1432" s="18"/>
      <c r="DB1432" s="18"/>
      <c r="DF1432" s="16" t="e">
        <f>VLOOKUP(K1432,'[3]RNA Seq summary tables'!$V$3:$V$99,1,FALSE)</f>
        <v>#N/A</v>
      </c>
      <c r="DG1432" s="126" t="s">
        <v>123</v>
      </c>
      <c r="JR1432" s="30"/>
      <c r="JS1432" s="30"/>
      <c r="JT1432" s="30"/>
      <c r="JU1432" s="30"/>
      <c r="JV1432" s="30"/>
      <c r="JW1432" s="30"/>
      <c r="JX1432" s="30"/>
      <c r="JY1432" s="30"/>
      <c r="JZ1432" s="30"/>
      <c r="KA1432" s="30"/>
      <c r="KB1432" s="30"/>
    </row>
    <row r="1433" spans="1:288" ht="16" x14ac:dyDescent="0.2">
      <c r="B1433" s="18">
        <v>2018</v>
      </c>
      <c r="C1433" s="148">
        <v>43305</v>
      </c>
      <c r="D1433" s="149" t="s">
        <v>1171</v>
      </c>
      <c r="E1433" s="37" t="str">
        <f>CONCATENATE(T1433,"-",U1433,"-",C1433)</f>
        <v>HW1-F8-43305</v>
      </c>
      <c r="F1433" s="16" t="s">
        <v>227</v>
      </c>
      <c r="G1433" s="145" t="s">
        <v>107</v>
      </c>
      <c r="H1433" s="145"/>
      <c r="I1433" s="145"/>
      <c r="J1433" s="145">
        <v>1578</v>
      </c>
      <c r="K1433" s="145">
        <v>2689</v>
      </c>
      <c r="M1433" s="16"/>
      <c r="N1433" s="16"/>
      <c r="O1433" s="15" t="s">
        <v>214</v>
      </c>
      <c r="Q1433" s="16">
        <f t="shared" si="10"/>
        <v>1</v>
      </c>
      <c r="R1433" s="16">
        <f t="shared" si="11"/>
        <v>0</v>
      </c>
      <c r="S1433" s="145"/>
      <c r="T1433" s="145" t="s">
        <v>133</v>
      </c>
      <c r="U1433" s="145" t="s">
        <v>138</v>
      </c>
      <c r="V1433" s="145" t="s">
        <v>114</v>
      </c>
      <c r="W1433" s="145"/>
      <c r="X1433" s="145" t="s">
        <v>115</v>
      </c>
      <c r="Y1433" s="145" t="s">
        <v>110</v>
      </c>
      <c r="Z1433" s="145">
        <v>3</v>
      </c>
      <c r="AA1433" s="145"/>
      <c r="AB1433" s="145"/>
      <c r="AC1433" s="145"/>
      <c r="AD1433" s="145"/>
      <c r="AE1433" s="145" t="s">
        <v>116</v>
      </c>
      <c r="AF1433" s="145" t="s">
        <v>116</v>
      </c>
      <c r="AG1433" s="145">
        <f>AH1433-AI1433</f>
        <v>84</v>
      </c>
      <c r="AH1433" s="145">
        <v>163</v>
      </c>
      <c r="AI1433" s="145">
        <v>79</v>
      </c>
      <c r="AJ1433" s="145"/>
      <c r="AK1433" s="145">
        <v>16.5</v>
      </c>
      <c r="AL1433" s="145">
        <v>1</v>
      </c>
      <c r="AM1433" s="145">
        <v>0</v>
      </c>
      <c r="AN1433" s="145">
        <v>0</v>
      </c>
      <c r="AO1433" s="16">
        <f>IF(SUM(AL1433:AN1433)&gt;0, 1,0)</f>
        <v>1</v>
      </c>
      <c r="AP1433" s="16">
        <f>SUM(AL1433:AN1433)</f>
        <v>1</v>
      </c>
      <c r="AS1433" s="16">
        <f>VLOOKUP(E1433,'[1]Feces weights'!$D$1:$H$459,5,FALSE)</f>
        <v>0.31100000000000017</v>
      </c>
      <c r="AT1433" s="16" t="e">
        <f>VLOOKUP(E1433,[2]Current!$A$1:$W$435,7,FALSE)</f>
        <v>#N/A</v>
      </c>
      <c r="BG1433" s="77"/>
      <c r="BT1433" s="77"/>
      <c r="CD1433" s="77"/>
      <c r="DG1433" s="145" t="s">
        <v>123</v>
      </c>
      <c r="DT1433" s="145" t="s">
        <v>123</v>
      </c>
      <c r="DU1433" s="145"/>
      <c r="DX1433" s="145"/>
      <c r="DY1433" s="145"/>
      <c r="DZ1433" s="16"/>
      <c r="EA1433" s="16"/>
      <c r="EB1433" s="16"/>
      <c r="EC1433" s="16"/>
      <c r="ED1433" s="16"/>
      <c r="EE1433" s="16"/>
      <c r="EF1433" s="16"/>
      <c r="JO1433" s="18"/>
      <c r="JP1433" s="18"/>
      <c r="JQ1433" s="18"/>
      <c r="JR1433" s="18"/>
      <c r="JS1433" s="18"/>
      <c r="JT1433" s="18"/>
      <c r="JU1433" s="18"/>
      <c r="JV1433" s="18"/>
      <c r="JW1433" s="18"/>
      <c r="JX1433" s="18"/>
      <c r="JY1433" s="18"/>
      <c r="JZ1433" s="18"/>
      <c r="KA1433" s="18"/>
    </row>
    <row r="1434" spans="1:288" ht="16" x14ac:dyDescent="0.2">
      <c r="B1434" s="18">
        <v>2018</v>
      </c>
      <c r="C1434" s="148">
        <v>43306</v>
      </c>
      <c r="D1434" s="149" t="s">
        <v>1193</v>
      </c>
      <c r="E1434" s="20" t="str">
        <f>CONCATENATE(T1434,"-",U1434,"-",C1434)</f>
        <v>HW1-H7-43306</v>
      </c>
      <c r="F1434" s="16" t="s">
        <v>227</v>
      </c>
      <c r="G1434" s="145" t="s">
        <v>107</v>
      </c>
      <c r="H1434" s="145"/>
      <c r="I1434" s="145"/>
      <c r="J1434" s="145">
        <v>1582</v>
      </c>
      <c r="K1434" s="145">
        <v>2711</v>
      </c>
      <c r="M1434" s="16"/>
      <c r="N1434" s="16"/>
      <c r="O1434" s="15" t="s">
        <v>214</v>
      </c>
      <c r="Q1434" s="16">
        <f t="shared" si="10"/>
        <v>0</v>
      </c>
      <c r="R1434" s="16" t="str">
        <f t="shared" si="11"/>
        <v/>
      </c>
      <c r="S1434" s="145"/>
      <c r="T1434" s="145" t="s">
        <v>133</v>
      </c>
      <c r="U1434" s="145" t="s">
        <v>202</v>
      </c>
      <c r="V1434" s="145" t="s">
        <v>114</v>
      </c>
      <c r="W1434" s="145"/>
      <c r="X1434" s="145" t="s">
        <v>115</v>
      </c>
      <c r="Y1434" s="145" t="s">
        <v>110</v>
      </c>
      <c r="Z1434" s="145">
        <v>3</v>
      </c>
      <c r="AA1434" s="145"/>
      <c r="AB1434" s="145"/>
      <c r="AC1434" s="145"/>
      <c r="AD1434" s="145"/>
      <c r="AE1434" s="145" t="s">
        <v>123</v>
      </c>
      <c r="AF1434" s="145" t="s">
        <v>123</v>
      </c>
      <c r="AG1434" s="145">
        <f>AH1434-AI1434</f>
        <v>84</v>
      </c>
      <c r="AH1434" s="145">
        <v>155</v>
      </c>
      <c r="AI1434" s="145">
        <v>71</v>
      </c>
      <c r="AJ1434" s="145"/>
      <c r="AK1434" s="145">
        <v>16</v>
      </c>
      <c r="AL1434" s="145">
        <v>0</v>
      </c>
      <c r="AM1434" s="145">
        <v>0</v>
      </c>
      <c r="AN1434" s="145">
        <v>0</v>
      </c>
      <c r="AO1434" s="16">
        <f>IF(SUM(AL1434:AN1434)&gt;0, 1,0)</f>
        <v>0</v>
      </c>
      <c r="AP1434" s="16">
        <f>SUM(AL1434:AN1434)</f>
        <v>0</v>
      </c>
      <c r="AS1434" s="16">
        <f>VLOOKUP(E1434,'[1]Feces weights'!$D$1:$H$459,5,FALSE)</f>
        <v>0.40900000000000003</v>
      </c>
      <c r="AT1434" s="16" t="e">
        <f>VLOOKUP(E1434,[2]Current!$A$1:$W$435,7,FALSE)</f>
        <v>#N/A</v>
      </c>
      <c r="BG1434" s="77"/>
      <c r="BT1434" s="77"/>
      <c r="CD1434" s="77"/>
      <c r="DG1434" s="145" t="s">
        <v>123</v>
      </c>
      <c r="DT1434" s="145" t="s">
        <v>123</v>
      </c>
      <c r="DU1434" s="145"/>
      <c r="DX1434" s="145"/>
      <c r="DY1434" s="145"/>
      <c r="DZ1434" s="16"/>
      <c r="EA1434" s="16"/>
      <c r="EB1434" s="16"/>
      <c r="EC1434" s="16"/>
      <c r="ED1434" s="16"/>
      <c r="EE1434" s="16"/>
      <c r="EF1434" s="16"/>
      <c r="JO1434" s="18"/>
      <c r="JP1434" s="18"/>
      <c r="JQ1434" s="18"/>
      <c r="JR1434" s="18"/>
      <c r="JS1434" s="18"/>
      <c r="JT1434" s="18"/>
      <c r="JU1434" s="18"/>
      <c r="JV1434" s="18"/>
      <c r="JW1434" s="18"/>
      <c r="JX1434" s="18"/>
      <c r="JY1434" s="18"/>
      <c r="JZ1434" s="18"/>
      <c r="KA1434" s="18"/>
    </row>
    <row r="1435" spans="1:288" ht="16" x14ac:dyDescent="0.2">
      <c r="B1435" s="18">
        <v>2018</v>
      </c>
      <c r="C1435" s="148">
        <v>43313</v>
      </c>
      <c r="D1435" s="149" t="s">
        <v>1212</v>
      </c>
      <c r="E1435" s="20" t="str">
        <f>CONCATENATE(T1435,"-",U1435,"-",C1435)</f>
        <v>SP1-C8-43313</v>
      </c>
      <c r="F1435" s="16" t="s">
        <v>227</v>
      </c>
      <c r="G1435" s="145" t="s">
        <v>107</v>
      </c>
      <c r="H1435" s="145"/>
      <c r="I1435" s="145"/>
      <c r="J1435" s="145">
        <v>1585</v>
      </c>
      <c r="K1435" s="145">
        <v>2727</v>
      </c>
      <c r="M1435" s="16"/>
      <c r="N1435" s="16"/>
      <c r="O1435" s="15" t="s">
        <v>214</v>
      </c>
      <c r="Q1435" s="16">
        <f t="shared" si="10"/>
        <v>0</v>
      </c>
      <c r="R1435" s="16" t="str">
        <f t="shared" si="11"/>
        <v/>
      </c>
      <c r="S1435" s="145"/>
      <c r="T1435" s="145" t="s">
        <v>140</v>
      </c>
      <c r="U1435" s="145" t="s">
        <v>188</v>
      </c>
      <c r="V1435" s="145" t="s">
        <v>114</v>
      </c>
      <c r="W1435" s="145"/>
      <c r="X1435" s="145" t="s">
        <v>121</v>
      </c>
      <c r="Y1435" s="145" t="s">
        <v>110</v>
      </c>
      <c r="Z1435" s="145">
        <v>3</v>
      </c>
      <c r="AA1435" s="145" t="s">
        <v>119</v>
      </c>
      <c r="AB1435" s="145" t="s">
        <v>123</v>
      </c>
      <c r="AC1435" s="145" t="s">
        <v>116</v>
      </c>
      <c r="AD1435" s="145" t="s">
        <v>116</v>
      </c>
      <c r="AE1435" s="145"/>
      <c r="AF1435" s="145"/>
      <c r="AG1435" s="145">
        <f>AH1435-AI1435</f>
        <v>84</v>
      </c>
      <c r="AH1435" s="145">
        <v>152</v>
      </c>
      <c r="AI1435" s="145">
        <v>68</v>
      </c>
      <c r="AJ1435" s="145"/>
      <c r="AK1435" s="145">
        <v>16</v>
      </c>
      <c r="AL1435" s="145">
        <v>0</v>
      </c>
      <c r="AM1435" s="145">
        <v>0</v>
      </c>
      <c r="AN1435" s="145">
        <v>0</v>
      </c>
      <c r="AO1435" s="16">
        <f>IF(SUM(AL1435:AN1435)&gt;0, 1,0)</f>
        <v>0</v>
      </c>
      <c r="AP1435" s="16">
        <f>SUM(AL1435:AN1435)</f>
        <v>0</v>
      </c>
      <c r="AS1435" s="16">
        <f>VLOOKUP(E1435,'[1]Feces weights'!$D$1:$H$459,5,FALSE)</f>
        <v>0.33300000000000018</v>
      </c>
      <c r="AT1435" s="16" t="e">
        <f>VLOOKUP(E1435,[2]Current!$A$1:$W$435,7,FALSE)</f>
        <v>#N/A</v>
      </c>
      <c r="BG1435" s="77"/>
      <c r="BT1435" s="77"/>
      <c r="CD1435" s="77"/>
      <c r="DG1435" s="145" t="s">
        <v>123</v>
      </c>
      <c r="DT1435" s="145" t="s">
        <v>123</v>
      </c>
      <c r="DU1435" s="145"/>
      <c r="DX1435" s="145"/>
      <c r="DY1435" s="145"/>
      <c r="DZ1435" s="16"/>
      <c r="EA1435" s="16"/>
      <c r="EB1435" s="16"/>
      <c r="EC1435" s="16"/>
      <c r="ED1435" s="16"/>
      <c r="EE1435" s="16"/>
      <c r="EF1435" s="16"/>
      <c r="JO1435" s="18"/>
      <c r="JP1435" s="18"/>
      <c r="JQ1435" s="18"/>
      <c r="JR1435" s="18"/>
      <c r="JS1435" s="18"/>
      <c r="JT1435" s="18"/>
      <c r="JU1435" s="18"/>
      <c r="JV1435" s="18"/>
      <c r="JW1435" s="18"/>
      <c r="JX1435" s="18"/>
      <c r="JY1435" s="18"/>
      <c r="JZ1435" s="18"/>
      <c r="KA1435" s="18"/>
    </row>
    <row r="1436" spans="1:288" s="18" customFormat="1" ht="16" x14ac:dyDescent="0.2">
      <c r="B1436" s="18">
        <v>2018</v>
      </c>
      <c r="C1436" s="148">
        <v>43314</v>
      </c>
      <c r="D1436" s="149" t="s">
        <v>1217</v>
      </c>
      <c r="E1436" s="20" t="str">
        <f>CONCATENATE(T1436,"-",U1436,"-",C1436)</f>
        <v>SP2-A1-43314</v>
      </c>
      <c r="F1436" s="16" t="s">
        <v>227</v>
      </c>
      <c r="G1436" s="145" t="s">
        <v>107</v>
      </c>
      <c r="H1436" s="145"/>
      <c r="I1436" s="145"/>
      <c r="J1436" s="145">
        <v>1587</v>
      </c>
      <c r="K1436" s="145">
        <v>2732</v>
      </c>
      <c r="L1436" s="16"/>
      <c r="M1436" s="16"/>
      <c r="N1436" s="16"/>
      <c r="O1436" s="15" t="s">
        <v>214</v>
      </c>
      <c r="P1436" s="16"/>
      <c r="Q1436" s="16">
        <f t="shared" si="10"/>
        <v>0</v>
      </c>
      <c r="R1436" s="16" t="str">
        <f t="shared" si="11"/>
        <v/>
      </c>
      <c r="S1436" s="145"/>
      <c r="T1436" s="145" t="s">
        <v>137</v>
      </c>
      <c r="U1436" s="145" t="s">
        <v>210</v>
      </c>
      <c r="V1436" s="145" t="s">
        <v>114</v>
      </c>
      <c r="W1436" s="145"/>
      <c r="X1436" s="145" t="s">
        <v>121</v>
      </c>
      <c r="Y1436" s="145" t="s">
        <v>122</v>
      </c>
      <c r="Z1436" s="145">
        <v>2.6</v>
      </c>
      <c r="AA1436" s="145" t="s">
        <v>119</v>
      </c>
      <c r="AB1436" s="145" t="s">
        <v>123</v>
      </c>
      <c r="AC1436" s="145" t="s">
        <v>123</v>
      </c>
      <c r="AD1436" s="145" t="s">
        <v>123</v>
      </c>
      <c r="AE1436" s="145"/>
      <c r="AF1436" s="145"/>
      <c r="AG1436" s="145">
        <f>AH1436-AI1436</f>
        <v>81</v>
      </c>
      <c r="AH1436" s="145">
        <v>153</v>
      </c>
      <c r="AI1436" s="145">
        <v>72</v>
      </c>
      <c r="AJ1436" s="145"/>
      <c r="AK1436" s="145">
        <v>15.5</v>
      </c>
      <c r="AL1436" s="145">
        <v>0</v>
      </c>
      <c r="AM1436" s="145">
        <v>0</v>
      </c>
      <c r="AN1436" s="145">
        <v>0</v>
      </c>
      <c r="AO1436" s="16">
        <f>IF(SUM(AL1436:AN1436)&gt;0, 1,0)</f>
        <v>0</v>
      </c>
      <c r="AP1436" s="16">
        <f>SUM(AL1436:AN1436)</f>
        <v>0</v>
      </c>
      <c r="AQ1436" s="16"/>
      <c r="AR1436" s="16"/>
      <c r="AS1436" s="16">
        <f>VLOOKUP(E1436,'[1]Feces weights'!$D$1:$H$459,5,FALSE)</f>
        <v>0.64600000000000013</v>
      </c>
      <c r="AT1436" s="16" t="e">
        <f>VLOOKUP(E1436,[2]Current!$A$1:$W$435,7,FALSE)</f>
        <v>#N/A</v>
      </c>
      <c r="AU1436" s="16"/>
      <c r="AV1436" s="16"/>
      <c r="AW1436" s="16"/>
      <c r="AX1436" s="16"/>
      <c r="AY1436" s="16"/>
      <c r="AZ1436" s="16"/>
      <c r="BA1436" s="16"/>
      <c r="BB1436" s="16"/>
      <c r="BC1436" s="16"/>
      <c r="BD1436" s="16"/>
      <c r="BE1436" s="16"/>
      <c r="BF1436" s="16"/>
      <c r="BG1436" s="77"/>
      <c r="BH1436" s="16"/>
      <c r="BI1436" s="16"/>
      <c r="BJ1436" s="16"/>
      <c r="BK1436" s="16"/>
      <c r="BL1436" s="16"/>
      <c r="BM1436" s="16"/>
      <c r="BN1436" s="16"/>
      <c r="BO1436" s="16"/>
      <c r="BP1436" s="16"/>
      <c r="BQ1436" s="16"/>
      <c r="BR1436" s="16"/>
      <c r="BS1436" s="16"/>
      <c r="BT1436" s="77"/>
      <c r="BU1436" s="16"/>
      <c r="BV1436" s="16"/>
      <c r="BW1436" s="16"/>
      <c r="BX1436" s="16"/>
      <c r="BY1436" s="16"/>
      <c r="BZ1436" s="16"/>
      <c r="CA1436" s="16"/>
      <c r="CB1436" s="16"/>
      <c r="CC1436" s="16"/>
      <c r="CD1436" s="77"/>
      <c r="CE1436" s="16"/>
      <c r="CF1436" s="16"/>
      <c r="CG1436" s="16"/>
      <c r="CH1436" s="16"/>
      <c r="CI1436" s="16"/>
      <c r="CJ1436" s="16"/>
      <c r="CK1436" s="16"/>
      <c r="CL1436" s="16"/>
      <c r="CM1436" s="16"/>
      <c r="CN1436" s="16"/>
      <c r="CO1436" s="16"/>
      <c r="CP1436" s="16"/>
      <c r="CQ1436" s="16"/>
      <c r="CR1436" s="16"/>
      <c r="CS1436" s="16"/>
      <c r="CT1436" s="16"/>
      <c r="CU1436" s="16"/>
      <c r="CV1436" s="16"/>
      <c r="CW1436" s="16"/>
      <c r="CX1436" s="16"/>
      <c r="CY1436" s="16"/>
      <c r="CZ1436" s="16"/>
      <c r="DA1436" s="16"/>
      <c r="DB1436" s="16"/>
      <c r="DC1436" s="16"/>
      <c r="DD1436" s="16"/>
      <c r="DE1436" s="16"/>
      <c r="DF1436" s="16"/>
      <c r="DG1436" s="145" t="s">
        <v>123</v>
      </c>
      <c r="DH1436" s="16"/>
      <c r="DI1436" s="16"/>
      <c r="DJ1436" s="16"/>
      <c r="DK1436" s="16"/>
      <c r="DL1436" s="16"/>
      <c r="DM1436" s="16"/>
      <c r="DN1436" s="16"/>
      <c r="DO1436" s="16"/>
      <c r="DP1436" s="16"/>
      <c r="DQ1436" s="16"/>
      <c r="DR1436" s="16"/>
      <c r="DS1436" s="16"/>
      <c r="DT1436" s="145" t="s">
        <v>123</v>
      </c>
      <c r="DU1436" s="145"/>
      <c r="DX1436" s="145"/>
      <c r="DY1436" s="145"/>
      <c r="DZ1436" s="16"/>
      <c r="EA1436" s="16"/>
      <c r="EB1436" s="16"/>
      <c r="EC1436" s="16"/>
      <c r="ED1436" s="16"/>
      <c r="EE1436" s="16"/>
      <c r="EF1436" s="16"/>
      <c r="KB1436" s="16"/>
    </row>
    <row r="1437" spans="1:288" ht="16" x14ac:dyDescent="0.2">
      <c r="B1437" s="18">
        <v>2018</v>
      </c>
      <c r="C1437" s="148">
        <v>43314</v>
      </c>
      <c r="D1437" s="149" t="s">
        <v>1223</v>
      </c>
      <c r="E1437" s="20" t="str">
        <f>CONCATENATE(T1437,"-",U1437,"-",C1437)</f>
        <v>SP2-D2-43314</v>
      </c>
      <c r="F1437" s="16" t="s">
        <v>227</v>
      </c>
      <c r="G1437" s="145" t="s">
        <v>107</v>
      </c>
      <c r="H1437" s="145"/>
      <c r="I1437" s="145"/>
      <c r="J1437" s="145">
        <v>1589</v>
      </c>
      <c r="K1437" s="145">
        <v>2737</v>
      </c>
      <c r="M1437" s="16"/>
      <c r="N1437" s="16"/>
      <c r="O1437" s="15" t="s">
        <v>214</v>
      </c>
      <c r="Q1437" s="16">
        <f t="shared" si="10"/>
        <v>0</v>
      </c>
      <c r="R1437" s="16" t="str">
        <f t="shared" si="11"/>
        <v/>
      </c>
      <c r="S1437" s="145"/>
      <c r="T1437" s="145" t="s">
        <v>137</v>
      </c>
      <c r="U1437" s="145" t="s">
        <v>198</v>
      </c>
      <c r="V1437" s="145" t="s">
        <v>114</v>
      </c>
      <c r="W1437" s="145"/>
      <c r="X1437" s="145" t="s">
        <v>115</v>
      </c>
      <c r="Y1437" s="145" t="s">
        <v>110</v>
      </c>
      <c r="Z1437" s="145">
        <v>3</v>
      </c>
      <c r="AA1437" s="145"/>
      <c r="AB1437" s="145"/>
      <c r="AC1437" s="145"/>
      <c r="AD1437" s="145"/>
      <c r="AE1437" s="145" t="s">
        <v>116</v>
      </c>
      <c r="AF1437" s="145" t="s">
        <v>116</v>
      </c>
      <c r="AG1437" s="145">
        <f>AH1437-AI1437</f>
        <v>83</v>
      </c>
      <c r="AH1437" s="145">
        <v>157</v>
      </c>
      <c r="AI1437" s="145">
        <v>74</v>
      </c>
      <c r="AJ1437" s="145"/>
      <c r="AK1437" s="145">
        <v>20.5</v>
      </c>
      <c r="AL1437" s="145">
        <v>1</v>
      </c>
      <c r="AM1437" s="145">
        <v>0</v>
      </c>
      <c r="AN1437" s="145">
        <v>0</v>
      </c>
      <c r="AO1437" s="16">
        <f>IF(SUM(AL1437:AN1437)&gt;0, 1,0)</f>
        <v>1</v>
      </c>
      <c r="AP1437" s="16">
        <f>SUM(AL1437:AN1437)</f>
        <v>1</v>
      </c>
      <c r="AS1437" s="16">
        <f>VLOOKUP(E1437,'[1]Feces weights'!$D$1:$H$459,5,FALSE)</f>
        <v>0.2300000000000002</v>
      </c>
      <c r="AT1437" s="16" t="e">
        <f>VLOOKUP(E1437,[2]Current!$A$1:$W$435,7,FALSE)</f>
        <v>#N/A</v>
      </c>
      <c r="BG1437" s="77"/>
      <c r="BT1437" s="77"/>
      <c r="CD1437" s="77"/>
      <c r="DG1437" s="145" t="s">
        <v>123</v>
      </c>
      <c r="DT1437" s="145" t="s">
        <v>123</v>
      </c>
      <c r="DU1437" s="145"/>
      <c r="DX1437" s="145"/>
      <c r="DY1437" s="145"/>
      <c r="DZ1437" s="16"/>
      <c r="EA1437" s="16"/>
      <c r="EB1437" s="16"/>
      <c r="EC1437" s="16"/>
      <c r="ED1437" s="16"/>
      <c r="EE1437" s="16"/>
      <c r="EF1437" s="16"/>
      <c r="JO1437" s="18"/>
      <c r="JP1437" s="18"/>
      <c r="JQ1437" s="18"/>
      <c r="JR1437" s="18"/>
      <c r="JS1437" s="18"/>
      <c r="JT1437" s="18"/>
      <c r="JU1437" s="18"/>
      <c r="JV1437" s="18"/>
      <c r="JW1437" s="18"/>
      <c r="JX1437" s="18"/>
      <c r="JY1437" s="18"/>
      <c r="JZ1437" s="18"/>
      <c r="KA1437" s="18"/>
    </row>
    <row r="1438" spans="1:288" ht="16" x14ac:dyDescent="0.2">
      <c r="B1438" s="18">
        <v>2018</v>
      </c>
      <c r="C1438" s="148">
        <v>43314</v>
      </c>
      <c r="D1438" s="149" t="s">
        <v>1237</v>
      </c>
      <c r="E1438" s="20" t="str">
        <f>CONCATENATE(T1438,"-",U1438,"-",C1438)</f>
        <v>SP1-G7-43314</v>
      </c>
      <c r="F1438" s="16" t="s">
        <v>227</v>
      </c>
      <c r="G1438" s="145" t="s">
        <v>107</v>
      </c>
      <c r="H1438" s="145"/>
      <c r="I1438" s="145"/>
      <c r="J1438" s="145">
        <v>1592</v>
      </c>
      <c r="K1438" s="145">
        <v>2737</v>
      </c>
      <c r="M1438" s="16"/>
      <c r="N1438" s="16"/>
      <c r="O1438" s="15" t="s">
        <v>214</v>
      </c>
      <c r="Q1438" s="16">
        <f t="shared" si="10"/>
        <v>0</v>
      </c>
      <c r="R1438" s="16" t="str">
        <f t="shared" si="11"/>
        <v/>
      </c>
      <c r="S1438" s="145"/>
      <c r="T1438" s="145" t="s">
        <v>140</v>
      </c>
      <c r="U1438" s="145" t="s">
        <v>156</v>
      </c>
      <c r="V1438" s="145" t="s">
        <v>114</v>
      </c>
      <c r="W1438" s="145"/>
      <c r="X1438" s="145" t="s">
        <v>115</v>
      </c>
      <c r="Y1438" s="145" t="s">
        <v>145</v>
      </c>
      <c r="Z1438" s="145">
        <v>1</v>
      </c>
      <c r="AA1438" s="145"/>
      <c r="AB1438" s="145"/>
      <c r="AC1438" s="145"/>
      <c r="AD1438" s="145"/>
      <c r="AE1438" s="145" t="s">
        <v>123</v>
      </c>
      <c r="AF1438" s="145" t="s">
        <v>123</v>
      </c>
      <c r="AG1438" s="145">
        <f>AH1438-AI1438</f>
        <v>75</v>
      </c>
      <c r="AH1438" s="145">
        <v>147</v>
      </c>
      <c r="AI1438" s="145">
        <v>72</v>
      </c>
      <c r="AJ1438" s="145"/>
      <c r="AK1438" s="145">
        <v>12</v>
      </c>
      <c r="AL1438" s="145">
        <v>0</v>
      </c>
      <c r="AM1438" s="145">
        <v>0</v>
      </c>
      <c r="AN1438" s="145">
        <v>0</v>
      </c>
      <c r="AO1438" s="16">
        <f>IF(SUM(AL1438:AN1438)&gt;0, 1,0)</f>
        <v>0</v>
      </c>
      <c r="AP1438" s="16">
        <f>SUM(AL1438:AN1438)</f>
        <v>0</v>
      </c>
      <c r="AS1438" s="16">
        <f>VLOOKUP(E1438,'[1]Feces weights'!$D$1:$H$459,5,FALSE)</f>
        <v>0.2280000000000002</v>
      </c>
      <c r="AT1438" s="16" t="e">
        <f>VLOOKUP(E1438,[2]Current!$A$1:$W$435,7,FALSE)</f>
        <v>#N/A</v>
      </c>
      <c r="BG1438" s="77"/>
      <c r="BT1438" s="77"/>
      <c r="CD1438" s="77"/>
      <c r="DG1438" s="145" t="s">
        <v>123</v>
      </c>
      <c r="DT1438" s="145" t="s">
        <v>123</v>
      </c>
      <c r="DU1438" s="145"/>
      <c r="DX1438" s="145"/>
      <c r="DY1438" s="145"/>
      <c r="DZ1438" s="16"/>
      <c r="EA1438" s="16"/>
      <c r="EB1438" s="16"/>
      <c r="EC1438" s="16"/>
      <c r="ED1438" s="16"/>
      <c r="EE1438" s="16"/>
      <c r="EF1438" s="16"/>
      <c r="JO1438" s="18"/>
      <c r="JP1438" s="18"/>
      <c r="JQ1438" s="18"/>
      <c r="JR1438" s="18"/>
      <c r="JS1438" s="18"/>
      <c r="JT1438" s="18"/>
      <c r="JU1438" s="18"/>
      <c r="JV1438" s="18"/>
      <c r="JW1438" s="18"/>
      <c r="JX1438" s="18"/>
      <c r="JY1438" s="18"/>
      <c r="JZ1438" s="18"/>
      <c r="KA1438" s="18"/>
    </row>
    <row r="1439" spans="1:288" s="27" customFormat="1" ht="16" x14ac:dyDescent="0.2">
      <c r="A1439" s="18"/>
      <c r="B1439" s="16">
        <v>2018</v>
      </c>
      <c r="C1439" s="147">
        <v>43315</v>
      </c>
      <c r="D1439" t="s">
        <v>1257</v>
      </c>
      <c r="E1439" s="20" t="str">
        <f>CONCATENATE(T1439,"-",U1439,"-",C1439)</f>
        <v>PO1-H8-43315</v>
      </c>
      <c r="F1439" s="16" t="s">
        <v>227</v>
      </c>
      <c r="G1439" s="145" t="s">
        <v>107</v>
      </c>
      <c r="H1439" s="145"/>
      <c r="I1439" s="145"/>
      <c r="J1439" s="145">
        <v>1594</v>
      </c>
      <c r="K1439" s="145">
        <v>2755</v>
      </c>
      <c r="L1439" s="16"/>
      <c r="M1439" s="16"/>
      <c r="N1439" s="16"/>
      <c r="O1439" s="15" t="s">
        <v>214</v>
      </c>
      <c r="P1439" s="16"/>
      <c r="Q1439" s="16">
        <f t="shared" si="10"/>
        <v>0</v>
      </c>
      <c r="R1439" s="16" t="str">
        <f t="shared" si="11"/>
        <v/>
      </c>
      <c r="S1439" s="145"/>
      <c r="T1439" s="145" t="s">
        <v>112</v>
      </c>
      <c r="U1439" s="145" t="s">
        <v>152</v>
      </c>
      <c r="V1439" s="145" t="s">
        <v>142</v>
      </c>
      <c r="W1439" s="145"/>
      <c r="X1439" s="145" t="s">
        <v>115</v>
      </c>
      <c r="Y1439" s="145" t="s">
        <v>122</v>
      </c>
      <c r="Z1439" s="145">
        <v>2.2999999999999998</v>
      </c>
      <c r="AA1439" s="145"/>
      <c r="AB1439" s="145"/>
      <c r="AC1439" s="145"/>
      <c r="AD1439" s="145"/>
      <c r="AE1439" s="145" t="s">
        <v>123</v>
      </c>
      <c r="AF1439" s="145" t="s">
        <v>123</v>
      </c>
      <c r="AG1439" s="145">
        <f>AH1439-AI1439</f>
        <v>72</v>
      </c>
      <c r="AH1439" s="145">
        <v>144</v>
      </c>
      <c r="AI1439" s="145">
        <v>72</v>
      </c>
      <c r="AJ1439" s="145"/>
      <c r="AK1439" s="145">
        <v>11</v>
      </c>
      <c r="AL1439" s="145">
        <v>0</v>
      </c>
      <c r="AM1439" s="145">
        <v>0</v>
      </c>
      <c r="AN1439" s="145">
        <v>0</v>
      </c>
      <c r="AO1439" s="16">
        <f>IF(SUM(AL1439:AN1439)&gt;0, 1,0)</f>
        <v>0</v>
      </c>
      <c r="AP1439" s="16">
        <f>SUM(AL1439:AN1439)</f>
        <v>0</v>
      </c>
      <c r="AQ1439" s="16"/>
      <c r="AR1439" s="16"/>
      <c r="AS1439" s="16">
        <f>VLOOKUP(E1439,'[1]Feces weights'!$D$1:$H$459,5,FALSE)</f>
        <v>0.41800000000000015</v>
      </c>
      <c r="AT1439" s="16" t="e">
        <f>VLOOKUP(E1439,[2]Current!$A$1:$W$435,7,FALSE)</f>
        <v>#N/A</v>
      </c>
      <c r="AU1439" s="16"/>
      <c r="AV1439" s="16"/>
      <c r="AW1439" s="16"/>
      <c r="AX1439" s="16"/>
      <c r="AY1439" s="16"/>
      <c r="AZ1439" s="16"/>
      <c r="BA1439" s="16"/>
      <c r="BB1439" s="16"/>
      <c r="BC1439" s="16"/>
      <c r="BD1439" s="16"/>
      <c r="BE1439" s="16"/>
      <c r="BF1439" s="16"/>
      <c r="BG1439" s="77"/>
      <c r="BH1439" s="16"/>
      <c r="BI1439" s="16"/>
      <c r="BJ1439" s="16"/>
      <c r="BK1439" s="16"/>
      <c r="BL1439" s="16"/>
      <c r="BM1439" s="16"/>
      <c r="BN1439" s="16"/>
      <c r="BO1439" s="16"/>
      <c r="BP1439" s="16"/>
      <c r="BQ1439" s="16"/>
      <c r="BR1439" s="16"/>
      <c r="BS1439" s="16"/>
      <c r="BT1439" s="77"/>
      <c r="BU1439" s="16"/>
      <c r="BV1439" s="16"/>
      <c r="BW1439" s="16"/>
      <c r="BX1439" s="16"/>
      <c r="BY1439" s="16"/>
      <c r="BZ1439" s="16"/>
      <c r="CA1439" s="16"/>
      <c r="CB1439" s="16"/>
      <c r="CC1439" s="16"/>
      <c r="CD1439" s="77"/>
      <c r="CE1439" s="16"/>
      <c r="CF1439" s="16"/>
      <c r="CG1439" s="16"/>
      <c r="CH1439" s="16"/>
      <c r="CI1439" s="16"/>
      <c r="CJ1439" s="16"/>
      <c r="CK1439" s="16"/>
      <c r="CL1439" s="16"/>
      <c r="CM1439" s="16"/>
      <c r="CN1439" s="16"/>
      <c r="CO1439" s="16"/>
      <c r="CP1439" s="16"/>
      <c r="CQ1439" s="16"/>
      <c r="CR1439" s="16"/>
      <c r="CS1439" s="16"/>
      <c r="CT1439" s="16"/>
      <c r="CU1439" s="16"/>
      <c r="CV1439" s="16"/>
      <c r="CW1439" s="16"/>
      <c r="CX1439" s="16"/>
      <c r="CY1439" s="16"/>
      <c r="CZ1439" s="16"/>
      <c r="DA1439" s="16"/>
      <c r="DB1439" s="16"/>
      <c r="DC1439" s="16"/>
      <c r="DD1439" s="16"/>
      <c r="DE1439" s="16"/>
      <c r="DF1439" s="16"/>
      <c r="DG1439" s="145" t="s">
        <v>123</v>
      </c>
      <c r="DH1439" s="16"/>
      <c r="DI1439" s="16"/>
      <c r="DJ1439" s="16"/>
      <c r="DK1439" s="16"/>
      <c r="DL1439" s="16"/>
      <c r="DM1439" s="16"/>
      <c r="DN1439" s="16"/>
      <c r="DO1439" s="16"/>
      <c r="DP1439" s="16"/>
      <c r="DQ1439" s="16"/>
      <c r="DR1439" s="16"/>
      <c r="DS1439" s="16"/>
      <c r="DT1439" s="145" t="s">
        <v>123</v>
      </c>
      <c r="DU1439" s="145"/>
      <c r="DV1439" s="18"/>
      <c r="DW1439" s="18"/>
      <c r="DX1439" s="145"/>
      <c r="DY1439" s="145"/>
      <c r="DZ1439" s="16"/>
      <c r="EA1439" s="16"/>
      <c r="EB1439" s="16"/>
      <c r="EC1439" s="16"/>
      <c r="ED1439" s="16"/>
      <c r="EE1439" s="16"/>
      <c r="EF1439" s="16"/>
      <c r="EG1439" s="18"/>
      <c r="EH1439" s="18"/>
      <c r="EI1439" s="18"/>
      <c r="EJ1439" s="18"/>
      <c r="EK1439" s="18"/>
      <c r="EL1439" s="18"/>
      <c r="EM1439" s="18"/>
      <c r="EN1439" s="18"/>
      <c r="EO1439" s="18"/>
      <c r="EP1439" s="18"/>
      <c r="EQ1439" s="18"/>
      <c r="ER1439" s="18"/>
      <c r="ES1439" s="18"/>
      <c r="ET1439" s="18"/>
      <c r="EU1439" s="18"/>
      <c r="EV1439" s="18"/>
      <c r="EW1439" s="18"/>
      <c r="EX1439" s="18"/>
      <c r="EY1439" s="18"/>
      <c r="EZ1439" s="18"/>
      <c r="FA1439" s="18"/>
      <c r="FB1439" s="18"/>
      <c r="FC1439" s="18"/>
      <c r="FD1439" s="18"/>
      <c r="FE1439" s="18"/>
      <c r="FF1439" s="18"/>
      <c r="FG1439" s="18"/>
      <c r="FH1439" s="18"/>
      <c r="FI1439" s="18"/>
      <c r="FJ1439" s="18"/>
      <c r="FK1439" s="18"/>
      <c r="FL1439" s="18"/>
      <c r="FM1439" s="18"/>
      <c r="FN1439" s="18"/>
      <c r="FO1439" s="18"/>
      <c r="FP1439" s="18"/>
      <c r="FQ1439" s="18"/>
      <c r="FR1439" s="18"/>
      <c r="FS1439" s="18"/>
      <c r="FT1439" s="18"/>
      <c r="FU1439" s="18"/>
      <c r="FV1439" s="18"/>
      <c r="FW1439" s="18"/>
      <c r="FX1439" s="18"/>
      <c r="FY1439" s="18"/>
      <c r="FZ1439" s="18"/>
      <c r="GA1439" s="18"/>
      <c r="GB1439" s="18"/>
      <c r="GC1439" s="18"/>
      <c r="GD1439" s="18"/>
      <c r="GE1439" s="18"/>
      <c r="GF1439" s="18"/>
      <c r="GG1439" s="18"/>
      <c r="GH1439" s="18"/>
      <c r="GI1439" s="18"/>
      <c r="GJ1439" s="18"/>
      <c r="GK1439" s="18"/>
      <c r="GL1439" s="18"/>
      <c r="GM1439" s="18"/>
      <c r="GN1439" s="18"/>
      <c r="GO1439" s="18"/>
      <c r="GP1439" s="18"/>
      <c r="GQ1439" s="18"/>
      <c r="GR1439" s="18"/>
      <c r="GS1439" s="18"/>
      <c r="GT1439" s="18"/>
      <c r="GU1439" s="18"/>
      <c r="GV1439" s="18"/>
      <c r="GW1439" s="18"/>
      <c r="GX1439" s="18"/>
      <c r="GY1439" s="18"/>
      <c r="GZ1439" s="18"/>
      <c r="HA1439" s="18"/>
      <c r="HB1439" s="18"/>
      <c r="HC1439" s="18"/>
      <c r="HD1439" s="18"/>
      <c r="HE1439" s="18"/>
      <c r="HF1439" s="18"/>
      <c r="HG1439" s="18"/>
      <c r="HH1439" s="18"/>
      <c r="HI1439" s="18"/>
      <c r="HJ1439" s="18"/>
      <c r="HK1439" s="18"/>
      <c r="HL1439" s="18"/>
      <c r="HM1439" s="18"/>
      <c r="HN1439" s="18"/>
      <c r="HO1439" s="18"/>
      <c r="HP1439" s="18"/>
      <c r="HQ1439" s="18"/>
      <c r="HR1439" s="18"/>
      <c r="HS1439" s="18"/>
      <c r="HT1439" s="18"/>
      <c r="HU1439" s="18"/>
      <c r="HV1439" s="18"/>
      <c r="HW1439" s="18"/>
      <c r="HX1439" s="18"/>
      <c r="HY1439" s="18"/>
      <c r="HZ1439" s="18"/>
      <c r="IA1439" s="18"/>
      <c r="IB1439" s="18"/>
      <c r="IC1439" s="18"/>
      <c r="ID1439" s="18"/>
      <c r="IE1439" s="18"/>
      <c r="IF1439" s="18"/>
      <c r="IG1439" s="18"/>
      <c r="IH1439" s="18"/>
      <c r="II1439" s="18"/>
      <c r="IJ1439" s="18"/>
      <c r="IK1439" s="18"/>
      <c r="IL1439" s="18"/>
      <c r="IM1439" s="18"/>
      <c r="IN1439" s="18"/>
      <c r="IO1439" s="18"/>
      <c r="IP1439" s="18"/>
      <c r="IQ1439" s="18"/>
      <c r="IR1439" s="18"/>
      <c r="IS1439" s="18"/>
      <c r="IT1439" s="18"/>
      <c r="IU1439" s="18"/>
      <c r="IV1439" s="18"/>
      <c r="IW1439" s="18"/>
      <c r="IX1439" s="18"/>
      <c r="IY1439" s="18"/>
      <c r="IZ1439" s="18"/>
      <c r="JA1439" s="18"/>
      <c r="JB1439" s="18"/>
      <c r="JC1439" s="18"/>
      <c r="JD1439" s="18"/>
      <c r="JE1439" s="18"/>
      <c r="JF1439" s="18"/>
      <c r="JG1439" s="18"/>
      <c r="JH1439" s="18"/>
      <c r="JI1439" s="18"/>
      <c r="JJ1439" s="18"/>
      <c r="JK1439" s="18"/>
      <c r="JL1439" s="18"/>
      <c r="JM1439" s="18"/>
      <c r="JN1439" s="18"/>
      <c r="JO1439" s="18"/>
      <c r="JP1439" s="18"/>
      <c r="JQ1439" s="18"/>
      <c r="JR1439" s="18"/>
      <c r="JS1439" s="18"/>
      <c r="JT1439" s="18"/>
      <c r="JU1439" s="18"/>
      <c r="JV1439" s="18"/>
      <c r="JW1439" s="18"/>
      <c r="JX1439" s="18"/>
      <c r="JY1439" s="18"/>
      <c r="JZ1439" s="18"/>
      <c r="KA1439" s="18"/>
      <c r="KB1439" s="16"/>
    </row>
    <row r="1440" spans="1:288" ht="16" x14ac:dyDescent="0.2">
      <c r="B1440" s="16">
        <v>2018</v>
      </c>
      <c r="C1440" s="147">
        <v>43316</v>
      </c>
      <c r="D1440" t="s">
        <v>1265</v>
      </c>
      <c r="E1440" s="20" t="str">
        <f>CONCATENATE(T1440,"-",U1440,"-",C1440)</f>
        <v>PO1-D6-43316</v>
      </c>
      <c r="F1440" s="16" t="s">
        <v>227</v>
      </c>
      <c r="G1440" s="145" t="s">
        <v>107</v>
      </c>
      <c r="H1440" s="145" t="s">
        <v>1142</v>
      </c>
      <c r="I1440" s="145"/>
      <c r="J1440" s="145">
        <v>1596</v>
      </c>
      <c r="K1440" s="145">
        <v>2760</v>
      </c>
      <c r="M1440" s="16"/>
      <c r="N1440" s="16"/>
      <c r="O1440" s="15" t="s">
        <v>214</v>
      </c>
      <c r="Q1440" s="16">
        <f t="shared" si="10"/>
        <v>0</v>
      </c>
      <c r="R1440" s="16" t="str">
        <f t="shared" si="11"/>
        <v/>
      </c>
      <c r="S1440" s="145"/>
      <c r="T1440" s="145" t="s">
        <v>112</v>
      </c>
      <c r="U1440" s="145" t="s">
        <v>186</v>
      </c>
      <c r="V1440" s="145" t="s">
        <v>142</v>
      </c>
      <c r="W1440" s="145"/>
      <c r="X1440" s="145" t="s">
        <v>121</v>
      </c>
      <c r="Y1440" s="145" t="s">
        <v>145</v>
      </c>
      <c r="Z1440" s="145">
        <v>1</v>
      </c>
      <c r="AA1440" s="145" t="s">
        <v>119</v>
      </c>
      <c r="AB1440" s="145" t="s">
        <v>123</v>
      </c>
      <c r="AC1440" s="145" t="s">
        <v>123</v>
      </c>
      <c r="AD1440" s="145"/>
      <c r="AE1440" s="145"/>
      <c r="AF1440" s="145"/>
      <c r="AG1440" s="145">
        <f>AH1440-AI1440</f>
        <v>74</v>
      </c>
      <c r="AH1440" s="145">
        <v>155</v>
      </c>
      <c r="AI1440" s="145">
        <v>81</v>
      </c>
      <c r="AJ1440" s="145"/>
      <c r="AK1440" s="145">
        <v>10.5</v>
      </c>
      <c r="AL1440" s="145">
        <v>1</v>
      </c>
      <c r="AM1440" s="145">
        <v>0</v>
      </c>
      <c r="AN1440" s="145">
        <v>0</v>
      </c>
      <c r="AO1440" s="16">
        <f>IF(SUM(AL1440:AN1440)&gt;0, 1,0)</f>
        <v>1</v>
      </c>
      <c r="AP1440" s="16">
        <f>SUM(AL1440:AN1440)</f>
        <v>1</v>
      </c>
      <c r="AS1440" s="16">
        <f>VLOOKUP(E1440,'[1]Feces weights'!$D$1:$H$459,5,FALSE)</f>
        <v>0.2410000000000001</v>
      </c>
      <c r="AT1440" s="16" t="e">
        <f>VLOOKUP(E1440,[2]Current!$A$1:$W$435,7,FALSE)</f>
        <v>#N/A</v>
      </c>
      <c r="BG1440" s="77"/>
      <c r="BT1440" s="77"/>
      <c r="CD1440" s="77"/>
      <c r="DG1440" s="145" t="s">
        <v>123</v>
      </c>
      <c r="DT1440" s="145" t="s">
        <v>123</v>
      </c>
      <c r="DU1440" s="145"/>
      <c r="DX1440" s="145"/>
      <c r="DY1440" s="145"/>
      <c r="DZ1440" s="16"/>
      <c r="EA1440" s="16"/>
      <c r="EB1440" s="16"/>
      <c r="EC1440" s="16"/>
      <c r="ED1440" s="16"/>
      <c r="EE1440" s="16"/>
      <c r="EF1440" s="16"/>
      <c r="JO1440" s="18"/>
      <c r="JP1440" s="18"/>
      <c r="JQ1440" s="18"/>
      <c r="JR1440" s="18"/>
      <c r="JS1440" s="18"/>
      <c r="JT1440" s="18"/>
      <c r="JU1440" s="18"/>
      <c r="JV1440" s="18"/>
      <c r="JW1440" s="18"/>
      <c r="JX1440" s="18"/>
      <c r="JY1440" s="18"/>
      <c r="JZ1440" s="18"/>
      <c r="KA1440" s="18"/>
    </row>
    <row r="1441" spans="1:288" ht="16" x14ac:dyDescent="0.2">
      <c r="B1441" s="16">
        <v>2018</v>
      </c>
      <c r="C1441" s="124">
        <v>43260</v>
      </c>
      <c r="D1441" t="s">
        <v>785</v>
      </c>
      <c r="E1441" s="37" t="str">
        <f>CONCATENATE(T1441,"-",U1441,"-",C1441)</f>
        <v>HW2-H6-43260</v>
      </c>
      <c r="F1441" s="16" t="s">
        <v>227</v>
      </c>
      <c r="G1441" s="126" t="s">
        <v>107</v>
      </c>
      <c r="H1441" s="126"/>
      <c r="J1441" s="126" t="s">
        <v>1068</v>
      </c>
      <c r="K1441" s="126">
        <v>2428</v>
      </c>
      <c r="O1441" s="15" t="s">
        <v>214</v>
      </c>
      <c r="Q1441" s="16">
        <f t="shared" si="10"/>
        <v>0</v>
      </c>
      <c r="R1441" s="16" t="str">
        <f t="shared" si="11"/>
        <v/>
      </c>
      <c r="T1441" s="126" t="s">
        <v>129</v>
      </c>
      <c r="U1441" s="126" t="s">
        <v>141</v>
      </c>
      <c r="V1441" s="126" t="s">
        <v>114</v>
      </c>
      <c r="X1441" s="126" t="s">
        <v>121</v>
      </c>
      <c r="Y1441" s="126" t="s">
        <v>110</v>
      </c>
      <c r="Z1441" s="126">
        <v>3</v>
      </c>
      <c r="AA1441" s="126" t="s">
        <v>119</v>
      </c>
      <c r="AB1441" s="126" t="s">
        <v>123</v>
      </c>
      <c r="AC1441" s="126" t="s">
        <v>116</v>
      </c>
      <c r="AD1441" s="126"/>
      <c r="AE1441" s="126"/>
      <c r="AG1441" s="16">
        <f>AH1441-AI1441</f>
        <v>96</v>
      </c>
      <c r="AH1441" s="126">
        <v>186</v>
      </c>
      <c r="AI1441" s="126">
        <v>90</v>
      </c>
      <c r="AK1441" s="126">
        <v>28</v>
      </c>
      <c r="AL1441" s="126">
        <v>0</v>
      </c>
      <c r="AM1441" s="126">
        <v>0</v>
      </c>
      <c r="AN1441" s="126">
        <v>0</v>
      </c>
      <c r="AO1441" s="16">
        <f>IF(SUM(AL1441:AN1441)&gt;0,1,0)</f>
        <v>0</v>
      </c>
      <c r="AP1441" s="18">
        <f>SUM(AL1441:AN1441)</f>
        <v>0</v>
      </c>
      <c r="AR1441" s="16">
        <v>0.29100000000000015</v>
      </c>
      <c r="AS1441" s="16">
        <f>VLOOKUP(E1441,'[1]Feces weights'!$D$1:$H$459,5,FALSE)</f>
        <v>0.29100000000000015</v>
      </c>
      <c r="AT1441" s="16" t="str">
        <f>VLOOKUP(E1441,[2]Current!$A$1:$W$435,7,FALSE)</f>
        <v>JB</v>
      </c>
      <c r="AU1441" s="16" t="s">
        <v>1288</v>
      </c>
      <c r="AW1441" s="128">
        <f>IF(AX1441&gt;0,1,0)</f>
        <v>1</v>
      </c>
      <c r="AX1441" s="128">
        <f>SUM(BA1441,BM1441,CU1441)</f>
        <v>1</v>
      </c>
      <c r="AY1441" s="128">
        <f>SUM(BB1441,BN1441,CV1441)</f>
        <v>41.237113402061837</v>
      </c>
      <c r="AZ1441" s="128">
        <f>IF(BA1441&gt;0,1,0)</f>
        <v>1</v>
      </c>
      <c r="BA1441" s="128">
        <f>SUM(BC1441+BF1441+BI1441)</f>
        <v>1</v>
      </c>
      <c r="BB1441" s="128">
        <f>SUM(BE1441,BH1441,BK1441)</f>
        <v>41.237113402061837</v>
      </c>
      <c r="BC1441" s="130">
        <f>IF(BD1441&gt;0,1,0)</f>
        <v>0</v>
      </c>
      <c r="BD1441" s="128">
        <f>VLOOKUP($E1441,[2]Current!$A:$AC,26,FALSE)</f>
        <v>0</v>
      </c>
      <c r="BE1441" s="128">
        <f>BD1441/$AS1441</f>
        <v>0</v>
      </c>
      <c r="BF1441" s="130">
        <f>IF(BG1441&gt;0,1,0)</f>
        <v>1</v>
      </c>
      <c r="BG1441" s="137">
        <f>VLOOKUP($E1441,[2]Current!$A:$AC,27,FALSE)</f>
        <v>12</v>
      </c>
      <c r="BH1441" s="128">
        <f>BG1441/$AS1441</f>
        <v>41.237113402061837</v>
      </c>
      <c r="BI1441" s="130">
        <f>IF(BJ1441&gt;0,1,0)</f>
        <v>0</v>
      </c>
      <c r="BJ1441" s="128">
        <f>VLOOKUP($E1441,[2]Current!$A:$AC,28,FALSE)</f>
        <v>0</v>
      </c>
      <c r="BK1441" s="128">
        <f>BJ1441/$AS1441</f>
        <v>0</v>
      </c>
      <c r="BL1441" s="128">
        <f>IF(BM1441&gt;0,1,0)</f>
        <v>0</v>
      </c>
      <c r="BM1441" s="128">
        <f>SUM(BR1441,BU1441,BX1441,CA1441,CD1441)</f>
        <v>0</v>
      </c>
      <c r="BN1441" s="131">
        <f>SUM(BT1441,BW1441,BZ1441,CC1441,CF1441)</f>
        <v>0</v>
      </c>
      <c r="BO1441" s="128">
        <f>IF(BP1441&gt;0,1,0)</f>
        <v>1</v>
      </c>
      <c r="BP1441" s="128">
        <f>BM1441+CJ1441</f>
        <v>1</v>
      </c>
      <c r="BQ1441" s="128">
        <f>BN1441+CL1441</f>
        <v>3.4364261168384864</v>
      </c>
      <c r="BR1441" s="130">
        <f>IF(BS1441&gt;0,1,0)</f>
        <v>0</v>
      </c>
      <c r="BS1441" s="128">
        <f>VLOOKUP($E1441,[2]Current!$A:$AC,12,FALSE)</f>
        <v>0</v>
      </c>
      <c r="BT1441" s="137">
        <f>BS1441/$AS1441</f>
        <v>0</v>
      </c>
      <c r="BU1441" s="130">
        <f>IF(BV1441&gt;0,1,0)</f>
        <v>0</v>
      </c>
      <c r="BV1441" s="128">
        <f>VLOOKUP($E1441,[2]Current!$A:$AC,13,FALSE)</f>
        <v>0</v>
      </c>
      <c r="BW1441" s="128">
        <f>BV1441/$AS1441</f>
        <v>0</v>
      </c>
      <c r="BX1441" s="130">
        <f>IF(BY1441&gt;0,1,0)</f>
        <v>0</v>
      </c>
      <c r="BY1441" s="128">
        <f>VLOOKUP($E1441,[2]Current!$A:$AC,14,FALSE)</f>
        <v>0</v>
      </c>
      <c r="BZ1441" s="128">
        <f>BY1441/$AS1441</f>
        <v>0</v>
      </c>
      <c r="CA1441" s="130">
        <f>IF(CB1441&gt;0,1,0)</f>
        <v>0</v>
      </c>
      <c r="CB1441" s="128">
        <f>VLOOKUP($E1441,[2]Current!$A:$AC,15,FALSE)</f>
        <v>0</v>
      </c>
      <c r="CC1441" s="128">
        <f>CB1441/$AS1441</f>
        <v>0</v>
      </c>
      <c r="CD1441" s="174">
        <f>IF(CE1441&gt;0,1,0)</f>
        <v>0</v>
      </c>
      <c r="CE1441" s="128">
        <f>VLOOKUP($E1441,[2]Current!$A:$AC,16,FALSE)</f>
        <v>0</v>
      </c>
      <c r="CF1441" s="128">
        <f>CE1441/$AS1441</f>
        <v>0</v>
      </c>
      <c r="CG1441" s="18"/>
      <c r="CH1441" s="18"/>
      <c r="CI1441" s="18"/>
      <c r="CJ1441" s="130">
        <f>IF(CK1441&gt;0,1,0)</f>
        <v>1</v>
      </c>
      <c r="CK1441" s="128">
        <f>VLOOKUP($E1441,[2]Current!$A:$AC,18,FALSE)</f>
        <v>1</v>
      </c>
      <c r="CL1441" s="128">
        <f>CK1441/$AS1441</f>
        <v>3.4364261168384864</v>
      </c>
      <c r="CS1441" s="130">
        <f>IF(CU1441&gt;0,1,0)</f>
        <v>0</v>
      </c>
      <c r="CT1441" s="18"/>
      <c r="CU1441" s="128">
        <f>VLOOKUP($E1441,[2]Current!$A:$AC,17,FALSE)</f>
        <v>0</v>
      </c>
      <c r="CV1441" s="128">
        <f>CU1441/$AS1441</f>
        <v>0</v>
      </c>
      <c r="CW1441" s="18"/>
      <c r="CX1441" s="18"/>
      <c r="CY1441" s="18"/>
      <c r="DF1441" s="16" t="e">
        <f>VLOOKUP(K1441,'[3]RNA Seq summary tables'!$V$3:$V$99,1,FALSE)</f>
        <v>#N/A</v>
      </c>
      <c r="DG1441" s="126" t="s">
        <v>116</v>
      </c>
    </row>
    <row r="1442" spans="1:288" ht="16" x14ac:dyDescent="0.2">
      <c r="B1442" s="16">
        <v>2018</v>
      </c>
      <c r="C1442" s="124">
        <v>43277</v>
      </c>
      <c r="D1442" t="s">
        <v>871</v>
      </c>
      <c r="E1442" s="37" t="str">
        <f>CONCATENATE(T1442,"-",U1442,"-",C1442)</f>
        <v>HW2-G7-43277</v>
      </c>
      <c r="F1442" s="16" t="s">
        <v>227</v>
      </c>
      <c r="G1442" s="126" t="s">
        <v>107</v>
      </c>
      <c r="H1442" s="126" t="s">
        <v>1117</v>
      </c>
      <c r="J1442" s="126" t="s">
        <v>1068</v>
      </c>
      <c r="K1442" s="126"/>
      <c r="O1442" s="15" t="s">
        <v>214</v>
      </c>
      <c r="Q1442" s="16">
        <f t="shared" si="10"/>
        <v>1</v>
      </c>
      <c r="R1442" s="16">
        <f t="shared" si="11"/>
        <v>17</v>
      </c>
      <c r="T1442" s="126" t="s">
        <v>129</v>
      </c>
      <c r="U1442" s="126" t="s">
        <v>156</v>
      </c>
      <c r="V1442" s="125" t="s">
        <v>114</v>
      </c>
      <c r="X1442" s="126" t="s">
        <v>121</v>
      </c>
      <c r="Y1442" s="126" t="s">
        <v>110</v>
      </c>
      <c r="Z1442" s="126">
        <v>3</v>
      </c>
      <c r="AA1442" s="126" t="s">
        <v>119</v>
      </c>
      <c r="AB1442" s="126" t="s">
        <v>123</v>
      </c>
      <c r="AC1442" s="126" t="s">
        <v>116</v>
      </c>
      <c r="AD1442" s="126"/>
      <c r="AE1442" s="126"/>
      <c r="AG1442" s="16">
        <f>AH1442-AI1442</f>
        <v>94</v>
      </c>
      <c r="AH1442" s="126">
        <v>184</v>
      </c>
      <c r="AI1442" s="126">
        <v>90</v>
      </c>
      <c r="AK1442" s="126">
        <v>28</v>
      </c>
      <c r="AL1442" s="126">
        <v>0</v>
      </c>
      <c r="AM1442" s="126">
        <v>0</v>
      </c>
      <c r="AN1442" s="126">
        <v>0</v>
      </c>
      <c r="AO1442" s="16">
        <f>IF(SUM(AL1442:AN1442)&gt;0,1,0)</f>
        <v>0</v>
      </c>
      <c r="AP1442" s="18">
        <f>SUM(AL1442:AN1442)</f>
        <v>0</v>
      </c>
      <c r="AR1442" s="16">
        <v>0.33800000000000008</v>
      </c>
      <c r="AS1442" s="16">
        <f>VLOOKUP(E1442,'[1]Feces weights'!$D$1:$H$459,5,FALSE)</f>
        <v>0.33800000000000008</v>
      </c>
      <c r="AT1442" s="16" t="str">
        <f>VLOOKUP(E1442,[2]Current!$A$1:$W$435,7,FALSE)</f>
        <v>TE</v>
      </c>
      <c r="AU1442" s="16" t="s">
        <v>1288</v>
      </c>
      <c r="AW1442" s="128">
        <f>IF(AX1442&gt;0,1,0)</f>
        <v>1</v>
      </c>
      <c r="AX1442" s="128">
        <f>SUM(BA1442,BM1442,CU1442)</f>
        <v>2</v>
      </c>
      <c r="AY1442" s="128">
        <f>SUM(BB1442,BN1442,CV1442)</f>
        <v>266.27218934911235</v>
      </c>
      <c r="AZ1442" s="128">
        <f>IF(BA1442&gt;0,1,0)</f>
        <v>1</v>
      </c>
      <c r="BA1442" s="128">
        <f>SUM(BC1442+BF1442+BI1442)</f>
        <v>2</v>
      </c>
      <c r="BB1442" s="128">
        <f>SUM(BE1442,BH1442,BK1442)</f>
        <v>266.27218934911235</v>
      </c>
      <c r="BC1442" s="130">
        <f>IF(BD1442&gt;0,1,0)</f>
        <v>0</v>
      </c>
      <c r="BD1442" s="128">
        <f>VLOOKUP($E1442,[2]Current!$A:$AC,26,FALSE)</f>
        <v>0</v>
      </c>
      <c r="BE1442" s="128">
        <f>BD1442/$AS1442</f>
        <v>0</v>
      </c>
      <c r="BF1442" s="130">
        <f>IF(BG1442&gt;0,1,0)</f>
        <v>1</v>
      </c>
      <c r="BG1442" s="137">
        <f>VLOOKUP($E1442,[2]Current!$A:$AC,27,FALSE)</f>
        <v>18</v>
      </c>
      <c r="BH1442" s="128">
        <f>BG1442/$AS1442</f>
        <v>53.254437869822475</v>
      </c>
      <c r="BI1442" s="130">
        <f>IF(BJ1442&gt;0,1,0)</f>
        <v>1</v>
      </c>
      <c r="BJ1442" s="128">
        <f>VLOOKUP($E1442,[2]Current!$A:$AC,28,FALSE)</f>
        <v>72</v>
      </c>
      <c r="BK1442" s="128">
        <f>BJ1442/$AS1442</f>
        <v>213.0177514792899</v>
      </c>
      <c r="BL1442" s="128">
        <f>IF(BM1442&gt;0,1,0)</f>
        <v>0</v>
      </c>
      <c r="BM1442" s="128">
        <f>SUM(BR1442,BU1442,BX1442,CA1442,CD1442)</f>
        <v>0</v>
      </c>
      <c r="BN1442" s="131">
        <f>SUM(BT1442,BW1442,BZ1442,CC1442,CF1442)</f>
        <v>0</v>
      </c>
      <c r="BO1442" s="128">
        <f>IF(BP1442&gt;0,1,0)</f>
        <v>1</v>
      </c>
      <c r="BP1442" s="128">
        <f>BM1442+CJ1442</f>
        <v>1</v>
      </c>
      <c r="BQ1442" s="128">
        <f>BN1442+CL1442</f>
        <v>8.8757396449704125</v>
      </c>
      <c r="BR1442" s="130">
        <f>IF(BS1442&gt;0,1,0)</f>
        <v>0</v>
      </c>
      <c r="BS1442" s="128">
        <f>VLOOKUP($E1442,[2]Current!$A:$AC,12,FALSE)</f>
        <v>0</v>
      </c>
      <c r="BT1442" s="137">
        <f>BS1442/$AS1442</f>
        <v>0</v>
      </c>
      <c r="BU1442" s="130">
        <f>IF(BV1442&gt;0,1,0)</f>
        <v>0</v>
      </c>
      <c r="BV1442" s="128">
        <f>VLOOKUP($E1442,[2]Current!$A:$AC,13,FALSE)</f>
        <v>0</v>
      </c>
      <c r="BW1442" s="128">
        <f>BV1442/$AS1442</f>
        <v>0</v>
      </c>
      <c r="BX1442" s="130">
        <f>IF(BY1442&gt;0,1,0)</f>
        <v>0</v>
      </c>
      <c r="BY1442" s="128">
        <f>VLOOKUP($E1442,[2]Current!$A:$AC,14,FALSE)</f>
        <v>0</v>
      </c>
      <c r="BZ1442" s="128">
        <f>BY1442/$AS1442</f>
        <v>0</v>
      </c>
      <c r="CA1442" s="130">
        <f>IF(CB1442&gt;0,1,0)</f>
        <v>0</v>
      </c>
      <c r="CB1442" s="128">
        <f>VLOOKUP($E1442,[2]Current!$A:$AC,15,FALSE)</f>
        <v>0</v>
      </c>
      <c r="CC1442" s="128">
        <f>CB1442/$AS1442</f>
        <v>0</v>
      </c>
      <c r="CD1442" s="174">
        <f>IF(CE1442&gt;0,1,0)</f>
        <v>0</v>
      </c>
      <c r="CE1442" s="128">
        <f>VLOOKUP($E1442,[2]Current!$A:$AC,16,FALSE)</f>
        <v>0</v>
      </c>
      <c r="CF1442" s="128">
        <f>CE1442/$AS1442</f>
        <v>0</v>
      </c>
      <c r="CG1442" s="18"/>
      <c r="CH1442" s="18"/>
      <c r="CI1442" s="18"/>
      <c r="CJ1442" s="130">
        <f>IF(CK1442&gt;0,1,0)</f>
        <v>1</v>
      </c>
      <c r="CK1442" s="128">
        <f>VLOOKUP($E1442,[2]Current!$A:$AC,18,FALSE)</f>
        <v>3</v>
      </c>
      <c r="CL1442" s="128">
        <f>CK1442/$AS1442</f>
        <v>8.8757396449704125</v>
      </c>
      <c r="CS1442" s="130">
        <f>IF(CU1442&gt;0,1,0)</f>
        <v>0</v>
      </c>
      <c r="CU1442" s="128">
        <f>VLOOKUP($E1442,[2]Current!$A:$AC,17,FALSE)</f>
        <v>0</v>
      </c>
      <c r="CV1442" s="128">
        <f>CU1442/$AS1442</f>
        <v>0</v>
      </c>
      <c r="CW1442" s="18"/>
      <c r="CX1442" s="18"/>
      <c r="CY1442" s="18"/>
      <c r="DF1442" s="16" t="e">
        <f>VLOOKUP(K1442,'[3]RNA Seq summary tables'!$V$3:$V$99,1,FALSE)</f>
        <v>#N/A</v>
      </c>
      <c r="DG1442" s="126" t="s">
        <v>116</v>
      </c>
    </row>
    <row r="1443" spans="1:288" ht="16" x14ac:dyDescent="0.2">
      <c r="B1443" s="16">
        <v>2018</v>
      </c>
      <c r="C1443" s="124">
        <v>43294</v>
      </c>
      <c r="D1443" t="s">
        <v>967</v>
      </c>
      <c r="E1443" s="37" t="str">
        <f>CONCATENATE(T1443,"-",U1443,"-",C1443)</f>
        <v>HW2-H8-43294</v>
      </c>
      <c r="F1443" s="16" t="s">
        <v>227</v>
      </c>
      <c r="G1443" s="126" t="s">
        <v>107</v>
      </c>
      <c r="H1443" s="126" t="s">
        <v>1138</v>
      </c>
      <c r="J1443" s="126" t="s">
        <v>1068</v>
      </c>
      <c r="K1443" s="126">
        <v>2610</v>
      </c>
      <c r="O1443" s="15" t="s">
        <v>214</v>
      </c>
      <c r="Q1443" s="16">
        <f t="shared" ref="Q1443:Q1446" si="12">IF(R1443="",0,1)</f>
        <v>1</v>
      </c>
      <c r="R1443" s="16">
        <f t="shared" si="11"/>
        <v>17</v>
      </c>
      <c r="T1443" s="126" t="s">
        <v>129</v>
      </c>
      <c r="U1443" s="126" t="s">
        <v>152</v>
      </c>
      <c r="V1443" s="126" t="s">
        <v>114</v>
      </c>
      <c r="X1443" s="126" t="s">
        <v>121</v>
      </c>
      <c r="Y1443" s="126" t="s">
        <v>110</v>
      </c>
      <c r="Z1443" s="126">
        <v>3</v>
      </c>
      <c r="AA1443" s="126" t="s">
        <v>119</v>
      </c>
      <c r="AB1443" s="126" t="s">
        <v>123</v>
      </c>
      <c r="AC1443" s="126" t="s">
        <v>116</v>
      </c>
      <c r="AD1443" s="126"/>
      <c r="AE1443" s="126"/>
      <c r="AG1443" s="16">
        <f>AH1443-AI1443</f>
        <v>93</v>
      </c>
      <c r="AH1443" s="126">
        <v>184</v>
      </c>
      <c r="AI1443" s="126">
        <v>91</v>
      </c>
      <c r="AK1443" s="126">
        <v>26.5</v>
      </c>
      <c r="AL1443" s="126">
        <v>1</v>
      </c>
      <c r="AM1443" s="126">
        <v>0</v>
      </c>
      <c r="AN1443" s="126">
        <v>0</v>
      </c>
      <c r="AO1443" s="16">
        <f>IF(SUM(AL1443:AN1443)&gt;0,1,0)</f>
        <v>1</v>
      </c>
      <c r="AP1443" s="18">
        <f>SUM(AL1443:AN1443)</f>
        <v>1</v>
      </c>
      <c r="AR1443" s="16">
        <v>0.20600000000000018</v>
      </c>
      <c r="AS1443" s="16">
        <f>VLOOKUP(E1443,'[1]Feces weights'!$D$1:$H$459,5,FALSE)</f>
        <v>0.20600000000000018</v>
      </c>
      <c r="AT1443" s="16" t="str">
        <f>VLOOKUP(E1443,[2]Current!$A$1:$W$435,7,FALSE)</f>
        <v>JY</v>
      </c>
      <c r="AU1443" s="16" t="s">
        <v>1288</v>
      </c>
      <c r="AV1443" s="23"/>
      <c r="AW1443" s="128">
        <f>IF(AX1443&gt;0,1,0)</f>
        <v>1</v>
      </c>
      <c r="AX1443" s="128">
        <f>SUM(BA1443,BM1443,CU1443)</f>
        <v>1</v>
      </c>
      <c r="AY1443" s="128">
        <f>SUM(BB1443,BN1443,CV1443)</f>
        <v>19.417475728155324</v>
      </c>
      <c r="AZ1443" s="128">
        <f>IF(BA1443&gt;0,1,0)</f>
        <v>1</v>
      </c>
      <c r="BA1443" s="128">
        <f>SUM(BC1443+BF1443+BI1443)</f>
        <v>1</v>
      </c>
      <c r="BB1443" s="128">
        <f>SUM(BE1443,BH1443,BK1443)</f>
        <v>19.417475728155324</v>
      </c>
      <c r="BC1443" s="130">
        <f>IF(BD1443&gt;0,1,0)</f>
        <v>1</v>
      </c>
      <c r="BD1443" s="128">
        <f>VLOOKUP($E1443,[2]Current!$A:$AC,26,FALSE)</f>
        <v>4</v>
      </c>
      <c r="BE1443" s="128">
        <f>BD1443/$AS1443</f>
        <v>19.417475728155324</v>
      </c>
      <c r="BF1443" s="130">
        <f>IF(BG1443&gt;0,1,0)</f>
        <v>0</v>
      </c>
      <c r="BG1443" s="137">
        <f>VLOOKUP($E1443,[2]Current!$A:$AC,27,FALSE)</f>
        <v>0</v>
      </c>
      <c r="BH1443" s="128">
        <f>BG1443/$AS1443</f>
        <v>0</v>
      </c>
      <c r="BI1443" s="130">
        <f>IF(BJ1443&gt;0,1,0)</f>
        <v>0</v>
      </c>
      <c r="BJ1443" s="128">
        <f>VLOOKUP($E1443,[2]Current!$A:$AC,28,FALSE)</f>
        <v>0</v>
      </c>
      <c r="BK1443" s="128">
        <f>BJ1443/$AS1443</f>
        <v>0</v>
      </c>
      <c r="BL1443" s="128">
        <f>IF(BM1443&gt;0,1,0)</f>
        <v>0</v>
      </c>
      <c r="BM1443" s="128">
        <f>SUM(BR1443,BU1443,BX1443,CA1443,CD1443)</f>
        <v>0</v>
      </c>
      <c r="BN1443" s="131">
        <f>SUM(BT1443,BW1443,BZ1443,CC1443,CF1443)</f>
        <v>0</v>
      </c>
      <c r="BO1443" s="128">
        <f>IF(BP1443&gt;0,1,0)</f>
        <v>0</v>
      </c>
      <c r="BP1443" s="128">
        <f>BM1443+CJ1443</f>
        <v>0</v>
      </c>
      <c r="BQ1443" s="128">
        <f>BN1443+CL1443</f>
        <v>0</v>
      </c>
      <c r="BR1443" s="130">
        <f>IF(BS1443&gt;0,1,0)</f>
        <v>0</v>
      </c>
      <c r="BS1443" s="128">
        <f>VLOOKUP($E1443,[2]Current!$A:$AC,12,FALSE)</f>
        <v>0</v>
      </c>
      <c r="BT1443" s="137">
        <f>BS1443/$AS1443</f>
        <v>0</v>
      </c>
      <c r="BU1443" s="130">
        <f>IF(BV1443&gt;0,1,0)</f>
        <v>0</v>
      </c>
      <c r="BV1443" s="128">
        <f>VLOOKUP($E1443,[2]Current!$A:$AC,13,FALSE)</f>
        <v>0</v>
      </c>
      <c r="BW1443" s="128">
        <f>BV1443/$AS1443</f>
        <v>0</v>
      </c>
      <c r="BX1443" s="130">
        <f>IF(BY1443&gt;0,1,0)</f>
        <v>0</v>
      </c>
      <c r="BY1443" s="128">
        <f>VLOOKUP($E1443,[2]Current!$A:$AC,14,FALSE)</f>
        <v>0</v>
      </c>
      <c r="BZ1443" s="128">
        <f>BY1443/$AS1443</f>
        <v>0</v>
      </c>
      <c r="CA1443" s="130">
        <f>IF(CB1443&gt;0,1,0)</f>
        <v>0</v>
      </c>
      <c r="CB1443" s="128">
        <f>VLOOKUP($E1443,[2]Current!$A:$AC,15,FALSE)</f>
        <v>0</v>
      </c>
      <c r="CC1443" s="128">
        <f>CB1443/$AS1443</f>
        <v>0</v>
      </c>
      <c r="CD1443" s="174">
        <f>IF(CE1443&gt;0,1,0)</f>
        <v>0</v>
      </c>
      <c r="CE1443" s="128">
        <f>VLOOKUP($E1443,[2]Current!$A:$AC,16,FALSE)</f>
        <v>0</v>
      </c>
      <c r="CF1443" s="128">
        <f>CE1443/$AS1443</f>
        <v>0</v>
      </c>
      <c r="CG1443" s="18"/>
      <c r="CH1443" s="18"/>
      <c r="CI1443" s="18"/>
      <c r="CJ1443" s="130">
        <f>IF(CK1443&gt;0,1,0)</f>
        <v>0</v>
      </c>
      <c r="CK1443" s="128">
        <f>VLOOKUP($E1443,[2]Current!$A:$AC,18,FALSE)</f>
        <v>0</v>
      </c>
      <c r="CL1443" s="128">
        <f>CK1443/$AS1443</f>
        <v>0</v>
      </c>
      <c r="CS1443" s="130">
        <f>IF(CU1443&gt;0,1,0)</f>
        <v>0</v>
      </c>
      <c r="CU1443" s="128">
        <f>VLOOKUP($E1443,[2]Current!$A:$AC,17,FALSE)</f>
        <v>0</v>
      </c>
      <c r="CV1443" s="128">
        <f>CU1443/$AS1443</f>
        <v>0</v>
      </c>
      <c r="CW1443" s="18"/>
      <c r="CX1443" s="18"/>
      <c r="CY1443" s="18"/>
      <c r="DF1443" s="16" t="e">
        <f>VLOOKUP(K1443,'[3]RNA Seq summary tables'!$V$3:$V$99,1,FALSE)</f>
        <v>#N/A</v>
      </c>
      <c r="DG1443" s="126" t="s">
        <v>116</v>
      </c>
    </row>
    <row r="1444" spans="1:288" ht="16" x14ac:dyDescent="0.2">
      <c r="B1444" s="16">
        <v>2018</v>
      </c>
      <c r="C1444" s="193">
        <v>43292</v>
      </c>
      <c r="D1444" s="149" t="s">
        <v>941</v>
      </c>
      <c r="E1444" s="37" t="str">
        <f>CONCATENATE(T1444,"-",U1444,"-",C1444)</f>
        <v>BC1-E8-43292</v>
      </c>
      <c r="F1444" s="16" t="s">
        <v>227</v>
      </c>
      <c r="G1444" s="126" t="s">
        <v>107</v>
      </c>
      <c r="H1444" s="126" t="s">
        <v>1132</v>
      </c>
      <c r="J1444" s="126" t="s">
        <v>1070</v>
      </c>
      <c r="K1444" s="126">
        <v>2578</v>
      </c>
      <c r="O1444" s="15" t="s">
        <v>214</v>
      </c>
      <c r="Q1444" s="16">
        <f t="shared" si="12"/>
        <v>0</v>
      </c>
      <c r="R1444" s="16" t="str">
        <f t="shared" si="11"/>
        <v/>
      </c>
      <c r="T1444" s="126" t="s">
        <v>159</v>
      </c>
      <c r="U1444" s="126" t="s">
        <v>181</v>
      </c>
      <c r="V1444" s="126" t="s">
        <v>114</v>
      </c>
      <c r="X1444" s="126" t="s">
        <v>115</v>
      </c>
      <c r="Y1444" s="126" t="s">
        <v>110</v>
      </c>
      <c r="Z1444" s="126">
        <v>3</v>
      </c>
      <c r="AA1444" s="126"/>
      <c r="AB1444" s="126"/>
      <c r="AC1444" s="126"/>
      <c r="AD1444" s="126"/>
      <c r="AE1444" s="126" t="s">
        <v>123</v>
      </c>
      <c r="AG1444" s="16">
        <f>AH1444-AI1444</f>
        <v>78</v>
      </c>
      <c r="AH1444" s="126">
        <v>147</v>
      </c>
      <c r="AI1444" s="126">
        <v>69</v>
      </c>
      <c r="AK1444" s="126">
        <v>15</v>
      </c>
      <c r="AL1444" s="126">
        <v>1</v>
      </c>
      <c r="AM1444" s="126">
        <v>0</v>
      </c>
      <c r="AN1444" s="126">
        <v>0</v>
      </c>
      <c r="AO1444" s="16">
        <f>IF(SUM(AL1444:AN1444)&gt;0,1,0)</f>
        <v>1</v>
      </c>
      <c r="AP1444" s="18">
        <f>SUM(AL1444:AN1444)</f>
        <v>1</v>
      </c>
      <c r="AR1444" s="16">
        <v>0.1050000000000002</v>
      </c>
      <c r="AS1444" s="16">
        <f>VLOOKUP(E1444,'[1]Feces weights'!$D$1:$H$459,5,FALSE)</f>
        <v>0.1050000000000002</v>
      </c>
      <c r="AT1444" s="16" t="str">
        <f>VLOOKUP(E1444,[2]Current!$A$1:$W$435,7,FALSE)</f>
        <v>DP</v>
      </c>
      <c r="AU1444" s="16" t="s">
        <v>1288</v>
      </c>
      <c r="AW1444" s="128">
        <f>IF(AX1444&gt;0,1,0)</f>
        <v>1</v>
      </c>
      <c r="AX1444" s="128">
        <f>SUM(BA1444,BM1444,CU1444)</f>
        <v>2</v>
      </c>
      <c r="AY1444" s="128">
        <f>SUM(BB1444,BN1444,CV1444)</f>
        <v>247.61904761904714</v>
      </c>
      <c r="AZ1444" s="128">
        <f>IF(BA1444&gt;0,1,0)</f>
        <v>1</v>
      </c>
      <c r="BA1444" s="128">
        <f>SUM(BC1444+BF1444+BI1444)</f>
        <v>1</v>
      </c>
      <c r="BB1444" s="128">
        <f>SUM(BE1444,BH1444,BK1444)</f>
        <v>38.095238095238024</v>
      </c>
      <c r="BC1444" s="130">
        <f>IF(BD1444&gt;0,1,0)</f>
        <v>1</v>
      </c>
      <c r="BD1444" s="128">
        <f>VLOOKUP($E1444,[2]Current!$A:$AC,26,FALSE)</f>
        <v>4</v>
      </c>
      <c r="BE1444" s="128">
        <f>BD1444/$AS1444</f>
        <v>38.095238095238024</v>
      </c>
      <c r="BF1444" s="130">
        <f>IF(BG1444&gt;0,1,0)</f>
        <v>0</v>
      </c>
      <c r="BG1444" s="137">
        <f>VLOOKUP($E1444,[2]Current!$A:$AC,27,FALSE)</f>
        <v>0</v>
      </c>
      <c r="BH1444" s="128">
        <f>BG1444/$AS1444</f>
        <v>0</v>
      </c>
      <c r="BI1444" s="130">
        <f>IF(BJ1444&gt;0,1,0)</f>
        <v>0</v>
      </c>
      <c r="BJ1444" s="128">
        <f>VLOOKUP($E1444,[2]Current!$A:$AC,28,FALSE)</f>
        <v>0</v>
      </c>
      <c r="BK1444" s="128">
        <f>BJ1444/$AS1444</f>
        <v>0</v>
      </c>
      <c r="BL1444" s="128">
        <f>IF(BM1444&gt;0,1,0)</f>
        <v>1</v>
      </c>
      <c r="BM1444" s="128">
        <f>SUM(BR1444,BU1444,BX1444,CA1444,CD1444)</f>
        <v>1</v>
      </c>
      <c r="BN1444" s="131">
        <f>SUM(BT1444,BW1444,BZ1444,CC1444,CF1444)</f>
        <v>209.52380952380912</v>
      </c>
      <c r="BO1444" s="128">
        <f>IF(BP1444&gt;0,1,0)</f>
        <v>1</v>
      </c>
      <c r="BP1444" s="128">
        <f>BM1444+CJ1444</f>
        <v>2</v>
      </c>
      <c r="BQ1444" s="128">
        <f>BN1444+CL1444</f>
        <v>219.04761904761864</v>
      </c>
      <c r="BR1444" s="130">
        <f>IF(BS1444&gt;0,1,0)</f>
        <v>0</v>
      </c>
      <c r="BS1444" s="128">
        <f>VLOOKUP($E1444,[2]Current!$A:$AC,12,FALSE)</f>
        <v>0</v>
      </c>
      <c r="BT1444" s="137">
        <f>BS1444/$AS1444</f>
        <v>0</v>
      </c>
      <c r="BU1444" s="130">
        <f>IF(BV1444&gt;0,1,0)</f>
        <v>0</v>
      </c>
      <c r="BV1444" s="128">
        <f>VLOOKUP($E1444,[2]Current!$A:$AC,13,FALSE)</f>
        <v>0</v>
      </c>
      <c r="BW1444" s="128">
        <f>BV1444/$AS1444</f>
        <v>0</v>
      </c>
      <c r="BX1444" s="130">
        <f>IF(BY1444&gt;0,1,0)</f>
        <v>1</v>
      </c>
      <c r="BY1444" s="128">
        <f>VLOOKUP($E1444,[2]Current!$A:$AC,14,FALSE)</f>
        <v>22</v>
      </c>
      <c r="BZ1444" s="128">
        <f>BY1444/$AS1444</f>
        <v>209.52380952380912</v>
      </c>
      <c r="CA1444" s="130">
        <f>IF(CB1444&gt;0,1,0)</f>
        <v>0</v>
      </c>
      <c r="CB1444" s="128">
        <f>VLOOKUP($E1444,[2]Current!$A:$AC,15,FALSE)</f>
        <v>0</v>
      </c>
      <c r="CC1444" s="128">
        <f>CB1444/$AS1444</f>
        <v>0</v>
      </c>
      <c r="CD1444" s="174">
        <f>IF(CE1444&gt;0,1,0)</f>
        <v>0</v>
      </c>
      <c r="CE1444" s="128">
        <f>VLOOKUP($E1444,[2]Current!$A:$AC,16,FALSE)</f>
        <v>0</v>
      </c>
      <c r="CF1444" s="128">
        <f>CE1444/$AS1444</f>
        <v>0</v>
      </c>
      <c r="CG1444" s="18"/>
      <c r="CH1444" s="18"/>
      <c r="CI1444" s="18"/>
      <c r="CJ1444" s="130">
        <f>IF(CK1444&gt;0,1,0)</f>
        <v>1</v>
      </c>
      <c r="CK1444" s="128">
        <f>VLOOKUP($E1444,[2]Current!$A:$AC,18,FALSE)</f>
        <v>1</v>
      </c>
      <c r="CL1444" s="128">
        <f>CK1444/$AS1444</f>
        <v>9.523809523809506</v>
      </c>
      <c r="CS1444" s="130">
        <f>IF(CU1444&gt;0,1,0)</f>
        <v>0</v>
      </c>
      <c r="CU1444" s="128">
        <f>VLOOKUP($E1444,[2]Current!$A:$AC,17,FALSE)</f>
        <v>0</v>
      </c>
      <c r="CV1444" s="128">
        <f>CU1444/$AS1444</f>
        <v>0</v>
      </c>
      <c r="CW1444" s="18"/>
      <c r="CX1444" s="18"/>
      <c r="CY1444" s="18"/>
      <c r="DF1444" s="16" t="e">
        <f>VLOOKUP(K1444,'[3]RNA Seq summary tables'!$V$3:$V$99,1,FALSE)</f>
        <v>#N/A</v>
      </c>
      <c r="DG1444" s="126" t="s">
        <v>116</v>
      </c>
      <c r="JR1444" s="18"/>
      <c r="JS1444" s="18"/>
      <c r="JT1444" s="18"/>
      <c r="JU1444" s="18"/>
      <c r="JV1444" s="18"/>
      <c r="JW1444" s="18"/>
      <c r="JX1444" s="18"/>
      <c r="JY1444" s="18"/>
      <c r="JZ1444" s="18"/>
      <c r="KA1444" s="18"/>
      <c r="KB1444" s="18"/>
    </row>
    <row r="1445" spans="1:288" ht="16" x14ac:dyDescent="0.2">
      <c r="B1445" s="16">
        <v>2018</v>
      </c>
      <c r="C1445" s="193">
        <v>43305</v>
      </c>
      <c r="D1445" s="149" t="s">
        <v>1056</v>
      </c>
      <c r="E1445" s="37" t="str">
        <f>CONCATENATE(T1445,"-",U1445,"-",C1445)</f>
        <v>HW2-H7-43305</v>
      </c>
      <c r="F1445" s="16" t="s">
        <v>227</v>
      </c>
      <c r="G1445" s="126" t="s">
        <v>107</v>
      </c>
      <c r="H1445" s="126"/>
      <c r="J1445" s="126" t="s">
        <v>1076</v>
      </c>
      <c r="K1445" s="126">
        <v>2704</v>
      </c>
      <c r="O1445" s="15" t="s">
        <v>214</v>
      </c>
      <c r="Q1445" s="16">
        <f t="shared" si="12"/>
        <v>0</v>
      </c>
      <c r="R1445" s="16" t="str">
        <f t="shared" si="11"/>
        <v/>
      </c>
      <c r="T1445" s="126" t="s">
        <v>129</v>
      </c>
      <c r="U1445" s="126" t="s">
        <v>202</v>
      </c>
      <c r="V1445" s="126" t="s">
        <v>114</v>
      </c>
      <c r="X1445" s="126" t="s">
        <v>121</v>
      </c>
      <c r="Y1445" s="126" t="s">
        <v>110</v>
      </c>
      <c r="Z1445" s="126">
        <v>3</v>
      </c>
      <c r="AA1445" s="126" t="s">
        <v>119</v>
      </c>
      <c r="AB1445" s="126" t="s">
        <v>123</v>
      </c>
      <c r="AC1445" s="126" t="s">
        <v>116</v>
      </c>
      <c r="AD1445" s="126"/>
      <c r="AE1445" s="126"/>
      <c r="AG1445" s="40">
        <f>AH1445-AI1445</f>
        <v>99</v>
      </c>
      <c r="AH1445" s="126">
        <v>188</v>
      </c>
      <c r="AI1445" s="126">
        <v>89</v>
      </c>
      <c r="AK1445" s="126">
        <v>27</v>
      </c>
      <c r="AL1445" s="126">
        <v>0</v>
      </c>
      <c r="AM1445" s="126">
        <v>0</v>
      </c>
      <c r="AN1445" s="126">
        <v>0</v>
      </c>
      <c r="AO1445" s="16">
        <f>IF(SUM(AL1445:AN1445)&gt;0,1,0)</f>
        <v>0</v>
      </c>
      <c r="AP1445" s="18">
        <f>SUM(AL1445:AN1445)</f>
        <v>0</v>
      </c>
      <c r="AR1445" s="16">
        <v>0.373</v>
      </c>
      <c r="AS1445" s="16">
        <f>VLOOKUP(E1445,'[1]Feces weights'!$D$1:$H$459,5,FALSE)</f>
        <v>0.373</v>
      </c>
      <c r="AT1445" s="16" t="str">
        <f>VLOOKUP(E1445,[2]Current!$A$1:$W$435,7,FALSE)</f>
        <v>NB</v>
      </c>
      <c r="AU1445" s="16" t="s">
        <v>1288</v>
      </c>
      <c r="AV1445" s="23"/>
      <c r="AW1445" s="128">
        <f>IF(AX1445&gt;0,1,0)</f>
        <v>1</v>
      </c>
      <c r="AX1445" s="128">
        <f>SUM(BA1445,BM1445,CU1445)</f>
        <v>3</v>
      </c>
      <c r="AY1445" s="128">
        <f>SUM(BB1445,BN1445,CV1445)</f>
        <v>15742.627345844503</v>
      </c>
      <c r="AZ1445" s="128">
        <f>IF(BA1445&gt;0,1,0)</f>
        <v>1</v>
      </c>
      <c r="BA1445" s="128">
        <f>SUM(BC1445+BF1445+BI1445)</f>
        <v>3</v>
      </c>
      <c r="BB1445" s="128">
        <f>SUM(BE1445,BH1445,BK1445)</f>
        <v>15742.627345844503</v>
      </c>
      <c r="BC1445" s="130">
        <f>IF(BD1445&gt;0,1,0)</f>
        <v>1</v>
      </c>
      <c r="BD1445" s="128">
        <f>VLOOKUP($E1445,[2]Current!$A:$AC,26,FALSE)</f>
        <v>2966</v>
      </c>
      <c r="BE1445" s="128">
        <f>BD1445/$AS1445</f>
        <v>7951.742627345845</v>
      </c>
      <c r="BF1445" s="130">
        <f>IF(BG1445&gt;0,1,0)</f>
        <v>1</v>
      </c>
      <c r="BG1445" s="137">
        <f>VLOOKUP($E1445,[2]Current!$A:$AC,27,FALSE)</f>
        <v>2864</v>
      </c>
      <c r="BH1445" s="128">
        <f>BG1445/$AS1445</f>
        <v>7678.2841823056297</v>
      </c>
      <c r="BI1445" s="130">
        <f>IF(BJ1445&gt;0,1,0)</f>
        <v>1</v>
      </c>
      <c r="BJ1445" s="128">
        <f>VLOOKUP($E1445,[2]Current!$A:$AC,28,FALSE)</f>
        <v>42</v>
      </c>
      <c r="BK1445" s="128">
        <f>BJ1445/$AS1445</f>
        <v>112.6005361930295</v>
      </c>
      <c r="BL1445" s="128">
        <f>IF(BM1445&gt;0,1,0)</f>
        <v>0</v>
      </c>
      <c r="BM1445" s="128">
        <f>SUM(BR1445,BU1445,BX1445,CA1445,CD1445)</f>
        <v>0</v>
      </c>
      <c r="BN1445" s="131">
        <f>SUM(BT1445,BW1445,BZ1445,CC1445,CF1445)</f>
        <v>0</v>
      </c>
      <c r="BO1445" s="128">
        <f>IF(BP1445&gt;0,1,0)</f>
        <v>0</v>
      </c>
      <c r="BP1445" s="128">
        <f>BM1445+CJ1445</f>
        <v>0</v>
      </c>
      <c r="BQ1445" s="128">
        <f>BN1445+CL1445</f>
        <v>0</v>
      </c>
      <c r="BR1445" s="130">
        <f>IF(BS1445&gt;0,1,0)</f>
        <v>0</v>
      </c>
      <c r="BS1445" s="128">
        <f>VLOOKUP($E1445,[2]Current!$A:$AC,12,FALSE)</f>
        <v>0</v>
      </c>
      <c r="BT1445" s="137">
        <f>BS1445/$AS1445</f>
        <v>0</v>
      </c>
      <c r="BU1445" s="130">
        <f>IF(BV1445&gt;0,1,0)</f>
        <v>0</v>
      </c>
      <c r="BV1445" s="128">
        <f>VLOOKUP($E1445,[2]Current!$A:$AC,13,FALSE)</f>
        <v>0</v>
      </c>
      <c r="BW1445" s="128">
        <f>BV1445/$AS1445</f>
        <v>0</v>
      </c>
      <c r="BX1445" s="130">
        <f>IF(BY1445&gt;0,1,0)</f>
        <v>0</v>
      </c>
      <c r="BY1445" s="128">
        <f>VLOOKUP($E1445,[2]Current!$A:$AC,14,FALSE)</f>
        <v>0</v>
      </c>
      <c r="BZ1445" s="128">
        <f>BY1445/$AS1445</f>
        <v>0</v>
      </c>
      <c r="CA1445" s="130">
        <f>IF(CB1445&gt;0,1,0)</f>
        <v>0</v>
      </c>
      <c r="CB1445" s="128">
        <f>VLOOKUP($E1445,[2]Current!$A:$AC,15,FALSE)</f>
        <v>0</v>
      </c>
      <c r="CC1445" s="128">
        <f>CB1445/$AS1445</f>
        <v>0</v>
      </c>
      <c r="CD1445" s="174">
        <f>IF(CE1445&gt;0,1,0)</f>
        <v>0</v>
      </c>
      <c r="CE1445" s="128">
        <f>VLOOKUP($E1445,[2]Current!$A:$AC,16,FALSE)</f>
        <v>0</v>
      </c>
      <c r="CF1445" s="128">
        <f>CE1445/$AS1445</f>
        <v>0</v>
      </c>
      <c r="CG1445" s="18"/>
      <c r="CH1445" s="18"/>
      <c r="CI1445" s="18"/>
      <c r="CJ1445" s="130">
        <f>IF(CK1445&gt;0,1,0)</f>
        <v>0</v>
      </c>
      <c r="CK1445" s="128">
        <f>VLOOKUP($E1445,[2]Current!$A:$AC,18,FALSE)</f>
        <v>0</v>
      </c>
      <c r="CL1445" s="128">
        <f>CK1445/$AS1445</f>
        <v>0</v>
      </c>
      <c r="CS1445" s="130">
        <f>IF(CU1445&gt;0,1,0)</f>
        <v>0</v>
      </c>
      <c r="CU1445" s="128">
        <f>VLOOKUP($E1445,[2]Current!$A:$AC,17,FALSE)</f>
        <v>0</v>
      </c>
      <c r="CV1445" s="128">
        <f>CU1445/$AS1445</f>
        <v>0</v>
      </c>
      <c r="CW1445" s="18"/>
      <c r="CX1445" s="18"/>
      <c r="CY1445" s="18"/>
      <c r="DF1445" s="16" t="e">
        <f>VLOOKUP(K1445,'[3]RNA Seq summary tables'!$V$3:$V$99,1,FALSE)</f>
        <v>#N/A</v>
      </c>
      <c r="DG1445" s="126" t="s">
        <v>116</v>
      </c>
      <c r="JR1445" s="18"/>
      <c r="JS1445" s="18"/>
      <c r="JT1445" s="18"/>
      <c r="JU1445" s="18"/>
      <c r="JV1445" s="18"/>
      <c r="JW1445" s="18"/>
      <c r="JX1445" s="18"/>
      <c r="JY1445" s="18"/>
      <c r="JZ1445" s="18"/>
      <c r="KA1445" s="18"/>
      <c r="KB1445" s="18"/>
    </row>
    <row r="1446" spans="1:288" ht="16" x14ac:dyDescent="0.2">
      <c r="B1446" s="16">
        <v>2018</v>
      </c>
      <c r="C1446" s="124">
        <v>43295</v>
      </c>
      <c r="D1446" t="s">
        <v>972</v>
      </c>
      <c r="E1446" s="142" t="str">
        <f>CONCATENATE(T1446,"-",U1446,"-",C1446)</f>
        <v>HW1-H3-43295</v>
      </c>
      <c r="F1446" s="16" t="s">
        <v>227</v>
      </c>
      <c r="G1446" s="126" t="s">
        <v>107</v>
      </c>
      <c r="H1446" s="126" t="s">
        <v>1138</v>
      </c>
      <c r="J1446" s="126" t="s">
        <v>1073</v>
      </c>
      <c r="K1446" s="126">
        <v>2618</v>
      </c>
      <c r="O1446" s="15" t="s">
        <v>214</v>
      </c>
      <c r="Q1446" s="16">
        <f t="shared" si="12"/>
        <v>0</v>
      </c>
      <c r="R1446" s="16" t="str">
        <f t="shared" si="11"/>
        <v/>
      </c>
      <c r="T1446" s="126" t="s">
        <v>133</v>
      </c>
      <c r="U1446" s="126" t="s">
        <v>174</v>
      </c>
      <c r="V1446" s="126" t="s">
        <v>114</v>
      </c>
      <c r="X1446" s="126" t="s">
        <v>115</v>
      </c>
      <c r="Y1446" s="126" t="s">
        <v>110</v>
      </c>
      <c r="Z1446" s="126">
        <v>3</v>
      </c>
      <c r="AA1446" s="126"/>
      <c r="AB1446" s="126"/>
      <c r="AC1446" s="126"/>
      <c r="AD1446" s="126" t="s">
        <v>123</v>
      </c>
      <c r="AE1446" s="126" t="s">
        <v>123</v>
      </c>
      <c r="AG1446" s="16">
        <f>AH1446-AI1446</f>
        <v>75</v>
      </c>
      <c r="AH1446" s="126">
        <v>144</v>
      </c>
      <c r="AI1446" s="126">
        <v>69</v>
      </c>
      <c r="AK1446" s="126">
        <v>13.5</v>
      </c>
      <c r="AL1446" s="126">
        <v>1</v>
      </c>
      <c r="AM1446" s="126">
        <v>0</v>
      </c>
      <c r="AN1446" s="126">
        <v>0</v>
      </c>
      <c r="AO1446" s="16">
        <f>IF(SUM(AL1446:AN1446)&gt;0,1,0)</f>
        <v>1</v>
      </c>
      <c r="AP1446" s="18">
        <f>SUM(AL1446:AN1446)</f>
        <v>1</v>
      </c>
      <c r="AR1446" s="16">
        <v>2.7000000000000135E-2</v>
      </c>
      <c r="AS1446" s="16">
        <f>VLOOKUP(E1446,'[1]Feces weights'!$D$1:$H$459,5,FALSE)</f>
        <v>2.7000000000000135E-2</v>
      </c>
      <c r="AT1446" s="16" t="e">
        <f>VLOOKUP(E1446,[2]Current!$A$1:$W$435,7,FALSE)</f>
        <v>#N/A</v>
      </c>
      <c r="AU1446" s="16">
        <v>0</v>
      </c>
      <c r="BG1446" s="77"/>
      <c r="BN1446" s="126"/>
      <c r="BT1446" s="78"/>
      <c r="BU1446" s="18"/>
      <c r="BV1446" s="18"/>
      <c r="BW1446" s="25"/>
      <c r="BX1446" s="18"/>
      <c r="BY1446" s="18"/>
      <c r="BZ1446" s="25"/>
      <c r="CA1446" s="18"/>
      <c r="CB1446" s="18"/>
      <c r="CC1446" s="25"/>
      <c r="CD1446" s="78"/>
      <c r="CE1446" s="18"/>
      <c r="CF1446" s="25"/>
      <c r="CG1446" s="18"/>
      <c r="CH1446" s="18"/>
      <c r="CI1446" s="18"/>
      <c r="CJ1446" s="18"/>
      <c r="CK1446" s="18"/>
      <c r="CL1446" s="25"/>
      <c r="DF1446" s="16" t="e">
        <f>VLOOKUP(K1446,'[3]RNA Seq summary tables'!$V$3:$V$99,1,FALSE)</f>
        <v>#N/A</v>
      </c>
      <c r="DG1446" s="126" t="s">
        <v>116</v>
      </c>
    </row>
    <row r="1447" spans="1:288" x14ac:dyDescent="0.2">
      <c r="A1447" s="12"/>
      <c r="B1447" s="12">
        <v>2016</v>
      </c>
      <c r="C1447" s="13">
        <v>42517</v>
      </c>
      <c r="D1447" s="13" t="str">
        <f>CONCATENATE(J1447,"-",C1447)</f>
        <v>937-P-42517</v>
      </c>
      <c r="E1447" s="20" t="str">
        <f>CONCATENATE(T1447,"-",U1447,"-",C1447)</f>
        <v>PO1-B1-42517</v>
      </c>
      <c r="F1447" s="13" t="s">
        <v>106</v>
      </c>
      <c r="G1447" s="13" t="s">
        <v>107</v>
      </c>
      <c r="H1447" s="12" t="s">
        <v>108</v>
      </c>
      <c r="I1447" s="12">
        <v>1</v>
      </c>
      <c r="J1447" s="14" t="s">
        <v>109</v>
      </c>
      <c r="K1447" s="14">
        <v>1340</v>
      </c>
      <c r="L1447" s="12">
        <v>0</v>
      </c>
      <c r="M1447" s="35">
        <f>VLOOKUP(K1447,'[7]MLBS 2016 SNV-nem Coinfection d'!$C$1:$G$238,4,FALSE)</f>
        <v>0</v>
      </c>
      <c r="N1447" s="35">
        <v>0</v>
      </c>
      <c r="O1447" s="35" t="s">
        <v>214</v>
      </c>
      <c r="P1447" s="12" t="s">
        <v>110</v>
      </c>
      <c r="Q1447" s="30">
        <v>0</v>
      </c>
      <c r="R1447" s="12" t="s">
        <v>111</v>
      </c>
      <c r="S1447" s="12"/>
      <c r="T1447" s="12" t="s">
        <v>112</v>
      </c>
      <c r="U1447" s="12" t="s">
        <v>113</v>
      </c>
      <c r="V1447" s="12" t="s">
        <v>114</v>
      </c>
      <c r="W1447" s="30">
        <f>AI1447/AG1447</f>
        <v>0.77906976744186052</v>
      </c>
      <c r="X1447" s="12" t="s">
        <v>115</v>
      </c>
      <c r="Y1447" s="12" t="s">
        <v>110</v>
      </c>
      <c r="Z1447" s="12">
        <v>3</v>
      </c>
      <c r="AA1447" s="12"/>
      <c r="AB1447" s="12"/>
      <c r="AC1447" s="12"/>
      <c r="AD1447" s="12"/>
      <c r="AE1447" s="12" t="s">
        <v>116</v>
      </c>
      <c r="AF1447" s="12" t="s">
        <v>116</v>
      </c>
      <c r="AG1447" s="12">
        <f>AH1447-AI1447</f>
        <v>86</v>
      </c>
      <c r="AH1447" s="12">
        <v>153</v>
      </c>
      <c r="AI1447" s="12">
        <v>67</v>
      </c>
      <c r="AJ1447" s="12"/>
      <c r="AK1447" s="12">
        <v>22</v>
      </c>
      <c r="AL1447" s="12">
        <v>1</v>
      </c>
      <c r="AM1447" s="12">
        <v>0</v>
      </c>
      <c r="AN1447" s="12">
        <v>0</v>
      </c>
      <c r="AO1447" s="12">
        <f>IF(SUM(AL1447:AN1447)&gt;0,1,0)</f>
        <v>1</v>
      </c>
      <c r="AP1447" s="12">
        <f>SUM(AL1447:AN1447)</f>
        <v>1</v>
      </c>
      <c r="AQ1447" s="12"/>
      <c r="AR1447" s="12">
        <v>0.22600000000000001</v>
      </c>
      <c r="AS1447" s="12">
        <v>0.22600000000000001</v>
      </c>
      <c r="AT1447" s="12" t="s">
        <v>117</v>
      </c>
      <c r="AU1447" s="12"/>
      <c r="AV1447" s="12"/>
      <c r="AW1447" s="12">
        <v>1</v>
      </c>
      <c r="AX1447" s="12"/>
      <c r="AY1447" s="12">
        <f xml:space="preserve"> 1610/0.226</f>
        <v>7123.8938053097345</v>
      </c>
      <c r="AZ1447" s="12"/>
      <c r="BA1447" s="12"/>
      <c r="BB1447" s="12">
        <f>1572/0.226</f>
        <v>6955.7522123893805</v>
      </c>
      <c r="BC1447" s="12"/>
      <c r="BD1447" s="12">
        <v>6</v>
      </c>
      <c r="BE1447" s="12">
        <f>6/0.226</f>
        <v>26.548672566371682</v>
      </c>
      <c r="BF1447" s="12"/>
      <c r="BG1447" s="168">
        <v>1566</v>
      </c>
      <c r="BH1447" s="12">
        <f>1566/0.226</f>
        <v>6929.2035398230082</v>
      </c>
      <c r="BI1447" s="12"/>
      <c r="BJ1447" s="12">
        <v>0</v>
      </c>
      <c r="BK1447" s="12">
        <v>0</v>
      </c>
      <c r="BL1447" s="12"/>
      <c r="BM1447" s="12">
        <f>SUM(BR1447,BU1447,BX1447,CA1447,CD1447,CG1447,CJ1447,CM1447,CP1447)</f>
        <v>0</v>
      </c>
      <c r="BN1447" s="12">
        <f>SUM(BW1447,BZ1447,CC1447,CF1447,CI1447,CL1447,CO1447,CR1447,BT1447)</f>
        <v>0</v>
      </c>
      <c r="BO1447" s="12"/>
      <c r="BP1447" s="12"/>
      <c r="BQ1447" s="12"/>
      <c r="BR1447" s="12"/>
      <c r="BS1447" s="12">
        <v>0</v>
      </c>
      <c r="BT1447" s="168">
        <v>0</v>
      </c>
      <c r="BU1447" s="12"/>
      <c r="BV1447" s="12">
        <v>0</v>
      </c>
      <c r="BW1447" s="12">
        <v>0</v>
      </c>
      <c r="BX1447" s="12"/>
      <c r="BY1447" s="12">
        <v>0</v>
      </c>
      <c r="BZ1447" s="12">
        <v>0</v>
      </c>
      <c r="CA1447" s="12"/>
      <c r="CB1447" s="12">
        <v>0</v>
      </c>
      <c r="CC1447" s="12">
        <v>0</v>
      </c>
      <c r="CD1447" s="168"/>
      <c r="CE1447" s="12">
        <v>0</v>
      </c>
      <c r="CF1447" s="12">
        <v>0</v>
      </c>
      <c r="CG1447" s="12"/>
      <c r="CH1447" s="12"/>
      <c r="CI1447" s="12"/>
      <c r="CJ1447" s="12"/>
      <c r="CK1447" s="12"/>
      <c r="CL1447" s="12"/>
      <c r="CM1447" s="12"/>
      <c r="CN1447" s="12"/>
      <c r="CO1447" s="12"/>
      <c r="CP1447" s="12"/>
      <c r="CQ1447" s="12">
        <v>0</v>
      </c>
      <c r="CR1447" s="12">
        <v>0</v>
      </c>
      <c r="CS1447" s="12">
        <f>IF(CT1447&gt;0,1,0)</f>
        <v>1</v>
      </c>
      <c r="CT1447" s="17">
        <f>SUM(CW1447,CZ1447,DC1447)</f>
        <v>1</v>
      </c>
      <c r="CU1447" s="17"/>
      <c r="CV1447" s="12">
        <f>38/AS1447</f>
        <v>168.14159292035399</v>
      </c>
      <c r="CW1447" s="12">
        <v>1</v>
      </c>
      <c r="CX1447" s="12">
        <v>38</v>
      </c>
      <c r="CY1447" s="12">
        <f>38/0.226</f>
        <v>168.14159292035399</v>
      </c>
      <c r="CZ1447" s="12">
        <v>0</v>
      </c>
      <c r="DA1447" s="12">
        <v>0</v>
      </c>
      <c r="DB1447" s="12">
        <v>0</v>
      </c>
      <c r="DC1447" s="12">
        <v>0</v>
      </c>
      <c r="DD1447" s="12">
        <v>0</v>
      </c>
      <c r="DE1447" s="12">
        <v>0</v>
      </c>
      <c r="DF1447" s="16" t="e">
        <f>VLOOKUP(K1447,'[3]RNA Seq summary tables'!$V$3:$V$99,1,FALSE)</f>
        <v>#N/A</v>
      </c>
      <c r="DG1447" s="12"/>
      <c r="DH1447" s="12"/>
      <c r="DI1447" s="12"/>
      <c r="DJ1447" s="12"/>
      <c r="DK1447" s="12"/>
      <c r="DL1447" s="12"/>
      <c r="DM1447" s="12"/>
      <c r="DN1447" s="12"/>
      <c r="DO1447" s="12"/>
      <c r="DP1447" s="12"/>
      <c r="DQ1447" s="12"/>
      <c r="DR1447" s="12"/>
      <c r="DS1447" s="12"/>
      <c r="JO1447" s="19"/>
    </row>
    <row r="1448" spans="1:288" x14ac:dyDescent="0.2">
      <c r="B1448" s="16">
        <v>2016</v>
      </c>
      <c r="C1448" s="20">
        <v>42517</v>
      </c>
      <c r="D1448" s="20" t="str">
        <f>CONCATENATE(J1448,"-",C1448)</f>
        <v>939-2-42517</v>
      </c>
      <c r="E1448" s="20" t="str">
        <f>CONCATENATE(T1448,"-",U1448,"-",C1448)</f>
        <v>PO2-G2-42517</v>
      </c>
      <c r="F1448" s="20" t="s">
        <v>106</v>
      </c>
      <c r="G1448" s="20" t="s">
        <v>107</v>
      </c>
      <c r="H1448" s="16" t="s">
        <v>125</v>
      </c>
      <c r="I1448" s="16">
        <v>0</v>
      </c>
      <c r="J1448" s="21" t="s">
        <v>126</v>
      </c>
      <c r="K1448" s="21">
        <v>1342</v>
      </c>
      <c r="L1448" s="16">
        <v>0</v>
      </c>
      <c r="M1448" s="15">
        <f>VLOOKUP(K1448,'[7]MLBS 2016 SNV-nem Coinfection d'!$C$1:$G$238,4,FALSE)</f>
        <v>0</v>
      </c>
      <c r="N1448" s="15">
        <v>0</v>
      </c>
      <c r="O1448" s="15" t="s">
        <v>214</v>
      </c>
      <c r="P1448" s="16" t="s">
        <v>308</v>
      </c>
      <c r="Q1448" s="16">
        <v>0</v>
      </c>
      <c r="R1448" s="16" t="s">
        <v>111</v>
      </c>
      <c r="T1448" s="16" t="s">
        <v>127</v>
      </c>
      <c r="U1448" s="16" t="s">
        <v>128</v>
      </c>
      <c r="V1448" s="16" t="s">
        <v>114</v>
      </c>
      <c r="W1448" s="16">
        <f>AI1448/AG1448</f>
        <v>0.94805194805194803</v>
      </c>
      <c r="X1448" s="16" t="s">
        <v>121</v>
      </c>
      <c r="Y1448" s="16" t="s">
        <v>122</v>
      </c>
      <c r="Z1448" s="16">
        <v>2.6</v>
      </c>
      <c r="AA1448" s="16" t="s">
        <v>123</v>
      </c>
      <c r="AB1448" s="16" t="s">
        <v>123</v>
      </c>
      <c r="AC1448" s="16" t="s">
        <v>123</v>
      </c>
      <c r="AD1448" s="16" t="s">
        <v>123</v>
      </c>
      <c r="AG1448" s="16">
        <f>AH1448-AI1448</f>
        <v>77</v>
      </c>
      <c r="AH1448" s="16">
        <v>150</v>
      </c>
      <c r="AI1448" s="16">
        <v>73</v>
      </c>
      <c r="AK1448" s="16">
        <v>14</v>
      </c>
      <c r="AL1448" s="16">
        <v>0</v>
      </c>
      <c r="AM1448" s="16">
        <v>0</v>
      </c>
      <c r="AN1448" s="16">
        <v>0</v>
      </c>
      <c r="AO1448" s="16">
        <f>IF(SUM(AL1448:AN1448)&gt;0,1,0)</f>
        <v>0</v>
      </c>
      <c r="AP1448" s="16">
        <f>SUM(AL1448:AN1448)</f>
        <v>0</v>
      </c>
      <c r="AQ1448" s="16">
        <f>1.477+AS1448</f>
        <v>1.601</v>
      </c>
      <c r="AR1448" s="16">
        <v>0.124</v>
      </c>
      <c r="AS1448" s="16">
        <v>0.124</v>
      </c>
      <c r="AT1448" s="16" t="s">
        <v>124</v>
      </c>
      <c r="AW1448" s="22">
        <v>1</v>
      </c>
      <c r="AY1448" s="16">
        <f>21/0.124</f>
        <v>169.35483870967741</v>
      </c>
      <c r="AZ1448" s="18">
        <v>1</v>
      </c>
      <c r="BB1448" s="16">
        <v>169.35</v>
      </c>
      <c r="BC1448" s="16">
        <v>1</v>
      </c>
      <c r="BD1448" s="16">
        <v>3</v>
      </c>
      <c r="BE1448" s="16">
        <f>3/0.124</f>
        <v>24.193548387096776</v>
      </c>
      <c r="BF1448" s="18">
        <v>1</v>
      </c>
      <c r="BG1448" s="77">
        <v>18</v>
      </c>
      <c r="BH1448" s="16">
        <f>18/0.124</f>
        <v>145.16129032258064</v>
      </c>
      <c r="BI1448" s="18">
        <v>0</v>
      </c>
      <c r="BJ1448" s="16">
        <v>0</v>
      </c>
      <c r="BK1448" s="16">
        <v>0</v>
      </c>
      <c r="BL1448" s="16">
        <f>IF(BM1448&gt;0,1,0)</f>
        <v>0</v>
      </c>
      <c r="BM1448" s="16">
        <f>SUM(BR1448,BU1448,BX1448,CA1448,CD1448,CG1448,CJ1448,CM1448,CP1448)</f>
        <v>0</v>
      </c>
      <c r="BN1448" s="16">
        <f>SUM(BW1448,BZ1448,CC1448,CF1448,CI1448,CL1448,CO1448,CR1448,BT1448)</f>
        <v>0</v>
      </c>
      <c r="BO1448" s="16">
        <f>IF(BP1448&gt;0,1,0)</f>
        <v>0</v>
      </c>
      <c r="BP1448" s="16">
        <f>SUM(BU1448,BX1448,CA1448,CD1448,BR1448)</f>
        <v>0</v>
      </c>
      <c r="BQ1448" s="16">
        <f>SUM(BZ1448,CC1448,CF1448,BT1448,BW1448)</f>
        <v>0</v>
      </c>
      <c r="BR1448" s="18">
        <v>0</v>
      </c>
      <c r="BS1448" s="16">
        <v>0</v>
      </c>
      <c r="BT1448" s="77">
        <f>BS1448/AS1448</f>
        <v>0</v>
      </c>
      <c r="BU1448" s="18">
        <v>0</v>
      </c>
      <c r="BV1448" s="16">
        <v>0</v>
      </c>
      <c r="BW1448" s="18">
        <f>BV1448/AS1448</f>
        <v>0</v>
      </c>
      <c r="BX1448" s="18">
        <v>0</v>
      </c>
      <c r="BY1448" s="16">
        <v>0</v>
      </c>
      <c r="BZ1448" s="16">
        <f>BY1448/AS1448</f>
        <v>0</v>
      </c>
      <c r="CA1448" s="24">
        <v>0</v>
      </c>
      <c r="CB1448" s="16">
        <v>0</v>
      </c>
      <c r="CC1448" s="16">
        <v>0</v>
      </c>
      <c r="CD1448" s="78">
        <v>0</v>
      </c>
      <c r="CE1448" s="16">
        <v>0</v>
      </c>
      <c r="CF1448" s="16">
        <v>0</v>
      </c>
      <c r="CP1448" s="16" t="s">
        <v>123</v>
      </c>
      <c r="CQ1448" s="16">
        <v>0</v>
      </c>
      <c r="CR1448" s="16">
        <v>0</v>
      </c>
      <c r="CS1448" s="18">
        <f>IF(CT1448&gt;0,1,0)</f>
        <v>0</v>
      </c>
      <c r="CT1448" s="25">
        <f>SUM(CW1448,CZ1448,DC1448)</f>
        <v>0</v>
      </c>
      <c r="CU1448" s="25"/>
      <c r="CV1448" s="16">
        <v>0</v>
      </c>
      <c r="CW1448" s="25">
        <v>0</v>
      </c>
      <c r="CX1448" s="16">
        <v>0</v>
      </c>
      <c r="CY1448" s="16">
        <v>0</v>
      </c>
      <c r="CZ1448" s="18">
        <v>0</v>
      </c>
      <c r="DA1448" s="16">
        <v>0</v>
      </c>
      <c r="DB1448" s="16">
        <v>0</v>
      </c>
      <c r="DC1448" s="18">
        <v>0</v>
      </c>
      <c r="DD1448" s="16">
        <v>0</v>
      </c>
      <c r="DE1448" s="16">
        <v>0</v>
      </c>
      <c r="DF1448" s="16" t="e">
        <f>VLOOKUP(K1448,'[3]RNA Seq summary tables'!$V$3:$V$99,1,FALSE)</f>
        <v>#N/A</v>
      </c>
      <c r="JO1448" s="26"/>
    </row>
    <row r="1449" spans="1:288" x14ac:dyDescent="0.2">
      <c r="B1449" s="16">
        <v>2016</v>
      </c>
      <c r="C1449" s="20">
        <v>42530</v>
      </c>
      <c r="D1449" s="20" t="str">
        <f>CONCATENATE(J1449,"-",C1449)</f>
        <v>939-2-42530</v>
      </c>
      <c r="E1449" s="20" t="str">
        <f>CONCATENATE(T1449,"-",U1449,"-",C1449)</f>
        <v>PO2-D1-42530</v>
      </c>
      <c r="F1449" s="20" t="s">
        <v>106</v>
      </c>
      <c r="G1449" s="20" t="s">
        <v>107</v>
      </c>
      <c r="H1449" s="16" t="s">
        <v>125</v>
      </c>
      <c r="I1449" s="16">
        <v>0</v>
      </c>
      <c r="J1449" s="36" t="s">
        <v>126</v>
      </c>
      <c r="K1449" s="36">
        <v>1360</v>
      </c>
      <c r="L1449" s="16">
        <v>0</v>
      </c>
      <c r="M1449" s="42">
        <f>VLOOKUP(K1449,'[7]MLBS 2016 SNV-nem Coinfection d'!$C$1:$G$238,4,FALSE)</f>
        <v>0</v>
      </c>
      <c r="N1449" s="42">
        <v>0</v>
      </c>
      <c r="O1449" s="15" t="s">
        <v>214</v>
      </c>
      <c r="P1449" s="16" t="s">
        <v>308</v>
      </c>
      <c r="Q1449" s="18">
        <v>1</v>
      </c>
      <c r="R1449" s="18">
        <v>13</v>
      </c>
      <c r="S1449" s="18"/>
      <c r="T1449" s="18" t="s">
        <v>127</v>
      </c>
      <c r="U1449" s="18" t="s">
        <v>157</v>
      </c>
      <c r="V1449" s="18" t="s">
        <v>114</v>
      </c>
      <c r="W1449" s="16">
        <f>AI1449/AG1449</f>
        <v>1.0547945205479452</v>
      </c>
      <c r="X1449" s="16" t="s">
        <v>121</v>
      </c>
      <c r="Y1449" s="16" t="s">
        <v>110</v>
      </c>
      <c r="Z1449" s="16">
        <v>3</v>
      </c>
      <c r="AA1449" s="16" t="s">
        <v>161</v>
      </c>
      <c r="AB1449" s="16" t="s">
        <v>123</v>
      </c>
      <c r="AC1449" s="16" t="s">
        <v>123</v>
      </c>
      <c r="AD1449" s="16" t="s">
        <v>116</v>
      </c>
      <c r="AG1449" s="16">
        <f>AH1449-AI1449</f>
        <v>73</v>
      </c>
      <c r="AH1449" s="16">
        <v>150</v>
      </c>
      <c r="AI1449" s="16">
        <v>77</v>
      </c>
      <c r="AK1449" s="16">
        <v>16</v>
      </c>
      <c r="AL1449" s="16">
        <v>0</v>
      </c>
      <c r="AM1449" s="16">
        <v>0</v>
      </c>
      <c r="AN1449" s="16">
        <v>0</v>
      </c>
      <c r="AO1449" s="16">
        <f>IF(SUM(AL1449:AN1449)&gt;0,1,0)</f>
        <v>0</v>
      </c>
      <c r="AP1449" s="16">
        <f>SUM(AL1449:AN1449)</f>
        <v>0</v>
      </c>
      <c r="AR1449" s="16">
        <v>0.187</v>
      </c>
      <c r="AS1449" s="16">
        <v>0.187</v>
      </c>
      <c r="AT1449" s="16" t="s">
        <v>164</v>
      </c>
      <c r="AV1449" s="16">
        <v>1</v>
      </c>
      <c r="AW1449" s="18">
        <v>0</v>
      </c>
      <c r="AY1449" s="16">
        <v>0</v>
      </c>
      <c r="AZ1449" s="18">
        <v>0</v>
      </c>
      <c r="BB1449" s="16">
        <v>0</v>
      </c>
      <c r="BC1449" s="18">
        <v>0</v>
      </c>
      <c r="BD1449" s="16">
        <v>0</v>
      </c>
      <c r="BE1449" s="16">
        <v>0</v>
      </c>
      <c r="BF1449" s="18">
        <v>0</v>
      </c>
      <c r="BG1449" s="77">
        <v>0</v>
      </c>
      <c r="BH1449" s="16">
        <v>0</v>
      </c>
      <c r="BI1449" s="18">
        <v>0</v>
      </c>
      <c r="BJ1449" s="16">
        <v>0</v>
      </c>
      <c r="BK1449" s="16">
        <v>0</v>
      </c>
      <c r="BL1449" s="16">
        <f>IF(BM1449&gt;0,1,0)</f>
        <v>0</v>
      </c>
      <c r="BM1449" s="16">
        <f>SUM(BR1449,BU1449,BX1449,CA1449,CD1449,CG1449,CJ1449,CM1449,CP1449)</f>
        <v>0</v>
      </c>
      <c r="BN1449" s="16">
        <f>SUM(BW1449,BZ1449,CC1449,CF1449,CI1449,CL1449,CO1449,CR1449,BT1449)</f>
        <v>0</v>
      </c>
      <c r="BO1449" s="16">
        <f>IF(BP1449&gt;0,1,0)</f>
        <v>0</v>
      </c>
      <c r="BP1449" s="16">
        <f>SUM(BU1449,BX1449,CA1449,CD1449,BR1449)</f>
        <v>0</v>
      </c>
      <c r="BQ1449" s="16">
        <f>SUM(BZ1449,CC1449,CF1449,BT1449,BW1449)</f>
        <v>0</v>
      </c>
      <c r="BR1449" s="18">
        <v>0</v>
      </c>
      <c r="BS1449" s="16">
        <v>0</v>
      </c>
      <c r="BT1449" s="77">
        <f>BS1449/AS1449</f>
        <v>0</v>
      </c>
      <c r="BU1449" s="18">
        <v>0</v>
      </c>
      <c r="BV1449" s="16">
        <v>0</v>
      </c>
      <c r="BW1449" s="18">
        <f>BV1449/AS1449</f>
        <v>0</v>
      </c>
      <c r="BX1449" s="18">
        <v>0</v>
      </c>
      <c r="BY1449" s="16">
        <v>0</v>
      </c>
      <c r="BZ1449" s="16">
        <f>BY1449/AS1449</f>
        <v>0</v>
      </c>
      <c r="CA1449" s="24">
        <v>0</v>
      </c>
      <c r="CB1449" s="16">
        <v>0</v>
      </c>
      <c r="CC1449" s="16">
        <v>0</v>
      </c>
      <c r="CD1449" s="78">
        <v>0</v>
      </c>
      <c r="CE1449" s="16">
        <v>0</v>
      </c>
      <c r="CF1449" s="16">
        <v>0</v>
      </c>
      <c r="CP1449" s="16" t="s">
        <v>123</v>
      </c>
      <c r="CQ1449" s="16">
        <v>0</v>
      </c>
      <c r="CR1449" s="16">
        <v>0</v>
      </c>
      <c r="CS1449" s="18">
        <f>IF(CT1449&gt;0,1,0)</f>
        <v>0</v>
      </c>
      <c r="CT1449" s="25">
        <f>SUM(CW1449,CZ1449,DC1449)</f>
        <v>0</v>
      </c>
      <c r="CU1449" s="25"/>
      <c r="CV1449" s="16">
        <v>0</v>
      </c>
      <c r="CW1449" s="25">
        <v>0</v>
      </c>
      <c r="CX1449" s="16">
        <v>0</v>
      </c>
      <c r="CY1449" s="16">
        <v>0</v>
      </c>
      <c r="CZ1449" s="18">
        <v>0</v>
      </c>
      <c r="DA1449" s="16">
        <v>0</v>
      </c>
      <c r="DB1449" s="16">
        <v>0</v>
      </c>
      <c r="DC1449" s="18">
        <v>0</v>
      </c>
      <c r="DD1449" s="16">
        <v>0</v>
      </c>
      <c r="DE1449" s="16">
        <v>0</v>
      </c>
      <c r="DF1449" s="16" t="e">
        <f>VLOOKUP(K1449,'[3]RNA Seq summary tables'!$V$3:$V$99,1,FALSE)</f>
        <v>#N/A</v>
      </c>
    </row>
    <row r="1450" spans="1:288" x14ac:dyDescent="0.2">
      <c r="A1450" s="51">
        <v>1</v>
      </c>
      <c r="B1450" s="18">
        <v>2016</v>
      </c>
      <c r="C1450" s="37">
        <v>42542</v>
      </c>
      <c r="D1450" s="37" t="str">
        <f>CONCATENATE(J1450,"-",C1450)</f>
        <v>934-42542</v>
      </c>
      <c r="E1450" s="20" t="str">
        <f>CONCATENATE(T1450,"-",U1450,"-",C1450)</f>
        <v>BC1-D1-42542</v>
      </c>
      <c r="F1450" s="20" t="s">
        <v>106</v>
      </c>
      <c r="G1450" s="37" t="s">
        <v>107</v>
      </c>
      <c r="H1450" s="18" t="s">
        <v>195</v>
      </c>
      <c r="I1450" s="16">
        <v>0</v>
      </c>
      <c r="J1450" s="36">
        <v>934</v>
      </c>
      <c r="K1450" s="36">
        <v>1402</v>
      </c>
      <c r="L1450" s="18">
        <v>0</v>
      </c>
      <c r="M1450" s="15">
        <f>VLOOKUP(K1450,'[7]MLBS 2016 SNV-nem Coinfection d'!$C$1:$G$238,4,FALSE)</f>
        <v>0</v>
      </c>
      <c r="N1450" s="15">
        <v>0</v>
      </c>
      <c r="O1450" s="15"/>
      <c r="P1450" s="18"/>
      <c r="Q1450" s="18"/>
      <c r="R1450" s="18"/>
      <c r="S1450" s="18"/>
      <c r="T1450" s="18" t="s">
        <v>159</v>
      </c>
      <c r="U1450" s="18" t="s">
        <v>157</v>
      </c>
      <c r="V1450" s="18" t="s">
        <v>114</v>
      </c>
      <c r="W1450" s="18"/>
      <c r="X1450" s="18"/>
      <c r="Y1450" s="18" t="s">
        <v>122</v>
      </c>
      <c r="Z1450" s="18">
        <v>2.6</v>
      </c>
      <c r="AA1450" s="18"/>
      <c r="AB1450" s="18"/>
      <c r="AC1450" s="18"/>
      <c r="AD1450" s="18"/>
      <c r="AE1450" s="18"/>
      <c r="AF1450" s="18"/>
      <c r="AG1450" s="18"/>
      <c r="AH1450" s="18"/>
      <c r="AI1450" s="18"/>
      <c r="AJ1450" s="18"/>
      <c r="AK1450" s="18">
        <v>18</v>
      </c>
      <c r="AL1450" s="18">
        <v>0</v>
      </c>
      <c r="AM1450" s="18">
        <v>0</v>
      </c>
      <c r="AN1450" s="18">
        <v>0</v>
      </c>
      <c r="AO1450" s="18">
        <f>IF(SUM(AL1450:AN1450)&gt;0,1,0)</f>
        <v>0</v>
      </c>
      <c r="AP1450" s="18">
        <f>SUM(AL1450:AN1450)</f>
        <v>0</v>
      </c>
      <c r="AQ1450" s="18"/>
      <c r="AR1450" s="18"/>
      <c r="AS1450" s="18"/>
      <c r="AT1450" s="18"/>
      <c r="AU1450" s="18"/>
      <c r="AV1450" s="18"/>
      <c r="AW1450" s="24"/>
      <c r="AX1450" s="24"/>
      <c r="AY1450" s="24"/>
      <c r="AZ1450" s="18"/>
      <c r="BA1450" s="24"/>
      <c r="BB1450" s="24"/>
      <c r="BC1450" s="18"/>
      <c r="BD1450" s="24"/>
      <c r="BE1450" s="24"/>
      <c r="BF1450" s="18"/>
      <c r="BG1450" s="92"/>
      <c r="BH1450" s="24"/>
      <c r="BI1450" s="18"/>
      <c r="BJ1450" s="24"/>
      <c r="BK1450" s="24"/>
      <c r="BL1450" s="18"/>
      <c r="BM1450" s="18"/>
      <c r="BN1450" s="18"/>
      <c r="BO1450" s="18"/>
      <c r="BP1450" s="18"/>
      <c r="BQ1450" s="18"/>
      <c r="BR1450" s="18"/>
      <c r="BS1450" s="24"/>
      <c r="BT1450" s="78"/>
      <c r="BU1450" s="18"/>
      <c r="BV1450" s="24"/>
      <c r="BW1450" s="18"/>
      <c r="BX1450" s="18"/>
      <c r="BY1450" s="24"/>
      <c r="BZ1450" s="18"/>
      <c r="CA1450" s="24"/>
      <c r="CB1450" s="24"/>
      <c r="CC1450" s="24"/>
      <c r="CD1450" s="78"/>
      <c r="CE1450" s="24"/>
      <c r="CF1450" s="24"/>
      <c r="CG1450" s="24"/>
      <c r="CH1450" s="24"/>
      <c r="CI1450" s="24"/>
      <c r="CJ1450" s="24"/>
      <c r="CK1450" s="24"/>
      <c r="CL1450" s="24"/>
      <c r="CM1450" s="24"/>
      <c r="CN1450" s="24"/>
      <c r="CO1450" s="24"/>
      <c r="CP1450" s="24"/>
      <c r="CQ1450" s="24"/>
      <c r="CR1450" s="24"/>
      <c r="CS1450" s="18"/>
      <c r="CT1450" s="25"/>
      <c r="CU1450" s="25"/>
      <c r="CV1450" s="24"/>
      <c r="CW1450" s="24"/>
      <c r="CX1450" s="24"/>
      <c r="CY1450" s="24"/>
      <c r="CZ1450" s="18"/>
      <c r="DA1450" s="24"/>
      <c r="DB1450" s="24"/>
      <c r="DC1450" s="18"/>
      <c r="DD1450" s="24"/>
      <c r="DE1450" s="24"/>
      <c r="DF1450" s="16" t="e">
        <f>VLOOKUP(K1450,'[3]RNA Seq summary tables'!$V$3:$V$99,1,FALSE)</f>
        <v>#N/A</v>
      </c>
      <c r="DI1450" s="18"/>
      <c r="DJ1450" s="18"/>
      <c r="DK1450" s="18"/>
      <c r="DL1450" s="18"/>
      <c r="DM1450" s="18"/>
      <c r="DN1450" s="18"/>
      <c r="DO1450" s="18"/>
      <c r="DP1450" s="18"/>
      <c r="DQ1450" s="18"/>
      <c r="DR1450" s="18"/>
      <c r="DS1450" s="18"/>
      <c r="JR1450" s="38"/>
      <c r="JS1450" s="38"/>
      <c r="JT1450" s="38"/>
      <c r="JU1450" s="38"/>
      <c r="JV1450" s="38"/>
      <c r="JW1450" s="38"/>
      <c r="JX1450" s="38"/>
      <c r="JY1450" s="38"/>
      <c r="JZ1450" s="38"/>
      <c r="KA1450" s="38"/>
      <c r="KB1450" s="38"/>
    </row>
    <row r="1451" spans="1:288" s="18" customFormat="1" x14ac:dyDescent="0.2">
      <c r="B1451" s="16">
        <v>2016</v>
      </c>
      <c r="C1451" s="37">
        <v>42604</v>
      </c>
      <c r="D1451" s="37" t="str">
        <f>CONCATENATE(J1451,"-",C1451)</f>
        <v>945-42604</v>
      </c>
      <c r="E1451" s="20" t="str">
        <f>CONCATENATE(T1451,"-",U1451,"-",C1451)</f>
        <v>HW2-B5-42604</v>
      </c>
      <c r="F1451" s="20" t="s">
        <v>227</v>
      </c>
      <c r="G1451" s="20" t="s">
        <v>107</v>
      </c>
      <c r="I1451" s="16">
        <v>0</v>
      </c>
      <c r="J1451" s="36">
        <v>945</v>
      </c>
      <c r="K1451" s="36">
        <v>1561</v>
      </c>
      <c r="L1451" s="18">
        <v>0</v>
      </c>
      <c r="M1451" s="15">
        <f>VLOOKUP(K1451,'[7]MLBS 2016 SNV-nem Coinfection d'!$C$1:$G$238,4,FALSE)</f>
        <v>0</v>
      </c>
      <c r="N1451" s="15">
        <v>0</v>
      </c>
      <c r="O1451" s="15"/>
      <c r="T1451" s="18" t="s">
        <v>129</v>
      </c>
      <c r="U1451" s="18" t="s">
        <v>160</v>
      </c>
      <c r="X1451" s="18" t="s">
        <v>121</v>
      </c>
      <c r="Y1451" s="18" t="s">
        <v>110</v>
      </c>
      <c r="Z1451" s="18">
        <v>3</v>
      </c>
      <c r="AA1451" s="18" t="s">
        <v>161</v>
      </c>
      <c r="AB1451" s="18" t="s">
        <v>116</v>
      </c>
      <c r="AC1451" s="18" t="s">
        <v>116</v>
      </c>
      <c r="AD1451" s="18" t="s">
        <v>123</v>
      </c>
      <c r="AO1451" s="16"/>
      <c r="AP1451" s="16"/>
      <c r="AR1451" s="18">
        <v>0.13100000000000001</v>
      </c>
      <c r="AS1451" s="18">
        <v>0.13100000000000001</v>
      </c>
      <c r="AT1451" s="18" t="s">
        <v>212</v>
      </c>
      <c r="AW1451" s="22">
        <v>1</v>
      </c>
      <c r="AX1451" s="24">
        <v>3</v>
      </c>
      <c r="AY1451" s="24">
        <f>(29+755+2)/0.131</f>
        <v>6000</v>
      </c>
      <c r="AZ1451" s="18">
        <v>1</v>
      </c>
      <c r="BA1451" s="24">
        <v>3</v>
      </c>
      <c r="BB1451" s="24">
        <v>6000</v>
      </c>
      <c r="BC1451" s="16">
        <v>1</v>
      </c>
      <c r="BD1451" s="24">
        <v>29</v>
      </c>
      <c r="BE1451" s="24">
        <f>29/0.131</f>
        <v>221.37404580152671</v>
      </c>
      <c r="BF1451" s="18">
        <v>1</v>
      </c>
      <c r="BG1451" s="92">
        <v>755</v>
      </c>
      <c r="BH1451" s="24">
        <f>755/0.131</f>
        <v>5763.3587786259541</v>
      </c>
      <c r="BI1451" s="16">
        <v>1</v>
      </c>
      <c r="BJ1451" s="24">
        <v>2</v>
      </c>
      <c r="BK1451" s="24">
        <f>2/0.131</f>
        <v>15.267175572519083</v>
      </c>
      <c r="BL1451" s="16">
        <f>IF(BM1451&gt;0,1,0)</f>
        <v>0</v>
      </c>
      <c r="BM1451" s="16">
        <f>SUM(BR1451,BU1451,BX1451,CA1451,CD1451,CG1451,CJ1451,CM1451,CP1451)</f>
        <v>0</v>
      </c>
      <c r="BN1451" s="16">
        <f>SUM(BW1451,BZ1451,CC1451,CF1451,CI1451,CL1451,CO1451,CR1451,BT1451)</f>
        <v>0</v>
      </c>
      <c r="BO1451" s="16">
        <f>IF(BP1451&gt;0,1,0)</f>
        <v>0</v>
      </c>
      <c r="BP1451" s="16">
        <f>SUM(BU1451,BX1451,CA1451,CD1451,BR1451)</f>
        <v>0</v>
      </c>
      <c r="BQ1451" s="16">
        <f>SUM(BZ1451,CC1451,CF1451,BT1451,BW1451)</f>
        <v>0</v>
      </c>
      <c r="BR1451" s="18">
        <v>0</v>
      </c>
      <c r="BS1451" s="24">
        <v>0</v>
      </c>
      <c r="BT1451" s="77">
        <f>BS1451/AS1451</f>
        <v>0</v>
      </c>
      <c r="BU1451" s="18">
        <v>0</v>
      </c>
      <c r="BV1451" s="24">
        <v>0</v>
      </c>
      <c r="BW1451" s="18">
        <f>BV1451/AS1451</f>
        <v>0</v>
      </c>
      <c r="BX1451" s="18">
        <v>0</v>
      </c>
      <c r="BY1451" s="24">
        <v>0</v>
      </c>
      <c r="BZ1451" s="16">
        <f>BY1451/AS1451</f>
        <v>0</v>
      </c>
      <c r="CA1451" s="24">
        <v>0</v>
      </c>
      <c r="CB1451" s="24">
        <v>0</v>
      </c>
      <c r="CC1451" s="24">
        <v>0</v>
      </c>
      <c r="CD1451" s="78">
        <v>0</v>
      </c>
      <c r="CE1451" s="24">
        <v>0</v>
      </c>
      <c r="CF1451" s="24">
        <v>0</v>
      </c>
      <c r="CG1451" s="24"/>
      <c r="CH1451" s="24"/>
      <c r="CI1451" s="24"/>
      <c r="CJ1451" s="24"/>
      <c r="CK1451" s="24"/>
      <c r="CL1451" s="24"/>
      <c r="CM1451" s="24"/>
      <c r="CN1451" s="24"/>
      <c r="CO1451" s="24"/>
      <c r="CP1451" s="24" t="s">
        <v>123</v>
      </c>
      <c r="CQ1451" s="24">
        <v>0</v>
      </c>
      <c r="CR1451" s="24">
        <v>0</v>
      </c>
      <c r="CS1451" s="18">
        <f>IF(CT1451&gt;0,1,0)</f>
        <v>0</v>
      </c>
      <c r="CT1451" s="25">
        <f>SUM(CW1451,CZ1451,DC1451)</f>
        <v>0</v>
      </c>
      <c r="CU1451" s="25"/>
      <c r="CV1451" s="24">
        <v>0</v>
      </c>
      <c r="CW1451" s="25">
        <v>0</v>
      </c>
      <c r="CX1451" s="24">
        <v>0</v>
      </c>
      <c r="CY1451" s="24">
        <v>0</v>
      </c>
      <c r="CZ1451" s="18">
        <v>0</v>
      </c>
      <c r="DA1451" s="24">
        <v>0</v>
      </c>
      <c r="DB1451" s="24">
        <v>0</v>
      </c>
      <c r="DC1451" s="18">
        <v>0</v>
      </c>
      <c r="DD1451" s="24">
        <v>0</v>
      </c>
      <c r="DE1451" s="24">
        <v>0</v>
      </c>
      <c r="DF1451" s="16" t="e">
        <f>VLOOKUP(K1451,'[3]RNA Seq summary tables'!$V$3:$V$99,1,FALSE)</f>
        <v>#N/A</v>
      </c>
      <c r="DG1451" s="16">
        <v>1</v>
      </c>
      <c r="DH1451" s="16" t="str">
        <f>VLOOKUP(D1451,'[8]Data with duplicates'!$B$1:$J$70,9,FALSE)</f>
        <v>sample.29</v>
      </c>
      <c r="JO1451" s="16"/>
      <c r="JP1451" s="16"/>
      <c r="JQ1451" s="16"/>
      <c r="JR1451" s="16"/>
      <c r="JS1451" s="16"/>
      <c r="JT1451" s="16"/>
      <c r="JU1451" s="16"/>
      <c r="JV1451" s="16"/>
      <c r="JW1451" s="16"/>
      <c r="JX1451" s="16"/>
      <c r="JY1451" s="16"/>
      <c r="JZ1451" s="16"/>
      <c r="KA1451" s="16"/>
      <c r="KB1451" s="16"/>
    </row>
    <row r="1452" spans="1:288" s="18" customFormat="1" x14ac:dyDescent="0.2">
      <c r="B1452" s="16">
        <v>2016</v>
      </c>
      <c r="C1452" s="20">
        <v>42553</v>
      </c>
      <c r="D1452" s="20" t="str">
        <f>CONCATENATE(J1452,"-",C1452)</f>
        <v>946-42553</v>
      </c>
      <c r="E1452" s="20" t="str">
        <f>CONCATENATE(T1452,"-",U1452,"-",C1452)</f>
        <v>SP1-H4-42553</v>
      </c>
      <c r="F1452" s="20" t="s">
        <v>106</v>
      </c>
      <c r="G1452" s="20" t="s">
        <v>107</v>
      </c>
      <c r="H1452" s="16"/>
      <c r="I1452" s="16">
        <v>0</v>
      </c>
      <c r="J1452" s="15">
        <v>946</v>
      </c>
      <c r="K1452" s="15"/>
      <c r="L1452" s="18">
        <v>0</v>
      </c>
      <c r="M1452" s="15"/>
      <c r="N1452" s="15"/>
      <c r="O1452" s="15"/>
      <c r="P1452" s="23"/>
      <c r="Q1452" s="23"/>
      <c r="R1452" s="23"/>
      <c r="S1452" s="23"/>
      <c r="T1452" s="23" t="s">
        <v>140</v>
      </c>
      <c r="U1452" s="23" t="s">
        <v>151</v>
      </c>
      <c r="V1452" s="23"/>
      <c r="W1452" s="23"/>
      <c r="X1452" s="23"/>
      <c r="Y1452" s="23"/>
      <c r="Z1452" s="23"/>
      <c r="AA1452" s="23"/>
      <c r="AB1452" s="23"/>
      <c r="AC1452" s="16"/>
      <c r="AD1452" s="16"/>
      <c r="AE1452" s="16"/>
      <c r="AF1452" s="16"/>
      <c r="AG1452" s="16"/>
      <c r="AH1452" s="16"/>
      <c r="AI1452" s="16"/>
      <c r="AJ1452" s="16"/>
      <c r="AK1452" s="16">
        <v>18</v>
      </c>
      <c r="AL1452" s="16"/>
      <c r="AM1452" s="16"/>
      <c r="AN1452" s="16"/>
      <c r="AO1452" s="16"/>
      <c r="AP1452" s="16"/>
      <c r="AQ1452" s="16"/>
      <c r="AT1452" s="16" t="s">
        <v>204</v>
      </c>
      <c r="AU1452" s="16"/>
      <c r="AV1452" s="16"/>
      <c r="AW1452" s="16"/>
      <c r="AX1452" s="16"/>
      <c r="AY1452" s="16"/>
      <c r="AZ1452" s="16"/>
      <c r="BA1452" s="16"/>
      <c r="BB1452" s="16"/>
      <c r="BC1452" s="16"/>
      <c r="BD1452" s="16"/>
      <c r="BE1452" s="16"/>
      <c r="BF1452" s="16"/>
      <c r="BG1452" s="77"/>
      <c r="BH1452" s="16"/>
      <c r="BI1452" s="16"/>
      <c r="BJ1452" s="16"/>
      <c r="BK1452" s="16"/>
      <c r="BL1452" s="16"/>
      <c r="BM1452" s="16"/>
      <c r="BN1452" s="16"/>
      <c r="BO1452" s="16"/>
      <c r="BP1452" s="16"/>
      <c r="BQ1452" s="16"/>
      <c r="BR1452" s="16"/>
      <c r="BS1452" s="16"/>
      <c r="BT1452" s="77"/>
      <c r="BU1452" s="16"/>
      <c r="BV1452" s="16"/>
      <c r="BW1452" s="16"/>
      <c r="BX1452" s="16"/>
      <c r="BY1452" s="16"/>
      <c r="BZ1452" s="16"/>
      <c r="CA1452" s="16"/>
      <c r="CB1452" s="16"/>
      <c r="CC1452" s="16"/>
      <c r="CD1452" s="77"/>
      <c r="CE1452" s="16"/>
      <c r="CF1452" s="16"/>
      <c r="CG1452" s="16"/>
      <c r="CH1452" s="16"/>
      <c r="CI1452" s="16"/>
      <c r="CJ1452" s="16"/>
      <c r="CK1452" s="16"/>
      <c r="CL1452" s="16"/>
      <c r="CM1452" s="16"/>
      <c r="CN1452" s="16"/>
      <c r="CO1452" s="16"/>
      <c r="CP1452" s="16"/>
      <c r="CQ1452" s="16"/>
      <c r="CR1452" s="16"/>
      <c r="CS1452" s="16"/>
      <c r="CT1452" s="16"/>
      <c r="CU1452" s="16"/>
      <c r="CV1452" s="16"/>
      <c r="CW1452" s="16"/>
      <c r="CX1452" s="16"/>
      <c r="CY1452" s="16"/>
      <c r="CZ1452" s="16"/>
      <c r="DA1452" s="16"/>
      <c r="DB1452" s="16"/>
      <c r="DC1452" s="16"/>
      <c r="DD1452" s="16"/>
      <c r="DE1452" s="16"/>
      <c r="DF1452" s="16" t="e">
        <f>VLOOKUP(K1452,'[3]RNA Seq summary tables'!$V$3:$V$99,1,FALSE)</f>
        <v>#N/A</v>
      </c>
      <c r="DG1452" s="16"/>
      <c r="DH1452" s="16"/>
      <c r="DI1452" s="16"/>
      <c r="DJ1452" s="16"/>
      <c r="DK1452" s="16"/>
      <c r="DL1452" s="16"/>
      <c r="DM1452" s="16"/>
      <c r="DN1452" s="16"/>
      <c r="DO1452" s="16"/>
      <c r="DP1452" s="16"/>
      <c r="DQ1452" s="16"/>
      <c r="DR1452" s="16"/>
      <c r="DS1452" s="16"/>
      <c r="JO1452" s="16"/>
      <c r="JP1452" s="16"/>
      <c r="JQ1452" s="16"/>
      <c r="JR1452" s="16"/>
      <c r="JS1452" s="16"/>
      <c r="JT1452" s="16"/>
      <c r="JU1452" s="16"/>
      <c r="JV1452" s="16"/>
      <c r="JW1452" s="16"/>
      <c r="JX1452" s="16"/>
      <c r="JY1452" s="16"/>
      <c r="JZ1452" s="16"/>
      <c r="KA1452" s="16"/>
      <c r="KB1452" s="16"/>
    </row>
    <row r="1453" spans="1:288" x14ac:dyDescent="0.2">
      <c r="A1453" s="51">
        <v>1</v>
      </c>
      <c r="B1453" s="16">
        <v>2016</v>
      </c>
      <c r="C1453" s="37">
        <v>42567</v>
      </c>
      <c r="D1453" s="37" t="str">
        <f>CONCATENATE(J1453,"-",C1453)</f>
        <v>999-42567</v>
      </c>
      <c r="E1453" s="20" t="str">
        <f>CONCATENATE(T1453,"-",U1453,"-",C1453)</f>
        <v>SP1-G8-42567</v>
      </c>
      <c r="F1453" s="20" t="s">
        <v>106</v>
      </c>
      <c r="G1453" s="37" t="s">
        <v>107</v>
      </c>
      <c r="H1453" s="18" t="s">
        <v>195</v>
      </c>
      <c r="I1453" s="16">
        <v>0</v>
      </c>
      <c r="J1453" s="36">
        <v>999</v>
      </c>
      <c r="K1453" s="36">
        <v>1488</v>
      </c>
      <c r="L1453" s="18">
        <v>0</v>
      </c>
      <c r="M1453" s="15">
        <f>VLOOKUP(K1453,'[7]MLBS 2016 SNV-nem Coinfection d'!$C$1:$G$238,4,FALSE)</f>
        <v>0</v>
      </c>
      <c r="N1453" s="15">
        <v>0</v>
      </c>
      <c r="O1453" s="15"/>
      <c r="P1453" s="18"/>
      <c r="Q1453" s="18"/>
      <c r="R1453" s="18"/>
      <c r="S1453" s="18"/>
      <c r="T1453" s="18" t="s">
        <v>140</v>
      </c>
      <c r="U1453" s="18" t="s">
        <v>216</v>
      </c>
      <c r="V1453" s="18" t="s">
        <v>114</v>
      </c>
      <c r="W1453" s="16">
        <f>AI1453/AG1453</f>
        <v>0.83</v>
      </c>
      <c r="X1453" s="18" t="s">
        <v>121</v>
      </c>
      <c r="Y1453" s="18" t="s">
        <v>110</v>
      </c>
      <c r="Z1453" s="18">
        <v>3</v>
      </c>
      <c r="AA1453" s="18"/>
      <c r="AB1453" s="18"/>
      <c r="AC1453" s="18"/>
      <c r="AD1453" s="18"/>
      <c r="AE1453" s="18"/>
      <c r="AF1453" s="18"/>
      <c r="AG1453" s="18">
        <v>100</v>
      </c>
      <c r="AH1453" s="18">
        <v>183</v>
      </c>
      <c r="AI1453" s="18">
        <v>83</v>
      </c>
      <c r="AJ1453" s="18"/>
      <c r="AK1453" s="18">
        <v>26</v>
      </c>
      <c r="AL1453" s="18"/>
      <c r="AM1453" s="18"/>
      <c r="AN1453" s="18"/>
      <c r="AQ1453" s="18"/>
      <c r="AR1453" s="18"/>
      <c r="AS1453" s="18"/>
      <c r="AT1453" s="18"/>
      <c r="AU1453" s="18"/>
      <c r="AV1453" s="18"/>
      <c r="AW1453" s="18"/>
      <c r="AX1453" s="18"/>
      <c r="AY1453" s="18"/>
      <c r="AZ1453" s="18"/>
      <c r="BA1453" s="18"/>
      <c r="BB1453" s="18"/>
      <c r="BC1453" s="18"/>
      <c r="BD1453" s="18"/>
      <c r="BE1453" s="18"/>
      <c r="BF1453" s="18"/>
      <c r="BG1453" s="78"/>
      <c r="BH1453" s="18"/>
      <c r="BI1453" s="18"/>
      <c r="BJ1453" s="18"/>
      <c r="BK1453" s="18"/>
      <c r="BL1453" s="18"/>
      <c r="BM1453" s="18"/>
      <c r="BN1453" s="18"/>
      <c r="BO1453" s="18"/>
      <c r="BP1453" s="18"/>
      <c r="BQ1453" s="18"/>
      <c r="BR1453" s="18"/>
      <c r="BS1453" s="18"/>
      <c r="BT1453" s="78"/>
      <c r="BU1453" s="18"/>
      <c r="BV1453" s="18"/>
      <c r="BW1453" s="18"/>
      <c r="BX1453" s="18"/>
      <c r="BY1453" s="18"/>
      <c r="BZ1453" s="18"/>
      <c r="CA1453" s="18"/>
      <c r="CB1453" s="18"/>
      <c r="CC1453" s="18"/>
      <c r="CD1453" s="7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6" t="e">
        <f>VLOOKUP(K1453,'[3]RNA Seq summary tables'!$V$3:$V$99,1,FALSE)</f>
        <v>#N/A</v>
      </c>
      <c r="DI1453" s="18"/>
      <c r="DJ1453" s="18"/>
      <c r="DK1453" s="18"/>
      <c r="DL1453" s="18"/>
      <c r="DM1453" s="18"/>
      <c r="DN1453" s="18"/>
      <c r="DO1453" s="18"/>
      <c r="DP1453" s="18"/>
      <c r="DQ1453" s="18"/>
      <c r="DR1453" s="18"/>
      <c r="DS1453" s="18"/>
    </row>
    <row r="1454" spans="1:288" x14ac:dyDescent="0.2">
      <c r="A1454" s="18">
        <v>1</v>
      </c>
      <c r="B1454" s="18">
        <v>2016</v>
      </c>
      <c r="C1454" s="37">
        <v>42608</v>
      </c>
      <c r="D1454" s="37" t="str">
        <f>CONCATENATE(J1454,"-",C1454)</f>
        <v>1011-42608</v>
      </c>
      <c r="E1454" s="20" t="str">
        <f>CONCATENATE(T1454,"-",U1454,"-",C1454)</f>
        <v>SP1-E3-42608</v>
      </c>
      <c r="F1454" s="20" t="s">
        <v>227</v>
      </c>
      <c r="G1454" s="37" t="s">
        <v>107</v>
      </c>
      <c r="H1454" s="18" t="s">
        <v>195</v>
      </c>
      <c r="I1454" s="16">
        <v>0</v>
      </c>
      <c r="J1454" s="36">
        <v>1011</v>
      </c>
      <c r="K1454" s="36">
        <v>1566</v>
      </c>
      <c r="L1454" s="18">
        <v>0</v>
      </c>
      <c r="M1454" s="42"/>
      <c r="N1454" s="42"/>
      <c r="O1454" s="42"/>
      <c r="P1454" s="18"/>
      <c r="Q1454" s="18"/>
      <c r="R1454" s="18"/>
      <c r="S1454" s="18"/>
      <c r="T1454" s="18" t="s">
        <v>140</v>
      </c>
      <c r="U1454" s="18" t="s">
        <v>225</v>
      </c>
      <c r="V1454" s="18"/>
      <c r="W1454" s="18"/>
      <c r="X1454" s="18"/>
      <c r="Y1454" s="18"/>
      <c r="Z1454" s="18"/>
      <c r="AA1454" s="18"/>
      <c r="AB1454" s="18"/>
      <c r="AC1454" s="18"/>
      <c r="AD1454" s="18"/>
      <c r="AE1454" s="18"/>
      <c r="AF1454" s="18"/>
      <c r="AG1454" s="18"/>
      <c r="AH1454" s="18"/>
      <c r="AI1454" s="18"/>
      <c r="AJ1454" s="18"/>
      <c r="AK1454" s="18">
        <v>25</v>
      </c>
      <c r="AL1454" s="18"/>
      <c r="AM1454" s="18"/>
      <c r="AN1454" s="18"/>
      <c r="AQ1454" s="18"/>
      <c r="AR1454" s="18"/>
      <c r="AS1454" s="18"/>
      <c r="AT1454" s="18"/>
      <c r="AU1454" s="18"/>
      <c r="AV1454" s="18"/>
      <c r="AW1454" s="18"/>
      <c r="AX1454" s="18"/>
      <c r="AY1454" s="18"/>
      <c r="AZ1454" s="18"/>
      <c r="BA1454" s="18"/>
      <c r="BB1454" s="18"/>
      <c r="BC1454" s="18"/>
      <c r="BD1454" s="18"/>
      <c r="BE1454" s="18"/>
      <c r="BF1454" s="18"/>
      <c r="BG1454" s="78"/>
      <c r="BH1454" s="18"/>
      <c r="BI1454" s="18"/>
      <c r="BJ1454" s="18"/>
      <c r="BK1454" s="18"/>
      <c r="BL1454" s="18"/>
      <c r="BM1454" s="18"/>
      <c r="BN1454" s="18"/>
      <c r="BO1454" s="18"/>
      <c r="BP1454" s="18"/>
      <c r="BQ1454" s="18"/>
      <c r="BR1454" s="18"/>
      <c r="BS1454" s="18"/>
      <c r="BT1454" s="78"/>
      <c r="BU1454" s="18"/>
      <c r="BV1454" s="18"/>
      <c r="BW1454" s="18"/>
      <c r="BX1454" s="18"/>
      <c r="BY1454" s="18"/>
      <c r="BZ1454" s="18"/>
      <c r="CA1454" s="18"/>
      <c r="CB1454" s="18"/>
      <c r="CC1454" s="18"/>
      <c r="CD1454" s="7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6" t="e">
        <f>VLOOKUP(K1454,'[3]RNA Seq summary tables'!$V$3:$V$99,1,FALSE)</f>
        <v>#N/A</v>
      </c>
      <c r="DG1454" s="16">
        <v>1</v>
      </c>
      <c r="DH1454" s="16" t="str">
        <f>VLOOKUP(D1454,'[8]Data with duplicates'!$B$1:$J$70,9,FALSE)</f>
        <v>sample.13dup</v>
      </c>
      <c r="DI1454" s="18"/>
      <c r="DJ1454" s="18"/>
      <c r="DK1454" s="18"/>
      <c r="DL1454" s="18"/>
      <c r="DM1454" s="18"/>
      <c r="DN1454" s="18"/>
      <c r="DO1454" s="18"/>
      <c r="DP1454" s="18"/>
      <c r="DQ1454" s="18"/>
      <c r="DR1454" s="18"/>
      <c r="DS1454" s="18"/>
    </row>
    <row r="1455" spans="1:288" x14ac:dyDescent="0.2">
      <c r="B1455" s="18">
        <v>2017</v>
      </c>
      <c r="C1455" s="71">
        <v>42894</v>
      </c>
      <c r="D1455" s="71" t="str">
        <f>CONCATENATE(J1455,"-",C1455)</f>
        <v>1021-42894</v>
      </c>
      <c r="E1455" s="20" t="str">
        <f>CONCATENATE(T1455,"-",U1455,"-",C1455)</f>
        <v>PO1-E4-42894</v>
      </c>
      <c r="F1455" s="20" t="s">
        <v>106</v>
      </c>
      <c r="G1455" s="37" t="s">
        <v>107</v>
      </c>
      <c r="I1455" s="16">
        <v>0</v>
      </c>
      <c r="J1455" s="36">
        <v>1021</v>
      </c>
      <c r="K1455" s="36" t="s">
        <v>153</v>
      </c>
      <c r="L1455" s="18">
        <v>0</v>
      </c>
      <c r="P1455" s="18"/>
      <c r="Q1455" s="18"/>
      <c r="R1455" s="18"/>
      <c r="S1455" s="18"/>
      <c r="T1455" s="18" t="s">
        <v>112</v>
      </c>
      <c r="U1455" s="18" t="s">
        <v>206</v>
      </c>
      <c r="V1455" s="18"/>
      <c r="W1455" s="18"/>
      <c r="X1455" s="18"/>
      <c r="Y1455" s="18"/>
      <c r="Z1455" s="18"/>
      <c r="AA1455" s="18"/>
      <c r="AB1455" s="18"/>
      <c r="AC1455" s="18"/>
      <c r="AD1455" s="18"/>
      <c r="AE1455" s="18"/>
      <c r="AF1455" s="18"/>
      <c r="AG1455" s="18"/>
      <c r="AH1455" s="18"/>
      <c r="AI1455" s="18"/>
      <c r="AJ1455" s="18"/>
      <c r="AK1455" s="18"/>
      <c r="AL1455" s="18"/>
      <c r="AM1455" s="18"/>
      <c r="AN1455" s="18"/>
      <c r="AR1455" s="18"/>
      <c r="AS1455" s="18"/>
      <c r="AT1455" s="18" t="s">
        <v>204</v>
      </c>
      <c r="AU1455" s="18"/>
      <c r="AV1455" s="18"/>
      <c r="AW1455" s="18"/>
      <c r="AX1455" s="18"/>
      <c r="AY1455" s="18"/>
      <c r="AZ1455" s="18"/>
      <c r="BA1455" s="18"/>
      <c r="BB1455" s="18"/>
      <c r="BC1455" s="18"/>
      <c r="BD1455" s="18"/>
      <c r="BE1455" s="18"/>
      <c r="BF1455" s="18"/>
      <c r="BG1455" s="78"/>
      <c r="BH1455" s="18"/>
      <c r="BI1455" s="18"/>
      <c r="BJ1455" s="18"/>
      <c r="BK1455" s="18"/>
      <c r="BL1455" s="18"/>
      <c r="BM1455" s="18"/>
      <c r="BN1455" s="18"/>
      <c r="BO1455" s="18"/>
      <c r="BP1455" s="18"/>
      <c r="BQ1455" s="18"/>
      <c r="BR1455" s="18"/>
      <c r="BS1455" s="18"/>
      <c r="BT1455" s="78"/>
      <c r="BU1455" s="18"/>
      <c r="BV1455" s="18"/>
      <c r="BW1455" s="18"/>
      <c r="BX1455" s="18"/>
      <c r="BY1455" s="18"/>
      <c r="BZ1455" s="18"/>
      <c r="CA1455" s="18"/>
      <c r="CB1455" s="18"/>
      <c r="CC1455" s="18"/>
      <c r="CD1455" s="7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6" t="e">
        <f>VLOOKUP(K1455,'[3]RNA Seq summary tables'!$V$3:$V$99,1,FALSE)</f>
        <v>#N/A</v>
      </c>
      <c r="DI1455" s="18"/>
      <c r="DJ1455" s="18"/>
      <c r="DK1455" s="18"/>
      <c r="DL1455" s="18"/>
      <c r="DM1455" s="18"/>
      <c r="DN1455" s="18"/>
      <c r="DO1455" s="18"/>
      <c r="DP1455" s="18"/>
      <c r="DQ1455" s="18"/>
      <c r="DR1455" s="18"/>
      <c r="DS1455" s="18"/>
      <c r="JO1455" s="29"/>
    </row>
    <row r="1456" spans="1:288" x14ac:dyDescent="0.2">
      <c r="A1456" s="51">
        <v>1</v>
      </c>
      <c r="B1456" s="18">
        <v>2017</v>
      </c>
      <c r="C1456" s="65">
        <v>42913</v>
      </c>
      <c r="D1456" s="37" t="str">
        <f>CONCATENATE(J1456,"-",C1456)</f>
        <v>1077-42913</v>
      </c>
      <c r="E1456" s="20" t="str">
        <f>CONCATENATE(T1456,"-",U1456,"-",C1456)</f>
        <v>PO2-F2-42913</v>
      </c>
      <c r="F1456" s="20" t="s">
        <v>106</v>
      </c>
      <c r="G1456" s="65" t="s">
        <v>107</v>
      </c>
      <c r="H1456" s="25" t="s">
        <v>195</v>
      </c>
      <c r="I1456" s="23">
        <v>0</v>
      </c>
      <c r="J1456" s="42">
        <v>1077</v>
      </c>
      <c r="K1456" s="42">
        <v>1763</v>
      </c>
      <c r="L1456" s="25">
        <v>0</v>
      </c>
      <c r="M1456" s="21">
        <f>VLOOKUP($K1456,'[4]blood tubes 2017'!$D$1:$L$647,8,FALSE)</f>
        <v>0</v>
      </c>
      <c r="N1456" s="15">
        <v>0</v>
      </c>
      <c r="O1456" s="15"/>
      <c r="P1456" s="25"/>
      <c r="Q1456" s="25"/>
      <c r="R1456" s="25"/>
      <c r="S1456" s="25"/>
      <c r="T1456" s="25" t="s">
        <v>127</v>
      </c>
      <c r="U1456" s="25" t="s">
        <v>187</v>
      </c>
      <c r="V1456" s="25"/>
      <c r="W1456" s="25"/>
      <c r="X1456" s="25"/>
      <c r="Y1456" s="25"/>
      <c r="Z1456" s="25"/>
      <c r="AA1456" s="25"/>
      <c r="AB1456" s="25"/>
      <c r="AC1456" s="25"/>
      <c r="AD1456" s="25"/>
      <c r="AE1456" s="25"/>
      <c r="AF1456" s="25"/>
      <c r="AG1456" s="25"/>
      <c r="AH1456" s="25"/>
      <c r="AI1456" s="25"/>
      <c r="AJ1456" s="25"/>
      <c r="AK1456" s="25"/>
      <c r="AL1456" s="25"/>
      <c r="AM1456" s="25"/>
      <c r="AN1456" s="25"/>
      <c r="AP1456" s="25"/>
      <c r="AQ1456" s="25"/>
      <c r="AR1456" s="25"/>
      <c r="AS1456" s="25"/>
      <c r="AT1456" s="18"/>
      <c r="AU1456" s="18"/>
      <c r="AV1456" s="18"/>
      <c r="AW1456" s="18"/>
      <c r="AX1456" s="18"/>
      <c r="AY1456" s="18"/>
      <c r="AZ1456" s="18"/>
      <c r="BA1456" s="18"/>
      <c r="BB1456" s="18"/>
      <c r="BC1456" s="18"/>
      <c r="BD1456" s="18"/>
      <c r="BE1456" s="18"/>
      <c r="BF1456" s="18"/>
      <c r="BG1456" s="78"/>
      <c r="BH1456" s="18"/>
      <c r="BI1456" s="18"/>
      <c r="BJ1456" s="18"/>
      <c r="BK1456" s="18"/>
      <c r="BL1456" s="18"/>
      <c r="BM1456" s="18"/>
      <c r="BN1456" s="18"/>
      <c r="BO1456" s="18"/>
      <c r="BP1456" s="18"/>
      <c r="BQ1456" s="18"/>
      <c r="BR1456" s="18"/>
      <c r="BS1456" s="18"/>
      <c r="BT1456" s="78"/>
      <c r="BU1456" s="18"/>
      <c r="BV1456" s="18"/>
      <c r="BW1456" s="18"/>
      <c r="BX1456" s="18"/>
      <c r="BY1456" s="18"/>
      <c r="BZ1456" s="18"/>
      <c r="CA1456" s="18"/>
      <c r="CB1456" s="18"/>
      <c r="CC1456" s="18"/>
      <c r="CD1456" s="7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25"/>
      <c r="DD1456" s="25"/>
      <c r="DE1456" s="25"/>
      <c r="DF1456" s="16" t="e">
        <f>VLOOKUP(K1456,'[3]RNA Seq summary tables'!$V$3:$V$99,1,FALSE)</f>
        <v>#N/A</v>
      </c>
      <c r="DG1456" s="23"/>
      <c r="DH1456" s="23"/>
      <c r="DI1456" s="25">
        <v>71</v>
      </c>
      <c r="DJ1456" s="25"/>
      <c r="DK1456" s="25">
        <v>18</v>
      </c>
      <c r="DL1456" s="25"/>
      <c r="DM1456" s="25">
        <v>11</v>
      </c>
      <c r="DN1456" s="25"/>
      <c r="DO1456" s="25">
        <v>0</v>
      </c>
      <c r="DP1456" s="25"/>
      <c r="DQ1456" s="25">
        <v>0</v>
      </c>
      <c r="DR1456" s="25">
        <f>SUM(DI1456:DQ1456)</f>
        <v>100</v>
      </c>
      <c r="DS1456" s="25"/>
      <c r="DT1456" s="25"/>
      <c r="DU1456" s="25"/>
      <c r="DV1456" s="25"/>
      <c r="DW1456" s="25"/>
      <c r="DX1456" s="25"/>
      <c r="DY1456" s="25"/>
      <c r="DZ1456" s="25"/>
      <c r="EA1456" s="25"/>
      <c r="EB1456" s="25"/>
      <c r="EC1456" s="25"/>
      <c r="ED1456" s="25"/>
      <c r="EE1456" s="25"/>
      <c r="EF1456" s="25"/>
      <c r="EG1456" s="25"/>
      <c r="EH1456" s="25"/>
      <c r="EI1456" s="25"/>
      <c r="EJ1456" s="25"/>
      <c r="EK1456" s="25"/>
      <c r="EL1456" s="25"/>
      <c r="EM1456" s="25"/>
      <c r="EN1456" s="25"/>
      <c r="EO1456" s="25"/>
      <c r="EP1456" s="25"/>
      <c r="EQ1456" s="25"/>
      <c r="ER1456" s="25"/>
      <c r="ES1456" s="25"/>
      <c r="ET1456" s="25"/>
      <c r="EU1456" s="25"/>
      <c r="EV1456" s="25"/>
      <c r="EW1456" s="25"/>
      <c r="EX1456" s="25"/>
      <c r="EY1456" s="25"/>
      <c r="EZ1456" s="25"/>
      <c r="FA1456" s="25"/>
      <c r="FB1456" s="25"/>
      <c r="FC1456" s="25"/>
      <c r="FD1456" s="25"/>
      <c r="FE1456" s="25"/>
      <c r="FF1456" s="25"/>
      <c r="FG1456" s="25"/>
      <c r="FH1456" s="25"/>
      <c r="FI1456" s="25"/>
      <c r="FJ1456" s="25"/>
      <c r="FK1456" s="25"/>
      <c r="FL1456" s="25"/>
      <c r="FM1456" s="25"/>
      <c r="FN1456" s="25"/>
      <c r="FO1456" s="25"/>
      <c r="FP1456" s="25"/>
      <c r="FQ1456" s="25"/>
      <c r="FR1456" s="25"/>
      <c r="FS1456" s="25"/>
      <c r="FT1456" s="25"/>
      <c r="FU1456" s="25"/>
      <c r="FV1456" s="25"/>
      <c r="FW1456" s="25"/>
      <c r="FX1456" s="25"/>
      <c r="FY1456" s="25"/>
      <c r="FZ1456" s="25"/>
      <c r="GA1456" s="25"/>
      <c r="GB1456" s="25"/>
      <c r="GC1456" s="25"/>
      <c r="GD1456" s="25"/>
      <c r="GE1456" s="25"/>
      <c r="GF1456" s="25"/>
      <c r="GG1456" s="25"/>
      <c r="GH1456" s="25"/>
      <c r="GI1456" s="25"/>
      <c r="GJ1456" s="25"/>
      <c r="GK1456" s="25"/>
      <c r="GL1456" s="25"/>
      <c r="GM1456" s="25"/>
      <c r="GN1456" s="25"/>
      <c r="GO1456" s="25"/>
      <c r="GP1456" s="25"/>
      <c r="GQ1456" s="25"/>
      <c r="GR1456" s="25"/>
      <c r="GS1456" s="25"/>
      <c r="GT1456" s="25"/>
      <c r="GU1456" s="25"/>
      <c r="GV1456" s="25"/>
      <c r="GW1456" s="25"/>
      <c r="GX1456" s="25"/>
      <c r="GY1456" s="25"/>
      <c r="GZ1456" s="25"/>
      <c r="HA1456" s="25"/>
      <c r="HB1456" s="25"/>
      <c r="HC1456" s="25"/>
      <c r="HD1456" s="25"/>
      <c r="HE1456" s="25"/>
      <c r="HF1456" s="25"/>
      <c r="HG1456" s="25"/>
      <c r="HH1456" s="25"/>
      <c r="HI1456" s="25"/>
      <c r="HJ1456" s="25"/>
      <c r="HK1456" s="25"/>
      <c r="HL1456" s="25"/>
      <c r="HM1456" s="25"/>
      <c r="HN1456" s="25"/>
      <c r="HO1456" s="25"/>
      <c r="HP1456" s="25"/>
      <c r="HQ1456" s="25"/>
      <c r="HR1456" s="25"/>
      <c r="HS1456" s="25"/>
      <c r="HT1456" s="25"/>
      <c r="HU1456" s="25"/>
      <c r="HV1456" s="25"/>
      <c r="HW1456" s="25"/>
      <c r="HX1456" s="25"/>
      <c r="HY1456" s="25"/>
      <c r="HZ1456" s="25"/>
      <c r="IA1456" s="25"/>
      <c r="IB1456" s="25"/>
      <c r="IC1456" s="25"/>
      <c r="ID1456" s="25"/>
      <c r="IE1456" s="25"/>
      <c r="IF1456" s="25"/>
      <c r="IG1456" s="25"/>
      <c r="IH1456" s="25"/>
      <c r="II1456" s="25"/>
      <c r="IJ1456" s="25"/>
      <c r="IK1456" s="25"/>
      <c r="IL1456" s="25"/>
      <c r="IM1456" s="25"/>
      <c r="IN1456" s="25"/>
      <c r="IO1456" s="25"/>
      <c r="IP1456" s="25"/>
      <c r="IQ1456" s="25"/>
      <c r="IR1456" s="25"/>
      <c r="IS1456" s="25"/>
      <c r="IT1456" s="25"/>
      <c r="IU1456" s="25"/>
      <c r="IV1456" s="25"/>
      <c r="IW1456" s="25"/>
      <c r="IX1456" s="25"/>
      <c r="IY1456" s="25"/>
      <c r="IZ1456" s="25"/>
      <c r="JA1456" s="25"/>
      <c r="JB1456" s="25"/>
      <c r="JC1456" s="25"/>
      <c r="JD1456" s="25"/>
      <c r="JE1456" s="25"/>
      <c r="JF1456" s="25"/>
      <c r="JG1456" s="25"/>
      <c r="JH1456" s="25"/>
      <c r="JI1456" s="25"/>
      <c r="JJ1456" s="25"/>
      <c r="JK1456" s="25"/>
      <c r="JL1456" s="25"/>
      <c r="JM1456" s="25"/>
      <c r="JN1456" s="25"/>
      <c r="JO1456" s="23"/>
      <c r="JP1456" s="23"/>
      <c r="JQ1456" s="23"/>
      <c r="JR1456" s="27"/>
      <c r="JS1456" s="27"/>
      <c r="JT1456" s="27"/>
      <c r="JU1456" s="27"/>
      <c r="JV1456" s="27"/>
      <c r="JW1456" s="27"/>
      <c r="JX1456" s="27"/>
      <c r="JY1456" s="27"/>
      <c r="JZ1456" s="27"/>
      <c r="KA1456" s="27"/>
      <c r="KB1456" s="27"/>
    </row>
    <row r="1457" spans="1:288" x14ac:dyDescent="0.2">
      <c r="B1457" s="18">
        <v>2017</v>
      </c>
      <c r="C1457" s="37">
        <v>42949</v>
      </c>
      <c r="D1457" s="37" t="str">
        <f>CONCATENATE(J1457,"-",C1457)</f>
        <v>1200-42949</v>
      </c>
      <c r="E1457" s="20" t="str">
        <f>CONCATENATE(T1457,"-",U1457,"-",C1457)</f>
        <v>HW2-H4-42949</v>
      </c>
      <c r="F1457" s="20" t="s">
        <v>106</v>
      </c>
      <c r="G1457" s="37" t="s">
        <v>107</v>
      </c>
      <c r="H1457" s="18" t="s">
        <v>259</v>
      </c>
      <c r="I1457" s="16">
        <v>0</v>
      </c>
      <c r="J1457" s="36">
        <v>1200</v>
      </c>
      <c r="K1457" s="36" t="s">
        <v>153</v>
      </c>
      <c r="L1457" s="18">
        <v>0</v>
      </c>
      <c r="P1457" s="18"/>
      <c r="Q1457" s="18"/>
      <c r="R1457" s="18"/>
      <c r="S1457" s="18"/>
      <c r="T1457" s="18" t="s">
        <v>129</v>
      </c>
      <c r="U1457" s="18" t="s">
        <v>151</v>
      </c>
      <c r="V1457" s="18"/>
      <c r="W1457" s="18"/>
      <c r="X1457" s="18"/>
      <c r="Y1457" s="18"/>
      <c r="Z1457" s="18"/>
      <c r="AA1457" s="18"/>
      <c r="AB1457" s="18"/>
      <c r="AC1457" s="18"/>
      <c r="AD1457" s="18"/>
      <c r="AE1457" s="18"/>
      <c r="AF1457" s="18"/>
      <c r="AG1457" s="18"/>
      <c r="AH1457" s="18"/>
      <c r="AI1457" s="18"/>
      <c r="AJ1457" s="18"/>
      <c r="AK1457" s="18"/>
      <c r="AL1457" s="18"/>
      <c r="AM1457" s="18"/>
      <c r="AN1457" s="18"/>
      <c r="AP1457" s="18"/>
      <c r="AQ1457" s="18"/>
      <c r="AR1457" s="18"/>
      <c r="AS1457" s="18"/>
      <c r="AV1457" s="18"/>
      <c r="AW1457" s="18"/>
      <c r="AX1457" s="18"/>
      <c r="AY1457" s="18"/>
      <c r="AZ1457" s="18"/>
      <c r="BA1457" s="18"/>
      <c r="BB1457" s="18"/>
      <c r="BC1457" s="18"/>
      <c r="BD1457" s="18"/>
      <c r="BE1457" s="18"/>
      <c r="BF1457" s="18"/>
      <c r="BG1457" s="78"/>
      <c r="BH1457" s="18"/>
      <c r="BI1457" s="18"/>
      <c r="BJ1457" s="18"/>
      <c r="BK1457" s="18"/>
      <c r="BL1457" s="18"/>
      <c r="BM1457" s="18"/>
      <c r="BN1457" s="18"/>
      <c r="BO1457" s="18"/>
      <c r="BP1457" s="18"/>
      <c r="BQ1457" s="18"/>
      <c r="BR1457" s="18"/>
      <c r="BS1457" s="18"/>
      <c r="BT1457" s="78"/>
      <c r="BU1457" s="18"/>
      <c r="BV1457" s="18"/>
      <c r="BW1457" s="18"/>
      <c r="BX1457" s="18"/>
      <c r="BY1457" s="18"/>
      <c r="BZ1457" s="18"/>
      <c r="CA1457" s="18"/>
      <c r="CB1457" s="18"/>
      <c r="CC1457" s="18"/>
      <c r="CD1457" s="7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6" t="e">
        <f>VLOOKUP(K1457,'[3]RNA Seq summary tables'!$V$3:$V$99,1,FALSE)</f>
        <v>#N/A</v>
      </c>
      <c r="DI1457" s="18"/>
      <c r="DJ1457" s="18"/>
      <c r="DK1457" s="18"/>
      <c r="DL1457" s="18"/>
      <c r="DM1457" s="18"/>
      <c r="DN1457" s="18"/>
      <c r="DO1457" s="18"/>
      <c r="DP1457" s="18"/>
      <c r="DQ1457" s="18"/>
      <c r="DR1457" s="18"/>
      <c r="DS1457" s="18"/>
      <c r="JO1457" s="18"/>
    </row>
    <row r="1458" spans="1:288" x14ac:dyDescent="0.2">
      <c r="A1458" s="51">
        <v>1</v>
      </c>
      <c r="B1458" s="18">
        <v>2017</v>
      </c>
      <c r="C1458" s="37">
        <v>42937</v>
      </c>
      <c r="D1458" s="37" t="str">
        <f>CONCATENATE(J1458,"-",C1458)</f>
        <v>1209-42937</v>
      </c>
      <c r="E1458" s="20" t="str">
        <f>CONCATENATE(T1458,"-",U1458,"-",C1458)</f>
        <v>BC1-F4-42937</v>
      </c>
      <c r="F1458" s="20" t="s">
        <v>106</v>
      </c>
      <c r="G1458" s="37" t="s">
        <v>107</v>
      </c>
      <c r="H1458" s="18" t="s">
        <v>195</v>
      </c>
      <c r="I1458" s="16">
        <v>0</v>
      </c>
      <c r="J1458" s="36">
        <v>1209</v>
      </c>
      <c r="K1458" s="36">
        <v>1949</v>
      </c>
      <c r="L1458" s="18">
        <v>0</v>
      </c>
      <c r="M1458" s="21">
        <f>VLOOKUP($K1458,'[4]blood tubes 2017'!$D$1:$L$647,8,FALSE)</f>
        <v>0</v>
      </c>
      <c r="N1458" s="15">
        <v>0</v>
      </c>
      <c r="O1458" s="15"/>
      <c r="P1458" s="18"/>
      <c r="Q1458" s="18"/>
      <c r="R1458" s="18"/>
      <c r="S1458" s="18"/>
      <c r="T1458" s="18" t="s">
        <v>159</v>
      </c>
      <c r="U1458" s="18" t="s">
        <v>184</v>
      </c>
      <c r="V1458" s="18"/>
      <c r="W1458" s="18"/>
      <c r="X1458" s="18"/>
      <c r="Y1458" s="18"/>
      <c r="Z1458" s="18"/>
      <c r="AA1458" s="18"/>
      <c r="AB1458" s="18"/>
      <c r="AC1458" s="18"/>
      <c r="AD1458" s="18"/>
      <c r="AE1458" s="18"/>
      <c r="AF1458" s="18"/>
      <c r="AG1458" s="18"/>
      <c r="AH1458" s="18"/>
      <c r="AI1458" s="18"/>
      <c r="AJ1458" s="18"/>
      <c r="AK1458" s="18"/>
      <c r="AL1458" s="18"/>
      <c r="AM1458" s="18"/>
      <c r="AN1458" s="18"/>
      <c r="AP1458" s="18"/>
      <c r="AQ1458" s="18"/>
      <c r="AR1458" s="18"/>
      <c r="AS1458" s="18"/>
      <c r="AT1458" s="18"/>
      <c r="AU1458" s="18"/>
      <c r="AV1458" s="18"/>
      <c r="AW1458" s="18"/>
      <c r="AX1458" s="18"/>
      <c r="AY1458" s="18"/>
      <c r="AZ1458" s="18"/>
      <c r="BA1458" s="18"/>
      <c r="BB1458" s="18"/>
      <c r="BC1458" s="18"/>
      <c r="BD1458" s="18"/>
      <c r="BE1458" s="18"/>
      <c r="BF1458" s="18"/>
      <c r="BG1458" s="78"/>
      <c r="BH1458" s="18"/>
      <c r="BI1458" s="18"/>
      <c r="BJ1458" s="18"/>
      <c r="BK1458" s="18"/>
      <c r="BL1458" s="18"/>
      <c r="BM1458" s="18"/>
      <c r="BN1458" s="18"/>
      <c r="BO1458" s="18"/>
      <c r="BP1458" s="18"/>
      <c r="BQ1458" s="18"/>
      <c r="BR1458" s="18"/>
      <c r="BS1458" s="18"/>
      <c r="BT1458" s="78"/>
      <c r="BU1458" s="18"/>
      <c r="BV1458" s="18"/>
      <c r="BW1458" s="18"/>
      <c r="BX1458" s="18"/>
      <c r="BY1458" s="18"/>
      <c r="BZ1458" s="18"/>
      <c r="CA1458" s="18"/>
      <c r="CB1458" s="18"/>
      <c r="CC1458" s="18"/>
      <c r="CD1458" s="7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6" t="e">
        <f>VLOOKUP(K1458,'[3]RNA Seq summary tables'!$V$3:$V$99,1,FALSE)</f>
        <v>#N/A</v>
      </c>
      <c r="DI1458" s="18"/>
      <c r="DJ1458" s="18"/>
      <c r="DK1458" s="18"/>
      <c r="DL1458" s="18"/>
      <c r="DM1458" s="18"/>
      <c r="DN1458" s="18"/>
      <c r="DO1458" s="18"/>
      <c r="DP1458" s="18"/>
      <c r="DQ1458" s="18"/>
      <c r="DR1458" s="18"/>
      <c r="DS1458" s="18"/>
      <c r="JR1458" s="18"/>
      <c r="JS1458" s="18"/>
      <c r="JT1458" s="18"/>
      <c r="JU1458" s="18"/>
      <c r="JV1458" s="18"/>
      <c r="JW1458" s="18"/>
      <c r="JX1458" s="18"/>
      <c r="JY1458" s="18"/>
      <c r="JZ1458" s="18"/>
      <c r="KA1458" s="18"/>
      <c r="KB1458" s="18"/>
    </row>
    <row r="1459" spans="1:288" x14ac:dyDescent="0.2">
      <c r="A1459" s="51">
        <v>1</v>
      </c>
      <c r="B1459" s="18">
        <v>2017</v>
      </c>
      <c r="C1459" s="65">
        <v>42958</v>
      </c>
      <c r="D1459" s="65" t="str">
        <f>CONCATENATE(J1459,"-",C1459)</f>
        <v>1212-42958</v>
      </c>
      <c r="E1459" s="20" t="str">
        <f>CONCATENATE(T1459,"-",U1459,"-",C1459)</f>
        <v>SP2-F8-42958</v>
      </c>
      <c r="F1459" s="20" t="s">
        <v>106</v>
      </c>
      <c r="G1459" s="37" t="s">
        <v>107</v>
      </c>
      <c r="H1459" s="18" t="s">
        <v>195</v>
      </c>
      <c r="I1459" s="16">
        <v>0</v>
      </c>
      <c r="J1459" s="42">
        <v>1212</v>
      </c>
      <c r="K1459" s="42">
        <v>2136</v>
      </c>
      <c r="L1459" s="18">
        <v>0</v>
      </c>
      <c r="M1459" s="21">
        <f>VLOOKUP($K1459,'[4]blood tubes 2017'!$D$1:$L$647,8,FALSE)</f>
        <v>0</v>
      </c>
      <c r="N1459" s="15">
        <v>0</v>
      </c>
      <c r="O1459" s="15"/>
      <c r="P1459" s="25"/>
      <c r="Q1459" s="25"/>
      <c r="R1459" s="25"/>
      <c r="S1459" s="25"/>
      <c r="T1459" s="25" t="s">
        <v>137</v>
      </c>
      <c r="U1459" s="25" t="s">
        <v>138</v>
      </c>
      <c r="V1459" s="25"/>
      <c r="W1459" s="25"/>
      <c r="X1459" s="25"/>
      <c r="Y1459" s="25"/>
      <c r="Z1459" s="25"/>
      <c r="AA1459" s="25"/>
      <c r="AB1459" s="25"/>
      <c r="AC1459" s="25"/>
      <c r="AD1459" s="25"/>
      <c r="AE1459" s="25"/>
      <c r="AF1459" s="25"/>
      <c r="AG1459" s="25"/>
      <c r="AH1459" s="25"/>
      <c r="AI1459" s="25"/>
      <c r="AJ1459" s="25"/>
      <c r="AK1459" s="25"/>
      <c r="AL1459" s="25"/>
      <c r="AM1459" s="25"/>
      <c r="AN1459" s="25"/>
      <c r="AP1459" s="25"/>
      <c r="AQ1459" s="25"/>
      <c r="AR1459" s="25"/>
      <c r="AS1459" s="25"/>
      <c r="AT1459" s="18"/>
      <c r="AU1459" s="18"/>
      <c r="AV1459" s="18"/>
      <c r="AW1459" s="18"/>
      <c r="AX1459" s="18"/>
      <c r="AY1459" s="18"/>
      <c r="AZ1459" s="18"/>
      <c r="BA1459" s="18"/>
      <c r="BB1459" s="18"/>
      <c r="BC1459" s="18"/>
      <c r="BD1459" s="18"/>
      <c r="BE1459" s="18"/>
      <c r="BF1459" s="18"/>
      <c r="BG1459" s="78"/>
      <c r="BH1459" s="18"/>
      <c r="BI1459" s="18"/>
      <c r="BJ1459" s="18"/>
      <c r="BK1459" s="18"/>
      <c r="BL1459" s="18"/>
      <c r="BM1459" s="18"/>
      <c r="BN1459" s="18"/>
      <c r="BO1459" s="18"/>
      <c r="BP1459" s="18"/>
      <c r="BQ1459" s="18"/>
      <c r="BR1459" s="18"/>
      <c r="BS1459" s="18"/>
      <c r="BT1459" s="78"/>
      <c r="BU1459" s="18"/>
      <c r="BV1459" s="18"/>
      <c r="BW1459" s="18"/>
      <c r="BX1459" s="18"/>
      <c r="BY1459" s="18"/>
      <c r="BZ1459" s="18"/>
      <c r="CA1459" s="18"/>
      <c r="CB1459" s="18"/>
      <c r="CC1459" s="18"/>
      <c r="CD1459" s="7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25"/>
      <c r="DD1459" s="25"/>
      <c r="DE1459" s="25"/>
      <c r="DF1459" s="16" t="e">
        <f>VLOOKUP(K1459,'[3]RNA Seq summary tables'!$V$3:$V$99,1,FALSE)</f>
        <v>#N/A</v>
      </c>
      <c r="DI1459" s="25"/>
      <c r="DJ1459" s="25"/>
      <c r="DK1459" s="25"/>
      <c r="DL1459" s="25"/>
      <c r="DM1459" s="25"/>
      <c r="DN1459" s="25"/>
      <c r="DO1459" s="25"/>
      <c r="DP1459" s="25"/>
      <c r="DQ1459" s="25"/>
      <c r="DR1459" s="25"/>
      <c r="DS1459" s="25"/>
      <c r="JO1459" s="38"/>
      <c r="JP1459" s="38"/>
      <c r="JQ1459" s="38"/>
    </row>
    <row r="1460" spans="1:288" x14ac:dyDescent="0.2">
      <c r="A1460" s="51">
        <v>1</v>
      </c>
      <c r="B1460" s="18">
        <v>2017</v>
      </c>
      <c r="C1460" s="37">
        <v>42973</v>
      </c>
      <c r="D1460" s="37" t="str">
        <f>CONCATENATE(J1460,"-",C1460)</f>
        <v>1269-42973</v>
      </c>
      <c r="E1460" s="20" t="str">
        <f>CONCATENATE(T1460,"-",U1460,"-",C1460)</f>
        <v>SP1-H4-42973</v>
      </c>
      <c r="F1460" s="37" t="s">
        <v>224</v>
      </c>
      <c r="G1460" s="37" t="s">
        <v>107</v>
      </c>
      <c r="H1460" s="18" t="s">
        <v>195</v>
      </c>
      <c r="I1460" s="16">
        <v>0</v>
      </c>
      <c r="J1460" s="36">
        <v>1269</v>
      </c>
      <c r="K1460" s="36">
        <v>2261</v>
      </c>
      <c r="L1460" s="18">
        <v>0</v>
      </c>
      <c r="M1460" s="21">
        <f>VLOOKUP($K1460,'[4]blood tubes 2017'!$D$1:$L$947,8,FALSE)</f>
        <v>0</v>
      </c>
      <c r="N1460" s="15">
        <v>0</v>
      </c>
      <c r="O1460" s="15"/>
      <c r="P1460" s="18"/>
      <c r="Q1460" s="18"/>
      <c r="R1460" s="18"/>
      <c r="S1460" s="18"/>
      <c r="T1460" s="18" t="s">
        <v>140</v>
      </c>
      <c r="U1460" s="18" t="s">
        <v>151</v>
      </c>
      <c r="V1460" s="18"/>
      <c r="W1460" s="18"/>
      <c r="X1460" s="18"/>
      <c r="Y1460" s="18"/>
      <c r="Z1460" s="18"/>
      <c r="AA1460" s="18"/>
      <c r="AB1460" s="18"/>
      <c r="AC1460" s="18"/>
      <c r="AD1460" s="18"/>
      <c r="AE1460" s="18"/>
      <c r="AF1460" s="18"/>
      <c r="AG1460" s="18"/>
      <c r="AH1460" s="18"/>
      <c r="AI1460" s="18"/>
      <c r="AJ1460" s="18"/>
      <c r="AK1460" s="18"/>
      <c r="AL1460" s="18"/>
      <c r="AM1460" s="18"/>
      <c r="AN1460" s="18"/>
      <c r="AP1460" s="18"/>
      <c r="AQ1460" s="18"/>
      <c r="AR1460" s="18"/>
      <c r="AS1460" s="18"/>
      <c r="AT1460" s="18"/>
      <c r="AU1460" s="18"/>
      <c r="AV1460" s="18"/>
      <c r="AW1460" s="18"/>
      <c r="AX1460" s="18"/>
      <c r="AY1460" s="18"/>
      <c r="AZ1460" s="18"/>
      <c r="BA1460" s="18"/>
      <c r="BB1460" s="18"/>
      <c r="BC1460" s="18"/>
      <c r="BD1460" s="18"/>
      <c r="BE1460" s="18"/>
      <c r="BF1460" s="18"/>
      <c r="BG1460" s="78"/>
      <c r="BH1460" s="18"/>
      <c r="BI1460" s="18"/>
      <c r="BJ1460" s="18"/>
      <c r="BK1460" s="18"/>
      <c r="BL1460" s="18"/>
      <c r="BM1460" s="18"/>
      <c r="BN1460" s="18"/>
      <c r="BO1460" s="18"/>
      <c r="BP1460" s="18"/>
      <c r="BQ1460" s="18"/>
      <c r="BR1460" s="18"/>
      <c r="BS1460" s="18"/>
      <c r="BT1460" s="78"/>
      <c r="BU1460" s="18"/>
      <c r="BV1460" s="18"/>
      <c r="BW1460" s="18"/>
      <c r="BX1460" s="18"/>
      <c r="BY1460" s="18"/>
      <c r="BZ1460" s="18"/>
      <c r="CA1460" s="18"/>
      <c r="CB1460" s="18"/>
      <c r="CC1460" s="18"/>
      <c r="CD1460" s="7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6" t="e">
        <f>VLOOKUP(K1460,'[3]RNA Seq summary tables'!$V$3:$V$99,1,FALSE)</f>
        <v>#N/A</v>
      </c>
      <c r="DI1460" s="18"/>
      <c r="DJ1460" s="18"/>
      <c r="DK1460" s="18"/>
      <c r="DL1460" s="18"/>
      <c r="DM1460" s="18"/>
      <c r="DN1460" s="18"/>
      <c r="DO1460" s="18"/>
      <c r="DP1460" s="18"/>
      <c r="DQ1460" s="18"/>
      <c r="DR1460" s="18"/>
      <c r="DS1460" s="18"/>
    </row>
    <row r="1461" spans="1:288" x14ac:dyDescent="0.2">
      <c r="B1461" s="16">
        <v>2017</v>
      </c>
      <c r="C1461" s="20">
        <v>42973</v>
      </c>
      <c r="D1461" s="20" t="str">
        <f>CONCATENATE(J1461,"-",C1461)</f>
        <v>1904-42973</v>
      </c>
      <c r="E1461" s="142" t="str">
        <f>CONCATENATE(T1461,"-",U1461,"-",C1461)</f>
        <v>SP2-A5-42973</v>
      </c>
      <c r="F1461" s="37" t="s">
        <v>224</v>
      </c>
      <c r="G1461" s="20" t="s">
        <v>107</v>
      </c>
      <c r="H1461" s="16" t="s">
        <v>265</v>
      </c>
      <c r="J1461" s="36">
        <v>1904</v>
      </c>
      <c r="K1461" s="36">
        <v>2262</v>
      </c>
      <c r="L1461" s="18">
        <v>0</v>
      </c>
      <c r="M1461" s="36">
        <f>VLOOKUP($K1461,'[4]blood tubes 2017'!$D$1:$L$947,8,FALSE)</f>
        <v>0</v>
      </c>
      <c r="N1461" s="42">
        <v>0</v>
      </c>
      <c r="O1461" s="42"/>
      <c r="P1461" s="18"/>
      <c r="Q1461" s="18"/>
      <c r="R1461" s="18"/>
      <c r="S1461" s="18"/>
      <c r="T1461" s="18" t="s">
        <v>137</v>
      </c>
      <c r="U1461" s="18" t="s">
        <v>167</v>
      </c>
      <c r="V1461" s="18" t="s">
        <v>114</v>
      </c>
      <c r="W1461" s="16">
        <f>AI1461/AG1461</f>
        <v>0.78749999999999998</v>
      </c>
      <c r="X1461" s="16" t="s">
        <v>115</v>
      </c>
      <c r="Y1461" s="16" t="s">
        <v>145</v>
      </c>
      <c r="Z1461" s="16">
        <v>1</v>
      </c>
      <c r="AE1461" s="16" t="s">
        <v>123</v>
      </c>
      <c r="AF1461" s="16" t="s">
        <v>123</v>
      </c>
      <c r="AG1461" s="16">
        <f>AH1461-AI1461</f>
        <v>80</v>
      </c>
      <c r="AH1461" s="16">
        <v>143</v>
      </c>
      <c r="AI1461" s="16">
        <v>63</v>
      </c>
      <c r="AK1461" s="16">
        <v>11.5</v>
      </c>
      <c r="AL1461" s="16">
        <v>0</v>
      </c>
      <c r="AM1461" s="16">
        <v>0</v>
      </c>
      <c r="AN1461" s="16">
        <v>0</v>
      </c>
      <c r="AO1461" s="16">
        <v>0</v>
      </c>
      <c r="AP1461" s="16">
        <f>SUM(AL1461:AN1461)</f>
        <v>0</v>
      </c>
      <c r="AQ1461" s="16">
        <v>1.6040000000000001</v>
      </c>
      <c r="AR1461" s="16">
        <f>AP1461-1.472</f>
        <v>-1.472</v>
      </c>
      <c r="AS1461" s="16">
        <f>AQ1461-1.472</f>
        <v>0.13200000000000012</v>
      </c>
      <c r="AT1461" s="16" t="e">
        <f>VLOOKUP(E1461,[2]Current!$A$1:$W$435,7,FALSE)</f>
        <v>#N/A</v>
      </c>
      <c r="AU1461" s="16">
        <v>0</v>
      </c>
      <c r="AW1461" s="18"/>
      <c r="AX1461" s="18"/>
      <c r="AY1461" s="18"/>
      <c r="AZ1461" s="18"/>
      <c r="BA1461" s="18"/>
      <c r="BB1461" s="18"/>
      <c r="BC1461" s="18"/>
      <c r="BD1461" s="18"/>
      <c r="BG1461" s="77"/>
      <c r="BT1461" s="77"/>
      <c r="CD1461" s="77"/>
      <c r="DF1461" s="16" t="e">
        <f>VLOOKUP(K1461,'[3]RNA Seq summary tables'!$V$3:$V$99,1,FALSE)</f>
        <v>#N/A</v>
      </c>
    </row>
    <row r="1462" spans="1:288" ht="16" x14ac:dyDescent="0.2">
      <c r="B1462" s="16">
        <v>2018</v>
      </c>
      <c r="C1462" s="124">
        <v>43296</v>
      </c>
      <c r="D1462" t="s">
        <v>1003</v>
      </c>
      <c r="E1462" s="142" t="str">
        <f>CONCATENATE(T1462,"-",U1462,"-",C1462)</f>
        <v>PO1-C4-43296</v>
      </c>
      <c r="F1462" s="16" t="s">
        <v>227</v>
      </c>
      <c r="G1462" s="126" t="s">
        <v>107</v>
      </c>
      <c r="H1462" s="126" t="s">
        <v>1144</v>
      </c>
      <c r="J1462" s="126" t="s">
        <v>1075</v>
      </c>
      <c r="K1462" s="126" t="s">
        <v>1075</v>
      </c>
      <c r="O1462" s="126"/>
      <c r="T1462" s="126" t="s">
        <v>112</v>
      </c>
      <c r="U1462" s="126" t="s">
        <v>229</v>
      </c>
      <c r="V1462" s="126"/>
      <c r="X1462" s="126" t="s">
        <v>121</v>
      </c>
      <c r="Y1462" s="126"/>
      <c r="Z1462" s="126"/>
      <c r="AA1462" s="126"/>
      <c r="AB1462" s="126"/>
      <c r="AC1462" s="126"/>
      <c r="AD1462" s="126"/>
      <c r="AE1462" s="126"/>
      <c r="AH1462" s="126"/>
      <c r="AI1462" s="126"/>
      <c r="AK1462" s="126"/>
      <c r="AL1462" s="126"/>
      <c r="AM1462" s="126"/>
      <c r="AN1462" s="126"/>
      <c r="AQ1462" s="16" t="s">
        <v>1278</v>
      </c>
      <c r="AT1462" s="16" t="e">
        <f>VLOOKUP(E1462,[2]Current!$A$1:$W$435,7,FALSE)</f>
        <v>#N/A</v>
      </c>
      <c r="AU1462" s="16">
        <v>0</v>
      </c>
      <c r="BG1462" s="77"/>
      <c r="BN1462" s="126"/>
      <c r="BT1462" s="78"/>
      <c r="BU1462" s="18"/>
      <c r="BV1462" s="18"/>
      <c r="BW1462" s="25"/>
      <c r="BX1462" s="18"/>
      <c r="BY1462" s="18"/>
      <c r="BZ1462" s="25"/>
      <c r="CA1462" s="18"/>
      <c r="CB1462" s="18"/>
      <c r="CC1462" s="25"/>
      <c r="CD1462" s="78"/>
      <c r="CE1462" s="18"/>
      <c r="CF1462" s="25"/>
      <c r="CG1462" s="18"/>
      <c r="CH1462" s="18"/>
      <c r="CI1462" s="18"/>
      <c r="CJ1462" s="18"/>
      <c r="CK1462" s="18"/>
      <c r="CL1462" s="25"/>
      <c r="DF1462" s="16" t="e">
        <f>VLOOKUP(K1462,'[3]RNA Seq summary tables'!$V$3:$V$99,1,FALSE)</f>
        <v>#N/A</v>
      </c>
      <c r="DG1462" s="126"/>
    </row>
    <row r="1463" spans="1:288" x14ac:dyDescent="0.2">
      <c r="B1463" s="16">
        <v>2017</v>
      </c>
      <c r="C1463" s="20">
        <v>42898</v>
      </c>
      <c r="D1463" s="20" t="str">
        <f>CONCATENATE(J1463,"-",C1463)</f>
        <v>1103-42898</v>
      </c>
      <c r="E1463" s="20" t="str">
        <f>CONCATENATE(T1463,"-",U1463,"-",C1463)</f>
        <v>HW2-F8-42898</v>
      </c>
      <c r="F1463" s="20" t="s">
        <v>106</v>
      </c>
      <c r="G1463" s="20" t="s">
        <v>272</v>
      </c>
      <c r="H1463" s="16" t="s">
        <v>244</v>
      </c>
      <c r="I1463" s="16">
        <v>0</v>
      </c>
      <c r="J1463" s="36">
        <v>1103</v>
      </c>
      <c r="K1463" s="36"/>
      <c r="M1463" s="36"/>
      <c r="N1463" s="36"/>
      <c r="O1463" s="36"/>
      <c r="P1463" s="18"/>
      <c r="Q1463" s="18"/>
      <c r="R1463" s="18"/>
      <c r="S1463" s="18"/>
      <c r="T1463" s="18" t="s">
        <v>129</v>
      </c>
      <c r="U1463" s="18" t="s">
        <v>138</v>
      </c>
      <c r="V1463" s="18"/>
      <c r="AY1463" s="18"/>
      <c r="BG1463" s="77"/>
      <c r="BT1463" s="77"/>
      <c r="CD1463" s="77"/>
      <c r="DF1463" s="16" t="e">
        <f>VLOOKUP(K1463,'[3]RNA Seq summary tables'!$V$3:$V$99,1,FALSE)</f>
        <v>#N/A</v>
      </c>
    </row>
    <row r="1464" spans="1:288" s="18" customFormat="1" ht="16" x14ac:dyDescent="0.2">
      <c r="B1464" s="16">
        <v>2018</v>
      </c>
      <c r="C1464" s="147">
        <v>43334</v>
      </c>
      <c r="D1464" t="s">
        <v>1276</v>
      </c>
      <c r="E1464" s="20" t="str">
        <f>CONCATENATE(T1464,"-",U1464,"-",C1464)</f>
        <v>--43334</v>
      </c>
      <c r="F1464" s="145" t="s">
        <v>1168</v>
      </c>
      <c r="G1464" s="145" t="s">
        <v>272</v>
      </c>
      <c r="H1464" s="145" t="s">
        <v>1167</v>
      </c>
      <c r="I1464" s="145"/>
      <c r="J1464" s="145">
        <v>1474</v>
      </c>
      <c r="K1464" s="145"/>
      <c r="L1464" s="16"/>
      <c r="M1464" s="16"/>
      <c r="N1464" s="16"/>
      <c r="O1464" s="145"/>
      <c r="P1464" s="145"/>
      <c r="Q1464" s="145"/>
      <c r="R1464" s="145"/>
      <c r="S1464" s="145"/>
      <c r="T1464" s="145"/>
      <c r="U1464" s="145"/>
      <c r="V1464" s="145"/>
      <c r="W1464" s="145"/>
      <c r="X1464" s="145"/>
      <c r="Y1464" s="145"/>
      <c r="Z1464" s="145"/>
      <c r="AA1464" s="145"/>
      <c r="AB1464" s="145"/>
      <c r="AC1464" s="145"/>
      <c r="AD1464" s="145"/>
      <c r="AE1464" s="145"/>
      <c r="AF1464" s="145"/>
      <c r="AG1464" s="145"/>
      <c r="AH1464" s="145"/>
      <c r="AI1464" s="145"/>
      <c r="AJ1464" s="145"/>
      <c r="AK1464" s="145"/>
      <c r="AL1464" s="145"/>
      <c r="AM1464" s="145"/>
      <c r="AN1464" s="145"/>
      <c r="AO1464" s="16"/>
      <c r="AP1464" s="16"/>
      <c r="AQ1464" s="16"/>
      <c r="AR1464" s="16"/>
      <c r="AS1464" s="16"/>
      <c r="AT1464" s="16"/>
      <c r="AU1464" s="16"/>
      <c r="AV1464" s="16"/>
      <c r="AW1464" s="16"/>
      <c r="AX1464" s="16"/>
      <c r="AY1464" s="16"/>
      <c r="AZ1464" s="16"/>
      <c r="BA1464" s="16"/>
      <c r="BB1464" s="16"/>
      <c r="BC1464" s="16"/>
      <c r="BD1464" s="16"/>
      <c r="BE1464" s="16"/>
      <c r="BF1464" s="16"/>
      <c r="BG1464" s="77"/>
      <c r="BH1464" s="16"/>
      <c r="BI1464" s="16"/>
      <c r="BJ1464" s="16"/>
      <c r="BK1464" s="16"/>
      <c r="BL1464" s="16"/>
      <c r="BM1464" s="16"/>
      <c r="BN1464" s="16"/>
      <c r="BO1464" s="16"/>
      <c r="BP1464" s="16"/>
      <c r="BQ1464" s="16"/>
      <c r="BR1464" s="16"/>
      <c r="BS1464" s="16"/>
      <c r="BT1464" s="77"/>
      <c r="BU1464" s="16"/>
      <c r="BV1464" s="16"/>
      <c r="BW1464" s="16"/>
      <c r="BX1464" s="16"/>
      <c r="BY1464" s="16"/>
      <c r="BZ1464" s="16"/>
      <c r="CA1464" s="16"/>
      <c r="CB1464" s="16"/>
      <c r="CC1464" s="16"/>
      <c r="CD1464" s="77"/>
      <c r="CE1464" s="16"/>
      <c r="CF1464" s="16"/>
      <c r="CG1464" s="16"/>
      <c r="CH1464" s="16"/>
      <c r="CI1464" s="16"/>
      <c r="CJ1464" s="16"/>
      <c r="CK1464" s="16"/>
      <c r="CL1464" s="16"/>
      <c r="CM1464" s="16"/>
      <c r="CN1464" s="16"/>
      <c r="CO1464" s="16"/>
      <c r="CP1464" s="16"/>
      <c r="CQ1464" s="16"/>
      <c r="CR1464" s="16"/>
      <c r="CS1464" s="16"/>
      <c r="CT1464" s="16"/>
      <c r="CU1464" s="16"/>
      <c r="CV1464" s="16"/>
      <c r="CW1464" s="16"/>
      <c r="CX1464" s="16"/>
      <c r="CY1464" s="16"/>
      <c r="CZ1464" s="16"/>
      <c r="DA1464" s="16"/>
      <c r="DB1464" s="16"/>
      <c r="DC1464" s="16"/>
      <c r="DD1464" s="16"/>
      <c r="DE1464" s="16"/>
      <c r="DF1464" s="16"/>
      <c r="DG1464" s="145"/>
      <c r="DH1464" s="16"/>
      <c r="DI1464" s="16"/>
      <c r="DJ1464" s="16"/>
      <c r="DK1464" s="16"/>
      <c r="DL1464" s="16"/>
      <c r="DM1464" s="16"/>
      <c r="DN1464" s="16"/>
      <c r="DO1464" s="16"/>
      <c r="DP1464" s="16"/>
      <c r="DQ1464" s="16"/>
      <c r="DR1464" s="16"/>
      <c r="DS1464" s="16"/>
      <c r="DT1464"/>
      <c r="DU1464" s="145"/>
      <c r="DX1464" s="145"/>
      <c r="DY1464" s="145"/>
      <c r="DZ1464" s="16"/>
      <c r="EA1464" s="16"/>
      <c r="EB1464" s="16"/>
      <c r="EC1464" s="16"/>
      <c r="ED1464" s="16"/>
      <c r="EE1464" s="16"/>
      <c r="EF1464" s="16"/>
      <c r="KB1464" s="16"/>
    </row>
    <row r="1465" spans="1:288" ht="16" x14ac:dyDescent="0.2">
      <c r="A1465" s="128"/>
      <c r="B1465" s="128">
        <v>2018</v>
      </c>
      <c r="C1465" s="129">
        <v>43240</v>
      </c>
      <c r="D1465" s="130" t="s">
        <v>389</v>
      </c>
      <c r="E1465" s="20" t="str">
        <f>CONCATENATE(T1465,"-",U1465,"-",C1465)</f>
        <v>BC2-H8-43240</v>
      </c>
      <c r="F1465" s="128" t="s">
        <v>227</v>
      </c>
      <c r="G1465" s="131" t="s">
        <v>272</v>
      </c>
      <c r="H1465" s="125" t="s">
        <v>1081</v>
      </c>
      <c r="I1465" s="128"/>
      <c r="J1465" s="131" t="s">
        <v>272</v>
      </c>
      <c r="K1465" s="131"/>
      <c r="L1465" s="128"/>
      <c r="M1465" s="132"/>
      <c r="N1465" s="132"/>
      <c r="O1465" s="131"/>
      <c r="P1465" s="128"/>
      <c r="Q1465" s="128"/>
      <c r="R1465" s="128"/>
      <c r="S1465" s="128"/>
      <c r="T1465" s="131" t="s">
        <v>154</v>
      </c>
      <c r="U1465" s="131" t="s">
        <v>152</v>
      </c>
      <c r="V1465" s="125" t="s">
        <v>114</v>
      </c>
      <c r="W1465" s="128"/>
      <c r="X1465" s="125" t="s">
        <v>121</v>
      </c>
      <c r="Y1465" s="125" t="s">
        <v>110</v>
      </c>
      <c r="Z1465" s="125">
        <v>3</v>
      </c>
      <c r="AA1465" s="125" t="s">
        <v>119</v>
      </c>
      <c r="AB1465" s="125" t="s">
        <v>116</v>
      </c>
      <c r="AC1465" s="125" t="s">
        <v>123</v>
      </c>
      <c r="AD1465" s="125"/>
      <c r="AE1465" s="125"/>
      <c r="AF1465" s="128"/>
      <c r="AG1465" s="128"/>
      <c r="AH1465" s="125"/>
      <c r="AI1465" s="125"/>
      <c r="AJ1465" s="128"/>
      <c r="AK1465" s="125"/>
      <c r="AL1465" s="125"/>
      <c r="AM1465" s="125"/>
      <c r="AN1465" s="125"/>
      <c r="AP1465" s="128"/>
      <c r="AQ1465" s="128"/>
      <c r="AR1465" s="128">
        <v>0.6050000000000002</v>
      </c>
      <c r="AS1465" s="128">
        <v>0.6050000000000002</v>
      </c>
      <c r="AT1465" s="128"/>
      <c r="AU1465" s="128"/>
      <c r="AV1465" s="128"/>
      <c r="AZ1465" s="128"/>
      <c r="BA1465" s="128"/>
      <c r="BB1465" s="128"/>
      <c r="BC1465" s="128"/>
      <c r="BD1465" s="128"/>
      <c r="BE1465" s="128"/>
      <c r="BF1465" s="128"/>
      <c r="BG1465" s="137"/>
      <c r="BH1465" s="128"/>
      <c r="BI1465" s="128"/>
      <c r="BJ1465" s="128"/>
      <c r="BK1465" s="128"/>
      <c r="BL1465" s="128"/>
      <c r="BM1465" s="128"/>
      <c r="BN1465" s="126"/>
      <c r="BO1465" s="128"/>
      <c r="BP1465" s="128"/>
      <c r="BQ1465" s="128"/>
      <c r="BR1465" s="128"/>
      <c r="BS1465" s="128"/>
      <c r="BT1465" s="137"/>
      <c r="BU1465" s="128"/>
      <c r="BV1465" s="128"/>
      <c r="BW1465" s="128"/>
      <c r="BX1465" s="128"/>
      <c r="BY1465" s="128"/>
      <c r="BZ1465" s="128"/>
      <c r="CA1465" s="128"/>
      <c r="CB1465" s="128"/>
      <c r="CC1465" s="128"/>
      <c r="CD1465" s="137"/>
      <c r="CE1465" s="128"/>
      <c r="CF1465" s="128"/>
      <c r="CG1465" s="128"/>
      <c r="CH1465" s="128"/>
      <c r="CI1465" s="128"/>
      <c r="CJ1465" s="128"/>
      <c r="CK1465" s="128"/>
      <c r="CL1465" s="128"/>
      <c r="CM1465" s="128"/>
      <c r="CN1465" s="128"/>
      <c r="CO1465" s="128"/>
      <c r="CP1465" s="128"/>
      <c r="CQ1465" s="128"/>
      <c r="CR1465" s="128"/>
      <c r="CS1465" s="128"/>
      <c r="CT1465" s="128"/>
      <c r="CU1465" s="128"/>
      <c r="CV1465" s="128"/>
      <c r="CW1465" s="128"/>
      <c r="CX1465" s="128"/>
      <c r="CY1465" s="128"/>
      <c r="CZ1465" s="128"/>
      <c r="DA1465" s="128"/>
      <c r="DB1465" s="128"/>
      <c r="DC1465" s="128"/>
      <c r="DD1465" s="128"/>
      <c r="DE1465" s="128"/>
      <c r="DF1465" s="16" t="e">
        <f>VLOOKUP(K1465,'[3]RNA Seq summary tables'!$V$3:$V$99,1,FALSE)</f>
        <v>#N/A</v>
      </c>
      <c r="DG1465" s="125"/>
      <c r="DH1465" s="128"/>
      <c r="DI1465" s="128"/>
      <c r="DJ1465" s="128"/>
      <c r="DK1465" s="128"/>
      <c r="DL1465" s="128"/>
      <c r="DM1465" s="128"/>
      <c r="DN1465" s="128"/>
      <c r="DO1465" s="128"/>
      <c r="DP1465" s="128"/>
      <c r="DQ1465" s="128"/>
      <c r="DR1465" s="128"/>
      <c r="DS1465" s="128"/>
      <c r="DT1465" s="128"/>
      <c r="DU1465" s="128"/>
      <c r="DV1465" s="128"/>
      <c r="DW1465" s="128"/>
      <c r="DX1465" s="128"/>
      <c r="DY1465" s="128"/>
      <c r="DZ1465" s="128"/>
      <c r="EA1465" s="128"/>
      <c r="EB1465" s="128"/>
      <c r="EC1465" s="128"/>
      <c r="ED1465" s="128"/>
      <c r="EE1465" s="128"/>
      <c r="EF1465" s="128"/>
      <c r="EG1465" s="128"/>
      <c r="EH1465" s="128"/>
      <c r="EI1465" s="128"/>
      <c r="EJ1465" s="128"/>
      <c r="EK1465" s="128"/>
      <c r="EL1465" s="128"/>
      <c r="EM1465" s="128"/>
      <c r="EN1465" s="128"/>
      <c r="EO1465" s="128"/>
      <c r="EP1465" s="128"/>
      <c r="EQ1465" s="128"/>
      <c r="ER1465" s="128"/>
      <c r="ES1465" s="128"/>
      <c r="ET1465" s="128"/>
      <c r="EU1465" s="128"/>
      <c r="EV1465" s="128"/>
      <c r="EW1465" s="128"/>
      <c r="EX1465" s="128"/>
      <c r="EY1465" s="128"/>
      <c r="EZ1465" s="128"/>
      <c r="FA1465" s="128"/>
      <c r="FB1465" s="128"/>
      <c r="FC1465" s="128"/>
      <c r="FD1465" s="128"/>
      <c r="FE1465" s="128"/>
      <c r="FF1465" s="128"/>
      <c r="FG1465" s="128"/>
      <c r="FH1465" s="128"/>
      <c r="FI1465" s="128"/>
      <c r="FJ1465" s="128"/>
      <c r="FK1465" s="128"/>
      <c r="FL1465" s="128"/>
      <c r="FM1465" s="128"/>
      <c r="FN1465" s="128"/>
      <c r="FO1465" s="128"/>
      <c r="FP1465" s="128"/>
      <c r="FQ1465" s="128"/>
      <c r="FR1465" s="128"/>
      <c r="FS1465" s="128"/>
      <c r="FT1465" s="128"/>
      <c r="FU1465" s="128"/>
      <c r="FV1465" s="128"/>
      <c r="FW1465" s="128"/>
      <c r="FX1465" s="128"/>
      <c r="FY1465" s="128"/>
      <c r="FZ1465" s="128"/>
      <c r="GA1465" s="128"/>
      <c r="GB1465" s="128"/>
      <c r="GC1465" s="128"/>
      <c r="GD1465" s="128"/>
      <c r="GE1465" s="128"/>
      <c r="GF1465" s="128"/>
      <c r="GG1465" s="128"/>
      <c r="GH1465" s="128"/>
      <c r="GI1465" s="128"/>
      <c r="GJ1465" s="128"/>
      <c r="GK1465" s="128"/>
      <c r="GL1465" s="128"/>
      <c r="GM1465" s="128"/>
      <c r="GN1465" s="128"/>
      <c r="GO1465" s="128"/>
      <c r="GP1465" s="128"/>
      <c r="GQ1465" s="128"/>
      <c r="GR1465" s="128"/>
      <c r="GS1465" s="128"/>
      <c r="GT1465" s="128"/>
      <c r="GU1465" s="128"/>
      <c r="GV1465" s="128"/>
      <c r="GW1465" s="128"/>
      <c r="GX1465" s="128"/>
      <c r="GY1465" s="128"/>
      <c r="GZ1465" s="128"/>
      <c r="HA1465" s="128"/>
      <c r="HB1465" s="128"/>
      <c r="HC1465" s="128"/>
      <c r="HD1465" s="128"/>
      <c r="HE1465" s="128"/>
      <c r="HF1465" s="128"/>
      <c r="HG1465" s="128"/>
      <c r="HH1465" s="128"/>
      <c r="HI1465" s="128"/>
      <c r="HJ1465" s="128"/>
      <c r="HK1465" s="128"/>
      <c r="HL1465" s="128"/>
      <c r="HM1465" s="128"/>
      <c r="HN1465" s="128"/>
      <c r="HO1465" s="128"/>
      <c r="HP1465" s="128"/>
      <c r="HQ1465" s="128"/>
      <c r="HR1465" s="128"/>
      <c r="HS1465" s="128"/>
      <c r="HT1465" s="128"/>
      <c r="HU1465" s="128"/>
      <c r="HV1465" s="128"/>
      <c r="HW1465" s="128"/>
      <c r="HX1465" s="128"/>
      <c r="HY1465" s="128"/>
      <c r="HZ1465" s="128"/>
      <c r="IA1465" s="128"/>
      <c r="IB1465" s="128"/>
      <c r="IC1465" s="128"/>
      <c r="ID1465" s="128"/>
      <c r="IE1465" s="128"/>
      <c r="IF1465" s="128"/>
      <c r="IG1465" s="128"/>
      <c r="IH1465" s="128"/>
      <c r="II1465" s="128"/>
      <c r="IJ1465" s="128"/>
      <c r="IK1465" s="128"/>
      <c r="IL1465" s="128"/>
      <c r="IM1465" s="128"/>
      <c r="IN1465" s="128"/>
      <c r="IO1465" s="128"/>
      <c r="IP1465" s="128"/>
      <c r="IQ1465" s="128"/>
      <c r="IR1465" s="128"/>
      <c r="IS1465" s="128"/>
      <c r="IT1465" s="128"/>
      <c r="IU1465" s="128"/>
      <c r="IV1465" s="128"/>
      <c r="IW1465" s="128"/>
      <c r="IX1465" s="128"/>
      <c r="IY1465" s="128"/>
      <c r="IZ1465" s="128"/>
      <c r="JA1465" s="128"/>
      <c r="JB1465" s="128"/>
      <c r="JC1465" s="128"/>
      <c r="JD1465" s="128"/>
      <c r="JE1465" s="128"/>
      <c r="JF1465" s="128"/>
      <c r="JG1465" s="128"/>
      <c r="JH1465" s="128"/>
      <c r="JI1465" s="128"/>
      <c r="JJ1465" s="128"/>
      <c r="JK1465" s="128"/>
      <c r="JL1465" s="128"/>
      <c r="JM1465" s="128"/>
      <c r="JN1465" s="128"/>
      <c r="JO1465" s="128"/>
      <c r="JP1465" s="128"/>
      <c r="JQ1465" s="128"/>
    </row>
    <row r="1466" spans="1:288" x14ac:dyDescent="0.2">
      <c r="B1466" s="18">
        <v>2016</v>
      </c>
      <c r="C1466" s="37">
        <v>42615</v>
      </c>
      <c r="D1466" s="37" t="str">
        <f>CONCATENATE(J1466,"-",C1466)</f>
        <v>1002-42615</v>
      </c>
      <c r="E1466" s="20" t="str">
        <f>CONCATENATE(T1466,"-",U1466,"-",C1466)</f>
        <v>PO1-B8-42615</v>
      </c>
      <c r="F1466" s="20" t="s">
        <v>227</v>
      </c>
      <c r="G1466" s="37" t="s">
        <v>273</v>
      </c>
      <c r="H1466" s="18"/>
      <c r="I1466" s="16">
        <v>0</v>
      </c>
      <c r="J1466" s="36">
        <v>1002</v>
      </c>
      <c r="K1466" s="36" t="s">
        <v>153</v>
      </c>
      <c r="L1466" s="18"/>
      <c r="M1466" s="15"/>
      <c r="N1466" s="15"/>
      <c r="O1466" s="15"/>
      <c r="P1466" s="18" t="s">
        <v>119</v>
      </c>
      <c r="Q1466" s="16">
        <v>0</v>
      </c>
      <c r="R1466" s="18">
        <v>18</v>
      </c>
      <c r="S1466" s="18"/>
      <c r="T1466" s="18" t="s">
        <v>112</v>
      </c>
      <c r="U1466" s="18" t="s">
        <v>209</v>
      </c>
      <c r="V1466" s="18"/>
      <c r="W1466" s="18"/>
      <c r="X1466" s="18"/>
      <c r="Y1466" s="18"/>
      <c r="Z1466" s="18"/>
      <c r="AA1466" s="18"/>
      <c r="AB1466" s="18"/>
      <c r="AC1466" s="18"/>
      <c r="AD1466" s="18"/>
      <c r="AE1466" s="18"/>
      <c r="AF1466" s="18"/>
      <c r="AG1466" s="18"/>
      <c r="AH1466" s="18"/>
      <c r="AI1466" s="18"/>
      <c r="AJ1466" s="18"/>
      <c r="AK1466" s="18"/>
      <c r="AL1466" s="18"/>
      <c r="AM1466" s="18"/>
      <c r="AN1466" s="18"/>
      <c r="AP1466" s="18"/>
      <c r="AQ1466" s="18"/>
      <c r="AR1466" s="18"/>
      <c r="AS1466" s="18"/>
      <c r="AT1466" s="18" t="s">
        <v>204</v>
      </c>
      <c r="AU1466" s="18"/>
      <c r="AV1466" s="18"/>
      <c r="AW1466" s="18"/>
      <c r="AX1466" s="18"/>
      <c r="AY1466" s="18"/>
      <c r="AZ1466" s="18"/>
      <c r="BA1466" s="18"/>
      <c r="BB1466" s="18"/>
      <c r="BC1466" s="18"/>
      <c r="BD1466" s="18"/>
      <c r="BE1466" s="18"/>
      <c r="BF1466" s="18"/>
      <c r="BG1466" s="78"/>
      <c r="BH1466" s="18"/>
      <c r="BI1466" s="18"/>
      <c r="BJ1466" s="18"/>
      <c r="BK1466" s="18"/>
      <c r="BL1466" s="18"/>
      <c r="BM1466" s="18"/>
      <c r="BN1466" s="18"/>
      <c r="BO1466" s="18"/>
      <c r="BP1466" s="18"/>
      <c r="BQ1466" s="18"/>
      <c r="BR1466" s="18"/>
      <c r="BS1466" s="18"/>
      <c r="BT1466" s="78"/>
      <c r="BU1466" s="18"/>
      <c r="BV1466" s="18"/>
      <c r="BW1466" s="18"/>
      <c r="BX1466" s="18"/>
      <c r="BY1466" s="18"/>
      <c r="BZ1466" s="18"/>
      <c r="CA1466" s="18"/>
      <c r="CB1466" s="18"/>
      <c r="CC1466" s="18"/>
      <c r="CD1466" s="7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6" t="e">
        <f>VLOOKUP(K1466,'[3]RNA Seq summary tables'!$V$3:$V$99,1,FALSE)</f>
        <v>#N/A</v>
      </c>
      <c r="DI1466" s="18"/>
      <c r="DJ1466" s="18"/>
      <c r="DK1466" s="18"/>
      <c r="DL1466" s="18"/>
      <c r="DM1466" s="18"/>
      <c r="DN1466" s="18"/>
      <c r="DO1466" s="18"/>
      <c r="DP1466" s="18"/>
      <c r="DQ1466" s="18"/>
      <c r="DR1466" s="18"/>
      <c r="DS1466" s="18"/>
      <c r="JO1466" s="26"/>
    </row>
    <row r="1467" spans="1:288" s="18" customFormat="1" x14ac:dyDescent="0.2">
      <c r="B1467" s="16">
        <v>2016</v>
      </c>
      <c r="C1467" s="20">
        <v>42525</v>
      </c>
      <c r="D1467" s="20" t="str">
        <f>CONCATENATE(J1467,"-",C1467)</f>
        <v>escape-42525</v>
      </c>
      <c r="E1467" s="20" t="str">
        <f>CONCATENATE(T1467,"-",U1467,"-",C1467)</f>
        <v>SP2-A8-42525</v>
      </c>
      <c r="F1467" s="20" t="s">
        <v>106</v>
      </c>
      <c r="G1467" s="20" t="s">
        <v>273</v>
      </c>
      <c r="H1467" s="16"/>
      <c r="I1467" s="16">
        <v>0</v>
      </c>
      <c r="J1467" s="36" t="s">
        <v>273</v>
      </c>
      <c r="K1467" s="21"/>
      <c r="L1467" s="16"/>
      <c r="M1467" s="21"/>
      <c r="N1467" s="21"/>
      <c r="O1467" s="21"/>
      <c r="P1467" s="16"/>
      <c r="Q1467" s="16"/>
      <c r="R1467" s="16"/>
      <c r="S1467" s="16"/>
      <c r="T1467" s="16" t="s">
        <v>137</v>
      </c>
      <c r="U1467" s="16" t="s">
        <v>194</v>
      </c>
      <c r="V1467" s="16"/>
      <c r="W1467" s="16"/>
      <c r="X1467" s="16"/>
      <c r="Y1467" s="16"/>
      <c r="Z1467" s="16"/>
      <c r="AA1467" s="16"/>
      <c r="AB1467" s="16"/>
      <c r="AC1467" s="16"/>
      <c r="AD1467" s="16"/>
      <c r="AE1467" s="16"/>
      <c r="AF1467" s="16"/>
      <c r="AG1467" s="16"/>
      <c r="AH1467" s="16"/>
      <c r="AI1467" s="16"/>
      <c r="AJ1467" s="16"/>
      <c r="AK1467" s="16">
        <v>24.5</v>
      </c>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c r="BF1467" s="16"/>
      <c r="BG1467" s="77"/>
      <c r="BH1467" s="16"/>
      <c r="BI1467" s="16"/>
      <c r="BJ1467" s="16"/>
      <c r="BK1467" s="16"/>
      <c r="BL1467" s="16"/>
      <c r="BM1467" s="16"/>
      <c r="BN1467" s="16"/>
      <c r="BO1467" s="16"/>
      <c r="BP1467" s="16"/>
      <c r="BQ1467" s="16"/>
      <c r="BR1467" s="16"/>
      <c r="BS1467" s="16"/>
      <c r="BT1467" s="77"/>
      <c r="BU1467" s="16"/>
      <c r="BV1467" s="16"/>
      <c r="BW1467" s="16"/>
      <c r="BX1467" s="16"/>
      <c r="BY1467" s="16"/>
      <c r="BZ1467" s="16"/>
      <c r="CA1467" s="16"/>
      <c r="CB1467" s="16"/>
      <c r="CC1467" s="16"/>
      <c r="CD1467" s="77"/>
      <c r="CE1467" s="16"/>
      <c r="CF1467" s="16"/>
      <c r="CG1467" s="16"/>
      <c r="CH1467" s="16"/>
      <c r="CI1467" s="16"/>
      <c r="CJ1467" s="16"/>
      <c r="CK1467" s="16"/>
      <c r="CL1467" s="16"/>
      <c r="CM1467" s="16"/>
      <c r="CN1467" s="16"/>
      <c r="CO1467" s="16"/>
      <c r="CP1467" s="16"/>
      <c r="CQ1467" s="16"/>
      <c r="CR1467" s="16"/>
      <c r="CS1467" s="16"/>
      <c r="CT1467" s="16"/>
      <c r="CU1467" s="16"/>
      <c r="CV1467" s="16"/>
      <c r="CW1467" s="16"/>
      <c r="CX1467" s="16"/>
      <c r="CY1467" s="16"/>
      <c r="CZ1467" s="16"/>
      <c r="DA1467" s="16"/>
      <c r="DB1467" s="16"/>
      <c r="DC1467" s="16"/>
      <c r="DD1467" s="16"/>
      <c r="DE1467" s="16"/>
      <c r="DF1467" s="16" t="e">
        <f>VLOOKUP(K1467,'[3]RNA Seq summary tables'!$V$3:$V$99,1,FALSE)</f>
        <v>#N/A</v>
      </c>
      <c r="DG1467" s="16"/>
      <c r="DH1467" s="16"/>
      <c r="DI1467" s="16"/>
      <c r="DJ1467" s="16"/>
      <c r="DK1467" s="16"/>
      <c r="DL1467" s="16"/>
      <c r="DM1467" s="16"/>
      <c r="DN1467" s="16"/>
      <c r="DO1467" s="16"/>
      <c r="DP1467" s="16"/>
      <c r="DQ1467" s="16"/>
      <c r="DR1467" s="16"/>
      <c r="DS1467" s="16"/>
      <c r="JO1467" s="16"/>
      <c r="JP1467" s="16"/>
      <c r="JQ1467" s="16"/>
      <c r="JR1467" s="16"/>
      <c r="JS1467" s="16"/>
      <c r="JT1467" s="16"/>
      <c r="JU1467" s="16"/>
      <c r="JV1467" s="16"/>
      <c r="JW1467" s="16"/>
      <c r="JX1467" s="16"/>
      <c r="JY1467" s="16"/>
      <c r="JZ1467" s="16"/>
      <c r="KA1467" s="16"/>
      <c r="KB1467" s="16"/>
    </row>
    <row r="1468" spans="1:288" x14ac:dyDescent="0.2">
      <c r="B1468" s="16">
        <v>2016</v>
      </c>
      <c r="C1468" s="20">
        <v>42538</v>
      </c>
      <c r="D1468" s="20" t="str">
        <f>CONCATENATE(J1468,"-",C1468)</f>
        <v>escape-42538</v>
      </c>
      <c r="E1468" s="20" t="str">
        <f>CONCATENATE(T1468,"-",U1468,"-",C1468)</f>
        <v>SP2-D1-42538</v>
      </c>
      <c r="F1468" s="20" t="s">
        <v>106</v>
      </c>
      <c r="G1468" s="20" t="s">
        <v>273</v>
      </c>
      <c r="I1468" s="16">
        <v>0</v>
      </c>
      <c r="J1468" s="36" t="s">
        <v>273</v>
      </c>
      <c r="T1468" s="16" t="s">
        <v>137</v>
      </c>
      <c r="U1468" s="16" t="s">
        <v>157</v>
      </c>
      <c r="X1468" s="16" t="s">
        <v>115</v>
      </c>
      <c r="BG1468" s="77"/>
      <c r="BT1468" s="77"/>
      <c r="CD1468" s="77"/>
      <c r="DF1468" s="16" t="e">
        <f>VLOOKUP(K1468,'[3]RNA Seq summary tables'!$V$3:$V$99,1,FALSE)</f>
        <v>#N/A</v>
      </c>
      <c r="JR1468" s="38"/>
      <c r="JS1468" s="38"/>
      <c r="JT1468" s="38"/>
      <c r="JU1468" s="38"/>
      <c r="JV1468" s="38"/>
      <c r="JW1468" s="38"/>
      <c r="JX1468" s="38"/>
      <c r="JY1468" s="38"/>
      <c r="JZ1468" s="38"/>
      <c r="KA1468" s="38"/>
      <c r="KB1468" s="38"/>
    </row>
    <row r="1469" spans="1:288" s="18" customFormat="1" x14ac:dyDescent="0.2">
      <c r="B1469" s="16">
        <v>2016</v>
      </c>
      <c r="C1469" s="20">
        <v>42539</v>
      </c>
      <c r="D1469" s="20" t="str">
        <f>CONCATENATE(J1469,"-",C1469)</f>
        <v>escape-42539</v>
      </c>
      <c r="E1469" s="20" t="str">
        <f>CONCATENATE(T1469,"-",U1469,"-",C1469)</f>
        <v>SP2-C3-42539</v>
      </c>
      <c r="F1469" s="20" t="s">
        <v>106</v>
      </c>
      <c r="G1469" s="20" t="s">
        <v>273</v>
      </c>
      <c r="H1469" s="16"/>
      <c r="I1469" s="16">
        <v>0</v>
      </c>
      <c r="J1469" s="36" t="s">
        <v>273</v>
      </c>
      <c r="K1469" s="21"/>
      <c r="L1469" s="16"/>
      <c r="M1469" s="21"/>
      <c r="N1469" s="21"/>
      <c r="O1469" s="21"/>
      <c r="P1469" s="16"/>
      <c r="Q1469" s="16"/>
      <c r="R1469" s="16"/>
      <c r="S1469" s="16"/>
      <c r="T1469" s="16" t="s">
        <v>137</v>
      </c>
      <c r="U1469" s="16" t="s">
        <v>237</v>
      </c>
      <c r="V1469" s="16"/>
      <c r="W1469" s="16"/>
      <c r="X1469" s="16"/>
      <c r="Y1469" s="16"/>
      <c r="Z1469" s="16"/>
      <c r="AA1469" s="16"/>
      <c r="AB1469" s="16"/>
      <c r="AC1469" s="16"/>
      <c r="AD1469" s="16"/>
      <c r="AE1469" s="16"/>
      <c r="AF1469" s="16"/>
      <c r="AG1469" s="16"/>
      <c r="AH1469" s="16"/>
      <c r="AI1469" s="16"/>
      <c r="AJ1469" s="16"/>
      <c r="AK1469" s="16">
        <v>15</v>
      </c>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c r="BF1469" s="16"/>
      <c r="BG1469" s="77"/>
      <c r="BH1469" s="16"/>
      <c r="BI1469" s="16"/>
      <c r="BJ1469" s="16"/>
      <c r="BK1469" s="16"/>
      <c r="BL1469" s="16"/>
      <c r="BM1469" s="16"/>
      <c r="BN1469" s="16"/>
      <c r="BO1469" s="16"/>
      <c r="BP1469" s="16"/>
      <c r="BQ1469" s="16"/>
      <c r="BR1469" s="16"/>
      <c r="BS1469" s="16"/>
      <c r="BT1469" s="77"/>
      <c r="BU1469" s="16"/>
      <c r="BV1469" s="16"/>
      <c r="BW1469" s="16"/>
      <c r="BX1469" s="16"/>
      <c r="BY1469" s="16"/>
      <c r="BZ1469" s="16"/>
      <c r="CA1469" s="16"/>
      <c r="CB1469" s="16"/>
      <c r="CC1469" s="16"/>
      <c r="CD1469" s="77"/>
      <c r="CE1469" s="16"/>
      <c r="CF1469" s="16"/>
      <c r="CG1469" s="16"/>
      <c r="CH1469" s="16"/>
      <c r="CI1469" s="16"/>
      <c r="CJ1469" s="16"/>
      <c r="CK1469" s="16"/>
      <c r="CL1469" s="16"/>
      <c r="CM1469" s="16"/>
      <c r="CN1469" s="16"/>
      <c r="CO1469" s="16"/>
      <c r="CP1469" s="16"/>
      <c r="CQ1469" s="16"/>
      <c r="CR1469" s="16"/>
      <c r="CS1469" s="16"/>
      <c r="CT1469" s="16"/>
      <c r="CU1469" s="16"/>
      <c r="CV1469" s="16"/>
      <c r="CW1469" s="16"/>
      <c r="CX1469" s="16"/>
      <c r="CY1469" s="16"/>
      <c r="CZ1469" s="16"/>
      <c r="DA1469" s="16"/>
      <c r="DB1469" s="16"/>
      <c r="DC1469" s="16"/>
      <c r="DD1469" s="16"/>
      <c r="DE1469" s="16"/>
      <c r="DF1469" s="16" t="e">
        <f>VLOOKUP(K1469,'[3]RNA Seq summary tables'!$V$3:$V$99,1,FALSE)</f>
        <v>#N/A</v>
      </c>
      <c r="DG1469" s="16"/>
      <c r="DH1469" s="16"/>
      <c r="DI1469" s="16"/>
      <c r="DJ1469" s="16"/>
      <c r="DK1469" s="16"/>
      <c r="DL1469" s="16"/>
      <c r="DM1469" s="16"/>
      <c r="DN1469" s="16"/>
      <c r="DO1469" s="16"/>
      <c r="DP1469" s="16"/>
      <c r="DQ1469" s="16"/>
      <c r="DR1469" s="16"/>
      <c r="DS1469" s="16"/>
      <c r="JO1469" s="16"/>
      <c r="JP1469" s="26"/>
      <c r="JQ1469" s="26"/>
      <c r="JR1469" s="38"/>
      <c r="JS1469" s="38"/>
      <c r="JT1469" s="38"/>
      <c r="JU1469" s="38"/>
      <c r="JV1469" s="38"/>
      <c r="JW1469" s="38"/>
      <c r="JX1469" s="38"/>
      <c r="JY1469" s="38"/>
      <c r="JZ1469" s="38"/>
      <c r="KA1469" s="38"/>
      <c r="KB1469" s="38"/>
    </row>
    <row r="1470" spans="1:288" x14ac:dyDescent="0.2">
      <c r="B1470" s="16">
        <v>2016</v>
      </c>
      <c r="C1470" s="20">
        <v>42544</v>
      </c>
      <c r="D1470" s="20" t="str">
        <f>CONCATENATE(J1470,"-",C1470)</f>
        <v>escape-42544</v>
      </c>
      <c r="E1470" s="20" t="str">
        <f>CONCATENATE(T1470,"-",U1470,"-",C1470)</f>
        <v>PO1-D8-42544</v>
      </c>
      <c r="F1470" s="20" t="s">
        <v>106</v>
      </c>
      <c r="G1470" s="20" t="s">
        <v>273</v>
      </c>
      <c r="I1470" s="16">
        <v>0</v>
      </c>
      <c r="J1470" s="36" t="s">
        <v>273</v>
      </c>
      <c r="T1470" s="16" t="s">
        <v>112</v>
      </c>
      <c r="U1470" s="16" t="s">
        <v>178</v>
      </c>
      <c r="BG1470" s="77"/>
      <c r="BT1470" s="77"/>
      <c r="CD1470" s="77"/>
      <c r="DF1470" s="16" t="e">
        <f>VLOOKUP(K1470,'[3]RNA Seq summary tables'!$V$3:$V$99,1,FALSE)</f>
        <v>#N/A</v>
      </c>
      <c r="JO1470" s="26"/>
      <c r="JP1470" s="26"/>
      <c r="JQ1470" s="26"/>
    </row>
    <row r="1471" spans="1:288" x14ac:dyDescent="0.2">
      <c r="B1471" s="16">
        <v>2016</v>
      </c>
      <c r="C1471" s="20">
        <v>42544</v>
      </c>
      <c r="D1471" s="20" t="str">
        <f>CONCATENATE(J1471,"-",C1471)</f>
        <v>escape-42544</v>
      </c>
      <c r="E1471" s="20" t="str">
        <f>CONCATENATE(T1471,"-",U1471,"-",C1471)</f>
        <v>PO1-F1-42544</v>
      </c>
      <c r="F1471" s="20" t="s">
        <v>106</v>
      </c>
      <c r="G1471" s="20" t="s">
        <v>273</v>
      </c>
      <c r="I1471" s="16">
        <v>0</v>
      </c>
      <c r="J1471" s="36" t="s">
        <v>273</v>
      </c>
      <c r="T1471" s="16" t="s">
        <v>112</v>
      </c>
      <c r="U1471" s="16" t="s">
        <v>217</v>
      </c>
      <c r="BG1471" s="77"/>
      <c r="BT1471" s="77"/>
      <c r="CD1471" s="77"/>
      <c r="DF1471" s="16" t="e">
        <f>VLOOKUP(K1471,'[3]RNA Seq summary tables'!$V$3:$V$99,1,FALSE)</f>
        <v>#N/A</v>
      </c>
      <c r="JO1471" s="26"/>
      <c r="JP1471" s="26"/>
      <c r="JQ1471" s="26"/>
    </row>
    <row r="1472" spans="1:288" x14ac:dyDescent="0.2">
      <c r="A1472" s="25"/>
      <c r="B1472" s="16">
        <v>2016</v>
      </c>
      <c r="C1472" s="43">
        <v>42544</v>
      </c>
      <c r="D1472" s="43" t="str">
        <f>CONCATENATE(J1472,"-",C1472)</f>
        <v>escape-42544</v>
      </c>
      <c r="E1472" s="20" t="str">
        <f>CONCATENATE(T1472,"-",U1472,"-",C1472)</f>
        <v>PO1-H3-42544</v>
      </c>
      <c r="F1472" s="20" t="s">
        <v>106</v>
      </c>
      <c r="G1472" s="20" t="s">
        <v>273</v>
      </c>
      <c r="H1472" s="23"/>
      <c r="I1472" s="16">
        <v>0</v>
      </c>
      <c r="J1472" s="36" t="s">
        <v>273</v>
      </c>
      <c r="K1472" s="15"/>
      <c r="L1472" s="23"/>
      <c r="M1472" s="15"/>
      <c r="N1472" s="15"/>
      <c r="O1472" s="15"/>
      <c r="P1472" s="23"/>
      <c r="Q1472" s="23"/>
      <c r="R1472" s="23"/>
      <c r="S1472" s="23"/>
      <c r="T1472" s="23" t="s">
        <v>112</v>
      </c>
      <c r="U1472" s="23" t="s">
        <v>174</v>
      </c>
      <c r="V1472" s="23"/>
      <c r="W1472" s="23"/>
      <c r="X1472" s="23"/>
      <c r="Y1472" s="23"/>
      <c r="Z1472" s="23"/>
      <c r="AA1472" s="23"/>
      <c r="AB1472" s="23"/>
      <c r="AC1472" s="23"/>
      <c r="AD1472" s="23"/>
      <c r="AE1472" s="23"/>
      <c r="AF1472" s="23"/>
      <c r="AG1472" s="23"/>
      <c r="AH1472" s="23"/>
      <c r="AI1472" s="23"/>
      <c r="AJ1472" s="23"/>
      <c r="AK1472" s="23"/>
      <c r="AL1472" s="23"/>
      <c r="AM1472" s="23"/>
      <c r="AN1472" s="23"/>
      <c r="AP1472" s="23"/>
      <c r="AQ1472" s="23"/>
      <c r="AR1472" s="23"/>
      <c r="AS1472" s="23"/>
      <c r="BG1472" s="77"/>
      <c r="BT1472" s="77"/>
      <c r="CD1472" s="77"/>
      <c r="DC1472" s="23"/>
      <c r="DD1472" s="23"/>
      <c r="DE1472" s="23"/>
      <c r="DF1472" s="16" t="e">
        <f>VLOOKUP(K1472,'[3]RNA Seq summary tables'!$V$3:$V$99,1,FALSE)</f>
        <v>#N/A</v>
      </c>
      <c r="DG1472" s="23"/>
      <c r="DH1472" s="23"/>
      <c r="DI1472" s="23"/>
      <c r="DJ1472" s="23"/>
      <c r="DK1472" s="23"/>
      <c r="DL1472" s="23"/>
      <c r="DM1472" s="23"/>
      <c r="DN1472" s="23"/>
      <c r="DO1472" s="23"/>
      <c r="DP1472" s="23"/>
      <c r="DQ1472" s="23"/>
      <c r="DR1472" s="23"/>
      <c r="DS1472" s="23"/>
      <c r="JO1472" s="26"/>
    </row>
    <row r="1473" spans="2:288" x14ac:dyDescent="0.2">
      <c r="B1473" s="16">
        <v>2016</v>
      </c>
      <c r="C1473" s="20">
        <v>42548</v>
      </c>
      <c r="D1473" s="20" t="str">
        <f>CONCATENATE(J1473,"-",C1473)</f>
        <v>escape-42548</v>
      </c>
      <c r="E1473" s="20" t="str">
        <f>CONCATENATE(T1473,"-",U1473,"-",C1473)</f>
        <v>HW2-E1-42548</v>
      </c>
      <c r="F1473" s="20" t="s">
        <v>106</v>
      </c>
      <c r="G1473" s="20" t="s">
        <v>273</v>
      </c>
      <c r="I1473" s="16">
        <v>0</v>
      </c>
      <c r="J1473" s="36" t="s">
        <v>273</v>
      </c>
      <c r="T1473" s="16" t="s">
        <v>129</v>
      </c>
      <c r="U1473" s="16" t="s">
        <v>222</v>
      </c>
      <c r="AK1473" s="16">
        <v>22.5</v>
      </c>
      <c r="BG1473" s="77"/>
      <c r="BT1473" s="77"/>
      <c r="CD1473" s="77"/>
      <c r="DF1473" s="16" t="e">
        <f>VLOOKUP(K1473,'[3]RNA Seq summary tables'!$V$3:$V$99,1,FALSE)</f>
        <v>#N/A</v>
      </c>
    </row>
    <row r="1474" spans="2:288" x14ac:dyDescent="0.2">
      <c r="B1474" s="16">
        <v>2016</v>
      </c>
      <c r="C1474" s="20">
        <v>42553</v>
      </c>
      <c r="D1474" s="20" t="str">
        <f>CONCATENATE(J1474,"-",C1474)</f>
        <v>escape-42553</v>
      </c>
      <c r="E1474" s="20" t="str">
        <f>CONCATENATE(T1474,"-",U1474,"-",C1474)</f>
        <v>SP2-C1-42553</v>
      </c>
      <c r="F1474" s="20" t="s">
        <v>106</v>
      </c>
      <c r="G1474" s="20" t="s">
        <v>273</v>
      </c>
      <c r="I1474" s="16">
        <v>0</v>
      </c>
      <c r="J1474" s="36" t="s">
        <v>273</v>
      </c>
      <c r="T1474" s="16" t="s">
        <v>137</v>
      </c>
      <c r="U1474" s="16" t="s">
        <v>150</v>
      </c>
      <c r="BG1474" s="77"/>
      <c r="BT1474" s="77"/>
      <c r="CD1474" s="77"/>
      <c r="DF1474" s="16" t="e">
        <f>VLOOKUP(K1474,'[3]RNA Seq summary tables'!$V$3:$V$99,1,FALSE)</f>
        <v>#N/A</v>
      </c>
      <c r="JP1474" s="26"/>
      <c r="JQ1474" s="26"/>
    </row>
    <row r="1475" spans="2:288" x14ac:dyDescent="0.2">
      <c r="B1475" s="16">
        <v>2016</v>
      </c>
      <c r="C1475" s="20">
        <v>42563</v>
      </c>
      <c r="D1475" s="20" t="str">
        <f>CONCATENATE(J1475,"-",C1475)</f>
        <v>escape-42563</v>
      </c>
      <c r="E1475" s="20" t="str">
        <f>CONCATENATE(T1475,"-",U1475,"-",C1475)</f>
        <v>HW1-H1-42563</v>
      </c>
      <c r="F1475" s="20" t="s">
        <v>106</v>
      </c>
      <c r="G1475" s="20" t="s">
        <v>273</v>
      </c>
      <c r="I1475" s="16">
        <v>0</v>
      </c>
      <c r="J1475" s="36" t="s">
        <v>273</v>
      </c>
      <c r="T1475" s="16" t="s">
        <v>133</v>
      </c>
      <c r="U1475" s="16" t="s">
        <v>191</v>
      </c>
      <c r="BG1475" s="77"/>
      <c r="BT1475" s="77"/>
      <c r="CD1475" s="77"/>
      <c r="DF1475" s="16" t="e">
        <f>VLOOKUP(K1475,'[3]RNA Seq summary tables'!$V$3:$V$99,1,FALSE)</f>
        <v>#N/A</v>
      </c>
      <c r="JO1475" s="26"/>
      <c r="JP1475" s="26"/>
      <c r="JQ1475" s="26"/>
    </row>
    <row r="1476" spans="2:288" x14ac:dyDescent="0.2">
      <c r="B1476" s="18">
        <v>2017</v>
      </c>
      <c r="C1476" s="37">
        <v>42885</v>
      </c>
      <c r="D1476" s="37" t="str">
        <f>CONCATENATE(J1476,"-",C1476)</f>
        <v>escape-42885</v>
      </c>
      <c r="E1476" s="20" t="str">
        <f>CONCATENATE(T1476,"-",U1476,"-",C1476)</f>
        <v>BC1-F4-42885</v>
      </c>
      <c r="F1476" s="20" t="s">
        <v>106</v>
      </c>
      <c r="G1476" s="37" t="s">
        <v>273</v>
      </c>
      <c r="H1476" s="18"/>
      <c r="I1476" s="16">
        <v>0</v>
      </c>
      <c r="J1476" s="36" t="s">
        <v>273</v>
      </c>
      <c r="K1476" s="36"/>
      <c r="L1476" s="18"/>
      <c r="M1476" s="36"/>
      <c r="N1476" s="36"/>
      <c r="O1476" s="36"/>
      <c r="P1476" s="18"/>
      <c r="Q1476" s="18"/>
      <c r="R1476" s="18"/>
      <c r="S1476" s="18"/>
      <c r="T1476" s="18" t="s">
        <v>159</v>
      </c>
      <c r="U1476" s="18" t="s">
        <v>184</v>
      </c>
      <c r="V1476" s="18"/>
      <c r="W1476" s="18"/>
      <c r="X1476" s="18"/>
      <c r="Y1476" s="18"/>
      <c r="Z1476" s="18"/>
      <c r="AA1476" s="18"/>
      <c r="AB1476" s="18"/>
      <c r="AC1476" s="18"/>
      <c r="AD1476" s="18"/>
      <c r="AE1476" s="18"/>
      <c r="AF1476" s="18"/>
      <c r="AG1476" s="18"/>
      <c r="AH1476" s="18"/>
      <c r="AI1476" s="18"/>
      <c r="AJ1476" s="18"/>
      <c r="AK1476" s="18"/>
      <c r="AL1476" s="18"/>
      <c r="AM1476" s="18"/>
      <c r="AN1476" s="18"/>
      <c r="AP1476" s="18"/>
      <c r="AQ1476" s="18"/>
      <c r="AR1476" s="18"/>
      <c r="AS1476" s="18"/>
      <c r="AW1476" s="18"/>
      <c r="AX1476" s="18"/>
      <c r="AY1476" s="18"/>
      <c r="AZ1476" s="18"/>
      <c r="BA1476" s="18"/>
      <c r="BB1476" s="18"/>
      <c r="BC1476" s="18"/>
      <c r="BD1476" s="18"/>
      <c r="BE1476" s="18"/>
      <c r="BF1476" s="18"/>
      <c r="BG1476" s="78"/>
      <c r="BH1476" s="18"/>
      <c r="BI1476" s="18"/>
      <c r="BJ1476" s="18"/>
      <c r="BK1476" s="18"/>
      <c r="BL1476" s="18"/>
      <c r="BM1476" s="18"/>
      <c r="BN1476" s="18"/>
      <c r="BO1476" s="18"/>
      <c r="BP1476" s="18"/>
      <c r="BQ1476" s="18"/>
      <c r="BR1476" s="18"/>
      <c r="BS1476" s="18"/>
      <c r="BT1476" s="78"/>
      <c r="BU1476" s="18"/>
      <c r="BV1476" s="18"/>
      <c r="BW1476" s="18"/>
      <c r="BX1476" s="18"/>
      <c r="BY1476" s="18"/>
      <c r="BZ1476" s="18"/>
      <c r="CA1476" s="18"/>
      <c r="CB1476" s="18"/>
      <c r="CC1476" s="18"/>
      <c r="CD1476" s="7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6" t="e">
        <f>VLOOKUP(K1476,'[3]RNA Seq summary tables'!$V$3:$V$99,1,FALSE)</f>
        <v>#N/A</v>
      </c>
      <c r="DG1476" s="18"/>
      <c r="DH1476" s="18"/>
      <c r="DI1476" s="18"/>
      <c r="DJ1476" s="18"/>
      <c r="DK1476" s="18"/>
      <c r="DL1476" s="18"/>
      <c r="DM1476" s="18"/>
      <c r="DN1476" s="18"/>
      <c r="DO1476" s="18"/>
      <c r="DP1476" s="18"/>
      <c r="DQ1476" s="18"/>
      <c r="DR1476" s="18"/>
      <c r="DS1476" s="18"/>
      <c r="JO1476" s="26"/>
      <c r="JP1476" s="26"/>
      <c r="JQ1476" s="26"/>
    </row>
    <row r="1477" spans="2:288" x14ac:dyDescent="0.2">
      <c r="B1477" s="16">
        <v>2017</v>
      </c>
      <c r="C1477" s="66">
        <v>42893</v>
      </c>
      <c r="D1477" s="66" t="str">
        <f>CONCATENATE(J1477,"-",C1477)</f>
        <v>escape-42893</v>
      </c>
      <c r="E1477" s="20" t="str">
        <f>CONCATENATE(T1477,"-",U1477,"-",C1477)</f>
        <v>P01-C5-42893</v>
      </c>
      <c r="F1477" s="20" t="s">
        <v>106</v>
      </c>
      <c r="G1477" s="20" t="s">
        <v>273</v>
      </c>
      <c r="I1477" s="16">
        <v>0</v>
      </c>
      <c r="J1477" s="36" t="s">
        <v>273</v>
      </c>
      <c r="T1477" s="16" t="s">
        <v>274</v>
      </c>
      <c r="U1477" s="16" t="s">
        <v>172</v>
      </c>
      <c r="X1477" s="16" t="s">
        <v>121</v>
      </c>
      <c r="Y1477" s="16" t="s">
        <v>110</v>
      </c>
      <c r="Z1477" s="16">
        <v>3</v>
      </c>
      <c r="AY1477" s="18"/>
      <c r="BG1477" s="77"/>
      <c r="BT1477" s="77"/>
      <c r="CD1477" s="77"/>
      <c r="DF1477" s="16" t="e">
        <f>VLOOKUP(K1477,'[3]RNA Seq summary tables'!$V$3:$V$99,1,FALSE)</f>
        <v>#N/A</v>
      </c>
    </row>
    <row r="1478" spans="2:288" x14ac:dyDescent="0.2">
      <c r="B1478" s="16">
        <v>2017</v>
      </c>
      <c r="C1478" s="66">
        <v>42895</v>
      </c>
      <c r="D1478" s="66" t="str">
        <f>CONCATENATE(J1478,"-",C1478)</f>
        <v>escape-42895</v>
      </c>
      <c r="E1478" s="20" t="str">
        <f>CONCATENATE(T1478,"-",U1478,"-",C1478)</f>
        <v>PO2-C7-42895</v>
      </c>
      <c r="F1478" s="20" t="s">
        <v>106</v>
      </c>
      <c r="G1478" s="20" t="s">
        <v>273</v>
      </c>
      <c r="I1478" s="16">
        <v>0</v>
      </c>
      <c r="J1478" s="36" t="s">
        <v>273</v>
      </c>
      <c r="T1478" s="16" t="s">
        <v>127</v>
      </c>
      <c r="U1478" s="16" t="s">
        <v>207</v>
      </c>
      <c r="AY1478" s="18"/>
      <c r="BG1478" s="77"/>
      <c r="BT1478" s="77"/>
      <c r="CD1478" s="77"/>
      <c r="DF1478" s="16" t="e">
        <f>VLOOKUP(K1478,'[3]RNA Seq summary tables'!$V$3:$V$99,1,FALSE)</f>
        <v>#N/A</v>
      </c>
      <c r="JR1478" s="18"/>
      <c r="JS1478" s="18"/>
      <c r="JT1478" s="18"/>
      <c r="JU1478" s="18"/>
      <c r="JV1478" s="18"/>
      <c r="JW1478" s="18"/>
      <c r="JX1478" s="18"/>
      <c r="JY1478" s="18"/>
      <c r="JZ1478" s="18"/>
      <c r="KA1478" s="18"/>
      <c r="KB1478" s="18"/>
    </row>
    <row r="1479" spans="2:288" x14ac:dyDescent="0.2">
      <c r="B1479" s="16">
        <v>2017</v>
      </c>
      <c r="C1479" s="20">
        <v>42906</v>
      </c>
      <c r="D1479" s="20" t="str">
        <f>CONCATENATE(J1479,"-",C1479)</f>
        <v>escape-42906</v>
      </c>
      <c r="E1479" s="20" t="str">
        <f>CONCATENATE(T1479,"-",U1479,"-",C1479)</f>
        <v>SP2-D2-42906</v>
      </c>
      <c r="F1479" s="20" t="s">
        <v>106</v>
      </c>
      <c r="G1479" s="20" t="s">
        <v>273</v>
      </c>
      <c r="I1479" s="16">
        <v>0</v>
      </c>
      <c r="J1479" s="36" t="s">
        <v>273</v>
      </c>
      <c r="T1479" s="16" t="s">
        <v>137</v>
      </c>
      <c r="U1479" s="16" t="s">
        <v>198</v>
      </c>
      <c r="Y1479" s="16" t="s">
        <v>122</v>
      </c>
      <c r="Z1479" s="16">
        <v>2.6</v>
      </c>
      <c r="AK1479" s="16">
        <v>17</v>
      </c>
      <c r="AY1479" s="18"/>
      <c r="BG1479" s="77"/>
      <c r="BT1479" s="77"/>
      <c r="CD1479" s="77"/>
      <c r="DF1479" s="16" t="e">
        <f>VLOOKUP(K1479,'[3]RNA Seq summary tables'!$V$3:$V$99,1,FALSE)</f>
        <v>#N/A</v>
      </c>
      <c r="JO1479" s="26"/>
      <c r="JP1479" s="26"/>
      <c r="JQ1479" s="26"/>
    </row>
    <row r="1480" spans="2:288" x14ac:dyDescent="0.2">
      <c r="B1480" s="16">
        <v>2017</v>
      </c>
      <c r="C1480" s="20">
        <v>42907</v>
      </c>
      <c r="D1480" s="20" t="str">
        <f>CONCATENATE(J1480,"-",C1480)</f>
        <v>escape-42907</v>
      </c>
      <c r="E1480" s="20" t="str">
        <f>CONCATENATE(T1480,"-",U1480,"-",C1480)</f>
        <v>SP1-H8-42907</v>
      </c>
      <c r="F1480" s="20" t="s">
        <v>106</v>
      </c>
      <c r="G1480" s="20" t="s">
        <v>273</v>
      </c>
      <c r="I1480" s="16">
        <v>0</v>
      </c>
      <c r="J1480" s="36" t="s">
        <v>273</v>
      </c>
      <c r="T1480" s="16" t="s">
        <v>140</v>
      </c>
      <c r="U1480" s="16" t="s">
        <v>152</v>
      </c>
      <c r="AY1480" s="18"/>
      <c r="BG1480" s="77"/>
      <c r="BT1480" s="77"/>
      <c r="CD1480" s="77"/>
      <c r="DF1480" s="16" t="e">
        <f>VLOOKUP(K1480,'[3]RNA Seq summary tables'!$V$3:$V$99,1,FALSE)</f>
        <v>#N/A</v>
      </c>
      <c r="JO1480" s="26"/>
      <c r="JP1480" s="26"/>
      <c r="JQ1480" s="26"/>
    </row>
    <row r="1481" spans="2:288" x14ac:dyDescent="0.2">
      <c r="B1481" s="16">
        <v>2017</v>
      </c>
      <c r="C1481" s="20">
        <v>42911</v>
      </c>
      <c r="D1481" s="20" t="str">
        <f>CONCATENATE(J1481,"-",C1481)</f>
        <v>escape-42911</v>
      </c>
      <c r="E1481" s="20" t="str">
        <f>CONCATENATE(T1481,"-",U1481,"-",C1481)</f>
        <v>PO2-G1-42911</v>
      </c>
      <c r="F1481" s="20" t="s">
        <v>106</v>
      </c>
      <c r="G1481" s="20" t="s">
        <v>273</v>
      </c>
      <c r="I1481" s="16">
        <v>0</v>
      </c>
      <c r="J1481" s="36" t="s">
        <v>273</v>
      </c>
      <c r="T1481" s="16" t="s">
        <v>127</v>
      </c>
      <c r="U1481" s="16" t="s">
        <v>155</v>
      </c>
      <c r="AY1481" s="18"/>
      <c r="BG1481" s="77"/>
      <c r="BT1481" s="77"/>
      <c r="CD1481" s="77"/>
      <c r="DF1481" s="16" t="e">
        <f>VLOOKUP(K1481,'[3]RNA Seq summary tables'!$V$3:$V$99,1,FALSE)</f>
        <v>#N/A</v>
      </c>
    </row>
    <row r="1482" spans="2:288" x14ac:dyDescent="0.2">
      <c r="B1482" s="16">
        <v>2017</v>
      </c>
      <c r="C1482" s="20">
        <v>42912</v>
      </c>
      <c r="D1482" s="20" t="str">
        <f>CONCATENATE(J1482,"-",C1482)</f>
        <v>escape-42912</v>
      </c>
      <c r="E1482" s="20" t="str">
        <f>CONCATENATE(T1482,"-",U1482,"-",C1482)</f>
        <v>PO1-B3-42912</v>
      </c>
      <c r="F1482" s="20" t="s">
        <v>106</v>
      </c>
      <c r="G1482" s="20" t="s">
        <v>273</v>
      </c>
      <c r="I1482" s="16">
        <v>0</v>
      </c>
      <c r="J1482" s="36" t="s">
        <v>273</v>
      </c>
      <c r="T1482" s="16" t="s">
        <v>112</v>
      </c>
      <c r="U1482" s="16" t="s">
        <v>131</v>
      </c>
      <c r="AY1482" s="18"/>
      <c r="BG1482" s="77"/>
      <c r="BT1482" s="77"/>
      <c r="CD1482" s="77"/>
      <c r="DF1482" s="16" t="e">
        <f>VLOOKUP(K1482,'[3]RNA Seq summary tables'!$V$3:$V$99,1,FALSE)</f>
        <v>#N/A</v>
      </c>
      <c r="JO1482" s="30"/>
      <c r="JP1482" s="30"/>
      <c r="JQ1482" s="30"/>
    </row>
    <row r="1483" spans="2:288" x14ac:dyDescent="0.2">
      <c r="B1483" s="16">
        <v>2017</v>
      </c>
      <c r="C1483" s="20">
        <v>42915</v>
      </c>
      <c r="D1483" s="20" t="str">
        <f>CONCATENATE(J1483,"-",C1483)</f>
        <v>escape-42915</v>
      </c>
      <c r="E1483" s="20" t="str">
        <f>CONCATENATE(T1483,"-",U1483,"-",C1483)</f>
        <v>HW2-H8-42915</v>
      </c>
      <c r="F1483" s="20" t="s">
        <v>106</v>
      </c>
      <c r="G1483" s="20" t="s">
        <v>273</v>
      </c>
      <c r="I1483" s="16">
        <v>0</v>
      </c>
      <c r="J1483" s="36" t="s">
        <v>273</v>
      </c>
      <c r="T1483" s="16" t="s">
        <v>129</v>
      </c>
      <c r="U1483" s="16" t="s">
        <v>152</v>
      </c>
      <c r="AY1483" s="18"/>
      <c r="BG1483" s="77"/>
      <c r="BT1483" s="77"/>
      <c r="CD1483" s="77"/>
      <c r="DF1483" s="16" t="e">
        <f>VLOOKUP(K1483,'[3]RNA Seq summary tables'!$V$3:$V$99,1,FALSE)</f>
        <v>#N/A</v>
      </c>
      <c r="JO1483" s="30"/>
      <c r="JP1483" s="30"/>
      <c r="JQ1483" s="30"/>
      <c r="JR1483" s="27"/>
      <c r="JS1483" s="27"/>
      <c r="JT1483" s="27"/>
      <c r="JU1483" s="27"/>
      <c r="JV1483" s="27"/>
      <c r="JW1483" s="27"/>
      <c r="JX1483" s="27"/>
      <c r="JY1483" s="27"/>
      <c r="JZ1483" s="27"/>
      <c r="KA1483" s="27"/>
      <c r="KB1483" s="27"/>
    </row>
    <row r="1484" spans="2:288" x14ac:dyDescent="0.2">
      <c r="B1484" s="16">
        <v>2017</v>
      </c>
      <c r="C1484" s="20">
        <v>42928</v>
      </c>
      <c r="D1484" s="20" t="str">
        <f>CONCATENATE(J1484,"-",C1484)</f>
        <v>escape-42928</v>
      </c>
      <c r="E1484" s="20" t="str">
        <f>CONCATENATE(T1484,"-",U1484,"-",C1484)</f>
        <v>PO2-H6-42928</v>
      </c>
      <c r="F1484" s="20" t="s">
        <v>106</v>
      </c>
      <c r="G1484" s="20" t="s">
        <v>273</v>
      </c>
      <c r="I1484" s="16">
        <v>0</v>
      </c>
      <c r="J1484" s="36" t="s">
        <v>273</v>
      </c>
      <c r="T1484" s="16" t="s">
        <v>127</v>
      </c>
      <c r="U1484" s="16" t="s">
        <v>141</v>
      </c>
      <c r="AY1484" s="18"/>
      <c r="BG1484" s="77"/>
      <c r="BT1484" s="77"/>
      <c r="CD1484" s="77"/>
      <c r="DF1484" s="16" t="e">
        <f>VLOOKUP(K1484,'[3]RNA Seq summary tables'!$V$3:$V$99,1,FALSE)</f>
        <v>#N/A</v>
      </c>
      <c r="JR1484" s="27"/>
      <c r="JS1484" s="27"/>
      <c r="JT1484" s="27"/>
      <c r="JU1484" s="27"/>
      <c r="JV1484" s="27"/>
      <c r="JW1484" s="27"/>
      <c r="JX1484" s="27"/>
      <c r="JY1484" s="27"/>
      <c r="JZ1484" s="27"/>
      <c r="KA1484" s="27"/>
      <c r="KB1484" s="27"/>
    </row>
    <row r="1485" spans="2:288" x14ac:dyDescent="0.2">
      <c r="B1485" s="16">
        <v>2017</v>
      </c>
      <c r="C1485" s="20">
        <v>42948</v>
      </c>
      <c r="D1485" s="20" t="str">
        <f>CONCATENATE(J1485,"-",C1485)</f>
        <v>escape-42948</v>
      </c>
      <c r="E1485" s="20" t="str">
        <f>CONCATENATE(T1485,"-",U1485,"-",C1485)</f>
        <v>HW2-B2-42948</v>
      </c>
      <c r="F1485" s="20" t="s">
        <v>106</v>
      </c>
      <c r="G1485" s="20" t="s">
        <v>273</v>
      </c>
      <c r="I1485" s="16">
        <v>0</v>
      </c>
      <c r="J1485" s="36" t="s">
        <v>273</v>
      </c>
      <c r="T1485" s="16" t="s">
        <v>129</v>
      </c>
      <c r="U1485" s="16" t="s">
        <v>130</v>
      </c>
      <c r="AY1485" s="18"/>
      <c r="BG1485" s="77"/>
      <c r="BT1485" s="77"/>
      <c r="CD1485" s="77"/>
      <c r="DF1485" s="16" t="e">
        <f>VLOOKUP(K1485,'[3]RNA Seq summary tables'!$V$3:$V$99,1,FALSE)</f>
        <v>#N/A</v>
      </c>
    </row>
    <row r="1486" spans="2:288" ht="16" x14ac:dyDescent="0.2">
      <c r="B1486" s="16">
        <v>2018</v>
      </c>
      <c r="C1486" s="124">
        <v>43278</v>
      </c>
      <c r="D1486" t="s">
        <v>390</v>
      </c>
      <c r="E1486" s="20" t="str">
        <f>CONCATENATE(T1486,"-",U1486,"-",C1486)</f>
        <v>HW2-F2-43278</v>
      </c>
      <c r="F1486" s="16" t="s">
        <v>227</v>
      </c>
      <c r="G1486" s="126" t="s">
        <v>273</v>
      </c>
      <c r="H1486" s="126"/>
      <c r="J1486" s="126" t="s">
        <v>273</v>
      </c>
      <c r="K1486" s="126"/>
      <c r="O1486" s="126"/>
      <c r="T1486" s="126" t="s">
        <v>129</v>
      </c>
      <c r="U1486" s="126" t="s">
        <v>187</v>
      </c>
      <c r="V1486" s="126"/>
      <c r="X1486" s="126"/>
      <c r="Y1486" s="126"/>
      <c r="Z1486" s="126"/>
      <c r="AA1486" s="126"/>
      <c r="AB1486" s="126"/>
      <c r="AC1486" s="126"/>
      <c r="AD1486" s="126"/>
      <c r="AE1486" s="126"/>
      <c r="AH1486" s="126"/>
      <c r="AI1486" s="126"/>
      <c r="AK1486" s="126"/>
      <c r="AL1486" s="126"/>
      <c r="AM1486" s="126"/>
      <c r="AN1486" s="126"/>
      <c r="BG1486" s="77"/>
      <c r="BN1486" s="126"/>
      <c r="BT1486" s="77"/>
      <c r="CD1486" s="77"/>
      <c r="DF1486" s="16" t="e">
        <f>VLOOKUP(K1486,'[3]RNA Seq summary tables'!$V$3:$V$99,1,FALSE)</f>
        <v>#N/A</v>
      </c>
      <c r="DG1486" s="126"/>
    </row>
    <row r="1487" spans="2:288" ht="16" x14ac:dyDescent="0.2">
      <c r="B1487" s="16">
        <v>2018</v>
      </c>
      <c r="C1487" s="124">
        <v>43284</v>
      </c>
      <c r="D1487" t="s">
        <v>391</v>
      </c>
      <c r="E1487" s="20" t="str">
        <f>CONCATENATE(T1487,"-",U1487,"-",C1487)</f>
        <v>PO1-D1-43284</v>
      </c>
      <c r="F1487" s="16" t="s">
        <v>227</v>
      </c>
      <c r="G1487" s="126" t="s">
        <v>273</v>
      </c>
      <c r="H1487" s="126"/>
      <c r="J1487" s="126" t="s">
        <v>273</v>
      </c>
      <c r="K1487" s="126"/>
      <c r="O1487" s="126"/>
      <c r="T1487" s="126" t="s">
        <v>112</v>
      </c>
      <c r="U1487" s="126" t="s">
        <v>157</v>
      </c>
      <c r="V1487" s="126"/>
      <c r="X1487" s="126"/>
      <c r="Y1487" s="126"/>
      <c r="Z1487" s="126"/>
      <c r="AA1487" s="126"/>
      <c r="AB1487" s="126"/>
      <c r="AC1487" s="126"/>
      <c r="AD1487" s="126"/>
      <c r="AE1487" s="126"/>
      <c r="AH1487" s="126"/>
      <c r="AI1487" s="126"/>
      <c r="AK1487" s="126"/>
      <c r="AL1487" s="126"/>
      <c r="AM1487" s="126"/>
      <c r="AN1487" s="126"/>
      <c r="BG1487" s="77"/>
      <c r="BN1487" s="126"/>
      <c r="BT1487" s="77"/>
      <c r="CD1487" s="77"/>
      <c r="DF1487" s="16" t="e">
        <f>VLOOKUP(K1487,'[3]RNA Seq summary tables'!$V$3:$V$99,1,FALSE)</f>
        <v>#N/A</v>
      </c>
      <c r="DG1487" s="126"/>
    </row>
    <row r="1488" spans="2:288" ht="16" x14ac:dyDescent="0.2">
      <c r="B1488" s="16">
        <v>2018</v>
      </c>
      <c r="C1488" s="124">
        <v>43295</v>
      </c>
      <c r="D1488" t="s">
        <v>979</v>
      </c>
      <c r="E1488" s="142" t="str">
        <f>CONCATENATE(T1488,"-",U1488,"-",C1488)</f>
        <v>HW2-C2-43295</v>
      </c>
      <c r="F1488" s="16" t="s">
        <v>227</v>
      </c>
      <c r="G1488" s="126" t="s">
        <v>273</v>
      </c>
      <c r="H1488" s="126" t="s">
        <v>1141</v>
      </c>
      <c r="J1488" s="126" t="s">
        <v>1074</v>
      </c>
      <c r="K1488" s="126"/>
      <c r="O1488" s="126"/>
      <c r="T1488" s="126" t="s">
        <v>129</v>
      </c>
      <c r="U1488" s="126" t="s">
        <v>162</v>
      </c>
      <c r="V1488" s="126"/>
      <c r="X1488" s="126"/>
      <c r="Y1488" s="126"/>
      <c r="Z1488" s="126"/>
      <c r="AA1488" s="126"/>
      <c r="AB1488" s="126"/>
      <c r="AC1488" s="126"/>
      <c r="AD1488" s="126"/>
      <c r="AE1488" s="126"/>
      <c r="AH1488" s="126"/>
      <c r="AI1488" s="126"/>
      <c r="AK1488" s="126"/>
      <c r="AL1488" s="126"/>
      <c r="AM1488" s="126"/>
      <c r="AN1488" s="126"/>
      <c r="AQ1488" s="16" t="s">
        <v>1278</v>
      </c>
      <c r="AT1488" s="16" t="e">
        <f>VLOOKUP(E1488,[2]Current!$A$1:$W$435,7,FALSE)</f>
        <v>#N/A</v>
      </c>
      <c r="AU1488" s="16">
        <v>0</v>
      </c>
      <c r="BG1488" s="77"/>
      <c r="BN1488" s="126"/>
      <c r="BT1488" s="78"/>
      <c r="BU1488" s="18"/>
      <c r="BV1488" s="18"/>
      <c r="BW1488" s="25"/>
      <c r="BX1488" s="18"/>
      <c r="BY1488" s="18"/>
      <c r="BZ1488" s="25"/>
      <c r="CA1488" s="18"/>
      <c r="CB1488" s="18"/>
      <c r="CC1488" s="25"/>
      <c r="CD1488" s="78"/>
      <c r="CE1488" s="18"/>
      <c r="CF1488" s="25"/>
      <c r="CG1488" s="18"/>
      <c r="CH1488" s="18"/>
      <c r="CI1488" s="18"/>
      <c r="CJ1488" s="18"/>
      <c r="CK1488" s="18"/>
      <c r="CL1488" s="25"/>
      <c r="DF1488" s="16" t="e">
        <f>VLOOKUP(K1488,'[3]RNA Seq summary tables'!$V$3:$V$99,1,FALSE)</f>
        <v>#N/A</v>
      </c>
      <c r="DG1488" s="126"/>
    </row>
    <row r="1489" spans="1:288" x14ac:dyDescent="0.2">
      <c r="B1489" s="16">
        <v>2016</v>
      </c>
      <c r="C1489" s="20">
        <v>42553</v>
      </c>
      <c r="D1489" s="20" t="str">
        <f>CONCATENATE(J1489,"-",C1489)</f>
        <v>925-42553</v>
      </c>
      <c r="E1489" s="20" t="str">
        <f>CONCATENATE(T1489,"-",U1489,"-",C1489)</f>
        <v>SP2-B8-42553</v>
      </c>
      <c r="F1489" s="20" t="s">
        <v>106</v>
      </c>
      <c r="G1489" s="20" t="s">
        <v>275</v>
      </c>
      <c r="I1489" s="16">
        <v>0</v>
      </c>
      <c r="J1489" s="21">
        <v>925</v>
      </c>
      <c r="T1489" s="16" t="s">
        <v>137</v>
      </c>
      <c r="U1489" s="16" t="s">
        <v>209</v>
      </c>
      <c r="AK1489" s="16">
        <v>17</v>
      </c>
      <c r="BG1489" s="77"/>
      <c r="BT1489" s="77"/>
      <c r="CD1489" s="77"/>
      <c r="DF1489" s="16" t="e">
        <f>VLOOKUP(K1489,'[3]RNA Seq summary tables'!$V$3:$V$99,1,FALSE)</f>
        <v>#N/A</v>
      </c>
    </row>
    <row r="1490" spans="1:288" s="27" customFormat="1" x14ac:dyDescent="0.2">
      <c r="A1490" s="18"/>
      <c r="B1490" s="16">
        <v>2016</v>
      </c>
      <c r="C1490" s="20">
        <v>42520</v>
      </c>
      <c r="D1490" s="20" t="str">
        <f>CONCATENATE(J1490,"-",C1490)</f>
        <v>951-42520</v>
      </c>
      <c r="E1490" s="20" t="str">
        <f>CONCATENATE(T1490,"-",U1490,"-",C1490)</f>
        <v>Butch's Cabin--42520</v>
      </c>
      <c r="F1490" s="20" t="s">
        <v>106</v>
      </c>
      <c r="G1490" s="20" t="s">
        <v>276</v>
      </c>
      <c r="H1490" s="16"/>
      <c r="I1490" s="16">
        <v>1</v>
      </c>
      <c r="J1490" s="15">
        <v>951</v>
      </c>
      <c r="K1490" s="15">
        <v>951</v>
      </c>
      <c r="L1490" s="16"/>
      <c r="M1490" s="15"/>
      <c r="N1490" s="15"/>
      <c r="O1490" s="15"/>
      <c r="P1490" s="23"/>
      <c r="Q1490" s="23"/>
      <c r="R1490" s="23"/>
      <c r="S1490" s="23"/>
      <c r="T1490" s="23" t="s">
        <v>277</v>
      </c>
      <c r="U1490" s="23"/>
      <c r="V1490" s="23" t="s">
        <v>114</v>
      </c>
      <c r="W1490" s="16">
        <f>AI1490/AG1490</f>
        <v>1</v>
      </c>
      <c r="X1490" s="23" t="s">
        <v>115</v>
      </c>
      <c r="Y1490" s="23" t="s">
        <v>110</v>
      </c>
      <c r="Z1490" s="23">
        <v>3</v>
      </c>
      <c r="AA1490" s="23"/>
      <c r="AB1490" s="23"/>
      <c r="AC1490" s="16"/>
      <c r="AD1490" s="16"/>
      <c r="AE1490" s="16" t="s">
        <v>123</v>
      </c>
      <c r="AF1490" s="16" t="s">
        <v>123</v>
      </c>
      <c r="AG1490" s="16">
        <f>AH1490-AI1490</f>
        <v>80</v>
      </c>
      <c r="AH1490" s="16">
        <v>160</v>
      </c>
      <c r="AI1490" s="16">
        <v>80</v>
      </c>
      <c r="AJ1490" s="16"/>
      <c r="AK1490" s="16">
        <v>13.5</v>
      </c>
      <c r="AL1490" s="16">
        <v>0</v>
      </c>
      <c r="AM1490" s="16">
        <v>0</v>
      </c>
      <c r="AN1490" s="16">
        <v>0</v>
      </c>
      <c r="AO1490" s="16">
        <f>IF(SUM(AL1490:AN1490)&gt;0,1,0)</f>
        <v>0</v>
      </c>
      <c r="AP1490" s="16">
        <f>SUM(AL1490:AN1490)</f>
        <v>0</v>
      </c>
      <c r="AQ1490" s="16"/>
      <c r="AR1490" s="16"/>
      <c r="AS1490" s="16"/>
      <c r="AT1490" s="16"/>
      <c r="AU1490" s="16"/>
      <c r="AV1490" s="16"/>
      <c r="AW1490" s="16"/>
      <c r="AX1490" s="16"/>
      <c r="AY1490" s="16"/>
      <c r="AZ1490" s="16"/>
      <c r="BA1490" s="16"/>
      <c r="BB1490" s="16"/>
      <c r="BC1490" s="16"/>
      <c r="BD1490" s="16"/>
      <c r="BE1490" s="16"/>
      <c r="BF1490" s="16"/>
      <c r="BG1490" s="77"/>
      <c r="BH1490" s="16"/>
      <c r="BI1490" s="16"/>
      <c r="BJ1490" s="16"/>
      <c r="BK1490" s="16"/>
      <c r="BL1490" s="16"/>
      <c r="BM1490" s="16"/>
      <c r="BN1490" s="16"/>
      <c r="BO1490" s="16"/>
      <c r="BP1490" s="16"/>
      <c r="BQ1490" s="16"/>
      <c r="BR1490" s="16"/>
      <c r="BS1490" s="16"/>
      <c r="BT1490" s="77"/>
      <c r="BU1490" s="16"/>
      <c r="BV1490" s="16"/>
      <c r="BW1490" s="16"/>
      <c r="BX1490" s="16"/>
      <c r="BY1490" s="16"/>
      <c r="BZ1490" s="16"/>
      <c r="CA1490" s="16"/>
      <c r="CB1490" s="16"/>
      <c r="CC1490" s="16"/>
      <c r="CD1490" s="77"/>
      <c r="CE1490" s="16"/>
      <c r="CF1490" s="16"/>
      <c r="CG1490" s="16"/>
      <c r="CH1490" s="16"/>
      <c r="CI1490" s="16"/>
      <c r="CJ1490" s="16"/>
      <c r="CK1490" s="16"/>
      <c r="CL1490" s="16"/>
      <c r="CM1490" s="16"/>
      <c r="CN1490" s="16"/>
      <c r="CO1490" s="16"/>
      <c r="CP1490" s="16"/>
      <c r="CQ1490" s="16"/>
      <c r="CR1490" s="16"/>
      <c r="CS1490" s="16"/>
      <c r="CT1490" s="16"/>
      <c r="CU1490" s="16"/>
      <c r="CV1490" s="16"/>
      <c r="CW1490" s="16"/>
      <c r="CX1490" s="16"/>
      <c r="CY1490" s="16"/>
      <c r="CZ1490" s="16"/>
      <c r="DA1490" s="16"/>
      <c r="DB1490" s="16"/>
      <c r="DC1490" s="16"/>
      <c r="DD1490" s="16"/>
      <c r="DE1490" s="16"/>
      <c r="DF1490" s="16" t="e">
        <f>VLOOKUP(K1490,'[3]RNA Seq summary tables'!$V$3:$V$99,1,FALSE)</f>
        <v>#N/A</v>
      </c>
      <c r="DG1490" s="16"/>
      <c r="DH1490" s="16"/>
      <c r="DI1490" s="16"/>
      <c r="DJ1490" s="16"/>
      <c r="DK1490" s="16"/>
      <c r="DL1490" s="16"/>
      <c r="DM1490" s="16"/>
      <c r="DN1490" s="16"/>
      <c r="DO1490" s="16"/>
      <c r="DP1490" s="16"/>
      <c r="DQ1490" s="16"/>
      <c r="DR1490" s="16"/>
      <c r="DS1490" s="16"/>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18"/>
      <c r="EQ1490" s="18"/>
      <c r="ER1490" s="18"/>
      <c r="ES1490" s="18"/>
      <c r="ET1490" s="18"/>
      <c r="EU1490" s="18"/>
      <c r="EV1490" s="18"/>
      <c r="EW1490" s="18"/>
      <c r="EX1490" s="18"/>
      <c r="EY1490" s="18"/>
      <c r="EZ1490" s="18"/>
      <c r="FA1490" s="18"/>
      <c r="FB1490" s="18"/>
      <c r="FC1490" s="18"/>
      <c r="FD1490" s="18"/>
      <c r="FE1490" s="18"/>
      <c r="FF1490" s="18"/>
      <c r="FG1490" s="18"/>
      <c r="FH1490" s="18"/>
      <c r="FI1490" s="18"/>
      <c r="FJ1490" s="18"/>
      <c r="FK1490" s="18"/>
      <c r="FL1490" s="18"/>
      <c r="FM1490" s="18"/>
      <c r="FN1490" s="18"/>
      <c r="FO1490" s="18"/>
      <c r="FP1490" s="18"/>
      <c r="FQ1490" s="18"/>
      <c r="FR1490" s="18"/>
      <c r="FS1490" s="18"/>
      <c r="FT1490" s="18"/>
      <c r="FU1490" s="18"/>
      <c r="FV1490" s="18"/>
      <c r="FW1490" s="18"/>
      <c r="FX1490" s="18"/>
      <c r="FY1490" s="18"/>
      <c r="FZ1490" s="18"/>
      <c r="GA1490" s="18"/>
      <c r="GB1490" s="18"/>
      <c r="GC1490" s="18"/>
      <c r="GD1490" s="18"/>
      <c r="GE1490" s="18"/>
      <c r="GF1490" s="18"/>
      <c r="GG1490" s="18"/>
      <c r="GH1490" s="18"/>
      <c r="GI1490" s="18"/>
      <c r="GJ1490" s="18"/>
      <c r="GK1490" s="18"/>
      <c r="GL1490" s="18"/>
      <c r="GM1490" s="18"/>
      <c r="GN1490" s="18"/>
      <c r="GO1490" s="18"/>
      <c r="GP1490" s="18"/>
      <c r="GQ1490" s="18"/>
      <c r="GR1490" s="18"/>
      <c r="GS1490" s="18"/>
      <c r="GT1490" s="18"/>
      <c r="GU1490" s="18"/>
      <c r="GV1490" s="18"/>
      <c r="GW1490" s="18"/>
      <c r="GX1490" s="18"/>
      <c r="GY1490" s="18"/>
      <c r="GZ1490" s="18"/>
      <c r="HA1490" s="18"/>
      <c r="HB1490" s="18"/>
      <c r="HC1490" s="18"/>
      <c r="HD1490" s="18"/>
      <c r="HE1490" s="18"/>
      <c r="HF1490" s="18"/>
      <c r="HG1490" s="18"/>
      <c r="HH1490" s="18"/>
      <c r="HI1490" s="18"/>
      <c r="HJ1490" s="18"/>
      <c r="HK1490" s="18"/>
      <c r="HL1490" s="18"/>
      <c r="HM1490" s="18"/>
      <c r="HN1490" s="18"/>
      <c r="HO1490" s="18"/>
      <c r="HP1490" s="18"/>
      <c r="HQ1490" s="18"/>
      <c r="HR1490" s="18"/>
      <c r="HS1490" s="18"/>
      <c r="HT1490" s="18"/>
      <c r="HU1490" s="18"/>
      <c r="HV1490" s="18"/>
      <c r="HW1490" s="18"/>
      <c r="HX1490" s="18"/>
      <c r="HY1490" s="18"/>
      <c r="HZ1490" s="18"/>
      <c r="IA1490" s="18"/>
      <c r="IB1490" s="18"/>
      <c r="IC1490" s="18"/>
      <c r="ID1490" s="18"/>
      <c r="IE1490" s="18"/>
      <c r="IF1490" s="18"/>
      <c r="IG1490" s="18"/>
      <c r="IH1490" s="18"/>
      <c r="II1490" s="18"/>
      <c r="IJ1490" s="18"/>
      <c r="IK1490" s="18"/>
      <c r="IL1490" s="18"/>
      <c r="IM1490" s="18"/>
      <c r="IN1490" s="18"/>
      <c r="IO1490" s="18"/>
      <c r="IP1490" s="18"/>
      <c r="IQ1490" s="18"/>
      <c r="IR1490" s="18"/>
      <c r="IS1490" s="18"/>
      <c r="IT1490" s="18"/>
      <c r="IU1490" s="18"/>
      <c r="IV1490" s="18"/>
      <c r="IW1490" s="18"/>
      <c r="IX1490" s="18"/>
      <c r="IY1490" s="18"/>
      <c r="IZ1490" s="18"/>
      <c r="JA1490" s="18"/>
      <c r="JB1490" s="18"/>
      <c r="JC1490" s="18"/>
      <c r="JD1490" s="18"/>
      <c r="JE1490" s="18"/>
      <c r="JF1490" s="18"/>
      <c r="JG1490" s="18"/>
      <c r="JH1490" s="18"/>
      <c r="JI1490" s="18"/>
      <c r="JJ1490" s="18"/>
      <c r="JK1490" s="18"/>
      <c r="JL1490" s="18"/>
      <c r="JM1490" s="18"/>
      <c r="JN1490" s="18"/>
      <c r="JO1490" s="16"/>
      <c r="JP1490" s="16"/>
      <c r="JQ1490" s="16"/>
      <c r="JR1490" s="16"/>
      <c r="JS1490" s="16"/>
      <c r="JT1490" s="16"/>
      <c r="JU1490" s="16"/>
      <c r="JV1490" s="16"/>
      <c r="JW1490" s="16"/>
      <c r="JX1490" s="16"/>
      <c r="JY1490" s="16"/>
      <c r="JZ1490" s="16"/>
      <c r="KA1490" s="16"/>
      <c r="KB1490" s="16"/>
    </row>
    <row r="1491" spans="1:288" s="27" customFormat="1" ht="16" x14ac:dyDescent="0.2">
      <c r="A1491" s="18"/>
      <c r="B1491" s="16">
        <v>2018</v>
      </c>
      <c r="C1491" s="124">
        <v>43243</v>
      </c>
      <c r="D1491" t="s">
        <v>428</v>
      </c>
      <c r="E1491" s="20" t="str">
        <f>CONCATENATE(T1491,"-",U1491,"-",C1491)</f>
        <v>HW2-F7-43243</v>
      </c>
      <c r="F1491" s="16" t="s">
        <v>227</v>
      </c>
      <c r="G1491" s="126" t="s">
        <v>278</v>
      </c>
      <c r="H1491" s="126"/>
      <c r="I1491" s="16"/>
      <c r="J1491" s="127">
        <v>1358</v>
      </c>
      <c r="K1491" s="126"/>
      <c r="L1491" s="16"/>
      <c r="M1491" s="21"/>
      <c r="N1491" s="21"/>
      <c r="O1491" s="126" t="s">
        <v>214</v>
      </c>
      <c r="P1491" s="16"/>
      <c r="Q1491" s="16"/>
      <c r="R1491" s="16"/>
      <c r="S1491" s="16"/>
      <c r="T1491" s="126" t="s">
        <v>129</v>
      </c>
      <c r="U1491" s="126" t="s">
        <v>189</v>
      </c>
      <c r="V1491" s="126"/>
      <c r="W1491" s="16"/>
      <c r="X1491" s="126"/>
      <c r="Y1491" s="126"/>
      <c r="Z1491" s="126"/>
      <c r="AA1491" s="126"/>
      <c r="AB1491" s="126"/>
      <c r="AC1491" s="126"/>
      <c r="AD1491" s="126"/>
      <c r="AE1491" s="126"/>
      <c r="AF1491" s="16"/>
      <c r="AG1491" s="16"/>
      <c r="AH1491" s="126"/>
      <c r="AI1491" s="126"/>
      <c r="AJ1491" s="16"/>
      <c r="AK1491" s="126"/>
      <c r="AL1491" s="126"/>
      <c r="AM1491" s="126"/>
      <c r="AN1491" s="126"/>
      <c r="AO1491" s="16"/>
      <c r="AP1491" s="16"/>
      <c r="AQ1491" s="16"/>
      <c r="AR1491" s="16"/>
      <c r="AS1491" s="16"/>
      <c r="AT1491" s="16"/>
      <c r="AU1491" s="16"/>
      <c r="AV1491" s="16"/>
      <c r="AW1491" s="16"/>
      <c r="AX1491" s="16"/>
      <c r="AY1491" s="16"/>
      <c r="AZ1491" s="16"/>
      <c r="BA1491" s="16"/>
      <c r="BB1491" s="16"/>
      <c r="BC1491" s="16"/>
      <c r="BD1491" s="16"/>
      <c r="BE1491" s="16"/>
      <c r="BF1491" s="16"/>
      <c r="BG1491" s="77"/>
      <c r="BH1491" s="16"/>
      <c r="BI1491" s="16"/>
      <c r="BJ1491" s="16"/>
      <c r="BK1491" s="16"/>
      <c r="BL1491" s="16"/>
      <c r="BM1491" s="16"/>
      <c r="BN1491" s="126"/>
      <c r="BO1491" s="16"/>
      <c r="BP1491" s="16"/>
      <c r="BQ1491" s="16"/>
      <c r="BR1491" s="16"/>
      <c r="BS1491" s="16"/>
      <c r="BT1491" s="77"/>
      <c r="BU1491" s="16"/>
      <c r="BV1491" s="16"/>
      <c r="BW1491" s="16"/>
      <c r="BX1491" s="16"/>
      <c r="BY1491" s="16"/>
      <c r="BZ1491" s="16"/>
      <c r="CA1491" s="16"/>
      <c r="CB1491" s="16"/>
      <c r="CC1491" s="16"/>
      <c r="CD1491" s="77"/>
      <c r="CE1491" s="16"/>
      <c r="CF1491" s="16"/>
      <c r="CG1491" s="16"/>
      <c r="CH1491" s="16"/>
      <c r="CI1491" s="16"/>
      <c r="CJ1491" s="16"/>
      <c r="CK1491" s="16"/>
      <c r="CL1491" s="16"/>
      <c r="CM1491" s="16"/>
      <c r="CN1491" s="16"/>
      <c r="CO1491" s="16"/>
      <c r="CP1491" s="16"/>
      <c r="CQ1491" s="16"/>
      <c r="CR1491" s="16"/>
      <c r="CS1491" s="16"/>
      <c r="CT1491" s="16"/>
      <c r="CU1491" s="16"/>
      <c r="CV1491" s="16"/>
      <c r="CW1491" s="16"/>
      <c r="CX1491" s="16"/>
      <c r="CY1491" s="16"/>
      <c r="CZ1491" s="16"/>
      <c r="DA1491" s="16"/>
      <c r="DB1491" s="16"/>
      <c r="DC1491" s="16"/>
      <c r="DD1491" s="16"/>
      <c r="DE1491" s="16"/>
      <c r="DF1491" s="16" t="e">
        <f>VLOOKUP(K1491,'[3]RNA Seq summary tables'!$V$3:$V$99,1,FALSE)</f>
        <v>#N/A</v>
      </c>
      <c r="DG1491" s="126"/>
      <c r="DH1491" s="16"/>
      <c r="DI1491" s="16"/>
      <c r="DJ1491" s="16"/>
      <c r="DK1491" s="16"/>
      <c r="DL1491" s="16"/>
      <c r="DM1491" s="16"/>
      <c r="DN1491" s="16"/>
      <c r="DO1491" s="16"/>
      <c r="DP1491" s="16"/>
      <c r="DQ1491" s="16"/>
      <c r="DR1491" s="16"/>
      <c r="DS1491" s="16"/>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18"/>
      <c r="EQ1491" s="18"/>
      <c r="ER1491" s="18"/>
      <c r="ES1491" s="18"/>
      <c r="ET1491" s="18"/>
      <c r="EU1491" s="18"/>
      <c r="EV1491" s="18"/>
      <c r="EW1491" s="18"/>
      <c r="EX1491" s="18"/>
      <c r="EY1491" s="18"/>
      <c r="EZ1491" s="18"/>
      <c r="FA1491" s="18"/>
      <c r="FB1491" s="18"/>
      <c r="FC1491" s="18"/>
      <c r="FD1491" s="18"/>
      <c r="FE1491" s="18"/>
      <c r="FF1491" s="18"/>
      <c r="FG1491" s="18"/>
      <c r="FH1491" s="18"/>
      <c r="FI1491" s="18"/>
      <c r="FJ1491" s="18"/>
      <c r="FK1491" s="18"/>
      <c r="FL1491" s="18"/>
      <c r="FM1491" s="18"/>
      <c r="FN1491" s="18"/>
      <c r="FO1491" s="18"/>
      <c r="FP1491" s="18"/>
      <c r="FQ1491" s="18"/>
      <c r="FR1491" s="18"/>
      <c r="FS1491" s="18"/>
      <c r="FT1491" s="18"/>
      <c r="FU1491" s="18"/>
      <c r="FV1491" s="18"/>
      <c r="FW1491" s="18"/>
      <c r="FX1491" s="18"/>
      <c r="FY1491" s="18"/>
      <c r="FZ1491" s="18"/>
      <c r="GA1491" s="18"/>
      <c r="GB1491" s="18"/>
      <c r="GC1491" s="18"/>
      <c r="GD1491" s="18"/>
      <c r="GE1491" s="18"/>
      <c r="GF1491" s="18"/>
      <c r="GG1491" s="18"/>
      <c r="GH1491" s="18"/>
      <c r="GI1491" s="18"/>
      <c r="GJ1491" s="18"/>
      <c r="GK1491" s="18"/>
      <c r="GL1491" s="18"/>
      <c r="GM1491" s="18"/>
      <c r="GN1491" s="18"/>
      <c r="GO1491" s="18"/>
      <c r="GP1491" s="18"/>
      <c r="GQ1491" s="18"/>
      <c r="GR1491" s="18"/>
      <c r="GS1491" s="18"/>
      <c r="GT1491" s="18"/>
      <c r="GU1491" s="18"/>
      <c r="GV1491" s="18"/>
      <c r="GW1491" s="18"/>
      <c r="GX1491" s="18"/>
      <c r="GY1491" s="18"/>
      <c r="GZ1491" s="18"/>
      <c r="HA1491" s="18"/>
      <c r="HB1491" s="18"/>
      <c r="HC1491" s="18"/>
      <c r="HD1491" s="18"/>
      <c r="HE1491" s="18"/>
      <c r="HF1491" s="18"/>
      <c r="HG1491" s="18"/>
      <c r="HH1491" s="18"/>
      <c r="HI1491" s="18"/>
      <c r="HJ1491" s="18"/>
      <c r="HK1491" s="18"/>
      <c r="HL1491" s="18"/>
      <c r="HM1491" s="18"/>
      <c r="HN1491" s="18"/>
      <c r="HO1491" s="18"/>
      <c r="HP1491" s="18"/>
      <c r="HQ1491" s="18"/>
      <c r="HR1491" s="18"/>
      <c r="HS1491" s="18"/>
      <c r="HT1491" s="18"/>
      <c r="HU1491" s="18"/>
      <c r="HV1491" s="18"/>
      <c r="HW1491" s="18"/>
      <c r="HX1491" s="18"/>
      <c r="HY1491" s="18"/>
      <c r="HZ1491" s="18"/>
      <c r="IA1491" s="18"/>
      <c r="IB1491" s="18"/>
      <c r="IC1491" s="18"/>
      <c r="ID1491" s="18"/>
      <c r="IE1491" s="18"/>
      <c r="IF1491" s="18"/>
      <c r="IG1491" s="18"/>
      <c r="IH1491" s="18"/>
      <c r="II1491" s="18"/>
      <c r="IJ1491" s="18"/>
      <c r="IK1491" s="18"/>
      <c r="IL1491" s="18"/>
      <c r="IM1491" s="18"/>
      <c r="IN1491" s="18"/>
      <c r="IO1491" s="18"/>
      <c r="IP1491" s="18"/>
      <c r="IQ1491" s="18"/>
      <c r="IR1491" s="18"/>
      <c r="IS1491" s="18"/>
      <c r="IT1491" s="18"/>
      <c r="IU1491" s="18"/>
      <c r="IV1491" s="18"/>
      <c r="IW1491" s="18"/>
      <c r="IX1491" s="18"/>
      <c r="IY1491" s="18"/>
      <c r="IZ1491" s="18"/>
      <c r="JA1491" s="18"/>
      <c r="JB1491" s="18"/>
      <c r="JC1491" s="18"/>
      <c r="JD1491" s="18"/>
      <c r="JE1491" s="18"/>
      <c r="JF1491" s="18"/>
      <c r="JG1491" s="18"/>
      <c r="JH1491" s="18"/>
      <c r="JI1491" s="18"/>
      <c r="JJ1491" s="18"/>
      <c r="JK1491" s="18"/>
      <c r="JL1491" s="18"/>
      <c r="JM1491" s="18"/>
      <c r="JN1491" s="18"/>
      <c r="JO1491" s="16"/>
      <c r="JP1491" s="16"/>
      <c r="JQ1491" s="16"/>
      <c r="JR1491" s="16"/>
      <c r="JS1491" s="16"/>
      <c r="JT1491" s="16"/>
      <c r="JU1491" s="16"/>
      <c r="JV1491" s="16"/>
      <c r="JW1491" s="16"/>
      <c r="JX1491" s="16"/>
      <c r="JY1491" s="16"/>
      <c r="JZ1491" s="16"/>
      <c r="KA1491" s="16"/>
      <c r="KB1491" s="16"/>
    </row>
    <row r="1492" spans="1:288" s="18" customFormat="1" x14ac:dyDescent="0.2">
      <c r="B1492" s="16">
        <v>2017</v>
      </c>
      <c r="C1492" s="20">
        <v>42974</v>
      </c>
      <c r="D1492" s="20" t="str">
        <f>CONCATENATE(J1492,"-",C1492)</f>
        <v>83-42974</v>
      </c>
      <c r="E1492" s="20" t="str">
        <f>CONCATENATE(T1492,"-",U1492,"-",C1492)</f>
        <v>SP2-D7-42974</v>
      </c>
      <c r="F1492" s="20" t="s">
        <v>224</v>
      </c>
      <c r="G1492" s="20" t="s">
        <v>278</v>
      </c>
      <c r="H1492" s="16"/>
      <c r="I1492" s="16"/>
      <c r="J1492" s="21">
        <v>83</v>
      </c>
      <c r="K1492" s="21"/>
      <c r="L1492" s="16"/>
      <c r="M1492" s="21"/>
      <c r="N1492" s="21"/>
      <c r="O1492" s="21"/>
      <c r="P1492" s="16"/>
      <c r="Q1492" s="16"/>
      <c r="R1492" s="16"/>
      <c r="S1492" s="16"/>
      <c r="T1492" s="16" t="s">
        <v>137</v>
      </c>
      <c r="U1492" s="16" t="s">
        <v>177</v>
      </c>
      <c r="V1492" s="16"/>
      <c r="W1492" s="16"/>
      <c r="X1492" s="16"/>
      <c r="Y1492" s="16"/>
      <c r="Z1492" s="16"/>
      <c r="AA1492" s="16"/>
      <c r="AB1492" s="16"/>
      <c r="AC1492" s="16"/>
      <c r="AD1492" s="16"/>
      <c r="AE1492" s="16"/>
      <c r="AF1492" s="16"/>
      <c r="AG1492" s="16"/>
      <c r="AH1492" s="16"/>
      <c r="AI1492" s="16"/>
      <c r="AJ1492" s="16"/>
      <c r="AK1492" s="16"/>
      <c r="AL1492" s="16"/>
      <c r="AM1492" s="16"/>
      <c r="AN1492" s="16"/>
      <c r="AO1492" s="16"/>
      <c r="AP1492" s="16">
        <f>SUM(AL1492:AN1492)</f>
        <v>0</v>
      </c>
      <c r="AQ1492" s="16"/>
      <c r="AR1492" s="16"/>
      <c r="AS1492" s="16"/>
      <c r="AT1492" s="16" t="s">
        <v>285</v>
      </c>
      <c r="AU1492" s="16"/>
      <c r="AV1492" s="16"/>
      <c r="AW1492" s="16"/>
      <c r="AX1492" s="16"/>
      <c r="AZ1492" s="16"/>
      <c r="BA1492" s="16"/>
      <c r="BB1492" s="16"/>
      <c r="BC1492" s="16"/>
      <c r="BD1492" s="16"/>
      <c r="BE1492" s="16"/>
      <c r="BF1492" s="16"/>
      <c r="BG1492" s="77"/>
      <c r="BH1492" s="16"/>
      <c r="BI1492" s="16"/>
      <c r="BJ1492" s="16"/>
      <c r="BK1492" s="16"/>
      <c r="BL1492" s="16"/>
      <c r="BM1492" s="16"/>
      <c r="BN1492" s="16"/>
      <c r="BO1492" s="16"/>
      <c r="BP1492" s="16"/>
      <c r="BQ1492" s="16"/>
      <c r="BR1492" s="16"/>
      <c r="BS1492" s="16"/>
      <c r="BT1492" s="77"/>
      <c r="BU1492" s="16"/>
      <c r="BV1492" s="16"/>
      <c r="BW1492" s="16"/>
      <c r="BX1492" s="16"/>
      <c r="BY1492" s="16"/>
      <c r="BZ1492" s="16"/>
      <c r="CA1492" s="16"/>
      <c r="CB1492" s="16"/>
      <c r="CC1492" s="16"/>
      <c r="CD1492" s="77"/>
      <c r="CE1492" s="16"/>
      <c r="CF1492" s="16"/>
      <c r="CG1492" s="16"/>
      <c r="CH1492" s="16"/>
      <c r="CI1492" s="16"/>
      <c r="CJ1492" s="16"/>
      <c r="CK1492" s="16"/>
      <c r="CL1492" s="16"/>
      <c r="CM1492" s="16"/>
      <c r="CN1492" s="16"/>
      <c r="CO1492" s="16"/>
      <c r="CP1492" s="16"/>
      <c r="CQ1492" s="16"/>
      <c r="CR1492" s="16"/>
      <c r="CS1492" s="16"/>
      <c r="CT1492" s="16"/>
      <c r="CU1492" s="16"/>
      <c r="CV1492" s="16"/>
      <c r="CW1492" s="16"/>
      <c r="CX1492" s="16"/>
      <c r="CY1492" s="16"/>
      <c r="CZ1492" s="16"/>
      <c r="DA1492" s="16"/>
      <c r="DB1492" s="16"/>
      <c r="DC1492" s="16"/>
      <c r="DD1492" s="16"/>
      <c r="DE1492" s="16"/>
      <c r="DF1492" s="16" t="e">
        <f>VLOOKUP(K1492,'[3]RNA Seq summary tables'!$V$3:$V$99,1,FALSE)</f>
        <v>#N/A</v>
      </c>
      <c r="DG1492" s="16"/>
      <c r="DH1492" s="16"/>
      <c r="DI1492" s="16"/>
      <c r="DJ1492" s="16"/>
      <c r="DK1492" s="16"/>
      <c r="DL1492" s="16"/>
      <c r="DM1492" s="16"/>
      <c r="DN1492" s="16"/>
      <c r="DO1492" s="16"/>
      <c r="DP1492" s="16"/>
      <c r="DQ1492" s="16"/>
      <c r="DR1492" s="16"/>
      <c r="DS1492" s="16"/>
      <c r="JP1492" s="16"/>
      <c r="JQ1492" s="16"/>
      <c r="JR1492" s="16"/>
      <c r="JS1492" s="16"/>
      <c r="JT1492" s="16"/>
      <c r="JU1492" s="16"/>
      <c r="JV1492" s="16"/>
      <c r="JW1492" s="16"/>
      <c r="JX1492" s="16"/>
      <c r="JY1492" s="16"/>
      <c r="JZ1492" s="16"/>
      <c r="KA1492" s="16"/>
      <c r="KB1492" s="16"/>
    </row>
    <row r="1493" spans="1:288" s="27" customFormat="1" ht="16" x14ac:dyDescent="0.2">
      <c r="A1493" s="18"/>
      <c r="B1493" s="16">
        <v>2018</v>
      </c>
      <c r="C1493" s="147">
        <v>43306</v>
      </c>
      <c r="D1493" t="s">
        <v>1181</v>
      </c>
      <c r="E1493" s="20" t="str">
        <f>CONCATENATE(T1493,"-",U1493,"-",C1493)</f>
        <v>HW2-F8-43306</v>
      </c>
      <c r="F1493" s="16" t="s">
        <v>227</v>
      </c>
      <c r="G1493" s="145" t="s">
        <v>278</v>
      </c>
      <c r="H1493" s="145"/>
      <c r="I1493" s="145"/>
      <c r="J1493" s="145">
        <v>559</v>
      </c>
      <c r="K1493" s="145"/>
      <c r="L1493" s="16"/>
      <c r="M1493" s="16"/>
      <c r="N1493" s="16"/>
      <c r="O1493" s="145"/>
      <c r="P1493" s="145"/>
      <c r="Q1493" s="145"/>
      <c r="R1493" s="145"/>
      <c r="S1493" s="145"/>
      <c r="T1493" s="145" t="s">
        <v>129</v>
      </c>
      <c r="U1493" s="145" t="s">
        <v>138</v>
      </c>
      <c r="V1493" s="145"/>
      <c r="W1493" s="145"/>
      <c r="X1493" s="145"/>
      <c r="Y1493" s="145"/>
      <c r="Z1493" s="145"/>
      <c r="AA1493" s="145"/>
      <c r="AB1493" s="145"/>
      <c r="AC1493" s="145"/>
      <c r="AD1493" s="145"/>
      <c r="AE1493" s="145"/>
      <c r="AF1493" s="145"/>
      <c r="AG1493" s="145"/>
      <c r="AH1493" s="145"/>
      <c r="AI1493" s="145"/>
      <c r="AJ1493" s="145"/>
      <c r="AK1493" s="145"/>
      <c r="AL1493" s="145"/>
      <c r="AM1493" s="145"/>
      <c r="AN1493" s="145"/>
      <c r="AO1493" s="16"/>
      <c r="AP1493" s="16"/>
      <c r="AQ1493" s="16"/>
      <c r="AR1493" s="16"/>
      <c r="AS1493" s="16"/>
      <c r="AT1493" s="16" t="e">
        <f>VLOOKUP(E1493,[2]Current!$A$1:$W$435,7,FALSE)</f>
        <v>#N/A</v>
      </c>
      <c r="AU1493" s="16"/>
      <c r="AV1493" s="16"/>
      <c r="AW1493" s="16"/>
      <c r="AX1493" s="16"/>
      <c r="AY1493" s="16"/>
      <c r="AZ1493" s="16"/>
      <c r="BA1493" s="16"/>
      <c r="BB1493" s="16"/>
      <c r="BC1493" s="16"/>
      <c r="BD1493" s="16"/>
      <c r="BE1493" s="16"/>
      <c r="BF1493" s="16"/>
      <c r="BG1493" s="77"/>
      <c r="BH1493" s="16"/>
      <c r="BI1493" s="16"/>
      <c r="BJ1493" s="16"/>
      <c r="BK1493" s="16"/>
      <c r="BL1493" s="16"/>
      <c r="BM1493" s="16"/>
      <c r="BN1493" s="16"/>
      <c r="BO1493" s="16"/>
      <c r="BP1493" s="16"/>
      <c r="BQ1493" s="16"/>
      <c r="BR1493" s="16"/>
      <c r="BS1493" s="16"/>
      <c r="BT1493" s="77"/>
      <c r="BU1493" s="16"/>
      <c r="BV1493" s="16"/>
      <c r="BW1493" s="16"/>
      <c r="BX1493" s="16"/>
      <c r="BY1493" s="16"/>
      <c r="BZ1493" s="16"/>
      <c r="CA1493" s="16"/>
      <c r="CB1493" s="16"/>
      <c r="CC1493" s="16"/>
      <c r="CD1493" s="77"/>
      <c r="CE1493" s="16"/>
      <c r="CF1493" s="16"/>
      <c r="CG1493" s="16"/>
      <c r="CH1493" s="16"/>
      <c r="CI1493" s="16"/>
      <c r="CJ1493" s="16"/>
      <c r="CK1493" s="16"/>
      <c r="CL1493" s="16"/>
      <c r="CM1493" s="16"/>
      <c r="CN1493" s="16"/>
      <c r="CO1493" s="16"/>
      <c r="CP1493" s="16"/>
      <c r="CQ1493" s="16"/>
      <c r="CR1493" s="16"/>
      <c r="CS1493" s="16"/>
      <c r="CT1493" s="16"/>
      <c r="CU1493" s="16"/>
      <c r="CV1493" s="16"/>
      <c r="CW1493" s="16"/>
      <c r="CX1493" s="16"/>
      <c r="CY1493" s="16"/>
      <c r="CZ1493" s="16"/>
      <c r="DA1493" s="16"/>
      <c r="DB1493" s="16"/>
      <c r="DC1493" s="16"/>
      <c r="DD1493" s="16"/>
      <c r="DE1493" s="16"/>
      <c r="DF1493" s="16"/>
      <c r="DG1493" s="145"/>
      <c r="DH1493" s="16"/>
      <c r="DI1493" s="16"/>
      <c r="DJ1493" s="16"/>
      <c r="DK1493" s="16"/>
      <c r="DL1493" s="16"/>
      <c r="DM1493" s="16"/>
      <c r="DN1493" s="16"/>
      <c r="DO1493" s="16"/>
      <c r="DP1493" s="16"/>
      <c r="DQ1493" s="16"/>
      <c r="DR1493" s="16"/>
      <c r="DS1493" s="16"/>
      <c r="DT1493"/>
      <c r="DU1493" s="145"/>
      <c r="DV1493" s="18"/>
      <c r="DW1493" s="18"/>
      <c r="DX1493" s="145"/>
      <c r="DY1493" s="145"/>
      <c r="DZ1493" s="16"/>
      <c r="EA1493" s="16"/>
      <c r="EB1493" s="16"/>
      <c r="EC1493" s="16"/>
      <c r="ED1493" s="16"/>
      <c r="EE1493" s="16"/>
      <c r="EF1493" s="16"/>
      <c r="EG1493" s="18"/>
      <c r="EH1493" s="18"/>
      <c r="EI1493" s="18"/>
      <c r="EJ1493" s="18"/>
      <c r="EK1493" s="18"/>
      <c r="EL1493" s="18"/>
      <c r="EM1493" s="18"/>
      <c r="EN1493" s="18"/>
      <c r="EO1493" s="18"/>
      <c r="EP1493" s="18"/>
      <c r="EQ1493" s="18"/>
      <c r="ER1493" s="18"/>
      <c r="ES1493" s="18"/>
      <c r="ET1493" s="18"/>
      <c r="EU1493" s="18"/>
      <c r="EV1493" s="18"/>
      <c r="EW1493" s="18"/>
      <c r="EX1493" s="18"/>
      <c r="EY1493" s="18"/>
      <c r="EZ1493" s="18"/>
      <c r="FA1493" s="18"/>
      <c r="FB1493" s="18"/>
      <c r="FC1493" s="18"/>
      <c r="FD1493" s="18"/>
      <c r="FE1493" s="18"/>
      <c r="FF1493" s="18"/>
      <c r="FG1493" s="18"/>
      <c r="FH1493" s="18"/>
      <c r="FI1493" s="18"/>
      <c r="FJ1493" s="18"/>
      <c r="FK1493" s="18"/>
      <c r="FL1493" s="18"/>
      <c r="FM1493" s="18"/>
      <c r="FN1493" s="18"/>
      <c r="FO1493" s="18"/>
      <c r="FP1493" s="18"/>
      <c r="FQ1493" s="18"/>
      <c r="FR1493" s="18"/>
      <c r="FS1493" s="18"/>
      <c r="FT1493" s="18"/>
      <c r="FU1493" s="18"/>
      <c r="FV1493" s="18"/>
      <c r="FW1493" s="18"/>
      <c r="FX1493" s="18"/>
      <c r="FY1493" s="18"/>
      <c r="FZ1493" s="18"/>
      <c r="GA1493" s="18"/>
      <c r="GB1493" s="18"/>
      <c r="GC1493" s="18"/>
      <c r="GD1493" s="18"/>
      <c r="GE1493" s="18"/>
      <c r="GF1493" s="18"/>
      <c r="GG1493" s="18"/>
      <c r="GH1493" s="18"/>
      <c r="GI1493" s="18"/>
      <c r="GJ1493" s="18"/>
      <c r="GK1493" s="18"/>
      <c r="GL1493" s="18"/>
      <c r="GM1493" s="18"/>
      <c r="GN1493" s="18"/>
      <c r="GO1493" s="18"/>
      <c r="GP1493" s="18"/>
      <c r="GQ1493" s="18"/>
      <c r="GR1493" s="18"/>
      <c r="GS1493" s="18"/>
      <c r="GT1493" s="18"/>
      <c r="GU1493" s="18"/>
      <c r="GV1493" s="18"/>
      <c r="GW1493" s="18"/>
      <c r="GX1493" s="18"/>
      <c r="GY1493" s="18"/>
      <c r="GZ1493" s="18"/>
      <c r="HA1493" s="18"/>
      <c r="HB1493" s="18"/>
      <c r="HC1493" s="18"/>
      <c r="HD1493" s="18"/>
      <c r="HE1493" s="18"/>
      <c r="HF1493" s="18"/>
      <c r="HG1493" s="18"/>
      <c r="HH1493" s="18"/>
      <c r="HI1493" s="18"/>
      <c r="HJ1493" s="18"/>
      <c r="HK1493" s="18"/>
      <c r="HL1493" s="18"/>
      <c r="HM1493" s="18"/>
      <c r="HN1493" s="18"/>
      <c r="HO1493" s="18"/>
      <c r="HP1493" s="18"/>
      <c r="HQ1493" s="18"/>
      <c r="HR1493" s="18"/>
      <c r="HS1493" s="18"/>
      <c r="HT1493" s="18"/>
      <c r="HU1493" s="18"/>
      <c r="HV1493" s="18"/>
      <c r="HW1493" s="18"/>
      <c r="HX1493" s="18"/>
      <c r="HY1493" s="18"/>
      <c r="HZ1493" s="18"/>
      <c r="IA1493" s="18"/>
      <c r="IB1493" s="18"/>
      <c r="IC1493" s="18"/>
      <c r="ID1493" s="18"/>
      <c r="IE1493" s="18"/>
      <c r="IF1493" s="18"/>
      <c r="IG1493" s="18"/>
      <c r="IH1493" s="18"/>
      <c r="II1493" s="18"/>
      <c r="IJ1493" s="18"/>
      <c r="IK1493" s="18"/>
      <c r="IL1493" s="18"/>
      <c r="IM1493" s="18"/>
      <c r="IN1493" s="18"/>
      <c r="IO1493" s="18"/>
      <c r="IP1493" s="18"/>
      <c r="IQ1493" s="18"/>
      <c r="IR1493" s="18"/>
      <c r="IS1493" s="18"/>
      <c r="IT1493" s="18"/>
      <c r="IU1493" s="18"/>
      <c r="IV1493" s="18"/>
      <c r="IW1493" s="18"/>
      <c r="IX1493" s="18"/>
      <c r="IY1493" s="18"/>
      <c r="IZ1493" s="18"/>
      <c r="JA1493" s="18"/>
      <c r="JB1493" s="18"/>
      <c r="JC1493" s="18"/>
      <c r="JD1493" s="18"/>
      <c r="JE1493" s="18"/>
      <c r="JF1493" s="18"/>
      <c r="JG1493" s="18"/>
      <c r="JH1493" s="18"/>
      <c r="JI1493" s="18"/>
      <c r="JJ1493" s="18"/>
      <c r="JK1493" s="18"/>
      <c r="JL1493" s="18"/>
      <c r="JM1493" s="18"/>
      <c r="JN1493" s="18"/>
      <c r="JO1493" s="18"/>
      <c r="JP1493" s="18"/>
      <c r="JQ1493" s="18"/>
      <c r="JR1493" s="18"/>
      <c r="JS1493" s="18"/>
      <c r="JT1493" s="18"/>
      <c r="JU1493" s="18"/>
      <c r="JV1493" s="18"/>
      <c r="JW1493" s="18"/>
      <c r="JX1493" s="18"/>
      <c r="JY1493" s="18"/>
      <c r="JZ1493" s="18"/>
      <c r="KA1493" s="18"/>
      <c r="KB1493" s="16"/>
    </row>
    <row r="1494" spans="1:288" s="27" customFormat="1" x14ac:dyDescent="0.2">
      <c r="A1494" s="18"/>
      <c r="B1494" s="16">
        <v>2016</v>
      </c>
      <c r="C1494" s="20">
        <v>42538</v>
      </c>
      <c r="D1494" s="20" t="str">
        <f>CONCATENATE(J1494,"-",C1494)</f>
        <v>925-42538</v>
      </c>
      <c r="E1494" s="20" t="str">
        <f>CONCATENATE(T1494,"-",U1494,"-",C1494)</f>
        <v>SP2-B6-42538</v>
      </c>
      <c r="F1494" s="20" t="s">
        <v>106</v>
      </c>
      <c r="G1494" s="20" t="s">
        <v>278</v>
      </c>
      <c r="H1494" s="16"/>
      <c r="I1494" s="16"/>
      <c r="J1494" s="21">
        <v>925</v>
      </c>
      <c r="K1494" s="21"/>
      <c r="L1494" s="16"/>
      <c r="M1494" s="21"/>
      <c r="N1494" s="21"/>
      <c r="O1494" s="21"/>
      <c r="P1494" s="16"/>
      <c r="Q1494" s="16"/>
      <c r="R1494" s="16"/>
      <c r="S1494" s="16"/>
      <c r="T1494" s="16" t="s">
        <v>137</v>
      </c>
      <c r="U1494" s="16" t="s">
        <v>132</v>
      </c>
      <c r="V1494" s="16" t="s">
        <v>114</v>
      </c>
      <c r="W1494" s="16"/>
      <c r="X1494" s="16" t="s">
        <v>115</v>
      </c>
      <c r="Y1494" s="16" t="s">
        <v>110</v>
      </c>
      <c r="Z1494" s="16">
        <v>3</v>
      </c>
      <c r="AA1494" s="16"/>
      <c r="AB1494" s="16"/>
      <c r="AC1494" s="16"/>
      <c r="AD1494" s="16"/>
      <c r="AE1494" s="16" t="s">
        <v>123</v>
      </c>
      <c r="AF1494" s="16" t="s">
        <v>123</v>
      </c>
      <c r="AG1494" s="16"/>
      <c r="AH1494" s="16"/>
      <c r="AI1494" s="16"/>
      <c r="AJ1494" s="16"/>
      <c r="AK1494" s="16">
        <v>18</v>
      </c>
      <c r="AL1494" s="16">
        <v>0</v>
      </c>
      <c r="AM1494" s="16">
        <v>0</v>
      </c>
      <c r="AN1494" s="16">
        <v>0</v>
      </c>
      <c r="AO1494" s="16">
        <f>IF(SUM(AL1494:AN1494)&gt;0,1,0)</f>
        <v>0</v>
      </c>
      <c r="AP1494" s="16">
        <f>SUM(AL1494:AN1494)</f>
        <v>0</v>
      </c>
      <c r="AQ1494" s="16"/>
      <c r="AR1494" s="16"/>
      <c r="AS1494" s="16"/>
      <c r="AT1494" s="16"/>
      <c r="AU1494" s="16"/>
      <c r="AV1494" s="16"/>
      <c r="AW1494" s="16"/>
      <c r="AX1494" s="16"/>
      <c r="AY1494" s="16"/>
      <c r="AZ1494" s="16"/>
      <c r="BA1494" s="16"/>
      <c r="BB1494" s="16"/>
      <c r="BC1494" s="16"/>
      <c r="BD1494" s="16"/>
      <c r="BE1494" s="16"/>
      <c r="BF1494" s="16"/>
      <c r="BG1494" s="77"/>
      <c r="BH1494" s="16"/>
      <c r="BI1494" s="16"/>
      <c r="BJ1494" s="16"/>
      <c r="BK1494" s="16"/>
      <c r="BL1494" s="16"/>
      <c r="BM1494" s="16"/>
      <c r="BN1494" s="16"/>
      <c r="BO1494" s="16"/>
      <c r="BP1494" s="16"/>
      <c r="BQ1494" s="16"/>
      <c r="BR1494" s="16"/>
      <c r="BS1494" s="16"/>
      <c r="BT1494" s="77"/>
      <c r="BU1494" s="16"/>
      <c r="BV1494" s="16"/>
      <c r="BW1494" s="16"/>
      <c r="BX1494" s="16"/>
      <c r="BY1494" s="16"/>
      <c r="BZ1494" s="16"/>
      <c r="CA1494" s="16"/>
      <c r="CB1494" s="16"/>
      <c r="CC1494" s="16"/>
      <c r="CD1494" s="77"/>
      <c r="CE1494" s="16"/>
      <c r="CF1494" s="16"/>
      <c r="CG1494" s="16"/>
      <c r="CH1494" s="16"/>
      <c r="CI1494" s="16"/>
      <c r="CJ1494" s="16"/>
      <c r="CK1494" s="16"/>
      <c r="CL1494" s="16"/>
      <c r="CM1494" s="16"/>
      <c r="CN1494" s="16"/>
      <c r="CO1494" s="16"/>
      <c r="CP1494" s="16"/>
      <c r="CQ1494" s="16"/>
      <c r="CR1494" s="16"/>
      <c r="CS1494" s="16"/>
      <c r="CT1494" s="16"/>
      <c r="CU1494" s="16"/>
      <c r="CV1494" s="16"/>
      <c r="CW1494" s="16"/>
      <c r="CX1494" s="16"/>
      <c r="CY1494" s="16"/>
      <c r="CZ1494" s="16"/>
      <c r="DA1494" s="16"/>
      <c r="DB1494" s="16"/>
      <c r="DC1494" s="16"/>
      <c r="DD1494" s="16"/>
      <c r="DE1494" s="16"/>
      <c r="DF1494" s="16" t="e">
        <f>VLOOKUP(K1494,'[3]RNA Seq summary tables'!$V$3:$V$99,1,FALSE)</f>
        <v>#N/A</v>
      </c>
      <c r="DG1494" s="16"/>
      <c r="DH1494" s="16"/>
      <c r="DI1494" s="16"/>
      <c r="DJ1494" s="16"/>
      <c r="DK1494" s="16"/>
      <c r="DL1494" s="16"/>
      <c r="DM1494" s="16"/>
      <c r="DN1494" s="16"/>
      <c r="DO1494" s="16"/>
      <c r="DP1494" s="16"/>
      <c r="DQ1494" s="16"/>
      <c r="DR1494" s="16"/>
      <c r="DS1494" s="16"/>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18"/>
      <c r="EQ1494" s="18"/>
      <c r="ER1494" s="18"/>
      <c r="ES1494" s="18"/>
      <c r="ET1494" s="18"/>
      <c r="EU1494" s="18"/>
      <c r="EV1494" s="18"/>
      <c r="EW1494" s="18"/>
      <c r="EX1494" s="18"/>
      <c r="EY1494" s="18"/>
      <c r="EZ1494" s="18"/>
      <c r="FA1494" s="18"/>
      <c r="FB1494" s="18"/>
      <c r="FC1494" s="18"/>
      <c r="FD1494" s="18"/>
      <c r="FE1494" s="18"/>
      <c r="FF1494" s="18"/>
      <c r="FG1494" s="18"/>
      <c r="FH1494" s="18"/>
      <c r="FI1494" s="18"/>
      <c r="FJ1494" s="18"/>
      <c r="FK1494" s="18"/>
      <c r="FL1494" s="18"/>
      <c r="FM1494" s="18"/>
      <c r="FN1494" s="18"/>
      <c r="FO1494" s="18"/>
      <c r="FP1494" s="18"/>
      <c r="FQ1494" s="18"/>
      <c r="FR1494" s="18"/>
      <c r="FS1494" s="18"/>
      <c r="FT1494" s="18"/>
      <c r="FU1494" s="18"/>
      <c r="FV1494" s="18"/>
      <c r="FW1494" s="18"/>
      <c r="FX1494" s="18"/>
      <c r="FY1494" s="18"/>
      <c r="FZ1494" s="18"/>
      <c r="GA1494" s="18"/>
      <c r="GB1494" s="18"/>
      <c r="GC1494" s="18"/>
      <c r="GD1494" s="18"/>
      <c r="GE1494" s="18"/>
      <c r="GF1494" s="18"/>
      <c r="GG1494" s="18"/>
      <c r="GH1494" s="18"/>
      <c r="GI1494" s="18"/>
      <c r="GJ1494" s="18"/>
      <c r="GK1494" s="18"/>
      <c r="GL1494" s="18"/>
      <c r="GM1494" s="18"/>
      <c r="GN1494" s="18"/>
      <c r="GO1494" s="18"/>
      <c r="GP1494" s="18"/>
      <c r="GQ1494" s="18"/>
      <c r="GR1494" s="18"/>
      <c r="GS1494" s="18"/>
      <c r="GT1494" s="18"/>
      <c r="GU1494" s="18"/>
      <c r="GV1494" s="18"/>
      <c r="GW1494" s="18"/>
      <c r="GX1494" s="18"/>
      <c r="GY1494" s="18"/>
      <c r="GZ1494" s="18"/>
      <c r="HA1494" s="18"/>
      <c r="HB1494" s="18"/>
      <c r="HC1494" s="18"/>
      <c r="HD1494" s="18"/>
      <c r="HE1494" s="18"/>
      <c r="HF1494" s="18"/>
      <c r="HG1494" s="18"/>
      <c r="HH1494" s="18"/>
      <c r="HI1494" s="18"/>
      <c r="HJ1494" s="18"/>
      <c r="HK1494" s="18"/>
      <c r="HL1494" s="18"/>
      <c r="HM1494" s="18"/>
      <c r="HN1494" s="18"/>
      <c r="HO1494" s="18"/>
      <c r="HP1494" s="18"/>
      <c r="HQ1494" s="18"/>
      <c r="HR1494" s="18"/>
      <c r="HS1494" s="18"/>
      <c r="HT1494" s="18"/>
      <c r="HU1494" s="18"/>
      <c r="HV1494" s="18"/>
      <c r="HW1494" s="18"/>
      <c r="HX1494" s="18"/>
      <c r="HY1494" s="18"/>
      <c r="HZ1494" s="18"/>
      <c r="IA1494" s="18"/>
      <c r="IB1494" s="18"/>
      <c r="IC1494" s="18"/>
      <c r="ID1494" s="18"/>
      <c r="IE1494" s="18"/>
      <c r="IF1494" s="18"/>
      <c r="IG1494" s="18"/>
      <c r="IH1494" s="18"/>
      <c r="II1494" s="18"/>
      <c r="IJ1494" s="18"/>
      <c r="IK1494" s="18"/>
      <c r="IL1494" s="18"/>
      <c r="IM1494" s="18"/>
      <c r="IN1494" s="18"/>
      <c r="IO1494" s="18"/>
      <c r="IP1494" s="18"/>
      <c r="IQ1494" s="18"/>
      <c r="IR1494" s="18"/>
      <c r="IS1494" s="18"/>
      <c r="IT1494" s="18"/>
      <c r="IU1494" s="18"/>
      <c r="IV1494" s="18"/>
      <c r="IW1494" s="18"/>
      <c r="IX1494" s="18"/>
      <c r="IY1494" s="18"/>
      <c r="IZ1494" s="18"/>
      <c r="JA1494" s="18"/>
      <c r="JB1494" s="18"/>
      <c r="JC1494" s="18"/>
      <c r="JD1494" s="18"/>
      <c r="JE1494" s="18"/>
      <c r="JF1494" s="18"/>
      <c r="JG1494" s="18"/>
      <c r="JH1494" s="18"/>
      <c r="JI1494" s="18"/>
      <c r="JJ1494" s="18"/>
      <c r="JK1494" s="18"/>
      <c r="JL1494" s="18"/>
      <c r="JM1494" s="18"/>
      <c r="JN1494" s="18"/>
      <c r="JO1494" s="16"/>
      <c r="JP1494" s="16"/>
      <c r="JQ1494" s="16"/>
      <c r="JR1494" s="38"/>
      <c r="JS1494" s="38"/>
      <c r="JT1494" s="38"/>
      <c r="JU1494" s="38"/>
      <c r="JV1494" s="38"/>
      <c r="JW1494" s="38"/>
      <c r="JX1494" s="38"/>
      <c r="JY1494" s="38"/>
      <c r="JZ1494" s="38"/>
      <c r="KA1494" s="38"/>
      <c r="KB1494" s="38"/>
    </row>
    <row r="1495" spans="1:288" s="27" customFormat="1" x14ac:dyDescent="0.2">
      <c r="A1495" s="18"/>
      <c r="B1495" s="16">
        <v>2016</v>
      </c>
      <c r="C1495" s="20">
        <v>42566</v>
      </c>
      <c r="D1495" s="20" t="str">
        <f>CONCATENATE(J1495,"-",C1495)</f>
        <v>925-42566</v>
      </c>
      <c r="E1495" s="20" t="str">
        <f>CONCATENATE(T1495,"-",U1495,"-",C1495)</f>
        <v>SP2-D8-42566</v>
      </c>
      <c r="F1495" s="20" t="s">
        <v>106</v>
      </c>
      <c r="G1495" s="20" t="s">
        <v>278</v>
      </c>
      <c r="H1495" s="16"/>
      <c r="I1495" s="16"/>
      <c r="J1495" s="21">
        <v>925</v>
      </c>
      <c r="K1495" s="21"/>
      <c r="L1495" s="16"/>
      <c r="M1495" s="21"/>
      <c r="N1495" s="21"/>
      <c r="O1495" s="21"/>
      <c r="P1495" s="16"/>
      <c r="Q1495" s="16"/>
      <c r="R1495" s="16"/>
      <c r="S1495" s="16"/>
      <c r="T1495" s="16" t="s">
        <v>137</v>
      </c>
      <c r="U1495" s="16" t="s">
        <v>178</v>
      </c>
      <c r="V1495" s="16"/>
      <c r="W1495" s="16"/>
      <c r="X1495" s="16"/>
      <c r="Y1495" s="16"/>
      <c r="Z1495" s="16"/>
      <c r="AA1495" s="16"/>
      <c r="AB1495" s="16"/>
      <c r="AC1495" s="16"/>
      <c r="AD1495" s="16"/>
      <c r="AE1495" s="16"/>
      <c r="AF1495" s="16"/>
      <c r="AG1495" s="16"/>
      <c r="AH1495" s="16"/>
      <c r="AI1495" s="16"/>
      <c r="AJ1495" s="16"/>
      <c r="AK1495" s="16"/>
      <c r="AL1495" s="16"/>
      <c r="AM1495" s="16"/>
      <c r="AN1495" s="16"/>
      <c r="AO1495" s="16"/>
      <c r="AP1495" s="16"/>
      <c r="AQ1495" s="16"/>
      <c r="AR1495" s="16"/>
      <c r="AS1495" s="16"/>
      <c r="AT1495" s="16"/>
      <c r="AU1495" s="16"/>
      <c r="AV1495" s="16"/>
      <c r="AW1495" s="16"/>
      <c r="AX1495" s="16"/>
      <c r="AY1495" s="16"/>
      <c r="AZ1495" s="16"/>
      <c r="BA1495" s="16"/>
      <c r="BB1495" s="16"/>
      <c r="BC1495" s="16"/>
      <c r="BD1495" s="16"/>
      <c r="BE1495" s="16"/>
      <c r="BF1495" s="16"/>
      <c r="BG1495" s="77"/>
      <c r="BH1495" s="16"/>
      <c r="BI1495" s="16"/>
      <c r="BJ1495" s="16"/>
      <c r="BK1495" s="16"/>
      <c r="BL1495" s="16"/>
      <c r="BM1495" s="16"/>
      <c r="BN1495" s="16"/>
      <c r="BO1495" s="16"/>
      <c r="BP1495" s="16"/>
      <c r="BQ1495" s="16"/>
      <c r="BR1495" s="16"/>
      <c r="BS1495" s="16"/>
      <c r="BT1495" s="77"/>
      <c r="BU1495" s="16"/>
      <c r="BV1495" s="16"/>
      <c r="BW1495" s="16"/>
      <c r="BX1495" s="16"/>
      <c r="BY1495" s="16"/>
      <c r="BZ1495" s="16"/>
      <c r="CA1495" s="16"/>
      <c r="CB1495" s="16"/>
      <c r="CC1495" s="16"/>
      <c r="CD1495" s="77"/>
      <c r="CE1495" s="16"/>
      <c r="CF1495" s="16"/>
      <c r="CG1495" s="16"/>
      <c r="CH1495" s="16"/>
      <c r="CI1495" s="16"/>
      <c r="CJ1495" s="16"/>
      <c r="CK1495" s="16"/>
      <c r="CL1495" s="16"/>
      <c r="CM1495" s="16"/>
      <c r="CN1495" s="16"/>
      <c r="CO1495" s="16"/>
      <c r="CP1495" s="16"/>
      <c r="CQ1495" s="16"/>
      <c r="CR1495" s="16"/>
      <c r="CS1495" s="16"/>
      <c r="CT1495" s="16"/>
      <c r="CU1495" s="16"/>
      <c r="CV1495" s="16"/>
      <c r="CW1495" s="16"/>
      <c r="CX1495" s="16"/>
      <c r="CY1495" s="16"/>
      <c r="CZ1495" s="16"/>
      <c r="DA1495" s="16"/>
      <c r="DB1495" s="16"/>
      <c r="DC1495" s="16"/>
      <c r="DD1495" s="16"/>
      <c r="DE1495" s="16"/>
      <c r="DF1495" s="16" t="e">
        <f>VLOOKUP(K1495,'[3]RNA Seq summary tables'!$V$3:$V$99,1,FALSE)</f>
        <v>#N/A</v>
      </c>
      <c r="DG1495" s="16"/>
      <c r="DH1495" s="16"/>
      <c r="DI1495" s="16"/>
      <c r="DJ1495" s="16"/>
      <c r="DK1495" s="16"/>
      <c r="DL1495" s="16"/>
      <c r="DM1495" s="16"/>
      <c r="DN1495" s="16"/>
      <c r="DO1495" s="16"/>
      <c r="DP1495" s="16"/>
      <c r="DQ1495" s="16"/>
      <c r="DR1495" s="16"/>
      <c r="DS1495" s="16"/>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18"/>
      <c r="EQ1495" s="18"/>
      <c r="ER1495" s="18"/>
      <c r="ES1495" s="18"/>
      <c r="ET1495" s="18"/>
      <c r="EU1495" s="18"/>
      <c r="EV1495" s="18"/>
      <c r="EW1495" s="18"/>
      <c r="EX1495" s="18"/>
      <c r="EY1495" s="18"/>
      <c r="EZ1495" s="18"/>
      <c r="FA1495" s="18"/>
      <c r="FB1495" s="18"/>
      <c r="FC1495" s="18"/>
      <c r="FD1495" s="18"/>
      <c r="FE1495" s="18"/>
      <c r="FF1495" s="18"/>
      <c r="FG1495" s="18"/>
      <c r="FH1495" s="18"/>
      <c r="FI1495" s="18"/>
      <c r="FJ1495" s="18"/>
      <c r="FK1495" s="18"/>
      <c r="FL1495" s="18"/>
      <c r="FM1495" s="18"/>
      <c r="FN1495" s="18"/>
      <c r="FO1495" s="18"/>
      <c r="FP1495" s="18"/>
      <c r="FQ1495" s="18"/>
      <c r="FR1495" s="18"/>
      <c r="FS1495" s="18"/>
      <c r="FT1495" s="18"/>
      <c r="FU1495" s="18"/>
      <c r="FV1495" s="18"/>
      <c r="FW1495" s="18"/>
      <c r="FX1495" s="18"/>
      <c r="FY1495" s="18"/>
      <c r="FZ1495" s="18"/>
      <c r="GA1495" s="18"/>
      <c r="GB1495" s="18"/>
      <c r="GC1495" s="18"/>
      <c r="GD1495" s="18"/>
      <c r="GE1495" s="18"/>
      <c r="GF1495" s="18"/>
      <c r="GG1495" s="18"/>
      <c r="GH1495" s="18"/>
      <c r="GI1495" s="18"/>
      <c r="GJ1495" s="18"/>
      <c r="GK1495" s="18"/>
      <c r="GL1495" s="18"/>
      <c r="GM1495" s="18"/>
      <c r="GN1495" s="18"/>
      <c r="GO1495" s="18"/>
      <c r="GP1495" s="18"/>
      <c r="GQ1495" s="18"/>
      <c r="GR1495" s="18"/>
      <c r="GS1495" s="18"/>
      <c r="GT1495" s="18"/>
      <c r="GU1495" s="18"/>
      <c r="GV1495" s="18"/>
      <c r="GW1495" s="18"/>
      <c r="GX1495" s="18"/>
      <c r="GY1495" s="18"/>
      <c r="GZ1495" s="18"/>
      <c r="HA1495" s="18"/>
      <c r="HB1495" s="18"/>
      <c r="HC1495" s="18"/>
      <c r="HD1495" s="18"/>
      <c r="HE1495" s="18"/>
      <c r="HF1495" s="18"/>
      <c r="HG1495" s="18"/>
      <c r="HH1495" s="18"/>
      <c r="HI1495" s="18"/>
      <c r="HJ1495" s="18"/>
      <c r="HK1495" s="18"/>
      <c r="HL1495" s="18"/>
      <c r="HM1495" s="18"/>
      <c r="HN1495" s="18"/>
      <c r="HO1495" s="18"/>
      <c r="HP1495" s="18"/>
      <c r="HQ1495" s="18"/>
      <c r="HR1495" s="18"/>
      <c r="HS1495" s="18"/>
      <c r="HT1495" s="18"/>
      <c r="HU1495" s="18"/>
      <c r="HV1495" s="18"/>
      <c r="HW1495" s="18"/>
      <c r="HX1495" s="18"/>
      <c r="HY1495" s="18"/>
      <c r="HZ1495" s="18"/>
      <c r="IA1495" s="18"/>
      <c r="IB1495" s="18"/>
      <c r="IC1495" s="18"/>
      <c r="ID1495" s="18"/>
      <c r="IE1495" s="18"/>
      <c r="IF1495" s="18"/>
      <c r="IG1495" s="18"/>
      <c r="IH1495" s="18"/>
      <c r="II1495" s="18"/>
      <c r="IJ1495" s="18"/>
      <c r="IK1495" s="18"/>
      <c r="IL1495" s="18"/>
      <c r="IM1495" s="18"/>
      <c r="IN1495" s="18"/>
      <c r="IO1495" s="18"/>
      <c r="IP1495" s="18"/>
      <c r="IQ1495" s="18"/>
      <c r="IR1495" s="18"/>
      <c r="IS1495" s="18"/>
      <c r="IT1495" s="18"/>
      <c r="IU1495" s="18"/>
      <c r="IV1495" s="18"/>
      <c r="IW1495" s="18"/>
      <c r="IX1495" s="18"/>
      <c r="IY1495" s="18"/>
      <c r="IZ1495" s="18"/>
      <c r="JA1495" s="18"/>
      <c r="JB1495" s="18"/>
      <c r="JC1495" s="18"/>
      <c r="JD1495" s="18"/>
      <c r="JE1495" s="18"/>
      <c r="JF1495" s="18"/>
      <c r="JG1495" s="18"/>
      <c r="JH1495" s="18"/>
      <c r="JI1495" s="18"/>
      <c r="JJ1495" s="18"/>
      <c r="JK1495" s="18"/>
      <c r="JL1495" s="18"/>
      <c r="JM1495" s="18"/>
      <c r="JN1495" s="18"/>
      <c r="JO1495" s="16"/>
      <c r="JP1495" s="16"/>
      <c r="JQ1495" s="16"/>
      <c r="JR1495" s="16"/>
      <c r="JS1495" s="16"/>
      <c r="JT1495" s="16"/>
      <c r="JU1495" s="16"/>
      <c r="JV1495" s="16"/>
      <c r="JW1495" s="16"/>
      <c r="JX1495" s="16"/>
      <c r="JY1495" s="16"/>
      <c r="JZ1495" s="16"/>
      <c r="KA1495" s="16"/>
      <c r="KB1495" s="16"/>
    </row>
    <row r="1496" spans="1:288" s="27" customFormat="1" x14ac:dyDescent="0.2">
      <c r="A1496" s="18"/>
      <c r="B1496" s="16">
        <v>2016</v>
      </c>
      <c r="C1496" s="20">
        <v>42567</v>
      </c>
      <c r="D1496" s="20" t="str">
        <f>CONCATENATE(J1496,"-",C1496)</f>
        <v>925-42567</v>
      </c>
      <c r="E1496" s="20" t="str">
        <f>CONCATENATE(T1496,"-",U1496,"-",C1496)</f>
        <v>SP2-D8-42567</v>
      </c>
      <c r="F1496" s="20" t="s">
        <v>106</v>
      </c>
      <c r="G1496" s="20" t="s">
        <v>278</v>
      </c>
      <c r="H1496" s="16"/>
      <c r="I1496" s="16"/>
      <c r="J1496" s="21">
        <v>925</v>
      </c>
      <c r="K1496" s="21"/>
      <c r="L1496" s="16"/>
      <c r="M1496" s="21"/>
      <c r="N1496" s="21"/>
      <c r="O1496" s="21"/>
      <c r="P1496" s="16"/>
      <c r="Q1496" s="16"/>
      <c r="R1496" s="16"/>
      <c r="S1496" s="16"/>
      <c r="T1496" s="16" t="s">
        <v>137</v>
      </c>
      <c r="U1496" s="16" t="s">
        <v>178</v>
      </c>
      <c r="V1496" s="16" t="s">
        <v>114</v>
      </c>
      <c r="W1496" s="16"/>
      <c r="X1496" s="16"/>
      <c r="Y1496" s="16"/>
      <c r="Z1496" s="16"/>
      <c r="AA1496" s="16"/>
      <c r="AB1496" s="16"/>
      <c r="AC1496" s="16"/>
      <c r="AD1496" s="16"/>
      <c r="AE1496" s="16"/>
      <c r="AF1496" s="16"/>
      <c r="AG1496" s="16"/>
      <c r="AH1496" s="16"/>
      <c r="AI1496" s="16"/>
      <c r="AJ1496" s="16"/>
      <c r="AK1496" s="16">
        <v>18.5</v>
      </c>
      <c r="AL1496" s="16"/>
      <c r="AM1496" s="16"/>
      <c r="AN1496" s="16"/>
      <c r="AO1496" s="16"/>
      <c r="AP1496" s="16"/>
      <c r="AQ1496" s="16"/>
      <c r="AR1496" s="16"/>
      <c r="AS1496" s="16"/>
      <c r="AT1496" s="16"/>
      <c r="AU1496" s="16"/>
      <c r="AV1496" s="16"/>
      <c r="AW1496" s="16"/>
      <c r="AX1496" s="16"/>
      <c r="AY1496" s="16"/>
      <c r="AZ1496" s="16"/>
      <c r="BA1496" s="16"/>
      <c r="BB1496" s="16"/>
      <c r="BC1496" s="16"/>
      <c r="BD1496" s="16"/>
      <c r="BE1496" s="16"/>
      <c r="BF1496" s="16"/>
      <c r="BG1496" s="77"/>
      <c r="BH1496" s="16"/>
      <c r="BI1496" s="16"/>
      <c r="BJ1496" s="16"/>
      <c r="BK1496" s="16"/>
      <c r="BL1496" s="16"/>
      <c r="BM1496" s="16"/>
      <c r="BN1496" s="16"/>
      <c r="BO1496" s="16"/>
      <c r="BP1496" s="16"/>
      <c r="BQ1496" s="16"/>
      <c r="BR1496" s="16"/>
      <c r="BS1496" s="16"/>
      <c r="BT1496" s="77"/>
      <c r="BU1496" s="16"/>
      <c r="BV1496" s="16"/>
      <c r="BW1496" s="16"/>
      <c r="BX1496" s="16"/>
      <c r="BY1496" s="16"/>
      <c r="BZ1496" s="16"/>
      <c r="CA1496" s="16"/>
      <c r="CB1496" s="16"/>
      <c r="CC1496" s="16"/>
      <c r="CD1496" s="77"/>
      <c r="CE1496" s="16"/>
      <c r="CF1496" s="16"/>
      <c r="CG1496" s="16"/>
      <c r="CH1496" s="16"/>
      <c r="CI1496" s="16"/>
      <c r="CJ1496" s="16"/>
      <c r="CK1496" s="16"/>
      <c r="CL1496" s="16"/>
      <c r="CM1496" s="16"/>
      <c r="CN1496" s="16"/>
      <c r="CO1496" s="16"/>
      <c r="CP1496" s="16"/>
      <c r="CQ1496" s="16"/>
      <c r="CR1496" s="16"/>
      <c r="CS1496" s="16"/>
      <c r="CT1496" s="16"/>
      <c r="CU1496" s="16"/>
      <c r="CV1496" s="16"/>
      <c r="CW1496" s="16"/>
      <c r="CX1496" s="16"/>
      <c r="CY1496" s="16"/>
      <c r="CZ1496" s="16"/>
      <c r="DA1496" s="16"/>
      <c r="DB1496" s="16"/>
      <c r="DC1496" s="16"/>
      <c r="DD1496" s="16"/>
      <c r="DE1496" s="16"/>
      <c r="DF1496" s="16" t="e">
        <f>VLOOKUP(K1496,'[3]RNA Seq summary tables'!$V$3:$V$99,1,FALSE)</f>
        <v>#N/A</v>
      </c>
      <c r="DG1496" s="16"/>
      <c r="DH1496" s="16"/>
      <c r="DI1496" s="16"/>
      <c r="DJ1496" s="16"/>
      <c r="DK1496" s="16"/>
      <c r="DL1496" s="16"/>
      <c r="DM1496" s="16"/>
      <c r="DN1496" s="16"/>
      <c r="DO1496" s="16"/>
      <c r="DP1496" s="16"/>
      <c r="DQ1496" s="16"/>
      <c r="DR1496" s="16"/>
      <c r="DS1496" s="16"/>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18"/>
      <c r="EQ1496" s="18"/>
      <c r="ER1496" s="18"/>
      <c r="ES1496" s="18"/>
      <c r="ET1496" s="18"/>
      <c r="EU1496" s="18"/>
      <c r="EV1496" s="18"/>
      <c r="EW1496" s="18"/>
      <c r="EX1496" s="18"/>
      <c r="EY1496" s="18"/>
      <c r="EZ1496" s="18"/>
      <c r="FA1496" s="18"/>
      <c r="FB1496" s="18"/>
      <c r="FC1496" s="18"/>
      <c r="FD1496" s="18"/>
      <c r="FE1496" s="18"/>
      <c r="FF1496" s="18"/>
      <c r="FG1496" s="18"/>
      <c r="FH1496" s="18"/>
      <c r="FI1496" s="18"/>
      <c r="FJ1496" s="18"/>
      <c r="FK1496" s="18"/>
      <c r="FL1496" s="18"/>
      <c r="FM1496" s="18"/>
      <c r="FN1496" s="18"/>
      <c r="FO1496" s="18"/>
      <c r="FP1496" s="18"/>
      <c r="FQ1496" s="18"/>
      <c r="FR1496" s="18"/>
      <c r="FS1496" s="18"/>
      <c r="FT1496" s="18"/>
      <c r="FU1496" s="18"/>
      <c r="FV1496" s="18"/>
      <c r="FW1496" s="18"/>
      <c r="FX1496" s="18"/>
      <c r="FY1496" s="18"/>
      <c r="FZ1496" s="18"/>
      <c r="GA1496" s="18"/>
      <c r="GB1496" s="18"/>
      <c r="GC1496" s="18"/>
      <c r="GD1496" s="18"/>
      <c r="GE1496" s="18"/>
      <c r="GF1496" s="18"/>
      <c r="GG1496" s="18"/>
      <c r="GH1496" s="18"/>
      <c r="GI1496" s="18"/>
      <c r="GJ1496" s="18"/>
      <c r="GK1496" s="18"/>
      <c r="GL1496" s="18"/>
      <c r="GM1496" s="18"/>
      <c r="GN1496" s="18"/>
      <c r="GO1496" s="18"/>
      <c r="GP1496" s="18"/>
      <c r="GQ1496" s="18"/>
      <c r="GR1496" s="18"/>
      <c r="GS1496" s="18"/>
      <c r="GT1496" s="18"/>
      <c r="GU1496" s="18"/>
      <c r="GV1496" s="18"/>
      <c r="GW1496" s="18"/>
      <c r="GX1496" s="18"/>
      <c r="GY1496" s="18"/>
      <c r="GZ1496" s="18"/>
      <c r="HA1496" s="18"/>
      <c r="HB1496" s="18"/>
      <c r="HC1496" s="18"/>
      <c r="HD1496" s="18"/>
      <c r="HE1496" s="18"/>
      <c r="HF1496" s="18"/>
      <c r="HG1496" s="18"/>
      <c r="HH1496" s="18"/>
      <c r="HI1496" s="18"/>
      <c r="HJ1496" s="18"/>
      <c r="HK1496" s="18"/>
      <c r="HL1496" s="18"/>
      <c r="HM1496" s="18"/>
      <c r="HN1496" s="18"/>
      <c r="HO1496" s="18"/>
      <c r="HP1496" s="18"/>
      <c r="HQ1496" s="18"/>
      <c r="HR1496" s="18"/>
      <c r="HS1496" s="18"/>
      <c r="HT1496" s="18"/>
      <c r="HU1496" s="18"/>
      <c r="HV1496" s="18"/>
      <c r="HW1496" s="18"/>
      <c r="HX1496" s="18"/>
      <c r="HY1496" s="18"/>
      <c r="HZ1496" s="18"/>
      <c r="IA1496" s="18"/>
      <c r="IB1496" s="18"/>
      <c r="IC1496" s="18"/>
      <c r="ID1496" s="18"/>
      <c r="IE1496" s="18"/>
      <c r="IF1496" s="18"/>
      <c r="IG1496" s="18"/>
      <c r="IH1496" s="18"/>
      <c r="II1496" s="18"/>
      <c r="IJ1496" s="18"/>
      <c r="IK1496" s="18"/>
      <c r="IL1496" s="18"/>
      <c r="IM1496" s="18"/>
      <c r="IN1496" s="18"/>
      <c r="IO1496" s="18"/>
      <c r="IP1496" s="18"/>
      <c r="IQ1496" s="18"/>
      <c r="IR1496" s="18"/>
      <c r="IS1496" s="18"/>
      <c r="IT1496" s="18"/>
      <c r="IU1496" s="18"/>
      <c r="IV1496" s="18"/>
      <c r="IW1496" s="18"/>
      <c r="IX1496" s="18"/>
      <c r="IY1496" s="18"/>
      <c r="IZ1496" s="18"/>
      <c r="JA1496" s="18"/>
      <c r="JB1496" s="18"/>
      <c r="JC1496" s="18"/>
      <c r="JD1496" s="18"/>
      <c r="JE1496" s="18"/>
      <c r="JF1496" s="18"/>
      <c r="JG1496" s="18"/>
      <c r="JH1496" s="18"/>
      <c r="JI1496" s="18"/>
      <c r="JJ1496" s="18"/>
      <c r="JK1496" s="18"/>
      <c r="JL1496" s="18"/>
      <c r="JM1496" s="18"/>
      <c r="JN1496" s="18"/>
      <c r="JO1496" s="16"/>
      <c r="JP1496" s="16"/>
      <c r="JQ1496" s="16"/>
      <c r="JR1496" s="16"/>
      <c r="JS1496" s="16"/>
      <c r="JT1496" s="16"/>
      <c r="JU1496" s="16"/>
      <c r="JV1496" s="16"/>
      <c r="JW1496" s="16"/>
      <c r="JX1496" s="16"/>
      <c r="JY1496" s="16"/>
      <c r="JZ1496" s="16"/>
      <c r="KA1496" s="16"/>
      <c r="KB1496" s="16"/>
    </row>
    <row r="1497" spans="1:288" s="27" customFormat="1" x14ac:dyDescent="0.2">
      <c r="A1497" s="18"/>
      <c r="B1497" s="16">
        <v>2016</v>
      </c>
      <c r="C1497" s="20">
        <v>42580</v>
      </c>
      <c r="D1497" s="20" t="str">
        <f>CONCATENATE(J1497,"-",C1497)</f>
        <v>925-42580</v>
      </c>
      <c r="E1497" s="20" t="str">
        <f>CONCATENATE(T1497,"-",U1497,"-",C1497)</f>
        <v>SP2-D6-42580</v>
      </c>
      <c r="F1497" s="20" t="s">
        <v>106</v>
      </c>
      <c r="G1497" s="20" t="s">
        <v>278</v>
      </c>
      <c r="H1497" s="16"/>
      <c r="I1497" s="16"/>
      <c r="J1497" s="21">
        <v>925</v>
      </c>
      <c r="K1497" s="21"/>
      <c r="L1497" s="16"/>
      <c r="M1497" s="21"/>
      <c r="N1497" s="21"/>
      <c r="O1497" s="21"/>
      <c r="P1497" s="16"/>
      <c r="Q1497" s="16"/>
      <c r="R1497" s="16"/>
      <c r="S1497" s="16"/>
      <c r="T1497" s="16" t="s">
        <v>137</v>
      </c>
      <c r="U1497" s="16" t="s">
        <v>186</v>
      </c>
      <c r="V1497" s="16"/>
      <c r="W1497" s="16"/>
      <c r="X1497" s="16"/>
      <c r="Y1497" s="16"/>
      <c r="Z1497" s="16"/>
      <c r="AA1497" s="16"/>
      <c r="AB1497" s="16"/>
      <c r="AC1497" s="16"/>
      <c r="AD1497" s="16"/>
      <c r="AE1497" s="16"/>
      <c r="AF1497" s="16"/>
      <c r="AG1497" s="16"/>
      <c r="AH1497" s="16"/>
      <c r="AI1497" s="16"/>
      <c r="AJ1497" s="16"/>
      <c r="AK1497" s="16"/>
      <c r="AL1497" s="16"/>
      <c r="AM1497" s="16"/>
      <c r="AN1497" s="16"/>
      <c r="AO1497" s="16"/>
      <c r="AP1497" s="16"/>
      <c r="AQ1497" s="16"/>
      <c r="AR1497" s="16"/>
      <c r="AS1497" s="16"/>
      <c r="AT1497" s="16"/>
      <c r="AU1497" s="16"/>
      <c r="AV1497" s="16"/>
      <c r="AW1497" s="16"/>
      <c r="AX1497" s="16"/>
      <c r="AY1497" s="16"/>
      <c r="AZ1497" s="16"/>
      <c r="BA1497" s="16"/>
      <c r="BB1497" s="16"/>
      <c r="BC1497" s="16"/>
      <c r="BD1497" s="16"/>
      <c r="BE1497" s="16"/>
      <c r="BF1497" s="16"/>
      <c r="BG1497" s="77"/>
      <c r="BH1497" s="16"/>
      <c r="BI1497" s="16"/>
      <c r="BJ1497" s="16"/>
      <c r="BK1497" s="16"/>
      <c r="BL1497" s="16"/>
      <c r="BM1497" s="16"/>
      <c r="BN1497" s="16"/>
      <c r="BO1497" s="16"/>
      <c r="BP1497" s="16"/>
      <c r="BQ1497" s="16"/>
      <c r="BR1497" s="16"/>
      <c r="BS1497" s="16"/>
      <c r="BT1497" s="77"/>
      <c r="BU1497" s="16"/>
      <c r="BV1497" s="16"/>
      <c r="BW1497" s="16"/>
      <c r="BX1497" s="16"/>
      <c r="BY1497" s="16"/>
      <c r="BZ1497" s="16"/>
      <c r="CA1497" s="16"/>
      <c r="CB1497" s="16"/>
      <c r="CC1497" s="16"/>
      <c r="CD1497" s="77"/>
      <c r="CE1497" s="16"/>
      <c r="CF1497" s="16"/>
      <c r="CG1497" s="16"/>
      <c r="CH1497" s="16"/>
      <c r="CI1497" s="16"/>
      <c r="CJ1497" s="16"/>
      <c r="CK1497" s="16"/>
      <c r="CL1497" s="16"/>
      <c r="CM1497" s="16"/>
      <c r="CN1497" s="16"/>
      <c r="CO1497" s="16"/>
      <c r="CP1497" s="16"/>
      <c r="CQ1497" s="16"/>
      <c r="CR1497" s="16"/>
      <c r="CS1497" s="16"/>
      <c r="CT1497" s="16"/>
      <c r="CU1497" s="16"/>
      <c r="CV1497" s="16"/>
      <c r="CW1497" s="16"/>
      <c r="CX1497" s="16"/>
      <c r="CY1497" s="16"/>
      <c r="CZ1497" s="16"/>
      <c r="DA1497" s="16"/>
      <c r="DB1497" s="16"/>
      <c r="DC1497" s="16"/>
      <c r="DD1497" s="16"/>
      <c r="DE1497" s="16"/>
      <c r="DF1497" s="16" t="e">
        <f>VLOOKUP(K1497,'[3]RNA Seq summary tables'!$V$3:$V$99,1,FALSE)</f>
        <v>#N/A</v>
      </c>
      <c r="DG1497" s="16"/>
      <c r="DH1497" s="16"/>
      <c r="DI1497" s="16"/>
      <c r="DJ1497" s="16"/>
      <c r="DK1497" s="16"/>
      <c r="DL1497" s="16"/>
      <c r="DM1497" s="16"/>
      <c r="DN1497" s="16"/>
      <c r="DO1497" s="16"/>
      <c r="DP1497" s="16"/>
      <c r="DQ1497" s="16"/>
      <c r="DR1497" s="16"/>
      <c r="DS1497" s="16"/>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18"/>
      <c r="EQ1497" s="18"/>
      <c r="ER1497" s="18"/>
      <c r="ES1497" s="18"/>
      <c r="ET1497" s="18"/>
      <c r="EU1497" s="18"/>
      <c r="EV1497" s="18"/>
      <c r="EW1497" s="18"/>
      <c r="EX1497" s="18"/>
      <c r="EY1497" s="18"/>
      <c r="EZ1497" s="18"/>
      <c r="FA1497" s="18"/>
      <c r="FB1497" s="18"/>
      <c r="FC1497" s="18"/>
      <c r="FD1497" s="18"/>
      <c r="FE1497" s="18"/>
      <c r="FF1497" s="18"/>
      <c r="FG1497" s="18"/>
      <c r="FH1497" s="18"/>
      <c r="FI1497" s="18"/>
      <c r="FJ1497" s="18"/>
      <c r="FK1497" s="18"/>
      <c r="FL1497" s="18"/>
      <c r="FM1497" s="18"/>
      <c r="FN1497" s="18"/>
      <c r="FO1497" s="18"/>
      <c r="FP1497" s="18"/>
      <c r="FQ1497" s="18"/>
      <c r="FR1497" s="18"/>
      <c r="FS1497" s="18"/>
      <c r="FT1497" s="18"/>
      <c r="FU1497" s="18"/>
      <c r="FV1497" s="18"/>
      <c r="FW1497" s="18"/>
      <c r="FX1497" s="18"/>
      <c r="FY1497" s="18"/>
      <c r="FZ1497" s="18"/>
      <c r="GA1497" s="18"/>
      <c r="GB1497" s="18"/>
      <c r="GC1497" s="18"/>
      <c r="GD1497" s="18"/>
      <c r="GE1497" s="18"/>
      <c r="GF1497" s="18"/>
      <c r="GG1497" s="18"/>
      <c r="GH1497" s="18"/>
      <c r="GI1497" s="18"/>
      <c r="GJ1497" s="18"/>
      <c r="GK1497" s="18"/>
      <c r="GL1497" s="18"/>
      <c r="GM1497" s="18"/>
      <c r="GN1497" s="18"/>
      <c r="GO1497" s="18"/>
      <c r="GP1497" s="18"/>
      <c r="GQ1497" s="18"/>
      <c r="GR1497" s="18"/>
      <c r="GS1497" s="18"/>
      <c r="GT1497" s="18"/>
      <c r="GU1497" s="18"/>
      <c r="GV1497" s="18"/>
      <c r="GW1497" s="18"/>
      <c r="GX1497" s="18"/>
      <c r="GY1497" s="18"/>
      <c r="GZ1497" s="18"/>
      <c r="HA1497" s="18"/>
      <c r="HB1497" s="18"/>
      <c r="HC1497" s="18"/>
      <c r="HD1497" s="18"/>
      <c r="HE1497" s="18"/>
      <c r="HF1497" s="18"/>
      <c r="HG1497" s="18"/>
      <c r="HH1497" s="18"/>
      <c r="HI1497" s="18"/>
      <c r="HJ1497" s="18"/>
      <c r="HK1497" s="18"/>
      <c r="HL1497" s="18"/>
      <c r="HM1497" s="18"/>
      <c r="HN1497" s="18"/>
      <c r="HO1497" s="18"/>
      <c r="HP1497" s="18"/>
      <c r="HQ1497" s="18"/>
      <c r="HR1497" s="18"/>
      <c r="HS1497" s="18"/>
      <c r="HT1497" s="18"/>
      <c r="HU1497" s="18"/>
      <c r="HV1497" s="18"/>
      <c r="HW1497" s="18"/>
      <c r="HX1497" s="18"/>
      <c r="HY1497" s="18"/>
      <c r="HZ1497" s="18"/>
      <c r="IA1497" s="18"/>
      <c r="IB1497" s="18"/>
      <c r="IC1497" s="18"/>
      <c r="ID1497" s="18"/>
      <c r="IE1497" s="18"/>
      <c r="IF1497" s="18"/>
      <c r="IG1497" s="18"/>
      <c r="IH1497" s="18"/>
      <c r="II1497" s="18"/>
      <c r="IJ1497" s="18"/>
      <c r="IK1497" s="18"/>
      <c r="IL1497" s="18"/>
      <c r="IM1497" s="18"/>
      <c r="IN1497" s="18"/>
      <c r="IO1497" s="18"/>
      <c r="IP1497" s="18"/>
      <c r="IQ1497" s="18"/>
      <c r="IR1497" s="18"/>
      <c r="IS1497" s="18"/>
      <c r="IT1497" s="18"/>
      <c r="IU1497" s="18"/>
      <c r="IV1497" s="18"/>
      <c r="IW1497" s="18"/>
      <c r="IX1497" s="18"/>
      <c r="IY1497" s="18"/>
      <c r="IZ1497" s="18"/>
      <c r="JA1497" s="18"/>
      <c r="JB1497" s="18"/>
      <c r="JC1497" s="18"/>
      <c r="JD1497" s="18"/>
      <c r="JE1497" s="18"/>
      <c r="JF1497" s="18"/>
      <c r="JG1497" s="18"/>
      <c r="JH1497" s="18"/>
      <c r="JI1497" s="18"/>
      <c r="JJ1497" s="18"/>
      <c r="JK1497" s="18"/>
      <c r="JL1497" s="18"/>
      <c r="JM1497" s="18"/>
      <c r="JN1497" s="18"/>
      <c r="JO1497" s="16"/>
      <c r="JP1497" s="16"/>
      <c r="JQ1497" s="16"/>
      <c r="JR1497" s="16"/>
      <c r="JS1497" s="16"/>
      <c r="JT1497" s="16"/>
      <c r="JU1497" s="16"/>
      <c r="JV1497" s="16"/>
      <c r="JW1497" s="16"/>
      <c r="JX1497" s="16"/>
      <c r="JY1497" s="16"/>
      <c r="JZ1497" s="16"/>
      <c r="KA1497" s="16"/>
      <c r="KB1497" s="16"/>
    </row>
    <row r="1498" spans="1:288" s="27" customFormat="1" x14ac:dyDescent="0.2">
      <c r="A1498" s="18"/>
      <c r="B1498" s="16">
        <v>2016</v>
      </c>
      <c r="C1498" s="43">
        <v>42581</v>
      </c>
      <c r="D1498" s="43" t="str">
        <f>CONCATENATE(J1498,"-",C1498)</f>
        <v>925-42581</v>
      </c>
      <c r="E1498" s="20" t="str">
        <f>CONCATENATE(T1498,"-",U1498,"-",C1498)</f>
        <v>SP2-D6-42581</v>
      </c>
      <c r="F1498" s="20" t="s">
        <v>106</v>
      </c>
      <c r="G1498" s="43" t="s">
        <v>278</v>
      </c>
      <c r="H1498" s="23"/>
      <c r="I1498" s="23"/>
      <c r="J1498" s="15">
        <v>925</v>
      </c>
      <c r="K1498" s="15"/>
      <c r="L1498" s="23"/>
      <c r="M1498" s="21"/>
      <c r="N1498" s="21"/>
      <c r="O1498" s="21"/>
      <c r="P1498" s="23"/>
      <c r="Q1498" s="23"/>
      <c r="R1498" s="23"/>
      <c r="S1498" s="23"/>
      <c r="T1498" s="23" t="s">
        <v>137</v>
      </c>
      <c r="U1498" s="23" t="s">
        <v>186</v>
      </c>
      <c r="V1498" s="23"/>
      <c r="W1498" s="23"/>
      <c r="X1498" s="23"/>
      <c r="Y1498" s="23"/>
      <c r="Z1498" s="23"/>
      <c r="AA1498" s="23"/>
      <c r="AB1498" s="23"/>
      <c r="AC1498" s="23"/>
      <c r="AD1498" s="23"/>
      <c r="AE1498" s="23"/>
      <c r="AF1498" s="23"/>
      <c r="AG1498" s="23"/>
      <c r="AH1498" s="23"/>
      <c r="AI1498" s="23"/>
      <c r="AJ1498" s="23"/>
      <c r="AK1498" s="23"/>
      <c r="AL1498" s="23"/>
      <c r="AM1498" s="23"/>
      <c r="AN1498" s="23"/>
      <c r="AO1498" s="23"/>
      <c r="AP1498" s="23"/>
      <c r="AQ1498" s="23"/>
      <c r="AR1498" s="23"/>
      <c r="AS1498" s="23"/>
      <c r="AT1498" s="16"/>
      <c r="AU1498" s="16"/>
      <c r="AV1498" s="16"/>
      <c r="AW1498" s="16"/>
      <c r="AX1498" s="16"/>
      <c r="AY1498" s="16"/>
      <c r="AZ1498" s="16"/>
      <c r="BA1498" s="16"/>
      <c r="BB1498" s="16"/>
      <c r="BC1498" s="16"/>
      <c r="BD1498" s="16"/>
      <c r="BE1498" s="16"/>
      <c r="BF1498" s="16"/>
      <c r="BG1498" s="77"/>
      <c r="BH1498" s="16"/>
      <c r="BI1498" s="16"/>
      <c r="BJ1498" s="16"/>
      <c r="BK1498" s="16"/>
      <c r="BL1498" s="16"/>
      <c r="BM1498" s="16"/>
      <c r="BN1498" s="16"/>
      <c r="BO1498" s="16"/>
      <c r="BP1498" s="16"/>
      <c r="BQ1498" s="16"/>
      <c r="BR1498" s="16"/>
      <c r="BS1498" s="16"/>
      <c r="BT1498" s="77"/>
      <c r="BU1498" s="16"/>
      <c r="BV1498" s="16"/>
      <c r="BW1498" s="16"/>
      <c r="BX1498" s="16"/>
      <c r="BY1498" s="16"/>
      <c r="BZ1498" s="16"/>
      <c r="CA1498" s="16"/>
      <c r="CB1498" s="16"/>
      <c r="CC1498" s="16"/>
      <c r="CD1498" s="77"/>
      <c r="CE1498" s="16"/>
      <c r="CF1498" s="16"/>
      <c r="CG1498" s="16"/>
      <c r="CH1498" s="16"/>
      <c r="CI1498" s="16"/>
      <c r="CJ1498" s="16"/>
      <c r="CK1498" s="16"/>
      <c r="CL1498" s="16"/>
      <c r="CM1498" s="16"/>
      <c r="CN1498" s="16"/>
      <c r="CO1498" s="16"/>
      <c r="CP1498" s="16"/>
      <c r="CQ1498" s="16"/>
      <c r="CR1498" s="16"/>
      <c r="CS1498" s="16"/>
      <c r="CT1498" s="16"/>
      <c r="CU1498" s="16"/>
      <c r="CV1498" s="16"/>
      <c r="CW1498" s="16"/>
      <c r="CX1498" s="16"/>
      <c r="CY1498" s="16"/>
      <c r="CZ1498" s="16"/>
      <c r="DA1498" s="16"/>
      <c r="DB1498" s="16"/>
      <c r="DC1498" s="23"/>
      <c r="DD1498" s="23"/>
      <c r="DE1498" s="23"/>
      <c r="DF1498" s="16" t="e">
        <f>VLOOKUP(K1498,'[3]RNA Seq summary tables'!$V$3:$V$99,1,FALSE)</f>
        <v>#N/A</v>
      </c>
      <c r="DG1498" s="23"/>
      <c r="DH1498" s="23"/>
      <c r="DI1498" s="23"/>
      <c r="DJ1498" s="23"/>
      <c r="DK1498" s="23"/>
      <c r="DL1498" s="23"/>
      <c r="DM1498" s="23"/>
      <c r="DN1498" s="23"/>
      <c r="DO1498" s="23"/>
      <c r="DP1498" s="23"/>
      <c r="DQ1498" s="23"/>
      <c r="DR1498" s="23"/>
      <c r="DS1498" s="23"/>
      <c r="DT1498" s="25"/>
      <c r="DU1498" s="25"/>
      <c r="DV1498" s="25"/>
      <c r="DW1498" s="25"/>
      <c r="DX1498" s="25"/>
      <c r="DY1498" s="25"/>
      <c r="DZ1498" s="25"/>
      <c r="EA1498" s="25"/>
      <c r="EB1498" s="25"/>
      <c r="EC1498" s="25"/>
      <c r="ED1498" s="25"/>
      <c r="EE1498" s="25"/>
      <c r="EF1498" s="18"/>
      <c r="EG1498" s="18"/>
      <c r="EH1498" s="18"/>
      <c r="EI1498" s="18"/>
      <c r="EJ1498" s="18"/>
      <c r="EK1498" s="18"/>
      <c r="EL1498" s="18"/>
      <c r="EM1498" s="18"/>
      <c r="EN1498" s="18"/>
      <c r="EO1498" s="18"/>
      <c r="EP1498" s="18"/>
      <c r="EQ1498" s="18"/>
      <c r="ER1498" s="18"/>
      <c r="ES1498" s="18"/>
      <c r="ET1498" s="18"/>
      <c r="EU1498" s="18"/>
      <c r="EV1498" s="18"/>
      <c r="EW1498" s="18"/>
      <c r="EX1498" s="18"/>
      <c r="EY1498" s="18"/>
      <c r="EZ1498" s="18"/>
      <c r="FA1498" s="18"/>
      <c r="FB1498" s="18"/>
      <c r="FC1498" s="18"/>
      <c r="FD1498" s="18"/>
      <c r="FE1498" s="18"/>
      <c r="FF1498" s="18"/>
      <c r="FG1498" s="18"/>
      <c r="FH1498" s="18"/>
      <c r="FI1498" s="18"/>
      <c r="FJ1498" s="18"/>
      <c r="FK1498" s="18"/>
      <c r="FL1498" s="18"/>
      <c r="FM1498" s="18"/>
      <c r="FN1498" s="18"/>
      <c r="FO1498" s="18"/>
      <c r="FP1498" s="18"/>
      <c r="FQ1498" s="18"/>
      <c r="FR1498" s="18"/>
      <c r="FS1498" s="18"/>
      <c r="FT1498" s="18"/>
      <c r="FU1498" s="18"/>
      <c r="FV1498" s="18"/>
      <c r="FW1498" s="18"/>
      <c r="FX1498" s="18"/>
      <c r="FY1498" s="18"/>
      <c r="FZ1498" s="18"/>
      <c r="GA1498" s="18"/>
      <c r="GB1498" s="18"/>
      <c r="GC1498" s="18"/>
      <c r="GD1498" s="18"/>
      <c r="GE1498" s="18"/>
      <c r="GF1498" s="18"/>
      <c r="GG1498" s="18"/>
      <c r="GH1498" s="18"/>
      <c r="GI1498" s="18"/>
      <c r="GJ1498" s="18"/>
      <c r="GK1498" s="18"/>
      <c r="GL1498" s="18"/>
      <c r="GM1498" s="18"/>
      <c r="GN1498" s="18"/>
      <c r="GO1498" s="18"/>
      <c r="GP1498" s="18"/>
      <c r="GQ1498" s="18"/>
      <c r="GR1498" s="18"/>
      <c r="GS1498" s="18"/>
      <c r="GT1498" s="18"/>
      <c r="GU1498" s="18"/>
      <c r="GV1498" s="18"/>
      <c r="GW1498" s="18"/>
      <c r="GX1498" s="18"/>
      <c r="GY1498" s="18"/>
      <c r="GZ1498" s="18"/>
      <c r="HA1498" s="18"/>
      <c r="HB1498" s="18"/>
      <c r="HC1498" s="18"/>
      <c r="HD1498" s="18"/>
      <c r="HE1498" s="18"/>
      <c r="HF1498" s="18"/>
      <c r="HG1498" s="18"/>
      <c r="HH1498" s="18"/>
      <c r="HI1498" s="18"/>
      <c r="HJ1498" s="18"/>
      <c r="HK1498" s="18"/>
      <c r="HL1498" s="18"/>
      <c r="HM1498" s="18"/>
      <c r="HN1498" s="18"/>
      <c r="HO1498" s="18"/>
      <c r="HP1498" s="18"/>
      <c r="HQ1498" s="18"/>
      <c r="HR1498" s="18"/>
      <c r="HS1498" s="18"/>
      <c r="HT1498" s="18"/>
      <c r="HU1498" s="18"/>
      <c r="HV1498" s="18"/>
      <c r="HW1498" s="18"/>
      <c r="HX1498" s="18"/>
      <c r="HY1498" s="18"/>
      <c r="HZ1498" s="18"/>
      <c r="IA1498" s="18"/>
      <c r="IB1498" s="18"/>
      <c r="IC1498" s="18"/>
      <c r="ID1498" s="18"/>
      <c r="IE1498" s="18"/>
      <c r="IF1498" s="18"/>
      <c r="IG1498" s="18"/>
      <c r="IH1498" s="18"/>
      <c r="II1498" s="18"/>
      <c r="IJ1498" s="18"/>
      <c r="IK1498" s="18"/>
      <c r="IL1498" s="18"/>
      <c r="IM1498" s="18"/>
      <c r="IN1498" s="18"/>
      <c r="IO1498" s="18"/>
      <c r="IP1498" s="18"/>
      <c r="IQ1498" s="18"/>
      <c r="IR1498" s="18"/>
      <c r="IS1498" s="18"/>
      <c r="IT1498" s="18"/>
      <c r="IU1498" s="18"/>
      <c r="IV1498" s="18"/>
      <c r="IW1498" s="18"/>
      <c r="IX1498" s="18"/>
      <c r="IY1498" s="18"/>
      <c r="IZ1498" s="18"/>
      <c r="JA1498" s="18"/>
      <c r="JB1498" s="18"/>
      <c r="JC1498" s="18"/>
      <c r="JD1498" s="18"/>
      <c r="JE1498" s="18"/>
      <c r="JF1498" s="18"/>
      <c r="JG1498" s="18"/>
      <c r="JH1498" s="18"/>
      <c r="JI1498" s="18"/>
      <c r="JJ1498" s="18"/>
      <c r="JK1498" s="18"/>
      <c r="JL1498" s="18"/>
      <c r="JM1498" s="18"/>
      <c r="JN1498" s="18"/>
      <c r="JO1498" s="16"/>
      <c r="JP1498" s="16"/>
      <c r="JQ1498" s="16"/>
      <c r="JR1498" s="16"/>
      <c r="JS1498" s="16"/>
      <c r="JT1498" s="16"/>
      <c r="JU1498" s="16"/>
      <c r="JV1498" s="16"/>
      <c r="JW1498" s="16"/>
      <c r="JX1498" s="16"/>
      <c r="JY1498" s="16"/>
      <c r="JZ1498" s="16"/>
      <c r="KA1498" s="16"/>
      <c r="KB1498" s="16"/>
    </row>
    <row r="1499" spans="1:288" s="27" customFormat="1" x14ac:dyDescent="0.2">
      <c r="A1499" s="18"/>
      <c r="B1499" s="16">
        <v>2016</v>
      </c>
      <c r="C1499" s="20">
        <v>42538</v>
      </c>
      <c r="D1499" s="20" t="str">
        <f>CONCATENATE(J1499,"-",C1499)</f>
        <v>926-42538</v>
      </c>
      <c r="E1499" s="20" t="str">
        <f>CONCATENATE(T1499,"-",U1499,"-",C1499)</f>
        <v>SP2-B7-42538</v>
      </c>
      <c r="F1499" s="20" t="s">
        <v>106</v>
      </c>
      <c r="G1499" s="20" t="s">
        <v>278</v>
      </c>
      <c r="H1499" s="16"/>
      <c r="I1499" s="16"/>
      <c r="J1499" s="21">
        <v>926</v>
      </c>
      <c r="K1499" s="21"/>
      <c r="L1499" s="16"/>
      <c r="M1499" s="21"/>
      <c r="N1499" s="21"/>
      <c r="O1499" s="21"/>
      <c r="P1499" s="16"/>
      <c r="Q1499" s="16"/>
      <c r="R1499" s="16"/>
      <c r="S1499" s="16"/>
      <c r="T1499" s="16" t="s">
        <v>137</v>
      </c>
      <c r="U1499" s="16" t="s">
        <v>168</v>
      </c>
      <c r="V1499" s="16" t="s">
        <v>114</v>
      </c>
      <c r="W1499" s="16"/>
      <c r="X1499" s="16" t="s">
        <v>121</v>
      </c>
      <c r="Y1499" s="16" t="s">
        <v>110</v>
      </c>
      <c r="Z1499" s="16">
        <v>3</v>
      </c>
      <c r="AA1499" s="16" t="s">
        <v>119</v>
      </c>
      <c r="AB1499" s="16" t="s">
        <v>116</v>
      </c>
      <c r="AC1499" s="16" t="s">
        <v>123</v>
      </c>
      <c r="AD1499" s="16" t="s">
        <v>116</v>
      </c>
      <c r="AE1499" s="16"/>
      <c r="AF1499" s="16"/>
      <c r="AG1499" s="16"/>
      <c r="AH1499" s="16"/>
      <c r="AI1499" s="16"/>
      <c r="AJ1499" s="16"/>
      <c r="AK1499" s="16">
        <v>25.5</v>
      </c>
      <c r="AL1499" s="16">
        <v>0</v>
      </c>
      <c r="AM1499" s="16">
        <v>1</v>
      </c>
      <c r="AN1499" s="16">
        <v>0</v>
      </c>
      <c r="AO1499" s="16">
        <f>IF(SUM(AL1499:AN1499)&gt;0,1,0)</f>
        <v>1</v>
      </c>
      <c r="AP1499" s="16">
        <f>SUM(AL1499:AN1499)</f>
        <v>1</v>
      </c>
      <c r="AQ1499" s="16"/>
      <c r="AR1499" s="16"/>
      <c r="AS1499" s="16"/>
      <c r="AT1499" s="16"/>
      <c r="AU1499" s="16"/>
      <c r="AV1499" s="16"/>
      <c r="AW1499" s="16"/>
      <c r="AX1499" s="16"/>
      <c r="AY1499" s="16"/>
      <c r="AZ1499" s="16"/>
      <c r="BA1499" s="16"/>
      <c r="BB1499" s="16"/>
      <c r="BC1499" s="16"/>
      <c r="BD1499" s="16"/>
      <c r="BE1499" s="16"/>
      <c r="BF1499" s="16"/>
      <c r="BG1499" s="77"/>
      <c r="BH1499" s="16"/>
      <c r="BI1499" s="16"/>
      <c r="BJ1499" s="16"/>
      <c r="BK1499" s="16"/>
      <c r="BL1499" s="16"/>
      <c r="BM1499" s="16"/>
      <c r="BN1499" s="16"/>
      <c r="BO1499" s="16"/>
      <c r="BP1499" s="16"/>
      <c r="BQ1499" s="16"/>
      <c r="BR1499" s="16"/>
      <c r="BS1499" s="16"/>
      <c r="BT1499" s="77"/>
      <c r="BU1499" s="16"/>
      <c r="BV1499" s="16"/>
      <c r="BW1499" s="16"/>
      <c r="BX1499" s="16"/>
      <c r="BY1499" s="16"/>
      <c r="BZ1499" s="16"/>
      <c r="CA1499" s="16"/>
      <c r="CB1499" s="16"/>
      <c r="CC1499" s="16"/>
      <c r="CD1499" s="77"/>
      <c r="CE1499" s="16"/>
      <c r="CF1499" s="16"/>
      <c r="CG1499" s="16"/>
      <c r="CH1499" s="16"/>
      <c r="CI1499" s="16"/>
      <c r="CJ1499" s="16"/>
      <c r="CK1499" s="16"/>
      <c r="CL1499" s="16"/>
      <c r="CM1499" s="16"/>
      <c r="CN1499" s="16"/>
      <c r="CO1499" s="16"/>
      <c r="CP1499" s="16"/>
      <c r="CQ1499" s="16"/>
      <c r="CR1499" s="16"/>
      <c r="CS1499" s="16"/>
      <c r="CT1499" s="16"/>
      <c r="CU1499" s="16"/>
      <c r="CV1499" s="16"/>
      <c r="CW1499" s="16"/>
      <c r="CX1499" s="16"/>
      <c r="CY1499" s="16"/>
      <c r="CZ1499" s="16"/>
      <c r="DA1499" s="16"/>
      <c r="DB1499" s="16"/>
      <c r="DC1499" s="16"/>
      <c r="DD1499" s="16"/>
      <c r="DE1499" s="16"/>
      <c r="DF1499" s="16" t="e">
        <f>VLOOKUP(K1499,'[3]RNA Seq summary tables'!$V$3:$V$99,1,FALSE)</f>
        <v>#N/A</v>
      </c>
      <c r="DG1499" s="16"/>
      <c r="DH1499" s="16"/>
      <c r="DI1499" s="16"/>
      <c r="DJ1499" s="16"/>
      <c r="DK1499" s="16"/>
      <c r="DL1499" s="16"/>
      <c r="DM1499" s="16"/>
      <c r="DN1499" s="16"/>
      <c r="DO1499" s="16"/>
      <c r="DP1499" s="16"/>
      <c r="DQ1499" s="16"/>
      <c r="DR1499" s="16"/>
      <c r="DS1499" s="16"/>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18"/>
      <c r="EQ1499" s="18"/>
      <c r="ER1499" s="18"/>
      <c r="ES1499" s="18"/>
      <c r="ET1499" s="18"/>
      <c r="EU1499" s="18"/>
      <c r="EV1499" s="18"/>
      <c r="EW1499" s="18"/>
      <c r="EX1499" s="18"/>
      <c r="EY1499" s="18"/>
      <c r="EZ1499" s="18"/>
      <c r="FA1499" s="18"/>
      <c r="FB1499" s="18"/>
      <c r="FC1499" s="18"/>
      <c r="FD1499" s="18"/>
      <c r="FE1499" s="18"/>
      <c r="FF1499" s="18"/>
      <c r="FG1499" s="18"/>
      <c r="FH1499" s="18"/>
      <c r="FI1499" s="18"/>
      <c r="FJ1499" s="18"/>
      <c r="FK1499" s="18"/>
      <c r="FL1499" s="18"/>
      <c r="FM1499" s="18"/>
      <c r="FN1499" s="18"/>
      <c r="FO1499" s="18"/>
      <c r="FP1499" s="18"/>
      <c r="FQ1499" s="18"/>
      <c r="FR1499" s="18"/>
      <c r="FS1499" s="18"/>
      <c r="FT1499" s="18"/>
      <c r="FU1499" s="18"/>
      <c r="FV1499" s="18"/>
      <c r="FW1499" s="18"/>
      <c r="FX1499" s="18"/>
      <c r="FY1499" s="18"/>
      <c r="FZ1499" s="18"/>
      <c r="GA1499" s="18"/>
      <c r="GB1499" s="18"/>
      <c r="GC1499" s="18"/>
      <c r="GD1499" s="18"/>
      <c r="GE1499" s="18"/>
      <c r="GF1499" s="18"/>
      <c r="GG1499" s="18"/>
      <c r="GH1499" s="18"/>
      <c r="GI1499" s="18"/>
      <c r="GJ1499" s="18"/>
      <c r="GK1499" s="18"/>
      <c r="GL1499" s="18"/>
      <c r="GM1499" s="18"/>
      <c r="GN1499" s="18"/>
      <c r="GO1499" s="18"/>
      <c r="GP1499" s="18"/>
      <c r="GQ1499" s="18"/>
      <c r="GR1499" s="18"/>
      <c r="GS1499" s="18"/>
      <c r="GT1499" s="18"/>
      <c r="GU1499" s="18"/>
      <c r="GV1499" s="18"/>
      <c r="GW1499" s="18"/>
      <c r="GX1499" s="18"/>
      <c r="GY1499" s="18"/>
      <c r="GZ1499" s="18"/>
      <c r="HA1499" s="18"/>
      <c r="HB1499" s="18"/>
      <c r="HC1499" s="18"/>
      <c r="HD1499" s="18"/>
      <c r="HE1499" s="18"/>
      <c r="HF1499" s="18"/>
      <c r="HG1499" s="18"/>
      <c r="HH1499" s="18"/>
      <c r="HI1499" s="18"/>
      <c r="HJ1499" s="18"/>
      <c r="HK1499" s="18"/>
      <c r="HL1499" s="18"/>
      <c r="HM1499" s="18"/>
      <c r="HN1499" s="18"/>
      <c r="HO1499" s="18"/>
      <c r="HP1499" s="18"/>
      <c r="HQ1499" s="18"/>
      <c r="HR1499" s="18"/>
      <c r="HS1499" s="18"/>
      <c r="HT1499" s="18"/>
      <c r="HU1499" s="18"/>
      <c r="HV1499" s="18"/>
      <c r="HW1499" s="18"/>
      <c r="HX1499" s="18"/>
      <c r="HY1499" s="18"/>
      <c r="HZ1499" s="18"/>
      <c r="IA1499" s="18"/>
      <c r="IB1499" s="18"/>
      <c r="IC1499" s="18"/>
      <c r="ID1499" s="18"/>
      <c r="IE1499" s="18"/>
      <c r="IF1499" s="18"/>
      <c r="IG1499" s="18"/>
      <c r="IH1499" s="18"/>
      <c r="II1499" s="18"/>
      <c r="IJ1499" s="18"/>
      <c r="IK1499" s="18"/>
      <c r="IL1499" s="18"/>
      <c r="IM1499" s="18"/>
      <c r="IN1499" s="18"/>
      <c r="IO1499" s="18"/>
      <c r="IP1499" s="18"/>
      <c r="IQ1499" s="18"/>
      <c r="IR1499" s="18"/>
      <c r="IS1499" s="18"/>
      <c r="IT1499" s="18"/>
      <c r="IU1499" s="18"/>
      <c r="IV1499" s="18"/>
      <c r="IW1499" s="18"/>
      <c r="IX1499" s="18"/>
      <c r="IY1499" s="18"/>
      <c r="IZ1499" s="18"/>
      <c r="JA1499" s="18"/>
      <c r="JB1499" s="18"/>
      <c r="JC1499" s="18"/>
      <c r="JD1499" s="18"/>
      <c r="JE1499" s="18"/>
      <c r="JF1499" s="18"/>
      <c r="JG1499" s="18"/>
      <c r="JH1499" s="18"/>
      <c r="JI1499" s="18"/>
      <c r="JJ1499" s="18"/>
      <c r="JK1499" s="18"/>
      <c r="JL1499" s="18"/>
      <c r="JM1499" s="18"/>
      <c r="JN1499" s="18"/>
      <c r="JO1499" s="16"/>
      <c r="JP1499" s="16"/>
      <c r="JQ1499" s="16"/>
      <c r="JR1499" s="38"/>
      <c r="JS1499" s="38"/>
      <c r="JT1499" s="38"/>
      <c r="JU1499" s="38"/>
      <c r="JV1499" s="38"/>
      <c r="JW1499" s="38"/>
      <c r="JX1499" s="38"/>
      <c r="JY1499" s="38"/>
      <c r="JZ1499" s="38"/>
      <c r="KA1499" s="38"/>
      <c r="KB1499" s="38"/>
    </row>
    <row r="1500" spans="1:288" s="27" customFormat="1" x14ac:dyDescent="0.2">
      <c r="A1500" s="18"/>
      <c r="B1500" s="16">
        <v>2016</v>
      </c>
      <c r="C1500" s="20">
        <v>42539</v>
      </c>
      <c r="D1500" s="20" t="str">
        <f>CONCATENATE(J1500,"-",C1500)</f>
        <v>926-42539</v>
      </c>
      <c r="E1500" s="20" t="str">
        <f>CONCATENATE(T1500,"-",U1500,"-",C1500)</f>
        <v>SP2-B6-42539</v>
      </c>
      <c r="F1500" s="20" t="s">
        <v>106</v>
      </c>
      <c r="G1500" s="20" t="s">
        <v>278</v>
      </c>
      <c r="H1500" s="16"/>
      <c r="I1500" s="16"/>
      <c r="J1500" s="21">
        <v>926</v>
      </c>
      <c r="K1500" s="21"/>
      <c r="L1500" s="16"/>
      <c r="M1500" s="21"/>
      <c r="N1500" s="21"/>
      <c r="O1500" s="21"/>
      <c r="P1500" s="16"/>
      <c r="Q1500" s="16"/>
      <c r="R1500" s="16"/>
      <c r="S1500" s="16"/>
      <c r="T1500" s="16" t="s">
        <v>137</v>
      </c>
      <c r="U1500" s="16" t="s">
        <v>132</v>
      </c>
      <c r="V1500" s="16"/>
      <c r="W1500" s="16"/>
      <c r="X1500" s="16" t="s">
        <v>121</v>
      </c>
      <c r="Y1500" s="16" t="s">
        <v>110</v>
      </c>
      <c r="Z1500" s="16">
        <v>3</v>
      </c>
      <c r="AA1500" s="16" t="s">
        <v>119</v>
      </c>
      <c r="AB1500" s="16" t="s">
        <v>116</v>
      </c>
      <c r="AC1500" s="16" t="s">
        <v>123</v>
      </c>
      <c r="AD1500" s="16" t="s">
        <v>116</v>
      </c>
      <c r="AE1500" s="16"/>
      <c r="AF1500" s="16"/>
      <c r="AG1500" s="16"/>
      <c r="AH1500" s="16"/>
      <c r="AI1500" s="16"/>
      <c r="AJ1500" s="16"/>
      <c r="AK1500" s="16">
        <v>26</v>
      </c>
      <c r="AL1500" s="16">
        <v>0</v>
      </c>
      <c r="AM1500" s="16">
        <v>1</v>
      </c>
      <c r="AN1500" s="16">
        <v>0</v>
      </c>
      <c r="AO1500" s="16">
        <f>IF(SUM(AL1500:AN1500)&gt;0,1,0)</f>
        <v>1</v>
      </c>
      <c r="AP1500" s="16">
        <f>SUM(AL1500:AN1500)</f>
        <v>1</v>
      </c>
      <c r="AQ1500" s="16"/>
      <c r="AR1500" s="16"/>
      <c r="AS1500" s="16"/>
      <c r="AT1500" s="16"/>
      <c r="AU1500" s="16"/>
      <c r="AV1500" s="16"/>
      <c r="AW1500" s="16"/>
      <c r="AX1500" s="16"/>
      <c r="AY1500" s="16"/>
      <c r="AZ1500" s="16"/>
      <c r="BA1500" s="16"/>
      <c r="BB1500" s="16"/>
      <c r="BC1500" s="16"/>
      <c r="BD1500" s="16"/>
      <c r="BE1500" s="16"/>
      <c r="BF1500" s="16"/>
      <c r="BG1500" s="77"/>
      <c r="BH1500" s="16"/>
      <c r="BI1500" s="16"/>
      <c r="BJ1500" s="16"/>
      <c r="BK1500" s="16"/>
      <c r="BL1500" s="16"/>
      <c r="BM1500" s="16"/>
      <c r="BN1500" s="16"/>
      <c r="BO1500" s="16"/>
      <c r="BP1500" s="16"/>
      <c r="BQ1500" s="16"/>
      <c r="BR1500" s="16"/>
      <c r="BS1500" s="16"/>
      <c r="BT1500" s="77"/>
      <c r="BU1500" s="16"/>
      <c r="BV1500" s="16"/>
      <c r="BW1500" s="16"/>
      <c r="BX1500" s="16"/>
      <c r="BY1500" s="16"/>
      <c r="BZ1500" s="16"/>
      <c r="CA1500" s="16"/>
      <c r="CB1500" s="16"/>
      <c r="CC1500" s="16"/>
      <c r="CD1500" s="77"/>
      <c r="CE1500" s="16"/>
      <c r="CF1500" s="16"/>
      <c r="CG1500" s="16"/>
      <c r="CH1500" s="16"/>
      <c r="CI1500" s="16"/>
      <c r="CJ1500" s="16"/>
      <c r="CK1500" s="16"/>
      <c r="CL1500" s="16"/>
      <c r="CM1500" s="16"/>
      <c r="CN1500" s="16"/>
      <c r="CO1500" s="16"/>
      <c r="CP1500" s="16"/>
      <c r="CQ1500" s="16"/>
      <c r="CR1500" s="16"/>
      <c r="CS1500" s="16"/>
      <c r="CT1500" s="16"/>
      <c r="CU1500" s="16"/>
      <c r="CV1500" s="16"/>
      <c r="CW1500" s="16"/>
      <c r="CX1500" s="16"/>
      <c r="CY1500" s="16"/>
      <c r="CZ1500" s="16"/>
      <c r="DA1500" s="16"/>
      <c r="DB1500" s="16"/>
      <c r="DC1500" s="16"/>
      <c r="DD1500" s="16"/>
      <c r="DE1500" s="16"/>
      <c r="DF1500" s="16" t="e">
        <f>VLOOKUP(K1500,'[3]RNA Seq summary tables'!$V$3:$V$99,1,FALSE)</f>
        <v>#N/A</v>
      </c>
      <c r="DG1500" s="16"/>
      <c r="DH1500" s="16"/>
      <c r="DI1500" s="16"/>
      <c r="DJ1500" s="16"/>
      <c r="DK1500" s="16"/>
      <c r="DL1500" s="16"/>
      <c r="DM1500" s="16"/>
      <c r="DN1500" s="16"/>
      <c r="DO1500" s="16"/>
      <c r="DP1500" s="16"/>
      <c r="DQ1500" s="16"/>
      <c r="DR1500" s="16"/>
      <c r="DS1500" s="16"/>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18"/>
      <c r="EQ1500" s="18"/>
      <c r="ER1500" s="18"/>
      <c r="ES1500" s="18"/>
      <c r="ET1500" s="18"/>
      <c r="EU1500" s="18"/>
      <c r="EV1500" s="18"/>
      <c r="EW1500" s="18"/>
      <c r="EX1500" s="18"/>
      <c r="EY1500" s="18"/>
      <c r="EZ1500" s="18"/>
      <c r="FA1500" s="18"/>
      <c r="FB1500" s="18"/>
      <c r="FC1500" s="18"/>
      <c r="FD1500" s="18"/>
      <c r="FE1500" s="18"/>
      <c r="FF1500" s="18"/>
      <c r="FG1500" s="18"/>
      <c r="FH1500" s="18"/>
      <c r="FI1500" s="18"/>
      <c r="FJ1500" s="18"/>
      <c r="FK1500" s="18"/>
      <c r="FL1500" s="18"/>
      <c r="FM1500" s="18"/>
      <c r="FN1500" s="18"/>
      <c r="FO1500" s="18"/>
      <c r="FP1500" s="18"/>
      <c r="FQ1500" s="18"/>
      <c r="FR1500" s="18"/>
      <c r="FS1500" s="18"/>
      <c r="FT1500" s="18"/>
      <c r="FU1500" s="18"/>
      <c r="FV1500" s="18"/>
      <c r="FW1500" s="18"/>
      <c r="FX1500" s="18"/>
      <c r="FY1500" s="18"/>
      <c r="FZ1500" s="18"/>
      <c r="GA1500" s="18"/>
      <c r="GB1500" s="18"/>
      <c r="GC1500" s="18"/>
      <c r="GD1500" s="18"/>
      <c r="GE1500" s="18"/>
      <c r="GF1500" s="18"/>
      <c r="GG1500" s="18"/>
      <c r="GH1500" s="18"/>
      <c r="GI1500" s="18"/>
      <c r="GJ1500" s="18"/>
      <c r="GK1500" s="18"/>
      <c r="GL1500" s="18"/>
      <c r="GM1500" s="18"/>
      <c r="GN1500" s="18"/>
      <c r="GO1500" s="18"/>
      <c r="GP1500" s="18"/>
      <c r="GQ1500" s="18"/>
      <c r="GR1500" s="18"/>
      <c r="GS1500" s="18"/>
      <c r="GT1500" s="18"/>
      <c r="GU1500" s="18"/>
      <c r="GV1500" s="18"/>
      <c r="GW1500" s="18"/>
      <c r="GX1500" s="18"/>
      <c r="GY1500" s="18"/>
      <c r="GZ1500" s="18"/>
      <c r="HA1500" s="18"/>
      <c r="HB1500" s="18"/>
      <c r="HC1500" s="18"/>
      <c r="HD1500" s="18"/>
      <c r="HE1500" s="18"/>
      <c r="HF1500" s="18"/>
      <c r="HG1500" s="18"/>
      <c r="HH1500" s="18"/>
      <c r="HI1500" s="18"/>
      <c r="HJ1500" s="18"/>
      <c r="HK1500" s="18"/>
      <c r="HL1500" s="18"/>
      <c r="HM1500" s="18"/>
      <c r="HN1500" s="18"/>
      <c r="HO1500" s="18"/>
      <c r="HP1500" s="18"/>
      <c r="HQ1500" s="18"/>
      <c r="HR1500" s="18"/>
      <c r="HS1500" s="18"/>
      <c r="HT1500" s="18"/>
      <c r="HU1500" s="18"/>
      <c r="HV1500" s="18"/>
      <c r="HW1500" s="18"/>
      <c r="HX1500" s="18"/>
      <c r="HY1500" s="18"/>
      <c r="HZ1500" s="18"/>
      <c r="IA1500" s="18"/>
      <c r="IB1500" s="18"/>
      <c r="IC1500" s="18"/>
      <c r="ID1500" s="18"/>
      <c r="IE1500" s="18"/>
      <c r="IF1500" s="18"/>
      <c r="IG1500" s="18"/>
      <c r="IH1500" s="18"/>
      <c r="II1500" s="18"/>
      <c r="IJ1500" s="18"/>
      <c r="IK1500" s="18"/>
      <c r="IL1500" s="18"/>
      <c r="IM1500" s="18"/>
      <c r="IN1500" s="18"/>
      <c r="IO1500" s="18"/>
      <c r="IP1500" s="18"/>
      <c r="IQ1500" s="18"/>
      <c r="IR1500" s="18"/>
      <c r="IS1500" s="18"/>
      <c r="IT1500" s="18"/>
      <c r="IU1500" s="18"/>
      <c r="IV1500" s="18"/>
      <c r="IW1500" s="18"/>
      <c r="IX1500" s="18"/>
      <c r="IY1500" s="18"/>
      <c r="IZ1500" s="18"/>
      <c r="JA1500" s="18"/>
      <c r="JB1500" s="18"/>
      <c r="JC1500" s="18"/>
      <c r="JD1500" s="18"/>
      <c r="JE1500" s="18"/>
      <c r="JF1500" s="18"/>
      <c r="JG1500" s="18"/>
      <c r="JH1500" s="18"/>
      <c r="JI1500" s="18"/>
      <c r="JJ1500" s="18"/>
      <c r="JK1500" s="18"/>
      <c r="JL1500" s="18"/>
      <c r="JM1500" s="18"/>
      <c r="JN1500" s="18"/>
      <c r="JO1500" s="16"/>
      <c r="JP1500" s="16"/>
      <c r="JQ1500" s="16"/>
      <c r="JR1500" s="38"/>
      <c r="JS1500" s="38"/>
      <c r="JT1500" s="38"/>
      <c r="JU1500" s="38"/>
      <c r="JV1500" s="38"/>
      <c r="JW1500" s="38"/>
      <c r="JX1500" s="38"/>
      <c r="JY1500" s="38"/>
      <c r="JZ1500" s="38"/>
      <c r="KA1500" s="38"/>
      <c r="KB1500" s="38"/>
    </row>
    <row r="1501" spans="1:288" s="27" customFormat="1" x14ac:dyDescent="0.2">
      <c r="A1501" s="18"/>
      <c r="B1501" s="16">
        <v>2016</v>
      </c>
      <c r="C1501" s="20">
        <v>42553</v>
      </c>
      <c r="D1501" s="20" t="str">
        <f>CONCATENATE(J1501,"-",C1501)</f>
        <v>926-42553</v>
      </c>
      <c r="E1501" s="20" t="str">
        <f>CONCATENATE(T1501,"-",U1501,"-",C1501)</f>
        <v>SP2-B7-42553</v>
      </c>
      <c r="F1501" s="20" t="s">
        <v>106</v>
      </c>
      <c r="G1501" s="20" t="s">
        <v>278</v>
      </c>
      <c r="H1501" s="16"/>
      <c r="I1501" s="16"/>
      <c r="J1501" s="21">
        <v>926</v>
      </c>
      <c r="K1501" s="21"/>
      <c r="L1501" s="16"/>
      <c r="M1501" s="21"/>
      <c r="N1501" s="21"/>
      <c r="O1501" s="21"/>
      <c r="P1501" s="16"/>
      <c r="Q1501" s="16"/>
      <c r="R1501" s="16"/>
      <c r="S1501" s="16"/>
      <c r="T1501" s="16" t="s">
        <v>137</v>
      </c>
      <c r="U1501" s="16" t="s">
        <v>168</v>
      </c>
      <c r="V1501" s="16"/>
      <c r="W1501" s="16"/>
      <c r="X1501" s="16"/>
      <c r="Y1501" s="16"/>
      <c r="Z1501" s="16"/>
      <c r="AA1501" s="16"/>
      <c r="AB1501" s="16"/>
      <c r="AC1501" s="16"/>
      <c r="AD1501" s="16"/>
      <c r="AE1501" s="16"/>
      <c r="AF1501" s="16"/>
      <c r="AG1501" s="16"/>
      <c r="AH1501" s="16"/>
      <c r="AI1501" s="16"/>
      <c r="AJ1501" s="16"/>
      <c r="AK1501" s="16"/>
      <c r="AL1501" s="16"/>
      <c r="AM1501" s="16"/>
      <c r="AN1501" s="16"/>
      <c r="AO1501" s="16"/>
      <c r="AP1501" s="16"/>
      <c r="AQ1501" s="16"/>
      <c r="AR1501" s="16"/>
      <c r="AS1501" s="16"/>
      <c r="AT1501" s="16"/>
      <c r="AU1501" s="16"/>
      <c r="AV1501" s="16"/>
      <c r="AW1501" s="16"/>
      <c r="AX1501" s="16"/>
      <c r="AY1501" s="16"/>
      <c r="AZ1501" s="16"/>
      <c r="BA1501" s="16"/>
      <c r="BB1501" s="16"/>
      <c r="BC1501" s="16"/>
      <c r="BD1501" s="16"/>
      <c r="BE1501" s="16"/>
      <c r="BF1501" s="16"/>
      <c r="BG1501" s="77"/>
      <c r="BH1501" s="16"/>
      <c r="BI1501" s="16"/>
      <c r="BJ1501" s="16"/>
      <c r="BK1501" s="16"/>
      <c r="BL1501" s="16"/>
      <c r="BM1501" s="16"/>
      <c r="BN1501" s="16"/>
      <c r="BO1501" s="16"/>
      <c r="BP1501" s="16"/>
      <c r="BQ1501" s="16"/>
      <c r="BR1501" s="16"/>
      <c r="BS1501" s="16"/>
      <c r="BT1501" s="77"/>
      <c r="BU1501" s="16"/>
      <c r="BV1501" s="16"/>
      <c r="BW1501" s="16"/>
      <c r="BX1501" s="16"/>
      <c r="BY1501" s="16"/>
      <c r="BZ1501" s="16"/>
      <c r="CA1501" s="16"/>
      <c r="CB1501" s="16"/>
      <c r="CC1501" s="16"/>
      <c r="CD1501" s="77"/>
      <c r="CE1501" s="16"/>
      <c r="CF1501" s="16"/>
      <c r="CG1501" s="16"/>
      <c r="CH1501" s="16"/>
      <c r="CI1501" s="16"/>
      <c r="CJ1501" s="16"/>
      <c r="CK1501" s="16"/>
      <c r="CL1501" s="16"/>
      <c r="CM1501" s="16"/>
      <c r="CN1501" s="16"/>
      <c r="CO1501" s="16"/>
      <c r="CP1501" s="16"/>
      <c r="CQ1501" s="16"/>
      <c r="CR1501" s="16"/>
      <c r="CS1501" s="16"/>
      <c r="CT1501" s="16"/>
      <c r="CU1501" s="16"/>
      <c r="CV1501" s="16"/>
      <c r="CW1501" s="16"/>
      <c r="CX1501" s="16"/>
      <c r="CY1501" s="16"/>
      <c r="CZ1501" s="16"/>
      <c r="DA1501" s="16"/>
      <c r="DB1501" s="16"/>
      <c r="DC1501" s="16"/>
      <c r="DD1501" s="16"/>
      <c r="DE1501" s="16"/>
      <c r="DF1501" s="16" t="e">
        <f>VLOOKUP(K1501,'[3]RNA Seq summary tables'!$V$3:$V$99,1,FALSE)</f>
        <v>#N/A</v>
      </c>
      <c r="DG1501" s="16"/>
      <c r="DH1501" s="16"/>
      <c r="DI1501" s="16"/>
      <c r="DJ1501" s="16"/>
      <c r="DK1501" s="16"/>
      <c r="DL1501" s="16"/>
      <c r="DM1501" s="16"/>
      <c r="DN1501" s="16"/>
      <c r="DO1501" s="16"/>
      <c r="DP1501" s="16"/>
      <c r="DQ1501" s="16"/>
      <c r="DR1501" s="16"/>
      <c r="DS1501" s="16"/>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18"/>
      <c r="EQ1501" s="18"/>
      <c r="ER1501" s="18"/>
      <c r="ES1501" s="18"/>
      <c r="ET1501" s="18"/>
      <c r="EU1501" s="18"/>
      <c r="EV1501" s="18"/>
      <c r="EW1501" s="18"/>
      <c r="EX1501" s="18"/>
      <c r="EY1501" s="18"/>
      <c r="EZ1501" s="18"/>
      <c r="FA1501" s="18"/>
      <c r="FB1501" s="18"/>
      <c r="FC1501" s="18"/>
      <c r="FD1501" s="18"/>
      <c r="FE1501" s="18"/>
      <c r="FF1501" s="18"/>
      <c r="FG1501" s="18"/>
      <c r="FH1501" s="18"/>
      <c r="FI1501" s="18"/>
      <c r="FJ1501" s="18"/>
      <c r="FK1501" s="18"/>
      <c r="FL1501" s="18"/>
      <c r="FM1501" s="18"/>
      <c r="FN1501" s="18"/>
      <c r="FO1501" s="18"/>
      <c r="FP1501" s="18"/>
      <c r="FQ1501" s="18"/>
      <c r="FR1501" s="18"/>
      <c r="FS1501" s="18"/>
      <c r="FT1501" s="18"/>
      <c r="FU1501" s="18"/>
      <c r="FV1501" s="18"/>
      <c r="FW1501" s="18"/>
      <c r="FX1501" s="18"/>
      <c r="FY1501" s="18"/>
      <c r="FZ1501" s="18"/>
      <c r="GA1501" s="18"/>
      <c r="GB1501" s="18"/>
      <c r="GC1501" s="18"/>
      <c r="GD1501" s="18"/>
      <c r="GE1501" s="18"/>
      <c r="GF1501" s="18"/>
      <c r="GG1501" s="18"/>
      <c r="GH1501" s="18"/>
      <c r="GI1501" s="18"/>
      <c r="GJ1501" s="18"/>
      <c r="GK1501" s="18"/>
      <c r="GL1501" s="18"/>
      <c r="GM1501" s="18"/>
      <c r="GN1501" s="18"/>
      <c r="GO1501" s="18"/>
      <c r="GP1501" s="18"/>
      <c r="GQ1501" s="18"/>
      <c r="GR1501" s="18"/>
      <c r="GS1501" s="18"/>
      <c r="GT1501" s="18"/>
      <c r="GU1501" s="18"/>
      <c r="GV1501" s="18"/>
      <c r="GW1501" s="18"/>
      <c r="GX1501" s="18"/>
      <c r="GY1501" s="18"/>
      <c r="GZ1501" s="18"/>
      <c r="HA1501" s="18"/>
      <c r="HB1501" s="18"/>
      <c r="HC1501" s="18"/>
      <c r="HD1501" s="18"/>
      <c r="HE1501" s="18"/>
      <c r="HF1501" s="18"/>
      <c r="HG1501" s="18"/>
      <c r="HH1501" s="18"/>
      <c r="HI1501" s="18"/>
      <c r="HJ1501" s="18"/>
      <c r="HK1501" s="18"/>
      <c r="HL1501" s="18"/>
      <c r="HM1501" s="18"/>
      <c r="HN1501" s="18"/>
      <c r="HO1501" s="18"/>
      <c r="HP1501" s="18"/>
      <c r="HQ1501" s="18"/>
      <c r="HR1501" s="18"/>
      <c r="HS1501" s="18"/>
      <c r="HT1501" s="18"/>
      <c r="HU1501" s="18"/>
      <c r="HV1501" s="18"/>
      <c r="HW1501" s="18"/>
      <c r="HX1501" s="18"/>
      <c r="HY1501" s="18"/>
      <c r="HZ1501" s="18"/>
      <c r="IA1501" s="18"/>
      <c r="IB1501" s="18"/>
      <c r="IC1501" s="18"/>
      <c r="ID1501" s="18"/>
      <c r="IE1501" s="18"/>
      <c r="IF1501" s="18"/>
      <c r="IG1501" s="18"/>
      <c r="IH1501" s="18"/>
      <c r="II1501" s="18"/>
      <c r="IJ1501" s="18"/>
      <c r="IK1501" s="18"/>
      <c r="IL1501" s="18"/>
      <c r="IM1501" s="18"/>
      <c r="IN1501" s="18"/>
      <c r="IO1501" s="18"/>
      <c r="IP1501" s="18"/>
      <c r="IQ1501" s="18"/>
      <c r="IR1501" s="18"/>
      <c r="IS1501" s="18"/>
      <c r="IT1501" s="18"/>
      <c r="IU1501" s="18"/>
      <c r="IV1501" s="18"/>
      <c r="IW1501" s="18"/>
      <c r="IX1501" s="18"/>
      <c r="IY1501" s="18"/>
      <c r="IZ1501" s="18"/>
      <c r="JA1501" s="18"/>
      <c r="JB1501" s="18"/>
      <c r="JC1501" s="18"/>
      <c r="JD1501" s="18"/>
      <c r="JE1501" s="18"/>
      <c r="JF1501" s="18"/>
      <c r="JG1501" s="18"/>
      <c r="JH1501" s="18"/>
      <c r="JI1501" s="18"/>
      <c r="JJ1501" s="18"/>
      <c r="JK1501" s="18"/>
      <c r="JL1501" s="18"/>
      <c r="JM1501" s="18"/>
      <c r="JN1501" s="18"/>
      <c r="JP1501" s="16"/>
      <c r="JQ1501" s="16"/>
      <c r="JR1501" s="16"/>
      <c r="JS1501" s="16"/>
      <c r="JT1501" s="16"/>
      <c r="JU1501" s="16"/>
      <c r="JV1501" s="16"/>
      <c r="JW1501" s="16"/>
      <c r="JX1501" s="16"/>
      <c r="JY1501" s="16"/>
      <c r="JZ1501" s="16"/>
      <c r="KA1501" s="16"/>
      <c r="KB1501" s="16"/>
    </row>
    <row r="1502" spans="1:288" s="27" customFormat="1" x14ac:dyDescent="0.2">
      <c r="A1502" s="18"/>
      <c r="B1502" s="16">
        <v>2016</v>
      </c>
      <c r="C1502" s="20">
        <v>42538</v>
      </c>
      <c r="D1502" s="20" t="str">
        <f>CONCATENATE(J1502,"-",C1502)</f>
        <v>927-42538</v>
      </c>
      <c r="E1502" s="20" t="str">
        <f>CONCATENATE(T1502,"-",U1502,"-",C1502)</f>
        <v>SP1-G3-42538</v>
      </c>
      <c r="F1502" s="20" t="s">
        <v>106</v>
      </c>
      <c r="G1502" s="20" t="s">
        <v>278</v>
      </c>
      <c r="H1502" s="16"/>
      <c r="I1502" s="16"/>
      <c r="J1502" s="21">
        <v>927</v>
      </c>
      <c r="K1502" s="21"/>
      <c r="L1502" s="16"/>
      <c r="M1502" s="21"/>
      <c r="N1502" s="21"/>
      <c r="O1502" s="21"/>
      <c r="P1502" s="16"/>
      <c r="Q1502" s="16"/>
      <c r="R1502" s="16"/>
      <c r="S1502" s="16"/>
      <c r="T1502" s="16" t="s">
        <v>140</v>
      </c>
      <c r="U1502" s="16" t="s">
        <v>179</v>
      </c>
      <c r="V1502" s="16" t="s">
        <v>114</v>
      </c>
      <c r="W1502" s="16"/>
      <c r="X1502" s="16" t="s">
        <v>115</v>
      </c>
      <c r="Y1502" s="16" t="s">
        <v>110</v>
      </c>
      <c r="Z1502" s="16">
        <v>3</v>
      </c>
      <c r="AA1502" s="16"/>
      <c r="AB1502" s="16"/>
      <c r="AC1502" s="16"/>
      <c r="AD1502" s="16"/>
      <c r="AE1502" s="16" t="s">
        <v>123</v>
      </c>
      <c r="AF1502" s="16" t="s">
        <v>123</v>
      </c>
      <c r="AG1502" s="16"/>
      <c r="AH1502" s="16"/>
      <c r="AI1502" s="16"/>
      <c r="AJ1502" s="16"/>
      <c r="AK1502" s="16">
        <v>19</v>
      </c>
      <c r="AL1502" s="16">
        <v>0</v>
      </c>
      <c r="AM1502" s="16">
        <v>0</v>
      </c>
      <c r="AN1502" s="16">
        <v>0</v>
      </c>
      <c r="AO1502" s="16">
        <f>IF(SUM(AL1502:AN1502)&gt;0,1,0)</f>
        <v>0</v>
      </c>
      <c r="AP1502" s="16">
        <f>SUM(AL1502:AN1502)</f>
        <v>0</v>
      </c>
      <c r="AQ1502" s="16"/>
      <c r="AR1502" s="16"/>
      <c r="AS1502" s="16"/>
      <c r="AT1502" s="16"/>
      <c r="AU1502" s="16"/>
      <c r="AV1502" s="16"/>
      <c r="AW1502" s="16"/>
      <c r="AX1502" s="16"/>
      <c r="AY1502" s="16"/>
      <c r="AZ1502" s="16"/>
      <c r="BA1502" s="16"/>
      <c r="BB1502" s="16"/>
      <c r="BC1502" s="16"/>
      <c r="BD1502" s="16"/>
      <c r="BE1502" s="16"/>
      <c r="BF1502" s="16"/>
      <c r="BG1502" s="77"/>
      <c r="BH1502" s="16"/>
      <c r="BI1502" s="16"/>
      <c r="BJ1502" s="16"/>
      <c r="BK1502" s="16"/>
      <c r="BL1502" s="16"/>
      <c r="BM1502" s="16"/>
      <c r="BN1502" s="16"/>
      <c r="BO1502" s="16"/>
      <c r="BP1502" s="16"/>
      <c r="BQ1502" s="16"/>
      <c r="BR1502" s="16"/>
      <c r="BS1502" s="16"/>
      <c r="BT1502" s="77"/>
      <c r="BU1502" s="16"/>
      <c r="BV1502" s="16"/>
      <c r="BW1502" s="16"/>
      <c r="BX1502" s="16"/>
      <c r="BY1502" s="16"/>
      <c r="BZ1502" s="16"/>
      <c r="CA1502" s="16"/>
      <c r="CB1502" s="16"/>
      <c r="CC1502" s="16"/>
      <c r="CD1502" s="77"/>
      <c r="CE1502" s="16"/>
      <c r="CF1502" s="16"/>
      <c r="CG1502" s="16"/>
      <c r="CH1502" s="16"/>
      <c r="CI1502" s="16"/>
      <c r="CJ1502" s="16"/>
      <c r="CK1502" s="16"/>
      <c r="CL1502" s="16"/>
      <c r="CM1502" s="16"/>
      <c r="CN1502" s="16"/>
      <c r="CO1502" s="16"/>
      <c r="CP1502" s="16"/>
      <c r="CQ1502" s="16"/>
      <c r="CR1502" s="16"/>
      <c r="CS1502" s="16"/>
      <c r="CT1502" s="16"/>
      <c r="CU1502" s="16"/>
      <c r="CV1502" s="16"/>
      <c r="CW1502" s="16"/>
      <c r="CX1502" s="16"/>
      <c r="CY1502" s="16"/>
      <c r="CZ1502" s="16"/>
      <c r="DA1502" s="16"/>
      <c r="DB1502" s="16"/>
      <c r="DC1502" s="16"/>
      <c r="DD1502" s="16"/>
      <c r="DE1502" s="16"/>
      <c r="DF1502" s="16" t="e">
        <f>VLOOKUP(K1502,'[3]RNA Seq summary tables'!$V$3:$V$99,1,FALSE)</f>
        <v>#N/A</v>
      </c>
      <c r="DG1502" s="16"/>
      <c r="DH1502" s="16"/>
      <c r="DI1502" s="16"/>
      <c r="DJ1502" s="16"/>
      <c r="DK1502" s="16"/>
      <c r="DL1502" s="16"/>
      <c r="DM1502" s="16"/>
      <c r="DN1502" s="16"/>
      <c r="DO1502" s="16"/>
      <c r="DP1502" s="16"/>
      <c r="DQ1502" s="16"/>
      <c r="DR1502" s="16"/>
      <c r="DS1502" s="16"/>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18"/>
      <c r="EQ1502" s="18"/>
      <c r="ER1502" s="18"/>
      <c r="ES1502" s="18"/>
      <c r="ET1502" s="18"/>
      <c r="EU1502" s="18"/>
      <c r="EV1502" s="18"/>
      <c r="EW1502" s="18"/>
      <c r="EX1502" s="18"/>
      <c r="EY1502" s="18"/>
      <c r="EZ1502" s="18"/>
      <c r="FA1502" s="18"/>
      <c r="FB1502" s="18"/>
      <c r="FC1502" s="18"/>
      <c r="FD1502" s="18"/>
      <c r="FE1502" s="18"/>
      <c r="FF1502" s="18"/>
      <c r="FG1502" s="18"/>
      <c r="FH1502" s="18"/>
      <c r="FI1502" s="18"/>
      <c r="FJ1502" s="18"/>
      <c r="FK1502" s="18"/>
      <c r="FL1502" s="18"/>
      <c r="FM1502" s="18"/>
      <c r="FN1502" s="18"/>
      <c r="FO1502" s="18"/>
      <c r="FP1502" s="18"/>
      <c r="FQ1502" s="18"/>
      <c r="FR1502" s="18"/>
      <c r="FS1502" s="18"/>
      <c r="FT1502" s="18"/>
      <c r="FU1502" s="18"/>
      <c r="FV1502" s="18"/>
      <c r="FW1502" s="18"/>
      <c r="FX1502" s="18"/>
      <c r="FY1502" s="18"/>
      <c r="FZ1502" s="18"/>
      <c r="GA1502" s="18"/>
      <c r="GB1502" s="18"/>
      <c r="GC1502" s="18"/>
      <c r="GD1502" s="18"/>
      <c r="GE1502" s="18"/>
      <c r="GF1502" s="18"/>
      <c r="GG1502" s="18"/>
      <c r="GH1502" s="18"/>
      <c r="GI1502" s="18"/>
      <c r="GJ1502" s="18"/>
      <c r="GK1502" s="18"/>
      <c r="GL1502" s="18"/>
      <c r="GM1502" s="18"/>
      <c r="GN1502" s="18"/>
      <c r="GO1502" s="18"/>
      <c r="GP1502" s="18"/>
      <c r="GQ1502" s="18"/>
      <c r="GR1502" s="18"/>
      <c r="GS1502" s="18"/>
      <c r="GT1502" s="18"/>
      <c r="GU1502" s="18"/>
      <c r="GV1502" s="18"/>
      <c r="GW1502" s="18"/>
      <c r="GX1502" s="18"/>
      <c r="GY1502" s="18"/>
      <c r="GZ1502" s="18"/>
      <c r="HA1502" s="18"/>
      <c r="HB1502" s="18"/>
      <c r="HC1502" s="18"/>
      <c r="HD1502" s="18"/>
      <c r="HE1502" s="18"/>
      <c r="HF1502" s="18"/>
      <c r="HG1502" s="18"/>
      <c r="HH1502" s="18"/>
      <c r="HI1502" s="18"/>
      <c r="HJ1502" s="18"/>
      <c r="HK1502" s="18"/>
      <c r="HL1502" s="18"/>
      <c r="HM1502" s="18"/>
      <c r="HN1502" s="18"/>
      <c r="HO1502" s="18"/>
      <c r="HP1502" s="18"/>
      <c r="HQ1502" s="18"/>
      <c r="HR1502" s="18"/>
      <c r="HS1502" s="18"/>
      <c r="HT1502" s="18"/>
      <c r="HU1502" s="18"/>
      <c r="HV1502" s="18"/>
      <c r="HW1502" s="18"/>
      <c r="HX1502" s="18"/>
      <c r="HY1502" s="18"/>
      <c r="HZ1502" s="18"/>
      <c r="IA1502" s="18"/>
      <c r="IB1502" s="18"/>
      <c r="IC1502" s="18"/>
      <c r="ID1502" s="18"/>
      <c r="IE1502" s="18"/>
      <c r="IF1502" s="18"/>
      <c r="IG1502" s="18"/>
      <c r="IH1502" s="18"/>
      <c r="II1502" s="18"/>
      <c r="IJ1502" s="18"/>
      <c r="IK1502" s="18"/>
      <c r="IL1502" s="18"/>
      <c r="IM1502" s="18"/>
      <c r="IN1502" s="18"/>
      <c r="IO1502" s="18"/>
      <c r="IP1502" s="18"/>
      <c r="IQ1502" s="18"/>
      <c r="IR1502" s="18"/>
      <c r="IS1502" s="18"/>
      <c r="IT1502" s="18"/>
      <c r="IU1502" s="18"/>
      <c r="IV1502" s="18"/>
      <c r="IW1502" s="18"/>
      <c r="IX1502" s="18"/>
      <c r="IY1502" s="18"/>
      <c r="IZ1502" s="18"/>
      <c r="JA1502" s="18"/>
      <c r="JB1502" s="18"/>
      <c r="JC1502" s="18"/>
      <c r="JD1502" s="18"/>
      <c r="JE1502" s="18"/>
      <c r="JF1502" s="18"/>
      <c r="JG1502" s="18"/>
      <c r="JH1502" s="18"/>
      <c r="JI1502" s="18"/>
      <c r="JJ1502" s="18"/>
      <c r="JK1502" s="18"/>
      <c r="JL1502" s="18"/>
      <c r="JM1502" s="18"/>
      <c r="JN1502" s="18"/>
      <c r="JO1502" s="16"/>
      <c r="JP1502" s="16"/>
      <c r="JQ1502" s="16"/>
      <c r="JR1502" s="38"/>
      <c r="JS1502" s="38"/>
      <c r="JT1502" s="38"/>
      <c r="JU1502" s="38"/>
      <c r="JV1502" s="38"/>
      <c r="JW1502" s="38"/>
      <c r="JX1502" s="38"/>
      <c r="JY1502" s="38"/>
      <c r="JZ1502" s="38"/>
      <c r="KA1502" s="38"/>
      <c r="KB1502" s="38"/>
    </row>
    <row r="1503" spans="1:288" s="27" customFormat="1" x14ac:dyDescent="0.2">
      <c r="A1503" s="18"/>
      <c r="B1503" s="16">
        <v>2016</v>
      </c>
      <c r="C1503" s="20">
        <v>42539</v>
      </c>
      <c r="D1503" s="20" t="str">
        <f>CONCATENATE(J1503,"-",C1503)</f>
        <v>927-42539</v>
      </c>
      <c r="E1503" s="20" t="str">
        <f>CONCATENATE(T1503,"-",U1503,"-",C1503)</f>
        <v>SP1-H4-42539</v>
      </c>
      <c r="F1503" s="20" t="s">
        <v>106</v>
      </c>
      <c r="G1503" s="20" t="s">
        <v>278</v>
      </c>
      <c r="H1503" s="16"/>
      <c r="I1503" s="16"/>
      <c r="J1503" s="21">
        <v>927</v>
      </c>
      <c r="K1503" s="21"/>
      <c r="L1503" s="16"/>
      <c r="M1503" s="21"/>
      <c r="N1503" s="21"/>
      <c r="O1503" s="21"/>
      <c r="P1503" s="16"/>
      <c r="Q1503" s="16"/>
      <c r="R1503" s="16"/>
      <c r="S1503" s="16"/>
      <c r="T1503" s="16" t="s">
        <v>140</v>
      </c>
      <c r="U1503" s="16" t="s">
        <v>151</v>
      </c>
      <c r="V1503" s="16" t="s">
        <v>114</v>
      </c>
      <c r="W1503" s="16"/>
      <c r="X1503" s="16" t="s">
        <v>115</v>
      </c>
      <c r="Y1503" s="16" t="s">
        <v>110</v>
      </c>
      <c r="Z1503" s="16">
        <v>3</v>
      </c>
      <c r="AA1503" s="16"/>
      <c r="AB1503" s="16"/>
      <c r="AC1503" s="16"/>
      <c r="AD1503" s="16"/>
      <c r="AE1503" s="16" t="s">
        <v>123</v>
      </c>
      <c r="AF1503" s="16" t="s">
        <v>123</v>
      </c>
      <c r="AG1503" s="16"/>
      <c r="AH1503" s="16"/>
      <c r="AI1503" s="16"/>
      <c r="AJ1503" s="16"/>
      <c r="AK1503" s="16">
        <v>20</v>
      </c>
      <c r="AL1503" s="16">
        <v>0</v>
      </c>
      <c r="AM1503" s="16">
        <v>1</v>
      </c>
      <c r="AN1503" s="16">
        <v>0</v>
      </c>
      <c r="AO1503" s="16">
        <f>IF(SUM(AL1503:AN1503)&gt;0,1,0)</f>
        <v>1</v>
      </c>
      <c r="AP1503" s="16">
        <f>SUM(AL1503:AN1503)</f>
        <v>1</v>
      </c>
      <c r="AQ1503" s="16"/>
      <c r="AR1503" s="16"/>
      <c r="AS1503" s="16"/>
      <c r="AT1503" s="16"/>
      <c r="AU1503" s="16"/>
      <c r="AV1503" s="16"/>
      <c r="AW1503" s="16"/>
      <c r="AX1503" s="16"/>
      <c r="AY1503" s="16"/>
      <c r="AZ1503" s="16"/>
      <c r="BA1503" s="16"/>
      <c r="BB1503" s="16"/>
      <c r="BC1503" s="16"/>
      <c r="BD1503" s="16"/>
      <c r="BE1503" s="16"/>
      <c r="BF1503" s="16"/>
      <c r="BG1503" s="77"/>
      <c r="BH1503" s="16"/>
      <c r="BI1503" s="16"/>
      <c r="BJ1503" s="16"/>
      <c r="BK1503" s="16"/>
      <c r="BL1503" s="16"/>
      <c r="BM1503" s="16"/>
      <c r="BN1503" s="16"/>
      <c r="BO1503" s="16"/>
      <c r="BP1503" s="16"/>
      <c r="BQ1503" s="16"/>
      <c r="BR1503" s="16"/>
      <c r="BS1503" s="16"/>
      <c r="BT1503" s="77"/>
      <c r="BU1503" s="16"/>
      <c r="BV1503" s="16"/>
      <c r="BW1503" s="16"/>
      <c r="BX1503" s="16"/>
      <c r="BY1503" s="16"/>
      <c r="BZ1503" s="16"/>
      <c r="CA1503" s="16"/>
      <c r="CB1503" s="16"/>
      <c r="CC1503" s="16"/>
      <c r="CD1503" s="77"/>
      <c r="CE1503" s="16"/>
      <c r="CF1503" s="16"/>
      <c r="CG1503" s="16"/>
      <c r="CH1503" s="16"/>
      <c r="CI1503" s="16"/>
      <c r="CJ1503" s="16"/>
      <c r="CK1503" s="16"/>
      <c r="CL1503" s="16"/>
      <c r="CM1503" s="16"/>
      <c r="CN1503" s="16"/>
      <c r="CO1503" s="16"/>
      <c r="CP1503" s="16"/>
      <c r="CQ1503" s="16"/>
      <c r="CR1503" s="16"/>
      <c r="CS1503" s="16"/>
      <c r="CT1503" s="16"/>
      <c r="CU1503" s="16"/>
      <c r="CV1503" s="16"/>
      <c r="CW1503" s="16"/>
      <c r="CX1503" s="16"/>
      <c r="CY1503" s="16"/>
      <c r="CZ1503" s="16"/>
      <c r="DA1503" s="16"/>
      <c r="DB1503" s="16"/>
      <c r="DC1503" s="16"/>
      <c r="DD1503" s="16"/>
      <c r="DE1503" s="16"/>
      <c r="DF1503" s="16" t="e">
        <f>VLOOKUP(K1503,'[3]RNA Seq summary tables'!$V$3:$V$99,1,FALSE)</f>
        <v>#N/A</v>
      </c>
      <c r="DG1503" s="16"/>
      <c r="DH1503" s="16"/>
      <c r="DI1503" s="16"/>
      <c r="DJ1503" s="16"/>
      <c r="DK1503" s="16"/>
      <c r="DL1503" s="16"/>
      <c r="DM1503" s="16"/>
      <c r="DN1503" s="16"/>
      <c r="DO1503" s="16"/>
      <c r="DP1503" s="16"/>
      <c r="DQ1503" s="16"/>
      <c r="DR1503" s="16"/>
      <c r="DS1503" s="16"/>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18"/>
      <c r="EQ1503" s="18"/>
      <c r="ER1503" s="18"/>
      <c r="ES1503" s="18"/>
      <c r="ET1503" s="18"/>
      <c r="EU1503" s="18"/>
      <c r="EV1503" s="18"/>
      <c r="EW1503" s="18"/>
      <c r="EX1503" s="18"/>
      <c r="EY1503" s="18"/>
      <c r="EZ1503" s="18"/>
      <c r="FA1503" s="18"/>
      <c r="FB1503" s="18"/>
      <c r="FC1503" s="18"/>
      <c r="FD1503" s="18"/>
      <c r="FE1503" s="18"/>
      <c r="FF1503" s="18"/>
      <c r="FG1503" s="18"/>
      <c r="FH1503" s="18"/>
      <c r="FI1503" s="18"/>
      <c r="FJ1503" s="18"/>
      <c r="FK1503" s="18"/>
      <c r="FL1503" s="18"/>
      <c r="FM1503" s="18"/>
      <c r="FN1503" s="18"/>
      <c r="FO1503" s="18"/>
      <c r="FP1503" s="18"/>
      <c r="FQ1503" s="18"/>
      <c r="FR1503" s="18"/>
      <c r="FS1503" s="18"/>
      <c r="FT1503" s="18"/>
      <c r="FU1503" s="18"/>
      <c r="FV1503" s="18"/>
      <c r="FW1503" s="18"/>
      <c r="FX1503" s="18"/>
      <c r="FY1503" s="18"/>
      <c r="FZ1503" s="18"/>
      <c r="GA1503" s="18"/>
      <c r="GB1503" s="18"/>
      <c r="GC1503" s="18"/>
      <c r="GD1503" s="18"/>
      <c r="GE1503" s="18"/>
      <c r="GF1503" s="18"/>
      <c r="GG1503" s="18"/>
      <c r="GH1503" s="18"/>
      <c r="GI1503" s="18"/>
      <c r="GJ1503" s="18"/>
      <c r="GK1503" s="18"/>
      <c r="GL1503" s="18"/>
      <c r="GM1503" s="18"/>
      <c r="GN1503" s="18"/>
      <c r="GO1503" s="18"/>
      <c r="GP1503" s="18"/>
      <c r="GQ1503" s="18"/>
      <c r="GR1503" s="18"/>
      <c r="GS1503" s="18"/>
      <c r="GT1503" s="18"/>
      <c r="GU1503" s="18"/>
      <c r="GV1503" s="18"/>
      <c r="GW1503" s="18"/>
      <c r="GX1503" s="18"/>
      <c r="GY1503" s="18"/>
      <c r="GZ1503" s="18"/>
      <c r="HA1503" s="18"/>
      <c r="HB1503" s="18"/>
      <c r="HC1503" s="18"/>
      <c r="HD1503" s="18"/>
      <c r="HE1503" s="18"/>
      <c r="HF1503" s="18"/>
      <c r="HG1503" s="18"/>
      <c r="HH1503" s="18"/>
      <c r="HI1503" s="18"/>
      <c r="HJ1503" s="18"/>
      <c r="HK1503" s="18"/>
      <c r="HL1503" s="18"/>
      <c r="HM1503" s="18"/>
      <c r="HN1503" s="18"/>
      <c r="HO1503" s="18"/>
      <c r="HP1503" s="18"/>
      <c r="HQ1503" s="18"/>
      <c r="HR1503" s="18"/>
      <c r="HS1503" s="18"/>
      <c r="HT1503" s="18"/>
      <c r="HU1503" s="18"/>
      <c r="HV1503" s="18"/>
      <c r="HW1503" s="18"/>
      <c r="HX1503" s="18"/>
      <c r="HY1503" s="18"/>
      <c r="HZ1503" s="18"/>
      <c r="IA1503" s="18"/>
      <c r="IB1503" s="18"/>
      <c r="IC1503" s="18"/>
      <c r="ID1503" s="18"/>
      <c r="IE1503" s="18"/>
      <c r="IF1503" s="18"/>
      <c r="IG1503" s="18"/>
      <c r="IH1503" s="18"/>
      <c r="II1503" s="18"/>
      <c r="IJ1503" s="18"/>
      <c r="IK1503" s="18"/>
      <c r="IL1503" s="18"/>
      <c r="IM1503" s="18"/>
      <c r="IN1503" s="18"/>
      <c r="IO1503" s="18"/>
      <c r="IP1503" s="18"/>
      <c r="IQ1503" s="18"/>
      <c r="IR1503" s="18"/>
      <c r="IS1503" s="18"/>
      <c r="IT1503" s="18"/>
      <c r="IU1503" s="18"/>
      <c r="IV1503" s="18"/>
      <c r="IW1503" s="18"/>
      <c r="IX1503" s="18"/>
      <c r="IY1503" s="18"/>
      <c r="IZ1503" s="18"/>
      <c r="JA1503" s="18"/>
      <c r="JB1503" s="18"/>
      <c r="JC1503" s="18"/>
      <c r="JD1503" s="18"/>
      <c r="JE1503" s="18"/>
      <c r="JF1503" s="18"/>
      <c r="JG1503" s="18"/>
      <c r="JH1503" s="18"/>
      <c r="JI1503" s="18"/>
      <c r="JJ1503" s="18"/>
      <c r="JK1503" s="18"/>
      <c r="JL1503" s="18"/>
      <c r="JM1503" s="18"/>
      <c r="JN1503" s="18"/>
      <c r="JO1503" s="16"/>
      <c r="JP1503" s="16"/>
      <c r="JQ1503" s="16"/>
      <c r="JR1503" s="38"/>
      <c r="JS1503" s="38"/>
      <c r="JT1503" s="38"/>
      <c r="JU1503" s="38"/>
      <c r="JV1503" s="38"/>
      <c r="JW1503" s="38"/>
      <c r="JX1503" s="38"/>
      <c r="JY1503" s="38"/>
      <c r="JZ1503" s="38"/>
      <c r="KA1503" s="38"/>
      <c r="KB1503" s="38"/>
    </row>
    <row r="1504" spans="1:288" s="27" customFormat="1" x14ac:dyDescent="0.2">
      <c r="A1504" s="18"/>
      <c r="B1504" s="16">
        <v>2016</v>
      </c>
      <c r="C1504" s="20">
        <v>42552</v>
      </c>
      <c r="D1504" s="20" t="str">
        <f>CONCATENATE(J1504,"-",C1504)</f>
        <v>929-42552</v>
      </c>
      <c r="E1504" s="20" t="str">
        <f>CONCATENATE(T1504,"-",U1504,"-",C1504)</f>
        <v>SP1-E7-42552</v>
      </c>
      <c r="F1504" s="20" t="s">
        <v>106</v>
      </c>
      <c r="G1504" s="20" t="s">
        <v>278</v>
      </c>
      <c r="H1504" s="16"/>
      <c r="I1504" s="16"/>
      <c r="J1504" s="21">
        <v>929</v>
      </c>
      <c r="K1504" s="21"/>
      <c r="L1504" s="16"/>
      <c r="M1504" s="21"/>
      <c r="N1504" s="21"/>
      <c r="O1504" s="21"/>
      <c r="P1504" s="16"/>
      <c r="Q1504" s="16"/>
      <c r="R1504" s="16"/>
      <c r="S1504" s="16"/>
      <c r="T1504" s="16" t="s">
        <v>140</v>
      </c>
      <c r="U1504" s="16" t="s">
        <v>135</v>
      </c>
      <c r="V1504" s="16" t="s">
        <v>142</v>
      </c>
      <c r="W1504" s="16"/>
      <c r="X1504" s="16" t="s">
        <v>121</v>
      </c>
      <c r="Y1504" s="16"/>
      <c r="Z1504" s="16"/>
      <c r="AA1504" s="16"/>
      <c r="AB1504" s="16"/>
      <c r="AC1504" s="16"/>
      <c r="AD1504" s="16"/>
      <c r="AE1504" s="16"/>
      <c r="AF1504" s="16"/>
      <c r="AG1504" s="16"/>
      <c r="AH1504" s="16"/>
      <c r="AI1504" s="16"/>
      <c r="AJ1504" s="16"/>
      <c r="AK1504" s="16">
        <v>17.5</v>
      </c>
      <c r="AL1504" s="16"/>
      <c r="AM1504" s="16"/>
      <c r="AN1504" s="16"/>
      <c r="AO1504" s="16"/>
      <c r="AP1504" s="16"/>
      <c r="AQ1504" s="16"/>
      <c r="AR1504" s="16"/>
      <c r="AS1504" s="16"/>
      <c r="AT1504" s="16"/>
      <c r="AU1504" s="16"/>
      <c r="AV1504" s="16"/>
      <c r="AW1504" s="16"/>
      <c r="AX1504" s="16"/>
      <c r="AY1504" s="16"/>
      <c r="AZ1504" s="16"/>
      <c r="BA1504" s="16"/>
      <c r="BB1504" s="16"/>
      <c r="BC1504" s="16"/>
      <c r="BD1504" s="16"/>
      <c r="BE1504" s="16"/>
      <c r="BF1504" s="16"/>
      <c r="BG1504" s="77"/>
      <c r="BH1504" s="16"/>
      <c r="BI1504" s="16"/>
      <c r="BJ1504" s="16"/>
      <c r="BK1504" s="16"/>
      <c r="BL1504" s="16"/>
      <c r="BM1504" s="16"/>
      <c r="BN1504" s="16"/>
      <c r="BO1504" s="16"/>
      <c r="BP1504" s="16"/>
      <c r="BQ1504" s="16"/>
      <c r="BR1504" s="16"/>
      <c r="BS1504" s="16"/>
      <c r="BT1504" s="77"/>
      <c r="BU1504" s="16"/>
      <c r="BV1504" s="16"/>
      <c r="BW1504" s="16"/>
      <c r="BX1504" s="16"/>
      <c r="BY1504" s="16"/>
      <c r="BZ1504" s="16"/>
      <c r="CA1504" s="16"/>
      <c r="CB1504" s="16"/>
      <c r="CC1504" s="16"/>
      <c r="CD1504" s="77"/>
      <c r="CE1504" s="16"/>
      <c r="CF1504" s="16"/>
      <c r="CG1504" s="16"/>
      <c r="CH1504" s="16"/>
      <c r="CI1504" s="16"/>
      <c r="CJ1504" s="16"/>
      <c r="CK1504" s="16"/>
      <c r="CL1504" s="16"/>
      <c r="CM1504" s="16"/>
      <c r="CN1504" s="16"/>
      <c r="CO1504" s="16"/>
      <c r="CP1504" s="16"/>
      <c r="CQ1504" s="16"/>
      <c r="CR1504" s="16"/>
      <c r="CS1504" s="16"/>
      <c r="CT1504" s="16"/>
      <c r="CU1504" s="16"/>
      <c r="CV1504" s="16"/>
      <c r="CW1504" s="16"/>
      <c r="CX1504" s="16"/>
      <c r="CY1504" s="16"/>
      <c r="CZ1504" s="16"/>
      <c r="DA1504" s="16"/>
      <c r="DB1504" s="16"/>
      <c r="DC1504" s="16"/>
      <c r="DD1504" s="16"/>
      <c r="DE1504" s="16"/>
      <c r="DF1504" s="16" t="e">
        <f>VLOOKUP(K1504,'[3]RNA Seq summary tables'!$V$3:$V$99,1,FALSE)</f>
        <v>#N/A</v>
      </c>
      <c r="DG1504" s="16"/>
      <c r="DH1504" s="16"/>
      <c r="DI1504" s="16"/>
      <c r="DJ1504" s="16"/>
      <c r="DK1504" s="16"/>
      <c r="DL1504" s="16"/>
      <c r="DM1504" s="16"/>
      <c r="DN1504" s="16"/>
      <c r="DO1504" s="16"/>
      <c r="DP1504" s="16"/>
      <c r="DQ1504" s="16"/>
      <c r="DR1504" s="16"/>
      <c r="DS1504" s="16"/>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18"/>
      <c r="EQ1504" s="18"/>
      <c r="ER1504" s="18"/>
      <c r="ES1504" s="18"/>
      <c r="ET1504" s="18"/>
      <c r="EU1504" s="18"/>
      <c r="EV1504" s="18"/>
      <c r="EW1504" s="18"/>
      <c r="EX1504" s="18"/>
      <c r="EY1504" s="18"/>
      <c r="EZ1504" s="18"/>
      <c r="FA1504" s="18"/>
      <c r="FB1504" s="18"/>
      <c r="FC1504" s="18"/>
      <c r="FD1504" s="18"/>
      <c r="FE1504" s="18"/>
      <c r="FF1504" s="18"/>
      <c r="FG1504" s="18"/>
      <c r="FH1504" s="18"/>
      <c r="FI1504" s="18"/>
      <c r="FJ1504" s="18"/>
      <c r="FK1504" s="18"/>
      <c r="FL1504" s="18"/>
      <c r="FM1504" s="18"/>
      <c r="FN1504" s="18"/>
      <c r="FO1504" s="18"/>
      <c r="FP1504" s="18"/>
      <c r="FQ1504" s="18"/>
      <c r="FR1504" s="18"/>
      <c r="FS1504" s="18"/>
      <c r="FT1504" s="18"/>
      <c r="FU1504" s="18"/>
      <c r="FV1504" s="18"/>
      <c r="FW1504" s="18"/>
      <c r="FX1504" s="18"/>
      <c r="FY1504" s="18"/>
      <c r="FZ1504" s="18"/>
      <c r="GA1504" s="18"/>
      <c r="GB1504" s="18"/>
      <c r="GC1504" s="18"/>
      <c r="GD1504" s="18"/>
      <c r="GE1504" s="18"/>
      <c r="GF1504" s="18"/>
      <c r="GG1504" s="18"/>
      <c r="GH1504" s="18"/>
      <c r="GI1504" s="18"/>
      <c r="GJ1504" s="18"/>
      <c r="GK1504" s="18"/>
      <c r="GL1504" s="18"/>
      <c r="GM1504" s="18"/>
      <c r="GN1504" s="18"/>
      <c r="GO1504" s="18"/>
      <c r="GP1504" s="18"/>
      <c r="GQ1504" s="18"/>
      <c r="GR1504" s="18"/>
      <c r="GS1504" s="18"/>
      <c r="GT1504" s="18"/>
      <c r="GU1504" s="18"/>
      <c r="GV1504" s="18"/>
      <c r="GW1504" s="18"/>
      <c r="GX1504" s="18"/>
      <c r="GY1504" s="18"/>
      <c r="GZ1504" s="18"/>
      <c r="HA1504" s="18"/>
      <c r="HB1504" s="18"/>
      <c r="HC1504" s="18"/>
      <c r="HD1504" s="18"/>
      <c r="HE1504" s="18"/>
      <c r="HF1504" s="18"/>
      <c r="HG1504" s="18"/>
      <c r="HH1504" s="18"/>
      <c r="HI1504" s="18"/>
      <c r="HJ1504" s="18"/>
      <c r="HK1504" s="18"/>
      <c r="HL1504" s="18"/>
      <c r="HM1504" s="18"/>
      <c r="HN1504" s="18"/>
      <c r="HO1504" s="18"/>
      <c r="HP1504" s="18"/>
      <c r="HQ1504" s="18"/>
      <c r="HR1504" s="18"/>
      <c r="HS1504" s="18"/>
      <c r="HT1504" s="18"/>
      <c r="HU1504" s="18"/>
      <c r="HV1504" s="18"/>
      <c r="HW1504" s="18"/>
      <c r="HX1504" s="18"/>
      <c r="HY1504" s="18"/>
      <c r="HZ1504" s="18"/>
      <c r="IA1504" s="18"/>
      <c r="IB1504" s="18"/>
      <c r="IC1504" s="18"/>
      <c r="ID1504" s="18"/>
      <c r="IE1504" s="18"/>
      <c r="IF1504" s="18"/>
      <c r="IG1504" s="18"/>
      <c r="IH1504" s="18"/>
      <c r="II1504" s="18"/>
      <c r="IJ1504" s="18"/>
      <c r="IK1504" s="18"/>
      <c r="IL1504" s="18"/>
      <c r="IM1504" s="18"/>
      <c r="IN1504" s="18"/>
      <c r="IO1504" s="18"/>
      <c r="IP1504" s="18"/>
      <c r="IQ1504" s="18"/>
      <c r="IR1504" s="18"/>
      <c r="IS1504" s="18"/>
      <c r="IT1504" s="18"/>
      <c r="IU1504" s="18"/>
      <c r="IV1504" s="18"/>
      <c r="IW1504" s="18"/>
      <c r="IX1504" s="18"/>
      <c r="IY1504" s="18"/>
      <c r="IZ1504" s="18"/>
      <c r="JA1504" s="18"/>
      <c r="JB1504" s="18"/>
      <c r="JC1504" s="18"/>
      <c r="JD1504" s="18"/>
      <c r="JE1504" s="18"/>
      <c r="JF1504" s="18"/>
      <c r="JG1504" s="18"/>
      <c r="JH1504" s="18"/>
      <c r="JI1504" s="18"/>
      <c r="JJ1504" s="18"/>
      <c r="JK1504" s="18"/>
      <c r="JL1504" s="18"/>
      <c r="JM1504" s="18"/>
      <c r="JN1504" s="18"/>
      <c r="JO1504" s="16"/>
      <c r="JP1504" s="16"/>
      <c r="JQ1504" s="16"/>
      <c r="JR1504" s="16"/>
      <c r="JS1504" s="16"/>
      <c r="JT1504" s="16"/>
      <c r="JU1504" s="16"/>
      <c r="JV1504" s="16"/>
      <c r="JW1504" s="16"/>
      <c r="JX1504" s="16"/>
      <c r="JY1504" s="16"/>
      <c r="JZ1504" s="16"/>
      <c r="KA1504" s="16"/>
      <c r="KB1504" s="16"/>
    </row>
    <row r="1505" spans="1:288" s="27" customFormat="1" x14ac:dyDescent="0.2">
      <c r="A1505" s="18"/>
      <c r="B1505" s="16">
        <v>2016</v>
      </c>
      <c r="C1505" s="20">
        <v>42553</v>
      </c>
      <c r="D1505" s="20" t="str">
        <f>CONCATENATE(J1505,"-",C1505)</f>
        <v>929-42553</v>
      </c>
      <c r="E1505" s="20" t="str">
        <f>CONCATENATE(T1505,"-",U1505,"-",C1505)</f>
        <v>SP1-F4-42553</v>
      </c>
      <c r="F1505" s="20" t="s">
        <v>106</v>
      </c>
      <c r="G1505" s="20" t="s">
        <v>278</v>
      </c>
      <c r="H1505" s="16"/>
      <c r="I1505" s="16"/>
      <c r="J1505" s="21">
        <v>929</v>
      </c>
      <c r="K1505" s="21"/>
      <c r="L1505" s="16"/>
      <c r="M1505" s="21"/>
      <c r="N1505" s="21"/>
      <c r="O1505" s="21"/>
      <c r="P1505" s="16"/>
      <c r="Q1505" s="16"/>
      <c r="R1505" s="16"/>
      <c r="S1505" s="16"/>
      <c r="T1505" s="16" t="s">
        <v>140</v>
      </c>
      <c r="U1505" s="16" t="s">
        <v>184</v>
      </c>
      <c r="V1505" s="16"/>
      <c r="W1505" s="16"/>
      <c r="X1505" s="16"/>
      <c r="Y1505" s="16"/>
      <c r="Z1505" s="16"/>
      <c r="AA1505" s="16"/>
      <c r="AB1505" s="16"/>
      <c r="AC1505" s="16"/>
      <c r="AD1505" s="16"/>
      <c r="AE1505" s="16"/>
      <c r="AF1505" s="16"/>
      <c r="AG1505" s="16"/>
      <c r="AH1505" s="16"/>
      <c r="AI1505" s="16"/>
      <c r="AJ1505" s="16"/>
      <c r="AK1505" s="16">
        <v>15.5</v>
      </c>
      <c r="AL1505" s="16"/>
      <c r="AM1505" s="16"/>
      <c r="AN1505" s="16"/>
      <c r="AO1505" s="16"/>
      <c r="AP1505" s="16"/>
      <c r="AQ1505" s="16"/>
      <c r="AR1505" s="16"/>
      <c r="AS1505" s="16"/>
      <c r="AT1505" s="16"/>
      <c r="AU1505" s="16"/>
      <c r="AV1505" s="16"/>
      <c r="AW1505" s="16"/>
      <c r="AX1505" s="16"/>
      <c r="AY1505" s="16"/>
      <c r="AZ1505" s="16"/>
      <c r="BA1505" s="16"/>
      <c r="BB1505" s="16"/>
      <c r="BC1505" s="16"/>
      <c r="BD1505" s="16"/>
      <c r="BE1505" s="16"/>
      <c r="BF1505" s="16"/>
      <c r="BG1505" s="77"/>
      <c r="BH1505" s="16"/>
      <c r="BI1505" s="16"/>
      <c r="BJ1505" s="16"/>
      <c r="BK1505" s="16"/>
      <c r="BL1505" s="16"/>
      <c r="BM1505" s="16"/>
      <c r="BN1505" s="16"/>
      <c r="BO1505" s="16"/>
      <c r="BP1505" s="16"/>
      <c r="BQ1505" s="16"/>
      <c r="BR1505" s="16"/>
      <c r="BS1505" s="16"/>
      <c r="BT1505" s="77"/>
      <c r="BU1505" s="16"/>
      <c r="BV1505" s="16"/>
      <c r="BW1505" s="16"/>
      <c r="BX1505" s="16"/>
      <c r="BY1505" s="16"/>
      <c r="BZ1505" s="16"/>
      <c r="CA1505" s="16"/>
      <c r="CB1505" s="16"/>
      <c r="CC1505" s="16"/>
      <c r="CD1505" s="77"/>
      <c r="CE1505" s="16"/>
      <c r="CF1505" s="16"/>
      <c r="CG1505" s="16"/>
      <c r="CH1505" s="16"/>
      <c r="CI1505" s="16"/>
      <c r="CJ1505" s="16"/>
      <c r="CK1505" s="16"/>
      <c r="CL1505" s="16"/>
      <c r="CM1505" s="16"/>
      <c r="CN1505" s="16"/>
      <c r="CO1505" s="16"/>
      <c r="CP1505" s="16"/>
      <c r="CQ1505" s="16"/>
      <c r="CR1505" s="16"/>
      <c r="CS1505" s="16"/>
      <c r="CT1505" s="16"/>
      <c r="CU1505" s="16"/>
      <c r="CV1505" s="16"/>
      <c r="CW1505" s="16"/>
      <c r="CX1505" s="16"/>
      <c r="CY1505" s="16"/>
      <c r="CZ1505" s="16"/>
      <c r="DA1505" s="16"/>
      <c r="DB1505" s="16"/>
      <c r="DC1505" s="16"/>
      <c r="DD1505" s="16"/>
      <c r="DE1505" s="16"/>
      <c r="DF1505" s="16" t="e">
        <f>VLOOKUP(K1505,'[3]RNA Seq summary tables'!$V$3:$V$99,1,FALSE)</f>
        <v>#N/A</v>
      </c>
      <c r="DG1505" s="16"/>
      <c r="DH1505" s="16"/>
      <c r="DI1505" s="16"/>
      <c r="DJ1505" s="16"/>
      <c r="DK1505" s="16"/>
      <c r="DL1505" s="16"/>
      <c r="DM1505" s="16"/>
      <c r="DN1505" s="16"/>
      <c r="DO1505" s="16"/>
      <c r="DP1505" s="16"/>
      <c r="DQ1505" s="16"/>
      <c r="DR1505" s="16"/>
      <c r="DS1505" s="16"/>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18"/>
      <c r="EQ1505" s="18"/>
      <c r="ER1505" s="18"/>
      <c r="ES1505" s="18"/>
      <c r="ET1505" s="18"/>
      <c r="EU1505" s="18"/>
      <c r="EV1505" s="18"/>
      <c r="EW1505" s="18"/>
      <c r="EX1505" s="18"/>
      <c r="EY1505" s="18"/>
      <c r="EZ1505" s="18"/>
      <c r="FA1505" s="18"/>
      <c r="FB1505" s="18"/>
      <c r="FC1505" s="18"/>
      <c r="FD1505" s="18"/>
      <c r="FE1505" s="18"/>
      <c r="FF1505" s="18"/>
      <c r="FG1505" s="18"/>
      <c r="FH1505" s="18"/>
      <c r="FI1505" s="18"/>
      <c r="FJ1505" s="18"/>
      <c r="FK1505" s="18"/>
      <c r="FL1505" s="18"/>
      <c r="FM1505" s="18"/>
      <c r="FN1505" s="18"/>
      <c r="FO1505" s="18"/>
      <c r="FP1505" s="18"/>
      <c r="FQ1505" s="18"/>
      <c r="FR1505" s="18"/>
      <c r="FS1505" s="18"/>
      <c r="FT1505" s="18"/>
      <c r="FU1505" s="18"/>
      <c r="FV1505" s="18"/>
      <c r="FW1505" s="18"/>
      <c r="FX1505" s="18"/>
      <c r="FY1505" s="18"/>
      <c r="FZ1505" s="18"/>
      <c r="GA1505" s="18"/>
      <c r="GB1505" s="18"/>
      <c r="GC1505" s="18"/>
      <c r="GD1505" s="18"/>
      <c r="GE1505" s="18"/>
      <c r="GF1505" s="18"/>
      <c r="GG1505" s="18"/>
      <c r="GH1505" s="18"/>
      <c r="GI1505" s="18"/>
      <c r="GJ1505" s="18"/>
      <c r="GK1505" s="18"/>
      <c r="GL1505" s="18"/>
      <c r="GM1505" s="18"/>
      <c r="GN1505" s="18"/>
      <c r="GO1505" s="18"/>
      <c r="GP1505" s="18"/>
      <c r="GQ1505" s="18"/>
      <c r="GR1505" s="18"/>
      <c r="GS1505" s="18"/>
      <c r="GT1505" s="18"/>
      <c r="GU1505" s="18"/>
      <c r="GV1505" s="18"/>
      <c r="GW1505" s="18"/>
      <c r="GX1505" s="18"/>
      <c r="GY1505" s="18"/>
      <c r="GZ1505" s="18"/>
      <c r="HA1505" s="18"/>
      <c r="HB1505" s="18"/>
      <c r="HC1505" s="18"/>
      <c r="HD1505" s="18"/>
      <c r="HE1505" s="18"/>
      <c r="HF1505" s="18"/>
      <c r="HG1505" s="18"/>
      <c r="HH1505" s="18"/>
      <c r="HI1505" s="18"/>
      <c r="HJ1505" s="18"/>
      <c r="HK1505" s="18"/>
      <c r="HL1505" s="18"/>
      <c r="HM1505" s="18"/>
      <c r="HN1505" s="18"/>
      <c r="HO1505" s="18"/>
      <c r="HP1505" s="18"/>
      <c r="HQ1505" s="18"/>
      <c r="HR1505" s="18"/>
      <c r="HS1505" s="18"/>
      <c r="HT1505" s="18"/>
      <c r="HU1505" s="18"/>
      <c r="HV1505" s="18"/>
      <c r="HW1505" s="18"/>
      <c r="HX1505" s="18"/>
      <c r="HY1505" s="18"/>
      <c r="HZ1505" s="18"/>
      <c r="IA1505" s="18"/>
      <c r="IB1505" s="18"/>
      <c r="IC1505" s="18"/>
      <c r="ID1505" s="18"/>
      <c r="IE1505" s="18"/>
      <c r="IF1505" s="18"/>
      <c r="IG1505" s="18"/>
      <c r="IH1505" s="18"/>
      <c r="II1505" s="18"/>
      <c r="IJ1505" s="18"/>
      <c r="IK1505" s="18"/>
      <c r="IL1505" s="18"/>
      <c r="IM1505" s="18"/>
      <c r="IN1505" s="18"/>
      <c r="IO1505" s="18"/>
      <c r="IP1505" s="18"/>
      <c r="IQ1505" s="18"/>
      <c r="IR1505" s="18"/>
      <c r="IS1505" s="18"/>
      <c r="IT1505" s="18"/>
      <c r="IU1505" s="18"/>
      <c r="IV1505" s="18"/>
      <c r="IW1505" s="18"/>
      <c r="IX1505" s="18"/>
      <c r="IY1505" s="18"/>
      <c r="IZ1505" s="18"/>
      <c r="JA1505" s="18"/>
      <c r="JB1505" s="18"/>
      <c r="JC1505" s="18"/>
      <c r="JD1505" s="18"/>
      <c r="JE1505" s="18"/>
      <c r="JF1505" s="18"/>
      <c r="JG1505" s="18"/>
      <c r="JH1505" s="18"/>
      <c r="JI1505" s="18"/>
      <c r="JJ1505" s="18"/>
      <c r="JK1505" s="18"/>
      <c r="JL1505" s="18"/>
      <c r="JM1505" s="18"/>
      <c r="JN1505" s="18"/>
      <c r="JO1505" s="16"/>
      <c r="JP1505" s="18"/>
      <c r="JQ1505" s="18"/>
      <c r="JR1505" s="16"/>
      <c r="JS1505" s="16"/>
      <c r="JT1505" s="16"/>
      <c r="JU1505" s="16"/>
      <c r="JV1505" s="16"/>
      <c r="JW1505" s="16"/>
      <c r="JX1505" s="16"/>
      <c r="JY1505" s="16"/>
      <c r="JZ1505" s="16"/>
      <c r="KA1505" s="16"/>
      <c r="KB1505" s="16"/>
    </row>
    <row r="1506" spans="1:288" s="27" customFormat="1" x14ac:dyDescent="0.2">
      <c r="A1506" s="18"/>
      <c r="B1506" s="16">
        <v>2016</v>
      </c>
      <c r="C1506" s="20">
        <v>42566</v>
      </c>
      <c r="D1506" s="20" t="str">
        <f>CONCATENATE(J1506,"-",C1506)</f>
        <v>929-42566</v>
      </c>
      <c r="E1506" s="20" t="str">
        <f>CONCATENATE(T1506,"-",U1506,"-",C1506)</f>
        <v>SP1-A5-42566</v>
      </c>
      <c r="F1506" s="20" t="s">
        <v>106</v>
      </c>
      <c r="G1506" s="20" t="s">
        <v>278</v>
      </c>
      <c r="H1506" s="16"/>
      <c r="I1506" s="16"/>
      <c r="J1506" s="21">
        <v>929</v>
      </c>
      <c r="K1506" s="21"/>
      <c r="L1506" s="16"/>
      <c r="M1506" s="21"/>
      <c r="N1506" s="21"/>
      <c r="O1506" s="21"/>
      <c r="P1506" s="16"/>
      <c r="Q1506" s="16"/>
      <c r="R1506" s="16"/>
      <c r="S1506" s="16"/>
      <c r="T1506" s="16" t="s">
        <v>140</v>
      </c>
      <c r="U1506" s="16" t="s">
        <v>167</v>
      </c>
      <c r="V1506" s="16"/>
      <c r="W1506" s="16"/>
      <c r="X1506" s="16"/>
      <c r="Y1506" s="16"/>
      <c r="Z1506" s="16"/>
      <c r="AA1506" s="16"/>
      <c r="AB1506" s="16"/>
      <c r="AC1506" s="16"/>
      <c r="AD1506" s="16"/>
      <c r="AE1506" s="16"/>
      <c r="AF1506" s="16"/>
      <c r="AG1506" s="16"/>
      <c r="AH1506" s="16"/>
      <c r="AI1506" s="16"/>
      <c r="AJ1506" s="16"/>
      <c r="AK1506" s="16">
        <v>17.5</v>
      </c>
      <c r="AL1506" s="16"/>
      <c r="AM1506" s="16"/>
      <c r="AN1506" s="16"/>
      <c r="AO1506" s="16"/>
      <c r="AP1506" s="16"/>
      <c r="AQ1506" s="16"/>
      <c r="AR1506" s="16"/>
      <c r="AS1506" s="16"/>
      <c r="AT1506" s="16"/>
      <c r="AU1506" s="16"/>
      <c r="AV1506" s="16"/>
      <c r="AW1506" s="16"/>
      <c r="AX1506" s="16"/>
      <c r="AY1506" s="16"/>
      <c r="AZ1506" s="16"/>
      <c r="BA1506" s="16"/>
      <c r="BB1506" s="16"/>
      <c r="BC1506" s="16"/>
      <c r="BD1506" s="16"/>
      <c r="BE1506" s="16"/>
      <c r="BF1506" s="16"/>
      <c r="BG1506" s="77"/>
      <c r="BH1506" s="16"/>
      <c r="BI1506" s="16"/>
      <c r="BJ1506" s="16"/>
      <c r="BK1506" s="16"/>
      <c r="BL1506" s="16"/>
      <c r="BM1506" s="16"/>
      <c r="BN1506" s="16"/>
      <c r="BO1506" s="16"/>
      <c r="BP1506" s="16"/>
      <c r="BQ1506" s="16"/>
      <c r="BR1506" s="16"/>
      <c r="BS1506" s="16"/>
      <c r="BT1506" s="77"/>
      <c r="BU1506" s="16"/>
      <c r="BV1506" s="16"/>
      <c r="BW1506" s="16"/>
      <c r="BX1506" s="16"/>
      <c r="BY1506" s="16"/>
      <c r="BZ1506" s="16"/>
      <c r="CA1506" s="16"/>
      <c r="CB1506" s="16"/>
      <c r="CC1506" s="16"/>
      <c r="CD1506" s="77"/>
      <c r="CE1506" s="16"/>
      <c r="CF1506" s="16"/>
      <c r="CG1506" s="16"/>
      <c r="CH1506" s="16"/>
      <c r="CI1506" s="16"/>
      <c r="CJ1506" s="16"/>
      <c r="CK1506" s="16"/>
      <c r="CL1506" s="16"/>
      <c r="CM1506" s="16"/>
      <c r="CN1506" s="16"/>
      <c r="CO1506" s="16"/>
      <c r="CP1506" s="16"/>
      <c r="CQ1506" s="16"/>
      <c r="CR1506" s="16"/>
      <c r="CS1506" s="16"/>
      <c r="CT1506" s="16"/>
      <c r="CU1506" s="16"/>
      <c r="CV1506" s="16"/>
      <c r="CW1506" s="16"/>
      <c r="CX1506" s="16"/>
      <c r="CY1506" s="16"/>
      <c r="CZ1506" s="16"/>
      <c r="DA1506" s="16"/>
      <c r="DB1506" s="16"/>
      <c r="DC1506" s="16"/>
      <c r="DD1506" s="16"/>
      <c r="DE1506" s="16"/>
      <c r="DF1506" s="16" t="e">
        <f>VLOOKUP(K1506,'[3]RNA Seq summary tables'!$V$3:$V$99,1,FALSE)</f>
        <v>#N/A</v>
      </c>
      <c r="DG1506" s="16"/>
      <c r="DH1506" s="16"/>
      <c r="DI1506" s="16"/>
      <c r="DJ1506" s="16"/>
      <c r="DK1506" s="16"/>
      <c r="DL1506" s="16"/>
      <c r="DM1506" s="16"/>
      <c r="DN1506" s="16"/>
      <c r="DO1506" s="16"/>
      <c r="DP1506" s="16"/>
      <c r="DQ1506" s="16"/>
      <c r="DR1506" s="16"/>
      <c r="DS1506" s="16"/>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18"/>
      <c r="EQ1506" s="18"/>
      <c r="ER1506" s="18"/>
      <c r="ES1506" s="18"/>
      <c r="ET1506" s="18"/>
      <c r="EU1506" s="18"/>
      <c r="EV1506" s="18"/>
      <c r="EW1506" s="18"/>
      <c r="EX1506" s="18"/>
      <c r="EY1506" s="18"/>
      <c r="EZ1506" s="18"/>
      <c r="FA1506" s="18"/>
      <c r="FB1506" s="18"/>
      <c r="FC1506" s="18"/>
      <c r="FD1506" s="18"/>
      <c r="FE1506" s="18"/>
      <c r="FF1506" s="18"/>
      <c r="FG1506" s="18"/>
      <c r="FH1506" s="18"/>
      <c r="FI1506" s="18"/>
      <c r="FJ1506" s="18"/>
      <c r="FK1506" s="18"/>
      <c r="FL1506" s="18"/>
      <c r="FM1506" s="18"/>
      <c r="FN1506" s="18"/>
      <c r="FO1506" s="18"/>
      <c r="FP1506" s="18"/>
      <c r="FQ1506" s="18"/>
      <c r="FR1506" s="18"/>
      <c r="FS1506" s="18"/>
      <c r="FT1506" s="18"/>
      <c r="FU1506" s="18"/>
      <c r="FV1506" s="18"/>
      <c r="FW1506" s="18"/>
      <c r="FX1506" s="18"/>
      <c r="FY1506" s="18"/>
      <c r="FZ1506" s="18"/>
      <c r="GA1506" s="18"/>
      <c r="GB1506" s="18"/>
      <c r="GC1506" s="18"/>
      <c r="GD1506" s="18"/>
      <c r="GE1506" s="18"/>
      <c r="GF1506" s="18"/>
      <c r="GG1506" s="18"/>
      <c r="GH1506" s="18"/>
      <c r="GI1506" s="18"/>
      <c r="GJ1506" s="18"/>
      <c r="GK1506" s="18"/>
      <c r="GL1506" s="18"/>
      <c r="GM1506" s="18"/>
      <c r="GN1506" s="18"/>
      <c r="GO1506" s="18"/>
      <c r="GP1506" s="18"/>
      <c r="GQ1506" s="18"/>
      <c r="GR1506" s="18"/>
      <c r="GS1506" s="18"/>
      <c r="GT1506" s="18"/>
      <c r="GU1506" s="18"/>
      <c r="GV1506" s="18"/>
      <c r="GW1506" s="18"/>
      <c r="GX1506" s="18"/>
      <c r="GY1506" s="18"/>
      <c r="GZ1506" s="18"/>
      <c r="HA1506" s="18"/>
      <c r="HB1506" s="18"/>
      <c r="HC1506" s="18"/>
      <c r="HD1506" s="18"/>
      <c r="HE1506" s="18"/>
      <c r="HF1506" s="18"/>
      <c r="HG1506" s="18"/>
      <c r="HH1506" s="18"/>
      <c r="HI1506" s="18"/>
      <c r="HJ1506" s="18"/>
      <c r="HK1506" s="18"/>
      <c r="HL1506" s="18"/>
      <c r="HM1506" s="18"/>
      <c r="HN1506" s="18"/>
      <c r="HO1506" s="18"/>
      <c r="HP1506" s="18"/>
      <c r="HQ1506" s="18"/>
      <c r="HR1506" s="18"/>
      <c r="HS1506" s="18"/>
      <c r="HT1506" s="18"/>
      <c r="HU1506" s="18"/>
      <c r="HV1506" s="18"/>
      <c r="HW1506" s="18"/>
      <c r="HX1506" s="18"/>
      <c r="HY1506" s="18"/>
      <c r="HZ1506" s="18"/>
      <c r="IA1506" s="18"/>
      <c r="IB1506" s="18"/>
      <c r="IC1506" s="18"/>
      <c r="ID1506" s="18"/>
      <c r="IE1506" s="18"/>
      <c r="IF1506" s="18"/>
      <c r="IG1506" s="18"/>
      <c r="IH1506" s="18"/>
      <c r="II1506" s="18"/>
      <c r="IJ1506" s="18"/>
      <c r="IK1506" s="18"/>
      <c r="IL1506" s="18"/>
      <c r="IM1506" s="18"/>
      <c r="IN1506" s="18"/>
      <c r="IO1506" s="18"/>
      <c r="IP1506" s="18"/>
      <c r="IQ1506" s="18"/>
      <c r="IR1506" s="18"/>
      <c r="IS1506" s="18"/>
      <c r="IT1506" s="18"/>
      <c r="IU1506" s="18"/>
      <c r="IV1506" s="18"/>
      <c r="IW1506" s="18"/>
      <c r="IX1506" s="18"/>
      <c r="IY1506" s="18"/>
      <c r="IZ1506" s="18"/>
      <c r="JA1506" s="18"/>
      <c r="JB1506" s="18"/>
      <c r="JC1506" s="18"/>
      <c r="JD1506" s="18"/>
      <c r="JE1506" s="18"/>
      <c r="JF1506" s="18"/>
      <c r="JG1506" s="18"/>
      <c r="JH1506" s="18"/>
      <c r="JI1506" s="18"/>
      <c r="JJ1506" s="18"/>
      <c r="JK1506" s="18"/>
      <c r="JL1506" s="18"/>
      <c r="JM1506" s="18"/>
      <c r="JN1506" s="18"/>
      <c r="JO1506" s="16"/>
      <c r="JP1506" s="16"/>
      <c r="JQ1506" s="16"/>
      <c r="JR1506" s="16"/>
      <c r="JS1506" s="16"/>
      <c r="JT1506" s="16"/>
      <c r="JU1506" s="16"/>
      <c r="JV1506" s="16"/>
      <c r="JW1506" s="16"/>
      <c r="JX1506" s="16"/>
      <c r="JY1506" s="16"/>
      <c r="JZ1506" s="16"/>
      <c r="KA1506" s="16"/>
      <c r="KB1506" s="16"/>
    </row>
    <row r="1507" spans="1:288" s="27" customFormat="1" x14ac:dyDescent="0.2">
      <c r="A1507" s="18"/>
      <c r="B1507" s="16">
        <v>2016</v>
      </c>
      <c r="C1507" s="20">
        <v>42580</v>
      </c>
      <c r="D1507" s="20" t="str">
        <f>CONCATENATE(J1507,"-",C1507)</f>
        <v>929-42580</v>
      </c>
      <c r="E1507" s="20" t="str">
        <f>CONCATENATE(T1507,"-",U1507,"-",C1507)</f>
        <v>SP1-F6-42580</v>
      </c>
      <c r="F1507" s="20" t="s">
        <v>106</v>
      </c>
      <c r="G1507" s="20" t="s">
        <v>278</v>
      </c>
      <c r="H1507" s="16"/>
      <c r="I1507" s="16"/>
      <c r="J1507" s="21">
        <v>929</v>
      </c>
      <c r="K1507" s="21"/>
      <c r="L1507" s="16"/>
      <c r="M1507" s="21"/>
      <c r="N1507" s="21"/>
      <c r="O1507" s="21"/>
      <c r="P1507" s="16"/>
      <c r="Q1507" s="16"/>
      <c r="R1507" s="16"/>
      <c r="S1507" s="16"/>
      <c r="T1507" s="16" t="s">
        <v>140</v>
      </c>
      <c r="U1507" s="16" t="s">
        <v>170</v>
      </c>
      <c r="V1507" s="16" t="s">
        <v>142</v>
      </c>
      <c r="W1507" s="16"/>
      <c r="X1507" s="16" t="s">
        <v>121</v>
      </c>
      <c r="Y1507" s="16" t="s">
        <v>110</v>
      </c>
      <c r="Z1507" s="16">
        <v>3</v>
      </c>
      <c r="AA1507" s="16"/>
      <c r="AB1507" s="16"/>
      <c r="AC1507" s="16" t="s">
        <v>116</v>
      </c>
      <c r="AD1507" s="16" t="s">
        <v>116</v>
      </c>
      <c r="AE1507" s="16"/>
      <c r="AF1507" s="16"/>
      <c r="AG1507" s="16"/>
      <c r="AH1507" s="16"/>
      <c r="AI1507" s="16"/>
      <c r="AJ1507" s="16"/>
      <c r="AK1507" s="16">
        <v>26.5</v>
      </c>
      <c r="AL1507" s="16">
        <v>0</v>
      </c>
      <c r="AM1507" s="16">
        <v>0</v>
      </c>
      <c r="AN1507" s="16">
        <v>1</v>
      </c>
      <c r="AO1507" s="16">
        <f>IF(SUM(AL1507:AN1507)&gt;0,1,0)</f>
        <v>1</v>
      </c>
      <c r="AP1507" s="16">
        <f>SUM(AL1507:AN1507)</f>
        <v>1</v>
      </c>
      <c r="AQ1507" s="16"/>
      <c r="AR1507" s="16"/>
      <c r="AS1507" s="16"/>
      <c r="AT1507" s="16"/>
      <c r="AU1507" s="16"/>
      <c r="AV1507" s="16"/>
      <c r="AW1507" s="16"/>
      <c r="AX1507" s="16"/>
      <c r="AY1507" s="16"/>
      <c r="AZ1507" s="16"/>
      <c r="BA1507" s="16"/>
      <c r="BB1507" s="16"/>
      <c r="BC1507" s="16"/>
      <c r="BD1507" s="16"/>
      <c r="BE1507" s="16"/>
      <c r="BF1507" s="16"/>
      <c r="BG1507" s="77"/>
      <c r="BH1507" s="16"/>
      <c r="BI1507" s="16"/>
      <c r="BJ1507" s="16"/>
      <c r="BK1507" s="16"/>
      <c r="BL1507" s="16"/>
      <c r="BM1507" s="16"/>
      <c r="BN1507" s="16"/>
      <c r="BO1507" s="16"/>
      <c r="BP1507" s="16"/>
      <c r="BQ1507" s="16"/>
      <c r="BR1507" s="16"/>
      <c r="BS1507" s="16"/>
      <c r="BT1507" s="77"/>
      <c r="BU1507" s="16"/>
      <c r="BV1507" s="16"/>
      <c r="BW1507" s="16"/>
      <c r="BX1507" s="16"/>
      <c r="BY1507" s="16"/>
      <c r="BZ1507" s="16"/>
      <c r="CA1507" s="16"/>
      <c r="CB1507" s="16"/>
      <c r="CC1507" s="16"/>
      <c r="CD1507" s="77"/>
      <c r="CE1507" s="16"/>
      <c r="CF1507" s="16"/>
      <c r="CG1507" s="16"/>
      <c r="CH1507" s="16"/>
      <c r="CI1507" s="16"/>
      <c r="CJ1507" s="16"/>
      <c r="CK1507" s="16"/>
      <c r="CL1507" s="16"/>
      <c r="CM1507" s="16"/>
      <c r="CN1507" s="16"/>
      <c r="CO1507" s="16"/>
      <c r="CP1507" s="16"/>
      <c r="CQ1507" s="16"/>
      <c r="CR1507" s="16"/>
      <c r="CS1507" s="16"/>
      <c r="CT1507" s="16"/>
      <c r="CU1507" s="16"/>
      <c r="CV1507" s="16"/>
      <c r="CW1507" s="16"/>
      <c r="CX1507" s="16"/>
      <c r="CY1507" s="16"/>
      <c r="CZ1507" s="16"/>
      <c r="DA1507" s="16"/>
      <c r="DB1507" s="16"/>
      <c r="DC1507" s="16"/>
      <c r="DD1507" s="16"/>
      <c r="DE1507" s="16"/>
      <c r="DF1507" s="16" t="e">
        <f>VLOOKUP(K1507,'[3]RNA Seq summary tables'!$V$3:$V$99,1,FALSE)</f>
        <v>#N/A</v>
      </c>
      <c r="DG1507" s="16"/>
      <c r="DH1507" s="16"/>
      <c r="DI1507" s="16"/>
      <c r="DJ1507" s="16"/>
      <c r="DK1507" s="16"/>
      <c r="DL1507" s="16"/>
      <c r="DM1507" s="16"/>
      <c r="DN1507" s="16"/>
      <c r="DO1507" s="16"/>
      <c r="DP1507" s="16"/>
      <c r="DQ1507" s="16"/>
      <c r="DR1507" s="16"/>
      <c r="DS1507" s="16"/>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18"/>
      <c r="EQ1507" s="18"/>
      <c r="ER1507" s="18"/>
      <c r="ES1507" s="18"/>
      <c r="ET1507" s="18"/>
      <c r="EU1507" s="18"/>
      <c r="EV1507" s="18"/>
      <c r="EW1507" s="18"/>
      <c r="EX1507" s="18"/>
      <c r="EY1507" s="18"/>
      <c r="EZ1507" s="18"/>
      <c r="FA1507" s="18"/>
      <c r="FB1507" s="18"/>
      <c r="FC1507" s="18"/>
      <c r="FD1507" s="18"/>
      <c r="FE1507" s="18"/>
      <c r="FF1507" s="18"/>
      <c r="FG1507" s="18"/>
      <c r="FH1507" s="18"/>
      <c r="FI1507" s="18"/>
      <c r="FJ1507" s="18"/>
      <c r="FK1507" s="18"/>
      <c r="FL1507" s="18"/>
      <c r="FM1507" s="18"/>
      <c r="FN1507" s="18"/>
      <c r="FO1507" s="18"/>
      <c r="FP1507" s="18"/>
      <c r="FQ1507" s="18"/>
      <c r="FR1507" s="18"/>
      <c r="FS1507" s="18"/>
      <c r="FT1507" s="18"/>
      <c r="FU1507" s="18"/>
      <c r="FV1507" s="18"/>
      <c r="FW1507" s="18"/>
      <c r="FX1507" s="18"/>
      <c r="FY1507" s="18"/>
      <c r="FZ1507" s="18"/>
      <c r="GA1507" s="18"/>
      <c r="GB1507" s="18"/>
      <c r="GC1507" s="18"/>
      <c r="GD1507" s="18"/>
      <c r="GE1507" s="18"/>
      <c r="GF1507" s="18"/>
      <c r="GG1507" s="18"/>
      <c r="GH1507" s="18"/>
      <c r="GI1507" s="18"/>
      <c r="GJ1507" s="18"/>
      <c r="GK1507" s="18"/>
      <c r="GL1507" s="18"/>
      <c r="GM1507" s="18"/>
      <c r="GN1507" s="18"/>
      <c r="GO1507" s="18"/>
      <c r="GP1507" s="18"/>
      <c r="GQ1507" s="18"/>
      <c r="GR1507" s="18"/>
      <c r="GS1507" s="18"/>
      <c r="GT1507" s="18"/>
      <c r="GU1507" s="18"/>
      <c r="GV1507" s="18"/>
      <c r="GW1507" s="18"/>
      <c r="GX1507" s="18"/>
      <c r="GY1507" s="18"/>
      <c r="GZ1507" s="18"/>
      <c r="HA1507" s="18"/>
      <c r="HB1507" s="18"/>
      <c r="HC1507" s="18"/>
      <c r="HD1507" s="18"/>
      <c r="HE1507" s="18"/>
      <c r="HF1507" s="18"/>
      <c r="HG1507" s="18"/>
      <c r="HH1507" s="18"/>
      <c r="HI1507" s="18"/>
      <c r="HJ1507" s="18"/>
      <c r="HK1507" s="18"/>
      <c r="HL1507" s="18"/>
      <c r="HM1507" s="18"/>
      <c r="HN1507" s="18"/>
      <c r="HO1507" s="18"/>
      <c r="HP1507" s="18"/>
      <c r="HQ1507" s="18"/>
      <c r="HR1507" s="18"/>
      <c r="HS1507" s="18"/>
      <c r="HT1507" s="18"/>
      <c r="HU1507" s="18"/>
      <c r="HV1507" s="18"/>
      <c r="HW1507" s="18"/>
      <c r="HX1507" s="18"/>
      <c r="HY1507" s="18"/>
      <c r="HZ1507" s="18"/>
      <c r="IA1507" s="18"/>
      <c r="IB1507" s="18"/>
      <c r="IC1507" s="18"/>
      <c r="ID1507" s="18"/>
      <c r="IE1507" s="18"/>
      <c r="IF1507" s="18"/>
      <c r="IG1507" s="18"/>
      <c r="IH1507" s="18"/>
      <c r="II1507" s="18"/>
      <c r="IJ1507" s="18"/>
      <c r="IK1507" s="18"/>
      <c r="IL1507" s="18"/>
      <c r="IM1507" s="18"/>
      <c r="IN1507" s="18"/>
      <c r="IO1507" s="18"/>
      <c r="IP1507" s="18"/>
      <c r="IQ1507" s="18"/>
      <c r="IR1507" s="18"/>
      <c r="IS1507" s="18"/>
      <c r="IT1507" s="18"/>
      <c r="IU1507" s="18"/>
      <c r="IV1507" s="18"/>
      <c r="IW1507" s="18"/>
      <c r="IX1507" s="18"/>
      <c r="IY1507" s="18"/>
      <c r="IZ1507" s="18"/>
      <c r="JA1507" s="18"/>
      <c r="JB1507" s="18"/>
      <c r="JC1507" s="18"/>
      <c r="JD1507" s="18"/>
      <c r="JE1507" s="18"/>
      <c r="JF1507" s="18"/>
      <c r="JG1507" s="18"/>
      <c r="JH1507" s="18"/>
      <c r="JI1507" s="18"/>
      <c r="JJ1507" s="18"/>
      <c r="JK1507" s="18"/>
      <c r="JL1507" s="18"/>
      <c r="JM1507" s="18"/>
      <c r="JN1507" s="18"/>
      <c r="JO1507" s="16"/>
      <c r="JP1507" s="16"/>
      <c r="JQ1507" s="16"/>
      <c r="JR1507" s="16"/>
      <c r="JS1507" s="16"/>
      <c r="JT1507" s="16"/>
      <c r="JU1507" s="16"/>
      <c r="JV1507" s="16"/>
      <c r="JW1507" s="16"/>
      <c r="JX1507" s="16"/>
      <c r="JY1507" s="16"/>
      <c r="JZ1507" s="16"/>
      <c r="KA1507" s="16"/>
      <c r="KB1507" s="16"/>
    </row>
    <row r="1508" spans="1:288" s="27" customFormat="1" x14ac:dyDescent="0.2">
      <c r="A1508" s="18"/>
      <c r="B1508" s="16">
        <v>2016</v>
      </c>
      <c r="C1508" s="20">
        <v>42581</v>
      </c>
      <c r="D1508" s="20" t="str">
        <f>CONCATENATE(J1508,"-",C1508)</f>
        <v>929-42581</v>
      </c>
      <c r="E1508" s="20" t="str">
        <f>CONCATENATE(T1508,"-",U1508,"-",C1508)</f>
        <v>SP1-F6-42581</v>
      </c>
      <c r="F1508" s="20" t="s">
        <v>106</v>
      </c>
      <c r="G1508" s="20" t="s">
        <v>278</v>
      </c>
      <c r="H1508" s="16"/>
      <c r="I1508" s="16"/>
      <c r="J1508" s="21">
        <v>929</v>
      </c>
      <c r="K1508" s="21"/>
      <c r="L1508" s="16"/>
      <c r="M1508" s="21"/>
      <c r="N1508" s="21"/>
      <c r="O1508" s="21"/>
      <c r="P1508" s="16"/>
      <c r="Q1508" s="16"/>
      <c r="R1508" s="16"/>
      <c r="S1508" s="16"/>
      <c r="T1508" s="16" t="s">
        <v>140</v>
      </c>
      <c r="U1508" s="16" t="s">
        <v>170</v>
      </c>
      <c r="V1508" s="16"/>
      <c r="W1508" s="16"/>
      <c r="X1508" s="16"/>
      <c r="Y1508" s="16"/>
      <c r="Z1508" s="16"/>
      <c r="AA1508" s="16"/>
      <c r="AB1508" s="16"/>
      <c r="AC1508" s="16"/>
      <c r="AD1508" s="16"/>
      <c r="AE1508" s="16"/>
      <c r="AF1508" s="16"/>
      <c r="AG1508" s="16"/>
      <c r="AH1508" s="16"/>
      <c r="AI1508" s="16"/>
      <c r="AJ1508" s="16"/>
      <c r="AK1508" s="16">
        <v>23</v>
      </c>
      <c r="AL1508" s="16"/>
      <c r="AM1508" s="16"/>
      <c r="AN1508" s="16"/>
      <c r="AO1508" s="16"/>
      <c r="AP1508" s="16"/>
      <c r="AQ1508" s="16"/>
      <c r="AR1508" s="16"/>
      <c r="AS1508" s="16"/>
      <c r="AT1508" s="16"/>
      <c r="AU1508" s="16"/>
      <c r="AV1508" s="16"/>
      <c r="AW1508" s="16"/>
      <c r="AX1508" s="16"/>
      <c r="AY1508" s="16"/>
      <c r="AZ1508" s="16"/>
      <c r="BA1508" s="16"/>
      <c r="BB1508" s="16"/>
      <c r="BC1508" s="16"/>
      <c r="BD1508" s="16"/>
      <c r="BE1508" s="16"/>
      <c r="BF1508" s="16"/>
      <c r="BG1508" s="77"/>
      <c r="BH1508" s="16"/>
      <c r="BI1508" s="16"/>
      <c r="BJ1508" s="16"/>
      <c r="BK1508" s="16"/>
      <c r="BL1508" s="16"/>
      <c r="BM1508" s="16"/>
      <c r="BN1508" s="16"/>
      <c r="BO1508" s="16"/>
      <c r="BP1508" s="16"/>
      <c r="BQ1508" s="16"/>
      <c r="BR1508" s="16"/>
      <c r="BS1508" s="16"/>
      <c r="BT1508" s="77"/>
      <c r="BU1508" s="16"/>
      <c r="BV1508" s="16"/>
      <c r="BW1508" s="16"/>
      <c r="BX1508" s="16"/>
      <c r="BY1508" s="16"/>
      <c r="BZ1508" s="16"/>
      <c r="CA1508" s="16"/>
      <c r="CB1508" s="16"/>
      <c r="CC1508" s="16"/>
      <c r="CD1508" s="77"/>
      <c r="CE1508" s="16"/>
      <c r="CF1508" s="16"/>
      <c r="CG1508" s="16"/>
      <c r="CH1508" s="16"/>
      <c r="CI1508" s="16"/>
      <c r="CJ1508" s="16"/>
      <c r="CK1508" s="16"/>
      <c r="CL1508" s="16"/>
      <c r="CM1508" s="16"/>
      <c r="CN1508" s="16"/>
      <c r="CO1508" s="16"/>
      <c r="CP1508" s="16"/>
      <c r="CQ1508" s="16"/>
      <c r="CR1508" s="16"/>
      <c r="CS1508" s="16"/>
      <c r="CT1508" s="16"/>
      <c r="CU1508" s="16"/>
      <c r="CV1508" s="16"/>
      <c r="CW1508" s="16"/>
      <c r="CX1508" s="16"/>
      <c r="CY1508" s="16"/>
      <c r="CZ1508" s="16"/>
      <c r="DA1508" s="16"/>
      <c r="DB1508" s="16"/>
      <c r="DC1508" s="16"/>
      <c r="DD1508" s="16"/>
      <c r="DE1508" s="16"/>
      <c r="DF1508" s="16" t="e">
        <f>VLOOKUP(K1508,'[3]RNA Seq summary tables'!$V$3:$V$99,1,FALSE)</f>
        <v>#N/A</v>
      </c>
      <c r="DG1508" s="16"/>
      <c r="DH1508" s="16"/>
      <c r="DI1508" s="16"/>
      <c r="DJ1508" s="16"/>
      <c r="DK1508" s="16"/>
      <c r="DL1508" s="16"/>
      <c r="DM1508" s="16"/>
      <c r="DN1508" s="16"/>
      <c r="DO1508" s="16"/>
      <c r="DP1508" s="16"/>
      <c r="DQ1508" s="16"/>
      <c r="DR1508" s="16"/>
      <c r="DS1508" s="16"/>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18"/>
      <c r="EQ1508" s="18"/>
      <c r="ER1508" s="18"/>
      <c r="ES1508" s="18"/>
      <c r="ET1508" s="18"/>
      <c r="EU1508" s="18"/>
      <c r="EV1508" s="18"/>
      <c r="EW1508" s="18"/>
      <c r="EX1508" s="18"/>
      <c r="EY1508" s="18"/>
      <c r="EZ1508" s="18"/>
      <c r="FA1508" s="18"/>
      <c r="FB1508" s="18"/>
      <c r="FC1508" s="18"/>
      <c r="FD1508" s="18"/>
      <c r="FE1508" s="18"/>
      <c r="FF1508" s="18"/>
      <c r="FG1508" s="18"/>
      <c r="FH1508" s="18"/>
      <c r="FI1508" s="18"/>
      <c r="FJ1508" s="18"/>
      <c r="FK1508" s="18"/>
      <c r="FL1508" s="18"/>
      <c r="FM1508" s="18"/>
      <c r="FN1508" s="18"/>
      <c r="FO1508" s="18"/>
      <c r="FP1508" s="18"/>
      <c r="FQ1508" s="18"/>
      <c r="FR1508" s="18"/>
      <c r="FS1508" s="18"/>
      <c r="FT1508" s="18"/>
      <c r="FU1508" s="18"/>
      <c r="FV1508" s="18"/>
      <c r="FW1508" s="18"/>
      <c r="FX1508" s="18"/>
      <c r="FY1508" s="18"/>
      <c r="FZ1508" s="18"/>
      <c r="GA1508" s="18"/>
      <c r="GB1508" s="18"/>
      <c r="GC1508" s="18"/>
      <c r="GD1508" s="18"/>
      <c r="GE1508" s="18"/>
      <c r="GF1508" s="18"/>
      <c r="GG1508" s="18"/>
      <c r="GH1508" s="18"/>
      <c r="GI1508" s="18"/>
      <c r="GJ1508" s="18"/>
      <c r="GK1508" s="18"/>
      <c r="GL1508" s="18"/>
      <c r="GM1508" s="18"/>
      <c r="GN1508" s="18"/>
      <c r="GO1508" s="18"/>
      <c r="GP1508" s="18"/>
      <c r="GQ1508" s="18"/>
      <c r="GR1508" s="18"/>
      <c r="GS1508" s="18"/>
      <c r="GT1508" s="18"/>
      <c r="GU1508" s="18"/>
      <c r="GV1508" s="18"/>
      <c r="GW1508" s="18"/>
      <c r="GX1508" s="18"/>
      <c r="GY1508" s="18"/>
      <c r="GZ1508" s="18"/>
      <c r="HA1508" s="18"/>
      <c r="HB1508" s="18"/>
      <c r="HC1508" s="18"/>
      <c r="HD1508" s="18"/>
      <c r="HE1508" s="18"/>
      <c r="HF1508" s="18"/>
      <c r="HG1508" s="18"/>
      <c r="HH1508" s="18"/>
      <c r="HI1508" s="18"/>
      <c r="HJ1508" s="18"/>
      <c r="HK1508" s="18"/>
      <c r="HL1508" s="18"/>
      <c r="HM1508" s="18"/>
      <c r="HN1508" s="18"/>
      <c r="HO1508" s="18"/>
      <c r="HP1508" s="18"/>
      <c r="HQ1508" s="18"/>
      <c r="HR1508" s="18"/>
      <c r="HS1508" s="18"/>
      <c r="HT1508" s="18"/>
      <c r="HU1508" s="18"/>
      <c r="HV1508" s="18"/>
      <c r="HW1508" s="18"/>
      <c r="HX1508" s="18"/>
      <c r="HY1508" s="18"/>
      <c r="HZ1508" s="18"/>
      <c r="IA1508" s="18"/>
      <c r="IB1508" s="18"/>
      <c r="IC1508" s="18"/>
      <c r="ID1508" s="18"/>
      <c r="IE1508" s="18"/>
      <c r="IF1508" s="18"/>
      <c r="IG1508" s="18"/>
      <c r="IH1508" s="18"/>
      <c r="II1508" s="18"/>
      <c r="IJ1508" s="18"/>
      <c r="IK1508" s="18"/>
      <c r="IL1508" s="18"/>
      <c r="IM1508" s="18"/>
      <c r="IN1508" s="18"/>
      <c r="IO1508" s="18"/>
      <c r="IP1508" s="18"/>
      <c r="IQ1508" s="18"/>
      <c r="IR1508" s="18"/>
      <c r="IS1508" s="18"/>
      <c r="IT1508" s="18"/>
      <c r="IU1508" s="18"/>
      <c r="IV1508" s="18"/>
      <c r="IW1508" s="18"/>
      <c r="IX1508" s="18"/>
      <c r="IY1508" s="18"/>
      <c r="IZ1508" s="18"/>
      <c r="JA1508" s="18"/>
      <c r="JB1508" s="18"/>
      <c r="JC1508" s="18"/>
      <c r="JD1508" s="18"/>
      <c r="JE1508" s="18"/>
      <c r="JF1508" s="18"/>
      <c r="JG1508" s="18"/>
      <c r="JH1508" s="18"/>
      <c r="JI1508" s="18"/>
      <c r="JJ1508" s="18"/>
      <c r="JK1508" s="18"/>
      <c r="JL1508" s="18"/>
      <c r="JM1508" s="18"/>
      <c r="JN1508" s="18"/>
      <c r="JO1508" s="16"/>
      <c r="JP1508" s="16"/>
      <c r="JQ1508" s="16"/>
      <c r="JR1508" s="16"/>
      <c r="JS1508" s="16"/>
      <c r="JT1508" s="16"/>
      <c r="JU1508" s="16"/>
      <c r="JV1508" s="16"/>
      <c r="JW1508" s="16"/>
      <c r="JX1508" s="16"/>
      <c r="JY1508" s="16"/>
      <c r="JZ1508" s="16"/>
      <c r="KA1508" s="16"/>
      <c r="KB1508" s="16"/>
    </row>
    <row r="1509" spans="1:288" s="27" customFormat="1" x14ac:dyDescent="0.2">
      <c r="A1509" s="18"/>
      <c r="B1509" s="16">
        <v>2016</v>
      </c>
      <c r="C1509" s="20">
        <v>42594</v>
      </c>
      <c r="D1509" s="20" t="str">
        <f>CONCATENATE(J1509,"-",C1509)</f>
        <v>929-42594</v>
      </c>
      <c r="E1509" s="20" t="str">
        <f>CONCATENATE(T1509,"-",U1509,"-",C1509)</f>
        <v>SP1-D4-42594</v>
      </c>
      <c r="F1509" s="20" t="s">
        <v>227</v>
      </c>
      <c r="G1509" s="20" t="s">
        <v>278</v>
      </c>
      <c r="H1509" s="16"/>
      <c r="I1509" s="16"/>
      <c r="J1509" s="21">
        <v>929</v>
      </c>
      <c r="K1509" s="21"/>
      <c r="L1509" s="16"/>
      <c r="M1509" s="21"/>
      <c r="N1509" s="21"/>
      <c r="O1509" s="21"/>
      <c r="P1509" s="16"/>
      <c r="Q1509" s="16"/>
      <c r="R1509" s="16"/>
      <c r="S1509" s="16"/>
      <c r="T1509" s="16" t="s">
        <v>140</v>
      </c>
      <c r="U1509" s="16" t="s">
        <v>221</v>
      </c>
      <c r="V1509" s="16"/>
      <c r="W1509" s="16"/>
      <c r="X1509" s="16"/>
      <c r="Y1509" s="16"/>
      <c r="Z1509" s="16"/>
      <c r="AA1509" s="16"/>
      <c r="AB1509" s="16"/>
      <c r="AC1509" s="16"/>
      <c r="AD1509" s="16"/>
      <c r="AE1509" s="16"/>
      <c r="AF1509" s="16"/>
      <c r="AG1509" s="16"/>
      <c r="AH1509" s="16"/>
      <c r="AI1509" s="16"/>
      <c r="AJ1509" s="16"/>
      <c r="AK1509" s="16">
        <v>18.5</v>
      </c>
      <c r="AL1509" s="16"/>
      <c r="AM1509" s="16"/>
      <c r="AN1509" s="16"/>
      <c r="AO1509" s="16"/>
      <c r="AP1509" s="16"/>
      <c r="AQ1509" s="16"/>
      <c r="AR1509" s="16"/>
      <c r="AS1509" s="16"/>
      <c r="AT1509" s="16"/>
      <c r="AU1509" s="16"/>
      <c r="AV1509" s="16"/>
      <c r="AW1509" s="16"/>
      <c r="AX1509" s="16"/>
      <c r="AY1509" s="16"/>
      <c r="AZ1509" s="16"/>
      <c r="BA1509" s="16"/>
      <c r="BB1509" s="16"/>
      <c r="BC1509" s="16"/>
      <c r="BD1509" s="16"/>
      <c r="BE1509" s="16"/>
      <c r="BF1509" s="16"/>
      <c r="BG1509" s="77"/>
      <c r="BH1509" s="16"/>
      <c r="BI1509" s="16"/>
      <c r="BJ1509" s="16"/>
      <c r="BK1509" s="16"/>
      <c r="BL1509" s="16"/>
      <c r="BM1509" s="16"/>
      <c r="BN1509" s="16"/>
      <c r="BO1509" s="16"/>
      <c r="BP1509" s="16"/>
      <c r="BQ1509" s="16"/>
      <c r="BR1509" s="16"/>
      <c r="BS1509" s="16"/>
      <c r="BT1509" s="77"/>
      <c r="BU1509" s="16"/>
      <c r="BV1509" s="16"/>
      <c r="BW1509" s="16"/>
      <c r="BX1509" s="16"/>
      <c r="BY1509" s="16"/>
      <c r="BZ1509" s="16"/>
      <c r="CA1509" s="16"/>
      <c r="CB1509" s="16"/>
      <c r="CC1509" s="16"/>
      <c r="CD1509" s="77"/>
      <c r="CE1509" s="16"/>
      <c r="CF1509" s="16"/>
      <c r="CG1509" s="16"/>
      <c r="CH1509" s="16"/>
      <c r="CI1509" s="16"/>
      <c r="CJ1509" s="16"/>
      <c r="CK1509" s="16"/>
      <c r="CL1509" s="16"/>
      <c r="CM1509" s="16"/>
      <c r="CN1509" s="16"/>
      <c r="CO1509" s="16"/>
      <c r="CP1509" s="16"/>
      <c r="CQ1509" s="16"/>
      <c r="CR1509" s="16"/>
      <c r="CS1509" s="16"/>
      <c r="CT1509" s="16"/>
      <c r="CU1509" s="16"/>
      <c r="CV1509" s="16"/>
      <c r="CW1509" s="16"/>
      <c r="CX1509" s="16"/>
      <c r="CY1509" s="16"/>
      <c r="CZ1509" s="16"/>
      <c r="DA1509" s="16"/>
      <c r="DB1509" s="16"/>
      <c r="DC1509" s="16"/>
      <c r="DD1509" s="16"/>
      <c r="DE1509" s="16"/>
      <c r="DF1509" s="16" t="e">
        <f>VLOOKUP(K1509,'[3]RNA Seq summary tables'!$V$3:$V$99,1,FALSE)</f>
        <v>#N/A</v>
      </c>
      <c r="DG1509" s="16"/>
      <c r="DH1509" s="16"/>
      <c r="DI1509" s="16"/>
      <c r="DJ1509" s="16"/>
      <c r="DK1509" s="16"/>
      <c r="DL1509" s="16"/>
      <c r="DM1509" s="16"/>
      <c r="DN1509" s="16"/>
      <c r="DO1509" s="16"/>
      <c r="DP1509" s="16"/>
      <c r="DQ1509" s="16"/>
      <c r="DR1509" s="16"/>
      <c r="DS1509" s="16"/>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18"/>
      <c r="EQ1509" s="18"/>
      <c r="ER1509" s="18"/>
      <c r="ES1509" s="18"/>
      <c r="ET1509" s="18"/>
      <c r="EU1509" s="18"/>
      <c r="EV1509" s="18"/>
      <c r="EW1509" s="18"/>
      <c r="EX1509" s="18"/>
      <c r="EY1509" s="18"/>
      <c r="EZ1509" s="18"/>
      <c r="FA1509" s="18"/>
      <c r="FB1509" s="18"/>
      <c r="FC1509" s="18"/>
      <c r="FD1509" s="18"/>
      <c r="FE1509" s="18"/>
      <c r="FF1509" s="18"/>
      <c r="FG1509" s="18"/>
      <c r="FH1509" s="18"/>
      <c r="FI1509" s="18"/>
      <c r="FJ1509" s="18"/>
      <c r="FK1509" s="18"/>
      <c r="FL1509" s="18"/>
      <c r="FM1509" s="18"/>
      <c r="FN1509" s="18"/>
      <c r="FO1509" s="18"/>
      <c r="FP1509" s="18"/>
      <c r="FQ1509" s="18"/>
      <c r="FR1509" s="18"/>
      <c r="FS1509" s="18"/>
      <c r="FT1509" s="18"/>
      <c r="FU1509" s="18"/>
      <c r="FV1509" s="18"/>
      <c r="FW1509" s="18"/>
      <c r="FX1509" s="18"/>
      <c r="FY1509" s="18"/>
      <c r="FZ1509" s="18"/>
      <c r="GA1509" s="18"/>
      <c r="GB1509" s="18"/>
      <c r="GC1509" s="18"/>
      <c r="GD1509" s="18"/>
      <c r="GE1509" s="18"/>
      <c r="GF1509" s="18"/>
      <c r="GG1509" s="18"/>
      <c r="GH1509" s="18"/>
      <c r="GI1509" s="18"/>
      <c r="GJ1509" s="18"/>
      <c r="GK1509" s="18"/>
      <c r="GL1509" s="18"/>
      <c r="GM1509" s="18"/>
      <c r="GN1509" s="18"/>
      <c r="GO1509" s="18"/>
      <c r="GP1509" s="18"/>
      <c r="GQ1509" s="18"/>
      <c r="GR1509" s="18"/>
      <c r="GS1509" s="18"/>
      <c r="GT1509" s="18"/>
      <c r="GU1509" s="18"/>
      <c r="GV1509" s="18"/>
      <c r="GW1509" s="18"/>
      <c r="GX1509" s="18"/>
      <c r="GY1509" s="18"/>
      <c r="GZ1509" s="18"/>
      <c r="HA1509" s="18"/>
      <c r="HB1509" s="18"/>
      <c r="HC1509" s="18"/>
      <c r="HD1509" s="18"/>
      <c r="HE1509" s="18"/>
      <c r="HF1509" s="18"/>
      <c r="HG1509" s="18"/>
      <c r="HH1509" s="18"/>
      <c r="HI1509" s="18"/>
      <c r="HJ1509" s="18"/>
      <c r="HK1509" s="18"/>
      <c r="HL1509" s="18"/>
      <c r="HM1509" s="18"/>
      <c r="HN1509" s="18"/>
      <c r="HO1509" s="18"/>
      <c r="HP1509" s="18"/>
      <c r="HQ1509" s="18"/>
      <c r="HR1509" s="18"/>
      <c r="HS1509" s="18"/>
      <c r="HT1509" s="18"/>
      <c r="HU1509" s="18"/>
      <c r="HV1509" s="18"/>
      <c r="HW1509" s="18"/>
      <c r="HX1509" s="18"/>
      <c r="HY1509" s="18"/>
      <c r="HZ1509" s="18"/>
      <c r="IA1509" s="18"/>
      <c r="IB1509" s="18"/>
      <c r="IC1509" s="18"/>
      <c r="ID1509" s="18"/>
      <c r="IE1509" s="18"/>
      <c r="IF1509" s="18"/>
      <c r="IG1509" s="18"/>
      <c r="IH1509" s="18"/>
      <c r="II1509" s="18"/>
      <c r="IJ1509" s="18"/>
      <c r="IK1509" s="18"/>
      <c r="IL1509" s="18"/>
      <c r="IM1509" s="18"/>
      <c r="IN1509" s="18"/>
      <c r="IO1509" s="18"/>
      <c r="IP1509" s="18"/>
      <c r="IQ1509" s="18"/>
      <c r="IR1509" s="18"/>
      <c r="IS1509" s="18"/>
      <c r="IT1509" s="18"/>
      <c r="IU1509" s="18"/>
      <c r="IV1509" s="18"/>
      <c r="IW1509" s="18"/>
      <c r="IX1509" s="18"/>
      <c r="IY1509" s="18"/>
      <c r="IZ1509" s="18"/>
      <c r="JA1509" s="18"/>
      <c r="JB1509" s="18"/>
      <c r="JC1509" s="18"/>
      <c r="JD1509" s="18"/>
      <c r="JE1509" s="18"/>
      <c r="JF1509" s="18"/>
      <c r="JG1509" s="18"/>
      <c r="JH1509" s="18"/>
      <c r="JI1509" s="18"/>
      <c r="JJ1509" s="18"/>
      <c r="JK1509" s="18"/>
      <c r="JL1509" s="18"/>
      <c r="JM1509" s="18"/>
      <c r="JN1509" s="18"/>
      <c r="JO1509" s="16"/>
      <c r="JP1509" s="16"/>
      <c r="JQ1509" s="16"/>
      <c r="JR1509" s="16"/>
      <c r="JS1509" s="16"/>
      <c r="JT1509" s="16"/>
      <c r="JU1509" s="16"/>
      <c r="JV1509" s="16"/>
      <c r="JW1509" s="16"/>
      <c r="JX1509" s="16"/>
      <c r="JY1509" s="16"/>
      <c r="JZ1509" s="16"/>
      <c r="KA1509" s="16"/>
      <c r="KB1509" s="16"/>
    </row>
    <row r="1510" spans="1:288" s="27" customFormat="1" x14ac:dyDescent="0.2">
      <c r="A1510" s="18"/>
      <c r="B1510" s="16">
        <v>2016</v>
      </c>
      <c r="C1510" s="20">
        <v>42608</v>
      </c>
      <c r="D1510" s="20" t="str">
        <f>CONCATENATE(J1510,"-",C1510)</f>
        <v>929-42608</v>
      </c>
      <c r="E1510" s="20" t="str">
        <f>CONCATENATE(T1510,"-",U1510,"-",C1510)</f>
        <v>SP1-F6-42608</v>
      </c>
      <c r="F1510" s="20" t="s">
        <v>227</v>
      </c>
      <c r="G1510" s="20" t="s">
        <v>278</v>
      </c>
      <c r="H1510" s="16"/>
      <c r="I1510" s="16"/>
      <c r="J1510" s="21">
        <v>929</v>
      </c>
      <c r="K1510" s="21"/>
      <c r="L1510" s="16"/>
      <c r="M1510" s="21"/>
      <c r="N1510" s="21"/>
      <c r="O1510" s="21"/>
      <c r="P1510" s="16"/>
      <c r="Q1510" s="16"/>
      <c r="R1510" s="16"/>
      <c r="S1510" s="16"/>
      <c r="T1510" s="16" t="s">
        <v>140</v>
      </c>
      <c r="U1510" s="16" t="s">
        <v>170</v>
      </c>
      <c r="V1510" s="16"/>
      <c r="W1510" s="16"/>
      <c r="X1510" s="16"/>
      <c r="Y1510" s="16"/>
      <c r="Z1510" s="16"/>
      <c r="AA1510" s="16"/>
      <c r="AB1510" s="16"/>
      <c r="AC1510" s="16"/>
      <c r="AD1510" s="16"/>
      <c r="AE1510" s="16"/>
      <c r="AF1510" s="16"/>
      <c r="AG1510" s="16"/>
      <c r="AH1510" s="16"/>
      <c r="AI1510" s="16"/>
      <c r="AJ1510" s="16"/>
      <c r="AK1510" s="16">
        <v>22</v>
      </c>
      <c r="AL1510" s="16"/>
      <c r="AM1510" s="16"/>
      <c r="AN1510" s="16"/>
      <c r="AO1510" s="16"/>
      <c r="AP1510" s="16"/>
      <c r="AQ1510" s="16"/>
      <c r="AR1510" s="16"/>
      <c r="AS1510" s="16"/>
      <c r="AT1510" s="16"/>
      <c r="AU1510" s="16"/>
      <c r="AV1510" s="16"/>
      <c r="AW1510" s="16"/>
      <c r="AX1510" s="16"/>
      <c r="AY1510" s="16"/>
      <c r="AZ1510" s="16"/>
      <c r="BA1510" s="16"/>
      <c r="BB1510" s="16"/>
      <c r="BC1510" s="16"/>
      <c r="BD1510" s="16"/>
      <c r="BE1510" s="16"/>
      <c r="BF1510" s="16"/>
      <c r="BG1510" s="77"/>
      <c r="BH1510" s="16"/>
      <c r="BI1510" s="16"/>
      <c r="BJ1510" s="16"/>
      <c r="BK1510" s="16"/>
      <c r="BL1510" s="16"/>
      <c r="BM1510" s="16"/>
      <c r="BN1510" s="16"/>
      <c r="BO1510" s="16"/>
      <c r="BP1510" s="16"/>
      <c r="BQ1510" s="16"/>
      <c r="BR1510" s="16"/>
      <c r="BS1510" s="16"/>
      <c r="BT1510" s="77"/>
      <c r="BU1510" s="16"/>
      <c r="BV1510" s="16"/>
      <c r="BW1510" s="16"/>
      <c r="BX1510" s="16"/>
      <c r="BY1510" s="16"/>
      <c r="BZ1510" s="16"/>
      <c r="CA1510" s="16"/>
      <c r="CB1510" s="16"/>
      <c r="CC1510" s="16"/>
      <c r="CD1510" s="77"/>
      <c r="CE1510" s="16"/>
      <c r="CF1510" s="16"/>
      <c r="CG1510" s="16"/>
      <c r="CH1510" s="16"/>
      <c r="CI1510" s="16"/>
      <c r="CJ1510" s="16"/>
      <c r="CK1510" s="16"/>
      <c r="CL1510" s="16"/>
      <c r="CM1510" s="16"/>
      <c r="CN1510" s="16"/>
      <c r="CO1510" s="16"/>
      <c r="CP1510" s="16"/>
      <c r="CQ1510" s="16"/>
      <c r="CR1510" s="16"/>
      <c r="CS1510" s="16"/>
      <c r="CT1510" s="16"/>
      <c r="CU1510" s="16"/>
      <c r="CV1510" s="16"/>
      <c r="CW1510" s="16"/>
      <c r="CX1510" s="16"/>
      <c r="CY1510" s="16"/>
      <c r="CZ1510" s="16"/>
      <c r="DA1510" s="16"/>
      <c r="DB1510" s="16"/>
      <c r="DC1510" s="16"/>
      <c r="DD1510" s="16"/>
      <c r="DE1510" s="16"/>
      <c r="DF1510" s="16" t="e">
        <f>VLOOKUP(K1510,'[3]RNA Seq summary tables'!$V$3:$V$99,1,FALSE)</f>
        <v>#N/A</v>
      </c>
      <c r="DG1510" s="16">
        <v>1</v>
      </c>
      <c r="DH1510" s="16" t="str">
        <f>VLOOKUP(D1510,'[8]Data with duplicates'!$B$1:$J$70,9,FALSE)</f>
        <v>sample.22dup</v>
      </c>
      <c r="DI1510" s="16"/>
      <c r="DJ1510" s="16"/>
      <c r="DK1510" s="16"/>
      <c r="DL1510" s="16"/>
      <c r="DM1510" s="16"/>
      <c r="DN1510" s="16"/>
      <c r="DO1510" s="16"/>
      <c r="DP1510" s="16"/>
      <c r="DQ1510" s="16"/>
      <c r="DR1510" s="16"/>
      <c r="DS1510" s="16"/>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18"/>
      <c r="EQ1510" s="18"/>
      <c r="ER1510" s="18"/>
      <c r="ES1510" s="18"/>
      <c r="ET1510" s="18"/>
      <c r="EU1510" s="18"/>
      <c r="EV1510" s="18"/>
      <c r="EW1510" s="18"/>
      <c r="EX1510" s="18"/>
      <c r="EY1510" s="18"/>
      <c r="EZ1510" s="18"/>
      <c r="FA1510" s="18"/>
      <c r="FB1510" s="18"/>
      <c r="FC1510" s="18"/>
      <c r="FD1510" s="18"/>
      <c r="FE1510" s="18"/>
      <c r="FF1510" s="18"/>
      <c r="FG1510" s="18"/>
      <c r="FH1510" s="18"/>
      <c r="FI1510" s="18"/>
      <c r="FJ1510" s="18"/>
      <c r="FK1510" s="18"/>
      <c r="FL1510" s="18"/>
      <c r="FM1510" s="18"/>
      <c r="FN1510" s="18"/>
      <c r="FO1510" s="18"/>
      <c r="FP1510" s="18"/>
      <c r="FQ1510" s="18"/>
      <c r="FR1510" s="18"/>
      <c r="FS1510" s="18"/>
      <c r="FT1510" s="18"/>
      <c r="FU1510" s="18"/>
      <c r="FV1510" s="18"/>
      <c r="FW1510" s="18"/>
      <c r="FX1510" s="18"/>
      <c r="FY1510" s="18"/>
      <c r="FZ1510" s="18"/>
      <c r="GA1510" s="18"/>
      <c r="GB1510" s="18"/>
      <c r="GC1510" s="18"/>
      <c r="GD1510" s="18"/>
      <c r="GE1510" s="18"/>
      <c r="GF1510" s="18"/>
      <c r="GG1510" s="18"/>
      <c r="GH1510" s="18"/>
      <c r="GI1510" s="18"/>
      <c r="GJ1510" s="18"/>
      <c r="GK1510" s="18"/>
      <c r="GL1510" s="18"/>
      <c r="GM1510" s="18"/>
      <c r="GN1510" s="18"/>
      <c r="GO1510" s="18"/>
      <c r="GP1510" s="18"/>
      <c r="GQ1510" s="18"/>
      <c r="GR1510" s="18"/>
      <c r="GS1510" s="18"/>
      <c r="GT1510" s="18"/>
      <c r="GU1510" s="18"/>
      <c r="GV1510" s="18"/>
      <c r="GW1510" s="18"/>
      <c r="GX1510" s="18"/>
      <c r="GY1510" s="18"/>
      <c r="GZ1510" s="18"/>
      <c r="HA1510" s="18"/>
      <c r="HB1510" s="18"/>
      <c r="HC1510" s="18"/>
      <c r="HD1510" s="18"/>
      <c r="HE1510" s="18"/>
      <c r="HF1510" s="18"/>
      <c r="HG1510" s="18"/>
      <c r="HH1510" s="18"/>
      <c r="HI1510" s="18"/>
      <c r="HJ1510" s="18"/>
      <c r="HK1510" s="18"/>
      <c r="HL1510" s="18"/>
      <c r="HM1510" s="18"/>
      <c r="HN1510" s="18"/>
      <c r="HO1510" s="18"/>
      <c r="HP1510" s="18"/>
      <c r="HQ1510" s="18"/>
      <c r="HR1510" s="18"/>
      <c r="HS1510" s="18"/>
      <c r="HT1510" s="18"/>
      <c r="HU1510" s="18"/>
      <c r="HV1510" s="18"/>
      <c r="HW1510" s="18"/>
      <c r="HX1510" s="18"/>
      <c r="HY1510" s="18"/>
      <c r="HZ1510" s="18"/>
      <c r="IA1510" s="18"/>
      <c r="IB1510" s="18"/>
      <c r="IC1510" s="18"/>
      <c r="ID1510" s="18"/>
      <c r="IE1510" s="18"/>
      <c r="IF1510" s="18"/>
      <c r="IG1510" s="18"/>
      <c r="IH1510" s="18"/>
      <c r="II1510" s="18"/>
      <c r="IJ1510" s="18"/>
      <c r="IK1510" s="18"/>
      <c r="IL1510" s="18"/>
      <c r="IM1510" s="18"/>
      <c r="IN1510" s="18"/>
      <c r="IO1510" s="18"/>
      <c r="IP1510" s="18"/>
      <c r="IQ1510" s="18"/>
      <c r="IR1510" s="18"/>
      <c r="IS1510" s="18"/>
      <c r="IT1510" s="18"/>
      <c r="IU1510" s="18"/>
      <c r="IV1510" s="18"/>
      <c r="IW1510" s="18"/>
      <c r="IX1510" s="18"/>
      <c r="IY1510" s="18"/>
      <c r="IZ1510" s="18"/>
      <c r="JA1510" s="18"/>
      <c r="JB1510" s="18"/>
      <c r="JC1510" s="18"/>
      <c r="JD1510" s="18"/>
      <c r="JE1510" s="18"/>
      <c r="JF1510" s="18"/>
      <c r="JG1510" s="18"/>
      <c r="JH1510" s="18"/>
      <c r="JI1510" s="18"/>
      <c r="JJ1510" s="18"/>
      <c r="JK1510" s="18"/>
      <c r="JL1510" s="18"/>
      <c r="JM1510" s="18"/>
      <c r="JN1510" s="18"/>
      <c r="JO1510" s="16"/>
      <c r="JP1510" s="16"/>
      <c r="JQ1510" s="16"/>
      <c r="JR1510" s="16"/>
      <c r="JS1510" s="16"/>
      <c r="JT1510" s="16"/>
      <c r="JU1510" s="16"/>
      <c r="JV1510" s="16"/>
      <c r="JW1510" s="16"/>
      <c r="JX1510" s="16"/>
      <c r="JY1510" s="16"/>
      <c r="JZ1510" s="16"/>
      <c r="KA1510" s="16"/>
      <c r="KB1510" s="16"/>
    </row>
    <row r="1511" spans="1:288" s="27" customFormat="1" x14ac:dyDescent="0.2">
      <c r="A1511" s="18"/>
      <c r="B1511" s="16">
        <v>2016</v>
      </c>
      <c r="C1511" s="20">
        <v>42529</v>
      </c>
      <c r="D1511" s="20" t="str">
        <f>CONCATENATE(J1511,"-",C1511)</f>
        <v>930-42529</v>
      </c>
      <c r="E1511" s="20" t="str">
        <f>CONCATENATE(T1511,"-",U1511,"-",C1511)</f>
        <v>BC2-E2-42529</v>
      </c>
      <c r="F1511" s="20" t="s">
        <v>106</v>
      </c>
      <c r="G1511" s="20" t="s">
        <v>278</v>
      </c>
      <c r="H1511" s="16"/>
      <c r="I1511" s="16"/>
      <c r="J1511" s="21">
        <v>930</v>
      </c>
      <c r="K1511" s="21"/>
      <c r="L1511" s="16"/>
      <c r="M1511" s="21"/>
      <c r="N1511" s="21"/>
      <c r="O1511" s="21"/>
      <c r="P1511" s="16"/>
      <c r="Q1511" s="16"/>
      <c r="R1511" s="16"/>
      <c r="S1511" s="16"/>
      <c r="T1511" s="16" t="s">
        <v>154</v>
      </c>
      <c r="U1511" s="16" t="s">
        <v>136</v>
      </c>
      <c r="V1511" s="16" t="s">
        <v>114</v>
      </c>
      <c r="W1511" s="16"/>
      <c r="X1511" s="16" t="s">
        <v>121</v>
      </c>
      <c r="Y1511" s="16" t="s">
        <v>110</v>
      </c>
      <c r="Z1511" s="16">
        <v>3</v>
      </c>
      <c r="AA1511" s="16" t="s">
        <v>119</v>
      </c>
      <c r="AB1511" s="16" t="s">
        <v>123</v>
      </c>
      <c r="AC1511" s="16" t="s">
        <v>123</v>
      </c>
      <c r="AD1511" s="16" t="s">
        <v>123</v>
      </c>
      <c r="AE1511" s="16"/>
      <c r="AF1511" s="16"/>
      <c r="AG1511" s="16"/>
      <c r="AH1511" s="16"/>
      <c r="AI1511" s="16"/>
      <c r="AJ1511" s="16"/>
      <c r="AK1511" s="16">
        <v>15.5</v>
      </c>
      <c r="AL1511" s="16">
        <v>0</v>
      </c>
      <c r="AM1511" s="16">
        <v>1</v>
      </c>
      <c r="AN1511" s="16">
        <v>0</v>
      </c>
      <c r="AO1511" s="16">
        <f>IF(SUM(AL1511:AN1511)&gt;0,1,0)</f>
        <v>1</v>
      </c>
      <c r="AP1511" s="16">
        <f>SUM(AL1511:AN1511)</f>
        <v>1</v>
      </c>
      <c r="AQ1511" s="16"/>
      <c r="AR1511" s="16"/>
      <c r="AS1511" s="16"/>
      <c r="AT1511" s="16"/>
      <c r="AU1511" s="16"/>
      <c r="AV1511" s="16"/>
      <c r="AW1511" s="16"/>
      <c r="AX1511" s="16"/>
      <c r="AY1511" s="16"/>
      <c r="AZ1511" s="16"/>
      <c r="BA1511" s="16"/>
      <c r="BB1511" s="16"/>
      <c r="BC1511" s="16"/>
      <c r="BD1511" s="16"/>
      <c r="BE1511" s="16"/>
      <c r="BF1511" s="16"/>
      <c r="BG1511" s="77"/>
      <c r="BH1511" s="16"/>
      <c r="BI1511" s="16"/>
      <c r="BJ1511" s="16"/>
      <c r="BK1511" s="16"/>
      <c r="BL1511" s="16"/>
      <c r="BM1511" s="16"/>
      <c r="BN1511" s="16"/>
      <c r="BO1511" s="16"/>
      <c r="BP1511" s="16"/>
      <c r="BQ1511" s="16"/>
      <c r="BR1511" s="16"/>
      <c r="BS1511" s="16"/>
      <c r="BT1511" s="77"/>
      <c r="BU1511" s="16"/>
      <c r="BV1511" s="16"/>
      <c r="BW1511" s="16"/>
      <c r="BX1511" s="16"/>
      <c r="BY1511" s="16"/>
      <c r="BZ1511" s="16"/>
      <c r="CA1511" s="16"/>
      <c r="CB1511" s="16"/>
      <c r="CC1511" s="16"/>
      <c r="CD1511" s="77"/>
      <c r="CE1511" s="16"/>
      <c r="CF1511" s="16"/>
      <c r="CG1511" s="16"/>
      <c r="CH1511" s="16"/>
      <c r="CI1511" s="16"/>
      <c r="CJ1511" s="16"/>
      <c r="CK1511" s="16"/>
      <c r="CL1511" s="16"/>
      <c r="CM1511" s="16"/>
      <c r="CN1511" s="16"/>
      <c r="CO1511" s="16"/>
      <c r="CP1511" s="16"/>
      <c r="CQ1511" s="16"/>
      <c r="CR1511" s="16"/>
      <c r="CS1511" s="16"/>
      <c r="CT1511" s="16"/>
      <c r="CU1511" s="16"/>
      <c r="CV1511" s="16"/>
      <c r="CW1511" s="16"/>
      <c r="CX1511" s="16"/>
      <c r="CY1511" s="16"/>
      <c r="CZ1511" s="16"/>
      <c r="DA1511" s="16"/>
      <c r="DB1511" s="16"/>
      <c r="DC1511" s="16"/>
      <c r="DD1511" s="16"/>
      <c r="DE1511" s="16"/>
      <c r="DF1511" s="16" t="e">
        <f>VLOOKUP(K1511,'[3]RNA Seq summary tables'!$V$3:$V$99,1,FALSE)</f>
        <v>#N/A</v>
      </c>
      <c r="DG1511" s="16"/>
      <c r="DH1511" s="16"/>
      <c r="DI1511" s="16"/>
      <c r="DJ1511" s="16"/>
      <c r="DK1511" s="16"/>
      <c r="DL1511" s="16"/>
      <c r="DM1511" s="16"/>
      <c r="DN1511" s="16"/>
      <c r="DO1511" s="16"/>
      <c r="DP1511" s="16"/>
      <c r="DQ1511" s="16"/>
      <c r="DR1511" s="16"/>
      <c r="DS1511" s="16"/>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18"/>
      <c r="EQ1511" s="18"/>
      <c r="ER1511" s="18"/>
      <c r="ES1511" s="18"/>
      <c r="ET1511" s="18"/>
      <c r="EU1511" s="18"/>
      <c r="EV1511" s="18"/>
      <c r="EW1511" s="18"/>
      <c r="EX1511" s="18"/>
      <c r="EY1511" s="18"/>
      <c r="EZ1511" s="18"/>
      <c r="FA1511" s="18"/>
      <c r="FB1511" s="18"/>
      <c r="FC1511" s="18"/>
      <c r="FD1511" s="18"/>
      <c r="FE1511" s="18"/>
      <c r="FF1511" s="18"/>
      <c r="FG1511" s="18"/>
      <c r="FH1511" s="18"/>
      <c r="FI1511" s="18"/>
      <c r="FJ1511" s="18"/>
      <c r="FK1511" s="18"/>
      <c r="FL1511" s="18"/>
      <c r="FM1511" s="18"/>
      <c r="FN1511" s="18"/>
      <c r="FO1511" s="18"/>
      <c r="FP1511" s="18"/>
      <c r="FQ1511" s="18"/>
      <c r="FR1511" s="18"/>
      <c r="FS1511" s="18"/>
      <c r="FT1511" s="18"/>
      <c r="FU1511" s="18"/>
      <c r="FV1511" s="18"/>
      <c r="FW1511" s="18"/>
      <c r="FX1511" s="18"/>
      <c r="FY1511" s="18"/>
      <c r="FZ1511" s="18"/>
      <c r="GA1511" s="18"/>
      <c r="GB1511" s="18"/>
      <c r="GC1511" s="18"/>
      <c r="GD1511" s="18"/>
      <c r="GE1511" s="18"/>
      <c r="GF1511" s="18"/>
      <c r="GG1511" s="18"/>
      <c r="GH1511" s="18"/>
      <c r="GI1511" s="18"/>
      <c r="GJ1511" s="18"/>
      <c r="GK1511" s="18"/>
      <c r="GL1511" s="18"/>
      <c r="GM1511" s="18"/>
      <c r="GN1511" s="18"/>
      <c r="GO1511" s="18"/>
      <c r="GP1511" s="18"/>
      <c r="GQ1511" s="18"/>
      <c r="GR1511" s="18"/>
      <c r="GS1511" s="18"/>
      <c r="GT1511" s="18"/>
      <c r="GU1511" s="18"/>
      <c r="GV1511" s="18"/>
      <c r="GW1511" s="18"/>
      <c r="GX1511" s="18"/>
      <c r="GY1511" s="18"/>
      <c r="GZ1511" s="18"/>
      <c r="HA1511" s="18"/>
      <c r="HB1511" s="18"/>
      <c r="HC1511" s="18"/>
      <c r="HD1511" s="18"/>
      <c r="HE1511" s="18"/>
      <c r="HF1511" s="18"/>
      <c r="HG1511" s="18"/>
      <c r="HH1511" s="18"/>
      <c r="HI1511" s="18"/>
      <c r="HJ1511" s="18"/>
      <c r="HK1511" s="18"/>
      <c r="HL1511" s="18"/>
      <c r="HM1511" s="18"/>
      <c r="HN1511" s="18"/>
      <c r="HO1511" s="18"/>
      <c r="HP1511" s="18"/>
      <c r="HQ1511" s="18"/>
      <c r="HR1511" s="18"/>
      <c r="HS1511" s="18"/>
      <c r="HT1511" s="18"/>
      <c r="HU1511" s="18"/>
      <c r="HV1511" s="18"/>
      <c r="HW1511" s="18"/>
      <c r="HX1511" s="18"/>
      <c r="HY1511" s="18"/>
      <c r="HZ1511" s="18"/>
      <c r="IA1511" s="18"/>
      <c r="IB1511" s="18"/>
      <c r="IC1511" s="18"/>
      <c r="ID1511" s="18"/>
      <c r="IE1511" s="18"/>
      <c r="IF1511" s="18"/>
      <c r="IG1511" s="18"/>
      <c r="IH1511" s="18"/>
      <c r="II1511" s="18"/>
      <c r="IJ1511" s="18"/>
      <c r="IK1511" s="18"/>
      <c r="IL1511" s="18"/>
      <c r="IM1511" s="18"/>
      <c r="IN1511" s="18"/>
      <c r="IO1511" s="18"/>
      <c r="IP1511" s="18"/>
      <c r="IQ1511" s="18"/>
      <c r="IR1511" s="18"/>
      <c r="IS1511" s="18"/>
      <c r="IT1511" s="18"/>
      <c r="IU1511" s="18"/>
      <c r="IV1511" s="18"/>
      <c r="IW1511" s="18"/>
      <c r="IX1511" s="18"/>
      <c r="IY1511" s="18"/>
      <c r="IZ1511" s="18"/>
      <c r="JA1511" s="18"/>
      <c r="JB1511" s="18"/>
      <c r="JC1511" s="18"/>
      <c r="JD1511" s="18"/>
      <c r="JE1511" s="18"/>
      <c r="JF1511" s="18"/>
      <c r="JG1511" s="18"/>
      <c r="JH1511" s="18"/>
      <c r="JI1511" s="18"/>
      <c r="JJ1511" s="18"/>
      <c r="JK1511" s="18"/>
      <c r="JL1511" s="18"/>
      <c r="JM1511" s="18"/>
      <c r="JN1511" s="18"/>
      <c r="JO1511" s="16"/>
      <c r="JP1511" s="18"/>
      <c r="JQ1511" s="18"/>
      <c r="JR1511" s="16"/>
      <c r="JS1511" s="16"/>
      <c r="JT1511" s="16"/>
      <c r="JU1511" s="16"/>
      <c r="JV1511" s="16"/>
      <c r="JW1511" s="16"/>
      <c r="JX1511" s="16"/>
      <c r="JY1511" s="16"/>
      <c r="JZ1511" s="16"/>
      <c r="KA1511" s="16"/>
      <c r="KB1511" s="16"/>
    </row>
    <row r="1512" spans="1:288" s="18" customFormat="1" x14ac:dyDescent="0.2">
      <c r="B1512" s="16">
        <v>2016</v>
      </c>
      <c r="C1512" s="20">
        <v>42542</v>
      </c>
      <c r="D1512" s="20" t="str">
        <f>CONCATENATE(J1512,"-",C1512)</f>
        <v>930-42542</v>
      </c>
      <c r="E1512" s="20" t="str">
        <f>CONCATENATE(T1512,"-",U1512,"-",C1512)</f>
        <v>BC2-B2-42542</v>
      </c>
      <c r="F1512" s="20" t="s">
        <v>106</v>
      </c>
      <c r="G1512" s="20" t="s">
        <v>278</v>
      </c>
      <c r="H1512" s="16"/>
      <c r="I1512" s="23"/>
      <c r="J1512" s="15">
        <v>930</v>
      </c>
      <c r="K1512" s="15"/>
      <c r="L1512" s="16"/>
      <c r="M1512" s="15"/>
      <c r="N1512" s="15"/>
      <c r="O1512" s="15"/>
      <c r="P1512" s="23"/>
      <c r="Q1512" s="23"/>
      <c r="R1512" s="23"/>
      <c r="S1512" s="23"/>
      <c r="T1512" s="23" t="s">
        <v>154</v>
      </c>
      <c r="U1512" s="23" t="s">
        <v>130</v>
      </c>
      <c r="V1512" s="23" t="s">
        <v>114</v>
      </c>
      <c r="W1512" s="23"/>
      <c r="X1512" s="23" t="s">
        <v>121</v>
      </c>
      <c r="Y1512" s="23" t="s">
        <v>110</v>
      </c>
      <c r="Z1512" s="16">
        <v>3</v>
      </c>
      <c r="AA1512" s="16" t="s">
        <v>119</v>
      </c>
      <c r="AB1512" s="16" t="s">
        <v>123</v>
      </c>
      <c r="AC1512" s="16" t="s">
        <v>123</v>
      </c>
      <c r="AD1512" s="16" t="s">
        <v>123</v>
      </c>
      <c r="AE1512" s="16"/>
      <c r="AF1512" s="16"/>
      <c r="AG1512" s="16"/>
      <c r="AH1512" s="16"/>
      <c r="AI1512" s="16"/>
      <c r="AJ1512" s="16"/>
      <c r="AK1512" s="16">
        <v>18</v>
      </c>
      <c r="AL1512" s="16">
        <v>0</v>
      </c>
      <c r="AM1512" s="16">
        <v>0</v>
      </c>
      <c r="AN1512" s="16">
        <v>0</v>
      </c>
      <c r="AO1512" s="16">
        <f>IF(SUM(AL1512:AN1512)&gt;0,1,0)</f>
        <v>0</v>
      </c>
      <c r="AP1512" s="16">
        <f>SUM(AL1512:AN1512)</f>
        <v>0</v>
      </c>
      <c r="AQ1512" s="16"/>
      <c r="AR1512" s="16"/>
      <c r="AS1512" s="16"/>
      <c r="AT1512" s="16"/>
      <c r="AU1512" s="16"/>
      <c r="AV1512" s="16"/>
      <c r="AW1512" s="16"/>
      <c r="AX1512" s="16"/>
      <c r="AY1512" s="16"/>
      <c r="AZ1512" s="16"/>
      <c r="BA1512" s="16"/>
      <c r="BB1512" s="16"/>
      <c r="BC1512" s="16"/>
      <c r="BD1512" s="16"/>
      <c r="BE1512" s="16"/>
      <c r="BF1512" s="16"/>
      <c r="BG1512" s="77"/>
      <c r="BH1512" s="16"/>
      <c r="BI1512" s="16"/>
      <c r="BJ1512" s="16"/>
      <c r="BK1512" s="16"/>
      <c r="BL1512" s="16"/>
      <c r="BM1512" s="16"/>
      <c r="BN1512" s="16"/>
      <c r="BO1512" s="16"/>
      <c r="BP1512" s="16"/>
      <c r="BQ1512" s="16"/>
      <c r="BR1512" s="16"/>
      <c r="BS1512" s="16"/>
      <c r="BT1512" s="77"/>
      <c r="BU1512" s="16"/>
      <c r="BV1512" s="16"/>
      <c r="BW1512" s="16"/>
      <c r="BX1512" s="16"/>
      <c r="BY1512" s="16"/>
      <c r="BZ1512" s="16"/>
      <c r="CA1512" s="16"/>
      <c r="CB1512" s="16"/>
      <c r="CC1512" s="16"/>
      <c r="CD1512" s="77"/>
      <c r="CE1512" s="16"/>
      <c r="CF1512" s="16"/>
      <c r="CG1512" s="16"/>
      <c r="CH1512" s="16"/>
      <c r="CI1512" s="16"/>
      <c r="CJ1512" s="16"/>
      <c r="CK1512" s="16"/>
      <c r="CL1512" s="16"/>
      <c r="CM1512" s="16"/>
      <c r="CN1512" s="16"/>
      <c r="CO1512" s="16"/>
      <c r="CP1512" s="16"/>
      <c r="CQ1512" s="16"/>
      <c r="CR1512" s="16"/>
      <c r="CS1512" s="16"/>
      <c r="CT1512" s="16"/>
      <c r="CU1512" s="16"/>
      <c r="CV1512" s="16"/>
      <c r="CW1512" s="16"/>
      <c r="CX1512" s="16"/>
      <c r="CY1512" s="16"/>
      <c r="CZ1512" s="16"/>
      <c r="DA1512" s="16"/>
      <c r="DB1512" s="16"/>
      <c r="DC1512" s="16"/>
      <c r="DD1512" s="16"/>
      <c r="DE1512" s="16"/>
      <c r="DF1512" s="16" t="e">
        <f>VLOOKUP(K1512,'[3]RNA Seq summary tables'!$V$3:$V$99,1,FALSE)</f>
        <v>#N/A</v>
      </c>
      <c r="DG1512" s="16"/>
      <c r="DH1512" s="16"/>
      <c r="DI1512" s="16"/>
      <c r="DJ1512" s="16"/>
      <c r="DK1512" s="16"/>
      <c r="DL1512" s="16"/>
      <c r="DM1512" s="16"/>
      <c r="DN1512" s="16"/>
      <c r="DO1512" s="16"/>
      <c r="DP1512" s="16"/>
      <c r="DQ1512" s="16"/>
      <c r="DR1512" s="16"/>
      <c r="DS1512" s="16"/>
      <c r="JO1512" s="16"/>
      <c r="JP1512" s="16"/>
      <c r="JQ1512" s="16"/>
      <c r="JR1512" s="38"/>
      <c r="JS1512" s="38"/>
      <c r="JT1512" s="38"/>
      <c r="JU1512" s="38"/>
      <c r="JV1512" s="38"/>
      <c r="JW1512" s="38"/>
      <c r="JX1512" s="38"/>
      <c r="JY1512" s="38"/>
      <c r="JZ1512" s="38"/>
      <c r="KA1512" s="38"/>
      <c r="KB1512" s="38"/>
    </row>
    <row r="1513" spans="1:288" s="27" customFormat="1" x14ac:dyDescent="0.2">
      <c r="A1513" s="18"/>
      <c r="B1513" s="16">
        <v>2016</v>
      </c>
      <c r="C1513" s="20">
        <v>42543</v>
      </c>
      <c r="D1513" s="20" t="str">
        <f>CONCATENATE(J1513,"-",C1513)</f>
        <v>930-42543</v>
      </c>
      <c r="E1513" s="20" t="str">
        <f>CONCATENATE(T1513,"-",U1513,"-",C1513)</f>
        <v>BC2-B2-42543</v>
      </c>
      <c r="F1513" s="20" t="s">
        <v>106</v>
      </c>
      <c r="G1513" s="20" t="s">
        <v>278</v>
      </c>
      <c r="H1513" s="16"/>
      <c r="I1513" s="23"/>
      <c r="J1513" s="15">
        <v>930</v>
      </c>
      <c r="K1513" s="15"/>
      <c r="L1513" s="16"/>
      <c r="M1513" s="15"/>
      <c r="N1513" s="15"/>
      <c r="O1513" s="15"/>
      <c r="P1513" s="23"/>
      <c r="Q1513" s="23"/>
      <c r="R1513" s="23"/>
      <c r="S1513" s="23"/>
      <c r="T1513" s="23" t="s">
        <v>154</v>
      </c>
      <c r="U1513" s="23" t="s">
        <v>130</v>
      </c>
      <c r="V1513" s="23" t="s">
        <v>114</v>
      </c>
      <c r="W1513" s="23"/>
      <c r="X1513" s="23"/>
      <c r="Y1513" s="23"/>
      <c r="Z1513" s="16"/>
      <c r="AA1513" s="16"/>
      <c r="AB1513" s="16"/>
      <c r="AC1513" s="16"/>
      <c r="AD1513" s="16"/>
      <c r="AE1513" s="16"/>
      <c r="AF1513" s="16"/>
      <c r="AG1513" s="16"/>
      <c r="AH1513" s="16"/>
      <c r="AI1513" s="16"/>
      <c r="AJ1513" s="16"/>
      <c r="AK1513" s="16"/>
      <c r="AL1513" s="16"/>
      <c r="AM1513" s="16"/>
      <c r="AN1513" s="16"/>
      <c r="AO1513" s="16"/>
      <c r="AP1513" s="16"/>
      <c r="AQ1513" s="16"/>
      <c r="AR1513" s="16"/>
      <c r="AS1513" s="16"/>
      <c r="AT1513" s="16"/>
      <c r="AU1513" s="16"/>
      <c r="AV1513" s="16"/>
      <c r="AW1513" s="16"/>
      <c r="AX1513" s="16"/>
      <c r="AY1513" s="16"/>
      <c r="AZ1513" s="16"/>
      <c r="BA1513" s="16"/>
      <c r="BB1513" s="16"/>
      <c r="BC1513" s="16"/>
      <c r="BD1513" s="16"/>
      <c r="BE1513" s="16"/>
      <c r="BF1513" s="16"/>
      <c r="BG1513" s="77"/>
      <c r="BH1513" s="16"/>
      <c r="BI1513" s="16"/>
      <c r="BJ1513" s="16"/>
      <c r="BK1513" s="16"/>
      <c r="BL1513" s="16"/>
      <c r="BM1513" s="16"/>
      <c r="BN1513" s="16"/>
      <c r="BO1513" s="16"/>
      <c r="BP1513" s="16"/>
      <c r="BQ1513" s="16"/>
      <c r="BR1513" s="16"/>
      <c r="BS1513" s="16"/>
      <c r="BT1513" s="77"/>
      <c r="BU1513" s="16"/>
      <c r="BV1513" s="16"/>
      <c r="BW1513" s="16"/>
      <c r="BX1513" s="16"/>
      <c r="BY1513" s="16"/>
      <c r="BZ1513" s="16"/>
      <c r="CA1513" s="16"/>
      <c r="CB1513" s="16"/>
      <c r="CC1513" s="16"/>
      <c r="CD1513" s="77"/>
      <c r="CE1513" s="16"/>
      <c r="CF1513" s="16"/>
      <c r="CG1513" s="16"/>
      <c r="CH1513" s="16"/>
      <c r="CI1513" s="16"/>
      <c r="CJ1513" s="16"/>
      <c r="CK1513" s="16"/>
      <c r="CL1513" s="16"/>
      <c r="CM1513" s="16"/>
      <c r="CN1513" s="16"/>
      <c r="CO1513" s="16"/>
      <c r="CP1513" s="16"/>
      <c r="CQ1513" s="16"/>
      <c r="CR1513" s="16"/>
      <c r="CS1513" s="16"/>
      <c r="CT1513" s="16"/>
      <c r="CU1513" s="16"/>
      <c r="CV1513" s="16"/>
      <c r="CW1513" s="16"/>
      <c r="CX1513" s="16"/>
      <c r="CY1513" s="16"/>
      <c r="CZ1513" s="16"/>
      <c r="DA1513" s="16"/>
      <c r="DB1513" s="16"/>
      <c r="DC1513" s="16"/>
      <c r="DD1513" s="16"/>
      <c r="DE1513" s="16"/>
      <c r="DF1513" s="16" t="e">
        <f>VLOOKUP(K1513,'[3]RNA Seq summary tables'!$V$3:$V$99,1,FALSE)</f>
        <v>#N/A</v>
      </c>
      <c r="DG1513" s="16"/>
      <c r="DH1513" s="16"/>
      <c r="DI1513" s="16"/>
      <c r="DJ1513" s="16"/>
      <c r="DK1513" s="16"/>
      <c r="DL1513" s="16"/>
      <c r="DM1513" s="16"/>
      <c r="DN1513" s="16"/>
      <c r="DO1513" s="16"/>
      <c r="DP1513" s="16"/>
      <c r="DQ1513" s="16"/>
      <c r="DR1513" s="16"/>
      <c r="DS1513" s="16"/>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18"/>
      <c r="EQ1513" s="18"/>
      <c r="ER1513" s="18"/>
      <c r="ES1513" s="18"/>
      <c r="ET1513" s="18"/>
      <c r="EU1513" s="18"/>
      <c r="EV1513" s="18"/>
      <c r="EW1513" s="18"/>
      <c r="EX1513" s="18"/>
      <c r="EY1513" s="18"/>
      <c r="EZ1513" s="18"/>
      <c r="FA1513" s="18"/>
      <c r="FB1513" s="18"/>
      <c r="FC1513" s="18"/>
      <c r="FD1513" s="18"/>
      <c r="FE1513" s="18"/>
      <c r="FF1513" s="18"/>
      <c r="FG1513" s="18"/>
      <c r="FH1513" s="18"/>
      <c r="FI1513" s="18"/>
      <c r="FJ1513" s="18"/>
      <c r="FK1513" s="18"/>
      <c r="FL1513" s="18"/>
      <c r="FM1513" s="18"/>
      <c r="FN1513" s="18"/>
      <c r="FO1513" s="18"/>
      <c r="FP1513" s="18"/>
      <c r="FQ1513" s="18"/>
      <c r="FR1513" s="18"/>
      <c r="FS1513" s="18"/>
      <c r="FT1513" s="18"/>
      <c r="FU1513" s="18"/>
      <c r="FV1513" s="18"/>
      <c r="FW1513" s="18"/>
      <c r="FX1513" s="18"/>
      <c r="FY1513" s="18"/>
      <c r="FZ1513" s="18"/>
      <c r="GA1513" s="18"/>
      <c r="GB1513" s="18"/>
      <c r="GC1513" s="18"/>
      <c r="GD1513" s="18"/>
      <c r="GE1513" s="18"/>
      <c r="GF1513" s="18"/>
      <c r="GG1513" s="18"/>
      <c r="GH1513" s="18"/>
      <c r="GI1513" s="18"/>
      <c r="GJ1513" s="18"/>
      <c r="GK1513" s="18"/>
      <c r="GL1513" s="18"/>
      <c r="GM1513" s="18"/>
      <c r="GN1513" s="18"/>
      <c r="GO1513" s="18"/>
      <c r="GP1513" s="18"/>
      <c r="GQ1513" s="18"/>
      <c r="GR1513" s="18"/>
      <c r="GS1513" s="18"/>
      <c r="GT1513" s="18"/>
      <c r="GU1513" s="18"/>
      <c r="GV1513" s="18"/>
      <c r="GW1513" s="18"/>
      <c r="GX1513" s="18"/>
      <c r="GY1513" s="18"/>
      <c r="GZ1513" s="18"/>
      <c r="HA1513" s="18"/>
      <c r="HB1513" s="18"/>
      <c r="HC1513" s="18"/>
      <c r="HD1513" s="18"/>
      <c r="HE1513" s="18"/>
      <c r="HF1513" s="18"/>
      <c r="HG1513" s="18"/>
      <c r="HH1513" s="18"/>
      <c r="HI1513" s="18"/>
      <c r="HJ1513" s="18"/>
      <c r="HK1513" s="18"/>
      <c r="HL1513" s="18"/>
      <c r="HM1513" s="18"/>
      <c r="HN1513" s="18"/>
      <c r="HO1513" s="18"/>
      <c r="HP1513" s="18"/>
      <c r="HQ1513" s="18"/>
      <c r="HR1513" s="18"/>
      <c r="HS1513" s="18"/>
      <c r="HT1513" s="18"/>
      <c r="HU1513" s="18"/>
      <c r="HV1513" s="18"/>
      <c r="HW1513" s="18"/>
      <c r="HX1513" s="18"/>
      <c r="HY1513" s="18"/>
      <c r="HZ1513" s="18"/>
      <c r="IA1513" s="18"/>
      <c r="IB1513" s="18"/>
      <c r="IC1513" s="18"/>
      <c r="ID1513" s="18"/>
      <c r="IE1513" s="18"/>
      <c r="IF1513" s="18"/>
      <c r="IG1513" s="18"/>
      <c r="IH1513" s="18"/>
      <c r="II1513" s="18"/>
      <c r="IJ1513" s="18"/>
      <c r="IK1513" s="18"/>
      <c r="IL1513" s="18"/>
      <c r="IM1513" s="18"/>
      <c r="IN1513" s="18"/>
      <c r="IO1513" s="18"/>
      <c r="IP1513" s="18"/>
      <c r="IQ1513" s="18"/>
      <c r="IR1513" s="18"/>
      <c r="IS1513" s="18"/>
      <c r="IT1513" s="18"/>
      <c r="IU1513" s="18"/>
      <c r="IV1513" s="18"/>
      <c r="IW1513" s="18"/>
      <c r="IX1513" s="18"/>
      <c r="IY1513" s="18"/>
      <c r="IZ1513" s="18"/>
      <c r="JA1513" s="18"/>
      <c r="JB1513" s="18"/>
      <c r="JC1513" s="18"/>
      <c r="JD1513" s="18"/>
      <c r="JE1513" s="18"/>
      <c r="JF1513" s="18"/>
      <c r="JG1513" s="18"/>
      <c r="JH1513" s="18"/>
      <c r="JI1513" s="18"/>
      <c r="JJ1513" s="18"/>
      <c r="JK1513" s="18"/>
      <c r="JL1513" s="18"/>
      <c r="JM1513" s="18"/>
      <c r="JN1513" s="18"/>
      <c r="JO1513" s="16"/>
      <c r="JP1513" s="16"/>
      <c r="JQ1513" s="16"/>
      <c r="JR1513" s="16"/>
      <c r="JS1513" s="16"/>
      <c r="JT1513" s="16"/>
      <c r="JU1513" s="16"/>
      <c r="JV1513" s="16"/>
      <c r="JW1513" s="16"/>
      <c r="JX1513" s="16"/>
      <c r="JY1513" s="16"/>
      <c r="JZ1513" s="16"/>
      <c r="KA1513" s="16"/>
      <c r="KB1513" s="16"/>
    </row>
    <row r="1514" spans="1:288" s="27" customFormat="1" x14ac:dyDescent="0.2">
      <c r="A1514" s="18"/>
      <c r="B1514" s="16">
        <v>2016</v>
      </c>
      <c r="C1514" s="20">
        <v>42542</v>
      </c>
      <c r="D1514" s="20" t="str">
        <f>CONCATENATE(J1514,"-",C1514)</f>
        <v>931-42542</v>
      </c>
      <c r="E1514" s="20" t="str">
        <f>CONCATENATE(T1514,"-",U1514,"-",C1514)</f>
        <v>BC2-F7-42542</v>
      </c>
      <c r="F1514" s="20" t="s">
        <v>106</v>
      </c>
      <c r="G1514" s="20" t="s">
        <v>278</v>
      </c>
      <c r="H1514" s="16"/>
      <c r="I1514" s="23"/>
      <c r="J1514" s="15">
        <v>931</v>
      </c>
      <c r="K1514" s="15"/>
      <c r="L1514" s="16"/>
      <c r="M1514" s="15"/>
      <c r="N1514" s="15"/>
      <c r="O1514" s="15"/>
      <c r="P1514" s="23"/>
      <c r="Q1514" s="23"/>
      <c r="R1514" s="23"/>
      <c r="S1514" s="23"/>
      <c r="T1514" s="23" t="s">
        <v>154</v>
      </c>
      <c r="U1514" s="23" t="s">
        <v>189</v>
      </c>
      <c r="V1514" s="23" t="s">
        <v>114</v>
      </c>
      <c r="W1514" s="23"/>
      <c r="X1514" s="23" t="s">
        <v>121</v>
      </c>
      <c r="Y1514" s="23" t="s">
        <v>122</v>
      </c>
      <c r="Z1514" s="16">
        <v>2.2999999999999998</v>
      </c>
      <c r="AA1514" s="16" t="s">
        <v>119</v>
      </c>
      <c r="AB1514" s="16" t="s">
        <v>123</v>
      </c>
      <c r="AC1514" s="16" t="s">
        <v>123</v>
      </c>
      <c r="AD1514" s="16" t="s">
        <v>123</v>
      </c>
      <c r="AE1514" s="16"/>
      <c r="AF1514" s="16"/>
      <c r="AG1514" s="16"/>
      <c r="AH1514" s="16"/>
      <c r="AI1514" s="16"/>
      <c r="AJ1514" s="16"/>
      <c r="AK1514" s="16">
        <v>14</v>
      </c>
      <c r="AL1514" s="16">
        <v>0</v>
      </c>
      <c r="AM1514" s="16">
        <v>0</v>
      </c>
      <c r="AN1514" s="16">
        <v>0</v>
      </c>
      <c r="AO1514" s="16">
        <f>IF(SUM(AL1514:AN1514)&gt;0,1,0)</f>
        <v>0</v>
      </c>
      <c r="AP1514" s="16">
        <f>SUM(AL1514:AN1514)</f>
        <v>0</v>
      </c>
      <c r="AQ1514" s="16"/>
      <c r="AR1514" s="16"/>
      <c r="AS1514" s="16"/>
      <c r="AT1514" s="16"/>
      <c r="AU1514" s="16"/>
      <c r="AV1514" s="16"/>
      <c r="AW1514" s="16"/>
      <c r="AX1514" s="16"/>
      <c r="AY1514" s="16"/>
      <c r="AZ1514" s="16"/>
      <c r="BA1514" s="16"/>
      <c r="BB1514" s="16"/>
      <c r="BC1514" s="16"/>
      <c r="BD1514" s="16"/>
      <c r="BE1514" s="16"/>
      <c r="BF1514" s="16"/>
      <c r="BG1514" s="77"/>
      <c r="BH1514" s="16"/>
      <c r="BI1514" s="16"/>
      <c r="BJ1514" s="16"/>
      <c r="BK1514" s="16"/>
      <c r="BL1514" s="16"/>
      <c r="BM1514" s="16"/>
      <c r="BN1514" s="16"/>
      <c r="BO1514" s="16"/>
      <c r="BP1514" s="16"/>
      <c r="BQ1514" s="16"/>
      <c r="BR1514" s="16"/>
      <c r="BS1514" s="16"/>
      <c r="BT1514" s="77"/>
      <c r="BU1514" s="16"/>
      <c r="BV1514" s="16"/>
      <c r="BW1514" s="16"/>
      <c r="BX1514" s="16"/>
      <c r="BY1514" s="16"/>
      <c r="BZ1514" s="16"/>
      <c r="CA1514" s="16"/>
      <c r="CB1514" s="16"/>
      <c r="CC1514" s="16"/>
      <c r="CD1514" s="77"/>
      <c r="CE1514" s="16"/>
      <c r="CF1514" s="16"/>
      <c r="CG1514" s="16"/>
      <c r="CH1514" s="16"/>
      <c r="CI1514" s="16"/>
      <c r="CJ1514" s="16"/>
      <c r="CK1514" s="16"/>
      <c r="CL1514" s="16"/>
      <c r="CM1514" s="16"/>
      <c r="CN1514" s="16"/>
      <c r="CO1514" s="16"/>
      <c r="CP1514" s="16"/>
      <c r="CQ1514" s="16"/>
      <c r="CR1514" s="16"/>
      <c r="CS1514" s="16"/>
      <c r="CT1514" s="16"/>
      <c r="CU1514" s="16"/>
      <c r="CV1514" s="16"/>
      <c r="CW1514" s="16"/>
      <c r="CX1514" s="16"/>
      <c r="CY1514" s="16"/>
      <c r="CZ1514" s="16"/>
      <c r="DA1514" s="16"/>
      <c r="DB1514" s="16"/>
      <c r="DC1514" s="16"/>
      <c r="DD1514" s="16"/>
      <c r="DE1514" s="16"/>
      <c r="DF1514" s="16" t="e">
        <f>VLOOKUP(K1514,'[3]RNA Seq summary tables'!$V$3:$V$99,1,FALSE)</f>
        <v>#N/A</v>
      </c>
      <c r="DG1514" s="16"/>
      <c r="DH1514" s="16"/>
      <c r="DI1514" s="16"/>
      <c r="DJ1514" s="16"/>
      <c r="DK1514" s="16"/>
      <c r="DL1514" s="16"/>
      <c r="DM1514" s="16"/>
      <c r="DN1514" s="16"/>
      <c r="DO1514" s="16"/>
      <c r="DP1514" s="16"/>
      <c r="DQ1514" s="16"/>
      <c r="DR1514" s="16"/>
      <c r="DS1514" s="16"/>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18"/>
      <c r="EQ1514" s="18"/>
      <c r="ER1514" s="18"/>
      <c r="ES1514" s="18"/>
      <c r="ET1514" s="18"/>
      <c r="EU1514" s="18"/>
      <c r="EV1514" s="18"/>
      <c r="EW1514" s="18"/>
      <c r="EX1514" s="18"/>
      <c r="EY1514" s="18"/>
      <c r="EZ1514" s="18"/>
      <c r="FA1514" s="18"/>
      <c r="FB1514" s="18"/>
      <c r="FC1514" s="18"/>
      <c r="FD1514" s="18"/>
      <c r="FE1514" s="18"/>
      <c r="FF1514" s="18"/>
      <c r="FG1514" s="18"/>
      <c r="FH1514" s="18"/>
      <c r="FI1514" s="18"/>
      <c r="FJ1514" s="18"/>
      <c r="FK1514" s="18"/>
      <c r="FL1514" s="18"/>
      <c r="FM1514" s="18"/>
      <c r="FN1514" s="18"/>
      <c r="FO1514" s="18"/>
      <c r="FP1514" s="18"/>
      <c r="FQ1514" s="18"/>
      <c r="FR1514" s="18"/>
      <c r="FS1514" s="18"/>
      <c r="FT1514" s="18"/>
      <c r="FU1514" s="18"/>
      <c r="FV1514" s="18"/>
      <c r="FW1514" s="18"/>
      <c r="FX1514" s="18"/>
      <c r="FY1514" s="18"/>
      <c r="FZ1514" s="18"/>
      <c r="GA1514" s="18"/>
      <c r="GB1514" s="18"/>
      <c r="GC1514" s="18"/>
      <c r="GD1514" s="18"/>
      <c r="GE1514" s="18"/>
      <c r="GF1514" s="18"/>
      <c r="GG1514" s="18"/>
      <c r="GH1514" s="18"/>
      <c r="GI1514" s="18"/>
      <c r="GJ1514" s="18"/>
      <c r="GK1514" s="18"/>
      <c r="GL1514" s="18"/>
      <c r="GM1514" s="18"/>
      <c r="GN1514" s="18"/>
      <c r="GO1514" s="18"/>
      <c r="GP1514" s="18"/>
      <c r="GQ1514" s="18"/>
      <c r="GR1514" s="18"/>
      <c r="GS1514" s="18"/>
      <c r="GT1514" s="18"/>
      <c r="GU1514" s="18"/>
      <c r="GV1514" s="18"/>
      <c r="GW1514" s="18"/>
      <c r="GX1514" s="18"/>
      <c r="GY1514" s="18"/>
      <c r="GZ1514" s="18"/>
      <c r="HA1514" s="18"/>
      <c r="HB1514" s="18"/>
      <c r="HC1514" s="18"/>
      <c r="HD1514" s="18"/>
      <c r="HE1514" s="18"/>
      <c r="HF1514" s="18"/>
      <c r="HG1514" s="18"/>
      <c r="HH1514" s="18"/>
      <c r="HI1514" s="18"/>
      <c r="HJ1514" s="18"/>
      <c r="HK1514" s="18"/>
      <c r="HL1514" s="18"/>
      <c r="HM1514" s="18"/>
      <c r="HN1514" s="18"/>
      <c r="HO1514" s="18"/>
      <c r="HP1514" s="18"/>
      <c r="HQ1514" s="18"/>
      <c r="HR1514" s="18"/>
      <c r="HS1514" s="18"/>
      <c r="HT1514" s="18"/>
      <c r="HU1514" s="18"/>
      <c r="HV1514" s="18"/>
      <c r="HW1514" s="18"/>
      <c r="HX1514" s="18"/>
      <c r="HY1514" s="18"/>
      <c r="HZ1514" s="18"/>
      <c r="IA1514" s="18"/>
      <c r="IB1514" s="18"/>
      <c r="IC1514" s="18"/>
      <c r="ID1514" s="18"/>
      <c r="IE1514" s="18"/>
      <c r="IF1514" s="18"/>
      <c r="IG1514" s="18"/>
      <c r="IH1514" s="18"/>
      <c r="II1514" s="18"/>
      <c r="IJ1514" s="18"/>
      <c r="IK1514" s="18"/>
      <c r="IL1514" s="18"/>
      <c r="IM1514" s="18"/>
      <c r="IN1514" s="18"/>
      <c r="IO1514" s="18"/>
      <c r="IP1514" s="18"/>
      <c r="IQ1514" s="18"/>
      <c r="IR1514" s="18"/>
      <c r="IS1514" s="18"/>
      <c r="IT1514" s="18"/>
      <c r="IU1514" s="18"/>
      <c r="IV1514" s="18"/>
      <c r="IW1514" s="18"/>
      <c r="IX1514" s="18"/>
      <c r="IY1514" s="18"/>
      <c r="IZ1514" s="18"/>
      <c r="JA1514" s="18"/>
      <c r="JB1514" s="18"/>
      <c r="JC1514" s="18"/>
      <c r="JD1514" s="18"/>
      <c r="JE1514" s="18"/>
      <c r="JF1514" s="18"/>
      <c r="JG1514" s="18"/>
      <c r="JH1514" s="18"/>
      <c r="JI1514" s="18"/>
      <c r="JJ1514" s="18"/>
      <c r="JK1514" s="18"/>
      <c r="JL1514" s="18"/>
      <c r="JM1514" s="18"/>
      <c r="JN1514" s="18"/>
      <c r="JO1514" s="16"/>
      <c r="JP1514" s="16"/>
      <c r="JQ1514" s="16"/>
      <c r="JR1514" s="38"/>
      <c r="JS1514" s="38"/>
      <c r="JT1514" s="38"/>
      <c r="JU1514" s="38"/>
      <c r="JV1514" s="38"/>
      <c r="JW1514" s="38"/>
      <c r="JX1514" s="38"/>
      <c r="JY1514" s="38"/>
      <c r="JZ1514" s="38"/>
      <c r="KA1514" s="38"/>
      <c r="KB1514" s="38"/>
    </row>
    <row r="1515" spans="1:288" s="27" customFormat="1" x14ac:dyDescent="0.2">
      <c r="A1515" s="18"/>
      <c r="B1515" s="16">
        <v>2016</v>
      </c>
      <c r="C1515" s="20">
        <v>42543</v>
      </c>
      <c r="D1515" s="20" t="str">
        <f>CONCATENATE(J1515,"-",C1515)</f>
        <v>931-42543</v>
      </c>
      <c r="E1515" s="20" t="str">
        <f>CONCATENATE(T1515,"-",U1515,"-",C1515)</f>
        <v>BC2-E8-42543</v>
      </c>
      <c r="F1515" s="20" t="s">
        <v>106</v>
      </c>
      <c r="G1515" s="20" t="s">
        <v>278</v>
      </c>
      <c r="H1515" s="16"/>
      <c r="I1515" s="23"/>
      <c r="J1515" s="15">
        <v>931</v>
      </c>
      <c r="K1515" s="15"/>
      <c r="L1515" s="16"/>
      <c r="M1515" s="15"/>
      <c r="N1515" s="15"/>
      <c r="O1515" s="15"/>
      <c r="P1515" s="23"/>
      <c r="Q1515" s="23"/>
      <c r="R1515" s="23"/>
      <c r="S1515" s="23"/>
      <c r="T1515" s="23" t="s">
        <v>154</v>
      </c>
      <c r="U1515" s="23" t="s">
        <v>181</v>
      </c>
      <c r="V1515" s="23" t="s">
        <v>114</v>
      </c>
      <c r="W1515" s="23"/>
      <c r="X1515" s="23"/>
      <c r="Y1515" s="23"/>
      <c r="Z1515" s="16"/>
      <c r="AA1515" s="16"/>
      <c r="AB1515" s="16"/>
      <c r="AC1515" s="16"/>
      <c r="AD1515" s="16"/>
      <c r="AE1515" s="16"/>
      <c r="AF1515" s="16"/>
      <c r="AG1515" s="16"/>
      <c r="AH1515" s="16"/>
      <c r="AI1515" s="16"/>
      <c r="AJ1515" s="16"/>
      <c r="AK1515" s="16"/>
      <c r="AL1515" s="16"/>
      <c r="AM1515" s="16"/>
      <c r="AN1515" s="16"/>
      <c r="AO1515" s="16"/>
      <c r="AP1515" s="16"/>
      <c r="AQ1515" s="16"/>
      <c r="AR1515" s="16"/>
      <c r="AS1515" s="16"/>
      <c r="AT1515" s="16"/>
      <c r="AU1515" s="16"/>
      <c r="AV1515" s="16"/>
      <c r="AW1515" s="16"/>
      <c r="AX1515" s="16"/>
      <c r="AY1515" s="16"/>
      <c r="AZ1515" s="16"/>
      <c r="BA1515" s="16"/>
      <c r="BB1515" s="16"/>
      <c r="BC1515" s="16"/>
      <c r="BD1515" s="16"/>
      <c r="BE1515" s="16"/>
      <c r="BF1515" s="16"/>
      <c r="BG1515" s="77"/>
      <c r="BH1515" s="16"/>
      <c r="BI1515" s="16"/>
      <c r="BJ1515" s="16"/>
      <c r="BK1515" s="16"/>
      <c r="BL1515" s="16"/>
      <c r="BM1515" s="16"/>
      <c r="BN1515" s="16"/>
      <c r="BO1515" s="16"/>
      <c r="BP1515" s="16"/>
      <c r="BQ1515" s="16"/>
      <c r="BR1515" s="16"/>
      <c r="BS1515" s="16"/>
      <c r="BT1515" s="77"/>
      <c r="BU1515" s="16"/>
      <c r="BV1515" s="16"/>
      <c r="BW1515" s="16"/>
      <c r="BX1515" s="16"/>
      <c r="BY1515" s="16"/>
      <c r="BZ1515" s="16"/>
      <c r="CA1515" s="16"/>
      <c r="CB1515" s="16"/>
      <c r="CC1515" s="16"/>
      <c r="CD1515" s="77"/>
      <c r="CE1515" s="16"/>
      <c r="CF1515" s="16"/>
      <c r="CG1515" s="16"/>
      <c r="CH1515" s="16"/>
      <c r="CI1515" s="16"/>
      <c r="CJ1515" s="16"/>
      <c r="CK1515" s="16"/>
      <c r="CL1515" s="16"/>
      <c r="CM1515" s="16"/>
      <c r="CN1515" s="16"/>
      <c r="CO1515" s="16"/>
      <c r="CP1515" s="16"/>
      <c r="CQ1515" s="16"/>
      <c r="CR1515" s="16"/>
      <c r="CS1515" s="16"/>
      <c r="CT1515" s="16"/>
      <c r="CU1515" s="16"/>
      <c r="CV1515" s="16"/>
      <c r="CW1515" s="16"/>
      <c r="CX1515" s="16"/>
      <c r="CY1515" s="16"/>
      <c r="CZ1515" s="16"/>
      <c r="DA1515" s="16"/>
      <c r="DB1515" s="16"/>
      <c r="DC1515" s="16"/>
      <c r="DD1515" s="16"/>
      <c r="DE1515" s="16"/>
      <c r="DF1515" s="16" t="e">
        <f>VLOOKUP(K1515,'[3]RNA Seq summary tables'!$V$3:$V$99,1,FALSE)</f>
        <v>#N/A</v>
      </c>
      <c r="DG1515" s="16"/>
      <c r="DH1515" s="16"/>
      <c r="DI1515" s="16"/>
      <c r="DJ1515" s="16"/>
      <c r="DK1515" s="16"/>
      <c r="DL1515" s="16"/>
      <c r="DM1515" s="16"/>
      <c r="DN1515" s="16"/>
      <c r="DO1515" s="16"/>
      <c r="DP1515" s="16"/>
      <c r="DQ1515" s="16"/>
      <c r="DR1515" s="16"/>
      <c r="DS1515" s="16"/>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18"/>
      <c r="EQ1515" s="18"/>
      <c r="ER1515" s="18"/>
      <c r="ES1515" s="18"/>
      <c r="ET1515" s="18"/>
      <c r="EU1515" s="18"/>
      <c r="EV1515" s="18"/>
      <c r="EW1515" s="18"/>
      <c r="EX1515" s="18"/>
      <c r="EY1515" s="18"/>
      <c r="EZ1515" s="18"/>
      <c r="FA1515" s="18"/>
      <c r="FB1515" s="18"/>
      <c r="FC1515" s="18"/>
      <c r="FD1515" s="18"/>
      <c r="FE1515" s="18"/>
      <c r="FF1515" s="18"/>
      <c r="FG1515" s="18"/>
      <c r="FH1515" s="18"/>
      <c r="FI1515" s="18"/>
      <c r="FJ1515" s="18"/>
      <c r="FK1515" s="18"/>
      <c r="FL1515" s="18"/>
      <c r="FM1515" s="18"/>
      <c r="FN1515" s="18"/>
      <c r="FO1515" s="18"/>
      <c r="FP1515" s="18"/>
      <c r="FQ1515" s="18"/>
      <c r="FR1515" s="18"/>
      <c r="FS1515" s="18"/>
      <c r="FT1515" s="18"/>
      <c r="FU1515" s="18"/>
      <c r="FV1515" s="18"/>
      <c r="FW1515" s="18"/>
      <c r="FX1515" s="18"/>
      <c r="FY1515" s="18"/>
      <c r="FZ1515" s="18"/>
      <c r="GA1515" s="18"/>
      <c r="GB1515" s="18"/>
      <c r="GC1515" s="18"/>
      <c r="GD1515" s="18"/>
      <c r="GE1515" s="18"/>
      <c r="GF1515" s="18"/>
      <c r="GG1515" s="18"/>
      <c r="GH1515" s="18"/>
      <c r="GI1515" s="18"/>
      <c r="GJ1515" s="18"/>
      <c r="GK1515" s="18"/>
      <c r="GL1515" s="18"/>
      <c r="GM1515" s="18"/>
      <c r="GN1515" s="18"/>
      <c r="GO1515" s="18"/>
      <c r="GP1515" s="18"/>
      <c r="GQ1515" s="18"/>
      <c r="GR1515" s="18"/>
      <c r="GS1515" s="18"/>
      <c r="GT1515" s="18"/>
      <c r="GU1515" s="18"/>
      <c r="GV1515" s="18"/>
      <c r="GW1515" s="18"/>
      <c r="GX1515" s="18"/>
      <c r="GY1515" s="18"/>
      <c r="GZ1515" s="18"/>
      <c r="HA1515" s="18"/>
      <c r="HB1515" s="18"/>
      <c r="HC1515" s="18"/>
      <c r="HD1515" s="18"/>
      <c r="HE1515" s="18"/>
      <c r="HF1515" s="18"/>
      <c r="HG1515" s="18"/>
      <c r="HH1515" s="18"/>
      <c r="HI1515" s="18"/>
      <c r="HJ1515" s="18"/>
      <c r="HK1515" s="18"/>
      <c r="HL1515" s="18"/>
      <c r="HM1515" s="18"/>
      <c r="HN1515" s="18"/>
      <c r="HO1515" s="18"/>
      <c r="HP1515" s="18"/>
      <c r="HQ1515" s="18"/>
      <c r="HR1515" s="18"/>
      <c r="HS1515" s="18"/>
      <c r="HT1515" s="18"/>
      <c r="HU1515" s="18"/>
      <c r="HV1515" s="18"/>
      <c r="HW1515" s="18"/>
      <c r="HX1515" s="18"/>
      <c r="HY1515" s="18"/>
      <c r="HZ1515" s="18"/>
      <c r="IA1515" s="18"/>
      <c r="IB1515" s="18"/>
      <c r="IC1515" s="18"/>
      <c r="ID1515" s="18"/>
      <c r="IE1515" s="18"/>
      <c r="IF1515" s="18"/>
      <c r="IG1515" s="18"/>
      <c r="IH1515" s="18"/>
      <c r="II1515" s="18"/>
      <c r="IJ1515" s="18"/>
      <c r="IK1515" s="18"/>
      <c r="IL1515" s="18"/>
      <c r="IM1515" s="18"/>
      <c r="IN1515" s="18"/>
      <c r="IO1515" s="18"/>
      <c r="IP1515" s="18"/>
      <c r="IQ1515" s="18"/>
      <c r="IR1515" s="18"/>
      <c r="IS1515" s="18"/>
      <c r="IT1515" s="18"/>
      <c r="IU1515" s="18"/>
      <c r="IV1515" s="18"/>
      <c r="IW1515" s="18"/>
      <c r="IX1515" s="18"/>
      <c r="IY1515" s="18"/>
      <c r="IZ1515" s="18"/>
      <c r="JA1515" s="18"/>
      <c r="JB1515" s="18"/>
      <c r="JC1515" s="18"/>
      <c r="JD1515" s="18"/>
      <c r="JE1515" s="18"/>
      <c r="JF1515" s="18"/>
      <c r="JG1515" s="18"/>
      <c r="JH1515" s="18"/>
      <c r="JI1515" s="18"/>
      <c r="JJ1515" s="18"/>
      <c r="JK1515" s="18"/>
      <c r="JL1515" s="18"/>
      <c r="JM1515" s="18"/>
      <c r="JN1515" s="18"/>
      <c r="JO1515" s="16"/>
      <c r="JP1515" s="16"/>
      <c r="JQ1515" s="16"/>
      <c r="JR1515" s="16"/>
      <c r="JS1515" s="16"/>
      <c r="JT1515" s="16"/>
      <c r="JU1515" s="16"/>
      <c r="JV1515" s="16"/>
      <c r="JW1515" s="16"/>
      <c r="JX1515" s="16"/>
      <c r="JY1515" s="16"/>
      <c r="JZ1515" s="16"/>
      <c r="KA1515" s="16"/>
      <c r="KB1515" s="16"/>
    </row>
    <row r="1516" spans="1:288" s="27" customFormat="1" x14ac:dyDescent="0.2">
      <c r="A1516" s="18"/>
      <c r="B1516" s="16">
        <v>2016</v>
      </c>
      <c r="C1516" s="20">
        <v>42570</v>
      </c>
      <c r="D1516" s="20" t="str">
        <f>CONCATENATE(J1516,"-",C1516)</f>
        <v>931-42570</v>
      </c>
      <c r="E1516" s="20" t="str">
        <f>CONCATENATE(T1516,"-",U1516,"-",C1516)</f>
        <v>BC2--42570</v>
      </c>
      <c r="F1516" s="20" t="s">
        <v>106</v>
      </c>
      <c r="G1516" s="20" t="s">
        <v>278</v>
      </c>
      <c r="H1516" s="16"/>
      <c r="I1516" s="23"/>
      <c r="J1516" s="15">
        <v>931</v>
      </c>
      <c r="K1516" s="15"/>
      <c r="L1516" s="16"/>
      <c r="M1516" s="15"/>
      <c r="N1516" s="15"/>
      <c r="O1516" s="15"/>
      <c r="P1516" s="23"/>
      <c r="Q1516" s="23"/>
      <c r="R1516" s="23"/>
      <c r="S1516" s="23"/>
      <c r="T1516" s="23" t="s">
        <v>154</v>
      </c>
      <c r="U1516" s="23"/>
      <c r="V1516" s="23"/>
      <c r="W1516" s="23"/>
      <c r="X1516" s="23" t="s">
        <v>121</v>
      </c>
      <c r="Y1516" s="23" t="s">
        <v>110</v>
      </c>
      <c r="Z1516" s="16">
        <v>3</v>
      </c>
      <c r="AA1516" s="16"/>
      <c r="AB1516" s="16"/>
      <c r="AC1516" s="16"/>
      <c r="AD1516" s="16"/>
      <c r="AE1516" s="16"/>
      <c r="AF1516" s="16"/>
      <c r="AG1516" s="16"/>
      <c r="AH1516" s="16"/>
      <c r="AI1516" s="16"/>
      <c r="AJ1516" s="16"/>
      <c r="AK1516" s="16"/>
      <c r="AL1516" s="16"/>
      <c r="AM1516" s="16"/>
      <c r="AN1516" s="16"/>
      <c r="AO1516" s="16"/>
      <c r="AP1516" s="16"/>
      <c r="AQ1516" s="16"/>
      <c r="AR1516" s="16"/>
      <c r="AS1516" s="16"/>
      <c r="AT1516" s="16"/>
      <c r="AU1516" s="16"/>
      <c r="AV1516" s="16"/>
      <c r="AW1516" s="16"/>
      <c r="AX1516" s="16"/>
      <c r="AY1516" s="16"/>
      <c r="AZ1516" s="16"/>
      <c r="BA1516" s="16"/>
      <c r="BB1516" s="16"/>
      <c r="BC1516" s="16"/>
      <c r="BD1516" s="16"/>
      <c r="BE1516" s="16"/>
      <c r="BF1516" s="16"/>
      <c r="BG1516" s="77"/>
      <c r="BH1516" s="16"/>
      <c r="BI1516" s="16"/>
      <c r="BJ1516" s="16"/>
      <c r="BK1516" s="16"/>
      <c r="BL1516" s="16"/>
      <c r="BM1516" s="16"/>
      <c r="BN1516" s="16"/>
      <c r="BO1516" s="16"/>
      <c r="BP1516" s="16"/>
      <c r="BQ1516" s="16"/>
      <c r="BR1516" s="16"/>
      <c r="BS1516" s="16"/>
      <c r="BT1516" s="77"/>
      <c r="BU1516" s="16"/>
      <c r="BV1516" s="16"/>
      <c r="BW1516" s="16"/>
      <c r="BX1516" s="16"/>
      <c r="BY1516" s="16"/>
      <c r="BZ1516" s="16"/>
      <c r="CA1516" s="16"/>
      <c r="CB1516" s="16"/>
      <c r="CC1516" s="16"/>
      <c r="CD1516" s="77"/>
      <c r="CE1516" s="16"/>
      <c r="CF1516" s="16"/>
      <c r="CG1516" s="16"/>
      <c r="CH1516" s="16"/>
      <c r="CI1516" s="16"/>
      <c r="CJ1516" s="16"/>
      <c r="CK1516" s="16"/>
      <c r="CL1516" s="16"/>
      <c r="CM1516" s="16"/>
      <c r="CN1516" s="16"/>
      <c r="CO1516" s="16"/>
      <c r="CP1516" s="16"/>
      <c r="CQ1516" s="16"/>
      <c r="CR1516" s="16"/>
      <c r="CS1516" s="16"/>
      <c r="CT1516" s="16"/>
      <c r="CU1516" s="16"/>
      <c r="CV1516" s="16"/>
      <c r="CW1516" s="16"/>
      <c r="CX1516" s="16"/>
      <c r="CY1516" s="16"/>
      <c r="CZ1516" s="16"/>
      <c r="DA1516" s="16"/>
      <c r="DB1516" s="16"/>
      <c r="DC1516" s="16"/>
      <c r="DD1516" s="16"/>
      <c r="DE1516" s="16"/>
      <c r="DF1516" s="16" t="e">
        <f>VLOOKUP(K1516,'[3]RNA Seq summary tables'!$V$3:$V$99,1,FALSE)</f>
        <v>#N/A</v>
      </c>
      <c r="DG1516" s="16"/>
      <c r="DH1516" s="16"/>
      <c r="DI1516" s="16"/>
      <c r="DJ1516" s="16"/>
      <c r="DK1516" s="16"/>
      <c r="DL1516" s="16"/>
      <c r="DM1516" s="16"/>
      <c r="DN1516" s="16"/>
      <c r="DO1516" s="16"/>
      <c r="DP1516" s="16"/>
      <c r="DQ1516" s="16"/>
      <c r="DR1516" s="16"/>
      <c r="DS1516" s="16"/>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18"/>
      <c r="EQ1516" s="18"/>
      <c r="ER1516" s="18"/>
      <c r="ES1516" s="18"/>
      <c r="ET1516" s="18"/>
      <c r="EU1516" s="18"/>
      <c r="EV1516" s="18"/>
      <c r="EW1516" s="18"/>
      <c r="EX1516" s="18"/>
      <c r="EY1516" s="18"/>
      <c r="EZ1516" s="18"/>
      <c r="FA1516" s="18"/>
      <c r="FB1516" s="18"/>
      <c r="FC1516" s="18"/>
      <c r="FD1516" s="18"/>
      <c r="FE1516" s="18"/>
      <c r="FF1516" s="18"/>
      <c r="FG1516" s="18"/>
      <c r="FH1516" s="18"/>
      <c r="FI1516" s="18"/>
      <c r="FJ1516" s="18"/>
      <c r="FK1516" s="18"/>
      <c r="FL1516" s="18"/>
      <c r="FM1516" s="18"/>
      <c r="FN1516" s="18"/>
      <c r="FO1516" s="18"/>
      <c r="FP1516" s="18"/>
      <c r="FQ1516" s="18"/>
      <c r="FR1516" s="18"/>
      <c r="FS1516" s="18"/>
      <c r="FT1516" s="18"/>
      <c r="FU1516" s="18"/>
      <c r="FV1516" s="18"/>
      <c r="FW1516" s="18"/>
      <c r="FX1516" s="18"/>
      <c r="FY1516" s="18"/>
      <c r="FZ1516" s="18"/>
      <c r="GA1516" s="18"/>
      <c r="GB1516" s="18"/>
      <c r="GC1516" s="18"/>
      <c r="GD1516" s="18"/>
      <c r="GE1516" s="18"/>
      <c r="GF1516" s="18"/>
      <c r="GG1516" s="18"/>
      <c r="GH1516" s="18"/>
      <c r="GI1516" s="18"/>
      <c r="GJ1516" s="18"/>
      <c r="GK1516" s="18"/>
      <c r="GL1516" s="18"/>
      <c r="GM1516" s="18"/>
      <c r="GN1516" s="18"/>
      <c r="GO1516" s="18"/>
      <c r="GP1516" s="18"/>
      <c r="GQ1516" s="18"/>
      <c r="GR1516" s="18"/>
      <c r="GS1516" s="18"/>
      <c r="GT1516" s="18"/>
      <c r="GU1516" s="18"/>
      <c r="GV1516" s="18"/>
      <c r="GW1516" s="18"/>
      <c r="GX1516" s="18"/>
      <c r="GY1516" s="18"/>
      <c r="GZ1516" s="18"/>
      <c r="HA1516" s="18"/>
      <c r="HB1516" s="18"/>
      <c r="HC1516" s="18"/>
      <c r="HD1516" s="18"/>
      <c r="HE1516" s="18"/>
      <c r="HF1516" s="18"/>
      <c r="HG1516" s="18"/>
      <c r="HH1516" s="18"/>
      <c r="HI1516" s="18"/>
      <c r="HJ1516" s="18"/>
      <c r="HK1516" s="18"/>
      <c r="HL1516" s="18"/>
      <c r="HM1516" s="18"/>
      <c r="HN1516" s="18"/>
      <c r="HO1516" s="18"/>
      <c r="HP1516" s="18"/>
      <c r="HQ1516" s="18"/>
      <c r="HR1516" s="18"/>
      <c r="HS1516" s="18"/>
      <c r="HT1516" s="18"/>
      <c r="HU1516" s="18"/>
      <c r="HV1516" s="18"/>
      <c r="HW1516" s="18"/>
      <c r="HX1516" s="18"/>
      <c r="HY1516" s="18"/>
      <c r="HZ1516" s="18"/>
      <c r="IA1516" s="18"/>
      <c r="IB1516" s="18"/>
      <c r="IC1516" s="18"/>
      <c r="ID1516" s="18"/>
      <c r="IE1516" s="18"/>
      <c r="IF1516" s="18"/>
      <c r="IG1516" s="18"/>
      <c r="IH1516" s="18"/>
      <c r="II1516" s="18"/>
      <c r="IJ1516" s="18"/>
      <c r="IK1516" s="18"/>
      <c r="IL1516" s="18"/>
      <c r="IM1516" s="18"/>
      <c r="IN1516" s="18"/>
      <c r="IO1516" s="18"/>
      <c r="IP1516" s="18"/>
      <c r="IQ1516" s="18"/>
      <c r="IR1516" s="18"/>
      <c r="IS1516" s="18"/>
      <c r="IT1516" s="18"/>
      <c r="IU1516" s="18"/>
      <c r="IV1516" s="18"/>
      <c r="IW1516" s="18"/>
      <c r="IX1516" s="18"/>
      <c r="IY1516" s="18"/>
      <c r="IZ1516" s="18"/>
      <c r="JA1516" s="18"/>
      <c r="JB1516" s="18"/>
      <c r="JC1516" s="18"/>
      <c r="JD1516" s="18"/>
      <c r="JE1516" s="18"/>
      <c r="JF1516" s="18"/>
      <c r="JG1516" s="18"/>
      <c r="JH1516" s="18"/>
      <c r="JI1516" s="18"/>
      <c r="JJ1516" s="18"/>
      <c r="JK1516" s="18"/>
      <c r="JL1516" s="18"/>
      <c r="JM1516" s="18"/>
      <c r="JN1516" s="18"/>
      <c r="JO1516" s="16"/>
      <c r="JP1516" s="16"/>
      <c r="JQ1516" s="16"/>
      <c r="JR1516" s="16"/>
      <c r="JS1516" s="16"/>
      <c r="JT1516" s="16"/>
      <c r="JU1516" s="16"/>
      <c r="JV1516" s="16"/>
      <c r="JW1516" s="16"/>
      <c r="JX1516" s="16"/>
      <c r="JY1516" s="16"/>
      <c r="JZ1516" s="16"/>
      <c r="KA1516" s="16"/>
      <c r="KB1516" s="16"/>
    </row>
    <row r="1517" spans="1:288" s="27" customFormat="1" x14ac:dyDescent="0.2">
      <c r="A1517" s="18"/>
      <c r="B1517" s="16">
        <v>2016</v>
      </c>
      <c r="C1517" s="20">
        <v>42571</v>
      </c>
      <c r="D1517" s="20" t="str">
        <f>CONCATENATE(J1517,"-",C1517)</f>
        <v>931-42571</v>
      </c>
      <c r="E1517" s="20" t="str">
        <f>CONCATENATE(T1517,"-",U1517,"-",C1517)</f>
        <v>BC2-E8-42571</v>
      </c>
      <c r="F1517" s="20" t="s">
        <v>106</v>
      </c>
      <c r="G1517" s="20" t="s">
        <v>278</v>
      </c>
      <c r="H1517" s="16"/>
      <c r="I1517" s="23"/>
      <c r="J1517" s="15">
        <v>931</v>
      </c>
      <c r="K1517" s="15"/>
      <c r="L1517" s="16"/>
      <c r="M1517" s="15"/>
      <c r="N1517" s="15"/>
      <c r="O1517" s="15"/>
      <c r="P1517" s="23"/>
      <c r="Q1517" s="23"/>
      <c r="R1517" s="23"/>
      <c r="S1517" s="23"/>
      <c r="T1517" s="23" t="s">
        <v>154</v>
      </c>
      <c r="U1517" s="23" t="s">
        <v>181</v>
      </c>
      <c r="V1517" s="23" t="s">
        <v>114</v>
      </c>
      <c r="W1517" s="23"/>
      <c r="X1517" s="23" t="s">
        <v>121</v>
      </c>
      <c r="Y1517" s="23"/>
      <c r="Z1517" s="16"/>
      <c r="AA1517" s="16"/>
      <c r="AB1517" s="16"/>
      <c r="AC1517" s="16"/>
      <c r="AD1517" s="16"/>
      <c r="AE1517" s="16"/>
      <c r="AF1517" s="16"/>
      <c r="AG1517" s="16"/>
      <c r="AH1517" s="16"/>
      <c r="AI1517" s="16"/>
      <c r="AJ1517" s="16"/>
      <c r="AK1517" s="16">
        <v>16</v>
      </c>
      <c r="AL1517" s="16"/>
      <c r="AM1517" s="16"/>
      <c r="AN1517" s="16"/>
      <c r="AO1517" s="16"/>
      <c r="AP1517" s="16"/>
      <c r="AQ1517" s="16"/>
      <c r="AR1517" s="16"/>
      <c r="AS1517" s="16"/>
      <c r="AT1517" s="16"/>
      <c r="AU1517" s="16"/>
      <c r="AV1517" s="16"/>
      <c r="AW1517" s="16"/>
      <c r="AX1517" s="16"/>
      <c r="AY1517" s="16"/>
      <c r="AZ1517" s="16"/>
      <c r="BA1517" s="16"/>
      <c r="BB1517" s="16"/>
      <c r="BC1517" s="16"/>
      <c r="BD1517" s="16"/>
      <c r="BE1517" s="16"/>
      <c r="BF1517" s="16"/>
      <c r="BG1517" s="77"/>
      <c r="BH1517" s="16"/>
      <c r="BI1517" s="16"/>
      <c r="BJ1517" s="16"/>
      <c r="BK1517" s="16"/>
      <c r="BL1517" s="16"/>
      <c r="BM1517" s="16"/>
      <c r="BN1517" s="16"/>
      <c r="BO1517" s="16"/>
      <c r="BP1517" s="16"/>
      <c r="BQ1517" s="16"/>
      <c r="BR1517" s="16"/>
      <c r="BS1517" s="16"/>
      <c r="BT1517" s="77"/>
      <c r="BU1517" s="16"/>
      <c r="BV1517" s="16"/>
      <c r="BW1517" s="16"/>
      <c r="BX1517" s="16"/>
      <c r="BY1517" s="16"/>
      <c r="BZ1517" s="16"/>
      <c r="CA1517" s="16"/>
      <c r="CB1517" s="16"/>
      <c r="CC1517" s="16"/>
      <c r="CD1517" s="77"/>
      <c r="CE1517" s="16"/>
      <c r="CF1517" s="16"/>
      <c r="CG1517" s="16"/>
      <c r="CH1517" s="16"/>
      <c r="CI1517" s="16"/>
      <c r="CJ1517" s="16"/>
      <c r="CK1517" s="16"/>
      <c r="CL1517" s="16"/>
      <c r="CM1517" s="16"/>
      <c r="CN1517" s="16"/>
      <c r="CO1517" s="16"/>
      <c r="CP1517" s="16"/>
      <c r="CQ1517" s="16"/>
      <c r="CR1517" s="16"/>
      <c r="CS1517" s="16"/>
      <c r="CT1517" s="16"/>
      <c r="CU1517" s="16"/>
      <c r="CV1517" s="16"/>
      <c r="CW1517" s="16"/>
      <c r="CX1517" s="16"/>
      <c r="CY1517" s="16"/>
      <c r="CZ1517" s="16"/>
      <c r="DA1517" s="16"/>
      <c r="DB1517" s="16"/>
      <c r="DC1517" s="16"/>
      <c r="DD1517" s="16"/>
      <c r="DE1517" s="16"/>
      <c r="DF1517" s="16" t="e">
        <f>VLOOKUP(K1517,'[3]RNA Seq summary tables'!$V$3:$V$99,1,FALSE)</f>
        <v>#N/A</v>
      </c>
      <c r="DG1517" s="16"/>
      <c r="DH1517" s="16"/>
      <c r="DI1517" s="16"/>
      <c r="DJ1517" s="16"/>
      <c r="DK1517" s="16"/>
      <c r="DL1517" s="16"/>
      <c r="DM1517" s="16"/>
      <c r="DN1517" s="16"/>
      <c r="DO1517" s="16"/>
      <c r="DP1517" s="16"/>
      <c r="DQ1517" s="16"/>
      <c r="DR1517" s="16"/>
      <c r="DS1517" s="16"/>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18"/>
      <c r="EQ1517" s="18"/>
      <c r="ER1517" s="18"/>
      <c r="ES1517" s="18"/>
      <c r="ET1517" s="18"/>
      <c r="EU1517" s="18"/>
      <c r="EV1517" s="18"/>
      <c r="EW1517" s="18"/>
      <c r="EX1517" s="18"/>
      <c r="EY1517" s="18"/>
      <c r="EZ1517" s="18"/>
      <c r="FA1517" s="18"/>
      <c r="FB1517" s="18"/>
      <c r="FC1517" s="18"/>
      <c r="FD1517" s="18"/>
      <c r="FE1517" s="18"/>
      <c r="FF1517" s="18"/>
      <c r="FG1517" s="18"/>
      <c r="FH1517" s="18"/>
      <c r="FI1517" s="18"/>
      <c r="FJ1517" s="18"/>
      <c r="FK1517" s="18"/>
      <c r="FL1517" s="18"/>
      <c r="FM1517" s="18"/>
      <c r="FN1517" s="18"/>
      <c r="FO1517" s="18"/>
      <c r="FP1517" s="18"/>
      <c r="FQ1517" s="18"/>
      <c r="FR1517" s="18"/>
      <c r="FS1517" s="18"/>
      <c r="FT1517" s="18"/>
      <c r="FU1517" s="18"/>
      <c r="FV1517" s="18"/>
      <c r="FW1517" s="18"/>
      <c r="FX1517" s="18"/>
      <c r="FY1517" s="18"/>
      <c r="FZ1517" s="18"/>
      <c r="GA1517" s="18"/>
      <c r="GB1517" s="18"/>
      <c r="GC1517" s="18"/>
      <c r="GD1517" s="18"/>
      <c r="GE1517" s="18"/>
      <c r="GF1517" s="18"/>
      <c r="GG1517" s="18"/>
      <c r="GH1517" s="18"/>
      <c r="GI1517" s="18"/>
      <c r="GJ1517" s="18"/>
      <c r="GK1517" s="18"/>
      <c r="GL1517" s="18"/>
      <c r="GM1517" s="18"/>
      <c r="GN1517" s="18"/>
      <c r="GO1517" s="18"/>
      <c r="GP1517" s="18"/>
      <c r="GQ1517" s="18"/>
      <c r="GR1517" s="18"/>
      <c r="GS1517" s="18"/>
      <c r="GT1517" s="18"/>
      <c r="GU1517" s="18"/>
      <c r="GV1517" s="18"/>
      <c r="GW1517" s="18"/>
      <c r="GX1517" s="18"/>
      <c r="GY1517" s="18"/>
      <c r="GZ1517" s="18"/>
      <c r="HA1517" s="18"/>
      <c r="HB1517" s="18"/>
      <c r="HC1517" s="18"/>
      <c r="HD1517" s="18"/>
      <c r="HE1517" s="18"/>
      <c r="HF1517" s="18"/>
      <c r="HG1517" s="18"/>
      <c r="HH1517" s="18"/>
      <c r="HI1517" s="18"/>
      <c r="HJ1517" s="18"/>
      <c r="HK1517" s="18"/>
      <c r="HL1517" s="18"/>
      <c r="HM1517" s="18"/>
      <c r="HN1517" s="18"/>
      <c r="HO1517" s="18"/>
      <c r="HP1517" s="18"/>
      <c r="HQ1517" s="18"/>
      <c r="HR1517" s="18"/>
      <c r="HS1517" s="18"/>
      <c r="HT1517" s="18"/>
      <c r="HU1517" s="18"/>
      <c r="HV1517" s="18"/>
      <c r="HW1517" s="18"/>
      <c r="HX1517" s="18"/>
      <c r="HY1517" s="18"/>
      <c r="HZ1517" s="18"/>
      <c r="IA1517" s="18"/>
      <c r="IB1517" s="18"/>
      <c r="IC1517" s="18"/>
      <c r="ID1517" s="18"/>
      <c r="IE1517" s="18"/>
      <c r="IF1517" s="18"/>
      <c r="IG1517" s="18"/>
      <c r="IH1517" s="18"/>
      <c r="II1517" s="18"/>
      <c r="IJ1517" s="18"/>
      <c r="IK1517" s="18"/>
      <c r="IL1517" s="18"/>
      <c r="IM1517" s="18"/>
      <c r="IN1517" s="18"/>
      <c r="IO1517" s="18"/>
      <c r="IP1517" s="18"/>
      <c r="IQ1517" s="18"/>
      <c r="IR1517" s="18"/>
      <c r="IS1517" s="18"/>
      <c r="IT1517" s="18"/>
      <c r="IU1517" s="18"/>
      <c r="IV1517" s="18"/>
      <c r="IW1517" s="18"/>
      <c r="IX1517" s="18"/>
      <c r="IY1517" s="18"/>
      <c r="IZ1517" s="18"/>
      <c r="JA1517" s="18"/>
      <c r="JB1517" s="18"/>
      <c r="JC1517" s="18"/>
      <c r="JD1517" s="18"/>
      <c r="JE1517" s="18"/>
      <c r="JF1517" s="18"/>
      <c r="JG1517" s="18"/>
      <c r="JH1517" s="18"/>
      <c r="JI1517" s="18"/>
      <c r="JJ1517" s="18"/>
      <c r="JK1517" s="18"/>
      <c r="JL1517" s="18"/>
      <c r="JM1517" s="18"/>
      <c r="JN1517" s="18"/>
      <c r="JO1517" s="16"/>
      <c r="JP1517" s="16"/>
      <c r="JQ1517" s="16"/>
      <c r="JR1517" s="16"/>
      <c r="JS1517" s="16"/>
      <c r="JT1517" s="16"/>
      <c r="JU1517" s="16"/>
      <c r="JV1517" s="16"/>
      <c r="JW1517" s="16"/>
      <c r="JX1517" s="16"/>
      <c r="JY1517" s="16"/>
      <c r="JZ1517" s="16"/>
      <c r="KA1517" s="16"/>
      <c r="KB1517" s="16"/>
    </row>
    <row r="1518" spans="1:288" s="27" customFormat="1" x14ac:dyDescent="0.2">
      <c r="A1518" s="18"/>
      <c r="B1518" s="16">
        <v>2016</v>
      </c>
      <c r="C1518" s="20">
        <v>42529</v>
      </c>
      <c r="D1518" s="20" t="str">
        <f>CONCATENATE(J1518,"-",C1518)</f>
        <v>932-42529</v>
      </c>
      <c r="E1518" s="20" t="str">
        <f>CONCATENATE(T1518,"-",U1518,"-",C1518)</f>
        <v>BC2-B4-42529</v>
      </c>
      <c r="F1518" s="20" t="s">
        <v>106</v>
      </c>
      <c r="G1518" s="20" t="s">
        <v>278</v>
      </c>
      <c r="H1518" s="16"/>
      <c r="I1518" s="23"/>
      <c r="J1518" s="15">
        <v>932</v>
      </c>
      <c r="K1518" s="15"/>
      <c r="L1518" s="16"/>
      <c r="M1518" s="15"/>
      <c r="N1518" s="15"/>
      <c r="O1518" s="15"/>
      <c r="P1518" s="23"/>
      <c r="Q1518" s="23"/>
      <c r="R1518" s="23"/>
      <c r="S1518" s="23"/>
      <c r="T1518" s="23" t="s">
        <v>154</v>
      </c>
      <c r="U1518" s="23" t="s">
        <v>144</v>
      </c>
      <c r="V1518" s="23" t="s">
        <v>114</v>
      </c>
      <c r="W1518" s="23"/>
      <c r="X1518" s="23" t="s">
        <v>121</v>
      </c>
      <c r="Y1518" s="23" t="s">
        <v>110</v>
      </c>
      <c r="Z1518" s="16">
        <v>3</v>
      </c>
      <c r="AA1518" s="16" t="s">
        <v>119</v>
      </c>
      <c r="AB1518" s="16" t="s">
        <v>123</v>
      </c>
      <c r="AC1518" s="16" t="s">
        <v>123</v>
      </c>
      <c r="AD1518" s="16" t="s">
        <v>123</v>
      </c>
      <c r="AE1518" s="16"/>
      <c r="AF1518" s="16"/>
      <c r="AG1518" s="16"/>
      <c r="AH1518" s="16"/>
      <c r="AI1518" s="16"/>
      <c r="AJ1518" s="16"/>
      <c r="AK1518" s="16">
        <v>14.5</v>
      </c>
      <c r="AL1518" s="16">
        <v>0</v>
      </c>
      <c r="AM1518" s="16">
        <v>0</v>
      </c>
      <c r="AN1518" s="16">
        <v>0</v>
      </c>
      <c r="AO1518" s="16">
        <f>IF(SUM(AL1518:AN1518)&gt;0,1,0)</f>
        <v>0</v>
      </c>
      <c r="AP1518" s="16">
        <f>SUM(AL1518:AN1518)</f>
        <v>0</v>
      </c>
      <c r="AQ1518" s="16"/>
      <c r="AR1518" s="16"/>
      <c r="AS1518" s="16"/>
      <c r="AT1518" s="16"/>
      <c r="AU1518" s="16"/>
      <c r="AV1518" s="16"/>
      <c r="AW1518" s="16"/>
      <c r="AX1518" s="16"/>
      <c r="AY1518" s="16"/>
      <c r="AZ1518" s="16"/>
      <c r="BA1518" s="16"/>
      <c r="BB1518" s="16"/>
      <c r="BC1518" s="16"/>
      <c r="BD1518" s="16"/>
      <c r="BE1518" s="16"/>
      <c r="BF1518" s="16"/>
      <c r="BG1518" s="77"/>
      <c r="BH1518" s="16"/>
      <c r="BI1518" s="16"/>
      <c r="BJ1518" s="16"/>
      <c r="BK1518" s="16"/>
      <c r="BL1518" s="16"/>
      <c r="BM1518" s="16"/>
      <c r="BN1518" s="16"/>
      <c r="BO1518" s="16"/>
      <c r="BP1518" s="16"/>
      <c r="BQ1518" s="16"/>
      <c r="BR1518" s="16"/>
      <c r="BS1518" s="16"/>
      <c r="BT1518" s="77"/>
      <c r="BU1518" s="16"/>
      <c r="BV1518" s="16"/>
      <c r="BW1518" s="16"/>
      <c r="BX1518" s="16"/>
      <c r="BY1518" s="16"/>
      <c r="BZ1518" s="16"/>
      <c r="CA1518" s="16"/>
      <c r="CB1518" s="16"/>
      <c r="CC1518" s="16"/>
      <c r="CD1518" s="77"/>
      <c r="CE1518" s="16"/>
      <c r="CF1518" s="16"/>
      <c r="CG1518" s="16"/>
      <c r="CH1518" s="16"/>
      <c r="CI1518" s="16"/>
      <c r="CJ1518" s="16"/>
      <c r="CK1518" s="16"/>
      <c r="CL1518" s="16"/>
      <c r="CM1518" s="16"/>
      <c r="CN1518" s="16"/>
      <c r="CO1518" s="16"/>
      <c r="CP1518" s="16"/>
      <c r="CQ1518" s="16"/>
      <c r="CR1518" s="16"/>
      <c r="CS1518" s="16"/>
      <c r="CT1518" s="16"/>
      <c r="CU1518" s="16"/>
      <c r="CV1518" s="16"/>
      <c r="CW1518" s="16"/>
      <c r="CX1518" s="16"/>
      <c r="CY1518" s="16"/>
      <c r="CZ1518" s="16"/>
      <c r="DA1518" s="16"/>
      <c r="DB1518" s="16"/>
      <c r="DC1518" s="16"/>
      <c r="DD1518" s="16"/>
      <c r="DE1518" s="16"/>
      <c r="DF1518" s="16" t="e">
        <f>VLOOKUP(K1518,'[3]RNA Seq summary tables'!$V$3:$V$99,1,FALSE)</f>
        <v>#N/A</v>
      </c>
      <c r="DG1518" s="16"/>
      <c r="DH1518" s="16"/>
      <c r="DI1518" s="16"/>
      <c r="DJ1518" s="16"/>
      <c r="DK1518" s="16"/>
      <c r="DL1518" s="16"/>
      <c r="DM1518" s="16"/>
      <c r="DN1518" s="16"/>
      <c r="DO1518" s="16"/>
      <c r="DP1518" s="16"/>
      <c r="DQ1518" s="16"/>
      <c r="DR1518" s="16"/>
      <c r="DS1518" s="16"/>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18"/>
      <c r="EQ1518" s="18"/>
      <c r="ER1518" s="18"/>
      <c r="ES1518" s="18"/>
      <c r="ET1518" s="18"/>
      <c r="EU1518" s="18"/>
      <c r="EV1518" s="18"/>
      <c r="EW1518" s="18"/>
      <c r="EX1518" s="18"/>
      <c r="EY1518" s="18"/>
      <c r="EZ1518" s="18"/>
      <c r="FA1518" s="18"/>
      <c r="FB1518" s="18"/>
      <c r="FC1518" s="18"/>
      <c r="FD1518" s="18"/>
      <c r="FE1518" s="18"/>
      <c r="FF1518" s="18"/>
      <c r="FG1518" s="18"/>
      <c r="FH1518" s="18"/>
      <c r="FI1518" s="18"/>
      <c r="FJ1518" s="18"/>
      <c r="FK1518" s="18"/>
      <c r="FL1518" s="18"/>
      <c r="FM1518" s="18"/>
      <c r="FN1518" s="18"/>
      <c r="FO1518" s="18"/>
      <c r="FP1518" s="18"/>
      <c r="FQ1518" s="18"/>
      <c r="FR1518" s="18"/>
      <c r="FS1518" s="18"/>
      <c r="FT1518" s="18"/>
      <c r="FU1518" s="18"/>
      <c r="FV1518" s="18"/>
      <c r="FW1518" s="18"/>
      <c r="FX1518" s="18"/>
      <c r="FY1518" s="18"/>
      <c r="FZ1518" s="18"/>
      <c r="GA1518" s="18"/>
      <c r="GB1518" s="18"/>
      <c r="GC1518" s="18"/>
      <c r="GD1518" s="18"/>
      <c r="GE1518" s="18"/>
      <c r="GF1518" s="18"/>
      <c r="GG1518" s="18"/>
      <c r="GH1518" s="18"/>
      <c r="GI1518" s="18"/>
      <c r="GJ1518" s="18"/>
      <c r="GK1518" s="18"/>
      <c r="GL1518" s="18"/>
      <c r="GM1518" s="18"/>
      <c r="GN1518" s="18"/>
      <c r="GO1518" s="18"/>
      <c r="GP1518" s="18"/>
      <c r="GQ1518" s="18"/>
      <c r="GR1518" s="18"/>
      <c r="GS1518" s="18"/>
      <c r="GT1518" s="18"/>
      <c r="GU1518" s="18"/>
      <c r="GV1518" s="18"/>
      <c r="GW1518" s="18"/>
      <c r="GX1518" s="18"/>
      <c r="GY1518" s="18"/>
      <c r="GZ1518" s="18"/>
      <c r="HA1518" s="18"/>
      <c r="HB1518" s="18"/>
      <c r="HC1518" s="18"/>
      <c r="HD1518" s="18"/>
      <c r="HE1518" s="18"/>
      <c r="HF1518" s="18"/>
      <c r="HG1518" s="18"/>
      <c r="HH1518" s="18"/>
      <c r="HI1518" s="18"/>
      <c r="HJ1518" s="18"/>
      <c r="HK1518" s="18"/>
      <c r="HL1518" s="18"/>
      <c r="HM1518" s="18"/>
      <c r="HN1518" s="18"/>
      <c r="HO1518" s="18"/>
      <c r="HP1518" s="18"/>
      <c r="HQ1518" s="18"/>
      <c r="HR1518" s="18"/>
      <c r="HS1518" s="18"/>
      <c r="HT1518" s="18"/>
      <c r="HU1518" s="18"/>
      <c r="HV1518" s="18"/>
      <c r="HW1518" s="18"/>
      <c r="HX1518" s="18"/>
      <c r="HY1518" s="18"/>
      <c r="HZ1518" s="18"/>
      <c r="IA1518" s="18"/>
      <c r="IB1518" s="18"/>
      <c r="IC1518" s="18"/>
      <c r="ID1518" s="18"/>
      <c r="IE1518" s="18"/>
      <c r="IF1518" s="18"/>
      <c r="IG1518" s="18"/>
      <c r="IH1518" s="18"/>
      <c r="II1518" s="18"/>
      <c r="IJ1518" s="18"/>
      <c r="IK1518" s="18"/>
      <c r="IL1518" s="18"/>
      <c r="IM1518" s="18"/>
      <c r="IN1518" s="18"/>
      <c r="IO1518" s="18"/>
      <c r="IP1518" s="18"/>
      <c r="IQ1518" s="18"/>
      <c r="IR1518" s="18"/>
      <c r="IS1518" s="18"/>
      <c r="IT1518" s="18"/>
      <c r="IU1518" s="18"/>
      <c r="IV1518" s="18"/>
      <c r="IW1518" s="18"/>
      <c r="IX1518" s="18"/>
      <c r="IY1518" s="18"/>
      <c r="IZ1518" s="18"/>
      <c r="JA1518" s="18"/>
      <c r="JB1518" s="18"/>
      <c r="JC1518" s="18"/>
      <c r="JD1518" s="18"/>
      <c r="JE1518" s="18"/>
      <c r="JF1518" s="18"/>
      <c r="JG1518" s="18"/>
      <c r="JH1518" s="18"/>
      <c r="JI1518" s="18"/>
      <c r="JJ1518" s="18"/>
      <c r="JK1518" s="18"/>
      <c r="JL1518" s="18"/>
      <c r="JM1518" s="18"/>
      <c r="JN1518" s="18"/>
      <c r="JO1518" s="16"/>
      <c r="JP1518" s="16"/>
      <c r="JQ1518" s="16"/>
      <c r="JR1518" s="16"/>
      <c r="JS1518" s="16"/>
      <c r="JT1518" s="16"/>
      <c r="JU1518" s="16"/>
      <c r="JV1518" s="16"/>
      <c r="JW1518" s="16"/>
      <c r="JX1518" s="16"/>
      <c r="JY1518" s="16"/>
      <c r="JZ1518" s="16"/>
      <c r="KA1518" s="16"/>
      <c r="KB1518" s="16"/>
    </row>
    <row r="1519" spans="1:288" s="27" customFormat="1" x14ac:dyDescent="0.2">
      <c r="A1519" s="18"/>
      <c r="B1519" s="16">
        <v>2016</v>
      </c>
      <c r="C1519" s="20">
        <v>42529</v>
      </c>
      <c r="D1519" s="20" t="str">
        <f>CONCATENATE(J1519,"-",C1519)</f>
        <v>933-42529</v>
      </c>
      <c r="E1519" s="20" t="str">
        <f>CONCATENATE(T1519,"-",U1519,"-",C1519)</f>
        <v>BC2-H6-42529</v>
      </c>
      <c r="F1519" s="20" t="s">
        <v>106</v>
      </c>
      <c r="G1519" s="20" t="s">
        <v>278</v>
      </c>
      <c r="H1519" s="16"/>
      <c r="I1519" s="23"/>
      <c r="J1519" s="15">
        <v>933</v>
      </c>
      <c r="K1519" s="15"/>
      <c r="L1519" s="16"/>
      <c r="M1519" s="15"/>
      <c r="N1519" s="15"/>
      <c r="O1519" s="15"/>
      <c r="P1519" s="23"/>
      <c r="Q1519" s="23"/>
      <c r="R1519" s="23"/>
      <c r="S1519" s="23"/>
      <c r="T1519" s="23" t="s">
        <v>154</v>
      </c>
      <c r="U1519" s="23" t="s">
        <v>141</v>
      </c>
      <c r="V1519" s="23" t="s">
        <v>114</v>
      </c>
      <c r="W1519" s="23"/>
      <c r="X1519" s="23" t="s">
        <v>115</v>
      </c>
      <c r="Y1519" s="23" t="s">
        <v>110</v>
      </c>
      <c r="Z1519" s="16">
        <v>3</v>
      </c>
      <c r="AA1519" s="16"/>
      <c r="AB1519" s="16"/>
      <c r="AC1519" s="16"/>
      <c r="AD1519" s="16"/>
      <c r="AE1519" s="16" t="s">
        <v>123</v>
      </c>
      <c r="AF1519" s="16" t="s">
        <v>123</v>
      </c>
      <c r="AG1519" s="16"/>
      <c r="AH1519" s="16"/>
      <c r="AI1519" s="16"/>
      <c r="AJ1519" s="16"/>
      <c r="AK1519" s="16">
        <v>24</v>
      </c>
      <c r="AL1519" s="16">
        <v>0</v>
      </c>
      <c r="AM1519" s="16">
        <v>0</v>
      </c>
      <c r="AN1519" s="16">
        <v>0</v>
      </c>
      <c r="AO1519" s="16">
        <f>IF(SUM(AL1519:AN1519)&gt;0,1,0)</f>
        <v>0</v>
      </c>
      <c r="AP1519" s="16">
        <f>SUM(AL1519:AN1519)</f>
        <v>0</v>
      </c>
      <c r="AQ1519" s="16"/>
      <c r="AR1519" s="16"/>
      <c r="AS1519" s="16"/>
      <c r="AT1519" s="16"/>
      <c r="AU1519" s="16"/>
      <c r="AV1519" s="16"/>
      <c r="AW1519" s="16"/>
      <c r="AX1519" s="16"/>
      <c r="AY1519" s="16"/>
      <c r="AZ1519" s="16"/>
      <c r="BA1519" s="16"/>
      <c r="BB1519" s="16"/>
      <c r="BC1519" s="16"/>
      <c r="BD1519" s="16"/>
      <c r="BE1519" s="16"/>
      <c r="BF1519" s="16"/>
      <c r="BG1519" s="77"/>
      <c r="BH1519" s="16"/>
      <c r="BI1519" s="16"/>
      <c r="BJ1519" s="16"/>
      <c r="BK1519" s="16"/>
      <c r="BL1519" s="16"/>
      <c r="BM1519" s="16"/>
      <c r="BN1519" s="16"/>
      <c r="BO1519" s="16"/>
      <c r="BP1519" s="16"/>
      <c r="BQ1519" s="16"/>
      <c r="BR1519" s="16"/>
      <c r="BS1519" s="16"/>
      <c r="BT1519" s="77"/>
      <c r="BU1519" s="16"/>
      <c r="BV1519" s="16"/>
      <c r="BW1519" s="16"/>
      <c r="BX1519" s="16"/>
      <c r="BY1519" s="16"/>
      <c r="BZ1519" s="16"/>
      <c r="CA1519" s="16"/>
      <c r="CB1519" s="16"/>
      <c r="CC1519" s="16"/>
      <c r="CD1519" s="77"/>
      <c r="CE1519" s="16"/>
      <c r="CF1519" s="16"/>
      <c r="CG1519" s="16"/>
      <c r="CH1519" s="16"/>
      <c r="CI1519" s="16"/>
      <c r="CJ1519" s="16"/>
      <c r="CK1519" s="16"/>
      <c r="CL1519" s="16"/>
      <c r="CM1519" s="16"/>
      <c r="CN1519" s="16"/>
      <c r="CO1519" s="16"/>
      <c r="CP1519" s="16"/>
      <c r="CQ1519" s="16"/>
      <c r="CR1519" s="16"/>
      <c r="CS1519" s="16"/>
      <c r="CT1519" s="16"/>
      <c r="CU1519" s="16"/>
      <c r="CV1519" s="16"/>
      <c r="CW1519" s="16"/>
      <c r="CX1519" s="16"/>
      <c r="CY1519" s="16"/>
      <c r="CZ1519" s="16"/>
      <c r="DA1519" s="16"/>
      <c r="DB1519" s="16"/>
      <c r="DC1519" s="16"/>
      <c r="DD1519" s="16"/>
      <c r="DE1519" s="16"/>
      <c r="DF1519" s="16" t="e">
        <f>VLOOKUP(K1519,'[3]RNA Seq summary tables'!$V$3:$V$99,1,FALSE)</f>
        <v>#N/A</v>
      </c>
      <c r="DG1519" s="16"/>
      <c r="DH1519" s="16"/>
      <c r="DI1519" s="16"/>
      <c r="DJ1519" s="16"/>
      <c r="DK1519" s="16"/>
      <c r="DL1519" s="16"/>
      <c r="DM1519" s="16"/>
      <c r="DN1519" s="16"/>
      <c r="DO1519" s="16"/>
      <c r="DP1519" s="16"/>
      <c r="DQ1519" s="16"/>
      <c r="DR1519" s="16"/>
      <c r="DS1519" s="16"/>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18"/>
      <c r="EQ1519" s="18"/>
      <c r="ER1519" s="18"/>
      <c r="ES1519" s="18"/>
      <c r="ET1519" s="18"/>
      <c r="EU1519" s="18"/>
      <c r="EV1519" s="18"/>
      <c r="EW1519" s="18"/>
      <c r="EX1519" s="18"/>
      <c r="EY1519" s="18"/>
      <c r="EZ1519" s="18"/>
      <c r="FA1519" s="18"/>
      <c r="FB1519" s="18"/>
      <c r="FC1519" s="18"/>
      <c r="FD1519" s="18"/>
      <c r="FE1519" s="18"/>
      <c r="FF1519" s="18"/>
      <c r="FG1519" s="18"/>
      <c r="FH1519" s="18"/>
      <c r="FI1519" s="18"/>
      <c r="FJ1519" s="18"/>
      <c r="FK1519" s="18"/>
      <c r="FL1519" s="18"/>
      <c r="FM1519" s="18"/>
      <c r="FN1519" s="18"/>
      <c r="FO1519" s="18"/>
      <c r="FP1519" s="18"/>
      <c r="FQ1519" s="18"/>
      <c r="FR1519" s="18"/>
      <c r="FS1519" s="18"/>
      <c r="FT1519" s="18"/>
      <c r="FU1519" s="18"/>
      <c r="FV1519" s="18"/>
      <c r="FW1519" s="18"/>
      <c r="FX1519" s="18"/>
      <c r="FY1519" s="18"/>
      <c r="FZ1519" s="18"/>
      <c r="GA1519" s="18"/>
      <c r="GB1519" s="18"/>
      <c r="GC1519" s="18"/>
      <c r="GD1519" s="18"/>
      <c r="GE1519" s="18"/>
      <c r="GF1519" s="18"/>
      <c r="GG1519" s="18"/>
      <c r="GH1519" s="18"/>
      <c r="GI1519" s="18"/>
      <c r="GJ1519" s="18"/>
      <c r="GK1519" s="18"/>
      <c r="GL1519" s="18"/>
      <c r="GM1519" s="18"/>
      <c r="GN1519" s="18"/>
      <c r="GO1519" s="18"/>
      <c r="GP1519" s="18"/>
      <c r="GQ1519" s="18"/>
      <c r="GR1519" s="18"/>
      <c r="GS1519" s="18"/>
      <c r="GT1519" s="18"/>
      <c r="GU1519" s="18"/>
      <c r="GV1519" s="18"/>
      <c r="GW1519" s="18"/>
      <c r="GX1519" s="18"/>
      <c r="GY1519" s="18"/>
      <c r="GZ1519" s="18"/>
      <c r="HA1519" s="18"/>
      <c r="HB1519" s="18"/>
      <c r="HC1519" s="18"/>
      <c r="HD1519" s="18"/>
      <c r="HE1519" s="18"/>
      <c r="HF1519" s="18"/>
      <c r="HG1519" s="18"/>
      <c r="HH1519" s="18"/>
      <c r="HI1519" s="18"/>
      <c r="HJ1519" s="18"/>
      <c r="HK1519" s="18"/>
      <c r="HL1519" s="18"/>
      <c r="HM1519" s="18"/>
      <c r="HN1519" s="18"/>
      <c r="HO1519" s="18"/>
      <c r="HP1519" s="18"/>
      <c r="HQ1519" s="18"/>
      <c r="HR1519" s="18"/>
      <c r="HS1519" s="18"/>
      <c r="HT1519" s="18"/>
      <c r="HU1519" s="18"/>
      <c r="HV1519" s="18"/>
      <c r="HW1519" s="18"/>
      <c r="HX1519" s="18"/>
      <c r="HY1519" s="18"/>
      <c r="HZ1519" s="18"/>
      <c r="IA1519" s="18"/>
      <c r="IB1519" s="18"/>
      <c r="IC1519" s="18"/>
      <c r="ID1519" s="18"/>
      <c r="IE1519" s="18"/>
      <c r="IF1519" s="18"/>
      <c r="IG1519" s="18"/>
      <c r="IH1519" s="18"/>
      <c r="II1519" s="18"/>
      <c r="IJ1519" s="18"/>
      <c r="IK1519" s="18"/>
      <c r="IL1519" s="18"/>
      <c r="IM1519" s="18"/>
      <c r="IN1519" s="18"/>
      <c r="IO1519" s="18"/>
      <c r="IP1519" s="18"/>
      <c r="IQ1519" s="18"/>
      <c r="IR1519" s="18"/>
      <c r="IS1519" s="18"/>
      <c r="IT1519" s="18"/>
      <c r="IU1519" s="18"/>
      <c r="IV1519" s="18"/>
      <c r="IW1519" s="18"/>
      <c r="IX1519" s="18"/>
      <c r="IY1519" s="18"/>
      <c r="IZ1519" s="18"/>
      <c r="JA1519" s="18"/>
      <c r="JB1519" s="18"/>
      <c r="JC1519" s="18"/>
      <c r="JD1519" s="18"/>
      <c r="JE1519" s="18"/>
      <c r="JF1519" s="18"/>
      <c r="JG1519" s="18"/>
      <c r="JH1519" s="18"/>
      <c r="JI1519" s="18"/>
      <c r="JJ1519" s="18"/>
      <c r="JK1519" s="18"/>
      <c r="JL1519" s="18"/>
      <c r="JM1519" s="18"/>
      <c r="JN1519" s="18"/>
      <c r="JO1519" s="16"/>
      <c r="JP1519" s="16"/>
      <c r="JQ1519" s="16"/>
      <c r="JR1519" s="16"/>
      <c r="JS1519" s="16"/>
      <c r="JT1519" s="16"/>
      <c r="JU1519" s="16"/>
      <c r="JV1519" s="16"/>
      <c r="JW1519" s="16"/>
      <c r="JX1519" s="16"/>
      <c r="JY1519" s="16"/>
      <c r="JZ1519" s="16"/>
      <c r="KA1519" s="16"/>
      <c r="KB1519" s="16"/>
    </row>
    <row r="1520" spans="1:288" s="27" customFormat="1" x14ac:dyDescent="0.2">
      <c r="A1520" s="18"/>
      <c r="B1520" s="16">
        <v>2016</v>
      </c>
      <c r="C1520" s="20">
        <v>42543</v>
      </c>
      <c r="D1520" s="20" t="str">
        <f>CONCATENATE(J1520,"-",C1520)</f>
        <v>933-42543</v>
      </c>
      <c r="E1520" s="20" t="str">
        <f>CONCATENATE(T1520,"-",U1520,"-",C1520)</f>
        <v>BC2-D2-42543</v>
      </c>
      <c r="F1520" s="20" t="s">
        <v>106</v>
      </c>
      <c r="G1520" s="20" t="s">
        <v>278</v>
      </c>
      <c r="H1520" s="16"/>
      <c r="I1520" s="16"/>
      <c r="J1520" s="21">
        <v>933</v>
      </c>
      <c r="K1520" s="21"/>
      <c r="L1520" s="16"/>
      <c r="M1520" s="21"/>
      <c r="N1520" s="21"/>
      <c r="O1520" s="21"/>
      <c r="P1520" s="16"/>
      <c r="Q1520" s="16"/>
      <c r="R1520" s="16"/>
      <c r="S1520" s="16"/>
      <c r="T1520" s="16" t="s">
        <v>154</v>
      </c>
      <c r="U1520" s="16" t="s">
        <v>198</v>
      </c>
      <c r="V1520" s="16" t="s">
        <v>114</v>
      </c>
      <c r="W1520" s="16"/>
      <c r="X1520" s="16"/>
      <c r="Y1520" s="16"/>
      <c r="Z1520" s="16"/>
      <c r="AA1520" s="16"/>
      <c r="AB1520" s="16"/>
      <c r="AC1520" s="16"/>
      <c r="AD1520" s="16"/>
      <c r="AE1520" s="16"/>
      <c r="AF1520" s="16"/>
      <c r="AG1520" s="16"/>
      <c r="AH1520" s="16"/>
      <c r="AI1520" s="16"/>
      <c r="AJ1520" s="16"/>
      <c r="AK1520" s="16"/>
      <c r="AL1520" s="16"/>
      <c r="AM1520" s="16"/>
      <c r="AN1520" s="16"/>
      <c r="AO1520" s="16"/>
      <c r="AP1520" s="16"/>
      <c r="AQ1520" s="16"/>
      <c r="AR1520" s="16"/>
      <c r="AS1520" s="16"/>
      <c r="AT1520" s="16"/>
      <c r="AU1520" s="16"/>
      <c r="AV1520" s="16"/>
      <c r="AW1520" s="16"/>
      <c r="AX1520" s="16"/>
      <c r="AY1520" s="16"/>
      <c r="AZ1520" s="16"/>
      <c r="BA1520" s="16"/>
      <c r="BB1520" s="16"/>
      <c r="BC1520" s="16"/>
      <c r="BD1520" s="16"/>
      <c r="BE1520" s="16"/>
      <c r="BF1520" s="16"/>
      <c r="BG1520" s="77"/>
      <c r="BH1520" s="16"/>
      <c r="BI1520" s="16"/>
      <c r="BJ1520" s="16"/>
      <c r="BK1520" s="16"/>
      <c r="BL1520" s="16"/>
      <c r="BM1520" s="16"/>
      <c r="BN1520" s="16"/>
      <c r="BO1520" s="16"/>
      <c r="BP1520" s="16"/>
      <c r="BQ1520" s="16"/>
      <c r="BR1520" s="16"/>
      <c r="BS1520" s="16"/>
      <c r="BT1520" s="77"/>
      <c r="BU1520" s="16"/>
      <c r="BV1520" s="16"/>
      <c r="BW1520" s="16"/>
      <c r="BX1520" s="16"/>
      <c r="BY1520" s="16"/>
      <c r="BZ1520" s="16"/>
      <c r="CA1520" s="16"/>
      <c r="CB1520" s="16"/>
      <c r="CC1520" s="16"/>
      <c r="CD1520" s="77"/>
      <c r="CE1520" s="16"/>
      <c r="CF1520" s="16"/>
      <c r="CG1520" s="16"/>
      <c r="CH1520" s="16"/>
      <c r="CI1520" s="16"/>
      <c r="CJ1520" s="16"/>
      <c r="CK1520" s="16"/>
      <c r="CL1520" s="16"/>
      <c r="CM1520" s="16"/>
      <c r="CN1520" s="16"/>
      <c r="CO1520" s="16"/>
      <c r="CP1520" s="16"/>
      <c r="CQ1520" s="16"/>
      <c r="CR1520" s="16"/>
      <c r="CS1520" s="16"/>
      <c r="CT1520" s="16"/>
      <c r="CU1520" s="16"/>
      <c r="CV1520" s="16"/>
      <c r="CW1520" s="16"/>
      <c r="CX1520" s="16"/>
      <c r="CY1520" s="16"/>
      <c r="CZ1520" s="16"/>
      <c r="DA1520" s="16"/>
      <c r="DB1520" s="16"/>
      <c r="DC1520" s="16"/>
      <c r="DD1520" s="16"/>
      <c r="DE1520" s="16"/>
      <c r="DF1520" s="16" t="e">
        <f>VLOOKUP(K1520,'[3]RNA Seq summary tables'!$V$3:$V$99,1,FALSE)</f>
        <v>#N/A</v>
      </c>
      <c r="DG1520" s="16"/>
      <c r="DH1520" s="16"/>
      <c r="DI1520" s="16"/>
      <c r="DJ1520" s="16"/>
      <c r="DK1520" s="16"/>
      <c r="DL1520" s="16"/>
      <c r="DM1520" s="16"/>
      <c r="DN1520" s="16"/>
      <c r="DO1520" s="16"/>
      <c r="DP1520" s="16"/>
      <c r="DQ1520" s="16"/>
      <c r="DR1520" s="16"/>
      <c r="DS1520" s="16"/>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18"/>
      <c r="EQ1520" s="18"/>
      <c r="ER1520" s="18"/>
      <c r="ES1520" s="18"/>
      <c r="ET1520" s="18"/>
      <c r="EU1520" s="18"/>
      <c r="EV1520" s="18"/>
      <c r="EW1520" s="18"/>
      <c r="EX1520" s="18"/>
      <c r="EY1520" s="18"/>
      <c r="EZ1520" s="18"/>
      <c r="FA1520" s="18"/>
      <c r="FB1520" s="18"/>
      <c r="FC1520" s="18"/>
      <c r="FD1520" s="18"/>
      <c r="FE1520" s="18"/>
      <c r="FF1520" s="18"/>
      <c r="FG1520" s="18"/>
      <c r="FH1520" s="18"/>
      <c r="FI1520" s="18"/>
      <c r="FJ1520" s="18"/>
      <c r="FK1520" s="18"/>
      <c r="FL1520" s="18"/>
      <c r="FM1520" s="18"/>
      <c r="FN1520" s="18"/>
      <c r="FO1520" s="18"/>
      <c r="FP1520" s="18"/>
      <c r="FQ1520" s="18"/>
      <c r="FR1520" s="18"/>
      <c r="FS1520" s="18"/>
      <c r="FT1520" s="18"/>
      <c r="FU1520" s="18"/>
      <c r="FV1520" s="18"/>
      <c r="FW1520" s="18"/>
      <c r="FX1520" s="18"/>
      <c r="FY1520" s="18"/>
      <c r="FZ1520" s="18"/>
      <c r="GA1520" s="18"/>
      <c r="GB1520" s="18"/>
      <c r="GC1520" s="18"/>
      <c r="GD1520" s="18"/>
      <c r="GE1520" s="18"/>
      <c r="GF1520" s="18"/>
      <c r="GG1520" s="18"/>
      <c r="GH1520" s="18"/>
      <c r="GI1520" s="18"/>
      <c r="GJ1520" s="18"/>
      <c r="GK1520" s="18"/>
      <c r="GL1520" s="18"/>
      <c r="GM1520" s="18"/>
      <c r="GN1520" s="18"/>
      <c r="GO1520" s="18"/>
      <c r="GP1520" s="18"/>
      <c r="GQ1520" s="18"/>
      <c r="GR1520" s="18"/>
      <c r="GS1520" s="18"/>
      <c r="GT1520" s="18"/>
      <c r="GU1520" s="18"/>
      <c r="GV1520" s="18"/>
      <c r="GW1520" s="18"/>
      <c r="GX1520" s="18"/>
      <c r="GY1520" s="18"/>
      <c r="GZ1520" s="18"/>
      <c r="HA1520" s="18"/>
      <c r="HB1520" s="18"/>
      <c r="HC1520" s="18"/>
      <c r="HD1520" s="18"/>
      <c r="HE1520" s="18"/>
      <c r="HF1520" s="18"/>
      <c r="HG1520" s="18"/>
      <c r="HH1520" s="18"/>
      <c r="HI1520" s="18"/>
      <c r="HJ1520" s="18"/>
      <c r="HK1520" s="18"/>
      <c r="HL1520" s="18"/>
      <c r="HM1520" s="18"/>
      <c r="HN1520" s="18"/>
      <c r="HO1520" s="18"/>
      <c r="HP1520" s="18"/>
      <c r="HQ1520" s="18"/>
      <c r="HR1520" s="18"/>
      <c r="HS1520" s="18"/>
      <c r="HT1520" s="18"/>
      <c r="HU1520" s="18"/>
      <c r="HV1520" s="18"/>
      <c r="HW1520" s="18"/>
      <c r="HX1520" s="18"/>
      <c r="HY1520" s="18"/>
      <c r="HZ1520" s="18"/>
      <c r="IA1520" s="18"/>
      <c r="IB1520" s="18"/>
      <c r="IC1520" s="18"/>
      <c r="ID1520" s="18"/>
      <c r="IE1520" s="18"/>
      <c r="IF1520" s="18"/>
      <c r="IG1520" s="18"/>
      <c r="IH1520" s="18"/>
      <c r="II1520" s="18"/>
      <c r="IJ1520" s="18"/>
      <c r="IK1520" s="18"/>
      <c r="IL1520" s="18"/>
      <c r="IM1520" s="18"/>
      <c r="IN1520" s="18"/>
      <c r="IO1520" s="18"/>
      <c r="IP1520" s="18"/>
      <c r="IQ1520" s="18"/>
      <c r="IR1520" s="18"/>
      <c r="IS1520" s="18"/>
      <c r="IT1520" s="18"/>
      <c r="IU1520" s="18"/>
      <c r="IV1520" s="18"/>
      <c r="IW1520" s="18"/>
      <c r="IX1520" s="18"/>
      <c r="IY1520" s="18"/>
      <c r="IZ1520" s="18"/>
      <c r="JA1520" s="18"/>
      <c r="JB1520" s="18"/>
      <c r="JC1520" s="18"/>
      <c r="JD1520" s="18"/>
      <c r="JE1520" s="18"/>
      <c r="JF1520" s="18"/>
      <c r="JG1520" s="18"/>
      <c r="JH1520" s="18"/>
      <c r="JI1520" s="18"/>
      <c r="JJ1520" s="18"/>
      <c r="JK1520" s="18"/>
      <c r="JL1520" s="18"/>
      <c r="JM1520" s="18"/>
      <c r="JN1520" s="18"/>
      <c r="JO1520" s="16"/>
      <c r="JP1520" s="16"/>
      <c r="JQ1520" s="16"/>
      <c r="JR1520" s="16"/>
      <c r="JS1520" s="16"/>
      <c r="JT1520" s="16"/>
      <c r="JU1520" s="16"/>
      <c r="JV1520" s="16"/>
      <c r="JW1520" s="16"/>
      <c r="JX1520" s="16"/>
      <c r="JY1520" s="16"/>
      <c r="JZ1520" s="16"/>
      <c r="KA1520" s="16"/>
      <c r="KB1520" s="16"/>
    </row>
    <row r="1521" spans="1:288" s="27" customFormat="1" x14ac:dyDescent="0.2">
      <c r="A1521" s="18"/>
      <c r="B1521" s="16">
        <v>2016</v>
      </c>
      <c r="C1521" s="20">
        <v>42543</v>
      </c>
      <c r="D1521" s="20" t="str">
        <f>CONCATENATE(J1521,"-",C1521)</f>
        <v>934-42543</v>
      </c>
      <c r="E1521" s="20" t="str">
        <f>CONCATENATE(T1521,"-",U1521,"-",C1521)</f>
        <v>BC1-D1-42543</v>
      </c>
      <c r="F1521" s="20" t="s">
        <v>106</v>
      </c>
      <c r="G1521" s="90" t="s">
        <v>278</v>
      </c>
      <c r="H1521" s="16"/>
      <c r="I1521" s="16"/>
      <c r="J1521" s="21">
        <v>934</v>
      </c>
      <c r="K1521" s="21"/>
      <c r="L1521" s="16"/>
      <c r="M1521" s="21"/>
      <c r="N1521" s="21"/>
      <c r="O1521" s="21"/>
      <c r="P1521" s="16"/>
      <c r="Q1521" s="16"/>
      <c r="R1521" s="16"/>
      <c r="S1521" s="16"/>
      <c r="T1521" s="16" t="s">
        <v>159</v>
      </c>
      <c r="U1521" s="16" t="s">
        <v>157</v>
      </c>
      <c r="V1521" s="16" t="s">
        <v>114</v>
      </c>
      <c r="W1521" s="16"/>
      <c r="X1521" s="16" t="s">
        <v>121</v>
      </c>
      <c r="Y1521" s="16" t="s">
        <v>122</v>
      </c>
      <c r="Z1521" s="16">
        <v>2.2999999999999998</v>
      </c>
      <c r="AA1521" s="16"/>
      <c r="AB1521" s="16"/>
      <c r="AC1521" s="16"/>
      <c r="AD1521" s="16"/>
      <c r="AE1521" s="16"/>
      <c r="AF1521" s="16"/>
      <c r="AG1521" s="16"/>
      <c r="AH1521" s="16"/>
      <c r="AI1521" s="16"/>
      <c r="AJ1521" s="16"/>
      <c r="AK1521" s="16"/>
      <c r="AL1521" s="16"/>
      <c r="AM1521" s="16"/>
      <c r="AN1521" s="16"/>
      <c r="AO1521" s="16"/>
      <c r="AP1521" s="16"/>
      <c r="AQ1521" s="16"/>
      <c r="AR1521" s="16"/>
      <c r="AS1521" s="16"/>
      <c r="AT1521" s="16"/>
      <c r="AU1521" s="16"/>
      <c r="AV1521" s="16"/>
      <c r="AW1521" s="16"/>
      <c r="AX1521" s="16"/>
      <c r="AY1521" s="16"/>
      <c r="AZ1521" s="16"/>
      <c r="BA1521" s="16"/>
      <c r="BB1521" s="16"/>
      <c r="BC1521" s="16"/>
      <c r="BD1521" s="16"/>
      <c r="BE1521" s="16"/>
      <c r="BF1521" s="16"/>
      <c r="BG1521" s="77"/>
      <c r="BH1521" s="16"/>
      <c r="BI1521" s="16"/>
      <c r="BJ1521" s="16"/>
      <c r="BK1521" s="16"/>
      <c r="BL1521" s="16"/>
      <c r="BM1521" s="16"/>
      <c r="BN1521" s="16"/>
      <c r="BO1521" s="16"/>
      <c r="BP1521" s="16"/>
      <c r="BQ1521" s="16"/>
      <c r="BR1521" s="16"/>
      <c r="BS1521" s="16"/>
      <c r="BT1521" s="77"/>
      <c r="BU1521" s="16"/>
      <c r="BV1521" s="16"/>
      <c r="BW1521" s="16"/>
      <c r="BX1521" s="16"/>
      <c r="BY1521" s="16"/>
      <c r="BZ1521" s="16"/>
      <c r="CA1521" s="16"/>
      <c r="CB1521" s="16"/>
      <c r="CC1521" s="16"/>
      <c r="CD1521" s="77"/>
      <c r="CE1521" s="16"/>
      <c r="CF1521" s="16"/>
      <c r="CG1521" s="16"/>
      <c r="CH1521" s="16"/>
      <c r="CI1521" s="16"/>
      <c r="CJ1521" s="16"/>
      <c r="CK1521" s="16"/>
      <c r="CL1521" s="16"/>
      <c r="CM1521" s="16"/>
      <c r="CN1521" s="16"/>
      <c r="CO1521" s="16"/>
      <c r="CP1521" s="16"/>
      <c r="CQ1521" s="16"/>
      <c r="CR1521" s="16"/>
      <c r="CS1521" s="16"/>
      <c r="CT1521" s="16"/>
      <c r="CU1521" s="16"/>
      <c r="CV1521" s="16"/>
      <c r="CW1521" s="16"/>
      <c r="CX1521" s="16"/>
      <c r="CY1521" s="16"/>
      <c r="CZ1521" s="16"/>
      <c r="DA1521" s="16"/>
      <c r="DB1521" s="16"/>
      <c r="DC1521" s="16"/>
      <c r="DD1521" s="16"/>
      <c r="DE1521" s="16"/>
      <c r="DF1521" s="16" t="e">
        <f>VLOOKUP(K1521,'[3]RNA Seq summary tables'!$V$3:$V$99,1,FALSE)</f>
        <v>#N/A</v>
      </c>
      <c r="DG1521" s="16"/>
      <c r="DH1521" s="16"/>
      <c r="DI1521" s="16"/>
      <c r="DJ1521" s="16"/>
      <c r="DK1521" s="16"/>
      <c r="DL1521" s="16"/>
      <c r="DM1521" s="16"/>
      <c r="DN1521" s="16"/>
      <c r="DO1521" s="16"/>
      <c r="DP1521" s="16"/>
      <c r="DQ1521" s="16"/>
      <c r="DR1521" s="16"/>
      <c r="DS1521" s="16"/>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18"/>
      <c r="EQ1521" s="18"/>
      <c r="ER1521" s="18"/>
      <c r="ES1521" s="18"/>
      <c r="ET1521" s="18"/>
      <c r="EU1521" s="18"/>
      <c r="EV1521" s="18"/>
      <c r="EW1521" s="18"/>
      <c r="EX1521" s="18"/>
      <c r="EY1521" s="18"/>
      <c r="EZ1521" s="18"/>
      <c r="FA1521" s="18"/>
      <c r="FB1521" s="18"/>
      <c r="FC1521" s="18"/>
      <c r="FD1521" s="18"/>
      <c r="FE1521" s="18"/>
      <c r="FF1521" s="18"/>
      <c r="FG1521" s="18"/>
      <c r="FH1521" s="18"/>
      <c r="FI1521" s="18"/>
      <c r="FJ1521" s="18"/>
      <c r="FK1521" s="18"/>
      <c r="FL1521" s="18"/>
      <c r="FM1521" s="18"/>
      <c r="FN1521" s="18"/>
      <c r="FO1521" s="18"/>
      <c r="FP1521" s="18"/>
      <c r="FQ1521" s="18"/>
      <c r="FR1521" s="18"/>
      <c r="FS1521" s="18"/>
      <c r="FT1521" s="18"/>
      <c r="FU1521" s="18"/>
      <c r="FV1521" s="18"/>
      <c r="FW1521" s="18"/>
      <c r="FX1521" s="18"/>
      <c r="FY1521" s="18"/>
      <c r="FZ1521" s="18"/>
      <c r="GA1521" s="18"/>
      <c r="GB1521" s="18"/>
      <c r="GC1521" s="18"/>
      <c r="GD1521" s="18"/>
      <c r="GE1521" s="18"/>
      <c r="GF1521" s="18"/>
      <c r="GG1521" s="18"/>
      <c r="GH1521" s="18"/>
      <c r="GI1521" s="18"/>
      <c r="GJ1521" s="18"/>
      <c r="GK1521" s="18"/>
      <c r="GL1521" s="18"/>
      <c r="GM1521" s="18"/>
      <c r="GN1521" s="18"/>
      <c r="GO1521" s="18"/>
      <c r="GP1521" s="18"/>
      <c r="GQ1521" s="18"/>
      <c r="GR1521" s="18"/>
      <c r="GS1521" s="18"/>
      <c r="GT1521" s="18"/>
      <c r="GU1521" s="18"/>
      <c r="GV1521" s="18"/>
      <c r="GW1521" s="18"/>
      <c r="GX1521" s="18"/>
      <c r="GY1521" s="18"/>
      <c r="GZ1521" s="18"/>
      <c r="HA1521" s="18"/>
      <c r="HB1521" s="18"/>
      <c r="HC1521" s="18"/>
      <c r="HD1521" s="18"/>
      <c r="HE1521" s="18"/>
      <c r="HF1521" s="18"/>
      <c r="HG1521" s="18"/>
      <c r="HH1521" s="18"/>
      <c r="HI1521" s="18"/>
      <c r="HJ1521" s="18"/>
      <c r="HK1521" s="18"/>
      <c r="HL1521" s="18"/>
      <c r="HM1521" s="18"/>
      <c r="HN1521" s="18"/>
      <c r="HO1521" s="18"/>
      <c r="HP1521" s="18"/>
      <c r="HQ1521" s="18"/>
      <c r="HR1521" s="18"/>
      <c r="HS1521" s="18"/>
      <c r="HT1521" s="18"/>
      <c r="HU1521" s="18"/>
      <c r="HV1521" s="18"/>
      <c r="HW1521" s="18"/>
      <c r="HX1521" s="18"/>
      <c r="HY1521" s="18"/>
      <c r="HZ1521" s="18"/>
      <c r="IA1521" s="18"/>
      <c r="IB1521" s="18"/>
      <c r="IC1521" s="18"/>
      <c r="ID1521" s="18"/>
      <c r="IE1521" s="18"/>
      <c r="IF1521" s="18"/>
      <c r="IG1521" s="18"/>
      <c r="IH1521" s="18"/>
      <c r="II1521" s="18"/>
      <c r="IJ1521" s="18"/>
      <c r="IK1521" s="18"/>
      <c r="IL1521" s="18"/>
      <c r="IM1521" s="18"/>
      <c r="IN1521" s="18"/>
      <c r="IO1521" s="18"/>
      <c r="IP1521" s="18"/>
      <c r="IQ1521" s="18"/>
      <c r="IR1521" s="18"/>
      <c r="IS1521" s="18"/>
      <c r="IT1521" s="18"/>
      <c r="IU1521" s="18"/>
      <c r="IV1521" s="18"/>
      <c r="IW1521" s="18"/>
      <c r="IX1521" s="18"/>
      <c r="IY1521" s="18"/>
      <c r="IZ1521" s="18"/>
      <c r="JA1521" s="18"/>
      <c r="JB1521" s="18"/>
      <c r="JC1521" s="18"/>
      <c r="JD1521" s="18"/>
      <c r="JE1521" s="18"/>
      <c r="JF1521" s="18"/>
      <c r="JG1521" s="18"/>
      <c r="JH1521" s="18"/>
      <c r="JI1521" s="18"/>
      <c r="JJ1521" s="18"/>
      <c r="JK1521" s="18"/>
      <c r="JL1521" s="18"/>
      <c r="JM1521" s="18"/>
      <c r="JN1521" s="18"/>
      <c r="JO1521" s="16"/>
      <c r="JP1521" s="16"/>
      <c r="JQ1521" s="16"/>
      <c r="JR1521" s="38"/>
      <c r="JS1521" s="38"/>
      <c r="JT1521" s="38"/>
      <c r="JU1521" s="38"/>
      <c r="JV1521" s="38"/>
      <c r="JW1521" s="38"/>
      <c r="JX1521" s="38"/>
      <c r="JY1521" s="38"/>
      <c r="JZ1521" s="38"/>
      <c r="KA1521" s="38"/>
      <c r="KB1521" s="38"/>
    </row>
    <row r="1522" spans="1:288" s="27" customFormat="1" x14ac:dyDescent="0.2">
      <c r="A1522" s="18"/>
      <c r="B1522" s="16">
        <v>2016</v>
      </c>
      <c r="C1522" s="20">
        <v>42558</v>
      </c>
      <c r="D1522" s="20" t="str">
        <f>CONCATENATE(J1522,"-",C1522)</f>
        <v>934-42558</v>
      </c>
      <c r="E1522" s="20" t="str">
        <f>CONCATENATE(T1522,"-",U1522,"-",C1522)</f>
        <v>BC1-G1-42558</v>
      </c>
      <c r="F1522" s="20" t="s">
        <v>106</v>
      </c>
      <c r="G1522" s="90" t="s">
        <v>278</v>
      </c>
      <c r="H1522" s="16"/>
      <c r="I1522" s="16"/>
      <c r="J1522" s="21">
        <v>934</v>
      </c>
      <c r="K1522" s="21"/>
      <c r="L1522" s="16"/>
      <c r="M1522" s="21"/>
      <c r="N1522" s="21"/>
      <c r="O1522" s="21"/>
      <c r="P1522" s="16"/>
      <c r="Q1522" s="16"/>
      <c r="R1522" s="16"/>
      <c r="S1522" s="16"/>
      <c r="T1522" s="16" t="s">
        <v>159</v>
      </c>
      <c r="U1522" s="16" t="s">
        <v>155</v>
      </c>
      <c r="V1522" s="16"/>
      <c r="W1522" s="16"/>
      <c r="X1522" s="16"/>
      <c r="Y1522" s="16"/>
      <c r="Z1522" s="16"/>
      <c r="AA1522" s="16"/>
      <c r="AB1522" s="16"/>
      <c r="AC1522" s="16"/>
      <c r="AD1522" s="16"/>
      <c r="AE1522" s="16"/>
      <c r="AF1522" s="16"/>
      <c r="AG1522" s="16"/>
      <c r="AH1522" s="16"/>
      <c r="AI1522" s="16"/>
      <c r="AJ1522" s="16"/>
      <c r="AK1522" s="16"/>
      <c r="AL1522" s="16"/>
      <c r="AM1522" s="16"/>
      <c r="AN1522" s="16"/>
      <c r="AO1522" s="16"/>
      <c r="AP1522" s="16"/>
      <c r="AQ1522" s="16"/>
      <c r="AR1522" s="16"/>
      <c r="AS1522" s="16"/>
      <c r="AT1522" s="16"/>
      <c r="AU1522" s="16"/>
      <c r="AV1522" s="16"/>
      <c r="AW1522" s="16"/>
      <c r="AX1522" s="16"/>
      <c r="AY1522" s="16"/>
      <c r="AZ1522" s="16"/>
      <c r="BA1522" s="16"/>
      <c r="BB1522" s="16"/>
      <c r="BC1522" s="16"/>
      <c r="BD1522" s="16"/>
      <c r="BE1522" s="16"/>
      <c r="BF1522" s="16"/>
      <c r="BG1522" s="77"/>
      <c r="BH1522" s="16"/>
      <c r="BI1522" s="16"/>
      <c r="BJ1522" s="16"/>
      <c r="BK1522" s="16"/>
      <c r="BL1522" s="16"/>
      <c r="BM1522" s="16"/>
      <c r="BN1522" s="16"/>
      <c r="BO1522" s="16"/>
      <c r="BP1522" s="16"/>
      <c r="BQ1522" s="16"/>
      <c r="BR1522" s="16"/>
      <c r="BS1522" s="16"/>
      <c r="BT1522" s="77"/>
      <c r="BU1522" s="16"/>
      <c r="BV1522" s="16"/>
      <c r="BW1522" s="16"/>
      <c r="BX1522" s="16"/>
      <c r="BY1522" s="16"/>
      <c r="BZ1522" s="16"/>
      <c r="CA1522" s="16"/>
      <c r="CB1522" s="16"/>
      <c r="CC1522" s="16"/>
      <c r="CD1522" s="77"/>
      <c r="CE1522" s="16"/>
      <c r="CF1522" s="16"/>
      <c r="CG1522" s="16"/>
      <c r="CH1522" s="16"/>
      <c r="CI1522" s="16"/>
      <c r="CJ1522" s="16"/>
      <c r="CK1522" s="16"/>
      <c r="CL1522" s="16"/>
      <c r="CM1522" s="16"/>
      <c r="CN1522" s="16"/>
      <c r="CO1522" s="16"/>
      <c r="CP1522" s="16"/>
      <c r="CQ1522" s="16"/>
      <c r="CR1522" s="16"/>
      <c r="CS1522" s="16"/>
      <c r="CT1522" s="16"/>
      <c r="CU1522" s="16"/>
      <c r="CV1522" s="16"/>
      <c r="CW1522" s="16"/>
      <c r="CX1522" s="16"/>
      <c r="CY1522" s="16"/>
      <c r="CZ1522" s="16"/>
      <c r="DA1522" s="16"/>
      <c r="DB1522" s="16"/>
      <c r="DC1522" s="16"/>
      <c r="DD1522" s="16"/>
      <c r="DE1522" s="16"/>
      <c r="DF1522" s="16" t="e">
        <f>VLOOKUP(K1522,'[3]RNA Seq summary tables'!$V$3:$V$99,1,FALSE)</f>
        <v>#N/A</v>
      </c>
      <c r="DG1522" s="16"/>
      <c r="DH1522" s="16"/>
      <c r="DI1522" s="16"/>
      <c r="DJ1522" s="16"/>
      <c r="DK1522" s="16"/>
      <c r="DL1522" s="16"/>
      <c r="DM1522" s="16"/>
      <c r="DN1522" s="16"/>
      <c r="DO1522" s="16"/>
      <c r="DP1522" s="16"/>
      <c r="DQ1522" s="16"/>
      <c r="DR1522" s="16"/>
      <c r="DS1522" s="16"/>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18"/>
      <c r="EQ1522" s="18"/>
      <c r="ER1522" s="18"/>
      <c r="ES1522" s="18"/>
      <c r="ET1522" s="18"/>
      <c r="EU1522" s="18"/>
      <c r="EV1522" s="18"/>
      <c r="EW1522" s="18"/>
      <c r="EX1522" s="18"/>
      <c r="EY1522" s="18"/>
      <c r="EZ1522" s="18"/>
      <c r="FA1522" s="18"/>
      <c r="FB1522" s="18"/>
      <c r="FC1522" s="18"/>
      <c r="FD1522" s="18"/>
      <c r="FE1522" s="18"/>
      <c r="FF1522" s="18"/>
      <c r="FG1522" s="18"/>
      <c r="FH1522" s="18"/>
      <c r="FI1522" s="18"/>
      <c r="FJ1522" s="18"/>
      <c r="FK1522" s="18"/>
      <c r="FL1522" s="18"/>
      <c r="FM1522" s="18"/>
      <c r="FN1522" s="18"/>
      <c r="FO1522" s="18"/>
      <c r="FP1522" s="18"/>
      <c r="FQ1522" s="18"/>
      <c r="FR1522" s="18"/>
      <c r="FS1522" s="18"/>
      <c r="FT1522" s="18"/>
      <c r="FU1522" s="18"/>
      <c r="FV1522" s="18"/>
      <c r="FW1522" s="18"/>
      <c r="FX1522" s="18"/>
      <c r="FY1522" s="18"/>
      <c r="FZ1522" s="18"/>
      <c r="GA1522" s="18"/>
      <c r="GB1522" s="18"/>
      <c r="GC1522" s="18"/>
      <c r="GD1522" s="18"/>
      <c r="GE1522" s="18"/>
      <c r="GF1522" s="18"/>
      <c r="GG1522" s="18"/>
      <c r="GH1522" s="18"/>
      <c r="GI1522" s="18"/>
      <c r="GJ1522" s="18"/>
      <c r="GK1522" s="18"/>
      <c r="GL1522" s="18"/>
      <c r="GM1522" s="18"/>
      <c r="GN1522" s="18"/>
      <c r="GO1522" s="18"/>
      <c r="GP1522" s="18"/>
      <c r="GQ1522" s="18"/>
      <c r="GR1522" s="18"/>
      <c r="GS1522" s="18"/>
      <c r="GT1522" s="18"/>
      <c r="GU1522" s="18"/>
      <c r="GV1522" s="18"/>
      <c r="GW1522" s="18"/>
      <c r="GX1522" s="18"/>
      <c r="GY1522" s="18"/>
      <c r="GZ1522" s="18"/>
      <c r="HA1522" s="18"/>
      <c r="HB1522" s="18"/>
      <c r="HC1522" s="18"/>
      <c r="HD1522" s="18"/>
      <c r="HE1522" s="18"/>
      <c r="HF1522" s="18"/>
      <c r="HG1522" s="18"/>
      <c r="HH1522" s="18"/>
      <c r="HI1522" s="18"/>
      <c r="HJ1522" s="18"/>
      <c r="HK1522" s="18"/>
      <c r="HL1522" s="18"/>
      <c r="HM1522" s="18"/>
      <c r="HN1522" s="18"/>
      <c r="HO1522" s="18"/>
      <c r="HP1522" s="18"/>
      <c r="HQ1522" s="18"/>
      <c r="HR1522" s="18"/>
      <c r="HS1522" s="18"/>
      <c r="HT1522" s="18"/>
      <c r="HU1522" s="18"/>
      <c r="HV1522" s="18"/>
      <c r="HW1522" s="18"/>
      <c r="HX1522" s="18"/>
      <c r="HY1522" s="18"/>
      <c r="HZ1522" s="18"/>
      <c r="IA1522" s="18"/>
      <c r="IB1522" s="18"/>
      <c r="IC1522" s="18"/>
      <c r="ID1522" s="18"/>
      <c r="IE1522" s="18"/>
      <c r="IF1522" s="18"/>
      <c r="IG1522" s="18"/>
      <c r="IH1522" s="18"/>
      <c r="II1522" s="18"/>
      <c r="IJ1522" s="18"/>
      <c r="IK1522" s="18"/>
      <c r="IL1522" s="18"/>
      <c r="IM1522" s="18"/>
      <c r="IN1522" s="18"/>
      <c r="IO1522" s="18"/>
      <c r="IP1522" s="18"/>
      <c r="IQ1522" s="18"/>
      <c r="IR1522" s="18"/>
      <c r="IS1522" s="18"/>
      <c r="IT1522" s="18"/>
      <c r="IU1522" s="18"/>
      <c r="IV1522" s="18"/>
      <c r="IW1522" s="18"/>
      <c r="IX1522" s="18"/>
      <c r="IY1522" s="18"/>
      <c r="IZ1522" s="18"/>
      <c r="JA1522" s="18"/>
      <c r="JB1522" s="18"/>
      <c r="JC1522" s="18"/>
      <c r="JD1522" s="18"/>
      <c r="JE1522" s="18"/>
      <c r="JF1522" s="18"/>
      <c r="JG1522" s="18"/>
      <c r="JH1522" s="18"/>
      <c r="JI1522" s="18"/>
      <c r="JJ1522" s="18"/>
      <c r="JK1522" s="18"/>
      <c r="JL1522" s="18"/>
      <c r="JM1522" s="18"/>
      <c r="JN1522" s="18"/>
      <c r="JO1522" s="16"/>
      <c r="JP1522" s="16"/>
      <c r="JQ1522" s="16"/>
      <c r="JR1522" s="16"/>
      <c r="JS1522" s="16"/>
      <c r="JT1522" s="16"/>
      <c r="JU1522" s="16"/>
      <c r="JV1522" s="16"/>
      <c r="JW1522" s="16"/>
      <c r="JX1522" s="16"/>
      <c r="JY1522" s="16"/>
      <c r="JZ1522" s="16"/>
      <c r="KA1522" s="16"/>
      <c r="KB1522" s="16"/>
    </row>
    <row r="1523" spans="1:288" s="27" customFormat="1" x14ac:dyDescent="0.2">
      <c r="A1523" s="18"/>
      <c r="B1523" s="16">
        <v>2016</v>
      </c>
      <c r="C1523" s="20">
        <v>42571</v>
      </c>
      <c r="D1523" s="20" t="str">
        <f>CONCATENATE(J1523,"-",C1523)</f>
        <v>934-42571</v>
      </c>
      <c r="E1523" s="20" t="str">
        <f>CONCATENATE(T1523,"-",U1523,"-",C1523)</f>
        <v>BC1-G1-42571</v>
      </c>
      <c r="F1523" s="20" t="s">
        <v>106</v>
      </c>
      <c r="G1523" s="90" t="s">
        <v>278</v>
      </c>
      <c r="H1523" s="16"/>
      <c r="I1523" s="16"/>
      <c r="J1523" s="21">
        <v>934</v>
      </c>
      <c r="K1523" s="21"/>
      <c r="L1523" s="16"/>
      <c r="M1523" s="21"/>
      <c r="N1523" s="21"/>
      <c r="O1523" s="21"/>
      <c r="P1523" s="16"/>
      <c r="Q1523" s="16"/>
      <c r="R1523" s="16"/>
      <c r="S1523" s="16"/>
      <c r="T1523" s="16" t="s">
        <v>159</v>
      </c>
      <c r="U1523" s="16" t="s">
        <v>155</v>
      </c>
      <c r="V1523" s="16" t="s">
        <v>114</v>
      </c>
      <c r="W1523" s="16"/>
      <c r="X1523" s="16"/>
      <c r="Y1523" s="16"/>
      <c r="Z1523" s="16"/>
      <c r="AA1523" s="16"/>
      <c r="AB1523" s="16"/>
      <c r="AC1523" s="16"/>
      <c r="AD1523" s="16"/>
      <c r="AE1523" s="16"/>
      <c r="AF1523" s="16"/>
      <c r="AG1523" s="16"/>
      <c r="AH1523" s="16"/>
      <c r="AI1523" s="16"/>
      <c r="AJ1523" s="16"/>
      <c r="AK1523" s="16"/>
      <c r="AL1523" s="16"/>
      <c r="AM1523" s="16"/>
      <c r="AN1523" s="16"/>
      <c r="AO1523" s="16"/>
      <c r="AP1523" s="16"/>
      <c r="AQ1523" s="16"/>
      <c r="AR1523" s="16"/>
      <c r="AS1523" s="16"/>
      <c r="AT1523" s="16"/>
      <c r="AU1523" s="16"/>
      <c r="AV1523" s="16"/>
      <c r="AW1523" s="16"/>
      <c r="AX1523" s="16"/>
      <c r="AY1523" s="16"/>
      <c r="AZ1523" s="16"/>
      <c r="BA1523" s="16"/>
      <c r="BB1523" s="16"/>
      <c r="BC1523" s="16"/>
      <c r="BD1523" s="16"/>
      <c r="BE1523" s="16"/>
      <c r="BF1523" s="16"/>
      <c r="BG1523" s="77"/>
      <c r="BH1523" s="16"/>
      <c r="BI1523" s="16"/>
      <c r="BJ1523" s="16"/>
      <c r="BK1523" s="16"/>
      <c r="BL1523" s="16"/>
      <c r="BM1523" s="16"/>
      <c r="BN1523" s="16"/>
      <c r="BO1523" s="16"/>
      <c r="BP1523" s="16"/>
      <c r="BQ1523" s="16"/>
      <c r="BR1523" s="16"/>
      <c r="BS1523" s="16"/>
      <c r="BT1523" s="77"/>
      <c r="BU1523" s="16"/>
      <c r="BV1523" s="16"/>
      <c r="BW1523" s="16"/>
      <c r="BX1523" s="16"/>
      <c r="BY1523" s="16"/>
      <c r="BZ1523" s="16"/>
      <c r="CA1523" s="16"/>
      <c r="CB1523" s="16"/>
      <c r="CC1523" s="16"/>
      <c r="CD1523" s="77"/>
      <c r="CE1523" s="16"/>
      <c r="CF1523" s="16"/>
      <c r="CG1523" s="16"/>
      <c r="CH1523" s="16"/>
      <c r="CI1523" s="16"/>
      <c r="CJ1523" s="16"/>
      <c r="CK1523" s="16"/>
      <c r="CL1523" s="16"/>
      <c r="CM1523" s="16"/>
      <c r="CN1523" s="16"/>
      <c r="CO1523" s="16"/>
      <c r="CP1523" s="16"/>
      <c r="CQ1523" s="16"/>
      <c r="CR1523" s="16"/>
      <c r="CS1523" s="16"/>
      <c r="CT1523" s="16"/>
      <c r="CU1523" s="16"/>
      <c r="CV1523" s="16"/>
      <c r="CW1523" s="16"/>
      <c r="CX1523" s="16"/>
      <c r="CY1523" s="16"/>
      <c r="CZ1523" s="16"/>
      <c r="DA1523" s="16"/>
      <c r="DB1523" s="16"/>
      <c r="DC1523" s="16"/>
      <c r="DD1523" s="16"/>
      <c r="DE1523" s="16"/>
      <c r="DF1523" s="16" t="e">
        <f>VLOOKUP(K1523,'[3]RNA Seq summary tables'!$V$3:$V$99,1,FALSE)</f>
        <v>#N/A</v>
      </c>
      <c r="DG1523" s="16"/>
      <c r="DH1523" s="16"/>
      <c r="DI1523" s="16"/>
      <c r="DJ1523" s="16"/>
      <c r="DK1523" s="16"/>
      <c r="DL1523" s="16"/>
      <c r="DM1523" s="16"/>
      <c r="DN1523" s="16"/>
      <c r="DO1523" s="16"/>
      <c r="DP1523" s="16"/>
      <c r="DQ1523" s="16"/>
      <c r="DR1523" s="16"/>
      <c r="DS1523" s="16"/>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18"/>
      <c r="EQ1523" s="18"/>
      <c r="ER1523" s="18"/>
      <c r="ES1523" s="18"/>
      <c r="ET1523" s="18"/>
      <c r="EU1523" s="18"/>
      <c r="EV1523" s="18"/>
      <c r="EW1523" s="18"/>
      <c r="EX1523" s="18"/>
      <c r="EY1523" s="18"/>
      <c r="EZ1523" s="18"/>
      <c r="FA1523" s="18"/>
      <c r="FB1523" s="18"/>
      <c r="FC1523" s="18"/>
      <c r="FD1523" s="18"/>
      <c r="FE1523" s="18"/>
      <c r="FF1523" s="18"/>
      <c r="FG1523" s="18"/>
      <c r="FH1523" s="18"/>
      <c r="FI1523" s="18"/>
      <c r="FJ1523" s="18"/>
      <c r="FK1523" s="18"/>
      <c r="FL1523" s="18"/>
      <c r="FM1523" s="18"/>
      <c r="FN1523" s="18"/>
      <c r="FO1523" s="18"/>
      <c r="FP1523" s="18"/>
      <c r="FQ1523" s="18"/>
      <c r="FR1523" s="18"/>
      <c r="FS1523" s="18"/>
      <c r="FT1523" s="18"/>
      <c r="FU1523" s="18"/>
      <c r="FV1523" s="18"/>
      <c r="FW1523" s="18"/>
      <c r="FX1523" s="18"/>
      <c r="FY1523" s="18"/>
      <c r="FZ1523" s="18"/>
      <c r="GA1523" s="18"/>
      <c r="GB1523" s="18"/>
      <c r="GC1523" s="18"/>
      <c r="GD1523" s="18"/>
      <c r="GE1523" s="18"/>
      <c r="GF1523" s="18"/>
      <c r="GG1523" s="18"/>
      <c r="GH1523" s="18"/>
      <c r="GI1523" s="18"/>
      <c r="GJ1523" s="18"/>
      <c r="GK1523" s="18"/>
      <c r="GL1523" s="18"/>
      <c r="GM1523" s="18"/>
      <c r="GN1523" s="18"/>
      <c r="GO1523" s="18"/>
      <c r="GP1523" s="18"/>
      <c r="GQ1523" s="18"/>
      <c r="GR1523" s="18"/>
      <c r="GS1523" s="18"/>
      <c r="GT1523" s="18"/>
      <c r="GU1523" s="18"/>
      <c r="GV1523" s="18"/>
      <c r="GW1523" s="18"/>
      <c r="GX1523" s="18"/>
      <c r="GY1523" s="18"/>
      <c r="GZ1523" s="18"/>
      <c r="HA1523" s="18"/>
      <c r="HB1523" s="18"/>
      <c r="HC1523" s="18"/>
      <c r="HD1523" s="18"/>
      <c r="HE1523" s="18"/>
      <c r="HF1523" s="18"/>
      <c r="HG1523" s="18"/>
      <c r="HH1523" s="18"/>
      <c r="HI1523" s="18"/>
      <c r="HJ1523" s="18"/>
      <c r="HK1523" s="18"/>
      <c r="HL1523" s="18"/>
      <c r="HM1523" s="18"/>
      <c r="HN1523" s="18"/>
      <c r="HO1523" s="18"/>
      <c r="HP1523" s="18"/>
      <c r="HQ1523" s="18"/>
      <c r="HR1523" s="18"/>
      <c r="HS1523" s="18"/>
      <c r="HT1523" s="18"/>
      <c r="HU1523" s="18"/>
      <c r="HV1523" s="18"/>
      <c r="HW1523" s="18"/>
      <c r="HX1523" s="18"/>
      <c r="HY1523" s="18"/>
      <c r="HZ1523" s="18"/>
      <c r="IA1523" s="18"/>
      <c r="IB1523" s="18"/>
      <c r="IC1523" s="18"/>
      <c r="ID1523" s="18"/>
      <c r="IE1523" s="18"/>
      <c r="IF1523" s="18"/>
      <c r="IG1523" s="18"/>
      <c r="IH1523" s="18"/>
      <c r="II1523" s="18"/>
      <c r="IJ1523" s="18"/>
      <c r="IK1523" s="18"/>
      <c r="IL1523" s="18"/>
      <c r="IM1523" s="18"/>
      <c r="IN1523" s="18"/>
      <c r="IO1523" s="18"/>
      <c r="IP1523" s="18"/>
      <c r="IQ1523" s="18"/>
      <c r="IR1523" s="18"/>
      <c r="IS1523" s="18"/>
      <c r="IT1523" s="18"/>
      <c r="IU1523" s="18"/>
      <c r="IV1523" s="18"/>
      <c r="IW1523" s="18"/>
      <c r="IX1523" s="18"/>
      <c r="IY1523" s="18"/>
      <c r="IZ1523" s="18"/>
      <c r="JA1523" s="18"/>
      <c r="JB1523" s="18"/>
      <c r="JC1523" s="18"/>
      <c r="JD1523" s="18"/>
      <c r="JE1523" s="18"/>
      <c r="JF1523" s="18"/>
      <c r="JG1523" s="18"/>
      <c r="JH1523" s="18"/>
      <c r="JI1523" s="18"/>
      <c r="JJ1523" s="18"/>
      <c r="JK1523" s="18"/>
      <c r="JL1523" s="18"/>
      <c r="JM1523" s="18"/>
      <c r="JN1523" s="18"/>
      <c r="JO1523" s="16"/>
      <c r="JP1523" s="18"/>
      <c r="JQ1523" s="18"/>
      <c r="JR1523" s="16"/>
      <c r="JS1523" s="16"/>
      <c r="JT1523" s="16"/>
      <c r="JU1523" s="16"/>
      <c r="JV1523" s="16"/>
      <c r="JW1523" s="16"/>
      <c r="JX1523" s="16"/>
      <c r="JY1523" s="16"/>
      <c r="JZ1523" s="16"/>
      <c r="KA1523" s="16"/>
      <c r="KB1523" s="16"/>
    </row>
    <row r="1524" spans="1:288" s="27" customFormat="1" x14ac:dyDescent="0.2">
      <c r="A1524" s="18"/>
      <c r="B1524" s="16">
        <v>2016</v>
      </c>
      <c r="C1524" s="20">
        <v>42529</v>
      </c>
      <c r="D1524" s="20" t="str">
        <f>CONCATENATE(J1524,"-",C1524)</f>
        <v>935-42529</v>
      </c>
      <c r="E1524" s="20" t="str">
        <f>CONCATENATE(T1524,"-",U1524,"-",C1524)</f>
        <v>BC1-A6-42529</v>
      </c>
      <c r="F1524" s="20" t="s">
        <v>106</v>
      </c>
      <c r="G1524" s="90" t="s">
        <v>278</v>
      </c>
      <c r="H1524" s="16"/>
      <c r="I1524" s="16"/>
      <c r="J1524" s="21">
        <v>935</v>
      </c>
      <c r="K1524" s="21"/>
      <c r="L1524" s="16"/>
      <c r="M1524" s="21"/>
      <c r="N1524" s="21"/>
      <c r="O1524" s="21"/>
      <c r="P1524" s="16"/>
      <c r="Q1524" s="16"/>
      <c r="R1524" s="16"/>
      <c r="S1524" s="16"/>
      <c r="T1524" s="16" t="s">
        <v>159</v>
      </c>
      <c r="U1524" s="16" t="s">
        <v>147</v>
      </c>
      <c r="V1524" s="16" t="s">
        <v>114</v>
      </c>
      <c r="W1524" s="16"/>
      <c r="X1524" s="16" t="s">
        <v>121</v>
      </c>
      <c r="Y1524" s="16" t="s">
        <v>110</v>
      </c>
      <c r="Z1524" s="16">
        <v>3</v>
      </c>
      <c r="AA1524" s="16" t="s">
        <v>119</v>
      </c>
      <c r="AB1524" s="16" t="s">
        <v>123</v>
      </c>
      <c r="AC1524" s="16" t="s">
        <v>123</v>
      </c>
      <c r="AD1524" s="16" t="s">
        <v>123</v>
      </c>
      <c r="AE1524" s="16"/>
      <c r="AF1524" s="16"/>
      <c r="AG1524" s="16"/>
      <c r="AH1524" s="16"/>
      <c r="AI1524" s="16"/>
      <c r="AJ1524" s="16"/>
      <c r="AK1524" s="16">
        <v>14.5</v>
      </c>
      <c r="AL1524" s="16">
        <v>0</v>
      </c>
      <c r="AM1524" s="16">
        <v>0</v>
      </c>
      <c r="AN1524" s="16">
        <v>0</v>
      </c>
      <c r="AO1524" s="16">
        <f>IF(SUM(AL1524:AN1524)&gt;0,1,0)</f>
        <v>0</v>
      </c>
      <c r="AP1524" s="16">
        <f>SUM(AL1524:AN1524)</f>
        <v>0</v>
      </c>
      <c r="AQ1524" s="16"/>
      <c r="AR1524" s="16"/>
      <c r="AS1524" s="16"/>
      <c r="AT1524" s="16"/>
      <c r="AU1524" s="16"/>
      <c r="AV1524" s="16"/>
      <c r="AW1524" s="16"/>
      <c r="AX1524" s="16"/>
      <c r="AY1524" s="16"/>
      <c r="AZ1524" s="16"/>
      <c r="BA1524" s="16"/>
      <c r="BB1524" s="16"/>
      <c r="BC1524" s="16"/>
      <c r="BD1524" s="16"/>
      <c r="BE1524" s="16"/>
      <c r="BF1524" s="16"/>
      <c r="BG1524" s="77"/>
      <c r="BH1524" s="16"/>
      <c r="BI1524" s="16"/>
      <c r="BJ1524" s="16"/>
      <c r="BK1524" s="16"/>
      <c r="BL1524" s="16"/>
      <c r="BM1524" s="16"/>
      <c r="BN1524" s="16"/>
      <c r="BO1524" s="16"/>
      <c r="BP1524" s="16"/>
      <c r="BQ1524" s="16"/>
      <c r="BR1524" s="16"/>
      <c r="BS1524" s="16"/>
      <c r="BT1524" s="77"/>
      <c r="BU1524" s="16"/>
      <c r="BV1524" s="16"/>
      <c r="BW1524" s="16"/>
      <c r="BX1524" s="16"/>
      <c r="BY1524" s="16"/>
      <c r="BZ1524" s="16"/>
      <c r="CA1524" s="16"/>
      <c r="CB1524" s="16"/>
      <c r="CC1524" s="16"/>
      <c r="CD1524" s="77"/>
      <c r="CE1524" s="16"/>
      <c r="CF1524" s="16"/>
      <c r="CG1524" s="16"/>
      <c r="CH1524" s="16"/>
      <c r="CI1524" s="16"/>
      <c r="CJ1524" s="16"/>
      <c r="CK1524" s="16"/>
      <c r="CL1524" s="16"/>
      <c r="CM1524" s="16"/>
      <c r="CN1524" s="16"/>
      <c r="CO1524" s="16"/>
      <c r="CP1524" s="16"/>
      <c r="CQ1524" s="16"/>
      <c r="CR1524" s="16"/>
      <c r="CS1524" s="16"/>
      <c r="CT1524" s="16"/>
      <c r="CU1524" s="16"/>
      <c r="CV1524" s="16"/>
      <c r="CW1524" s="16"/>
      <c r="CX1524" s="16"/>
      <c r="CY1524" s="16"/>
      <c r="CZ1524" s="16"/>
      <c r="DA1524" s="16"/>
      <c r="DB1524" s="16"/>
      <c r="DC1524" s="16"/>
      <c r="DD1524" s="16"/>
      <c r="DE1524" s="16"/>
      <c r="DF1524" s="16" t="e">
        <f>VLOOKUP(K1524,'[3]RNA Seq summary tables'!$V$3:$V$99,1,FALSE)</f>
        <v>#N/A</v>
      </c>
      <c r="DG1524" s="16"/>
      <c r="DH1524" s="16"/>
      <c r="DI1524" s="16"/>
      <c r="DJ1524" s="16"/>
      <c r="DK1524" s="16"/>
      <c r="DL1524" s="16"/>
      <c r="DM1524" s="16"/>
      <c r="DN1524" s="16"/>
      <c r="DO1524" s="16"/>
      <c r="DP1524" s="16"/>
      <c r="DQ1524" s="16"/>
      <c r="DR1524" s="16"/>
      <c r="DS1524" s="16"/>
      <c r="DT1524" s="25"/>
      <c r="DU1524" s="25"/>
      <c r="DV1524" s="25"/>
      <c r="DW1524" s="25"/>
      <c r="DX1524" s="25"/>
      <c r="DY1524" s="25"/>
      <c r="DZ1524" s="25"/>
      <c r="EA1524" s="25"/>
      <c r="EB1524" s="25"/>
      <c r="EC1524" s="25"/>
      <c r="ED1524" s="25"/>
      <c r="EE1524" s="18"/>
      <c r="EF1524" s="18"/>
      <c r="EG1524" s="18"/>
      <c r="EH1524" s="18"/>
      <c r="EI1524" s="18"/>
      <c r="EJ1524" s="18"/>
      <c r="EK1524" s="18"/>
      <c r="EL1524" s="18"/>
      <c r="EM1524" s="18"/>
      <c r="EN1524" s="18"/>
      <c r="EO1524" s="18"/>
      <c r="EP1524" s="18"/>
      <c r="EQ1524" s="18"/>
      <c r="ER1524" s="18"/>
      <c r="ES1524" s="18"/>
      <c r="ET1524" s="18"/>
      <c r="EU1524" s="18"/>
      <c r="EV1524" s="18"/>
      <c r="EW1524" s="18"/>
      <c r="EX1524" s="18"/>
      <c r="EY1524" s="18"/>
      <c r="EZ1524" s="18"/>
      <c r="FA1524" s="18"/>
      <c r="FB1524" s="18"/>
      <c r="FC1524" s="18"/>
      <c r="FD1524" s="18"/>
      <c r="FE1524" s="18"/>
      <c r="FF1524" s="18"/>
      <c r="FG1524" s="18"/>
      <c r="FH1524" s="18"/>
      <c r="FI1524" s="18"/>
      <c r="FJ1524" s="18"/>
      <c r="FK1524" s="18"/>
      <c r="FL1524" s="18"/>
      <c r="FM1524" s="18"/>
      <c r="FN1524" s="18"/>
      <c r="FO1524" s="18"/>
      <c r="FP1524" s="18"/>
      <c r="FQ1524" s="18"/>
      <c r="FR1524" s="18"/>
      <c r="FS1524" s="18"/>
      <c r="FT1524" s="18"/>
      <c r="FU1524" s="18"/>
      <c r="FV1524" s="18"/>
      <c r="FW1524" s="18"/>
      <c r="FX1524" s="18"/>
      <c r="FY1524" s="18"/>
      <c r="FZ1524" s="18"/>
      <c r="GA1524" s="18"/>
      <c r="GB1524" s="18"/>
      <c r="GC1524" s="18"/>
      <c r="GD1524" s="18"/>
      <c r="GE1524" s="18"/>
      <c r="GF1524" s="18"/>
      <c r="GG1524" s="18"/>
      <c r="GH1524" s="18"/>
      <c r="GI1524" s="18"/>
      <c r="GJ1524" s="18"/>
      <c r="GK1524" s="18"/>
      <c r="GL1524" s="18"/>
      <c r="GM1524" s="18"/>
      <c r="GN1524" s="18"/>
      <c r="GO1524" s="18"/>
      <c r="GP1524" s="18"/>
      <c r="GQ1524" s="18"/>
      <c r="GR1524" s="18"/>
      <c r="GS1524" s="18"/>
      <c r="GT1524" s="18"/>
      <c r="GU1524" s="18"/>
      <c r="GV1524" s="18"/>
      <c r="GW1524" s="18"/>
      <c r="GX1524" s="18"/>
      <c r="GY1524" s="18"/>
      <c r="GZ1524" s="18"/>
      <c r="HA1524" s="18"/>
      <c r="HB1524" s="18"/>
      <c r="HC1524" s="18"/>
      <c r="HD1524" s="18"/>
      <c r="HE1524" s="18"/>
      <c r="HF1524" s="18"/>
      <c r="HG1524" s="18"/>
      <c r="HH1524" s="18"/>
      <c r="HI1524" s="18"/>
      <c r="HJ1524" s="18"/>
      <c r="HK1524" s="18"/>
      <c r="HL1524" s="18"/>
      <c r="HM1524" s="18"/>
      <c r="HN1524" s="18"/>
      <c r="HO1524" s="18"/>
      <c r="HP1524" s="18"/>
      <c r="HQ1524" s="18"/>
      <c r="HR1524" s="18"/>
      <c r="HS1524" s="18"/>
      <c r="HT1524" s="18"/>
      <c r="HU1524" s="18"/>
      <c r="HV1524" s="18"/>
      <c r="HW1524" s="18"/>
      <c r="HX1524" s="18"/>
      <c r="HY1524" s="18"/>
      <c r="HZ1524" s="18"/>
      <c r="IA1524" s="18"/>
      <c r="IB1524" s="18"/>
      <c r="IC1524" s="18"/>
      <c r="ID1524" s="18"/>
      <c r="IE1524" s="18"/>
      <c r="IF1524" s="18"/>
      <c r="IG1524" s="18"/>
      <c r="IH1524" s="18"/>
      <c r="II1524" s="18"/>
      <c r="IJ1524" s="18"/>
      <c r="IK1524" s="18"/>
      <c r="IL1524" s="18"/>
      <c r="IM1524" s="18"/>
      <c r="IN1524" s="18"/>
      <c r="IO1524" s="18"/>
      <c r="IP1524" s="18"/>
      <c r="IQ1524" s="18"/>
      <c r="IR1524" s="18"/>
      <c r="IS1524" s="18"/>
      <c r="IT1524" s="18"/>
      <c r="IU1524" s="18"/>
      <c r="IV1524" s="18"/>
      <c r="IW1524" s="18"/>
      <c r="IX1524" s="18"/>
      <c r="IY1524" s="18"/>
      <c r="IZ1524" s="18"/>
      <c r="JA1524" s="18"/>
      <c r="JB1524" s="18"/>
      <c r="JC1524" s="18"/>
      <c r="JD1524" s="18"/>
      <c r="JE1524" s="18"/>
      <c r="JF1524" s="18"/>
      <c r="JG1524" s="18"/>
      <c r="JH1524" s="18"/>
      <c r="JI1524" s="18"/>
      <c r="JJ1524" s="18"/>
      <c r="JK1524" s="18"/>
      <c r="JL1524" s="18"/>
      <c r="JM1524" s="18"/>
      <c r="JN1524" s="18"/>
      <c r="JO1524" s="16"/>
      <c r="JP1524" s="16"/>
      <c r="JQ1524" s="16"/>
      <c r="JR1524" s="16"/>
      <c r="JS1524" s="16"/>
      <c r="JT1524" s="16"/>
      <c r="JU1524" s="16"/>
      <c r="JV1524" s="16"/>
      <c r="JW1524" s="16"/>
      <c r="JX1524" s="16"/>
      <c r="JY1524" s="16"/>
      <c r="JZ1524" s="16"/>
      <c r="KA1524" s="16"/>
      <c r="KB1524" s="16"/>
    </row>
    <row r="1525" spans="1:288" s="27" customFormat="1" x14ac:dyDescent="0.2">
      <c r="A1525" s="18"/>
      <c r="B1525" s="16">
        <v>2016</v>
      </c>
      <c r="C1525" s="20">
        <v>42542</v>
      </c>
      <c r="D1525" s="20" t="str">
        <f>CONCATENATE(J1525,"-",C1525)</f>
        <v>935-42542</v>
      </c>
      <c r="E1525" s="20" t="str">
        <f>CONCATENATE(T1525,"-",U1525,"-",C1525)</f>
        <v>BC1-A4-42542</v>
      </c>
      <c r="F1525" s="20" t="s">
        <v>106</v>
      </c>
      <c r="G1525" s="90" t="s">
        <v>278</v>
      </c>
      <c r="H1525" s="16"/>
      <c r="I1525" s="16"/>
      <c r="J1525" s="21">
        <v>935</v>
      </c>
      <c r="K1525" s="21"/>
      <c r="L1525" s="16"/>
      <c r="M1525" s="21"/>
      <c r="N1525" s="21"/>
      <c r="O1525" s="21"/>
      <c r="P1525" s="16"/>
      <c r="Q1525" s="16"/>
      <c r="R1525" s="16"/>
      <c r="S1525" s="16"/>
      <c r="T1525" s="16" t="s">
        <v>159</v>
      </c>
      <c r="U1525" s="16" t="s">
        <v>134</v>
      </c>
      <c r="V1525" s="16" t="s">
        <v>114</v>
      </c>
      <c r="W1525" s="16"/>
      <c r="X1525" s="16" t="s">
        <v>121</v>
      </c>
      <c r="Y1525" s="16"/>
      <c r="Z1525" s="16"/>
      <c r="AA1525" s="16" t="s">
        <v>119</v>
      </c>
      <c r="AB1525" s="16" t="s">
        <v>116</v>
      </c>
      <c r="AC1525" s="16" t="s">
        <v>116</v>
      </c>
      <c r="AD1525" s="16" t="s">
        <v>116</v>
      </c>
      <c r="AE1525" s="16"/>
      <c r="AF1525" s="16"/>
      <c r="AG1525" s="16"/>
      <c r="AH1525" s="16"/>
      <c r="AI1525" s="16"/>
      <c r="AJ1525" s="16"/>
      <c r="AK1525" s="16">
        <v>21.5</v>
      </c>
      <c r="AL1525" s="16">
        <v>0</v>
      </c>
      <c r="AM1525" s="16">
        <v>0</v>
      </c>
      <c r="AN1525" s="16">
        <v>0</v>
      </c>
      <c r="AO1525" s="16">
        <f>IF(SUM(AL1525:AN1525)&gt;0,1,0)</f>
        <v>0</v>
      </c>
      <c r="AP1525" s="16">
        <f>SUM(AL1525:AN1525)</f>
        <v>0</v>
      </c>
      <c r="AQ1525" s="16"/>
      <c r="AR1525" s="16"/>
      <c r="AS1525" s="16"/>
      <c r="AT1525" s="16"/>
      <c r="AU1525" s="16"/>
      <c r="AV1525" s="16"/>
      <c r="AW1525" s="16"/>
      <c r="AX1525" s="16"/>
      <c r="AY1525" s="16"/>
      <c r="AZ1525" s="16"/>
      <c r="BA1525" s="16"/>
      <c r="BB1525" s="16"/>
      <c r="BC1525" s="16"/>
      <c r="BD1525" s="16"/>
      <c r="BE1525" s="16"/>
      <c r="BF1525" s="16"/>
      <c r="BG1525" s="77"/>
      <c r="BH1525" s="16"/>
      <c r="BI1525" s="16"/>
      <c r="BJ1525" s="16"/>
      <c r="BK1525" s="16"/>
      <c r="BL1525" s="16"/>
      <c r="BM1525" s="16"/>
      <c r="BN1525" s="16"/>
      <c r="BO1525" s="16"/>
      <c r="BP1525" s="16"/>
      <c r="BQ1525" s="16"/>
      <c r="BR1525" s="16"/>
      <c r="BS1525" s="16"/>
      <c r="BT1525" s="77"/>
      <c r="BU1525" s="16"/>
      <c r="BV1525" s="16"/>
      <c r="BW1525" s="16"/>
      <c r="BX1525" s="16"/>
      <c r="BY1525" s="16"/>
      <c r="BZ1525" s="16"/>
      <c r="CA1525" s="16"/>
      <c r="CB1525" s="16"/>
      <c r="CC1525" s="16"/>
      <c r="CD1525" s="77"/>
      <c r="CE1525" s="16"/>
      <c r="CF1525" s="16"/>
      <c r="CG1525" s="16"/>
      <c r="CH1525" s="16"/>
      <c r="CI1525" s="16"/>
      <c r="CJ1525" s="16"/>
      <c r="CK1525" s="16"/>
      <c r="CL1525" s="16"/>
      <c r="CM1525" s="16"/>
      <c r="CN1525" s="16"/>
      <c r="CO1525" s="16"/>
      <c r="CP1525" s="16"/>
      <c r="CQ1525" s="16"/>
      <c r="CR1525" s="16"/>
      <c r="CS1525" s="16"/>
      <c r="CT1525" s="16"/>
      <c r="CU1525" s="16"/>
      <c r="CV1525" s="16"/>
      <c r="CW1525" s="16"/>
      <c r="CX1525" s="16"/>
      <c r="CY1525" s="16"/>
      <c r="CZ1525" s="16"/>
      <c r="DA1525" s="16"/>
      <c r="DB1525" s="16"/>
      <c r="DC1525" s="16"/>
      <c r="DD1525" s="16"/>
      <c r="DE1525" s="16"/>
      <c r="DF1525" s="16" t="e">
        <f>VLOOKUP(K1525,'[3]RNA Seq summary tables'!$V$3:$V$99,1,FALSE)</f>
        <v>#N/A</v>
      </c>
      <c r="DG1525" s="16"/>
      <c r="DH1525" s="16"/>
      <c r="DI1525" s="16"/>
      <c r="DJ1525" s="16"/>
      <c r="DK1525" s="16"/>
      <c r="DL1525" s="16"/>
      <c r="DM1525" s="16"/>
      <c r="DN1525" s="16"/>
      <c r="DO1525" s="16"/>
      <c r="DP1525" s="16"/>
      <c r="DQ1525" s="16"/>
      <c r="DR1525" s="16"/>
      <c r="DS1525" s="16"/>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18"/>
      <c r="EQ1525" s="18"/>
      <c r="ER1525" s="18"/>
      <c r="ES1525" s="18"/>
      <c r="ET1525" s="18"/>
      <c r="EU1525" s="18"/>
      <c r="EV1525" s="18"/>
      <c r="EW1525" s="18"/>
      <c r="EX1525" s="18"/>
      <c r="EY1525" s="18"/>
      <c r="EZ1525" s="18"/>
      <c r="FA1525" s="18"/>
      <c r="FB1525" s="18"/>
      <c r="FC1525" s="18"/>
      <c r="FD1525" s="18"/>
      <c r="FE1525" s="18"/>
      <c r="FF1525" s="18"/>
      <c r="FG1525" s="18"/>
      <c r="FH1525" s="18"/>
      <c r="FI1525" s="18"/>
      <c r="FJ1525" s="18"/>
      <c r="FK1525" s="18"/>
      <c r="FL1525" s="18"/>
      <c r="FM1525" s="18"/>
      <c r="FN1525" s="18"/>
      <c r="FO1525" s="18"/>
      <c r="FP1525" s="18"/>
      <c r="FQ1525" s="18"/>
      <c r="FR1525" s="18"/>
      <c r="FS1525" s="18"/>
      <c r="FT1525" s="18"/>
      <c r="FU1525" s="18"/>
      <c r="FV1525" s="18"/>
      <c r="FW1525" s="18"/>
      <c r="FX1525" s="18"/>
      <c r="FY1525" s="18"/>
      <c r="FZ1525" s="18"/>
      <c r="GA1525" s="18"/>
      <c r="GB1525" s="18"/>
      <c r="GC1525" s="18"/>
      <c r="GD1525" s="18"/>
      <c r="GE1525" s="18"/>
      <c r="GF1525" s="18"/>
      <c r="GG1525" s="18"/>
      <c r="GH1525" s="18"/>
      <c r="GI1525" s="18"/>
      <c r="GJ1525" s="18"/>
      <c r="GK1525" s="18"/>
      <c r="GL1525" s="18"/>
      <c r="GM1525" s="18"/>
      <c r="GN1525" s="18"/>
      <c r="GO1525" s="18"/>
      <c r="GP1525" s="18"/>
      <c r="GQ1525" s="18"/>
      <c r="GR1525" s="18"/>
      <c r="GS1525" s="18"/>
      <c r="GT1525" s="18"/>
      <c r="GU1525" s="18"/>
      <c r="GV1525" s="18"/>
      <c r="GW1525" s="18"/>
      <c r="GX1525" s="18"/>
      <c r="GY1525" s="18"/>
      <c r="GZ1525" s="18"/>
      <c r="HA1525" s="18"/>
      <c r="HB1525" s="18"/>
      <c r="HC1525" s="18"/>
      <c r="HD1525" s="18"/>
      <c r="HE1525" s="18"/>
      <c r="HF1525" s="18"/>
      <c r="HG1525" s="18"/>
      <c r="HH1525" s="18"/>
      <c r="HI1525" s="18"/>
      <c r="HJ1525" s="18"/>
      <c r="HK1525" s="18"/>
      <c r="HL1525" s="18"/>
      <c r="HM1525" s="18"/>
      <c r="HN1525" s="18"/>
      <c r="HO1525" s="18"/>
      <c r="HP1525" s="18"/>
      <c r="HQ1525" s="18"/>
      <c r="HR1525" s="18"/>
      <c r="HS1525" s="18"/>
      <c r="HT1525" s="18"/>
      <c r="HU1525" s="18"/>
      <c r="HV1525" s="18"/>
      <c r="HW1525" s="18"/>
      <c r="HX1525" s="18"/>
      <c r="HY1525" s="18"/>
      <c r="HZ1525" s="18"/>
      <c r="IA1525" s="18"/>
      <c r="IB1525" s="18"/>
      <c r="IC1525" s="18"/>
      <c r="ID1525" s="18"/>
      <c r="IE1525" s="18"/>
      <c r="IF1525" s="18"/>
      <c r="IG1525" s="18"/>
      <c r="IH1525" s="18"/>
      <c r="II1525" s="18"/>
      <c r="IJ1525" s="18"/>
      <c r="IK1525" s="18"/>
      <c r="IL1525" s="18"/>
      <c r="IM1525" s="18"/>
      <c r="IN1525" s="18"/>
      <c r="IO1525" s="18"/>
      <c r="IP1525" s="18"/>
      <c r="IQ1525" s="18"/>
      <c r="IR1525" s="18"/>
      <c r="IS1525" s="18"/>
      <c r="IT1525" s="18"/>
      <c r="IU1525" s="18"/>
      <c r="IV1525" s="18"/>
      <c r="IW1525" s="18"/>
      <c r="IX1525" s="18"/>
      <c r="IY1525" s="18"/>
      <c r="IZ1525" s="18"/>
      <c r="JA1525" s="18"/>
      <c r="JB1525" s="18"/>
      <c r="JC1525" s="18"/>
      <c r="JD1525" s="18"/>
      <c r="JE1525" s="18"/>
      <c r="JF1525" s="18"/>
      <c r="JG1525" s="18"/>
      <c r="JH1525" s="18"/>
      <c r="JI1525" s="18"/>
      <c r="JJ1525" s="18"/>
      <c r="JK1525" s="18"/>
      <c r="JL1525" s="18"/>
      <c r="JM1525" s="18"/>
      <c r="JN1525" s="18"/>
      <c r="JO1525" s="16"/>
      <c r="JP1525" s="16"/>
      <c r="JQ1525" s="16"/>
      <c r="JR1525" s="38"/>
      <c r="JS1525" s="38"/>
      <c r="JT1525" s="38"/>
      <c r="JU1525" s="38"/>
      <c r="JV1525" s="38"/>
      <c r="JW1525" s="38"/>
      <c r="JX1525" s="38"/>
      <c r="JY1525" s="38"/>
      <c r="JZ1525" s="38"/>
      <c r="KA1525" s="38"/>
      <c r="KB1525" s="38"/>
    </row>
    <row r="1526" spans="1:288" s="27" customFormat="1" x14ac:dyDescent="0.2">
      <c r="A1526" s="18"/>
      <c r="B1526" s="16">
        <v>2016</v>
      </c>
      <c r="C1526" s="20">
        <v>42529</v>
      </c>
      <c r="D1526" s="20" t="str">
        <f>CONCATENATE(J1526,"-",C1526)</f>
        <v>936-42529</v>
      </c>
      <c r="E1526" s="20" t="str">
        <f>CONCATENATE(T1526,"-",U1526,"-",C1526)</f>
        <v>BC1-D8-42529</v>
      </c>
      <c r="F1526" s="20" t="s">
        <v>106</v>
      </c>
      <c r="G1526" s="90" t="s">
        <v>278</v>
      </c>
      <c r="H1526" s="16"/>
      <c r="I1526" s="16"/>
      <c r="J1526" s="21">
        <v>936</v>
      </c>
      <c r="K1526" s="21"/>
      <c r="L1526" s="16"/>
      <c r="M1526" s="21"/>
      <c r="N1526" s="21"/>
      <c r="O1526" s="21"/>
      <c r="P1526" s="16"/>
      <c r="Q1526" s="16"/>
      <c r="R1526" s="16"/>
      <c r="S1526" s="16"/>
      <c r="T1526" s="16" t="s">
        <v>159</v>
      </c>
      <c r="U1526" s="16" t="s">
        <v>178</v>
      </c>
      <c r="V1526" s="16" t="s">
        <v>114</v>
      </c>
      <c r="W1526" s="16"/>
      <c r="X1526" s="16" t="s">
        <v>121</v>
      </c>
      <c r="Y1526" s="16" t="s">
        <v>122</v>
      </c>
      <c r="Z1526" s="16">
        <v>2.6</v>
      </c>
      <c r="AA1526" s="16" t="s">
        <v>119</v>
      </c>
      <c r="AB1526" s="16" t="s">
        <v>123</v>
      </c>
      <c r="AC1526" s="16" t="s">
        <v>123</v>
      </c>
      <c r="AD1526" s="16" t="s">
        <v>123</v>
      </c>
      <c r="AE1526" s="16"/>
      <c r="AF1526" s="16"/>
      <c r="AG1526" s="16"/>
      <c r="AH1526" s="16"/>
      <c r="AI1526" s="16"/>
      <c r="AJ1526" s="16"/>
      <c r="AK1526" s="16">
        <v>15</v>
      </c>
      <c r="AL1526" s="16">
        <v>0</v>
      </c>
      <c r="AM1526" s="16">
        <v>0</v>
      </c>
      <c r="AN1526" s="16">
        <v>0</v>
      </c>
      <c r="AO1526" s="16">
        <f>IF(SUM(AL1526:AN1526)&gt;0,1,0)</f>
        <v>0</v>
      </c>
      <c r="AP1526" s="16">
        <f>SUM(AL1526:AN1526)</f>
        <v>0</v>
      </c>
      <c r="AQ1526" s="16"/>
      <c r="AR1526" s="16"/>
      <c r="AS1526" s="16"/>
      <c r="AT1526" s="16"/>
      <c r="AU1526" s="16"/>
      <c r="AV1526" s="16"/>
      <c r="AW1526" s="16"/>
      <c r="AX1526" s="16"/>
      <c r="AY1526" s="16"/>
      <c r="AZ1526" s="16"/>
      <c r="BA1526" s="16"/>
      <c r="BB1526" s="16"/>
      <c r="BC1526" s="16"/>
      <c r="BD1526" s="16"/>
      <c r="BE1526" s="16"/>
      <c r="BF1526" s="16"/>
      <c r="BG1526" s="77"/>
      <c r="BH1526" s="16"/>
      <c r="BI1526" s="16"/>
      <c r="BJ1526" s="16"/>
      <c r="BK1526" s="16"/>
      <c r="BL1526" s="16"/>
      <c r="BM1526" s="16"/>
      <c r="BN1526" s="16"/>
      <c r="BO1526" s="16"/>
      <c r="BP1526" s="16"/>
      <c r="BQ1526" s="16"/>
      <c r="BR1526" s="16"/>
      <c r="BS1526" s="16"/>
      <c r="BT1526" s="77"/>
      <c r="BU1526" s="16"/>
      <c r="BV1526" s="16"/>
      <c r="BW1526" s="16"/>
      <c r="BX1526" s="16"/>
      <c r="BY1526" s="16"/>
      <c r="BZ1526" s="16"/>
      <c r="CA1526" s="16"/>
      <c r="CB1526" s="16"/>
      <c r="CC1526" s="16"/>
      <c r="CD1526" s="77"/>
      <c r="CE1526" s="16"/>
      <c r="CF1526" s="16"/>
      <c r="CG1526" s="16"/>
      <c r="CH1526" s="16"/>
      <c r="CI1526" s="16"/>
      <c r="CJ1526" s="16"/>
      <c r="CK1526" s="16"/>
      <c r="CL1526" s="16"/>
      <c r="CM1526" s="16"/>
      <c r="CN1526" s="16"/>
      <c r="CO1526" s="16"/>
      <c r="CP1526" s="16"/>
      <c r="CQ1526" s="16"/>
      <c r="CR1526" s="16"/>
      <c r="CS1526" s="16"/>
      <c r="CT1526" s="16"/>
      <c r="CU1526" s="16"/>
      <c r="CV1526" s="16"/>
      <c r="CW1526" s="16"/>
      <c r="CX1526" s="16"/>
      <c r="CY1526" s="16"/>
      <c r="CZ1526" s="16"/>
      <c r="DA1526" s="16"/>
      <c r="DB1526" s="16"/>
      <c r="DC1526" s="16"/>
      <c r="DD1526" s="16"/>
      <c r="DE1526" s="16"/>
      <c r="DF1526" s="16" t="e">
        <f>VLOOKUP(K1526,'[3]RNA Seq summary tables'!$V$3:$V$99,1,FALSE)</f>
        <v>#N/A</v>
      </c>
      <c r="DG1526" s="16"/>
      <c r="DH1526" s="16"/>
      <c r="DI1526" s="16"/>
      <c r="DJ1526" s="16"/>
      <c r="DK1526" s="16"/>
      <c r="DL1526" s="16"/>
      <c r="DM1526" s="16"/>
      <c r="DN1526" s="16"/>
      <c r="DO1526" s="16"/>
      <c r="DP1526" s="16"/>
      <c r="DQ1526" s="16"/>
      <c r="DR1526" s="16"/>
      <c r="DS1526" s="16"/>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18"/>
      <c r="EQ1526" s="18"/>
      <c r="ER1526" s="18"/>
      <c r="ES1526" s="18"/>
      <c r="ET1526" s="18"/>
      <c r="EU1526" s="18"/>
      <c r="EV1526" s="18"/>
      <c r="EW1526" s="18"/>
      <c r="EX1526" s="18"/>
      <c r="EY1526" s="18"/>
      <c r="EZ1526" s="18"/>
      <c r="FA1526" s="18"/>
      <c r="FB1526" s="18"/>
      <c r="FC1526" s="18"/>
      <c r="FD1526" s="18"/>
      <c r="FE1526" s="18"/>
      <c r="FF1526" s="18"/>
      <c r="FG1526" s="18"/>
      <c r="FH1526" s="18"/>
      <c r="FI1526" s="18"/>
      <c r="FJ1526" s="18"/>
      <c r="FK1526" s="18"/>
      <c r="FL1526" s="18"/>
      <c r="FM1526" s="18"/>
      <c r="FN1526" s="18"/>
      <c r="FO1526" s="18"/>
      <c r="FP1526" s="18"/>
      <c r="FQ1526" s="18"/>
      <c r="FR1526" s="18"/>
      <c r="FS1526" s="18"/>
      <c r="FT1526" s="18"/>
      <c r="FU1526" s="18"/>
      <c r="FV1526" s="18"/>
      <c r="FW1526" s="18"/>
      <c r="FX1526" s="18"/>
      <c r="FY1526" s="18"/>
      <c r="FZ1526" s="18"/>
      <c r="GA1526" s="18"/>
      <c r="GB1526" s="18"/>
      <c r="GC1526" s="18"/>
      <c r="GD1526" s="18"/>
      <c r="GE1526" s="18"/>
      <c r="GF1526" s="18"/>
      <c r="GG1526" s="18"/>
      <c r="GH1526" s="18"/>
      <c r="GI1526" s="18"/>
      <c r="GJ1526" s="18"/>
      <c r="GK1526" s="18"/>
      <c r="GL1526" s="18"/>
      <c r="GM1526" s="18"/>
      <c r="GN1526" s="18"/>
      <c r="GO1526" s="18"/>
      <c r="GP1526" s="18"/>
      <c r="GQ1526" s="18"/>
      <c r="GR1526" s="18"/>
      <c r="GS1526" s="18"/>
      <c r="GT1526" s="18"/>
      <c r="GU1526" s="18"/>
      <c r="GV1526" s="18"/>
      <c r="GW1526" s="18"/>
      <c r="GX1526" s="18"/>
      <c r="GY1526" s="18"/>
      <c r="GZ1526" s="18"/>
      <c r="HA1526" s="18"/>
      <c r="HB1526" s="18"/>
      <c r="HC1526" s="18"/>
      <c r="HD1526" s="18"/>
      <c r="HE1526" s="18"/>
      <c r="HF1526" s="18"/>
      <c r="HG1526" s="18"/>
      <c r="HH1526" s="18"/>
      <c r="HI1526" s="18"/>
      <c r="HJ1526" s="18"/>
      <c r="HK1526" s="18"/>
      <c r="HL1526" s="18"/>
      <c r="HM1526" s="18"/>
      <c r="HN1526" s="18"/>
      <c r="HO1526" s="18"/>
      <c r="HP1526" s="18"/>
      <c r="HQ1526" s="18"/>
      <c r="HR1526" s="18"/>
      <c r="HS1526" s="18"/>
      <c r="HT1526" s="18"/>
      <c r="HU1526" s="18"/>
      <c r="HV1526" s="18"/>
      <c r="HW1526" s="18"/>
      <c r="HX1526" s="18"/>
      <c r="HY1526" s="18"/>
      <c r="HZ1526" s="18"/>
      <c r="IA1526" s="18"/>
      <c r="IB1526" s="18"/>
      <c r="IC1526" s="18"/>
      <c r="ID1526" s="18"/>
      <c r="IE1526" s="18"/>
      <c r="IF1526" s="18"/>
      <c r="IG1526" s="18"/>
      <c r="IH1526" s="18"/>
      <c r="II1526" s="18"/>
      <c r="IJ1526" s="18"/>
      <c r="IK1526" s="18"/>
      <c r="IL1526" s="18"/>
      <c r="IM1526" s="18"/>
      <c r="IN1526" s="18"/>
      <c r="IO1526" s="18"/>
      <c r="IP1526" s="18"/>
      <c r="IQ1526" s="18"/>
      <c r="IR1526" s="18"/>
      <c r="IS1526" s="18"/>
      <c r="IT1526" s="18"/>
      <c r="IU1526" s="18"/>
      <c r="IV1526" s="18"/>
      <c r="IW1526" s="18"/>
      <c r="IX1526" s="18"/>
      <c r="IY1526" s="18"/>
      <c r="IZ1526" s="18"/>
      <c r="JA1526" s="18"/>
      <c r="JB1526" s="18"/>
      <c r="JC1526" s="18"/>
      <c r="JD1526" s="18"/>
      <c r="JE1526" s="18"/>
      <c r="JF1526" s="18"/>
      <c r="JG1526" s="18"/>
      <c r="JH1526" s="18"/>
      <c r="JI1526" s="18"/>
      <c r="JJ1526" s="18"/>
      <c r="JK1526" s="18"/>
      <c r="JL1526" s="18"/>
      <c r="JM1526" s="18"/>
      <c r="JN1526" s="18"/>
      <c r="JO1526" s="18"/>
      <c r="JP1526" s="16"/>
      <c r="JQ1526" s="16"/>
      <c r="JR1526" s="16"/>
      <c r="JS1526" s="16"/>
      <c r="JT1526" s="16"/>
      <c r="JU1526" s="16"/>
      <c r="JV1526" s="16"/>
      <c r="JW1526" s="16"/>
      <c r="JX1526" s="16"/>
      <c r="JY1526" s="16"/>
      <c r="JZ1526" s="16"/>
      <c r="KA1526" s="16"/>
      <c r="KB1526" s="16"/>
    </row>
    <row r="1527" spans="1:288" s="27" customFormat="1" x14ac:dyDescent="0.2">
      <c r="A1527" s="18"/>
      <c r="B1527" s="16">
        <v>2016</v>
      </c>
      <c r="C1527" s="20">
        <v>42542</v>
      </c>
      <c r="D1527" s="20" t="str">
        <f>CONCATENATE(J1527,"-",C1527)</f>
        <v>936-42542</v>
      </c>
      <c r="E1527" s="20" t="str">
        <f>CONCATENATE(T1527,"-",U1527,"-",C1527)</f>
        <v>BC1-F6-42542</v>
      </c>
      <c r="F1527" s="20" t="s">
        <v>106</v>
      </c>
      <c r="G1527" s="90" t="s">
        <v>278</v>
      </c>
      <c r="H1527" s="16"/>
      <c r="I1527" s="16"/>
      <c r="J1527" s="21">
        <v>936</v>
      </c>
      <c r="K1527" s="21"/>
      <c r="L1527" s="16"/>
      <c r="M1527" s="21"/>
      <c r="N1527" s="21"/>
      <c r="O1527" s="21"/>
      <c r="P1527" s="16"/>
      <c r="Q1527" s="16"/>
      <c r="R1527" s="16"/>
      <c r="S1527" s="16"/>
      <c r="T1527" s="16" t="s">
        <v>159</v>
      </c>
      <c r="U1527" s="16" t="s">
        <v>170</v>
      </c>
      <c r="V1527" s="16" t="s">
        <v>114</v>
      </c>
      <c r="W1527" s="16"/>
      <c r="X1527" s="16"/>
      <c r="Y1527" s="16"/>
      <c r="Z1527" s="16"/>
      <c r="AA1527" s="16"/>
      <c r="AB1527" s="16"/>
      <c r="AC1527" s="16"/>
      <c r="AD1527" s="16"/>
      <c r="AE1527" s="16"/>
      <c r="AF1527" s="16"/>
      <c r="AG1527" s="16"/>
      <c r="AH1527" s="16"/>
      <c r="AI1527" s="16"/>
      <c r="AJ1527" s="16"/>
      <c r="AK1527" s="16">
        <v>17.5</v>
      </c>
      <c r="AL1527" s="16">
        <v>0</v>
      </c>
      <c r="AM1527" s="16">
        <v>0</v>
      </c>
      <c r="AN1527" s="16">
        <v>0</v>
      </c>
      <c r="AO1527" s="16">
        <f>IF(SUM(AL1527:AN1527)&gt;0,1,0)</f>
        <v>0</v>
      </c>
      <c r="AP1527" s="16">
        <f>SUM(AL1527:AN1527)</f>
        <v>0</v>
      </c>
      <c r="AQ1527" s="16"/>
      <c r="AR1527" s="16"/>
      <c r="AS1527" s="16"/>
      <c r="AT1527" s="16"/>
      <c r="AU1527" s="16"/>
      <c r="AV1527" s="16"/>
      <c r="AW1527" s="16"/>
      <c r="AX1527" s="16"/>
      <c r="AY1527" s="16"/>
      <c r="AZ1527" s="16"/>
      <c r="BA1527" s="16"/>
      <c r="BB1527" s="16"/>
      <c r="BC1527" s="16"/>
      <c r="BD1527" s="16"/>
      <c r="BE1527" s="16"/>
      <c r="BF1527" s="16"/>
      <c r="BG1527" s="77"/>
      <c r="BH1527" s="16"/>
      <c r="BI1527" s="16"/>
      <c r="BJ1527" s="16"/>
      <c r="BK1527" s="16"/>
      <c r="BL1527" s="16"/>
      <c r="BM1527" s="16"/>
      <c r="BN1527" s="16"/>
      <c r="BO1527" s="16"/>
      <c r="BP1527" s="16"/>
      <c r="BQ1527" s="16"/>
      <c r="BR1527" s="16"/>
      <c r="BS1527" s="16"/>
      <c r="BT1527" s="77"/>
      <c r="BU1527" s="16"/>
      <c r="BV1527" s="16"/>
      <c r="BW1527" s="16"/>
      <c r="BX1527" s="16"/>
      <c r="BY1527" s="16"/>
      <c r="BZ1527" s="16"/>
      <c r="CA1527" s="16"/>
      <c r="CB1527" s="16"/>
      <c r="CC1527" s="16"/>
      <c r="CD1527" s="77"/>
      <c r="CE1527" s="16"/>
      <c r="CF1527" s="16"/>
      <c r="CG1527" s="16"/>
      <c r="CH1527" s="16"/>
      <c r="CI1527" s="16"/>
      <c r="CJ1527" s="16"/>
      <c r="CK1527" s="16"/>
      <c r="CL1527" s="16"/>
      <c r="CM1527" s="16"/>
      <c r="CN1527" s="16"/>
      <c r="CO1527" s="16"/>
      <c r="CP1527" s="16"/>
      <c r="CQ1527" s="16"/>
      <c r="CR1527" s="16"/>
      <c r="CS1527" s="16"/>
      <c r="CT1527" s="16"/>
      <c r="CU1527" s="16"/>
      <c r="CV1527" s="16"/>
      <c r="CW1527" s="16"/>
      <c r="CX1527" s="16"/>
      <c r="CY1527" s="16"/>
      <c r="CZ1527" s="16"/>
      <c r="DA1527" s="16"/>
      <c r="DB1527" s="16"/>
      <c r="DC1527" s="16"/>
      <c r="DD1527" s="16"/>
      <c r="DE1527" s="16"/>
      <c r="DF1527" s="16" t="e">
        <f>VLOOKUP(K1527,'[3]RNA Seq summary tables'!$V$3:$V$99,1,FALSE)</f>
        <v>#N/A</v>
      </c>
      <c r="DG1527" s="16"/>
      <c r="DH1527" s="16"/>
      <c r="DI1527" s="16"/>
      <c r="DJ1527" s="16"/>
      <c r="DK1527" s="16"/>
      <c r="DL1527" s="16"/>
      <c r="DM1527" s="16"/>
      <c r="DN1527" s="16"/>
      <c r="DO1527" s="16"/>
      <c r="DP1527" s="16"/>
      <c r="DQ1527" s="16"/>
      <c r="DR1527" s="16"/>
      <c r="DS1527" s="16"/>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18"/>
      <c r="EQ1527" s="18"/>
      <c r="ER1527" s="18"/>
      <c r="ES1527" s="18"/>
      <c r="ET1527" s="18"/>
      <c r="EU1527" s="18"/>
      <c r="EV1527" s="18"/>
      <c r="EW1527" s="18"/>
      <c r="EX1527" s="18"/>
      <c r="EY1527" s="18"/>
      <c r="EZ1527" s="18"/>
      <c r="FA1527" s="18"/>
      <c r="FB1527" s="18"/>
      <c r="FC1527" s="18"/>
      <c r="FD1527" s="18"/>
      <c r="FE1527" s="18"/>
      <c r="FF1527" s="18"/>
      <c r="FG1527" s="18"/>
      <c r="FH1527" s="18"/>
      <c r="FI1527" s="18"/>
      <c r="FJ1527" s="18"/>
      <c r="FK1527" s="18"/>
      <c r="FL1527" s="18"/>
      <c r="FM1527" s="18"/>
      <c r="FN1527" s="18"/>
      <c r="FO1527" s="18"/>
      <c r="FP1527" s="18"/>
      <c r="FQ1527" s="18"/>
      <c r="FR1527" s="18"/>
      <c r="FS1527" s="18"/>
      <c r="FT1527" s="18"/>
      <c r="FU1527" s="18"/>
      <c r="FV1527" s="18"/>
      <c r="FW1527" s="18"/>
      <c r="FX1527" s="18"/>
      <c r="FY1527" s="18"/>
      <c r="FZ1527" s="18"/>
      <c r="GA1527" s="18"/>
      <c r="GB1527" s="18"/>
      <c r="GC1527" s="18"/>
      <c r="GD1527" s="18"/>
      <c r="GE1527" s="18"/>
      <c r="GF1527" s="18"/>
      <c r="GG1527" s="18"/>
      <c r="GH1527" s="18"/>
      <c r="GI1527" s="18"/>
      <c r="GJ1527" s="18"/>
      <c r="GK1527" s="18"/>
      <c r="GL1527" s="18"/>
      <c r="GM1527" s="18"/>
      <c r="GN1527" s="18"/>
      <c r="GO1527" s="18"/>
      <c r="GP1527" s="18"/>
      <c r="GQ1527" s="18"/>
      <c r="GR1527" s="18"/>
      <c r="GS1527" s="18"/>
      <c r="GT1527" s="18"/>
      <c r="GU1527" s="18"/>
      <c r="GV1527" s="18"/>
      <c r="GW1527" s="18"/>
      <c r="GX1527" s="18"/>
      <c r="GY1527" s="18"/>
      <c r="GZ1527" s="18"/>
      <c r="HA1527" s="18"/>
      <c r="HB1527" s="18"/>
      <c r="HC1527" s="18"/>
      <c r="HD1527" s="18"/>
      <c r="HE1527" s="18"/>
      <c r="HF1527" s="18"/>
      <c r="HG1527" s="18"/>
      <c r="HH1527" s="18"/>
      <c r="HI1527" s="18"/>
      <c r="HJ1527" s="18"/>
      <c r="HK1527" s="18"/>
      <c r="HL1527" s="18"/>
      <c r="HM1527" s="18"/>
      <c r="HN1527" s="18"/>
      <c r="HO1527" s="18"/>
      <c r="HP1527" s="18"/>
      <c r="HQ1527" s="18"/>
      <c r="HR1527" s="18"/>
      <c r="HS1527" s="18"/>
      <c r="HT1527" s="18"/>
      <c r="HU1527" s="18"/>
      <c r="HV1527" s="18"/>
      <c r="HW1527" s="18"/>
      <c r="HX1527" s="18"/>
      <c r="HY1527" s="18"/>
      <c r="HZ1527" s="18"/>
      <c r="IA1527" s="18"/>
      <c r="IB1527" s="18"/>
      <c r="IC1527" s="18"/>
      <c r="ID1527" s="18"/>
      <c r="IE1527" s="18"/>
      <c r="IF1527" s="18"/>
      <c r="IG1527" s="18"/>
      <c r="IH1527" s="18"/>
      <c r="II1527" s="18"/>
      <c r="IJ1527" s="18"/>
      <c r="IK1527" s="18"/>
      <c r="IL1527" s="18"/>
      <c r="IM1527" s="18"/>
      <c r="IN1527" s="18"/>
      <c r="IO1527" s="18"/>
      <c r="IP1527" s="18"/>
      <c r="IQ1527" s="18"/>
      <c r="IR1527" s="18"/>
      <c r="IS1527" s="18"/>
      <c r="IT1527" s="18"/>
      <c r="IU1527" s="18"/>
      <c r="IV1527" s="18"/>
      <c r="IW1527" s="18"/>
      <c r="IX1527" s="18"/>
      <c r="IY1527" s="18"/>
      <c r="IZ1527" s="18"/>
      <c r="JA1527" s="18"/>
      <c r="JB1527" s="18"/>
      <c r="JC1527" s="18"/>
      <c r="JD1527" s="18"/>
      <c r="JE1527" s="18"/>
      <c r="JF1527" s="18"/>
      <c r="JG1527" s="18"/>
      <c r="JH1527" s="18"/>
      <c r="JI1527" s="18"/>
      <c r="JJ1527" s="18"/>
      <c r="JK1527" s="18"/>
      <c r="JL1527" s="18"/>
      <c r="JM1527" s="18"/>
      <c r="JN1527" s="18"/>
      <c r="JO1527" s="16"/>
      <c r="JP1527" s="16"/>
      <c r="JQ1527" s="16"/>
      <c r="JR1527" s="38"/>
      <c r="JS1527" s="38"/>
      <c r="JT1527" s="38"/>
      <c r="JU1527" s="38"/>
      <c r="JV1527" s="38"/>
      <c r="JW1527" s="38"/>
      <c r="JX1527" s="38"/>
      <c r="JY1527" s="38"/>
      <c r="JZ1527" s="38"/>
      <c r="KA1527" s="38"/>
      <c r="KB1527" s="38"/>
    </row>
    <row r="1528" spans="1:288" s="27" customFormat="1" x14ac:dyDescent="0.2">
      <c r="A1528" s="18"/>
      <c r="B1528" s="16">
        <v>2016</v>
      </c>
      <c r="C1528" s="20">
        <v>42543</v>
      </c>
      <c r="D1528" s="20" t="str">
        <f>CONCATENATE(J1528,"-",C1528)</f>
        <v>936-42543</v>
      </c>
      <c r="E1528" s="20" t="str">
        <f>CONCATENATE(T1528,"-",U1528,"-",C1528)</f>
        <v>BC1-G7-42543</v>
      </c>
      <c r="F1528" s="20" t="s">
        <v>106</v>
      </c>
      <c r="G1528" s="90" t="s">
        <v>278</v>
      </c>
      <c r="H1528" s="16"/>
      <c r="I1528" s="16"/>
      <c r="J1528" s="21">
        <v>936</v>
      </c>
      <c r="K1528" s="21"/>
      <c r="L1528" s="16"/>
      <c r="M1528" s="21"/>
      <c r="N1528" s="21"/>
      <c r="O1528" s="21"/>
      <c r="P1528" s="16"/>
      <c r="Q1528" s="16"/>
      <c r="R1528" s="16"/>
      <c r="S1528" s="16"/>
      <c r="T1528" s="16" t="s">
        <v>159</v>
      </c>
      <c r="U1528" s="16" t="s">
        <v>156</v>
      </c>
      <c r="V1528" s="16"/>
      <c r="W1528" s="16"/>
      <c r="X1528" s="16"/>
      <c r="Y1528" s="16"/>
      <c r="Z1528" s="16"/>
      <c r="AA1528" s="16"/>
      <c r="AB1528" s="16"/>
      <c r="AC1528" s="16"/>
      <c r="AD1528" s="16"/>
      <c r="AE1528" s="16"/>
      <c r="AF1528" s="16"/>
      <c r="AG1528" s="16"/>
      <c r="AH1528" s="16"/>
      <c r="AI1528" s="16"/>
      <c r="AJ1528" s="16"/>
      <c r="AK1528" s="16"/>
      <c r="AL1528" s="16"/>
      <c r="AM1528" s="16"/>
      <c r="AN1528" s="16"/>
      <c r="AO1528" s="16"/>
      <c r="AP1528" s="16"/>
      <c r="AQ1528" s="16"/>
      <c r="AR1528" s="16"/>
      <c r="AS1528" s="16"/>
      <c r="AT1528" s="16"/>
      <c r="AU1528" s="16"/>
      <c r="AV1528" s="16"/>
      <c r="AW1528" s="16"/>
      <c r="AX1528" s="16"/>
      <c r="AY1528" s="16"/>
      <c r="AZ1528" s="16"/>
      <c r="BA1528" s="16"/>
      <c r="BB1528" s="16"/>
      <c r="BC1528" s="16"/>
      <c r="BD1528" s="16"/>
      <c r="BE1528" s="16"/>
      <c r="BF1528" s="16"/>
      <c r="BG1528" s="77"/>
      <c r="BH1528" s="16"/>
      <c r="BI1528" s="16"/>
      <c r="BJ1528" s="16"/>
      <c r="BK1528" s="16"/>
      <c r="BL1528" s="16"/>
      <c r="BM1528" s="16"/>
      <c r="BN1528" s="16"/>
      <c r="BO1528" s="16"/>
      <c r="BP1528" s="16"/>
      <c r="BQ1528" s="16"/>
      <c r="BR1528" s="16"/>
      <c r="BS1528" s="16"/>
      <c r="BT1528" s="77"/>
      <c r="BU1528" s="16"/>
      <c r="BV1528" s="16"/>
      <c r="BW1528" s="16"/>
      <c r="BX1528" s="16"/>
      <c r="BY1528" s="16"/>
      <c r="BZ1528" s="16"/>
      <c r="CA1528" s="16"/>
      <c r="CB1528" s="16"/>
      <c r="CC1528" s="16"/>
      <c r="CD1528" s="77"/>
      <c r="CE1528" s="16"/>
      <c r="CF1528" s="16"/>
      <c r="CG1528" s="16"/>
      <c r="CH1528" s="16"/>
      <c r="CI1528" s="16"/>
      <c r="CJ1528" s="16"/>
      <c r="CK1528" s="16"/>
      <c r="CL1528" s="16"/>
      <c r="CM1528" s="16"/>
      <c r="CN1528" s="16"/>
      <c r="CO1528" s="16"/>
      <c r="CP1528" s="16"/>
      <c r="CQ1528" s="16"/>
      <c r="CR1528" s="16"/>
      <c r="CS1528" s="16"/>
      <c r="CT1528" s="16"/>
      <c r="CU1528" s="16"/>
      <c r="CV1528" s="16"/>
      <c r="CW1528" s="16"/>
      <c r="CX1528" s="16"/>
      <c r="CY1528" s="16"/>
      <c r="CZ1528" s="16"/>
      <c r="DA1528" s="16"/>
      <c r="DB1528" s="16"/>
      <c r="DC1528" s="16"/>
      <c r="DD1528" s="16"/>
      <c r="DE1528" s="16"/>
      <c r="DF1528" s="16" t="e">
        <f>VLOOKUP(K1528,'[3]RNA Seq summary tables'!$V$3:$V$99,1,FALSE)</f>
        <v>#N/A</v>
      </c>
      <c r="DG1528" s="16"/>
      <c r="DH1528" s="16"/>
      <c r="DI1528" s="16"/>
      <c r="DJ1528" s="16"/>
      <c r="DK1528" s="16"/>
      <c r="DL1528" s="16"/>
      <c r="DM1528" s="16"/>
      <c r="DN1528" s="16"/>
      <c r="DO1528" s="16"/>
      <c r="DP1528" s="16"/>
      <c r="DQ1528" s="16"/>
      <c r="DR1528" s="16"/>
      <c r="DS1528" s="16"/>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18"/>
      <c r="EQ1528" s="18"/>
      <c r="ER1528" s="18"/>
      <c r="ES1528" s="18"/>
      <c r="ET1528" s="18"/>
      <c r="EU1528" s="18"/>
      <c r="EV1528" s="18"/>
      <c r="EW1528" s="18"/>
      <c r="EX1528" s="18"/>
      <c r="EY1528" s="18"/>
      <c r="EZ1528" s="18"/>
      <c r="FA1528" s="18"/>
      <c r="FB1528" s="18"/>
      <c r="FC1528" s="18"/>
      <c r="FD1528" s="18"/>
      <c r="FE1528" s="18"/>
      <c r="FF1528" s="18"/>
      <c r="FG1528" s="18"/>
      <c r="FH1528" s="18"/>
      <c r="FI1528" s="18"/>
      <c r="FJ1528" s="18"/>
      <c r="FK1528" s="18"/>
      <c r="FL1528" s="18"/>
      <c r="FM1528" s="18"/>
      <c r="FN1528" s="18"/>
      <c r="FO1528" s="18"/>
      <c r="FP1528" s="18"/>
      <c r="FQ1528" s="18"/>
      <c r="FR1528" s="18"/>
      <c r="FS1528" s="18"/>
      <c r="FT1528" s="18"/>
      <c r="FU1528" s="18"/>
      <c r="FV1528" s="18"/>
      <c r="FW1528" s="18"/>
      <c r="FX1528" s="18"/>
      <c r="FY1528" s="18"/>
      <c r="FZ1528" s="18"/>
      <c r="GA1528" s="18"/>
      <c r="GB1528" s="18"/>
      <c r="GC1528" s="18"/>
      <c r="GD1528" s="18"/>
      <c r="GE1528" s="18"/>
      <c r="GF1528" s="18"/>
      <c r="GG1528" s="18"/>
      <c r="GH1528" s="18"/>
      <c r="GI1528" s="18"/>
      <c r="GJ1528" s="18"/>
      <c r="GK1528" s="18"/>
      <c r="GL1528" s="18"/>
      <c r="GM1528" s="18"/>
      <c r="GN1528" s="18"/>
      <c r="GO1528" s="18"/>
      <c r="GP1528" s="18"/>
      <c r="GQ1528" s="18"/>
      <c r="GR1528" s="18"/>
      <c r="GS1528" s="18"/>
      <c r="GT1528" s="18"/>
      <c r="GU1528" s="18"/>
      <c r="GV1528" s="18"/>
      <c r="GW1528" s="18"/>
      <c r="GX1528" s="18"/>
      <c r="GY1528" s="18"/>
      <c r="GZ1528" s="18"/>
      <c r="HA1528" s="18"/>
      <c r="HB1528" s="18"/>
      <c r="HC1528" s="18"/>
      <c r="HD1528" s="18"/>
      <c r="HE1528" s="18"/>
      <c r="HF1528" s="18"/>
      <c r="HG1528" s="18"/>
      <c r="HH1528" s="18"/>
      <c r="HI1528" s="18"/>
      <c r="HJ1528" s="18"/>
      <c r="HK1528" s="18"/>
      <c r="HL1528" s="18"/>
      <c r="HM1528" s="18"/>
      <c r="HN1528" s="18"/>
      <c r="HO1528" s="18"/>
      <c r="HP1528" s="18"/>
      <c r="HQ1528" s="18"/>
      <c r="HR1528" s="18"/>
      <c r="HS1528" s="18"/>
      <c r="HT1528" s="18"/>
      <c r="HU1528" s="18"/>
      <c r="HV1528" s="18"/>
      <c r="HW1528" s="18"/>
      <c r="HX1528" s="18"/>
      <c r="HY1528" s="18"/>
      <c r="HZ1528" s="18"/>
      <c r="IA1528" s="18"/>
      <c r="IB1528" s="18"/>
      <c r="IC1528" s="18"/>
      <c r="ID1528" s="18"/>
      <c r="IE1528" s="18"/>
      <c r="IF1528" s="18"/>
      <c r="IG1528" s="18"/>
      <c r="IH1528" s="18"/>
      <c r="II1528" s="18"/>
      <c r="IJ1528" s="18"/>
      <c r="IK1528" s="18"/>
      <c r="IL1528" s="18"/>
      <c r="IM1528" s="18"/>
      <c r="IN1528" s="18"/>
      <c r="IO1528" s="18"/>
      <c r="IP1528" s="18"/>
      <c r="IQ1528" s="18"/>
      <c r="IR1528" s="18"/>
      <c r="IS1528" s="18"/>
      <c r="IT1528" s="18"/>
      <c r="IU1528" s="18"/>
      <c r="IV1528" s="18"/>
      <c r="IW1528" s="18"/>
      <c r="IX1528" s="18"/>
      <c r="IY1528" s="18"/>
      <c r="IZ1528" s="18"/>
      <c r="JA1528" s="18"/>
      <c r="JB1528" s="18"/>
      <c r="JC1528" s="18"/>
      <c r="JD1528" s="18"/>
      <c r="JE1528" s="18"/>
      <c r="JF1528" s="18"/>
      <c r="JG1528" s="18"/>
      <c r="JH1528" s="18"/>
      <c r="JI1528" s="18"/>
      <c r="JJ1528" s="18"/>
      <c r="JK1528" s="18"/>
      <c r="JL1528" s="18"/>
      <c r="JM1528" s="18"/>
      <c r="JN1528" s="18"/>
      <c r="JO1528" s="16"/>
      <c r="JP1528" s="16"/>
      <c r="JQ1528" s="16"/>
      <c r="JR1528" s="38"/>
      <c r="JS1528" s="38"/>
      <c r="JT1528" s="38"/>
      <c r="JU1528" s="38"/>
      <c r="JV1528" s="38"/>
      <c r="JW1528" s="38"/>
      <c r="JX1528" s="38"/>
      <c r="JY1528" s="38"/>
      <c r="JZ1528" s="38"/>
      <c r="KA1528" s="38"/>
      <c r="KB1528" s="38"/>
    </row>
    <row r="1529" spans="1:288" s="27" customFormat="1" x14ac:dyDescent="0.2">
      <c r="A1529" s="18"/>
      <c r="B1529" s="16">
        <v>2016</v>
      </c>
      <c r="C1529" s="20">
        <v>42542</v>
      </c>
      <c r="D1529" s="20" t="str">
        <f>CONCATENATE(J1529,"-",C1529)</f>
        <v>937-42542</v>
      </c>
      <c r="E1529" s="20" t="str">
        <f>CONCATENATE(T1529,"-",U1529,"-",C1529)</f>
        <v>BC1-F8-42542</v>
      </c>
      <c r="F1529" s="20" t="s">
        <v>106</v>
      </c>
      <c r="G1529" s="90" t="s">
        <v>278</v>
      </c>
      <c r="H1529" s="16"/>
      <c r="I1529" s="16"/>
      <c r="J1529" s="21">
        <v>937</v>
      </c>
      <c r="K1529" s="21"/>
      <c r="L1529" s="16"/>
      <c r="M1529" s="21"/>
      <c r="N1529" s="21"/>
      <c r="O1529" s="21"/>
      <c r="P1529" s="16"/>
      <c r="Q1529" s="16"/>
      <c r="R1529" s="16"/>
      <c r="S1529" s="16"/>
      <c r="T1529" s="16" t="s">
        <v>159</v>
      </c>
      <c r="U1529" s="16" t="s">
        <v>138</v>
      </c>
      <c r="V1529" s="16"/>
      <c r="W1529" s="16"/>
      <c r="X1529" s="16"/>
      <c r="Y1529" s="16"/>
      <c r="Z1529" s="16"/>
      <c r="AA1529" s="16"/>
      <c r="AB1529" s="16"/>
      <c r="AC1529" s="16"/>
      <c r="AD1529" s="16"/>
      <c r="AE1529" s="16"/>
      <c r="AF1529" s="16"/>
      <c r="AG1529" s="16"/>
      <c r="AH1529" s="16"/>
      <c r="AI1529" s="16"/>
      <c r="AJ1529" s="16"/>
      <c r="AK1529" s="16">
        <v>17.5</v>
      </c>
      <c r="AL1529" s="16">
        <v>0</v>
      </c>
      <c r="AM1529" s="16">
        <v>0</v>
      </c>
      <c r="AN1529" s="16">
        <v>0</v>
      </c>
      <c r="AO1529" s="16">
        <f>IF(SUM(AL1529:AN1529)&gt;0,1,0)</f>
        <v>0</v>
      </c>
      <c r="AP1529" s="16">
        <f>SUM(AL1529:AN1529)</f>
        <v>0</v>
      </c>
      <c r="AQ1529" s="16"/>
      <c r="AR1529" s="16"/>
      <c r="AS1529" s="16"/>
      <c r="AT1529" s="16"/>
      <c r="AU1529" s="16"/>
      <c r="AV1529" s="16"/>
      <c r="AW1529" s="16"/>
      <c r="AX1529" s="16"/>
      <c r="AY1529" s="16"/>
      <c r="AZ1529" s="16"/>
      <c r="BA1529" s="16"/>
      <c r="BB1529" s="16"/>
      <c r="BC1529" s="16"/>
      <c r="BD1529" s="16"/>
      <c r="BE1529" s="16"/>
      <c r="BF1529" s="16"/>
      <c r="BG1529" s="77"/>
      <c r="BH1529" s="16"/>
      <c r="BI1529" s="16"/>
      <c r="BJ1529" s="16"/>
      <c r="BK1529" s="16"/>
      <c r="BL1529" s="16"/>
      <c r="BM1529" s="16"/>
      <c r="BN1529" s="16"/>
      <c r="BO1529" s="16"/>
      <c r="BP1529" s="16"/>
      <c r="BQ1529" s="16"/>
      <c r="BR1529" s="16"/>
      <c r="BS1529" s="16"/>
      <c r="BT1529" s="77"/>
      <c r="BU1529" s="16"/>
      <c r="BV1529" s="16"/>
      <c r="BW1529" s="16"/>
      <c r="BX1529" s="16"/>
      <c r="BY1529" s="16"/>
      <c r="BZ1529" s="16"/>
      <c r="CA1529" s="16"/>
      <c r="CB1529" s="16"/>
      <c r="CC1529" s="16"/>
      <c r="CD1529" s="77"/>
      <c r="CE1529" s="16"/>
      <c r="CF1529" s="16"/>
      <c r="CG1529" s="16"/>
      <c r="CH1529" s="16"/>
      <c r="CI1529" s="16"/>
      <c r="CJ1529" s="16"/>
      <c r="CK1529" s="16"/>
      <c r="CL1529" s="16"/>
      <c r="CM1529" s="16"/>
      <c r="CN1529" s="16"/>
      <c r="CO1529" s="16"/>
      <c r="CP1529" s="16"/>
      <c r="CQ1529" s="16"/>
      <c r="CR1529" s="16"/>
      <c r="CS1529" s="16"/>
      <c r="CT1529" s="16"/>
      <c r="CU1529" s="16"/>
      <c r="CV1529" s="16"/>
      <c r="CW1529" s="16"/>
      <c r="CX1529" s="16"/>
      <c r="CY1529" s="16"/>
      <c r="CZ1529" s="16"/>
      <c r="DA1529" s="16"/>
      <c r="DB1529" s="16"/>
      <c r="DC1529" s="16"/>
      <c r="DD1529" s="16"/>
      <c r="DE1529" s="16"/>
      <c r="DF1529" s="16" t="e">
        <f>VLOOKUP(K1529,'[3]RNA Seq summary tables'!$V$3:$V$99,1,FALSE)</f>
        <v>#N/A</v>
      </c>
      <c r="DG1529" s="16"/>
      <c r="DH1529" s="16"/>
      <c r="DI1529" s="16"/>
      <c r="DJ1529" s="16"/>
      <c r="DK1529" s="16"/>
      <c r="DL1529" s="16"/>
      <c r="DM1529" s="16"/>
      <c r="DN1529" s="16"/>
      <c r="DO1529" s="16"/>
      <c r="DP1529" s="16"/>
      <c r="DQ1529" s="16"/>
      <c r="DR1529" s="16"/>
      <c r="DS1529" s="16"/>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18"/>
      <c r="EQ1529" s="18"/>
      <c r="ER1529" s="18"/>
      <c r="ES1529" s="18"/>
      <c r="ET1529" s="18"/>
      <c r="EU1529" s="18"/>
      <c r="EV1529" s="18"/>
      <c r="EW1529" s="18"/>
      <c r="EX1529" s="18"/>
      <c r="EY1529" s="18"/>
      <c r="EZ1529" s="18"/>
      <c r="FA1529" s="18"/>
      <c r="FB1529" s="18"/>
      <c r="FC1529" s="18"/>
      <c r="FD1529" s="18"/>
      <c r="FE1529" s="18"/>
      <c r="FF1529" s="18"/>
      <c r="FG1529" s="18"/>
      <c r="FH1529" s="18"/>
      <c r="FI1529" s="18"/>
      <c r="FJ1529" s="18"/>
      <c r="FK1529" s="18"/>
      <c r="FL1529" s="18"/>
      <c r="FM1529" s="18"/>
      <c r="FN1529" s="18"/>
      <c r="FO1529" s="18"/>
      <c r="FP1529" s="18"/>
      <c r="FQ1529" s="18"/>
      <c r="FR1529" s="18"/>
      <c r="FS1529" s="18"/>
      <c r="FT1529" s="18"/>
      <c r="FU1529" s="18"/>
      <c r="FV1529" s="18"/>
      <c r="FW1529" s="18"/>
      <c r="FX1529" s="18"/>
      <c r="FY1529" s="18"/>
      <c r="FZ1529" s="18"/>
      <c r="GA1529" s="18"/>
      <c r="GB1529" s="18"/>
      <c r="GC1529" s="18"/>
      <c r="GD1529" s="18"/>
      <c r="GE1529" s="18"/>
      <c r="GF1529" s="18"/>
      <c r="GG1529" s="18"/>
      <c r="GH1529" s="18"/>
      <c r="GI1529" s="18"/>
      <c r="GJ1529" s="18"/>
      <c r="GK1529" s="18"/>
      <c r="GL1529" s="18"/>
      <c r="GM1529" s="18"/>
      <c r="GN1529" s="18"/>
      <c r="GO1529" s="18"/>
      <c r="GP1529" s="18"/>
      <c r="GQ1529" s="18"/>
      <c r="GR1529" s="18"/>
      <c r="GS1529" s="18"/>
      <c r="GT1529" s="18"/>
      <c r="GU1529" s="18"/>
      <c r="GV1529" s="18"/>
      <c r="GW1529" s="18"/>
      <c r="GX1529" s="18"/>
      <c r="GY1529" s="18"/>
      <c r="GZ1529" s="18"/>
      <c r="HA1529" s="18"/>
      <c r="HB1529" s="18"/>
      <c r="HC1529" s="18"/>
      <c r="HD1529" s="18"/>
      <c r="HE1529" s="18"/>
      <c r="HF1529" s="18"/>
      <c r="HG1529" s="18"/>
      <c r="HH1529" s="18"/>
      <c r="HI1529" s="18"/>
      <c r="HJ1529" s="18"/>
      <c r="HK1529" s="18"/>
      <c r="HL1529" s="18"/>
      <c r="HM1529" s="18"/>
      <c r="HN1529" s="18"/>
      <c r="HO1529" s="18"/>
      <c r="HP1529" s="18"/>
      <c r="HQ1529" s="18"/>
      <c r="HR1529" s="18"/>
      <c r="HS1529" s="18"/>
      <c r="HT1529" s="18"/>
      <c r="HU1529" s="18"/>
      <c r="HV1529" s="18"/>
      <c r="HW1529" s="18"/>
      <c r="HX1529" s="18"/>
      <c r="HY1529" s="18"/>
      <c r="HZ1529" s="18"/>
      <c r="IA1529" s="18"/>
      <c r="IB1529" s="18"/>
      <c r="IC1529" s="18"/>
      <c r="ID1529" s="18"/>
      <c r="IE1529" s="18"/>
      <c r="IF1529" s="18"/>
      <c r="IG1529" s="18"/>
      <c r="IH1529" s="18"/>
      <c r="II1529" s="18"/>
      <c r="IJ1529" s="18"/>
      <c r="IK1529" s="18"/>
      <c r="IL1529" s="18"/>
      <c r="IM1529" s="18"/>
      <c r="IN1529" s="18"/>
      <c r="IO1529" s="18"/>
      <c r="IP1529" s="18"/>
      <c r="IQ1529" s="18"/>
      <c r="IR1529" s="18"/>
      <c r="IS1529" s="18"/>
      <c r="IT1529" s="18"/>
      <c r="IU1529" s="18"/>
      <c r="IV1529" s="18"/>
      <c r="IW1529" s="18"/>
      <c r="IX1529" s="18"/>
      <c r="IY1529" s="18"/>
      <c r="IZ1529" s="18"/>
      <c r="JA1529" s="18"/>
      <c r="JB1529" s="18"/>
      <c r="JC1529" s="18"/>
      <c r="JD1529" s="18"/>
      <c r="JE1529" s="18"/>
      <c r="JF1529" s="18"/>
      <c r="JG1529" s="18"/>
      <c r="JH1529" s="18"/>
      <c r="JI1529" s="18"/>
      <c r="JJ1529" s="18"/>
      <c r="JK1529" s="18"/>
      <c r="JL1529" s="18"/>
      <c r="JM1529" s="18"/>
      <c r="JN1529" s="18"/>
      <c r="JO1529" s="16"/>
      <c r="JP1529" s="16"/>
      <c r="JQ1529" s="16"/>
      <c r="JR1529" s="38"/>
      <c r="JS1529" s="38"/>
      <c r="JT1529" s="38"/>
      <c r="JU1529" s="38"/>
      <c r="JV1529" s="38"/>
      <c r="JW1529" s="38"/>
      <c r="JX1529" s="38"/>
      <c r="JY1529" s="38"/>
      <c r="JZ1529" s="38"/>
      <c r="KA1529" s="38"/>
      <c r="KB1529" s="38"/>
    </row>
    <row r="1530" spans="1:288" s="30" customFormat="1" x14ac:dyDescent="0.2">
      <c r="A1530" s="18"/>
      <c r="B1530" s="16">
        <v>2016</v>
      </c>
      <c r="C1530" s="20">
        <v>42543</v>
      </c>
      <c r="D1530" s="20" t="str">
        <f>CONCATENATE(J1530,"-",C1530)</f>
        <v>937-42543</v>
      </c>
      <c r="E1530" s="20" t="str">
        <f>CONCATENATE(T1530,"-",U1530,"-",C1530)</f>
        <v>BC1-F8-42543</v>
      </c>
      <c r="F1530" s="20" t="s">
        <v>106</v>
      </c>
      <c r="G1530" s="90" t="s">
        <v>278</v>
      </c>
      <c r="H1530" s="16"/>
      <c r="I1530" s="16"/>
      <c r="J1530" s="21">
        <v>937</v>
      </c>
      <c r="K1530" s="21"/>
      <c r="L1530" s="16"/>
      <c r="M1530" s="21"/>
      <c r="N1530" s="21"/>
      <c r="O1530" s="21"/>
      <c r="P1530" s="16"/>
      <c r="Q1530" s="16"/>
      <c r="R1530" s="16"/>
      <c r="S1530" s="16"/>
      <c r="T1530" s="16" t="s">
        <v>159</v>
      </c>
      <c r="U1530" s="16" t="s">
        <v>138</v>
      </c>
      <c r="V1530" s="16"/>
      <c r="W1530" s="16"/>
      <c r="X1530" s="16"/>
      <c r="Y1530" s="16"/>
      <c r="Z1530" s="16"/>
      <c r="AA1530" s="16"/>
      <c r="AB1530" s="16"/>
      <c r="AC1530" s="16"/>
      <c r="AD1530" s="16"/>
      <c r="AE1530" s="16"/>
      <c r="AF1530" s="16"/>
      <c r="AG1530" s="16"/>
      <c r="AH1530" s="16"/>
      <c r="AI1530" s="16"/>
      <c r="AJ1530" s="16"/>
      <c r="AK1530" s="16">
        <v>18</v>
      </c>
      <c r="AL1530" s="16"/>
      <c r="AM1530" s="16"/>
      <c r="AN1530" s="16"/>
      <c r="AO1530" s="16"/>
      <c r="AP1530" s="16"/>
      <c r="AQ1530" s="16"/>
      <c r="AR1530" s="16"/>
      <c r="AS1530" s="16"/>
      <c r="AT1530" s="16"/>
      <c r="AU1530" s="16"/>
      <c r="AV1530" s="16"/>
      <c r="AW1530" s="16"/>
      <c r="AX1530" s="16"/>
      <c r="AY1530" s="16"/>
      <c r="AZ1530" s="16"/>
      <c r="BA1530" s="16"/>
      <c r="BB1530" s="16"/>
      <c r="BC1530" s="16"/>
      <c r="BD1530" s="16"/>
      <c r="BE1530" s="16"/>
      <c r="BF1530" s="16"/>
      <c r="BG1530" s="77"/>
      <c r="BH1530" s="16"/>
      <c r="BI1530" s="16"/>
      <c r="BJ1530" s="16"/>
      <c r="BK1530" s="16"/>
      <c r="BL1530" s="16"/>
      <c r="BM1530" s="16"/>
      <c r="BN1530" s="16"/>
      <c r="BO1530" s="16"/>
      <c r="BP1530" s="16"/>
      <c r="BQ1530" s="16"/>
      <c r="BR1530" s="16"/>
      <c r="BS1530" s="16"/>
      <c r="BT1530" s="77"/>
      <c r="BU1530" s="16"/>
      <c r="BV1530" s="16"/>
      <c r="BW1530" s="16"/>
      <c r="BX1530" s="16"/>
      <c r="BY1530" s="16"/>
      <c r="BZ1530" s="16"/>
      <c r="CA1530" s="16"/>
      <c r="CB1530" s="16"/>
      <c r="CC1530" s="16"/>
      <c r="CD1530" s="77"/>
      <c r="CE1530" s="16"/>
      <c r="CF1530" s="16"/>
      <c r="CG1530" s="16"/>
      <c r="CH1530" s="16"/>
      <c r="CI1530" s="16"/>
      <c r="CJ1530" s="16"/>
      <c r="CK1530" s="16"/>
      <c r="CL1530" s="16"/>
      <c r="CM1530" s="16"/>
      <c r="CN1530" s="16"/>
      <c r="CO1530" s="16"/>
      <c r="CP1530" s="16"/>
      <c r="CQ1530" s="16"/>
      <c r="CR1530" s="16"/>
      <c r="CS1530" s="16"/>
      <c r="CT1530" s="16"/>
      <c r="CU1530" s="16"/>
      <c r="CV1530" s="16"/>
      <c r="CW1530" s="16"/>
      <c r="CX1530" s="16"/>
      <c r="CY1530" s="16"/>
      <c r="CZ1530" s="16"/>
      <c r="DA1530" s="16"/>
      <c r="DB1530" s="16"/>
      <c r="DC1530" s="16"/>
      <c r="DD1530" s="16"/>
      <c r="DE1530" s="16"/>
      <c r="DF1530" s="16" t="e">
        <f>VLOOKUP(K1530,'[3]RNA Seq summary tables'!$V$3:$V$99,1,FALSE)</f>
        <v>#N/A</v>
      </c>
      <c r="DG1530" s="16"/>
      <c r="DH1530" s="16"/>
      <c r="DI1530" s="16"/>
      <c r="DJ1530" s="16"/>
      <c r="DK1530" s="16"/>
      <c r="DL1530" s="16"/>
      <c r="DM1530" s="16"/>
      <c r="DN1530" s="16"/>
      <c r="DO1530" s="16"/>
      <c r="DP1530" s="16"/>
      <c r="DQ1530" s="16"/>
      <c r="DR1530" s="16"/>
      <c r="DS1530" s="16"/>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18"/>
      <c r="EQ1530" s="18"/>
      <c r="ER1530" s="18"/>
      <c r="ES1530" s="18"/>
      <c r="ET1530" s="18"/>
      <c r="EU1530" s="18"/>
      <c r="EV1530" s="18"/>
      <c r="EW1530" s="18"/>
      <c r="EX1530" s="18"/>
      <c r="EY1530" s="18"/>
      <c r="EZ1530" s="18"/>
      <c r="FA1530" s="18"/>
      <c r="FB1530" s="18"/>
      <c r="FC1530" s="18"/>
      <c r="FD1530" s="18"/>
      <c r="FE1530" s="18"/>
      <c r="FF1530" s="18"/>
      <c r="FG1530" s="18"/>
      <c r="FH1530" s="18"/>
      <c r="FI1530" s="18"/>
      <c r="FJ1530" s="18"/>
      <c r="FK1530" s="18"/>
      <c r="FL1530" s="18"/>
      <c r="FM1530" s="18"/>
      <c r="FN1530" s="18"/>
      <c r="FO1530" s="18"/>
      <c r="FP1530" s="18"/>
      <c r="FQ1530" s="18"/>
      <c r="FR1530" s="18"/>
      <c r="FS1530" s="18"/>
      <c r="FT1530" s="18"/>
      <c r="FU1530" s="18"/>
      <c r="FV1530" s="18"/>
      <c r="FW1530" s="18"/>
      <c r="FX1530" s="18"/>
      <c r="FY1530" s="18"/>
      <c r="FZ1530" s="18"/>
      <c r="GA1530" s="18"/>
      <c r="GB1530" s="18"/>
      <c r="GC1530" s="18"/>
      <c r="GD1530" s="18"/>
      <c r="GE1530" s="18"/>
      <c r="GF1530" s="18"/>
      <c r="GG1530" s="18"/>
      <c r="GH1530" s="18"/>
      <c r="GI1530" s="18"/>
      <c r="GJ1530" s="18"/>
      <c r="GK1530" s="18"/>
      <c r="GL1530" s="18"/>
      <c r="GM1530" s="18"/>
      <c r="GN1530" s="18"/>
      <c r="GO1530" s="18"/>
      <c r="GP1530" s="18"/>
      <c r="GQ1530" s="18"/>
      <c r="GR1530" s="18"/>
      <c r="GS1530" s="18"/>
      <c r="GT1530" s="18"/>
      <c r="GU1530" s="18"/>
      <c r="GV1530" s="18"/>
      <c r="GW1530" s="18"/>
      <c r="GX1530" s="18"/>
      <c r="GY1530" s="18"/>
      <c r="GZ1530" s="18"/>
      <c r="HA1530" s="18"/>
      <c r="HB1530" s="18"/>
      <c r="HC1530" s="18"/>
      <c r="HD1530" s="18"/>
      <c r="HE1530" s="18"/>
      <c r="HF1530" s="18"/>
      <c r="HG1530" s="18"/>
      <c r="HH1530" s="18"/>
      <c r="HI1530" s="18"/>
      <c r="HJ1530" s="18"/>
      <c r="HK1530" s="18"/>
      <c r="HL1530" s="18"/>
      <c r="HM1530" s="18"/>
      <c r="HN1530" s="18"/>
      <c r="HO1530" s="18"/>
      <c r="HP1530" s="18"/>
      <c r="HQ1530" s="18"/>
      <c r="HR1530" s="18"/>
      <c r="HS1530" s="18"/>
      <c r="HT1530" s="18"/>
      <c r="HU1530" s="18"/>
      <c r="HV1530" s="18"/>
      <c r="HW1530" s="18"/>
      <c r="HX1530" s="18"/>
      <c r="HY1530" s="18"/>
      <c r="HZ1530" s="18"/>
      <c r="IA1530" s="18"/>
      <c r="IB1530" s="18"/>
      <c r="IC1530" s="18"/>
      <c r="ID1530" s="18"/>
      <c r="IE1530" s="18"/>
      <c r="IF1530" s="18"/>
      <c r="IG1530" s="18"/>
      <c r="IH1530" s="18"/>
      <c r="II1530" s="18"/>
      <c r="IJ1530" s="18"/>
      <c r="IK1530" s="18"/>
      <c r="IL1530" s="18"/>
      <c r="IM1530" s="18"/>
      <c r="IN1530" s="18"/>
      <c r="IO1530" s="18"/>
      <c r="IP1530" s="18"/>
      <c r="IQ1530" s="18"/>
      <c r="IR1530" s="18"/>
      <c r="IS1530" s="18"/>
      <c r="IT1530" s="18"/>
      <c r="IU1530" s="18"/>
      <c r="IV1530" s="18"/>
      <c r="IW1530" s="18"/>
      <c r="IX1530" s="18"/>
      <c r="IY1530" s="18"/>
      <c r="IZ1530" s="18"/>
      <c r="JA1530" s="18"/>
      <c r="JB1530" s="18"/>
      <c r="JC1530" s="18"/>
      <c r="JD1530" s="18"/>
      <c r="JE1530" s="18"/>
      <c r="JF1530" s="18"/>
      <c r="JG1530" s="18"/>
      <c r="JH1530" s="18"/>
      <c r="JI1530" s="18"/>
      <c r="JJ1530" s="18"/>
      <c r="JK1530" s="18"/>
      <c r="JL1530" s="18"/>
      <c r="JM1530" s="18"/>
      <c r="JN1530" s="18"/>
      <c r="JO1530" s="16"/>
      <c r="JP1530" s="16"/>
      <c r="JQ1530" s="16"/>
      <c r="JR1530" s="38"/>
      <c r="JS1530" s="38"/>
      <c r="JT1530" s="38"/>
      <c r="JU1530" s="38"/>
      <c r="JV1530" s="38"/>
      <c r="JW1530" s="38"/>
      <c r="JX1530" s="38"/>
      <c r="JY1530" s="38"/>
      <c r="JZ1530" s="38"/>
      <c r="KA1530" s="38"/>
      <c r="KB1530" s="38"/>
    </row>
    <row r="1531" spans="1:288" s="30" customFormat="1" x14ac:dyDescent="0.2">
      <c r="A1531" s="18"/>
      <c r="B1531" s="16">
        <v>2016</v>
      </c>
      <c r="C1531" s="20">
        <v>42553</v>
      </c>
      <c r="D1531" s="20" t="str">
        <f>CONCATENATE(J1531,"-",C1531)</f>
        <v>938-42553</v>
      </c>
      <c r="E1531" s="20" t="str">
        <f>CONCATENATE(T1531,"-",U1531,"-",C1531)</f>
        <v>SP1-D8-42553</v>
      </c>
      <c r="F1531" s="20" t="s">
        <v>106</v>
      </c>
      <c r="G1531" s="90" t="s">
        <v>278</v>
      </c>
      <c r="H1531" s="16"/>
      <c r="I1531" s="16"/>
      <c r="J1531" s="21">
        <v>938</v>
      </c>
      <c r="K1531" s="21"/>
      <c r="L1531" s="16"/>
      <c r="M1531" s="21"/>
      <c r="N1531" s="21"/>
      <c r="O1531" s="21"/>
      <c r="P1531" s="16"/>
      <c r="Q1531" s="16"/>
      <c r="R1531" s="16"/>
      <c r="S1531" s="16"/>
      <c r="T1531" s="16" t="s">
        <v>140</v>
      </c>
      <c r="U1531" s="16" t="s">
        <v>178</v>
      </c>
      <c r="V1531" s="16"/>
      <c r="W1531" s="16"/>
      <c r="X1531" s="16"/>
      <c r="Y1531" s="16"/>
      <c r="Z1531" s="16"/>
      <c r="AA1531" s="16"/>
      <c r="AB1531" s="16"/>
      <c r="AC1531" s="16"/>
      <c r="AD1531" s="16"/>
      <c r="AE1531" s="16"/>
      <c r="AF1531" s="16"/>
      <c r="AG1531" s="16"/>
      <c r="AH1531" s="16"/>
      <c r="AI1531" s="16"/>
      <c r="AJ1531" s="16"/>
      <c r="AK1531" s="16">
        <v>14.5</v>
      </c>
      <c r="AL1531" s="16"/>
      <c r="AM1531" s="16"/>
      <c r="AN1531" s="16"/>
      <c r="AO1531" s="16"/>
      <c r="AP1531" s="16"/>
      <c r="AQ1531" s="16"/>
      <c r="AR1531" s="16"/>
      <c r="AS1531" s="16"/>
      <c r="AT1531" s="16"/>
      <c r="AU1531" s="16"/>
      <c r="AV1531" s="16"/>
      <c r="AW1531" s="16"/>
      <c r="AX1531" s="16"/>
      <c r="AY1531" s="16"/>
      <c r="AZ1531" s="16"/>
      <c r="BA1531" s="16"/>
      <c r="BB1531" s="16"/>
      <c r="BC1531" s="16"/>
      <c r="BD1531" s="16"/>
      <c r="BE1531" s="16"/>
      <c r="BF1531" s="16"/>
      <c r="BG1531" s="77"/>
      <c r="BH1531" s="16"/>
      <c r="BI1531" s="16"/>
      <c r="BJ1531" s="16"/>
      <c r="BK1531" s="16"/>
      <c r="BL1531" s="16"/>
      <c r="BM1531" s="16"/>
      <c r="BN1531" s="16"/>
      <c r="BO1531" s="16"/>
      <c r="BP1531" s="16"/>
      <c r="BQ1531" s="16"/>
      <c r="BR1531" s="16"/>
      <c r="BS1531" s="16"/>
      <c r="BT1531" s="77"/>
      <c r="BU1531" s="16"/>
      <c r="BV1531" s="16"/>
      <c r="BW1531" s="16"/>
      <c r="BX1531" s="16"/>
      <c r="BY1531" s="16"/>
      <c r="BZ1531" s="16"/>
      <c r="CA1531" s="16"/>
      <c r="CB1531" s="16"/>
      <c r="CC1531" s="16"/>
      <c r="CD1531" s="77"/>
      <c r="CE1531" s="16"/>
      <c r="CF1531" s="16"/>
      <c r="CG1531" s="16"/>
      <c r="CH1531" s="16"/>
      <c r="CI1531" s="16"/>
      <c r="CJ1531" s="16"/>
      <c r="CK1531" s="16"/>
      <c r="CL1531" s="16"/>
      <c r="CM1531" s="16"/>
      <c r="CN1531" s="16"/>
      <c r="CO1531" s="16"/>
      <c r="CP1531" s="16"/>
      <c r="CQ1531" s="16"/>
      <c r="CR1531" s="16"/>
      <c r="CS1531" s="16"/>
      <c r="CT1531" s="16"/>
      <c r="CU1531" s="16"/>
      <c r="CV1531" s="16"/>
      <c r="CW1531" s="16"/>
      <c r="CX1531" s="16"/>
      <c r="CY1531" s="16"/>
      <c r="CZ1531" s="16"/>
      <c r="DA1531" s="16"/>
      <c r="DB1531" s="16"/>
      <c r="DC1531" s="16"/>
      <c r="DD1531" s="16"/>
      <c r="DE1531" s="16"/>
      <c r="DF1531" s="16" t="e">
        <f>VLOOKUP(K1531,'[3]RNA Seq summary tables'!$V$3:$V$99,1,FALSE)</f>
        <v>#N/A</v>
      </c>
      <c r="DG1531" s="16"/>
      <c r="DH1531" s="16"/>
      <c r="DI1531" s="16"/>
      <c r="DJ1531" s="16"/>
      <c r="DK1531" s="16"/>
      <c r="DL1531" s="16"/>
      <c r="DM1531" s="16"/>
      <c r="DN1531" s="16"/>
      <c r="DO1531" s="16"/>
      <c r="DP1531" s="16"/>
      <c r="DQ1531" s="16"/>
      <c r="DR1531" s="16"/>
      <c r="DS1531" s="16"/>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18"/>
      <c r="EQ1531" s="18"/>
      <c r="ER1531" s="18"/>
      <c r="ES1531" s="18"/>
      <c r="ET1531" s="18"/>
      <c r="EU1531" s="18"/>
      <c r="EV1531" s="18"/>
      <c r="EW1531" s="18"/>
      <c r="EX1531" s="18"/>
      <c r="EY1531" s="18"/>
      <c r="EZ1531" s="18"/>
      <c r="FA1531" s="18"/>
      <c r="FB1531" s="18"/>
      <c r="FC1531" s="18"/>
      <c r="FD1531" s="18"/>
      <c r="FE1531" s="18"/>
      <c r="FF1531" s="18"/>
      <c r="FG1531" s="18"/>
      <c r="FH1531" s="18"/>
      <c r="FI1531" s="18"/>
      <c r="FJ1531" s="18"/>
      <c r="FK1531" s="18"/>
      <c r="FL1531" s="18"/>
      <c r="FM1531" s="18"/>
      <c r="FN1531" s="18"/>
      <c r="FO1531" s="18"/>
      <c r="FP1531" s="18"/>
      <c r="FQ1531" s="18"/>
      <c r="FR1531" s="18"/>
      <c r="FS1531" s="18"/>
      <c r="FT1531" s="18"/>
      <c r="FU1531" s="18"/>
      <c r="FV1531" s="18"/>
      <c r="FW1531" s="18"/>
      <c r="FX1531" s="18"/>
      <c r="FY1531" s="18"/>
      <c r="FZ1531" s="18"/>
      <c r="GA1531" s="18"/>
      <c r="GB1531" s="18"/>
      <c r="GC1531" s="18"/>
      <c r="GD1531" s="18"/>
      <c r="GE1531" s="18"/>
      <c r="GF1531" s="18"/>
      <c r="GG1531" s="18"/>
      <c r="GH1531" s="18"/>
      <c r="GI1531" s="18"/>
      <c r="GJ1531" s="18"/>
      <c r="GK1531" s="18"/>
      <c r="GL1531" s="18"/>
      <c r="GM1531" s="18"/>
      <c r="GN1531" s="18"/>
      <c r="GO1531" s="18"/>
      <c r="GP1531" s="18"/>
      <c r="GQ1531" s="18"/>
      <c r="GR1531" s="18"/>
      <c r="GS1531" s="18"/>
      <c r="GT1531" s="18"/>
      <c r="GU1531" s="18"/>
      <c r="GV1531" s="18"/>
      <c r="GW1531" s="18"/>
      <c r="GX1531" s="18"/>
      <c r="GY1531" s="18"/>
      <c r="GZ1531" s="18"/>
      <c r="HA1531" s="18"/>
      <c r="HB1531" s="18"/>
      <c r="HC1531" s="18"/>
      <c r="HD1531" s="18"/>
      <c r="HE1531" s="18"/>
      <c r="HF1531" s="18"/>
      <c r="HG1531" s="18"/>
      <c r="HH1531" s="18"/>
      <c r="HI1531" s="18"/>
      <c r="HJ1531" s="18"/>
      <c r="HK1531" s="18"/>
      <c r="HL1531" s="18"/>
      <c r="HM1531" s="18"/>
      <c r="HN1531" s="18"/>
      <c r="HO1531" s="18"/>
      <c r="HP1531" s="18"/>
      <c r="HQ1531" s="18"/>
      <c r="HR1531" s="18"/>
      <c r="HS1531" s="18"/>
      <c r="HT1531" s="18"/>
      <c r="HU1531" s="18"/>
      <c r="HV1531" s="18"/>
      <c r="HW1531" s="18"/>
      <c r="HX1531" s="18"/>
      <c r="HY1531" s="18"/>
      <c r="HZ1531" s="18"/>
      <c r="IA1531" s="18"/>
      <c r="IB1531" s="18"/>
      <c r="IC1531" s="18"/>
      <c r="ID1531" s="18"/>
      <c r="IE1531" s="18"/>
      <c r="IF1531" s="18"/>
      <c r="IG1531" s="18"/>
      <c r="IH1531" s="18"/>
      <c r="II1531" s="18"/>
      <c r="IJ1531" s="18"/>
      <c r="IK1531" s="18"/>
      <c r="IL1531" s="18"/>
      <c r="IM1531" s="18"/>
      <c r="IN1531" s="18"/>
      <c r="IO1531" s="18"/>
      <c r="IP1531" s="18"/>
      <c r="IQ1531" s="18"/>
      <c r="IR1531" s="18"/>
      <c r="IS1531" s="18"/>
      <c r="IT1531" s="18"/>
      <c r="IU1531" s="18"/>
      <c r="IV1531" s="18"/>
      <c r="IW1531" s="18"/>
      <c r="IX1531" s="18"/>
      <c r="IY1531" s="18"/>
      <c r="IZ1531" s="18"/>
      <c r="JA1531" s="18"/>
      <c r="JB1531" s="18"/>
      <c r="JC1531" s="18"/>
      <c r="JD1531" s="18"/>
      <c r="JE1531" s="18"/>
      <c r="JF1531" s="18"/>
      <c r="JG1531" s="18"/>
      <c r="JH1531" s="18"/>
      <c r="JI1531" s="18"/>
      <c r="JJ1531" s="18"/>
      <c r="JK1531" s="18"/>
      <c r="JL1531" s="18"/>
      <c r="JM1531" s="18"/>
      <c r="JN1531" s="18"/>
      <c r="JO1531" s="16"/>
      <c r="JP1531" s="16"/>
      <c r="JQ1531" s="16"/>
      <c r="JR1531" s="16"/>
      <c r="JS1531" s="16"/>
      <c r="JT1531" s="16"/>
      <c r="JU1531" s="16"/>
      <c r="JV1531" s="16"/>
      <c r="JW1531" s="16"/>
      <c r="JX1531" s="16"/>
      <c r="JY1531" s="16"/>
      <c r="JZ1531" s="16"/>
      <c r="KA1531" s="16"/>
      <c r="KB1531" s="16"/>
    </row>
    <row r="1532" spans="1:288" s="27" customFormat="1" x14ac:dyDescent="0.2">
      <c r="A1532" s="18"/>
      <c r="B1532" s="16">
        <v>2016</v>
      </c>
      <c r="C1532" s="20">
        <v>42521</v>
      </c>
      <c r="D1532" s="20" t="str">
        <f>CONCATENATE(J1532,"-",C1532)</f>
        <v>940-42521</v>
      </c>
      <c r="E1532" s="20" t="str">
        <f>CONCATENATE(T1532,"-",U1532,"-",C1532)</f>
        <v>HW2-G7-42521</v>
      </c>
      <c r="F1532" s="20" t="s">
        <v>106</v>
      </c>
      <c r="G1532" s="90" t="s">
        <v>278</v>
      </c>
      <c r="H1532" s="16"/>
      <c r="I1532" s="16"/>
      <c r="J1532" s="21">
        <v>940</v>
      </c>
      <c r="K1532" s="21"/>
      <c r="L1532" s="16"/>
      <c r="M1532" s="21"/>
      <c r="N1532" s="21"/>
      <c r="O1532" s="21"/>
      <c r="P1532" s="16"/>
      <c r="Q1532" s="16"/>
      <c r="R1532" s="16"/>
      <c r="S1532" s="16"/>
      <c r="T1532" s="16" t="s">
        <v>129</v>
      </c>
      <c r="U1532" s="16" t="s">
        <v>156</v>
      </c>
      <c r="V1532" s="16" t="s">
        <v>114</v>
      </c>
      <c r="W1532" s="16"/>
      <c r="X1532" s="16" t="s">
        <v>121</v>
      </c>
      <c r="Y1532" s="16" t="s">
        <v>110</v>
      </c>
      <c r="Z1532" s="16">
        <v>3</v>
      </c>
      <c r="AA1532" s="16" t="s">
        <v>119</v>
      </c>
      <c r="AB1532" s="16" t="s">
        <v>123</v>
      </c>
      <c r="AC1532" s="16" t="s">
        <v>123</v>
      </c>
      <c r="AD1532" s="16" t="s">
        <v>123</v>
      </c>
      <c r="AE1532" s="16"/>
      <c r="AF1532" s="16"/>
      <c r="AG1532" s="16"/>
      <c r="AH1532" s="16"/>
      <c r="AI1532" s="16"/>
      <c r="AJ1532" s="16"/>
      <c r="AK1532" s="16">
        <v>14.5</v>
      </c>
      <c r="AL1532" s="16">
        <v>0</v>
      </c>
      <c r="AM1532" s="16">
        <v>0</v>
      </c>
      <c r="AN1532" s="16">
        <v>0</v>
      </c>
      <c r="AO1532" s="16">
        <f>IF(SUM(AL1532:AN1532)&gt;0,1,0)</f>
        <v>0</v>
      </c>
      <c r="AP1532" s="16">
        <f>SUM(AL1532:AN1532)</f>
        <v>0</v>
      </c>
      <c r="AQ1532" s="16"/>
      <c r="AR1532" s="16"/>
      <c r="AS1532" s="16"/>
      <c r="AT1532" s="16"/>
      <c r="AU1532" s="16"/>
      <c r="AV1532" s="16"/>
      <c r="AW1532" s="16"/>
      <c r="AX1532" s="16"/>
      <c r="AY1532" s="16"/>
      <c r="AZ1532" s="16"/>
      <c r="BA1532" s="16"/>
      <c r="BB1532" s="16"/>
      <c r="BC1532" s="16"/>
      <c r="BD1532" s="16"/>
      <c r="BE1532" s="16"/>
      <c r="BF1532" s="16"/>
      <c r="BG1532" s="77"/>
      <c r="BH1532" s="16"/>
      <c r="BI1532" s="16"/>
      <c r="BJ1532" s="16"/>
      <c r="BK1532" s="16"/>
      <c r="BL1532" s="16"/>
      <c r="BM1532" s="16"/>
      <c r="BN1532" s="16"/>
      <c r="BO1532" s="16"/>
      <c r="BP1532" s="16"/>
      <c r="BQ1532" s="16"/>
      <c r="BR1532" s="16"/>
      <c r="BS1532" s="16"/>
      <c r="BT1532" s="77"/>
      <c r="BU1532" s="16"/>
      <c r="BV1532" s="16"/>
      <c r="BW1532" s="16"/>
      <c r="BX1532" s="16"/>
      <c r="BY1532" s="16"/>
      <c r="BZ1532" s="16"/>
      <c r="CA1532" s="16"/>
      <c r="CB1532" s="16"/>
      <c r="CC1532" s="16"/>
      <c r="CD1532" s="77"/>
      <c r="CE1532" s="16"/>
      <c r="CF1532" s="16"/>
      <c r="CG1532" s="16"/>
      <c r="CH1532" s="16"/>
      <c r="CI1532" s="16"/>
      <c r="CJ1532" s="16"/>
      <c r="CK1532" s="16"/>
      <c r="CL1532" s="16"/>
      <c r="CM1532" s="16"/>
      <c r="CN1532" s="16"/>
      <c r="CO1532" s="16"/>
      <c r="CP1532" s="16"/>
      <c r="CQ1532" s="16"/>
      <c r="CR1532" s="16"/>
      <c r="CS1532" s="16"/>
      <c r="CT1532" s="16"/>
      <c r="CU1532" s="16"/>
      <c r="CV1532" s="16"/>
      <c r="CW1532" s="16"/>
      <c r="CX1532" s="16"/>
      <c r="CY1532" s="16"/>
      <c r="CZ1532" s="16"/>
      <c r="DA1532" s="16"/>
      <c r="DB1532" s="16"/>
      <c r="DC1532" s="16"/>
      <c r="DD1532" s="16"/>
      <c r="DE1532" s="16"/>
      <c r="DF1532" s="16" t="e">
        <f>VLOOKUP(K1532,'[3]RNA Seq summary tables'!$V$3:$V$99,1,FALSE)</f>
        <v>#N/A</v>
      </c>
      <c r="DG1532" s="16"/>
      <c r="DH1532" s="16"/>
      <c r="DI1532" s="16"/>
      <c r="DJ1532" s="16"/>
      <c r="DK1532" s="16"/>
      <c r="DL1532" s="16"/>
      <c r="DM1532" s="16"/>
      <c r="DN1532" s="16"/>
      <c r="DO1532" s="16"/>
      <c r="DP1532" s="16"/>
      <c r="DQ1532" s="16"/>
      <c r="DR1532" s="16"/>
      <c r="DS1532" s="16"/>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18"/>
      <c r="EQ1532" s="18"/>
      <c r="ER1532" s="18"/>
      <c r="ES1532" s="18"/>
      <c r="ET1532" s="18"/>
      <c r="EU1532" s="18"/>
      <c r="EV1532" s="18"/>
      <c r="EW1532" s="18"/>
      <c r="EX1532" s="18"/>
      <c r="EY1532" s="18"/>
      <c r="EZ1532" s="18"/>
      <c r="FA1532" s="18"/>
      <c r="FB1532" s="18"/>
      <c r="FC1532" s="18"/>
      <c r="FD1532" s="18"/>
      <c r="FE1532" s="18"/>
      <c r="FF1532" s="18"/>
      <c r="FG1532" s="18"/>
      <c r="FH1532" s="18"/>
      <c r="FI1532" s="18"/>
      <c r="FJ1532" s="18"/>
      <c r="FK1532" s="18"/>
      <c r="FL1532" s="18"/>
      <c r="FM1532" s="18"/>
      <c r="FN1532" s="18"/>
      <c r="FO1532" s="18"/>
      <c r="FP1532" s="18"/>
      <c r="FQ1532" s="18"/>
      <c r="FR1532" s="18"/>
      <c r="FS1532" s="18"/>
      <c r="FT1532" s="18"/>
      <c r="FU1532" s="18"/>
      <c r="FV1532" s="18"/>
      <c r="FW1532" s="18"/>
      <c r="FX1532" s="18"/>
      <c r="FY1532" s="18"/>
      <c r="FZ1532" s="18"/>
      <c r="GA1532" s="18"/>
      <c r="GB1532" s="18"/>
      <c r="GC1532" s="18"/>
      <c r="GD1532" s="18"/>
      <c r="GE1532" s="18"/>
      <c r="GF1532" s="18"/>
      <c r="GG1532" s="18"/>
      <c r="GH1532" s="18"/>
      <c r="GI1532" s="18"/>
      <c r="GJ1532" s="18"/>
      <c r="GK1532" s="18"/>
      <c r="GL1532" s="18"/>
      <c r="GM1532" s="18"/>
      <c r="GN1532" s="18"/>
      <c r="GO1532" s="18"/>
      <c r="GP1532" s="18"/>
      <c r="GQ1532" s="18"/>
      <c r="GR1532" s="18"/>
      <c r="GS1532" s="18"/>
      <c r="GT1532" s="18"/>
      <c r="GU1532" s="18"/>
      <c r="GV1532" s="18"/>
      <c r="GW1532" s="18"/>
      <c r="GX1532" s="18"/>
      <c r="GY1532" s="18"/>
      <c r="GZ1532" s="18"/>
      <c r="HA1532" s="18"/>
      <c r="HB1532" s="18"/>
      <c r="HC1532" s="18"/>
      <c r="HD1532" s="18"/>
      <c r="HE1532" s="18"/>
      <c r="HF1532" s="18"/>
      <c r="HG1532" s="18"/>
      <c r="HH1532" s="18"/>
      <c r="HI1532" s="18"/>
      <c r="HJ1532" s="18"/>
      <c r="HK1532" s="18"/>
      <c r="HL1532" s="18"/>
      <c r="HM1532" s="18"/>
      <c r="HN1532" s="18"/>
      <c r="HO1532" s="18"/>
      <c r="HP1532" s="18"/>
      <c r="HQ1532" s="18"/>
      <c r="HR1532" s="18"/>
      <c r="HS1532" s="18"/>
      <c r="HT1532" s="18"/>
      <c r="HU1532" s="18"/>
      <c r="HV1532" s="18"/>
      <c r="HW1532" s="18"/>
      <c r="HX1532" s="18"/>
      <c r="HY1532" s="18"/>
      <c r="HZ1532" s="18"/>
      <c r="IA1532" s="18"/>
      <c r="IB1532" s="18"/>
      <c r="IC1532" s="18"/>
      <c r="ID1532" s="18"/>
      <c r="IE1532" s="18"/>
      <c r="IF1532" s="18"/>
      <c r="IG1532" s="18"/>
      <c r="IH1532" s="18"/>
      <c r="II1532" s="18"/>
      <c r="IJ1532" s="18"/>
      <c r="IK1532" s="18"/>
      <c r="IL1532" s="18"/>
      <c r="IM1532" s="18"/>
      <c r="IN1532" s="18"/>
      <c r="IO1532" s="18"/>
      <c r="IP1532" s="18"/>
      <c r="IQ1532" s="18"/>
      <c r="IR1532" s="18"/>
      <c r="IS1532" s="18"/>
      <c r="IT1532" s="18"/>
      <c r="IU1532" s="18"/>
      <c r="IV1532" s="18"/>
      <c r="IW1532" s="18"/>
      <c r="IX1532" s="18"/>
      <c r="IY1532" s="18"/>
      <c r="IZ1532" s="18"/>
      <c r="JA1532" s="18"/>
      <c r="JB1532" s="18"/>
      <c r="JC1532" s="18"/>
      <c r="JD1532" s="18"/>
      <c r="JE1532" s="18"/>
      <c r="JF1532" s="18"/>
      <c r="JG1532" s="18"/>
      <c r="JH1532" s="18"/>
      <c r="JI1532" s="18"/>
      <c r="JJ1532" s="18"/>
      <c r="JK1532" s="18"/>
      <c r="JL1532" s="18"/>
      <c r="JM1532" s="18"/>
      <c r="JN1532" s="18"/>
      <c r="JO1532" s="16"/>
      <c r="JP1532" s="16"/>
      <c r="JQ1532" s="16"/>
      <c r="JR1532" s="16"/>
      <c r="JS1532" s="16"/>
      <c r="JT1532" s="16"/>
      <c r="JU1532" s="16"/>
      <c r="JV1532" s="16"/>
      <c r="JW1532" s="16"/>
      <c r="JX1532" s="16"/>
      <c r="JY1532" s="16"/>
      <c r="JZ1532" s="16"/>
      <c r="KA1532" s="16"/>
      <c r="KB1532" s="16"/>
    </row>
    <row r="1533" spans="1:288" s="27" customFormat="1" x14ac:dyDescent="0.2">
      <c r="A1533" s="18"/>
      <c r="B1533" s="16">
        <v>2016</v>
      </c>
      <c r="C1533" s="20">
        <v>42522</v>
      </c>
      <c r="D1533" s="20" t="str">
        <f>CONCATENATE(J1533,"-",C1533)</f>
        <v>940-42522</v>
      </c>
      <c r="E1533" s="20" t="str">
        <f>CONCATENATE(T1533,"-",U1533,"-",C1533)</f>
        <v>HW2-E8-42522</v>
      </c>
      <c r="F1533" s="20" t="s">
        <v>106</v>
      </c>
      <c r="G1533" s="90" t="s">
        <v>278</v>
      </c>
      <c r="H1533" s="16"/>
      <c r="I1533" s="16"/>
      <c r="J1533" s="21">
        <v>940</v>
      </c>
      <c r="K1533" s="21"/>
      <c r="L1533" s="16"/>
      <c r="M1533" s="21"/>
      <c r="N1533" s="21"/>
      <c r="O1533" s="21"/>
      <c r="P1533" s="16"/>
      <c r="Q1533" s="16"/>
      <c r="R1533" s="16"/>
      <c r="S1533" s="16"/>
      <c r="T1533" s="16" t="s">
        <v>129</v>
      </c>
      <c r="U1533" s="16" t="s">
        <v>181</v>
      </c>
      <c r="V1533" s="16" t="s">
        <v>114</v>
      </c>
      <c r="W1533" s="16"/>
      <c r="X1533" s="16" t="s">
        <v>121</v>
      </c>
      <c r="Y1533" s="16" t="s">
        <v>110</v>
      </c>
      <c r="Z1533" s="16">
        <v>3</v>
      </c>
      <c r="AA1533" s="16" t="s">
        <v>119</v>
      </c>
      <c r="AB1533" s="16" t="s">
        <v>123</v>
      </c>
      <c r="AC1533" s="16" t="s">
        <v>123</v>
      </c>
      <c r="AD1533" s="16" t="s">
        <v>123</v>
      </c>
      <c r="AE1533" s="16"/>
      <c r="AF1533" s="16"/>
      <c r="AG1533" s="16"/>
      <c r="AH1533" s="16"/>
      <c r="AI1533" s="16"/>
      <c r="AJ1533" s="16"/>
      <c r="AK1533" s="16">
        <v>18</v>
      </c>
      <c r="AL1533" s="16">
        <v>0</v>
      </c>
      <c r="AM1533" s="16">
        <v>0</v>
      </c>
      <c r="AN1533" s="16">
        <v>0</v>
      </c>
      <c r="AO1533" s="16">
        <f>IF(SUM(AL1533:AN1533)&gt;0,1,0)</f>
        <v>0</v>
      </c>
      <c r="AP1533" s="16">
        <f>SUM(AL1533:AN1533)</f>
        <v>0</v>
      </c>
      <c r="AQ1533" s="16"/>
      <c r="AR1533" s="16"/>
      <c r="AS1533" s="16"/>
      <c r="AT1533" s="16"/>
      <c r="AU1533" s="16"/>
      <c r="AV1533" s="16"/>
      <c r="AW1533" s="16"/>
      <c r="AX1533" s="16"/>
      <c r="AY1533" s="16"/>
      <c r="AZ1533" s="16"/>
      <c r="BA1533" s="16"/>
      <c r="BB1533" s="16"/>
      <c r="BC1533" s="16"/>
      <c r="BD1533" s="16"/>
      <c r="BE1533" s="16"/>
      <c r="BF1533" s="16"/>
      <c r="BG1533" s="77"/>
      <c r="BH1533" s="16"/>
      <c r="BI1533" s="16"/>
      <c r="BJ1533" s="16"/>
      <c r="BK1533" s="16"/>
      <c r="BL1533" s="16"/>
      <c r="BM1533" s="16"/>
      <c r="BN1533" s="16"/>
      <c r="BO1533" s="16"/>
      <c r="BP1533" s="16"/>
      <c r="BQ1533" s="16"/>
      <c r="BR1533" s="16"/>
      <c r="BS1533" s="16"/>
      <c r="BT1533" s="77"/>
      <c r="BU1533" s="16"/>
      <c r="BV1533" s="16"/>
      <c r="BW1533" s="16"/>
      <c r="BX1533" s="16"/>
      <c r="BY1533" s="16"/>
      <c r="BZ1533" s="16"/>
      <c r="CA1533" s="16"/>
      <c r="CB1533" s="16"/>
      <c r="CC1533" s="16"/>
      <c r="CD1533" s="77"/>
      <c r="CE1533" s="16"/>
      <c r="CF1533" s="16"/>
      <c r="CG1533" s="16"/>
      <c r="CH1533" s="16"/>
      <c r="CI1533" s="16"/>
      <c r="CJ1533" s="16"/>
      <c r="CK1533" s="16"/>
      <c r="CL1533" s="16"/>
      <c r="CM1533" s="16"/>
      <c r="CN1533" s="16"/>
      <c r="CO1533" s="16"/>
      <c r="CP1533" s="16"/>
      <c r="CQ1533" s="16"/>
      <c r="CR1533" s="16"/>
      <c r="CS1533" s="16"/>
      <c r="CT1533" s="16"/>
      <c r="CU1533" s="16"/>
      <c r="CV1533" s="16"/>
      <c r="CW1533" s="16"/>
      <c r="CX1533" s="16"/>
      <c r="CY1533" s="16"/>
      <c r="CZ1533" s="16"/>
      <c r="DA1533" s="16"/>
      <c r="DB1533" s="16"/>
      <c r="DC1533" s="16"/>
      <c r="DD1533" s="16"/>
      <c r="DE1533" s="16"/>
      <c r="DF1533" s="16" t="e">
        <f>VLOOKUP(K1533,'[3]RNA Seq summary tables'!$V$3:$V$99,1,FALSE)</f>
        <v>#N/A</v>
      </c>
      <c r="DG1533" s="16"/>
      <c r="DH1533" s="16"/>
      <c r="DI1533" s="16"/>
      <c r="DJ1533" s="16"/>
      <c r="DK1533" s="16"/>
      <c r="DL1533" s="16"/>
      <c r="DM1533" s="16"/>
      <c r="DN1533" s="16"/>
      <c r="DO1533" s="16"/>
      <c r="DP1533" s="16"/>
      <c r="DQ1533" s="16"/>
      <c r="DR1533" s="16"/>
      <c r="DS1533" s="16"/>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18"/>
      <c r="EQ1533" s="18"/>
      <c r="ER1533" s="18"/>
      <c r="ES1533" s="18"/>
      <c r="ET1533" s="18"/>
      <c r="EU1533" s="18"/>
      <c r="EV1533" s="18"/>
      <c r="EW1533" s="18"/>
      <c r="EX1533" s="18"/>
      <c r="EY1533" s="18"/>
      <c r="EZ1533" s="18"/>
      <c r="FA1533" s="18"/>
      <c r="FB1533" s="18"/>
      <c r="FC1533" s="18"/>
      <c r="FD1533" s="18"/>
      <c r="FE1533" s="18"/>
      <c r="FF1533" s="18"/>
      <c r="FG1533" s="18"/>
      <c r="FH1533" s="18"/>
      <c r="FI1533" s="18"/>
      <c r="FJ1533" s="18"/>
      <c r="FK1533" s="18"/>
      <c r="FL1533" s="18"/>
      <c r="FM1533" s="18"/>
      <c r="FN1533" s="18"/>
      <c r="FO1533" s="18"/>
      <c r="FP1533" s="18"/>
      <c r="FQ1533" s="18"/>
      <c r="FR1533" s="18"/>
      <c r="FS1533" s="18"/>
      <c r="FT1533" s="18"/>
      <c r="FU1533" s="18"/>
      <c r="FV1533" s="18"/>
      <c r="FW1533" s="18"/>
      <c r="FX1533" s="18"/>
      <c r="FY1533" s="18"/>
      <c r="FZ1533" s="18"/>
      <c r="GA1533" s="18"/>
      <c r="GB1533" s="18"/>
      <c r="GC1533" s="18"/>
      <c r="GD1533" s="18"/>
      <c r="GE1533" s="18"/>
      <c r="GF1533" s="18"/>
      <c r="GG1533" s="18"/>
      <c r="GH1533" s="18"/>
      <c r="GI1533" s="18"/>
      <c r="GJ1533" s="18"/>
      <c r="GK1533" s="18"/>
      <c r="GL1533" s="18"/>
      <c r="GM1533" s="18"/>
      <c r="GN1533" s="18"/>
      <c r="GO1533" s="18"/>
      <c r="GP1533" s="18"/>
      <c r="GQ1533" s="18"/>
      <c r="GR1533" s="18"/>
      <c r="GS1533" s="18"/>
      <c r="GT1533" s="18"/>
      <c r="GU1533" s="18"/>
      <c r="GV1533" s="18"/>
      <c r="GW1533" s="18"/>
      <c r="GX1533" s="18"/>
      <c r="GY1533" s="18"/>
      <c r="GZ1533" s="18"/>
      <c r="HA1533" s="18"/>
      <c r="HB1533" s="18"/>
      <c r="HC1533" s="18"/>
      <c r="HD1533" s="18"/>
      <c r="HE1533" s="18"/>
      <c r="HF1533" s="18"/>
      <c r="HG1533" s="18"/>
      <c r="HH1533" s="18"/>
      <c r="HI1533" s="18"/>
      <c r="HJ1533" s="18"/>
      <c r="HK1533" s="18"/>
      <c r="HL1533" s="18"/>
      <c r="HM1533" s="18"/>
      <c r="HN1533" s="18"/>
      <c r="HO1533" s="18"/>
      <c r="HP1533" s="18"/>
      <c r="HQ1533" s="18"/>
      <c r="HR1533" s="18"/>
      <c r="HS1533" s="18"/>
      <c r="HT1533" s="18"/>
      <c r="HU1533" s="18"/>
      <c r="HV1533" s="18"/>
      <c r="HW1533" s="18"/>
      <c r="HX1533" s="18"/>
      <c r="HY1533" s="18"/>
      <c r="HZ1533" s="18"/>
      <c r="IA1533" s="18"/>
      <c r="IB1533" s="18"/>
      <c r="IC1533" s="18"/>
      <c r="ID1533" s="18"/>
      <c r="IE1533" s="18"/>
      <c r="IF1533" s="18"/>
      <c r="IG1533" s="18"/>
      <c r="IH1533" s="18"/>
      <c r="II1533" s="18"/>
      <c r="IJ1533" s="18"/>
      <c r="IK1533" s="18"/>
      <c r="IL1533" s="18"/>
      <c r="IM1533" s="18"/>
      <c r="IN1533" s="18"/>
      <c r="IO1533" s="18"/>
      <c r="IP1533" s="18"/>
      <c r="IQ1533" s="18"/>
      <c r="IR1533" s="18"/>
      <c r="IS1533" s="18"/>
      <c r="IT1533" s="18"/>
      <c r="IU1533" s="18"/>
      <c r="IV1533" s="18"/>
      <c r="IW1533" s="18"/>
      <c r="IX1533" s="18"/>
      <c r="IY1533" s="18"/>
      <c r="IZ1533" s="18"/>
      <c r="JA1533" s="18"/>
      <c r="JB1533" s="18"/>
      <c r="JC1533" s="18"/>
      <c r="JD1533" s="18"/>
      <c r="JE1533" s="18"/>
      <c r="JF1533" s="18"/>
      <c r="JG1533" s="18"/>
      <c r="JH1533" s="18"/>
      <c r="JI1533" s="18"/>
      <c r="JJ1533" s="18"/>
      <c r="JK1533" s="18"/>
      <c r="JL1533" s="18"/>
      <c r="JM1533" s="18"/>
      <c r="JN1533" s="18"/>
      <c r="JO1533" s="16"/>
      <c r="JP1533" s="16"/>
      <c r="JQ1533" s="16"/>
      <c r="JR1533" s="16"/>
      <c r="JS1533" s="16"/>
      <c r="JT1533" s="16"/>
      <c r="JU1533" s="16"/>
      <c r="JV1533" s="16"/>
      <c r="JW1533" s="16"/>
      <c r="JX1533" s="16"/>
      <c r="JY1533" s="16"/>
      <c r="JZ1533" s="16"/>
      <c r="KA1533" s="16"/>
      <c r="KB1533" s="16"/>
    </row>
    <row r="1534" spans="1:288" s="27" customFormat="1" x14ac:dyDescent="0.2">
      <c r="A1534" s="18"/>
      <c r="B1534" s="16">
        <v>2016</v>
      </c>
      <c r="C1534" s="20">
        <v>42535</v>
      </c>
      <c r="D1534" s="20" t="str">
        <f>CONCATENATE(J1534,"-",C1534)</f>
        <v>940-42535</v>
      </c>
      <c r="E1534" s="20" t="str">
        <f>CONCATENATE(T1534,"-",U1534,"-",C1534)</f>
        <v>HW2-A8-42535</v>
      </c>
      <c r="F1534" s="20" t="s">
        <v>106</v>
      </c>
      <c r="G1534" s="90" t="s">
        <v>278</v>
      </c>
      <c r="H1534" s="16"/>
      <c r="I1534" s="16"/>
      <c r="J1534" s="21">
        <v>940</v>
      </c>
      <c r="K1534" s="21"/>
      <c r="L1534" s="16"/>
      <c r="M1534" s="21"/>
      <c r="N1534" s="21"/>
      <c r="O1534" s="21"/>
      <c r="P1534" s="16"/>
      <c r="Q1534" s="16"/>
      <c r="R1534" s="16"/>
      <c r="S1534" s="16"/>
      <c r="T1534" s="16" t="s">
        <v>129</v>
      </c>
      <c r="U1534" s="16" t="s">
        <v>194</v>
      </c>
      <c r="V1534" s="16" t="s">
        <v>114</v>
      </c>
      <c r="W1534" s="16"/>
      <c r="X1534" s="16" t="s">
        <v>121</v>
      </c>
      <c r="Y1534" s="16" t="s">
        <v>110</v>
      </c>
      <c r="Z1534" s="16">
        <v>3</v>
      </c>
      <c r="AA1534" s="16" t="s">
        <v>119</v>
      </c>
      <c r="AB1534" s="16" t="s">
        <v>123</v>
      </c>
      <c r="AC1534" s="16" t="s">
        <v>123</v>
      </c>
      <c r="AD1534" s="16" t="s">
        <v>123</v>
      </c>
      <c r="AE1534" s="16"/>
      <c r="AF1534" s="16"/>
      <c r="AG1534" s="16"/>
      <c r="AH1534" s="16"/>
      <c r="AI1534" s="16"/>
      <c r="AJ1534" s="16"/>
      <c r="AK1534" s="16">
        <v>18.5</v>
      </c>
      <c r="AL1534" s="16">
        <v>0</v>
      </c>
      <c r="AM1534" s="16">
        <v>0</v>
      </c>
      <c r="AN1534" s="16">
        <v>0</v>
      </c>
      <c r="AO1534" s="16">
        <f>IF(SUM(AL1534:AN1534)&gt;0,1,0)</f>
        <v>0</v>
      </c>
      <c r="AP1534" s="16">
        <f>SUM(AL1534:AN1534)</f>
        <v>0</v>
      </c>
      <c r="AQ1534" s="16"/>
      <c r="AR1534" s="16"/>
      <c r="AS1534" s="16"/>
      <c r="AT1534" s="16"/>
      <c r="AU1534" s="16"/>
      <c r="AV1534" s="16"/>
      <c r="AW1534" s="16"/>
      <c r="AX1534" s="16"/>
      <c r="AY1534" s="16"/>
      <c r="AZ1534" s="16"/>
      <c r="BA1534" s="16"/>
      <c r="BB1534" s="16"/>
      <c r="BC1534" s="16"/>
      <c r="BD1534" s="16"/>
      <c r="BE1534" s="16"/>
      <c r="BF1534" s="16"/>
      <c r="BG1534" s="77"/>
      <c r="BH1534" s="16"/>
      <c r="BI1534" s="16"/>
      <c r="BJ1534" s="16"/>
      <c r="BK1534" s="16"/>
      <c r="BL1534" s="16"/>
      <c r="BM1534" s="16"/>
      <c r="BN1534" s="16"/>
      <c r="BO1534" s="16"/>
      <c r="BP1534" s="16"/>
      <c r="BQ1534" s="16"/>
      <c r="BR1534" s="16"/>
      <c r="BS1534" s="16"/>
      <c r="BT1534" s="77"/>
      <c r="BU1534" s="16"/>
      <c r="BV1534" s="16"/>
      <c r="BW1534" s="16"/>
      <c r="BX1534" s="16"/>
      <c r="BY1534" s="16"/>
      <c r="BZ1534" s="16"/>
      <c r="CA1534" s="16"/>
      <c r="CB1534" s="16"/>
      <c r="CC1534" s="16"/>
      <c r="CD1534" s="77"/>
      <c r="CE1534" s="16"/>
      <c r="CF1534" s="16"/>
      <c r="CG1534" s="16"/>
      <c r="CH1534" s="16"/>
      <c r="CI1534" s="16"/>
      <c r="CJ1534" s="16"/>
      <c r="CK1534" s="16"/>
      <c r="CL1534" s="16"/>
      <c r="CM1534" s="16"/>
      <c r="CN1534" s="16"/>
      <c r="CO1534" s="16"/>
      <c r="CP1534" s="16"/>
      <c r="CQ1534" s="16"/>
      <c r="CR1534" s="16"/>
      <c r="CS1534" s="16"/>
      <c r="CT1534" s="16"/>
      <c r="CU1534" s="16"/>
      <c r="CV1534" s="16"/>
      <c r="CW1534" s="16"/>
      <c r="CX1534" s="16"/>
      <c r="CY1534" s="16"/>
      <c r="CZ1534" s="16"/>
      <c r="DA1534" s="16"/>
      <c r="DB1534" s="16"/>
      <c r="DC1534" s="16"/>
      <c r="DD1534" s="16"/>
      <c r="DE1534" s="16"/>
      <c r="DF1534" s="16" t="e">
        <f>VLOOKUP(K1534,'[3]RNA Seq summary tables'!$V$3:$V$99,1,FALSE)</f>
        <v>#N/A</v>
      </c>
      <c r="DG1534" s="16"/>
      <c r="DH1534" s="16"/>
      <c r="DI1534" s="16"/>
      <c r="DJ1534" s="16"/>
      <c r="DK1534" s="16"/>
      <c r="DL1534" s="16"/>
      <c r="DM1534" s="16"/>
      <c r="DN1534" s="16"/>
      <c r="DO1534" s="16"/>
      <c r="DP1534" s="16"/>
      <c r="DQ1534" s="16"/>
      <c r="DR1534" s="16"/>
      <c r="DS1534" s="16"/>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18"/>
      <c r="EQ1534" s="18"/>
      <c r="ER1534" s="18"/>
      <c r="ES1534" s="18"/>
      <c r="ET1534" s="18"/>
      <c r="EU1534" s="18"/>
      <c r="EV1534" s="18"/>
      <c r="EW1534" s="18"/>
      <c r="EX1534" s="18"/>
      <c r="EY1534" s="18"/>
      <c r="EZ1534" s="18"/>
      <c r="FA1534" s="18"/>
      <c r="FB1534" s="18"/>
      <c r="FC1534" s="18"/>
      <c r="FD1534" s="18"/>
      <c r="FE1534" s="18"/>
      <c r="FF1534" s="18"/>
      <c r="FG1534" s="18"/>
      <c r="FH1534" s="18"/>
      <c r="FI1534" s="18"/>
      <c r="FJ1534" s="18"/>
      <c r="FK1534" s="18"/>
      <c r="FL1534" s="18"/>
      <c r="FM1534" s="18"/>
      <c r="FN1534" s="18"/>
      <c r="FO1534" s="18"/>
      <c r="FP1534" s="18"/>
      <c r="FQ1534" s="18"/>
      <c r="FR1534" s="18"/>
      <c r="FS1534" s="18"/>
      <c r="FT1534" s="18"/>
      <c r="FU1534" s="18"/>
      <c r="FV1534" s="18"/>
      <c r="FW1534" s="18"/>
      <c r="FX1534" s="18"/>
      <c r="FY1534" s="18"/>
      <c r="FZ1534" s="18"/>
      <c r="GA1534" s="18"/>
      <c r="GB1534" s="18"/>
      <c r="GC1534" s="18"/>
      <c r="GD1534" s="18"/>
      <c r="GE1534" s="18"/>
      <c r="GF1534" s="18"/>
      <c r="GG1534" s="18"/>
      <c r="GH1534" s="18"/>
      <c r="GI1534" s="18"/>
      <c r="GJ1534" s="18"/>
      <c r="GK1534" s="18"/>
      <c r="GL1534" s="18"/>
      <c r="GM1534" s="18"/>
      <c r="GN1534" s="18"/>
      <c r="GO1534" s="18"/>
      <c r="GP1534" s="18"/>
      <c r="GQ1534" s="18"/>
      <c r="GR1534" s="18"/>
      <c r="GS1534" s="18"/>
      <c r="GT1534" s="18"/>
      <c r="GU1534" s="18"/>
      <c r="GV1534" s="18"/>
      <c r="GW1534" s="18"/>
      <c r="GX1534" s="18"/>
      <c r="GY1534" s="18"/>
      <c r="GZ1534" s="18"/>
      <c r="HA1534" s="18"/>
      <c r="HB1534" s="18"/>
      <c r="HC1534" s="18"/>
      <c r="HD1534" s="18"/>
      <c r="HE1534" s="18"/>
      <c r="HF1534" s="18"/>
      <c r="HG1534" s="18"/>
      <c r="HH1534" s="18"/>
      <c r="HI1534" s="18"/>
      <c r="HJ1534" s="18"/>
      <c r="HK1534" s="18"/>
      <c r="HL1534" s="18"/>
      <c r="HM1534" s="18"/>
      <c r="HN1534" s="18"/>
      <c r="HO1534" s="18"/>
      <c r="HP1534" s="18"/>
      <c r="HQ1534" s="18"/>
      <c r="HR1534" s="18"/>
      <c r="HS1534" s="18"/>
      <c r="HT1534" s="18"/>
      <c r="HU1534" s="18"/>
      <c r="HV1534" s="18"/>
      <c r="HW1534" s="18"/>
      <c r="HX1534" s="18"/>
      <c r="HY1534" s="18"/>
      <c r="HZ1534" s="18"/>
      <c r="IA1534" s="18"/>
      <c r="IB1534" s="18"/>
      <c r="IC1534" s="18"/>
      <c r="ID1534" s="18"/>
      <c r="IE1534" s="18"/>
      <c r="IF1534" s="18"/>
      <c r="IG1534" s="18"/>
      <c r="IH1534" s="18"/>
      <c r="II1534" s="18"/>
      <c r="IJ1534" s="18"/>
      <c r="IK1534" s="18"/>
      <c r="IL1534" s="18"/>
      <c r="IM1534" s="18"/>
      <c r="IN1534" s="18"/>
      <c r="IO1534" s="18"/>
      <c r="IP1534" s="18"/>
      <c r="IQ1534" s="18"/>
      <c r="IR1534" s="18"/>
      <c r="IS1534" s="18"/>
      <c r="IT1534" s="18"/>
      <c r="IU1534" s="18"/>
      <c r="IV1534" s="18"/>
      <c r="IW1534" s="18"/>
      <c r="IX1534" s="18"/>
      <c r="IY1534" s="18"/>
      <c r="IZ1534" s="18"/>
      <c r="JA1534" s="18"/>
      <c r="JB1534" s="18"/>
      <c r="JC1534" s="18"/>
      <c r="JD1534" s="18"/>
      <c r="JE1534" s="18"/>
      <c r="JF1534" s="18"/>
      <c r="JG1534" s="18"/>
      <c r="JH1534" s="18"/>
      <c r="JI1534" s="18"/>
      <c r="JJ1534" s="18"/>
      <c r="JK1534" s="18"/>
      <c r="JL1534" s="18"/>
      <c r="JM1534" s="18"/>
      <c r="JN1534" s="18"/>
      <c r="JO1534" s="16"/>
      <c r="JP1534" s="16"/>
      <c r="JQ1534" s="16"/>
      <c r="JR1534" s="49"/>
      <c r="JS1534" s="49"/>
      <c r="JT1534" s="49"/>
      <c r="JU1534" s="49"/>
      <c r="JV1534" s="49"/>
      <c r="JW1534" s="49"/>
      <c r="JX1534" s="49"/>
      <c r="JY1534" s="49"/>
      <c r="JZ1534" s="49"/>
      <c r="KA1534" s="49"/>
      <c r="KB1534" s="49"/>
    </row>
    <row r="1535" spans="1:288" s="27" customFormat="1" x14ac:dyDescent="0.2">
      <c r="A1535" s="18"/>
      <c r="B1535" s="16">
        <v>2016</v>
      </c>
      <c r="C1535" s="20">
        <v>42536</v>
      </c>
      <c r="D1535" s="20" t="str">
        <f>CONCATENATE(J1535,"-",C1535)</f>
        <v>940-42536</v>
      </c>
      <c r="E1535" s="20" t="str">
        <f>CONCATENATE(T1535,"-",U1535,"-",C1535)</f>
        <v>HW2-D8-42536</v>
      </c>
      <c r="F1535" s="20" t="s">
        <v>106</v>
      </c>
      <c r="G1535" s="90" t="s">
        <v>278</v>
      </c>
      <c r="H1535" s="16"/>
      <c r="I1535" s="16"/>
      <c r="J1535" s="21">
        <v>940</v>
      </c>
      <c r="K1535" s="21"/>
      <c r="L1535" s="16"/>
      <c r="M1535" s="21"/>
      <c r="N1535" s="21"/>
      <c r="O1535" s="21"/>
      <c r="P1535" s="16"/>
      <c r="Q1535" s="16"/>
      <c r="R1535" s="16"/>
      <c r="S1535" s="16"/>
      <c r="T1535" s="61" t="s">
        <v>129</v>
      </c>
      <c r="U1535" s="16" t="s">
        <v>178</v>
      </c>
      <c r="V1535" s="16"/>
      <c r="W1535" s="16"/>
      <c r="X1535" s="16" t="s">
        <v>121</v>
      </c>
      <c r="Y1535" s="16" t="s">
        <v>110</v>
      </c>
      <c r="Z1535" s="16">
        <v>3</v>
      </c>
      <c r="AA1535" s="16" t="s">
        <v>119</v>
      </c>
      <c r="AB1535" s="16" t="s">
        <v>123</v>
      </c>
      <c r="AC1535" s="16" t="s">
        <v>123</v>
      </c>
      <c r="AD1535" s="16" t="s">
        <v>123</v>
      </c>
      <c r="AE1535" s="16"/>
      <c r="AF1535" s="16"/>
      <c r="AG1535" s="16"/>
      <c r="AH1535" s="16"/>
      <c r="AI1535" s="16"/>
      <c r="AJ1535" s="16"/>
      <c r="AK1535" s="16">
        <v>17.5</v>
      </c>
      <c r="AL1535" s="16">
        <v>0</v>
      </c>
      <c r="AM1535" s="16">
        <v>0</v>
      </c>
      <c r="AN1535" s="16">
        <v>0</v>
      </c>
      <c r="AO1535" s="16">
        <f>IF(SUM(AL1535:AN1535)&gt;0,1,0)</f>
        <v>0</v>
      </c>
      <c r="AP1535" s="16">
        <f>SUM(AL1535:AN1535)</f>
        <v>0</v>
      </c>
      <c r="AQ1535" s="16"/>
      <c r="AR1535" s="16"/>
      <c r="AS1535" s="16"/>
      <c r="AT1535" s="16"/>
      <c r="AU1535" s="16"/>
      <c r="AV1535" s="16"/>
      <c r="AW1535" s="16"/>
      <c r="AX1535" s="16"/>
      <c r="AY1535" s="16"/>
      <c r="AZ1535" s="16"/>
      <c r="BA1535" s="16"/>
      <c r="BB1535" s="16"/>
      <c r="BC1535" s="16"/>
      <c r="BD1535" s="16"/>
      <c r="BE1535" s="16"/>
      <c r="BF1535" s="16"/>
      <c r="BG1535" s="77"/>
      <c r="BH1535" s="16"/>
      <c r="BI1535" s="16"/>
      <c r="BJ1535" s="16"/>
      <c r="BK1535" s="16"/>
      <c r="BL1535" s="16"/>
      <c r="BM1535" s="16"/>
      <c r="BN1535" s="16"/>
      <c r="BO1535" s="16"/>
      <c r="BP1535" s="16"/>
      <c r="BQ1535" s="16"/>
      <c r="BR1535" s="16"/>
      <c r="BS1535" s="16"/>
      <c r="BT1535" s="77"/>
      <c r="BU1535" s="16"/>
      <c r="BV1535" s="16"/>
      <c r="BW1535" s="16"/>
      <c r="BX1535" s="16"/>
      <c r="BY1535" s="16"/>
      <c r="BZ1535" s="16"/>
      <c r="CA1535" s="16"/>
      <c r="CB1535" s="16"/>
      <c r="CC1535" s="16"/>
      <c r="CD1535" s="77"/>
      <c r="CE1535" s="16"/>
      <c r="CF1535" s="16"/>
      <c r="CG1535" s="16"/>
      <c r="CH1535" s="16"/>
      <c r="CI1535" s="16"/>
      <c r="CJ1535" s="16"/>
      <c r="CK1535" s="16"/>
      <c r="CL1535" s="16"/>
      <c r="CM1535" s="16"/>
      <c r="CN1535" s="16"/>
      <c r="CO1535" s="16"/>
      <c r="CP1535" s="16"/>
      <c r="CQ1535" s="16"/>
      <c r="CR1535" s="16"/>
      <c r="CS1535" s="16"/>
      <c r="CT1535" s="16"/>
      <c r="CU1535" s="16"/>
      <c r="CV1535" s="16"/>
      <c r="CW1535" s="16"/>
      <c r="CX1535" s="16"/>
      <c r="CY1535" s="16"/>
      <c r="CZ1535" s="16"/>
      <c r="DA1535" s="16"/>
      <c r="DB1535" s="16"/>
      <c r="DC1535" s="16"/>
      <c r="DD1535" s="16"/>
      <c r="DE1535" s="16"/>
      <c r="DF1535" s="16" t="e">
        <f>VLOOKUP(K1535,'[3]RNA Seq summary tables'!$V$3:$V$99,1,FALSE)</f>
        <v>#N/A</v>
      </c>
      <c r="DG1535" s="16"/>
      <c r="DH1535" s="16"/>
      <c r="DI1535" s="16"/>
      <c r="DJ1535" s="16"/>
      <c r="DK1535" s="16"/>
      <c r="DL1535" s="16"/>
      <c r="DM1535" s="16"/>
      <c r="DN1535" s="16"/>
      <c r="DO1535" s="16"/>
      <c r="DP1535" s="16"/>
      <c r="DQ1535" s="16"/>
      <c r="DR1535" s="16"/>
      <c r="DS1535" s="16"/>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18"/>
      <c r="EQ1535" s="18"/>
      <c r="ER1535" s="18"/>
      <c r="ES1535" s="18"/>
      <c r="ET1535" s="18"/>
      <c r="EU1535" s="18"/>
      <c r="EV1535" s="18"/>
      <c r="EW1535" s="18"/>
      <c r="EX1535" s="18"/>
      <c r="EY1535" s="18"/>
      <c r="EZ1535" s="18"/>
      <c r="FA1535" s="18"/>
      <c r="FB1535" s="18"/>
      <c r="FC1535" s="18"/>
      <c r="FD1535" s="18"/>
      <c r="FE1535" s="18"/>
      <c r="FF1535" s="18"/>
      <c r="FG1535" s="18"/>
      <c r="FH1535" s="18"/>
      <c r="FI1535" s="18"/>
      <c r="FJ1535" s="18"/>
      <c r="FK1535" s="18"/>
      <c r="FL1535" s="18"/>
      <c r="FM1535" s="18"/>
      <c r="FN1535" s="18"/>
      <c r="FO1535" s="18"/>
      <c r="FP1535" s="18"/>
      <c r="FQ1535" s="18"/>
      <c r="FR1535" s="18"/>
      <c r="FS1535" s="18"/>
      <c r="FT1535" s="18"/>
      <c r="FU1535" s="18"/>
      <c r="FV1535" s="18"/>
      <c r="FW1535" s="18"/>
      <c r="FX1535" s="18"/>
      <c r="FY1535" s="18"/>
      <c r="FZ1535" s="18"/>
      <c r="GA1535" s="18"/>
      <c r="GB1535" s="18"/>
      <c r="GC1535" s="18"/>
      <c r="GD1535" s="18"/>
      <c r="GE1535" s="18"/>
      <c r="GF1535" s="18"/>
      <c r="GG1535" s="18"/>
      <c r="GH1535" s="18"/>
      <c r="GI1535" s="18"/>
      <c r="GJ1535" s="18"/>
      <c r="GK1535" s="18"/>
      <c r="GL1535" s="18"/>
      <c r="GM1535" s="18"/>
      <c r="GN1535" s="18"/>
      <c r="GO1535" s="18"/>
      <c r="GP1535" s="18"/>
      <c r="GQ1535" s="18"/>
      <c r="GR1535" s="18"/>
      <c r="GS1535" s="18"/>
      <c r="GT1535" s="18"/>
      <c r="GU1535" s="18"/>
      <c r="GV1535" s="18"/>
      <c r="GW1535" s="18"/>
      <c r="GX1535" s="18"/>
      <c r="GY1535" s="18"/>
      <c r="GZ1535" s="18"/>
      <c r="HA1535" s="18"/>
      <c r="HB1535" s="18"/>
      <c r="HC1535" s="18"/>
      <c r="HD1535" s="18"/>
      <c r="HE1535" s="18"/>
      <c r="HF1535" s="18"/>
      <c r="HG1535" s="18"/>
      <c r="HH1535" s="18"/>
      <c r="HI1535" s="18"/>
      <c r="HJ1535" s="18"/>
      <c r="HK1535" s="18"/>
      <c r="HL1535" s="18"/>
      <c r="HM1535" s="18"/>
      <c r="HN1535" s="18"/>
      <c r="HO1535" s="18"/>
      <c r="HP1535" s="18"/>
      <c r="HQ1535" s="18"/>
      <c r="HR1535" s="18"/>
      <c r="HS1535" s="18"/>
      <c r="HT1535" s="18"/>
      <c r="HU1535" s="18"/>
      <c r="HV1535" s="18"/>
      <c r="HW1535" s="18"/>
      <c r="HX1535" s="18"/>
      <c r="HY1535" s="18"/>
      <c r="HZ1535" s="18"/>
      <c r="IA1535" s="18"/>
      <c r="IB1535" s="18"/>
      <c r="IC1535" s="18"/>
      <c r="ID1535" s="18"/>
      <c r="IE1535" s="18"/>
      <c r="IF1535" s="18"/>
      <c r="IG1535" s="18"/>
      <c r="IH1535" s="18"/>
      <c r="II1535" s="18"/>
      <c r="IJ1535" s="18"/>
      <c r="IK1535" s="18"/>
      <c r="IL1535" s="18"/>
      <c r="IM1535" s="18"/>
      <c r="IN1535" s="18"/>
      <c r="IO1535" s="18"/>
      <c r="IP1535" s="18"/>
      <c r="IQ1535" s="18"/>
      <c r="IR1535" s="18"/>
      <c r="IS1535" s="18"/>
      <c r="IT1535" s="18"/>
      <c r="IU1535" s="18"/>
      <c r="IV1535" s="18"/>
      <c r="IW1535" s="18"/>
      <c r="IX1535" s="18"/>
      <c r="IY1535" s="18"/>
      <c r="IZ1535" s="18"/>
      <c r="JA1535" s="18"/>
      <c r="JB1535" s="18"/>
      <c r="JC1535" s="18"/>
      <c r="JD1535" s="18"/>
      <c r="JE1535" s="18"/>
      <c r="JF1535" s="18"/>
      <c r="JG1535" s="18"/>
      <c r="JH1535" s="18"/>
      <c r="JI1535" s="18"/>
      <c r="JJ1535" s="18"/>
      <c r="JK1535" s="18"/>
      <c r="JL1535" s="18"/>
      <c r="JM1535" s="18"/>
      <c r="JN1535" s="18"/>
      <c r="JO1535" s="16"/>
      <c r="JP1535" s="16"/>
      <c r="JQ1535" s="16"/>
      <c r="JR1535" s="16"/>
      <c r="JS1535" s="16"/>
      <c r="JT1535" s="16"/>
      <c r="JU1535" s="16"/>
      <c r="JV1535" s="16"/>
      <c r="JW1535" s="16"/>
      <c r="JX1535" s="16"/>
      <c r="JY1535" s="16"/>
      <c r="JZ1535" s="16"/>
      <c r="KA1535" s="16"/>
      <c r="KB1535" s="16"/>
    </row>
    <row r="1536" spans="1:288" s="27" customFormat="1" x14ac:dyDescent="0.2">
      <c r="A1536" s="18"/>
      <c r="B1536" s="16">
        <v>2016</v>
      </c>
      <c r="C1536" s="20">
        <v>42549</v>
      </c>
      <c r="D1536" s="20" t="str">
        <f>CONCATENATE(J1536,"-",C1536)</f>
        <v>940-42549</v>
      </c>
      <c r="E1536" s="20" t="str">
        <f>CONCATENATE(T1536,"-",U1536,"-",C1536)</f>
        <v>HW2-E8-42549</v>
      </c>
      <c r="F1536" s="20" t="s">
        <v>106</v>
      </c>
      <c r="G1536" s="90" t="s">
        <v>278</v>
      </c>
      <c r="H1536" s="16"/>
      <c r="I1536" s="16"/>
      <c r="J1536" s="21">
        <v>940</v>
      </c>
      <c r="K1536" s="21"/>
      <c r="L1536" s="16"/>
      <c r="M1536" s="21"/>
      <c r="N1536" s="21"/>
      <c r="O1536" s="21"/>
      <c r="P1536" s="16"/>
      <c r="Q1536" s="16"/>
      <c r="R1536" s="16"/>
      <c r="S1536" s="16"/>
      <c r="T1536" s="16" t="s">
        <v>129</v>
      </c>
      <c r="U1536" s="16" t="s">
        <v>181</v>
      </c>
      <c r="V1536" s="16" t="s">
        <v>114</v>
      </c>
      <c r="W1536" s="16"/>
      <c r="X1536" s="16"/>
      <c r="Y1536" s="16"/>
      <c r="Z1536" s="16"/>
      <c r="AA1536" s="16"/>
      <c r="AB1536" s="16"/>
      <c r="AC1536" s="16"/>
      <c r="AD1536" s="16"/>
      <c r="AE1536" s="16"/>
      <c r="AF1536" s="16"/>
      <c r="AG1536" s="16"/>
      <c r="AH1536" s="16"/>
      <c r="AI1536" s="16"/>
      <c r="AJ1536" s="16"/>
      <c r="AK1536" s="16">
        <v>16.5</v>
      </c>
      <c r="AL1536" s="16"/>
      <c r="AM1536" s="16"/>
      <c r="AN1536" s="16"/>
      <c r="AO1536" s="16"/>
      <c r="AP1536" s="16"/>
      <c r="AQ1536" s="16"/>
      <c r="AR1536" s="16"/>
      <c r="AS1536" s="16"/>
      <c r="AT1536" s="16"/>
      <c r="AU1536" s="16"/>
      <c r="AV1536" s="16"/>
      <c r="AW1536" s="16"/>
      <c r="AX1536" s="16"/>
      <c r="AY1536" s="16"/>
      <c r="AZ1536" s="16"/>
      <c r="BA1536" s="16"/>
      <c r="BB1536" s="16"/>
      <c r="BC1536" s="16"/>
      <c r="BD1536" s="16"/>
      <c r="BE1536" s="16"/>
      <c r="BF1536" s="16"/>
      <c r="BG1536" s="77"/>
      <c r="BH1536" s="16"/>
      <c r="BI1536" s="16"/>
      <c r="BJ1536" s="16"/>
      <c r="BK1536" s="16"/>
      <c r="BL1536" s="16"/>
      <c r="BM1536" s="16"/>
      <c r="BN1536" s="16"/>
      <c r="BO1536" s="16"/>
      <c r="BP1536" s="16"/>
      <c r="BQ1536" s="16"/>
      <c r="BR1536" s="16"/>
      <c r="BS1536" s="16"/>
      <c r="BT1536" s="77"/>
      <c r="BU1536" s="16"/>
      <c r="BV1536" s="16"/>
      <c r="BW1536" s="16"/>
      <c r="BX1536" s="16"/>
      <c r="BY1536" s="16"/>
      <c r="BZ1536" s="16"/>
      <c r="CA1536" s="16"/>
      <c r="CB1536" s="16"/>
      <c r="CC1536" s="16"/>
      <c r="CD1536" s="77"/>
      <c r="CE1536" s="16"/>
      <c r="CF1536" s="16"/>
      <c r="CG1536" s="16"/>
      <c r="CH1536" s="16"/>
      <c r="CI1536" s="16"/>
      <c r="CJ1536" s="16"/>
      <c r="CK1536" s="16"/>
      <c r="CL1536" s="16"/>
      <c r="CM1536" s="16"/>
      <c r="CN1536" s="16"/>
      <c r="CO1536" s="16"/>
      <c r="CP1536" s="16"/>
      <c r="CQ1536" s="16"/>
      <c r="CR1536" s="16"/>
      <c r="CS1536" s="16"/>
      <c r="CT1536" s="16"/>
      <c r="CU1536" s="16"/>
      <c r="CV1536" s="16"/>
      <c r="CW1536" s="16"/>
      <c r="CX1536" s="16"/>
      <c r="CY1536" s="16"/>
      <c r="CZ1536" s="16"/>
      <c r="DA1536" s="16"/>
      <c r="DB1536" s="16"/>
      <c r="DC1536" s="16"/>
      <c r="DD1536" s="16"/>
      <c r="DE1536" s="16"/>
      <c r="DF1536" s="16" t="e">
        <f>VLOOKUP(K1536,'[3]RNA Seq summary tables'!$V$3:$V$99,1,FALSE)</f>
        <v>#N/A</v>
      </c>
      <c r="DG1536" s="16"/>
      <c r="DH1536" s="16"/>
      <c r="DI1536" s="16"/>
      <c r="DJ1536" s="16"/>
      <c r="DK1536" s="16"/>
      <c r="DL1536" s="16"/>
      <c r="DM1536" s="16"/>
      <c r="DN1536" s="16"/>
      <c r="DO1536" s="16"/>
      <c r="DP1536" s="16"/>
      <c r="DQ1536" s="16"/>
      <c r="DR1536" s="16"/>
      <c r="DS1536" s="16"/>
      <c r="DT1536" s="95"/>
      <c r="DU1536" s="95"/>
      <c r="DV1536" s="95"/>
      <c r="DW1536" s="95"/>
      <c r="DX1536" s="95"/>
      <c r="DY1536" s="95"/>
      <c r="DZ1536" s="95"/>
      <c r="EA1536" s="95"/>
      <c r="EB1536" s="95"/>
      <c r="EC1536" s="95"/>
      <c r="ED1536" s="95"/>
      <c r="EE1536" s="18"/>
      <c r="EF1536" s="18"/>
      <c r="EG1536" s="18"/>
      <c r="EH1536" s="18"/>
      <c r="EI1536" s="18"/>
      <c r="EJ1536" s="18"/>
      <c r="EK1536" s="18"/>
      <c r="EL1536" s="18"/>
      <c r="EM1536" s="18"/>
      <c r="EN1536" s="18"/>
      <c r="EO1536" s="18"/>
      <c r="EP1536" s="18"/>
      <c r="EQ1536" s="18"/>
      <c r="ER1536" s="18"/>
      <c r="ES1536" s="18"/>
      <c r="ET1536" s="18"/>
      <c r="EU1536" s="18"/>
      <c r="EV1536" s="18"/>
      <c r="EW1536" s="18"/>
      <c r="EX1536" s="18"/>
      <c r="EY1536" s="18"/>
      <c r="EZ1536" s="18"/>
      <c r="FA1536" s="18"/>
      <c r="FB1536" s="18"/>
      <c r="FC1536" s="18"/>
      <c r="FD1536" s="18"/>
      <c r="FE1536" s="18"/>
      <c r="FF1536" s="18"/>
      <c r="FG1536" s="18"/>
      <c r="FH1536" s="18"/>
      <c r="FI1536" s="18"/>
      <c r="FJ1536" s="18"/>
      <c r="FK1536" s="18"/>
      <c r="FL1536" s="18"/>
      <c r="FM1536" s="18"/>
      <c r="FN1536" s="18"/>
      <c r="FO1536" s="18"/>
      <c r="FP1536" s="18"/>
      <c r="FQ1536" s="18"/>
      <c r="FR1536" s="18"/>
      <c r="FS1536" s="18"/>
      <c r="FT1536" s="18"/>
      <c r="FU1536" s="18"/>
      <c r="FV1536" s="18"/>
      <c r="FW1536" s="18"/>
      <c r="FX1536" s="18"/>
      <c r="FY1536" s="18"/>
      <c r="FZ1536" s="18"/>
      <c r="GA1536" s="18"/>
      <c r="GB1536" s="18"/>
      <c r="GC1536" s="18"/>
      <c r="GD1536" s="18"/>
      <c r="GE1536" s="18"/>
      <c r="GF1536" s="18"/>
      <c r="GG1536" s="18"/>
      <c r="GH1536" s="18"/>
      <c r="GI1536" s="18"/>
      <c r="GJ1536" s="18"/>
      <c r="GK1536" s="18"/>
      <c r="GL1536" s="18"/>
      <c r="GM1536" s="18"/>
      <c r="GN1536" s="18"/>
      <c r="GO1536" s="18"/>
      <c r="GP1536" s="18"/>
      <c r="GQ1536" s="18"/>
      <c r="GR1536" s="18"/>
      <c r="GS1536" s="18"/>
      <c r="GT1536" s="18"/>
      <c r="GU1536" s="18"/>
      <c r="GV1536" s="18"/>
      <c r="GW1536" s="18"/>
      <c r="GX1536" s="18"/>
      <c r="GY1536" s="18"/>
      <c r="GZ1536" s="18"/>
      <c r="HA1536" s="18"/>
      <c r="HB1536" s="18"/>
      <c r="HC1536" s="18"/>
      <c r="HD1536" s="18"/>
      <c r="HE1536" s="18"/>
      <c r="HF1536" s="18"/>
      <c r="HG1536" s="18"/>
      <c r="HH1536" s="18"/>
      <c r="HI1536" s="18"/>
      <c r="HJ1536" s="18"/>
      <c r="HK1536" s="18"/>
      <c r="HL1536" s="18"/>
      <c r="HM1536" s="18"/>
      <c r="HN1536" s="18"/>
      <c r="HO1536" s="18"/>
      <c r="HP1536" s="18"/>
      <c r="HQ1536" s="18"/>
      <c r="HR1536" s="18"/>
      <c r="HS1536" s="18"/>
      <c r="HT1536" s="18"/>
      <c r="HU1536" s="18"/>
      <c r="HV1536" s="18"/>
      <c r="HW1536" s="18"/>
      <c r="HX1536" s="18"/>
      <c r="HY1536" s="18"/>
      <c r="HZ1536" s="18"/>
      <c r="IA1536" s="18"/>
      <c r="IB1536" s="18"/>
      <c r="IC1536" s="18"/>
      <c r="ID1536" s="18"/>
      <c r="IE1536" s="18"/>
      <c r="IF1536" s="18"/>
      <c r="IG1536" s="18"/>
      <c r="IH1536" s="18"/>
      <c r="II1536" s="18"/>
      <c r="IJ1536" s="18"/>
      <c r="IK1536" s="18"/>
      <c r="IL1536" s="18"/>
      <c r="IM1536" s="18"/>
      <c r="IN1536" s="18"/>
      <c r="IO1536" s="18"/>
      <c r="IP1536" s="18"/>
      <c r="IQ1536" s="18"/>
      <c r="IR1536" s="18"/>
      <c r="IS1536" s="18"/>
      <c r="IT1536" s="18"/>
      <c r="IU1536" s="18"/>
      <c r="IV1536" s="18"/>
      <c r="IW1536" s="18"/>
      <c r="IX1536" s="18"/>
      <c r="IY1536" s="18"/>
      <c r="IZ1536" s="18"/>
      <c r="JA1536" s="18"/>
      <c r="JB1536" s="18"/>
      <c r="JC1536" s="18"/>
      <c r="JD1536" s="18"/>
      <c r="JE1536" s="18"/>
      <c r="JF1536" s="18"/>
      <c r="JG1536" s="18"/>
      <c r="JH1536" s="18"/>
      <c r="JI1536" s="18"/>
      <c r="JJ1536" s="18"/>
      <c r="JK1536" s="18"/>
      <c r="JL1536" s="18"/>
      <c r="JM1536" s="18"/>
      <c r="JN1536" s="18"/>
      <c r="JO1536" s="18"/>
      <c r="JP1536" s="16"/>
      <c r="JQ1536" s="16"/>
      <c r="JR1536" s="16"/>
      <c r="JS1536" s="16"/>
      <c r="JT1536" s="16"/>
      <c r="JU1536" s="16"/>
      <c r="JV1536" s="16"/>
      <c r="JW1536" s="16"/>
      <c r="JX1536" s="16"/>
      <c r="JY1536" s="16"/>
      <c r="JZ1536" s="16"/>
      <c r="KA1536" s="16"/>
      <c r="KB1536" s="16"/>
    </row>
    <row r="1537" spans="1:288" s="27" customFormat="1" x14ac:dyDescent="0.2">
      <c r="A1537" s="18"/>
      <c r="B1537" s="16">
        <v>2016</v>
      </c>
      <c r="C1537" s="20">
        <v>42550</v>
      </c>
      <c r="D1537" s="20" t="str">
        <f>CONCATENATE(J1537,"-",C1537)</f>
        <v>940-42550</v>
      </c>
      <c r="E1537" s="20" t="str">
        <f>CONCATENATE(T1537,"-",U1537,"-",C1537)</f>
        <v>HW2-E8-42550</v>
      </c>
      <c r="F1537" s="20" t="s">
        <v>106</v>
      </c>
      <c r="G1537" s="90" t="s">
        <v>278</v>
      </c>
      <c r="H1537" s="16"/>
      <c r="I1537" s="16"/>
      <c r="J1537" s="21">
        <v>940</v>
      </c>
      <c r="K1537" s="21"/>
      <c r="L1537" s="16"/>
      <c r="M1537" s="21"/>
      <c r="N1537" s="21"/>
      <c r="O1537" s="21"/>
      <c r="P1537" s="16"/>
      <c r="Q1537" s="16"/>
      <c r="R1537" s="16"/>
      <c r="S1537" s="16"/>
      <c r="T1537" s="16" t="s">
        <v>129</v>
      </c>
      <c r="U1537" s="16" t="s">
        <v>181</v>
      </c>
      <c r="V1537" s="16"/>
      <c r="W1537" s="16"/>
      <c r="X1537" s="16"/>
      <c r="Y1537" s="16"/>
      <c r="Z1537" s="16"/>
      <c r="AA1537" s="16"/>
      <c r="AB1537" s="16"/>
      <c r="AC1537" s="16"/>
      <c r="AD1537" s="16"/>
      <c r="AE1537" s="16"/>
      <c r="AF1537" s="16"/>
      <c r="AG1537" s="16"/>
      <c r="AH1537" s="16"/>
      <c r="AI1537" s="16"/>
      <c r="AJ1537" s="16"/>
      <c r="AK1537" s="16"/>
      <c r="AL1537" s="16"/>
      <c r="AM1537" s="16"/>
      <c r="AN1537" s="16"/>
      <c r="AO1537" s="16"/>
      <c r="AP1537" s="16"/>
      <c r="AQ1537" s="16"/>
      <c r="AR1537" s="16"/>
      <c r="AS1537" s="16"/>
      <c r="AT1537" s="16"/>
      <c r="AU1537" s="16"/>
      <c r="AV1537" s="16"/>
      <c r="AW1537" s="16"/>
      <c r="AX1537" s="16"/>
      <c r="AY1537" s="16"/>
      <c r="AZ1537" s="16"/>
      <c r="BA1537" s="16"/>
      <c r="BB1537" s="16"/>
      <c r="BC1537" s="16"/>
      <c r="BD1537" s="16"/>
      <c r="BE1537" s="16"/>
      <c r="BF1537" s="16"/>
      <c r="BG1537" s="77"/>
      <c r="BH1537" s="16"/>
      <c r="BI1537" s="16"/>
      <c r="BJ1537" s="16"/>
      <c r="BK1537" s="16"/>
      <c r="BL1537" s="16"/>
      <c r="BM1537" s="16"/>
      <c r="BN1537" s="16"/>
      <c r="BO1537" s="16"/>
      <c r="BP1537" s="16"/>
      <c r="BQ1537" s="16"/>
      <c r="BR1537" s="16"/>
      <c r="BS1537" s="16"/>
      <c r="BT1537" s="77"/>
      <c r="BU1537" s="16"/>
      <c r="BV1537" s="16"/>
      <c r="BW1537" s="16"/>
      <c r="BX1537" s="16"/>
      <c r="BY1537" s="16"/>
      <c r="BZ1537" s="16"/>
      <c r="CA1537" s="16"/>
      <c r="CB1537" s="16"/>
      <c r="CC1537" s="16"/>
      <c r="CD1537" s="77"/>
      <c r="CE1537" s="16"/>
      <c r="CF1537" s="16"/>
      <c r="CG1537" s="16"/>
      <c r="CH1537" s="16"/>
      <c r="CI1537" s="16"/>
      <c r="CJ1537" s="16"/>
      <c r="CK1537" s="16"/>
      <c r="CL1537" s="16"/>
      <c r="CM1537" s="16"/>
      <c r="CN1537" s="16"/>
      <c r="CO1537" s="16"/>
      <c r="CP1537" s="16"/>
      <c r="CQ1537" s="16"/>
      <c r="CR1537" s="16"/>
      <c r="CS1537" s="16"/>
      <c r="CT1537" s="16"/>
      <c r="CU1537" s="16"/>
      <c r="CV1537" s="16"/>
      <c r="CW1537" s="16"/>
      <c r="CX1537" s="16"/>
      <c r="CY1537" s="16"/>
      <c r="CZ1537" s="16"/>
      <c r="DA1537" s="16"/>
      <c r="DB1537" s="16"/>
      <c r="DC1537" s="16"/>
      <c r="DD1537" s="16"/>
      <c r="DE1537" s="16"/>
      <c r="DF1537" s="16" t="e">
        <f>VLOOKUP(K1537,'[3]RNA Seq summary tables'!$V$3:$V$99,1,FALSE)</f>
        <v>#N/A</v>
      </c>
      <c r="DG1537" s="16"/>
      <c r="DH1537" s="16"/>
      <c r="DI1537" s="16"/>
      <c r="DJ1537" s="16"/>
      <c r="DK1537" s="16"/>
      <c r="DL1537" s="16"/>
      <c r="DM1537" s="16"/>
      <c r="DN1537" s="16"/>
      <c r="DO1537" s="16"/>
      <c r="DP1537" s="16"/>
      <c r="DQ1537" s="16"/>
      <c r="DR1537" s="16"/>
      <c r="DS1537" s="16"/>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18"/>
      <c r="EQ1537" s="18"/>
      <c r="ER1537" s="18"/>
      <c r="ES1537" s="18"/>
      <c r="ET1537" s="18"/>
      <c r="EU1537" s="18"/>
      <c r="EV1537" s="18"/>
      <c r="EW1537" s="18"/>
      <c r="EX1537" s="18"/>
      <c r="EY1537" s="18"/>
      <c r="EZ1537" s="18"/>
      <c r="FA1537" s="18"/>
      <c r="FB1537" s="18"/>
      <c r="FC1537" s="18"/>
      <c r="FD1537" s="18"/>
      <c r="FE1537" s="18"/>
      <c r="FF1537" s="18"/>
      <c r="FG1537" s="18"/>
      <c r="FH1537" s="18"/>
      <c r="FI1537" s="18"/>
      <c r="FJ1537" s="18"/>
      <c r="FK1537" s="18"/>
      <c r="FL1537" s="18"/>
      <c r="FM1537" s="18"/>
      <c r="FN1537" s="18"/>
      <c r="FO1537" s="18"/>
      <c r="FP1537" s="18"/>
      <c r="FQ1537" s="18"/>
      <c r="FR1537" s="18"/>
      <c r="FS1537" s="18"/>
      <c r="FT1537" s="18"/>
      <c r="FU1537" s="18"/>
      <c r="FV1537" s="18"/>
      <c r="FW1537" s="18"/>
      <c r="FX1537" s="18"/>
      <c r="FY1537" s="18"/>
      <c r="FZ1537" s="18"/>
      <c r="GA1537" s="18"/>
      <c r="GB1537" s="18"/>
      <c r="GC1537" s="18"/>
      <c r="GD1537" s="18"/>
      <c r="GE1537" s="18"/>
      <c r="GF1537" s="18"/>
      <c r="GG1537" s="18"/>
      <c r="GH1537" s="18"/>
      <c r="GI1537" s="18"/>
      <c r="GJ1537" s="18"/>
      <c r="GK1537" s="18"/>
      <c r="GL1537" s="18"/>
      <c r="GM1537" s="18"/>
      <c r="GN1537" s="18"/>
      <c r="GO1537" s="18"/>
      <c r="GP1537" s="18"/>
      <c r="GQ1537" s="18"/>
      <c r="GR1537" s="18"/>
      <c r="GS1537" s="18"/>
      <c r="GT1537" s="18"/>
      <c r="GU1537" s="18"/>
      <c r="GV1537" s="18"/>
      <c r="GW1537" s="18"/>
      <c r="GX1537" s="18"/>
      <c r="GY1537" s="18"/>
      <c r="GZ1537" s="18"/>
      <c r="HA1537" s="18"/>
      <c r="HB1537" s="18"/>
      <c r="HC1537" s="18"/>
      <c r="HD1537" s="18"/>
      <c r="HE1537" s="18"/>
      <c r="HF1537" s="18"/>
      <c r="HG1537" s="18"/>
      <c r="HH1537" s="18"/>
      <c r="HI1537" s="18"/>
      <c r="HJ1537" s="18"/>
      <c r="HK1537" s="18"/>
      <c r="HL1537" s="18"/>
      <c r="HM1537" s="18"/>
      <c r="HN1537" s="18"/>
      <c r="HO1537" s="18"/>
      <c r="HP1537" s="18"/>
      <c r="HQ1537" s="18"/>
      <c r="HR1537" s="18"/>
      <c r="HS1537" s="18"/>
      <c r="HT1537" s="18"/>
      <c r="HU1537" s="18"/>
      <c r="HV1537" s="18"/>
      <c r="HW1537" s="18"/>
      <c r="HX1537" s="18"/>
      <c r="HY1537" s="18"/>
      <c r="HZ1537" s="18"/>
      <c r="IA1537" s="18"/>
      <c r="IB1537" s="18"/>
      <c r="IC1537" s="18"/>
      <c r="ID1537" s="18"/>
      <c r="IE1537" s="18"/>
      <c r="IF1537" s="18"/>
      <c r="IG1537" s="18"/>
      <c r="IH1537" s="18"/>
      <c r="II1537" s="18"/>
      <c r="IJ1537" s="18"/>
      <c r="IK1537" s="18"/>
      <c r="IL1537" s="18"/>
      <c r="IM1537" s="18"/>
      <c r="IN1537" s="18"/>
      <c r="IO1537" s="18"/>
      <c r="IP1537" s="18"/>
      <c r="IQ1537" s="18"/>
      <c r="IR1537" s="18"/>
      <c r="IS1537" s="18"/>
      <c r="IT1537" s="18"/>
      <c r="IU1537" s="18"/>
      <c r="IV1537" s="18"/>
      <c r="IW1537" s="18"/>
      <c r="IX1537" s="18"/>
      <c r="IY1537" s="18"/>
      <c r="IZ1537" s="18"/>
      <c r="JA1537" s="18"/>
      <c r="JB1537" s="18"/>
      <c r="JC1537" s="18"/>
      <c r="JD1537" s="18"/>
      <c r="JE1537" s="18"/>
      <c r="JF1537" s="18"/>
      <c r="JG1537" s="18"/>
      <c r="JH1537" s="18"/>
      <c r="JI1537" s="18"/>
      <c r="JJ1537" s="18"/>
      <c r="JK1537" s="18"/>
      <c r="JL1537" s="18"/>
      <c r="JM1537" s="18"/>
      <c r="JN1537" s="18"/>
      <c r="JO1537" s="16"/>
      <c r="JP1537" s="16"/>
      <c r="JQ1537" s="16"/>
      <c r="JR1537" s="16"/>
      <c r="JS1537" s="16"/>
      <c r="JT1537" s="16"/>
      <c r="JU1537" s="16"/>
      <c r="JV1537" s="16"/>
      <c r="JW1537" s="16"/>
      <c r="JX1537" s="16"/>
      <c r="JY1537" s="16"/>
      <c r="JZ1537" s="16"/>
      <c r="KA1537" s="16"/>
      <c r="KB1537" s="16"/>
    </row>
    <row r="1538" spans="1:288" s="27" customFormat="1" x14ac:dyDescent="0.2">
      <c r="A1538" s="18"/>
      <c r="B1538" s="16">
        <v>2016</v>
      </c>
      <c r="C1538" s="20">
        <v>42563</v>
      </c>
      <c r="D1538" s="20" t="str">
        <f>CONCATENATE(J1538,"-",C1538)</f>
        <v>940-42563</v>
      </c>
      <c r="E1538" s="20" t="str">
        <f>CONCATENATE(T1538,"-",U1538,"-",C1538)</f>
        <v>HW2--42563</v>
      </c>
      <c r="F1538" s="20" t="s">
        <v>106</v>
      </c>
      <c r="G1538" s="90" t="s">
        <v>278</v>
      </c>
      <c r="H1538" s="16"/>
      <c r="I1538" s="16"/>
      <c r="J1538" s="21">
        <v>940</v>
      </c>
      <c r="K1538" s="21"/>
      <c r="L1538" s="16"/>
      <c r="M1538" s="21"/>
      <c r="N1538" s="21"/>
      <c r="O1538" s="21"/>
      <c r="P1538" s="16"/>
      <c r="Q1538" s="16"/>
      <c r="R1538" s="16"/>
      <c r="S1538" s="16"/>
      <c r="T1538" s="16" t="s">
        <v>129</v>
      </c>
      <c r="U1538" s="16"/>
      <c r="V1538" s="16"/>
      <c r="W1538" s="16"/>
      <c r="X1538" s="16"/>
      <c r="Y1538" s="16"/>
      <c r="Z1538" s="16"/>
      <c r="AA1538" s="16"/>
      <c r="AB1538" s="16"/>
      <c r="AC1538" s="16"/>
      <c r="AD1538" s="16"/>
      <c r="AE1538" s="16"/>
      <c r="AF1538" s="16"/>
      <c r="AG1538" s="16"/>
      <c r="AH1538" s="16"/>
      <c r="AI1538" s="16"/>
      <c r="AJ1538" s="16"/>
      <c r="AK1538" s="16">
        <v>18.5</v>
      </c>
      <c r="AL1538" s="16"/>
      <c r="AM1538" s="16"/>
      <c r="AN1538" s="16"/>
      <c r="AO1538" s="16"/>
      <c r="AP1538" s="16"/>
      <c r="AQ1538" s="16"/>
      <c r="AR1538" s="16"/>
      <c r="AS1538" s="16"/>
      <c r="AT1538" s="16"/>
      <c r="AU1538" s="16"/>
      <c r="AV1538" s="16"/>
      <c r="AW1538" s="16"/>
      <c r="AX1538" s="16"/>
      <c r="AY1538" s="16"/>
      <c r="AZ1538" s="16"/>
      <c r="BA1538" s="16"/>
      <c r="BB1538" s="16"/>
      <c r="BC1538" s="16"/>
      <c r="BD1538" s="16"/>
      <c r="BE1538" s="16"/>
      <c r="BF1538" s="16"/>
      <c r="BG1538" s="77"/>
      <c r="BH1538" s="16"/>
      <c r="BI1538" s="16"/>
      <c r="BJ1538" s="16"/>
      <c r="BK1538" s="16"/>
      <c r="BL1538" s="16"/>
      <c r="BM1538" s="16"/>
      <c r="BN1538" s="16"/>
      <c r="BO1538" s="16"/>
      <c r="BP1538" s="16"/>
      <c r="BQ1538" s="16"/>
      <c r="BR1538" s="16"/>
      <c r="BS1538" s="16"/>
      <c r="BT1538" s="77"/>
      <c r="BU1538" s="16"/>
      <c r="BV1538" s="16"/>
      <c r="BW1538" s="16"/>
      <c r="BX1538" s="16"/>
      <c r="BY1538" s="16"/>
      <c r="BZ1538" s="16"/>
      <c r="CA1538" s="16"/>
      <c r="CB1538" s="16"/>
      <c r="CC1538" s="16"/>
      <c r="CD1538" s="77"/>
      <c r="CE1538" s="16"/>
      <c r="CF1538" s="16"/>
      <c r="CG1538" s="16"/>
      <c r="CH1538" s="16"/>
      <c r="CI1538" s="16"/>
      <c r="CJ1538" s="16"/>
      <c r="CK1538" s="16"/>
      <c r="CL1538" s="16"/>
      <c r="CM1538" s="16"/>
      <c r="CN1538" s="16"/>
      <c r="CO1538" s="16"/>
      <c r="CP1538" s="16"/>
      <c r="CQ1538" s="16"/>
      <c r="CR1538" s="16"/>
      <c r="CS1538" s="16"/>
      <c r="CT1538" s="16"/>
      <c r="CU1538" s="16"/>
      <c r="CV1538" s="16"/>
      <c r="CW1538" s="16"/>
      <c r="CX1538" s="16"/>
      <c r="CY1538" s="16"/>
      <c r="CZ1538" s="16"/>
      <c r="DA1538" s="16"/>
      <c r="DB1538" s="16"/>
      <c r="DC1538" s="16"/>
      <c r="DD1538" s="16"/>
      <c r="DE1538" s="16"/>
      <c r="DF1538" s="16" t="e">
        <f>VLOOKUP(K1538,'[3]RNA Seq summary tables'!$V$3:$V$99,1,FALSE)</f>
        <v>#N/A</v>
      </c>
      <c r="DG1538" s="16"/>
      <c r="DH1538" s="16"/>
      <c r="DI1538" s="16"/>
      <c r="DJ1538" s="16"/>
      <c r="DK1538" s="16"/>
      <c r="DL1538" s="16"/>
      <c r="DM1538" s="16"/>
      <c r="DN1538" s="16"/>
      <c r="DO1538" s="16"/>
      <c r="DP1538" s="16"/>
      <c r="DQ1538" s="16"/>
      <c r="DR1538" s="16"/>
      <c r="DS1538" s="16"/>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18"/>
      <c r="EQ1538" s="18"/>
      <c r="ER1538" s="18"/>
      <c r="ES1538" s="18"/>
      <c r="ET1538" s="18"/>
      <c r="EU1538" s="18"/>
      <c r="EV1538" s="18"/>
      <c r="EW1538" s="18"/>
      <c r="EX1538" s="18"/>
      <c r="EY1538" s="18"/>
      <c r="EZ1538" s="18"/>
      <c r="FA1538" s="18"/>
      <c r="FB1538" s="18"/>
      <c r="FC1538" s="18"/>
      <c r="FD1538" s="18"/>
      <c r="FE1538" s="18"/>
      <c r="FF1538" s="18"/>
      <c r="FG1538" s="18"/>
      <c r="FH1538" s="18"/>
      <c r="FI1538" s="18"/>
      <c r="FJ1538" s="18"/>
      <c r="FK1538" s="18"/>
      <c r="FL1538" s="18"/>
      <c r="FM1538" s="18"/>
      <c r="FN1538" s="18"/>
      <c r="FO1538" s="18"/>
      <c r="FP1538" s="18"/>
      <c r="FQ1538" s="18"/>
      <c r="FR1538" s="18"/>
      <c r="FS1538" s="18"/>
      <c r="FT1538" s="18"/>
      <c r="FU1538" s="18"/>
      <c r="FV1538" s="18"/>
      <c r="FW1538" s="18"/>
      <c r="FX1538" s="18"/>
      <c r="FY1538" s="18"/>
      <c r="FZ1538" s="18"/>
      <c r="GA1538" s="18"/>
      <c r="GB1538" s="18"/>
      <c r="GC1538" s="18"/>
      <c r="GD1538" s="18"/>
      <c r="GE1538" s="18"/>
      <c r="GF1538" s="18"/>
      <c r="GG1538" s="18"/>
      <c r="GH1538" s="18"/>
      <c r="GI1538" s="18"/>
      <c r="GJ1538" s="18"/>
      <c r="GK1538" s="18"/>
      <c r="GL1538" s="18"/>
      <c r="GM1538" s="18"/>
      <c r="GN1538" s="18"/>
      <c r="GO1538" s="18"/>
      <c r="GP1538" s="18"/>
      <c r="GQ1538" s="18"/>
      <c r="GR1538" s="18"/>
      <c r="GS1538" s="18"/>
      <c r="GT1538" s="18"/>
      <c r="GU1538" s="18"/>
      <c r="GV1538" s="18"/>
      <c r="GW1538" s="18"/>
      <c r="GX1538" s="18"/>
      <c r="GY1538" s="18"/>
      <c r="GZ1538" s="18"/>
      <c r="HA1538" s="18"/>
      <c r="HB1538" s="18"/>
      <c r="HC1538" s="18"/>
      <c r="HD1538" s="18"/>
      <c r="HE1538" s="18"/>
      <c r="HF1538" s="18"/>
      <c r="HG1538" s="18"/>
      <c r="HH1538" s="18"/>
      <c r="HI1538" s="18"/>
      <c r="HJ1538" s="18"/>
      <c r="HK1538" s="18"/>
      <c r="HL1538" s="18"/>
      <c r="HM1538" s="18"/>
      <c r="HN1538" s="18"/>
      <c r="HO1538" s="18"/>
      <c r="HP1538" s="18"/>
      <c r="HQ1538" s="18"/>
      <c r="HR1538" s="18"/>
      <c r="HS1538" s="18"/>
      <c r="HT1538" s="18"/>
      <c r="HU1538" s="18"/>
      <c r="HV1538" s="18"/>
      <c r="HW1538" s="18"/>
      <c r="HX1538" s="18"/>
      <c r="HY1538" s="18"/>
      <c r="HZ1538" s="18"/>
      <c r="IA1538" s="18"/>
      <c r="IB1538" s="18"/>
      <c r="IC1538" s="18"/>
      <c r="ID1538" s="18"/>
      <c r="IE1538" s="18"/>
      <c r="IF1538" s="18"/>
      <c r="IG1538" s="18"/>
      <c r="IH1538" s="18"/>
      <c r="II1538" s="18"/>
      <c r="IJ1538" s="18"/>
      <c r="IK1538" s="18"/>
      <c r="IL1538" s="18"/>
      <c r="IM1538" s="18"/>
      <c r="IN1538" s="18"/>
      <c r="IO1538" s="18"/>
      <c r="IP1538" s="18"/>
      <c r="IQ1538" s="18"/>
      <c r="IR1538" s="18"/>
      <c r="IS1538" s="18"/>
      <c r="IT1538" s="18"/>
      <c r="IU1538" s="18"/>
      <c r="IV1538" s="18"/>
      <c r="IW1538" s="18"/>
      <c r="IX1538" s="18"/>
      <c r="IY1538" s="18"/>
      <c r="IZ1538" s="18"/>
      <c r="JA1538" s="18"/>
      <c r="JB1538" s="18"/>
      <c r="JC1538" s="18"/>
      <c r="JD1538" s="18"/>
      <c r="JE1538" s="18"/>
      <c r="JF1538" s="18"/>
      <c r="JG1538" s="18"/>
      <c r="JH1538" s="18"/>
      <c r="JI1538" s="18"/>
      <c r="JJ1538" s="18"/>
      <c r="JK1538" s="18"/>
      <c r="JL1538" s="18"/>
      <c r="JM1538" s="18"/>
      <c r="JN1538" s="18"/>
      <c r="JO1538" s="16"/>
      <c r="JP1538" s="16"/>
      <c r="JQ1538" s="16"/>
      <c r="JR1538" s="16"/>
      <c r="JS1538" s="16"/>
      <c r="JT1538" s="16"/>
      <c r="JU1538" s="16"/>
      <c r="JV1538" s="16"/>
      <c r="JW1538" s="16"/>
      <c r="JX1538" s="16"/>
      <c r="JY1538" s="16"/>
      <c r="JZ1538" s="16"/>
      <c r="KA1538" s="16"/>
      <c r="KB1538" s="16"/>
    </row>
    <row r="1539" spans="1:288" s="27" customFormat="1" x14ac:dyDescent="0.2">
      <c r="A1539" s="18"/>
      <c r="B1539" s="16">
        <v>2016</v>
      </c>
      <c r="C1539" s="20">
        <v>42564</v>
      </c>
      <c r="D1539" s="20" t="str">
        <f>CONCATENATE(J1539,"-",C1539)</f>
        <v>940-42564</v>
      </c>
      <c r="E1539" s="20" t="str">
        <f>CONCATENATE(T1539,"-",U1539,"-",C1539)</f>
        <v>HW2-F7-42564</v>
      </c>
      <c r="F1539" s="20" t="s">
        <v>106</v>
      </c>
      <c r="G1539" s="90" t="s">
        <v>278</v>
      </c>
      <c r="H1539" s="16"/>
      <c r="I1539" s="16"/>
      <c r="J1539" s="21">
        <v>940</v>
      </c>
      <c r="K1539" s="21"/>
      <c r="L1539" s="16"/>
      <c r="M1539" s="21"/>
      <c r="N1539" s="21"/>
      <c r="O1539" s="21"/>
      <c r="P1539" s="16"/>
      <c r="Q1539" s="16"/>
      <c r="R1539" s="16"/>
      <c r="S1539" s="16"/>
      <c r="T1539" s="16" t="s">
        <v>129</v>
      </c>
      <c r="U1539" s="16" t="s">
        <v>189</v>
      </c>
      <c r="V1539" s="16"/>
      <c r="W1539" s="16"/>
      <c r="X1539" s="16"/>
      <c r="Y1539" s="16"/>
      <c r="Z1539" s="16"/>
      <c r="AA1539" s="16"/>
      <c r="AB1539" s="16"/>
      <c r="AC1539" s="16"/>
      <c r="AD1539" s="16"/>
      <c r="AE1539" s="16"/>
      <c r="AF1539" s="16"/>
      <c r="AG1539" s="16"/>
      <c r="AH1539" s="16"/>
      <c r="AI1539" s="16"/>
      <c r="AJ1539" s="16"/>
      <c r="AK1539" s="16"/>
      <c r="AL1539" s="16"/>
      <c r="AM1539" s="16"/>
      <c r="AN1539" s="16"/>
      <c r="AO1539" s="16"/>
      <c r="AP1539" s="16"/>
      <c r="AQ1539" s="16"/>
      <c r="AR1539" s="16"/>
      <c r="AS1539" s="16"/>
      <c r="AT1539" s="16"/>
      <c r="AU1539" s="16"/>
      <c r="AV1539" s="16"/>
      <c r="AW1539" s="16"/>
      <c r="AX1539" s="16"/>
      <c r="AY1539" s="16"/>
      <c r="AZ1539" s="16"/>
      <c r="BA1539" s="16"/>
      <c r="BB1539" s="16"/>
      <c r="BC1539" s="16"/>
      <c r="BD1539" s="16"/>
      <c r="BE1539" s="16"/>
      <c r="BF1539" s="16"/>
      <c r="BG1539" s="77"/>
      <c r="BH1539" s="16"/>
      <c r="BI1539" s="16"/>
      <c r="BJ1539" s="16"/>
      <c r="BK1539" s="16"/>
      <c r="BL1539" s="16"/>
      <c r="BM1539" s="16"/>
      <c r="BN1539" s="16"/>
      <c r="BO1539" s="16"/>
      <c r="BP1539" s="16"/>
      <c r="BQ1539" s="16"/>
      <c r="BR1539" s="16"/>
      <c r="BS1539" s="16"/>
      <c r="BT1539" s="77"/>
      <c r="BU1539" s="16"/>
      <c r="BV1539" s="16"/>
      <c r="BW1539" s="16"/>
      <c r="BX1539" s="16"/>
      <c r="BY1539" s="16"/>
      <c r="BZ1539" s="16"/>
      <c r="CA1539" s="16"/>
      <c r="CB1539" s="16"/>
      <c r="CC1539" s="16"/>
      <c r="CD1539" s="77"/>
      <c r="CE1539" s="16"/>
      <c r="CF1539" s="16"/>
      <c r="CG1539" s="16"/>
      <c r="CH1539" s="16"/>
      <c r="CI1539" s="16"/>
      <c r="CJ1539" s="16"/>
      <c r="CK1539" s="16"/>
      <c r="CL1539" s="16"/>
      <c r="CM1539" s="16"/>
      <c r="CN1539" s="16"/>
      <c r="CO1539" s="16"/>
      <c r="CP1539" s="16"/>
      <c r="CQ1539" s="16"/>
      <c r="CR1539" s="16"/>
      <c r="CS1539" s="16"/>
      <c r="CT1539" s="16"/>
      <c r="CU1539" s="16"/>
      <c r="CV1539" s="16"/>
      <c r="CW1539" s="16"/>
      <c r="CX1539" s="16"/>
      <c r="CY1539" s="16"/>
      <c r="CZ1539" s="16"/>
      <c r="DA1539" s="16"/>
      <c r="DB1539" s="16"/>
      <c r="DC1539" s="16"/>
      <c r="DD1539" s="16"/>
      <c r="DE1539" s="16"/>
      <c r="DF1539" s="16" t="e">
        <f>VLOOKUP(K1539,'[3]RNA Seq summary tables'!$V$3:$V$99,1,FALSE)</f>
        <v>#N/A</v>
      </c>
      <c r="DG1539" s="16"/>
      <c r="DH1539" s="16"/>
      <c r="DI1539" s="16"/>
      <c r="DJ1539" s="16"/>
      <c r="DK1539" s="16"/>
      <c r="DL1539" s="16"/>
      <c r="DM1539" s="16"/>
      <c r="DN1539" s="16"/>
      <c r="DO1539" s="16"/>
      <c r="DP1539" s="16"/>
      <c r="DQ1539" s="16"/>
      <c r="DR1539" s="16"/>
      <c r="DS1539" s="16"/>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18"/>
      <c r="EQ1539" s="18"/>
      <c r="ER1539" s="18"/>
      <c r="ES1539" s="18"/>
      <c r="ET1539" s="18"/>
      <c r="EU1539" s="18"/>
      <c r="EV1539" s="18"/>
      <c r="EW1539" s="18"/>
      <c r="EX1539" s="18"/>
      <c r="EY1539" s="18"/>
      <c r="EZ1539" s="18"/>
      <c r="FA1539" s="18"/>
      <c r="FB1539" s="18"/>
      <c r="FC1539" s="18"/>
      <c r="FD1539" s="18"/>
      <c r="FE1539" s="18"/>
      <c r="FF1539" s="18"/>
      <c r="FG1539" s="18"/>
      <c r="FH1539" s="18"/>
      <c r="FI1539" s="18"/>
      <c r="FJ1539" s="18"/>
      <c r="FK1539" s="18"/>
      <c r="FL1539" s="18"/>
      <c r="FM1539" s="18"/>
      <c r="FN1539" s="18"/>
      <c r="FO1539" s="18"/>
      <c r="FP1539" s="18"/>
      <c r="FQ1539" s="18"/>
      <c r="FR1539" s="18"/>
      <c r="FS1539" s="18"/>
      <c r="FT1539" s="18"/>
      <c r="FU1539" s="18"/>
      <c r="FV1539" s="18"/>
      <c r="FW1539" s="18"/>
      <c r="FX1539" s="18"/>
      <c r="FY1539" s="18"/>
      <c r="FZ1539" s="18"/>
      <c r="GA1539" s="18"/>
      <c r="GB1539" s="18"/>
      <c r="GC1539" s="18"/>
      <c r="GD1539" s="18"/>
      <c r="GE1539" s="18"/>
      <c r="GF1539" s="18"/>
      <c r="GG1539" s="18"/>
      <c r="GH1539" s="18"/>
      <c r="GI1539" s="18"/>
      <c r="GJ1539" s="18"/>
      <c r="GK1539" s="18"/>
      <c r="GL1539" s="18"/>
      <c r="GM1539" s="18"/>
      <c r="GN1539" s="18"/>
      <c r="GO1539" s="18"/>
      <c r="GP1539" s="18"/>
      <c r="GQ1539" s="18"/>
      <c r="GR1539" s="18"/>
      <c r="GS1539" s="18"/>
      <c r="GT1539" s="18"/>
      <c r="GU1539" s="18"/>
      <c r="GV1539" s="18"/>
      <c r="GW1539" s="18"/>
      <c r="GX1539" s="18"/>
      <c r="GY1539" s="18"/>
      <c r="GZ1539" s="18"/>
      <c r="HA1539" s="18"/>
      <c r="HB1539" s="18"/>
      <c r="HC1539" s="18"/>
      <c r="HD1539" s="18"/>
      <c r="HE1539" s="18"/>
      <c r="HF1539" s="18"/>
      <c r="HG1539" s="18"/>
      <c r="HH1539" s="18"/>
      <c r="HI1539" s="18"/>
      <c r="HJ1539" s="18"/>
      <c r="HK1539" s="18"/>
      <c r="HL1539" s="18"/>
      <c r="HM1539" s="18"/>
      <c r="HN1539" s="18"/>
      <c r="HO1539" s="18"/>
      <c r="HP1539" s="18"/>
      <c r="HQ1539" s="18"/>
      <c r="HR1539" s="18"/>
      <c r="HS1539" s="18"/>
      <c r="HT1539" s="18"/>
      <c r="HU1539" s="18"/>
      <c r="HV1539" s="18"/>
      <c r="HW1539" s="18"/>
      <c r="HX1539" s="18"/>
      <c r="HY1539" s="18"/>
      <c r="HZ1539" s="18"/>
      <c r="IA1539" s="18"/>
      <c r="IB1539" s="18"/>
      <c r="IC1539" s="18"/>
      <c r="ID1539" s="18"/>
      <c r="IE1539" s="18"/>
      <c r="IF1539" s="18"/>
      <c r="IG1539" s="18"/>
      <c r="IH1539" s="18"/>
      <c r="II1539" s="18"/>
      <c r="IJ1539" s="18"/>
      <c r="IK1539" s="18"/>
      <c r="IL1539" s="18"/>
      <c r="IM1539" s="18"/>
      <c r="IN1539" s="18"/>
      <c r="IO1539" s="18"/>
      <c r="IP1539" s="18"/>
      <c r="IQ1539" s="18"/>
      <c r="IR1539" s="18"/>
      <c r="IS1539" s="18"/>
      <c r="IT1539" s="18"/>
      <c r="IU1539" s="18"/>
      <c r="IV1539" s="18"/>
      <c r="IW1539" s="18"/>
      <c r="IX1539" s="18"/>
      <c r="IY1539" s="18"/>
      <c r="IZ1539" s="18"/>
      <c r="JA1539" s="18"/>
      <c r="JB1539" s="18"/>
      <c r="JC1539" s="18"/>
      <c r="JD1539" s="18"/>
      <c r="JE1539" s="18"/>
      <c r="JF1539" s="18"/>
      <c r="JG1539" s="18"/>
      <c r="JH1539" s="18"/>
      <c r="JI1539" s="18"/>
      <c r="JJ1539" s="18"/>
      <c r="JK1539" s="18"/>
      <c r="JL1539" s="18"/>
      <c r="JM1539" s="18"/>
      <c r="JN1539" s="18"/>
      <c r="JO1539" s="16"/>
      <c r="JP1539" s="16"/>
      <c r="JQ1539" s="16"/>
      <c r="JR1539" s="16"/>
      <c r="JS1539" s="16"/>
      <c r="JT1539" s="16"/>
      <c r="JU1539" s="16"/>
      <c r="JV1539" s="16"/>
      <c r="JW1539" s="16"/>
      <c r="JX1539" s="16"/>
      <c r="JY1539" s="16"/>
      <c r="JZ1539" s="16"/>
      <c r="KA1539" s="16"/>
      <c r="KB1539" s="16"/>
    </row>
    <row r="1540" spans="1:288" s="27" customFormat="1" x14ac:dyDescent="0.2">
      <c r="A1540" s="18"/>
      <c r="B1540" s="16">
        <v>2016</v>
      </c>
      <c r="C1540" s="20">
        <v>42591</v>
      </c>
      <c r="D1540" s="20" t="str">
        <f>CONCATENATE(J1540,"-",C1540)</f>
        <v>940-42591</v>
      </c>
      <c r="E1540" s="20" t="str">
        <f>CONCATENATE(T1540,"-",U1540,"-",C1540)</f>
        <v>HW2-D5-42591</v>
      </c>
      <c r="F1540" s="20" t="s">
        <v>224</v>
      </c>
      <c r="G1540" s="90" t="s">
        <v>278</v>
      </c>
      <c r="H1540" s="16"/>
      <c r="I1540" s="16"/>
      <c r="J1540" s="21">
        <v>940</v>
      </c>
      <c r="K1540" s="21"/>
      <c r="L1540" s="16"/>
      <c r="M1540" s="21"/>
      <c r="N1540" s="21"/>
      <c r="O1540" s="21"/>
      <c r="P1540" s="16"/>
      <c r="Q1540" s="16"/>
      <c r="R1540" s="16"/>
      <c r="S1540" s="16"/>
      <c r="T1540" s="16" t="s">
        <v>129</v>
      </c>
      <c r="U1540" s="16" t="s">
        <v>183</v>
      </c>
      <c r="V1540" s="16"/>
      <c r="W1540" s="16"/>
      <c r="X1540" s="16"/>
      <c r="Y1540" s="16"/>
      <c r="Z1540" s="16"/>
      <c r="AA1540" s="16"/>
      <c r="AB1540" s="16"/>
      <c r="AC1540" s="16"/>
      <c r="AD1540" s="16"/>
      <c r="AE1540" s="16"/>
      <c r="AF1540" s="16"/>
      <c r="AG1540" s="16"/>
      <c r="AH1540" s="16"/>
      <c r="AI1540" s="16"/>
      <c r="AJ1540" s="16"/>
      <c r="AK1540" s="16">
        <v>23</v>
      </c>
      <c r="AL1540" s="16"/>
      <c r="AM1540" s="16"/>
      <c r="AN1540" s="16"/>
      <c r="AO1540" s="16"/>
      <c r="AP1540" s="16"/>
      <c r="AQ1540" s="16"/>
      <c r="AR1540" s="16"/>
      <c r="AS1540" s="16"/>
      <c r="AT1540" s="16"/>
      <c r="AU1540" s="16"/>
      <c r="AV1540" s="16"/>
      <c r="AW1540" s="16"/>
      <c r="AX1540" s="16"/>
      <c r="AY1540" s="16"/>
      <c r="AZ1540" s="16"/>
      <c r="BA1540" s="16"/>
      <c r="BB1540" s="16"/>
      <c r="BC1540" s="16"/>
      <c r="BD1540" s="16"/>
      <c r="BE1540" s="16"/>
      <c r="BF1540" s="16"/>
      <c r="BG1540" s="77"/>
      <c r="BH1540" s="16"/>
      <c r="BI1540" s="16"/>
      <c r="BJ1540" s="16"/>
      <c r="BK1540" s="16"/>
      <c r="BL1540" s="16"/>
      <c r="BM1540" s="16"/>
      <c r="BN1540" s="16"/>
      <c r="BO1540" s="16"/>
      <c r="BP1540" s="16"/>
      <c r="BQ1540" s="16"/>
      <c r="BR1540" s="16"/>
      <c r="BS1540" s="16"/>
      <c r="BT1540" s="77"/>
      <c r="BU1540" s="16"/>
      <c r="BV1540" s="16"/>
      <c r="BW1540" s="16"/>
      <c r="BX1540" s="16"/>
      <c r="BY1540" s="16"/>
      <c r="BZ1540" s="16"/>
      <c r="CA1540" s="16"/>
      <c r="CB1540" s="16"/>
      <c r="CC1540" s="16"/>
      <c r="CD1540" s="77"/>
      <c r="CE1540" s="16"/>
      <c r="CF1540" s="16"/>
      <c r="CG1540" s="16"/>
      <c r="CH1540" s="16"/>
      <c r="CI1540" s="16"/>
      <c r="CJ1540" s="16"/>
      <c r="CK1540" s="16"/>
      <c r="CL1540" s="16"/>
      <c r="CM1540" s="16"/>
      <c r="CN1540" s="16"/>
      <c r="CO1540" s="16"/>
      <c r="CP1540" s="16"/>
      <c r="CQ1540" s="16"/>
      <c r="CR1540" s="16"/>
      <c r="CS1540" s="16"/>
      <c r="CT1540" s="16"/>
      <c r="CU1540" s="16"/>
      <c r="CV1540" s="16"/>
      <c r="CW1540" s="16"/>
      <c r="CX1540" s="16"/>
      <c r="CY1540" s="16"/>
      <c r="CZ1540" s="16"/>
      <c r="DA1540" s="16"/>
      <c r="DB1540" s="16"/>
      <c r="DC1540" s="16"/>
      <c r="DD1540" s="16"/>
      <c r="DE1540" s="16"/>
      <c r="DF1540" s="16" t="e">
        <f>VLOOKUP(K1540,'[3]RNA Seq summary tables'!$V$3:$V$99,1,FALSE)</f>
        <v>#N/A</v>
      </c>
      <c r="DG1540" s="16"/>
      <c r="DH1540" s="16"/>
      <c r="DI1540" s="16"/>
      <c r="DJ1540" s="16"/>
      <c r="DK1540" s="16"/>
      <c r="DL1540" s="16"/>
      <c r="DM1540" s="16"/>
      <c r="DN1540" s="16"/>
      <c r="DO1540" s="16"/>
      <c r="DP1540" s="16"/>
      <c r="DQ1540" s="16"/>
      <c r="DR1540" s="16"/>
      <c r="DS1540" s="16"/>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18"/>
      <c r="EQ1540" s="18"/>
      <c r="ER1540" s="18"/>
      <c r="ES1540" s="18"/>
      <c r="ET1540" s="18"/>
      <c r="EU1540" s="18"/>
      <c r="EV1540" s="18"/>
      <c r="EW1540" s="18"/>
      <c r="EX1540" s="18"/>
      <c r="EY1540" s="18"/>
      <c r="EZ1540" s="18"/>
      <c r="FA1540" s="18"/>
      <c r="FB1540" s="18"/>
      <c r="FC1540" s="18"/>
      <c r="FD1540" s="18"/>
      <c r="FE1540" s="18"/>
      <c r="FF1540" s="18"/>
      <c r="FG1540" s="18"/>
      <c r="FH1540" s="18"/>
      <c r="FI1540" s="18"/>
      <c r="FJ1540" s="18"/>
      <c r="FK1540" s="18"/>
      <c r="FL1540" s="18"/>
      <c r="FM1540" s="18"/>
      <c r="FN1540" s="18"/>
      <c r="FO1540" s="18"/>
      <c r="FP1540" s="18"/>
      <c r="FQ1540" s="18"/>
      <c r="FR1540" s="18"/>
      <c r="FS1540" s="18"/>
      <c r="FT1540" s="18"/>
      <c r="FU1540" s="18"/>
      <c r="FV1540" s="18"/>
      <c r="FW1540" s="18"/>
      <c r="FX1540" s="18"/>
      <c r="FY1540" s="18"/>
      <c r="FZ1540" s="18"/>
      <c r="GA1540" s="18"/>
      <c r="GB1540" s="18"/>
      <c r="GC1540" s="18"/>
      <c r="GD1540" s="18"/>
      <c r="GE1540" s="18"/>
      <c r="GF1540" s="18"/>
      <c r="GG1540" s="18"/>
      <c r="GH1540" s="18"/>
      <c r="GI1540" s="18"/>
      <c r="GJ1540" s="18"/>
      <c r="GK1540" s="18"/>
      <c r="GL1540" s="18"/>
      <c r="GM1540" s="18"/>
      <c r="GN1540" s="18"/>
      <c r="GO1540" s="18"/>
      <c r="GP1540" s="18"/>
      <c r="GQ1540" s="18"/>
      <c r="GR1540" s="18"/>
      <c r="GS1540" s="18"/>
      <c r="GT1540" s="18"/>
      <c r="GU1540" s="18"/>
      <c r="GV1540" s="18"/>
      <c r="GW1540" s="18"/>
      <c r="GX1540" s="18"/>
      <c r="GY1540" s="18"/>
      <c r="GZ1540" s="18"/>
      <c r="HA1540" s="18"/>
      <c r="HB1540" s="18"/>
      <c r="HC1540" s="18"/>
      <c r="HD1540" s="18"/>
      <c r="HE1540" s="18"/>
      <c r="HF1540" s="18"/>
      <c r="HG1540" s="18"/>
      <c r="HH1540" s="18"/>
      <c r="HI1540" s="18"/>
      <c r="HJ1540" s="18"/>
      <c r="HK1540" s="18"/>
      <c r="HL1540" s="18"/>
      <c r="HM1540" s="18"/>
      <c r="HN1540" s="18"/>
      <c r="HO1540" s="18"/>
      <c r="HP1540" s="18"/>
      <c r="HQ1540" s="18"/>
      <c r="HR1540" s="18"/>
      <c r="HS1540" s="18"/>
      <c r="HT1540" s="18"/>
      <c r="HU1540" s="18"/>
      <c r="HV1540" s="18"/>
      <c r="HW1540" s="18"/>
      <c r="HX1540" s="18"/>
      <c r="HY1540" s="18"/>
      <c r="HZ1540" s="18"/>
      <c r="IA1540" s="18"/>
      <c r="IB1540" s="18"/>
      <c r="IC1540" s="18"/>
      <c r="ID1540" s="18"/>
      <c r="IE1540" s="18"/>
      <c r="IF1540" s="18"/>
      <c r="IG1540" s="18"/>
      <c r="IH1540" s="18"/>
      <c r="II1540" s="18"/>
      <c r="IJ1540" s="18"/>
      <c r="IK1540" s="18"/>
      <c r="IL1540" s="18"/>
      <c r="IM1540" s="18"/>
      <c r="IN1540" s="18"/>
      <c r="IO1540" s="18"/>
      <c r="IP1540" s="18"/>
      <c r="IQ1540" s="18"/>
      <c r="IR1540" s="18"/>
      <c r="IS1540" s="18"/>
      <c r="IT1540" s="18"/>
      <c r="IU1540" s="18"/>
      <c r="IV1540" s="18"/>
      <c r="IW1540" s="18"/>
      <c r="IX1540" s="18"/>
      <c r="IY1540" s="18"/>
      <c r="IZ1540" s="18"/>
      <c r="JA1540" s="18"/>
      <c r="JB1540" s="18"/>
      <c r="JC1540" s="18"/>
      <c r="JD1540" s="18"/>
      <c r="JE1540" s="18"/>
      <c r="JF1540" s="18"/>
      <c r="JG1540" s="18"/>
      <c r="JH1540" s="18"/>
      <c r="JI1540" s="18"/>
      <c r="JJ1540" s="18"/>
      <c r="JK1540" s="18"/>
      <c r="JL1540" s="18"/>
      <c r="JM1540" s="18"/>
      <c r="JN1540" s="18"/>
      <c r="JO1540" s="16"/>
      <c r="JP1540" s="16"/>
      <c r="JQ1540" s="16"/>
      <c r="JR1540" s="16"/>
      <c r="JS1540" s="16"/>
      <c r="JT1540" s="16"/>
      <c r="JU1540" s="16"/>
      <c r="JV1540" s="16"/>
      <c r="JW1540" s="16"/>
      <c r="JX1540" s="16"/>
      <c r="JY1540" s="16"/>
      <c r="JZ1540" s="16"/>
      <c r="KA1540" s="16"/>
      <c r="KB1540" s="16"/>
    </row>
    <row r="1541" spans="1:288" s="27" customFormat="1" x14ac:dyDescent="0.2">
      <c r="A1541" s="18"/>
      <c r="B1541" s="16">
        <v>2016</v>
      </c>
      <c r="C1541" s="43">
        <v>42592</v>
      </c>
      <c r="D1541" s="43" t="str">
        <f>CONCATENATE(J1541,"-",C1541)</f>
        <v>940-42592</v>
      </c>
      <c r="E1541" s="20" t="str">
        <f>CONCATENATE(T1541,"-",U1541,"-",C1541)</f>
        <v>HW2-D6-42592</v>
      </c>
      <c r="F1541" s="20" t="s">
        <v>227</v>
      </c>
      <c r="G1541" s="91" t="s">
        <v>278</v>
      </c>
      <c r="H1541" s="23"/>
      <c r="I1541" s="23"/>
      <c r="J1541" s="15">
        <v>940</v>
      </c>
      <c r="K1541" s="15"/>
      <c r="L1541" s="23"/>
      <c r="M1541" s="21"/>
      <c r="N1541" s="21"/>
      <c r="O1541" s="21"/>
      <c r="P1541" s="23"/>
      <c r="Q1541" s="23"/>
      <c r="R1541" s="23"/>
      <c r="S1541" s="23"/>
      <c r="T1541" s="23" t="s">
        <v>129</v>
      </c>
      <c r="U1541" s="23" t="s">
        <v>186</v>
      </c>
      <c r="V1541" s="23"/>
      <c r="W1541" s="23"/>
      <c r="X1541" s="23"/>
      <c r="Y1541" s="23"/>
      <c r="Z1541" s="23"/>
      <c r="AA1541" s="23"/>
      <c r="AB1541" s="23"/>
      <c r="AC1541" s="23"/>
      <c r="AD1541" s="23"/>
      <c r="AE1541" s="23"/>
      <c r="AF1541" s="23"/>
      <c r="AG1541" s="23"/>
      <c r="AH1541" s="23"/>
      <c r="AI1541" s="23"/>
      <c r="AJ1541" s="23"/>
      <c r="AK1541" s="23">
        <v>19</v>
      </c>
      <c r="AL1541" s="23"/>
      <c r="AM1541" s="23"/>
      <c r="AN1541" s="23"/>
      <c r="AO1541" s="23"/>
      <c r="AP1541" s="23"/>
      <c r="AQ1541" s="23"/>
      <c r="AR1541" s="23"/>
      <c r="AS1541" s="23"/>
      <c r="AT1541" s="16"/>
      <c r="AU1541" s="16"/>
      <c r="AV1541" s="16"/>
      <c r="AW1541" s="16"/>
      <c r="AX1541" s="16"/>
      <c r="AY1541" s="16"/>
      <c r="AZ1541" s="16"/>
      <c r="BA1541" s="16"/>
      <c r="BB1541" s="16"/>
      <c r="BC1541" s="16"/>
      <c r="BD1541" s="16"/>
      <c r="BE1541" s="16"/>
      <c r="BF1541" s="16"/>
      <c r="BG1541" s="77"/>
      <c r="BH1541" s="16"/>
      <c r="BI1541" s="16"/>
      <c r="BJ1541" s="16"/>
      <c r="BK1541" s="16"/>
      <c r="BL1541" s="16"/>
      <c r="BM1541" s="16"/>
      <c r="BN1541" s="16"/>
      <c r="BO1541" s="16"/>
      <c r="BP1541" s="16"/>
      <c r="BQ1541" s="16"/>
      <c r="BR1541" s="16"/>
      <c r="BS1541" s="16"/>
      <c r="BT1541" s="77"/>
      <c r="BU1541" s="16"/>
      <c r="BV1541" s="16"/>
      <c r="BW1541" s="16"/>
      <c r="BX1541" s="16"/>
      <c r="BY1541" s="16"/>
      <c r="BZ1541" s="16"/>
      <c r="CA1541" s="16"/>
      <c r="CB1541" s="16"/>
      <c r="CC1541" s="16"/>
      <c r="CD1541" s="77"/>
      <c r="CE1541" s="16"/>
      <c r="CF1541" s="16"/>
      <c r="CG1541" s="16"/>
      <c r="CH1541" s="16"/>
      <c r="CI1541" s="16"/>
      <c r="CJ1541" s="16"/>
      <c r="CK1541" s="16"/>
      <c r="CL1541" s="16"/>
      <c r="CM1541" s="16"/>
      <c r="CN1541" s="16"/>
      <c r="CO1541" s="16"/>
      <c r="CP1541" s="16"/>
      <c r="CQ1541" s="16"/>
      <c r="CR1541" s="16"/>
      <c r="CS1541" s="16"/>
      <c r="CT1541" s="16"/>
      <c r="CU1541" s="16"/>
      <c r="CV1541" s="16"/>
      <c r="CW1541" s="16"/>
      <c r="CX1541" s="16"/>
      <c r="CY1541" s="16"/>
      <c r="CZ1541" s="16"/>
      <c r="DA1541" s="16"/>
      <c r="DB1541" s="16"/>
      <c r="DC1541" s="23"/>
      <c r="DD1541" s="23"/>
      <c r="DE1541" s="23"/>
      <c r="DF1541" s="16" t="e">
        <f>VLOOKUP(K1541,'[3]RNA Seq summary tables'!$V$3:$V$99,1,FALSE)</f>
        <v>#N/A</v>
      </c>
      <c r="DG1541" s="23"/>
      <c r="DH1541" s="23"/>
      <c r="DI1541" s="23"/>
      <c r="DJ1541" s="23"/>
      <c r="DK1541" s="23"/>
      <c r="DL1541" s="23"/>
      <c r="DM1541" s="23"/>
      <c r="DN1541" s="23"/>
      <c r="DO1541" s="23"/>
      <c r="DP1541" s="23"/>
      <c r="DQ1541" s="23"/>
      <c r="DR1541" s="23"/>
      <c r="DS1541" s="23"/>
      <c r="DT1541" s="25"/>
      <c r="DU1541" s="25"/>
      <c r="DV1541" s="25"/>
      <c r="DW1541" s="25"/>
      <c r="DX1541" s="25"/>
      <c r="DY1541" s="25"/>
      <c r="DZ1541" s="25"/>
      <c r="EA1541" s="25"/>
      <c r="EB1541" s="25"/>
      <c r="EC1541" s="25"/>
      <c r="ED1541" s="25"/>
      <c r="EE1541" s="25"/>
      <c r="EF1541" s="18"/>
      <c r="EG1541" s="18"/>
      <c r="EH1541" s="18"/>
      <c r="EI1541" s="18"/>
      <c r="EJ1541" s="18"/>
      <c r="EK1541" s="18"/>
      <c r="EL1541" s="18"/>
      <c r="EM1541" s="18"/>
      <c r="EN1541" s="18"/>
      <c r="EO1541" s="18"/>
      <c r="EP1541" s="18"/>
      <c r="EQ1541" s="18"/>
      <c r="ER1541" s="18"/>
      <c r="ES1541" s="18"/>
      <c r="ET1541" s="18"/>
      <c r="EU1541" s="18"/>
      <c r="EV1541" s="18"/>
      <c r="EW1541" s="18"/>
      <c r="EX1541" s="18"/>
      <c r="EY1541" s="18"/>
      <c r="EZ1541" s="18"/>
      <c r="FA1541" s="18"/>
      <c r="FB1541" s="18"/>
      <c r="FC1541" s="18"/>
      <c r="FD1541" s="18"/>
      <c r="FE1541" s="18"/>
      <c r="FF1541" s="18"/>
      <c r="FG1541" s="18"/>
      <c r="FH1541" s="18"/>
      <c r="FI1541" s="18"/>
      <c r="FJ1541" s="18"/>
      <c r="FK1541" s="18"/>
      <c r="FL1541" s="18"/>
      <c r="FM1541" s="18"/>
      <c r="FN1541" s="18"/>
      <c r="FO1541" s="18"/>
      <c r="FP1541" s="18"/>
      <c r="FQ1541" s="18"/>
      <c r="FR1541" s="18"/>
      <c r="FS1541" s="18"/>
      <c r="FT1541" s="18"/>
      <c r="FU1541" s="18"/>
      <c r="FV1541" s="18"/>
      <c r="FW1541" s="18"/>
      <c r="FX1541" s="18"/>
      <c r="FY1541" s="18"/>
      <c r="FZ1541" s="18"/>
      <c r="GA1541" s="18"/>
      <c r="GB1541" s="18"/>
      <c r="GC1541" s="18"/>
      <c r="GD1541" s="18"/>
      <c r="GE1541" s="18"/>
      <c r="GF1541" s="18"/>
      <c r="GG1541" s="18"/>
      <c r="GH1541" s="18"/>
      <c r="GI1541" s="18"/>
      <c r="GJ1541" s="18"/>
      <c r="GK1541" s="18"/>
      <c r="GL1541" s="18"/>
      <c r="GM1541" s="18"/>
      <c r="GN1541" s="18"/>
      <c r="GO1541" s="18"/>
      <c r="GP1541" s="18"/>
      <c r="GQ1541" s="18"/>
      <c r="GR1541" s="18"/>
      <c r="GS1541" s="18"/>
      <c r="GT1541" s="18"/>
      <c r="GU1541" s="18"/>
      <c r="GV1541" s="18"/>
      <c r="GW1541" s="18"/>
      <c r="GX1541" s="18"/>
      <c r="GY1541" s="18"/>
      <c r="GZ1541" s="18"/>
      <c r="HA1541" s="18"/>
      <c r="HB1541" s="18"/>
      <c r="HC1541" s="18"/>
      <c r="HD1541" s="18"/>
      <c r="HE1541" s="18"/>
      <c r="HF1541" s="18"/>
      <c r="HG1541" s="18"/>
      <c r="HH1541" s="18"/>
      <c r="HI1541" s="18"/>
      <c r="HJ1541" s="18"/>
      <c r="HK1541" s="18"/>
      <c r="HL1541" s="18"/>
      <c r="HM1541" s="18"/>
      <c r="HN1541" s="18"/>
      <c r="HO1541" s="18"/>
      <c r="HP1541" s="18"/>
      <c r="HQ1541" s="18"/>
      <c r="HR1541" s="18"/>
      <c r="HS1541" s="18"/>
      <c r="HT1541" s="18"/>
      <c r="HU1541" s="18"/>
      <c r="HV1541" s="18"/>
      <c r="HW1541" s="18"/>
      <c r="HX1541" s="18"/>
      <c r="HY1541" s="18"/>
      <c r="HZ1541" s="18"/>
      <c r="IA1541" s="18"/>
      <c r="IB1541" s="18"/>
      <c r="IC1541" s="18"/>
      <c r="ID1541" s="18"/>
      <c r="IE1541" s="18"/>
      <c r="IF1541" s="18"/>
      <c r="IG1541" s="18"/>
      <c r="IH1541" s="18"/>
      <c r="II1541" s="18"/>
      <c r="IJ1541" s="18"/>
      <c r="IK1541" s="18"/>
      <c r="IL1541" s="18"/>
      <c r="IM1541" s="18"/>
      <c r="IN1541" s="18"/>
      <c r="IO1541" s="18"/>
      <c r="IP1541" s="18"/>
      <c r="IQ1541" s="18"/>
      <c r="IR1541" s="18"/>
      <c r="IS1541" s="18"/>
      <c r="IT1541" s="18"/>
      <c r="IU1541" s="18"/>
      <c r="IV1541" s="18"/>
      <c r="IW1541" s="18"/>
      <c r="IX1541" s="18"/>
      <c r="IY1541" s="18"/>
      <c r="IZ1541" s="18"/>
      <c r="JA1541" s="18"/>
      <c r="JB1541" s="18"/>
      <c r="JC1541" s="18"/>
      <c r="JD1541" s="18"/>
      <c r="JE1541" s="18"/>
      <c r="JF1541" s="18"/>
      <c r="JG1541" s="18"/>
      <c r="JH1541" s="18"/>
      <c r="JI1541" s="18"/>
      <c r="JJ1541" s="18"/>
      <c r="JK1541" s="18"/>
      <c r="JL1541" s="18"/>
      <c r="JM1541" s="18"/>
      <c r="JN1541" s="18"/>
      <c r="JO1541" s="16"/>
      <c r="JP1541" s="16"/>
      <c r="JQ1541" s="16"/>
      <c r="JR1541" s="16"/>
      <c r="JS1541" s="16"/>
      <c r="JT1541" s="16"/>
      <c r="JU1541" s="16"/>
      <c r="JV1541" s="16"/>
      <c r="JW1541" s="16"/>
      <c r="JX1541" s="16"/>
      <c r="JY1541" s="16"/>
      <c r="JZ1541" s="16"/>
      <c r="KA1541" s="16"/>
      <c r="KB1541" s="16"/>
    </row>
    <row r="1542" spans="1:288" s="27" customFormat="1" x14ac:dyDescent="0.2">
      <c r="A1542" s="18"/>
      <c r="B1542" s="16">
        <v>2016</v>
      </c>
      <c r="C1542" s="20">
        <v>42521</v>
      </c>
      <c r="D1542" s="20" t="str">
        <f>CONCATENATE(J1542,"-",C1542)</f>
        <v>941-42521</v>
      </c>
      <c r="E1542" s="20" t="str">
        <f>CONCATENATE(T1542,"-",U1542,"-",C1542)</f>
        <v>HW2-H4-42521</v>
      </c>
      <c r="F1542" s="20" t="s">
        <v>106</v>
      </c>
      <c r="G1542" s="90" t="s">
        <v>278</v>
      </c>
      <c r="H1542" s="16"/>
      <c r="I1542" s="16"/>
      <c r="J1542" s="21">
        <v>941</v>
      </c>
      <c r="K1542" s="21"/>
      <c r="L1542" s="16"/>
      <c r="M1542" s="21"/>
      <c r="N1542" s="21"/>
      <c r="O1542" s="21"/>
      <c r="P1542" s="16"/>
      <c r="Q1542" s="16"/>
      <c r="R1542" s="16"/>
      <c r="S1542" s="16"/>
      <c r="T1542" s="16" t="s">
        <v>129</v>
      </c>
      <c r="U1542" s="16" t="s">
        <v>151</v>
      </c>
      <c r="V1542" s="16" t="s">
        <v>114</v>
      </c>
      <c r="W1542" s="16"/>
      <c r="X1542" s="16" t="s">
        <v>121</v>
      </c>
      <c r="Y1542" s="16" t="s">
        <v>110</v>
      </c>
      <c r="Z1542" s="16">
        <v>3</v>
      </c>
      <c r="AA1542" s="16" t="s">
        <v>119</v>
      </c>
      <c r="AB1542" s="16" t="s">
        <v>116</v>
      </c>
      <c r="AC1542" s="16" t="s">
        <v>123</v>
      </c>
      <c r="AD1542" s="16" t="s">
        <v>116</v>
      </c>
      <c r="AE1542" s="16"/>
      <c r="AF1542" s="16"/>
      <c r="AG1542" s="16"/>
      <c r="AH1542" s="16"/>
      <c r="AI1542" s="16"/>
      <c r="AJ1542" s="16"/>
      <c r="AK1542" s="16">
        <v>21.5</v>
      </c>
      <c r="AL1542" s="16">
        <v>0</v>
      </c>
      <c r="AM1542" s="16">
        <v>0</v>
      </c>
      <c r="AN1542" s="16">
        <v>0</v>
      </c>
      <c r="AO1542" s="16">
        <f>IF(SUM(AL1542:AN1542)&gt;0,1,0)</f>
        <v>0</v>
      </c>
      <c r="AP1542" s="16">
        <f>SUM(AL1542:AN1542)</f>
        <v>0</v>
      </c>
      <c r="AQ1542" s="16"/>
      <c r="AR1542" s="16"/>
      <c r="AS1542" s="16"/>
      <c r="AT1542" s="16"/>
      <c r="AU1542" s="16"/>
      <c r="AV1542" s="16"/>
      <c r="AW1542" s="16"/>
      <c r="AX1542" s="16"/>
      <c r="AY1542" s="16"/>
      <c r="AZ1542" s="16"/>
      <c r="BA1542" s="16"/>
      <c r="BB1542" s="16"/>
      <c r="BC1542" s="16"/>
      <c r="BD1542" s="16"/>
      <c r="BE1542" s="16"/>
      <c r="BF1542" s="16"/>
      <c r="BG1542" s="77"/>
      <c r="BH1542" s="16"/>
      <c r="BI1542" s="16"/>
      <c r="BJ1542" s="16"/>
      <c r="BK1542" s="16"/>
      <c r="BL1542" s="16"/>
      <c r="BM1542" s="16"/>
      <c r="BN1542" s="16"/>
      <c r="BO1542" s="16"/>
      <c r="BP1542" s="16"/>
      <c r="BQ1542" s="16"/>
      <c r="BR1542" s="16"/>
      <c r="BS1542" s="16"/>
      <c r="BT1542" s="77"/>
      <c r="BU1542" s="16"/>
      <c r="BV1542" s="16"/>
      <c r="BW1542" s="16"/>
      <c r="BX1542" s="16"/>
      <c r="BY1542" s="16"/>
      <c r="BZ1542" s="16"/>
      <c r="CA1542" s="16"/>
      <c r="CB1542" s="16"/>
      <c r="CC1542" s="16"/>
      <c r="CD1542" s="77"/>
      <c r="CE1542" s="16"/>
      <c r="CF1542" s="16"/>
      <c r="CG1542" s="16"/>
      <c r="CH1542" s="16"/>
      <c r="CI1542" s="16"/>
      <c r="CJ1542" s="16"/>
      <c r="CK1542" s="16"/>
      <c r="CL1542" s="16"/>
      <c r="CM1542" s="16"/>
      <c r="CN1542" s="16"/>
      <c r="CO1542" s="16"/>
      <c r="CP1542" s="16"/>
      <c r="CQ1542" s="16"/>
      <c r="CR1542" s="16"/>
      <c r="CS1542" s="16"/>
      <c r="CT1542" s="16"/>
      <c r="CU1542" s="16"/>
      <c r="CV1542" s="16"/>
      <c r="CW1542" s="16"/>
      <c r="CX1542" s="16"/>
      <c r="CY1542" s="16"/>
      <c r="CZ1542" s="16"/>
      <c r="DA1542" s="16"/>
      <c r="DB1542" s="16"/>
      <c r="DC1542" s="16"/>
      <c r="DD1542" s="16"/>
      <c r="DE1542" s="16"/>
      <c r="DF1542" s="16" t="e">
        <f>VLOOKUP(K1542,'[3]RNA Seq summary tables'!$V$3:$V$99,1,FALSE)</f>
        <v>#N/A</v>
      </c>
      <c r="DG1542" s="16"/>
      <c r="DH1542" s="16"/>
      <c r="DI1542" s="16"/>
      <c r="DJ1542" s="16"/>
      <c r="DK1542" s="16"/>
      <c r="DL1542" s="16"/>
      <c r="DM1542" s="16"/>
      <c r="DN1542" s="16"/>
      <c r="DO1542" s="16"/>
      <c r="DP1542" s="16"/>
      <c r="DQ1542" s="16"/>
      <c r="DR1542" s="16"/>
      <c r="DS1542" s="16"/>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18"/>
      <c r="EQ1542" s="18"/>
      <c r="ER1542" s="18"/>
      <c r="ES1542" s="18"/>
      <c r="ET1542" s="18"/>
      <c r="EU1542" s="18"/>
      <c r="EV1542" s="18"/>
      <c r="EW1542" s="18"/>
      <c r="EX1542" s="18"/>
      <c r="EY1542" s="18"/>
      <c r="EZ1542" s="18"/>
      <c r="FA1542" s="18"/>
      <c r="FB1542" s="18"/>
      <c r="FC1542" s="18"/>
      <c r="FD1542" s="18"/>
      <c r="FE1542" s="18"/>
      <c r="FF1542" s="18"/>
      <c r="FG1542" s="18"/>
      <c r="FH1542" s="18"/>
      <c r="FI1542" s="18"/>
      <c r="FJ1542" s="18"/>
      <c r="FK1542" s="18"/>
      <c r="FL1542" s="18"/>
      <c r="FM1542" s="18"/>
      <c r="FN1542" s="18"/>
      <c r="FO1542" s="18"/>
      <c r="FP1542" s="18"/>
      <c r="FQ1542" s="18"/>
      <c r="FR1542" s="18"/>
      <c r="FS1542" s="18"/>
      <c r="FT1542" s="18"/>
      <c r="FU1542" s="18"/>
      <c r="FV1542" s="18"/>
      <c r="FW1542" s="18"/>
      <c r="FX1542" s="18"/>
      <c r="FY1542" s="18"/>
      <c r="FZ1542" s="18"/>
      <c r="GA1542" s="18"/>
      <c r="GB1542" s="18"/>
      <c r="GC1542" s="18"/>
      <c r="GD1542" s="18"/>
      <c r="GE1542" s="18"/>
      <c r="GF1542" s="18"/>
      <c r="GG1542" s="18"/>
      <c r="GH1542" s="18"/>
      <c r="GI1542" s="18"/>
      <c r="GJ1542" s="18"/>
      <c r="GK1542" s="18"/>
      <c r="GL1542" s="18"/>
      <c r="GM1542" s="18"/>
      <c r="GN1542" s="18"/>
      <c r="GO1542" s="18"/>
      <c r="GP1542" s="18"/>
      <c r="GQ1542" s="18"/>
      <c r="GR1542" s="18"/>
      <c r="GS1542" s="18"/>
      <c r="GT1542" s="18"/>
      <c r="GU1542" s="18"/>
      <c r="GV1542" s="18"/>
      <c r="GW1542" s="18"/>
      <c r="GX1542" s="18"/>
      <c r="GY1542" s="18"/>
      <c r="GZ1542" s="18"/>
      <c r="HA1542" s="18"/>
      <c r="HB1542" s="18"/>
      <c r="HC1542" s="18"/>
      <c r="HD1542" s="18"/>
      <c r="HE1542" s="18"/>
      <c r="HF1542" s="18"/>
      <c r="HG1542" s="18"/>
      <c r="HH1542" s="18"/>
      <c r="HI1542" s="18"/>
      <c r="HJ1542" s="18"/>
      <c r="HK1542" s="18"/>
      <c r="HL1542" s="18"/>
      <c r="HM1542" s="18"/>
      <c r="HN1542" s="18"/>
      <c r="HO1542" s="18"/>
      <c r="HP1542" s="18"/>
      <c r="HQ1542" s="18"/>
      <c r="HR1542" s="18"/>
      <c r="HS1542" s="18"/>
      <c r="HT1542" s="18"/>
      <c r="HU1542" s="18"/>
      <c r="HV1542" s="18"/>
      <c r="HW1542" s="18"/>
      <c r="HX1542" s="18"/>
      <c r="HY1542" s="18"/>
      <c r="HZ1542" s="18"/>
      <c r="IA1542" s="18"/>
      <c r="IB1542" s="18"/>
      <c r="IC1542" s="18"/>
      <c r="ID1542" s="18"/>
      <c r="IE1542" s="18"/>
      <c r="IF1542" s="18"/>
      <c r="IG1542" s="18"/>
      <c r="IH1542" s="18"/>
      <c r="II1542" s="18"/>
      <c r="IJ1542" s="18"/>
      <c r="IK1542" s="18"/>
      <c r="IL1542" s="18"/>
      <c r="IM1542" s="18"/>
      <c r="IN1542" s="18"/>
      <c r="IO1542" s="18"/>
      <c r="IP1542" s="18"/>
      <c r="IQ1542" s="18"/>
      <c r="IR1542" s="18"/>
      <c r="IS1542" s="18"/>
      <c r="IT1542" s="18"/>
      <c r="IU1542" s="18"/>
      <c r="IV1542" s="18"/>
      <c r="IW1542" s="18"/>
      <c r="IX1542" s="18"/>
      <c r="IY1542" s="18"/>
      <c r="IZ1542" s="18"/>
      <c r="JA1542" s="18"/>
      <c r="JB1542" s="18"/>
      <c r="JC1542" s="18"/>
      <c r="JD1542" s="18"/>
      <c r="JE1542" s="18"/>
      <c r="JF1542" s="18"/>
      <c r="JG1542" s="18"/>
      <c r="JH1542" s="18"/>
      <c r="JI1542" s="18"/>
      <c r="JJ1542" s="18"/>
      <c r="JK1542" s="18"/>
      <c r="JL1542" s="18"/>
      <c r="JM1542" s="18"/>
      <c r="JN1542" s="18"/>
      <c r="JO1542" s="16"/>
      <c r="JP1542" s="16"/>
      <c r="JQ1542" s="16"/>
      <c r="JR1542" s="16"/>
      <c r="JS1542" s="16"/>
      <c r="JT1542" s="16"/>
      <c r="JU1542" s="16"/>
      <c r="JV1542" s="16"/>
      <c r="JW1542" s="16"/>
      <c r="JX1542" s="16"/>
      <c r="JY1542" s="16"/>
      <c r="JZ1542" s="16"/>
      <c r="KA1542" s="16"/>
      <c r="KB1542" s="16"/>
    </row>
    <row r="1543" spans="1:288" s="27" customFormat="1" x14ac:dyDescent="0.2">
      <c r="A1543" s="18"/>
      <c r="B1543" s="16">
        <v>2016</v>
      </c>
      <c r="C1543" s="20">
        <v>42522</v>
      </c>
      <c r="D1543" s="20" t="str">
        <f>CONCATENATE(J1543,"-",C1543)</f>
        <v>941-42522</v>
      </c>
      <c r="E1543" s="20" t="str">
        <f>CONCATENATE(T1543,"-",U1543,"-",C1543)</f>
        <v>HW2-G2-42522</v>
      </c>
      <c r="F1543" s="20" t="s">
        <v>106</v>
      </c>
      <c r="G1543" s="90" t="s">
        <v>278</v>
      </c>
      <c r="H1543" s="16"/>
      <c r="I1543" s="16"/>
      <c r="J1543" s="21">
        <v>941</v>
      </c>
      <c r="K1543" s="21"/>
      <c r="L1543" s="16"/>
      <c r="M1543" s="21"/>
      <c r="N1543" s="21"/>
      <c r="O1543" s="21"/>
      <c r="P1543" s="16"/>
      <c r="Q1543" s="16"/>
      <c r="R1543" s="16"/>
      <c r="S1543" s="16"/>
      <c r="T1543" s="16" t="s">
        <v>129</v>
      </c>
      <c r="U1543" s="16" t="s">
        <v>128</v>
      </c>
      <c r="V1543" s="16" t="s">
        <v>114</v>
      </c>
      <c r="W1543" s="16"/>
      <c r="X1543" s="16" t="s">
        <v>121</v>
      </c>
      <c r="Y1543" s="16" t="s">
        <v>110</v>
      </c>
      <c r="Z1543" s="16">
        <v>3</v>
      </c>
      <c r="AA1543" s="16" t="s">
        <v>119</v>
      </c>
      <c r="AB1543" s="16" t="s">
        <v>116</v>
      </c>
      <c r="AC1543" s="16" t="s">
        <v>123</v>
      </c>
      <c r="AD1543" s="16" t="s">
        <v>116</v>
      </c>
      <c r="AE1543" s="16"/>
      <c r="AF1543" s="16"/>
      <c r="AG1543" s="16"/>
      <c r="AH1543" s="16"/>
      <c r="AI1543" s="16"/>
      <c r="AJ1543" s="16"/>
      <c r="AK1543" s="16">
        <v>21</v>
      </c>
      <c r="AL1543" s="16">
        <v>1</v>
      </c>
      <c r="AM1543" s="16">
        <v>0</v>
      </c>
      <c r="AN1543" s="16">
        <v>0</v>
      </c>
      <c r="AO1543" s="16">
        <f>IF(SUM(AL1543:AN1543)&gt;0,1,0)</f>
        <v>1</v>
      </c>
      <c r="AP1543" s="16">
        <f>SUM(AL1543:AN1543)</f>
        <v>1</v>
      </c>
      <c r="AQ1543" s="16"/>
      <c r="AR1543" s="16"/>
      <c r="AS1543" s="16"/>
      <c r="AT1543" s="16"/>
      <c r="AU1543" s="16"/>
      <c r="AV1543" s="16"/>
      <c r="AW1543" s="16"/>
      <c r="AX1543" s="16"/>
      <c r="AY1543" s="16"/>
      <c r="AZ1543" s="16"/>
      <c r="BA1543" s="16"/>
      <c r="BB1543" s="16"/>
      <c r="BC1543" s="16"/>
      <c r="BD1543" s="16"/>
      <c r="BE1543" s="16"/>
      <c r="BF1543" s="16"/>
      <c r="BG1543" s="77"/>
      <c r="BH1543" s="16"/>
      <c r="BI1543" s="16"/>
      <c r="BJ1543" s="16"/>
      <c r="BK1543" s="16"/>
      <c r="BL1543" s="16"/>
      <c r="BM1543" s="16"/>
      <c r="BN1543" s="16"/>
      <c r="BO1543" s="16"/>
      <c r="BP1543" s="16"/>
      <c r="BQ1543" s="16"/>
      <c r="BR1543" s="16"/>
      <c r="BS1543" s="16"/>
      <c r="BT1543" s="77"/>
      <c r="BU1543" s="16"/>
      <c r="BV1543" s="16"/>
      <c r="BW1543" s="16"/>
      <c r="BX1543" s="16"/>
      <c r="BY1543" s="16"/>
      <c r="BZ1543" s="16"/>
      <c r="CA1543" s="16"/>
      <c r="CB1543" s="16"/>
      <c r="CC1543" s="16"/>
      <c r="CD1543" s="77"/>
      <c r="CE1543" s="16"/>
      <c r="CF1543" s="16"/>
      <c r="CG1543" s="16"/>
      <c r="CH1543" s="16"/>
      <c r="CI1543" s="16"/>
      <c r="CJ1543" s="16"/>
      <c r="CK1543" s="16"/>
      <c r="CL1543" s="16"/>
      <c r="CM1543" s="16"/>
      <c r="CN1543" s="16"/>
      <c r="CO1543" s="16"/>
      <c r="CP1543" s="16"/>
      <c r="CQ1543" s="16"/>
      <c r="CR1543" s="16"/>
      <c r="CS1543" s="16"/>
      <c r="CT1543" s="16"/>
      <c r="CU1543" s="16"/>
      <c r="CV1543" s="16"/>
      <c r="CW1543" s="16"/>
      <c r="CX1543" s="16"/>
      <c r="CY1543" s="16"/>
      <c r="CZ1543" s="16"/>
      <c r="DA1543" s="16"/>
      <c r="DB1543" s="16"/>
      <c r="DC1543" s="16"/>
      <c r="DD1543" s="16"/>
      <c r="DE1543" s="16"/>
      <c r="DF1543" s="16" t="e">
        <f>VLOOKUP(K1543,'[3]RNA Seq summary tables'!$V$3:$V$99,1,FALSE)</f>
        <v>#N/A</v>
      </c>
      <c r="DG1543" s="16"/>
      <c r="DH1543" s="16"/>
      <c r="DI1543" s="16"/>
      <c r="DJ1543" s="16"/>
      <c r="DK1543" s="16"/>
      <c r="DL1543" s="16"/>
      <c r="DM1543" s="16"/>
      <c r="DN1543" s="16"/>
      <c r="DO1543" s="16"/>
      <c r="DP1543" s="16"/>
      <c r="DQ1543" s="16"/>
      <c r="DR1543" s="16"/>
      <c r="DS1543" s="16"/>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18"/>
      <c r="EQ1543" s="18"/>
      <c r="ER1543" s="18"/>
      <c r="ES1543" s="18"/>
      <c r="ET1543" s="18"/>
      <c r="EU1543" s="18"/>
      <c r="EV1543" s="18"/>
      <c r="EW1543" s="18"/>
      <c r="EX1543" s="18"/>
      <c r="EY1543" s="18"/>
      <c r="EZ1543" s="18"/>
      <c r="FA1543" s="18"/>
      <c r="FB1543" s="18"/>
      <c r="FC1543" s="18"/>
      <c r="FD1543" s="18"/>
      <c r="FE1543" s="18"/>
      <c r="FF1543" s="18"/>
      <c r="FG1543" s="18"/>
      <c r="FH1543" s="18"/>
      <c r="FI1543" s="18"/>
      <c r="FJ1543" s="18"/>
      <c r="FK1543" s="18"/>
      <c r="FL1543" s="18"/>
      <c r="FM1543" s="18"/>
      <c r="FN1543" s="18"/>
      <c r="FO1543" s="18"/>
      <c r="FP1543" s="18"/>
      <c r="FQ1543" s="18"/>
      <c r="FR1543" s="18"/>
      <c r="FS1543" s="18"/>
      <c r="FT1543" s="18"/>
      <c r="FU1543" s="18"/>
      <c r="FV1543" s="18"/>
      <c r="FW1543" s="18"/>
      <c r="FX1543" s="18"/>
      <c r="FY1543" s="18"/>
      <c r="FZ1543" s="18"/>
      <c r="GA1543" s="18"/>
      <c r="GB1543" s="18"/>
      <c r="GC1543" s="18"/>
      <c r="GD1543" s="18"/>
      <c r="GE1543" s="18"/>
      <c r="GF1543" s="18"/>
      <c r="GG1543" s="18"/>
      <c r="GH1543" s="18"/>
      <c r="GI1543" s="18"/>
      <c r="GJ1543" s="18"/>
      <c r="GK1543" s="18"/>
      <c r="GL1543" s="18"/>
      <c r="GM1543" s="18"/>
      <c r="GN1543" s="18"/>
      <c r="GO1543" s="18"/>
      <c r="GP1543" s="18"/>
      <c r="GQ1543" s="18"/>
      <c r="GR1543" s="18"/>
      <c r="GS1543" s="18"/>
      <c r="GT1543" s="18"/>
      <c r="GU1543" s="18"/>
      <c r="GV1543" s="18"/>
      <c r="GW1543" s="18"/>
      <c r="GX1543" s="18"/>
      <c r="GY1543" s="18"/>
      <c r="GZ1543" s="18"/>
      <c r="HA1543" s="18"/>
      <c r="HB1543" s="18"/>
      <c r="HC1543" s="18"/>
      <c r="HD1543" s="18"/>
      <c r="HE1543" s="18"/>
      <c r="HF1543" s="18"/>
      <c r="HG1543" s="18"/>
      <c r="HH1543" s="18"/>
      <c r="HI1543" s="18"/>
      <c r="HJ1543" s="18"/>
      <c r="HK1543" s="18"/>
      <c r="HL1543" s="18"/>
      <c r="HM1543" s="18"/>
      <c r="HN1543" s="18"/>
      <c r="HO1543" s="18"/>
      <c r="HP1543" s="18"/>
      <c r="HQ1543" s="18"/>
      <c r="HR1543" s="18"/>
      <c r="HS1543" s="18"/>
      <c r="HT1543" s="18"/>
      <c r="HU1543" s="18"/>
      <c r="HV1543" s="18"/>
      <c r="HW1543" s="18"/>
      <c r="HX1543" s="18"/>
      <c r="HY1543" s="18"/>
      <c r="HZ1543" s="18"/>
      <c r="IA1543" s="18"/>
      <c r="IB1543" s="18"/>
      <c r="IC1543" s="18"/>
      <c r="ID1543" s="18"/>
      <c r="IE1543" s="18"/>
      <c r="IF1543" s="18"/>
      <c r="IG1543" s="18"/>
      <c r="IH1543" s="18"/>
      <c r="II1543" s="18"/>
      <c r="IJ1543" s="18"/>
      <c r="IK1543" s="18"/>
      <c r="IL1543" s="18"/>
      <c r="IM1543" s="18"/>
      <c r="IN1543" s="18"/>
      <c r="IO1543" s="18"/>
      <c r="IP1543" s="18"/>
      <c r="IQ1543" s="18"/>
      <c r="IR1543" s="18"/>
      <c r="IS1543" s="18"/>
      <c r="IT1543" s="18"/>
      <c r="IU1543" s="18"/>
      <c r="IV1543" s="18"/>
      <c r="IW1543" s="18"/>
      <c r="IX1543" s="18"/>
      <c r="IY1543" s="18"/>
      <c r="IZ1543" s="18"/>
      <c r="JA1543" s="18"/>
      <c r="JB1543" s="18"/>
      <c r="JC1543" s="18"/>
      <c r="JD1543" s="18"/>
      <c r="JE1543" s="18"/>
      <c r="JF1543" s="18"/>
      <c r="JG1543" s="18"/>
      <c r="JH1543" s="18"/>
      <c r="JI1543" s="18"/>
      <c r="JJ1543" s="18"/>
      <c r="JK1543" s="18"/>
      <c r="JL1543" s="18"/>
      <c r="JM1543" s="18"/>
      <c r="JN1543" s="18"/>
      <c r="JO1543" s="16"/>
      <c r="JP1543" s="16"/>
      <c r="JQ1543" s="16"/>
      <c r="JR1543" s="16"/>
      <c r="JS1543" s="16"/>
      <c r="JT1543" s="16"/>
      <c r="JU1543" s="16"/>
      <c r="JV1543" s="16"/>
      <c r="JW1543" s="16"/>
      <c r="JX1543" s="16"/>
      <c r="JY1543" s="16"/>
      <c r="JZ1543" s="16"/>
      <c r="KA1543" s="16"/>
      <c r="KB1543" s="16"/>
    </row>
    <row r="1544" spans="1:288" s="18" customFormat="1" x14ac:dyDescent="0.2">
      <c r="B1544" s="16">
        <v>2016</v>
      </c>
      <c r="C1544" s="20">
        <v>42535</v>
      </c>
      <c r="D1544" s="20" t="str">
        <f>CONCATENATE(J1544,"-",C1544)</f>
        <v>941-42535</v>
      </c>
      <c r="E1544" s="20" t="str">
        <f>CONCATENATE(T1544,"-",U1544,"-",C1544)</f>
        <v>HW2-G4-42535</v>
      </c>
      <c r="F1544" s="20" t="s">
        <v>106</v>
      </c>
      <c r="G1544" s="90" t="s">
        <v>278</v>
      </c>
      <c r="H1544" s="16"/>
      <c r="I1544" s="16"/>
      <c r="J1544" s="21">
        <v>941</v>
      </c>
      <c r="K1544" s="21"/>
      <c r="L1544" s="16"/>
      <c r="M1544" s="21"/>
      <c r="N1544" s="21"/>
      <c r="O1544" s="21"/>
      <c r="P1544" s="16"/>
      <c r="Q1544" s="16"/>
      <c r="R1544" s="16"/>
      <c r="S1544" s="16"/>
      <c r="T1544" s="16" t="s">
        <v>129</v>
      </c>
      <c r="U1544" s="16" t="s">
        <v>173</v>
      </c>
      <c r="V1544" s="16" t="s">
        <v>114</v>
      </c>
      <c r="W1544" s="16"/>
      <c r="X1544" s="16" t="s">
        <v>121</v>
      </c>
      <c r="Y1544" s="16" t="s">
        <v>110</v>
      </c>
      <c r="Z1544" s="16">
        <v>3</v>
      </c>
      <c r="AA1544" s="16" t="s">
        <v>161</v>
      </c>
      <c r="AB1544" s="16" t="s">
        <v>123</v>
      </c>
      <c r="AC1544" s="16" t="s">
        <v>123</v>
      </c>
      <c r="AD1544" s="16" t="s">
        <v>116</v>
      </c>
      <c r="AE1544" s="16"/>
      <c r="AF1544" s="16"/>
      <c r="AG1544" s="16"/>
      <c r="AH1544" s="16"/>
      <c r="AI1544" s="16"/>
      <c r="AJ1544" s="16"/>
      <c r="AK1544" s="16">
        <v>20</v>
      </c>
      <c r="AL1544" s="16">
        <v>0</v>
      </c>
      <c r="AM1544" s="16">
        <v>0</v>
      </c>
      <c r="AN1544" s="16">
        <v>0</v>
      </c>
      <c r="AO1544" s="16">
        <f>IF(SUM(AL1544:AN1544)&gt;0,1,0)</f>
        <v>0</v>
      </c>
      <c r="AP1544" s="16">
        <f>SUM(AL1544:AN1544)</f>
        <v>0</v>
      </c>
      <c r="AQ1544" s="16"/>
      <c r="AR1544" s="16"/>
      <c r="AS1544" s="16"/>
      <c r="AT1544" s="16"/>
      <c r="AU1544" s="16"/>
      <c r="AV1544" s="16"/>
      <c r="AW1544" s="16"/>
      <c r="AX1544" s="16"/>
      <c r="AY1544" s="16"/>
      <c r="AZ1544" s="16"/>
      <c r="BA1544" s="16"/>
      <c r="BB1544" s="16"/>
      <c r="BC1544" s="16"/>
      <c r="BD1544" s="16"/>
      <c r="BE1544" s="16"/>
      <c r="BF1544" s="16"/>
      <c r="BG1544" s="77"/>
      <c r="BH1544" s="16"/>
      <c r="BI1544" s="16"/>
      <c r="BJ1544" s="16"/>
      <c r="BK1544" s="16"/>
      <c r="BL1544" s="16"/>
      <c r="BM1544" s="16"/>
      <c r="BN1544" s="16"/>
      <c r="BO1544" s="16"/>
      <c r="BP1544" s="16"/>
      <c r="BQ1544" s="16"/>
      <c r="BR1544" s="16"/>
      <c r="BS1544" s="16"/>
      <c r="BT1544" s="77"/>
      <c r="BU1544" s="16"/>
      <c r="BV1544" s="16"/>
      <c r="BW1544" s="16"/>
      <c r="BX1544" s="16"/>
      <c r="BY1544" s="16"/>
      <c r="BZ1544" s="16"/>
      <c r="CA1544" s="16"/>
      <c r="CB1544" s="16"/>
      <c r="CC1544" s="16"/>
      <c r="CD1544" s="77"/>
      <c r="CE1544" s="16"/>
      <c r="CF1544" s="16"/>
      <c r="CG1544" s="16"/>
      <c r="CH1544" s="16"/>
      <c r="CI1544" s="16"/>
      <c r="CJ1544" s="16"/>
      <c r="CK1544" s="16"/>
      <c r="CL1544" s="16"/>
      <c r="CM1544" s="16"/>
      <c r="CN1544" s="16"/>
      <c r="CO1544" s="16"/>
      <c r="CP1544" s="16"/>
      <c r="CQ1544" s="16"/>
      <c r="CR1544" s="16"/>
      <c r="CS1544" s="16"/>
      <c r="CT1544" s="16"/>
      <c r="CU1544" s="16"/>
      <c r="CV1544" s="16"/>
      <c r="CW1544" s="16"/>
      <c r="CX1544" s="16"/>
      <c r="CY1544" s="16"/>
      <c r="CZ1544" s="16"/>
      <c r="DA1544" s="16"/>
      <c r="DB1544" s="16"/>
      <c r="DC1544" s="16"/>
      <c r="DD1544" s="16"/>
      <c r="DE1544" s="16"/>
      <c r="DF1544" s="16" t="e">
        <f>VLOOKUP(K1544,'[3]RNA Seq summary tables'!$V$3:$V$99,1,FALSE)</f>
        <v>#N/A</v>
      </c>
      <c r="DG1544" s="16"/>
      <c r="DH1544" s="16"/>
      <c r="DI1544" s="16"/>
      <c r="DJ1544" s="16"/>
      <c r="DK1544" s="16"/>
      <c r="DL1544" s="16"/>
      <c r="DM1544" s="16"/>
      <c r="DN1544" s="16"/>
      <c r="DO1544" s="16"/>
      <c r="DP1544" s="16"/>
      <c r="DQ1544" s="16"/>
      <c r="DR1544" s="16"/>
      <c r="DS1544" s="16"/>
      <c r="JO1544" s="16"/>
      <c r="JP1544" s="16"/>
      <c r="JQ1544" s="16"/>
      <c r="JR1544" s="16"/>
      <c r="JS1544" s="16"/>
      <c r="JT1544" s="16"/>
      <c r="JU1544" s="16"/>
      <c r="JV1544" s="16"/>
      <c r="JW1544" s="16"/>
      <c r="JX1544" s="16"/>
      <c r="JY1544" s="16"/>
      <c r="JZ1544" s="16"/>
      <c r="KA1544" s="16"/>
      <c r="KB1544" s="16"/>
    </row>
    <row r="1545" spans="1:288" s="27" customFormat="1" x14ac:dyDescent="0.2">
      <c r="A1545" s="18"/>
      <c r="B1545" s="16">
        <v>2016</v>
      </c>
      <c r="C1545" s="20">
        <v>42536</v>
      </c>
      <c r="D1545" s="20" t="str">
        <f>CONCATENATE(J1545,"-",C1545)</f>
        <v>941-42536</v>
      </c>
      <c r="E1545" s="20" t="str">
        <f>CONCATENATE(T1545,"-",U1545,"-",C1545)</f>
        <v>HW2-G4-42536</v>
      </c>
      <c r="F1545" s="20" t="s">
        <v>106</v>
      </c>
      <c r="G1545" s="90" t="s">
        <v>278</v>
      </c>
      <c r="H1545" s="16"/>
      <c r="I1545" s="16"/>
      <c r="J1545" s="21">
        <v>941</v>
      </c>
      <c r="K1545" s="21"/>
      <c r="L1545" s="16"/>
      <c r="M1545" s="21"/>
      <c r="N1545" s="21"/>
      <c r="O1545" s="21"/>
      <c r="P1545" s="16"/>
      <c r="Q1545" s="16"/>
      <c r="R1545" s="16"/>
      <c r="S1545" s="16"/>
      <c r="T1545" s="16" t="s">
        <v>129</v>
      </c>
      <c r="U1545" s="16" t="s">
        <v>173</v>
      </c>
      <c r="V1545" s="16"/>
      <c r="W1545" s="16"/>
      <c r="X1545" s="16" t="s">
        <v>121</v>
      </c>
      <c r="Y1545" s="16" t="s">
        <v>110</v>
      </c>
      <c r="Z1545" s="16">
        <v>3</v>
      </c>
      <c r="AA1545" s="16" t="s">
        <v>119</v>
      </c>
      <c r="AB1545" s="16" t="s">
        <v>123</v>
      </c>
      <c r="AC1545" s="16" t="s">
        <v>123</v>
      </c>
      <c r="AD1545" s="16" t="s">
        <v>123</v>
      </c>
      <c r="AE1545" s="16"/>
      <c r="AF1545" s="16"/>
      <c r="AG1545" s="16"/>
      <c r="AH1545" s="16"/>
      <c r="AI1545" s="16"/>
      <c r="AJ1545" s="16"/>
      <c r="AK1545" s="16">
        <v>22</v>
      </c>
      <c r="AL1545" s="16">
        <v>0</v>
      </c>
      <c r="AM1545" s="16">
        <v>0</v>
      </c>
      <c r="AN1545" s="16">
        <v>0</v>
      </c>
      <c r="AO1545" s="16">
        <f>IF(SUM(AL1545:AN1545)&gt;0,1,0)</f>
        <v>0</v>
      </c>
      <c r="AP1545" s="16">
        <f>SUM(AL1545:AN1545)</f>
        <v>0</v>
      </c>
      <c r="AQ1545" s="16"/>
      <c r="AR1545" s="16"/>
      <c r="AS1545" s="16"/>
      <c r="AT1545" s="16"/>
      <c r="AU1545" s="16"/>
      <c r="AV1545" s="16"/>
      <c r="AW1545" s="16"/>
      <c r="AX1545" s="16"/>
      <c r="AY1545" s="16"/>
      <c r="AZ1545" s="16"/>
      <c r="BA1545" s="16"/>
      <c r="BB1545" s="16"/>
      <c r="BC1545" s="16"/>
      <c r="BD1545" s="16"/>
      <c r="BE1545" s="16"/>
      <c r="BF1545" s="16"/>
      <c r="BG1545" s="77"/>
      <c r="BH1545" s="16"/>
      <c r="BI1545" s="16"/>
      <c r="BJ1545" s="16"/>
      <c r="BK1545" s="16"/>
      <c r="BL1545" s="16"/>
      <c r="BM1545" s="16"/>
      <c r="BN1545" s="16"/>
      <c r="BO1545" s="16"/>
      <c r="BP1545" s="16"/>
      <c r="BQ1545" s="16"/>
      <c r="BR1545" s="16"/>
      <c r="BS1545" s="16"/>
      <c r="BT1545" s="77"/>
      <c r="BU1545" s="16"/>
      <c r="BV1545" s="16"/>
      <c r="BW1545" s="16"/>
      <c r="BX1545" s="16"/>
      <c r="BY1545" s="16"/>
      <c r="BZ1545" s="16"/>
      <c r="CA1545" s="16"/>
      <c r="CB1545" s="16"/>
      <c r="CC1545" s="16"/>
      <c r="CD1545" s="77"/>
      <c r="CE1545" s="16"/>
      <c r="CF1545" s="16"/>
      <c r="CG1545" s="16"/>
      <c r="CH1545" s="16"/>
      <c r="CI1545" s="16"/>
      <c r="CJ1545" s="16"/>
      <c r="CK1545" s="16"/>
      <c r="CL1545" s="16"/>
      <c r="CM1545" s="16"/>
      <c r="CN1545" s="16"/>
      <c r="CO1545" s="16"/>
      <c r="CP1545" s="16"/>
      <c r="CQ1545" s="16"/>
      <c r="CR1545" s="16"/>
      <c r="CS1545" s="16"/>
      <c r="CT1545" s="16"/>
      <c r="CU1545" s="16"/>
      <c r="CV1545" s="16"/>
      <c r="CW1545" s="16"/>
      <c r="CX1545" s="16"/>
      <c r="CY1545" s="16"/>
      <c r="CZ1545" s="16"/>
      <c r="DA1545" s="16"/>
      <c r="DB1545" s="16"/>
      <c r="DC1545" s="16"/>
      <c r="DD1545" s="16"/>
      <c r="DE1545" s="16"/>
      <c r="DF1545" s="16" t="e">
        <f>VLOOKUP(K1545,'[3]RNA Seq summary tables'!$V$3:$V$99,1,FALSE)</f>
        <v>#N/A</v>
      </c>
      <c r="DG1545" s="16"/>
      <c r="DH1545" s="16"/>
      <c r="DI1545" s="16"/>
      <c r="DJ1545" s="16"/>
      <c r="DK1545" s="16"/>
      <c r="DL1545" s="16"/>
      <c r="DM1545" s="16"/>
      <c r="DN1545" s="16"/>
      <c r="DO1545" s="16"/>
      <c r="DP1545" s="16"/>
      <c r="DQ1545" s="16"/>
      <c r="DR1545" s="16"/>
      <c r="DS1545" s="16"/>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18"/>
      <c r="EQ1545" s="18"/>
      <c r="ER1545" s="18"/>
      <c r="ES1545" s="18"/>
      <c r="ET1545" s="18"/>
      <c r="EU1545" s="18"/>
      <c r="EV1545" s="18"/>
      <c r="EW1545" s="18"/>
      <c r="EX1545" s="18"/>
      <c r="EY1545" s="18"/>
      <c r="EZ1545" s="18"/>
      <c r="FA1545" s="18"/>
      <c r="FB1545" s="18"/>
      <c r="FC1545" s="18"/>
      <c r="FD1545" s="18"/>
      <c r="FE1545" s="18"/>
      <c r="FF1545" s="18"/>
      <c r="FG1545" s="18"/>
      <c r="FH1545" s="18"/>
      <c r="FI1545" s="18"/>
      <c r="FJ1545" s="18"/>
      <c r="FK1545" s="18"/>
      <c r="FL1545" s="18"/>
      <c r="FM1545" s="18"/>
      <c r="FN1545" s="18"/>
      <c r="FO1545" s="18"/>
      <c r="FP1545" s="18"/>
      <c r="FQ1545" s="18"/>
      <c r="FR1545" s="18"/>
      <c r="FS1545" s="18"/>
      <c r="FT1545" s="18"/>
      <c r="FU1545" s="18"/>
      <c r="FV1545" s="18"/>
      <c r="FW1545" s="18"/>
      <c r="FX1545" s="18"/>
      <c r="FY1545" s="18"/>
      <c r="FZ1545" s="18"/>
      <c r="GA1545" s="18"/>
      <c r="GB1545" s="18"/>
      <c r="GC1545" s="18"/>
      <c r="GD1545" s="18"/>
      <c r="GE1545" s="18"/>
      <c r="GF1545" s="18"/>
      <c r="GG1545" s="18"/>
      <c r="GH1545" s="18"/>
      <c r="GI1545" s="18"/>
      <c r="GJ1545" s="18"/>
      <c r="GK1545" s="18"/>
      <c r="GL1545" s="18"/>
      <c r="GM1545" s="18"/>
      <c r="GN1545" s="18"/>
      <c r="GO1545" s="18"/>
      <c r="GP1545" s="18"/>
      <c r="GQ1545" s="18"/>
      <c r="GR1545" s="18"/>
      <c r="GS1545" s="18"/>
      <c r="GT1545" s="18"/>
      <c r="GU1545" s="18"/>
      <c r="GV1545" s="18"/>
      <c r="GW1545" s="18"/>
      <c r="GX1545" s="18"/>
      <c r="GY1545" s="18"/>
      <c r="GZ1545" s="18"/>
      <c r="HA1545" s="18"/>
      <c r="HB1545" s="18"/>
      <c r="HC1545" s="18"/>
      <c r="HD1545" s="18"/>
      <c r="HE1545" s="18"/>
      <c r="HF1545" s="18"/>
      <c r="HG1545" s="18"/>
      <c r="HH1545" s="18"/>
      <c r="HI1545" s="18"/>
      <c r="HJ1545" s="18"/>
      <c r="HK1545" s="18"/>
      <c r="HL1545" s="18"/>
      <c r="HM1545" s="18"/>
      <c r="HN1545" s="18"/>
      <c r="HO1545" s="18"/>
      <c r="HP1545" s="18"/>
      <c r="HQ1545" s="18"/>
      <c r="HR1545" s="18"/>
      <c r="HS1545" s="18"/>
      <c r="HT1545" s="18"/>
      <c r="HU1545" s="18"/>
      <c r="HV1545" s="18"/>
      <c r="HW1545" s="18"/>
      <c r="HX1545" s="18"/>
      <c r="HY1545" s="18"/>
      <c r="HZ1545" s="18"/>
      <c r="IA1545" s="18"/>
      <c r="IB1545" s="18"/>
      <c r="IC1545" s="18"/>
      <c r="ID1545" s="18"/>
      <c r="IE1545" s="18"/>
      <c r="IF1545" s="18"/>
      <c r="IG1545" s="18"/>
      <c r="IH1545" s="18"/>
      <c r="II1545" s="18"/>
      <c r="IJ1545" s="18"/>
      <c r="IK1545" s="18"/>
      <c r="IL1545" s="18"/>
      <c r="IM1545" s="18"/>
      <c r="IN1545" s="18"/>
      <c r="IO1545" s="18"/>
      <c r="IP1545" s="18"/>
      <c r="IQ1545" s="18"/>
      <c r="IR1545" s="18"/>
      <c r="IS1545" s="18"/>
      <c r="IT1545" s="18"/>
      <c r="IU1545" s="18"/>
      <c r="IV1545" s="18"/>
      <c r="IW1545" s="18"/>
      <c r="IX1545" s="18"/>
      <c r="IY1545" s="18"/>
      <c r="IZ1545" s="18"/>
      <c r="JA1545" s="18"/>
      <c r="JB1545" s="18"/>
      <c r="JC1545" s="18"/>
      <c r="JD1545" s="18"/>
      <c r="JE1545" s="18"/>
      <c r="JF1545" s="18"/>
      <c r="JG1545" s="18"/>
      <c r="JH1545" s="18"/>
      <c r="JI1545" s="18"/>
      <c r="JJ1545" s="18"/>
      <c r="JK1545" s="18"/>
      <c r="JL1545" s="18"/>
      <c r="JM1545" s="18"/>
      <c r="JN1545" s="18"/>
      <c r="JO1545" s="16"/>
      <c r="JP1545" s="16"/>
      <c r="JQ1545" s="16"/>
      <c r="JR1545" s="16"/>
      <c r="JS1545" s="16"/>
      <c r="JT1545" s="16"/>
      <c r="JU1545" s="16"/>
      <c r="JV1545" s="16"/>
      <c r="JW1545" s="16"/>
      <c r="JX1545" s="16"/>
      <c r="JY1545" s="16"/>
      <c r="JZ1545" s="16"/>
      <c r="KA1545" s="16"/>
      <c r="KB1545" s="16"/>
    </row>
    <row r="1546" spans="1:288" s="27" customFormat="1" x14ac:dyDescent="0.2">
      <c r="A1546" s="18"/>
      <c r="B1546" s="16">
        <v>2016</v>
      </c>
      <c r="C1546" s="20">
        <v>42521</v>
      </c>
      <c r="D1546" s="20" t="str">
        <f>CONCATENATE(J1546,"-",C1546)</f>
        <v>942-42521</v>
      </c>
      <c r="E1546" s="20" t="str">
        <f>CONCATENATE(T1546,"-",U1546,"-",C1546)</f>
        <v>HW2-A2-42521</v>
      </c>
      <c r="F1546" s="20" t="s">
        <v>106</v>
      </c>
      <c r="G1546" s="90" t="s">
        <v>278</v>
      </c>
      <c r="H1546" s="16"/>
      <c r="I1546" s="16"/>
      <c r="J1546" s="21">
        <v>942</v>
      </c>
      <c r="K1546" s="21"/>
      <c r="L1546" s="16"/>
      <c r="M1546" s="21"/>
      <c r="N1546" s="21"/>
      <c r="O1546" s="21"/>
      <c r="P1546" s="16"/>
      <c r="Q1546" s="16"/>
      <c r="R1546" s="16"/>
      <c r="S1546" s="16"/>
      <c r="T1546" s="16" t="s">
        <v>129</v>
      </c>
      <c r="U1546" s="16" t="s">
        <v>171</v>
      </c>
      <c r="V1546" s="16" t="s">
        <v>114</v>
      </c>
      <c r="W1546" s="16"/>
      <c r="X1546" s="16" t="s">
        <v>115</v>
      </c>
      <c r="Y1546" s="16" t="s">
        <v>110</v>
      </c>
      <c r="Z1546" s="16">
        <v>3</v>
      </c>
      <c r="AA1546" s="16"/>
      <c r="AB1546" s="16"/>
      <c r="AC1546" s="16"/>
      <c r="AD1546" s="16"/>
      <c r="AE1546" s="16"/>
      <c r="AF1546" s="16"/>
      <c r="AG1546" s="16"/>
      <c r="AH1546" s="16"/>
      <c r="AI1546" s="16"/>
      <c r="AJ1546" s="16"/>
      <c r="AK1546" s="16">
        <v>20</v>
      </c>
      <c r="AL1546" s="16">
        <v>1</v>
      </c>
      <c r="AM1546" s="16">
        <v>0</v>
      </c>
      <c r="AN1546" s="16">
        <v>0</v>
      </c>
      <c r="AO1546" s="16">
        <f>IF(SUM(AL1546:AN1546)&gt;0,1,0)</f>
        <v>1</v>
      </c>
      <c r="AP1546" s="16">
        <f>SUM(AL1546:AN1546)</f>
        <v>1</v>
      </c>
      <c r="AQ1546" s="16"/>
      <c r="AR1546" s="16"/>
      <c r="AS1546" s="16"/>
      <c r="AT1546" s="16"/>
      <c r="AU1546" s="16"/>
      <c r="AV1546" s="16"/>
      <c r="AW1546" s="16"/>
      <c r="AX1546" s="16"/>
      <c r="AY1546" s="16"/>
      <c r="AZ1546" s="16"/>
      <c r="BA1546" s="16"/>
      <c r="BB1546" s="16"/>
      <c r="BC1546" s="16"/>
      <c r="BD1546" s="16"/>
      <c r="BE1546" s="16"/>
      <c r="BF1546" s="16"/>
      <c r="BG1546" s="77"/>
      <c r="BH1546" s="16"/>
      <c r="BI1546" s="16"/>
      <c r="BJ1546" s="16"/>
      <c r="BK1546" s="16"/>
      <c r="BL1546" s="16"/>
      <c r="BM1546" s="16"/>
      <c r="BN1546" s="16"/>
      <c r="BO1546" s="16"/>
      <c r="BP1546" s="16"/>
      <c r="BQ1546" s="16"/>
      <c r="BR1546" s="16"/>
      <c r="BS1546" s="16"/>
      <c r="BT1546" s="77"/>
      <c r="BU1546" s="16"/>
      <c r="BV1546" s="16"/>
      <c r="BW1546" s="16"/>
      <c r="BX1546" s="16"/>
      <c r="BY1546" s="16"/>
      <c r="BZ1546" s="16"/>
      <c r="CA1546" s="16"/>
      <c r="CB1546" s="16"/>
      <c r="CC1546" s="16"/>
      <c r="CD1546" s="77"/>
      <c r="CE1546" s="16"/>
      <c r="CF1546" s="16"/>
      <c r="CG1546" s="16"/>
      <c r="CH1546" s="16"/>
      <c r="CI1546" s="16"/>
      <c r="CJ1546" s="16"/>
      <c r="CK1546" s="16"/>
      <c r="CL1546" s="16"/>
      <c r="CM1546" s="16"/>
      <c r="CN1546" s="16"/>
      <c r="CO1546" s="16"/>
      <c r="CP1546" s="16"/>
      <c r="CQ1546" s="16"/>
      <c r="CR1546" s="16"/>
      <c r="CS1546" s="16"/>
      <c r="CT1546" s="16"/>
      <c r="CU1546" s="16"/>
      <c r="CV1546" s="16"/>
      <c r="CW1546" s="16"/>
      <c r="CX1546" s="16"/>
      <c r="CY1546" s="16"/>
      <c r="CZ1546" s="16"/>
      <c r="DA1546" s="16"/>
      <c r="DB1546" s="16"/>
      <c r="DC1546" s="16"/>
      <c r="DD1546" s="16"/>
      <c r="DE1546" s="16"/>
      <c r="DF1546" s="16" t="e">
        <f>VLOOKUP(K1546,'[3]RNA Seq summary tables'!$V$3:$V$99,1,FALSE)</f>
        <v>#N/A</v>
      </c>
      <c r="DG1546" s="16"/>
      <c r="DH1546" s="16"/>
      <c r="DI1546" s="16"/>
      <c r="DJ1546" s="16"/>
      <c r="DK1546" s="16"/>
      <c r="DL1546" s="16"/>
      <c r="DM1546" s="16"/>
      <c r="DN1546" s="16"/>
      <c r="DO1546" s="16"/>
      <c r="DP1546" s="16"/>
      <c r="DQ1546" s="16"/>
      <c r="DR1546" s="16"/>
      <c r="DS1546" s="16"/>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18"/>
      <c r="EQ1546" s="18"/>
      <c r="ER1546" s="18"/>
      <c r="ES1546" s="18"/>
      <c r="ET1546" s="18"/>
      <c r="EU1546" s="18"/>
      <c r="EV1546" s="18"/>
      <c r="EW1546" s="18"/>
      <c r="EX1546" s="18"/>
      <c r="EY1546" s="18"/>
      <c r="EZ1546" s="18"/>
      <c r="FA1546" s="18"/>
      <c r="FB1546" s="18"/>
      <c r="FC1546" s="18"/>
      <c r="FD1546" s="18"/>
      <c r="FE1546" s="18"/>
      <c r="FF1546" s="18"/>
      <c r="FG1546" s="18"/>
      <c r="FH1546" s="18"/>
      <c r="FI1546" s="18"/>
      <c r="FJ1546" s="18"/>
      <c r="FK1546" s="18"/>
      <c r="FL1546" s="18"/>
      <c r="FM1546" s="18"/>
      <c r="FN1546" s="18"/>
      <c r="FO1546" s="18"/>
      <c r="FP1546" s="18"/>
      <c r="FQ1546" s="18"/>
      <c r="FR1546" s="18"/>
      <c r="FS1546" s="18"/>
      <c r="FT1546" s="18"/>
      <c r="FU1546" s="18"/>
      <c r="FV1546" s="18"/>
      <c r="FW1546" s="18"/>
      <c r="FX1546" s="18"/>
      <c r="FY1546" s="18"/>
      <c r="FZ1546" s="18"/>
      <c r="GA1546" s="18"/>
      <c r="GB1546" s="18"/>
      <c r="GC1546" s="18"/>
      <c r="GD1546" s="18"/>
      <c r="GE1546" s="18"/>
      <c r="GF1546" s="18"/>
      <c r="GG1546" s="18"/>
      <c r="GH1546" s="18"/>
      <c r="GI1546" s="18"/>
      <c r="GJ1546" s="18"/>
      <c r="GK1546" s="18"/>
      <c r="GL1546" s="18"/>
      <c r="GM1546" s="18"/>
      <c r="GN1546" s="18"/>
      <c r="GO1546" s="18"/>
      <c r="GP1546" s="18"/>
      <c r="GQ1546" s="18"/>
      <c r="GR1546" s="18"/>
      <c r="GS1546" s="18"/>
      <c r="GT1546" s="18"/>
      <c r="GU1546" s="18"/>
      <c r="GV1546" s="18"/>
      <c r="GW1546" s="18"/>
      <c r="GX1546" s="18"/>
      <c r="GY1546" s="18"/>
      <c r="GZ1546" s="18"/>
      <c r="HA1546" s="18"/>
      <c r="HB1546" s="18"/>
      <c r="HC1546" s="18"/>
      <c r="HD1546" s="18"/>
      <c r="HE1546" s="18"/>
      <c r="HF1546" s="18"/>
      <c r="HG1546" s="18"/>
      <c r="HH1546" s="18"/>
      <c r="HI1546" s="18"/>
      <c r="HJ1546" s="18"/>
      <c r="HK1546" s="18"/>
      <c r="HL1546" s="18"/>
      <c r="HM1546" s="18"/>
      <c r="HN1546" s="18"/>
      <c r="HO1546" s="18"/>
      <c r="HP1546" s="18"/>
      <c r="HQ1546" s="18"/>
      <c r="HR1546" s="18"/>
      <c r="HS1546" s="18"/>
      <c r="HT1546" s="18"/>
      <c r="HU1546" s="18"/>
      <c r="HV1546" s="18"/>
      <c r="HW1546" s="18"/>
      <c r="HX1546" s="18"/>
      <c r="HY1546" s="18"/>
      <c r="HZ1546" s="18"/>
      <c r="IA1546" s="18"/>
      <c r="IB1546" s="18"/>
      <c r="IC1546" s="18"/>
      <c r="ID1546" s="18"/>
      <c r="IE1546" s="18"/>
      <c r="IF1546" s="18"/>
      <c r="IG1546" s="18"/>
      <c r="IH1546" s="18"/>
      <c r="II1546" s="18"/>
      <c r="IJ1546" s="18"/>
      <c r="IK1546" s="18"/>
      <c r="IL1546" s="18"/>
      <c r="IM1546" s="18"/>
      <c r="IN1546" s="18"/>
      <c r="IO1546" s="18"/>
      <c r="IP1546" s="18"/>
      <c r="IQ1546" s="18"/>
      <c r="IR1546" s="18"/>
      <c r="IS1546" s="18"/>
      <c r="IT1546" s="18"/>
      <c r="IU1546" s="18"/>
      <c r="IV1546" s="18"/>
      <c r="IW1546" s="18"/>
      <c r="IX1546" s="18"/>
      <c r="IY1546" s="18"/>
      <c r="IZ1546" s="18"/>
      <c r="JA1546" s="18"/>
      <c r="JB1546" s="18"/>
      <c r="JC1546" s="18"/>
      <c r="JD1546" s="18"/>
      <c r="JE1546" s="18"/>
      <c r="JF1546" s="18"/>
      <c r="JG1546" s="18"/>
      <c r="JH1546" s="18"/>
      <c r="JI1546" s="18"/>
      <c r="JJ1546" s="18"/>
      <c r="JK1546" s="18"/>
      <c r="JL1546" s="18"/>
      <c r="JM1546" s="18"/>
      <c r="JN1546" s="18"/>
      <c r="JO1546" s="16"/>
      <c r="JP1546" s="16"/>
      <c r="JQ1546" s="16"/>
      <c r="JR1546" s="16"/>
      <c r="JS1546" s="16"/>
      <c r="JT1546" s="16"/>
      <c r="JU1546" s="16"/>
      <c r="JV1546" s="16"/>
      <c r="JW1546" s="16"/>
      <c r="JX1546" s="16"/>
      <c r="JY1546" s="16"/>
      <c r="JZ1546" s="16"/>
      <c r="KA1546" s="16"/>
      <c r="KB1546" s="16"/>
    </row>
    <row r="1547" spans="1:288" s="27" customFormat="1" x14ac:dyDescent="0.2">
      <c r="A1547" s="18"/>
      <c r="B1547" s="16">
        <v>2016</v>
      </c>
      <c r="C1547" s="20">
        <v>42522</v>
      </c>
      <c r="D1547" s="20" t="str">
        <f>CONCATENATE(J1547,"-",C1547)</f>
        <v>942-42522</v>
      </c>
      <c r="E1547" s="20" t="str">
        <f>CONCATENATE(T1547,"-",U1547,"-",C1547)</f>
        <v>HW2-A2-42522</v>
      </c>
      <c r="F1547" s="20" t="s">
        <v>106</v>
      </c>
      <c r="G1547" s="90" t="s">
        <v>278</v>
      </c>
      <c r="H1547" s="16"/>
      <c r="I1547" s="16"/>
      <c r="J1547" s="21">
        <v>942</v>
      </c>
      <c r="K1547" s="21"/>
      <c r="L1547" s="16"/>
      <c r="M1547" s="21"/>
      <c r="N1547" s="21"/>
      <c r="O1547" s="21"/>
      <c r="P1547" s="16"/>
      <c r="Q1547" s="16"/>
      <c r="R1547" s="16"/>
      <c r="S1547" s="16"/>
      <c r="T1547" s="16" t="s">
        <v>129</v>
      </c>
      <c r="U1547" s="16" t="s">
        <v>171</v>
      </c>
      <c r="V1547" s="16" t="s">
        <v>114</v>
      </c>
      <c r="W1547" s="16"/>
      <c r="X1547" s="16" t="s">
        <v>115</v>
      </c>
      <c r="Y1547" s="16" t="s">
        <v>110</v>
      </c>
      <c r="Z1547" s="16">
        <v>3</v>
      </c>
      <c r="AA1547" s="16"/>
      <c r="AB1547" s="16"/>
      <c r="AC1547" s="16"/>
      <c r="AD1547" s="16"/>
      <c r="AE1547" s="16" t="s">
        <v>123</v>
      </c>
      <c r="AF1547" s="16" t="s">
        <v>123</v>
      </c>
      <c r="AG1547" s="16"/>
      <c r="AH1547" s="16"/>
      <c r="AI1547" s="16"/>
      <c r="AJ1547" s="16"/>
      <c r="AK1547" s="16">
        <v>19.5</v>
      </c>
      <c r="AL1547" s="16">
        <v>1</v>
      </c>
      <c r="AM1547" s="16">
        <v>0</v>
      </c>
      <c r="AN1547" s="16">
        <v>0</v>
      </c>
      <c r="AO1547" s="16">
        <f>IF(SUM(AL1547:AN1547)&gt;0,1,0)</f>
        <v>1</v>
      </c>
      <c r="AP1547" s="16">
        <f>SUM(AL1547:AN1547)</f>
        <v>1</v>
      </c>
      <c r="AQ1547" s="16"/>
      <c r="AR1547" s="16"/>
      <c r="AS1547" s="16"/>
      <c r="AT1547" s="16"/>
      <c r="AU1547" s="16"/>
      <c r="AV1547" s="16"/>
      <c r="AW1547" s="16"/>
      <c r="AX1547" s="16"/>
      <c r="AY1547" s="16"/>
      <c r="AZ1547" s="16"/>
      <c r="BA1547" s="16"/>
      <c r="BB1547" s="16"/>
      <c r="BC1547" s="16"/>
      <c r="BD1547" s="16"/>
      <c r="BE1547" s="16"/>
      <c r="BF1547" s="16"/>
      <c r="BG1547" s="77"/>
      <c r="BH1547" s="16"/>
      <c r="BI1547" s="16"/>
      <c r="BJ1547" s="16"/>
      <c r="BK1547" s="16"/>
      <c r="BL1547" s="16"/>
      <c r="BM1547" s="16"/>
      <c r="BN1547" s="16"/>
      <c r="BO1547" s="16"/>
      <c r="BP1547" s="16"/>
      <c r="BQ1547" s="16"/>
      <c r="BR1547" s="16"/>
      <c r="BS1547" s="16"/>
      <c r="BT1547" s="77"/>
      <c r="BU1547" s="16"/>
      <c r="BV1547" s="16"/>
      <c r="BW1547" s="16"/>
      <c r="BX1547" s="16"/>
      <c r="BY1547" s="16"/>
      <c r="BZ1547" s="16"/>
      <c r="CA1547" s="16"/>
      <c r="CB1547" s="16"/>
      <c r="CC1547" s="16"/>
      <c r="CD1547" s="77"/>
      <c r="CE1547" s="16"/>
      <c r="CF1547" s="16"/>
      <c r="CG1547" s="16"/>
      <c r="CH1547" s="16"/>
      <c r="CI1547" s="16"/>
      <c r="CJ1547" s="16"/>
      <c r="CK1547" s="16"/>
      <c r="CL1547" s="16"/>
      <c r="CM1547" s="16"/>
      <c r="CN1547" s="16"/>
      <c r="CO1547" s="16"/>
      <c r="CP1547" s="16"/>
      <c r="CQ1547" s="16"/>
      <c r="CR1547" s="16"/>
      <c r="CS1547" s="16"/>
      <c r="CT1547" s="16"/>
      <c r="CU1547" s="16"/>
      <c r="CV1547" s="16"/>
      <c r="CW1547" s="16"/>
      <c r="CX1547" s="16"/>
      <c r="CY1547" s="16"/>
      <c r="CZ1547" s="16"/>
      <c r="DA1547" s="16"/>
      <c r="DB1547" s="16"/>
      <c r="DC1547" s="16"/>
      <c r="DD1547" s="16"/>
      <c r="DE1547" s="16"/>
      <c r="DF1547" s="16" t="e">
        <f>VLOOKUP(K1547,'[3]RNA Seq summary tables'!$V$3:$V$99,1,FALSE)</f>
        <v>#N/A</v>
      </c>
      <c r="DG1547" s="16"/>
      <c r="DH1547" s="16"/>
      <c r="DI1547" s="16"/>
      <c r="DJ1547" s="16"/>
      <c r="DK1547" s="16"/>
      <c r="DL1547" s="16"/>
      <c r="DM1547" s="16"/>
      <c r="DN1547" s="16"/>
      <c r="DO1547" s="16"/>
      <c r="DP1547" s="16"/>
      <c r="DQ1547" s="16"/>
      <c r="DR1547" s="16"/>
      <c r="DS1547" s="16"/>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18"/>
      <c r="EQ1547" s="18"/>
      <c r="ER1547" s="18"/>
      <c r="ES1547" s="18"/>
      <c r="ET1547" s="18"/>
      <c r="EU1547" s="18"/>
      <c r="EV1547" s="18"/>
      <c r="EW1547" s="18"/>
      <c r="EX1547" s="18"/>
      <c r="EY1547" s="18"/>
      <c r="EZ1547" s="18"/>
      <c r="FA1547" s="18"/>
      <c r="FB1547" s="18"/>
      <c r="FC1547" s="18"/>
      <c r="FD1547" s="18"/>
      <c r="FE1547" s="18"/>
      <c r="FF1547" s="18"/>
      <c r="FG1547" s="18"/>
      <c r="FH1547" s="18"/>
      <c r="FI1547" s="18"/>
      <c r="FJ1547" s="18"/>
      <c r="FK1547" s="18"/>
      <c r="FL1547" s="18"/>
      <c r="FM1547" s="18"/>
      <c r="FN1547" s="18"/>
      <c r="FO1547" s="18"/>
      <c r="FP1547" s="18"/>
      <c r="FQ1547" s="18"/>
      <c r="FR1547" s="18"/>
      <c r="FS1547" s="18"/>
      <c r="FT1547" s="18"/>
      <c r="FU1547" s="18"/>
      <c r="FV1547" s="18"/>
      <c r="FW1547" s="18"/>
      <c r="FX1547" s="18"/>
      <c r="FY1547" s="18"/>
      <c r="FZ1547" s="18"/>
      <c r="GA1547" s="18"/>
      <c r="GB1547" s="18"/>
      <c r="GC1547" s="18"/>
      <c r="GD1547" s="18"/>
      <c r="GE1547" s="18"/>
      <c r="GF1547" s="18"/>
      <c r="GG1547" s="18"/>
      <c r="GH1547" s="18"/>
      <c r="GI1547" s="18"/>
      <c r="GJ1547" s="18"/>
      <c r="GK1547" s="18"/>
      <c r="GL1547" s="18"/>
      <c r="GM1547" s="18"/>
      <c r="GN1547" s="18"/>
      <c r="GO1547" s="18"/>
      <c r="GP1547" s="18"/>
      <c r="GQ1547" s="18"/>
      <c r="GR1547" s="18"/>
      <c r="GS1547" s="18"/>
      <c r="GT1547" s="18"/>
      <c r="GU1547" s="18"/>
      <c r="GV1547" s="18"/>
      <c r="GW1547" s="18"/>
      <c r="GX1547" s="18"/>
      <c r="GY1547" s="18"/>
      <c r="GZ1547" s="18"/>
      <c r="HA1547" s="18"/>
      <c r="HB1547" s="18"/>
      <c r="HC1547" s="18"/>
      <c r="HD1547" s="18"/>
      <c r="HE1547" s="18"/>
      <c r="HF1547" s="18"/>
      <c r="HG1547" s="18"/>
      <c r="HH1547" s="18"/>
      <c r="HI1547" s="18"/>
      <c r="HJ1547" s="18"/>
      <c r="HK1547" s="18"/>
      <c r="HL1547" s="18"/>
      <c r="HM1547" s="18"/>
      <c r="HN1547" s="18"/>
      <c r="HO1547" s="18"/>
      <c r="HP1547" s="18"/>
      <c r="HQ1547" s="18"/>
      <c r="HR1547" s="18"/>
      <c r="HS1547" s="18"/>
      <c r="HT1547" s="18"/>
      <c r="HU1547" s="18"/>
      <c r="HV1547" s="18"/>
      <c r="HW1547" s="18"/>
      <c r="HX1547" s="18"/>
      <c r="HY1547" s="18"/>
      <c r="HZ1547" s="18"/>
      <c r="IA1547" s="18"/>
      <c r="IB1547" s="18"/>
      <c r="IC1547" s="18"/>
      <c r="ID1547" s="18"/>
      <c r="IE1547" s="18"/>
      <c r="IF1547" s="18"/>
      <c r="IG1547" s="18"/>
      <c r="IH1547" s="18"/>
      <c r="II1547" s="18"/>
      <c r="IJ1547" s="18"/>
      <c r="IK1547" s="18"/>
      <c r="IL1547" s="18"/>
      <c r="IM1547" s="18"/>
      <c r="IN1547" s="18"/>
      <c r="IO1547" s="18"/>
      <c r="IP1547" s="18"/>
      <c r="IQ1547" s="18"/>
      <c r="IR1547" s="18"/>
      <c r="IS1547" s="18"/>
      <c r="IT1547" s="18"/>
      <c r="IU1547" s="18"/>
      <c r="IV1547" s="18"/>
      <c r="IW1547" s="18"/>
      <c r="IX1547" s="18"/>
      <c r="IY1547" s="18"/>
      <c r="IZ1547" s="18"/>
      <c r="JA1547" s="18"/>
      <c r="JB1547" s="18"/>
      <c r="JC1547" s="18"/>
      <c r="JD1547" s="18"/>
      <c r="JE1547" s="18"/>
      <c r="JF1547" s="18"/>
      <c r="JG1547" s="18"/>
      <c r="JH1547" s="18"/>
      <c r="JI1547" s="18"/>
      <c r="JJ1547" s="18"/>
      <c r="JK1547" s="18"/>
      <c r="JL1547" s="18"/>
      <c r="JM1547" s="18"/>
      <c r="JN1547" s="18"/>
      <c r="JO1547" s="16"/>
      <c r="JP1547" s="16"/>
      <c r="JQ1547" s="16"/>
      <c r="JR1547" s="16"/>
      <c r="JS1547" s="16"/>
      <c r="JT1547" s="16"/>
      <c r="JU1547" s="16"/>
      <c r="JV1547" s="16"/>
      <c r="JW1547" s="16"/>
      <c r="JX1547" s="16"/>
      <c r="JY1547" s="16"/>
      <c r="JZ1547" s="16"/>
      <c r="KA1547" s="16"/>
      <c r="KB1547" s="16"/>
    </row>
    <row r="1548" spans="1:288" s="27" customFormat="1" x14ac:dyDescent="0.2">
      <c r="A1548" s="18"/>
      <c r="B1548" s="16">
        <v>2016</v>
      </c>
      <c r="C1548" s="20">
        <v>42535</v>
      </c>
      <c r="D1548" s="20" t="str">
        <f>CONCATENATE(J1548,"-",C1548)</f>
        <v>942-42535</v>
      </c>
      <c r="E1548" s="20" t="str">
        <f>CONCATENATE(T1548,"-",U1548,"-",C1548)</f>
        <v>HW2-D3-42535</v>
      </c>
      <c r="F1548" s="20" t="s">
        <v>106</v>
      </c>
      <c r="G1548" s="90" t="s">
        <v>278</v>
      </c>
      <c r="H1548" s="16"/>
      <c r="I1548" s="16"/>
      <c r="J1548" s="21">
        <v>942</v>
      </c>
      <c r="K1548" s="21"/>
      <c r="L1548" s="16"/>
      <c r="M1548" s="21"/>
      <c r="N1548" s="21"/>
      <c r="O1548" s="21"/>
      <c r="P1548" s="16"/>
      <c r="Q1548" s="16"/>
      <c r="R1548" s="16"/>
      <c r="S1548" s="16"/>
      <c r="T1548" s="16" t="s">
        <v>129</v>
      </c>
      <c r="U1548" s="16" t="s">
        <v>149</v>
      </c>
      <c r="V1548" s="16" t="s">
        <v>114</v>
      </c>
      <c r="W1548" s="16"/>
      <c r="X1548" s="16" t="s">
        <v>115</v>
      </c>
      <c r="Y1548" s="16" t="s">
        <v>110</v>
      </c>
      <c r="Z1548" s="16">
        <v>3</v>
      </c>
      <c r="AA1548" s="16"/>
      <c r="AB1548" s="16"/>
      <c r="AC1548" s="16"/>
      <c r="AD1548" s="16"/>
      <c r="AE1548" s="16" t="s">
        <v>123</v>
      </c>
      <c r="AF1548" s="16" t="s">
        <v>123</v>
      </c>
      <c r="AG1548" s="16"/>
      <c r="AH1548" s="16"/>
      <c r="AI1548" s="16"/>
      <c r="AJ1548" s="16"/>
      <c r="AK1548" s="16">
        <v>19.5</v>
      </c>
      <c r="AL1548" s="16">
        <v>0</v>
      </c>
      <c r="AM1548" s="16">
        <v>0</v>
      </c>
      <c r="AN1548" s="16">
        <v>0</v>
      </c>
      <c r="AO1548" s="16">
        <f>IF(SUM(AL1548:AN1548)&gt;0,1,0)</f>
        <v>0</v>
      </c>
      <c r="AP1548" s="16">
        <f>SUM(AL1548:AN1548)</f>
        <v>0</v>
      </c>
      <c r="AQ1548" s="16"/>
      <c r="AR1548" s="16"/>
      <c r="AS1548" s="16"/>
      <c r="AT1548" s="16"/>
      <c r="AU1548" s="16"/>
      <c r="AV1548" s="16"/>
      <c r="AW1548" s="16"/>
      <c r="AX1548" s="16"/>
      <c r="AY1548" s="16"/>
      <c r="AZ1548" s="16"/>
      <c r="BA1548" s="16"/>
      <c r="BB1548" s="16"/>
      <c r="BC1548" s="16"/>
      <c r="BD1548" s="16"/>
      <c r="BE1548" s="16"/>
      <c r="BF1548" s="16"/>
      <c r="BG1548" s="77"/>
      <c r="BH1548" s="16"/>
      <c r="BI1548" s="16"/>
      <c r="BJ1548" s="16"/>
      <c r="BK1548" s="16"/>
      <c r="BL1548" s="16"/>
      <c r="BM1548" s="16"/>
      <c r="BN1548" s="16"/>
      <c r="BO1548" s="16"/>
      <c r="BP1548" s="16"/>
      <c r="BQ1548" s="16"/>
      <c r="BR1548" s="16"/>
      <c r="BS1548" s="16"/>
      <c r="BT1548" s="77"/>
      <c r="BU1548" s="16"/>
      <c r="BV1548" s="16"/>
      <c r="BW1548" s="16"/>
      <c r="BX1548" s="16"/>
      <c r="BY1548" s="16"/>
      <c r="BZ1548" s="16"/>
      <c r="CA1548" s="16"/>
      <c r="CB1548" s="16"/>
      <c r="CC1548" s="16"/>
      <c r="CD1548" s="77"/>
      <c r="CE1548" s="16"/>
      <c r="CF1548" s="16"/>
      <c r="CG1548" s="16"/>
      <c r="CH1548" s="16"/>
      <c r="CI1548" s="16"/>
      <c r="CJ1548" s="16"/>
      <c r="CK1548" s="16"/>
      <c r="CL1548" s="16"/>
      <c r="CM1548" s="16"/>
      <c r="CN1548" s="16"/>
      <c r="CO1548" s="16"/>
      <c r="CP1548" s="16"/>
      <c r="CQ1548" s="16"/>
      <c r="CR1548" s="16"/>
      <c r="CS1548" s="16"/>
      <c r="CT1548" s="16"/>
      <c r="CU1548" s="16"/>
      <c r="CV1548" s="16"/>
      <c r="CW1548" s="16"/>
      <c r="CX1548" s="16"/>
      <c r="CY1548" s="16"/>
      <c r="CZ1548" s="16"/>
      <c r="DA1548" s="16"/>
      <c r="DB1548" s="16"/>
      <c r="DC1548" s="16"/>
      <c r="DD1548" s="16"/>
      <c r="DE1548" s="16"/>
      <c r="DF1548" s="16" t="e">
        <f>VLOOKUP(K1548,'[3]RNA Seq summary tables'!$V$3:$V$99,1,FALSE)</f>
        <v>#N/A</v>
      </c>
      <c r="DG1548" s="16"/>
      <c r="DH1548" s="16"/>
      <c r="DI1548" s="16"/>
      <c r="DJ1548" s="16"/>
      <c r="DK1548" s="16"/>
      <c r="DL1548" s="16"/>
      <c r="DM1548" s="16"/>
      <c r="DN1548" s="16"/>
      <c r="DO1548" s="16"/>
      <c r="DP1548" s="16"/>
      <c r="DQ1548" s="16"/>
      <c r="DR1548" s="16"/>
      <c r="DS1548" s="16"/>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18"/>
      <c r="EQ1548" s="18"/>
      <c r="ER1548" s="18"/>
      <c r="ES1548" s="18"/>
      <c r="ET1548" s="18"/>
      <c r="EU1548" s="18"/>
      <c r="EV1548" s="18"/>
      <c r="EW1548" s="18"/>
      <c r="EX1548" s="18"/>
      <c r="EY1548" s="18"/>
      <c r="EZ1548" s="18"/>
      <c r="FA1548" s="18"/>
      <c r="FB1548" s="18"/>
      <c r="FC1548" s="18"/>
      <c r="FD1548" s="18"/>
      <c r="FE1548" s="18"/>
      <c r="FF1548" s="18"/>
      <c r="FG1548" s="18"/>
      <c r="FH1548" s="18"/>
      <c r="FI1548" s="18"/>
      <c r="FJ1548" s="18"/>
      <c r="FK1548" s="18"/>
      <c r="FL1548" s="18"/>
      <c r="FM1548" s="18"/>
      <c r="FN1548" s="18"/>
      <c r="FO1548" s="18"/>
      <c r="FP1548" s="18"/>
      <c r="FQ1548" s="18"/>
      <c r="FR1548" s="18"/>
      <c r="FS1548" s="18"/>
      <c r="FT1548" s="18"/>
      <c r="FU1548" s="18"/>
      <c r="FV1548" s="18"/>
      <c r="FW1548" s="18"/>
      <c r="FX1548" s="18"/>
      <c r="FY1548" s="18"/>
      <c r="FZ1548" s="18"/>
      <c r="GA1548" s="18"/>
      <c r="GB1548" s="18"/>
      <c r="GC1548" s="18"/>
      <c r="GD1548" s="18"/>
      <c r="GE1548" s="18"/>
      <c r="GF1548" s="18"/>
      <c r="GG1548" s="18"/>
      <c r="GH1548" s="18"/>
      <c r="GI1548" s="18"/>
      <c r="GJ1548" s="18"/>
      <c r="GK1548" s="18"/>
      <c r="GL1548" s="18"/>
      <c r="GM1548" s="18"/>
      <c r="GN1548" s="18"/>
      <c r="GO1548" s="18"/>
      <c r="GP1548" s="18"/>
      <c r="GQ1548" s="18"/>
      <c r="GR1548" s="18"/>
      <c r="GS1548" s="18"/>
      <c r="GT1548" s="18"/>
      <c r="GU1548" s="18"/>
      <c r="GV1548" s="18"/>
      <c r="GW1548" s="18"/>
      <c r="GX1548" s="18"/>
      <c r="GY1548" s="18"/>
      <c r="GZ1548" s="18"/>
      <c r="HA1548" s="18"/>
      <c r="HB1548" s="18"/>
      <c r="HC1548" s="18"/>
      <c r="HD1548" s="18"/>
      <c r="HE1548" s="18"/>
      <c r="HF1548" s="18"/>
      <c r="HG1548" s="18"/>
      <c r="HH1548" s="18"/>
      <c r="HI1548" s="18"/>
      <c r="HJ1548" s="18"/>
      <c r="HK1548" s="18"/>
      <c r="HL1548" s="18"/>
      <c r="HM1548" s="18"/>
      <c r="HN1548" s="18"/>
      <c r="HO1548" s="18"/>
      <c r="HP1548" s="18"/>
      <c r="HQ1548" s="18"/>
      <c r="HR1548" s="18"/>
      <c r="HS1548" s="18"/>
      <c r="HT1548" s="18"/>
      <c r="HU1548" s="18"/>
      <c r="HV1548" s="18"/>
      <c r="HW1548" s="18"/>
      <c r="HX1548" s="18"/>
      <c r="HY1548" s="18"/>
      <c r="HZ1548" s="18"/>
      <c r="IA1548" s="18"/>
      <c r="IB1548" s="18"/>
      <c r="IC1548" s="18"/>
      <c r="ID1548" s="18"/>
      <c r="IE1548" s="18"/>
      <c r="IF1548" s="18"/>
      <c r="IG1548" s="18"/>
      <c r="IH1548" s="18"/>
      <c r="II1548" s="18"/>
      <c r="IJ1548" s="18"/>
      <c r="IK1548" s="18"/>
      <c r="IL1548" s="18"/>
      <c r="IM1548" s="18"/>
      <c r="IN1548" s="18"/>
      <c r="IO1548" s="18"/>
      <c r="IP1548" s="18"/>
      <c r="IQ1548" s="18"/>
      <c r="IR1548" s="18"/>
      <c r="IS1548" s="18"/>
      <c r="IT1548" s="18"/>
      <c r="IU1548" s="18"/>
      <c r="IV1548" s="18"/>
      <c r="IW1548" s="18"/>
      <c r="IX1548" s="18"/>
      <c r="IY1548" s="18"/>
      <c r="IZ1548" s="18"/>
      <c r="JA1548" s="18"/>
      <c r="JB1548" s="18"/>
      <c r="JC1548" s="18"/>
      <c r="JD1548" s="18"/>
      <c r="JE1548" s="18"/>
      <c r="JF1548" s="18"/>
      <c r="JG1548" s="18"/>
      <c r="JH1548" s="18"/>
      <c r="JI1548" s="18"/>
      <c r="JJ1548" s="18"/>
      <c r="JK1548" s="18"/>
      <c r="JL1548" s="18"/>
      <c r="JM1548" s="18"/>
      <c r="JN1548" s="18"/>
      <c r="JO1548" s="16"/>
      <c r="JP1548" s="16"/>
      <c r="JQ1548" s="16"/>
      <c r="JR1548" s="16"/>
      <c r="JS1548" s="16"/>
      <c r="JT1548" s="16"/>
      <c r="JU1548" s="16"/>
      <c r="JV1548" s="16"/>
      <c r="JW1548" s="16"/>
      <c r="JX1548" s="16"/>
      <c r="JY1548" s="16"/>
      <c r="JZ1548" s="16"/>
      <c r="KA1548" s="16"/>
      <c r="KB1548" s="16"/>
    </row>
    <row r="1549" spans="1:288" s="27" customFormat="1" x14ac:dyDescent="0.2">
      <c r="A1549" s="18"/>
      <c r="B1549" s="16">
        <v>2016</v>
      </c>
      <c r="C1549" s="20">
        <v>42536</v>
      </c>
      <c r="D1549" s="20" t="str">
        <f>CONCATENATE(J1549,"-",C1549)</f>
        <v>942-42536</v>
      </c>
      <c r="E1549" s="20" t="str">
        <f>CONCATENATE(T1549,"-",U1549,"-",C1549)</f>
        <v>HW2-E3-42536</v>
      </c>
      <c r="F1549" s="20" t="s">
        <v>106</v>
      </c>
      <c r="G1549" s="90" t="s">
        <v>278</v>
      </c>
      <c r="H1549" s="16"/>
      <c r="I1549" s="16"/>
      <c r="J1549" s="21">
        <v>942</v>
      </c>
      <c r="K1549" s="21"/>
      <c r="L1549" s="16"/>
      <c r="M1549" s="21"/>
      <c r="N1549" s="21"/>
      <c r="O1549" s="21"/>
      <c r="P1549" s="16"/>
      <c r="Q1549" s="16"/>
      <c r="R1549" s="16"/>
      <c r="S1549" s="16"/>
      <c r="T1549" s="16" t="s">
        <v>129</v>
      </c>
      <c r="U1549" s="16" t="s">
        <v>225</v>
      </c>
      <c r="V1549" s="16"/>
      <c r="W1549" s="16"/>
      <c r="X1549" s="16" t="s">
        <v>115</v>
      </c>
      <c r="Y1549" s="16" t="s">
        <v>110</v>
      </c>
      <c r="Z1549" s="16">
        <v>3</v>
      </c>
      <c r="AA1549" s="16"/>
      <c r="AB1549" s="16"/>
      <c r="AC1549" s="16"/>
      <c r="AD1549" s="16"/>
      <c r="AE1549" s="16" t="s">
        <v>123</v>
      </c>
      <c r="AF1549" s="16" t="s">
        <v>123</v>
      </c>
      <c r="AG1549" s="16"/>
      <c r="AH1549" s="16"/>
      <c r="AI1549" s="16"/>
      <c r="AJ1549" s="16"/>
      <c r="AK1549" s="16">
        <v>18.5</v>
      </c>
      <c r="AL1549" s="16">
        <v>0</v>
      </c>
      <c r="AM1549" s="16">
        <v>1</v>
      </c>
      <c r="AN1549" s="16">
        <v>0</v>
      </c>
      <c r="AO1549" s="16">
        <f>IF(SUM(AL1549:AN1549)&gt;0,1,0)</f>
        <v>1</v>
      </c>
      <c r="AP1549" s="16">
        <f>SUM(AL1549:AN1549)</f>
        <v>1</v>
      </c>
      <c r="AQ1549" s="16"/>
      <c r="AR1549" s="16"/>
      <c r="AS1549" s="16"/>
      <c r="AT1549" s="16"/>
      <c r="AU1549" s="16"/>
      <c r="AV1549" s="16"/>
      <c r="AW1549" s="16"/>
      <c r="AX1549" s="16"/>
      <c r="AY1549" s="16"/>
      <c r="AZ1549" s="16"/>
      <c r="BA1549" s="16"/>
      <c r="BB1549" s="16"/>
      <c r="BC1549" s="16"/>
      <c r="BD1549" s="16"/>
      <c r="BE1549" s="16"/>
      <c r="BF1549" s="16"/>
      <c r="BG1549" s="77"/>
      <c r="BH1549" s="16"/>
      <c r="BI1549" s="16"/>
      <c r="BJ1549" s="16"/>
      <c r="BK1549" s="16"/>
      <c r="BL1549" s="16"/>
      <c r="BM1549" s="16"/>
      <c r="BN1549" s="16"/>
      <c r="BO1549" s="16"/>
      <c r="BP1549" s="16"/>
      <c r="BQ1549" s="16"/>
      <c r="BR1549" s="16"/>
      <c r="BS1549" s="16"/>
      <c r="BT1549" s="77"/>
      <c r="BU1549" s="16"/>
      <c r="BV1549" s="16"/>
      <c r="BW1549" s="16"/>
      <c r="BX1549" s="16"/>
      <c r="BY1549" s="16"/>
      <c r="BZ1549" s="16"/>
      <c r="CA1549" s="16"/>
      <c r="CB1549" s="16"/>
      <c r="CC1549" s="16"/>
      <c r="CD1549" s="77"/>
      <c r="CE1549" s="16"/>
      <c r="CF1549" s="16"/>
      <c r="CG1549" s="16"/>
      <c r="CH1549" s="16"/>
      <c r="CI1549" s="16"/>
      <c r="CJ1549" s="16"/>
      <c r="CK1549" s="16"/>
      <c r="CL1549" s="16"/>
      <c r="CM1549" s="16"/>
      <c r="CN1549" s="16"/>
      <c r="CO1549" s="16"/>
      <c r="CP1549" s="16"/>
      <c r="CQ1549" s="16"/>
      <c r="CR1549" s="16"/>
      <c r="CS1549" s="16"/>
      <c r="CT1549" s="16"/>
      <c r="CU1549" s="16"/>
      <c r="CV1549" s="16"/>
      <c r="CW1549" s="16"/>
      <c r="CX1549" s="16"/>
      <c r="CY1549" s="16"/>
      <c r="CZ1549" s="16"/>
      <c r="DA1549" s="16"/>
      <c r="DB1549" s="16"/>
      <c r="DC1549" s="16"/>
      <c r="DD1549" s="16"/>
      <c r="DE1549" s="16"/>
      <c r="DF1549" s="16" t="e">
        <f>VLOOKUP(K1549,'[3]RNA Seq summary tables'!$V$3:$V$99,1,FALSE)</f>
        <v>#N/A</v>
      </c>
      <c r="DG1549" s="16"/>
      <c r="DH1549" s="16"/>
      <c r="DI1549" s="16"/>
      <c r="DJ1549" s="16"/>
      <c r="DK1549" s="16"/>
      <c r="DL1549" s="16"/>
      <c r="DM1549" s="16"/>
      <c r="DN1549" s="16"/>
      <c r="DO1549" s="16"/>
      <c r="DP1549" s="16"/>
      <c r="DQ1549" s="16"/>
      <c r="DR1549" s="16"/>
      <c r="DS1549" s="16"/>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18"/>
      <c r="EQ1549" s="18"/>
      <c r="ER1549" s="18"/>
      <c r="ES1549" s="18"/>
      <c r="ET1549" s="18"/>
      <c r="EU1549" s="18"/>
      <c r="EV1549" s="18"/>
      <c r="EW1549" s="18"/>
      <c r="EX1549" s="18"/>
      <c r="EY1549" s="18"/>
      <c r="EZ1549" s="18"/>
      <c r="FA1549" s="18"/>
      <c r="FB1549" s="18"/>
      <c r="FC1549" s="18"/>
      <c r="FD1549" s="18"/>
      <c r="FE1549" s="18"/>
      <c r="FF1549" s="18"/>
      <c r="FG1549" s="18"/>
      <c r="FH1549" s="18"/>
      <c r="FI1549" s="18"/>
      <c r="FJ1549" s="18"/>
      <c r="FK1549" s="18"/>
      <c r="FL1549" s="18"/>
      <c r="FM1549" s="18"/>
      <c r="FN1549" s="18"/>
      <c r="FO1549" s="18"/>
      <c r="FP1549" s="18"/>
      <c r="FQ1549" s="18"/>
      <c r="FR1549" s="18"/>
      <c r="FS1549" s="18"/>
      <c r="FT1549" s="18"/>
      <c r="FU1549" s="18"/>
      <c r="FV1549" s="18"/>
      <c r="FW1549" s="18"/>
      <c r="FX1549" s="18"/>
      <c r="FY1549" s="18"/>
      <c r="FZ1549" s="18"/>
      <c r="GA1549" s="18"/>
      <c r="GB1549" s="18"/>
      <c r="GC1549" s="18"/>
      <c r="GD1549" s="18"/>
      <c r="GE1549" s="18"/>
      <c r="GF1549" s="18"/>
      <c r="GG1549" s="18"/>
      <c r="GH1549" s="18"/>
      <c r="GI1549" s="18"/>
      <c r="GJ1549" s="18"/>
      <c r="GK1549" s="18"/>
      <c r="GL1549" s="18"/>
      <c r="GM1549" s="18"/>
      <c r="GN1549" s="18"/>
      <c r="GO1549" s="18"/>
      <c r="GP1549" s="18"/>
      <c r="GQ1549" s="18"/>
      <c r="GR1549" s="18"/>
      <c r="GS1549" s="18"/>
      <c r="GT1549" s="18"/>
      <c r="GU1549" s="18"/>
      <c r="GV1549" s="18"/>
      <c r="GW1549" s="18"/>
      <c r="GX1549" s="18"/>
      <c r="GY1549" s="18"/>
      <c r="GZ1549" s="18"/>
      <c r="HA1549" s="18"/>
      <c r="HB1549" s="18"/>
      <c r="HC1549" s="18"/>
      <c r="HD1549" s="18"/>
      <c r="HE1549" s="18"/>
      <c r="HF1549" s="18"/>
      <c r="HG1549" s="18"/>
      <c r="HH1549" s="18"/>
      <c r="HI1549" s="18"/>
      <c r="HJ1549" s="18"/>
      <c r="HK1549" s="18"/>
      <c r="HL1549" s="18"/>
      <c r="HM1549" s="18"/>
      <c r="HN1549" s="18"/>
      <c r="HO1549" s="18"/>
      <c r="HP1549" s="18"/>
      <c r="HQ1549" s="18"/>
      <c r="HR1549" s="18"/>
      <c r="HS1549" s="18"/>
      <c r="HT1549" s="18"/>
      <c r="HU1549" s="18"/>
      <c r="HV1549" s="18"/>
      <c r="HW1549" s="18"/>
      <c r="HX1549" s="18"/>
      <c r="HY1549" s="18"/>
      <c r="HZ1549" s="18"/>
      <c r="IA1549" s="18"/>
      <c r="IB1549" s="18"/>
      <c r="IC1549" s="18"/>
      <c r="ID1549" s="18"/>
      <c r="IE1549" s="18"/>
      <c r="IF1549" s="18"/>
      <c r="IG1549" s="18"/>
      <c r="IH1549" s="18"/>
      <c r="II1549" s="18"/>
      <c r="IJ1549" s="18"/>
      <c r="IK1549" s="18"/>
      <c r="IL1549" s="18"/>
      <c r="IM1549" s="18"/>
      <c r="IN1549" s="18"/>
      <c r="IO1549" s="18"/>
      <c r="IP1549" s="18"/>
      <c r="IQ1549" s="18"/>
      <c r="IR1549" s="18"/>
      <c r="IS1549" s="18"/>
      <c r="IT1549" s="18"/>
      <c r="IU1549" s="18"/>
      <c r="IV1549" s="18"/>
      <c r="IW1549" s="18"/>
      <c r="IX1549" s="18"/>
      <c r="IY1549" s="18"/>
      <c r="IZ1549" s="18"/>
      <c r="JA1549" s="18"/>
      <c r="JB1549" s="18"/>
      <c r="JC1549" s="18"/>
      <c r="JD1549" s="18"/>
      <c r="JE1549" s="18"/>
      <c r="JF1549" s="18"/>
      <c r="JG1549" s="18"/>
      <c r="JH1549" s="18"/>
      <c r="JI1549" s="18"/>
      <c r="JJ1549" s="18"/>
      <c r="JK1549" s="18"/>
      <c r="JL1549" s="18"/>
      <c r="JM1549" s="18"/>
      <c r="JN1549" s="18"/>
      <c r="JO1549" s="16"/>
      <c r="JP1549" s="16"/>
      <c r="JQ1549" s="16"/>
      <c r="JR1549" s="16"/>
      <c r="JS1549" s="16"/>
      <c r="JT1549" s="16"/>
      <c r="JU1549" s="16"/>
      <c r="JV1549" s="16"/>
      <c r="JW1549" s="16"/>
      <c r="JX1549" s="16"/>
      <c r="JY1549" s="16"/>
      <c r="JZ1549" s="16"/>
      <c r="KA1549" s="16"/>
      <c r="KB1549" s="16"/>
    </row>
    <row r="1550" spans="1:288" s="27" customFormat="1" x14ac:dyDescent="0.2">
      <c r="A1550" s="18"/>
      <c r="B1550" s="16">
        <v>2016</v>
      </c>
      <c r="C1550" s="20">
        <v>42521</v>
      </c>
      <c r="D1550" s="20" t="str">
        <f>CONCATENATE(J1550,"-",C1550)</f>
        <v>943-42521</v>
      </c>
      <c r="E1550" s="20" t="str">
        <f>CONCATENATE(T1550,"-",U1550,"-",C1550)</f>
        <v>HW1-H6-42521</v>
      </c>
      <c r="F1550" s="20" t="s">
        <v>106</v>
      </c>
      <c r="G1550" s="90" t="s">
        <v>278</v>
      </c>
      <c r="H1550" s="16"/>
      <c r="I1550" s="16"/>
      <c r="J1550" s="21">
        <v>943</v>
      </c>
      <c r="K1550" s="21"/>
      <c r="L1550" s="16"/>
      <c r="M1550" s="21"/>
      <c r="N1550" s="21"/>
      <c r="O1550" s="21"/>
      <c r="P1550" s="16"/>
      <c r="Q1550" s="16"/>
      <c r="R1550" s="16"/>
      <c r="S1550" s="16"/>
      <c r="T1550" s="16" t="s">
        <v>133</v>
      </c>
      <c r="U1550" s="16" t="s">
        <v>141</v>
      </c>
      <c r="V1550" s="16" t="s">
        <v>114</v>
      </c>
      <c r="W1550" s="16"/>
      <c r="X1550" s="16" t="s">
        <v>115</v>
      </c>
      <c r="Y1550" s="16"/>
      <c r="Z1550" s="16"/>
      <c r="AA1550" s="16"/>
      <c r="AB1550" s="16"/>
      <c r="AC1550" s="16"/>
      <c r="AD1550" s="16"/>
      <c r="AE1550" s="16"/>
      <c r="AF1550" s="16"/>
      <c r="AG1550" s="16"/>
      <c r="AH1550" s="16"/>
      <c r="AI1550" s="16"/>
      <c r="AJ1550" s="16"/>
      <c r="AK1550" s="16">
        <v>18</v>
      </c>
      <c r="AL1550" s="16">
        <v>0</v>
      </c>
      <c r="AM1550" s="16">
        <v>1</v>
      </c>
      <c r="AN1550" s="16">
        <v>0</v>
      </c>
      <c r="AO1550" s="16">
        <f>IF(SUM(AL1550:AN1550)&gt;0,1,0)</f>
        <v>1</v>
      </c>
      <c r="AP1550" s="16">
        <f>SUM(AL1550:AN1550)</f>
        <v>1</v>
      </c>
      <c r="AQ1550" s="16"/>
      <c r="AR1550" s="16"/>
      <c r="AS1550" s="16"/>
      <c r="AT1550" s="16"/>
      <c r="AU1550" s="16"/>
      <c r="AV1550" s="16"/>
      <c r="AW1550" s="16"/>
      <c r="AX1550" s="16"/>
      <c r="AY1550" s="16"/>
      <c r="AZ1550" s="16"/>
      <c r="BA1550" s="16"/>
      <c r="BB1550" s="16"/>
      <c r="BC1550" s="16"/>
      <c r="BD1550" s="16"/>
      <c r="BE1550" s="16"/>
      <c r="BF1550" s="16"/>
      <c r="BG1550" s="77"/>
      <c r="BH1550" s="16"/>
      <c r="BI1550" s="16"/>
      <c r="BJ1550" s="16"/>
      <c r="BK1550" s="16"/>
      <c r="BL1550" s="16"/>
      <c r="BM1550" s="16"/>
      <c r="BN1550" s="16"/>
      <c r="BO1550" s="16"/>
      <c r="BP1550" s="16"/>
      <c r="BQ1550" s="16"/>
      <c r="BR1550" s="16"/>
      <c r="BS1550" s="16"/>
      <c r="BT1550" s="77"/>
      <c r="BU1550" s="16"/>
      <c r="BV1550" s="16"/>
      <c r="BW1550" s="16"/>
      <c r="BX1550" s="16"/>
      <c r="BY1550" s="16"/>
      <c r="BZ1550" s="16"/>
      <c r="CA1550" s="16"/>
      <c r="CB1550" s="16"/>
      <c r="CC1550" s="16"/>
      <c r="CD1550" s="77"/>
      <c r="CE1550" s="16"/>
      <c r="CF1550" s="16"/>
      <c r="CG1550" s="16"/>
      <c r="CH1550" s="16"/>
      <c r="CI1550" s="16"/>
      <c r="CJ1550" s="16"/>
      <c r="CK1550" s="16"/>
      <c r="CL1550" s="16"/>
      <c r="CM1550" s="16"/>
      <c r="CN1550" s="16"/>
      <c r="CO1550" s="16"/>
      <c r="CP1550" s="16"/>
      <c r="CQ1550" s="16"/>
      <c r="CR1550" s="16"/>
      <c r="CS1550" s="16"/>
      <c r="CT1550" s="16"/>
      <c r="CU1550" s="16"/>
      <c r="CV1550" s="16"/>
      <c r="CW1550" s="16"/>
      <c r="CX1550" s="16"/>
      <c r="CY1550" s="16"/>
      <c r="CZ1550" s="16"/>
      <c r="DA1550" s="16"/>
      <c r="DB1550" s="16"/>
      <c r="DC1550" s="16"/>
      <c r="DD1550" s="16"/>
      <c r="DE1550" s="16"/>
      <c r="DF1550" s="16" t="e">
        <f>VLOOKUP(K1550,'[3]RNA Seq summary tables'!$V$3:$V$99,1,FALSE)</f>
        <v>#N/A</v>
      </c>
      <c r="DG1550" s="16"/>
      <c r="DH1550" s="16"/>
      <c r="DI1550" s="16"/>
      <c r="DJ1550" s="16"/>
      <c r="DK1550" s="16"/>
      <c r="DL1550" s="16"/>
      <c r="DM1550" s="16"/>
      <c r="DN1550" s="16"/>
      <c r="DO1550" s="16"/>
      <c r="DP1550" s="16"/>
      <c r="DQ1550" s="16"/>
      <c r="DR1550" s="16"/>
      <c r="DS1550" s="16"/>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18"/>
      <c r="EQ1550" s="18"/>
      <c r="ER1550" s="18"/>
      <c r="ES1550" s="18"/>
      <c r="ET1550" s="18"/>
      <c r="EU1550" s="18"/>
      <c r="EV1550" s="18"/>
      <c r="EW1550" s="18"/>
      <c r="EX1550" s="18"/>
      <c r="EY1550" s="18"/>
      <c r="EZ1550" s="18"/>
      <c r="FA1550" s="18"/>
      <c r="FB1550" s="18"/>
      <c r="FC1550" s="18"/>
      <c r="FD1550" s="18"/>
      <c r="FE1550" s="18"/>
      <c r="FF1550" s="18"/>
      <c r="FG1550" s="18"/>
      <c r="FH1550" s="18"/>
      <c r="FI1550" s="18"/>
      <c r="FJ1550" s="18"/>
      <c r="FK1550" s="18"/>
      <c r="FL1550" s="18"/>
      <c r="FM1550" s="18"/>
      <c r="FN1550" s="18"/>
      <c r="FO1550" s="18"/>
      <c r="FP1550" s="18"/>
      <c r="FQ1550" s="18"/>
      <c r="FR1550" s="18"/>
      <c r="FS1550" s="18"/>
      <c r="FT1550" s="18"/>
      <c r="FU1550" s="18"/>
      <c r="FV1550" s="18"/>
      <c r="FW1550" s="18"/>
      <c r="FX1550" s="18"/>
      <c r="FY1550" s="18"/>
      <c r="FZ1550" s="18"/>
      <c r="GA1550" s="18"/>
      <c r="GB1550" s="18"/>
      <c r="GC1550" s="18"/>
      <c r="GD1550" s="18"/>
      <c r="GE1550" s="18"/>
      <c r="GF1550" s="18"/>
      <c r="GG1550" s="18"/>
      <c r="GH1550" s="18"/>
      <c r="GI1550" s="18"/>
      <c r="GJ1550" s="18"/>
      <c r="GK1550" s="18"/>
      <c r="GL1550" s="18"/>
      <c r="GM1550" s="18"/>
      <c r="GN1550" s="18"/>
      <c r="GO1550" s="18"/>
      <c r="GP1550" s="18"/>
      <c r="GQ1550" s="18"/>
      <c r="GR1550" s="18"/>
      <c r="GS1550" s="18"/>
      <c r="GT1550" s="18"/>
      <c r="GU1550" s="18"/>
      <c r="GV1550" s="18"/>
      <c r="GW1550" s="18"/>
      <c r="GX1550" s="18"/>
      <c r="GY1550" s="18"/>
      <c r="GZ1550" s="18"/>
      <c r="HA1550" s="18"/>
      <c r="HB1550" s="18"/>
      <c r="HC1550" s="18"/>
      <c r="HD1550" s="18"/>
      <c r="HE1550" s="18"/>
      <c r="HF1550" s="18"/>
      <c r="HG1550" s="18"/>
      <c r="HH1550" s="18"/>
      <c r="HI1550" s="18"/>
      <c r="HJ1550" s="18"/>
      <c r="HK1550" s="18"/>
      <c r="HL1550" s="18"/>
      <c r="HM1550" s="18"/>
      <c r="HN1550" s="18"/>
      <c r="HO1550" s="18"/>
      <c r="HP1550" s="18"/>
      <c r="HQ1550" s="18"/>
      <c r="HR1550" s="18"/>
      <c r="HS1550" s="18"/>
      <c r="HT1550" s="18"/>
      <c r="HU1550" s="18"/>
      <c r="HV1550" s="18"/>
      <c r="HW1550" s="18"/>
      <c r="HX1550" s="18"/>
      <c r="HY1550" s="18"/>
      <c r="HZ1550" s="18"/>
      <c r="IA1550" s="18"/>
      <c r="IB1550" s="18"/>
      <c r="IC1550" s="18"/>
      <c r="ID1550" s="18"/>
      <c r="IE1550" s="18"/>
      <c r="IF1550" s="18"/>
      <c r="IG1550" s="18"/>
      <c r="IH1550" s="18"/>
      <c r="II1550" s="18"/>
      <c r="IJ1550" s="18"/>
      <c r="IK1550" s="18"/>
      <c r="IL1550" s="18"/>
      <c r="IM1550" s="18"/>
      <c r="IN1550" s="18"/>
      <c r="IO1550" s="18"/>
      <c r="IP1550" s="18"/>
      <c r="IQ1550" s="18"/>
      <c r="IR1550" s="18"/>
      <c r="IS1550" s="18"/>
      <c r="IT1550" s="18"/>
      <c r="IU1550" s="18"/>
      <c r="IV1550" s="18"/>
      <c r="IW1550" s="18"/>
      <c r="IX1550" s="18"/>
      <c r="IY1550" s="18"/>
      <c r="IZ1550" s="18"/>
      <c r="JA1550" s="18"/>
      <c r="JB1550" s="18"/>
      <c r="JC1550" s="18"/>
      <c r="JD1550" s="18"/>
      <c r="JE1550" s="18"/>
      <c r="JF1550" s="18"/>
      <c r="JG1550" s="18"/>
      <c r="JH1550" s="18"/>
      <c r="JI1550" s="18"/>
      <c r="JJ1550" s="18"/>
      <c r="JK1550" s="18"/>
      <c r="JL1550" s="18"/>
      <c r="JM1550" s="18"/>
      <c r="JN1550" s="18"/>
      <c r="JO1550" s="16"/>
      <c r="JP1550" s="16"/>
      <c r="JQ1550" s="16"/>
      <c r="JR1550" s="16"/>
      <c r="JS1550" s="16"/>
      <c r="JT1550" s="16"/>
      <c r="JU1550" s="16"/>
      <c r="JV1550" s="16"/>
      <c r="JW1550" s="16"/>
      <c r="JX1550" s="16"/>
      <c r="JY1550" s="16"/>
      <c r="JZ1550" s="16"/>
      <c r="KA1550" s="16"/>
      <c r="KB1550" s="16"/>
    </row>
    <row r="1551" spans="1:288" s="27" customFormat="1" x14ac:dyDescent="0.2">
      <c r="A1551" s="18"/>
      <c r="B1551" s="16">
        <v>2016</v>
      </c>
      <c r="C1551" s="20">
        <v>42521</v>
      </c>
      <c r="D1551" s="20" t="str">
        <f>CONCATENATE(J1551,"-",C1551)</f>
        <v>944-42521</v>
      </c>
      <c r="E1551" s="20" t="str">
        <f>CONCATENATE(T1551,"-",U1551,"-",C1551)</f>
        <v>HW1-D1-42521</v>
      </c>
      <c r="F1551" s="20" t="s">
        <v>106</v>
      </c>
      <c r="G1551" s="90" t="s">
        <v>278</v>
      </c>
      <c r="H1551" s="16"/>
      <c r="I1551" s="16"/>
      <c r="J1551" s="21">
        <v>944</v>
      </c>
      <c r="K1551" s="21"/>
      <c r="L1551" s="16"/>
      <c r="M1551" s="21"/>
      <c r="N1551" s="21"/>
      <c r="O1551" s="21"/>
      <c r="P1551" s="16"/>
      <c r="Q1551" s="16"/>
      <c r="R1551" s="16"/>
      <c r="S1551" s="16"/>
      <c r="T1551" s="16" t="s">
        <v>133</v>
      </c>
      <c r="U1551" s="16" t="s">
        <v>157</v>
      </c>
      <c r="V1551" s="16" t="s">
        <v>114</v>
      </c>
      <c r="W1551" s="16"/>
      <c r="X1551" s="16" t="s">
        <v>115</v>
      </c>
      <c r="Y1551" s="16"/>
      <c r="Z1551" s="16"/>
      <c r="AA1551" s="16"/>
      <c r="AB1551" s="16"/>
      <c r="AC1551" s="16"/>
      <c r="AD1551" s="16"/>
      <c r="AE1551" s="16" t="s">
        <v>123</v>
      </c>
      <c r="AF1551" s="16" t="s">
        <v>123</v>
      </c>
      <c r="AG1551" s="16"/>
      <c r="AH1551" s="16"/>
      <c r="AI1551" s="16"/>
      <c r="AJ1551" s="16"/>
      <c r="AK1551" s="16">
        <v>22.5</v>
      </c>
      <c r="AL1551" s="16">
        <v>0</v>
      </c>
      <c r="AM1551" s="16">
        <v>0</v>
      </c>
      <c r="AN1551" s="16">
        <v>0</v>
      </c>
      <c r="AO1551" s="16">
        <f>IF(SUM(AL1551:AN1551)&gt;0,1,0)</f>
        <v>0</v>
      </c>
      <c r="AP1551" s="16">
        <f>SUM(AL1551:AN1551)</f>
        <v>0</v>
      </c>
      <c r="AQ1551" s="16"/>
      <c r="AR1551" s="16"/>
      <c r="AS1551" s="16"/>
      <c r="AT1551" s="16"/>
      <c r="AU1551" s="16"/>
      <c r="AV1551" s="16"/>
      <c r="AW1551" s="16"/>
      <c r="AX1551" s="16"/>
      <c r="AY1551" s="16"/>
      <c r="AZ1551" s="16"/>
      <c r="BA1551" s="16"/>
      <c r="BB1551" s="16"/>
      <c r="BC1551" s="16"/>
      <c r="BD1551" s="16"/>
      <c r="BE1551" s="16"/>
      <c r="BF1551" s="16"/>
      <c r="BG1551" s="77"/>
      <c r="BH1551" s="16"/>
      <c r="BI1551" s="16"/>
      <c r="BJ1551" s="16"/>
      <c r="BK1551" s="16"/>
      <c r="BL1551" s="16"/>
      <c r="BM1551" s="16"/>
      <c r="BN1551" s="16"/>
      <c r="BO1551" s="16"/>
      <c r="BP1551" s="16"/>
      <c r="BQ1551" s="16"/>
      <c r="BR1551" s="16"/>
      <c r="BS1551" s="16"/>
      <c r="BT1551" s="77"/>
      <c r="BU1551" s="16"/>
      <c r="BV1551" s="16"/>
      <c r="BW1551" s="16"/>
      <c r="BX1551" s="16"/>
      <c r="BY1551" s="16"/>
      <c r="BZ1551" s="16"/>
      <c r="CA1551" s="16"/>
      <c r="CB1551" s="16"/>
      <c r="CC1551" s="16"/>
      <c r="CD1551" s="77"/>
      <c r="CE1551" s="16"/>
      <c r="CF1551" s="16"/>
      <c r="CG1551" s="16"/>
      <c r="CH1551" s="16"/>
      <c r="CI1551" s="16"/>
      <c r="CJ1551" s="16"/>
      <c r="CK1551" s="16"/>
      <c r="CL1551" s="16"/>
      <c r="CM1551" s="16"/>
      <c r="CN1551" s="16"/>
      <c r="CO1551" s="16"/>
      <c r="CP1551" s="16"/>
      <c r="CQ1551" s="16"/>
      <c r="CR1551" s="16"/>
      <c r="CS1551" s="16"/>
      <c r="CT1551" s="16"/>
      <c r="CU1551" s="16"/>
      <c r="CV1551" s="16"/>
      <c r="CW1551" s="16"/>
      <c r="CX1551" s="16"/>
      <c r="CY1551" s="16"/>
      <c r="CZ1551" s="16"/>
      <c r="DA1551" s="16"/>
      <c r="DB1551" s="16"/>
      <c r="DC1551" s="16"/>
      <c r="DD1551" s="16"/>
      <c r="DE1551" s="16"/>
      <c r="DF1551" s="16" t="e">
        <f>VLOOKUP(K1551,'[3]RNA Seq summary tables'!$V$3:$V$99,1,FALSE)</f>
        <v>#N/A</v>
      </c>
      <c r="DG1551" s="16"/>
      <c r="DH1551" s="16"/>
      <c r="DI1551" s="16"/>
      <c r="DJ1551" s="16"/>
      <c r="DK1551" s="16"/>
      <c r="DL1551" s="16"/>
      <c r="DM1551" s="16"/>
      <c r="DN1551" s="16"/>
      <c r="DO1551" s="16"/>
      <c r="DP1551" s="16"/>
      <c r="DQ1551" s="16"/>
      <c r="DR1551" s="16"/>
      <c r="DS1551" s="16"/>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18"/>
      <c r="EQ1551" s="18"/>
      <c r="ER1551" s="18"/>
      <c r="ES1551" s="18"/>
      <c r="ET1551" s="18"/>
      <c r="EU1551" s="18"/>
      <c r="EV1551" s="18"/>
      <c r="EW1551" s="18"/>
      <c r="EX1551" s="18"/>
      <c r="EY1551" s="18"/>
      <c r="EZ1551" s="18"/>
      <c r="FA1551" s="18"/>
      <c r="FB1551" s="18"/>
      <c r="FC1551" s="18"/>
      <c r="FD1551" s="18"/>
      <c r="FE1551" s="18"/>
      <c r="FF1551" s="18"/>
      <c r="FG1551" s="18"/>
      <c r="FH1551" s="18"/>
      <c r="FI1551" s="18"/>
      <c r="FJ1551" s="18"/>
      <c r="FK1551" s="18"/>
      <c r="FL1551" s="18"/>
      <c r="FM1551" s="18"/>
      <c r="FN1551" s="18"/>
      <c r="FO1551" s="18"/>
      <c r="FP1551" s="18"/>
      <c r="FQ1551" s="18"/>
      <c r="FR1551" s="18"/>
      <c r="FS1551" s="18"/>
      <c r="FT1551" s="18"/>
      <c r="FU1551" s="18"/>
      <c r="FV1551" s="18"/>
      <c r="FW1551" s="18"/>
      <c r="FX1551" s="18"/>
      <c r="FY1551" s="18"/>
      <c r="FZ1551" s="18"/>
      <c r="GA1551" s="18"/>
      <c r="GB1551" s="18"/>
      <c r="GC1551" s="18"/>
      <c r="GD1551" s="18"/>
      <c r="GE1551" s="18"/>
      <c r="GF1551" s="18"/>
      <c r="GG1551" s="18"/>
      <c r="GH1551" s="18"/>
      <c r="GI1551" s="18"/>
      <c r="GJ1551" s="18"/>
      <c r="GK1551" s="18"/>
      <c r="GL1551" s="18"/>
      <c r="GM1551" s="18"/>
      <c r="GN1551" s="18"/>
      <c r="GO1551" s="18"/>
      <c r="GP1551" s="18"/>
      <c r="GQ1551" s="18"/>
      <c r="GR1551" s="18"/>
      <c r="GS1551" s="18"/>
      <c r="GT1551" s="18"/>
      <c r="GU1551" s="18"/>
      <c r="GV1551" s="18"/>
      <c r="GW1551" s="18"/>
      <c r="GX1551" s="18"/>
      <c r="GY1551" s="18"/>
      <c r="GZ1551" s="18"/>
      <c r="HA1551" s="18"/>
      <c r="HB1551" s="18"/>
      <c r="HC1551" s="18"/>
      <c r="HD1551" s="18"/>
      <c r="HE1551" s="18"/>
      <c r="HF1551" s="18"/>
      <c r="HG1551" s="18"/>
      <c r="HH1551" s="18"/>
      <c r="HI1551" s="18"/>
      <c r="HJ1551" s="18"/>
      <c r="HK1551" s="18"/>
      <c r="HL1551" s="18"/>
      <c r="HM1551" s="18"/>
      <c r="HN1551" s="18"/>
      <c r="HO1551" s="18"/>
      <c r="HP1551" s="18"/>
      <c r="HQ1551" s="18"/>
      <c r="HR1551" s="18"/>
      <c r="HS1551" s="18"/>
      <c r="HT1551" s="18"/>
      <c r="HU1551" s="18"/>
      <c r="HV1551" s="18"/>
      <c r="HW1551" s="18"/>
      <c r="HX1551" s="18"/>
      <c r="HY1551" s="18"/>
      <c r="HZ1551" s="18"/>
      <c r="IA1551" s="18"/>
      <c r="IB1551" s="18"/>
      <c r="IC1551" s="18"/>
      <c r="ID1551" s="18"/>
      <c r="IE1551" s="18"/>
      <c r="IF1551" s="18"/>
      <c r="IG1551" s="18"/>
      <c r="IH1551" s="18"/>
      <c r="II1551" s="18"/>
      <c r="IJ1551" s="18"/>
      <c r="IK1551" s="18"/>
      <c r="IL1551" s="18"/>
      <c r="IM1551" s="18"/>
      <c r="IN1551" s="18"/>
      <c r="IO1551" s="18"/>
      <c r="IP1551" s="18"/>
      <c r="IQ1551" s="18"/>
      <c r="IR1551" s="18"/>
      <c r="IS1551" s="18"/>
      <c r="IT1551" s="18"/>
      <c r="IU1551" s="18"/>
      <c r="IV1551" s="18"/>
      <c r="IW1551" s="18"/>
      <c r="IX1551" s="18"/>
      <c r="IY1551" s="18"/>
      <c r="IZ1551" s="18"/>
      <c r="JA1551" s="18"/>
      <c r="JB1551" s="18"/>
      <c r="JC1551" s="18"/>
      <c r="JD1551" s="18"/>
      <c r="JE1551" s="18"/>
      <c r="JF1551" s="18"/>
      <c r="JG1551" s="18"/>
      <c r="JH1551" s="18"/>
      <c r="JI1551" s="18"/>
      <c r="JJ1551" s="18"/>
      <c r="JK1551" s="18"/>
      <c r="JL1551" s="18"/>
      <c r="JM1551" s="18"/>
      <c r="JN1551" s="18"/>
      <c r="JO1551" s="16"/>
      <c r="JP1551" s="16"/>
      <c r="JQ1551" s="16"/>
      <c r="JR1551" s="16"/>
      <c r="JS1551" s="16"/>
      <c r="JT1551" s="16"/>
      <c r="JU1551" s="16"/>
      <c r="JV1551" s="16"/>
      <c r="JW1551" s="16"/>
      <c r="JX1551" s="16"/>
      <c r="JY1551" s="16"/>
      <c r="JZ1551" s="16"/>
      <c r="KA1551" s="16"/>
      <c r="KB1551" s="16"/>
    </row>
    <row r="1552" spans="1:288" s="27" customFormat="1" x14ac:dyDescent="0.2">
      <c r="A1552" s="18"/>
      <c r="B1552" s="16">
        <v>2016</v>
      </c>
      <c r="C1552" s="20">
        <v>42522</v>
      </c>
      <c r="D1552" s="20" t="str">
        <f>CONCATENATE(J1552,"-",C1552)</f>
        <v>944-42522</v>
      </c>
      <c r="E1552" s="20" t="str">
        <f>CONCATENATE(T1552,"-",U1552,"-",C1552)</f>
        <v>HW1-F5-42522</v>
      </c>
      <c r="F1552" s="20" t="s">
        <v>106</v>
      </c>
      <c r="G1552" s="90" t="s">
        <v>278</v>
      </c>
      <c r="H1552" s="16"/>
      <c r="I1552" s="16"/>
      <c r="J1552" s="21">
        <v>944</v>
      </c>
      <c r="K1552" s="21"/>
      <c r="L1552" s="16"/>
      <c r="M1552" s="21"/>
      <c r="N1552" s="21"/>
      <c r="O1552" s="21"/>
      <c r="P1552" s="16"/>
      <c r="Q1552" s="16"/>
      <c r="R1552" s="16"/>
      <c r="S1552" s="16"/>
      <c r="T1552" s="16" t="s">
        <v>133</v>
      </c>
      <c r="U1552" s="16" t="s">
        <v>185</v>
      </c>
      <c r="V1552" s="16" t="s">
        <v>114</v>
      </c>
      <c r="W1552" s="16"/>
      <c r="X1552" s="16" t="s">
        <v>115</v>
      </c>
      <c r="Y1552" s="16" t="s">
        <v>110</v>
      </c>
      <c r="Z1552" s="16">
        <v>3</v>
      </c>
      <c r="AA1552" s="16"/>
      <c r="AB1552" s="16"/>
      <c r="AC1552" s="16"/>
      <c r="AD1552" s="16"/>
      <c r="AE1552" s="16" t="s">
        <v>123</v>
      </c>
      <c r="AF1552" s="16" t="s">
        <v>123</v>
      </c>
      <c r="AG1552" s="16"/>
      <c r="AH1552" s="16"/>
      <c r="AI1552" s="16"/>
      <c r="AJ1552" s="16"/>
      <c r="AK1552" s="16">
        <v>22.5</v>
      </c>
      <c r="AL1552" s="16">
        <v>0</v>
      </c>
      <c r="AM1552" s="16">
        <v>0</v>
      </c>
      <c r="AN1552" s="16">
        <v>0</v>
      </c>
      <c r="AO1552" s="16">
        <f>IF(SUM(AL1552:AN1552)&gt;0,1,0)</f>
        <v>0</v>
      </c>
      <c r="AP1552" s="16">
        <f>SUM(AL1552:AN1552)</f>
        <v>0</v>
      </c>
      <c r="AQ1552" s="16"/>
      <c r="AR1552" s="16"/>
      <c r="AS1552" s="16"/>
      <c r="AT1552" s="16"/>
      <c r="AU1552" s="16"/>
      <c r="AV1552" s="16"/>
      <c r="AW1552" s="16"/>
      <c r="AX1552" s="16"/>
      <c r="AY1552" s="16"/>
      <c r="AZ1552" s="16"/>
      <c r="BA1552" s="16"/>
      <c r="BB1552" s="16"/>
      <c r="BC1552" s="16"/>
      <c r="BD1552" s="16"/>
      <c r="BE1552" s="16"/>
      <c r="BF1552" s="16"/>
      <c r="BG1552" s="77"/>
      <c r="BH1552" s="16"/>
      <c r="BI1552" s="16"/>
      <c r="BJ1552" s="16"/>
      <c r="BK1552" s="16"/>
      <c r="BL1552" s="16"/>
      <c r="BM1552" s="16"/>
      <c r="BN1552" s="16"/>
      <c r="BO1552" s="16"/>
      <c r="BP1552" s="16"/>
      <c r="BQ1552" s="16"/>
      <c r="BR1552" s="16"/>
      <c r="BS1552" s="16"/>
      <c r="BT1552" s="77"/>
      <c r="BU1552" s="16"/>
      <c r="BV1552" s="16"/>
      <c r="BW1552" s="16"/>
      <c r="BX1552" s="16"/>
      <c r="BY1552" s="16"/>
      <c r="BZ1552" s="16"/>
      <c r="CA1552" s="16"/>
      <c r="CB1552" s="16"/>
      <c r="CC1552" s="16"/>
      <c r="CD1552" s="77"/>
      <c r="CE1552" s="16"/>
      <c r="CF1552" s="16"/>
      <c r="CG1552" s="16"/>
      <c r="CH1552" s="16"/>
      <c r="CI1552" s="16"/>
      <c r="CJ1552" s="16"/>
      <c r="CK1552" s="16"/>
      <c r="CL1552" s="16"/>
      <c r="CM1552" s="16"/>
      <c r="CN1552" s="16"/>
      <c r="CO1552" s="16"/>
      <c r="CP1552" s="16"/>
      <c r="CQ1552" s="16"/>
      <c r="CR1552" s="16"/>
      <c r="CS1552" s="16"/>
      <c r="CT1552" s="16"/>
      <c r="CU1552" s="16"/>
      <c r="CV1552" s="16"/>
      <c r="CW1552" s="16"/>
      <c r="CX1552" s="16"/>
      <c r="CY1552" s="16"/>
      <c r="CZ1552" s="16"/>
      <c r="DA1552" s="16"/>
      <c r="DB1552" s="16"/>
      <c r="DC1552" s="16"/>
      <c r="DD1552" s="16"/>
      <c r="DE1552" s="16"/>
      <c r="DF1552" s="16" t="e">
        <f>VLOOKUP(K1552,'[3]RNA Seq summary tables'!$V$3:$V$99,1,FALSE)</f>
        <v>#N/A</v>
      </c>
      <c r="DG1552" s="16"/>
      <c r="DH1552" s="16"/>
      <c r="DI1552" s="16"/>
      <c r="DJ1552" s="16"/>
      <c r="DK1552" s="16"/>
      <c r="DL1552" s="16"/>
      <c r="DM1552" s="16"/>
      <c r="DN1552" s="16"/>
      <c r="DO1552" s="16"/>
      <c r="DP1552" s="16"/>
      <c r="DQ1552" s="16"/>
      <c r="DR1552" s="16"/>
      <c r="DS1552" s="16"/>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18"/>
      <c r="EQ1552" s="18"/>
      <c r="ER1552" s="18"/>
      <c r="ES1552" s="18"/>
      <c r="ET1552" s="18"/>
      <c r="EU1552" s="18"/>
      <c r="EV1552" s="18"/>
      <c r="EW1552" s="18"/>
      <c r="EX1552" s="18"/>
      <c r="EY1552" s="18"/>
      <c r="EZ1552" s="18"/>
      <c r="FA1552" s="18"/>
      <c r="FB1552" s="18"/>
      <c r="FC1552" s="18"/>
      <c r="FD1552" s="18"/>
      <c r="FE1552" s="18"/>
      <c r="FF1552" s="18"/>
      <c r="FG1552" s="18"/>
      <c r="FH1552" s="18"/>
      <c r="FI1552" s="18"/>
      <c r="FJ1552" s="18"/>
      <c r="FK1552" s="18"/>
      <c r="FL1552" s="18"/>
      <c r="FM1552" s="18"/>
      <c r="FN1552" s="18"/>
      <c r="FO1552" s="18"/>
      <c r="FP1552" s="18"/>
      <c r="FQ1552" s="18"/>
      <c r="FR1552" s="18"/>
      <c r="FS1552" s="18"/>
      <c r="FT1552" s="18"/>
      <c r="FU1552" s="18"/>
      <c r="FV1552" s="18"/>
      <c r="FW1552" s="18"/>
      <c r="FX1552" s="18"/>
      <c r="FY1552" s="18"/>
      <c r="FZ1552" s="18"/>
      <c r="GA1552" s="18"/>
      <c r="GB1552" s="18"/>
      <c r="GC1552" s="18"/>
      <c r="GD1552" s="18"/>
      <c r="GE1552" s="18"/>
      <c r="GF1552" s="18"/>
      <c r="GG1552" s="18"/>
      <c r="GH1552" s="18"/>
      <c r="GI1552" s="18"/>
      <c r="GJ1552" s="18"/>
      <c r="GK1552" s="18"/>
      <c r="GL1552" s="18"/>
      <c r="GM1552" s="18"/>
      <c r="GN1552" s="18"/>
      <c r="GO1552" s="18"/>
      <c r="GP1552" s="18"/>
      <c r="GQ1552" s="18"/>
      <c r="GR1552" s="18"/>
      <c r="GS1552" s="18"/>
      <c r="GT1552" s="18"/>
      <c r="GU1552" s="18"/>
      <c r="GV1552" s="18"/>
      <c r="GW1552" s="18"/>
      <c r="GX1552" s="18"/>
      <c r="GY1552" s="18"/>
      <c r="GZ1552" s="18"/>
      <c r="HA1552" s="18"/>
      <c r="HB1552" s="18"/>
      <c r="HC1552" s="18"/>
      <c r="HD1552" s="18"/>
      <c r="HE1552" s="18"/>
      <c r="HF1552" s="18"/>
      <c r="HG1552" s="18"/>
      <c r="HH1552" s="18"/>
      <c r="HI1552" s="18"/>
      <c r="HJ1552" s="18"/>
      <c r="HK1552" s="18"/>
      <c r="HL1552" s="18"/>
      <c r="HM1552" s="18"/>
      <c r="HN1552" s="18"/>
      <c r="HO1552" s="18"/>
      <c r="HP1552" s="18"/>
      <c r="HQ1552" s="18"/>
      <c r="HR1552" s="18"/>
      <c r="HS1552" s="18"/>
      <c r="HT1552" s="18"/>
      <c r="HU1552" s="18"/>
      <c r="HV1552" s="18"/>
      <c r="HW1552" s="18"/>
      <c r="HX1552" s="18"/>
      <c r="HY1552" s="18"/>
      <c r="HZ1552" s="18"/>
      <c r="IA1552" s="18"/>
      <c r="IB1552" s="18"/>
      <c r="IC1552" s="18"/>
      <c r="ID1552" s="18"/>
      <c r="IE1552" s="18"/>
      <c r="IF1552" s="18"/>
      <c r="IG1552" s="18"/>
      <c r="IH1552" s="18"/>
      <c r="II1552" s="18"/>
      <c r="IJ1552" s="18"/>
      <c r="IK1552" s="18"/>
      <c r="IL1552" s="18"/>
      <c r="IM1552" s="18"/>
      <c r="IN1552" s="18"/>
      <c r="IO1552" s="18"/>
      <c r="IP1552" s="18"/>
      <c r="IQ1552" s="18"/>
      <c r="IR1552" s="18"/>
      <c r="IS1552" s="18"/>
      <c r="IT1552" s="18"/>
      <c r="IU1552" s="18"/>
      <c r="IV1552" s="18"/>
      <c r="IW1552" s="18"/>
      <c r="IX1552" s="18"/>
      <c r="IY1552" s="18"/>
      <c r="IZ1552" s="18"/>
      <c r="JA1552" s="18"/>
      <c r="JB1552" s="18"/>
      <c r="JC1552" s="18"/>
      <c r="JD1552" s="18"/>
      <c r="JE1552" s="18"/>
      <c r="JF1552" s="18"/>
      <c r="JG1552" s="18"/>
      <c r="JH1552" s="18"/>
      <c r="JI1552" s="18"/>
      <c r="JJ1552" s="18"/>
      <c r="JK1552" s="18"/>
      <c r="JL1552" s="18"/>
      <c r="JM1552" s="18"/>
      <c r="JN1552" s="18"/>
      <c r="JO1552" s="16"/>
      <c r="JP1552" s="16"/>
      <c r="JQ1552" s="16"/>
      <c r="JR1552" s="16"/>
      <c r="JS1552" s="16"/>
      <c r="JT1552" s="16"/>
      <c r="JU1552" s="16"/>
      <c r="JV1552" s="16"/>
      <c r="JW1552" s="16"/>
      <c r="JX1552" s="16"/>
      <c r="JY1552" s="16"/>
      <c r="JZ1552" s="16"/>
      <c r="KA1552" s="16"/>
      <c r="KB1552" s="16"/>
    </row>
    <row r="1553" spans="1:288" s="27" customFormat="1" x14ac:dyDescent="0.2">
      <c r="A1553" s="18"/>
      <c r="B1553" s="16">
        <v>2016</v>
      </c>
      <c r="C1553" s="20">
        <v>42522</v>
      </c>
      <c r="D1553" s="20" t="str">
        <f>CONCATENATE(J1553,"-",C1553)</f>
        <v>945-42522</v>
      </c>
      <c r="E1553" s="20" t="str">
        <f>CONCATENATE(T1553,"-",U1553,"-",C1553)</f>
        <v>HW2-E2-42522</v>
      </c>
      <c r="F1553" s="20" t="s">
        <v>106</v>
      </c>
      <c r="G1553" s="90" t="s">
        <v>278</v>
      </c>
      <c r="H1553" s="16"/>
      <c r="I1553" s="16"/>
      <c r="J1553" s="21">
        <v>945</v>
      </c>
      <c r="K1553" s="21"/>
      <c r="L1553" s="16"/>
      <c r="M1553" s="21"/>
      <c r="N1553" s="21"/>
      <c r="O1553" s="21"/>
      <c r="P1553" s="16"/>
      <c r="Q1553" s="16"/>
      <c r="R1553" s="16"/>
      <c r="S1553" s="16"/>
      <c r="T1553" s="16" t="s">
        <v>129</v>
      </c>
      <c r="U1553" s="16" t="s">
        <v>136</v>
      </c>
      <c r="V1553" s="16" t="s">
        <v>114</v>
      </c>
      <c r="W1553" s="16"/>
      <c r="X1553" s="16" t="s">
        <v>121</v>
      </c>
      <c r="Y1553" s="16" t="s">
        <v>110</v>
      </c>
      <c r="Z1553" s="16">
        <v>3</v>
      </c>
      <c r="AA1553" s="16" t="s">
        <v>119</v>
      </c>
      <c r="AB1553" s="16" t="s">
        <v>116</v>
      </c>
      <c r="AC1553" s="16" t="s">
        <v>123</v>
      </c>
      <c r="AD1553" s="16" t="s">
        <v>116</v>
      </c>
      <c r="AE1553" s="16"/>
      <c r="AF1553" s="16"/>
      <c r="AG1553" s="16"/>
      <c r="AH1553" s="16"/>
      <c r="AI1553" s="16"/>
      <c r="AJ1553" s="16"/>
      <c r="AK1553" s="16">
        <v>23.5</v>
      </c>
      <c r="AL1553" s="16">
        <v>0</v>
      </c>
      <c r="AM1553" s="16">
        <v>0</v>
      </c>
      <c r="AN1553" s="16">
        <v>0</v>
      </c>
      <c r="AO1553" s="16">
        <f>IF(SUM(AL1553:AN1553)&gt;0,1,0)</f>
        <v>0</v>
      </c>
      <c r="AP1553" s="16">
        <f>SUM(AL1553:AN1553)</f>
        <v>0</v>
      </c>
      <c r="AQ1553" s="16"/>
      <c r="AR1553" s="16"/>
      <c r="AS1553" s="16"/>
      <c r="AT1553" s="16"/>
      <c r="AU1553" s="16"/>
      <c r="AV1553" s="16"/>
      <c r="AW1553" s="16"/>
      <c r="AX1553" s="16"/>
      <c r="AY1553" s="16"/>
      <c r="AZ1553" s="16"/>
      <c r="BA1553" s="16"/>
      <c r="BB1553" s="16"/>
      <c r="BC1553" s="16"/>
      <c r="BD1553" s="16"/>
      <c r="BE1553" s="16"/>
      <c r="BF1553" s="16"/>
      <c r="BG1553" s="77"/>
      <c r="BH1553" s="16"/>
      <c r="BI1553" s="16"/>
      <c r="BJ1553" s="16"/>
      <c r="BK1553" s="16"/>
      <c r="BL1553" s="16"/>
      <c r="BM1553" s="16"/>
      <c r="BN1553" s="16"/>
      <c r="BO1553" s="16"/>
      <c r="BP1553" s="16"/>
      <c r="BQ1553" s="16"/>
      <c r="BR1553" s="16"/>
      <c r="BS1553" s="16"/>
      <c r="BT1553" s="77"/>
      <c r="BU1553" s="16"/>
      <c r="BV1553" s="16"/>
      <c r="BW1553" s="16"/>
      <c r="BX1553" s="16"/>
      <c r="BY1553" s="16"/>
      <c r="BZ1553" s="16"/>
      <c r="CA1553" s="16"/>
      <c r="CB1553" s="16"/>
      <c r="CC1553" s="16"/>
      <c r="CD1553" s="77"/>
      <c r="CE1553" s="16"/>
      <c r="CF1553" s="16"/>
      <c r="CG1553" s="16"/>
      <c r="CH1553" s="16"/>
      <c r="CI1553" s="16"/>
      <c r="CJ1553" s="16"/>
      <c r="CK1553" s="16"/>
      <c r="CL1553" s="16"/>
      <c r="CM1553" s="16"/>
      <c r="CN1553" s="16"/>
      <c r="CO1553" s="16"/>
      <c r="CP1553" s="16"/>
      <c r="CQ1553" s="16"/>
      <c r="CR1553" s="16"/>
      <c r="CS1553" s="16"/>
      <c r="CT1553" s="16"/>
      <c r="CU1553" s="16"/>
      <c r="CV1553" s="16"/>
      <c r="CW1553" s="16"/>
      <c r="CX1553" s="16"/>
      <c r="CY1553" s="16"/>
      <c r="CZ1553" s="16"/>
      <c r="DA1553" s="16"/>
      <c r="DB1553" s="16"/>
      <c r="DC1553" s="16"/>
      <c r="DD1553" s="16"/>
      <c r="DE1553" s="16"/>
      <c r="DF1553" s="16" t="e">
        <f>VLOOKUP(K1553,'[3]RNA Seq summary tables'!$V$3:$V$99,1,FALSE)</f>
        <v>#N/A</v>
      </c>
      <c r="DG1553" s="16"/>
      <c r="DH1553" s="16"/>
      <c r="DI1553" s="16"/>
      <c r="DJ1553" s="16"/>
      <c r="DK1553" s="16"/>
      <c r="DL1553" s="16"/>
      <c r="DM1553" s="16"/>
      <c r="DN1553" s="16"/>
      <c r="DO1553" s="16"/>
      <c r="DP1553" s="16"/>
      <c r="DQ1553" s="16"/>
      <c r="DR1553" s="16"/>
      <c r="DS1553" s="16"/>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18"/>
      <c r="EQ1553" s="18"/>
      <c r="ER1553" s="18"/>
      <c r="ES1553" s="18"/>
      <c r="ET1553" s="18"/>
      <c r="EU1553" s="18"/>
      <c r="EV1553" s="18"/>
      <c r="EW1553" s="18"/>
      <c r="EX1553" s="18"/>
      <c r="EY1553" s="18"/>
      <c r="EZ1553" s="18"/>
      <c r="FA1553" s="18"/>
      <c r="FB1553" s="18"/>
      <c r="FC1553" s="18"/>
      <c r="FD1553" s="18"/>
      <c r="FE1553" s="18"/>
      <c r="FF1553" s="18"/>
      <c r="FG1553" s="18"/>
      <c r="FH1553" s="18"/>
      <c r="FI1553" s="18"/>
      <c r="FJ1553" s="18"/>
      <c r="FK1553" s="18"/>
      <c r="FL1553" s="18"/>
      <c r="FM1553" s="18"/>
      <c r="FN1553" s="18"/>
      <c r="FO1553" s="18"/>
      <c r="FP1553" s="18"/>
      <c r="FQ1553" s="18"/>
      <c r="FR1553" s="18"/>
      <c r="FS1553" s="18"/>
      <c r="FT1553" s="18"/>
      <c r="FU1553" s="18"/>
      <c r="FV1553" s="18"/>
      <c r="FW1553" s="18"/>
      <c r="FX1553" s="18"/>
      <c r="FY1553" s="18"/>
      <c r="FZ1553" s="18"/>
      <c r="GA1553" s="18"/>
      <c r="GB1553" s="18"/>
      <c r="GC1553" s="18"/>
      <c r="GD1553" s="18"/>
      <c r="GE1553" s="18"/>
      <c r="GF1553" s="18"/>
      <c r="GG1553" s="18"/>
      <c r="GH1553" s="18"/>
      <c r="GI1553" s="18"/>
      <c r="GJ1553" s="18"/>
      <c r="GK1553" s="18"/>
      <c r="GL1553" s="18"/>
      <c r="GM1553" s="18"/>
      <c r="GN1553" s="18"/>
      <c r="GO1553" s="18"/>
      <c r="GP1553" s="18"/>
      <c r="GQ1553" s="18"/>
      <c r="GR1553" s="18"/>
      <c r="GS1553" s="18"/>
      <c r="GT1553" s="18"/>
      <c r="GU1553" s="18"/>
      <c r="GV1553" s="18"/>
      <c r="GW1553" s="18"/>
      <c r="GX1553" s="18"/>
      <c r="GY1553" s="18"/>
      <c r="GZ1553" s="18"/>
      <c r="HA1553" s="18"/>
      <c r="HB1553" s="18"/>
      <c r="HC1553" s="18"/>
      <c r="HD1553" s="18"/>
      <c r="HE1553" s="18"/>
      <c r="HF1553" s="18"/>
      <c r="HG1553" s="18"/>
      <c r="HH1553" s="18"/>
      <c r="HI1553" s="18"/>
      <c r="HJ1553" s="18"/>
      <c r="HK1553" s="18"/>
      <c r="HL1553" s="18"/>
      <c r="HM1553" s="18"/>
      <c r="HN1553" s="18"/>
      <c r="HO1553" s="18"/>
      <c r="HP1553" s="18"/>
      <c r="HQ1553" s="18"/>
      <c r="HR1553" s="18"/>
      <c r="HS1553" s="18"/>
      <c r="HT1553" s="18"/>
      <c r="HU1553" s="18"/>
      <c r="HV1553" s="18"/>
      <c r="HW1553" s="18"/>
      <c r="HX1553" s="18"/>
      <c r="HY1553" s="18"/>
      <c r="HZ1553" s="18"/>
      <c r="IA1553" s="18"/>
      <c r="IB1553" s="18"/>
      <c r="IC1553" s="18"/>
      <c r="ID1553" s="18"/>
      <c r="IE1553" s="18"/>
      <c r="IF1553" s="18"/>
      <c r="IG1553" s="18"/>
      <c r="IH1553" s="18"/>
      <c r="II1553" s="18"/>
      <c r="IJ1553" s="18"/>
      <c r="IK1553" s="18"/>
      <c r="IL1553" s="18"/>
      <c r="IM1553" s="18"/>
      <c r="IN1553" s="18"/>
      <c r="IO1553" s="18"/>
      <c r="IP1553" s="18"/>
      <c r="IQ1553" s="18"/>
      <c r="IR1553" s="18"/>
      <c r="IS1553" s="18"/>
      <c r="IT1553" s="18"/>
      <c r="IU1553" s="18"/>
      <c r="IV1553" s="18"/>
      <c r="IW1553" s="18"/>
      <c r="IX1553" s="18"/>
      <c r="IY1553" s="18"/>
      <c r="IZ1553" s="18"/>
      <c r="JA1553" s="18"/>
      <c r="JB1553" s="18"/>
      <c r="JC1553" s="18"/>
      <c r="JD1553" s="18"/>
      <c r="JE1553" s="18"/>
      <c r="JF1553" s="18"/>
      <c r="JG1553" s="18"/>
      <c r="JH1553" s="18"/>
      <c r="JI1553" s="18"/>
      <c r="JJ1553" s="18"/>
      <c r="JK1553" s="18"/>
      <c r="JL1553" s="18"/>
      <c r="JM1553" s="18"/>
      <c r="JN1553" s="18"/>
      <c r="JO1553" s="16"/>
      <c r="JP1553" s="16"/>
      <c r="JQ1553" s="16"/>
      <c r="JR1553" s="16"/>
      <c r="JS1553" s="16"/>
      <c r="JT1553" s="16"/>
      <c r="JU1553" s="16"/>
      <c r="JV1553" s="16"/>
      <c r="JW1553" s="16"/>
      <c r="JX1553" s="16"/>
      <c r="JY1553" s="16"/>
      <c r="JZ1553" s="16"/>
      <c r="KA1553" s="16"/>
      <c r="KB1553" s="16"/>
    </row>
    <row r="1554" spans="1:288" s="27" customFormat="1" x14ac:dyDescent="0.2">
      <c r="A1554" s="18"/>
      <c r="B1554" s="16">
        <v>2016</v>
      </c>
      <c r="C1554" s="20">
        <v>42535</v>
      </c>
      <c r="D1554" s="20" t="str">
        <f>CONCATENATE(J1554,"-",C1554)</f>
        <v>945-42535</v>
      </c>
      <c r="E1554" s="20" t="str">
        <f>CONCATENATE(T1554,"-",U1554,"-",C1554)</f>
        <v>HW2-C1-42535</v>
      </c>
      <c r="F1554" s="20" t="s">
        <v>106</v>
      </c>
      <c r="G1554" s="90" t="s">
        <v>278</v>
      </c>
      <c r="H1554" s="16"/>
      <c r="I1554" s="16"/>
      <c r="J1554" s="21">
        <v>945</v>
      </c>
      <c r="K1554" s="21"/>
      <c r="L1554" s="16"/>
      <c r="M1554" s="21"/>
      <c r="N1554" s="21"/>
      <c r="O1554" s="21"/>
      <c r="P1554" s="16"/>
      <c r="Q1554" s="16"/>
      <c r="R1554" s="16"/>
      <c r="S1554" s="16"/>
      <c r="T1554" s="16" t="s">
        <v>129</v>
      </c>
      <c r="U1554" s="16" t="s">
        <v>150</v>
      </c>
      <c r="V1554" s="16" t="s">
        <v>114</v>
      </c>
      <c r="W1554" s="16"/>
      <c r="X1554" s="16" t="s">
        <v>121</v>
      </c>
      <c r="Y1554" s="16" t="s">
        <v>110</v>
      </c>
      <c r="Z1554" s="16">
        <v>3</v>
      </c>
      <c r="AA1554" s="16" t="s">
        <v>161</v>
      </c>
      <c r="AB1554" s="16" t="s">
        <v>123</v>
      </c>
      <c r="AC1554" s="16" t="s">
        <v>123</v>
      </c>
      <c r="AD1554" s="16" t="s">
        <v>116</v>
      </c>
      <c r="AE1554" s="16"/>
      <c r="AF1554" s="16"/>
      <c r="AG1554" s="16"/>
      <c r="AH1554" s="16"/>
      <c r="AI1554" s="16"/>
      <c r="AJ1554" s="16"/>
      <c r="AK1554" s="16">
        <v>23</v>
      </c>
      <c r="AL1554" s="16">
        <v>0</v>
      </c>
      <c r="AM1554" s="16">
        <v>0</v>
      </c>
      <c r="AN1554" s="16">
        <v>0</v>
      </c>
      <c r="AO1554" s="16">
        <f>IF(SUM(AL1554:AN1554)&gt;0,1,0)</f>
        <v>0</v>
      </c>
      <c r="AP1554" s="16">
        <f>SUM(AL1554:AN1554)</f>
        <v>0</v>
      </c>
      <c r="AQ1554" s="16"/>
      <c r="AR1554" s="16"/>
      <c r="AS1554" s="16"/>
      <c r="AT1554" s="16"/>
      <c r="AU1554" s="16"/>
      <c r="AV1554" s="16"/>
      <c r="AW1554" s="16"/>
      <c r="AX1554" s="16"/>
      <c r="AY1554" s="16"/>
      <c r="AZ1554" s="16"/>
      <c r="BA1554" s="16"/>
      <c r="BB1554" s="16"/>
      <c r="BC1554" s="16"/>
      <c r="BD1554" s="16"/>
      <c r="BE1554" s="16"/>
      <c r="BF1554" s="16"/>
      <c r="BG1554" s="77"/>
      <c r="BH1554" s="16"/>
      <c r="BI1554" s="16"/>
      <c r="BJ1554" s="16"/>
      <c r="BK1554" s="16"/>
      <c r="BL1554" s="16"/>
      <c r="BM1554" s="16"/>
      <c r="BN1554" s="16"/>
      <c r="BO1554" s="16"/>
      <c r="BP1554" s="16"/>
      <c r="BQ1554" s="16"/>
      <c r="BR1554" s="16"/>
      <c r="BS1554" s="16"/>
      <c r="BT1554" s="77"/>
      <c r="BU1554" s="16"/>
      <c r="BV1554" s="16"/>
      <c r="BW1554" s="16"/>
      <c r="BX1554" s="16"/>
      <c r="BY1554" s="16"/>
      <c r="BZ1554" s="16"/>
      <c r="CA1554" s="16"/>
      <c r="CB1554" s="16"/>
      <c r="CC1554" s="16"/>
      <c r="CD1554" s="77"/>
      <c r="CE1554" s="16"/>
      <c r="CF1554" s="16"/>
      <c r="CG1554" s="16"/>
      <c r="CH1554" s="16"/>
      <c r="CI1554" s="16"/>
      <c r="CJ1554" s="16"/>
      <c r="CK1554" s="16"/>
      <c r="CL1554" s="16"/>
      <c r="CM1554" s="16"/>
      <c r="CN1554" s="16"/>
      <c r="CO1554" s="16"/>
      <c r="CP1554" s="16"/>
      <c r="CQ1554" s="16"/>
      <c r="CR1554" s="16"/>
      <c r="CS1554" s="16"/>
      <c r="CT1554" s="16"/>
      <c r="CU1554" s="16"/>
      <c r="CV1554" s="16"/>
      <c r="CW1554" s="16"/>
      <c r="CX1554" s="16"/>
      <c r="CY1554" s="16"/>
      <c r="CZ1554" s="16"/>
      <c r="DA1554" s="16"/>
      <c r="DB1554" s="16"/>
      <c r="DC1554" s="16"/>
      <c r="DD1554" s="16"/>
      <c r="DE1554" s="16"/>
      <c r="DF1554" s="16" t="e">
        <f>VLOOKUP(K1554,'[3]RNA Seq summary tables'!$V$3:$V$99,1,FALSE)</f>
        <v>#N/A</v>
      </c>
      <c r="DG1554" s="16"/>
      <c r="DH1554" s="16"/>
      <c r="DI1554" s="16"/>
      <c r="DJ1554" s="16"/>
      <c r="DK1554" s="16"/>
      <c r="DL1554" s="16"/>
      <c r="DM1554" s="16"/>
      <c r="DN1554" s="16"/>
      <c r="DO1554" s="16"/>
      <c r="DP1554" s="16"/>
      <c r="DQ1554" s="16"/>
      <c r="DR1554" s="16"/>
      <c r="DS1554" s="16"/>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18"/>
      <c r="EQ1554" s="18"/>
      <c r="ER1554" s="18"/>
      <c r="ES1554" s="18"/>
      <c r="ET1554" s="18"/>
      <c r="EU1554" s="18"/>
      <c r="EV1554" s="18"/>
      <c r="EW1554" s="18"/>
      <c r="EX1554" s="18"/>
      <c r="EY1554" s="18"/>
      <c r="EZ1554" s="18"/>
      <c r="FA1554" s="18"/>
      <c r="FB1554" s="18"/>
      <c r="FC1554" s="18"/>
      <c r="FD1554" s="18"/>
      <c r="FE1554" s="18"/>
      <c r="FF1554" s="18"/>
      <c r="FG1554" s="18"/>
      <c r="FH1554" s="18"/>
      <c r="FI1554" s="18"/>
      <c r="FJ1554" s="18"/>
      <c r="FK1554" s="18"/>
      <c r="FL1554" s="18"/>
      <c r="FM1554" s="18"/>
      <c r="FN1554" s="18"/>
      <c r="FO1554" s="18"/>
      <c r="FP1554" s="18"/>
      <c r="FQ1554" s="18"/>
      <c r="FR1554" s="18"/>
      <c r="FS1554" s="18"/>
      <c r="FT1554" s="18"/>
      <c r="FU1554" s="18"/>
      <c r="FV1554" s="18"/>
      <c r="FW1554" s="18"/>
      <c r="FX1554" s="18"/>
      <c r="FY1554" s="18"/>
      <c r="FZ1554" s="18"/>
      <c r="GA1554" s="18"/>
      <c r="GB1554" s="18"/>
      <c r="GC1554" s="18"/>
      <c r="GD1554" s="18"/>
      <c r="GE1554" s="18"/>
      <c r="GF1554" s="18"/>
      <c r="GG1554" s="18"/>
      <c r="GH1554" s="18"/>
      <c r="GI1554" s="18"/>
      <c r="GJ1554" s="18"/>
      <c r="GK1554" s="18"/>
      <c r="GL1554" s="18"/>
      <c r="GM1554" s="18"/>
      <c r="GN1554" s="18"/>
      <c r="GO1554" s="18"/>
      <c r="GP1554" s="18"/>
      <c r="GQ1554" s="18"/>
      <c r="GR1554" s="18"/>
      <c r="GS1554" s="18"/>
      <c r="GT1554" s="18"/>
      <c r="GU1554" s="18"/>
      <c r="GV1554" s="18"/>
      <c r="GW1554" s="18"/>
      <c r="GX1554" s="18"/>
      <c r="GY1554" s="18"/>
      <c r="GZ1554" s="18"/>
      <c r="HA1554" s="18"/>
      <c r="HB1554" s="18"/>
      <c r="HC1554" s="18"/>
      <c r="HD1554" s="18"/>
      <c r="HE1554" s="18"/>
      <c r="HF1554" s="18"/>
      <c r="HG1554" s="18"/>
      <c r="HH1554" s="18"/>
      <c r="HI1554" s="18"/>
      <c r="HJ1554" s="18"/>
      <c r="HK1554" s="18"/>
      <c r="HL1554" s="18"/>
      <c r="HM1554" s="18"/>
      <c r="HN1554" s="18"/>
      <c r="HO1554" s="18"/>
      <c r="HP1554" s="18"/>
      <c r="HQ1554" s="18"/>
      <c r="HR1554" s="18"/>
      <c r="HS1554" s="18"/>
      <c r="HT1554" s="18"/>
      <c r="HU1554" s="18"/>
      <c r="HV1554" s="18"/>
      <c r="HW1554" s="18"/>
      <c r="HX1554" s="18"/>
      <c r="HY1554" s="18"/>
      <c r="HZ1554" s="18"/>
      <c r="IA1554" s="18"/>
      <c r="IB1554" s="18"/>
      <c r="IC1554" s="18"/>
      <c r="ID1554" s="18"/>
      <c r="IE1554" s="18"/>
      <c r="IF1554" s="18"/>
      <c r="IG1554" s="18"/>
      <c r="IH1554" s="18"/>
      <c r="II1554" s="18"/>
      <c r="IJ1554" s="18"/>
      <c r="IK1554" s="18"/>
      <c r="IL1554" s="18"/>
      <c r="IM1554" s="18"/>
      <c r="IN1554" s="18"/>
      <c r="IO1554" s="18"/>
      <c r="IP1554" s="18"/>
      <c r="IQ1554" s="18"/>
      <c r="IR1554" s="18"/>
      <c r="IS1554" s="18"/>
      <c r="IT1554" s="18"/>
      <c r="IU1554" s="18"/>
      <c r="IV1554" s="18"/>
      <c r="IW1554" s="18"/>
      <c r="IX1554" s="18"/>
      <c r="IY1554" s="18"/>
      <c r="IZ1554" s="18"/>
      <c r="JA1554" s="18"/>
      <c r="JB1554" s="18"/>
      <c r="JC1554" s="18"/>
      <c r="JD1554" s="18"/>
      <c r="JE1554" s="18"/>
      <c r="JF1554" s="18"/>
      <c r="JG1554" s="18"/>
      <c r="JH1554" s="18"/>
      <c r="JI1554" s="18"/>
      <c r="JJ1554" s="18"/>
      <c r="JK1554" s="18"/>
      <c r="JL1554" s="18"/>
      <c r="JM1554" s="18"/>
      <c r="JN1554" s="18"/>
      <c r="JO1554" s="16"/>
      <c r="JP1554" s="16"/>
      <c r="JQ1554" s="16"/>
      <c r="JR1554" s="16"/>
      <c r="JS1554" s="16"/>
      <c r="JT1554" s="16"/>
      <c r="JU1554" s="16"/>
      <c r="JV1554" s="16"/>
      <c r="JW1554" s="16"/>
      <c r="JX1554" s="16"/>
      <c r="JY1554" s="16"/>
      <c r="JZ1554" s="16"/>
      <c r="KA1554" s="16"/>
      <c r="KB1554" s="16"/>
    </row>
    <row r="1555" spans="1:288" s="27" customFormat="1" x14ac:dyDescent="0.2">
      <c r="A1555" s="18"/>
      <c r="B1555" s="16">
        <v>2016</v>
      </c>
      <c r="C1555" s="20">
        <v>42536</v>
      </c>
      <c r="D1555" s="20" t="str">
        <f>CONCATENATE(J1555,"-",C1555)</f>
        <v>945-42536</v>
      </c>
      <c r="E1555" s="20" t="str">
        <f>CONCATENATE(T1555,"-",U1555,"-",C1555)</f>
        <v>HW2-A5-42536</v>
      </c>
      <c r="F1555" s="20" t="s">
        <v>106</v>
      </c>
      <c r="G1555" s="90" t="s">
        <v>278</v>
      </c>
      <c r="H1555" s="16"/>
      <c r="I1555" s="16"/>
      <c r="J1555" s="21">
        <v>945</v>
      </c>
      <c r="K1555" s="21"/>
      <c r="L1555" s="16"/>
      <c r="M1555" s="21"/>
      <c r="N1555" s="21"/>
      <c r="O1555" s="21"/>
      <c r="P1555" s="16"/>
      <c r="Q1555" s="16"/>
      <c r="R1555" s="16"/>
      <c r="S1555" s="16"/>
      <c r="T1555" s="16" t="s">
        <v>129</v>
      </c>
      <c r="U1555" s="16" t="s">
        <v>167</v>
      </c>
      <c r="V1555" s="16"/>
      <c r="W1555" s="16"/>
      <c r="X1555" s="16" t="s">
        <v>121</v>
      </c>
      <c r="Y1555" s="16" t="s">
        <v>110</v>
      </c>
      <c r="Z1555" s="16">
        <v>3</v>
      </c>
      <c r="AA1555" s="16" t="s">
        <v>119</v>
      </c>
      <c r="AB1555" s="16" t="s">
        <v>123</v>
      </c>
      <c r="AC1555" s="16" t="s">
        <v>123</v>
      </c>
      <c r="AD1555" s="16" t="s">
        <v>123</v>
      </c>
      <c r="AE1555" s="16"/>
      <c r="AF1555" s="16"/>
      <c r="AG1555" s="16"/>
      <c r="AH1555" s="16"/>
      <c r="AI1555" s="16"/>
      <c r="AJ1555" s="16"/>
      <c r="AK1555" s="16">
        <v>24.5</v>
      </c>
      <c r="AL1555" s="16">
        <v>0</v>
      </c>
      <c r="AM1555" s="16">
        <v>0</v>
      </c>
      <c r="AN1555" s="16">
        <v>0</v>
      </c>
      <c r="AO1555" s="16">
        <f>IF(SUM(AL1555:AN1555)&gt;0,1,0)</f>
        <v>0</v>
      </c>
      <c r="AP1555" s="16">
        <f>SUM(AL1555:AN1555)</f>
        <v>0</v>
      </c>
      <c r="AQ1555" s="16"/>
      <c r="AR1555" s="16"/>
      <c r="AS1555" s="16"/>
      <c r="AT1555" s="16"/>
      <c r="AU1555" s="16"/>
      <c r="AV1555" s="16"/>
      <c r="AW1555" s="16"/>
      <c r="AX1555" s="16"/>
      <c r="AY1555" s="16"/>
      <c r="AZ1555" s="16"/>
      <c r="BA1555" s="16"/>
      <c r="BB1555" s="16"/>
      <c r="BC1555" s="16"/>
      <c r="BD1555" s="16"/>
      <c r="BE1555" s="16"/>
      <c r="BF1555" s="16"/>
      <c r="BG1555" s="77"/>
      <c r="BH1555" s="16"/>
      <c r="BI1555" s="16"/>
      <c r="BJ1555" s="16"/>
      <c r="BK1555" s="16"/>
      <c r="BL1555" s="16"/>
      <c r="BM1555" s="16"/>
      <c r="BN1555" s="16"/>
      <c r="BO1555" s="16"/>
      <c r="BP1555" s="16"/>
      <c r="BQ1555" s="16"/>
      <c r="BR1555" s="16"/>
      <c r="BS1555" s="16"/>
      <c r="BT1555" s="77"/>
      <c r="BU1555" s="16"/>
      <c r="BV1555" s="16"/>
      <c r="BW1555" s="16"/>
      <c r="BX1555" s="16"/>
      <c r="BY1555" s="16"/>
      <c r="BZ1555" s="16"/>
      <c r="CA1555" s="16"/>
      <c r="CB1555" s="16"/>
      <c r="CC1555" s="16"/>
      <c r="CD1555" s="77"/>
      <c r="CE1555" s="16"/>
      <c r="CF1555" s="16"/>
      <c r="CG1555" s="16"/>
      <c r="CH1555" s="16"/>
      <c r="CI1555" s="16"/>
      <c r="CJ1555" s="16"/>
      <c r="CK1555" s="16"/>
      <c r="CL1555" s="16"/>
      <c r="CM1555" s="16"/>
      <c r="CN1555" s="16"/>
      <c r="CO1555" s="16"/>
      <c r="CP1555" s="16"/>
      <c r="CQ1555" s="16"/>
      <c r="CR1555" s="16"/>
      <c r="CS1555" s="16"/>
      <c r="CT1555" s="16"/>
      <c r="CU1555" s="16"/>
      <c r="CV1555" s="16"/>
      <c r="CW1555" s="16"/>
      <c r="CX1555" s="16"/>
      <c r="CY1555" s="16"/>
      <c r="CZ1555" s="16"/>
      <c r="DA1555" s="16"/>
      <c r="DB1555" s="16"/>
      <c r="DC1555" s="16"/>
      <c r="DD1555" s="16"/>
      <c r="DE1555" s="16"/>
      <c r="DF1555" s="16" t="e">
        <f>VLOOKUP(K1555,'[3]RNA Seq summary tables'!$V$3:$V$99,1,FALSE)</f>
        <v>#N/A</v>
      </c>
      <c r="DG1555" s="16"/>
      <c r="DH1555" s="16"/>
      <c r="DI1555" s="16"/>
      <c r="DJ1555" s="16"/>
      <c r="DK1555" s="16"/>
      <c r="DL1555" s="16"/>
      <c r="DM1555" s="16"/>
      <c r="DN1555" s="16"/>
      <c r="DO1555" s="16"/>
      <c r="DP1555" s="16"/>
      <c r="DQ1555" s="16"/>
      <c r="DR1555" s="16"/>
      <c r="DS1555" s="16"/>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18"/>
      <c r="EQ1555" s="18"/>
      <c r="ER1555" s="18"/>
      <c r="ES1555" s="18"/>
      <c r="ET1555" s="18"/>
      <c r="EU1555" s="18"/>
      <c r="EV1555" s="18"/>
      <c r="EW1555" s="18"/>
      <c r="EX1555" s="18"/>
      <c r="EY1555" s="18"/>
      <c r="EZ1555" s="18"/>
      <c r="FA1555" s="18"/>
      <c r="FB1555" s="18"/>
      <c r="FC1555" s="18"/>
      <c r="FD1555" s="18"/>
      <c r="FE1555" s="18"/>
      <c r="FF1555" s="18"/>
      <c r="FG1555" s="18"/>
      <c r="FH1555" s="18"/>
      <c r="FI1555" s="18"/>
      <c r="FJ1555" s="18"/>
      <c r="FK1555" s="18"/>
      <c r="FL1555" s="18"/>
      <c r="FM1555" s="18"/>
      <c r="FN1555" s="18"/>
      <c r="FO1555" s="18"/>
      <c r="FP1555" s="18"/>
      <c r="FQ1555" s="18"/>
      <c r="FR1555" s="18"/>
      <c r="FS1555" s="18"/>
      <c r="FT1555" s="18"/>
      <c r="FU1555" s="18"/>
      <c r="FV1555" s="18"/>
      <c r="FW1555" s="18"/>
      <c r="FX1555" s="18"/>
      <c r="FY1555" s="18"/>
      <c r="FZ1555" s="18"/>
      <c r="GA1555" s="18"/>
      <c r="GB1555" s="18"/>
      <c r="GC1555" s="18"/>
      <c r="GD1555" s="18"/>
      <c r="GE1555" s="18"/>
      <c r="GF1555" s="18"/>
      <c r="GG1555" s="18"/>
      <c r="GH1555" s="18"/>
      <c r="GI1555" s="18"/>
      <c r="GJ1555" s="18"/>
      <c r="GK1555" s="18"/>
      <c r="GL1555" s="18"/>
      <c r="GM1555" s="18"/>
      <c r="GN1555" s="18"/>
      <c r="GO1555" s="18"/>
      <c r="GP1555" s="18"/>
      <c r="GQ1555" s="18"/>
      <c r="GR1555" s="18"/>
      <c r="GS1555" s="18"/>
      <c r="GT1555" s="18"/>
      <c r="GU1555" s="18"/>
      <c r="GV1555" s="18"/>
      <c r="GW1555" s="18"/>
      <c r="GX1555" s="18"/>
      <c r="GY1555" s="18"/>
      <c r="GZ1555" s="18"/>
      <c r="HA1555" s="18"/>
      <c r="HB1555" s="18"/>
      <c r="HC1555" s="18"/>
      <c r="HD1555" s="18"/>
      <c r="HE1555" s="18"/>
      <c r="HF1555" s="18"/>
      <c r="HG1555" s="18"/>
      <c r="HH1555" s="18"/>
      <c r="HI1555" s="18"/>
      <c r="HJ1555" s="18"/>
      <c r="HK1555" s="18"/>
      <c r="HL1555" s="18"/>
      <c r="HM1555" s="18"/>
      <c r="HN1555" s="18"/>
      <c r="HO1555" s="18"/>
      <c r="HP1555" s="18"/>
      <c r="HQ1555" s="18"/>
      <c r="HR1555" s="18"/>
      <c r="HS1555" s="18"/>
      <c r="HT1555" s="18"/>
      <c r="HU1555" s="18"/>
      <c r="HV1555" s="18"/>
      <c r="HW1555" s="18"/>
      <c r="HX1555" s="18"/>
      <c r="HY1555" s="18"/>
      <c r="HZ1555" s="18"/>
      <c r="IA1555" s="18"/>
      <c r="IB1555" s="18"/>
      <c r="IC1555" s="18"/>
      <c r="ID1555" s="18"/>
      <c r="IE1555" s="18"/>
      <c r="IF1555" s="18"/>
      <c r="IG1555" s="18"/>
      <c r="IH1555" s="18"/>
      <c r="II1555" s="18"/>
      <c r="IJ1555" s="18"/>
      <c r="IK1555" s="18"/>
      <c r="IL1555" s="18"/>
      <c r="IM1555" s="18"/>
      <c r="IN1555" s="18"/>
      <c r="IO1555" s="18"/>
      <c r="IP1555" s="18"/>
      <c r="IQ1555" s="18"/>
      <c r="IR1555" s="18"/>
      <c r="IS1555" s="18"/>
      <c r="IT1555" s="18"/>
      <c r="IU1555" s="18"/>
      <c r="IV1555" s="18"/>
      <c r="IW1555" s="18"/>
      <c r="IX1555" s="18"/>
      <c r="IY1555" s="18"/>
      <c r="IZ1555" s="18"/>
      <c r="JA1555" s="18"/>
      <c r="JB1555" s="18"/>
      <c r="JC1555" s="18"/>
      <c r="JD1555" s="18"/>
      <c r="JE1555" s="18"/>
      <c r="JF1555" s="18"/>
      <c r="JG1555" s="18"/>
      <c r="JH1555" s="18"/>
      <c r="JI1555" s="18"/>
      <c r="JJ1555" s="18"/>
      <c r="JK1555" s="18"/>
      <c r="JL1555" s="18"/>
      <c r="JM1555" s="18"/>
      <c r="JN1555" s="18"/>
      <c r="JO1555" s="16"/>
      <c r="JP1555" s="16"/>
      <c r="JQ1555" s="16"/>
      <c r="JR1555" s="18"/>
      <c r="JS1555" s="18"/>
      <c r="JT1555" s="18"/>
      <c r="JU1555" s="18"/>
      <c r="JV1555" s="18"/>
      <c r="JW1555" s="18"/>
      <c r="JX1555" s="18"/>
      <c r="JY1555" s="18"/>
      <c r="JZ1555" s="18"/>
      <c r="KA1555" s="18"/>
      <c r="KB1555" s="18"/>
    </row>
    <row r="1556" spans="1:288" s="27" customFormat="1" x14ac:dyDescent="0.2">
      <c r="A1556" s="18"/>
      <c r="B1556" s="16">
        <v>2016</v>
      </c>
      <c r="C1556" s="20">
        <v>42549</v>
      </c>
      <c r="D1556" s="20" t="str">
        <f>CONCATENATE(J1556,"-",C1556)</f>
        <v>945-42549</v>
      </c>
      <c r="E1556" s="20" t="str">
        <f>CONCATENATE(T1556,"-",U1556,"-",C1556)</f>
        <v>HW2-A2-42549</v>
      </c>
      <c r="F1556" s="20" t="s">
        <v>106</v>
      </c>
      <c r="G1556" s="90" t="s">
        <v>278</v>
      </c>
      <c r="H1556" s="16"/>
      <c r="I1556" s="16"/>
      <c r="J1556" s="21">
        <v>945</v>
      </c>
      <c r="K1556" s="21"/>
      <c r="L1556" s="16"/>
      <c r="M1556" s="21"/>
      <c r="N1556" s="21"/>
      <c r="O1556" s="21"/>
      <c r="P1556" s="16"/>
      <c r="Q1556" s="16"/>
      <c r="R1556" s="16"/>
      <c r="S1556" s="16"/>
      <c r="T1556" s="16" t="s">
        <v>129</v>
      </c>
      <c r="U1556" s="16" t="s">
        <v>171</v>
      </c>
      <c r="V1556" s="16" t="s">
        <v>114</v>
      </c>
      <c r="W1556" s="16"/>
      <c r="X1556" s="16"/>
      <c r="Y1556" s="16"/>
      <c r="Z1556" s="16"/>
      <c r="AA1556" s="16"/>
      <c r="AB1556" s="16"/>
      <c r="AC1556" s="16"/>
      <c r="AD1556" s="16"/>
      <c r="AE1556" s="16"/>
      <c r="AF1556" s="16"/>
      <c r="AG1556" s="16"/>
      <c r="AH1556" s="16"/>
      <c r="AI1556" s="16"/>
      <c r="AJ1556" s="16"/>
      <c r="AK1556" s="16">
        <v>25.5</v>
      </c>
      <c r="AL1556" s="16"/>
      <c r="AM1556" s="16"/>
      <c r="AN1556" s="16"/>
      <c r="AO1556" s="16"/>
      <c r="AP1556" s="16"/>
      <c r="AQ1556" s="16"/>
      <c r="AR1556" s="16"/>
      <c r="AS1556" s="16"/>
      <c r="AT1556" s="16"/>
      <c r="AU1556" s="16"/>
      <c r="AV1556" s="16"/>
      <c r="AW1556" s="16"/>
      <c r="AX1556" s="16"/>
      <c r="AY1556" s="16"/>
      <c r="AZ1556" s="16"/>
      <c r="BA1556" s="16"/>
      <c r="BB1556" s="16"/>
      <c r="BC1556" s="16"/>
      <c r="BD1556" s="16"/>
      <c r="BE1556" s="16"/>
      <c r="BF1556" s="16"/>
      <c r="BG1556" s="77"/>
      <c r="BH1556" s="16"/>
      <c r="BI1556" s="16"/>
      <c r="BJ1556" s="16"/>
      <c r="BK1556" s="16"/>
      <c r="BL1556" s="16"/>
      <c r="BM1556" s="16"/>
      <c r="BN1556" s="16"/>
      <c r="BO1556" s="16"/>
      <c r="BP1556" s="16"/>
      <c r="BQ1556" s="16"/>
      <c r="BR1556" s="16"/>
      <c r="BS1556" s="16"/>
      <c r="BT1556" s="77"/>
      <c r="BU1556" s="16"/>
      <c r="BV1556" s="16"/>
      <c r="BW1556" s="16"/>
      <c r="BX1556" s="16"/>
      <c r="BY1556" s="16"/>
      <c r="BZ1556" s="16"/>
      <c r="CA1556" s="16"/>
      <c r="CB1556" s="16"/>
      <c r="CC1556" s="16"/>
      <c r="CD1556" s="77"/>
      <c r="CE1556" s="16"/>
      <c r="CF1556" s="16"/>
      <c r="CG1556" s="16"/>
      <c r="CH1556" s="16"/>
      <c r="CI1556" s="16"/>
      <c r="CJ1556" s="16"/>
      <c r="CK1556" s="16"/>
      <c r="CL1556" s="16"/>
      <c r="CM1556" s="16"/>
      <c r="CN1556" s="16"/>
      <c r="CO1556" s="16"/>
      <c r="CP1556" s="16"/>
      <c r="CQ1556" s="16"/>
      <c r="CR1556" s="16"/>
      <c r="CS1556" s="16"/>
      <c r="CT1556" s="16"/>
      <c r="CU1556" s="16"/>
      <c r="CV1556" s="16"/>
      <c r="CW1556" s="16"/>
      <c r="CX1556" s="16"/>
      <c r="CY1556" s="16"/>
      <c r="CZ1556" s="16"/>
      <c r="DA1556" s="16"/>
      <c r="DB1556" s="16"/>
      <c r="DC1556" s="16"/>
      <c r="DD1556" s="16"/>
      <c r="DE1556" s="16"/>
      <c r="DF1556" s="16" t="e">
        <f>VLOOKUP(K1556,'[3]RNA Seq summary tables'!$V$3:$V$99,1,FALSE)</f>
        <v>#N/A</v>
      </c>
      <c r="DG1556" s="16"/>
      <c r="DH1556" s="16"/>
      <c r="DI1556" s="16"/>
      <c r="DJ1556" s="16"/>
      <c r="DK1556" s="16"/>
      <c r="DL1556" s="16"/>
      <c r="DM1556" s="16"/>
      <c r="DN1556" s="16"/>
      <c r="DO1556" s="16"/>
      <c r="DP1556" s="16"/>
      <c r="DQ1556" s="16"/>
      <c r="DR1556" s="16"/>
      <c r="DS1556" s="16"/>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18"/>
      <c r="EQ1556" s="18"/>
      <c r="ER1556" s="18"/>
      <c r="ES1556" s="18"/>
      <c r="ET1556" s="18"/>
      <c r="EU1556" s="18"/>
      <c r="EV1556" s="18"/>
      <c r="EW1556" s="18"/>
      <c r="EX1556" s="18"/>
      <c r="EY1556" s="18"/>
      <c r="EZ1556" s="18"/>
      <c r="FA1556" s="18"/>
      <c r="FB1556" s="18"/>
      <c r="FC1556" s="18"/>
      <c r="FD1556" s="18"/>
      <c r="FE1556" s="18"/>
      <c r="FF1556" s="18"/>
      <c r="FG1556" s="18"/>
      <c r="FH1556" s="18"/>
      <c r="FI1556" s="18"/>
      <c r="FJ1556" s="18"/>
      <c r="FK1556" s="18"/>
      <c r="FL1556" s="18"/>
      <c r="FM1556" s="18"/>
      <c r="FN1556" s="18"/>
      <c r="FO1556" s="18"/>
      <c r="FP1556" s="18"/>
      <c r="FQ1556" s="18"/>
      <c r="FR1556" s="18"/>
      <c r="FS1556" s="18"/>
      <c r="FT1556" s="18"/>
      <c r="FU1556" s="18"/>
      <c r="FV1556" s="18"/>
      <c r="FW1556" s="18"/>
      <c r="FX1556" s="18"/>
      <c r="FY1556" s="18"/>
      <c r="FZ1556" s="18"/>
      <c r="GA1556" s="18"/>
      <c r="GB1556" s="18"/>
      <c r="GC1556" s="18"/>
      <c r="GD1556" s="18"/>
      <c r="GE1556" s="18"/>
      <c r="GF1556" s="18"/>
      <c r="GG1556" s="18"/>
      <c r="GH1556" s="18"/>
      <c r="GI1556" s="18"/>
      <c r="GJ1556" s="18"/>
      <c r="GK1556" s="18"/>
      <c r="GL1556" s="18"/>
      <c r="GM1556" s="18"/>
      <c r="GN1556" s="18"/>
      <c r="GO1556" s="18"/>
      <c r="GP1556" s="18"/>
      <c r="GQ1556" s="18"/>
      <c r="GR1556" s="18"/>
      <c r="GS1556" s="18"/>
      <c r="GT1556" s="18"/>
      <c r="GU1556" s="18"/>
      <c r="GV1556" s="18"/>
      <c r="GW1556" s="18"/>
      <c r="GX1556" s="18"/>
      <c r="GY1556" s="18"/>
      <c r="GZ1556" s="18"/>
      <c r="HA1556" s="18"/>
      <c r="HB1556" s="18"/>
      <c r="HC1556" s="18"/>
      <c r="HD1556" s="18"/>
      <c r="HE1556" s="18"/>
      <c r="HF1556" s="18"/>
      <c r="HG1556" s="18"/>
      <c r="HH1556" s="18"/>
      <c r="HI1556" s="18"/>
      <c r="HJ1556" s="18"/>
      <c r="HK1556" s="18"/>
      <c r="HL1556" s="18"/>
      <c r="HM1556" s="18"/>
      <c r="HN1556" s="18"/>
      <c r="HO1556" s="18"/>
      <c r="HP1556" s="18"/>
      <c r="HQ1556" s="18"/>
      <c r="HR1556" s="18"/>
      <c r="HS1556" s="18"/>
      <c r="HT1556" s="18"/>
      <c r="HU1556" s="18"/>
      <c r="HV1556" s="18"/>
      <c r="HW1556" s="18"/>
      <c r="HX1556" s="18"/>
      <c r="HY1556" s="18"/>
      <c r="HZ1556" s="18"/>
      <c r="IA1556" s="18"/>
      <c r="IB1556" s="18"/>
      <c r="IC1556" s="18"/>
      <c r="ID1556" s="18"/>
      <c r="IE1556" s="18"/>
      <c r="IF1556" s="18"/>
      <c r="IG1556" s="18"/>
      <c r="IH1556" s="18"/>
      <c r="II1556" s="18"/>
      <c r="IJ1556" s="18"/>
      <c r="IK1556" s="18"/>
      <c r="IL1556" s="18"/>
      <c r="IM1556" s="18"/>
      <c r="IN1556" s="18"/>
      <c r="IO1556" s="18"/>
      <c r="IP1556" s="18"/>
      <c r="IQ1556" s="18"/>
      <c r="IR1556" s="18"/>
      <c r="IS1556" s="18"/>
      <c r="IT1556" s="18"/>
      <c r="IU1556" s="18"/>
      <c r="IV1556" s="18"/>
      <c r="IW1556" s="18"/>
      <c r="IX1556" s="18"/>
      <c r="IY1556" s="18"/>
      <c r="IZ1556" s="18"/>
      <c r="JA1556" s="18"/>
      <c r="JB1556" s="18"/>
      <c r="JC1556" s="18"/>
      <c r="JD1556" s="18"/>
      <c r="JE1556" s="18"/>
      <c r="JF1556" s="18"/>
      <c r="JG1556" s="18"/>
      <c r="JH1556" s="18"/>
      <c r="JI1556" s="18"/>
      <c r="JJ1556" s="18"/>
      <c r="JK1556" s="18"/>
      <c r="JL1556" s="18"/>
      <c r="JM1556" s="18"/>
      <c r="JN1556" s="18"/>
      <c r="JO1556" s="18"/>
      <c r="JP1556" s="16"/>
      <c r="JQ1556" s="16"/>
      <c r="JR1556" s="16"/>
      <c r="JS1556" s="16"/>
      <c r="JT1556" s="16"/>
      <c r="JU1556" s="16"/>
      <c r="JV1556" s="16"/>
      <c r="JW1556" s="16"/>
      <c r="JX1556" s="16"/>
      <c r="JY1556" s="16"/>
      <c r="JZ1556" s="16"/>
      <c r="KA1556" s="16"/>
      <c r="KB1556" s="16"/>
    </row>
    <row r="1557" spans="1:288" s="27" customFormat="1" x14ac:dyDescent="0.2">
      <c r="A1557" s="18"/>
      <c r="B1557" s="16">
        <v>2016</v>
      </c>
      <c r="C1557" s="20">
        <v>42550</v>
      </c>
      <c r="D1557" s="20" t="str">
        <f>CONCATENATE(J1557,"-",C1557)</f>
        <v>945-42550</v>
      </c>
      <c r="E1557" s="20" t="str">
        <f>CONCATENATE(T1557,"-",U1557,"-",C1557)</f>
        <v>HW2-C2-42550</v>
      </c>
      <c r="F1557" s="20" t="s">
        <v>106</v>
      </c>
      <c r="G1557" s="90" t="s">
        <v>278</v>
      </c>
      <c r="H1557" s="16"/>
      <c r="I1557" s="16"/>
      <c r="J1557" s="21">
        <v>945</v>
      </c>
      <c r="K1557" s="21"/>
      <c r="L1557" s="16"/>
      <c r="M1557" s="21"/>
      <c r="N1557" s="21"/>
      <c r="O1557" s="21"/>
      <c r="P1557" s="16"/>
      <c r="Q1557" s="16"/>
      <c r="R1557" s="16"/>
      <c r="S1557" s="16"/>
      <c r="T1557" s="16" t="s">
        <v>129</v>
      </c>
      <c r="U1557" s="16" t="s">
        <v>162</v>
      </c>
      <c r="V1557" s="16"/>
      <c r="W1557" s="16"/>
      <c r="X1557" s="16"/>
      <c r="Y1557" s="16"/>
      <c r="Z1557" s="16"/>
      <c r="AA1557" s="16"/>
      <c r="AB1557" s="16"/>
      <c r="AC1557" s="16"/>
      <c r="AD1557" s="16"/>
      <c r="AE1557" s="16"/>
      <c r="AF1557" s="16"/>
      <c r="AG1557" s="16"/>
      <c r="AH1557" s="16"/>
      <c r="AI1557" s="16"/>
      <c r="AJ1557" s="16"/>
      <c r="AK1557" s="16"/>
      <c r="AL1557" s="16"/>
      <c r="AM1557" s="16"/>
      <c r="AN1557" s="16"/>
      <c r="AO1557" s="16"/>
      <c r="AP1557" s="16"/>
      <c r="AQ1557" s="16"/>
      <c r="AR1557" s="16"/>
      <c r="AS1557" s="16"/>
      <c r="AT1557" s="16"/>
      <c r="AU1557" s="16"/>
      <c r="AV1557" s="16"/>
      <c r="AW1557" s="16"/>
      <c r="AX1557" s="16"/>
      <c r="AY1557" s="16"/>
      <c r="AZ1557" s="16"/>
      <c r="BA1557" s="16"/>
      <c r="BB1557" s="16"/>
      <c r="BC1557" s="16"/>
      <c r="BD1557" s="16"/>
      <c r="BE1557" s="16"/>
      <c r="BF1557" s="16"/>
      <c r="BG1557" s="77"/>
      <c r="BH1557" s="16"/>
      <c r="BI1557" s="16"/>
      <c r="BJ1557" s="16"/>
      <c r="BK1557" s="16"/>
      <c r="BL1557" s="16"/>
      <c r="BM1557" s="16"/>
      <c r="BN1557" s="16"/>
      <c r="BO1557" s="16"/>
      <c r="BP1557" s="16"/>
      <c r="BQ1557" s="16"/>
      <c r="BR1557" s="16"/>
      <c r="BS1557" s="16"/>
      <c r="BT1557" s="77"/>
      <c r="BU1557" s="16"/>
      <c r="BV1557" s="16"/>
      <c r="BW1557" s="16"/>
      <c r="BX1557" s="16"/>
      <c r="BY1557" s="16"/>
      <c r="BZ1557" s="16"/>
      <c r="CA1557" s="16"/>
      <c r="CB1557" s="16"/>
      <c r="CC1557" s="16"/>
      <c r="CD1557" s="77"/>
      <c r="CE1557" s="16"/>
      <c r="CF1557" s="16"/>
      <c r="CG1557" s="16"/>
      <c r="CH1557" s="16"/>
      <c r="CI1557" s="16"/>
      <c r="CJ1557" s="16"/>
      <c r="CK1557" s="16"/>
      <c r="CL1557" s="16"/>
      <c r="CM1557" s="16"/>
      <c r="CN1557" s="16"/>
      <c r="CO1557" s="16"/>
      <c r="CP1557" s="16"/>
      <c r="CQ1557" s="16"/>
      <c r="CR1557" s="16"/>
      <c r="CS1557" s="16"/>
      <c r="CT1557" s="16"/>
      <c r="CU1557" s="16"/>
      <c r="CV1557" s="16"/>
      <c r="CW1557" s="16"/>
      <c r="CX1557" s="16"/>
      <c r="CY1557" s="16"/>
      <c r="CZ1557" s="16"/>
      <c r="DA1557" s="16"/>
      <c r="DB1557" s="16"/>
      <c r="DC1557" s="16"/>
      <c r="DD1557" s="16"/>
      <c r="DE1557" s="16"/>
      <c r="DF1557" s="16" t="e">
        <f>VLOOKUP(K1557,'[3]RNA Seq summary tables'!$V$3:$V$99,1,FALSE)</f>
        <v>#N/A</v>
      </c>
      <c r="DG1557" s="16"/>
      <c r="DH1557" s="16"/>
      <c r="DI1557" s="16"/>
      <c r="DJ1557" s="16"/>
      <c r="DK1557" s="16"/>
      <c r="DL1557" s="16"/>
      <c r="DM1557" s="16"/>
      <c r="DN1557" s="16"/>
      <c r="DO1557" s="16"/>
      <c r="DP1557" s="16"/>
      <c r="DQ1557" s="16"/>
      <c r="DR1557" s="16"/>
      <c r="DS1557" s="16"/>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18"/>
      <c r="EQ1557" s="18"/>
      <c r="ER1557" s="18"/>
      <c r="ES1557" s="18"/>
      <c r="ET1557" s="18"/>
      <c r="EU1557" s="18"/>
      <c r="EV1557" s="18"/>
      <c r="EW1557" s="18"/>
      <c r="EX1557" s="18"/>
      <c r="EY1557" s="18"/>
      <c r="EZ1557" s="18"/>
      <c r="FA1557" s="18"/>
      <c r="FB1557" s="18"/>
      <c r="FC1557" s="18"/>
      <c r="FD1557" s="18"/>
      <c r="FE1557" s="18"/>
      <c r="FF1557" s="18"/>
      <c r="FG1557" s="18"/>
      <c r="FH1557" s="18"/>
      <c r="FI1557" s="18"/>
      <c r="FJ1557" s="18"/>
      <c r="FK1557" s="18"/>
      <c r="FL1557" s="18"/>
      <c r="FM1557" s="18"/>
      <c r="FN1557" s="18"/>
      <c r="FO1557" s="18"/>
      <c r="FP1557" s="18"/>
      <c r="FQ1557" s="18"/>
      <c r="FR1557" s="18"/>
      <c r="FS1557" s="18"/>
      <c r="FT1557" s="18"/>
      <c r="FU1557" s="18"/>
      <c r="FV1557" s="18"/>
      <c r="FW1557" s="18"/>
      <c r="FX1557" s="18"/>
      <c r="FY1557" s="18"/>
      <c r="FZ1557" s="18"/>
      <c r="GA1557" s="18"/>
      <c r="GB1557" s="18"/>
      <c r="GC1557" s="18"/>
      <c r="GD1557" s="18"/>
      <c r="GE1557" s="18"/>
      <c r="GF1557" s="18"/>
      <c r="GG1557" s="18"/>
      <c r="GH1557" s="18"/>
      <c r="GI1557" s="18"/>
      <c r="GJ1557" s="18"/>
      <c r="GK1557" s="18"/>
      <c r="GL1557" s="18"/>
      <c r="GM1557" s="18"/>
      <c r="GN1557" s="18"/>
      <c r="GO1557" s="18"/>
      <c r="GP1557" s="18"/>
      <c r="GQ1557" s="18"/>
      <c r="GR1557" s="18"/>
      <c r="GS1557" s="18"/>
      <c r="GT1557" s="18"/>
      <c r="GU1557" s="18"/>
      <c r="GV1557" s="18"/>
      <c r="GW1557" s="18"/>
      <c r="GX1557" s="18"/>
      <c r="GY1557" s="18"/>
      <c r="GZ1557" s="18"/>
      <c r="HA1557" s="18"/>
      <c r="HB1557" s="18"/>
      <c r="HC1557" s="18"/>
      <c r="HD1557" s="18"/>
      <c r="HE1557" s="18"/>
      <c r="HF1557" s="18"/>
      <c r="HG1557" s="18"/>
      <c r="HH1557" s="18"/>
      <c r="HI1557" s="18"/>
      <c r="HJ1557" s="18"/>
      <c r="HK1557" s="18"/>
      <c r="HL1557" s="18"/>
      <c r="HM1557" s="18"/>
      <c r="HN1557" s="18"/>
      <c r="HO1557" s="18"/>
      <c r="HP1557" s="18"/>
      <c r="HQ1557" s="18"/>
      <c r="HR1557" s="18"/>
      <c r="HS1557" s="18"/>
      <c r="HT1557" s="18"/>
      <c r="HU1557" s="18"/>
      <c r="HV1557" s="18"/>
      <c r="HW1557" s="18"/>
      <c r="HX1557" s="18"/>
      <c r="HY1557" s="18"/>
      <c r="HZ1557" s="18"/>
      <c r="IA1557" s="18"/>
      <c r="IB1557" s="18"/>
      <c r="IC1557" s="18"/>
      <c r="ID1557" s="18"/>
      <c r="IE1557" s="18"/>
      <c r="IF1557" s="18"/>
      <c r="IG1557" s="18"/>
      <c r="IH1557" s="18"/>
      <c r="II1557" s="18"/>
      <c r="IJ1557" s="18"/>
      <c r="IK1557" s="18"/>
      <c r="IL1557" s="18"/>
      <c r="IM1557" s="18"/>
      <c r="IN1557" s="18"/>
      <c r="IO1557" s="18"/>
      <c r="IP1557" s="18"/>
      <c r="IQ1557" s="18"/>
      <c r="IR1557" s="18"/>
      <c r="IS1557" s="18"/>
      <c r="IT1557" s="18"/>
      <c r="IU1557" s="18"/>
      <c r="IV1557" s="18"/>
      <c r="IW1557" s="18"/>
      <c r="IX1557" s="18"/>
      <c r="IY1557" s="18"/>
      <c r="IZ1557" s="18"/>
      <c r="JA1557" s="18"/>
      <c r="JB1557" s="18"/>
      <c r="JC1557" s="18"/>
      <c r="JD1557" s="18"/>
      <c r="JE1557" s="18"/>
      <c r="JF1557" s="18"/>
      <c r="JG1557" s="18"/>
      <c r="JH1557" s="18"/>
      <c r="JI1557" s="18"/>
      <c r="JJ1557" s="18"/>
      <c r="JK1557" s="18"/>
      <c r="JL1557" s="18"/>
      <c r="JM1557" s="18"/>
      <c r="JN1557" s="18"/>
      <c r="JO1557" s="16"/>
      <c r="JP1557" s="16"/>
      <c r="JQ1557" s="16"/>
      <c r="JR1557" s="16"/>
      <c r="JS1557" s="16"/>
      <c r="JT1557" s="16"/>
      <c r="JU1557" s="16"/>
      <c r="JV1557" s="16"/>
      <c r="JW1557" s="16"/>
      <c r="JX1557" s="16"/>
      <c r="JY1557" s="16"/>
      <c r="JZ1557" s="16"/>
      <c r="KA1557" s="16"/>
      <c r="KB1557" s="16"/>
    </row>
    <row r="1558" spans="1:288" s="27" customFormat="1" x14ac:dyDescent="0.2">
      <c r="A1558" s="18"/>
      <c r="B1558" s="16">
        <v>2016</v>
      </c>
      <c r="C1558" s="20">
        <v>42563</v>
      </c>
      <c r="D1558" s="20" t="str">
        <f>CONCATENATE(J1558,"-",C1558)</f>
        <v>945-42563</v>
      </c>
      <c r="E1558" s="20" t="str">
        <f>CONCATENATE(T1558,"-",U1558,"-",C1558)</f>
        <v>HW2-A4-42563</v>
      </c>
      <c r="F1558" s="20" t="s">
        <v>106</v>
      </c>
      <c r="G1558" s="90" t="s">
        <v>278</v>
      </c>
      <c r="H1558" s="16"/>
      <c r="I1558" s="16"/>
      <c r="J1558" s="21">
        <v>945</v>
      </c>
      <c r="K1558" s="21"/>
      <c r="L1558" s="16"/>
      <c r="M1558" s="21"/>
      <c r="N1558" s="21"/>
      <c r="O1558" s="21"/>
      <c r="P1558" s="16"/>
      <c r="Q1558" s="16"/>
      <c r="R1558" s="16"/>
      <c r="S1558" s="16"/>
      <c r="T1558" s="16" t="s">
        <v>129</v>
      </c>
      <c r="U1558" s="16" t="s">
        <v>134</v>
      </c>
      <c r="V1558" s="16"/>
      <c r="W1558" s="16"/>
      <c r="X1558" s="16"/>
      <c r="Y1558" s="16"/>
      <c r="Z1558" s="16"/>
      <c r="AA1558" s="16"/>
      <c r="AB1558" s="16"/>
      <c r="AC1558" s="16"/>
      <c r="AD1558" s="16"/>
      <c r="AE1558" s="16"/>
      <c r="AF1558" s="16"/>
      <c r="AG1558" s="16"/>
      <c r="AH1558" s="16"/>
      <c r="AI1558" s="16"/>
      <c r="AJ1558" s="16"/>
      <c r="AK1558" s="16">
        <v>27</v>
      </c>
      <c r="AL1558" s="16"/>
      <c r="AM1558" s="16"/>
      <c r="AN1558" s="16"/>
      <c r="AO1558" s="16"/>
      <c r="AP1558" s="16"/>
      <c r="AQ1558" s="16"/>
      <c r="AR1558" s="16"/>
      <c r="AS1558" s="16"/>
      <c r="AT1558" s="16"/>
      <c r="AU1558" s="16"/>
      <c r="AV1558" s="16"/>
      <c r="AW1558" s="16"/>
      <c r="AX1558" s="16"/>
      <c r="AY1558" s="16"/>
      <c r="AZ1558" s="16"/>
      <c r="BA1558" s="16"/>
      <c r="BB1558" s="16"/>
      <c r="BC1558" s="16"/>
      <c r="BD1558" s="16"/>
      <c r="BE1558" s="16"/>
      <c r="BF1558" s="16"/>
      <c r="BG1558" s="77"/>
      <c r="BH1558" s="16"/>
      <c r="BI1558" s="16"/>
      <c r="BJ1558" s="16"/>
      <c r="BK1558" s="16"/>
      <c r="BL1558" s="16"/>
      <c r="BM1558" s="16"/>
      <c r="BN1558" s="16"/>
      <c r="BO1558" s="16"/>
      <c r="BP1558" s="16"/>
      <c r="BQ1558" s="16"/>
      <c r="BR1558" s="16"/>
      <c r="BS1558" s="16"/>
      <c r="BT1558" s="77"/>
      <c r="BU1558" s="16"/>
      <c r="BV1558" s="16"/>
      <c r="BW1558" s="16"/>
      <c r="BX1558" s="16"/>
      <c r="BY1558" s="16"/>
      <c r="BZ1558" s="16"/>
      <c r="CA1558" s="16"/>
      <c r="CB1558" s="16"/>
      <c r="CC1558" s="16"/>
      <c r="CD1558" s="77"/>
      <c r="CE1558" s="16"/>
      <c r="CF1558" s="16"/>
      <c r="CG1558" s="16"/>
      <c r="CH1558" s="16"/>
      <c r="CI1558" s="16"/>
      <c r="CJ1558" s="16"/>
      <c r="CK1558" s="16"/>
      <c r="CL1558" s="16"/>
      <c r="CM1558" s="16"/>
      <c r="CN1558" s="16"/>
      <c r="CO1558" s="16"/>
      <c r="CP1558" s="16"/>
      <c r="CQ1558" s="16"/>
      <c r="CR1558" s="16"/>
      <c r="CS1558" s="16"/>
      <c r="CT1558" s="16"/>
      <c r="CU1558" s="16"/>
      <c r="CV1558" s="16"/>
      <c r="CW1558" s="16"/>
      <c r="CX1558" s="16"/>
      <c r="CY1558" s="16"/>
      <c r="CZ1558" s="16"/>
      <c r="DA1558" s="16"/>
      <c r="DB1558" s="16"/>
      <c r="DC1558" s="16"/>
      <c r="DD1558" s="16"/>
      <c r="DE1558" s="16"/>
      <c r="DF1558" s="16" t="e">
        <f>VLOOKUP(K1558,'[3]RNA Seq summary tables'!$V$3:$V$99,1,FALSE)</f>
        <v>#N/A</v>
      </c>
      <c r="DG1558" s="16"/>
      <c r="DH1558" s="16"/>
      <c r="DI1558" s="16"/>
      <c r="DJ1558" s="16"/>
      <c r="DK1558" s="16"/>
      <c r="DL1558" s="16"/>
      <c r="DM1558" s="16"/>
      <c r="DN1558" s="16"/>
      <c r="DO1558" s="16"/>
      <c r="DP1558" s="16"/>
      <c r="DQ1558" s="16"/>
      <c r="DR1558" s="16"/>
      <c r="DS1558" s="16"/>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18"/>
      <c r="EQ1558" s="18"/>
      <c r="ER1558" s="18"/>
      <c r="ES1558" s="18"/>
      <c r="ET1558" s="18"/>
      <c r="EU1558" s="18"/>
      <c r="EV1558" s="18"/>
      <c r="EW1558" s="18"/>
      <c r="EX1558" s="18"/>
      <c r="EY1558" s="18"/>
      <c r="EZ1558" s="18"/>
      <c r="FA1558" s="18"/>
      <c r="FB1558" s="18"/>
      <c r="FC1558" s="18"/>
      <c r="FD1558" s="18"/>
      <c r="FE1558" s="18"/>
      <c r="FF1558" s="18"/>
      <c r="FG1558" s="18"/>
      <c r="FH1558" s="18"/>
      <c r="FI1558" s="18"/>
      <c r="FJ1558" s="18"/>
      <c r="FK1558" s="18"/>
      <c r="FL1558" s="18"/>
      <c r="FM1558" s="18"/>
      <c r="FN1558" s="18"/>
      <c r="FO1558" s="18"/>
      <c r="FP1558" s="18"/>
      <c r="FQ1558" s="18"/>
      <c r="FR1558" s="18"/>
      <c r="FS1558" s="18"/>
      <c r="FT1558" s="18"/>
      <c r="FU1558" s="18"/>
      <c r="FV1558" s="18"/>
      <c r="FW1558" s="18"/>
      <c r="FX1558" s="18"/>
      <c r="FY1558" s="18"/>
      <c r="FZ1558" s="18"/>
      <c r="GA1558" s="18"/>
      <c r="GB1558" s="18"/>
      <c r="GC1558" s="18"/>
      <c r="GD1558" s="18"/>
      <c r="GE1558" s="18"/>
      <c r="GF1558" s="18"/>
      <c r="GG1558" s="18"/>
      <c r="GH1558" s="18"/>
      <c r="GI1558" s="18"/>
      <c r="GJ1558" s="18"/>
      <c r="GK1558" s="18"/>
      <c r="GL1558" s="18"/>
      <c r="GM1558" s="18"/>
      <c r="GN1558" s="18"/>
      <c r="GO1558" s="18"/>
      <c r="GP1558" s="18"/>
      <c r="GQ1558" s="18"/>
      <c r="GR1558" s="18"/>
      <c r="GS1558" s="18"/>
      <c r="GT1558" s="18"/>
      <c r="GU1558" s="18"/>
      <c r="GV1558" s="18"/>
      <c r="GW1558" s="18"/>
      <c r="GX1558" s="18"/>
      <c r="GY1558" s="18"/>
      <c r="GZ1558" s="18"/>
      <c r="HA1558" s="18"/>
      <c r="HB1558" s="18"/>
      <c r="HC1558" s="18"/>
      <c r="HD1558" s="18"/>
      <c r="HE1558" s="18"/>
      <c r="HF1558" s="18"/>
      <c r="HG1558" s="18"/>
      <c r="HH1558" s="18"/>
      <c r="HI1558" s="18"/>
      <c r="HJ1558" s="18"/>
      <c r="HK1558" s="18"/>
      <c r="HL1558" s="18"/>
      <c r="HM1558" s="18"/>
      <c r="HN1558" s="18"/>
      <c r="HO1558" s="18"/>
      <c r="HP1558" s="18"/>
      <c r="HQ1558" s="18"/>
      <c r="HR1558" s="18"/>
      <c r="HS1558" s="18"/>
      <c r="HT1558" s="18"/>
      <c r="HU1558" s="18"/>
      <c r="HV1558" s="18"/>
      <c r="HW1558" s="18"/>
      <c r="HX1558" s="18"/>
      <c r="HY1558" s="18"/>
      <c r="HZ1558" s="18"/>
      <c r="IA1558" s="18"/>
      <c r="IB1558" s="18"/>
      <c r="IC1558" s="18"/>
      <c r="ID1558" s="18"/>
      <c r="IE1558" s="18"/>
      <c r="IF1558" s="18"/>
      <c r="IG1558" s="18"/>
      <c r="IH1558" s="18"/>
      <c r="II1558" s="18"/>
      <c r="IJ1558" s="18"/>
      <c r="IK1558" s="18"/>
      <c r="IL1558" s="18"/>
      <c r="IM1558" s="18"/>
      <c r="IN1558" s="18"/>
      <c r="IO1558" s="18"/>
      <c r="IP1558" s="18"/>
      <c r="IQ1558" s="18"/>
      <c r="IR1558" s="18"/>
      <c r="IS1558" s="18"/>
      <c r="IT1558" s="18"/>
      <c r="IU1558" s="18"/>
      <c r="IV1558" s="18"/>
      <c r="IW1558" s="18"/>
      <c r="IX1558" s="18"/>
      <c r="IY1558" s="18"/>
      <c r="IZ1558" s="18"/>
      <c r="JA1558" s="18"/>
      <c r="JB1558" s="18"/>
      <c r="JC1558" s="18"/>
      <c r="JD1558" s="18"/>
      <c r="JE1558" s="18"/>
      <c r="JF1558" s="18"/>
      <c r="JG1558" s="18"/>
      <c r="JH1558" s="18"/>
      <c r="JI1558" s="18"/>
      <c r="JJ1558" s="18"/>
      <c r="JK1558" s="18"/>
      <c r="JL1558" s="18"/>
      <c r="JM1558" s="18"/>
      <c r="JN1558" s="18"/>
      <c r="JO1558" s="16"/>
      <c r="JP1558" s="16"/>
      <c r="JQ1558" s="16"/>
      <c r="JR1558" s="16"/>
      <c r="JS1558" s="16"/>
      <c r="JT1558" s="16"/>
      <c r="JU1558" s="16"/>
      <c r="JV1558" s="16"/>
      <c r="JW1558" s="16"/>
      <c r="JX1558" s="16"/>
      <c r="JY1558" s="16"/>
      <c r="JZ1558" s="16"/>
      <c r="KA1558" s="16"/>
      <c r="KB1558" s="16"/>
    </row>
    <row r="1559" spans="1:288" s="27" customFormat="1" x14ac:dyDescent="0.2">
      <c r="A1559" s="18"/>
      <c r="B1559" s="16">
        <v>2016</v>
      </c>
      <c r="C1559" s="20">
        <v>42592</v>
      </c>
      <c r="D1559" s="20" t="str">
        <f>CONCATENATE(J1559,"-",C1559)</f>
        <v>945-42592</v>
      </c>
      <c r="E1559" s="20" t="str">
        <f>CONCATENATE(T1559,"-",U1559,"-",C1559)</f>
        <v>HW2-C2-42592</v>
      </c>
      <c r="F1559" s="20" t="s">
        <v>227</v>
      </c>
      <c r="G1559" s="90" t="s">
        <v>278</v>
      </c>
      <c r="H1559" s="16"/>
      <c r="I1559" s="16"/>
      <c r="J1559" s="21">
        <v>945</v>
      </c>
      <c r="K1559" s="21"/>
      <c r="L1559" s="16"/>
      <c r="M1559" s="21"/>
      <c r="N1559" s="21"/>
      <c r="O1559" s="21"/>
      <c r="P1559" s="16"/>
      <c r="Q1559" s="16"/>
      <c r="R1559" s="16"/>
      <c r="S1559" s="16"/>
      <c r="T1559" s="16" t="s">
        <v>129</v>
      </c>
      <c r="U1559" s="16" t="s">
        <v>162</v>
      </c>
      <c r="V1559" s="16"/>
      <c r="W1559" s="16"/>
      <c r="X1559" s="16"/>
      <c r="Y1559" s="16"/>
      <c r="Z1559" s="16"/>
      <c r="AA1559" s="16"/>
      <c r="AB1559" s="16"/>
      <c r="AC1559" s="16"/>
      <c r="AD1559" s="16"/>
      <c r="AE1559" s="16"/>
      <c r="AF1559" s="16"/>
      <c r="AG1559" s="16"/>
      <c r="AH1559" s="16"/>
      <c r="AI1559" s="16"/>
      <c r="AJ1559" s="16"/>
      <c r="AK1559" s="16">
        <v>27</v>
      </c>
      <c r="AL1559" s="16"/>
      <c r="AM1559" s="16"/>
      <c r="AN1559" s="16"/>
      <c r="AO1559" s="16"/>
      <c r="AP1559" s="16"/>
      <c r="AQ1559" s="16"/>
      <c r="AR1559" s="16"/>
      <c r="AS1559" s="16"/>
      <c r="AT1559" s="16"/>
      <c r="AU1559" s="16"/>
      <c r="AV1559" s="16"/>
      <c r="AW1559" s="16"/>
      <c r="AX1559" s="16"/>
      <c r="AY1559" s="16"/>
      <c r="AZ1559" s="16"/>
      <c r="BA1559" s="16"/>
      <c r="BB1559" s="16"/>
      <c r="BC1559" s="16"/>
      <c r="BD1559" s="16"/>
      <c r="BE1559" s="16"/>
      <c r="BF1559" s="16"/>
      <c r="BG1559" s="77"/>
      <c r="BH1559" s="16"/>
      <c r="BI1559" s="16"/>
      <c r="BJ1559" s="16"/>
      <c r="BK1559" s="16"/>
      <c r="BL1559" s="16"/>
      <c r="BM1559" s="16"/>
      <c r="BN1559" s="16"/>
      <c r="BO1559" s="16"/>
      <c r="BP1559" s="16"/>
      <c r="BQ1559" s="16"/>
      <c r="BR1559" s="16"/>
      <c r="BS1559" s="16"/>
      <c r="BT1559" s="77"/>
      <c r="BU1559" s="16"/>
      <c r="BV1559" s="16"/>
      <c r="BW1559" s="16"/>
      <c r="BX1559" s="16"/>
      <c r="BY1559" s="16"/>
      <c r="BZ1559" s="16"/>
      <c r="CA1559" s="16"/>
      <c r="CB1559" s="16"/>
      <c r="CC1559" s="16"/>
      <c r="CD1559" s="77"/>
      <c r="CE1559" s="16"/>
      <c r="CF1559" s="16"/>
      <c r="CG1559" s="16"/>
      <c r="CH1559" s="16"/>
      <c r="CI1559" s="16"/>
      <c r="CJ1559" s="16"/>
      <c r="CK1559" s="16"/>
      <c r="CL1559" s="16"/>
      <c r="CM1559" s="16"/>
      <c r="CN1559" s="16"/>
      <c r="CO1559" s="16"/>
      <c r="CP1559" s="16"/>
      <c r="CQ1559" s="16"/>
      <c r="CR1559" s="16"/>
      <c r="CS1559" s="16"/>
      <c r="CT1559" s="16"/>
      <c r="CU1559" s="16"/>
      <c r="CV1559" s="16"/>
      <c r="CW1559" s="16"/>
      <c r="CX1559" s="16"/>
      <c r="CY1559" s="16"/>
      <c r="CZ1559" s="16"/>
      <c r="DA1559" s="16"/>
      <c r="DB1559" s="16"/>
      <c r="DC1559" s="16"/>
      <c r="DD1559" s="16"/>
      <c r="DE1559" s="16"/>
      <c r="DF1559" s="16" t="e">
        <f>VLOOKUP(K1559,'[3]RNA Seq summary tables'!$V$3:$V$99,1,FALSE)</f>
        <v>#N/A</v>
      </c>
      <c r="DG1559" s="16"/>
      <c r="DH1559" s="16"/>
      <c r="DI1559" s="16"/>
      <c r="DJ1559" s="16"/>
      <c r="DK1559" s="16"/>
      <c r="DL1559" s="16"/>
      <c r="DM1559" s="16"/>
      <c r="DN1559" s="16"/>
      <c r="DO1559" s="16"/>
      <c r="DP1559" s="16"/>
      <c r="DQ1559" s="16"/>
      <c r="DR1559" s="16"/>
      <c r="DS1559" s="16"/>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18"/>
      <c r="EQ1559" s="18"/>
      <c r="ER1559" s="18"/>
      <c r="ES1559" s="18"/>
      <c r="ET1559" s="18"/>
      <c r="EU1559" s="18"/>
      <c r="EV1559" s="18"/>
      <c r="EW1559" s="18"/>
      <c r="EX1559" s="18"/>
      <c r="EY1559" s="18"/>
      <c r="EZ1559" s="18"/>
      <c r="FA1559" s="18"/>
      <c r="FB1559" s="18"/>
      <c r="FC1559" s="18"/>
      <c r="FD1559" s="18"/>
      <c r="FE1559" s="18"/>
      <c r="FF1559" s="18"/>
      <c r="FG1559" s="18"/>
      <c r="FH1559" s="18"/>
      <c r="FI1559" s="18"/>
      <c r="FJ1559" s="18"/>
      <c r="FK1559" s="18"/>
      <c r="FL1559" s="18"/>
      <c r="FM1559" s="18"/>
      <c r="FN1559" s="18"/>
      <c r="FO1559" s="18"/>
      <c r="FP1559" s="18"/>
      <c r="FQ1559" s="18"/>
      <c r="FR1559" s="18"/>
      <c r="FS1559" s="18"/>
      <c r="FT1559" s="18"/>
      <c r="FU1559" s="18"/>
      <c r="FV1559" s="18"/>
      <c r="FW1559" s="18"/>
      <c r="FX1559" s="18"/>
      <c r="FY1559" s="18"/>
      <c r="FZ1559" s="18"/>
      <c r="GA1559" s="18"/>
      <c r="GB1559" s="18"/>
      <c r="GC1559" s="18"/>
      <c r="GD1559" s="18"/>
      <c r="GE1559" s="18"/>
      <c r="GF1559" s="18"/>
      <c r="GG1559" s="18"/>
      <c r="GH1559" s="18"/>
      <c r="GI1559" s="18"/>
      <c r="GJ1559" s="18"/>
      <c r="GK1559" s="18"/>
      <c r="GL1559" s="18"/>
      <c r="GM1559" s="18"/>
      <c r="GN1559" s="18"/>
      <c r="GO1559" s="18"/>
      <c r="GP1559" s="18"/>
      <c r="GQ1559" s="18"/>
      <c r="GR1559" s="18"/>
      <c r="GS1559" s="18"/>
      <c r="GT1559" s="18"/>
      <c r="GU1559" s="18"/>
      <c r="GV1559" s="18"/>
      <c r="GW1559" s="18"/>
      <c r="GX1559" s="18"/>
      <c r="GY1559" s="18"/>
      <c r="GZ1559" s="18"/>
      <c r="HA1559" s="18"/>
      <c r="HB1559" s="18"/>
      <c r="HC1559" s="18"/>
      <c r="HD1559" s="18"/>
      <c r="HE1559" s="18"/>
      <c r="HF1559" s="18"/>
      <c r="HG1559" s="18"/>
      <c r="HH1559" s="18"/>
      <c r="HI1559" s="18"/>
      <c r="HJ1559" s="18"/>
      <c r="HK1559" s="18"/>
      <c r="HL1559" s="18"/>
      <c r="HM1559" s="18"/>
      <c r="HN1559" s="18"/>
      <c r="HO1559" s="18"/>
      <c r="HP1559" s="18"/>
      <c r="HQ1559" s="18"/>
      <c r="HR1559" s="18"/>
      <c r="HS1559" s="18"/>
      <c r="HT1559" s="18"/>
      <c r="HU1559" s="18"/>
      <c r="HV1559" s="18"/>
      <c r="HW1559" s="18"/>
      <c r="HX1559" s="18"/>
      <c r="HY1559" s="18"/>
      <c r="HZ1559" s="18"/>
      <c r="IA1559" s="18"/>
      <c r="IB1559" s="18"/>
      <c r="IC1559" s="18"/>
      <c r="ID1559" s="18"/>
      <c r="IE1559" s="18"/>
      <c r="IF1559" s="18"/>
      <c r="IG1559" s="18"/>
      <c r="IH1559" s="18"/>
      <c r="II1559" s="18"/>
      <c r="IJ1559" s="18"/>
      <c r="IK1559" s="18"/>
      <c r="IL1559" s="18"/>
      <c r="IM1559" s="18"/>
      <c r="IN1559" s="18"/>
      <c r="IO1559" s="18"/>
      <c r="IP1559" s="18"/>
      <c r="IQ1559" s="18"/>
      <c r="IR1559" s="18"/>
      <c r="IS1559" s="18"/>
      <c r="IT1559" s="18"/>
      <c r="IU1559" s="18"/>
      <c r="IV1559" s="18"/>
      <c r="IW1559" s="18"/>
      <c r="IX1559" s="18"/>
      <c r="IY1559" s="18"/>
      <c r="IZ1559" s="18"/>
      <c r="JA1559" s="18"/>
      <c r="JB1559" s="18"/>
      <c r="JC1559" s="18"/>
      <c r="JD1559" s="18"/>
      <c r="JE1559" s="18"/>
      <c r="JF1559" s="18"/>
      <c r="JG1559" s="18"/>
      <c r="JH1559" s="18"/>
      <c r="JI1559" s="18"/>
      <c r="JJ1559" s="18"/>
      <c r="JK1559" s="18"/>
      <c r="JL1559" s="18"/>
      <c r="JM1559" s="18"/>
      <c r="JN1559" s="18"/>
      <c r="JO1559" s="16"/>
      <c r="JP1559" s="16"/>
      <c r="JQ1559" s="16"/>
      <c r="JR1559" s="16"/>
      <c r="JS1559" s="16"/>
      <c r="JT1559" s="16"/>
      <c r="JU1559" s="16"/>
      <c r="JV1559" s="16"/>
      <c r="JW1559" s="16"/>
      <c r="JX1559" s="16"/>
      <c r="JY1559" s="16"/>
      <c r="JZ1559" s="16"/>
      <c r="KA1559" s="16"/>
      <c r="KB1559" s="16"/>
    </row>
    <row r="1560" spans="1:288" s="27" customFormat="1" x14ac:dyDescent="0.2">
      <c r="A1560" s="18"/>
      <c r="B1560" s="16">
        <v>2016</v>
      </c>
      <c r="C1560" s="20">
        <v>42605</v>
      </c>
      <c r="D1560" s="20" t="str">
        <f>CONCATENATE(J1560,"-",C1560)</f>
        <v>945-42605</v>
      </c>
      <c r="E1560" s="20" t="str">
        <f>CONCATENATE(T1560,"-",U1560,"-",C1560)</f>
        <v>HW2-F2-42605</v>
      </c>
      <c r="F1560" s="20" t="s">
        <v>227</v>
      </c>
      <c r="G1560" s="90" t="s">
        <v>278</v>
      </c>
      <c r="H1560" s="16"/>
      <c r="I1560" s="16"/>
      <c r="J1560" s="21">
        <v>945</v>
      </c>
      <c r="K1560" s="21"/>
      <c r="L1560" s="16"/>
      <c r="M1560" s="21"/>
      <c r="N1560" s="21"/>
      <c r="O1560" s="21"/>
      <c r="P1560" s="16"/>
      <c r="Q1560" s="16"/>
      <c r="R1560" s="16"/>
      <c r="S1560" s="16"/>
      <c r="T1560" s="16" t="s">
        <v>129</v>
      </c>
      <c r="U1560" s="16" t="s">
        <v>187</v>
      </c>
      <c r="V1560" s="16"/>
      <c r="W1560" s="16"/>
      <c r="X1560" s="16"/>
      <c r="Y1560" s="16"/>
      <c r="Z1560" s="16"/>
      <c r="AA1560" s="16"/>
      <c r="AB1560" s="16"/>
      <c r="AC1560" s="16"/>
      <c r="AD1560" s="16"/>
      <c r="AE1560" s="16"/>
      <c r="AF1560" s="16"/>
      <c r="AG1560" s="16"/>
      <c r="AH1560" s="16"/>
      <c r="AI1560" s="16"/>
      <c r="AJ1560" s="16"/>
      <c r="AK1560" s="16">
        <v>29</v>
      </c>
      <c r="AL1560" s="16"/>
      <c r="AM1560" s="16"/>
      <c r="AN1560" s="16"/>
      <c r="AO1560" s="16"/>
      <c r="AP1560" s="16"/>
      <c r="AQ1560" s="16"/>
      <c r="AR1560" s="16"/>
      <c r="AS1560" s="16"/>
      <c r="AT1560" s="16"/>
      <c r="AU1560" s="16"/>
      <c r="AV1560" s="16"/>
      <c r="AW1560" s="16"/>
      <c r="AX1560" s="16"/>
      <c r="AY1560" s="16"/>
      <c r="AZ1560" s="16"/>
      <c r="BA1560" s="16"/>
      <c r="BB1560" s="16"/>
      <c r="BC1560" s="16"/>
      <c r="BD1560" s="16"/>
      <c r="BE1560" s="16"/>
      <c r="BF1560" s="16"/>
      <c r="BG1560" s="77"/>
      <c r="BH1560" s="16"/>
      <c r="BI1560" s="16"/>
      <c r="BJ1560" s="16"/>
      <c r="BK1560" s="16"/>
      <c r="BL1560" s="16"/>
      <c r="BM1560" s="16"/>
      <c r="BN1560" s="16"/>
      <c r="BO1560" s="16"/>
      <c r="BP1560" s="16"/>
      <c r="BQ1560" s="16"/>
      <c r="BR1560" s="16"/>
      <c r="BS1560" s="16"/>
      <c r="BT1560" s="77"/>
      <c r="BU1560" s="16"/>
      <c r="BV1560" s="16"/>
      <c r="BW1560" s="16"/>
      <c r="BX1560" s="16"/>
      <c r="BY1560" s="16"/>
      <c r="BZ1560" s="16"/>
      <c r="CA1560" s="16"/>
      <c r="CB1560" s="16"/>
      <c r="CC1560" s="16"/>
      <c r="CD1560" s="77"/>
      <c r="CE1560" s="16"/>
      <c r="CF1560" s="16"/>
      <c r="CG1560" s="16"/>
      <c r="CH1560" s="16"/>
      <c r="CI1560" s="16"/>
      <c r="CJ1560" s="16"/>
      <c r="CK1560" s="16"/>
      <c r="CL1560" s="16"/>
      <c r="CM1560" s="16"/>
      <c r="CN1560" s="16"/>
      <c r="CO1560" s="16"/>
      <c r="CP1560" s="16"/>
      <c r="CQ1560" s="16"/>
      <c r="CR1560" s="16"/>
      <c r="CS1560" s="16"/>
      <c r="CT1560" s="16"/>
      <c r="CU1560" s="16"/>
      <c r="CV1560" s="16"/>
      <c r="CW1560" s="16"/>
      <c r="CX1560" s="16"/>
      <c r="CY1560" s="16"/>
      <c r="CZ1560" s="16"/>
      <c r="DA1560" s="16"/>
      <c r="DB1560" s="16"/>
      <c r="DC1560" s="16"/>
      <c r="DD1560" s="16"/>
      <c r="DE1560" s="16"/>
      <c r="DF1560" s="16" t="e">
        <f>VLOOKUP(K1560,'[3]RNA Seq summary tables'!$V$3:$V$99,1,FALSE)</f>
        <v>#N/A</v>
      </c>
      <c r="DG1560" s="16">
        <v>1</v>
      </c>
      <c r="DH1560" s="16" t="str">
        <f>VLOOKUP(D1560,'[8]Data with duplicates'!$B$1:$J$70,9,FALSE)</f>
        <v>sample.29dup</v>
      </c>
      <c r="DI1560" s="16"/>
      <c r="DJ1560" s="16"/>
      <c r="DK1560" s="16"/>
      <c r="DL1560" s="16"/>
      <c r="DM1560" s="16"/>
      <c r="DN1560" s="16"/>
      <c r="DO1560" s="16"/>
      <c r="DP1560" s="16"/>
      <c r="DQ1560" s="16"/>
      <c r="DR1560" s="16"/>
      <c r="DS1560" s="16"/>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18"/>
      <c r="EQ1560" s="18"/>
      <c r="ER1560" s="18"/>
      <c r="ES1560" s="18"/>
      <c r="ET1560" s="18"/>
      <c r="EU1560" s="18"/>
      <c r="EV1560" s="18"/>
      <c r="EW1560" s="18"/>
      <c r="EX1560" s="18"/>
      <c r="EY1560" s="18"/>
      <c r="EZ1560" s="18"/>
      <c r="FA1560" s="18"/>
      <c r="FB1560" s="18"/>
      <c r="FC1560" s="18"/>
      <c r="FD1560" s="18"/>
      <c r="FE1560" s="18"/>
      <c r="FF1560" s="18"/>
      <c r="FG1560" s="18"/>
      <c r="FH1560" s="18"/>
      <c r="FI1560" s="18"/>
      <c r="FJ1560" s="18"/>
      <c r="FK1560" s="18"/>
      <c r="FL1560" s="18"/>
      <c r="FM1560" s="18"/>
      <c r="FN1560" s="18"/>
      <c r="FO1560" s="18"/>
      <c r="FP1560" s="18"/>
      <c r="FQ1560" s="18"/>
      <c r="FR1560" s="18"/>
      <c r="FS1560" s="18"/>
      <c r="FT1560" s="18"/>
      <c r="FU1560" s="18"/>
      <c r="FV1560" s="18"/>
      <c r="FW1560" s="18"/>
      <c r="FX1560" s="18"/>
      <c r="FY1560" s="18"/>
      <c r="FZ1560" s="18"/>
      <c r="GA1560" s="18"/>
      <c r="GB1560" s="18"/>
      <c r="GC1560" s="18"/>
      <c r="GD1560" s="18"/>
      <c r="GE1560" s="18"/>
      <c r="GF1560" s="18"/>
      <c r="GG1560" s="18"/>
      <c r="GH1560" s="18"/>
      <c r="GI1560" s="18"/>
      <c r="GJ1560" s="18"/>
      <c r="GK1560" s="18"/>
      <c r="GL1560" s="18"/>
      <c r="GM1560" s="18"/>
      <c r="GN1560" s="18"/>
      <c r="GO1560" s="18"/>
      <c r="GP1560" s="18"/>
      <c r="GQ1560" s="18"/>
      <c r="GR1560" s="18"/>
      <c r="GS1560" s="18"/>
      <c r="GT1560" s="18"/>
      <c r="GU1560" s="18"/>
      <c r="GV1560" s="18"/>
      <c r="GW1560" s="18"/>
      <c r="GX1560" s="18"/>
      <c r="GY1560" s="18"/>
      <c r="GZ1560" s="18"/>
      <c r="HA1560" s="18"/>
      <c r="HB1560" s="18"/>
      <c r="HC1560" s="18"/>
      <c r="HD1560" s="18"/>
      <c r="HE1560" s="18"/>
      <c r="HF1560" s="18"/>
      <c r="HG1560" s="18"/>
      <c r="HH1560" s="18"/>
      <c r="HI1560" s="18"/>
      <c r="HJ1560" s="18"/>
      <c r="HK1560" s="18"/>
      <c r="HL1560" s="18"/>
      <c r="HM1560" s="18"/>
      <c r="HN1560" s="18"/>
      <c r="HO1560" s="18"/>
      <c r="HP1560" s="18"/>
      <c r="HQ1560" s="18"/>
      <c r="HR1560" s="18"/>
      <c r="HS1560" s="18"/>
      <c r="HT1560" s="18"/>
      <c r="HU1560" s="18"/>
      <c r="HV1560" s="18"/>
      <c r="HW1560" s="18"/>
      <c r="HX1560" s="18"/>
      <c r="HY1560" s="18"/>
      <c r="HZ1560" s="18"/>
      <c r="IA1560" s="18"/>
      <c r="IB1560" s="18"/>
      <c r="IC1560" s="18"/>
      <c r="ID1560" s="18"/>
      <c r="IE1560" s="18"/>
      <c r="IF1560" s="18"/>
      <c r="IG1560" s="18"/>
      <c r="IH1560" s="18"/>
      <c r="II1560" s="18"/>
      <c r="IJ1560" s="18"/>
      <c r="IK1560" s="18"/>
      <c r="IL1560" s="18"/>
      <c r="IM1560" s="18"/>
      <c r="IN1560" s="18"/>
      <c r="IO1560" s="18"/>
      <c r="IP1560" s="18"/>
      <c r="IQ1560" s="18"/>
      <c r="IR1560" s="18"/>
      <c r="IS1560" s="18"/>
      <c r="IT1560" s="18"/>
      <c r="IU1560" s="18"/>
      <c r="IV1560" s="18"/>
      <c r="IW1560" s="18"/>
      <c r="IX1560" s="18"/>
      <c r="IY1560" s="18"/>
      <c r="IZ1560" s="18"/>
      <c r="JA1560" s="18"/>
      <c r="JB1560" s="18"/>
      <c r="JC1560" s="18"/>
      <c r="JD1560" s="18"/>
      <c r="JE1560" s="18"/>
      <c r="JF1560" s="18"/>
      <c r="JG1560" s="18"/>
      <c r="JH1560" s="18"/>
      <c r="JI1560" s="18"/>
      <c r="JJ1560" s="18"/>
      <c r="JK1560" s="18"/>
      <c r="JL1560" s="18"/>
      <c r="JM1560" s="18"/>
      <c r="JN1560" s="18"/>
      <c r="JO1560" s="16"/>
      <c r="JP1560" s="16"/>
      <c r="JQ1560" s="16"/>
      <c r="JR1560" s="16"/>
      <c r="JS1560" s="16"/>
      <c r="JT1560" s="16"/>
      <c r="JU1560" s="16"/>
      <c r="JV1560" s="16"/>
      <c r="JW1560" s="16"/>
      <c r="JX1560" s="16"/>
      <c r="JY1560" s="16"/>
      <c r="JZ1560" s="16"/>
      <c r="KA1560" s="16"/>
      <c r="KB1560" s="16"/>
    </row>
    <row r="1561" spans="1:288" s="27" customFormat="1" x14ac:dyDescent="0.2">
      <c r="A1561" s="18"/>
      <c r="B1561" s="16">
        <v>2016</v>
      </c>
      <c r="C1561" s="20">
        <v>42606</v>
      </c>
      <c r="D1561" s="20" t="str">
        <f>CONCATENATE(J1561,"-",C1561)</f>
        <v>945-42606</v>
      </c>
      <c r="E1561" s="20" t="str">
        <f>CONCATENATE(T1561,"-",U1561,"-",C1561)</f>
        <v>HW2-B3-42606</v>
      </c>
      <c r="F1561" s="20" t="s">
        <v>227</v>
      </c>
      <c r="G1561" s="90" t="s">
        <v>278</v>
      </c>
      <c r="H1561" s="16"/>
      <c r="I1561" s="16"/>
      <c r="J1561" s="21">
        <v>945</v>
      </c>
      <c r="K1561" s="21"/>
      <c r="L1561" s="16"/>
      <c r="M1561" s="21"/>
      <c r="N1561" s="21"/>
      <c r="O1561" s="21"/>
      <c r="P1561" s="16"/>
      <c r="Q1561" s="16"/>
      <c r="R1561" s="16"/>
      <c r="S1561" s="16"/>
      <c r="T1561" s="16" t="s">
        <v>129</v>
      </c>
      <c r="U1561" s="16" t="s">
        <v>131</v>
      </c>
      <c r="V1561" s="16"/>
      <c r="W1561" s="16"/>
      <c r="X1561" s="16"/>
      <c r="Y1561" s="16"/>
      <c r="Z1561" s="16"/>
      <c r="AA1561" s="16"/>
      <c r="AB1561" s="16"/>
      <c r="AC1561" s="16"/>
      <c r="AD1561" s="16"/>
      <c r="AE1561" s="16"/>
      <c r="AF1561" s="16"/>
      <c r="AG1561" s="16"/>
      <c r="AH1561" s="16"/>
      <c r="AI1561" s="16"/>
      <c r="AJ1561" s="16"/>
      <c r="AK1561" s="16">
        <v>27.5</v>
      </c>
      <c r="AL1561" s="16"/>
      <c r="AM1561" s="16"/>
      <c r="AN1561" s="16"/>
      <c r="AO1561" s="16"/>
      <c r="AP1561" s="16"/>
      <c r="AQ1561" s="16"/>
      <c r="AR1561" s="16"/>
      <c r="AS1561" s="16"/>
      <c r="AT1561" s="16"/>
      <c r="AU1561" s="16"/>
      <c r="AV1561" s="16"/>
      <c r="AW1561" s="16"/>
      <c r="AX1561" s="16"/>
      <c r="AY1561" s="16"/>
      <c r="AZ1561" s="16"/>
      <c r="BA1561" s="16"/>
      <c r="BB1561" s="16"/>
      <c r="BC1561" s="16"/>
      <c r="BD1561" s="16"/>
      <c r="BE1561" s="16"/>
      <c r="BF1561" s="16"/>
      <c r="BG1561" s="77"/>
      <c r="BH1561" s="16"/>
      <c r="BI1561" s="16"/>
      <c r="BJ1561" s="16"/>
      <c r="BK1561" s="16"/>
      <c r="BL1561" s="16"/>
      <c r="BM1561" s="16"/>
      <c r="BN1561" s="16"/>
      <c r="BO1561" s="16"/>
      <c r="BP1561" s="16"/>
      <c r="BQ1561" s="16"/>
      <c r="BR1561" s="16"/>
      <c r="BS1561" s="16"/>
      <c r="BT1561" s="77"/>
      <c r="BU1561" s="16"/>
      <c r="BV1561" s="16"/>
      <c r="BW1561" s="16"/>
      <c r="BX1561" s="16"/>
      <c r="BY1561" s="16"/>
      <c r="BZ1561" s="16"/>
      <c r="CA1561" s="16"/>
      <c r="CB1561" s="16"/>
      <c r="CC1561" s="16"/>
      <c r="CD1561" s="77"/>
      <c r="CE1561" s="16"/>
      <c r="CF1561" s="16"/>
      <c r="CG1561" s="16"/>
      <c r="CH1561" s="16"/>
      <c r="CI1561" s="16"/>
      <c r="CJ1561" s="16"/>
      <c r="CK1561" s="16"/>
      <c r="CL1561" s="16"/>
      <c r="CM1561" s="16"/>
      <c r="CN1561" s="16"/>
      <c r="CO1561" s="16"/>
      <c r="CP1561" s="16"/>
      <c r="CQ1561" s="16"/>
      <c r="CR1561" s="16"/>
      <c r="CS1561" s="16"/>
      <c r="CT1561" s="16"/>
      <c r="CU1561" s="16"/>
      <c r="CV1561" s="16"/>
      <c r="CW1561" s="16"/>
      <c r="CX1561" s="16"/>
      <c r="CY1561" s="16"/>
      <c r="CZ1561" s="16"/>
      <c r="DA1561" s="16"/>
      <c r="DB1561" s="16"/>
      <c r="DC1561" s="16"/>
      <c r="DD1561" s="16"/>
      <c r="DE1561" s="16"/>
      <c r="DF1561" s="16" t="e">
        <f>VLOOKUP(K1561,'[3]RNA Seq summary tables'!$V$3:$V$99,1,FALSE)</f>
        <v>#N/A</v>
      </c>
      <c r="DG1561" s="16"/>
      <c r="DH1561" s="16"/>
      <c r="DI1561" s="16"/>
      <c r="DJ1561" s="16"/>
      <c r="DK1561" s="16"/>
      <c r="DL1561" s="16"/>
      <c r="DM1561" s="16"/>
      <c r="DN1561" s="16"/>
      <c r="DO1561" s="16"/>
      <c r="DP1561" s="16"/>
      <c r="DQ1561" s="16"/>
      <c r="DR1561" s="16"/>
      <c r="DS1561" s="16"/>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18"/>
      <c r="EQ1561" s="18"/>
      <c r="ER1561" s="18"/>
      <c r="ES1561" s="18"/>
      <c r="ET1561" s="18"/>
      <c r="EU1561" s="18"/>
      <c r="EV1561" s="18"/>
      <c r="EW1561" s="18"/>
      <c r="EX1561" s="18"/>
      <c r="EY1561" s="18"/>
      <c r="EZ1561" s="18"/>
      <c r="FA1561" s="18"/>
      <c r="FB1561" s="18"/>
      <c r="FC1561" s="18"/>
      <c r="FD1561" s="18"/>
      <c r="FE1561" s="18"/>
      <c r="FF1561" s="18"/>
      <c r="FG1561" s="18"/>
      <c r="FH1561" s="18"/>
      <c r="FI1561" s="18"/>
      <c r="FJ1561" s="18"/>
      <c r="FK1561" s="18"/>
      <c r="FL1561" s="18"/>
      <c r="FM1561" s="18"/>
      <c r="FN1561" s="18"/>
      <c r="FO1561" s="18"/>
      <c r="FP1561" s="18"/>
      <c r="FQ1561" s="18"/>
      <c r="FR1561" s="18"/>
      <c r="FS1561" s="18"/>
      <c r="FT1561" s="18"/>
      <c r="FU1561" s="18"/>
      <c r="FV1561" s="18"/>
      <c r="FW1561" s="18"/>
      <c r="FX1561" s="18"/>
      <c r="FY1561" s="18"/>
      <c r="FZ1561" s="18"/>
      <c r="GA1561" s="18"/>
      <c r="GB1561" s="18"/>
      <c r="GC1561" s="18"/>
      <c r="GD1561" s="18"/>
      <c r="GE1561" s="18"/>
      <c r="GF1561" s="18"/>
      <c r="GG1561" s="18"/>
      <c r="GH1561" s="18"/>
      <c r="GI1561" s="18"/>
      <c r="GJ1561" s="18"/>
      <c r="GK1561" s="18"/>
      <c r="GL1561" s="18"/>
      <c r="GM1561" s="18"/>
      <c r="GN1561" s="18"/>
      <c r="GO1561" s="18"/>
      <c r="GP1561" s="18"/>
      <c r="GQ1561" s="18"/>
      <c r="GR1561" s="18"/>
      <c r="GS1561" s="18"/>
      <c r="GT1561" s="18"/>
      <c r="GU1561" s="18"/>
      <c r="GV1561" s="18"/>
      <c r="GW1561" s="18"/>
      <c r="GX1561" s="18"/>
      <c r="GY1561" s="18"/>
      <c r="GZ1561" s="18"/>
      <c r="HA1561" s="18"/>
      <c r="HB1561" s="18"/>
      <c r="HC1561" s="18"/>
      <c r="HD1561" s="18"/>
      <c r="HE1561" s="18"/>
      <c r="HF1561" s="18"/>
      <c r="HG1561" s="18"/>
      <c r="HH1561" s="18"/>
      <c r="HI1561" s="18"/>
      <c r="HJ1561" s="18"/>
      <c r="HK1561" s="18"/>
      <c r="HL1561" s="18"/>
      <c r="HM1561" s="18"/>
      <c r="HN1561" s="18"/>
      <c r="HO1561" s="18"/>
      <c r="HP1561" s="18"/>
      <c r="HQ1561" s="18"/>
      <c r="HR1561" s="18"/>
      <c r="HS1561" s="18"/>
      <c r="HT1561" s="18"/>
      <c r="HU1561" s="18"/>
      <c r="HV1561" s="18"/>
      <c r="HW1561" s="18"/>
      <c r="HX1561" s="18"/>
      <c r="HY1561" s="18"/>
      <c r="HZ1561" s="18"/>
      <c r="IA1561" s="18"/>
      <c r="IB1561" s="18"/>
      <c r="IC1561" s="18"/>
      <c r="ID1561" s="18"/>
      <c r="IE1561" s="18"/>
      <c r="IF1561" s="18"/>
      <c r="IG1561" s="18"/>
      <c r="IH1561" s="18"/>
      <c r="II1561" s="18"/>
      <c r="IJ1561" s="18"/>
      <c r="IK1561" s="18"/>
      <c r="IL1561" s="18"/>
      <c r="IM1561" s="18"/>
      <c r="IN1561" s="18"/>
      <c r="IO1561" s="18"/>
      <c r="IP1561" s="18"/>
      <c r="IQ1561" s="18"/>
      <c r="IR1561" s="18"/>
      <c r="IS1561" s="18"/>
      <c r="IT1561" s="18"/>
      <c r="IU1561" s="18"/>
      <c r="IV1561" s="18"/>
      <c r="IW1561" s="18"/>
      <c r="IX1561" s="18"/>
      <c r="IY1561" s="18"/>
      <c r="IZ1561" s="18"/>
      <c r="JA1561" s="18"/>
      <c r="JB1561" s="18"/>
      <c r="JC1561" s="18"/>
      <c r="JD1561" s="18"/>
      <c r="JE1561" s="18"/>
      <c r="JF1561" s="18"/>
      <c r="JG1561" s="18"/>
      <c r="JH1561" s="18"/>
      <c r="JI1561" s="18"/>
      <c r="JJ1561" s="18"/>
      <c r="JK1561" s="18"/>
      <c r="JL1561" s="18"/>
      <c r="JM1561" s="18"/>
      <c r="JN1561" s="18"/>
      <c r="JO1561" s="16"/>
      <c r="JP1561" s="16"/>
      <c r="JQ1561" s="16"/>
      <c r="JR1561" s="16"/>
      <c r="JS1561" s="16"/>
      <c r="JT1561" s="16"/>
      <c r="JU1561" s="16"/>
      <c r="JV1561" s="16"/>
      <c r="JW1561" s="16"/>
      <c r="JX1561" s="16"/>
      <c r="JY1561" s="16"/>
      <c r="JZ1561" s="16"/>
      <c r="KA1561" s="16"/>
      <c r="KB1561" s="16"/>
    </row>
    <row r="1562" spans="1:288" s="27" customFormat="1" x14ac:dyDescent="0.2">
      <c r="A1562" s="18"/>
      <c r="B1562" s="16">
        <v>2016</v>
      </c>
      <c r="C1562" s="20">
        <v>42524</v>
      </c>
      <c r="D1562" s="20" t="str">
        <f>CONCATENATE(J1562,"-",C1562)</f>
        <v>946-42524</v>
      </c>
      <c r="E1562" s="20" t="str">
        <f>CONCATENATE(T1562,"-",U1562,"-",C1562)</f>
        <v>SP2-D8-42524</v>
      </c>
      <c r="F1562" s="20" t="s">
        <v>106</v>
      </c>
      <c r="G1562" s="90" t="s">
        <v>278</v>
      </c>
      <c r="H1562" s="16"/>
      <c r="I1562" s="16"/>
      <c r="J1562" s="15">
        <v>946</v>
      </c>
      <c r="K1562" s="15"/>
      <c r="L1562" s="16"/>
      <c r="M1562" s="15"/>
      <c r="N1562" s="15"/>
      <c r="O1562" s="15"/>
      <c r="P1562" s="23"/>
      <c r="Q1562" s="23"/>
      <c r="R1562" s="23"/>
      <c r="S1562" s="23"/>
      <c r="T1562" s="23" t="s">
        <v>137</v>
      </c>
      <c r="U1562" s="23" t="s">
        <v>178</v>
      </c>
      <c r="V1562" s="23" t="s">
        <v>114</v>
      </c>
      <c r="W1562" s="23"/>
      <c r="X1562" s="23" t="s">
        <v>115</v>
      </c>
      <c r="Y1562" s="23" t="s">
        <v>110</v>
      </c>
      <c r="Z1562" s="23">
        <v>3</v>
      </c>
      <c r="AA1562" s="23"/>
      <c r="AB1562" s="23"/>
      <c r="AC1562" s="16"/>
      <c r="AD1562" s="16"/>
      <c r="AE1562" s="16" t="s">
        <v>123</v>
      </c>
      <c r="AF1562" s="16" t="s">
        <v>123</v>
      </c>
      <c r="AG1562" s="16"/>
      <c r="AH1562" s="16"/>
      <c r="AI1562" s="16"/>
      <c r="AJ1562" s="16"/>
      <c r="AK1562" s="16">
        <v>18.5</v>
      </c>
      <c r="AL1562" s="16">
        <v>0</v>
      </c>
      <c r="AM1562" s="16">
        <v>0</v>
      </c>
      <c r="AN1562" s="16">
        <v>0</v>
      </c>
      <c r="AO1562" s="16">
        <f>IF(SUM(AL1562:AN1562)&gt;0,1,0)</f>
        <v>0</v>
      </c>
      <c r="AP1562" s="16">
        <f>SUM(AL1562:AN1562)</f>
        <v>0</v>
      </c>
      <c r="AQ1562" s="16"/>
      <c r="AR1562" s="16"/>
      <c r="AS1562" s="16"/>
      <c r="AT1562" s="16"/>
      <c r="AU1562" s="16"/>
      <c r="AV1562" s="16"/>
      <c r="AW1562" s="16"/>
      <c r="AX1562" s="16"/>
      <c r="AY1562" s="16"/>
      <c r="AZ1562" s="16"/>
      <c r="BA1562" s="16"/>
      <c r="BB1562" s="16"/>
      <c r="BC1562" s="16"/>
      <c r="BD1562" s="16"/>
      <c r="BE1562" s="16"/>
      <c r="BF1562" s="16"/>
      <c r="BG1562" s="77"/>
      <c r="BH1562" s="16"/>
      <c r="BI1562" s="16"/>
      <c r="BJ1562" s="16"/>
      <c r="BK1562" s="16"/>
      <c r="BL1562" s="16"/>
      <c r="BM1562" s="16"/>
      <c r="BN1562" s="16"/>
      <c r="BO1562" s="16"/>
      <c r="BP1562" s="16"/>
      <c r="BQ1562" s="16"/>
      <c r="BR1562" s="16"/>
      <c r="BS1562" s="16"/>
      <c r="BT1562" s="77"/>
      <c r="BU1562" s="16"/>
      <c r="BV1562" s="16"/>
      <c r="BW1562" s="16"/>
      <c r="BX1562" s="16"/>
      <c r="BY1562" s="16"/>
      <c r="BZ1562" s="16"/>
      <c r="CA1562" s="16"/>
      <c r="CB1562" s="16"/>
      <c r="CC1562" s="16"/>
      <c r="CD1562" s="77"/>
      <c r="CE1562" s="16"/>
      <c r="CF1562" s="16"/>
      <c r="CG1562" s="16"/>
      <c r="CH1562" s="16"/>
      <c r="CI1562" s="16"/>
      <c r="CJ1562" s="16"/>
      <c r="CK1562" s="16"/>
      <c r="CL1562" s="16"/>
      <c r="CM1562" s="16"/>
      <c r="CN1562" s="16"/>
      <c r="CO1562" s="16"/>
      <c r="CP1562" s="16"/>
      <c r="CQ1562" s="16"/>
      <c r="CR1562" s="16"/>
      <c r="CS1562" s="16"/>
      <c r="CT1562" s="16"/>
      <c r="CU1562" s="16"/>
      <c r="CV1562" s="16"/>
      <c r="CW1562" s="16"/>
      <c r="CX1562" s="16"/>
      <c r="CY1562" s="16"/>
      <c r="CZ1562" s="16"/>
      <c r="DA1562" s="16"/>
      <c r="DB1562" s="16"/>
      <c r="DC1562" s="16"/>
      <c r="DD1562" s="16"/>
      <c r="DE1562" s="16"/>
      <c r="DF1562" s="16" t="e">
        <f>VLOOKUP(K1562,'[3]RNA Seq summary tables'!$V$3:$V$99,1,FALSE)</f>
        <v>#N/A</v>
      </c>
      <c r="DG1562" s="16"/>
      <c r="DH1562" s="16"/>
      <c r="DI1562" s="16"/>
      <c r="DJ1562" s="16"/>
      <c r="DK1562" s="16"/>
      <c r="DL1562" s="16"/>
      <c r="DM1562" s="16"/>
      <c r="DN1562" s="16"/>
      <c r="DO1562" s="16"/>
      <c r="DP1562" s="16"/>
      <c r="DQ1562" s="16"/>
      <c r="DR1562" s="16"/>
      <c r="DS1562" s="16"/>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18"/>
      <c r="EQ1562" s="18"/>
      <c r="ER1562" s="18"/>
      <c r="ES1562" s="18"/>
      <c r="ET1562" s="18"/>
      <c r="EU1562" s="18"/>
      <c r="EV1562" s="18"/>
      <c r="EW1562" s="18"/>
      <c r="EX1562" s="18"/>
      <c r="EY1562" s="18"/>
      <c r="EZ1562" s="18"/>
      <c r="FA1562" s="18"/>
      <c r="FB1562" s="18"/>
      <c r="FC1562" s="18"/>
      <c r="FD1562" s="18"/>
      <c r="FE1562" s="18"/>
      <c r="FF1562" s="18"/>
      <c r="FG1562" s="18"/>
      <c r="FH1562" s="18"/>
      <c r="FI1562" s="18"/>
      <c r="FJ1562" s="18"/>
      <c r="FK1562" s="18"/>
      <c r="FL1562" s="18"/>
      <c r="FM1562" s="18"/>
      <c r="FN1562" s="18"/>
      <c r="FO1562" s="18"/>
      <c r="FP1562" s="18"/>
      <c r="FQ1562" s="18"/>
      <c r="FR1562" s="18"/>
      <c r="FS1562" s="18"/>
      <c r="FT1562" s="18"/>
      <c r="FU1562" s="18"/>
      <c r="FV1562" s="18"/>
      <c r="FW1562" s="18"/>
      <c r="FX1562" s="18"/>
      <c r="FY1562" s="18"/>
      <c r="FZ1562" s="18"/>
      <c r="GA1562" s="18"/>
      <c r="GB1562" s="18"/>
      <c r="GC1562" s="18"/>
      <c r="GD1562" s="18"/>
      <c r="GE1562" s="18"/>
      <c r="GF1562" s="18"/>
      <c r="GG1562" s="18"/>
      <c r="GH1562" s="18"/>
      <c r="GI1562" s="18"/>
      <c r="GJ1562" s="18"/>
      <c r="GK1562" s="18"/>
      <c r="GL1562" s="18"/>
      <c r="GM1562" s="18"/>
      <c r="GN1562" s="18"/>
      <c r="GO1562" s="18"/>
      <c r="GP1562" s="18"/>
      <c r="GQ1562" s="18"/>
      <c r="GR1562" s="18"/>
      <c r="GS1562" s="18"/>
      <c r="GT1562" s="18"/>
      <c r="GU1562" s="18"/>
      <c r="GV1562" s="18"/>
      <c r="GW1562" s="18"/>
      <c r="GX1562" s="18"/>
      <c r="GY1562" s="18"/>
      <c r="GZ1562" s="18"/>
      <c r="HA1562" s="18"/>
      <c r="HB1562" s="18"/>
      <c r="HC1562" s="18"/>
      <c r="HD1562" s="18"/>
      <c r="HE1562" s="18"/>
      <c r="HF1562" s="18"/>
      <c r="HG1562" s="18"/>
      <c r="HH1562" s="18"/>
      <c r="HI1562" s="18"/>
      <c r="HJ1562" s="18"/>
      <c r="HK1562" s="18"/>
      <c r="HL1562" s="18"/>
      <c r="HM1562" s="18"/>
      <c r="HN1562" s="18"/>
      <c r="HO1562" s="18"/>
      <c r="HP1562" s="18"/>
      <c r="HQ1562" s="18"/>
      <c r="HR1562" s="18"/>
      <c r="HS1562" s="18"/>
      <c r="HT1562" s="18"/>
      <c r="HU1562" s="18"/>
      <c r="HV1562" s="18"/>
      <c r="HW1562" s="18"/>
      <c r="HX1562" s="18"/>
      <c r="HY1562" s="18"/>
      <c r="HZ1562" s="18"/>
      <c r="IA1562" s="18"/>
      <c r="IB1562" s="18"/>
      <c r="IC1562" s="18"/>
      <c r="ID1562" s="18"/>
      <c r="IE1562" s="18"/>
      <c r="IF1562" s="18"/>
      <c r="IG1562" s="18"/>
      <c r="IH1562" s="18"/>
      <c r="II1562" s="18"/>
      <c r="IJ1562" s="18"/>
      <c r="IK1562" s="18"/>
      <c r="IL1562" s="18"/>
      <c r="IM1562" s="18"/>
      <c r="IN1562" s="18"/>
      <c r="IO1562" s="18"/>
      <c r="IP1562" s="18"/>
      <c r="IQ1562" s="18"/>
      <c r="IR1562" s="18"/>
      <c r="IS1562" s="18"/>
      <c r="IT1562" s="18"/>
      <c r="IU1562" s="18"/>
      <c r="IV1562" s="18"/>
      <c r="IW1562" s="18"/>
      <c r="IX1562" s="18"/>
      <c r="IY1562" s="18"/>
      <c r="IZ1562" s="18"/>
      <c r="JA1562" s="18"/>
      <c r="JB1562" s="18"/>
      <c r="JC1562" s="18"/>
      <c r="JD1562" s="18"/>
      <c r="JE1562" s="18"/>
      <c r="JF1562" s="18"/>
      <c r="JG1562" s="18"/>
      <c r="JH1562" s="18"/>
      <c r="JI1562" s="18"/>
      <c r="JJ1562" s="18"/>
      <c r="JK1562" s="18"/>
      <c r="JL1562" s="18"/>
      <c r="JM1562" s="18"/>
      <c r="JN1562" s="18"/>
      <c r="JO1562" s="16"/>
      <c r="JP1562" s="16"/>
      <c r="JQ1562" s="16"/>
      <c r="JR1562" s="16"/>
      <c r="JS1562" s="16"/>
      <c r="JT1562" s="16"/>
      <c r="JU1562" s="16"/>
      <c r="JV1562" s="16"/>
      <c r="JW1562" s="16"/>
      <c r="JX1562" s="16"/>
      <c r="JY1562" s="16"/>
      <c r="JZ1562" s="16"/>
      <c r="KA1562" s="16"/>
      <c r="KB1562" s="16"/>
    </row>
    <row r="1563" spans="1:288" s="27" customFormat="1" x14ac:dyDescent="0.2">
      <c r="A1563" s="18"/>
      <c r="B1563" s="16">
        <v>2016</v>
      </c>
      <c r="C1563" s="43">
        <v>42525</v>
      </c>
      <c r="D1563" s="20" t="str">
        <f>CONCATENATE(J1563,"-",C1563)</f>
        <v>946-42525</v>
      </c>
      <c r="E1563" s="20" t="str">
        <f>CONCATENATE(T1563,"-",U1563,"-",C1563)</f>
        <v>SP2-A7-42525</v>
      </c>
      <c r="F1563" s="20" t="s">
        <v>106</v>
      </c>
      <c r="G1563" s="91" t="s">
        <v>278</v>
      </c>
      <c r="H1563" s="23"/>
      <c r="I1563" s="16"/>
      <c r="J1563" s="15">
        <v>946</v>
      </c>
      <c r="K1563" s="15"/>
      <c r="L1563" s="16"/>
      <c r="M1563" s="15"/>
      <c r="N1563" s="15"/>
      <c r="O1563" s="15"/>
      <c r="P1563" s="23"/>
      <c r="Q1563" s="23"/>
      <c r="R1563" s="23"/>
      <c r="S1563" s="23"/>
      <c r="T1563" s="23" t="s">
        <v>137</v>
      </c>
      <c r="U1563" s="23" t="s">
        <v>120</v>
      </c>
      <c r="V1563" s="23" t="s">
        <v>114</v>
      </c>
      <c r="W1563" s="23"/>
      <c r="X1563" s="23" t="s">
        <v>115</v>
      </c>
      <c r="Y1563" s="23" t="s">
        <v>110</v>
      </c>
      <c r="Z1563" s="23">
        <v>3</v>
      </c>
      <c r="AA1563" s="23"/>
      <c r="AB1563" s="23"/>
      <c r="AC1563" s="23"/>
      <c r="AD1563" s="23"/>
      <c r="AE1563" s="23" t="s">
        <v>123</v>
      </c>
      <c r="AF1563" s="23" t="s">
        <v>123</v>
      </c>
      <c r="AG1563" s="23"/>
      <c r="AH1563" s="23"/>
      <c r="AI1563" s="23"/>
      <c r="AJ1563" s="23"/>
      <c r="AK1563" s="23">
        <v>19.5</v>
      </c>
      <c r="AL1563" s="23">
        <v>0</v>
      </c>
      <c r="AM1563" s="23">
        <v>0</v>
      </c>
      <c r="AN1563" s="23">
        <v>0</v>
      </c>
      <c r="AO1563" s="23">
        <f>IF(SUM(AL1563:AN1563)&gt;0,1,0)</f>
        <v>0</v>
      </c>
      <c r="AP1563" s="23">
        <f>SUM(AL1563:AN1563)</f>
        <v>0</v>
      </c>
      <c r="AQ1563" s="23"/>
      <c r="AR1563" s="23"/>
      <c r="AS1563" s="23"/>
      <c r="AT1563" s="23"/>
      <c r="AU1563" s="23"/>
      <c r="AV1563" s="23"/>
      <c r="AW1563" s="23"/>
      <c r="AX1563" s="23"/>
      <c r="AY1563" s="23"/>
      <c r="AZ1563" s="16"/>
      <c r="BA1563" s="23"/>
      <c r="BB1563" s="23"/>
      <c r="BC1563" s="16"/>
      <c r="BD1563" s="23"/>
      <c r="BE1563" s="23"/>
      <c r="BF1563" s="16"/>
      <c r="BG1563" s="77"/>
      <c r="BH1563" s="23"/>
      <c r="BI1563" s="16"/>
      <c r="BJ1563" s="23"/>
      <c r="BK1563" s="23"/>
      <c r="BL1563" s="16"/>
      <c r="BM1563" s="16"/>
      <c r="BN1563" s="16"/>
      <c r="BO1563" s="16"/>
      <c r="BP1563" s="16"/>
      <c r="BQ1563" s="16"/>
      <c r="BR1563" s="16"/>
      <c r="BS1563" s="23"/>
      <c r="BT1563" s="77"/>
      <c r="BU1563" s="16"/>
      <c r="BV1563" s="23"/>
      <c r="BW1563" s="16"/>
      <c r="BX1563" s="16"/>
      <c r="BY1563" s="23"/>
      <c r="BZ1563" s="16"/>
      <c r="CA1563" s="16"/>
      <c r="CB1563" s="23"/>
      <c r="CC1563" s="23"/>
      <c r="CD1563" s="77"/>
      <c r="CE1563" s="23"/>
      <c r="CF1563" s="23"/>
      <c r="CG1563" s="23"/>
      <c r="CH1563" s="23"/>
      <c r="CI1563" s="23"/>
      <c r="CJ1563" s="23"/>
      <c r="CK1563" s="23"/>
      <c r="CL1563" s="23"/>
      <c r="CM1563" s="23"/>
      <c r="CN1563" s="23"/>
      <c r="CO1563" s="23"/>
      <c r="CP1563" s="23"/>
      <c r="CQ1563" s="23"/>
      <c r="CR1563" s="23"/>
      <c r="CS1563" s="16"/>
      <c r="CT1563" s="16"/>
      <c r="CU1563" s="16"/>
      <c r="CV1563" s="23"/>
      <c r="CW1563" s="16"/>
      <c r="CX1563" s="23"/>
      <c r="CY1563" s="23"/>
      <c r="CZ1563" s="23"/>
      <c r="DA1563" s="23"/>
      <c r="DB1563" s="23"/>
      <c r="DC1563" s="23"/>
      <c r="DD1563" s="23"/>
      <c r="DE1563" s="23"/>
      <c r="DF1563" s="16" t="e">
        <f>VLOOKUP(K1563,'[3]RNA Seq summary tables'!$V$3:$V$99,1,FALSE)</f>
        <v>#N/A</v>
      </c>
      <c r="DG1563" s="16"/>
      <c r="DH1563" s="16"/>
      <c r="DI1563" s="23"/>
      <c r="DJ1563" s="23"/>
      <c r="DK1563" s="23"/>
      <c r="DL1563" s="23"/>
      <c r="DM1563" s="23"/>
      <c r="DN1563" s="23"/>
      <c r="DO1563" s="23"/>
      <c r="DP1563" s="23"/>
      <c r="DQ1563" s="23"/>
      <c r="DR1563" s="23"/>
      <c r="DS1563" s="23"/>
      <c r="DT1563" s="25"/>
      <c r="DU1563" s="25"/>
      <c r="DV1563" s="25"/>
      <c r="DW1563" s="25"/>
      <c r="DX1563" s="25"/>
      <c r="DY1563" s="25"/>
      <c r="DZ1563" s="25"/>
      <c r="EA1563" s="25"/>
      <c r="EB1563" s="25"/>
      <c r="EC1563" s="25"/>
      <c r="ED1563" s="25"/>
      <c r="EE1563" s="25"/>
      <c r="EF1563" s="25"/>
      <c r="EG1563" s="25"/>
      <c r="EH1563" s="25"/>
      <c r="EI1563" s="25"/>
      <c r="EJ1563" s="25"/>
      <c r="EK1563" s="25"/>
      <c r="EL1563" s="25"/>
      <c r="EM1563" s="25"/>
      <c r="EN1563" s="25"/>
      <c r="EO1563" s="25"/>
      <c r="EP1563" s="25"/>
      <c r="EQ1563" s="25"/>
      <c r="ER1563" s="25"/>
      <c r="ES1563" s="25"/>
      <c r="ET1563" s="25"/>
      <c r="EU1563" s="25"/>
      <c r="EV1563" s="25"/>
      <c r="EW1563" s="25"/>
      <c r="EX1563" s="25"/>
      <c r="EY1563" s="25"/>
      <c r="EZ1563" s="25"/>
      <c r="FA1563" s="25"/>
      <c r="FB1563" s="25"/>
      <c r="FC1563" s="25"/>
      <c r="FD1563" s="25"/>
      <c r="FE1563" s="25"/>
      <c r="FF1563" s="25"/>
      <c r="FG1563" s="25"/>
      <c r="FH1563" s="25"/>
      <c r="FI1563" s="25"/>
      <c r="FJ1563" s="25"/>
      <c r="FK1563" s="25"/>
      <c r="FL1563" s="25"/>
      <c r="FM1563" s="25"/>
      <c r="FN1563" s="25"/>
      <c r="FO1563" s="25"/>
      <c r="FP1563" s="25"/>
      <c r="FQ1563" s="25"/>
      <c r="FR1563" s="25"/>
      <c r="FS1563" s="25"/>
      <c r="FT1563" s="25"/>
      <c r="FU1563" s="25"/>
      <c r="FV1563" s="25"/>
      <c r="FW1563" s="25"/>
      <c r="FX1563" s="25"/>
      <c r="FY1563" s="25"/>
      <c r="FZ1563" s="25"/>
      <c r="GA1563" s="25"/>
      <c r="GB1563" s="25"/>
      <c r="GC1563" s="25"/>
      <c r="GD1563" s="25"/>
      <c r="GE1563" s="25"/>
      <c r="GF1563" s="25"/>
      <c r="GG1563" s="25"/>
      <c r="GH1563" s="25"/>
      <c r="GI1563" s="25"/>
      <c r="GJ1563" s="25"/>
      <c r="GK1563" s="25"/>
      <c r="GL1563" s="25"/>
      <c r="GM1563" s="25"/>
      <c r="GN1563" s="25"/>
      <c r="GO1563" s="25"/>
      <c r="GP1563" s="25"/>
      <c r="GQ1563" s="25"/>
      <c r="GR1563" s="25"/>
      <c r="GS1563" s="25"/>
      <c r="GT1563" s="25"/>
      <c r="GU1563" s="25"/>
      <c r="GV1563" s="25"/>
      <c r="GW1563" s="25"/>
      <c r="GX1563" s="25"/>
      <c r="GY1563" s="25"/>
      <c r="GZ1563" s="25"/>
      <c r="HA1563" s="25"/>
      <c r="HB1563" s="25"/>
      <c r="HC1563" s="25"/>
      <c r="HD1563" s="25"/>
      <c r="HE1563" s="25"/>
      <c r="HF1563" s="25"/>
      <c r="HG1563" s="25"/>
      <c r="HH1563" s="25"/>
      <c r="HI1563" s="25"/>
      <c r="HJ1563" s="25"/>
      <c r="HK1563" s="25"/>
      <c r="HL1563" s="25"/>
      <c r="HM1563" s="25"/>
      <c r="HN1563" s="25"/>
      <c r="HO1563" s="25"/>
      <c r="HP1563" s="25"/>
      <c r="HQ1563" s="25"/>
      <c r="HR1563" s="25"/>
      <c r="HS1563" s="25"/>
      <c r="HT1563" s="25"/>
      <c r="HU1563" s="25"/>
      <c r="HV1563" s="25"/>
      <c r="HW1563" s="25"/>
      <c r="HX1563" s="25"/>
      <c r="HY1563" s="25"/>
      <c r="HZ1563" s="25"/>
      <c r="IA1563" s="25"/>
      <c r="IB1563" s="25"/>
      <c r="IC1563" s="25"/>
      <c r="ID1563" s="25"/>
      <c r="IE1563" s="25"/>
      <c r="IF1563" s="25"/>
      <c r="IG1563" s="25"/>
      <c r="IH1563" s="25"/>
      <c r="II1563" s="25"/>
      <c r="IJ1563" s="25"/>
      <c r="IK1563" s="25"/>
      <c r="IL1563" s="25"/>
      <c r="IM1563" s="25"/>
      <c r="IN1563" s="25"/>
      <c r="IO1563" s="25"/>
      <c r="IP1563" s="25"/>
      <c r="IQ1563" s="25"/>
      <c r="IR1563" s="25"/>
      <c r="IS1563" s="25"/>
      <c r="IT1563" s="25"/>
      <c r="IU1563" s="25"/>
      <c r="IV1563" s="25"/>
      <c r="IW1563" s="25"/>
      <c r="IX1563" s="25"/>
      <c r="IY1563" s="25"/>
      <c r="IZ1563" s="25"/>
      <c r="JA1563" s="25"/>
      <c r="JB1563" s="25"/>
      <c r="JC1563" s="25"/>
      <c r="JD1563" s="25"/>
      <c r="JE1563" s="25"/>
      <c r="JF1563" s="25"/>
      <c r="JG1563" s="25"/>
      <c r="JH1563" s="25"/>
      <c r="JI1563" s="25"/>
      <c r="JJ1563" s="25"/>
      <c r="JK1563" s="25"/>
      <c r="JL1563" s="25"/>
      <c r="JM1563" s="25"/>
      <c r="JN1563" s="25"/>
      <c r="JO1563" s="25"/>
      <c r="JP1563" s="23"/>
      <c r="JQ1563" s="23"/>
      <c r="JR1563" s="23"/>
      <c r="JS1563" s="23"/>
      <c r="JT1563" s="23"/>
      <c r="JU1563" s="23"/>
      <c r="JV1563" s="23"/>
      <c r="JW1563" s="23"/>
      <c r="JX1563" s="23"/>
      <c r="JY1563" s="23"/>
      <c r="JZ1563" s="23"/>
      <c r="KA1563" s="23"/>
      <c r="KB1563" s="23"/>
    </row>
    <row r="1564" spans="1:288" s="27" customFormat="1" x14ac:dyDescent="0.2">
      <c r="A1564" s="18"/>
      <c r="B1564" s="16">
        <v>2016</v>
      </c>
      <c r="C1564" s="20">
        <v>42552</v>
      </c>
      <c r="D1564" s="20" t="str">
        <f>CONCATENATE(J1564,"-",C1564)</f>
        <v>947-42552</v>
      </c>
      <c r="E1564" s="20" t="str">
        <f>CONCATENATE(T1564,"-",U1564,"-",C1564)</f>
        <v>SP2-D4-42552</v>
      </c>
      <c r="F1564" s="20" t="s">
        <v>106</v>
      </c>
      <c r="G1564" s="90" t="s">
        <v>278</v>
      </c>
      <c r="H1564" s="16"/>
      <c r="I1564" s="16"/>
      <c r="J1564" s="15">
        <v>947</v>
      </c>
      <c r="K1564" s="15"/>
      <c r="L1564" s="16"/>
      <c r="M1564" s="15"/>
      <c r="N1564" s="15"/>
      <c r="O1564" s="15"/>
      <c r="P1564" s="23"/>
      <c r="Q1564" s="23"/>
      <c r="R1564" s="23"/>
      <c r="S1564" s="23"/>
      <c r="T1564" s="23" t="s">
        <v>137</v>
      </c>
      <c r="U1564" s="23" t="s">
        <v>221</v>
      </c>
      <c r="V1564" s="23"/>
      <c r="W1564" s="23"/>
      <c r="X1564" s="23"/>
      <c r="Y1564" s="23"/>
      <c r="Z1564" s="23"/>
      <c r="AA1564" s="23"/>
      <c r="AB1564" s="23"/>
      <c r="AC1564" s="16"/>
      <c r="AD1564" s="16"/>
      <c r="AE1564" s="16"/>
      <c r="AF1564" s="16"/>
      <c r="AG1564" s="16"/>
      <c r="AH1564" s="16"/>
      <c r="AI1564" s="16"/>
      <c r="AJ1564" s="16"/>
      <c r="AK1564" s="16">
        <v>18</v>
      </c>
      <c r="AL1564" s="16"/>
      <c r="AM1564" s="16"/>
      <c r="AN1564" s="16"/>
      <c r="AO1564" s="16"/>
      <c r="AP1564" s="16"/>
      <c r="AQ1564" s="16"/>
      <c r="AR1564" s="16"/>
      <c r="AS1564" s="16"/>
      <c r="AT1564" s="16"/>
      <c r="AU1564" s="16"/>
      <c r="AV1564" s="16"/>
      <c r="AW1564" s="16"/>
      <c r="AX1564" s="16"/>
      <c r="AY1564" s="16"/>
      <c r="AZ1564" s="16"/>
      <c r="BA1564" s="16"/>
      <c r="BB1564" s="16"/>
      <c r="BC1564" s="16"/>
      <c r="BD1564" s="16"/>
      <c r="BE1564" s="16"/>
      <c r="BF1564" s="16"/>
      <c r="BG1564" s="77"/>
      <c r="BH1564" s="16"/>
      <c r="BI1564" s="16"/>
      <c r="BJ1564" s="16"/>
      <c r="BK1564" s="16"/>
      <c r="BL1564" s="16"/>
      <c r="BM1564" s="16"/>
      <c r="BN1564" s="16"/>
      <c r="BO1564" s="16"/>
      <c r="BP1564" s="16"/>
      <c r="BQ1564" s="16"/>
      <c r="BR1564" s="16"/>
      <c r="BS1564" s="16"/>
      <c r="BT1564" s="77"/>
      <c r="BU1564" s="16"/>
      <c r="BV1564" s="16"/>
      <c r="BW1564" s="16"/>
      <c r="BX1564" s="16"/>
      <c r="BY1564" s="16"/>
      <c r="BZ1564" s="16"/>
      <c r="CA1564" s="16"/>
      <c r="CB1564" s="16"/>
      <c r="CC1564" s="16"/>
      <c r="CD1564" s="77"/>
      <c r="CE1564" s="16"/>
      <c r="CF1564" s="16"/>
      <c r="CG1564" s="16"/>
      <c r="CH1564" s="16"/>
      <c r="CI1564" s="16"/>
      <c r="CJ1564" s="16"/>
      <c r="CK1564" s="16"/>
      <c r="CL1564" s="16"/>
      <c r="CM1564" s="16"/>
      <c r="CN1564" s="16"/>
      <c r="CO1564" s="16"/>
      <c r="CP1564" s="16"/>
      <c r="CQ1564" s="16"/>
      <c r="CR1564" s="16"/>
      <c r="CS1564" s="16"/>
      <c r="CT1564" s="16"/>
      <c r="CU1564" s="16"/>
      <c r="CV1564" s="16"/>
      <c r="CW1564" s="16"/>
      <c r="CX1564" s="16"/>
      <c r="CY1564" s="16"/>
      <c r="CZ1564" s="16"/>
      <c r="DA1564" s="16"/>
      <c r="DB1564" s="16"/>
      <c r="DC1564" s="16"/>
      <c r="DD1564" s="16"/>
      <c r="DE1564" s="16"/>
      <c r="DF1564" s="16" t="e">
        <f>VLOOKUP(K1564,'[3]RNA Seq summary tables'!$V$3:$V$99,1,FALSE)</f>
        <v>#N/A</v>
      </c>
      <c r="DG1564" s="16"/>
      <c r="DH1564" s="16"/>
      <c r="DI1564" s="16"/>
      <c r="DJ1564" s="16"/>
      <c r="DK1564" s="16"/>
      <c r="DL1564" s="16"/>
      <c r="DM1564" s="16"/>
      <c r="DN1564" s="16"/>
      <c r="DO1564" s="16"/>
      <c r="DP1564" s="16"/>
      <c r="DQ1564" s="16"/>
      <c r="DR1564" s="16"/>
      <c r="DS1564" s="16"/>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18"/>
      <c r="EQ1564" s="18"/>
      <c r="ER1564" s="18"/>
      <c r="ES1564" s="18"/>
      <c r="ET1564" s="18"/>
      <c r="EU1564" s="18"/>
      <c r="EV1564" s="18"/>
      <c r="EW1564" s="18"/>
      <c r="EX1564" s="18"/>
      <c r="EY1564" s="18"/>
      <c r="EZ1564" s="18"/>
      <c r="FA1564" s="18"/>
      <c r="FB1564" s="18"/>
      <c r="FC1564" s="18"/>
      <c r="FD1564" s="18"/>
      <c r="FE1564" s="18"/>
      <c r="FF1564" s="18"/>
      <c r="FG1564" s="18"/>
      <c r="FH1564" s="18"/>
      <c r="FI1564" s="18"/>
      <c r="FJ1564" s="18"/>
      <c r="FK1564" s="18"/>
      <c r="FL1564" s="18"/>
      <c r="FM1564" s="18"/>
      <c r="FN1564" s="18"/>
      <c r="FO1564" s="18"/>
      <c r="FP1564" s="18"/>
      <c r="FQ1564" s="18"/>
      <c r="FR1564" s="18"/>
      <c r="FS1564" s="18"/>
      <c r="FT1564" s="18"/>
      <c r="FU1564" s="18"/>
      <c r="FV1564" s="18"/>
      <c r="FW1564" s="18"/>
      <c r="FX1564" s="18"/>
      <c r="FY1564" s="18"/>
      <c r="FZ1564" s="18"/>
      <c r="GA1564" s="18"/>
      <c r="GB1564" s="18"/>
      <c r="GC1564" s="18"/>
      <c r="GD1564" s="18"/>
      <c r="GE1564" s="18"/>
      <c r="GF1564" s="18"/>
      <c r="GG1564" s="18"/>
      <c r="GH1564" s="18"/>
      <c r="GI1564" s="18"/>
      <c r="GJ1564" s="18"/>
      <c r="GK1564" s="18"/>
      <c r="GL1564" s="18"/>
      <c r="GM1564" s="18"/>
      <c r="GN1564" s="18"/>
      <c r="GO1564" s="18"/>
      <c r="GP1564" s="18"/>
      <c r="GQ1564" s="18"/>
      <c r="GR1564" s="18"/>
      <c r="GS1564" s="18"/>
      <c r="GT1564" s="18"/>
      <c r="GU1564" s="18"/>
      <c r="GV1564" s="18"/>
      <c r="GW1564" s="18"/>
      <c r="GX1564" s="18"/>
      <c r="GY1564" s="18"/>
      <c r="GZ1564" s="18"/>
      <c r="HA1564" s="18"/>
      <c r="HB1564" s="18"/>
      <c r="HC1564" s="18"/>
      <c r="HD1564" s="18"/>
      <c r="HE1564" s="18"/>
      <c r="HF1564" s="18"/>
      <c r="HG1564" s="18"/>
      <c r="HH1564" s="18"/>
      <c r="HI1564" s="18"/>
      <c r="HJ1564" s="18"/>
      <c r="HK1564" s="18"/>
      <c r="HL1564" s="18"/>
      <c r="HM1564" s="18"/>
      <c r="HN1564" s="18"/>
      <c r="HO1564" s="18"/>
      <c r="HP1564" s="18"/>
      <c r="HQ1564" s="18"/>
      <c r="HR1564" s="18"/>
      <c r="HS1564" s="18"/>
      <c r="HT1564" s="18"/>
      <c r="HU1564" s="18"/>
      <c r="HV1564" s="18"/>
      <c r="HW1564" s="18"/>
      <c r="HX1564" s="18"/>
      <c r="HY1564" s="18"/>
      <c r="HZ1564" s="18"/>
      <c r="IA1564" s="18"/>
      <c r="IB1564" s="18"/>
      <c r="IC1564" s="18"/>
      <c r="ID1564" s="18"/>
      <c r="IE1564" s="18"/>
      <c r="IF1564" s="18"/>
      <c r="IG1564" s="18"/>
      <c r="IH1564" s="18"/>
      <c r="II1564" s="18"/>
      <c r="IJ1564" s="18"/>
      <c r="IK1564" s="18"/>
      <c r="IL1564" s="18"/>
      <c r="IM1564" s="18"/>
      <c r="IN1564" s="18"/>
      <c r="IO1564" s="18"/>
      <c r="IP1564" s="18"/>
      <c r="IQ1564" s="18"/>
      <c r="IR1564" s="18"/>
      <c r="IS1564" s="18"/>
      <c r="IT1564" s="18"/>
      <c r="IU1564" s="18"/>
      <c r="IV1564" s="18"/>
      <c r="IW1564" s="18"/>
      <c r="IX1564" s="18"/>
      <c r="IY1564" s="18"/>
      <c r="IZ1564" s="18"/>
      <c r="JA1564" s="18"/>
      <c r="JB1564" s="18"/>
      <c r="JC1564" s="18"/>
      <c r="JD1564" s="18"/>
      <c r="JE1564" s="18"/>
      <c r="JF1564" s="18"/>
      <c r="JG1564" s="18"/>
      <c r="JH1564" s="18"/>
      <c r="JI1564" s="18"/>
      <c r="JJ1564" s="18"/>
      <c r="JK1564" s="18"/>
      <c r="JL1564" s="18"/>
      <c r="JM1564" s="18"/>
      <c r="JN1564" s="18"/>
      <c r="JO1564" s="16"/>
      <c r="JP1564" s="16"/>
      <c r="JQ1564" s="16"/>
      <c r="JR1564" s="16"/>
      <c r="JS1564" s="16"/>
      <c r="JT1564" s="16"/>
      <c r="JU1564" s="16"/>
      <c r="JV1564" s="16"/>
      <c r="JW1564" s="16"/>
      <c r="JX1564" s="16"/>
      <c r="JY1564" s="16"/>
      <c r="JZ1564" s="16"/>
      <c r="KA1564" s="16"/>
      <c r="KB1564" s="16"/>
    </row>
    <row r="1565" spans="1:288" s="27" customFormat="1" x14ac:dyDescent="0.2">
      <c r="A1565" s="18"/>
      <c r="B1565" s="16">
        <v>2016</v>
      </c>
      <c r="C1565" s="20">
        <v>42566</v>
      </c>
      <c r="D1565" s="20" t="str">
        <f>CONCATENATE(J1565,"-",C1565)</f>
        <v>947-42566</v>
      </c>
      <c r="E1565" s="20" t="str">
        <f>CONCATENATE(T1565,"-",U1565,"-",C1565)</f>
        <v>SP2-G6-42566</v>
      </c>
      <c r="F1565" s="20" t="s">
        <v>106</v>
      </c>
      <c r="G1565" s="90" t="s">
        <v>278</v>
      </c>
      <c r="H1565" s="16"/>
      <c r="I1565" s="16"/>
      <c r="J1565" s="15">
        <v>947</v>
      </c>
      <c r="K1565" s="15"/>
      <c r="L1565" s="16"/>
      <c r="M1565" s="15"/>
      <c r="N1565" s="15"/>
      <c r="O1565" s="15"/>
      <c r="P1565" s="23"/>
      <c r="Q1565" s="23"/>
      <c r="R1565" s="23"/>
      <c r="S1565" s="23"/>
      <c r="T1565" s="23" t="s">
        <v>137</v>
      </c>
      <c r="U1565" s="23" t="s">
        <v>218</v>
      </c>
      <c r="V1565" s="23"/>
      <c r="W1565" s="23"/>
      <c r="X1565" s="23"/>
      <c r="Y1565" s="23"/>
      <c r="Z1565" s="23"/>
      <c r="AA1565" s="23"/>
      <c r="AB1565" s="23"/>
      <c r="AC1565" s="16"/>
      <c r="AD1565" s="16"/>
      <c r="AE1565" s="16"/>
      <c r="AF1565" s="16"/>
      <c r="AG1565" s="16"/>
      <c r="AH1565" s="16"/>
      <c r="AI1565" s="16"/>
      <c r="AJ1565" s="16"/>
      <c r="AK1565" s="16">
        <v>20.5</v>
      </c>
      <c r="AL1565" s="16"/>
      <c r="AM1565" s="16"/>
      <c r="AN1565" s="16"/>
      <c r="AO1565" s="16"/>
      <c r="AP1565" s="16"/>
      <c r="AQ1565" s="16"/>
      <c r="AR1565" s="16"/>
      <c r="AS1565" s="16"/>
      <c r="AT1565" s="16"/>
      <c r="AU1565" s="16"/>
      <c r="AV1565" s="16"/>
      <c r="AW1565" s="16"/>
      <c r="AX1565" s="16"/>
      <c r="AY1565" s="16"/>
      <c r="AZ1565" s="16"/>
      <c r="BA1565" s="16"/>
      <c r="BB1565" s="16"/>
      <c r="BC1565" s="16"/>
      <c r="BD1565" s="16"/>
      <c r="BE1565" s="16"/>
      <c r="BF1565" s="16"/>
      <c r="BG1565" s="77"/>
      <c r="BH1565" s="16"/>
      <c r="BI1565" s="16"/>
      <c r="BJ1565" s="16"/>
      <c r="BK1565" s="16"/>
      <c r="BL1565" s="16"/>
      <c r="BM1565" s="16"/>
      <c r="BN1565" s="16"/>
      <c r="BO1565" s="16"/>
      <c r="BP1565" s="16"/>
      <c r="BQ1565" s="16"/>
      <c r="BR1565" s="16"/>
      <c r="BS1565" s="16"/>
      <c r="BT1565" s="77"/>
      <c r="BU1565" s="16"/>
      <c r="BV1565" s="16"/>
      <c r="BW1565" s="16"/>
      <c r="BX1565" s="16"/>
      <c r="BY1565" s="16"/>
      <c r="BZ1565" s="16"/>
      <c r="CA1565" s="16"/>
      <c r="CB1565" s="16"/>
      <c r="CC1565" s="16"/>
      <c r="CD1565" s="77"/>
      <c r="CE1565" s="16"/>
      <c r="CF1565" s="16"/>
      <c r="CG1565" s="16"/>
      <c r="CH1565" s="16"/>
      <c r="CI1565" s="16"/>
      <c r="CJ1565" s="16"/>
      <c r="CK1565" s="16"/>
      <c r="CL1565" s="16"/>
      <c r="CM1565" s="16"/>
      <c r="CN1565" s="16"/>
      <c r="CO1565" s="16"/>
      <c r="CP1565" s="16"/>
      <c r="CQ1565" s="16"/>
      <c r="CR1565" s="16"/>
      <c r="CS1565" s="16"/>
      <c r="CT1565" s="16"/>
      <c r="CU1565" s="16"/>
      <c r="CV1565" s="16"/>
      <c r="CW1565" s="16"/>
      <c r="CX1565" s="16"/>
      <c r="CY1565" s="16"/>
      <c r="CZ1565" s="16"/>
      <c r="DA1565" s="16"/>
      <c r="DB1565" s="16"/>
      <c r="DC1565" s="16"/>
      <c r="DD1565" s="16"/>
      <c r="DE1565" s="16"/>
      <c r="DF1565" s="16" t="e">
        <f>VLOOKUP(K1565,'[3]RNA Seq summary tables'!$V$3:$V$99,1,FALSE)</f>
        <v>#N/A</v>
      </c>
      <c r="DG1565" s="16"/>
      <c r="DH1565" s="16"/>
      <c r="DI1565" s="16"/>
      <c r="DJ1565" s="16"/>
      <c r="DK1565" s="16"/>
      <c r="DL1565" s="16"/>
      <c r="DM1565" s="16"/>
      <c r="DN1565" s="16"/>
      <c r="DO1565" s="16"/>
      <c r="DP1565" s="16"/>
      <c r="DQ1565" s="16"/>
      <c r="DR1565" s="16"/>
      <c r="DS1565" s="16"/>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18"/>
      <c r="EQ1565" s="18"/>
      <c r="ER1565" s="18"/>
      <c r="ES1565" s="18"/>
      <c r="ET1565" s="18"/>
      <c r="EU1565" s="18"/>
      <c r="EV1565" s="18"/>
      <c r="EW1565" s="18"/>
      <c r="EX1565" s="18"/>
      <c r="EY1565" s="18"/>
      <c r="EZ1565" s="18"/>
      <c r="FA1565" s="18"/>
      <c r="FB1565" s="18"/>
      <c r="FC1565" s="18"/>
      <c r="FD1565" s="18"/>
      <c r="FE1565" s="18"/>
      <c r="FF1565" s="18"/>
      <c r="FG1565" s="18"/>
      <c r="FH1565" s="18"/>
      <c r="FI1565" s="18"/>
      <c r="FJ1565" s="18"/>
      <c r="FK1565" s="18"/>
      <c r="FL1565" s="18"/>
      <c r="FM1565" s="18"/>
      <c r="FN1565" s="18"/>
      <c r="FO1565" s="18"/>
      <c r="FP1565" s="18"/>
      <c r="FQ1565" s="18"/>
      <c r="FR1565" s="18"/>
      <c r="FS1565" s="18"/>
      <c r="FT1565" s="18"/>
      <c r="FU1565" s="18"/>
      <c r="FV1565" s="18"/>
      <c r="FW1565" s="18"/>
      <c r="FX1565" s="18"/>
      <c r="FY1565" s="18"/>
      <c r="FZ1565" s="18"/>
      <c r="GA1565" s="18"/>
      <c r="GB1565" s="18"/>
      <c r="GC1565" s="18"/>
      <c r="GD1565" s="18"/>
      <c r="GE1565" s="18"/>
      <c r="GF1565" s="18"/>
      <c r="GG1565" s="18"/>
      <c r="GH1565" s="18"/>
      <c r="GI1565" s="18"/>
      <c r="GJ1565" s="18"/>
      <c r="GK1565" s="18"/>
      <c r="GL1565" s="18"/>
      <c r="GM1565" s="18"/>
      <c r="GN1565" s="18"/>
      <c r="GO1565" s="18"/>
      <c r="GP1565" s="18"/>
      <c r="GQ1565" s="18"/>
      <c r="GR1565" s="18"/>
      <c r="GS1565" s="18"/>
      <c r="GT1565" s="18"/>
      <c r="GU1565" s="18"/>
      <c r="GV1565" s="18"/>
      <c r="GW1565" s="18"/>
      <c r="GX1565" s="18"/>
      <c r="GY1565" s="18"/>
      <c r="GZ1565" s="18"/>
      <c r="HA1565" s="18"/>
      <c r="HB1565" s="18"/>
      <c r="HC1565" s="18"/>
      <c r="HD1565" s="18"/>
      <c r="HE1565" s="18"/>
      <c r="HF1565" s="18"/>
      <c r="HG1565" s="18"/>
      <c r="HH1565" s="18"/>
      <c r="HI1565" s="18"/>
      <c r="HJ1565" s="18"/>
      <c r="HK1565" s="18"/>
      <c r="HL1565" s="18"/>
      <c r="HM1565" s="18"/>
      <c r="HN1565" s="18"/>
      <c r="HO1565" s="18"/>
      <c r="HP1565" s="18"/>
      <c r="HQ1565" s="18"/>
      <c r="HR1565" s="18"/>
      <c r="HS1565" s="18"/>
      <c r="HT1565" s="18"/>
      <c r="HU1565" s="18"/>
      <c r="HV1565" s="18"/>
      <c r="HW1565" s="18"/>
      <c r="HX1565" s="18"/>
      <c r="HY1565" s="18"/>
      <c r="HZ1565" s="18"/>
      <c r="IA1565" s="18"/>
      <c r="IB1565" s="18"/>
      <c r="IC1565" s="18"/>
      <c r="ID1565" s="18"/>
      <c r="IE1565" s="18"/>
      <c r="IF1565" s="18"/>
      <c r="IG1565" s="18"/>
      <c r="IH1565" s="18"/>
      <c r="II1565" s="18"/>
      <c r="IJ1565" s="18"/>
      <c r="IK1565" s="18"/>
      <c r="IL1565" s="18"/>
      <c r="IM1565" s="18"/>
      <c r="IN1565" s="18"/>
      <c r="IO1565" s="18"/>
      <c r="IP1565" s="18"/>
      <c r="IQ1565" s="18"/>
      <c r="IR1565" s="18"/>
      <c r="IS1565" s="18"/>
      <c r="IT1565" s="18"/>
      <c r="IU1565" s="18"/>
      <c r="IV1565" s="18"/>
      <c r="IW1565" s="18"/>
      <c r="IX1565" s="18"/>
      <c r="IY1565" s="18"/>
      <c r="IZ1565" s="18"/>
      <c r="JA1565" s="18"/>
      <c r="JB1565" s="18"/>
      <c r="JC1565" s="18"/>
      <c r="JD1565" s="18"/>
      <c r="JE1565" s="18"/>
      <c r="JF1565" s="18"/>
      <c r="JG1565" s="18"/>
      <c r="JH1565" s="18"/>
      <c r="JI1565" s="18"/>
      <c r="JJ1565" s="18"/>
      <c r="JK1565" s="18"/>
      <c r="JL1565" s="18"/>
      <c r="JM1565" s="18"/>
      <c r="JN1565" s="18"/>
      <c r="JO1565" s="16"/>
      <c r="JP1565" s="16"/>
      <c r="JQ1565" s="16"/>
      <c r="JR1565" s="16"/>
      <c r="JS1565" s="16"/>
      <c r="JT1565" s="16"/>
      <c r="JU1565" s="16"/>
      <c r="JV1565" s="16"/>
      <c r="JW1565" s="16"/>
      <c r="JX1565" s="16"/>
      <c r="JY1565" s="16"/>
      <c r="JZ1565" s="16"/>
      <c r="KA1565" s="16"/>
      <c r="KB1565" s="16"/>
    </row>
    <row r="1566" spans="1:288" s="27" customFormat="1" x14ac:dyDescent="0.2">
      <c r="A1566" s="18"/>
      <c r="B1566" s="16">
        <v>2016</v>
      </c>
      <c r="C1566" s="20">
        <v>42567</v>
      </c>
      <c r="D1566" s="20" t="str">
        <f>CONCATENATE(J1566,"-",C1566)</f>
        <v>947-42567</v>
      </c>
      <c r="E1566" s="20" t="str">
        <f>CONCATENATE(T1566,"-",U1566,"-",C1566)</f>
        <v>SP2-E4-42567</v>
      </c>
      <c r="F1566" s="20" t="s">
        <v>106</v>
      </c>
      <c r="G1566" s="90" t="s">
        <v>278</v>
      </c>
      <c r="H1566" s="16"/>
      <c r="I1566" s="16"/>
      <c r="J1566" s="15">
        <v>947</v>
      </c>
      <c r="K1566" s="15"/>
      <c r="L1566" s="16"/>
      <c r="M1566" s="15"/>
      <c r="N1566" s="15"/>
      <c r="O1566" s="15"/>
      <c r="P1566" s="23"/>
      <c r="Q1566" s="23"/>
      <c r="R1566" s="23"/>
      <c r="S1566" s="23"/>
      <c r="T1566" s="23" t="s">
        <v>137</v>
      </c>
      <c r="U1566" s="23" t="s">
        <v>206</v>
      </c>
      <c r="V1566" s="23"/>
      <c r="W1566" s="23"/>
      <c r="X1566" s="23"/>
      <c r="Y1566" s="23"/>
      <c r="Z1566" s="23"/>
      <c r="AA1566" s="23"/>
      <c r="AB1566" s="23"/>
      <c r="AC1566" s="16"/>
      <c r="AD1566" s="16"/>
      <c r="AE1566" s="16"/>
      <c r="AF1566" s="16"/>
      <c r="AG1566" s="16"/>
      <c r="AH1566" s="16"/>
      <c r="AI1566" s="16"/>
      <c r="AJ1566" s="16"/>
      <c r="AK1566" s="16">
        <v>19</v>
      </c>
      <c r="AL1566" s="16"/>
      <c r="AM1566" s="16"/>
      <c r="AN1566" s="16"/>
      <c r="AO1566" s="16"/>
      <c r="AP1566" s="16"/>
      <c r="AQ1566" s="16"/>
      <c r="AR1566" s="16"/>
      <c r="AS1566" s="16"/>
      <c r="AT1566" s="16"/>
      <c r="AU1566" s="16"/>
      <c r="AV1566" s="16"/>
      <c r="AW1566" s="16"/>
      <c r="AX1566" s="16"/>
      <c r="AY1566" s="16"/>
      <c r="AZ1566" s="16"/>
      <c r="BA1566" s="16"/>
      <c r="BB1566" s="16"/>
      <c r="BC1566" s="16"/>
      <c r="BD1566" s="16"/>
      <c r="BE1566" s="16"/>
      <c r="BF1566" s="16"/>
      <c r="BG1566" s="77"/>
      <c r="BH1566" s="16"/>
      <c r="BI1566" s="16"/>
      <c r="BJ1566" s="16"/>
      <c r="BK1566" s="16"/>
      <c r="BL1566" s="16"/>
      <c r="BM1566" s="16"/>
      <c r="BN1566" s="16"/>
      <c r="BO1566" s="16"/>
      <c r="BP1566" s="16"/>
      <c r="BQ1566" s="16"/>
      <c r="BR1566" s="16"/>
      <c r="BS1566" s="16"/>
      <c r="BT1566" s="77"/>
      <c r="BU1566" s="16"/>
      <c r="BV1566" s="16"/>
      <c r="BW1566" s="16"/>
      <c r="BX1566" s="16"/>
      <c r="BY1566" s="16"/>
      <c r="BZ1566" s="16"/>
      <c r="CA1566" s="16"/>
      <c r="CB1566" s="16"/>
      <c r="CC1566" s="16"/>
      <c r="CD1566" s="77"/>
      <c r="CE1566" s="16"/>
      <c r="CF1566" s="16"/>
      <c r="CG1566" s="16"/>
      <c r="CH1566" s="16"/>
      <c r="CI1566" s="16"/>
      <c r="CJ1566" s="16"/>
      <c r="CK1566" s="16"/>
      <c r="CL1566" s="16"/>
      <c r="CM1566" s="16"/>
      <c r="CN1566" s="16"/>
      <c r="CO1566" s="16"/>
      <c r="CP1566" s="16"/>
      <c r="CQ1566" s="16"/>
      <c r="CR1566" s="16"/>
      <c r="CS1566" s="16"/>
      <c r="CT1566" s="16"/>
      <c r="CU1566" s="16"/>
      <c r="CV1566" s="16"/>
      <c r="CW1566" s="16"/>
      <c r="CX1566" s="16"/>
      <c r="CY1566" s="16"/>
      <c r="CZ1566" s="16"/>
      <c r="DA1566" s="16"/>
      <c r="DB1566" s="16"/>
      <c r="DC1566" s="16"/>
      <c r="DD1566" s="16"/>
      <c r="DE1566" s="16"/>
      <c r="DF1566" s="16" t="e">
        <f>VLOOKUP(K1566,'[3]RNA Seq summary tables'!$V$3:$V$99,1,FALSE)</f>
        <v>#N/A</v>
      </c>
      <c r="DG1566" s="16"/>
      <c r="DH1566" s="16"/>
      <c r="DI1566" s="16"/>
      <c r="DJ1566" s="16"/>
      <c r="DK1566" s="16"/>
      <c r="DL1566" s="16"/>
      <c r="DM1566" s="16"/>
      <c r="DN1566" s="16"/>
      <c r="DO1566" s="16"/>
      <c r="DP1566" s="16"/>
      <c r="DQ1566" s="16"/>
      <c r="DR1566" s="16"/>
      <c r="DS1566" s="16"/>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18"/>
      <c r="EQ1566" s="18"/>
      <c r="ER1566" s="18"/>
      <c r="ES1566" s="18"/>
      <c r="ET1566" s="18"/>
      <c r="EU1566" s="18"/>
      <c r="EV1566" s="18"/>
      <c r="EW1566" s="18"/>
      <c r="EX1566" s="18"/>
      <c r="EY1566" s="18"/>
      <c r="EZ1566" s="18"/>
      <c r="FA1566" s="18"/>
      <c r="FB1566" s="18"/>
      <c r="FC1566" s="18"/>
      <c r="FD1566" s="18"/>
      <c r="FE1566" s="18"/>
      <c r="FF1566" s="18"/>
      <c r="FG1566" s="18"/>
      <c r="FH1566" s="18"/>
      <c r="FI1566" s="18"/>
      <c r="FJ1566" s="18"/>
      <c r="FK1566" s="18"/>
      <c r="FL1566" s="18"/>
      <c r="FM1566" s="18"/>
      <c r="FN1566" s="18"/>
      <c r="FO1566" s="18"/>
      <c r="FP1566" s="18"/>
      <c r="FQ1566" s="18"/>
      <c r="FR1566" s="18"/>
      <c r="FS1566" s="18"/>
      <c r="FT1566" s="18"/>
      <c r="FU1566" s="18"/>
      <c r="FV1566" s="18"/>
      <c r="FW1566" s="18"/>
      <c r="FX1566" s="18"/>
      <c r="FY1566" s="18"/>
      <c r="FZ1566" s="18"/>
      <c r="GA1566" s="18"/>
      <c r="GB1566" s="18"/>
      <c r="GC1566" s="18"/>
      <c r="GD1566" s="18"/>
      <c r="GE1566" s="18"/>
      <c r="GF1566" s="18"/>
      <c r="GG1566" s="18"/>
      <c r="GH1566" s="18"/>
      <c r="GI1566" s="18"/>
      <c r="GJ1566" s="18"/>
      <c r="GK1566" s="18"/>
      <c r="GL1566" s="18"/>
      <c r="GM1566" s="18"/>
      <c r="GN1566" s="18"/>
      <c r="GO1566" s="18"/>
      <c r="GP1566" s="18"/>
      <c r="GQ1566" s="18"/>
      <c r="GR1566" s="18"/>
      <c r="GS1566" s="18"/>
      <c r="GT1566" s="18"/>
      <c r="GU1566" s="18"/>
      <c r="GV1566" s="18"/>
      <c r="GW1566" s="18"/>
      <c r="GX1566" s="18"/>
      <c r="GY1566" s="18"/>
      <c r="GZ1566" s="18"/>
      <c r="HA1566" s="18"/>
      <c r="HB1566" s="18"/>
      <c r="HC1566" s="18"/>
      <c r="HD1566" s="18"/>
      <c r="HE1566" s="18"/>
      <c r="HF1566" s="18"/>
      <c r="HG1566" s="18"/>
      <c r="HH1566" s="18"/>
      <c r="HI1566" s="18"/>
      <c r="HJ1566" s="18"/>
      <c r="HK1566" s="18"/>
      <c r="HL1566" s="18"/>
      <c r="HM1566" s="18"/>
      <c r="HN1566" s="18"/>
      <c r="HO1566" s="18"/>
      <c r="HP1566" s="18"/>
      <c r="HQ1566" s="18"/>
      <c r="HR1566" s="18"/>
      <c r="HS1566" s="18"/>
      <c r="HT1566" s="18"/>
      <c r="HU1566" s="18"/>
      <c r="HV1566" s="18"/>
      <c r="HW1566" s="18"/>
      <c r="HX1566" s="18"/>
      <c r="HY1566" s="18"/>
      <c r="HZ1566" s="18"/>
      <c r="IA1566" s="18"/>
      <c r="IB1566" s="18"/>
      <c r="IC1566" s="18"/>
      <c r="ID1566" s="18"/>
      <c r="IE1566" s="18"/>
      <c r="IF1566" s="18"/>
      <c r="IG1566" s="18"/>
      <c r="IH1566" s="18"/>
      <c r="II1566" s="18"/>
      <c r="IJ1566" s="18"/>
      <c r="IK1566" s="18"/>
      <c r="IL1566" s="18"/>
      <c r="IM1566" s="18"/>
      <c r="IN1566" s="18"/>
      <c r="IO1566" s="18"/>
      <c r="IP1566" s="18"/>
      <c r="IQ1566" s="18"/>
      <c r="IR1566" s="18"/>
      <c r="IS1566" s="18"/>
      <c r="IT1566" s="18"/>
      <c r="IU1566" s="18"/>
      <c r="IV1566" s="18"/>
      <c r="IW1566" s="18"/>
      <c r="IX1566" s="18"/>
      <c r="IY1566" s="18"/>
      <c r="IZ1566" s="18"/>
      <c r="JA1566" s="18"/>
      <c r="JB1566" s="18"/>
      <c r="JC1566" s="18"/>
      <c r="JD1566" s="18"/>
      <c r="JE1566" s="18"/>
      <c r="JF1566" s="18"/>
      <c r="JG1566" s="18"/>
      <c r="JH1566" s="18"/>
      <c r="JI1566" s="18"/>
      <c r="JJ1566" s="18"/>
      <c r="JK1566" s="18"/>
      <c r="JL1566" s="18"/>
      <c r="JM1566" s="18"/>
      <c r="JN1566" s="18"/>
      <c r="JP1566" s="16"/>
      <c r="JQ1566" s="16"/>
      <c r="JR1566" s="16"/>
      <c r="JS1566" s="16"/>
      <c r="JT1566" s="16"/>
      <c r="JU1566" s="16"/>
      <c r="JV1566" s="16"/>
      <c r="JW1566" s="16"/>
      <c r="JX1566" s="16"/>
      <c r="JY1566" s="16"/>
      <c r="JZ1566" s="16"/>
      <c r="KA1566" s="16"/>
      <c r="KB1566" s="16"/>
    </row>
    <row r="1567" spans="1:288" s="27" customFormat="1" x14ac:dyDescent="0.2">
      <c r="A1567" s="18"/>
      <c r="B1567" s="16">
        <v>2016</v>
      </c>
      <c r="C1567" s="20">
        <v>42581</v>
      </c>
      <c r="D1567" s="20" t="str">
        <f>CONCATENATE(J1567,"-",C1567)</f>
        <v>947-42581</v>
      </c>
      <c r="E1567" s="20" t="str">
        <f>CONCATENATE(T1567,"-",U1567,"-",C1567)</f>
        <v>SP2-H2-42581</v>
      </c>
      <c r="F1567" s="20" t="s">
        <v>106</v>
      </c>
      <c r="G1567" s="90" t="s">
        <v>278</v>
      </c>
      <c r="H1567" s="16"/>
      <c r="I1567" s="16"/>
      <c r="J1567" s="15">
        <v>947</v>
      </c>
      <c r="K1567" s="15"/>
      <c r="L1567" s="16"/>
      <c r="M1567" s="15"/>
      <c r="N1567" s="15"/>
      <c r="O1567" s="15"/>
      <c r="P1567" s="23"/>
      <c r="Q1567" s="23"/>
      <c r="R1567" s="23"/>
      <c r="S1567" s="23"/>
      <c r="T1567" s="23" t="s">
        <v>137</v>
      </c>
      <c r="U1567" s="23" t="s">
        <v>190</v>
      </c>
      <c r="V1567" s="23"/>
      <c r="W1567" s="23"/>
      <c r="X1567" s="23"/>
      <c r="Y1567" s="23"/>
      <c r="Z1567" s="23"/>
      <c r="AA1567" s="23"/>
      <c r="AB1567" s="23"/>
      <c r="AC1567" s="16"/>
      <c r="AD1567" s="16"/>
      <c r="AE1567" s="16"/>
      <c r="AF1567" s="16"/>
      <c r="AG1567" s="16"/>
      <c r="AH1567" s="16"/>
      <c r="AI1567" s="16"/>
      <c r="AJ1567" s="16"/>
      <c r="AK1567" s="16">
        <v>22.5</v>
      </c>
      <c r="AL1567" s="16"/>
      <c r="AM1567" s="16"/>
      <c r="AN1567" s="16"/>
      <c r="AO1567" s="16"/>
      <c r="AP1567" s="16"/>
      <c r="AQ1567" s="16"/>
      <c r="AR1567" s="16"/>
      <c r="AS1567" s="16"/>
      <c r="AT1567" s="16"/>
      <c r="AU1567" s="16"/>
      <c r="AV1567" s="16"/>
      <c r="AW1567" s="16"/>
      <c r="AX1567" s="16"/>
      <c r="AY1567" s="16"/>
      <c r="AZ1567" s="16"/>
      <c r="BA1567" s="16"/>
      <c r="BB1567" s="16"/>
      <c r="BC1567" s="16"/>
      <c r="BD1567" s="16"/>
      <c r="BE1567" s="16"/>
      <c r="BF1567" s="16"/>
      <c r="BG1567" s="77"/>
      <c r="BH1567" s="16"/>
      <c r="BI1567" s="16"/>
      <c r="BJ1567" s="16"/>
      <c r="BK1567" s="16"/>
      <c r="BL1567" s="16"/>
      <c r="BM1567" s="16"/>
      <c r="BN1567" s="16"/>
      <c r="BO1567" s="16"/>
      <c r="BP1567" s="16"/>
      <c r="BQ1567" s="16"/>
      <c r="BR1567" s="16"/>
      <c r="BS1567" s="16"/>
      <c r="BT1567" s="77"/>
      <c r="BU1567" s="16"/>
      <c r="BV1567" s="16"/>
      <c r="BW1567" s="16"/>
      <c r="BX1567" s="16"/>
      <c r="BY1567" s="16"/>
      <c r="BZ1567" s="16"/>
      <c r="CA1567" s="16"/>
      <c r="CB1567" s="16"/>
      <c r="CC1567" s="16"/>
      <c r="CD1567" s="77"/>
      <c r="CE1567" s="16"/>
      <c r="CF1567" s="16"/>
      <c r="CG1567" s="16"/>
      <c r="CH1567" s="16"/>
      <c r="CI1567" s="16"/>
      <c r="CJ1567" s="16"/>
      <c r="CK1567" s="16"/>
      <c r="CL1567" s="16"/>
      <c r="CM1567" s="16"/>
      <c r="CN1567" s="16"/>
      <c r="CO1567" s="16"/>
      <c r="CP1567" s="16"/>
      <c r="CQ1567" s="16"/>
      <c r="CR1567" s="16"/>
      <c r="CS1567" s="16"/>
      <c r="CT1567" s="16"/>
      <c r="CU1567" s="16"/>
      <c r="CV1567" s="16"/>
      <c r="CW1567" s="16"/>
      <c r="CX1567" s="16"/>
      <c r="CY1567" s="16"/>
      <c r="CZ1567" s="16"/>
      <c r="DA1567" s="16"/>
      <c r="DB1567" s="16"/>
      <c r="DC1567" s="16"/>
      <c r="DD1567" s="16"/>
      <c r="DE1567" s="16"/>
      <c r="DF1567" s="16" t="e">
        <f>VLOOKUP(K1567,'[3]RNA Seq summary tables'!$V$3:$V$99,1,FALSE)</f>
        <v>#N/A</v>
      </c>
      <c r="DG1567" s="16"/>
      <c r="DH1567" s="16"/>
      <c r="DI1567" s="16"/>
      <c r="DJ1567" s="16"/>
      <c r="DK1567" s="16"/>
      <c r="DL1567" s="16"/>
      <c r="DM1567" s="16"/>
      <c r="DN1567" s="16"/>
      <c r="DO1567" s="16"/>
      <c r="DP1567" s="16"/>
      <c r="DQ1567" s="16"/>
      <c r="DR1567" s="16"/>
      <c r="DS1567" s="16"/>
      <c r="DT1567" s="18"/>
      <c r="DU1567" s="18"/>
      <c r="DV1567" s="18"/>
      <c r="DW1567" s="18"/>
      <c r="DX1567" s="18"/>
      <c r="DY1567" s="18"/>
      <c r="DZ1567" s="18"/>
      <c r="EA1567" s="18"/>
      <c r="EB1567" s="18"/>
      <c r="EC1567" s="18"/>
      <c r="ED1567" s="18"/>
      <c r="EE1567" s="18"/>
      <c r="EF1567" s="95"/>
      <c r="EG1567" s="95"/>
      <c r="EH1567" s="95"/>
      <c r="EI1567" s="95"/>
      <c r="EJ1567" s="95"/>
      <c r="EK1567" s="95"/>
      <c r="EL1567" s="95"/>
      <c r="EM1567" s="95"/>
      <c r="EN1567" s="95"/>
      <c r="EO1567" s="95"/>
      <c r="EP1567" s="95"/>
      <c r="EQ1567" s="95"/>
      <c r="ER1567" s="95"/>
      <c r="ES1567" s="95"/>
      <c r="ET1567" s="95"/>
      <c r="EU1567" s="95"/>
      <c r="EV1567" s="95"/>
      <c r="EW1567" s="95"/>
      <c r="EX1567" s="95"/>
      <c r="EY1567" s="95"/>
      <c r="EZ1567" s="95"/>
      <c r="FA1567" s="95"/>
      <c r="FB1567" s="95"/>
      <c r="FC1567" s="95"/>
      <c r="FD1567" s="95"/>
      <c r="FE1567" s="95"/>
      <c r="FF1567" s="95"/>
      <c r="FG1567" s="95"/>
      <c r="FH1567" s="95"/>
      <c r="FI1567" s="95"/>
      <c r="FJ1567" s="95"/>
      <c r="FK1567" s="95"/>
      <c r="FL1567" s="95"/>
      <c r="FM1567" s="95"/>
      <c r="FN1567" s="95"/>
      <c r="FO1567" s="95"/>
      <c r="FP1567" s="95"/>
      <c r="FQ1567" s="95"/>
      <c r="FR1567" s="95"/>
      <c r="FS1567" s="95"/>
      <c r="FT1567" s="95"/>
      <c r="FU1567" s="95"/>
      <c r="FV1567" s="95"/>
      <c r="FW1567" s="95"/>
      <c r="FX1567" s="95"/>
      <c r="FY1567" s="95"/>
      <c r="FZ1567" s="95"/>
      <c r="GA1567" s="95"/>
      <c r="GB1567" s="95"/>
      <c r="GC1567" s="95"/>
      <c r="GD1567" s="95"/>
      <c r="GE1567" s="95"/>
      <c r="GF1567" s="95"/>
      <c r="GG1567" s="95"/>
      <c r="GH1567" s="95"/>
      <c r="GI1567" s="95"/>
      <c r="GJ1567" s="95"/>
      <c r="GK1567" s="95"/>
      <c r="GL1567" s="95"/>
      <c r="GM1567" s="95"/>
      <c r="GN1567" s="95"/>
      <c r="GO1567" s="95"/>
      <c r="GP1567" s="95"/>
      <c r="GQ1567" s="95"/>
      <c r="GR1567" s="95"/>
      <c r="GS1567" s="95"/>
      <c r="GT1567" s="95"/>
      <c r="GU1567" s="95"/>
      <c r="GV1567" s="95"/>
      <c r="GW1567" s="95"/>
      <c r="GX1567" s="95"/>
      <c r="GY1567" s="95"/>
      <c r="GZ1567" s="95"/>
      <c r="HA1567" s="95"/>
      <c r="HB1567" s="95"/>
      <c r="HC1567" s="95"/>
      <c r="HD1567" s="95"/>
      <c r="HE1567" s="95"/>
      <c r="HF1567" s="95"/>
      <c r="HG1567" s="95"/>
      <c r="HH1567" s="95"/>
      <c r="HI1567" s="95"/>
      <c r="HJ1567" s="95"/>
      <c r="HK1567" s="95"/>
      <c r="HL1567" s="95"/>
      <c r="HM1567" s="95"/>
      <c r="HN1567" s="95"/>
      <c r="HO1567" s="95"/>
      <c r="HP1567" s="95"/>
      <c r="HQ1567" s="95"/>
      <c r="HR1567" s="95"/>
      <c r="HS1567" s="95"/>
      <c r="HT1567" s="95"/>
      <c r="HU1567" s="95"/>
      <c r="HV1567" s="95"/>
      <c r="HW1567" s="95"/>
      <c r="HX1567" s="95"/>
      <c r="HY1567" s="95"/>
      <c r="HZ1567" s="95"/>
      <c r="IA1567" s="95"/>
      <c r="IB1567" s="95"/>
      <c r="IC1567" s="95"/>
      <c r="ID1567" s="95"/>
      <c r="IE1567" s="95"/>
      <c r="IF1567" s="95"/>
      <c r="IG1567" s="95"/>
      <c r="IH1567" s="95"/>
      <c r="II1567" s="95"/>
      <c r="IJ1567" s="95"/>
      <c r="IK1567" s="95"/>
      <c r="IL1567" s="95"/>
      <c r="IM1567" s="95"/>
      <c r="IN1567" s="95"/>
      <c r="IO1567" s="95"/>
      <c r="IP1567" s="95"/>
      <c r="IQ1567" s="95"/>
      <c r="IR1567" s="95"/>
      <c r="IS1567" s="95"/>
      <c r="IT1567" s="95"/>
      <c r="IU1567" s="95"/>
      <c r="IV1567" s="95"/>
      <c r="IW1567" s="95"/>
      <c r="IX1567" s="95"/>
      <c r="IY1567" s="95"/>
      <c r="IZ1567" s="95"/>
      <c r="JA1567" s="95"/>
      <c r="JB1567" s="95"/>
      <c r="JC1567" s="95"/>
      <c r="JD1567" s="95"/>
      <c r="JE1567" s="95"/>
      <c r="JF1567" s="95"/>
      <c r="JG1567" s="95"/>
      <c r="JH1567" s="95"/>
      <c r="JI1567" s="95"/>
      <c r="JJ1567" s="95"/>
      <c r="JK1567" s="95"/>
      <c r="JL1567" s="95"/>
      <c r="JM1567" s="95"/>
      <c r="JN1567" s="95"/>
      <c r="JO1567" s="16"/>
      <c r="JP1567" s="16"/>
      <c r="JQ1567" s="16"/>
      <c r="JR1567" s="16"/>
      <c r="JS1567" s="16"/>
      <c r="JT1567" s="16"/>
      <c r="JU1567" s="16"/>
      <c r="JV1567" s="16"/>
      <c r="JW1567" s="16"/>
      <c r="JX1567" s="16"/>
      <c r="JY1567" s="16"/>
      <c r="JZ1567" s="16"/>
      <c r="KA1567" s="16"/>
      <c r="KB1567" s="16"/>
    </row>
    <row r="1568" spans="1:288" s="18" customFormat="1" x14ac:dyDescent="0.2">
      <c r="B1568" s="16">
        <v>2016</v>
      </c>
      <c r="C1568" s="20">
        <v>42594</v>
      </c>
      <c r="D1568" s="20" t="str">
        <f>CONCATENATE(J1568,"-",C1568)</f>
        <v>947-42594</v>
      </c>
      <c r="E1568" s="20" t="str">
        <f>CONCATENATE(T1568,"-",U1568,"-",C1568)</f>
        <v>SP2-C1-42594</v>
      </c>
      <c r="F1568" s="20" t="s">
        <v>227</v>
      </c>
      <c r="G1568" s="90" t="s">
        <v>278</v>
      </c>
      <c r="H1568" s="16"/>
      <c r="I1568" s="16"/>
      <c r="J1568" s="15">
        <v>947</v>
      </c>
      <c r="K1568" s="15"/>
      <c r="L1568" s="16"/>
      <c r="M1568" s="15"/>
      <c r="N1568" s="15"/>
      <c r="O1568" s="15"/>
      <c r="P1568" s="23"/>
      <c r="Q1568" s="23"/>
      <c r="R1568" s="23"/>
      <c r="S1568" s="23"/>
      <c r="T1568" s="23" t="s">
        <v>137</v>
      </c>
      <c r="U1568" s="23" t="s">
        <v>150</v>
      </c>
      <c r="V1568" s="23"/>
      <c r="W1568" s="23"/>
      <c r="X1568" s="23"/>
      <c r="Y1568" s="23"/>
      <c r="Z1568" s="23"/>
      <c r="AA1568" s="23"/>
      <c r="AB1568" s="23"/>
      <c r="AC1568" s="16"/>
      <c r="AD1568" s="16"/>
      <c r="AE1568" s="16"/>
      <c r="AF1568" s="16"/>
      <c r="AG1568" s="16"/>
      <c r="AH1568" s="16"/>
      <c r="AI1568" s="16"/>
      <c r="AJ1568" s="16"/>
      <c r="AK1568" s="16">
        <v>24.5</v>
      </c>
      <c r="AL1568" s="16"/>
      <c r="AM1568" s="16"/>
      <c r="AN1568" s="16"/>
      <c r="AO1568" s="16"/>
      <c r="AP1568" s="16"/>
      <c r="AQ1568" s="16"/>
      <c r="AR1568" s="16"/>
      <c r="AS1568" s="16"/>
      <c r="AT1568" s="16"/>
      <c r="AU1568" s="16"/>
      <c r="AV1568" s="16"/>
      <c r="AW1568" s="16"/>
      <c r="AX1568" s="16"/>
      <c r="AY1568" s="16"/>
      <c r="AZ1568" s="16"/>
      <c r="BA1568" s="16"/>
      <c r="BB1568" s="16"/>
      <c r="BC1568" s="16"/>
      <c r="BD1568" s="16"/>
      <c r="BE1568" s="16"/>
      <c r="BF1568" s="16"/>
      <c r="BG1568" s="77"/>
      <c r="BH1568" s="16"/>
      <c r="BI1568" s="16"/>
      <c r="BJ1568" s="16"/>
      <c r="BK1568" s="16"/>
      <c r="BL1568" s="16"/>
      <c r="BM1568" s="16"/>
      <c r="BN1568" s="16"/>
      <c r="BO1568" s="16"/>
      <c r="BP1568" s="16"/>
      <c r="BQ1568" s="16"/>
      <c r="BR1568" s="16"/>
      <c r="BS1568" s="16"/>
      <c r="BT1568" s="77"/>
      <c r="BU1568" s="16"/>
      <c r="BV1568" s="16"/>
      <c r="BW1568" s="16"/>
      <c r="BX1568" s="16"/>
      <c r="BY1568" s="16"/>
      <c r="BZ1568" s="16"/>
      <c r="CA1568" s="16"/>
      <c r="CB1568" s="16"/>
      <c r="CC1568" s="16"/>
      <c r="CD1568" s="77"/>
      <c r="CE1568" s="16"/>
      <c r="CF1568" s="16"/>
      <c r="CG1568" s="16"/>
      <c r="CH1568" s="16"/>
      <c r="CI1568" s="16"/>
      <c r="CJ1568" s="16"/>
      <c r="CK1568" s="16"/>
      <c r="CL1568" s="16"/>
      <c r="CM1568" s="16"/>
      <c r="CN1568" s="16"/>
      <c r="CO1568" s="16"/>
      <c r="CP1568" s="16"/>
      <c r="CQ1568" s="16"/>
      <c r="CR1568" s="16"/>
      <c r="CS1568" s="16"/>
      <c r="CT1568" s="16"/>
      <c r="CU1568" s="16"/>
      <c r="CV1568" s="16"/>
      <c r="CW1568" s="16"/>
      <c r="CX1568" s="16"/>
      <c r="CY1568" s="16"/>
      <c r="CZ1568" s="16"/>
      <c r="DA1568" s="16"/>
      <c r="DB1568" s="16"/>
      <c r="DC1568" s="16"/>
      <c r="DD1568" s="16"/>
      <c r="DE1568" s="16"/>
      <c r="DF1568" s="16" t="e">
        <f>VLOOKUP(K1568,'[3]RNA Seq summary tables'!$V$3:$V$99,1,FALSE)</f>
        <v>#N/A</v>
      </c>
      <c r="DG1568" s="16"/>
      <c r="DH1568" s="16"/>
      <c r="DI1568" s="16"/>
      <c r="DJ1568" s="16"/>
      <c r="DK1568" s="16"/>
      <c r="DL1568" s="16"/>
      <c r="DM1568" s="16"/>
      <c r="DN1568" s="16"/>
      <c r="DO1568" s="16"/>
      <c r="DP1568" s="16"/>
      <c r="DQ1568" s="16"/>
      <c r="DR1568" s="16"/>
      <c r="DS1568" s="16"/>
      <c r="JO1568" s="16"/>
      <c r="JP1568" s="16"/>
      <c r="JQ1568" s="16"/>
      <c r="JR1568" s="16"/>
      <c r="JS1568" s="16"/>
      <c r="JT1568" s="16"/>
      <c r="JU1568" s="16"/>
      <c r="JV1568" s="16"/>
      <c r="JW1568" s="16"/>
      <c r="JX1568" s="16"/>
      <c r="JY1568" s="16"/>
      <c r="JZ1568" s="16"/>
      <c r="KA1568" s="16"/>
      <c r="KB1568" s="16"/>
    </row>
    <row r="1569" spans="1:288" s="27" customFormat="1" x14ac:dyDescent="0.2">
      <c r="A1569" s="29"/>
      <c r="B1569" s="16">
        <v>2016</v>
      </c>
      <c r="C1569" s="20">
        <v>42524</v>
      </c>
      <c r="D1569" s="20" t="str">
        <f>CONCATENATE(J1569,"-",C1569)</f>
        <v>949-42524</v>
      </c>
      <c r="E1569" s="20" t="str">
        <f>CONCATENATE(T1569,"-",U1569,"-",C1569)</f>
        <v>SP1-G4-42524</v>
      </c>
      <c r="F1569" s="20" t="s">
        <v>106</v>
      </c>
      <c r="G1569" s="90" t="s">
        <v>278</v>
      </c>
      <c r="H1569" s="16" t="s">
        <v>169</v>
      </c>
      <c r="I1569" s="16"/>
      <c r="J1569" s="15">
        <v>949</v>
      </c>
      <c r="K1569" s="15"/>
      <c r="L1569" s="16"/>
      <c r="M1569" s="15"/>
      <c r="N1569" s="15"/>
      <c r="O1569" s="15"/>
      <c r="P1569" s="23"/>
      <c r="Q1569" s="23"/>
      <c r="R1569" s="23"/>
      <c r="S1569" s="23"/>
      <c r="T1569" s="23" t="s">
        <v>140</v>
      </c>
      <c r="U1569" s="23" t="s">
        <v>173</v>
      </c>
      <c r="V1569" s="28" t="s">
        <v>142</v>
      </c>
      <c r="W1569" s="28"/>
      <c r="X1569" s="23" t="s">
        <v>115</v>
      </c>
      <c r="Y1569" s="23" t="s">
        <v>110</v>
      </c>
      <c r="Z1569" s="23">
        <v>3</v>
      </c>
      <c r="AA1569" s="23"/>
      <c r="AB1569" s="23"/>
      <c r="AC1569" s="16"/>
      <c r="AD1569" s="16"/>
      <c r="AE1569" s="16" t="s">
        <v>123</v>
      </c>
      <c r="AF1569" s="16" t="s">
        <v>123</v>
      </c>
      <c r="AG1569" s="16"/>
      <c r="AH1569" s="16"/>
      <c r="AI1569" s="16"/>
      <c r="AJ1569" s="16"/>
      <c r="AK1569" s="16">
        <v>17</v>
      </c>
      <c r="AL1569" s="16">
        <v>0</v>
      </c>
      <c r="AM1569" s="16">
        <v>0</v>
      </c>
      <c r="AN1569" s="16">
        <v>0</v>
      </c>
      <c r="AO1569" s="16">
        <f>IF(SUM(AL1569:AN1569)&gt;0,1,0)</f>
        <v>0</v>
      </c>
      <c r="AP1569" s="16">
        <f>SUM(AL1569:AN1569)</f>
        <v>0</v>
      </c>
      <c r="AQ1569" s="16"/>
      <c r="AR1569" s="16"/>
      <c r="AS1569" s="16"/>
      <c r="AT1569" s="16"/>
      <c r="AU1569" s="16"/>
      <c r="AV1569" s="16"/>
      <c r="AW1569" s="16"/>
      <c r="AX1569" s="16"/>
      <c r="AY1569" s="16"/>
      <c r="AZ1569" s="16"/>
      <c r="BA1569" s="16"/>
      <c r="BB1569" s="16"/>
      <c r="BC1569" s="16"/>
      <c r="BD1569" s="16"/>
      <c r="BE1569" s="16"/>
      <c r="BF1569" s="16"/>
      <c r="BG1569" s="77"/>
      <c r="BH1569" s="16"/>
      <c r="BI1569" s="16"/>
      <c r="BJ1569" s="16"/>
      <c r="BK1569" s="16"/>
      <c r="BL1569" s="16"/>
      <c r="BM1569" s="16"/>
      <c r="BN1569" s="16"/>
      <c r="BO1569" s="16"/>
      <c r="BP1569" s="16"/>
      <c r="BQ1569" s="16"/>
      <c r="BR1569" s="16"/>
      <c r="BS1569" s="16"/>
      <c r="BT1569" s="77"/>
      <c r="BU1569" s="16"/>
      <c r="BV1569" s="16"/>
      <c r="BW1569" s="16"/>
      <c r="BX1569" s="16"/>
      <c r="BY1569" s="16"/>
      <c r="BZ1569" s="16"/>
      <c r="CA1569" s="16"/>
      <c r="CB1569" s="16"/>
      <c r="CC1569" s="16"/>
      <c r="CD1569" s="77"/>
      <c r="CE1569" s="16"/>
      <c r="CF1569" s="16"/>
      <c r="CG1569" s="16"/>
      <c r="CH1569" s="16"/>
      <c r="CI1569" s="16"/>
      <c r="CJ1569" s="16"/>
      <c r="CK1569" s="16"/>
      <c r="CL1569" s="16"/>
      <c r="CM1569" s="16"/>
      <c r="CN1569" s="16"/>
      <c r="CO1569" s="16"/>
      <c r="CP1569" s="16"/>
      <c r="CQ1569" s="16"/>
      <c r="CR1569" s="16"/>
      <c r="CS1569" s="16"/>
      <c r="CT1569" s="16"/>
      <c r="CU1569" s="16"/>
      <c r="CV1569" s="16"/>
      <c r="CW1569" s="16"/>
      <c r="CX1569" s="16"/>
      <c r="CY1569" s="16"/>
      <c r="CZ1569" s="16"/>
      <c r="DA1569" s="16"/>
      <c r="DB1569" s="16"/>
      <c r="DC1569" s="16"/>
      <c r="DD1569" s="16"/>
      <c r="DE1569" s="16"/>
      <c r="DF1569" s="16" t="e">
        <f>VLOOKUP(K1569,'[3]RNA Seq summary tables'!$V$3:$V$99,1,FALSE)</f>
        <v>#N/A</v>
      </c>
      <c r="DG1569" s="16"/>
      <c r="DH1569" s="16"/>
      <c r="DI1569" s="16"/>
      <c r="DJ1569" s="16"/>
      <c r="DK1569" s="16"/>
      <c r="DL1569" s="16"/>
      <c r="DM1569" s="16"/>
      <c r="DN1569" s="16"/>
      <c r="DO1569" s="16"/>
      <c r="DP1569" s="16"/>
      <c r="DQ1569" s="16"/>
      <c r="DR1569" s="16"/>
      <c r="DS1569" s="16"/>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18"/>
      <c r="EQ1569" s="18"/>
      <c r="ER1569" s="18"/>
      <c r="ES1569" s="18"/>
      <c r="ET1569" s="18"/>
      <c r="EU1569" s="18"/>
      <c r="EV1569" s="18"/>
      <c r="EW1569" s="18"/>
      <c r="EX1569" s="18"/>
      <c r="EY1569" s="18"/>
      <c r="EZ1569" s="18"/>
      <c r="FA1569" s="18"/>
      <c r="FB1569" s="18"/>
      <c r="FC1569" s="18"/>
      <c r="FD1569" s="18"/>
      <c r="FE1569" s="18"/>
      <c r="FF1569" s="18"/>
      <c r="FG1569" s="18"/>
      <c r="FH1569" s="18"/>
      <c r="FI1569" s="18"/>
      <c r="FJ1569" s="18"/>
      <c r="FK1569" s="18"/>
      <c r="FL1569" s="18"/>
      <c r="FM1569" s="18"/>
      <c r="FN1569" s="18"/>
      <c r="FO1569" s="18"/>
      <c r="FP1569" s="18"/>
      <c r="FQ1569" s="18"/>
      <c r="FR1569" s="18"/>
      <c r="FS1569" s="18"/>
      <c r="FT1569" s="18"/>
      <c r="FU1569" s="18"/>
      <c r="FV1569" s="18"/>
      <c r="FW1569" s="18"/>
      <c r="FX1569" s="18"/>
      <c r="FY1569" s="18"/>
      <c r="FZ1569" s="18"/>
      <c r="GA1569" s="18"/>
      <c r="GB1569" s="18"/>
      <c r="GC1569" s="18"/>
      <c r="GD1569" s="18"/>
      <c r="GE1569" s="18"/>
      <c r="GF1569" s="18"/>
      <c r="GG1569" s="18"/>
      <c r="GH1569" s="18"/>
      <c r="GI1569" s="18"/>
      <c r="GJ1569" s="18"/>
      <c r="GK1569" s="18"/>
      <c r="GL1569" s="18"/>
      <c r="GM1569" s="18"/>
      <c r="GN1569" s="18"/>
      <c r="GO1569" s="18"/>
      <c r="GP1569" s="18"/>
      <c r="GQ1569" s="18"/>
      <c r="GR1569" s="18"/>
      <c r="GS1569" s="18"/>
      <c r="GT1569" s="18"/>
      <c r="GU1569" s="18"/>
      <c r="GV1569" s="18"/>
      <c r="GW1569" s="18"/>
      <c r="GX1569" s="18"/>
      <c r="GY1569" s="18"/>
      <c r="GZ1569" s="18"/>
      <c r="HA1569" s="18"/>
      <c r="HB1569" s="18"/>
      <c r="HC1569" s="18"/>
      <c r="HD1569" s="18"/>
      <c r="HE1569" s="18"/>
      <c r="HF1569" s="18"/>
      <c r="HG1569" s="18"/>
      <c r="HH1569" s="18"/>
      <c r="HI1569" s="18"/>
      <c r="HJ1569" s="18"/>
      <c r="HK1569" s="18"/>
      <c r="HL1569" s="18"/>
      <c r="HM1569" s="18"/>
      <c r="HN1569" s="18"/>
      <c r="HO1569" s="18"/>
      <c r="HP1569" s="18"/>
      <c r="HQ1569" s="18"/>
      <c r="HR1569" s="18"/>
      <c r="HS1569" s="18"/>
      <c r="HT1569" s="18"/>
      <c r="HU1569" s="18"/>
      <c r="HV1569" s="18"/>
      <c r="HW1569" s="18"/>
      <c r="HX1569" s="18"/>
      <c r="HY1569" s="18"/>
      <c r="HZ1569" s="18"/>
      <c r="IA1569" s="18"/>
      <c r="IB1569" s="18"/>
      <c r="IC1569" s="18"/>
      <c r="ID1569" s="18"/>
      <c r="IE1569" s="18"/>
      <c r="IF1569" s="18"/>
      <c r="IG1569" s="18"/>
      <c r="IH1569" s="18"/>
      <c r="II1569" s="18"/>
      <c r="IJ1569" s="18"/>
      <c r="IK1569" s="18"/>
      <c r="IL1569" s="18"/>
      <c r="IM1569" s="18"/>
      <c r="IN1569" s="18"/>
      <c r="IO1569" s="18"/>
      <c r="IP1569" s="18"/>
      <c r="IQ1569" s="18"/>
      <c r="IR1569" s="18"/>
      <c r="IS1569" s="18"/>
      <c r="IT1569" s="18"/>
      <c r="IU1569" s="18"/>
      <c r="IV1569" s="18"/>
      <c r="IW1569" s="18"/>
      <c r="IX1569" s="18"/>
      <c r="IY1569" s="18"/>
      <c r="IZ1569" s="18"/>
      <c r="JA1569" s="18"/>
      <c r="JB1569" s="18"/>
      <c r="JC1569" s="18"/>
      <c r="JD1569" s="18"/>
      <c r="JE1569" s="18"/>
      <c r="JF1569" s="18"/>
      <c r="JG1569" s="18"/>
      <c r="JH1569" s="18"/>
      <c r="JI1569" s="18"/>
      <c r="JJ1569" s="18"/>
      <c r="JK1569" s="18"/>
      <c r="JL1569" s="18"/>
      <c r="JM1569" s="18"/>
      <c r="JN1569" s="18"/>
      <c r="JO1569" s="16"/>
      <c r="JP1569" s="16"/>
      <c r="JQ1569" s="16"/>
      <c r="JR1569" s="16"/>
      <c r="JS1569" s="16"/>
      <c r="JT1569" s="16"/>
      <c r="JU1569" s="16"/>
      <c r="JV1569" s="16"/>
      <c r="JW1569" s="16"/>
      <c r="JX1569" s="16"/>
      <c r="JY1569" s="16"/>
      <c r="JZ1569" s="16"/>
      <c r="KA1569" s="16"/>
      <c r="KB1569" s="16"/>
    </row>
    <row r="1570" spans="1:288" s="27" customFormat="1" x14ac:dyDescent="0.2">
      <c r="A1570" s="29"/>
      <c r="B1570" s="16">
        <v>2016</v>
      </c>
      <c r="C1570" s="20">
        <v>42525</v>
      </c>
      <c r="D1570" s="20" t="str">
        <f>CONCATENATE(J1570,"-",C1570)</f>
        <v>949-42525</v>
      </c>
      <c r="E1570" s="20" t="str">
        <f>CONCATENATE(T1570,"-",U1570,"-",C1570)</f>
        <v>SP1-G7-42525</v>
      </c>
      <c r="F1570" s="20" t="s">
        <v>106</v>
      </c>
      <c r="G1570" s="90" t="s">
        <v>278</v>
      </c>
      <c r="H1570" s="16" t="s">
        <v>169</v>
      </c>
      <c r="I1570" s="16"/>
      <c r="J1570" s="15">
        <v>949</v>
      </c>
      <c r="K1570" s="15"/>
      <c r="L1570" s="16"/>
      <c r="M1570" s="15"/>
      <c r="N1570" s="15"/>
      <c r="O1570" s="15"/>
      <c r="P1570" s="23"/>
      <c r="Q1570" s="23"/>
      <c r="R1570" s="23"/>
      <c r="S1570" s="23"/>
      <c r="T1570" s="23" t="s">
        <v>140</v>
      </c>
      <c r="U1570" s="23" t="s">
        <v>156</v>
      </c>
      <c r="V1570" s="28" t="s">
        <v>142</v>
      </c>
      <c r="W1570" s="28"/>
      <c r="X1570" s="23" t="s">
        <v>115</v>
      </c>
      <c r="Y1570" s="23" t="s">
        <v>110</v>
      </c>
      <c r="Z1570" s="23">
        <v>3</v>
      </c>
      <c r="AA1570" s="23"/>
      <c r="AB1570" s="23"/>
      <c r="AC1570" s="16"/>
      <c r="AD1570" s="16"/>
      <c r="AE1570" s="16" t="s">
        <v>123</v>
      </c>
      <c r="AF1570" s="16" t="s">
        <v>123</v>
      </c>
      <c r="AG1570" s="16"/>
      <c r="AH1570" s="16"/>
      <c r="AI1570" s="16"/>
      <c r="AJ1570" s="16"/>
      <c r="AK1570" s="16">
        <v>16</v>
      </c>
      <c r="AL1570" s="16">
        <v>0</v>
      </c>
      <c r="AM1570" s="16">
        <v>0</v>
      </c>
      <c r="AN1570" s="16">
        <v>0</v>
      </c>
      <c r="AO1570" s="16">
        <f>IF(SUM(AL1570:AN1570)&gt;0,1,0)</f>
        <v>0</v>
      </c>
      <c r="AP1570" s="16">
        <f>SUM(AL1570:AN1570)</f>
        <v>0</v>
      </c>
      <c r="AQ1570" s="16"/>
      <c r="AR1570" s="16"/>
      <c r="AS1570" s="16"/>
      <c r="AT1570" s="16"/>
      <c r="AU1570" s="16"/>
      <c r="AV1570" s="16"/>
      <c r="AW1570" s="16"/>
      <c r="AX1570" s="16"/>
      <c r="AY1570" s="16"/>
      <c r="AZ1570" s="16"/>
      <c r="BA1570" s="16"/>
      <c r="BB1570" s="16"/>
      <c r="BC1570" s="16"/>
      <c r="BD1570" s="16"/>
      <c r="BE1570" s="16"/>
      <c r="BF1570" s="16"/>
      <c r="BG1570" s="77"/>
      <c r="BH1570" s="16"/>
      <c r="BI1570" s="16"/>
      <c r="BJ1570" s="16"/>
      <c r="BK1570" s="16"/>
      <c r="BL1570" s="16"/>
      <c r="BM1570" s="16"/>
      <c r="BN1570" s="16"/>
      <c r="BO1570" s="16"/>
      <c r="BP1570" s="16"/>
      <c r="BQ1570" s="16"/>
      <c r="BR1570" s="16"/>
      <c r="BS1570" s="16"/>
      <c r="BT1570" s="77"/>
      <c r="BU1570" s="16"/>
      <c r="BV1570" s="16"/>
      <c r="BW1570" s="16"/>
      <c r="BX1570" s="16"/>
      <c r="BY1570" s="16"/>
      <c r="BZ1570" s="16"/>
      <c r="CA1570" s="16"/>
      <c r="CB1570" s="16"/>
      <c r="CC1570" s="16"/>
      <c r="CD1570" s="77"/>
      <c r="CE1570" s="16"/>
      <c r="CF1570" s="16"/>
      <c r="CG1570" s="16"/>
      <c r="CH1570" s="16"/>
      <c r="CI1570" s="16"/>
      <c r="CJ1570" s="16"/>
      <c r="CK1570" s="16"/>
      <c r="CL1570" s="16"/>
      <c r="CM1570" s="16"/>
      <c r="CN1570" s="16"/>
      <c r="CO1570" s="16"/>
      <c r="CP1570" s="16"/>
      <c r="CQ1570" s="16"/>
      <c r="CR1570" s="16"/>
      <c r="CS1570" s="16"/>
      <c r="CT1570" s="16"/>
      <c r="CU1570" s="16"/>
      <c r="CV1570" s="16"/>
      <c r="CW1570" s="16"/>
      <c r="CX1570" s="16"/>
      <c r="CY1570" s="16"/>
      <c r="CZ1570" s="16"/>
      <c r="DA1570" s="16"/>
      <c r="DB1570" s="16"/>
      <c r="DC1570" s="16"/>
      <c r="DD1570" s="16"/>
      <c r="DE1570" s="16"/>
      <c r="DF1570" s="16" t="e">
        <f>VLOOKUP(K1570,'[3]RNA Seq summary tables'!$V$3:$V$99,1,FALSE)</f>
        <v>#N/A</v>
      </c>
      <c r="DG1570" s="16"/>
      <c r="DH1570" s="16"/>
      <c r="DI1570" s="16"/>
      <c r="DJ1570" s="16"/>
      <c r="DK1570" s="16"/>
      <c r="DL1570" s="16"/>
      <c r="DM1570" s="16"/>
      <c r="DN1570" s="16"/>
      <c r="DO1570" s="16"/>
      <c r="DP1570" s="16"/>
      <c r="DQ1570" s="16"/>
      <c r="DR1570" s="16"/>
      <c r="DS1570" s="16"/>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18"/>
      <c r="EQ1570" s="18"/>
      <c r="ER1570" s="18"/>
      <c r="ES1570" s="18"/>
      <c r="ET1570" s="18"/>
      <c r="EU1570" s="18"/>
      <c r="EV1570" s="18"/>
      <c r="EW1570" s="18"/>
      <c r="EX1570" s="18"/>
      <c r="EY1570" s="18"/>
      <c r="EZ1570" s="18"/>
      <c r="FA1570" s="18"/>
      <c r="FB1570" s="18"/>
      <c r="FC1570" s="18"/>
      <c r="FD1570" s="18"/>
      <c r="FE1570" s="18"/>
      <c r="FF1570" s="18"/>
      <c r="FG1570" s="18"/>
      <c r="FH1570" s="18"/>
      <c r="FI1570" s="18"/>
      <c r="FJ1570" s="18"/>
      <c r="FK1570" s="18"/>
      <c r="FL1570" s="18"/>
      <c r="FM1570" s="18"/>
      <c r="FN1570" s="18"/>
      <c r="FO1570" s="18"/>
      <c r="FP1570" s="18"/>
      <c r="FQ1570" s="18"/>
      <c r="FR1570" s="18"/>
      <c r="FS1570" s="18"/>
      <c r="FT1570" s="18"/>
      <c r="FU1570" s="18"/>
      <c r="FV1570" s="18"/>
      <c r="FW1570" s="18"/>
      <c r="FX1570" s="18"/>
      <c r="FY1570" s="18"/>
      <c r="FZ1570" s="18"/>
      <c r="GA1570" s="18"/>
      <c r="GB1570" s="18"/>
      <c r="GC1570" s="18"/>
      <c r="GD1570" s="18"/>
      <c r="GE1570" s="18"/>
      <c r="GF1570" s="18"/>
      <c r="GG1570" s="18"/>
      <c r="GH1570" s="18"/>
      <c r="GI1570" s="18"/>
      <c r="GJ1570" s="18"/>
      <c r="GK1570" s="18"/>
      <c r="GL1570" s="18"/>
      <c r="GM1570" s="18"/>
      <c r="GN1570" s="18"/>
      <c r="GO1570" s="18"/>
      <c r="GP1570" s="18"/>
      <c r="GQ1570" s="18"/>
      <c r="GR1570" s="18"/>
      <c r="GS1570" s="18"/>
      <c r="GT1570" s="18"/>
      <c r="GU1570" s="18"/>
      <c r="GV1570" s="18"/>
      <c r="GW1570" s="18"/>
      <c r="GX1570" s="18"/>
      <c r="GY1570" s="18"/>
      <c r="GZ1570" s="18"/>
      <c r="HA1570" s="18"/>
      <c r="HB1570" s="18"/>
      <c r="HC1570" s="18"/>
      <c r="HD1570" s="18"/>
      <c r="HE1570" s="18"/>
      <c r="HF1570" s="18"/>
      <c r="HG1570" s="18"/>
      <c r="HH1570" s="18"/>
      <c r="HI1570" s="18"/>
      <c r="HJ1570" s="18"/>
      <c r="HK1570" s="18"/>
      <c r="HL1570" s="18"/>
      <c r="HM1570" s="18"/>
      <c r="HN1570" s="18"/>
      <c r="HO1570" s="18"/>
      <c r="HP1570" s="18"/>
      <c r="HQ1570" s="18"/>
      <c r="HR1570" s="18"/>
      <c r="HS1570" s="18"/>
      <c r="HT1570" s="18"/>
      <c r="HU1570" s="18"/>
      <c r="HV1570" s="18"/>
      <c r="HW1570" s="18"/>
      <c r="HX1570" s="18"/>
      <c r="HY1570" s="18"/>
      <c r="HZ1570" s="18"/>
      <c r="IA1570" s="18"/>
      <c r="IB1570" s="18"/>
      <c r="IC1570" s="18"/>
      <c r="ID1570" s="18"/>
      <c r="IE1570" s="18"/>
      <c r="IF1570" s="18"/>
      <c r="IG1570" s="18"/>
      <c r="IH1570" s="18"/>
      <c r="II1570" s="18"/>
      <c r="IJ1570" s="18"/>
      <c r="IK1570" s="18"/>
      <c r="IL1570" s="18"/>
      <c r="IM1570" s="18"/>
      <c r="IN1570" s="18"/>
      <c r="IO1570" s="18"/>
      <c r="IP1570" s="18"/>
      <c r="IQ1570" s="18"/>
      <c r="IR1570" s="18"/>
      <c r="IS1570" s="18"/>
      <c r="IT1570" s="18"/>
      <c r="IU1570" s="18"/>
      <c r="IV1570" s="18"/>
      <c r="IW1570" s="18"/>
      <c r="IX1570" s="18"/>
      <c r="IY1570" s="18"/>
      <c r="IZ1570" s="18"/>
      <c r="JA1570" s="18"/>
      <c r="JB1570" s="18"/>
      <c r="JC1570" s="18"/>
      <c r="JD1570" s="18"/>
      <c r="JE1570" s="18"/>
      <c r="JF1570" s="18"/>
      <c r="JG1570" s="18"/>
      <c r="JH1570" s="18"/>
      <c r="JI1570" s="18"/>
      <c r="JJ1570" s="18"/>
      <c r="JK1570" s="18"/>
      <c r="JL1570" s="18"/>
      <c r="JM1570" s="18"/>
      <c r="JN1570" s="18"/>
      <c r="JO1570" s="16"/>
      <c r="JP1570" s="16"/>
      <c r="JQ1570" s="16"/>
      <c r="JR1570" s="16"/>
      <c r="JS1570" s="16"/>
      <c r="JT1570" s="16"/>
      <c r="JU1570" s="16"/>
      <c r="JV1570" s="16"/>
      <c r="JW1570" s="16"/>
      <c r="JX1570" s="16"/>
      <c r="JY1570" s="16"/>
      <c r="JZ1570" s="16"/>
      <c r="KA1570" s="16"/>
      <c r="KB1570" s="16"/>
    </row>
    <row r="1571" spans="1:288" s="27" customFormat="1" x14ac:dyDescent="0.2">
      <c r="A1571" s="29"/>
      <c r="B1571" s="16">
        <v>2016</v>
      </c>
      <c r="C1571" s="20">
        <v>42552</v>
      </c>
      <c r="D1571" s="20" t="str">
        <f>CONCATENATE(J1571,"-",C1571)</f>
        <v>949-42552</v>
      </c>
      <c r="E1571" s="20" t="str">
        <f>CONCATENATE(T1571,"-",U1571,"-",C1571)</f>
        <v>SP1-B5-42552</v>
      </c>
      <c r="F1571" s="20" t="s">
        <v>106</v>
      </c>
      <c r="G1571" s="90" t="s">
        <v>278</v>
      </c>
      <c r="H1571" s="16" t="s">
        <v>169</v>
      </c>
      <c r="I1571" s="16"/>
      <c r="J1571" s="15">
        <v>949</v>
      </c>
      <c r="K1571" s="15"/>
      <c r="L1571" s="16"/>
      <c r="M1571" s="15"/>
      <c r="N1571" s="15"/>
      <c r="O1571" s="15"/>
      <c r="P1571" s="23"/>
      <c r="Q1571" s="23"/>
      <c r="R1571" s="23"/>
      <c r="S1571" s="23"/>
      <c r="T1571" s="23" t="s">
        <v>140</v>
      </c>
      <c r="U1571" s="23" t="s">
        <v>160</v>
      </c>
      <c r="V1571" s="28" t="s">
        <v>142</v>
      </c>
      <c r="W1571" s="28"/>
      <c r="X1571" s="23"/>
      <c r="Y1571" s="23"/>
      <c r="Z1571" s="23"/>
      <c r="AA1571" s="23"/>
      <c r="AB1571" s="23"/>
      <c r="AC1571" s="16"/>
      <c r="AD1571" s="16"/>
      <c r="AE1571" s="16"/>
      <c r="AF1571" s="16"/>
      <c r="AG1571" s="16"/>
      <c r="AH1571" s="16"/>
      <c r="AI1571" s="16"/>
      <c r="AJ1571" s="16"/>
      <c r="AK1571" s="16">
        <v>18</v>
      </c>
      <c r="AL1571" s="16">
        <v>0</v>
      </c>
      <c r="AM1571" s="16">
        <v>0</v>
      </c>
      <c r="AN1571" s="16">
        <v>0</v>
      </c>
      <c r="AO1571" s="16">
        <f>IF(SUM(AL1571:AN1571)&gt;0,1,0)</f>
        <v>0</v>
      </c>
      <c r="AP1571" s="16">
        <f>SUM(AL1571:AN1571)</f>
        <v>0</v>
      </c>
      <c r="AQ1571" s="16"/>
      <c r="AR1571" s="16"/>
      <c r="AS1571" s="16"/>
      <c r="AT1571" s="16"/>
      <c r="AU1571" s="16"/>
      <c r="AV1571" s="16"/>
      <c r="AW1571" s="16"/>
      <c r="AX1571" s="16"/>
      <c r="AY1571" s="16"/>
      <c r="AZ1571" s="16"/>
      <c r="BA1571" s="16"/>
      <c r="BB1571" s="16"/>
      <c r="BC1571" s="16"/>
      <c r="BD1571" s="16"/>
      <c r="BE1571" s="16"/>
      <c r="BF1571" s="16"/>
      <c r="BG1571" s="77"/>
      <c r="BH1571" s="16"/>
      <c r="BI1571" s="16"/>
      <c r="BJ1571" s="16"/>
      <c r="BK1571" s="16"/>
      <c r="BL1571" s="16"/>
      <c r="BM1571" s="16"/>
      <c r="BN1571" s="16"/>
      <c r="BO1571" s="16"/>
      <c r="BP1571" s="16"/>
      <c r="BQ1571" s="16"/>
      <c r="BR1571" s="16"/>
      <c r="BS1571" s="16"/>
      <c r="BT1571" s="77"/>
      <c r="BU1571" s="16"/>
      <c r="BV1571" s="16"/>
      <c r="BW1571" s="16"/>
      <c r="BX1571" s="16"/>
      <c r="BY1571" s="16"/>
      <c r="BZ1571" s="16"/>
      <c r="CA1571" s="16"/>
      <c r="CB1571" s="16"/>
      <c r="CC1571" s="16"/>
      <c r="CD1571" s="77"/>
      <c r="CE1571" s="16"/>
      <c r="CF1571" s="16"/>
      <c r="CG1571" s="16"/>
      <c r="CH1571" s="16"/>
      <c r="CI1571" s="16"/>
      <c r="CJ1571" s="16"/>
      <c r="CK1571" s="16"/>
      <c r="CL1571" s="16"/>
      <c r="CM1571" s="16"/>
      <c r="CN1571" s="16"/>
      <c r="CO1571" s="16"/>
      <c r="CP1571" s="16"/>
      <c r="CQ1571" s="16"/>
      <c r="CR1571" s="16"/>
      <c r="CS1571" s="16"/>
      <c r="CT1571" s="16"/>
      <c r="CU1571" s="16"/>
      <c r="CV1571" s="16"/>
      <c r="CW1571" s="16"/>
      <c r="CX1571" s="16"/>
      <c r="CY1571" s="16"/>
      <c r="CZ1571" s="16"/>
      <c r="DA1571" s="16"/>
      <c r="DB1571" s="16"/>
      <c r="DC1571" s="16"/>
      <c r="DD1571" s="16"/>
      <c r="DE1571" s="16"/>
      <c r="DF1571" s="16" t="e">
        <f>VLOOKUP(K1571,'[3]RNA Seq summary tables'!$V$3:$V$99,1,FALSE)</f>
        <v>#N/A</v>
      </c>
      <c r="DG1571" s="16"/>
      <c r="DH1571" s="16"/>
      <c r="DI1571" s="16"/>
      <c r="DJ1571" s="16"/>
      <c r="DK1571" s="16"/>
      <c r="DL1571" s="16"/>
      <c r="DM1571" s="16"/>
      <c r="DN1571" s="16"/>
      <c r="DO1571" s="16"/>
      <c r="DP1571" s="16"/>
      <c r="DQ1571" s="16"/>
      <c r="DR1571" s="16"/>
      <c r="DS1571" s="16"/>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18"/>
      <c r="EQ1571" s="18"/>
      <c r="ER1571" s="18"/>
      <c r="ES1571" s="18"/>
      <c r="ET1571" s="18"/>
      <c r="EU1571" s="18"/>
      <c r="EV1571" s="18"/>
      <c r="EW1571" s="18"/>
      <c r="EX1571" s="18"/>
      <c r="EY1571" s="18"/>
      <c r="EZ1571" s="18"/>
      <c r="FA1571" s="18"/>
      <c r="FB1571" s="18"/>
      <c r="FC1571" s="18"/>
      <c r="FD1571" s="18"/>
      <c r="FE1571" s="18"/>
      <c r="FF1571" s="18"/>
      <c r="FG1571" s="18"/>
      <c r="FH1571" s="18"/>
      <c r="FI1571" s="18"/>
      <c r="FJ1571" s="18"/>
      <c r="FK1571" s="18"/>
      <c r="FL1571" s="18"/>
      <c r="FM1571" s="18"/>
      <c r="FN1571" s="18"/>
      <c r="FO1571" s="18"/>
      <c r="FP1571" s="18"/>
      <c r="FQ1571" s="18"/>
      <c r="FR1571" s="18"/>
      <c r="FS1571" s="18"/>
      <c r="FT1571" s="18"/>
      <c r="FU1571" s="18"/>
      <c r="FV1571" s="18"/>
      <c r="FW1571" s="18"/>
      <c r="FX1571" s="18"/>
      <c r="FY1571" s="18"/>
      <c r="FZ1571" s="18"/>
      <c r="GA1571" s="18"/>
      <c r="GB1571" s="18"/>
      <c r="GC1571" s="18"/>
      <c r="GD1571" s="18"/>
      <c r="GE1571" s="18"/>
      <c r="GF1571" s="18"/>
      <c r="GG1571" s="18"/>
      <c r="GH1571" s="18"/>
      <c r="GI1571" s="18"/>
      <c r="GJ1571" s="18"/>
      <c r="GK1571" s="18"/>
      <c r="GL1571" s="18"/>
      <c r="GM1571" s="18"/>
      <c r="GN1571" s="18"/>
      <c r="GO1571" s="18"/>
      <c r="GP1571" s="18"/>
      <c r="GQ1571" s="18"/>
      <c r="GR1571" s="18"/>
      <c r="GS1571" s="18"/>
      <c r="GT1571" s="18"/>
      <c r="GU1571" s="18"/>
      <c r="GV1571" s="18"/>
      <c r="GW1571" s="18"/>
      <c r="GX1571" s="18"/>
      <c r="GY1571" s="18"/>
      <c r="GZ1571" s="18"/>
      <c r="HA1571" s="18"/>
      <c r="HB1571" s="18"/>
      <c r="HC1571" s="18"/>
      <c r="HD1571" s="18"/>
      <c r="HE1571" s="18"/>
      <c r="HF1571" s="18"/>
      <c r="HG1571" s="18"/>
      <c r="HH1571" s="18"/>
      <c r="HI1571" s="18"/>
      <c r="HJ1571" s="18"/>
      <c r="HK1571" s="18"/>
      <c r="HL1571" s="18"/>
      <c r="HM1571" s="18"/>
      <c r="HN1571" s="18"/>
      <c r="HO1571" s="18"/>
      <c r="HP1571" s="18"/>
      <c r="HQ1571" s="18"/>
      <c r="HR1571" s="18"/>
      <c r="HS1571" s="18"/>
      <c r="HT1571" s="18"/>
      <c r="HU1571" s="18"/>
      <c r="HV1571" s="18"/>
      <c r="HW1571" s="18"/>
      <c r="HX1571" s="18"/>
      <c r="HY1571" s="18"/>
      <c r="HZ1571" s="18"/>
      <c r="IA1571" s="18"/>
      <c r="IB1571" s="18"/>
      <c r="IC1571" s="18"/>
      <c r="ID1571" s="18"/>
      <c r="IE1571" s="18"/>
      <c r="IF1571" s="18"/>
      <c r="IG1571" s="18"/>
      <c r="IH1571" s="18"/>
      <c r="II1571" s="18"/>
      <c r="IJ1571" s="18"/>
      <c r="IK1571" s="18"/>
      <c r="IL1571" s="18"/>
      <c r="IM1571" s="18"/>
      <c r="IN1571" s="18"/>
      <c r="IO1571" s="18"/>
      <c r="IP1571" s="18"/>
      <c r="IQ1571" s="18"/>
      <c r="IR1571" s="18"/>
      <c r="IS1571" s="18"/>
      <c r="IT1571" s="18"/>
      <c r="IU1571" s="18"/>
      <c r="IV1571" s="18"/>
      <c r="IW1571" s="18"/>
      <c r="IX1571" s="18"/>
      <c r="IY1571" s="18"/>
      <c r="IZ1571" s="18"/>
      <c r="JA1571" s="18"/>
      <c r="JB1571" s="18"/>
      <c r="JC1571" s="18"/>
      <c r="JD1571" s="18"/>
      <c r="JE1571" s="18"/>
      <c r="JF1571" s="18"/>
      <c r="JG1571" s="18"/>
      <c r="JH1571" s="18"/>
      <c r="JI1571" s="18"/>
      <c r="JJ1571" s="18"/>
      <c r="JK1571" s="18"/>
      <c r="JL1571" s="18"/>
      <c r="JM1571" s="18"/>
      <c r="JN1571" s="18"/>
      <c r="JO1571" s="16"/>
      <c r="JP1571" s="16"/>
      <c r="JQ1571" s="16"/>
      <c r="JR1571" s="16"/>
      <c r="JS1571" s="16"/>
      <c r="JT1571" s="16"/>
      <c r="JU1571" s="16"/>
      <c r="JV1571" s="16"/>
      <c r="JW1571" s="16"/>
      <c r="JX1571" s="16"/>
      <c r="JY1571" s="16"/>
      <c r="JZ1571" s="16"/>
      <c r="KA1571" s="16"/>
      <c r="KB1571" s="16"/>
    </row>
    <row r="1572" spans="1:288" s="27" customFormat="1" x14ac:dyDescent="0.2">
      <c r="A1572" s="18"/>
      <c r="B1572" s="16">
        <v>2016</v>
      </c>
      <c r="C1572" s="20">
        <v>42531</v>
      </c>
      <c r="D1572" s="20" t="str">
        <f>CONCATENATE(J1572,"-",C1572)</f>
        <v>952-42531</v>
      </c>
      <c r="E1572" s="20" t="str">
        <f>CONCATENATE(T1572,"-",U1572,"-",C1572)</f>
        <v>PO1-H2-42531</v>
      </c>
      <c r="F1572" s="20" t="s">
        <v>106</v>
      </c>
      <c r="G1572" s="90" t="s">
        <v>278</v>
      </c>
      <c r="H1572" s="16"/>
      <c r="I1572" s="16"/>
      <c r="J1572" s="15">
        <v>952</v>
      </c>
      <c r="K1572" s="15"/>
      <c r="L1572" s="16"/>
      <c r="M1572" s="15"/>
      <c r="N1572" s="15"/>
      <c r="O1572" s="15"/>
      <c r="P1572" s="23"/>
      <c r="Q1572" s="23"/>
      <c r="R1572" s="23"/>
      <c r="S1572" s="23"/>
      <c r="T1572" s="23" t="s">
        <v>112</v>
      </c>
      <c r="U1572" s="23" t="s">
        <v>190</v>
      </c>
      <c r="V1572" s="23" t="s">
        <v>114</v>
      </c>
      <c r="W1572" s="23"/>
      <c r="X1572" s="23" t="s">
        <v>115</v>
      </c>
      <c r="Y1572" s="23" t="s">
        <v>122</v>
      </c>
      <c r="Z1572" s="23">
        <v>2.6</v>
      </c>
      <c r="AA1572" s="23"/>
      <c r="AB1572" s="23"/>
      <c r="AC1572" s="16"/>
      <c r="AD1572" s="16"/>
      <c r="AE1572" s="16" t="s">
        <v>123</v>
      </c>
      <c r="AF1572" s="16" t="s">
        <v>123</v>
      </c>
      <c r="AG1572" s="16"/>
      <c r="AH1572" s="16"/>
      <c r="AI1572" s="16"/>
      <c r="AJ1572" s="16"/>
      <c r="AK1572" s="16">
        <v>16</v>
      </c>
      <c r="AL1572" s="16">
        <v>0</v>
      </c>
      <c r="AM1572" s="16">
        <v>0</v>
      </c>
      <c r="AN1572" s="16">
        <v>0</v>
      </c>
      <c r="AO1572" s="16">
        <f>IF(SUM(AL1572:AN1572)&gt;0,1,0)</f>
        <v>0</v>
      </c>
      <c r="AP1572" s="16">
        <f>SUM(AL1572:AN1572)</f>
        <v>0</v>
      </c>
      <c r="AQ1572" s="16"/>
      <c r="AR1572" s="16"/>
      <c r="AS1572" s="16"/>
      <c r="AT1572" s="16"/>
      <c r="AU1572" s="16"/>
      <c r="AV1572" s="16"/>
      <c r="AW1572" s="16"/>
      <c r="AX1572" s="16"/>
      <c r="AY1572" s="16"/>
      <c r="AZ1572" s="16"/>
      <c r="BA1572" s="16"/>
      <c r="BB1572" s="16"/>
      <c r="BC1572" s="16"/>
      <c r="BD1572" s="16"/>
      <c r="BE1572" s="16"/>
      <c r="BF1572" s="16"/>
      <c r="BG1572" s="77"/>
      <c r="BH1572" s="16"/>
      <c r="BI1572" s="16"/>
      <c r="BJ1572" s="16"/>
      <c r="BK1572" s="16"/>
      <c r="BL1572" s="16"/>
      <c r="BM1572" s="16"/>
      <c r="BN1572" s="16"/>
      <c r="BO1572" s="16"/>
      <c r="BP1572" s="16"/>
      <c r="BQ1572" s="16"/>
      <c r="BR1572" s="16"/>
      <c r="BS1572" s="16"/>
      <c r="BT1572" s="77"/>
      <c r="BU1572" s="16"/>
      <c r="BV1572" s="16"/>
      <c r="BW1572" s="16"/>
      <c r="BX1572" s="16"/>
      <c r="BY1572" s="16"/>
      <c r="BZ1572" s="16"/>
      <c r="CA1572" s="16"/>
      <c r="CB1572" s="16"/>
      <c r="CC1572" s="16"/>
      <c r="CD1572" s="77"/>
      <c r="CE1572" s="16"/>
      <c r="CF1572" s="16"/>
      <c r="CG1572" s="16"/>
      <c r="CH1572" s="16"/>
      <c r="CI1572" s="16"/>
      <c r="CJ1572" s="16"/>
      <c r="CK1572" s="16"/>
      <c r="CL1572" s="16"/>
      <c r="CM1572" s="16"/>
      <c r="CN1572" s="16"/>
      <c r="CO1572" s="16"/>
      <c r="CP1572" s="16"/>
      <c r="CQ1572" s="16"/>
      <c r="CR1572" s="16"/>
      <c r="CS1572" s="16"/>
      <c r="CT1572" s="16"/>
      <c r="CU1572" s="16"/>
      <c r="CV1572" s="16"/>
      <c r="CW1572" s="16"/>
      <c r="CX1572" s="16"/>
      <c r="CY1572" s="16"/>
      <c r="CZ1572" s="16"/>
      <c r="DA1572" s="16"/>
      <c r="DB1572" s="16"/>
      <c r="DC1572" s="16"/>
      <c r="DD1572" s="16"/>
      <c r="DE1572" s="16"/>
      <c r="DF1572" s="16" t="e">
        <f>VLOOKUP(K1572,'[3]RNA Seq summary tables'!$V$3:$V$99,1,FALSE)</f>
        <v>#N/A</v>
      </c>
      <c r="DG1572" s="16"/>
      <c r="DH1572" s="16"/>
      <c r="DI1572" s="16"/>
      <c r="DJ1572" s="16"/>
      <c r="DK1572" s="16"/>
      <c r="DL1572" s="16"/>
      <c r="DM1572" s="16"/>
      <c r="DN1572" s="16"/>
      <c r="DO1572" s="16"/>
      <c r="DP1572" s="16"/>
      <c r="DQ1572" s="16"/>
      <c r="DR1572" s="16"/>
      <c r="DS1572" s="16"/>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18"/>
      <c r="EQ1572" s="18"/>
      <c r="ER1572" s="18"/>
      <c r="ES1572" s="18"/>
      <c r="ET1572" s="18"/>
      <c r="EU1572" s="18"/>
      <c r="EV1572" s="18"/>
      <c r="EW1572" s="18"/>
      <c r="EX1572" s="18"/>
      <c r="EY1572" s="18"/>
      <c r="EZ1572" s="18"/>
      <c r="FA1572" s="18"/>
      <c r="FB1572" s="18"/>
      <c r="FC1572" s="18"/>
      <c r="FD1572" s="18"/>
      <c r="FE1572" s="18"/>
      <c r="FF1572" s="18"/>
      <c r="FG1572" s="18"/>
      <c r="FH1572" s="18"/>
      <c r="FI1572" s="18"/>
      <c r="FJ1572" s="18"/>
      <c r="FK1572" s="18"/>
      <c r="FL1572" s="18"/>
      <c r="FM1572" s="18"/>
      <c r="FN1572" s="18"/>
      <c r="FO1572" s="18"/>
      <c r="FP1572" s="18"/>
      <c r="FQ1572" s="18"/>
      <c r="FR1572" s="18"/>
      <c r="FS1572" s="18"/>
      <c r="FT1572" s="18"/>
      <c r="FU1572" s="18"/>
      <c r="FV1572" s="18"/>
      <c r="FW1572" s="18"/>
      <c r="FX1572" s="18"/>
      <c r="FY1572" s="18"/>
      <c r="FZ1572" s="18"/>
      <c r="GA1572" s="18"/>
      <c r="GB1572" s="18"/>
      <c r="GC1572" s="18"/>
      <c r="GD1572" s="18"/>
      <c r="GE1572" s="18"/>
      <c r="GF1572" s="18"/>
      <c r="GG1572" s="18"/>
      <c r="GH1572" s="18"/>
      <c r="GI1572" s="18"/>
      <c r="GJ1572" s="18"/>
      <c r="GK1572" s="18"/>
      <c r="GL1572" s="18"/>
      <c r="GM1572" s="18"/>
      <c r="GN1572" s="18"/>
      <c r="GO1572" s="18"/>
      <c r="GP1572" s="18"/>
      <c r="GQ1572" s="18"/>
      <c r="GR1572" s="18"/>
      <c r="GS1572" s="18"/>
      <c r="GT1572" s="18"/>
      <c r="GU1572" s="18"/>
      <c r="GV1572" s="18"/>
      <c r="GW1572" s="18"/>
      <c r="GX1572" s="18"/>
      <c r="GY1572" s="18"/>
      <c r="GZ1572" s="18"/>
      <c r="HA1572" s="18"/>
      <c r="HB1572" s="18"/>
      <c r="HC1572" s="18"/>
      <c r="HD1572" s="18"/>
      <c r="HE1572" s="18"/>
      <c r="HF1572" s="18"/>
      <c r="HG1572" s="18"/>
      <c r="HH1572" s="18"/>
      <c r="HI1572" s="18"/>
      <c r="HJ1572" s="18"/>
      <c r="HK1572" s="18"/>
      <c r="HL1572" s="18"/>
      <c r="HM1572" s="18"/>
      <c r="HN1572" s="18"/>
      <c r="HO1572" s="18"/>
      <c r="HP1572" s="18"/>
      <c r="HQ1572" s="18"/>
      <c r="HR1572" s="18"/>
      <c r="HS1572" s="18"/>
      <c r="HT1572" s="18"/>
      <c r="HU1572" s="18"/>
      <c r="HV1572" s="18"/>
      <c r="HW1572" s="18"/>
      <c r="HX1572" s="18"/>
      <c r="HY1572" s="18"/>
      <c r="HZ1572" s="18"/>
      <c r="IA1572" s="18"/>
      <c r="IB1572" s="18"/>
      <c r="IC1572" s="18"/>
      <c r="ID1572" s="18"/>
      <c r="IE1572" s="18"/>
      <c r="IF1572" s="18"/>
      <c r="IG1572" s="18"/>
      <c r="IH1572" s="18"/>
      <c r="II1572" s="18"/>
      <c r="IJ1572" s="18"/>
      <c r="IK1572" s="18"/>
      <c r="IL1572" s="18"/>
      <c r="IM1572" s="18"/>
      <c r="IN1572" s="18"/>
      <c r="IO1572" s="18"/>
      <c r="IP1572" s="18"/>
      <c r="IQ1572" s="18"/>
      <c r="IR1572" s="18"/>
      <c r="IS1572" s="18"/>
      <c r="IT1572" s="18"/>
      <c r="IU1572" s="18"/>
      <c r="IV1572" s="18"/>
      <c r="IW1572" s="18"/>
      <c r="IX1572" s="18"/>
      <c r="IY1572" s="18"/>
      <c r="IZ1572" s="18"/>
      <c r="JA1572" s="18"/>
      <c r="JB1572" s="18"/>
      <c r="JC1572" s="18"/>
      <c r="JD1572" s="18"/>
      <c r="JE1572" s="18"/>
      <c r="JF1572" s="18"/>
      <c r="JG1572" s="18"/>
      <c r="JH1572" s="18"/>
      <c r="JI1572" s="18"/>
      <c r="JJ1572" s="18"/>
      <c r="JK1572" s="18"/>
      <c r="JL1572" s="18"/>
      <c r="JM1572" s="18"/>
      <c r="JN1572" s="18"/>
      <c r="JO1572" s="16"/>
      <c r="JP1572" s="16"/>
      <c r="JQ1572" s="16"/>
      <c r="JR1572" s="16"/>
      <c r="JS1572" s="16"/>
      <c r="JT1572" s="16"/>
      <c r="JU1572" s="16"/>
      <c r="JV1572" s="16"/>
      <c r="JW1572" s="16"/>
      <c r="JX1572" s="16"/>
      <c r="JY1572" s="16"/>
      <c r="JZ1572" s="16"/>
      <c r="KA1572" s="16"/>
      <c r="KB1572" s="16"/>
    </row>
    <row r="1573" spans="1:288" s="27" customFormat="1" x14ac:dyDescent="0.2">
      <c r="A1573" s="18"/>
      <c r="B1573" s="16">
        <v>2016</v>
      </c>
      <c r="C1573" s="20">
        <v>42532</v>
      </c>
      <c r="D1573" s="20" t="str">
        <f>CONCATENATE(J1573,"-",C1573)</f>
        <v>952-42532</v>
      </c>
      <c r="E1573" s="20" t="str">
        <f>CONCATENATE(T1573,"-",U1573,"-",C1573)</f>
        <v>PO1-H8-42532</v>
      </c>
      <c r="F1573" s="20" t="s">
        <v>106</v>
      </c>
      <c r="G1573" s="90" t="s">
        <v>278</v>
      </c>
      <c r="H1573" s="16"/>
      <c r="I1573" s="16"/>
      <c r="J1573" s="15">
        <v>952</v>
      </c>
      <c r="K1573" s="15"/>
      <c r="L1573" s="16"/>
      <c r="M1573" s="15"/>
      <c r="N1573" s="15"/>
      <c r="O1573" s="15"/>
      <c r="P1573" s="23"/>
      <c r="Q1573" s="23"/>
      <c r="R1573" s="23"/>
      <c r="S1573" s="23"/>
      <c r="T1573" s="23" t="s">
        <v>112</v>
      </c>
      <c r="U1573" s="23" t="s">
        <v>152</v>
      </c>
      <c r="V1573" s="23" t="s">
        <v>114</v>
      </c>
      <c r="W1573" s="23"/>
      <c r="X1573" s="23" t="s">
        <v>115</v>
      </c>
      <c r="Y1573" s="23" t="s">
        <v>110</v>
      </c>
      <c r="Z1573" s="23">
        <v>3</v>
      </c>
      <c r="AA1573" s="23"/>
      <c r="AB1573" s="23"/>
      <c r="AC1573" s="16"/>
      <c r="AD1573" s="16"/>
      <c r="AE1573" s="16" t="s">
        <v>123</v>
      </c>
      <c r="AF1573" s="16" t="s">
        <v>123</v>
      </c>
      <c r="AG1573" s="16"/>
      <c r="AH1573" s="16"/>
      <c r="AI1573" s="16"/>
      <c r="AJ1573" s="16"/>
      <c r="AK1573" s="16">
        <v>15</v>
      </c>
      <c r="AL1573" s="16">
        <v>0</v>
      </c>
      <c r="AM1573" s="16">
        <v>0</v>
      </c>
      <c r="AN1573" s="16">
        <v>0</v>
      </c>
      <c r="AO1573" s="16">
        <f>IF(SUM(AL1573:AN1573)&gt;0,1,0)</f>
        <v>0</v>
      </c>
      <c r="AP1573" s="16">
        <f>SUM(AL1573:AN1573)</f>
        <v>0</v>
      </c>
      <c r="AQ1573" s="16"/>
      <c r="AR1573" s="16"/>
      <c r="AS1573" s="16"/>
      <c r="AT1573" s="16"/>
      <c r="AU1573" s="16"/>
      <c r="AV1573" s="16"/>
      <c r="AW1573" s="16"/>
      <c r="AX1573" s="16"/>
      <c r="AY1573" s="16"/>
      <c r="AZ1573" s="16"/>
      <c r="BA1573" s="16"/>
      <c r="BB1573" s="16"/>
      <c r="BC1573" s="16"/>
      <c r="BD1573" s="16"/>
      <c r="BE1573" s="16"/>
      <c r="BF1573" s="16"/>
      <c r="BG1573" s="77"/>
      <c r="BH1573" s="16"/>
      <c r="BI1573" s="16"/>
      <c r="BJ1573" s="16"/>
      <c r="BK1573" s="16"/>
      <c r="BL1573" s="16"/>
      <c r="BM1573" s="16"/>
      <c r="BN1573" s="16"/>
      <c r="BO1573" s="16"/>
      <c r="BP1573" s="16"/>
      <c r="BQ1573" s="16"/>
      <c r="BR1573" s="16"/>
      <c r="BS1573" s="16"/>
      <c r="BT1573" s="77"/>
      <c r="BU1573" s="16"/>
      <c r="BV1573" s="16"/>
      <c r="BW1573" s="16"/>
      <c r="BX1573" s="16"/>
      <c r="BY1573" s="16"/>
      <c r="BZ1573" s="16"/>
      <c r="CA1573" s="16"/>
      <c r="CB1573" s="16"/>
      <c r="CC1573" s="16"/>
      <c r="CD1573" s="77"/>
      <c r="CE1573" s="16"/>
      <c r="CF1573" s="16"/>
      <c r="CG1573" s="16"/>
      <c r="CH1573" s="16"/>
      <c r="CI1573" s="16"/>
      <c r="CJ1573" s="16"/>
      <c r="CK1573" s="16"/>
      <c r="CL1573" s="16"/>
      <c r="CM1573" s="16"/>
      <c r="CN1573" s="16"/>
      <c r="CO1573" s="16"/>
      <c r="CP1573" s="16"/>
      <c r="CQ1573" s="16"/>
      <c r="CR1573" s="16"/>
      <c r="CS1573" s="16"/>
      <c r="CT1573" s="16"/>
      <c r="CU1573" s="16"/>
      <c r="CV1573" s="16"/>
      <c r="CW1573" s="16"/>
      <c r="CX1573" s="16"/>
      <c r="CY1573" s="16"/>
      <c r="CZ1573" s="16"/>
      <c r="DA1573" s="16"/>
      <c r="DB1573" s="16"/>
      <c r="DC1573" s="16"/>
      <c r="DD1573" s="16"/>
      <c r="DE1573" s="16"/>
      <c r="DF1573" s="16" t="e">
        <f>VLOOKUP(K1573,'[3]RNA Seq summary tables'!$V$3:$V$99,1,FALSE)</f>
        <v>#N/A</v>
      </c>
      <c r="DG1573" s="16"/>
      <c r="DH1573" s="16"/>
      <c r="DI1573" s="16"/>
      <c r="DJ1573" s="16"/>
      <c r="DK1573" s="16"/>
      <c r="DL1573" s="16"/>
      <c r="DM1573" s="16"/>
      <c r="DN1573" s="16"/>
      <c r="DO1573" s="16"/>
      <c r="DP1573" s="16"/>
      <c r="DQ1573" s="16"/>
      <c r="DR1573" s="16"/>
      <c r="DS1573" s="16"/>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18"/>
      <c r="EQ1573" s="18"/>
      <c r="ER1573" s="18"/>
      <c r="ES1573" s="18"/>
      <c r="ET1573" s="18"/>
      <c r="EU1573" s="18"/>
      <c r="EV1573" s="18"/>
      <c r="EW1573" s="18"/>
      <c r="EX1573" s="18"/>
      <c r="EY1573" s="18"/>
      <c r="EZ1573" s="18"/>
      <c r="FA1573" s="18"/>
      <c r="FB1573" s="18"/>
      <c r="FC1573" s="18"/>
      <c r="FD1573" s="18"/>
      <c r="FE1573" s="18"/>
      <c r="FF1573" s="18"/>
      <c r="FG1573" s="18"/>
      <c r="FH1573" s="18"/>
      <c r="FI1573" s="18"/>
      <c r="FJ1573" s="18"/>
      <c r="FK1573" s="18"/>
      <c r="FL1573" s="18"/>
      <c r="FM1573" s="18"/>
      <c r="FN1573" s="18"/>
      <c r="FO1573" s="18"/>
      <c r="FP1573" s="18"/>
      <c r="FQ1573" s="18"/>
      <c r="FR1573" s="18"/>
      <c r="FS1573" s="18"/>
      <c r="FT1573" s="18"/>
      <c r="FU1573" s="18"/>
      <c r="FV1573" s="18"/>
      <c r="FW1573" s="18"/>
      <c r="FX1573" s="18"/>
      <c r="FY1573" s="18"/>
      <c r="FZ1573" s="18"/>
      <c r="GA1573" s="18"/>
      <c r="GB1573" s="18"/>
      <c r="GC1573" s="18"/>
      <c r="GD1573" s="18"/>
      <c r="GE1573" s="18"/>
      <c r="GF1573" s="18"/>
      <c r="GG1573" s="18"/>
      <c r="GH1573" s="18"/>
      <c r="GI1573" s="18"/>
      <c r="GJ1573" s="18"/>
      <c r="GK1573" s="18"/>
      <c r="GL1573" s="18"/>
      <c r="GM1573" s="18"/>
      <c r="GN1573" s="18"/>
      <c r="GO1573" s="18"/>
      <c r="GP1573" s="18"/>
      <c r="GQ1573" s="18"/>
      <c r="GR1573" s="18"/>
      <c r="GS1573" s="18"/>
      <c r="GT1573" s="18"/>
      <c r="GU1573" s="18"/>
      <c r="GV1573" s="18"/>
      <c r="GW1573" s="18"/>
      <c r="GX1573" s="18"/>
      <c r="GY1573" s="18"/>
      <c r="GZ1573" s="18"/>
      <c r="HA1573" s="18"/>
      <c r="HB1573" s="18"/>
      <c r="HC1573" s="18"/>
      <c r="HD1573" s="18"/>
      <c r="HE1573" s="18"/>
      <c r="HF1573" s="18"/>
      <c r="HG1573" s="18"/>
      <c r="HH1573" s="18"/>
      <c r="HI1573" s="18"/>
      <c r="HJ1573" s="18"/>
      <c r="HK1573" s="18"/>
      <c r="HL1573" s="18"/>
      <c r="HM1573" s="18"/>
      <c r="HN1573" s="18"/>
      <c r="HO1573" s="18"/>
      <c r="HP1573" s="18"/>
      <c r="HQ1573" s="18"/>
      <c r="HR1573" s="18"/>
      <c r="HS1573" s="18"/>
      <c r="HT1573" s="18"/>
      <c r="HU1573" s="18"/>
      <c r="HV1573" s="18"/>
      <c r="HW1573" s="18"/>
      <c r="HX1573" s="18"/>
      <c r="HY1573" s="18"/>
      <c r="HZ1573" s="18"/>
      <c r="IA1573" s="18"/>
      <c r="IB1573" s="18"/>
      <c r="IC1573" s="18"/>
      <c r="ID1573" s="18"/>
      <c r="IE1573" s="18"/>
      <c r="IF1573" s="18"/>
      <c r="IG1573" s="18"/>
      <c r="IH1573" s="18"/>
      <c r="II1573" s="18"/>
      <c r="IJ1573" s="18"/>
      <c r="IK1573" s="18"/>
      <c r="IL1573" s="18"/>
      <c r="IM1573" s="18"/>
      <c r="IN1573" s="18"/>
      <c r="IO1573" s="18"/>
      <c r="IP1573" s="18"/>
      <c r="IQ1573" s="18"/>
      <c r="IR1573" s="18"/>
      <c r="IS1573" s="18"/>
      <c r="IT1573" s="18"/>
      <c r="IU1573" s="18"/>
      <c r="IV1573" s="18"/>
      <c r="IW1573" s="18"/>
      <c r="IX1573" s="18"/>
      <c r="IY1573" s="18"/>
      <c r="IZ1573" s="18"/>
      <c r="JA1573" s="18"/>
      <c r="JB1573" s="18"/>
      <c r="JC1573" s="18"/>
      <c r="JD1573" s="18"/>
      <c r="JE1573" s="18"/>
      <c r="JF1573" s="18"/>
      <c r="JG1573" s="18"/>
      <c r="JH1573" s="18"/>
      <c r="JI1573" s="18"/>
      <c r="JJ1573" s="18"/>
      <c r="JK1573" s="18"/>
      <c r="JL1573" s="18"/>
      <c r="JM1573" s="18"/>
      <c r="JN1573" s="18"/>
      <c r="JO1573" s="16"/>
      <c r="JP1573" s="16"/>
      <c r="JQ1573" s="16"/>
      <c r="JR1573" s="16"/>
      <c r="JS1573" s="16"/>
      <c r="JT1573" s="16"/>
      <c r="JU1573" s="16"/>
      <c r="JV1573" s="16"/>
      <c r="JW1573" s="16"/>
      <c r="JX1573" s="16"/>
      <c r="JY1573" s="16"/>
      <c r="JZ1573" s="16"/>
      <c r="KA1573" s="16"/>
      <c r="KB1573" s="16"/>
    </row>
    <row r="1574" spans="1:288" s="27" customFormat="1" x14ac:dyDescent="0.2">
      <c r="A1574" s="18"/>
      <c r="B1574" s="16">
        <v>2016</v>
      </c>
      <c r="C1574" s="20">
        <v>42546</v>
      </c>
      <c r="D1574" s="20" t="str">
        <f>CONCATENATE(J1574,"-",C1574)</f>
        <v>952-42546</v>
      </c>
      <c r="E1574" s="20" t="str">
        <f>CONCATENATE(T1574,"-",U1574,"-",C1574)</f>
        <v>PO1-F5-42546</v>
      </c>
      <c r="F1574" s="20" t="s">
        <v>106</v>
      </c>
      <c r="G1574" s="90" t="s">
        <v>278</v>
      </c>
      <c r="H1574" s="16"/>
      <c r="I1574" s="16"/>
      <c r="J1574" s="15">
        <v>952</v>
      </c>
      <c r="K1574" s="15"/>
      <c r="L1574" s="16"/>
      <c r="M1574" s="15"/>
      <c r="N1574" s="15"/>
      <c r="O1574" s="15"/>
      <c r="P1574" s="23"/>
      <c r="Q1574" s="23"/>
      <c r="R1574" s="23"/>
      <c r="S1574" s="23"/>
      <c r="T1574" s="23" t="s">
        <v>112</v>
      </c>
      <c r="U1574" s="23" t="s">
        <v>185</v>
      </c>
      <c r="V1574" s="23"/>
      <c r="W1574" s="23"/>
      <c r="X1574" s="23" t="s">
        <v>115</v>
      </c>
      <c r="Y1574" s="23" t="s">
        <v>122</v>
      </c>
      <c r="Z1574" s="23">
        <v>2.9</v>
      </c>
      <c r="AA1574" s="23"/>
      <c r="AB1574" s="23"/>
      <c r="AC1574" s="16"/>
      <c r="AD1574" s="16"/>
      <c r="AE1574" s="16"/>
      <c r="AF1574" s="16"/>
      <c r="AG1574" s="16"/>
      <c r="AH1574" s="16"/>
      <c r="AI1574" s="16"/>
      <c r="AJ1574" s="16"/>
      <c r="AK1574" s="16">
        <v>18.5</v>
      </c>
      <c r="AL1574" s="16"/>
      <c r="AM1574" s="16"/>
      <c r="AN1574" s="16"/>
      <c r="AO1574" s="16"/>
      <c r="AP1574" s="16"/>
      <c r="AQ1574" s="16"/>
      <c r="AR1574" s="16"/>
      <c r="AS1574" s="16"/>
      <c r="AT1574" s="16"/>
      <c r="AU1574" s="16"/>
      <c r="AV1574" s="16"/>
      <c r="AW1574" s="16"/>
      <c r="AX1574" s="16"/>
      <c r="AY1574" s="16"/>
      <c r="AZ1574" s="16"/>
      <c r="BA1574" s="16"/>
      <c r="BB1574" s="16"/>
      <c r="BC1574" s="16"/>
      <c r="BD1574" s="16"/>
      <c r="BE1574" s="16"/>
      <c r="BF1574" s="16"/>
      <c r="BG1574" s="77"/>
      <c r="BH1574" s="16"/>
      <c r="BI1574" s="16"/>
      <c r="BJ1574" s="16"/>
      <c r="BK1574" s="16"/>
      <c r="BL1574" s="16"/>
      <c r="BM1574" s="16"/>
      <c r="BN1574" s="16"/>
      <c r="BO1574" s="16"/>
      <c r="BP1574" s="16"/>
      <c r="BQ1574" s="16"/>
      <c r="BR1574" s="16"/>
      <c r="BS1574" s="16"/>
      <c r="BT1574" s="77"/>
      <c r="BU1574" s="16"/>
      <c r="BV1574" s="16"/>
      <c r="BW1574" s="16"/>
      <c r="BX1574" s="16"/>
      <c r="BY1574" s="16"/>
      <c r="BZ1574" s="16"/>
      <c r="CA1574" s="16"/>
      <c r="CB1574" s="16"/>
      <c r="CC1574" s="16"/>
      <c r="CD1574" s="77"/>
      <c r="CE1574" s="16"/>
      <c r="CF1574" s="16"/>
      <c r="CG1574" s="16"/>
      <c r="CH1574" s="16"/>
      <c r="CI1574" s="16"/>
      <c r="CJ1574" s="16"/>
      <c r="CK1574" s="16"/>
      <c r="CL1574" s="16"/>
      <c r="CM1574" s="16"/>
      <c r="CN1574" s="16"/>
      <c r="CO1574" s="16"/>
      <c r="CP1574" s="16"/>
      <c r="CQ1574" s="16"/>
      <c r="CR1574" s="16"/>
      <c r="CS1574" s="16"/>
      <c r="CT1574" s="16"/>
      <c r="CU1574" s="16"/>
      <c r="CV1574" s="16"/>
      <c r="CW1574" s="16"/>
      <c r="CX1574" s="16"/>
      <c r="CY1574" s="16"/>
      <c r="CZ1574" s="16"/>
      <c r="DA1574" s="16"/>
      <c r="DB1574" s="16"/>
      <c r="DC1574" s="16"/>
      <c r="DD1574" s="16"/>
      <c r="DE1574" s="16"/>
      <c r="DF1574" s="16" t="e">
        <f>VLOOKUP(K1574,'[3]RNA Seq summary tables'!$V$3:$V$99,1,FALSE)</f>
        <v>#N/A</v>
      </c>
      <c r="DG1574" s="16"/>
      <c r="DH1574" s="16"/>
      <c r="DI1574" s="16"/>
      <c r="DJ1574" s="16"/>
      <c r="DK1574" s="16"/>
      <c r="DL1574" s="16"/>
      <c r="DM1574" s="16"/>
      <c r="DN1574" s="16"/>
      <c r="DO1574" s="16"/>
      <c r="DP1574" s="16"/>
      <c r="DQ1574" s="16"/>
      <c r="DR1574" s="16"/>
      <c r="DS1574" s="16"/>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18"/>
      <c r="EQ1574" s="18"/>
      <c r="ER1574" s="18"/>
      <c r="ES1574" s="18"/>
      <c r="ET1574" s="18"/>
      <c r="EU1574" s="18"/>
      <c r="EV1574" s="18"/>
      <c r="EW1574" s="18"/>
      <c r="EX1574" s="18"/>
      <c r="EY1574" s="18"/>
      <c r="EZ1574" s="18"/>
      <c r="FA1574" s="18"/>
      <c r="FB1574" s="18"/>
      <c r="FC1574" s="18"/>
      <c r="FD1574" s="18"/>
      <c r="FE1574" s="18"/>
      <c r="FF1574" s="18"/>
      <c r="FG1574" s="18"/>
      <c r="FH1574" s="18"/>
      <c r="FI1574" s="18"/>
      <c r="FJ1574" s="18"/>
      <c r="FK1574" s="18"/>
      <c r="FL1574" s="18"/>
      <c r="FM1574" s="18"/>
      <c r="FN1574" s="18"/>
      <c r="FO1574" s="18"/>
      <c r="FP1574" s="18"/>
      <c r="FQ1574" s="18"/>
      <c r="FR1574" s="18"/>
      <c r="FS1574" s="18"/>
      <c r="FT1574" s="18"/>
      <c r="FU1574" s="18"/>
      <c r="FV1574" s="18"/>
      <c r="FW1574" s="18"/>
      <c r="FX1574" s="18"/>
      <c r="FY1574" s="18"/>
      <c r="FZ1574" s="18"/>
      <c r="GA1574" s="18"/>
      <c r="GB1574" s="18"/>
      <c r="GC1574" s="18"/>
      <c r="GD1574" s="18"/>
      <c r="GE1574" s="18"/>
      <c r="GF1574" s="18"/>
      <c r="GG1574" s="18"/>
      <c r="GH1574" s="18"/>
      <c r="GI1574" s="18"/>
      <c r="GJ1574" s="18"/>
      <c r="GK1574" s="18"/>
      <c r="GL1574" s="18"/>
      <c r="GM1574" s="18"/>
      <c r="GN1574" s="18"/>
      <c r="GO1574" s="18"/>
      <c r="GP1574" s="18"/>
      <c r="GQ1574" s="18"/>
      <c r="GR1574" s="18"/>
      <c r="GS1574" s="18"/>
      <c r="GT1574" s="18"/>
      <c r="GU1574" s="18"/>
      <c r="GV1574" s="18"/>
      <c r="GW1574" s="18"/>
      <c r="GX1574" s="18"/>
      <c r="GY1574" s="18"/>
      <c r="GZ1574" s="18"/>
      <c r="HA1574" s="18"/>
      <c r="HB1574" s="18"/>
      <c r="HC1574" s="18"/>
      <c r="HD1574" s="18"/>
      <c r="HE1574" s="18"/>
      <c r="HF1574" s="18"/>
      <c r="HG1574" s="18"/>
      <c r="HH1574" s="18"/>
      <c r="HI1574" s="18"/>
      <c r="HJ1574" s="18"/>
      <c r="HK1574" s="18"/>
      <c r="HL1574" s="18"/>
      <c r="HM1574" s="18"/>
      <c r="HN1574" s="18"/>
      <c r="HO1574" s="18"/>
      <c r="HP1574" s="18"/>
      <c r="HQ1574" s="18"/>
      <c r="HR1574" s="18"/>
      <c r="HS1574" s="18"/>
      <c r="HT1574" s="18"/>
      <c r="HU1574" s="18"/>
      <c r="HV1574" s="18"/>
      <c r="HW1574" s="18"/>
      <c r="HX1574" s="18"/>
      <c r="HY1574" s="18"/>
      <c r="HZ1574" s="18"/>
      <c r="IA1574" s="18"/>
      <c r="IB1574" s="18"/>
      <c r="IC1574" s="18"/>
      <c r="ID1574" s="18"/>
      <c r="IE1574" s="18"/>
      <c r="IF1574" s="18"/>
      <c r="IG1574" s="18"/>
      <c r="IH1574" s="18"/>
      <c r="II1574" s="18"/>
      <c r="IJ1574" s="18"/>
      <c r="IK1574" s="18"/>
      <c r="IL1574" s="18"/>
      <c r="IM1574" s="18"/>
      <c r="IN1574" s="18"/>
      <c r="IO1574" s="18"/>
      <c r="IP1574" s="18"/>
      <c r="IQ1574" s="18"/>
      <c r="IR1574" s="18"/>
      <c r="IS1574" s="18"/>
      <c r="IT1574" s="18"/>
      <c r="IU1574" s="18"/>
      <c r="IV1574" s="18"/>
      <c r="IW1574" s="18"/>
      <c r="IX1574" s="18"/>
      <c r="IY1574" s="18"/>
      <c r="IZ1574" s="18"/>
      <c r="JA1574" s="18"/>
      <c r="JB1574" s="18"/>
      <c r="JC1574" s="18"/>
      <c r="JD1574" s="18"/>
      <c r="JE1574" s="18"/>
      <c r="JF1574" s="18"/>
      <c r="JG1574" s="18"/>
      <c r="JH1574" s="18"/>
      <c r="JI1574" s="18"/>
      <c r="JJ1574" s="18"/>
      <c r="JK1574" s="18"/>
      <c r="JL1574" s="18"/>
      <c r="JM1574" s="18"/>
      <c r="JN1574" s="18"/>
      <c r="JO1574" s="16"/>
      <c r="JP1574" s="16"/>
      <c r="JQ1574" s="16"/>
      <c r="JR1574" s="16"/>
      <c r="JS1574" s="16"/>
      <c r="JT1574" s="16"/>
      <c r="JU1574" s="16"/>
      <c r="JV1574" s="16"/>
      <c r="JW1574" s="16"/>
      <c r="JX1574" s="16"/>
      <c r="JY1574" s="16"/>
      <c r="JZ1574" s="16"/>
      <c r="KA1574" s="16"/>
      <c r="KB1574" s="16"/>
    </row>
    <row r="1575" spans="1:288" s="27" customFormat="1" x14ac:dyDescent="0.2">
      <c r="A1575" s="18"/>
      <c r="B1575" s="16">
        <v>2016</v>
      </c>
      <c r="C1575" s="20">
        <v>42560</v>
      </c>
      <c r="D1575" s="20" t="str">
        <f>CONCATENATE(J1575,"-",C1575)</f>
        <v>952-42560</v>
      </c>
      <c r="E1575" s="20" t="str">
        <f>CONCATENATE(T1575,"-",U1575,"-",C1575)</f>
        <v>PO1-F5-42560</v>
      </c>
      <c r="F1575" s="20" t="s">
        <v>106</v>
      </c>
      <c r="G1575" s="90" t="s">
        <v>278</v>
      </c>
      <c r="H1575" s="16"/>
      <c r="I1575" s="16"/>
      <c r="J1575" s="15">
        <v>952</v>
      </c>
      <c r="K1575" s="15"/>
      <c r="L1575" s="16"/>
      <c r="M1575" s="15"/>
      <c r="N1575" s="15"/>
      <c r="O1575" s="15"/>
      <c r="P1575" s="23"/>
      <c r="Q1575" s="23"/>
      <c r="R1575" s="23"/>
      <c r="S1575" s="23"/>
      <c r="T1575" s="23" t="s">
        <v>112</v>
      </c>
      <c r="U1575" s="23" t="s">
        <v>185</v>
      </c>
      <c r="V1575" s="23"/>
      <c r="W1575" s="23"/>
      <c r="X1575" s="23"/>
      <c r="Y1575" s="23"/>
      <c r="Z1575" s="23"/>
      <c r="AA1575" s="23"/>
      <c r="AB1575" s="23"/>
      <c r="AC1575" s="16"/>
      <c r="AD1575" s="16"/>
      <c r="AE1575" s="16"/>
      <c r="AF1575" s="16"/>
      <c r="AG1575" s="16"/>
      <c r="AH1575" s="16"/>
      <c r="AI1575" s="16"/>
      <c r="AJ1575" s="16"/>
      <c r="AK1575" s="16">
        <v>22.5</v>
      </c>
      <c r="AL1575" s="16"/>
      <c r="AM1575" s="16"/>
      <c r="AN1575" s="16"/>
      <c r="AO1575" s="16"/>
      <c r="AP1575" s="16"/>
      <c r="AQ1575" s="16"/>
      <c r="AR1575" s="16"/>
      <c r="AS1575" s="16"/>
      <c r="AT1575" s="16"/>
      <c r="AU1575" s="16"/>
      <c r="AV1575" s="16"/>
      <c r="AW1575" s="16"/>
      <c r="AX1575" s="16"/>
      <c r="AY1575" s="16"/>
      <c r="AZ1575" s="16"/>
      <c r="BA1575" s="16"/>
      <c r="BB1575" s="16"/>
      <c r="BC1575" s="16"/>
      <c r="BD1575" s="16"/>
      <c r="BE1575" s="16"/>
      <c r="BF1575" s="16"/>
      <c r="BG1575" s="77"/>
      <c r="BH1575" s="16"/>
      <c r="BI1575" s="16"/>
      <c r="BJ1575" s="16"/>
      <c r="BK1575" s="16"/>
      <c r="BL1575" s="16"/>
      <c r="BM1575" s="16"/>
      <c r="BN1575" s="16"/>
      <c r="BO1575" s="16"/>
      <c r="BP1575" s="16"/>
      <c r="BQ1575" s="16"/>
      <c r="BR1575" s="16"/>
      <c r="BS1575" s="16"/>
      <c r="BT1575" s="77"/>
      <c r="BU1575" s="16"/>
      <c r="BV1575" s="16"/>
      <c r="BW1575" s="16"/>
      <c r="BX1575" s="16"/>
      <c r="BY1575" s="16"/>
      <c r="BZ1575" s="16"/>
      <c r="CA1575" s="16"/>
      <c r="CB1575" s="16"/>
      <c r="CC1575" s="16"/>
      <c r="CD1575" s="77"/>
      <c r="CE1575" s="16"/>
      <c r="CF1575" s="16"/>
      <c r="CG1575" s="16"/>
      <c r="CH1575" s="16"/>
      <c r="CI1575" s="16"/>
      <c r="CJ1575" s="16"/>
      <c r="CK1575" s="16"/>
      <c r="CL1575" s="16"/>
      <c r="CM1575" s="16"/>
      <c r="CN1575" s="16"/>
      <c r="CO1575" s="16"/>
      <c r="CP1575" s="16"/>
      <c r="CQ1575" s="16"/>
      <c r="CR1575" s="16"/>
      <c r="CS1575" s="16"/>
      <c r="CT1575" s="16"/>
      <c r="CU1575" s="16"/>
      <c r="CV1575" s="16"/>
      <c r="CW1575" s="16"/>
      <c r="CX1575" s="16"/>
      <c r="CY1575" s="16"/>
      <c r="CZ1575" s="16"/>
      <c r="DA1575" s="16"/>
      <c r="DB1575" s="16"/>
      <c r="DC1575" s="16"/>
      <c r="DD1575" s="16"/>
      <c r="DE1575" s="16"/>
      <c r="DF1575" s="16" t="e">
        <f>VLOOKUP(K1575,'[3]RNA Seq summary tables'!$V$3:$V$99,1,FALSE)</f>
        <v>#N/A</v>
      </c>
      <c r="DG1575" s="16"/>
      <c r="DH1575" s="16"/>
      <c r="DI1575" s="16"/>
      <c r="DJ1575" s="16"/>
      <c r="DK1575" s="16"/>
      <c r="DL1575" s="16"/>
      <c r="DM1575" s="16"/>
      <c r="DN1575" s="16"/>
      <c r="DO1575" s="16"/>
      <c r="DP1575" s="16"/>
      <c r="DQ1575" s="16"/>
      <c r="DR1575" s="16"/>
      <c r="DS1575" s="16"/>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18"/>
      <c r="EQ1575" s="18"/>
      <c r="ER1575" s="18"/>
      <c r="ES1575" s="18"/>
      <c r="ET1575" s="18"/>
      <c r="EU1575" s="18"/>
      <c r="EV1575" s="18"/>
      <c r="EW1575" s="18"/>
      <c r="EX1575" s="18"/>
      <c r="EY1575" s="18"/>
      <c r="EZ1575" s="18"/>
      <c r="FA1575" s="18"/>
      <c r="FB1575" s="18"/>
      <c r="FC1575" s="18"/>
      <c r="FD1575" s="18"/>
      <c r="FE1575" s="18"/>
      <c r="FF1575" s="18"/>
      <c r="FG1575" s="18"/>
      <c r="FH1575" s="18"/>
      <c r="FI1575" s="18"/>
      <c r="FJ1575" s="18"/>
      <c r="FK1575" s="18"/>
      <c r="FL1575" s="18"/>
      <c r="FM1575" s="18"/>
      <c r="FN1575" s="18"/>
      <c r="FO1575" s="18"/>
      <c r="FP1575" s="18"/>
      <c r="FQ1575" s="18"/>
      <c r="FR1575" s="18"/>
      <c r="FS1575" s="18"/>
      <c r="FT1575" s="18"/>
      <c r="FU1575" s="18"/>
      <c r="FV1575" s="18"/>
      <c r="FW1575" s="18"/>
      <c r="FX1575" s="18"/>
      <c r="FY1575" s="18"/>
      <c r="FZ1575" s="18"/>
      <c r="GA1575" s="18"/>
      <c r="GB1575" s="18"/>
      <c r="GC1575" s="18"/>
      <c r="GD1575" s="18"/>
      <c r="GE1575" s="18"/>
      <c r="GF1575" s="18"/>
      <c r="GG1575" s="18"/>
      <c r="GH1575" s="18"/>
      <c r="GI1575" s="18"/>
      <c r="GJ1575" s="18"/>
      <c r="GK1575" s="18"/>
      <c r="GL1575" s="18"/>
      <c r="GM1575" s="18"/>
      <c r="GN1575" s="18"/>
      <c r="GO1575" s="18"/>
      <c r="GP1575" s="18"/>
      <c r="GQ1575" s="18"/>
      <c r="GR1575" s="18"/>
      <c r="GS1575" s="18"/>
      <c r="GT1575" s="18"/>
      <c r="GU1575" s="18"/>
      <c r="GV1575" s="18"/>
      <c r="GW1575" s="18"/>
      <c r="GX1575" s="18"/>
      <c r="GY1575" s="18"/>
      <c r="GZ1575" s="18"/>
      <c r="HA1575" s="18"/>
      <c r="HB1575" s="18"/>
      <c r="HC1575" s="18"/>
      <c r="HD1575" s="18"/>
      <c r="HE1575" s="18"/>
      <c r="HF1575" s="18"/>
      <c r="HG1575" s="18"/>
      <c r="HH1575" s="18"/>
      <c r="HI1575" s="18"/>
      <c r="HJ1575" s="18"/>
      <c r="HK1575" s="18"/>
      <c r="HL1575" s="18"/>
      <c r="HM1575" s="18"/>
      <c r="HN1575" s="18"/>
      <c r="HO1575" s="18"/>
      <c r="HP1575" s="18"/>
      <c r="HQ1575" s="18"/>
      <c r="HR1575" s="18"/>
      <c r="HS1575" s="18"/>
      <c r="HT1575" s="18"/>
      <c r="HU1575" s="18"/>
      <c r="HV1575" s="18"/>
      <c r="HW1575" s="18"/>
      <c r="HX1575" s="18"/>
      <c r="HY1575" s="18"/>
      <c r="HZ1575" s="18"/>
      <c r="IA1575" s="18"/>
      <c r="IB1575" s="18"/>
      <c r="IC1575" s="18"/>
      <c r="ID1575" s="18"/>
      <c r="IE1575" s="18"/>
      <c r="IF1575" s="18"/>
      <c r="IG1575" s="18"/>
      <c r="IH1575" s="18"/>
      <c r="II1575" s="18"/>
      <c r="IJ1575" s="18"/>
      <c r="IK1575" s="18"/>
      <c r="IL1575" s="18"/>
      <c r="IM1575" s="18"/>
      <c r="IN1575" s="18"/>
      <c r="IO1575" s="18"/>
      <c r="IP1575" s="18"/>
      <c r="IQ1575" s="18"/>
      <c r="IR1575" s="18"/>
      <c r="IS1575" s="18"/>
      <c r="IT1575" s="18"/>
      <c r="IU1575" s="18"/>
      <c r="IV1575" s="18"/>
      <c r="IW1575" s="18"/>
      <c r="IX1575" s="18"/>
      <c r="IY1575" s="18"/>
      <c r="IZ1575" s="18"/>
      <c r="JA1575" s="18"/>
      <c r="JB1575" s="18"/>
      <c r="JC1575" s="18"/>
      <c r="JD1575" s="18"/>
      <c r="JE1575" s="18"/>
      <c r="JF1575" s="18"/>
      <c r="JG1575" s="18"/>
      <c r="JH1575" s="18"/>
      <c r="JI1575" s="18"/>
      <c r="JJ1575" s="18"/>
      <c r="JK1575" s="18"/>
      <c r="JL1575" s="18"/>
      <c r="JM1575" s="18"/>
      <c r="JN1575" s="18"/>
      <c r="JP1575" s="18"/>
      <c r="JQ1575" s="18"/>
      <c r="JR1575" s="16"/>
      <c r="JS1575" s="16"/>
      <c r="JT1575" s="16"/>
      <c r="JU1575" s="16"/>
      <c r="JV1575" s="16"/>
      <c r="JW1575" s="16"/>
      <c r="JX1575" s="16"/>
      <c r="JY1575" s="16"/>
      <c r="JZ1575" s="16"/>
      <c r="KA1575" s="16"/>
      <c r="KB1575" s="16"/>
    </row>
    <row r="1576" spans="1:288" s="27" customFormat="1" x14ac:dyDescent="0.2">
      <c r="A1576" s="29"/>
      <c r="B1576" s="16">
        <v>2016</v>
      </c>
      <c r="C1576" s="20">
        <v>42531</v>
      </c>
      <c r="D1576" s="20" t="str">
        <f>CONCATENATE(J1576,"-",C1576)</f>
        <v>953-42531</v>
      </c>
      <c r="E1576" s="20" t="str">
        <f>CONCATENATE(T1576,"-",U1576,"-",C1576)</f>
        <v>PO1-E2-42531</v>
      </c>
      <c r="F1576" s="20" t="s">
        <v>106</v>
      </c>
      <c r="G1576" s="90" t="s">
        <v>278</v>
      </c>
      <c r="H1576" s="16" t="s">
        <v>169</v>
      </c>
      <c r="I1576" s="16"/>
      <c r="J1576" s="15">
        <v>953</v>
      </c>
      <c r="K1576" s="15"/>
      <c r="L1576" s="16"/>
      <c r="M1576" s="15"/>
      <c r="N1576" s="15"/>
      <c r="O1576" s="15"/>
      <c r="P1576" s="23"/>
      <c r="Q1576" s="23"/>
      <c r="R1576" s="23"/>
      <c r="S1576" s="23"/>
      <c r="T1576" s="23" t="s">
        <v>112</v>
      </c>
      <c r="U1576" s="23" t="s">
        <v>136</v>
      </c>
      <c r="V1576" s="23" t="s">
        <v>142</v>
      </c>
      <c r="W1576" s="23"/>
      <c r="X1576" s="23" t="s">
        <v>121</v>
      </c>
      <c r="Y1576" s="23" t="s">
        <v>122</v>
      </c>
      <c r="Z1576" s="23">
        <v>2.2999999999999998</v>
      </c>
      <c r="AA1576" s="23" t="s">
        <v>119</v>
      </c>
      <c r="AB1576" s="23" t="s">
        <v>123</v>
      </c>
      <c r="AC1576" s="16" t="s">
        <v>123</v>
      </c>
      <c r="AD1576" s="16" t="s">
        <v>123</v>
      </c>
      <c r="AE1576" s="16"/>
      <c r="AF1576" s="16"/>
      <c r="AG1576" s="16"/>
      <c r="AH1576" s="16"/>
      <c r="AI1576" s="16"/>
      <c r="AJ1576" s="16"/>
      <c r="AK1576" s="16">
        <v>15</v>
      </c>
      <c r="AL1576" s="16">
        <v>0</v>
      </c>
      <c r="AM1576" s="16">
        <v>0</v>
      </c>
      <c r="AN1576" s="16">
        <v>0</v>
      </c>
      <c r="AO1576" s="16">
        <f>IF(SUM(AL1576:AN1576)&gt;0,1,0)</f>
        <v>0</v>
      </c>
      <c r="AP1576" s="16">
        <f>SUM(AL1576:AN1576)</f>
        <v>0</v>
      </c>
      <c r="AQ1576" s="16"/>
      <c r="AR1576" s="16"/>
      <c r="AS1576" s="16"/>
      <c r="AT1576" s="16"/>
      <c r="AU1576" s="16"/>
      <c r="AV1576" s="16"/>
      <c r="AW1576" s="16"/>
      <c r="AX1576" s="16"/>
      <c r="AY1576" s="16"/>
      <c r="AZ1576" s="16"/>
      <c r="BA1576" s="16"/>
      <c r="BB1576" s="16"/>
      <c r="BC1576" s="16"/>
      <c r="BD1576" s="16"/>
      <c r="BE1576" s="16"/>
      <c r="BF1576" s="16"/>
      <c r="BG1576" s="77"/>
      <c r="BH1576" s="16"/>
      <c r="BI1576" s="16"/>
      <c r="BJ1576" s="16"/>
      <c r="BK1576" s="16"/>
      <c r="BL1576" s="16"/>
      <c r="BM1576" s="16"/>
      <c r="BN1576" s="16"/>
      <c r="BO1576" s="16"/>
      <c r="BP1576" s="16"/>
      <c r="BQ1576" s="16"/>
      <c r="BR1576" s="16"/>
      <c r="BS1576" s="16"/>
      <c r="BT1576" s="77"/>
      <c r="BU1576" s="16"/>
      <c r="BV1576" s="16"/>
      <c r="BW1576" s="16"/>
      <c r="BX1576" s="16"/>
      <c r="BY1576" s="16"/>
      <c r="BZ1576" s="16"/>
      <c r="CA1576" s="16"/>
      <c r="CB1576" s="16"/>
      <c r="CC1576" s="16"/>
      <c r="CD1576" s="77"/>
      <c r="CE1576" s="16"/>
      <c r="CF1576" s="16"/>
      <c r="CG1576" s="16"/>
      <c r="CH1576" s="16"/>
      <c r="CI1576" s="16"/>
      <c r="CJ1576" s="16"/>
      <c r="CK1576" s="16"/>
      <c r="CL1576" s="16"/>
      <c r="CM1576" s="16"/>
      <c r="CN1576" s="16"/>
      <c r="CO1576" s="16"/>
      <c r="CP1576" s="16"/>
      <c r="CQ1576" s="16"/>
      <c r="CR1576" s="16"/>
      <c r="CS1576" s="16"/>
      <c r="CT1576" s="16"/>
      <c r="CU1576" s="16"/>
      <c r="CV1576" s="16"/>
      <c r="CW1576" s="16"/>
      <c r="CX1576" s="16"/>
      <c r="CY1576" s="16"/>
      <c r="CZ1576" s="16"/>
      <c r="DA1576" s="16"/>
      <c r="DB1576" s="16"/>
      <c r="DC1576" s="16"/>
      <c r="DD1576" s="16"/>
      <c r="DE1576" s="16"/>
      <c r="DF1576" s="16" t="e">
        <f>VLOOKUP(K1576,'[3]RNA Seq summary tables'!$V$3:$V$99,1,FALSE)</f>
        <v>#N/A</v>
      </c>
      <c r="DG1576" s="16"/>
      <c r="DH1576" s="16"/>
      <c r="DI1576" s="16"/>
      <c r="DJ1576" s="16"/>
      <c r="DK1576" s="16"/>
      <c r="DL1576" s="16"/>
      <c r="DM1576" s="16"/>
      <c r="DN1576" s="16"/>
      <c r="DO1576" s="16"/>
      <c r="DP1576" s="16"/>
      <c r="DQ1576" s="16"/>
      <c r="DR1576" s="16"/>
      <c r="DS1576" s="16"/>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18"/>
      <c r="EQ1576" s="18"/>
      <c r="ER1576" s="18"/>
      <c r="ES1576" s="18"/>
      <c r="ET1576" s="18"/>
      <c r="EU1576" s="18"/>
      <c r="EV1576" s="18"/>
      <c r="EW1576" s="18"/>
      <c r="EX1576" s="18"/>
      <c r="EY1576" s="18"/>
      <c r="EZ1576" s="18"/>
      <c r="FA1576" s="18"/>
      <c r="FB1576" s="18"/>
      <c r="FC1576" s="18"/>
      <c r="FD1576" s="18"/>
      <c r="FE1576" s="18"/>
      <c r="FF1576" s="18"/>
      <c r="FG1576" s="18"/>
      <c r="FH1576" s="18"/>
      <c r="FI1576" s="18"/>
      <c r="FJ1576" s="18"/>
      <c r="FK1576" s="18"/>
      <c r="FL1576" s="18"/>
      <c r="FM1576" s="18"/>
      <c r="FN1576" s="18"/>
      <c r="FO1576" s="18"/>
      <c r="FP1576" s="18"/>
      <c r="FQ1576" s="18"/>
      <c r="FR1576" s="18"/>
      <c r="FS1576" s="18"/>
      <c r="FT1576" s="18"/>
      <c r="FU1576" s="18"/>
      <c r="FV1576" s="18"/>
      <c r="FW1576" s="18"/>
      <c r="FX1576" s="18"/>
      <c r="FY1576" s="18"/>
      <c r="FZ1576" s="18"/>
      <c r="GA1576" s="18"/>
      <c r="GB1576" s="18"/>
      <c r="GC1576" s="18"/>
      <c r="GD1576" s="18"/>
      <c r="GE1576" s="18"/>
      <c r="GF1576" s="18"/>
      <c r="GG1576" s="18"/>
      <c r="GH1576" s="18"/>
      <c r="GI1576" s="18"/>
      <c r="GJ1576" s="18"/>
      <c r="GK1576" s="18"/>
      <c r="GL1576" s="18"/>
      <c r="GM1576" s="18"/>
      <c r="GN1576" s="18"/>
      <c r="GO1576" s="18"/>
      <c r="GP1576" s="18"/>
      <c r="GQ1576" s="18"/>
      <c r="GR1576" s="18"/>
      <c r="GS1576" s="18"/>
      <c r="GT1576" s="18"/>
      <c r="GU1576" s="18"/>
      <c r="GV1576" s="18"/>
      <c r="GW1576" s="18"/>
      <c r="GX1576" s="18"/>
      <c r="GY1576" s="18"/>
      <c r="GZ1576" s="18"/>
      <c r="HA1576" s="18"/>
      <c r="HB1576" s="18"/>
      <c r="HC1576" s="18"/>
      <c r="HD1576" s="18"/>
      <c r="HE1576" s="18"/>
      <c r="HF1576" s="18"/>
      <c r="HG1576" s="18"/>
      <c r="HH1576" s="18"/>
      <c r="HI1576" s="18"/>
      <c r="HJ1576" s="18"/>
      <c r="HK1576" s="18"/>
      <c r="HL1576" s="18"/>
      <c r="HM1576" s="18"/>
      <c r="HN1576" s="18"/>
      <c r="HO1576" s="18"/>
      <c r="HP1576" s="18"/>
      <c r="HQ1576" s="18"/>
      <c r="HR1576" s="18"/>
      <c r="HS1576" s="18"/>
      <c r="HT1576" s="18"/>
      <c r="HU1576" s="18"/>
      <c r="HV1576" s="18"/>
      <c r="HW1576" s="18"/>
      <c r="HX1576" s="18"/>
      <c r="HY1576" s="18"/>
      <c r="HZ1576" s="18"/>
      <c r="IA1576" s="18"/>
      <c r="IB1576" s="18"/>
      <c r="IC1576" s="18"/>
      <c r="ID1576" s="18"/>
      <c r="IE1576" s="18"/>
      <c r="IF1576" s="18"/>
      <c r="IG1576" s="18"/>
      <c r="IH1576" s="18"/>
      <c r="II1576" s="18"/>
      <c r="IJ1576" s="18"/>
      <c r="IK1576" s="18"/>
      <c r="IL1576" s="18"/>
      <c r="IM1576" s="18"/>
      <c r="IN1576" s="18"/>
      <c r="IO1576" s="18"/>
      <c r="IP1576" s="18"/>
      <c r="IQ1576" s="18"/>
      <c r="IR1576" s="18"/>
      <c r="IS1576" s="18"/>
      <c r="IT1576" s="18"/>
      <c r="IU1576" s="18"/>
      <c r="IV1576" s="18"/>
      <c r="IW1576" s="18"/>
      <c r="IX1576" s="18"/>
      <c r="IY1576" s="18"/>
      <c r="IZ1576" s="18"/>
      <c r="JA1576" s="18"/>
      <c r="JB1576" s="18"/>
      <c r="JC1576" s="18"/>
      <c r="JD1576" s="18"/>
      <c r="JE1576" s="18"/>
      <c r="JF1576" s="18"/>
      <c r="JG1576" s="18"/>
      <c r="JH1576" s="18"/>
      <c r="JI1576" s="18"/>
      <c r="JJ1576" s="18"/>
      <c r="JK1576" s="18"/>
      <c r="JL1576" s="18"/>
      <c r="JM1576" s="18"/>
      <c r="JN1576" s="18"/>
      <c r="JO1576" s="16"/>
      <c r="JP1576" s="18"/>
      <c r="JQ1576" s="18"/>
      <c r="JR1576" s="16"/>
      <c r="JS1576" s="16"/>
      <c r="JT1576" s="16"/>
      <c r="JU1576" s="16"/>
      <c r="JV1576" s="16"/>
      <c r="JW1576" s="16"/>
      <c r="JX1576" s="16"/>
      <c r="JY1576" s="16"/>
      <c r="JZ1576" s="16"/>
      <c r="KA1576" s="16"/>
      <c r="KB1576" s="16"/>
    </row>
    <row r="1577" spans="1:288" s="27" customFormat="1" x14ac:dyDescent="0.2">
      <c r="A1577" s="18"/>
      <c r="B1577" s="16">
        <v>2016</v>
      </c>
      <c r="C1577" s="20">
        <v>42532</v>
      </c>
      <c r="D1577" s="20" t="str">
        <f>CONCATENATE(J1577,"-",C1577)</f>
        <v>954-42532</v>
      </c>
      <c r="E1577" s="20" t="str">
        <f>CONCATENATE(T1577,"-",U1577,"-",C1577)</f>
        <v>PO1-H3-42532</v>
      </c>
      <c r="F1577" s="20" t="s">
        <v>106</v>
      </c>
      <c r="G1577" s="90" t="s">
        <v>278</v>
      </c>
      <c r="H1577" s="16"/>
      <c r="I1577" s="16"/>
      <c r="J1577" s="21">
        <v>954</v>
      </c>
      <c r="K1577" s="21"/>
      <c r="L1577" s="16"/>
      <c r="M1577" s="21"/>
      <c r="N1577" s="21"/>
      <c r="O1577" s="21"/>
      <c r="P1577" s="16"/>
      <c r="Q1577" s="16"/>
      <c r="R1577" s="16"/>
      <c r="S1577" s="16"/>
      <c r="T1577" s="16" t="s">
        <v>112</v>
      </c>
      <c r="U1577" s="16" t="s">
        <v>174</v>
      </c>
      <c r="V1577" s="16" t="s">
        <v>114</v>
      </c>
      <c r="W1577" s="16"/>
      <c r="X1577" s="16" t="s">
        <v>115</v>
      </c>
      <c r="Y1577" s="16" t="s">
        <v>110</v>
      </c>
      <c r="Z1577" s="16">
        <v>3</v>
      </c>
      <c r="AA1577" s="16"/>
      <c r="AB1577" s="16"/>
      <c r="AC1577" s="16"/>
      <c r="AD1577" s="16"/>
      <c r="AE1577" s="16" t="s">
        <v>123</v>
      </c>
      <c r="AF1577" s="16" t="s">
        <v>123</v>
      </c>
      <c r="AG1577" s="16"/>
      <c r="AH1577" s="16"/>
      <c r="AI1577" s="16"/>
      <c r="AJ1577" s="16"/>
      <c r="AK1577" s="16">
        <v>14.5</v>
      </c>
      <c r="AL1577" s="16">
        <v>0</v>
      </c>
      <c r="AM1577" s="16">
        <v>0</v>
      </c>
      <c r="AN1577" s="16">
        <v>0</v>
      </c>
      <c r="AO1577" s="16">
        <f>IF(SUM(AL1577:AN1577)&gt;0,1,0)</f>
        <v>0</v>
      </c>
      <c r="AP1577" s="16">
        <f>SUM(AL1577:AN1577)</f>
        <v>0</v>
      </c>
      <c r="AQ1577" s="16"/>
      <c r="AR1577" s="16"/>
      <c r="AS1577" s="16"/>
      <c r="AT1577" s="16"/>
      <c r="AU1577" s="16"/>
      <c r="AV1577" s="16"/>
      <c r="AW1577" s="16"/>
      <c r="AX1577" s="16"/>
      <c r="AY1577" s="16"/>
      <c r="AZ1577" s="16"/>
      <c r="BA1577" s="16"/>
      <c r="BB1577" s="16"/>
      <c r="BC1577" s="16"/>
      <c r="BD1577" s="16"/>
      <c r="BE1577" s="16"/>
      <c r="BF1577" s="16"/>
      <c r="BG1577" s="77"/>
      <c r="BH1577" s="16"/>
      <c r="BI1577" s="16"/>
      <c r="BJ1577" s="16"/>
      <c r="BK1577" s="16"/>
      <c r="BL1577" s="16"/>
      <c r="BM1577" s="16"/>
      <c r="BN1577" s="16"/>
      <c r="BO1577" s="16"/>
      <c r="BP1577" s="16"/>
      <c r="BQ1577" s="16"/>
      <c r="BR1577" s="16"/>
      <c r="BS1577" s="16"/>
      <c r="BT1577" s="77"/>
      <c r="BU1577" s="16"/>
      <c r="BV1577" s="16"/>
      <c r="BW1577" s="16"/>
      <c r="BX1577" s="16"/>
      <c r="BY1577" s="16"/>
      <c r="BZ1577" s="16"/>
      <c r="CA1577" s="16"/>
      <c r="CB1577" s="16"/>
      <c r="CC1577" s="16"/>
      <c r="CD1577" s="77"/>
      <c r="CE1577" s="16"/>
      <c r="CF1577" s="16"/>
      <c r="CG1577" s="16"/>
      <c r="CH1577" s="16"/>
      <c r="CI1577" s="16"/>
      <c r="CJ1577" s="16"/>
      <c r="CK1577" s="16"/>
      <c r="CL1577" s="16"/>
      <c r="CM1577" s="16"/>
      <c r="CN1577" s="16"/>
      <c r="CO1577" s="16"/>
      <c r="CP1577" s="16"/>
      <c r="CQ1577" s="16"/>
      <c r="CR1577" s="16"/>
      <c r="CS1577" s="16"/>
      <c r="CT1577" s="16"/>
      <c r="CU1577" s="16"/>
      <c r="CV1577" s="16"/>
      <c r="CW1577" s="16"/>
      <c r="CX1577" s="16"/>
      <c r="CY1577" s="16"/>
      <c r="CZ1577" s="16"/>
      <c r="DA1577" s="16"/>
      <c r="DB1577" s="16"/>
      <c r="DC1577" s="16"/>
      <c r="DD1577" s="16"/>
      <c r="DE1577" s="16"/>
      <c r="DF1577" s="16" t="e">
        <f>VLOOKUP(K1577,'[3]RNA Seq summary tables'!$V$3:$V$99,1,FALSE)</f>
        <v>#N/A</v>
      </c>
      <c r="DG1577" s="16"/>
      <c r="DH1577" s="16"/>
      <c r="DI1577" s="16"/>
      <c r="DJ1577" s="16"/>
      <c r="DK1577" s="16"/>
      <c r="DL1577" s="16"/>
      <c r="DM1577" s="16"/>
      <c r="DN1577" s="16"/>
      <c r="DO1577" s="16"/>
      <c r="DP1577" s="16"/>
      <c r="DQ1577" s="16"/>
      <c r="DR1577" s="16"/>
      <c r="DS1577" s="16"/>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18"/>
      <c r="EQ1577" s="18"/>
      <c r="ER1577" s="18"/>
      <c r="ES1577" s="18"/>
      <c r="ET1577" s="18"/>
      <c r="EU1577" s="18"/>
      <c r="EV1577" s="18"/>
      <c r="EW1577" s="18"/>
      <c r="EX1577" s="18"/>
      <c r="EY1577" s="18"/>
      <c r="EZ1577" s="18"/>
      <c r="FA1577" s="18"/>
      <c r="FB1577" s="18"/>
      <c r="FC1577" s="18"/>
      <c r="FD1577" s="18"/>
      <c r="FE1577" s="18"/>
      <c r="FF1577" s="18"/>
      <c r="FG1577" s="18"/>
      <c r="FH1577" s="18"/>
      <c r="FI1577" s="18"/>
      <c r="FJ1577" s="18"/>
      <c r="FK1577" s="18"/>
      <c r="FL1577" s="18"/>
      <c r="FM1577" s="18"/>
      <c r="FN1577" s="18"/>
      <c r="FO1577" s="18"/>
      <c r="FP1577" s="18"/>
      <c r="FQ1577" s="18"/>
      <c r="FR1577" s="18"/>
      <c r="FS1577" s="18"/>
      <c r="FT1577" s="18"/>
      <c r="FU1577" s="18"/>
      <c r="FV1577" s="18"/>
      <c r="FW1577" s="18"/>
      <c r="FX1577" s="18"/>
      <c r="FY1577" s="18"/>
      <c r="FZ1577" s="18"/>
      <c r="GA1577" s="18"/>
      <c r="GB1577" s="18"/>
      <c r="GC1577" s="18"/>
      <c r="GD1577" s="18"/>
      <c r="GE1577" s="18"/>
      <c r="GF1577" s="18"/>
      <c r="GG1577" s="18"/>
      <c r="GH1577" s="18"/>
      <c r="GI1577" s="18"/>
      <c r="GJ1577" s="18"/>
      <c r="GK1577" s="18"/>
      <c r="GL1577" s="18"/>
      <c r="GM1577" s="18"/>
      <c r="GN1577" s="18"/>
      <c r="GO1577" s="18"/>
      <c r="GP1577" s="18"/>
      <c r="GQ1577" s="18"/>
      <c r="GR1577" s="18"/>
      <c r="GS1577" s="18"/>
      <c r="GT1577" s="18"/>
      <c r="GU1577" s="18"/>
      <c r="GV1577" s="18"/>
      <c r="GW1577" s="18"/>
      <c r="GX1577" s="18"/>
      <c r="GY1577" s="18"/>
      <c r="GZ1577" s="18"/>
      <c r="HA1577" s="18"/>
      <c r="HB1577" s="18"/>
      <c r="HC1577" s="18"/>
      <c r="HD1577" s="18"/>
      <c r="HE1577" s="18"/>
      <c r="HF1577" s="18"/>
      <c r="HG1577" s="18"/>
      <c r="HH1577" s="18"/>
      <c r="HI1577" s="18"/>
      <c r="HJ1577" s="18"/>
      <c r="HK1577" s="18"/>
      <c r="HL1577" s="18"/>
      <c r="HM1577" s="18"/>
      <c r="HN1577" s="18"/>
      <c r="HO1577" s="18"/>
      <c r="HP1577" s="18"/>
      <c r="HQ1577" s="18"/>
      <c r="HR1577" s="18"/>
      <c r="HS1577" s="18"/>
      <c r="HT1577" s="18"/>
      <c r="HU1577" s="18"/>
      <c r="HV1577" s="18"/>
      <c r="HW1577" s="18"/>
      <c r="HX1577" s="18"/>
      <c r="HY1577" s="18"/>
      <c r="HZ1577" s="18"/>
      <c r="IA1577" s="18"/>
      <c r="IB1577" s="18"/>
      <c r="IC1577" s="18"/>
      <c r="ID1577" s="18"/>
      <c r="IE1577" s="18"/>
      <c r="IF1577" s="18"/>
      <c r="IG1577" s="18"/>
      <c r="IH1577" s="18"/>
      <c r="II1577" s="18"/>
      <c r="IJ1577" s="18"/>
      <c r="IK1577" s="18"/>
      <c r="IL1577" s="18"/>
      <c r="IM1577" s="18"/>
      <c r="IN1577" s="18"/>
      <c r="IO1577" s="18"/>
      <c r="IP1577" s="18"/>
      <c r="IQ1577" s="18"/>
      <c r="IR1577" s="18"/>
      <c r="IS1577" s="18"/>
      <c r="IT1577" s="18"/>
      <c r="IU1577" s="18"/>
      <c r="IV1577" s="18"/>
      <c r="IW1577" s="18"/>
      <c r="IX1577" s="18"/>
      <c r="IY1577" s="18"/>
      <c r="IZ1577" s="18"/>
      <c r="JA1577" s="18"/>
      <c r="JB1577" s="18"/>
      <c r="JC1577" s="18"/>
      <c r="JD1577" s="18"/>
      <c r="JE1577" s="18"/>
      <c r="JF1577" s="18"/>
      <c r="JG1577" s="18"/>
      <c r="JH1577" s="18"/>
      <c r="JI1577" s="18"/>
      <c r="JJ1577" s="18"/>
      <c r="JK1577" s="18"/>
      <c r="JL1577" s="18"/>
      <c r="JM1577" s="18"/>
      <c r="JN1577" s="18"/>
      <c r="JO1577" s="16"/>
      <c r="JP1577" s="16"/>
      <c r="JQ1577" s="16"/>
      <c r="JR1577" s="16"/>
      <c r="JS1577" s="16"/>
      <c r="JT1577" s="16"/>
      <c r="JU1577" s="16"/>
      <c r="JV1577" s="16"/>
      <c r="JW1577" s="16"/>
      <c r="JX1577" s="16"/>
      <c r="JY1577" s="16"/>
      <c r="JZ1577" s="16"/>
      <c r="KA1577" s="16"/>
      <c r="KB1577" s="16"/>
    </row>
    <row r="1578" spans="1:288" s="27" customFormat="1" x14ac:dyDescent="0.2">
      <c r="A1578" s="18"/>
      <c r="B1578" s="16">
        <v>2016</v>
      </c>
      <c r="C1578" s="43">
        <v>42602</v>
      </c>
      <c r="D1578" s="43" t="str">
        <f>CONCATENATE(J1578,"-",C1578)</f>
        <v>954-42602</v>
      </c>
      <c r="E1578" s="20" t="str">
        <f>CONCATENATE(T1578,"-",U1578,"-",C1578)</f>
        <v>PO2-G8-42602</v>
      </c>
      <c r="F1578" s="20" t="s">
        <v>227</v>
      </c>
      <c r="G1578" s="91" t="s">
        <v>278</v>
      </c>
      <c r="H1578" s="23"/>
      <c r="I1578" s="23"/>
      <c r="J1578" s="15">
        <v>954</v>
      </c>
      <c r="K1578" s="15"/>
      <c r="L1578" s="23"/>
      <c r="M1578" s="15"/>
      <c r="N1578" s="15"/>
      <c r="O1578" s="15"/>
      <c r="P1578" s="23"/>
      <c r="Q1578" s="23"/>
      <c r="R1578" s="23"/>
      <c r="S1578" s="23"/>
      <c r="T1578" s="23" t="s">
        <v>127</v>
      </c>
      <c r="U1578" s="23" t="s">
        <v>216</v>
      </c>
      <c r="V1578" s="23"/>
      <c r="W1578" s="23"/>
      <c r="X1578" s="23"/>
      <c r="Y1578" s="23"/>
      <c r="Z1578" s="23"/>
      <c r="AA1578" s="23"/>
      <c r="AB1578" s="23"/>
      <c r="AC1578" s="23"/>
      <c r="AD1578" s="23"/>
      <c r="AE1578" s="23"/>
      <c r="AF1578" s="23"/>
      <c r="AG1578" s="23"/>
      <c r="AH1578" s="23"/>
      <c r="AI1578" s="23"/>
      <c r="AJ1578" s="23"/>
      <c r="AK1578" s="23"/>
      <c r="AL1578" s="23"/>
      <c r="AM1578" s="23"/>
      <c r="AN1578" s="23"/>
      <c r="AO1578" s="23"/>
      <c r="AP1578" s="23"/>
      <c r="AQ1578" s="23"/>
      <c r="AR1578" s="23"/>
      <c r="AS1578" s="23"/>
      <c r="AT1578" s="16"/>
      <c r="AU1578" s="16"/>
      <c r="AV1578" s="16"/>
      <c r="AW1578" s="16"/>
      <c r="AX1578" s="16"/>
      <c r="AY1578" s="16"/>
      <c r="AZ1578" s="16"/>
      <c r="BA1578" s="16"/>
      <c r="BB1578" s="16"/>
      <c r="BC1578" s="16"/>
      <c r="BD1578" s="16"/>
      <c r="BE1578" s="16"/>
      <c r="BF1578" s="16"/>
      <c r="BG1578" s="77"/>
      <c r="BH1578" s="16"/>
      <c r="BI1578" s="16"/>
      <c r="BJ1578" s="16"/>
      <c r="BK1578" s="16"/>
      <c r="BL1578" s="16"/>
      <c r="BM1578" s="16"/>
      <c r="BN1578" s="16"/>
      <c r="BO1578" s="16"/>
      <c r="BP1578" s="16"/>
      <c r="BQ1578" s="16"/>
      <c r="BR1578" s="16"/>
      <c r="BS1578" s="16"/>
      <c r="BT1578" s="77"/>
      <c r="BU1578" s="16"/>
      <c r="BV1578" s="16"/>
      <c r="BW1578" s="16"/>
      <c r="BX1578" s="16"/>
      <c r="BY1578" s="16"/>
      <c r="BZ1578" s="16"/>
      <c r="CA1578" s="16"/>
      <c r="CB1578" s="16"/>
      <c r="CC1578" s="16"/>
      <c r="CD1578" s="77"/>
      <c r="CE1578" s="16"/>
      <c r="CF1578" s="16"/>
      <c r="CG1578" s="16"/>
      <c r="CH1578" s="16"/>
      <c r="CI1578" s="16"/>
      <c r="CJ1578" s="16"/>
      <c r="CK1578" s="16"/>
      <c r="CL1578" s="16"/>
      <c r="CM1578" s="16"/>
      <c r="CN1578" s="16"/>
      <c r="CO1578" s="16"/>
      <c r="CP1578" s="16"/>
      <c r="CQ1578" s="16"/>
      <c r="CR1578" s="16"/>
      <c r="CS1578" s="16"/>
      <c r="CT1578" s="16"/>
      <c r="CU1578" s="16"/>
      <c r="CV1578" s="16"/>
      <c r="CW1578" s="16"/>
      <c r="CX1578" s="16"/>
      <c r="CY1578" s="16"/>
      <c r="CZ1578" s="16"/>
      <c r="DA1578" s="16"/>
      <c r="DB1578" s="16"/>
      <c r="DC1578" s="23"/>
      <c r="DD1578" s="23"/>
      <c r="DE1578" s="23"/>
      <c r="DF1578" s="16" t="e">
        <f>VLOOKUP(K1578,'[3]RNA Seq summary tables'!$V$3:$V$99,1,FALSE)</f>
        <v>#N/A</v>
      </c>
      <c r="DG1578" s="23"/>
      <c r="DH1578" s="23"/>
      <c r="DI1578" s="23"/>
      <c r="DJ1578" s="23"/>
      <c r="DK1578" s="23"/>
      <c r="DL1578" s="23"/>
      <c r="DM1578" s="23"/>
      <c r="DN1578" s="23"/>
      <c r="DO1578" s="23"/>
      <c r="DP1578" s="23"/>
      <c r="DQ1578" s="23"/>
      <c r="DR1578" s="23"/>
      <c r="DS1578" s="23"/>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18"/>
      <c r="EQ1578" s="18"/>
      <c r="ER1578" s="18"/>
      <c r="ES1578" s="18"/>
      <c r="ET1578" s="18"/>
      <c r="EU1578" s="18"/>
      <c r="EV1578" s="18"/>
      <c r="EW1578" s="18"/>
      <c r="EX1578" s="18"/>
      <c r="EY1578" s="18"/>
      <c r="EZ1578" s="18"/>
      <c r="FA1578" s="18"/>
      <c r="FB1578" s="18"/>
      <c r="FC1578" s="18"/>
      <c r="FD1578" s="18"/>
      <c r="FE1578" s="18"/>
      <c r="FF1578" s="18"/>
      <c r="FG1578" s="18"/>
      <c r="FH1578" s="18"/>
      <c r="FI1578" s="18"/>
      <c r="FJ1578" s="18"/>
      <c r="FK1578" s="18"/>
      <c r="FL1578" s="18"/>
      <c r="FM1578" s="18"/>
      <c r="FN1578" s="18"/>
      <c r="FO1578" s="18"/>
      <c r="FP1578" s="18"/>
      <c r="FQ1578" s="18"/>
      <c r="FR1578" s="18"/>
      <c r="FS1578" s="18"/>
      <c r="FT1578" s="18"/>
      <c r="FU1578" s="18"/>
      <c r="FV1578" s="18"/>
      <c r="FW1578" s="18"/>
      <c r="FX1578" s="18"/>
      <c r="FY1578" s="18"/>
      <c r="FZ1578" s="18"/>
      <c r="GA1578" s="18"/>
      <c r="GB1578" s="18"/>
      <c r="GC1578" s="18"/>
      <c r="GD1578" s="18"/>
      <c r="GE1578" s="18"/>
      <c r="GF1578" s="18"/>
      <c r="GG1578" s="18"/>
      <c r="GH1578" s="18"/>
      <c r="GI1578" s="18"/>
      <c r="GJ1578" s="18"/>
      <c r="GK1578" s="18"/>
      <c r="GL1578" s="18"/>
      <c r="GM1578" s="18"/>
      <c r="GN1578" s="18"/>
      <c r="GO1578" s="18"/>
      <c r="GP1578" s="18"/>
      <c r="GQ1578" s="18"/>
      <c r="GR1578" s="18"/>
      <c r="GS1578" s="18"/>
      <c r="GT1578" s="18"/>
      <c r="GU1578" s="18"/>
      <c r="GV1578" s="18"/>
      <c r="GW1578" s="18"/>
      <c r="GX1578" s="18"/>
      <c r="GY1578" s="18"/>
      <c r="GZ1578" s="18"/>
      <c r="HA1578" s="18"/>
      <c r="HB1578" s="18"/>
      <c r="HC1578" s="18"/>
      <c r="HD1578" s="18"/>
      <c r="HE1578" s="18"/>
      <c r="HF1578" s="18"/>
      <c r="HG1578" s="18"/>
      <c r="HH1578" s="18"/>
      <c r="HI1578" s="18"/>
      <c r="HJ1578" s="18"/>
      <c r="HK1578" s="18"/>
      <c r="HL1578" s="18"/>
      <c r="HM1578" s="18"/>
      <c r="HN1578" s="18"/>
      <c r="HO1578" s="18"/>
      <c r="HP1578" s="18"/>
      <c r="HQ1578" s="18"/>
      <c r="HR1578" s="18"/>
      <c r="HS1578" s="18"/>
      <c r="HT1578" s="18"/>
      <c r="HU1578" s="18"/>
      <c r="HV1578" s="18"/>
      <c r="HW1578" s="18"/>
      <c r="HX1578" s="18"/>
      <c r="HY1578" s="18"/>
      <c r="HZ1578" s="18"/>
      <c r="IA1578" s="18"/>
      <c r="IB1578" s="18"/>
      <c r="IC1578" s="18"/>
      <c r="ID1578" s="18"/>
      <c r="IE1578" s="18"/>
      <c r="IF1578" s="18"/>
      <c r="IG1578" s="18"/>
      <c r="IH1578" s="18"/>
      <c r="II1578" s="18"/>
      <c r="IJ1578" s="18"/>
      <c r="IK1578" s="18"/>
      <c r="IL1578" s="18"/>
      <c r="IM1578" s="18"/>
      <c r="IN1578" s="18"/>
      <c r="IO1578" s="18"/>
      <c r="IP1578" s="18"/>
      <c r="IQ1578" s="18"/>
      <c r="IR1578" s="18"/>
      <c r="IS1578" s="18"/>
      <c r="IT1578" s="18"/>
      <c r="IU1578" s="18"/>
      <c r="IV1578" s="18"/>
      <c r="IW1578" s="18"/>
      <c r="IX1578" s="18"/>
      <c r="IY1578" s="18"/>
      <c r="IZ1578" s="18"/>
      <c r="JA1578" s="18"/>
      <c r="JB1578" s="18"/>
      <c r="JC1578" s="18"/>
      <c r="JD1578" s="18"/>
      <c r="JE1578" s="18"/>
      <c r="JF1578" s="18"/>
      <c r="JG1578" s="18"/>
      <c r="JH1578" s="18"/>
      <c r="JI1578" s="18"/>
      <c r="JJ1578" s="18"/>
      <c r="JK1578" s="18"/>
      <c r="JL1578" s="18"/>
      <c r="JM1578" s="18"/>
      <c r="JN1578" s="18"/>
      <c r="JO1578" s="16"/>
      <c r="JP1578" s="16"/>
      <c r="JQ1578" s="16"/>
      <c r="JR1578" s="16"/>
      <c r="JS1578" s="16"/>
      <c r="JT1578" s="16"/>
      <c r="JU1578" s="16"/>
      <c r="JV1578" s="16"/>
      <c r="JW1578" s="16"/>
      <c r="JX1578" s="16"/>
      <c r="JY1578" s="16"/>
      <c r="JZ1578" s="16"/>
      <c r="KA1578" s="16"/>
      <c r="KB1578" s="16"/>
    </row>
    <row r="1579" spans="1:288" s="27" customFormat="1" x14ac:dyDescent="0.2">
      <c r="A1579" s="18"/>
      <c r="B1579" s="16">
        <v>2016</v>
      </c>
      <c r="C1579" s="20">
        <v>42614</v>
      </c>
      <c r="D1579" s="20" t="str">
        <f>CONCATENATE(J1579,"-",C1579)</f>
        <v>954-42614</v>
      </c>
      <c r="E1579" s="20" t="str">
        <f>CONCATENATE(T1579,"-",U1579,"-",C1579)</f>
        <v>PO2-F6-42614</v>
      </c>
      <c r="F1579" s="20" t="s">
        <v>227</v>
      </c>
      <c r="G1579" s="90" t="s">
        <v>278</v>
      </c>
      <c r="H1579" s="16"/>
      <c r="I1579" s="16"/>
      <c r="J1579" s="21">
        <v>954</v>
      </c>
      <c r="K1579" s="21"/>
      <c r="L1579" s="16"/>
      <c r="M1579" s="21"/>
      <c r="N1579" s="21"/>
      <c r="O1579" s="21"/>
      <c r="P1579" s="16"/>
      <c r="Q1579" s="16"/>
      <c r="R1579" s="16"/>
      <c r="S1579" s="16"/>
      <c r="T1579" s="16" t="s">
        <v>127</v>
      </c>
      <c r="U1579" s="16" t="s">
        <v>170</v>
      </c>
      <c r="V1579" s="16"/>
      <c r="W1579" s="16"/>
      <c r="X1579" s="16"/>
      <c r="Y1579" s="16"/>
      <c r="Z1579" s="16"/>
      <c r="AA1579" s="16"/>
      <c r="AB1579" s="16"/>
      <c r="AC1579" s="16"/>
      <c r="AD1579" s="16"/>
      <c r="AE1579" s="16"/>
      <c r="AF1579" s="16"/>
      <c r="AG1579" s="16"/>
      <c r="AH1579" s="16"/>
      <c r="AI1579" s="16"/>
      <c r="AJ1579" s="16"/>
      <c r="AK1579" s="16">
        <v>22.5</v>
      </c>
      <c r="AL1579" s="16"/>
      <c r="AM1579" s="16"/>
      <c r="AN1579" s="16"/>
      <c r="AO1579" s="16"/>
      <c r="AP1579" s="16"/>
      <c r="AQ1579" s="16"/>
      <c r="AR1579" s="16"/>
      <c r="AS1579" s="16"/>
      <c r="AT1579" s="16"/>
      <c r="AU1579" s="16"/>
      <c r="AV1579" s="16"/>
      <c r="AW1579" s="16"/>
      <c r="AX1579" s="16"/>
      <c r="AY1579" s="16"/>
      <c r="AZ1579" s="16"/>
      <c r="BA1579" s="16"/>
      <c r="BB1579" s="16"/>
      <c r="BC1579" s="16"/>
      <c r="BD1579" s="16"/>
      <c r="BE1579" s="16"/>
      <c r="BF1579" s="16"/>
      <c r="BG1579" s="77"/>
      <c r="BH1579" s="16"/>
      <c r="BI1579" s="16"/>
      <c r="BJ1579" s="16"/>
      <c r="BK1579" s="16"/>
      <c r="BL1579" s="16"/>
      <c r="BM1579" s="16"/>
      <c r="BN1579" s="16"/>
      <c r="BO1579" s="16"/>
      <c r="BP1579" s="16"/>
      <c r="BQ1579" s="16"/>
      <c r="BR1579" s="16"/>
      <c r="BS1579" s="16"/>
      <c r="BT1579" s="77"/>
      <c r="BU1579" s="16"/>
      <c r="BV1579" s="16"/>
      <c r="BW1579" s="16"/>
      <c r="BX1579" s="16"/>
      <c r="BY1579" s="16"/>
      <c r="BZ1579" s="16"/>
      <c r="CA1579" s="16"/>
      <c r="CB1579" s="16"/>
      <c r="CC1579" s="16"/>
      <c r="CD1579" s="77"/>
      <c r="CE1579" s="16"/>
      <c r="CF1579" s="16"/>
      <c r="CG1579" s="16"/>
      <c r="CH1579" s="16"/>
      <c r="CI1579" s="16"/>
      <c r="CJ1579" s="16"/>
      <c r="CK1579" s="16"/>
      <c r="CL1579" s="16"/>
      <c r="CM1579" s="16"/>
      <c r="CN1579" s="16"/>
      <c r="CO1579" s="16"/>
      <c r="CP1579" s="16"/>
      <c r="CQ1579" s="16"/>
      <c r="CR1579" s="16"/>
      <c r="CS1579" s="16"/>
      <c r="CT1579" s="16"/>
      <c r="CU1579" s="16"/>
      <c r="CV1579" s="16"/>
      <c r="CW1579" s="16"/>
      <c r="CX1579" s="16"/>
      <c r="CY1579" s="16"/>
      <c r="CZ1579" s="16"/>
      <c r="DA1579" s="16"/>
      <c r="DB1579" s="16"/>
      <c r="DC1579" s="16"/>
      <c r="DD1579" s="16"/>
      <c r="DE1579" s="16"/>
      <c r="DF1579" s="16" t="e">
        <f>VLOOKUP(K1579,'[3]RNA Seq summary tables'!$V$3:$V$99,1,FALSE)</f>
        <v>#N/A</v>
      </c>
      <c r="DG1579" s="16">
        <v>1</v>
      </c>
      <c r="DH1579" s="16" t="str">
        <f>VLOOKUP(D1579,'[8]Data with duplicates'!$B$1:$J$70,9,FALSE)</f>
        <v>sample.33dup</v>
      </c>
      <c r="DI1579" s="16"/>
      <c r="DJ1579" s="16"/>
      <c r="DK1579" s="16"/>
      <c r="DL1579" s="16"/>
      <c r="DM1579" s="16"/>
      <c r="DN1579" s="16"/>
      <c r="DO1579" s="16"/>
      <c r="DP1579" s="16"/>
      <c r="DQ1579" s="16"/>
      <c r="DR1579" s="16"/>
      <c r="DS1579" s="16"/>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18"/>
      <c r="EQ1579" s="18"/>
      <c r="ER1579" s="18"/>
      <c r="ES1579" s="18"/>
      <c r="ET1579" s="18"/>
      <c r="EU1579" s="18"/>
      <c r="EV1579" s="18"/>
      <c r="EW1579" s="18"/>
      <c r="EX1579" s="18"/>
      <c r="EY1579" s="18"/>
      <c r="EZ1579" s="18"/>
      <c r="FA1579" s="18"/>
      <c r="FB1579" s="18"/>
      <c r="FC1579" s="18"/>
      <c r="FD1579" s="18"/>
      <c r="FE1579" s="18"/>
      <c r="FF1579" s="18"/>
      <c r="FG1579" s="18"/>
      <c r="FH1579" s="18"/>
      <c r="FI1579" s="18"/>
      <c r="FJ1579" s="18"/>
      <c r="FK1579" s="18"/>
      <c r="FL1579" s="18"/>
      <c r="FM1579" s="18"/>
      <c r="FN1579" s="18"/>
      <c r="FO1579" s="18"/>
      <c r="FP1579" s="18"/>
      <c r="FQ1579" s="18"/>
      <c r="FR1579" s="18"/>
      <c r="FS1579" s="18"/>
      <c r="FT1579" s="18"/>
      <c r="FU1579" s="18"/>
      <c r="FV1579" s="18"/>
      <c r="FW1579" s="18"/>
      <c r="FX1579" s="18"/>
      <c r="FY1579" s="18"/>
      <c r="FZ1579" s="18"/>
      <c r="GA1579" s="18"/>
      <c r="GB1579" s="18"/>
      <c r="GC1579" s="18"/>
      <c r="GD1579" s="18"/>
      <c r="GE1579" s="18"/>
      <c r="GF1579" s="18"/>
      <c r="GG1579" s="18"/>
      <c r="GH1579" s="18"/>
      <c r="GI1579" s="18"/>
      <c r="GJ1579" s="18"/>
      <c r="GK1579" s="18"/>
      <c r="GL1579" s="18"/>
      <c r="GM1579" s="18"/>
      <c r="GN1579" s="18"/>
      <c r="GO1579" s="18"/>
      <c r="GP1579" s="18"/>
      <c r="GQ1579" s="18"/>
      <c r="GR1579" s="18"/>
      <c r="GS1579" s="18"/>
      <c r="GT1579" s="18"/>
      <c r="GU1579" s="18"/>
      <c r="GV1579" s="18"/>
      <c r="GW1579" s="18"/>
      <c r="GX1579" s="18"/>
      <c r="GY1579" s="18"/>
      <c r="GZ1579" s="18"/>
      <c r="HA1579" s="18"/>
      <c r="HB1579" s="18"/>
      <c r="HC1579" s="18"/>
      <c r="HD1579" s="18"/>
      <c r="HE1579" s="18"/>
      <c r="HF1579" s="18"/>
      <c r="HG1579" s="18"/>
      <c r="HH1579" s="18"/>
      <c r="HI1579" s="18"/>
      <c r="HJ1579" s="18"/>
      <c r="HK1579" s="18"/>
      <c r="HL1579" s="18"/>
      <c r="HM1579" s="18"/>
      <c r="HN1579" s="18"/>
      <c r="HO1579" s="18"/>
      <c r="HP1579" s="18"/>
      <c r="HQ1579" s="18"/>
      <c r="HR1579" s="18"/>
      <c r="HS1579" s="18"/>
      <c r="HT1579" s="18"/>
      <c r="HU1579" s="18"/>
      <c r="HV1579" s="18"/>
      <c r="HW1579" s="18"/>
      <c r="HX1579" s="18"/>
      <c r="HY1579" s="18"/>
      <c r="HZ1579" s="18"/>
      <c r="IA1579" s="18"/>
      <c r="IB1579" s="18"/>
      <c r="IC1579" s="18"/>
      <c r="ID1579" s="18"/>
      <c r="IE1579" s="18"/>
      <c r="IF1579" s="18"/>
      <c r="IG1579" s="18"/>
      <c r="IH1579" s="18"/>
      <c r="II1579" s="18"/>
      <c r="IJ1579" s="18"/>
      <c r="IK1579" s="18"/>
      <c r="IL1579" s="18"/>
      <c r="IM1579" s="18"/>
      <c r="IN1579" s="18"/>
      <c r="IO1579" s="18"/>
      <c r="IP1579" s="18"/>
      <c r="IQ1579" s="18"/>
      <c r="IR1579" s="18"/>
      <c r="IS1579" s="18"/>
      <c r="IT1579" s="18"/>
      <c r="IU1579" s="18"/>
      <c r="IV1579" s="18"/>
      <c r="IW1579" s="18"/>
      <c r="IX1579" s="18"/>
      <c r="IY1579" s="18"/>
      <c r="IZ1579" s="18"/>
      <c r="JA1579" s="18"/>
      <c r="JB1579" s="18"/>
      <c r="JC1579" s="18"/>
      <c r="JD1579" s="18"/>
      <c r="JE1579" s="18"/>
      <c r="JF1579" s="18"/>
      <c r="JG1579" s="18"/>
      <c r="JH1579" s="18"/>
      <c r="JI1579" s="18"/>
      <c r="JJ1579" s="18"/>
      <c r="JK1579" s="18"/>
      <c r="JL1579" s="18"/>
      <c r="JM1579" s="18"/>
      <c r="JN1579" s="18"/>
      <c r="JO1579" s="16"/>
      <c r="JP1579" s="16"/>
      <c r="JQ1579" s="16"/>
      <c r="JR1579" s="16"/>
      <c r="JS1579" s="16"/>
      <c r="JT1579" s="16"/>
      <c r="JU1579" s="16"/>
      <c r="JV1579" s="16"/>
      <c r="JW1579" s="16"/>
      <c r="JX1579" s="16"/>
      <c r="JY1579" s="16"/>
      <c r="JZ1579" s="16"/>
      <c r="KA1579" s="16"/>
      <c r="KB1579" s="16"/>
    </row>
    <row r="1580" spans="1:288" s="27" customFormat="1" x14ac:dyDescent="0.2">
      <c r="A1580" s="18"/>
      <c r="B1580" s="16">
        <v>2016</v>
      </c>
      <c r="C1580" s="20">
        <v>42531</v>
      </c>
      <c r="D1580" s="20" t="str">
        <f>CONCATENATE(J1580,"-",C1580)</f>
        <v>955-42531</v>
      </c>
      <c r="E1580" s="20" t="str">
        <f>CONCATENATE(T1580,"-",U1580,"-",C1580)</f>
        <v>PO2-A3-42531</v>
      </c>
      <c r="F1580" s="20" t="s">
        <v>106</v>
      </c>
      <c r="G1580" s="90" t="s">
        <v>278</v>
      </c>
      <c r="H1580" s="16"/>
      <c r="I1580" s="16"/>
      <c r="J1580" s="21">
        <v>955</v>
      </c>
      <c r="K1580" s="21"/>
      <c r="L1580" s="16"/>
      <c r="M1580" s="21"/>
      <c r="N1580" s="21"/>
      <c r="O1580" s="21"/>
      <c r="P1580" s="16"/>
      <c r="Q1580" s="16"/>
      <c r="R1580" s="16"/>
      <c r="S1580" s="16"/>
      <c r="T1580" s="16" t="s">
        <v>127</v>
      </c>
      <c r="U1580" s="16" t="s">
        <v>201</v>
      </c>
      <c r="V1580" s="16" t="s">
        <v>114</v>
      </c>
      <c r="W1580" s="16"/>
      <c r="X1580" s="16" t="s">
        <v>121</v>
      </c>
      <c r="Y1580" s="16" t="s">
        <v>110</v>
      </c>
      <c r="Z1580" s="16">
        <v>3</v>
      </c>
      <c r="AA1580" s="16" t="s">
        <v>119</v>
      </c>
      <c r="AB1580" s="16" t="s">
        <v>123</v>
      </c>
      <c r="AC1580" s="16" t="s">
        <v>123</v>
      </c>
      <c r="AD1580" s="16" t="s">
        <v>123</v>
      </c>
      <c r="AE1580" s="16"/>
      <c r="AF1580" s="16"/>
      <c r="AG1580" s="16"/>
      <c r="AH1580" s="16"/>
      <c r="AI1580" s="16"/>
      <c r="AJ1580" s="16"/>
      <c r="AK1580" s="16">
        <v>13</v>
      </c>
      <c r="AL1580" s="16">
        <v>0</v>
      </c>
      <c r="AM1580" s="16">
        <v>0</v>
      </c>
      <c r="AN1580" s="16">
        <v>0</v>
      </c>
      <c r="AO1580" s="16">
        <f>IF(SUM(AL1580:AN1580)&gt;0,1,0)</f>
        <v>0</v>
      </c>
      <c r="AP1580" s="16">
        <f>SUM(AL1580:AN1580)</f>
        <v>0</v>
      </c>
      <c r="AQ1580" s="16"/>
      <c r="AR1580" s="16"/>
      <c r="AS1580" s="16"/>
      <c r="AT1580" s="16"/>
      <c r="AU1580" s="16"/>
      <c r="AV1580" s="16"/>
      <c r="AW1580" s="16"/>
      <c r="AX1580" s="16"/>
      <c r="AY1580" s="16"/>
      <c r="AZ1580" s="16"/>
      <c r="BA1580" s="16"/>
      <c r="BB1580" s="16"/>
      <c r="BC1580" s="16"/>
      <c r="BD1580" s="16"/>
      <c r="BE1580" s="16"/>
      <c r="BF1580" s="16"/>
      <c r="BG1580" s="77"/>
      <c r="BH1580" s="16"/>
      <c r="BI1580" s="16"/>
      <c r="BJ1580" s="16"/>
      <c r="BK1580" s="16"/>
      <c r="BL1580" s="16"/>
      <c r="BM1580" s="16"/>
      <c r="BN1580" s="16"/>
      <c r="BO1580" s="16"/>
      <c r="BP1580" s="16"/>
      <c r="BQ1580" s="16"/>
      <c r="BR1580" s="16"/>
      <c r="BS1580" s="16"/>
      <c r="BT1580" s="77"/>
      <c r="BU1580" s="16"/>
      <c r="BV1580" s="16"/>
      <c r="BW1580" s="16"/>
      <c r="BX1580" s="16"/>
      <c r="BY1580" s="16"/>
      <c r="BZ1580" s="16"/>
      <c r="CA1580" s="16"/>
      <c r="CB1580" s="16"/>
      <c r="CC1580" s="16"/>
      <c r="CD1580" s="77"/>
      <c r="CE1580" s="16"/>
      <c r="CF1580" s="16"/>
      <c r="CG1580" s="16"/>
      <c r="CH1580" s="16"/>
      <c r="CI1580" s="16"/>
      <c r="CJ1580" s="16"/>
      <c r="CK1580" s="16"/>
      <c r="CL1580" s="16"/>
      <c r="CM1580" s="16"/>
      <c r="CN1580" s="16"/>
      <c r="CO1580" s="16"/>
      <c r="CP1580" s="16"/>
      <c r="CQ1580" s="16"/>
      <c r="CR1580" s="16"/>
      <c r="CS1580" s="16"/>
      <c r="CT1580" s="16"/>
      <c r="CU1580" s="16"/>
      <c r="CV1580" s="16"/>
      <c r="CW1580" s="16"/>
      <c r="CX1580" s="16"/>
      <c r="CY1580" s="16"/>
      <c r="CZ1580" s="16"/>
      <c r="DA1580" s="16"/>
      <c r="DB1580" s="16"/>
      <c r="DC1580" s="16"/>
      <c r="DD1580" s="16"/>
      <c r="DE1580" s="16"/>
      <c r="DF1580" s="16" t="e">
        <f>VLOOKUP(K1580,'[3]RNA Seq summary tables'!$V$3:$V$99,1,FALSE)</f>
        <v>#N/A</v>
      </c>
      <c r="DG1580" s="16"/>
      <c r="DH1580" s="16"/>
      <c r="DI1580" s="16"/>
      <c r="DJ1580" s="16"/>
      <c r="DK1580" s="16"/>
      <c r="DL1580" s="16"/>
      <c r="DM1580" s="16"/>
      <c r="DN1580" s="16"/>
      <c r="DO1580" s="16"/>
      <c r="DP1580" s="16"/>
      <c r="DQ1580" s="16"/>
      <c r="DR1580" s="16"/>
      <c r="DS1580" s="16"/>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18"/>
      <c r="EQ1580" s="18"/>
      <c r="ER1580" s="18"/>
      <c r="ES1580" s="18"/>
      <c r="ET1580" s="18"/>
      <c r="EU1580" s="18"/>
      <c r="EV1580" s="18"/>
      <c r="EW1580" s="18"/>
      <c r="EX1580" s="18"/>
      <c r="EY1580" s="18"/>
      <c r="EZ1580" s="18"/>
      <c r="FA1580" s="18"/>
      <c r="FB1580" s="18"/>
      <c r="FC1580" s="18"/>
      <c r="FD1580" s="18"/>
      <c r="FE1580" s="18"/>
      <c r="FF1580" s="18"/>
      <c r="FG1580" s="18"/>
      <c r="FH1580" s="18"/>
      <c r="FI1580" s="18"/>
      <c r="FJ1580" s="18"/>
      <c r="FK1580" s="18"/>
      <c r="FL1580" s="18"/>
      <c r="FM1580" s="18"/>
      <c r="FN1580" s="18"/>
      <c r="FO1580" s="18"/>
      <c r="FP1580" s="18"/>
      <c r="FQ1580" s="18"/>
      <c r="FR1580" s="18"/>
      <c r="FS1580" s="18"/>
      <c r="FT1580" s="18"/>
      <c r="FU1580" s="18"/>
      <c r="FV1580" s="18"/>
      <c r="FW1580" s="18"/>
      <c r="FX1580" s="18"/>
      <c r="FY1580" s="18"/>
      <c r="FZ1580" s="18"/>
      <c r="GA1580" s="18"/>
      <c r="GB1580" s="18"/>
      <c r="GC1580" s="18"/>
      <c r="GD1580" s="18"/>
      <c r="GE1580" s="18"/>
      <c r="GF1580" s="18"/>
      <c r="GG1580" s="18"/>
      <c r="GH1580" s="18"/>
      <c r="GI1580" s="18"/>
      <c r="GJ1580" s="18"/>
      <c r="GK1580" s="18"/>
      <c r="GL1580" s="18"/>
      <c r="GM1580" s="18"/>
      <c r="GN1580" s="18"/>
      <c r="GO1580" s="18"/>
      <c r="GP1580" s="18"/>
      <c r="GQ1580" s="18"/>
      <c r="GR1580" s="18"/>
      <c r="GS1580" s="18"/>
      <c r="GT1580" s="18"/>
      <c r="GU1580" s="18"/>
      <c r="GV1580" s="18"/>
      <c r="GW1580" s="18"/>
      <c r="GX1580" s="18"/>
      <c r="GY1580" s="18"/>
      <c r="GZ1580" s="18"/>
      <c r="HA1580" s="18"/>
      <c r="HB1580" s="18"/>
      <c r="HC1580" s="18"/>
      <c r="HD1580" s="18"/>
      <c r="HE1580" s="18"/>
      <c r="HF1580" s="18"/>
      <c r="HG1580" s="18"/>
      <c r="HH1580" s="18"/>
      <c r="HI1580" s="18"/>
      <c r="HJ1580" s="18"/>
      <c r="HK1580" s="18"/>
      <c r="HL1580" s="18"/>
      <c r="HM1580" s="18"/>
      <c r="HN1580" s="18"/>
      <c r="HO1580" s="18"/>
      <c r="HP1580" s="18"/>
      <c r="HQ1580" s="18"/>
      <c r="HR1580" s="18"/>
      <c r="HS1580" s="18"/>
      <c r="HT1580" s="18"/>
      <c r="HU1580" s="18"/>
      <c r="HV1580" s="18"/>
      <c r="HW1580" s="18"/>
      <c r="HX1580" s="18"/>
      <c r="HY1580" s="18"/>
      <c r="HZ1580" s="18"/>
      <c r="IA1580" s="18"/>
      <c r="IB1580" s="18"/>
      <c r="IC1580" s="18"/>
      <c r="ID1580" s="18"/>
      <c r="IE1580" s="18"/>
      <c r="IF1580" s="18"/>
      <c r="IG1580" s="18"/>
      <c r="IH1580" s="18"/>
      <c r="II1580" s="18"/>
      <c r="IJ1580" s="18"/>
      <c r="IK1580" s="18"/>
      <c r="IL1580" s="18"/>
      <c r="IM1580" s="18"/>
      <c r="IN1580" s="18"/>
      <c r="IO1580" s="18"/>
      <c r="IP1580" s="18"/>
      <c r="IQ1580" s="18"/>
      <c r="IR1580" s="18"/>
      <c r="IS1580" s="18"/>
      <c r="IT1580" s="18"/>
      <c r="IU1580" s="18"/>
      <c r="IV1580" s="18"/>
      <c r="IW1580" s="18"/>
      <c r="IX1580" s="18"/>
      <c r="IY1580" s="18"/>
      <c r="IZ1580" s="18"/>
      <c r="JA1580" s="18"/>
      <c r="JB1580" s="18"/>
      <c r="JC1580" s="18"/>
      <c r="JD1580" s="18"/>
      <c r="JE1580" s="18"/>
      <c r="JF1580" s="18"/>
      <c r="JG1580" s="18"/>
      <c r="JH1580" s="18"/>
      <c r="JI1580" s="18"/>
      <c r="JJ1580" s="18"/>
      <c r="JK1580" s="18"/>
      <c r="JL1580" s="18"/>
      <c r="JM1580" s="18"/>
      <c r="JN1580" s="18"/>
      <c r="JO1580" s="16"/>
      <c r="JP1580" s="16"/>
      <c r="JQ1580" s="16"/>
      <c r="JR1580" s="16"/>
      <c r="JS1580" s="16"/>
      <c r="JT1580" s="16"/>
      <c r="JU1580" s="16"/>
      <c r="JV1580" s="16"/>
      <c r="JW1580" s="16"/>
      <c r="JX1580" s="16"/>
      <c r="JY1580" s="16"/>
      <c r="JZ1580" s="16"/>
      <c r="KA1580" s="16"/>
      <c r="KB1580" s="16"/>
    </row>
    <row r="1581" spans="1:288" s="27" customFormat="1" x14ac:dyDescent="0.2">
      <c r="A1581" s="18"/>
      <c r="B1581" s="16">
        <v>2016</v>
      </c>
      <c r="C1581" s="20">
        <v>42532</v>
      </c>
      <c r="D1581" s="20" t="str">
        <f>CONCATENATE(J1581,"-",C1581)</f>
        <v>955-42532</v>
      </c>
      <c r="E1581" s="20" t="str">
        <f>CONCATENATE(T1581,"-",U1581,"-",C1581)</f>
        <v>PO2-A3-42532</v>
      </c>
      <c r="F1581" s="20" t="s">
        <v>106</v>
      </c>
      <c r="G1581" s="90" t="s">
        <v>278</v>
      </c>
      <c r="H1581" s="16"/>
      <c r="I1581" s="16"/>
      <c r="J1581" s="21">
        <v>955</v>
      </c>
      <c r="K1581" s="21"/>
      <c r="L1581" s="16"/>
      <c r="M1581" s="21"/>
      <c r="N1581" s="21"/>
      <c r="O1581" s="21"/>
      <c r="P1581" s="16"/>
      <c r="Q1581" s="16"/>
      <c r="R1581" s="16"/>
      <c r="S1581" s="16"/>
      <c r="T1581" s="16" t="s">
        <v>127</v>
      </c>
      <c r="U1581" s="16" t="s">
        <v>201</v>
      </c>
      <c r="V1581" s="16"/>
      <c r="W1581" s="16"/>
      <c r="X1581" s="16"/>
      <c r="Y1581" s="16"/>
      <c r="Z1581" s="16"/>
      <c r="AA1581" s="16"/>
      <c r="AB1581" s="16"/>
      <c r="AC1581" s="16"/>
      <c r="AD1581" s="16"/>
      <c r="AE1581" s="16"/>
      <c r="AF1581" s="16"/>
      <c r="AG1581" s="16"/>
      <c r="AH1581" s="16"/>
      <c r="AI1581" s="16"/>
      <c r="AJ1581" s="16"/>
      <c r="AK1581" s="16">
        <v>14.5</v>
      </c>
      <c r="AL1581" s="16"/>
      <c r="AM1581" s="16"/>
      <c r="AN1581" s="16"/>
      <c r="AO1581" s="16"/>
      <c r="AP1581" s="16"/>
      <c r="AQ1581" s="16"/>
      <c r="AR1581" s="16"/>
      <c r="AS1581" s="16"/>
      <c r="AT1581" s="16"/>
      <c r="AU1581" s="16"/>
      <c r="AV1581" s="16"/>
      <c r="AW1581" s="16"/>
      <c r="AX1581" s="16"/>
      <c r="AY1581" s="16"/>
      <c r="AZ1581" s="16"/>
      <c r="BA1581" s="16"/>
      <c r="BB1581" s="16"/>
      <c r="BC1581" s="16"/>
      <c r="BD1581" s="16"/>
      <c r="BE1581" s="16"/>
      <c r="BF1581" s="16"/>
      <c r="BG1581" s="77"/>
      <c r="BH1581" s="16"/>
      <c r="BI1581" s="16"/>
      <c r="BJ1581" s="16"/>
      <c r="BK1581" s="16"/>
      <c r="BL1581" s="16"/>
      <c r="BM1581" s="16"/>
      <c r="BN1581" s="16"/>
      <c r="BO1581" s="16"/>
      <c r="BP1581" s="16"/>
      <c r="BQ1581" s="16"/>
      <c r="BR1581" s="16"/>
      <c r="BS1581" s="16"/>
      <c r="BT1581" s="77"/>
      <c r="BU1581" s="16"/>
      <c r="BV1581" s="16"/>
      <c r="BW1581" s="16"/>
      <c r="BX1581" s="16"/>
      <c r="BY1581" s="16"/>
      <c r="BZ1581" s="16"/>
      <c r="CA1581" s="16"/>
      <c r="CB1581" s="16"/>
      <c r="CC1581" s="16"/>
      <c r="CD1581" s="77"/>
      <c r="CE1581" s="16"/>
      <c r="CF1581" s="16"/>
      <c r="CG1581" s="16"/>
      <c r="CH1581" s="16"/>
      <c r="CI1581" s="16"/>
      <c r="CJ1581" s="16"/>
      <c r="CK1581" s="16"/>
      <c r="CL1581" s="16"/>
      <c r="CM1581" s="16"/>
      <c r="CN1581" s="16"/>
      <c r="CO1581" s="16"/>
      <c r="CP1581" s="16"/>
      <c r="CQ1581" s="16"/>
      <c r="CR1581" s="16"/>
      <c r="CS1581" s="16"/>
      <c r="CT1581" s="16"/>
      <c r="CU1581" s="16"/>
      <c r="CV1581" s="16"/>
      <c r="CW1581" s="16"/>
      <c r="CX1581" s="16"/>
      <c r="CY1581" s="16"/>
      <c r="CZ1581" s="16"/>
      <c r="DA1581" s="16"/>
      <c r="DB1581" s="16"/>
      <c r="DC1581" s="16"/>
      <c r="DD1581" s="16"/>
      <c r="DE1581" s="16"/>
      <c r="DF1581" s="16" t="e">
        <f>VLOOKUP(K1581,'[3]RNA Seq summary tables'!$V$3:$V$99,1,FALSE)</f>
        <v>#N/A</v>
      </c>
      <c r="DG1581" s="16"/>
      <c r="DH1581" s="16"/>
      <c r="DI1581" s="16"/>
      <c r="DJ1581" s="16"/>
      <c r="DK1581" s="16"/>
      <c r="DL1581" s="16"/>
      <c r="DM1581" s="16"/>
      <c r="DN1581" s="16"/>
      <c r="DO1581" s="16"/>
      <c r="DP1581" s="16"/>
      <c r="DQ1581" s="16"/>
      <c r="DR1581" s="16"/>
      <c r="DS1581" s="16"/>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18"/>
      <c r="EQ1581" s="18"/>
      <c r="ER1581" s="18"/>
      <c r="ES1581" s="18"/>
      <c r="ET1581" s="18"/>
      <c r="EU1581" s="18"/>
      <c r="EV1581" s="18"/>
      <c r="EW1581" s="18"/>
      <c r="EX1581" s="18"/>
      <c r="EY1581" s="18"/>
      <c r="EZ1581" s="18"/>
      <c r="FA1581" s="18"/>
      <c r="FB1581" s="18"/>
      <c r="FC1581" s="18"/>
      <c r="FD1581" s="18"/>
      <c r="FE1581" s="18"/>
      <c r="FF1581" s="18"/>
      <c r="FG1581" s="18"/>
      <c r="FH1581" s="18"/>
      <c r="FI1581" s="18"/>
      <c r="FJ1581" s="18"/>
      <c r="FK1581" s="18"/>
      <c r="FL1581" s="18"/>
      <c r="FM1581" s="18"/>
      <c r="FN1581" s="18"/>
      <c r="FO1581" s="18"/>
      <c r="FP1581" s="18"/>
      <c r="FQ1581" s="18"/>
      <c r="FR1581" s="18"/>
      <c r="FS1581" s="18"/>
      <c r="FT1581" s="18"/>
      <c r="FU1581" s="18"/>
      <c r="FV1581" s="18"/>
      <c r="FW1581" s="18"/>
      <c r="FX1581" s="18"/>
      <c r="FY1581" s="18"/>
      <c r="FZ1581" s="18"/>
      <c r="GA1581" s="18"/>
      <c r="GB1581" s="18"/>
      <c r="GC1581" s="18"/>
      <c r="GD1581" s="18"/>
      <c r="GE1581" s="18"/>
      <c r="GF1581" s="18"/>
      <c r="GG1581" s="18"/>
      <c r="GH1581" s="18"/>
      <c r="GI1581" s="18"/>
      <c r="GJ1581" s="18"/>
      <c r="GK1581" s="18"/>
      <c r="GL1581" s="18"/>
      <c r="GM1581" s="18"/>
      <c r="GN1581" s="18"/>
      <c r="GO1581" s="18"/>
      <c r="GP1581" s="18"/>
      <c r="GQ1581" s="18"/>
      <c r="GR1581" s="18"/>
      <c r="GS1581" s="18"/>
      <c r="GT1581" s="18"/>
      <c r="GU1581" s="18"/>
      <c r="GV1581" s="18"/>
      <c r="GW1581" s="18"/>
      <c r="GX1581" s="18"/>
      <c r="GY1581" s="18"/>
      <c r="GZ1581" s="18"/>
      <c r="HA1581" s="18"/>
      <c r="HB1581" s="18"/>
      <c r="HC1581" s="18"/>
      <c r="HD1581" s="18"/>
      <c r="HE1581" s="18"/>
      <c r="HF1581" s="18"/>
      <c r="HG1581" s="18"/>
      <c r="HH1581" s="18"/>
      <c r="HI1581" s="18"/>
      <c r="HJ1581" s="18"/>
      <c r="HK1581" s="18"/>
      <c r="HL1581" s="18"/>
      <c r="HM1581" s="18"/>
      <c r="HN1581" s="18"/>
      <c r="HO1581" s="18"/>
      <c r="HP1581" s="18"/>
      <c r="HQ1581" s="18"/>
      <c r="HR1581" s="18"/>
      <c r="HS1581" s="18"/>
      <c r="HT1581" s="18"/>
      <c r="HU1581" s="18"/>
      <c r="HV1581" s="18"/>
      <c r="HW1581" s="18"/>
      <c r="HX1581" s="18"/>
      <c r="HY1581" s="18"/>
      <c r="HZ1581" s="18"/>
      <c r="IA1581" s="18"/>
      <c r="IB1581" s="18"/>
      <c r="IC1581" s="18"/>
      <c r="ID1581" s="18"/>
      <c r="IE1581" s="18"/>
      <c r="IF1581" s="18"/>
      <c r="IG1581" s="18"/>
      <c r="IH1581" s="18"/>
      <c r="II1581" s="18"/>
      <c r="IJ1581" s="18"/>
      <c r="IK1581" s="18"/>
      <c r="IL1581" s="18"/>
      <c r="IM1581" s="18"/>
      <c r="IN1581" s="18"/>
      <c r="IO1581" s="18"/>
      <c r="IP1581" s="18"/>
      <c r="IQ1581" s="18"/>
      <c r="IR1581" s="18"/>
      <c r="IS1581" s="18"/>
      <c r="IT1581" s="18"/>
      <c r="IU1581" s="18"/>
      <c r="IV1581" s="18"/>
      <c r="IW1581" s="18"/>
      <c r="IX1581" s="18"/>
      <c r="IY1581" s="18"/>
      <c r="IZ1581" s="18"/>
      <c r="JA1581" s="18"/>
      <c r="JB1581" s="18"/>
      <c r="JC1581" s="18"/>
      <c r="JD1581" s="18"/>
      <c r="JE1581" s="18"/>
      <c r="JF1581" s="18"/>
      <c r="JG1581" s="18"/>
      <c r="JH1581" s="18"/>
      <c r="JI1581" s="18"/>
      <c r="JJ1581" s="18"/>
      <c r="JK1581" s="18"/>
      <c r="JL1581" s="18"/>
      <c r="JM1581" s="18"/>
      <c r="JN1581" s="18"/>
      <c r="JO1581" s="18"/>
      <c r="JP1581" s="16"/>
      <c r="JQ1581" s="16"/>
      <c r="JR1581" s="16"/>
      <c r="JS1581" s="16"/>
      <c r="JT1581" s="16"/>
      <c r="JU1581" s="16"/>
      <c r="JV1581" s="16"/>
      <c r="JW1581" s="16"/>
      <c r="JX1581" s="16"/>
      <c r="JY1581" s="16"/>
      <c r="JZ1581" s="16"/>
      <c r="KA1581" s="16"/>
      <c r="KB1581" s="16"/>
    </row>
    <row r="1582" spans="1:288" s="27" customFormat="1" x14ac:dyDescent="0.2">
      <c r="A1582" s="18"/>
      <c r="B1582" s="16">
        <v>2016</v>
      </c>
      <c r="C1582" s="20">
        <v>42546</v>
      </c>
      <c r="D1582" s="20" t="str">
        <f>CONCATENATE(J1582,"-",C1582)</f>
        <v>955-42546</v>
      </c>
      <c r="E1582" s="20" t="str">
        <f>CONCATENATE(T1582,"-",U1582,"-",C1582)</f>
        <v>PO2-B7-42546</v>
      </c>
      <c r="F1582" s="20" t="s">
        <v>106</v>
      </c>
      <c r="G1582" s="90" t="s">
        <v>278</v>
      </c>
      <c r="H1582" s="16"/>
      <c r="I1582" s="16"/>
      <c r="J1582" s="21">
        <v>955</v>
      </c>
      <c r="K1582" s="21"/>
      <c r="L1582" s="16"/>
      <c r="M1582" s="21"/>
      <c r="N1582" s="21"/>
      <c r="O1582" s="21"/>
      <c r="P1582" s="16"/>
      <c r="Q1582" s="16"/>
      <c r="R1582" s="16"/>
      <c r="S1582" s="16"/>
      <c r="T1582" s="16" t="s">
        <v>127</v>
      </c>
      <c r="U1582" s="16" t="s">
        <v>168</v>
      </c>
      <c r="V1582" s="16" t="s">
        <v>114</v>
      </c>
      <c r="W1582" s="16"/>
      <c r="X1582" s="16"/>
      <c r="Y1582" s="16"/>
      <c r="Z1582" s="16"/>
      <c r="AA1582" s="16"/>
      <c r="AB1582" s="16"/>
      <c r="AC1582" s="16"/>
      <c r="AD1582" s="16"/>
      <c r="AE1582" s="16"/>
      <c r="AF1582" s="16"/>
      <c r="AG1582" s="16"/>
      <c r="AH1582" s="16"/>
      <c r="AI1582" s="16"/>
      <c r="AJ1582" s="16"/>
      <c r="AK1582" s="16">
        <v>19.5</v>
      </c>
      <c r="AL1582" s="16"/>
      <c r="AM1582" s="16"/>
      <c r="AN1582" s="16"/>
      <c r="AO1582" s="16"/>
      <c r="AP1582" s="16"/>
      <c r="AQ1582" s="16"/>
      <c r="AR1582" s="16"/>
      <c r="AS1582" s="16"/>
      <c r="AT1582" s="16"/>
      <c r="AU1582" s="16"/>
      <c r="AV1582" s="16"/>
      <c r="AW1582" s="16"/>
      <c r="AX1582" s="16"/>
      <c r="AY1582" s="16"/>
      <c r="AZ1582" s="16"/>
      <c r="BA1582" s="16"/>
      <c r="BB1582" s="16"/>
      <c r="BC1582" s="16"/>
      <c r="BD1582" s="16"/>
      <c r="BE1582" s="16"/>
      <c r="BF1582" s="16"/>
      <c r="BG1582" s="77"/>
      <c r="BH1582" s="16"/>
      <c r="BI1582" s="16"/>
      <c r="BJ1582" s="16"/>
      <c r="BK1582" s="16"/>
      <c r="BL1582" s="16"/>
      <c r="BM1582" s="16"/>
      <c r="BN1582" s="16"/>
      <c r="BO1582" s="16"/>
      <c r="BP1582" s="16"/>
      <c r="BQ1582" s="16"/>
      <c r="BR1582" s="16"/>
      <c r="BS1582" s="16"/>
      <c r="BT1582" s="77"/>
      <c r="BU1582" s="16"/>
      <c r="BV1582" s="16"/>
      <c r="BW1582" s="16"/>
      <c r="BX1582" s="16"/>
      <c r="BY1582" s="16"/>
      <c r="BZ1582" s="16"/>
      <c r="CA1582" s="16"/>
      <c r="CB1582" s="16"/>
      <c r="CC1582" s="16"/>
      <c r="CD1582" s="77"/>
      <c r="CE1582" s="16"/>
      <c r="CF1582" s="16"/>
      <c r="CG1582" s="16"/>
      <c r="CH1582" s="16"/>
      <c r="CI1582" s="16"/>
      <c r="CJ1582" s="16"/>
      <c r="CK1582" s="16"/>
      <c r="CL1582" s="16"/>
      <c r="CM1582" s="16"/>
      <c r="CN1582" s="16"/>
      <c r="CO1582" s="16"/>
      <c r="CP1582" s="16"/>
      <c r="CQ1582" s="16"/>
      <c r="CR1582" s="16"/>
      <c r="CS1582" s="16"/>
      <c r="CT1582" s="16"/>
      <c r="CU1582" s="16"/>
      <c r="CV1582" s="16"/>
      <c r="CW1582" s="16"/>
      <c r="CX1582" s="16"/>
      <c r="CY1582" s="16"/>
      <c r="CZ1582" s="16"/>
      <c r="DA1582" s="16"/>
      <c r="DB1582" s="16"/>
      <c r="DC1582" s="16"/>
      <c r="DD1582" s="16"/>
      <c r="DE1582" s="16"/>
      <c r="DF1582" s="16" t="e">
        <f>VLOOKUP(K1582,'[3]RNA Seq summary tables'!$V$3:$V$99,1,FALSE)</f>
        <v>#N/A</v>
      </c>
      <c r="DG1582" s="16"/>
      <c r="DH1582" s="16"/>
      <c r="DI1582" s="16"/>
      <c r="DJ1582" s="16"/>
      <c r="DK1582" s="16"/>
      <c r="DL1582" s="16"/>
      <c r="DM1582" s="16"/>
      <c r="DN1582" s="16"/>
      <c r="DO1582" s="16"/>
      <c r="DP1582" s="16"/>
      <c r="DQ1582" s="16"/>
      <c r="DR1582" s="16"/>
      <c r="DS1582" s="16"/>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18"/>
      <c r="EQ1582" s="18"/>
      <c r="ER1582" s="18"/>
      <c r="ES1582" s="18"/>
      <c r="ET1582" s="18"/>
      <c r="EU1582" s="18"/>
      <c r="EV1582" s="18"/>
      <c r="EW1582" s="18"/>
      <c r="EX1582" s="18"/>
      <c r="EY1582" s="18"/>
      <c r="EZ1582" s="18"/>
      <c r="FA1582" s="18"/>
      <c r="FB1582" s="18"/>
      <c r="FC1582" s="18"/>
      <c r="FD1582" s="18"/>
      <c r="FE1582" s="18"/>
      <c r="FF1582" s="18"/>
      <c r="FG1582" s="18"/>
      <c r="FH1582" s="18"/>
      <c r="FI1582" s="18"/>
      <c r="FJ1582" s="18"/>
      <c r="FK1582" s="18"/>
      <c r="FL1582" s="18"/>
      <c r="FM1582" s="18"/>
      <c r="FN1582" s="18"/>
      <c r="FO1582" s="18"/>
      <c r="FP1582" s="18"/>
      <c r="FQ1582" s="18"/>
      <c r="FR1582" s="18"/>
      <c r="FS1582" s="18"/>
      <c r="FT1582" s="18"/>
      <c r="FU1582" s="18"/>
      <c r="FV1582" s="18"/>
      <c r="FW1582" s="18"/>
      <c r="FX1582" s="18"/>
      <c r="FY1582" s="18"/>
      <c r="FZ1582" s="18"/>
      <c r="GA1582" s="18"/>
      <c r="GB1582" s="18"/>
      <c r="GC1582" s="18"/>
      <c r="GD1582" s="18"/>
      <c r="GE1582" s="18"/>
      <c r="GF1582" s="18"/>
      <c r="GG1582" s="18"/>
      <c r="GH1582" s="18"/>
      <c r="GI1582" s="18"/>
      <c r="GJ1582" s="18"/>
      <c r="GK1582" s="18"/>
      <c r="GL1582" s="18"/>
      <c r="GM1582" s="18"/>
      <c r="GN1582" s="18"/>
      <c r="GO1582" s="18"/>
      <c r="GP1582" s="18"/>
      <c r="GQ1582" s="18"/>
      <c r="GR1582" s="18"/>
      <c r="GS1582" s="18"/>
      <c r="GT1582" s="18"/>
      <c r="GU1582" s="18"/>
      <c r="GV1582" s="18"/>
      <c r="GW1582" s="18"/>
      <c r="GX1582" s="18"/>
      <c r="GY1582" s="18"/>
      <c r="GZ1582" s="18"/>
      <c r="HA1582" s="18"/>
      <c r="HB1582" s="18"/>
      <c r="HC1582" s="18"/>
      <c r="HD1582" s="18"/>
      <c r="HE1582" s="18"/>
      <c r="HF1582" s="18"/>
      <c r="HG1582" s="18"/>
      <c r="HH1582" s="18"/>
      <c r="HI1582" s="18"/>
      <c r="HJ1582" s="18"/>
      <c r="HK1582" s="18"/>
      <c r="HL1582" s="18"/>
      <c r="HM1582" s="18"/>
      <c r="HN1582" s="18"/>
      <c r="HO1582" s="18"/>
      <c r="HP1582" s="18"/>
      <c r="HQ1582" s="18"/>
      <c r="HR1582" s="18"/>
      <c r="HS1582" s="18"/>
      <c r="HT1582" s="18"/>
      <c r="HU1582" s="18"/>
      <c r="HV1582" s="18"/>
      <c r="HW1582" s="18"/>
      <c r="HX1582" s="18"/>
      <c r="HY1582" s="18"/>
      <c r="HZ1582" s="18"/>
      <c r="IA1582" s="18"/>
      <c r="IB1582" s="18"/>
      <c r="IC1582" s="18"/>
      <c r="ID1582" s="18"/>
      <c r="IE1582" s="18"/>
      <c r="IF1582" s="18"/>
      <c r="IG1582" s="18"/>
      <c r="IH1582" s="18"/>
      <c r="II1582" s="18"/>
      <c r="IJ1582" s="18"/>
      <c r="IK1582" s="18"/>
      <c r="IL1582" s="18"/>
      <c r="IM1582" s="18"/>
      <c r="IN1582" s="18"/>
      <c r="IO1582" s="18"/>
      <c r="IP1582" s="18"/>
      <c r="IQ1582" s="18"/>
      <c r="IR1582" s="18"/>
      <c r="IS1582" s="18"/>
      <c r="IT1582" s="18"/>
      <c r="IU1582" s="18"/>
      <c r="IV1582" s="18"/>
      <c r="IW1582" s="18"/>
      <c r="IX1582" s="18"/>
      <c r="IY1582" s="18"/>
      <c r="IZ1582" s="18"/>
      <c r="JA1582" s="18"/>
      <c r="JB1582" s="18"/>
      <c r="JC1582" s="18"/>
      <c r="JD1582" s="18"/>
      <c r="JE1582" s="18"/>
      <c r="JF1582" s="18"/>
      <c r="JG1582" s="18"/>
      <c r="JH1582" s="18"/>
      <c r="JI1582" s="18"/>
      <c r="JJ1582" s="18"/>
      <c r="JK1582" s="18"/>
      <c r="JL1582" s="18"/>
      <c r="JM1582" s="18"/>
      <c r="JN1582" s="18"/>
      <c r="JO1582" s="16"/>
      <c r="JP1582" s="16"/>
      <c r="JQ1582" s="16"/>
      <c r="JR1582" s="16"/>
      <c r="JS1582" s="16"/>
      <c r="JT1582" s="16"/>
      <c r="JU1582" s="16"/>
      <c r="JV1582" s="16"/>
      <c r="JW1582" s="16"/>
      <c r="JX1582" s="16"/>
      <c r="JY1582" s="16"/>
      <c r="JZ1582" s="16"/>
      <c r="KA1582" s="16"/>
      <c r="KB1582" s="16"/>
    </row>
    <row r="1583" spans="1:288" s="27" customFormat="1" x14ac:dyDescent="0.2">
      <c r="A1583" s="18"/>
      <c r="B1583" s="16">
        <v>2016</v>
      </c>
      <c r="C1583" s="20">
        <v>42531</v>
      </c>
      <c r="D1583" s="20" t="str">
        <f>CONCATENATE(J1583,"-",C1583)</f>
        <v>956-42531</v>
      </c>
      <c r="E1583" s="20" t="str">
        <f>CONCATENATE(T1583,"-",U1583,"-",C1583)</f>
        <v>PO2-B1-42531</v>
      </c>
      <c r="F1583" s="20" t="s">
        <v>106</v>
      </c>
      <c r="G1583" s="90" t="s">
        <v>278</v>
      </c>
      <c r="H1583" s="16"/>
      <c r="I1583" s="16"/>
      <c r="J1583" s="21">
        <v>956</v>
      </c>
      <c r="K1583" s="21"/>
      <c r="L1583" s="16"/>
      <c r="M1583" s="21"/>
      <c r="N1583" s="21"/>
      <c r="O1583" s="21"/>
      <c r="P1583" s="16"/>
      <c r="Q1583" s="16"/>
      <c r="R1583" s="16"/>
      <c r="S1583" s="16"/>
      <c r="T1583" s="16" t="s">
        <v>127</v>
      </c>
      <c r="U1583" s="16" t="s">
        <v>113</v>
      </c>
      <c r="V1583" s="16" t="s">
        <v>114</v>
      </c>
      <c r="W1583" s="16"/>
      <c r="X1583" s="16" t="s">
        <v>115</v>
      </c>
      <c r="Y1583" s="16" t="s">
        <v>122</v>
      </c>
      <c r="Z1583" s="16">
        <v>2.9</v>
      </c>
      <c r="AA1583" s="16"/>
      <c r="AB1583" s="16"/>
      <c r="AC1583" s="16"/>
      <c r="AD1583" s="16"/>
      <c r="AE1583" s="16" t="s">
        <v>123</v>
      </c>
      <c r="AF1583" s="16" t="s">
        <v>123</v>
      </c>
      <c r="AG1583" s="16"/>
      <c r="AH1583" s="16"/>
      <c r="AI1583" s="16"/>
      <c r="AJ1583" s="16"/>
      <c r="AK1583" s="16">
        <v>13.5</v>
      </c>
      <c r="AL1583" s="16">
        <v>0</v>
      </c>
      <c r="AM1583" s="16">
        <v>0</v>
      </c>
      <c r="AN1583" s="16">
        <v>0</v>
      </c>
      <c r="AO1583" s="16">
        <f>IF(SUM(AL1583:AN1583)&gt;0,1,0)</f>
        <v>0</v>
      </c>
      <c r="AP1583" s="16">
        <f>SUM(AL1583:AN1583)</f>
        <v>0</v>
      </c>
      <c r="AQ1583" s="16"/>
      <c r="AR1583" s="16"/>
      <c r="AS1583" s="16"/>
      <c r="AT1583" s="16"/>
      <c r="AU1583" s="16"/>
      <c r="AV1583" s="16"/>
      <c r="AW1583" s="16"/>
      <c r="AX1583" s="16"/>
      <c r="AY1583" s="16"/>
      <c r="AZ1583" s="16"/>
      <c r="BA1583" s="16"/>
      <c r="BB1583" s="16"/>
      <c r="BC1583" s="16"/>
      <c r="BD1583" s="16"/>
      <c r="BE1583" s="16"/>
      <c r="BF1583" s="16"/>
      <c r="BG1583" s="77"/>
      <c r="BH1583" s="16"/>
      <c r="BI1583" s="16"/>
      <c r="BJ1583" s="16"/>
      <c r="BK1583" s="16"/>
      <c r="BL1583" s="16"/>
      <c r="BM1583" s="16"/>
      <c r="BN1583" s="16"/>
      <c r="BO1583" s="16"/>
      <c r="BP1583" s="16"/>
      <c r="BQ1583" s="16"/>
      <c r="BR1583" s="16"/>
      <c r="BS1583" s="16"/>
      <c r="BT1583" s="77"/>
      <c r="BU1583" s="16"/>
      <c r="BV1583" s="16"/>
      <c r="BW1583" s="16"/>
      <c r="BX1583" s="16"/>
      <c r="BY1583" s="16"/>
      <c r="BZ1583" s="16"/>
      <c r="CA1583" s="16"/>
      <c r="CB1583" s="16"/>
      <c r="CC1583" s="16"/>
      <c r="CD1583" s="77"/>
      <c r="CE1583" s="16"/>
      <c r="CF1583" s="16"/>
      <c r="CG1583" s="16"/>
      <c r="CH1583" s="16"/>
      <c r="CI1583" s="16"/>
      <c r="CJ1583" s="16"/>
      <c r="CK1583" s="16"/>
      <c r="CL1583" s="16"/>
      <c r="CM1583" s="16"/>
      <c r="CN1583" s="16"/>
      <c r="CO1583" s="16"/>
      <c r="CP1583" s="16"/>
      <c r="CQ1583" s="16"/>
      <c r="CR1583" s="16"/>
      <c r="CS1583" s="16"/>
      <c r="CT1583" s="16"/>
      <c r="CU1583" s="16"/>
      <c r="CV1583" s="16"/>
      <c r="CW1583" s="16"/>
      <c r="CX1583" s="16"/>
      <c r="CY1583" s="16"/>
      <c r="CZ1583" s="16"/>
      <c r="DA1583" s="16"/>
      <c r="DB1583" s="16"/>
      <c r="DC1583" s="16"/>
      <c r="DD1583" s="16"/>
      <c r="DE1583" s="16"/>
      <c r="DF1583" s="16" t="e">
        <f>VLOOKUP(K1583,'[3]RNA Seq summary tables'!$V$3:$V$99,1,FALSE)</f>
        <v>#N/A</v>
      </c>
      <c r="DG1583" s="16"/>
      <c r="DH1583" s="16"/>
      <c r="DI1583" s="16"/>
      <c r="DJ1583" s="16"/>
      <c r="DK1583" s="16"/>
      <c r="DL1583" s="16"/>
      <c r="DM1583" s="16"/>
      <c r="DN1583" s="16"/>
      <c r="DO1583" s="16"/>
      <c r="DP1583" s="16"/>
      <c r="DQ1583" s="16"/>
      <c r="DR1583" s="16"/>
      <c r="DS1583" s="16"/>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18"/>
      <c r="EQ1583" s="18"/>
      <c r="ER1583" s="18"/>
      <c r="ES1583" s="18"/>
      <c r="ET1583" s="18"/>
      <c r="EU1583" s="18"/>
      <c r="EV1583" s="18"/>
      <c r="EW1583" s="18"/>
      <c r="EX1583" s="18"/>
      <c r="EY1583" s="18"/>
      <c r="EZ1583" s="18"/>
      <c r="FA1583" s="18"/>
      <c r="FB1583" s="18"/>
      <c r="FC1583" s="18"/>
      <c r="FD1583" s="18"/>
      <c r="FE1583" s="18"/>
      <c r="FF1583" s="18"/>
      <c r="FG1583" s="18"/>
      <c r="FH1583" s="18"/>
      <c r="FI1583" s="18"/>
      <c r="FJ1583" s="18"/>
      <c r="FK1583" s="18"/>
      <c r="FL1583" s="18"/>
      <c r="FM1583" s="18"/>
      <c r="FN1583" s="18"/>
      <c r="FO1583" s="18"/>
      <c r="FP1583" s="18"/>
      <c r="FQ1583" s="18"/>
      <c r="FR1583" s="18"/>
      <c r="FS1583" s="18"/>
      <c r="FT1583" s="18"/>
      <c r="FU1583" s="18"/>
      <c r="FV1583" s="18"/>
      <c r="FW1583" s="18"/>
      <c r="FX1583" s="18"/>
      <c r="FY1583" s="18"/>
      <c r="FZ1583" s="18"/>
      <c r="GA1583" s="18"/>
      <c r="GB1583" s="18"/>
      <c r="GC1583" s="18"/>
      <c r="GD1583" s="18"/>
      <c r="GE1583" s="18"/>
      <c r="GF1583" s="18"/>
      <c r="GG1583" s="18"/>
      <c r="GH1583" s="18"/>
      <c r="GI1583" s="18"/>
      <c r="GJ1583" s="18"/>
      <c r="GK1583" s="18"/>
      <c r="GL1583" s="18"/>
      <c r="GM1583" s="18"/>
      <c r="GN1583" s="18"/>
      <c r="GO1583" s="18"/>
      <c r="GP1583" s="18"/>
      <c r="GQ1583" s="18"/>
      <c r="GR1583" s="18"/>
      <c r="GS1583" s="18"/>
      <c r="GT1583" s="18"/>
      <c r="GU1583" s="18"/>
      <c r="GV1583" s="18"/>
      <c r="GW1583" s="18"/>
      <c r="GX1583" s="18"/>
      <c r="GY1583" s="18"/>
      <c r="GZ1583" s="18"/>
      <c r="HA1583" s="18"/>
      <c r="HB1583" s="18"/>
      <c r="HC1583" s="18"/>
      <c r="HD1583" s="18"/>
      <c r="HE1583" s="18"/>
      <c r="HF1583" s="18"/>
      <c r="HG1583" s="18"/>
      <c r="HH1583" s="18"/>
      <c r="HI1583" s="18"/>
      <c r="HJ1583" s="18"/>
      <c r="HK1583" s="18"/>
      <c r="HL1583" s="18"/>
      <c r="HM1583" s="18"/>
      <c r="HN1583" s="18"/>
      <c r="HO1583" s="18"/>
      <c r="HP1583" s="18"/>
      <c r="HQ1583" s="18"/>
      <c r="HR1583" s="18"/>
      <c r="HS1583" s="18"/>
      <c r="HT1583" s="18"/>
      <c r="HU1583" s="18"/>
      <c r="HV1583" s="18"/>
      <c r="HW1583" s="18"/>
      <c r="HX1583" s="18"/>
      <c r="HY1583" s="18"/>
      <c r="HZ1583" s="18"/>
      <c r="IA1583" s="18"/>
      <c r="IB1583" s="18"/>
      <c r="IC1583" s="18"/>
      <c r="ID1583" s="18"/>
      <c r="IE1583" s="18"/>
      <c r="IF1583" s="18"/>
      <c r="IG1583" s="18"/>
      <c r="IH1583" s="18"/>
      <c r="II1583" s="18"/>
      <c r="IJ1583" s="18"/>
      <c r="IK1583" s="18"/>
      <c r="IL1583" s="18"/>
      <c r="IM1583" s="18"/>
      <c r="IN1583" s="18"/>
      <c r="IO1583" s="18"/>
      <c r="IP1583" s="18"/>
      <c r="IQ1583" s="18"/>
      <c r="IR1583" s="18"/>
      <c r="IS1583" s="18"/>
      <c r="IT1583" s="18"/>
      <c r="IU1583" s="18"/>
      <c r="IV1583" s="18"/>
      <c r="IW1583" s="18"/>
      <c r="IX1583" s="18"/>
      <c r="IY1583" s="18"/>
      <c r="IZ1583" s="18"/>
      <c r="JA1583" s="18"/>
      <c r="JB1583" s="18"/>
      <c r="JC1583" s="18"/>
      <c r="JD1583" s="18"/>
      <c r="JE1583" s="18"/>
      <c r="JF1583" s="18"/>
      <c r="JG1583" s="18"/>
      <c r="JH1583" s="18"/>
      <c r="JI1583" s="18"/>
      <c r="JJ1583" s="18"/>
      <c r="JK1583" s="18"/>
      <c r="JL1583" s="18"/>
      <c r="JM1583" s="18"/>
      <c r="JN1583" s="18"/>
      <c r="JO1583" s="16"/>
      <c r="JP1583" s="16"/>
      <c r="JQ1583" s="16"/>
      <c r="JR1583" s="16"/>
      <c r="JS1583" s="16"/>
      <c r="JT1583" s="16"/>
      <c r="JU1583" s="16"/>
      <c r="JV1583" s="16"/>
      <c r="JW1583" s="16"/>
      <c r="JX1583" s="16"/>
      <c r="JY1583" s="16"/>
      <c r="JZ1583" s="16"/>
      <c r="KA1583" s="16"/>
      <c r="KB1583" s="16"/>
    </row>
    <row r="1584" spans="1:288" s="27" customFormat="1" x14ac:dyDescent="0.2">
      <c r="A1584" s="18"/>
      <c r="B1584" s="16">
        <v>2016</v>
      </c>
      <c r="C1584" s="20">
        <v>42532</v>
      </c>
      <c r="D1584" s="20" t="str">
        <f>CONCATENATE(J1584,"-",C1584)</f>
        <v>956-42532</v>
      </c>
      <c r="E1584" s="20" t="str">
        <f>CONCATENATE(T1584,"-",U1584,"-",C1584)</f>
        <v>PO2-F2-42532</v>
      </c>
      <c r="F1584" s="20" t="s">
        <v>106</v>
      </c>
      <c r="G1584" s="90" t="s">
        <v>278</v>
      </c>
      <c r="H1584" s="16"/>
      <c r="I1584" s="16"/>
      <c r="J1584" s="21">
        <v>956</v>
      </c>
      <c r="K1584" s="21"/>
      <c r="L1584" s="16"/>
      <c r="M1584" s="21"/>
      <c r="N1584" s="21"/>
      <c r="O1584" s="21"/>
      <c r="P1584" s="16"/>
      <c r="Q1584" s="16"/>
      <c r="R1584" s="16"/>
      <c r="S1584" s="16"/>
      <c r="T1584" s="16" t="s">
        <v>127</v>
      </c>
      <c r="U1584" s="16" t="s">
        <v>187</v>
      </c>
      <c r="V1584" s="16" t="s">
        <v>114</v>
      </c>
      <c r="W1584" s="16"/>
      <c r="X1584" s="16" t="s">
        <v>115</v>
      </c>
      <c r="Y1584" s="16" t="s">
        <v>122</v>
      </c>
      <c r="Z1584" s="16">
        <v>2.6</v>
      </c>
      <c r="AA1584" s="16"/>
      <c r="AB1584" s="16"/>
      <c r="AC1584" s="16"/>
      <c r="AD1584" s="16"/>
      <c r="AE1584" s="16" t="s">
        <v>123</v>
      </c>
      <c r="AF1584" s="16" t="s">
        <v>123</v>
      </c>
      <c r="AG1584" s="16"/>
      <c r="AH1584" s="16"/>
      <c r="AI1584" s="16"/>
      <c r="AJ1584" s="16"/>
      <c r="AK1584" s="16">
        <v>15.5</v>
      </c>
      <c r="AL1584" s="16">
        <v>0</v>
      </c>
      <c r="AM1584" s="16">
        <v>0</v>
      </c>
      <c r="AN1584" s="16">
        <v>0</v>
      </c>
      <c r="AO1584" s="16">
        <f>IF(SUM(AL1584:AN1584)&gt;0,1,0)</f>
        <v>0</v>
      </c>
      <c r="AP1584" s="16">
        <f>SUM(AL1584:AN1584)</f>
        <v>0</v>
      </c>
      <c r="AQ1584" s="16"/>
      <c r="AR1584" s="16"/>
      <c r="AS1584" s="16"/>
      <c r="AT1584" s="16"/>
      <c r="AU1584" s="16"/>
      <c r="AV1584" s="16"/>
      <c r="AW1584" s="16"/>
      <c r="AX1584" s="16"/>
      <c r="AY1584" s="16"/>
      <c r="AZ1584" s="16"/>
      <c r="BA1584" s="16"/>
      <c r="BB1584" s="16"/>
      <c r="BC1584" s="16"/>
      <c r="BD1584" s="16"/>
      <c r="BE1584" s="16"/>
      <c r="BF1584" s="16"/>
      <c r="BG1584" s="77"/>
      <c r="BH1584" s="16"/>
      <c r="BI1584" s="16"/>
      <c r="BJ1584" s="16"/>
      <c r="BK1584" s="16"/>
      <c r="BL1584" s="16"/>
      <c r="BM1584" s="16"/>
      <c r="BN1584" s="16"/>
      <c r="BO1584" s="16"/>
      <c r="BP1584" s="16"/>
      <c r="BQ1584" s="16"/>
      <c r="BR1584" s="16"/>
      <c r="BS1584" s="16"/>
      <c r="BT1584" s="77"/>
      <c r="BU1584" s="16"/>
      <c r="BV1584" s="16"/>
      <c r="BW1584" s="16"/>
      <c r="BX1584" s="16"/>
      <c r="BY1584" s="16"/>
      <c r="BZ1584" s="16"/>
      <c r="CA1584" s="16"/>
      <c r="CB1584" s="16"/>
      <c r="CC1584" s="16"/>
      <c r="CD1584" s="77"/>
      <c r="CE1584" s="16"/>
      <c r="CF1584" s="16"/>
      <c r="CG1584" s="16"/>
      <c r="CH1584" s="16"/>
      <c r="CI1584" s="16"/>
      <c r="CJ1584" s="16"/>
      <c r="CK1584" s="16"/>
      <c r="CL1584" s="16"/>
      <c r="CM1584" s="16"/>
      <c r="CN1584" s="16"/>
      <c r="CO1584" s="16"/>
      <c r="CP1584" s="16"/>
      <c r="CQ1584" s="16"/>
      <c r="CR1584" s="16"/>
      <c r="CS1584" s="16"/>
      <c r="CT1584" s="16"/>
      <c r="CU1584" s="16"/>
      <c r="CV1584" s="16"/>
      <c r="CW1584" s="16"/>
      <c r="CX1584" s="16"/>
      <c r="CY1584" s="16"/>
      <c r="CZ1584" s="16"/>
      <c r="DA1584" s="16"/>
      <c r="DB1584" s="16"/>
      <c r="DC1584" s="16"/>
      <c r="DD1584" s="16"/>
      <c r="DE1584" s="16"/>
      <c r="DF1584" s="16" t="e">
        <f>VLOOKUP(K1584,'[3]RNA Seq summary tables'!$V$3:$V$99,1,FALSE)</f>
        <v>#N/A</v>
      </c>
      <c r="DG1584" s="16"/>
      <c r="DH1584" s="16"/>
      <c r="DI1584" s="16"/>
      <c r="DJ1584" s="16"/>
      <c r="DK1584" s="16"/>
      <c r="DL1584" s="16"/>
      <c r="DM1584" s="16"/>
      <c r="DN1584" s="16"/>
      <c r="DO1584" s="16"/>
      <c r="DP1584" s="16"/>
      <c r="DQ1584" s="16"/>
      <c r="DR1584" s="16"/>
      <c r="DS1584" s="16"/>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18"/>
      <c r="EQ1584" s="18"/>
      <c r="ER1584" s="18"/>
      <c r="ES1584" s="18"/>
      <c r="ET1584" s="18"/>
      <c r="EU1584" s="18"/>
      <c r="EV1584" s="18"/>
      <c r="EW1584" s="18"/>
      <c r="EX1584" s="18"/>
      <c r="EY1584" s="18"/>
      <c r="EZ1584" s="18"/>
      <c r="FA1584" s="18"/>
      <c r="FB1584" s="18"/>
      <c r="FC1584" s="18"/>
      <c r="FD1584" s="18"/>
      <c r="FE1584" s="18"/>
      <c r="FF1584" s="18"/>
      <c r="FG1584" s="18"/>
      <c r="FH1584" s="18"/>
      <c r="FI1584" s="18"/>
      <c r="FJ1584" s="18"/>
      <c r="FK1584" s="18"/>
      <c r="FL1584" s="18"/>
      <c r="FM1584" s="18"/>
      <c r="FN1584" s="18"/>
      <c r="FO1584" s="18"/>
      <c r="FP1584" s="18"/>
      <c r="FQ1584" s="18"/>
      <c r="FR1584" s="18"/>
      <c r="FS1584" s="18"/>
      <c r="FT1584" s="18"/>
      <c r="FU1584" s="18"/>
      <c r="FV1584" s="18"/>
      <c r="FW1584" s="18"/>
      <c r="FX1584" s="18"/>
      <c r="FY1584" s="18"/>
      <c r="FZ1584" s="18"/>
      <c r="GA1584" s="18"/>
      <c r="GB1584" s="18"/>
      <c r="GC1584" s="18"/>
      <c r="GD1584" s="18"/>
      <c r="GE1584" s="18"/>
      <c r="GF1584" s="18"/>
      <c r="GG1584" s="18"/>
      <c r="GH1584" s="18"/>
      <c r="GI1584" s="18"/>
      <c r="GJ1584" s="18"/>
      <c r="GK1584" s="18"/>
      <c r="GL1584" s="18"/>
      <c r="GM1584" s="18"/>
      <c r="GN1584" s="18"/>
      <c r="GO1584" s="18"/>
      <c r="GP1584" s="18"/>
      <c r="GQ1584" s="18"/>
      <c r="GR1584" s="18"/>
      <c r="GS1584" s="18"/>
      <c r="GT1584" s="18"/>
      <c r="GU1584" s="18"/>
      <c r="GV1584" s="18"/>
      <c r="GW1584" s="18"/>
      <c r="GX1584" s="18"/>
      <c r="GY1584" s="18"/>
      <c r="GZ1584" s="18"/>
      <c r="HA1584" s="18"/>
      <c r="HB1584" s="18"/>
      <c r="HC1584" s="18"/>
      <c r="HD1584" s="18"/>
      <c r="HE1584" s="18"/>
      <c r="HF1584" s="18"/>
      <c r="HG1584" s="18"/>
      <c r="HH1584" s="18"/>
      <c r="HI1584" s="18"/>
      <c r="HJ1584" s="18"/>
      <c r="HK1584" s="18"/>
      <c r="HL1584" s="18"/>
      <c r="HM1584" s="18"/>
      <c r="HN1584" s="18"/>
      <c r="HO1584" s="18"/>
      <c r="HP1584" s="18"/>
      <c r="HQ1584" s="18"/>
      <c r="HR1584" s="18"/>
      <c r="HS1584" s="18"/>
      <c r="HT1584" s="18"/>
      <c r="HU1584" s="18"/>
      <c r="HV1584" s="18"/>
      <c r="HW1584" s="18"/>
      <c r="HX1584" s="18"/>
      <c r="HY1584" s="18"/>
      <c r="HZ1584" s="18"/>
      <c r="IA1584" s="18"/>
      <c r="IB1584" s="18"/>
      <c r="IC1584" s="18"/>
      <c r="ID1584" s="18"/>
      <c r="IE1584" s="18"/>
      <c r="IF1584" s="18"/>
      <c r="IG1584" s="18"/>
      <c r="IH1584" s="18"/>
      <c r="II1584" s="18"/>
      <c r="IJ1584" s="18"/>
      <c r="IK1584" s="18"/>
      <c r="IL1584" s="18"/>
      <c r="IM1584" s="18"/>
      <c r="IN1584" s="18"/>
      <c r="IO1584" s="18"/>
      <c r="IP1584" s="18"/>
      <c r="IQ1584" s="18"/>
      <c r="IR1584" s="18"/>
      <c r="IS1584" s="18"/>
      <c r="IT1584" s="18"/>
      <c r="IU1584" s="18"/>
      <c r="IV1584" s="18"/>
      <c r="IW1584" s="18"/>
      <c r="IX1584" s="18"/>
      <c r="IY1584" s="18"/>
      <c r="IZ1584" s="18"/>
      <c r="JA1584" s="18"/>
      <c r="JB1584" s="18"/>
      <c r="JC1584" s="18"/>
      <c r="JD1584" s="18"/>
      <c r="JE1584" s="18"/>
      <c r="JF1584" s="18"/>
      <c r="JG1584" s="18"/>
      <c r="JH1584" s="18"/>
      <c r="JI1584" s="18"/>
      <c r="JJ1584" s="18"/>
      <c r="JK1584" s="18"/>
      <c r="JL1584" s="18"/>
      <c r="JM1584" s="18"/>
      <c r="JN1584" s="18"/>
      <c r="JO1584" s="16"/>
      <c r="JP1584" s="16"/>
      <c r="JQ1584" s="16"/>
      <c r="JR1584" s="16"/>
      <c r="JS1584" s="16"/>
      <c r="JT1584" s="16"/>
      <c r="JU1584" s="16"/>
      <c r="JV1584" s="16"/>
      <c r="JW1584" s="16"/>
      <c r="JX1584" s="16"/>
      <c r="JY1584" s="16"/>
      <c r="JZ1584" s="16"/>
      <c r="KA1584" s="16"/>
      <c r="KB1584" s="16"/>
    </row>
    <row r="1585" spans="1:288" s="27" customFormat="1" x14ac:dyDescent="0.2">
      <c r="A1585" s="18"/>
      <c r="B1585" s="16">
        <v>2016</v>
      </c>
      <c r="C1585" s="20">
        <v>42560</v>
      </c>
      <c r="D1585" s="20" t="str">
        <f>CONCATENATE(J1585,"-",C1585)</f>
        <v>956-42560</v>
      </c>
      <c r="E1585" s="20" t="str">
        <f>CONCATENATE(T1585,"-",U1585,"-",C1585)</f>
        <v>PO2-B2-42560</v>
      </c>
      <c r="F1585" s="20" t="s">
        <v>106</v>
      </c>
      <c r="G1585" s="90" t="s">
        <v>278</v>
      </c>
      <c r="H1585" s="16"/>
      <c r="I1585" s="16"/>
      <c r="J1585" s="21">
        <v>956</v>
      </c>
      <c r="K1585" s="21"/>
      <c r="L1585" s="16"/>
      <c r="M1585" s="21"/>
      <c r="N1585" s="21"/>
      <c r="O1585" s="21"/>
      <c r="P1585" s="16"/>
      <c r="Q1585" s="16"/>
      <c r="R1585" s="16"/>
      <c r="S1585" s="16"/>
      <c r="T1585" s="16" t="s">
        <v>127</v>
      </c>
      <c r="U1585" s="16" t="s">
        <v>130</v>
      </c>
      <c r="V1585" s="16"/>
      <c r="W1585" s="16"/>
      <c r="X1585" s="16"/>
      <c r="Y1585" s="16"/>
      <c r="Z1585" s="16"/>
      <c r="AA1585" s="16"/>
      <c r="AB1585" s="16"/>
      <c r="AC1585" s="16"/>
      <c r="AD1585" s="16"/>
      <c r="AE1585" s="16"/>
      <c r="AF1585" s="16"/>
      <c r="AG1585" s="16"/>
      <c r="AH1585" s="16"/>
      <c r="AI1585" s="16"/>
      <c r="AJ1585" s="16"/>
      <c r="AK1585" s="16">
        <v>20</v>
      </c>
      <c r="AL1585" s="16"/>
      <c r="AM1585" s="16"/>
      <c r="AN1585" s="16"/>
      <c r="AO1585" s="16"/>
      <c r="AP1585" s="16"/>
      <c r="AQ1585" s="16"/>
      <c r="AR1585" s="16"/>
      <c r="AS1585" s="16"/>
      <c r="AT1585" s="16"/>
      <c r="AU1585" s="16"/>
      <c r="AV1585" s="16"/>
      <c r="AW1585" s="16"/>
      <c r="AX1585" s="16"/>
      <c r="AY1585" s="16"/>
      <c r="AZ1585" s="16"/>
      <c r="BA1585" s="16"/>
      <c r="BB1585" s="16"/>
      <c r="BC1585" s="16"/>
      <c r="BD1585" s="16"/>
      <c r="BE1585" s="16"/>
      <c r="BF1585" s="16"/>
      <c r="BG1585" s="77"/>
      <c r="BH1585" s="16"/>
      <c r="BI1585" s="16"/>
      <c r="BJ1585" s="16"/>
      <c r="BK1585" s="16"/>
      <c r="BL1585" s="16"/>
      <c r="BM1585" s="16"/>
      <c r="BN1585" s="16"/>
      <c r="BO1585" s="16"/>
      <c r="BP1585" s="16"/>
      <c r="BQ1585" s="16"/>
      <c r="BR1585" s="16"/>
      <c r="BS1585" s="16"/>
      <c r="BT1585" s="77"/>
      <c r="BU1585" s="16"/>
      <c r="BV1585" s="16"/>
      <c r="BW1585" s="16"/>
      <c r="BX1585" s="16"/>
      <c r="BY1585" s="16"/>
      <c r="BZ1585" s="16"/>
      <c r="CA1585" s="16"/>
      <c r="CB1585" s="16"/>
      <c r="CC1585" s="16"/>
      <c r="CD1585" s="77"/>
      <c r="CE1585" s="16"/>
      <c r="CF1585" s="16"/>
      <c r="CG1585" s="16"/>
      <c r="CH1585" s="16"/>
      <c r="CI1585" s="16"/>
      <c r="CJ1585" s="16"/>
      <c r="CK1585" s="16"/>
      <c r="CL1585" s="16"/>
      <c r="CM1585" s="16"/>
      <c r="CN1585" s="16"/>
      <c r="CO1585" s="16"/>
      <c r="CP1585" s="16"/>
      <c r="CQ1585" s="16"/>
      <c r="CR1585" s="16"/>
      <c r="CS1585" s="16"/>
      <c r="CT1585" s="16"/>
      <c r="CU1585" s="16"/>
      <c r="CV1585" s="16"/>
      <c r="CW1585" s="16"/>
      <c r="CX1585" s="16"/>
      <c r="CY1585" s="16"/>
      <c r="CZ1585" s="16"/>
      <c r="DA1585" s="16"/>
      <c r="DB1585" s="16"/>
      <c r="DC1585" s="16"/>
      <c r="DD1585" s="16"/>
      <c r="DE1585" s="16"/>
      <c r="DF1585" s="16" t="e">
        <f>VLOOKUP(K1585,'[3]RNA Seq summary tables'!$V$3:$V$99,1,FALSE)</f>
        <v>#N/A</v>
      </c>
      <c r="DG1585" s="16"/>
      <c r="DH1585" s="16"/>
      <c r="DI1585" s="16"/>
      <c r="DJ1585" s="16"/>
      <c r="DK1585" s="16"/>
      <c r="DL1585" s="16"/>
      <c r="DM1585" s="16"/>
      <c r="DN1585" s="16"/>
      <c r="DO1585" s="16"/>
      <c r="DP1585" s="16"/>
      <c r="DQ1585" s="16"/>
      <c r="DR1585" s="16"/>
      <c r="DS1585" s="16"/>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18"/>
      <c r="EQ1585" s="18"/>
      <c r="ER1585" s="18"/>
      <c r="ES1585" s="18"/>
      <c r="ET1585" s="18"/>
      <c r="EU1585" s="18"/>
      <c r="EV1585" s="18"/>
      <c r="EW1585" s="18"/>
      <c r="EX1585" s="18"/>
      <c r="EY1585" s="18"/>
      <c r="EZ1585" s="18"/>
      <c r="FA1585" s="18"/>
      <c r="FB1585" s="18"/>
      <c r="FC1585" s="18"/>
      <c r="FD1585" s="18"/>
      <c r="FE1585" s="18"/>
      <c r="FF1585" s="18"/>
      <c r="FG1585" s="18"/>
      <c r="FH1585" s="18"/>
      <c r="FI1585" s="18"/>
      <c r="FJ1585" s="18"/>
      <c r="FK1585" s="18"/>
      <c r="FL1585" s="18"/>
      <c r="FM1585" s="18"/>
      <c r="FN1585" s="18"/>
      <c r="FO1585" s="18"/>
      <c r="FP1585" s="18"/>
      <c r="FQ1585" s="18"/>
      <c r="FR1585" s="18"/>
      <c r="FS1585" s="18"/>
      <c r="FT1585" s="18"/>
      <c r="FU1585" s="18"/>
      <c r="FV1585" s="18"/>
      <c r="FW1585" s="18"/>
      <c r="FX1585" s="18"/>
      <c r="FY1585" s="18"/>
      <c r="FZ1585" s="18"/>
      <c r="GA1585" s="18"/>
      <c r="GB1585" s="18"/>
      <c r="GC1585" s="18"/>
      <c r="GD1585" s="18"/>
      <c r="GE1585" s="18"/>
      <c r="GF1585" s="18"/>
      <c r="GG1585" s="18"/>
      <c r="GH1585" s="18"/>
      <c r="GI1585" s="18"/>
      <c r="GJ1585" s="18"/>
      <c r="GK1585" s="18"/>
      <c r="GL1585" s="18"/>
      <c r="GM1585" s="18"/>
      <c r="GN1585" s="18"/>
      <c r="GO1585" s="18"/>
      <c r="GP1585" s="18"/>
      <c r="GQ1585" s="18"/>
      <c r="GR1585" s="18"/>
      <c r="GS1585" s="18"/>
      <c r="GT1585" s="18"/>
      <c r="GU1585" s="18"/>
      <c r="GV1585" s="18"/>
      <c r="GW1585" s="18"/>
      <c r="GX1585" s="18"/>
      <c r="GY1585" s="18"/>
      <c r="GZ1585" s="18"/>
      <c r="HA1585" s="18"/>
      <c r="HB1585" s="18"/>
      <c r="HC1585" s="18"/>
      <c r="HD1585" s="18"/>
      <c r="HE1585" s="18"/>
      <c r="HF1585" s="18"/>
      <c r="HG1585" s="18"/>
      <c r="HH1585" s="18"/>
      <c r="HI1585" s="18"/>
      <c r="HJ1585" s="18"/>
      <c r="HK1585" s="18"/>
      <c r="HL1585" s="18"/>
      <c r="HM1585" s="18"/>
      <c r="HN1585" s="18"/>
      <c r="HO1585" s="18"/>
      <c r="HP1585" s="18"/>
      <c r="HQ1585" s="18"/>
      <c r="HR1585" s="18"/>
      <c r="HS1585" s="18"/>
      <c r="HT1585" s="18"/>
      <c r="HU1585" s="18"/>
      <c r="HV1585" s="18"/>
      <c r="HW1585" s="18"/>
      <c r="HX1585" s="18"/>
      <c r="HY1585" s="18"/>
      <c r="HZ1585" s="18"/>
      <c r="IA1585" s="18"/>
      <c r="IB1585" s="18"/>
      <c r="IC1585" s="18"/>
      <c r="ID1585" s="18"/>
      <c r="IE1585" s="18"/>
      <c r="IF1585" s="18"/>
      <c r="IG1585" s="18"/>
      <c r="IH1585" s="18"/>
      <c r="II1585" s="18"/>
      <c r="IJ1585" s="18"/>
      <c r="IK1585" s="18"/>
      <c r="IL1585" s="18"/>
      <c r="IM1585" s="18"/>
      <c r="IN1585" s="18"/>
      <c r="IO1585" s="18"/>
      <c r="IP1585" s="18"/>
      <c r="IQ1585" s="18"/>
      <c r="IR1585" s="18"/>
      <c r="IS1585" s="18"/>
      <c r="IT1585" s="18"/>
      <c r="IU1585" s="18"/>
      <c r="IV1585" s="18"/>
      <c r="IW1585" s="18"/>
      <c r="IX1585" s="18"/>
      <c r="IY1585" s="18"/>
      <c r="IZ1585" s="18"/>
      <c r="JA1585" s="18"/>
      <c r="JB1585" s="18"/>
      <c r="JC1585" s="18"/>
      <c r="JD1585" s="18"/>
      <c r="JE1585" s="18"/>
      <c r="JF1585" s="18"/>
      <c r="JG1585" s="18"/>
      <c r="JH1585" s="18"/>
      <c r="JI1585" s="18"/>
      <c r="JJ1585" s="18"/>
      <c r="JK1585" s="18"/>
      <c r="JL1585" s="18"/>
      <c r="JM1585" s="18"/>
      <c r="JN1585" s="18"/>
      <c r="JO1585" s="16"/>
      <c r="JP1585" s="16"/>
      <c r="JQ1585" s="16"/>
      <c r="JR1585" s="16"/>
      <c r="JS1585" s="16"/>
      <c r="JT1585" s="16"/>
      <c r="JU1585" s="16"/>
      <c r="JV1585" s="16"/>
      <c r="JW1585" s="16"/>
      <c r="JX1585" s="16"/>
      <c r="JY1585" s="16"/>
      <c r="JZ1585" s="16"/>
      <c r="KA1585" s="16"/>
      <c r="KB1585" s="16"/>
    </row>
    <row r="1586" spans="1:288" s="27" customFormat="1" x14ac:dyDescent="0.2">
      <c r="A1586" s="18"/>
      <c r="B1586" s="16">
        <v>2016</v>
      </c>
      <c r="C1586" s="20">
        <v>42573</v>
      </c>
      <c r="D1586" s="20" t="str">
        <f>CONCATENATE(J1586,"-",C1586)</f>
        <v>956-42573</v>
      </c>
      <c r="E1586" s="20" t="str">
        <f>CONCATENATE(T1586,"-",U1586,"-",C1586)</f>
        <v>PO2-F5-42573</v>
      </c>
      <c r="F1586" s="20" t="s">
        <v>106</v>
      </c>
      <c r="G1586" s="90" t="s">
        <v>278</v>
      </c>
      <c r="H1586" s="16"/>
      <c r="I1586" s="16"/>
      <c r="J1586" s="21">
        <v>956</v>
      </c>
      <c r="K1586" s="21"/>
      <c r="L1586" s="16"/>
      <c r="M1586" s="21"/>
      <c r="N1586" s="21"/>
      <c r="O1586" s="21"/>
      <c r="P1586" s="16"/>
      <c r="Q1586" s="16"/>
      <c r="R1586" s="16"/>
      <c r="S1586" s="16"/>
      <c r="T1586" s="16" t="s">
        <v>127</v>
      </c>
      <c r="U1586" s="16" t="s">
        <v>185</v>
      </c>
      <c r="V1586" s="16"/>
      <c r="W1586" s="16"/>
      <c r="X1586" s="16"/>
      <c r="Y1586" s="16"/>
      <c r="Z1586" s="16"/>
      <c r="AA1586" s="16"/>
      <c r="AB1586" s="16"/>
      <c r="AC1586" s="16"/>
      <c r="AD1586" s="16"/>
      <c r="AE1586" s="16"/>
      <c r="AF1586" s="16"/>
      <c r="AG1586" s="16"/>
      <c r="AH1586" s="16"/>
      <c r="AI1586" s="16"/>
      <c r="AJ1586" s="16"/>
      <c r="AK1586" s="16">
        <v>19.5</v>
      </c>
      <c r="AL1586" s="16"/>
      <c r="AM1586" s="16"/>
      <c r="AN1586" s="16"/>
      <c r="AO1586" s="16"/>
      <c r="AP1586" s="16"/>
      <c r="AQ1586" s="16"/>
      <c r="AR1586" s="16"/>
      <c r="AS1586" s="16"/>
      <c r="AT1586" s="16"/>
      <c r="AU1586" s="16"/>
      <c r="AV1586" s="16"/>
      <c r="AW1586" s="16"/>
      <c r="AX1586" s="16"/>
      <c r="AY1586" s="16"/>
      <c r="AZ1586" s="16"/>
      <c r="BA1586" s="16"/>
      <c r="BB1586" s="16"/>
      <c r="BC1586" s="16"/>
      <c r="BD1586" s="16"/>
      <c r="BE1586" s="16"/>
      <c r="BF1586" s="16"/>
      <c r="BG1586" s="77"/>
      <c r="BH1586" s="16"/>
      <c r="BI1586" s="16"/>
      <c r="BJ1586" s="16"/>
      <c r="BK1586" s="16"/>
      <c r="BL1586" s="16"/>
      <c r="BM1586" s="16"/>
      <c r="BN1586" s="16"/>
      <c r="BO1586" s="16"/>
      <c r="BP1586" s="16"/>
      <c r="BQ1586" s="16"/>
      <c r="BR1586" s="16"/>
      <c r="BS1586" s="16"/>
      <c r="BT1586" s="77"/>
      <c r="BU1586" s="16"/>
      <c r="BV1586" s="16"/>
      <c r="BW1586" s="16"/>
      <c r="BX1586" s="16"/>
      <c r="BY1586" s="16"/>
      <c r="BZ1586" s="16"/>
      <c r="CA1586" s="16"/>
      <c r="CB1586" s="16"/>
      <c r="CC1586" s="16"/>
      <c r="CD1586" s="77"/>
      <c r="CE1586" s="16"/>
      <c r="CF1586" s="16"/>
      <c r="CG1586" s="16"/>
      <c r="CH1586" s="16"/>
      <c r="CI1586" s="16"/>
      <c r="CJ1586" s="16"/>
      <c r="CK1586" s="16"/>
      <c r="CL1586" s="16"/>
      <c r="CM1586" s="16"/>
      <c r="CN1586" s="16"/>
      <c r="CO1586" s="16"/>
      <c r="CP1586" s="16"/>
      <c r="CQ1586" s="16"/>
      <c r="CR1586" s="16"/>
      <c r="CS1586" s="16"/>
      <c r="CT1586" s="16"/>
      <c r="CU1586" s="16"/>
      <c r="CV1586" s="16"/>
      <c r="CW1586" s="16"/>
      <c r="CX1586" s="16"/>
      <c r="CY1586" s="16"/>
      <c r="CZ1586" s="16"/>
      <c r="DA1586" s="16"/>
      <c r="DB1586" s="16"/>
      <c r="DC1586" s="16"/>
      <c r="DD1586" s="16"/>
      <c r="DE1586" s="16"/>
      <c r="DF1586" s="16" t="e">
        <f>VLOOKUP(K1586,'[3]RNA Seq summary tables'!$V$3:$V$99,1,FALSE)</f>
        <v>#N/A</v>
      </c>
      <c r="DG1586" s="16"/>
      <c r="DH1586" s="16"/>
      <c r="DI1586" s="16"/>
      <c r="DJ1586" s="16"/>
      <c r="DK1586" s="16"/>
      <c r="DL1586" s="16"/>
      <c r="DM1586" s="16"/>
      <c r="DN1586" s="16"/>
      <c r="DO1586" s="16"/>
      <c r="DP1586" s="16"/>
      <c r="DQ1586" s="16"/>
      <c r="DR1586" s="16"/>
      <c r="DS1586" s="16"/>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18"/>
      <c r="EQ1586" s="18"/>
      <c r="ER1586" s="18"/>
      <c r="ES1586" s="18"/>
      <c r="ET1586" s="18"/>
      <c r="EU1586" s="18"/>
      <c r="EV1586" s="18"/>
      <c r="EW1586" s="18"/>
      <c r="EX1586" s="18"/>
      <c r="EY1586" s="18"/>
      <c r="EZ1586" s="18"/>
      <c r="FA1586" s="18"/>
      <c r="FB1586" s="18"/>
      <c r="FC1586" s="18"/>
      <c r="FD1586" s="18"/>
      <c r="FE1586" s="18"/>
      <c r="FF1586" s="18"/>
      <c r="FG1586" s="18"/>
      <c r="FH1586" s="18"/>
      <c r="FI1586" s="18"/>
      <c r="FJ1586" s="18"/>
      <c r="FK1586" s="18"/>
      <c r="FL1586" s="18"/>
      <c r="FM1586" s="18"/>
      <c r="FN1586" s="18"/>
      <c r="FO1586" s="18"/>
      <c r="FP1586" s="18"/>
      <c r="FQ1586" s="18"/>
      <c r="FR1586" s="18"/>
      <c r="FS1586" s="18"/>
      <c r="FT1586" s="18"/>
      <c r="FU1586" s="18"/>
      <c r="FV1586" s="18"/>
      <c r="FW1586" s="18"/>
      <c r="FX1586" s="18"/>
      <c r="FY1586" s="18"/>
      <c r="FZ1586" s="18"/>
      <c r="GA1586" s="18"/>
      <c r="GB1586" s="18"/>
      <c r="GC1586" s="18"/>
      <c r="GD1586" s="18"/>
      <c r="GE1586" s="18"/>
      <c r="GF1586" s="18"/>
      <c r="GG1586" s="18"/>
      <c r="GH1586" s="18"/>
      <c r="GI1586" s="18"/>
      <c r="GJ1586" s="18"/>
      <c r="GK1586" s="18"/>
      <c r="GL1586" s="18"/>
      <c r="GM1586" s="18"/>
      <c r="GN1586" s="18"/>
      <c r="GO1586" s="18"/>
      <c r="GP1586" s="18"/>
      <c r="GQ1586" s="18"/>
      <c r="GR1586" s="18"/>
      <c r="GS1586" s="18"/>
      <c r="GT1586" s="18"/>
      <c r="GU1586" s="18"/>
      <c r="GV1586" s="18"/>
      <c r="GW1586" s="18"/>
      <c r="GX1586" s="18"/>
      <c r="GY1586" s="18"/>
      <c r="GZ1586" s="18"/>
      <c r="HA1586" s="18"/>
      <c r="HB1586" s="18"/>
      <c r="HC1586" s="18"/>
      <c r="HD1586" s="18"/>
      <c r="HE1586" s="18"/>
      <c r="HF1586" s="18"/>
      <c r="HG1586" s="18"/>
      <c r="HH1586" s="18"/>
      <c r="HI1586" s="18"/>
      <c r="HJ1586" s="18"/>
      <c r="HK1586" s="18"/>
      <c r="HL1586" s="18"/>
      <c r="HM1586" s="18"/>
      <c r="HN1586" s="18"/>
      <c r="HO1586" s="18"/>
      <c r="HP1586" s="18"/>
      <c r="HQ1586" s="18"/>
      <c r="HR1586" s="18"/>
      <c r="HS1586" s="18"/>
      <c r="HT1586" s="18"/>
      <c r="HU1586" s="18"/>
      <c r="HV1586" s="18"/>
      <c r="HW1586" s="18"/>
      <c r="HX1586" s="18"/>
      <c r="HY1586" s="18"/>
      <c r="HZ1586" s="18"/>
      <c r="IA1586" s="18"/>
      <c r="IB1586" s="18"/>
      <c r="IC1586" s="18"/>
      <c r="ID1586" s="18"/>
      <c r="IE1586" s="18"/>
      <c r="IF1586" s="18"/>
      <c r="IG1586" s="18"/>
      <c r="IH1586" s="18"/>
      <c r="II1586" s="18"/>
      <c r="IJ1586" s="18"/>
      <c r="IK1586" s="18"/>
      <c r="IL1586" s="18"/>
      <c r="IM1586" s="18"/>
      <c r="IN1586" s="18"/>
      <c r="IO1586" s="18"/>
      <c r="IP1586" s="18"/>
      <c r="IQ1586" s="18"/>
      <c r="IR1586" s="18"/>
      <c r="IS1586" s="18"/>
      <c r="IT1586" s="18"/>
      <c r="IU1586" s="18"/>
      <c r="IV1586" s="18"/>
      <c r="IW1586" s="18"/>
      <c r="IX1586" s="18"/>
      <c r="IY1586" s="18"/>
      <c r="IZ1586" s="18"/>
      <c r="JA1586" s="18"/>
      <c r="JB1586" s="18"/>
      <c r="JC1586" s="18"/>
      <c r="JD1586" s="18"/>
      <c r="JE1586" s="18"/>
      <c r="JF1586" s="18"/>
      <c r="JG1586" s="18"/>
      <c r="JH1586" s="18"/>
      <c r="JI1586" s="18"/>
      <c r="JJ1586" s="18"/>
      <c r="JK1586" s="18"/>
      <c r="JL1586" s="18"/>
      <c r="JM1586" s="18"/>
      <c r="JN1586" s="18"/>
      <c r="JO1586" s="16"/>
      <c r="JP1586" s="16"/>
      <c r="JQ1586" s="16"/>
      <c r="JR1586" s="30"/>
      <c r="JS1586" s="30"/>
      <c r="JT1586" s="30"/>
      <c r="JU1586" s="30"/>
      <c r="JV1586" s="30"/>
      <c r="JW1586" s="30"/>
      <c r="JX1586" s="30"/>
      <c r="JY1586" s="30"/>
      <c r="JZ1586" s="30"/>
      <c r="KA1586" s="30"/>
      <c r="KB1586" s="30"/>
    </row>
    <row r="1587" spans="1:288" s="27" customFormat="1" x14ac:dyDescent="0.2">
      <c r="A1587" s="18"/>
      <c r="B1587" s="16">
        <v>2016</v>
      </c>
      <c r="C1587" s="20">
        <v>42574</v>
      </c>
      <c r="D1587" s="20" t="str">
        <f>CONCATENATE(J1587,"-",C1587)</f>
        <v>956-42574</v>
      </c>
      <c r="E1587" s="20" t="str">
        <f>CONCATENATE(T1587,"-",U1587,"-",C1587)</f>
        <v>PO2-G3-42574</v>
      </c>
      <c r="F1587" s="20" t="s">
        <v>106</v>
      </c>
      <c r="G1587" s="90" t="s">
        <v>278</v>
      </c>
      <c r="H1587" s="16"/>
      <c r="I1587" s="16"/>
      <c r="J1587" s="21">
        <v>956</v>
      </c>
      <c r="K1587" s="21"/>
      <c r="L1587" s="16"/>
      <c r="M1587" s="21"/>
      <c r="N1587" s="21"/>
      <c r="O1587" s="21"/>
      <c r="P1587" s="16"/>
      <c r="Q1587" s="16"/>
      <c r="R1587" s="16"/>
      <c r="S1587" s="16"/>
      <c r="T1587" s="16" t="s">
        <v>127</v>
      </c>
      <c r="U1587" s="16" t="s">
        <v>179</v>
      </c>
      <c r="V1587" s="16" t="s">
        <v>114</v>
      </c>
      <c r="W1587" s="16"/>
      <c r="X1587" s="16" t="s">
        <v>115</v>
      </c>
      <c r="Y1587" s="16"/>
      <c r="Z1587" s="16"/>
      <c r="AA1587" s="16"/>
      <c r="AB1587" s="16"/>
      <c r="AC1587" s="16"/>
      <c r="AD1587" s="16"/>
      <c r="AE1587" s="16"/>
      <c r="AF1587" s="16"/>
      <c r="AG1587" s="16"/>
      <c r="AH1587" s="16"/>
      <c r="AI1587" s="16"/>
      <c r="AJ1587" s="16"/>
      <c r="AK1587" s="16">
        <v>18.5</v>
      </c>
      <c r="AL1587" s="16"/>
      <c r="AM1587" s="16"/>
      <c r="AN1587" s="16"/>
      <c r="AO1587" s="16"/>
      <c r="AP1587" s="16"/>
      <c r="AQ1587" s="16"/>
      <c r="AR1587" s="16"/>
      <c r="AS1587" s="16"/>
      <c r="AT1587" s="16"/>
      <c r="AU1587" s="16"/>
      <c r="AV1587" s="16"/>
      <c r="AW1587" s="16"/>
      <c r="AX1587" s="16"/>
      <c r="AY1587" s="16"/>
      <c r="AZ1587" s="16"/>
      <c r="BA1587" s="16"/>
      <c r="BB1587" s="16"/>
      <c r="BC1587" s="16"/>
      <c r="BD1587" s="16"/>
      <c r="BE1587" s="16"/>
      <c r="BF1587" s="16"/>
      <c r="BG1587" s="77"/>
      <c r="BH1587" s="16"/>
      <c r="BI1587" s="16"/>
      <c r="BJ1587" s="16"/>
      <c r="BK1587" s="16"/>
      <c r="BL1587" s="16"/>
      <c r="BM1587" s="16"/>
      <c r="BN1587" s="16"/>
      <c r="BO1587" s="16"/>
      <c r="BP1587" s="16"/>
      <c r="BQ1587" s="16"/>
      <c r="BR1587" s="16"/>
      <c r="BS1587" s="16"/>
      <c r="BT1587" s="77"/>
      <c r="BU1587" s="16"/>
      <c r="BV1587" s="16"/>
      <c r="BW1587" s="16"/>
      <c r="BX1587" s="16"/>
      <c r="BY1587" s="16"/>
      <c r="BZ1587" s="16"/>
      <c r="CA1587" s="16"/>
      <c r="CB1587" s="16"/>
      <c r="CC1587" s="16"/>
      <c r="CD1587" s="77"/>
      <c r="CE1587" s="16"/>
      <c r="CF1587" s="16"/>
      <c r="CG1587" s="16"/>
      <c r="CH1587" s="16"/>
      <c r="CI1587" s="16"/>
      <c r="CJ1587" s="16"/>
      <c r="CK1587" s="16"/>
      <c r="CL1587" s="16"/>
      <c r="CM1587" s="16"/>
      <c r="CN1587" s="16"/>
      <c r="CO1587" s="16"/>
      <c r="CP1587" s="16"/>
      <c r="CQ1587" s="16"/>
      <c r="CR1587" s="16"/>
      <c r="CS1587" s="16"/>
      <c r="CT1587" s="16"/>
      <c r="CU1587" s="16"/>
      <c r="CV1587" s="16"/>
      <c r="CW1587" s="16"/>
      <c r="CX1587" s="16"/>
      <c r="CY1587" s="16"/>
      <c r="CZ1587" s="16"/>
      <c r="DA1587" s="16"/>
      <c r="DB1587" s="16"/>
      <c r="DC1587" s="16"/>
      <c r="DD1587" s="16"/>
      <c r="DE1587" s="16"/>
      <c r="DF1587" s="16" t="e">
        <f>VLOOKUP(K1587,'[3]RNA Seq summary tables'!$V$3:$V$99,1,FALSE)</f>
        <v>#N/A</v>
      </c>
      <c r="DG1587" s="16"/>
      <c r="DH1587" s="16"/>
      <c r="DI1587" s="16"/>
      <c r="DJ1587" s="16"/>
      <c r="DK1587" s="16"/>
      <c r="DL1587" s="16"/>
      <c r="DM1587" s="16"/>
      <c r="DN1587" s="16"/>
      <c r="DO1587" s="16"/>
      <c r="DP1587" s="16"/>
      <c r="DQ1587" s="16"/>
      <c r="DR1587" s="16"/>
      <c r="DS1587" s="16"/>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18"/>
      <c r="EQ1587" s="18"/>
      <c r="ER1587" s="18"/>
      <c r="ES1587" s="18"/>
      <c r="ET1587" s="18"/>
      <c r="EU1587" s="18"/>
      <c r="EV1587" s="18"/>
      <c r="EW1587" s="18"/>
      <c r="EX1587" s="18"/>
      <c r="EY1587" s="18"/>
      <c r="EZ1587" s="18"/>
      <c r="FA1587" s="18"/>
      <c r="FB1587" s="18"/>
      <c r="FC1587" s="18"/>
      <c r="FD1587" s="18"/>
      <c r="FE1587" s="18"/>
      <c r="FF1587" s="18"/>
      <c r="FG1587" s="18"/>
      <c r="FH1587" s="18"/>
      <c r="FI1587" s="18"/>
      <c r="FJ1587" s="18"/>
      <c r="FK1587" s="18"/>
      <c r="FL1587" s="18"/>
      <c r="FM1587" s="18"/>
      <c r="FN1587" s="18"/>
      <c r="FO1587" s="18"/>
      <c r="FP1587" s="18"/>
      <c r="FQ1587" s="18"/>
      <c r="FR1587" s="18"/>
      <c r="FS1587" s="18"/>
      <c r="FT1587" s="18"/>
      <c r="FU1587" s="18"/>
      <c r="FV1587" s="18"/>
      <c r="FW1587" s="18"/>
      <c r="FX1587" s="18"/>
      <c r="FY1587" s="18"/>
      <c r="FZ1587" s="18"/>
      <c r="GA1587" s="18"/>
      <c r="GB1587" s="18"/>
      <c r="GC1587" s="18"/>
      <c r="GD1587" s="18"/>
      <c r="GE1587" s="18"/>
      <c r="GF1587" s="18"/>
      <c r="GG1587" s="18"/>
      <c r="GH1587" s="18"/>
      <c r="GI1587" s="18"/>
      <c r="GJ1587" s="18"/>
      <c r="GK1587" s="18"/>
      <c r="GL1587" s="18"/>
      <c r="GM1587" s="18"/>
      <c r="GN1587" s="18"/>
      <c r="GO1587" s="18"/>
      <c r="GP1587" s="18"/>
      <c r="GQ1587" s="18"/>
      <c r="GR1587" s="18"/>
      <c r="GS1587" s="18"/>
      <c r="GT1587" s="18"/>
      <c r="GU1587" s="18"/>
      <c r="GV1587" s="18"/>
      <c r="GW1587" s="18"/>
      <c r="GX1587" s="18"/>
      <c r="GY1587" s="18"/>
      <c r="GZ1587" s="18"/>
      <c r="HA1587" s="18"/>
      <c r="HB1587" s="18"/>
      <c r="HC1587" s="18"/>
      <c r="HD1587" s="18"/>
      <c r="HE1587" s="18"/>
      <c r="HF1587" s="18"/>
      <c r="HG1587" s="18"/>
      <c r="HH1587" s="18"/>
      <c r="HI1587" s="18"/>
      <c r="HJ1587" s="18"/>
      <c r="HK1587" s="18"/>
      <c r="HL1587" s="18"/>
      <c r="HM1587" s="18"/>
      <c r="HN1587" s="18"/>
      <c r="HO1587" s="18"/>
      <c r="HP1587" s="18"/>
      <c r="HQ1587" s="18"/>
      <c r="HR1587" s="18"/>
      <c r="HS1587" s="18"/>
      <c r="HT1587" s="18"/>
      <c r="HU1587" s="18"/>
      <c r="HV1587" s="18"/>
      <c r="HW1587" s="18"/>
      <c r="HX1587" s="18"/>
      <c r="HY1587" s="18"/>
      <c r="HZ1587" s="18"/>
      <c r="IA1587" s="18"/>
      <c r="IB1587" s="18"/>
      <c r="IC1587" s="18"/>
      <c r="ID1587" s="18"/>
      <c r="IE1587" s="18"/>
      <c r="IF1587" s="18"/>
      <c r="IG1587" s="18"/>
      <c r="IH1587" s="18"/>
      <c r="II1587" s="18"/>
      <c r="IJ1587" s="18"/>
      <c r="IK1587" s="18"/>
      <c r="IL1587" s="18"/>
      <c r="IM1587" s="18"/>
      <c r="IN1587" s="18"/>
      <c r="IO1587" s="18"/>
      <c r="IP1587" s="18"/>
      <c r="IQ1587" s="18"/>
      <c r="IR1587" s="18"/>
      <c r="IS1587" s="18"/>
      <c r="IT1587" s="18"/>
      <c r="IU1587" s="18"/>
      <c r="IV1587" s="18"/>
      <c r="IW1587" s="18"/>
      <c r="IX1587" s="18"/>
      <c r="IY1587" s="18"/>
      <c r="IZ1587" s="18"/>
      <c r="JA1587" s="18"/>
      <c r="JB1587" s="18"/>
      <c r="JC1587" s="18"/>
      <c r="JD1587" s="18"/>
      <c r="JE1587" s="18"/>
      <c r="JF1587" s="18"/>
      <c r="JG1587" s="18"/>
      <c r="JH1587" s="18"/>
      <c r="JI1587" s="18"/>
      <c r="JJ1587" s="18"/>
      <c r="JK1587" s="18"/>
      <c r="JL1587" s="18"/>
      <c r="JM1587" s="18"/>
      <c r="JN1587" s="18"/>
      <c r="JO1587" s="16"/>
      <c r="JP1587" s="16"/>
      <c r="JQ1587" s="16"/>
      <c r="JR1587" s="16"/>
      <c r="JS1587" s="16"/>
      <c r="JT1587" s="16"/>
      <c r="JU1587" s="16"/>
      <c r="JV1587" s="16"/>
      <c r="JW1587" s="16"/>
      <c r="JX1587" s="16"/>
      <c r="JY1587" s="16"/>
      <c r="JZ1587" s="16"/>
      <c r="KA1587" s="16"/>
      <c r="KB1587" s="16"/>
    </row>
    <row r="1588" spans="1:288" s="27" customFormat="1" x14ac:dyDescent="0.2">
      <c r="A1588" s="18"/>
      <c r="B1588" s="16">
        <v>2016</v>
      </c>
      <c r="C1588" s="20">
        <v>42588</v>
      </c>
      <c r="D1588" s="20" t="str">
        <f>CONCATENATE(J1588,"-",C1588)</f>
        <v>956-42588</v>
      </c>
      <c r="E1588" s="20" t="str">
        <f>CONCATENATE(T1588,"-",U1588,"-",C1588)</f>
        <v>PO2-E2-42588</v>
      </c>
      <c r="F1588" s="20" t="s">
        <v>224</v>
      </c>
      <c r="G1588" s="90" t="s">
        <v>278</v>
      </c>
      <c r="H1588" s="16"/>
      <c r="I1588" s="16"/>
      <c r="J1588" s="21">
        <v>956</v>
      </c>
      <c r="K1588" s="21"/>
      <c r="L1588" s="16"/>
      <c r="M1588" s="21"/>
      <c r="N1588" s="21"/>
      <c r="O1588" s="21"/>
      <c r="P1588" s="16"/>
      <c r="Q1588" s="16"/>
      <c r="R1588" s="16"/>
      <c r="S1588" s="16"/>
      <c r="T1588" s="16" t="s">
        <v>127</v>
      </c>
      <c r="U1588" s="16" t="s">
        <v>136</v>
      </c>
      <c r="V1588" s="16"/>
      <c r="W1588" s="16"/>
      <c r="X1588" s="16"/>
      <c r="Y1588" s="16"/>
      <c r="Z1588" s="16"/>
      <c r="AA1588" s="16"/>
      <c r="AB1588" s="16"/>
      <c r="AC1588" s="16"/>
      <c r="AD1588" s="16"/>
      <c r="AE1588" s="16"/>
      <c r="AF1588" s="16"/>
      <c r="AG1588" s="16"/>
      <c r="AH1588" s="16"/>
      <c r="AI1588" s="16"/>
      <c r="AJ1588" s="16"/>
      <c r="AK1588" s="16"/>
      <c r="AL1588" s="16"/>
      <c r="AM1588" s="16"/>
      <c r="AN1588" s="16"/>
      <c r="AO1588" s="16"/>
      <c r="AP1588" s="16"/>
      <c r="AQ1588" s="16"/>
      <c r="AR1588" s="16"/>
      <c r="AS1588" s="16"/>
      <c r="AT1588" s="16"/>
      <c r="AU1588" s="16"/>
      <c r="AV1588" s="16"/>
      <c r="AW1588" s="16"/>
      <c r="AX1588" s="16"/>
      <c r="AY1588" s="16"/>
      <c r="AZ1588" s="16"/>
      <c r="BA1588" s="16"/>
      <c r="BB1588" s="16"/>
      <c r="BC1588" s="16"/>
      <c r="BD1588" s="16"/>
      <c r="BE1588" s="16"/>
      <c r="BF1588" s="16"/>
      <c r="BG1588" s="77"/>
      <c r="BH1588" s="16"/>
      <c r="BI1588" s="16"/>
      <c r="BJ1588" s="16"/>
      <c r="BK1588" s="16"/>
      <c r="BL1588" s="16"/>
      <c r="BM1588" s="16"/>
      <c r="BN1588" s="16"/>
      <c r="BO1588" s="16"/>
      <c r="BP1588" s="16"/>
      <c r="BQ1588" s="16"/>
      <c r="BR1588" s="16"/>
      <c r="BS1588" s="16"/>
      <c r="BT1588" s="77"/>
      <c r="BU1588" s="16"/>
      <c r="BV1588" s="16"/>
      <c r="BW1588" s="16"/>
      <c r="BX1588" s="16"/>
      <c r="BY1588" s="16"/>
      <c r="BZ1588" s="16"/>
      <c r="CA1588" s="16"/>
      <c r="CB1588" s="16"/>
      <c r="CC1588" s="16"/>
      <c r="CD1588" s="77"/>
      <c r="CE1588" s="16"/>
      <c r="CF1588" s="16"/>
      <c r="CG1588" s="16"/>
      <c r="CH1588" s="16"/>
      <c r="CI1588" s="16"/>
      <c r="CJ1588" s="16"/>
      <c r="CK1588" s="16"/>
      <c r="CL1588" s="16"/>
      <c r="CM1588" s="16"/>
      <c r="CN1588" s="16"/>
      <c r="CO1588" s="16"/>
      <c r="CP1588" s="16"/>
      <c r="CQ1588" s="16"/>
      <c r="CR1588" s="16"/>
      <c r="CS1588" s="16"/>
      <c r="CT1588" s="16"/>
      <c r="CU1588" s="16"/>
      <c r="CV1588" s="16"/>
      <c r="CW1588" s="16"/>
      <c r="CX1588" s="16"/>
      <c r="CY1588" s="16"/>
      <c r="CZ1588" s="16"/>
      <c r="DA1588" s="16"/>
      <c r="DB1588" s="16"/>
      <c r="DC1588" s="16"/>
      <c r="DD1588" s="16"/>
      <c r="DE1588" s="16"/>
      <c r="DF1588" s="16" t="e">
        <f>VLOOKUP(K1588,'[3]RNA Seq summary tables'!$V$3:$V$99,1,FALSE)</f>
        <v>#N/A</v>
      </c>
      <c r="DG1588" s="16"/>
      <c r="DH1588" s="16"/>
      <c r="DI1588" s="16"/>
      <c r="DJ1588" s="16"/>
      <c r="DK1588" s="16"/>
      <c r="DL1588" s="16"/>
      <c r="DM1588" s="16"/>
      <c r="DN1588" s="16"/>
      <c r="DO1588" s="16"/>
      <c r="DP1588" s="16"/>
      <c r="DQ1588" s="16"/>
      <c r="DR1588" s="16"/>
      <c r="DS1588" s="16"/>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18"/>
      <c r="EQ1588" s="18"/>
      <c r="ER1588" s="18"/>
      <c r="ES1588" s="18"/>
      <c r="ET1588" s="18"/>
      <c r="EU1588" s="18"/>
      <c r="EV1588" s="18"/>
      <c r="EW1588" s="18"/>
      <c r="EX1588" s="18"/>
      <c r="EY1588" s="18"/>
      <c r="EZ1588" s="18"/>
      <c r="FA1588" s="18"/>
      <c r="FB1588" s="18"/>
      <c r="FC1588" s="18"/>
      <c r="FD1588" s="18"/>
      <c r="FE1588" s="18"/>
      <c r="FF1588" s="18"/>
      <c r="FG1588" s="18"/>
      <c r="FH1588" s="18"/>
      <c r="FI1588" s="18"/>
      <c r="FJ1588" s="18"/>
      <c r="FK1588" s="18"/>
      <c r="FL1588" s="18"/>
      <c r="FM1588" s="18"/>
      <c r="FN1588" s="18"/>
      <c r="FO1588" s="18"/>
      <c r="FP1588" s="18"/>
      <c r="FQ1588" s="18"/>
      <c r="FR1588" s="18"/>
      <c r="FS1588" s="18"/>
      <c r="FT1588" s="18"/>
      <c r="FU1588" s="18"/>
      <c r="FV1588" s="18"/>
      <c r="FW1588" s="18"/>
      <c r="FX1588" s="18"/>
      <c r="FY1588" s="18"/>
      <c r="FZ1588" s="18"/>
      <c r="GA1588" s="18"/>
      <c r="GB1588" s="18"/>
      <c r="GC1588" s="18"/>
      <c r="GD1588" s="18"/>
      <c r="GE1588" s="18"/>
      <c r="GF1588" s="18"/>
      <c r="GG1588" s="18"/>
      <c r="GH1588" s="18"/>
      <c r="GI1588" s="18"/>
      <c r="GJ1588" s="18"/>
      <c r="GK1588" s="18"/>
      <c r="GL1588" s="18"/>
      <c r="GM1588" s="18"/>
      <c r="GN1588" s="18"/>
      <c r="GO1588" s="18"/>
      <c r="GP1588" s="18"/>
      <c r="GQ1588" s="18"/>
      <c r="GR1588" s="18"/>
      <c r="GS1588" s="18"/>
      <c r="GT1588" s="18"/>
      <c r="GU1588" s="18"/>
      <c r="GV1588" s="18"/>
      <c r="GW1588" s="18"/>
      <c r="GX1588" s="18"/>
      <c r="GY1588" s="18"/>
      <c r="GZ1588" s="18"/>
      <c r="HA1588" s="18"/>
      <c r="HB1588" s="18"/>
      <c r="HC1588" s="18"/>
      <c r="HD1588" s="18"/>
      <c r="HE1588" s="18"/>
      <c r="HF1588" s="18"/>
      <c r="HG1588" s="18"/>
      <c r="HH1588" s="18"/>
      <c r="HI1588" s="18"/>
      <c r="HJ1588" s="18"/>
      <c r="HK1588" s="18"/>
      <c r="HL1588" s="18"/>
      <c r="HM1588" s="18"/>
      <c r="HN1588" s="18"/>
      <c r="HO1588" s="18"/>
      <c r="HP1588" s="18"/>
      <c r="HQ1588" s="18"/>
      <c r="HR1588" s="18"/>
      <c r="HS1588" s="18"/>
      <c r="HT1588" s="18"/>
      <c r="HU1588" s="18"/>
      <c r="HV1588" s="18"/>
      <c r="HW1588" s="18"/>
      <c r="HX1588" s="18"/>
      <c r="HY1588" s="18"/>
      <c r="HZ1588" s="18"/>
      <c r="IA1588" s="18"/>
      <c r="IB1588" s="18"/>
      <c r="IC1588" s="18"/>
      <c r="ID1588" s="18"/>
      <c r="IE1588" s="18"/>
      <c r="IF1588" s="18"/>
      <c r="IG1588" s="18"/>
      <c r="IH1588" s="18"/>
      <c r="II1588" s="18"/>
      <c r="IJ1588" s="18"/>
      <c r="IK1588" s="18"/>
      <c r="IL1588" s="18"/>
      <c r="IM1588" s="18"/>
      <c r="IN1588" s="18"/>
      <c r="IO1588" s="18"/>
      <c r="IP1588" s="18"/>
      <c r="IQ1588" s="18"/>
      <c r="IR1588" s="18"/>
      <c r="IS1588" s="18"/>
      <c r="IT1588" s="18"/>
      <c r="IU1588" s="18"/>
      <c r="IV1588" s="18"/>
      <c r="IW1588" s="18"/>
      <c r="IX1588" s="18"/>
      <c r="IY1588" s="18"/>
      <c r="IZ1588" s="18"/>
      <c r="JA1588" s="18"/>
      <c r="JB1588" s="18"/>
      <c r="JC1588" s="18"/>
      <c r="JD1588" s="18"/>
      <c r="JE1588" s="18"/>
      <c r="JF1588" s="18"/>
      <c r="JG1588" s="18"/>
      <c r="JH1588" s="18"/>
      <c r="JI1588" s="18"/>
      <c r="JJ1588" s="18"/>
      <c r="JK1588" s="18"/>
      <c r="JL1588" s="18"/>
      <c r="JM1588" s="18"/>
      <c r="JN1588" s="18"/>
      <c r="JO1588" s="16"/>
      <c r="JP1588" s="16"/>
      <c r="JQ1588" s="16"/>
      <c r="JR1588" s="16"/>
      <c r="JS1588" s="16"/>
      <c r="JT1588" s="16"/>
      <c r="JU1588" s="16"/>
      <c r="JV1588" s="16"/>
      <c r="JW1588" s="16"/>
      <c r="JX1588" s="16"/>
      <c r="JY1588" s="16"/>
      <c r="JZ1588" s="16"/>
      <c r="KA1588" s="16"/>
      <c r="KB1588" s="16"/>
    </row>
    <row r="1589" spans="1:288" s="27" customFormat="1" x14ac:dyDescent="0.2">
      <c r="A1589" s="18"/>
      <c r="B1589" s="16">
        <v>2016</v>
      </c>
      <c r="C1589" s="43">
        <v>42602</v>
      </c>
      <c r="D1589" s="20" t="str">
        <f>CONCATENATE(J1589,"-",C1589)</f>
        <v>956-42602</v>
      </c>
      <c r="E1589" s="20" t="str">
        <f>CONCATENATE(T1589,"-",U1589,"-",C1589)</f>
        <v>PO2-H5-42602</v>
      </c>
      <c r="F1589" s="20" t="s">
        <v>227</v>
      </c>
      <c r="G1589" s="91" t="s">
        <v>278</v>
      </c>
      <c r="H1589" s="23"/>
      <c r="I1589" s="23"/>
      <c r="J1589" s="15">
        <v>956</v>
      </c>
      <c r="K1589" s="15"/>
      <c r="L1589" s="23"/>
      <c r="M1589" s="21"/>
      <c r="N1589" s="21"/>
      <c r="O1589" s="21"/>
      <c r="P1589" s="23"/>
      <c r="Q1589" s="23"/>
      <c r="R1589" s="23"/>
      <c r="S1589" s="23"/>
      <c r="T1589" s="23" t="s">
        <v>127</v>
      </c>
      <c r="U1589" s="23" t="s">
        <v>180</v>
      </c>
      <c r="V1589" s="23"/>
      <c r="W1589" s="23"/>
      <c r="X1589" s="23"/>
      <c r="Y1589" s="23"/>
      <c r="Z1589" s="23"/>
      <c r="AA1589" s="23"/>
      <c r="AB1589" s="23"/>
      <c r="AC1589" s="23"/>
      <c r="AD1589" s="23"/>
      <c r="AE1589" s="23"/>
      <c r="AF1589" s="23"/>
      <c r="AG1589" s="23"/>
      <c r="AH1589" s="23"/>
      <c r="AI1589" s="23"/>
      <c r="AJ1589" s="23"/>
      <c r="AK1589" s="23">
        <v>23.5</v>
      </c>
      <c r="AL1589" s="23"/>
      <c r="AM1589" s="23"/>
      <c r="AN1589" s="23"/>
      <c r="AO1589" s="23"/>
      <c r="AP1589" s="23"/>
      <c r="AQ1589" s="23"/>
      <c r="AR1589" s="23"/>
      <c r="AS1589" s="23"/>
      <c r="AT1589" s="16"/>
      <c r="AU1589" s="16"/>
      <c r="AV1589" s="16"/>
      <c r="AW1589" s="16"/>
      <c r="AX1589" s="16"/>
      <c r="AY1589" s="16"/>
      <c r="AZ1589" s="16"/>
      <c r="BA1589" s="16"/>
      <c r="BB1589" s="16"/>
      <c r="BC1589" s="16"/>
      <c r="BD1589" s="16"/>
      <c r="BE1589" s="16"/>
      <c r="BF1589" s="16"/>
      <c r="BG1589" s="77"/>
      <c r="BH1589" s="16"/>
      <c r="BI1589" s="16"/>
      <c r="BJ1589" s="16"/>
      <c r="BK1589" s="16"/>
      <c r="BL1589" s="16"/>
      <c r="BM1589" s="16"/>
      <c r="BN1589" s="16"/>
      <c r="BO1589" s="16"/>
      <c r="BP1589" s="16"/>
      <c r="BQ1589" s="16"/>
      <c r="BR1589" s="16"/>
      <c r="BS1589" s="16"/>
      <c r="BT1589" s="77"/>
      <c r="BU1589" s="16"/>
      <c r="BV1589" s="16"/>
      <c r="BW1589" s="16"/>
      <c r="BX1589" s="16"/>
      <c r="BY1589" s="16"/>
      <c r="BZ1589" s="16"/>
      <c r="CA1589" s="16"/>
      <c r="CB1589" s="16"/>
      <c r="CC1589" s="16"/>
      <c r="CD1589" s="77"/>
      <c r="CE1589" s="16"/>
      <c r="CF1589" s="16"/>
      <c r="CG1589" s="16"/>
      <c r="CH1589" s="16"/>
      <c r="CI1589" s="16"/>
      <c r="CJ1589" s="16"/>
      <c r="CK1589" s="16"/>
      <c r="CL1589" s="16"/>
      <c r="CM1589" s="16"/>
      <c r="CN1589" s="16"/>
      <c r="CO1589" s="16"/>
      <c r="CP1589" s="16"/>
      <c r="CQ1589" s="16"/>
      <c r="CR1589" s="16"/>
      <c r="CS1589" s="16"/>
      <c r="CT1589" s="16"/>
      <c r="CU1589" s="16"/>
      <c r="CV1589" s="16"/>
      <c r="CW1589" s="16"/>
      <c r="CX1589" s="16"/>
      <c r="CY1589" s="16"/>
      <c r="CZ1589" s="16"/>
      <c r="DA1589" s="16"/>
      <c r="DB1589" s="16"/>
      <c r="DC1589" s="23"/>
      <c r="DD1589" s="23"/>
      <c r="DE1589" s="23"/>
      <c r="DF1589" s="16" t="e">
        <f>VLOOKUP(K1589,'[3]RNA Seq summary tables'!$V$3:$V$99,1,FALSE)</f>
        <v>#N/A</v>
      </c>
      <c r="DG1589" s="23"/>
      <c r="DH1589" s="23"/>
      <c r="DI1589" s="23"/>
      <c r="DJ1589" s="23"/>
      <c r="DK1589" s="23"/>
      <c r="DL1589" s="23"/>
      <c r="DM1589" s="23"/>
      <c r="DN1589" s="23"/>
      <c r="DO1589" s="23"/>
      <c r="DP1589" s="23"/>
      <c r="DQ1589" s="23"/>
      <c r="DR1589" s="23"/>
      <c r="DS1589" s="23"/>
      <c r="DT1589" s="25"/>
      <c r="DU1589" s="25"/>
      <c r="DV1589" s="25"/>
      <c r="DW1589" s="25"/>
      <c r="DX1589" s="25"/>
      <c r="DY1589" s="25"/>
      <c r="DZ1589" s="25"/>
      <c r="EA1589" s="25"/>
      <c r="EB1589" s="25"/>
      <c r="EC1589" s="25"/>
      <c r="ED1589" s="25"/>
      <c r="EE1589" s="25"/>
      <c r="EF1589" s="25"/>
      <c r="EG1589" s="25"/>
      <c r="EH1589" s="25"/>
      <c r="EI1589" s="25"/>
      <c r="EJ1589" s="25"/>
      <c r="EK1589" s="25"/>
      <c r="EL1589" s="25"/>
      <c r="EM1589" s="25"/>
      <c r="EN1589" s="25"/>
      <c r="EO1589" s="25"/>
      <c r="EP1589" s="25"/>
      <c r="EQ1589" s="25"/>
      <c r="ER1589" s="25"/>
      <c r="ES1589" s="25"/>
      <c r="ET1589" s="25"/>
      <c r="EU1589" s="25"/>
      <c r="EV1589" s="25"/>
      <c r="EW1589" s="25"/>
      <c r="EX1589" s="25"/>
      <c r="EY1589" s="25"/>
      <c r="EZ1589" s="25"/>
      <c r="FA1589" s="25"/>
      <c r="FB1589" s="25"/>
      <c r="FC1589" s="25"/>
      <c r="FD1589" s="25"/>
      <c r="FE1589" s="25"/>
      <c r="FF1589" s="25"/>
      <c r="FG1589" s="25"/>
      <c r="FH1589" s="25"/>
      <c r="FI1589" s="25"/>
      <c r="FJ1589" s="25"/>
      <c r="FK1589" s="25"/>
      <c r="FL1589" s="25"/>
      <c r="FM1589" s="25"/>
      <c r="FN1589" s="25"/>
      <c r="FO1589" s="25"/>
      <c r="FP1589" s="25"/>
      <c r="FQ1589" s="25"/>
      <c r="FR1589" s="25"/>
      <c r="FS1589" s="25"/>
      <c r="FT1589" s="25"/>
      <c r="FU1589" s="25"/>
      <c r="FV1589" s="25"/>
      <c r="FW1589" s="25"/>
      <c r="FX1589" s="25"/>
      <c r="FY1589" s="25"/>
      <c r="FZ1589" s="25"/>
      <c r="GA1589" s="25"/>
      <c r="GB1589" s="25"/>
      <c r="GC1589" s="25"/>
      <c r="GD1589" s="25"/>
      <c r="GE1589" s="25"/>
      <c r="GF1589" s="25"/>
      <c r="GG1589" s="25"/>
      <c r="GH1589" s="25"/>
      <c r="GI1589" s="25"/>
      <c r="GJ1589" s="25"/>
      <c r="GK1589" s="25"/>
      <c r="GL1589" s="25"/>
      <c r="GM1589" s="25"/>
      <c r="GN1589" s="25"/>
      <c r="GO1589" s="25"/>
      <c r="GP1589" s="25"/>
      <c r="GQ1589" s="25"/>
      <c r="GR1589" s="25"/>
      <c r="GS1589" s="25"/>
      <c r="GT1589" s="25"/>
      <c r="GU1589" s="25"/>
      <c r="GV1589" s="25"/>
      <c r="GW1589" s="25"/>
      <c r="GX1589" s="25"/>
      <c r="GY1589" s="25"/>
      <c r="GZ1589" s="25"/>
      <c r="HA1589" s="25"/>
      <c r="HB1589" s="25"/>
      <c r="HC1589" s="25"/>
      <c r="HD1589" s="25"/>
      <c r="HE1589" s="25"/>
      <c r="HF1589" s="25"/>
      <c r="HG1589" s="25"/>
      <c r="HH1589" s="25"/>
      <c r="HI1589" s="25"/>
      <c r="HJ1589" s="25"/>
      <c r="HK1589" s="25"/>
      <c r="HL1589" s="25"/>
      <c r="HM1589" s="25"/>
      <c r="HN1589" s="25"/>
      <c r="HO1589" s="25"/>
      <c r="HP1589" s="25"/>
      <c r="HQ1589" s="25"/>
      <c r="HR1589" s="25"/>
      <c r="HS1589" s="25"/>
      <c r="HT1589" s="25"/>
      <c r="HU1589" s="25"/>
      <c r="HV1589" s="25"/>
      <c r="HW1589" s="25"/>
      <c r="HX1589" s="25"/>
      <c r="HY1589" s="25"/>
      <c r="HZ1589" s="25"/>
      <c r="IA1589" s="25"/>
      <c r="IB1589" s="25"/>
      <c r="IC1589" s="25"/>
      <c r="ID1589" s="25"/>
      <c r="IE1589" s="25"/>
      <c r="IF1589" s="25"/>
      <c r="IG1589" s="25"/>
      <c r="IH1589" s="25"/>
      <c r="II1589" s="25"/>
      <c r="IJ1589" s="25"/>
      <c r="IK1589" s="25"/>
      <c r="IL1589" s="25"/>
      <c r="IM1589" s="25"/>
      <c r="IN1589" s="25"/>
      <c r="IO1589" s="25"/>
      <c r="IP1589" s="25"/>
      <c r="IQ1589" s="25"/>
      <c r="IR1589" s="25"/>
      <c r="IS1589" s="25"/>
      <c r="IT1589" s="25"/>
      <c r="IU1589" s="25"/>
      <c r="IV1589" s="25"/>
      <c r="IW1589" s="25"/>
      <c r="IX1589" s="25"/>
      <c r="IY1589" s="25"/>
      <c r="IZ1589" s="25"/>
      <c r="JA1589" s="25"/>
      <c r="JB1589" s="25"/>
      <c r="JC1589" s="25"/>
      <c r="JD1589" s="25"/>
      <c r="JE1589" s="25"/>
      <c r="JF1589" s="25"/>
      <c r="JG1589" s="25"/>
      <c r="JH1589" s="25"/>
      <c r="JI1589" s="25"/>
      <c r="JJ1589" s="25"/>
      <c r="JK1589" s="25"/>
      <c r="JL1589" s="25"/>
      <c r="JM1589" s="25"/>
      <c r="JN1589" s="25"/>
      <c r="JO1589" s="16"/>
      <c r="JP1589" s="16"/>
      <c r="JQ1589" s="16"/>
      <c r="JR1589" s="16"/>
      <c r="JS1589" s="16"/>
      <c r="JT1589" s="16"/>
      <c r="JU1589" s="16"/>
      <c r="JV1589" s="16"/>
      <c r="JW1589" s="16"/>
      <c r="JX1589" s="16"/>
      <c r="JY1589" s="16"/>
      <c r="JZ1589" s="16"/>
      <c r="KA1589" s="16"/>
      <c r="KB1589" s="16"/>
    </row>
    <row r="1590" spans="1:288" s="27" customFormat="1" x14ac:dyDescent="0.2">
      <c r="A1590" s="18"/>
      <c r="B1590" s="16">
        <v>2016</v>
      </c>
      <c r="C1590" s="20">
        <v>42531</v>
      </c>
      <c r="D1590" s="20" t="str">
        <f>CONCATENATE(J1590,"-",C1590)</f>
        <v>957-42531</v>
      </c>
      <c r="E1590" s="20" t="str">
        <f>CONCATENATE(T1590,"-",U1590,"-",C1590)</f>
        <v>PO2-B2-42531</v>
      </c>
      <c r="F1590" s="20" t="s">
        <v>106</v>
      </c>
      <c r="G1590" s="90" t="s">
        <v>278</v>
      </c>
      <c r="H1590" s="16"/>
      <c r="I1590" s="16"/>
      <c r="J1590" s="21">
        <v>957</v>
      </c>
      <c r="K1590" s="21"/>
      <c r="L1590" s="16"/>
      <c r="M1590" s="21"/>
      <c r="N1590" s="21"/>
      <c r="O1590" s="21"/>
      <c r="P1590" s="16"/>
      <c r="Q1590" s="16"/>
      <c r="R1590" s="16"/>
      <c r="S1590" s="16"/>
      <c r="T1590" s="16" t="s">
        <v>127</v>
      </c>
      <c r="U1590" s="16" t="s">
        <v>130</v>
      </c>
      <c r="V1590" s="16" t="s">
        <v>114</v>
      </c>
      <c r="W1590" s="16"/>
      <c r="X1590" s="16" t="s">
        <v>115</v>
      </c>
      <c r="Y1590" s="16" t="s">
        <v>122</v>
      </c>
      <c r="Z1590" s="16">
        <v>2.2999999999999998</v>
      </c>
      <c r="AA1590" s="16"/>
      <c r="AB1590" s="16"/>
      <c r="AC1590" s="16"/>
      <c r="AD1590" s="16"/>
      <c r="AE1590" s="16" t="s">
        <v>123</v>
      </c>
      <c r="AF1590" s="16" t="s">
        <v>123</v>
      </c>
      <c r="AG1590" s="16"/>
      <c r="AH1590" s="16"/>
      <c r="AI1590" s="16"/>
      <c r="AJ1590" s="16"/>
      <c r="AK1590" s="16">
        <v>12.5</v>
      </c>
      <c r="AL1590" s="16">
        <v>0</v>
      </c>
      <c r="AM1590" s="16">
        <v>0</v>
      </c>
      <c r="AN1590" s="16">
        <v>0</v>
      </c>
      <c r="AO1590" s="16">
        <f>IF(SUM(AL1590:AN1590)&gt;0,1,0)</f>
        <v>0</v>
      </c>
      <c r="AP1590" s="16">
        <f>SUM(AL1590:AN1590)</f>
        <v>0</v>
      </c>
      <c r="AQ1590" s="16"/>
      <c r="AR1590" s="16"/>
      <c r="AS1590" s="16"/>
      <c r="AT1590" s="16"/>
      <c r="AU1590" s="16"/>
      <c r="AV1590" s="16"/>
      <c r="AW1590" s="16"/>
      <c r="AX1590" s="16"/>
      <c r="AY1590" s="16"/>
      <c r="AZ1590" s="16"/>
      <c r="BA1590" s="16"/>
      <c r="BB1590" s="16"/>
      <c r="BC1590" s="16"/>
      <c r="BD1590" s="16"/>
      <c r="BE1590" s="16"/>
      <c r="BF1590" s="16"/>
      <c r="BG1590" s="77"/>
      <c r="BH1590" s="16"/>
      <c r="BI1590" s="16"/>
      <c r="BJ1590" s="16"/>
      <c r="BK1590" s="16"/>
      <c r="BL1590" s="16"/>
      <c r="BM1590" s="16"/>
      <c r="BN1590" s="16"/>
      <c r="BO1590" s="16"/>
      <c r="BP1590" s="16"/>
      <c r="BQ1590" s="16"/>
      <c r="BR1590" s="16"/>
      <c r="BS1590" s="16"/>
      <c r="BT1590" s="77"/>
      <c r="BU1590" s="16"/>
      <c r="BV1590" s="16"/>
      <c r="BW1590" s="16"/>
      <c r="BX1590" s="16"/>
      <c r="BY1590" s="16"/>
      <c r="BZ1590" s="16"/>
      <c r="CA1590" s="16"/>
      <c r="CB1590" s="16"/>
      <c r="CC1590" s="16"/>
      <c r="CD1590" s="77"/>
      <c r="CE1590" s="16"/>
      <c r="CF1590" s="16"/>
      <c r="CG1590" s="16"/>
      <c r="CH1590" s="16"/>
      <c r="CI1590" s="16"/>
      <c r="CJ1590" s="16"/>
      <c r="CK1590" s="16"/>
      <c r="CL1590" s="16"/>
      <c r="CM1590" s="16"/>
      <c r="CN1590" s="16"/>
      <c r="CO1590" s="16"/>
      <c r="CP1590" s="16"/>
      <c r="CQ1590" s="16"/>
      <c r="CR1590" s="16"/>
      <c r="CS1590" s="16"/>
      <c r="CT1590" s="16"/>
      <c r="CU1590" s="16"/>
      <c r="CV1590" s="16"/>
      <c r="CW1590" s="16"/>
      <c r="CX1590" s="16"/>
      <c r="CY1590" s="16"/>
      <c r="CZ1590" s="16"/>
      <c r="DA1590" s="16"/>
      <c r="DB1590" s="16"/>
      <c r="DC1590" s="16"/>
      <c r="DD1590" s="16"/>
      <c r="DE1590" s="16"/>
      <c r="DF1590" s="16" t="e">
        <f>VLOOKUP(K1590,'[3]RNA Seq summary tables'!$V$3:$V$99,1,FALSE)</f>
        <v>#N/A</v>
      </c>
      <c r="DG1590" s="16"/>
      <c r="DH1590" s="16"/>
      <c r="DI1590" s="16"/>
      <c r="DJ1590" s="16"/>
      <c r="DK1590" s="16"/>
      <c r="DL1590" s="16"/>
      <c r="DM1590" s="16"/>
      <c r="DN1590" s="16"/>
      <c r="DO1590" s="16"/>
      <c r="DP1590" s="16"/>
      <c r="DQ1590" s="16"/>
      <c r="DR1590" s="16"/>
      <c r="DS1590" s="16"/>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18"/>
      <c r="EQ1590" s="18"/>
      <c r="ER1590" s="18"/>
      <c r="ES1590" s="18"/>
      <c r="ET1590" s="18"/>
      <c r="EU1590" s="18"/>
      <c r="EV1590" s="18"/>
      <c r="EW1590" s="18"/>
      <c r="EX1590" s="18"/>
      <c r="EY1590" s="18"/>
      <c r="EZ1590" s="18"/>
      <c r="FA1590" s="18"/>
      <c r="FB1590" s="18"/>
      <c r="FC1590" s="18"/>
      <c r="FD1590" s="18"/>
      <c r="FE1590" s="18"/>
      <c r="FF1590" s="18"/>
      <c r="FG1590" s="18"/>
      <c r="FH1590" s="18"/>
      <c r="FI1590" s="18"/>
      <c r="FJ1590" s="18"/>
      <c r="FK1590" s="18"/>
      <c r="FL1590" s="18"/>
      <c r="FM1590" s="18"/>
      <c r="FN1590" s="18"/>
      <c r="FO1590" s="18"/>
      <c r="FP1590" s="18"/>
      <c r="FQ1590" s="18"/>
      <c r="FR1590" s="18"/>
      <c r="FS1590" s="18"/>
      <c r="FT1590" s="18"/>
      <c r="FU1590" s="18"/>
      <c r="FV1590" s="18"/>
      <c r="FW1590" s="18"/>
      <c r="FX1590" s="18"/>
      <c r="FY1590" s="18"/>
      <c r="FZ1590" s="18"/>
      <c r="GA1590" s="18"/>
      <c r="GB1590" s="18"/>
      <c r="GC1590" s="18"/>
      <c r="GD1590" s="18"/>
      <c r="GE1590" s="18"/>
      <c r="GF1590" s="18"/>
      <c r="GG1590" s="18"/>
      <c r="GH1590" s="18"/>
      <c r="GI1590" s="18"/>
      <c r="GJ1590" s="18"/>
      <c r="GK1590" s="18"/>
      <c r="GL1590" s="18"/>
      <c r="GM1590" s="18"/>
      <c r="GN1590" s="18"/>
      <c r="GO1590" s="18"/>
      <c r="GP1590" s="18"/>
      <c r="GQ1590" s="18"/>
      <c r="GR1590" s="18"/>
      <c r="GS1590" s="18"/>
      <c r="GT1590" s="18"/>
      <c r="GU1590" s="18"/>
      <c r="GV1590" s="18"/>
      <c r="GW1590" s="18"/>
      <c r="GX1590" s="18"/>
      <c r="GY1590" s="18"/>
      <c r="GZ1590" s="18"/>
      <c r="HA1590" s="18"/>
      <c r="HB1590" s="18"/>
      <c r="HC1590" s="18"/>
      <c r="HD1590" s="18"/>
      <c r="HE1590" s="18"/>
      <c r="HF1590" s="18"/>
      <c r="HG1590" s="18"/>
      <c r="HH1590" s="18"/>
      <c r="HI1590" s="18"/>
      <c r="HJ1590" s="18"/>
      <c r="HK1590" s="18"/>
      <c r="HL1590" s="18"/>
      <c r="HM1590" s="18"/>
      <c r="HN1590" s="18"/>
      <c r="HO1590" s="18"/>
      <c r="HP1590" s="18"/>
      <c r="HQ1590" s="18"/>
      <c r="HR1590" s="18"/>
      <c r="HS1590" s="18"/>
      <c r="HT1590" s="18"/>
      <c r="HU1590" s="18"/>
      <c r="HV1590" s="18"/>
      <c r="HW1590" s="18"/>
      <c r="HX1590" s="18"/>
      <c r="HY1590" s="18"/>
      <c r="HZ1590" s="18"/>
      <c r="IA1590" s="18"/>
      <c r="IB1590" s="18"/>
      <c r="IC1590" s="18"/>
      <c r="ID1590" s="18"/>
      <c r="IE1590" s="18"/>
      <c r="IF1590" s="18"/>
      <c r="IG1590" s="18"/>
      <c r="IH1590" s="18"/>
      <c r="II1590" s="18"/>
      <c r="IJ1590" s="18"/>
      <c r="IK1590" s="18"/>
      <c r="IL1590" s="18"/>
      <c r="IM1590" s="18"/>
      <c r="IN1590" s="18"/>
      <c r="IO1590" s="18"/>
      <c r="IP1590" s="18"/>
      <c r="IQ1590" s="18"/>
      <c r="IR1590" s="18"/>
      <c r="IS1590" s="18"/>
      <c r="IT1590" s="18"/>
      <c r="IU1590" s="18"/>
      <c r="IV1590" s="18"/>
      <c r="IW1590" s="18"/>
      <c r="IX1590" s="18"/>
      <c r="IY1590" s="18"/>
      <c r="IZ1590" s="18"/>
      <c r="JA1590" s="18"/>
      <c r="JB1590" s="18"/>
      <c r="JC1590" s="18"/>
      <c r="JD1590" s="18"/>
      <c r="JE1590" s="18"/>
      <c r="JF1590" s="18"/>
      <c r="JG1590" s="18"/>
      <c r="JH1590" s="18"/>
      <c r="JI1590" s="18"/>
      <c r="JJ1590" s="18"/>
      <c r="JK1590" s="18"/>
      <c r="JL1590" s="18"/>
      <c r="JM1590" s="18"/>
      <c r="JN1590" s="18"/>
      <c r="JO1590" s="16"/>
      <c r="JP1590" s="16"/>
      <c r="JQ1590" s="16"/>
      <c r="JR1590" s="16"/>
      <c r="JS1590" s="16"/>
      <c r="JT1590" s="16"/>
      <c r="JU1590" s="16"/>
      <c r="JV1590" s="16"/>
      <c r="JW1590" s="16"/>
      <c r="JX1590" s="16"/>
      <c r="JY1590" s="16"/>
      <c r="JZ1590" s="16"/>
      <c r="KA1590" s="16"/>
      <c r="KB1590" s="16"/>
    </row>
    <row r="1591" spans="1:288" s="27" customFormat="1" x14ac:dyDescent="0.2">
      <c r="A1591" s="18"/>
      <c r="B1591" s="16">
        <v>2016</v>
      </c>
      <c r="C1591" s="20">
        <v>42532</v>
      </c>
      <c r="D1591" s="20" t="str">
        <f>CONCATENATE(J1591,"-",C1591)</f>
        <v>957-42532</v>
      </c>
      <c r="E1591" s="20" t="str">
        <f>CONCATENATE(T1591,"-",U1591,"-",C1591)</f>
        <v>PO2-C8-42532</v>
      </c>
      <c r="F1591" s="20" t="s">
        <v>106</v>
      </c>
      <c r="G1591" s="90" t="s">
        <v>278</v>
      </c>
      <c r="H1591" s="16"/>
      <c r="I1591" s="16"/>
      <c r="J1591" s="21">
        <v>957</v>
      </c>
      <c r="K1591" s="21"/>
      <c r="L1591" s="16"/>
      <c r="M1591" s="21"/>
      <c r="N1591" s="21"/>
      <c r="O1591" s="21"/>
      <c r="P1591" s="16"/>
      <c r="Q1591" s="16"/>
      <c r="R1591" s="16"/>
      <c r="S1591" s="16"/>
      <c r="T1591" s="16" t="s">
        <v>127</v>
      </c>
      <c r="U1591" s="16" t="s">
        <v>188</v>
      </c>
      <c r="V1591" s="16"/>
      <c r="W1591" s="16"/>
      <c r="X1591" s="16" t="s">
        <v>115</v>
      </c>
      <c r="Y1591" s="16" t="s">
        <v>122</v>
      </c>
      <c r="Z1591" s="16">
        <v>2.2999999999999998</v>
      </c>
      <c r="AA1591" s="16"/>
      <c r="AB1591" s="16"/>
      <c r="AC1591" s="16"/>
      <c r="AD1591" s="16"/>
      <c r="AE1591" s="16"/>
      <c r="AF1591" s="16"/>
      <c r="AG1591" s="16"/>
      <c r="AH1591" s="16"/>
      <c r="AI1591" s="16"/>
      <c r="AJ1591" s="16"/>
      <c r="AK1591" s="16">
        <v>14.5</v>
      </c>
      <c r="AL1591" s="16">
        <v>0</v>
      </c>
      <c r="AM1591" s="16">
        <v>0</v>
      </c>
      <c r="AN1591" s="16">
        <v>0</v>
      </c>
      <c r="AO1591" s="16">
        <f>IF(SUM(AL1591:AN1591)&gt;0,1,0)</f>
        <v>0</v>
      </c>
      <c r="AP1591" s="16">
        <f>SUM(AL1591:AN1591)</f>
        <v>0</v>
      </c>
      <c r="AQ1591" s="16"/>
      <c r="AR1591" s="16"/>
      <c r="AS1591" s="16"/>
      <c r="AT1591" s="16"/>
      <c r="AU1591" s="16"/>
      <c r="AV1591" s="16"/>
      <c r="AW1591" s="16"/>
      <c r="AX1591" s="16"/>
      <c r="AY1591" s="16"/>
      <c r="AZ1591" s="16"/>
      <c r="BA1591" s="16"/>
      <c r="BB1591" s="16"/>
      <c r="BC1591" s="16"/>
      <c r="BD1591" s="16"/>
      <c r="BE1591" s="16"/>
      <c r="BF1591" s="16"/>
      <c r="BG1591" s="77"/>
      <c r="BH1591" s="16"/>
      <c r="BI1591" s="16"/>
      <c r="BJ1591" s="16"/>
      <c r="BK1591" s="16"/>
      <c r="BL1591" s="16"/>
      <c r="BM1591" s="16"/>
      <c r="BN1591" s="16"/>
      <c r="BO1591" s="16"/>
      <c r="BP1591" s="16"/>
      <c r="BQ1591" s="16"/>
      <c r="BR1591" s="16"/>
      <c r="BS1591" s="16"/>
      <c r="BT1591" s="77"/>
      <c r="BU1591" s="16"/>
      <c r="BV1591" s="16"/>
      <c r="BW1591" s="16"/>
      <c r="BX1591" s="16"/>
      <c r="BY1591" s="16"/>
      <c r="BZ1591" s="16"/>
      <c r="CA1591" s="16"/>
      <c r="CB1591" s="16"/>
      <c r="CC1591" s="16"/>
      <c r="CD1591" s="77"/>
      <c r="CE1591" s="16"/>
      <c r="CF1591" s="16"/>
      <c r="CG1591" s="16"/>
      <c r="CH1591" s="16"/>
      <c r="CI1591" s="16"/>
      <c r="CJ1591" s="16"/>
      <c r="CK1591" s="16"/>
      <c r="CL1591" s="16"/>
      <c r="CM1591" s="16"/>
      <c r="CN1591" s="16"/>
      <c r="CO1591" s="16"/>
      <c r="CP1591" s="16"/>
      <c r="CQ1591" s="16"/>
      <c r="CR1591" s="16"/>
      <c r="CS1591" s="16"/>
      <c r="CT1591" s="16"/>
      <c r="CU1591" s="16"/>
      <c r="CV1591" s="16"/>
      <c r="CW1591" s="16"/>
      <c r="CX1591" s="16"/>
      <c r="CY1591" s="16"/>
      <c r="CZ1591" s="16"/>
      <c r="DA1591" s="16"/>
      <c r="DB1591" s="16"/>
      <c r="DC1591" s="16"/>
      <c r="DD1591" s="16"/>
      <c r="DE1591" s="16"/>
      <c r="DF1591" s="16" t="e">
        <f>VLOOKUP(K1591,'[3]RNA Seq summary tables'!$V$3:$V$99,1,FALSE)</f>
        <v>#N/A</v>
      </c>
      <c r="DG1591" s="16"/>
      <c r="DH1591" s="16"/>
      <c r="DI1591" s="16"/>
      <c r="DJ1591" s="16"/>
      <c r="DK1591" s="16"/>
      <c r="DL1591" s="16"/>
      <c r="DM1591" s="16"/>
      <c r="DN1591" s="16"/>
      <c r="DO1591" s="16"/>
      <c r="DP1591" s="16"/>
      <c r="DQ1591" s="16"/>
      <c r="DR1591" s="16"/>
      <c r="DS1591" s="16"/>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18"/>
      <c r="EQ1591" s="18"/>
      <c r="ER1591" s="18"/>
      <c r="ES1591" s="18"/>
      <c r="ET1591" s="18"/>
      <c r="EU1591" s="18"/>
      <c r="EV1591" s="18"/>
      <c r="EW1591" s="18"/>
      <c r="EX1591" s="18"/>
      <c r="EY1591" s="18"/>
      <c r="EZ1591" s="18"/>
      <c r="FA1591" s="18"/>
      <c r="FB1591" s="18"/>
      <c r="FC1591" s="18"/>
      <c r="FD1591" s="18"/>
      <c r="FE1591" s="18"/>
      <c r="FF1591" s="18"/>
      <c r="FG1591" s="18"/>
      <c r="FH1591" s="18"/>
      <c r="FI1591" s="18"/>
      <c r="FJ1591" s="18"/>
      <c r="FK1591" s="18"/>
      <c r="FL1591" s="18"/>
      <c r="FM1591" s="18"/>
      <c r="FN1591" s="18"/>
      <c r="FO1591" s="18"/>
      <c r="FP1591" s="18"/>
      <c r="FQ1591" s="18"/>
      <c r="FR1591" s="18"/>
      <c r="FS1591" s="18"/>
      <c r="FT1591" s="18"/>
      <c r="FU1591" s="18"/>
      <c r="FV1591" s="18"/>
      <c r="FW1591" s="18"/>
      <c r="FX1591" s="18"/>
      <c r="FY1591" s="18"/>
      <c r="FZ1591" s="18"/>
      <c r="GA1591" s="18"/>
      <c r="GB1591" s="18"/>
      <c r="GC1591" s="18"/>
      <c r="GD1591" s="18"/>
      <c r="GE1591" s="18"/>
      <c r="GF1591" s="18"/>
      <c r="GG1591" s="18"/>
      <c r="GH1591" s="18"/>
      <c r="GI1591" s="18"/>
      <c r="GJ1591" s="18"/>
      <c r="GK1591" s="18"/>
      <c r="GL1591" s="18"/>
      <c r="GM1591" s="18"/>
      <c r="GN1591" s="18"/>
      <c r="GO1591" s="18"/>
      <c r="GP1591" s="18"/>
      <c r="GQ1591" s="18"/>
      <c r="GR1591" s="18"/>
      <c r="GS1591" s="18"/>
      <c r="GT1591" s="18"/>
      <c r="GU1591" s="18"/>
      <c r="GV1591" s="18"/>
      <c r="GW1591" s="18"/>
      <c r="GX1591" s="18"/>
      <c r="GY1591" s="18"/>
      <c r="GZ1591" s="18"/>
      <c r="HA1591" s="18"/>
      <c r="HB1591" s="18"/>
      <c r="HC1591" s="18"/>
      <c r="HD1591" s="18"/>
      <c r="HE1591" s="18"/>
      <c r="HF1591" s="18"/>
      <c r="HG1591" s="18"/>
      <c r="HH1591" s="18"/>
      <c r="HI1591" s="18"/>
      <c r="HJ1591" s="18"/>
      <c r="HK1591" s="18"/>
      <c r="HL1591" s="18"/>
      <c r="HM1591" s="18"/>
      <c r="HN1591" s="18"/>
      <c r="HO1591" s="18"/>
      <c r="HP1591" s="18"/>
      <c r="HQ1591" s="18"/>
      <c r="HR1591" s="18"/>
      <c r="HS1591" s="18"/>
      <c r="HT1591" s="18"/>
      <c r="HU1591" s="18"/>
      <c r="HV1591" s="18"/>
      <c r="HW1591" s="18"/>
      <c r="HX1591" s="18"/>
      <c r="HY1591" s="18"/>
      <c r="HZ1591" s="18"/>
      <c r="IA1591" s="18"/>
      <c r="IB1591" s="18"/>
      <c r="IC1591" s="18"/>
      <c r="ID1591" s="18"/>
      <c r="IE1591" s="18"/>
      <c r="IF1591" s="18"/>
      <c r="IG1591" s="18"/>
      <c r="IH1591" s="18"/>
      <c r="II1591" s="18"/>
      <c r="IJ1591" s="18"/>
      <c r="IK1591" s="18"/>
      <c r="IL1591" s="18"/>
      <c r="IM1591" s="18"/>
      <c r="IN1591" s="18"/>
      <c r="IO1591" s="18"/>
      <c r="IP1591" s="18"/>
      <c r="IQ1591" s="18"/>
      <c r="IR1591" s="18"/>
      <c r="IS1591" s="18"/>
      <c r="IT1591" s="18"/>
      <c r="IU1591" s="18"/>
      <c r="IV1591" s="18"/>
      <c r="IW1591" s="18"/>
      <c r="IX1591" s="18"/>
      <c r="IY1591" s="18"/>
      <c r="IZ1591" s="18"/>
      <c r="JA1591" s="18"/>
      <c r="JB1591" s="18"/>
      <c r="JC1591" s="18"/>
      <c r="JD1591" s="18"/>
      <c r="JE1591" s="18"/>
      <c r="JF1591" s="18"/>
      <c r="JG1591" s="18"/>
      <c r="JH1591" s="18"/>
      <c r="JI1591" s="18"/>
      <c r="JJ1591" s="18"/>
      <c r="JK1591" s="18"/>
      <c r="JL1591" s="18"/>
      <c r="JM1591" s="18"/>
      <c r="JN1591" s="18"/>
      <c r="JO1591" s="16"/>
      <c r="JP1591" s="16"/>
      <c r="JQ1591" s="16"/>
      <c r="JR1591" s="16"/>
      <c r="JS1591" s="16"/>
      <c r="JT1591" s="16"/>
      <c r="JU1591" s="16"/>
      <c r="JV1591" s="16"/>
      <c r="JW1591" s="16"/>
      <c r="JX1591" s="16"/>
      <c r="JY1591" s="16"/>
      <c r="JZ1591" s="16"/>
      <c r="KA1591" s="16"/>
      <c r="KB1591" s="16"/>
    </row>
    <row r="1592" spans="1:288" s="27" customFormat="1" x14ac:dyDescent="0.2">
      <c r="A1592" s="18"/>
      <c r="B1592" s="16">
        <v>2016</v>
      </c>
      <c r="C1592" s="20">
        <v>42560</v>
      </c>
      <c r="D1592" s="20" t="str">
        <f>CONCATENATE(J1592,"-",C1592)</f>
        <v>957-42560</v>
      </c>
      <c r="E1592" s="20" t="str">
        <f>CONCATENATE(T1592,"-",U1592,"-",C1592)</f>
        <v>PO2-C6-42560</v>
      </c>
      <c r="F1592" s="20" t="s">
        <v>106</v>
      </c>
      <c r="G1592" s="90" t="s">
        <v>278</v>
      </c>
      <c r="H1592" s="16"/>
      <c r="I1592" s="16"/>
      <c r="J1592" s="21">
        <v>957</v>
      </c>
      <c r="K1592" s="21"/>
      <c r="L1592" s="16"/>
      <c r="M1592" s="21"/>
      <c r="N1592" s="21"/>
      <c r="O1592" s="21"/>
      <c r="P1592" s="16"/>
      <c r="Q1592" s="16"/>
      <c r="R1592" s="16"/>
      <c r="S1592" s="16"/>
      <c r="T1592" s="16" t="s">
        <v>127</v>
      </c>
      <c r="U1592" s="16" t="s">
        <v>213</v>
      </c>
      <c r="V1592" s="16"/>
      <c r="W1592" s="16"/>
      <c r="X1592" s="16"/>
      <c r="Y1592" s="16"/>
      <c r="Z1592" s="16"/>
      <c r="AA1592" s="16"/>
      <c r="AB1592" s="16"/>
      <c r="AC1592" s="16"/>
      <c r="AD1592" s="16"/>
      <c r="AE1592" s="16"/>
      <c r="AF1592" s="16"/>
      <c r="AG1592" s="16"/>
      <c r="AH1592" s="16"/>
      <c r="AI1592" s="16"/>
      <c r="AJ1592" s="16"/>
      <c r="AK1592" s="16">
        <v>19.5</v>
      </c>
      <c r="AL1592" s="16"/>
      <c r="AM1592" s="16"/>
      <c r="AN1592" s="16"/>
      <c r="AO1592" s="16"/>
      <c r="AP1592" s="16"/>
      <c r="AQ1592" s="16"/>
      <c r="AR1592" s="16"/>
      <c r="AS1592" s="16"/>
      <c r="AT1592" s="16"/>
      <c r="AU1592" s="16"/>
      <c r="AV1592" s="16"/>
      <c r="AW1592" s="16"/>
      <c r="AX1592" s="16"/>
      <c r="AY1592" s="16"/>
      <c r="AZ1592" s="16"/>
      <c r="BA1592" s="16"/>
      <c r="BB1592" s="16"/>
      <c r="BC1592" s="16"/>
      <c r="BD1592" s="16"/>
      <c r="BE1592" s="16"/>
      <c r="BF1592" s="16"/>
      <c r="BG1592" s="77"/>
      <c r="BH1592" s="16"/>
      <c r="BI1592" s="16"/>
      <c r="BJ1592" s="16"/>
      <c r="BK1592" s="16"/>
      <c r="BL1592" s="16"/>
      <c r="BM1592" s="16"/>
      <c r="BN1592" s="16"/>
      <c r="BO1592" s="16"/>
      <c r="BP1592" s="16"/>
      <c r="BQ1592" s="16"/>
      <c r="BR1592" s="16"/>
      <c r="BS1592" s="16"/>
      <c r="BT1592" s="77"/>
      <c r="BU1592" s="16"/>
      <c r="BV1592" s="16"/>
      <c r="BW1592" s="16"/>
      <c r="BX1592" s="16"/>
      <c r="BY1592" s="16"/>
      <c r="BZ1592" s="16"/>
      <c r="CA1592" s="16"/>
      <c r="CB1592" s="16"/>
      <c r="CC1592" s="16"/>
      <c r="CD1592" s="77"/>
      <c r="CE1592" s="16"/>
      <c r="CF1592" s="16"/>
      <c r="CG1592" s="16"/>
      <c r="CH1592" s="16"/>
      <c r="CI1592" s="16"/>
      <c r="CJ1592" s="16"/>
      <c r="CK1592" s="16"/>
      <c r="CL1592" s="16"/>
      <c r="CM1592" s="16"/>
      <c r="CN1592" s="16"/>
      <c r="CO1592" s="16"/>
      <c r="CP1592" s="16"/>
      <c r="CQ1592" s="16"/>
      <c r="CR1592" s="16"/>
      <c r="CS1592" s="16"/>
      <c r="CT1592" s="16"/>
      <c r="CU1592" s="16"/>
      <c r="CV1592" s="16"/>
      <c r="CW1592" s="16"/>
      <c r="CX1592" s="16"/>
      <c r="CY1592" s="16"/>
      <c r="CZ1592" s="16"/>
      <c r="DA1592" s="16"/>
      <c r="DB1592" s="16"/>
      <c r="DC1592" s="16"/>
      <c r="DD1592" s="16"/>
      <c r="DE1592" s="16"/>
      <c r="DF1592" s="16" t="e">
        <f>VLOOKUP(K1592,'[3]RNA Seq summary tables'!$V$3:$V$99,1,FALSE)</f>
        <v>#N/A</v>
      </c>
      <c r="DG1592" s="16"/>
      <c r="DH1592" s="16"/>
      <c r="DI1592" s="16"/>
      <c r="DJ1592" s="16"/>
      <c r="DK1592" s="16"/>
      <c r="DL1592" s="16"/>
      <c r="DM1592" s="16"/>
      <c r="DN1592" s="16"/>
      <c r="DO1592" s="16"/>
      <c r="DP1592" s="16"/>
      <c r="DQ1592" s="16"/>
      <c r="DR1592" s="16"/>
      <c r="DS1592" s="16"/>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18"/>
      <c r="EQ1592" s="18"/>
      <c r="ER1592" s="18"/>
      <c r="ES1592" s="18"/>
      <c r="ET1592" s="18"/>
      <c r="EU1592" s="18"/>
      <c r="EV1592" s="18"/>
      <c r="EW1592" s="18"/>
      <c r="EX1592" s="18"/>
      <c r="EY1592" s="18"/>
      <c r="EZ1592" s="18"/>
      <c r="FA1592" s="18"/>
      <c r="FB1592" s="18"/>
      <c r="FC1592" s="18"/>
      <c r="FD1592" s="18"/>
      <c r="FE1592" s="18"/>
      <c r="FF1592" s="18"/>
      <c r="FG1592" s="18"/>
      <c r="FH1592" s="18"/>
      <c r="FI1592" s="18"/>
      <c r="FJ1592" s="18"/>
      <c r="FK1592" s="18"/>
      <c r="FL1592" s="18"/>
      <c r="FM1592" s="18"/>
      <c r="FN1592" s="18"/>
      <c r="FO1592" s="18"/>
      <c r="FP1592" s="18"/>
      <c r="FQ1592" s="18"/>
      <c r="FR1592" s="18"/>
      <c r="FS1592" s="18"/>
      <c r="FT1592" s="18"/>
      <c r="FU1592" s="18"/>
      <c r="FV1592" s="18"/>
      <c r="FW1592" s="18"/>
      <c r="FX1592" s="18"/>
      <c r="FY1592" s="18"/>
      <c r="FZ1592" s="18"/>
      <c r="GA1592" s="18"/>
      <c r="GB1592" s="18"/>
      <c r="GC1592" s="18"/>
      <c r="GD1592" s="18"/>
      <c r="GE1592" s="18"/>
      <c r="GF1592" s="18"/>
      <c r="GG1592" s="18"/>
      <c r="GH1592" s="18"/>
      <c r="GI1592" s="18"/>
      <c r="GJ1592" s="18"/>
      <c r="GK1592" s="18"/>
      <c r="GL1592" s="18"/>
      <c r="GM1592" s="18"/>
      <c r="GN1592" s="18"/>
      <c r="GO1592" s="18"/>
      <c r="GP1592" s="18"/>
      <c r="GQ1592" s="18"/>
      <c r="GR1592" s="18"/>
      <c r="GS1592" s="18"/>
      <c r="GT1592" s="18"/>
      <c r="GU1592" s="18"/>
      <c r="GV1592" s="18"/>
      <c r="GW1592" s="18"/>
      <c r="GX1592" s="18"/>
      <c r="GY1592" s="18"/>
      <c r="GZ1592" s="18"/>
      <c r="HA1592" s="18"/>
      <c r="HB1592" s="18"/>
      <c r="HC1592" s="18"/>
      <c r="HD1592" s="18"/>
      <c r="HE1592" s="18"/>
      <c r="HF1592" s="18"/>
      <c r="HG1592" s="18"/>
      <c r="HH1592" s="18"/>
      <c r="HI1592" s="18"/>
      <c r="HJ1592" s="18"/>
      <c r="HK1592" s="18"/>
      <c r="HL1592" s="18"/>
      <c r="HM1592" s="18"/>
      <c r="HN1592" s="18"/>
      <c r="HO1592" s="18"/>
      <c r="HP1592" s="18"/>
      <c r="HQ1592" s="18"/>
      <c r="HR1592" s="18"/>
      <c r="HS1592" s="18"/>
      <c r="HT1592" s="18"/>
      <c r="HU1592" s="18"/>
      <c r="HV1592" s="18"/>
      <c r="HW1592" s="18"/>
      <c r="HX1592" s="18"/>
      <c r="HY1592" s="18"/>
      <c r="HZ1592" s="18"/>
      <c r="IA1592" s="18"/>
      <c r="IB1592" s="18"/>
      <c r="IC1592" s="18"/>
      <c r="ID1592" s="18"/>
      <c r="IE1592" s="18"/>
      <c r="IF1592" s="18"/>
      <c r="IG1592" s="18"/>
      <c r="IH1592" s="18"/>
      <c r="II1592" s="18"/>
      <c r="IJ1592" s="18"/>
      <c r="IK1592" s="18"/>
      <c r="IL1592" s="18"/>
      <c r="IM1592" s="18"/>
      <c r="IN1592" s="18"/>
      <c r="IO1592" s="18"/>
      <c r="IP1592" s="18"/>
      <c r="IQ1592" s="18"/>
      <c r="IR1592" s="18"/>
      <c r="IS1592" s="18"/>
      <c r="IT1592" s="18"/>
      <c r="IU1592" s="18"/>
      <c r="IV1592" s="18"/>
      <c r="IW1592" s="18"/>
      <c r="IX1592" s="18"/>
      <c r="IY1592" s="18"/>
      <c r="IZ1592" s="18"/>
      <c r="JA1592" s="18"/>
      <c r="JB1592" s="18"/>
      <c r="JC1592" s="18"/>
      <c r="JD1592" s="18"/>
      <c r="JE1592" s="18"/>
      <c r="JF1592" s="18"/>
      <c r="JG1592" s="18"/>
      <c r="JH1592" s="18"/>
      <c r="JI1592" s="18"/>
      <c r="JJ1592" s="18"/>
      <c r="JK1592" s="18"/>
      <c r="JL1592" s="18"/>
      <c r="JM1592" s="18"/>
      <c r="JN1592" s="18"/>
      <c r="JO1592" s="16"/>
      <c r="JR1592" s="16"/>
      <c r="JS1592" s="16"/>
      <c r="JT1592" s="16"/>
      <c r="JU1592" s="16"/>
      <c r="JV1592" s="16"/>
      <c r="JW1592" s="16"/>
      <c r="JX1592" s="16"/>
      <c r="JY1592" s="16"/>
      <c r="JZ1592" s="16"/>
      <c r="KA1592" s="16"/>
      <c r="KB1592" s="16"/>
    </row>
    <row r="1593" spans="1:288" s="18" customFormat="1" x14ac:dyDescent="0.2">
      <c r="B1593" s="16">
        <v>2016</v>
      </c>
      <c r="C1593" s="20">
        <v>42531</v>
      </c>
      <c r="D1593" s="20" t="str">
        <f>CONCATENATE(J1593,"-",C1593)</f>
        <v>959-42531</v>
      </c>
      <c r="E1593" s="20" t="str">
        <f>CONCATENATE(T1593,"-",U1593,"-",C1593)</f>
        <v>PO2-G5-42531</v>
      </c>
      <c r="F1593" s="20" t="s">
        <v>106</v>
      </c>
      <c r="G1593" s="90" t="s">
        <v>278</v>
      </c>
      <c r="H1593" s="16"/>
      <c r="I1593" s="16"/>
      <c r="J1593" s="21">
        <v>959</v>
      </c>
      <c r="K1593" s="21"/>
      <c r="L1593" s="16"/>
      <c r="M1593" s="21"/>
      <c r="N1593" s="21"/>
      <c r="O1593" s="21"/>
      <c r="P1593" s="16"/>
      <c r="Q1593" s="16"/>
      <c r="R1593" s="16"/>
      <c r="S1593" s="16"/>
      <c r="T1593" s="16" t="s">
        <v>127</v>
      </c>
      <c r="U1593" s="16" t="s">
        <v>200</v>
      </c>
      <c r="V1593" s="16" t="s">
        <v>114</v>
      </c>
      <c r="W1593" s="16"/>
      <c r="X1593" s="16" t="s">
        <v>121</v>
      </c>
      <c r="Y1593" s="16" t="s">
        <v>110</v>
      </c>
      <c r="Z1593" s="16">
        <v>3</v>
      </c>
      <c r="AA1593" s="16" t="s">
        <v>119</v>
      </c>
      <c r="AB1593" s="16" t="s">
        <v>116</v>
      </c>
      <c r="AC1593" s="16" t="s">
        <v>123</v>
      </c>
      <c r="AD1593" s="16" t="s">
        <v>116</v>
      </c>
      <c r="AE1593" s="16"/>
      <c r="AF1593" s="16"/>
      <c r="AG1593" s="16"/>
      <c r="AH1593" s="16"/>
      <c r="AI1593" s="16"/>
      <c r="AJ1593" s="16"/>
      <c r="AK1593" s="16">
        <v>29</v>
      </c>
      <c r="AL1593" s="16"/>
      <c r="AM1593" s="16"/>
      <c r="AN1593" s="16"/>
      <c r="AO1593" s="16"/>
      <c r="AP1593" s="16"/>
      <c r="AQ1593" s="16"/>
      <c r="AR1593" s="16"/>
      <c r="AS1593" s="16"/>
      <c r="AT1593" s="16"/>
      <c r="AU1593" s="16"/>
      <c r="AV1593" s="16"/>
      <c r="AW1593" s="16"/>
      <c r="AX1593" s="16"/>
      <c r="AY1593" s="16"/>
      <c r="AZ1593" s="16"/>
      <c r="BA1593" s="16"/>
      <c r="BB1593" s="16"/>
      <c r="BC1593" s="16"/>
      <c r="BD1593" s="16"/>
      <c r="BE1593" s="16"/>
      <c r="BF1593" s="16"/>
      <c r="BG1593" s="77"/>
      <c r="BH1593" s="16"/>
      <c r="BI1593" s="16"/>
      <c r="BJ1593" s="16"/>
      <c r="BK1593" s="16"/>
      <c r="BL1593" s="16"/>
      <c r="BM1593" s="16"/>
      <c r="BN1593" s="16"/>
      <c r="BO1593" s="16"/>
      <c r="BP1593" s="16"/>
      <c r="BQ1593" s="16"/>
      <c r="BR1593" s="16"/>
      <c r="BS1593" s="16"/>
      <c r="BT1593" s="77"/>
      <c r="BU1593" s="16"/>
      <c r="BV1593" s="16"/>
      <c r="BW1593" s="16"/>
      <c r="BX1593" s="16"/>
      <c r="BY1593" s="16"/>
      <c r="BZ1593" s="16"/>
      <c r="CA1593" s="16"/>
      <c r="CB1593" s="16"/>
      <c r="CC1593" s="16"/>
      <c r="CD1593" s="77"/>
      <c r="CE1593" s="16"/>
      <c r="CF1593" s="16"/>
      <c r="CG1593" s="16"/>
      <c r="CH1593" s="16"/>
      <c r="CI1593" s="16"/>
      <c r="CJ1593" s="16"/>
      <c r="CK1593" s="16"/>
      <c r="CL1593" s="16"/>
      <c r="CM1593" s="16"/>
      <c r="CN1593" s="16"/>
      <c r="CO1593" s="16"/>
      <c r="CP1593" s="16"/>
      <c r="CQ1593" s="16"/>
      <c r="CR1593" s="16"/>
      <c r="CS1593" s="16"/>
      <c r="CT1593" s="16"/>
      <c r="CU1593" s="16"/>
      <c r="CV1593" s="16"/>
      <c r="CW1593" s="16"/>
      <c r="CX1593" s="16"/>
      <c r="CY1593" s="16"/>
      <c r="CZ1593" s="16"/>
      <c r="DA1593" s="16"/>
      <c r="DB1593" s="16"/>
      <c r="DC1593" s="16"/>
      <c r="DD1593" s="16"/>
      <c r="DE1593" s="16"/>
      <c r="DF1593" s="16" t="e">
        <f>VLOOKUP(K1593,'[3]RNA Seq summary tables'!$V$3:$V$99,1,FALSE)</f>
        <v>#N/A</v>
      </c>
      <c r="DG1593" s="16"/>
      <c r="DH1593" s="16"/>
      <c r="DI1593" s="16"/>
      <c r="DJ1593" s="16"/>
      <c r="DK1593" s="16"/>
      <c r="DL1593" s="16"/>
      <c r="DM1593" s="16"/>
      <c r="DN1593" s="16"/>
      <c r="DO1593" s="16"/>
      <c r="DP1593" s="16"/>
      <c r="DQ1593" s="16"/>
      <c r="DR1593" s="16"/>
      <c r="DS1593" s="16"/>
      <c r="JO1593" s="16"/>
      <c r="JP1593" s="16"/>
      <c r="JQ1593" s="16"/>
      <c r="JR1593" s="16"/>
      <c r="JS1593" s="16"/>
      <c r="JT1593" s="16"/>
      <c r="JU1593" s="16"/>
      <c r="JV1593" s="16"/>
      <c r="JW1593" s="16"/>
      <c r="JX1593" s="16"/>
      <c r="JY1593" s="16"/>
      <c r="JZ1593" s="16"/>
      <c r="KA1593" s="16"/>
      <c r="KB1593" s="16"/>
    </row>
    <row r="1594" spans="1:288" s="27" customFormat="1" x14ac:dyDescent="0.2">
      <c r="A1594" s="18"/>
      <c r="B1594" s="16">
        <v>2016</v>
      </c>
      <c r="C1594" s="20">
        <v>42532</v>
      </c>
      <c r="D1594" s="20" t="str">
        <f>CONCATENATE(J1594,"-",C1594)</f>
        <v>959-42532</v>
      </c>
      <c r="E1594" s="20" t="str">
        <f>CONCATENATE(T1594,"-",U1594,"-",C1594)</f>
        <v>PO2-G4-42532</v>
      </c>
      <c r="F1594" s="20" t="s">
        <v>106</v>
      </c>
      <c r="G1594" s="90" t="s">
        <v>278</v>
      </c>
      <c r="H1594" s="16"/>
      <c r="I1594" s="16"/>
      <c r="J1594" s="21">
        <v>959</v>
      </c>
      <c r="K1594" s="21"/>
      <c r="L1594" s="16"/>
      <c r="M1594" s="21"/>
      <c r="N1594" s="21"/>
      <c r="O1594" s="21"/>
      <c r="P1594" s="16"/>
      <c r="Q1594" s="16"/>
      <c r="R1594" s="16"/>
      <c r="S1594" s="16"/>
      <c r="T1594" s="16" t="s">
        <v>127</v>
      </c>
      <c r="U1594" s="16" t="s">
        <v>173</v>
      </c>
      <c r="V1594" s="16" t="s">
        <v>114</v>
      </c>
      <c r="W1594" s="16"/>
      <c r="X1594" s="16" t="s">
        <v>121</v>
      </c>
      <c r="Y1594" s="16"/>
      <c r="Z1594" s="16"/>
      <c r="AA1594" s="16" t="s">
        <v>119</v>
      </c>
      <c r="AB1594" s="16" t="s">
        <v>116</v>
      </c>
      <c r="AC1594" s="16" t="s">
        <v>123</v>
      </c>
      <c r="AD1594" s="16" t="s">
        <v>116</v>
      </c>
      <c r="AE1594" s="16"/>
      <c r="AF1594" s="16"/>
      <c r="AG1594" s="16"/>
      <c r="AH1594" s="16"/>
      <c r="AI1594" s="16"/>
      <c r="AJ1594" s="16"/>
      <c r="AK1594" s="16"/>
      <c r="AL1594" s="16">
        <v>0</v>
      </c>
      <c r="AM1594" s="16">
        <v>0</v>
      </c>
      <c r="AN1594" s="16">
        <v>0</v>
      </c>
      <c r="AO1594" s="16">
        <f>IF(SUM(AL1594:AN1594)&gt;0,1,0)</f>
        <v>0</v>
      </c>
      <c r="AP1594" s="16">
        <f>SUM(AL1594:AN1594)</f>
        <v>0</v>
      </c>
      <c r="AQ1594" s="16"/>
      <c r="AR1594" s="16"/>
      <c r="AS1594" s="16"/>
      <c r="AT1594" s="16"/>
      <c r="AU1594" s="16"/>
      <c r="AV1594" s="16"/>
      <c r="AW1594" s="16"/>
      <c r="AX1594" s="16"/>
      <c r="AY1594" s="16"/>
      <c r="AZ1594" s="16"/>
      <c r="BA1594" s="16"/>
      <c r="BB1594" s="16"/>
      <c r="BC1594" s="16"/>
      <c r="BD1594" s="16"/>
      <c r="BE1594" s="16"/>
      <c r="BF1594" s="16"/>
      <c r="BG1594" s="77"/>
      <c r="BH1594" s="16"/>
      <c r="BI1594" s="16"/>
      <c r="BJ1594" s="16"/>
      <c r="BK1594" s="16"/>
      <c r="BL1594" s="16"/>
      <c r="BM1594" s="16"/>
      <c r="BN1594" s="16"/>
      <c r="BO1594" s="16"/>
      <c r="BP1594" s="16"/>
      <c r="BQ1594" s="16"/>
      <c r="BR1594" s="16"/>
      <c r="BS1594" s="16"/>
      <c r="BT1594" s="77"/>
      <c r="BU1594" s="16"/>
      <c r="BV1594" s="16"/>
      <c r="BW1594" s="16"/>
      <c r="BX1594" s="16"/>
      <c r="BY1594" s="16"/>
      <c r="BZ1594" s="16"/>
      <c r="CA1594" s="16"/>
      <c r="CB1594" s="16"/>
      <c r="CC1594" s="16"/>
      <c r="CD1594" s="77"/>
      <c r="CE1594" s="16"/>
      <c r="CF1594" s="16"/>
      <c r="CG1594" s="16"/>
      <c r="CH1594" s="16"/>
      <c r="CI1594" s="16"/>
      <c r="CJ1594" s="16"/>
      <c r="CK1594" s="16"/>
      <c r="CL1594" s="16"/>
      <c r="CM1594" s="16"/>
      <c r="CN1594" s="16"/>
      <c r="CO1594" s="16"/>
      <c r="CP1594" s="16"/>
      <c r="CQ1594" s="16"/>
      <c r="CR1594" s="16"/>
      <c r="CS1594" s="16"/>
      <c r="CT1594" s="16"/>
      <c r="CU1594" s="16"/>
      <c r="CV1594" s="16"/>
      <c r="CW1594" s="16"/>
      <c r="CX1594" s="16"/>
      <c r="CY1594" s="16"/>
      <c r="CZ1594" s="16"/>
      <c r="DA1594" s="16"/>
      <c r="DB1594" s="16"/>
      <c r="DC1594" s="16"/>
      <c r="DD1594" s="16"/>
      <c r="DE1594" s="16"/>
      <c r="DF1594" s="16" t="e">
        <f>VLOOKUP(K1594,'[3]RNA Seq summary tables'!$V$3:$V$99,1,FALSE)</f>
        <v>#N/A</v>
      </c>
      <c r="DG1594" s="16"/>
      <c r="DH1594" s="16"/>
      <c r="DI1594" s="16"/>
      <c r="DJ1594" s="16"/>
      <c r="DK1594" s="16"/>
      <c r="DL1594" s="16"/>
      <c r="DM1594" s="16"/>
      <c r="DN1594" s="16"/>
      <c r="DO1594" s="16"/>
      <c r="DP1594" s="16"/>
      <c r="DQ1594" s="16"/>
      <c r="DR1594" s="16"/>
      <c r="DS1594" s="16"/>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18"/>
      <c r="EQ1594" s="18"/>
      <c r="ER1594" s="18"/>
      <c r="ES1594" s="18"/>
      <c r="ET1594" s="18"/>
      <c r="EU1594" s="18"/>
      <c r="EV1594" s="18"/>
      <c r="EW1594" s="18"/>
      <c r="EX1594" s="18"/>
      <c r="EY1594" s="18"/>
      <c r="EZ1594" s="18"/>
      <c r="FA1594" s="18"/>
      <c r="FB1594" s="18"/>
      <c r="FC1594" s="18"/>
      <c r="FD1594" s="18"/>
      <c r="FE1594" s="18"/>
      <c r="FF1594" s="18"/>
      <c r="FG1594" s="18"/>
      <c r="FH1594" s="18"/>
      <c r="FI1594" s="18"/>
      <c r="FJ1594" s="18"/>
      <c r="FK1594" s="18"/>
      <c r="FL1594" s="18"/>
      <c r="FM1594" s="18"/>
      <c r="FN1594" s="18"/>
      <c r="FO1594" s="18"/>
      <c r="FP1594" s="18"/>
      <c r="FQ1594" s="18"/>
      <c r="FR1594" s="18"/>
      <c r="FS1594" s="18"/>
      <c r="FT1594" s="18"/>
      <c r="FU1594" s="18"/>
      <c r="FV1594" s="18"/>
      <c r="FW1594" s="18"/>
      <c r="FX1594" s="18"/>
      <c r="FY1594" s="18"/>
      <c r="FZ1594" s="18"/>
      <c r="GA1594" s="18"/>
      <c r="GB1594" s="18"/>
      <c r="GC1594" s="18"/>
      <c r="GD1594" s="18"/>
      <c r="GE1594" s="18"/>
      <c r="GF1594" s="18"/>
      <c r="GG1594" s="18"/>
      <c r="GH1594" s="18"/>
      <c r="GI1594" s="18"/>
      <c r="GJ1594" s="18"/>
      <c r="GK1594" s="18"/>
      <c r="GL1594" s="18"/>
      <c r="GM1594" s="18"/>
      <c r="GN1594" s="18"/>
      <c r="GO1594" s="18"/>
      <c r="GP1594" s="18"/>
      <c r="GQ1594" s="18"/>
      <c r="GR1594" s="18"/>
      <c r="GS1594" s="18"/>
      <c r="GT1594" s="18"/>
      <c r="GU1594" s="18"/>
      <c r="GV1594" s="18"/>
      <c r="GW1594" s="18"/>
      <c r="GX1594" s="18"/>
      <c r="GY1594" s="18"/>
      <c r="GZ1594" s="18"/>
      <c r="HA1594" s="18"/>
      <c r="HB1594" s="18"/>
      <c r="HC1594" s="18"/>
      <c r="HD1594" s="18"/>
      <c r="HE1594" s="18"/>
      <c r="HF1594" s="18"/>
      <c r="HG1594" s="18"/>
      <c r="HH1594" s="18"/>
      <c r="HI1594" s="18"/>
      <c r="HJ1594" s="18"/>
      <c r="HK1594" s="18"/>
      <c r="HL1594" s="18"/>
      <c r="HM1594" s="18"/>
      <c r="HN1594" s="18"/>
      <c r="HO1594" s="18"/>
      <c r="HP1594" s="18"/>
      <c r="HQ1594" s="18"/>
      <c r="HR1594" s="18"/>
      <c r="HS1594" s="18"/>
      <c r="HT1594" s="18"/>
      <c r="HU1594" s="18"/>
      <c r="HV1594" s="18"/>
      <c r="HW1594" s="18"/>
      <c r="HX1594" s="18"/>
      <c r="HY1594" s="18"/>
      <c r="HZ1594" s="18"/>
      <c r="IA1594" s="18"/>
      <c r="IB1594" s="18"/>
      <c r="IC1594" s="18"/>
      <c r="ID1594" s="18"/>
      <c r="IE1594" s="18"/>
      <c r="IF1594" s="18"/>
      <c r="IG1594" s="18"/>
      <c r="IH1594" s="18"/>
      <c r="II1594" s="18"/>
      <c r="IJ1594" s="18"/>
      <c r="IK1594" s="18"/>
      <c r="IL1594" s="18"/>
      <c r="IM1594" s="18"/>
      <c r="IN1594" s="18"/>
      <c r="IO1594" s="18"/>
      <c r="IP1594" s="18"/>
      <c r="IQ1594" s="18"/>
      <c r="IR1594" s="18"/>
      <c r="IS1594" s="18"/>
      <c r="IT1594" s="18"/>
      <c r="IU1594" s="18"/>
      <c r="IV1594" s="18"/>
      <c r="IW1594" s="18"/>
      <c r="IX1594" s="18"/>
      <c r="IY1594" s="18"/>
      <c r="IZ1594" s="18"/>
      <c r="JA1594" s="18"/>
      <c r="JB1594" s="18"/>
      <c r="JC1594" s="18"/>
      <c r="JD1594" s="18"/>
      <c r="JE1594" s="18"/>
      <c r="JF1594" s="18"/>
      <c r="JG1594" s="18"/>
      <c r="JH1594" s="18"/>
      <c r="JI1594" s="18"/>
      <c r="JJ1594" s="18"/>
      <c r="JK1594" s="18"/>
      <c r="JL1594" s="18"/>
      <c r="JM1594" s="18"/>
      <c r="JN1594" s="18"/>
      <c r="JO1594" s="16"/>
      <c r="JP1594" s="16"/>
      <c r="JQ1594" s="16"/>
      <c r="JR1594" s="16"/>
      <c r="JS1594" s="16"/>
      <c r="JT1594" s="16"/>
      <c r="JU1594" s="16"/>
      <c r="JV1594" s="16"/>
      <c r="JW1594" s="16"/>
      <c r="JX1594" s="16"/>
      <c r="JY1594" s="16"/>
      <c r="JZ1594" s="16"/>
      <c r="KA1594" s="16"/>
      <c r="KB1594" s="16"/>
    </row>
    <row r="1595" spans="1:288" s="27" customFormat="1" x14ac:dyDescent="0.2">
      <c r="A1595" s="18"/>
      <c r="B1595" s="16">
        <v>2016</v>
      </c>
      <c r="C1595" s="20">
        <v>42546</v>
      </c>
      <c r="D1595" s="20" t="str">
        <f>CONCATENATE(J1595,"-",C1595)</f>
        <v>959-42546</v>
      </c>
      <c r="E1595" s="20" t="str">
        <f>CONCATENATE(T1595,"-",U1595,"-",C1595)</f>
        <v>PO2-F5-42546</v>
      </c>
      <c r="F1595" s="20" t="s">
        <v>106</v>
      </c>
      <c r="G1595" s="90" t="s">
        <v>278</v>
      </c>
      <c r="H1595" s="16"/>
      <c r="I1595" s="16"/>
      <c r="J1595" s="21">
        <v>959</v>
      </c>
      <c r="K1595" s="21"/>
      <c r="L1595" s="16"/>
      <c r="M1595" s="21"/>
      <c r="N1595" s="21"/>
      <c r="O1595" s="21"/>
      <c r="P1595" s="16"/>
      <c r="Q1595" s="16"/>
      <c r="R1595" s="16"/>
      <c r="S1595" s="16"/>
      <c r="T1595" s="16" t="s">
        <v>127</v>
      </c>
      <c r="U1595" s="16" t="s">
        <v>185</v>
      </c>
      <c r="V1595" s="16"/>
      <c r="W1595" s="16"/>
      <c r="X1595" s="16" t="s">
        <v>121</v>
      </c>
      <c r="Y1595" s="16"/>
      <c r="Z1595" s="16"/>
      <c r="AA1595" s="16" t="s">
        <v>119</v>
      </c>
      <c r="AB1595" s="16" t="s">
        <v>116</v>
      </c>
      <c r="AC1595" s="16" t="s">
        <v>196</v>
      </c>
      <c r="AD1595" s="16" t="s">
        <v>116</v>
      </c>
      <c r="AE1595" s="16"/>
      <c r="AF1595" s="16"/>
      <c r="AG1595" s="16"/>
      <c r="AH1595" s="16"/>
      <c r="AI1595" s="16"/>
      <c r="AJ1595" s="16"/>
      <c r="AK1595" s="16">
        <v>34.5</v>
      </c>
      <c r="AL1595" s="16"/>
      <c r="AM1595" s="16"/>
      <c r="AN1595" s="16"/>
      <c r="AO1595" s="16"/>
      <c r="AP1595" s="16"/>
      <c r="AQ1595" s="16"/>
      <c r="AR1595" s="16"/>
      <c r="AS1595" s="16"/>
      <c r="AT1595" s="16"/>
      <c r="AU1595" s="16"/>
      <c r="AV1595" s="16"/>
      <c r="AW1595" s="16"/>
      <c r="AX1595" s="16"/>
      <c r="AY1595" s="16"/>
      <c r="AZ1595" s="16"/>
      <c r="BA1595" s="16"/>
      <c r="BB1595" s="16"/>
      <c r="BC1595" s="16"/>
      <c r="BD1595" s="16"/>
      <c r="BE1595" s="16"/>
      <c r="BF1595" s="16"/>
      <c r="BG1595" s="77"/>
      <c r="BH1595" s="16"/>
      <c r="BI1595" s="16"/>
      <c r="BJ1595" s="16"/>
      <c r="BK1595" s="16"/>
      <c r="BL1595" s="16"/>
      <c r="BM1595" s="16"/>
      <c r="BN1595" s="16"/>
      <c r="BO1595" s="16"/>
      <c r="BP1595" s="16"/>
      <c r="BQ1595" s="16"/>
      <c r="BR1595" s="16"/>
      <c r="BS1595" s="16"/>
      <c r="BT1595" s="77"/>
      <c r="BU1595" s="16"/>
      <c r="BV1595" s="16"/>
      <c r="BW1595" s="16"/>
      <c r="BX1595" s="16"/>
      <c r="BY1595" s="16"/>
      <c r="BZ1595" s="16"/>
      <c r="CA1595" s="16"/>
      <c r="CB1595" s="16"/>
      <c r="CC1595" s="16"/>
      <c r="CD1595" s="77"/>
      <c r="CE1595" s="16"/>
      <c r="CF1595" s="16"/>
      <c r="CG1595" s="16"/>
      <c r="CH1595" s="16"/>
      <c r="CI1595" s="16"/>
      <c r="CJ1595" s="16"/>
      <c r="CK1595" s="16"/>
      <c r="CL1595" s="16"/>
      <c r="CM1595" s="16"/>
      <c r="CN1595" s="16"/>
      <c r="CO1595" s="16"/>
      <c r="CP1595" s="16"/>
      <c r="CQ1595" s="16"/>
      <c r="CR1595" s="16"/>
      <c r="CS1595" s="16"/>
      <c r="CT1595" s="16"/>
      <c r="CU1595" s="16"/>
      <c r="CV1595" s="16"/>
      <c r="CW1595" s="16"/>
      <c r="CX1595" s="16"/>
      <c r="CY1595" s="16"/>
      <c r="CZ1595" s="16"/>
      <c r="DA1595" s="16"/>
      <c r="DB1595" s="16"/>
      <c r="DC1595" s="16"/>
      <c r="DD1595" s="16"/>
      <c r="DE1595" s="16"/>
      <c r="DF1595" s="16" t="e">
        <f>VLOOKUP(K1595,'[3]RNA Seq summary tables'!$V$3:$V$99,1,FALSE)</f>
        <v>#N/A</v>
      </c>
      <c r="DG1595" s="16"/>
      <c r="DH1595" s="16"/>
      <c r="DI1595" s="16"/>
      <c r="DJ1595" s="16"/>
      <c r="DK1595" s="16"/>
      <c r="DL1595" s="16"/>
      <c r="DM1595" s="16"/>
      <c r="DN1595" s="16"/>
      <c r="DO1595" s="16"/>
      <c r="DP1595" s="16"/>
      <c r="DQ1595" s="16"/>
      <c r="DR1595" s="16"/>
      <c r="DS1595" s="16"/>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18"/>
      <c r="EQ1595" s="18"/>
      <c r="ER1595" s="18"/>
      <c r="ES1595" s="18"/>
      <c r="ET1595" s="18"/>
      <c r="EU1595" s="18"/>
      <c r="EV1595" s="18"/>
      <c r="EW1595" s="18"/>
      <c r="EX1595" s="18"/>
      <c r="EY1595" s="18"/>
      <c r="EZ1595" s="18"/>
      <c r="FA1595" s="18"/>
      <c r="FB1595" s="18"/>
      <c r="FC1595" s="18"/>
      <c r="FD1595" s="18"/>
      <c r="FE1595" s="18"/>
      <c r="FF1595" s="18"/>
      <c r="FG1595" s="18"/>
      <c r="FH1595" s="18"/>
      <c r="FI1595" s="18"/>
      <c r="FJ1595" s="18"/>
      <c r="FK1595" s="18"/>
      <c r="FL1595" s="18"/>
      <c r="FM1595" s="18"/>
      <c r="FN1595" s="18"/>
      <c r="FO1595" s="18"/>
      <c r="FP1595" s="18"/>
      <c r="FQ1595" s="18"/>
      <c r="FR1595" s="18"/>
      <c r="FS1595" s="18"/>
      <c r="FT1595" s="18"/>
      <c r="FU1595" s="18"/>
      <c r="FV1595" s="18"/>
      <c r="FW1595" s="18"/>
      <c r="FX1595" s="18"/>
      <c r="FY1595" s="18"/>
      <c r="FZ1595" s="18"/>
      <c r="GA1595" s="18"/>
      <c r="GB1595" s="18"/>
      <c r="GC1595" s="18"/>
      <c r="GD1595" s="18"/>
      <c r="GE1595" s="18"/>
      <c r="GF1595" s="18"/>
      <c r="GG1595" s="18"/>
      <c r="GH1595" s="18"/>
      <c r="GI1595" s="18"/>
      <c r="GJ1595" s="18"/>
      <c r="GK1595" s="18"/>
      <c r="GL1595" s="18"/>
      <c r="GM1595" s="18"/>
      <c r="GN1595" s="18"/>
      <c r="GO1595" s="18"/>
      <c r="GP1595" s="18"/>
      <c r="GQ1595" s="18"/>
      <c r="GR1595" s="18"/>
      <c r="GS1595" s="18"/>
      <c r="GT1595" s="18"/>
      <c r="GU1595" s="18"/>
      <c r="GV1595" s="18"/>
      <c r="GW1595" s="18"/>
      <c r="GX1595" s="18"/>
      <c r="GY1595" s="18"/>
      <c r="GZ1595" s="18"/>
      <c r="HA1595" s="18"/>
      <c r="HB1595" s="18"/>
      <c r="HC1595" s="18"/>
      <c r="HD1595" s="18"/>
      <c r="HE1595" s="18"/>
      <c r="HF1595" s="18"/>
      <c r="HG1595" s="18"/>
      <c r="HH1595" s="18"/>
      <c r="HI1595" s="18"/>
      <c r="HJ1595" s="18"/>
      <c r="HK1595" s="18"/>
      <c r="HL1595" s="18"/>
      <c r="HM1595" s="18"/>
      <c r="HN1595" s="18"/>
      <c r="HO1595" s="18"/>
      <c r="HP1595" s="18"/>
      <c r="HQ1595" s="18"/>
      <c r="HR1595" s="18"/>
      <c r="HS1595" s="18"/>
      <c r="HT1595" s="18"/>
      <c r="HU1595" s="18"/>
      <c r="HV1595" s="18"/>
      <c r="HW1595" s="18"/>
      <c r="HX1595" s="18"/>
      <c r="HY1595" s="18"/>
      <c r="HZ1595" s="18"/>
      <c r="IA1595" s="18"/>
      <c r="IB1595" s="18"/>
      <c r="IC1595" s="18"/>
      <c r="ID1595" s="18"/>
      <c r="IE1595" s="18"/>
      <c r="IF1595" s="18"/>
      <c r="IG1595" s="18"/>
      <c r="IH1595" s="18"/>
      <c r="II1595" s="18"/>
      <c r="IJ1595" s="18"/>
      <c r="IK1595" s="18"/>
      <c r="IL1595" s="18"/>
      <c r="IM1595" s="18"/>
      <c r="IN1595" s="18"/>
      <c r="IO1595" s="18"/>
      <c r="IP1595" s="18"/>
      <c r="IQ1595" s="18"/>
      <c r="IR1595" s="18"/>
      <c r="IS1595" s="18"/>
      <c r="IT1595" s="18"/>
      <c r="IU1595" s="18"/>
      <c r="IV1595" s="18"/>
      <c r="IW1595" s="18"/>
      <c r="IX1595" s="18"/>
      <c r="IY1595" s="18"/>
      <c r="IZ1595" s="18"/>
      <c r="JA1595" s="18"/>
      <c r="JB1595" s="18"/>
      <c r="JC1595" s="18"/>
      <c r="JD1595" s="18"/>
      <c r="JE1595" s="18"/>
      <c r="JF1595" s="18"/>
      <c r="JG1595" s="18"/>
      <c r="JH1595" s="18"/>
      <c r="JI1595" s="18"/>
      <c r="JJ1595" s="18"/>
      <c r="JK1595" s="18"/>
      <c r="JL1595" s="18"/>
      <c r="JM1595" s="18"/>
      <c r="JN1595" s="18"/>
      <c r="JO1595" s="16"/>
      <c r="JP1595" s="16"/>
      <c r="JQ1595" s="16"/>
      <c r="JR1595" s="16"/>
      <c r="JS1595" s="16"/>
      <c r="JT1595" s="16"/>
      <c r="JU1595" s="16"/>
      <c r="JV1595" s="16"/>
      <c r="JW1595" s="16"/>
      <c r="JX1595" s="16"/>
      <c r="JY1595" s="16"/>
      <c r="JZ1595" s="16"/>
      <c r="KA1595" s="16"/>
      <c r="KB1595" s="16"/>
    </row>
    <row r="1596" spans="1:288" s="27" customFormat="1" x14ac:dyDescent="0.2">
      <c r="A1596" s="18"/>
      <c r="B1596" s="16">
        <v>2016</v>
      </c>
      <c r="C1596" s="20">
        <v>42560</v>
      </c>
      <c r="D1596" s="20" t="str">
        <f>CONCATENATE(J1596,"-",C1596)</f>
        <v>959-42560</v>
      </c>
      <c r="E1596" s="20" t="str">
        <f>CONCATENATE(T1596,"-",U1596,"-",C1596)</f>
        <v>PO2-F6-42560</v>
      </c>
      <c r="F1596" s="20" t="s">
        <v>106</v>
      </c>
      <c r="G1596" s="90" t="s">
        <v>278</v>
      </c>
      <c r="H1596" s="16"/>
      <c r="I1596" s="16"/>
      <c r="J1596" s="21">
        <v>959</v>
      </c>
      <c r="K1596" s="21"/>
      <c r="L1596" s="16"/>
      <c r="M1596" s="21"/>
      <c r="N1596" s="21"/>
      <c r="O1596" s="21"/>
      <c r="P1596" s="16"/>
      <c r="Q1596" s="16"/>
      <c r="R1596" s="16"/>
      <c r="S1596" s="16"/>
      <c r="T1596" s="16" t="s">
        <v>127</v>
      </c>
      <c r="U1596" s="16" t="s">
        <v>170</v>
      </c>
      <c r="V1596" s="16"/>
      <c r="W1596" s="16"/>
      <c r="X1596" s="16"/>
      <c r="Y1596" s="16"/>
      <c r="Z1596" s="16"/>
      <c r="AA1596" s="16"/>
      <c r="AB1596" s="16"/>
      <c r="AC1596" s="16"/>
      <c r="AD1596" s="16"/>
      <c r="AE1596" s="16"/>
      <c r="AF1596" s="16"/>
      <c r="AG1596" s="16"/>
      <c r="AH1596" s="16"/>
      <c r="AI1596" s="16"/>
      <c r="AJ1596" s="16"/>
      <c r="AK1596" s="16"/>
      <c r="AL1596" s="16"/>
      <c r="AM1596" s="16"/>
      <c r="AN1596" s="16"/>
      <c r="AO1596" s="16"/>
      <c r="AP1596" s="16"/>
      <c r="AQ1596" s="16"/>
      <c r="AR1596" s="16"/>
      <c r="AS1596" s="16"/>
      <c r="AT1596" s="16"/>
      <c r="AU1596" s="16"/>
      <c r="AV1596" s="16"/>
      <c r="AW1596" s="16"/>
      <c r="AX1596" s="16"/>
      <c r="AY1596" s="16"/>
      <c r="AZ1596" s="16"/>
      <c r="BA1596" s="16"/>
      <c r="BB1596" s="16"/>
      <c r="BC1596" s="16"/>
      <c r="BD1596" s="16"/>
      <c r="BE1596" s="16"/>
      <c r="BF1596" s="16"/>
      <c r="BG1596" s="77"/>
      <c r="BH1596" s="16"/>
      <c r="BI1596" s="16"/>
      <c r="BJ1596" s="16"/>
      <c r="BK1596" s="16"/>
      <c r="BL1596" s="16"/>
      <c r="BM1596" s="16"/>
      <c r="BN1596" s="16"/>
      <c r="BO1596" s="16"/>
      <c r="BP1596" s="16"/>
      <c r="BQ1596" s="16"/>
      <c r="BR1596" s="16"/>
      <c r="BS1596" s="16"/>
      <c r="BT1596" s="77"/>
      <c r="BU1596" s="16"/>
      <c r="BV1596" s="16"/>
      <c r="BW1596" s="16"/>
      <c r="BX1596" s="16"/>
      <c r="BY1596" s="16"/>
      <c r="BZ1596" s="16"/>
      <c r="CA1596" s="16"/>
      <c r="CB1596" s="16"/>
      <c r="CC1596" s="16"/>
      <c r="CD1596" s="77"/>
      <c r="CE1596" s="16"/>
      <c r="CF1596" s="16"/>
      <c r="CG1596" s="16"/>
      <c r="CH1596" s="16"/>
      <c r="CI1596" s="16"/>
      <c r="CJ1596" s="16"/>
      <c r="CK1596" s="16"/>
      <c r="CL1596" s="16"/>
      <c r="CM1596" s="16"/>
      <c r="CN1596" s="16"/>
      <c r="CO1596" s="16"/>
      <c r="CP1596" s="16"/>
      <c r="CQ1596" s="16"/>
      <c r="CR1596" s="16"/>
      <c r="CS1596" s="16"/>
      <c r="CT1596" s="16"/>
      <c r="CU1596" s="16"/>
      <c r="CV1596" s="16"/>
      <c r="CW1596" s="16"/>
      <c r="CX1596" s="16"/>
      <c r="CY1596" s="16"/>
      <c r="CZ1596" s="16"/>
      <c r="DA1596" s="16"/>
      <c r="DB1596" s="16"/>
      <c r="DC1596" s="16"/>
      <c r="DD1596" s="16"/>
      <c r="DE1596" s="16"/>
      <c r="DF1596" s="16" t="e">
        <f>VLOOKUP(K1596,'[3]RNA Seq summary tables'!$V$3:$V$99,1,FALSE)</f>
        <v>#N/A</v>
      </c>
      <c r="DG1596" s="16"/>
      <c r="DH1596" s="16"/>
      <c r="DI1596" s="16"/>
      <c r="DJ1596" s="16"/>
      <c r="DK1596" s="16"/>
      <c r="DL1596" s="16"/>
      <c r="DM1596" s="16"/>
      <c r="DN1596" s="16"/>
      <c r="DO1596" s="16"/>
      <c r="DP1596" s="16"/>
      <c r="DQ1596" s="16"/>
      <c r="DR1596" s="16"/>
      <c r="DS1596" s="16"/>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18"/>
      <c r="EQ1596" s="18"/>
      <c r="ER1596" s="18"/>
      <c r="ES1596" s="18"/>
      <c r="ET1596" s="18"/>
      <c r="EU1596" s="18"/>
      <c r="EV1596" s="18"/>
      <c r="EW1596" s="18"/>
      <c r="EX1596" s="18"/>
      <c r="EY1596" s="18"/>
      <c r="EZ1596" s="18"/>
      <c r="FA1596" s="18"/>
      <c r="FB1596" s="18"/>
      <c r="FC1596" s="18"/>
      <c r="FD1596" s="18"/>
      <c r="FE1596" s="18"/>
      <c r="FF1596" s="18"/>
      <c r="FG1596" s="18"/>
      <c r="FH1596" s="18"/>
      <c r="FI1596" s="18"/>
      <c r="FJ1596" s="18"/>
      <c r="FK1596" s="18"/>
      <c r="FL1596" s="18"/>
      <c r="FM1596" s="18"/>
      <c r="FN1596" s="18"/>
      <c r="FO1596" s="18"/>
      <c r="FP1596" s="18"/>
      <c r="FQ1596" s="18"/>
      <c r="FR1596" s="18"/>
      <c r="FS1596" s="18"/>
      <c r="FT1596" s="18"/>
      <c r="FU1596" s="18"/>
      <c r="FV1596" s="18"/>
      <c r="FW1596" s="18"/>
      <c r="FX1596" s="18"/>
      <c r="FY1596" s="18"/>
      <c r="FZ1596" s="18"/>
      <c r="GA1596" s="18"/>
      <c r="GB1596" s="18"/>
      <c r="GC1596" s="18"/>
      <c r="GD1596" s="18"/>
      <c r="GE1596" s="18"/>
      <c r="GF1596" s="18"/>
      <c r="GG1596" s="18"/>
      <c r="GH1596" s="18"/>
      <c r="GI1596" s="18"/>
      <c r="GJ1596" s="18"/>
      <c r="GK1596" s="18"/>
      <c r="GL1596" s="18"/>
      <c r="GM1596" s="18"/>
      <c r="GN1596" s="18"/>
      <c r="GO1596" s="18"/>
      <c r="GP1596" s="18"/>
      <c r="GQ1596" s="18"/>
      <c r="GR1596" s="18"/>
      <c r="GS1596" s="18"/>
      <c r="GT1596" s="18"/>
      <c r="GU1596" s="18"/>
      <c r="GV1596" s="18"/>
      <c r="GW1596" s="18"/>
      <c r="GX1596" s="18"/>
      <c r="GY1596" s="18"/>
      <c r="GZ1596" s="18"/>
      <c r="HA1596" s="18"/>
      <c r="HB1596" s="18"/>
      <c r="HC1596" s="18"/>
      <c r="HD1596" s="18"/>
      <c r="HE1596" s="18"/>
      <c r="HF1596" s="18"/>
      <c r="HG1596" s="18"/>
      <c r="HH1596" s="18"/>
      <c r="HI1596" s="18"/>
      <c r="HJ1596" s="18"/>
      <c r="HK1596" s="18"/>
      <c r="HL1596" s="18"/>
      <c r="HM1596" s="18"/>
      <c r="HN1596" s="18"/>
      <c r="HO1596" s="18"/>
      <c r="HP1596" s="18"/>
      <c r="HQ1596" s="18"/>
      <c r="HR1596" s="18"/>
      <c r="HS1596" s="18"/>
      <c r="HT1596" s="18"/>
      <c r="HU1596" s="18"/>
      <c r="HV1596" s="18"/>
      <c r="HW1596" s="18"/>
      <c r="HX1596" s="18"/>
      <c r="HY1596" s="18"/>
      <c r="HZ1596" s="18"/>
      <c r="IA1596" s="18"/>
      <c r="IB1596" s="18"/>
      <c r="IC1596" s="18"/>
      <c r="ID1596" s="18"/>
      <c r="IE1596" s="18"/>
      <c r="IF1596" s="18"/>
      <c r="IG1596" s="18"/>
      <c r="IH1596" s="18"/>
      <c r="II1596" s="18"/>
      <c r="IJ1596" s="18"/>
      <c r="IK1596" s="18"/>
      <c r="IL1596" s="18"/>
      <c r="IM1596" s="18"/>
      <c r="IN1596" s="18"/>
      <c r="IO1596" s="18"/>
      <c r="IP1596" s="18"/>
      <c r="IQ1596" s="18"/>
      <c r="IR1596" s="18"/>
      <c r="IS1596" s="18"/>
      <c r="IT1596" s="18"/>
      <c r="IU1596" s="18"/>
      <c r="IV1596" s="18"/>
      <c r="IW1596" s="18"/>
      <c r="IX1596" s="18"/>
      <c r="IY1596" s="18"/>
      <c r="IZ1596" s="18"/>
      <c r="JA1596" s="18"/>
      <c r="JB1596" s="18"/>
      <c r="JC1596" s="18"/>
      <c r="JD1596" s="18"/>
      <c r="JE1596" s="18"/>
      <c r="JF1596" s="18"/>
      <c r="JG1596" s="18"/>
      <c r="JH1596" s="18"/>
      <c r="JI1596" s="18"/>
      <c r="JJ1596" s="18"/>
      <c r="JK1596" s="18"/>
      <c r="JL1596" s="18"/>
      <c r="JM1596" s="18"/>
      <c r="JN1596" s="18"/>
      <c r="JO1596" s="16"/>
      <c r="JP1596" s="16"/>
      <c r="JQ1596" s="16"/>
      <c r="JR1596" s="16"/>
      <c r="JS1596" s="16"/>
      <c r="JT1596" s="16"/>
      <c r="JU1596" s="16"/>
      <c r="JV1596" s="16"/>
      <c r="JW1596" s="16"/>
      <c r="JX1596" s="16"/>
      <c r="JY1596" s="16"/>
      <c r="JZ1596" s="16"/>
      <c r="KA1596" s="16"/>
      <c r="KB1596" s="16"/>
    </row>
    <row r="1597" spans="1:288" s="27" customFormat="1" x14ac:dyDescent="0.2">
      <c r="A1597" s="18"/>
      <c r="B1597" s="16">
        <v>2016</v>
      </c>
      <c r="C1597" s="20">
        <v>42573</v>
      </c>
      <c r="D1597" s="20" t="str">
        <f>CONCATENATE(J1597,"-",C1597)</f>
        <v>959-42573</v>
      </c>
      <c r="E1597" s="20" t="str">
        <f>CONCATENATE(T1597,"-",U1597,"-",C1597)</f>
        <v>PO2-H5-42573</v>
      </c>
      <c r="F1597" s="20" t="s">
        <v>106</v>
      </c>
      <c r="G1597" s="90" t="s">
        <v>278</v>
      </c>
      <c r="H1597" s="16"/>
      <c r="I1597" s="16"/>
      <c r="J1597" s="21">
        <v>959</v>
      </c>
      <c r="K1597" s="21"/>
      <c r="L1597" s="16"/>
      <c r="M1597" s="21"/>
      <c r="N1597" s="21"/>
      <c r="O1597" s="21"/>
      <c r="P1597" s="16"/>
      <c r="Q1597" s="16"/>
      <c r="R1597" s="16"/>
      <c r="S1597" s="16"/>
      <c r="T1597" s="16" t="s">
        <v>127</v>
      </c>
      <c r="U1597" s="16" t="s">
        <v>180</v>
      </c>
      <c r="V1597" s="16" t="s">
        <v>114</v>
      </c>
      <c r="W1597" s="16"/>
      <c r="X1597" s="16" t="s">
        <v>121</v>
      </c>
      <c r="Y1597" s="16" t="s">
        <v>110</v>
      </c>
      <c r="Z1597" s="16">
        <v>3</v>
      </c>
      <c r="AA1597" s="16"/>
      <c r="AB1597" s="16"/>
      <c r="AC1597" s="16"/>
      <c r="AD1597" s="16"/>
      <c r="AE1597" s="16"/>
      <c r="AF1597" s="16"/>
      <c r="AG1597" s="16"/>
      <c r="AH1597" s="16"/>
      <c r="AI1597" s="16"/>
      <c r="AJ1597" s="16"/>
      <c r="AK1597" s="16">
        <v>28</v>
      </c>
      <c r="AL1597" s="16"/>
      <c r="AM1597" s="16"/>
      <c r="AN1597" s="16"/>
      <c r="AO1597" s="16"/>
      <c r="AP1597" s="16"/>
      <c r="AQ1597" s="16"/>
      <c r="AR1597" s="16"/>
      <c r="AS1597" s="16"/>
      <c r="AT1597" s="16"/>
      <c r="AU1597" s="16"/>
      <c r="AV1597" s="16"/>
      <c r="AW1597" s="16"/>
      <c r="AX1597" s="16"/>
      <c r="AY1597" s="16"/>
      <c r="AZ1597" s="16"/>
      <c r="BA1597" s="16"/>
      <c r="BB1597" s="16"/>
      <c r="BC1597" s="16"/>
      <c r="BD1597" s="16"/>
      <c r="BE1597" s="16"/>
      <c r="BF1597" s="16"/>
      <c r="BG1597" s="77"/>
      <c r="BH1597" s="16"/>
      <c r="BI1597" s="16"/>
      <c r="BJ1597" s="16"/>
      <c r="BK1597" s="16"/>
      <c r="BL1597" s="16"/>
      <c r="BM1597" s="16"/>
      <c r="BN1597" s="16"/>
      <c r="BO1597" s="16"/>
      <c r="BP1597" s="16"/>
      <c r="BQ1597" s="16"/>
      <c r="BR1597" s="16"/>
      <c r="BS1597" s="16"/>
      <c r="BT1597" s="77"/>
      <c r="BU1597" s="16"/>
      <c r="BV1597" s="16"/>
      <c r="BW1597" s="16"/>
      <c r="BX1597" s="16"/>
      <c r="BY1597" s="16"/>
      <c r="BZ1597" s="16"/>
      <c r="CA1597" s="16"/>
      <c r="CB1597" s="16"/>
      <c r="CC1597" s="16"/>
      <c r="CD1597" s="77"/>
      <c r="CE1597" s="16"/>
      <c r="CF1597" s="16"/>
      <c r="CG1597" s="16"/>
      <c r="CH1597" s="16"/>
      <c r="CI1597" s="16"/>
      <c r="CJ1597" s="16"/>
      <c r="CK1597" s="16"/>
      <c r="CL1597" s="16"/>
      <c r="CM1597" s="16"/>
      <c r="CN1597" s="16"/>
      <c r="CO1597" s="16"/>
      <c r="CP1597" s="16"/>
      <c r="CQ1597" s="16"/>
      <c r="CR1597" s="16"/>
      <c r="CS1597" s="16"/>
      <c r="CT1597" s="16"/>
      <c r="CU1597" s="16"/>
      <c r="CV1597" s="16"/>
      <c r="CW1597" s="16"/>
      <c r="CX1597" s="16"/>
      <c r="CY1597" s="16"/>
      <c r="CZ1597" s="16"/>
      <c r="DA1597" s="16"/>
      <c r="DB1597" s="16"/>
      <c r="DC1597" s="16"/>
      <c r="DD1597" s="16"/>
      <c r="DE1597" s="16"/>
      <c r="DF1597" s="16" t="e">
        <f>VLOOKUP(K1597,'[3]RNA Seq summary tables'!$V$3:$V$99,1,FALSE)</f>
        <v>#N/A</v>
      </c>
      <c r="DG1597" s="16"/>
      <c r="DH1597" s="16"/>
      <c r="DI1597" s="16"/>
      <c r="DJ1597" s="16"/>
      <c r="DK1597" s="16"/>
      <c r="DL1597" s="16"/>
      <c r="DM1597" s="16"/>
      <c r="DN1597" s="16"/>
      <c r="DO1597" s="16"/>
      <c r="DP1597" s="16"/>
      <c r="DQ1597" s="16"/>
      <c r="DR1597" s="16"/>
      <c r="DS1597" s="16"/>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18"/>
      <c r="EQ1597" s="18"/>
      <c r="ER1597" s="18"/>
      <c r="ES1597" s="18"/>
      <c r="ET1597" s="18"/>
      <c r="EU1597" s="18"/>
      <c r="EV1597" s="18"/>
      <c r="EW1597" s="18"/>
      <c r="EX1597" s="18"/>
      <c r="EY1597" s="18"/>
      <c r="EZ1597" s="18"/>
      <c r="FA1597" s="18"/>
      <c r="FB1597" s="18"/>
      <c r="FC1597" s="18"/>
      <c r="FD1597" s="18"/>
      <c r="FE1597" s="18"/>
      <c r="FF1597" s="18"/>
      <c r="FG1597" s="18"/>
      <c r="FH1597" s="18"/>
      <c r="FI1597" s="18"/>
      <c r="FJ1597" s="18"/>
      <c r="FK1597" s="18"/>
      <c r="FL1597" s="18"/>
      <c r="FM1597" s="18"/>
      <c r="FN1597" s="18"/>
      <c r="FO1597" s="18"/>
      <c r="FP1597" s="18"/>
      <c r="FQ1597" s="18"/>
      <c r="FR1597" s="18"/>
      <c r="FS1597" s="18"/>
      <c r="FT1597" s="18"/>
      <c r="FU1597" s="18"/>
      <c r="FV1597" s="18"/>
      <c r="FW1597" s="18"/>
      <c r="FX1597" s="18"/>
      <c r="FY1597" s="18"/>
      <c r="FZ1597" s="18"/>
      <c r="GA1597" s="18"/>
      <c r="GB1597" s="18"/>
      <c r="GC1597" s="18"/>
      <c r="GD1597" s="18"/>
      <c r="GE1597" s="18"/>
      <c r="GF1597" s="18"/>
      <c r="GG1597" s="18"/>
      <c r="GH1597" s="18"/>
      <c r="GI1597" s="18"/>
      <c r="GJ1597" s="18"/>
      <c r="GK1597" s="18"/>
      <c r="GL1597" s="18"/>
      <c r="GM1597" s="18"/>
      <c r="GN1597" s="18"/>
      <c r="GO1597" s="18"/>
      <c r="GP1597" s="18"/>
      <c r="GQ1597" s="18"/>
      <c r="GR1597" s="18"/>
      <c r="GS1597" s="18"/>
      <c r="GT1597" s="18"/>
      <c r="GU1597" s="18"/>
      <c r="GV1597" s="18"/>
      <c r="GW1597" s="18"/>
      <c r="GX1597" s="18"/>
      <c r="GY1597" s="18"/>
      <c r="GZ1597" s="18"/>
      <c r="HA1597" s="18"/>
      <c r="HB1597" s="18"/>
      <c r="HC1597" s="18"/>
      <c r="HD1597" s="18"/>
      <c r="HE1597" s="18"/>
      <c r="HF1597" s="18"/>
      <c r="HG1597" s="18"/>
      <c r="HH1597" s="18"/>
      <c r="HI1597" s="18"/>
      <c r="HJ1597" s="18"/>
      <c r="HK1597" s="18"/>
      <c r="HL1597" s="18"/>
      <c r="HM1597" s="18"/>
      <c r="HN1597" s="18"/>
      <c r="HO1597" s="18"/>
      <c r="HP1597" s="18"/>
      <c r="HQ1597" s="18"/>
      <c r="HR1597" s="18"/>
      <c r="HS1597" s="18"/>
      <c r="HT1597" s="18"/>
      <c r="HU1597" s="18"/>
      <c r="HV1597" s="18"/>
      <c r="HW1597" s="18"/>
      <c r="HX1597" s="18"/>
      <c r="HY1597" s="18"/>
      <c r="HZ1597" s="18"/>
      <c r="IA1597" s="18"/>
      <c r="IB1597" s="18"/>
      <c r="IC1597" s="18"/>
      <c r="ID1597" s="18"/>
      <c r="IE1597" s="18"/>
      <c r="IF1597" s="18"/>
      <c r="IG1597" s="18"/>
      <c r="IH1597" s="18"/>
      <c r="II1597" s="18"/>
      <c r="IJ1597" s="18"/>
      <c r="IK1597" s="18"/>
      <c r="IL1597" s="18"/>
      <c r="IM1597" s="18"/>
      <c r="IN1597" s="18"/>
      <c r="IO1597" s="18"/>
      <c r="IP1597" s="18"/>
      <c r="IQ1597" s="18"/>
      <c r="IR1597" s="18"/>
      <c r="IS1597" s="18"/>
      <c r="IT1597" s="18"/>
      <c r="IU1597" s="18"/>
      <c r="IV1597" s="18"/>
      <c r="IW1597" s="18"/>
      <c r="IX1597" s="18"/>
      <c r="IY1597" s="18"/>
      <c r="IZ1597" s="18"/>
      <c r="JA1597" s="18"/>
      <c r="JB1597" s="18"/>
      <c r="JC1597" s="18"/>
      <c r="JD1597" s="18"/>
      <c r="JE1597" s="18"/>
      <c r="JF1597" s="18"/>
      <c r="JG1597" s="18"/>
      <c r="JH1597" s="18"/>
      <c r="JI1597" s="18"/>
      <c r="JJ1597" s="18"/>
      <c r="JK1597" s="18"/>
      <c r="JL1597" s="18"/>
      <c r="JM1597" s="18"/>
      <c r="JN1597" s="18"/>
      <c r="JO1597" s="16"/>
      <c r="JP1597" s="16"/>
      <c r="JQ1597" s="16"/>
      <c r="JR1597" s="16"/>
      <c r="JS1597" s="16"/>
      <c r="JT1597" s="16"/>
      <c r="JU1597" s="16"/>
      <c r="JV1597" s="16"/>
      <c r="JW1597" s="16"/>
      <c r="JX1597" s="16"/>
      <c r="JY1597" s="16"/>
      <c r="JZ1597" s="16"/>
      <c r="KA1597" s="16"/>
      <c r="KB1597" s="16"/>
    </row>
    <row r="1598" spans="1:288" s="27" customFormat="1" x14ac:dyDescent="0.2">
      <c r="A1598" s="18"/>
      <c r="B1598" s="16">
        <v>2016</v>
      </c>
      <c r="C1598" s="20">
        <v>42574</v>
      </c>
      <c r="D1598" s="20" t="str">
        <f>CONCATENATE(J1598,"-",C1598)</f>
        <v>959-42574</v>
      </c>
      <c r="E1598" s="20" t="str">
        <f>CONCATENATE(T1598,"-",U1598,"-",C1598)</f>
        <v>PO2-G5-42574</v>
      </c>
      <c r="F1598" s="20" t="s">
        <v>106</v>
      </c>
      <c r="G1598" s="90" t="s">
        <v>278</v>
      </c>
      <c r="H1598" s="16"/>
      <c r="I1598" s="16"/>
      <c r="J1598" s="21">
        <v>959</v>
      </c>
      <c r="K1598" s="21"/>
      <c r="L1598" s="16"/>
      <c r="M1598" s="21"/>
      <c r="N1598" s="21"/>
      <c r="O1598" s="21"/>
      <c r="P1598" s="16"/>
      <c r="Q1598" s="16"/>
      <c r="R1598" s="16"/>
      <c r="S1598" s="16"/>
      <c r="T1598" s="16" t="s">
        <v>127</v>
      </c>
      <c r="U1598" s="16" t="s">
        <v>200</v>
      </c>
      <c r="V1598" s="16"/>
      <c r="W1598" s="16"/>
      <c r="X1598" s="16" t="s">
        <v>121</v>
      </c>
      <c r="Y1598" s="16"/>
      <c r="Z1598" s="16"/>
      <c r="AA1598" s="16"/>
      <c r="AB1598" s="16"/>
      <c r="AC1598" s="16"/>
      <c r="AD1598" s="16"/>
      <c r="AE1598" s="16"/>
      <c r="AF1598" s="16"/>
      <c r="AG1598" s="16"/>
      <c r="AH1598" s="16"/>
      <c r="AI1598" s="16"/>
      <c r="AJ1598" s="16"/>
      <c r="AK1598" s="16">
        <v>29</v>
      </c>
      <c r="AL1598" s="16"/>
      <c r="AM1598" s="16"/>
      <c r="AN1598" s="16"/>
      <c r="AO1598" s="16"/>
      <c r="AP1598" s="16"/>
      <c r="AQ1598" s="16"/>
      <c r="AR1598" s="16"/>
      <c r="AS1598" s="16"/>
      <c r="AT1598" s="16"/>
      <c r="AU1598" s="16"/>
      <c r="AV1598" s="16"/>
      <c r="AW1598" s="16"/>
      <c r="AX1598" s="16"/>
      <c r="AY1598" s="16"/>
      <c r="AZ1598" s="16"/>
      <c r="BA1598" s="16"/>
      <c r="BB1598" s="16"/>
      <c r="BC1598" s="16"/>
      <c r="BD1598" s="16"/>
      <c r="BE1598" s="16"/>
      <c r="BF1598" s="16"/>
      <c r="BG1598" s="77"/>
      <c r="BH1598" s="16"/>
      <c r="BI1598" s="16"/>
      <c r="BJ1598" s="16"/>
      <c r="BK1598" s="16"/>
      <c r="BL1598" s="16"/>
      <c r="BM1598" s="16"/>
      <c r="BN1598" s="16"/>
      <c r="BO1598" s="16"/>
      <c r="BP1598" s="16"/>
      <c r="BQ1598" s="16"/>
      <c r="BR1598" s="16"/>
      <c r="BS1598" s="16"/>
      <c r="BT1598" s="77"/>
      <c r="BU1598" s="16"/>
      <c r="BV1598" s="16"/>
      <c r="BW1598" s="16"/>
      <c r="BX1598" s="16"/>
      <c r="BY1598" s="16"/>
      <c r="BZ1598" s="16"/>
      <c r="CA1598" s="16"/>
      <c r="CB1598" s="16"/>
      <c r="CC1598" s="16"/>
      <c r="CD1598" s="77"/>
      <c r="CE1598" s="16"/>
      <c r="CF1598" s="16"/>
      <c r="CG1598" s="16"/>
      <c r="CH1598" s="16"/>
      <c r="CI1598" s="16"/>
      <c r="CJ1598" s="16"/>
      <c r="CK1598" s="16"/>
      <c r="CL1598" s="16"/>
      <c r="CM1598" s="16"/>
      <c r="CN1598" s="16"/>
      <c r="CO1598" s="16"/>
      <c r="CP1598" s="16"/>
      <c r="CQ1598" s="16"/>
      <c r="CR1598" s="16"/>
      <c r="CS1598" s="16"/>
      <c r="CT1598" s="16"/>
      <c r="CU1598" s="16"/>
      <c r="CV1598" s="16"/>
      <c r="CW1598" s="16"/>
      <c r="CX1598" s="16"/>
      <c r="CY1598" s="16"/>
      <c r="CZ1598" s="16"/>
      <c r="DA1598" s="16"/>
      <c r="DB1598" s="16"/>
      <c r="DC1598" s="16"/>
      <c r="DD1598" s="16"/>
      <c r="DE1598" s="16"/>
      <c r="DF1598" s="16" t="e">
        <f>VLOOKUP(K1598,'[3]RNA Seq summary tables'!$V$3:$V$99,1,FALSE)</f>
        <v>#N/A</v>
      </c>
      <c r="DG1598" s="16"/>
      <c r="DH1598" s="16"/>
      <c r="DI1598" s="16"/>
      <c r="DJ1598" s="16"/>
      <c r="DK1598" s="16"/>
      <c r="DL1598" s="16"/>
      <c r="DM1598" s="16"/>
      <c r="DN1598" s="16"/>
      <c r="DO1598" s="16"/>
      <c r="DP1598" s="16"/>
      <c r="DQ1598" s="16"/>
      <c r="DR1598" s="16"/>
      <c r="DS1598" s="16"/>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18"/>
      <c r="EQ1598" s="18"/>
      <c r="ER1598" s="18"/>
      <c r="ES1598" s="18"/>
      <c r="ET1598" s="18"/>
      <c r="EU1598" s="18"/>
      <c r="EV1598" s="18"/>
      <c r="EW1598" s="18"/>
      <c r="EX1598" s="18"/>
      <c r="EY1598" s="18"/>
      <c r="EZ1598" s="18"/>
      <c r="FA1598" s="18"/>
      <c r="FB1598" s="18"/>
      <c r="FC1598" s="18"/>
      <c r="FD1598" s="18"/>
      <c r="FE1598" s="18"/>
      <c r="FF1598" s="18"/>
      <c r="FG1598" s="18"/>
      <c r="FH1598" s="18"/>
      <c r="FI1598" s="18"/>
      <c r="FJ1598" s="18"/>
      <c r="FK1598" s="18"/>
      <c r="FL1598" s="18"/>
      <c r="FM1598" s="18"/>
      <c r="FN1598" s="18"/>
      <c r="FO1598" s="18"/>
      <c r="FP1598" s="18"/>
      <c r="FQ1598" s="18"/>
      <c r="FR1598" s="18"/>
      <c r="FS1598" s="18"/>
      <c r="FT1598" s="18"/>
      <c r="FU1598" s="18"/>
      <c r="FV1598" s="18"/>
      <c r="FW1598" s="18"/>
      <c r="FX1598" s="18"/>
      <c r="FY1598" s="18"/>
      <c r="FZ1598" s="18"/>
      <c r="GA1598" s="18"/>
      <c r="GB1598" s="18"/>
      <c r="GC1598" s="18"/>
      <c r="GD1598" s="18"/>
      <c r="GE1598" s="18"/>
      <c r="GF1598" s="18"/>
      <c r="GG1598" s="18"/>
      <c r="GH1598" s="18"/>
      <c r="GI1598" s="18"/>
      <c r="GJ1598" s="18"/>
      <c r="GK1598" s="18"/>
      <c r="GL1598" s="18"/>
      <c r="GM1598" s="18"/>
      <c r="GN1598" s="18"/>
      <c r="GO1598" s="18"/>
      <c r="GP1598" s="18"/>
      <c r="GQ1598" s="18"/>
      <c r="GR1598" s="18"/>
      <c r="GS1598" s="18"/>
      <c r="GT1598" s="18"/>
      <c r="GU1598" s="18"/>
      <c r="GV1598" s="18"/>
      <c r="GW1598" s="18"/>
      <c r="GX1598" s="18"/>
      <c r="GY1598" s="18"/>
      <c r="GZ1598" s="18"/>
      <c r="HA1598" s="18"/>
      <c r="HB1598" s="18"/>
      <c r="HC1598" s="18"/>
      <c r="HD1598" s="18"/>
      <c r="HE1598" s="18"/>
      <c r="HF1598" s="18"/>
      <c r="HG1598" s="18"/>
      <c r="HH1598" s="18"/>
      <c r="HI1598" s="18"/>
      <c r="HJ1598" s="18"/>
      <c r="HK1598" s="18"/>
      <c r="HL1598" s="18"/>
      <c r="HM1598" s="18"/>
      <c r="HN1598" s="18"/>
      <c r="HO1598" s="18"/>
      <c r="HP1598" s="18"/>
      <c r="HQ1598" s="18"/>
      <c r="HR1598" s="18"/>
      <c r="HS1598" s="18"/>
      <c r="HT1598" s="18"/>
      <c r="HU1598" s="18"/>
      <c r="HV1598" s="18"/>
      <c r="HW1598" s="18"/>
      <c r="HX1598" s="18"/>
      <c r="HY1598" s="18"/>
      <c r="HZ1598" s="18"/>
      <c r="IA1598" s="18"/>
      <c r="IB1598" s="18"/>
      <c r="IC1598" s="18"/>
      <c r="ID1598" s="18"/>
      <c r="IE1598" s="18"/>
      <c r="IF1598" s="18"/>
      <c r="IG1598" s="18"/>
      <c r="IH1598" s="18"/>
      <c r="II1598" s="18"/>
      <c r="IJ1598" s="18"/>
      <c r="IK1598" s="18"/>
      <c r="IL1598" s="18"/>
      <c r="IM1598" s="18"/>
      <c r="IN1598" s="18"/>
      <c r="IO1598" s="18"/>
      <c r="IP1598" s="18"/>
      <c r="IQ1598" s="18"/>
      <c r="IR1598" s="18"/>
      <c r="IS1598" s="18"/>
      <c r="IT1598" s="18"/>
      <c r="IU1598" s="18"/>
      <c r="IV1598" s="18"/>
      <c r="IW1598" s="18"/>
      <c r="IX1598" s="18"/>
      <c r="IY1598" s="18"/>
      <c r="IZ1598" s="18"/>
      <c r="JA1598" s="18"/>
      <c r="JB1598" s="18"/>
      <c r="JC1598" s="18"/>
      <c r="JD1598" s="18"/>
      <c r="JE1598" s="18"/>
      <c r="JF1598" s="18"/>
      <c r="JG1598" s="18"/>
      <c r="JH1598" s="18"/>
      <c r="JI1598" s="18"/>
      <c r="JJ1598" s="18"/>
      <c r="JK1598" s="18"/>
      <c r="JL1598" s="18"/>
      <c r="JM1598" s="18"/>
      <c r="JN1598" s="18"/>
      <c r="JO1598" s="16"/>
      <c r="JP1598" s="16"/>
      <c r="JQ1598" s="16"/>
      <c r="JR1598" s="16"/>
      <c r="JS1598" s="16"/>
      <c r="JT1598" s="16"/>
      <c r="JU1598" s="16"/>
      <c r="JV1598" s="16"/>
      <c r="JW1598" s="16"/>
      <c r="JX1598" s="16"/>
      <c r="JY1598" s="16"/>
      <c r="JZ1598" s="16"/>
      <c r="KA1598" s="16"/>
      <c r="KB1598" s="16"/>
    </row>
    <row r="1599" spans="1:288" s="27" customFormat="1" x14ac:dyDescent="0.2">
      <c r="A1599" s="18"/>
      <c r="B1599" s="16">
        <v>2016</v>
      </c>
      <c r="C1599" s="20">
        <v>42587</v>
      </c>
      <c r="D1599" s="20" t="str">
        <f>CONCATENATE(J1599,"-",C1599)</f>
        <v>959-42587</v>
      </c>
      <c r="E1599" s="20" t="str">
        <f>CONCATENATE(T1599,"-",U1599,"-",C1599)</f>
        <v>PO2-F6-42587</v>
      </c>
      <c r="F1599" s="20" t="s">
        <v>106</v>
      </c>
      <c r="G1599" s="90" t="s">
        <v>278</v>
      </c>
      <c r="H1599" s="16"/>
      <c r="I1599" s="16"/>
      <c r="J1599" s="21">
        <v>959</v>
      </c>
      <c r="K1599" s="21"/>
      <c r="L1599" s="16"/>
      <c r="M1599" s="21"/>
      <c r="N1599" s="21"/>
      <c r="O1599" s="21"/>
      <c r="P1599" s="16"/>
      <c r="Q1599" s="16"/>
      <c r="R1599" s="16"/>
      <c r="S1599" s="16"/>
      <c r="T1599" s="16" t="s">
        <v>127</v>
      </c>
      <c r="U1599" s="16" t="s">
        <v>170</v>
      </c>
      <c r="V1599" s="16"/>
      <c r="W1599" s="16"/>
      <c r="X1599" s="16"/>
      <c r="Y1599" s="16"/>
      <c r="Z1599" s="16"/>
      <c r="AA1599" s="16"/>
      <c r="AB1599" s="16"/>
      <c r="AC1599" s="16"/>
      <c r="AD1599" s="16"/>
      <c r="AE1599" s="16"/>
      <c r="AF1599" s="16"/>
      <c r="AG1599" s="16"/>
      <c r="AH1599" s="16"/>
      <c r="AI1599" s="16"/>
      <c r="AJ1599" s="16"/>
      <c r="AK1599" s="16"/>
      <c r="AL1599" s="16"/>
      <c r="AM1599" s="16"/>
      <c r="AN1599" s="16"/>
      <c r="AO1599" s="16"/>
      <c r="AP1599" s="16"/>
      <c r="AQ1599" s="16"/>
      <c r="AR1599" s="16"/>
      <c r="AS1599" s="16"/>
      <c r="AT1599" s="16"/>
      <c r="AU1599" s="16"/>
      <c r="AV1599" s="16"/>
      <c r="AW1599" s="16"/>
      <c r="AX1599" s="16"/>
      <c r="AY1599" s="16"/>
      <c r="AZ1599" s="16"/>
      <c r="BA1599" s="16"/>
      <c r="BB1599" s="16"/>
      <c r="BC1599" s="16"/>
      <c r="BD1599" s="16"/>
      <c r="BE1599" s="16"/>
      <c r="BF1599" s="16"/>
      <c r="BG1599" s="77"/>
      <c r="BH1599" s="16"/>
      <c r="BI1599" s="16"/>
      <c r="BJ1599" s="16"/>
      <c r="BK1599" s="16"/>
      <c r="BL1599" s="16"/>
      <c r="BM1599" s="16"/>
      <c r="BN1599" s="16"/>
      <c r="BO1599" s="16"/>
      <c r="BP1599" s="16"/>
      <c r="BQ1599" s="16"/>
      <c r="BR1599" s="16"/>
      <c r="BS1599" s="16"/>
      <c r="BT1599" s="77"/>
      <c r="BU1599" s="16"/>
      <c r="BV1599" s="16"/>
      <c r="BW1599" s="16"/>
      <c r="BX1599" s="16"/>
      <c r="BY1599" s="16"/>
      <c r="BZ1599" s="16"/>
      <c r="CA1599" s="16"/>
      <c r="CB1599" s="16"/>
      <c r="CC1599" s="16"/>
      <c r="CD1599" s="77"/>
      <c r="CE1599" s="16"/>
      <c r="CF1599" s="16"/>
      <c r="CG1599" s="16"/>
      <c r="CH1599" s="16"/>
      <c r="CI1599" s="16"/>
      <c r="CJ1599" s="16"/>
      <c r="CK1599" s="16"/>
      <c r="CL1599" s="16"/>
      <c r="CM1599" s="16"/>
      <c r="CN1599" s="16"/>
      <c r="CO1599" s="16"/>
      <c r="CP1599" s="16"/>
      <c r="CQ1599" s="16"/>
      <c r="CR1599" s="16"/>
      <c r="CS1599" s="16"/>
      <c r="CT1599" s="16"/>
      <c r="CU1599" s="16"/>
      <c r="CV1599" s="16"/>
      <c r="CW1599" s="16"/>
      <c r="CX1599" s="16"/>
      <c r="CY1599" s="16"/>
      <c r="CZ1599" s="16"/>
      <c r="DA1599" s="16"/>
      <c r="DB1599" s="16"/>
      <c r="DC1599" s="16"/>
      <c r="DD1599" s="16"/>
      <c r="DE1599" s="16"/>
      <c r="DF1599" s="16" t="e">
        <f>VLOOKUP(K1599,'[3]RNA Seq summary tables'!$V$3:$V$99,1,FALSE)</f>
        <v>#N/A</v>
      </c>
      <c r="DG1599" s="16"/>
      <c r="DH1599" s="16"/>
      <c r="DI1599" s="16"/>
      <c r="DJ1599" s="16"/>
      <c r="DK1599" s="16"/>
      <c r="DL1599" s="16"/>
      <c r="DM1599" s="16"/>
      <c r="DN1599" s="16"/>
      <c r="DO1599" s="16"/>
      <c r="DP1599" s="16"/>
      <c r="DQ1599" s="16"/>
      <c r="DR1599" s="16"/>
      <c r="DS1599" s="16"/>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18"/>
      <c r="EQ1599" s="18"/>
      <c r="ER1599" s="18"/>
      <c r="ES1599" s="18"/>
      <c r="ET1599" s="18"/>
      <c r="EU1599" s="18"/>
      <c r="EV1599" s="18"/>
      <c r="EW1599" s="18"/>
      <c r="EX1599" s="18"/>
      <c r="EY1599" s="18"/>
      <c r="EZ1599" s="18"/>
      <c r="FA1599" s="18"/>
      <c r="FB1599" s="18"/>
      <c r="FC1599" s="18"/>
      <c r="FD1599" s="18"/>
      <c r="FE1599" s="18"/>
      <c r="FF1599" s="18"/>
      <c r="FG1599" s="18"/>
      <c r="FH1599" s="18"/>
      <c r="FI1599" s="18"/>
      <c r="FJ1599" s="18"/>
      <c r="FK1599" s="18"/>
      <c r="FL1599" s="18"/>
      <c r="FM1599" s="18"/>
      <c r="FN1599" s="18"/>
      <c r="FO1599" s="18"/>
      <c r="FP1599" s="18"/>
      <c r="FQ1599" s="18"/>
      <c r="FR1599" s="18"/>
      <c r="FS1599" s="18"/>
      <c r="FT1599" s="18"/>
      <c r="FU1599" s="18"/>
      <c r="FV1599" s="18"/>
      <c r="FW1599" s="18"/>
      <c r="FX1599" s="18"/>
      <c r="FY1599" s="18"/>
      <c r="FZ1599" s="18"/>
      <c r="GA1599" s="18"/>
      <c r="GB1599" s="18"/>
      <c r="GC1599" s="18"/>
      <c r="GD1599" s="18"/>
      <c r="GE1599" s="18"/>
      <c r="GF1599" s="18"/>
      <c r="GG1599" s="18"/>
      <c r="GH1599" s="18"/>
      <c r="GI1599" s="18"/>
      <c r="GJ1599" s="18"/>
      <c r="GK1599" s="18"/>
      <c r="GL1599" s="18"/>
      <c r="GM1599" s="18"/>
      <c r="GN1599" s="18"/>
      <c r="GO1599" s="18"/>
      <c r="GP1599" s="18"/>
      <c r="GQ1599" s="18"/>
      <c r="GR1599" s="18"/>
      <c r="GS1599" s="18"/>
      <c r="GT1599" s="18"/>
      <c r="GU1599" s="18"/>
      <c r="GV1599" s="18"/>
      <c r="GW1599" s="18"/>
      <c r="GX1599" s="18"/>
      <c r="GY1599" s="18"/>
      <c r="GZ1599" s="18"/>
      <c r="HA1599" s="18"/>
      <c r="HB1599" s="18"/>
      <c r="HC1599" s="18"/>
      <c r="HD1599" s="18"/>
      <c r="HE1599" s="18"/>
      <c r="HF1599" s="18"/>
      <c r="HG1599" s="18"/>
      <c r="HH1599" s="18"/>
      <c r="HI1599" s="18"/>
      <c r="HJ1599" s="18"/>
      <c r="HK1599" s="18"/>
      <c r="HL1599" s="18"/>
      <c r="HM1599" s="18"/>
      <c r="HN1599" s="18"/>
      <c r="HO1599" s="18"/>
      <c r="HP1599" s="18"/>
      <c r="HQ1599" s="18"/>
      <c r="HR1599" s="18"/>
      <c r="HS1599" s="18"/>
      <c r="HT1599" s="18"/>
      <c r="HU1599" s="18"/>
      <c r="HV1599" s="18"/>
      <c r="HW1599" s="18"/>
      <c r="HX1599" s="18"/>
      <c r="HY1599" s="18"/>
      <c r="HZ1599" s="18"/>
      <c r="IA1599" s="18"/>
      <c r="IB1599" s="18"/>
      <c r="IC1599" s="18"/>
      <c r="ID1599" s="18"/>
      <c r="IE1599" s="18"/>
      <c r="IF1599" s="18"/>
      <c r="IG1599" s="18"/>
      <c r="IH1599" s="18"/>
      <c r="II1599" s="18"/>
      <c r="IJ1599" s="18"/>
      <c r="IK1599" s="18"/>
      <c r="IL1599" s="18"/>
      <c r="IM1599" s="18"/>
      <c r="IN1599" s="18"/>
      <c r="IO1599" s="18"/>
      <c r="IP1599" s="18"/>
      <c r="IQ1599" s="18"/>
      <c r="IR1599" s="18"/>
      <c r="IS1599" s="18"/>
      <c r="IT1599" s="18"/>
      <c r="IU1599" s="18"/>
      <c r="IV1599" s="18"/>
      <c r="IW1599" s="18"/>
      <c r="IX1599" s="18"/>
      <c r="IY1599" s="18"/>
      <c r="IZ1599" s="18"/>
      <c r="JA1599" s="18"/>
      <c r="JB1599" s="18"/>
      <c r="JC1599" s="18"/>
      <c r="JD1599" s="18"/>
      <c r="JE1599" s="18"/>
      <c r="JF1599" s="18"/>
      <c r="JG1599" s="18"/>
      <c r="JH1599" s="18"/>
      <c r="JI1599" s="18"/>
      <c r="JJ1599" s="18"/>
      <c r="JK1599" s="18"/>
      <c r="JL1599" s="18"/>
      <c r="JM1599" s="18"/>
      <c r="JN1599" s="18"/>
      <c r="JO1599" s="41"/>
      <c r="JP1599" s="16"/>
      <c r="JQ1599" s="16"/>
      <c r="JR1599" s="16"/>
      <c r="JS1599" s="16"/>
      <c r="JT1599" s="16"/>
      <c r="JU1599" s="16"/>
      <c r="JV1599" s="16"/>
      <c r="JW1599" s="16"/>
      <c r="JX1599" s="16"/>
      <c r="JY1599" s="16"/>
      <c r="JZ1599" s="16"/>
      <c r="KA1599" s="16"/>
      <c r="KB1599" s="16"/>
    </row>
    <row r="1600" spans="1:288" s="27" customFormat="1" x14ac:dyDescent="0.2">
      <c r="A1600" s="18"/>
      <c r="B1600" s="16">
        <v>2016</v>
      </c>
      <c r="C1600" s="20">
        <v>42588</v>
      </c>
      <c r="D1600" s="20" t="str">
        <f>CONCATENATE(J1600,"-",C1600)</f>
        <v>959-42588</v>
      </c>
      <c r="E1600" s="20" t="str">
        <f>CONCATENATE(T1600,"-",U1600,"-",C1600)</f>
        <v>PO2-E8-42588</v>
      </c>
      <c r="F1600" s="20" t="s">
        <v>224</v>
      </c>
      <c r="G1600" s="90" t="s">
        <v>278</v>
      </c>
      <c r="H1600" s="16"/>
      <c r="I1600" s="16"/>
      <c r="J1600" s="21">
        <v>959</v>
      </c>
      <c r="K1600" s="21"/>
      <c r="L1600" s="16"/>
      <c r="M1600" s="21"/>
      <c r="N1600" s="21"/>
      <c r="O1600" s="21"/>
      <c r="P1600" s="16"/>
      <c r="Q1600" s="16"/>
      <c r="R1600" s="16"/>
      <c r="S1600" s="16"/>
      <c r="T1600" s="16" t="s">
        <v>127</v>
      </c>
      <c r="U1600" s="16" t="s">
        <v>181</v>
      </c>
      <c r="V1600" s="16"/>
      <c r="W1600" s="16"/>
      <c r="X1600" s="16"/>
      <c r="Y1600" s="16"/>
      <c r="Z1600" s="16"/>
      <c r="AA1600" s="16"/>
      <c r="AB1600" s="16"/>
      <c r="AC1600" s="16"/>
      <c r="AD1600" s="16"/>
      <c r="AE1600" s="16"/>
      <c r="AF1600" s="16"/>
      <c r="AG1600" s="16"/>
      <c r="AH1600" s="16"/>
      <c r="AI1600" s="16"/>
      <c r="AJ1600" s="16"/>
      <c r="AK1600" s="16"/>
      <c r="AL1600" s="16"/>
      <c r="AM1600" s="16"/>
      <c r="AN1600" s="16"/>
      <c r="AO1600" s="16"/>
      <c r="AP1600" s="16"/>
      <c r="AQ1600" s="16"/>
      <c r="AR1600" s="16"/>
      <c r="AS1600" s="16"/>
      <c r="AT1600" s="16"/>
      <c r="AU1600" s="16"/>
      <c r="AV1600" s="16"/>
      <c r="AW1600" s="16"/>
      <c r="AX1600" s="16"/>
      <c r="AY1600" s="16"/>
      <c r="AZ1600" s="16"/>
      <c r="BA1600" s="16"/>
      <c r="BB1600" s="16"/>
      <c r="BC1600" s="16"/>
      <c r="BD1600" s="16"/>
      <c r="BE1600" s="16"/>
      <c r="BF1600" s="16"/>
      <c r="BG1600" s="77"/>
      <c r="BH1600" s="16"/>
      <c r="BI1600" s="16"/>
      <c r="BJ1600" s="16"/>
      <c r="BK1600" s="16"/>
      <c r="BL1600" s="16"/>
      <c r="BM1600" s="16"/>
      <c r="BN1600" s="16"/>
      <c r="BO1600" s="16"/>
      <c r="BP1600" s="16"/>
      <c r="BQ1600" s="16"/>
      <c r="BR1600" s="16"/>
      <c r="BS1600" s="16"/>
      <c r="BT1600" s="77"/>
      <c r="BU1600" s="16"/>
      <c r="BV1600" s="16"/>
      <c r="BW1600" s="16"/>
      <c r="BX1600" s="16"/>
      <c r="BY1600" s="16"/>
      <c r="BZ1600" s="16"/>
      <c r="CA1600" s="16"/>
      <c r="CB1600" s="16"/>
      <c r="CC1600" s="16"/>
      <c r="CD1600" s="77"/>
      <c r="CE1600" s="16"/>
      <c r="CF1600" s="16"/>
      <c r="CG1600" s="16"/>
      <c r="CH1600" s="16"/>
      <c r="CI1600" s="16"/>
      <c r="CJ1600" s="16"/>
      <c r="CK1600" s="16"/>
      <c r="CL1600" s="16"/>
      <c r="CM1600" s="16"/>
      <c r="CN1600" s="16"/>
      <c r="CO1600" s="16"/>
      <c r="CP1600" s="16"/>
      <c r="CQ1600" s="16"/>
      <c r="CR1600" s="16"/>
      <c r="CS1600" s="16"/>
      <c r="CT1600" s="16"/>
      <c r="CU1600" s="16"/>
      <c r="CV1600" s="16"/>
      <c r="CW1600" s="16"/>
      <c r="CX1600" s="16"/>
      <c r="CY1600" s="16"/>
      <c r="CZ1600" s="16"/>
      <c r="DA1600" s="16"/>
      <c r="DB1600" s="16"/>
      <c r="DC1600" s="16"/>
      <c r="DD1600" s="16"/>
      <c r="DE1600" s="16"/>
      <c r="DF1600" s="16" t="e">
        <f>VLOOKUP(K1600,'[3]RNA Seq summary tables'!$V$3:$V$99,1,FALSE)</f>
        <v>#N/A</v>
      </c>
      <c r="DG1600" s="16"/>
      <c r="DH1600" s="16"/>
      <c r="DI1600" s="16"/>
      <c r="DJ1600" s="16"/>
      <c r="DK1600" s="16"/>
      <c r="DL1600" s="16"/>
      <c r="DM1600" s="16"/>
      <c r="DN1600" s="16"/>
      <c r="DO1600" s="16"/>
      <c r="DP1600" s="16"/>
      <c r="DQ1600" s="16"/>
      <c r="DR1600" s="16"/>
      <c r="DS1600" s="16"/>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18"/>
      <c r="EQ1600" s="18"/>
      <c r="ER1600" s="18"/>
      <c r="ES1600" s="18"/>
      <c r="ET1600" s="18"/>
      <c r="EU1600" s="18"/>
      <c r="EV1600" s="18"/>
      <c r="EW1600" s="18"/>
      <c r="EX1600" s="18"/>
      <c r="EY1600" s="18"/>
      <c r="EZ1600" s="18"/>
      <c r="FA1600" s="18"/>
      <c r="FB1600" s="18"/>
      <c r="FC1600" s="18"/>
      <c r="FD1600" s="18"/>
      <c r="FE1600" s="18"/>
      <c r="FF1600" s="18"/>
      <c r="FG1600" s="18"/>
      <c r="FH1600" s="18"/>
      <c r="FI1600" s="18"/>
      <c r="FJ1600" s="18"/>
      <c r="FK1600" s="18"/>
      <c r="FL1600" s="18"/>
      <c r="FM1600" s="18"/>
      <c r="FN1600" s="18"/>
      <c r="FO1600" s="18"/>
      <c r="FP1600" s="18"/>
      <c r="FQ1600" s="18"/>
      <c r="FR1600" s="18"/>
      <c r="FS1600" s="18"/>
      <c r="FT1600" s="18"/>
      <c r="FU1600" s="18"/>
      <c r="FV1600" s="18"/>
      <c r="FW1600" s="18"/>
      <c r="FX1600" s="18"/>
      <c r="FY1600" s="18"/>
      <c r="FZ1600" s="18"/>
      <c r="GA1600" s="18"/>
      <c r="GB1600" s="18"/>
      <c r="GC1600" s="18"/>
      <c r="GD1600" s="18"/>
      <c r="GE1600" s="18"/>
      <c r="GF1600" s="18"/>
      <c r="GG1600" s="18"/>
      <c r="GH1600" s="18"/>
      <c r="GI1600" s="18"/>
      <c r="GJ1600" s="18"/>
      <c r="GK1600" s="18"/>
      <c r="GL1600" s="18"/>
      <c r="GM1600" s="18"/>
      <c r="GN1600" s="18"/>
      <c r="GO1600" s="18"/>
      <c r="GP1600" s="18"/>
      <c r="GQ1600" s="18"/>
      <c r="GR1600" s="18"/>
      <c r="GS1600" s="18"/>
      <c r="GT1600" s="18"/>
      <c r="GU1600" s="18"/>
      <c r="GV1600" s="18"/>
      <c r="GW1600" s="18"/>
      <c r="GX1600" s="18"/>
      <c r="GY1600" s="18"/>
      <c r="GZ1600" s="18"/>
      <c r="HA1600" s="18"/>
      <c r="HB1600" s="18"/>
      <c r="HC1600" s="18"/>
      <c r="HD1600" s="18"/>
      <c r="HE1600" s="18"/>
      <c r="HF1600" s="18"/>
      <c r="HG1600" s="18"/>
      <c r="HH1600" s="18"/>
      <c r="HI1600" s="18"/>
      <c r="HJ1600" s="18"/>
      <c r="HK1600" s="18"/>
      <c r="HL1600" s="18"/>
      <c r="HM1600" s="18"/>
      <c r="HN1600" s="18"/>
      <c r="HO1600" s="18"/>
      <c r="HP1600" s="18"/>
      <c r="HQ1600" s="18"/>
      <c r="HR1600" s="18"/>
      <c r="HS1600" s="18"/>
      <c r="HT1600" s="18"/>
      <c r="HU1600" s="18"/>
      <c r="HV1600" s="18"/>
      <c r="HW1600" s="18"/>
      <c r="HX1600" s="18"/>
      <c r="HY1600" s="18"/>
      <c r="HZ1600" s="18"/>
      <c r="IA1600" s="18"/>
      <c r="IB1600" s="18"/>
      <c r="IC1600" s="18"/>
      <c r="ID1600" s="18"/>
      <c r="IE1600" s="18"/>
      <c r="IF1600" s="18"/>
      <c r="IG1600" s="18"/>
      <c r="IH1600" s="18"/>
      <c r="II1600" s="18"/>
      <c r="IJ1600" s="18"/>
      <c r="IK1600" s="18"/>
      <c r="IL1600" s="18"/>
      <c r="IM1600" s="18"/>
      <c r="IN1600" s="18"/>
      <c r="IO1600" s="18"/>
      <c r="IP1600" s="18"/>
      <c r="IQ1600" s="18"/>
      <c r="IR1600" s="18"/>
      <c r="IS1600" s="18"/>
      <c r="IT1600" s="18"/>
      <c r="IU1600" s="18"/>
      <c r="IV1600" s="18"/>
      <c r="IW1600" s="18"/>
      <c r="IX1600" s="18"/>
      <c r="IY1600" s="18"/>
      <c r="IZ1600" s="18"/>
      <c r="JA1600" s="18"/>
      <c r="JB1600" s="18"/>
      <c r="JC1600" s="18"/>
      <c r="JD1600" s="18"/>
      <c r="JE1600" s="18"/>
      <c r="JF1600" s="18"/>
      <c r="JG1600" s="18"/>
      <c r="JH1600" s="18"/>
      <c r="JI1600" s="18"/>
      <c r="JJ1600" s="18"/>
      <c r="JK1600" s="18"/>
      <c r="JL1600" s="18"/>
      <c r="JM1600" s="18"/>
      <c r="JN1600" s="18"/>
      <c r="JO1600" s="16"/>
      <c r="JP1600" s="16"/>
      <c r="JQ1600" s="16"/>
      <c r="JR1600" s="16"/>
      <c r="JS1600" s="16"/>
      <c r="JT1600" s="16"/>
      <c r="JU1600" s="16"/>
      <c r="JV1600" s="16"/>
      <c r="JW1600" s="16"/>
      <c r="JX1600" s="16"/>
      <c r="JY1600" s="16"/>
      <c r="JZ1600" s="16"/>
      <c r="KA1600" s="16"/>
      <c r="KB1600" s="16"/>
    </row>
    <row r="1601" spans="1:288" s="27" customFormat="1" x14ac:dyDescent="0.2">
      <c r="A1601" s="18"/>
      <c r="B1601" s="16">
        <v>2016</v>
      </c>
      <c r="C1601" s="20">
        <v>42532</v>
      </c>
      <c r="D1601" s="20" t="str">
        <f>CONCATENATE(J1601,"-",C1601)</f>
        <v>960-42532</v>
      </c>
      <c r="E1601" s="20" t="str">
        <f>CONCATENATE(T1601,"-",U1601,"-",C1601)</f>
        <v>PO1-E8-42532</v>
      </c>
      <c r="F1601" s="20" t="s">
        <v>106</v>
      </c>
      <c r="G1601" s="90" t="s">
        <v>278</v>
      </c>
      <c r="H1601" s="16"/>
      <c r="I1601" s="16"/>
      <c r="J1601" s="21">
        <v>960</v>
      </c>
      <c r="K1601" s="21"/>
      <c r="L1601" s="16"/>
      <c r="M1601" s="21"/>
      <c r="N1601" s="21"/>
      <c r="O1601" s="21"/>
      <c r="P1601" s="16"/>
      <c r="Q1601" s="16"/>
      <c r="R1601" s="16"/>
      <c r="S1601" s="16"/>
      <c r="T1601" s="16" t="s">
        <v>112</v>
      </c>
      <c r="U1601" s="16" t="s">
        <v>181</v>
      </c>
      <c r="V1601" s="16" t="s">
        <v>114</v>
      </c>
      <c r="W1601" s="16"/>
      <c r="X1601" s="16" t="s">
        <v>115</v>
      </c>
      <c r="Y1601" s="16" t="s">
        <v>110</v>
      </c>
      <c r="Z1601" s="16">
        <v>3</v>
      </c>
      <c r="AA1601" s="16"/>
      <c r="AB1601" s="16"/>
      <c r="AC1601" s="16"/>
      <c r="AD1601" s="16"/>
      <c r="AE1601" s="16" t="s">
        <v>123</v>
      </c>
      <c r="AF1601" s="16" t="s">
        <v>123</v>
      </c>
      <c r="AG1601" s="16"/>
      <c r="AH1601" s="16"/>
      <c r="AI1601" s="16"/>
      <c r="AJ1601" s="16"/>
      <c r="AK1601" s="16">
        <v>17</v>
      </c>
      <c r="AL1601" s="16">
        <v>0</v>
      </c>
      <c r="AM1601" s="16">
        <v>0</v>
      </c>
      <c r="AN1601" s="16">
        <v>0</v>
      </c>
      <c r="AO1601" s="16">
        <f>IF(SUM(AL1601:AN1601)&gt;0,1,0)</f>
        <v>0</v>
      </c>
      <c r="AP1601" s="16">
        <f>SUM(AL1601:AN1601)</f>
        <v>0</v>
      </c>
      <c r="AQ1601" s="16"/>
      <c r="AR1601" s="16"/>
      <c r="AS1601" s="16"/>
      <c r="AT1601" s="16"/>
      <c r="AU1601" s="16"/>
      <c r="AV1601" s="16"/>
      <c r="AW1601" s="16"/>
      <c r="AX1601" s="16"/>
      <c r="AY1601" s="16"/>
      <c r="AZ1601" s="16"/>
      <c r="BA1601" s="16"/>
      <c r="BB1601" s="16"/>
      <c r="BC1601" s="16"/>
      <c r="BD1601" s="16"/>
      <c r="BE1601" s="16"/>
      <c r="BF1601" s="16"/>
      <c r="BG1601" s="77"/>
      <c r="BH1601" s="16"/>
      <c r="BI1601" s="16"/>
      <c r="BJ1601" s="16"/>
      <c r="BK1601" s="16"/>
      <c r="BL1601" s="16"/>
      <c r="BM1601" s="16"/>
      <c r="BN1601" s="16"/>
      <c r="BO1601" s="16"/>
      <c r="BP1601" s="16"/>
      <c r="BQ1601" s="16"/>
      <c r="BR1601" s="16"/>
      <c r="BS1601" s="16"/>
      <c r="BT1601" s="77"/>
      <c r="BU1601" s="16"/>
      <c r="BV1601" s="16"/>
      <c r="BW1601" s="16"/>
      <c r="BX1601" s="16"/>
      <c r="BY1601" s="16"/>
      <c r="BZ1601" s="16"/>
      <c r="CA1601" s="16"/>
      <c r="CB1601" s="16"/>
      <c r="CC1601" s="16"/>
      <c r="CD1601" s="77"/>
      <c r="CE1601" s="16"/>
      <c r="CF1601" s="16"/>
      <c r="CG1601" s="16"/>
      <c r="CH1601" s="16"/>
      <c r="CI1601" s="16"/>
      <c r="CJ1601" s="16"/>
      <c r="CK1601" s="16"/>
      <c r="CL1601" s="16"/>
      <c r="CM1601" s="16"/>
      <c r="CN1601" s="16"/>
      <c r="CO1601" s="16"/>
      <c r="CP1601" s="16"/>
      <c r="CQ1601" s="16"/>
      <c r="CR1601" s="16"/>
      <c r="CS1601" s="16"/>
      <c r="CT1601" s="16"/>
      <c r="CU1601" s="16"/>
      <c r="CV1601" s="16"/>
      <c r="CW1601" s="16"/>
      <c r="CX1601" s="16"/>
      <c r="CY1601" s="16"/>
      <c r="CZ1601" s="16"/>
      <c r="DA1601" s="16"/>
      <c r="DB1601" s="16"/>
      <c r="DC1601" s="16"/>
      <c r="DD1601" s="16"/>
      <c r="DE1601" s="16"/>
      <c r="DF1601" s="16" t="e">
        <f>VLOOKUP(K1601,'[3]RNA Seq summary tables'!$V$3:$V$99,1,FALSE)</f>
        <v>#N/A</v>
      </c>
      <c r="DG1601" s="16"/>
      <c r="DH1601" s="16"/>
      <c r="DI1601" s="16"/>
      <c r="DJ1601" s="16"/>
      <c r="DK1601" s="16"/>
      <c r="DL1601" s="16"/>
      <c r="DM1601" s="16"/>
      <c r="DN1601" s="16"/>
      <c r="DO1601" s="16"/>
      <c r="DP1601" s="16"/>
      <c r="DQ1601" s="16"/>
      <c r="DR1601" s="16"/>
      <c r="DS1601" s="16"/>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18"/>
      <c r="EQ1601" s="18"/>
      <c r="ER1601" s="18"/>
      <c r="ES1601" s="18"/>
      <c r="ET1601" s="18"/>
      <c r="EU1601" s="18"/>
      <c r="EV1601" s="18"/>
      <c r="EW1601" s="18"/>
      <c r="EX1601" s="18"/>
      <c r="EY1601" s="18"/>
      <c r="EZ1601" s="18"/>
      <c r="FA1601" s="18"/>
      <c r="FB1601" s="18"/>
      <c r="FC1601" s="18"/>
      <c r="FD1601" s="18"/>
      <c r="FE1601" s="18"/>
      <c r="FF1601" s="18"/>
      <c r="FG1601" s="18"/>
      <c r="FH1601" s="18"/>
      <c r="FI1601" s="18"/>
      <c r="FJ1601" s="18"/>
      <c r="FK1601" s="18"/>
      <c r="FL1601" s="18"/>
      <c r="FM1601" s="18"/>
      <c r="FN1601" s="18"/>
      <c r="FO1601" s="18"/>
      <c r="FP1601" s="18"/>
      <c r="FQ1601" s="18"/>
      <c r="FR1601" s="18"/>
      <c r="FS1601" s="18"/>
      <c r="FT1601" s="18"/>
      <c r="FU1601" s="18"/>
      <c r="FV1601" s="18"/>
      <c r="FW1601" s="18"/>
      <c r="FX1601" s="18"/>
      <c r="FY1601" s="18"/>
      <c r="FZ1601" s="18"/>
      <c r="GA1601" s="18"/>
      <c r="GB1601" s="18"/>
      <c r="GC1601" s="18"/>
      <c r="GD1601" s="18"/>
      <c r="GE1601" s="18"/>
      <c r="GF1601" s="18"/>
      <c r="GG1601" s="18"/>
      <c r="GH1601" s="18"/>
      <c r="GI1601" s="18"/>
      <c r="GJ1601" s="18"/>
      <c r="GK1601" s="18"/>
      <c r="GL1601" s="18"/>
      <c r="GM1601" s="18"/>
      <c r="GN1601" s="18"/>
      <c r="GO1601" s="18"/>
      <c r="GP1601" s="18"/>
      <c r="GQ1601" s="18"/>
      <c r="GR1601" s="18"/>
      <c r="GS1601" s="18"/>
      <c r="GT1601" s="18"/>
      <c r="GU1601" s="18"/>
      <c r="GV1601" s="18"/>
      <c r="GW1601" s="18"/>
      <c r="GX1601" s="18"/>
      <c r="GY1601" s="18"/>
      <c r="GZ1601" s="18"/>
      <c r="HA1601" s="18"/>
      <c r="HB1601" s="18"/>
      <c r="HC1601" s="18"/>
      <c r="HD1601" s="18"/>
      <c r="HE1601" s="18"/>
      <c r="HF1601" s="18"/>
      <c r="HG1601" s="18"/>
      <c r="HH1601" s="18"/>
      <c r="HI1601" s="18"/>
      <c r="HJ1601" s="18"/>
      <c r="HK1601" s="18"/>
      <c r="HL1601" s="18"/>
      <c r="HM1601" s="18"/>
      <c r="HN1601" s="18"/>
      <c r="HO1601" s="18"/>
      <c r="HP1601" s="18"/>
      <c r="HQ1601" s="18"/>
      <c r="HR1601" s="18"/>
      <c r="HS1601" s="18"/>
      <c r="HT1601" s="18"/>
      <c r="HU1601" s="18"/>
      <c r="HV1601" s="18"/>
      <c r="HW1601" s="18"/>
      <c r="HX1601" s="18"/>
      <c r="HY1601" s="18"/>
      <c r="HZ1601" s="18"/>
      <c r="IA1601" s="18"/>
      <c r="IB1601" s="18"/>
      <c r="IC1601" s="18"/>
      <c r="ID1601" s="18"/>
      <c r="IE1601" s="18"/>
      <c r="IF1601" s="18"/>
      <c r="IG1601" s="18"/>
      <c r="IH1601" s="18"/>
      <c r="II1601" s="18"/>
      <c r="IJ1601" s="18"/>
      <c r="IK1601" s="18"/>
      <c r="IL1601" s="18"/>
      <c r="IM1601" s="18"/>
      <c r="IN1601" s="18"/>
      <c r="IO1601" s="18"/>
      <c r="IP1601" s="18"/>
      <c r="IQ1601" s="18"/>
      <c r="IR1601" s="18"/>
      <c r="IS1601" s="18"/>
      <c r="IT1601" s="18"/>
      <c r="IU1601" s="18"/>
      <c r="IV1601" s="18"/>
      <c r="IW1601" s="18"/>
      <c r="IX1601" s="18"/>
      <c r="IY1601" s="18"/>
      <c r="IZ1601" s="18"/>
      <c r="JA1601" s="18"/>
      <c r="JB1601" s="18"/>
      <c r="JC1601" s="18"/>
      <c r="JD1601" s="18"/>
      <c r="JE1601" s="18"/>
      <c r="JF1601" s="18"/>
      <c r="JG1601" s="18"/>
      <c r="JH1601" s="18"/>
      <c r="JI1601" s="18"/>
      <c r="JJ1601" s="18"/>
      <c r="JK1601" s="18"/>
      <c r="JL1601" s="18"/>
      <c r="JM1601" s="18"/>
      <c r="JN1601" s="18"/>
      <c r="JO1601" s="16"/>
      <c r="JP1601" s="16"/>
      <c r="JQ1601" s="16"/>
      <c r="JR1601" s="16"/>
      <c r="JS1601" s="16"/>
      <c r="JT1601" s="16"/>
      <c r="JU1601" s="16"/>
      <c r="JV1601" s="16"/>
      <c r="JW1601" s="16"/>
      <c r="JX1601" s="16"/>
      <c r="JY1601" s="16"/>
      <c r="JZ1601" s="16"/>
      <c r="KA1601" s="16"/>
      <c r="KB1601" s="16"/>
    </row>
    <row r="1602" spans="1:288" s="27" customFormat="1" x14ac:dyDescent="0.2">
      <c r="A1602" s="18"/>
      <c r="B1602" s="16">
        <v>2016</v>
      </c>
      <c r="C1602" s="20">
        <v>42560</v>
      </c>
      <c r="D1602" s="20" t="str">
        <f>CONCATENATE(J1602,"-",C1602)</f>
        <v>960-42560</v>
      </c>
      <c r="E1602" s="20" t="str">
        <f>CONCATENATE(T1602,"-",U1602,"-",C1602)</f>
        <v>PO1-D5-42560</v>
      </c>
      <c r="F1602" s="20" t="s">
        <v>106</v>
      </c>
      <c r="G1602" s="90" t="s">
        <v>278</v>
      </c>
      <c r="H1602" s="16"/>
      <c r="I1602" s="16"/>
      <c r="J1602" s="21">
        <v>960</v>
      </c>
      <c r="K1602" s="21"/>
      <c r="L1602" s="16"/>
      <c r="M1602" s="21"/>
      <c r="N1602" s="21"/>
      <c r="O1602" s="21"/>
      <c r="P1602" s="16"/>
      <c r="Q1602" s="16"/>
      <c r="R1602" s="16"/>
      <c r="S1602" s="16"/>
      <c r="T1602" s="16" t="s">
        <v>112</v>
      </c>
      <c r="U1602" s="16" t="s">
        <v>183</v>
      </c>
      <c r="V1602" s="16"/>
      <c r="W1602" s="16"/>
      <c r="X1602" s="16"/>
      <c r="Y1602" s="16"/>
      <c r="Z1602" s="16"/>
      <c r="AA1602" s="16"/>
      <c r="AB1602" s="16"/>
      <c r="AC1602" s="16"/>
      <c r="AD1602" s="16"/>
      <c r="AE1602" s="16"/>
      <c r="AF1602" s="16"/>
      <c r="AG1602" s="16"/>
      <c r="AH1602" s="16"/>
      <c r="AI1602" s="16"/>
      <c r="AJ1602" s="16"/>
      <c r="AK1602" s="16">
        <v>22</v>
      </c>
      <c r="AL1602" s="16"/>
      <c r="AM1602" s="16"/>
      <c r="AN1602" s="16"/>
      <c r="AO1602" s="16"/>
      <c r="AP1602" s="16"/>
      <c r="AQ1602" s="16"/>
      <c r="AR1602" s="16"/>
      <c r="AS1602" s="16"/>
      <c r="AT1602" s="16"/>
      <c r="AU1602" s="16"/>
      <c r="AV1602" s="16"/>
      <c r="AW1602" s="16"/>
      <c r="AX1602" s="16"/>
      <c r="AY1602" s="16"/>
      <c r="AZ1602" s="16"/>
      <c r="BA1602" s="16"/>
      <c r="BB1602" s="16"/>
      <c r="BC1602" s="16"/>
      <c r="BD1602" s="16"/>
      <c r="BE1602" s="16"/>
      <c r="BF1602" s="16"/>
      <c r="BG1602" s="77"/>
      <c r="BH1602" s="16"/>
      <c r="BI1602" s="16"/>
      <c r="BJ1602" s="16"/>
      <c r="BK1602" s="16"/>
      <c r="BL1602" s="16"/>
      <c r="BM1602" s="16"/>
      <c r="BN1602" s="16"/>
      <c r="BO1602" s="16"/>
      <c r="BP1602" s="16"/>
      <c r="BQ1602" s="16"/>
      <c r="BR1602" s="16"/>
      <c r="BS1602" s="16"/>
      <c r="BT1602" s="77"/>
      <c r="BU1602" s="16"/>
      <c r="BV1602" s="16"/>
      <c r="BW1602" s="16"/>
      <c r="BX1602" s="16"/>
      <c r="BY1602" s="16"/>
      <c r="BZ1602" s="16"/>
      <c r="CA1602" s="16"/>
      <c r="CB1602" s="16"/>
      <c r="CC1602" s="16"/>
      <c r="CD1602" s="77"/>
      <c r="CE1602" s="16"/>
      <c r="CF1602" s="16"/>
      <c r="CG1602" s="16"/>
      <c r="CH1602" s="16"/>
      <c r="CI1602" s="16"/>
      <c r="CJ1602" s="16"/>
      <c r="CK1602" s="16"/>
      <c r="CL1602" s="16"/>
      <c r="CM1602" s="16"/>
      <c r="CN1602" s="16"/>
      <c r="CO1602" s="16"/>
      <c r="CP1602" s="16"/>
      <c r="CQ1602" s="16"/>
      <c r="CR1602" s="16"/>
      <c r="CS1602" s="16"/>
      <c r="CT1602" s="16"/>
      <c r="CU1602" s="16"/>
      <c r="CV1602" s="16"/>
      <c r="CW1602" s="16"/>
      <c r="CX1602" s="16"/>
      <c r="CY1602" s="16"/>
      <c r="CZ1602" s="16"/>
      <c r="DA1602" s="16"/>
      <c r="DB1602" s="16"/>
      <c r="DC1602" s="16"/>
      <c r="DD1602" s="16"/>
      <c r="DE1602" s="16"/>
      <c r="DF1602" s="16" t="e">
        <f>VLOOKUP(K1602,'[3]RNA Seq summary tables'!$V$3:$V$99,1,FALSE)</f>
        <v>#N/A</v>
      </c>
      <c r="DG1602" s="16"/>
      <c r="DH1602" s="16"/>
      <c r="DI1602" s="16"/>
      <c r="DJ1602" s="16"/>
      <c r="DK1602" s="16"/>
      <c r="DL1602" s="16"/>
      <c r="DM1602" s="16"/>
      <c r="DN1602" s="16"/>
      <c r="DO1602" s="16"/>
      <c r="DP1602" s="16"/>
      <c r="DQ1602" s="16"/>
      <c r="DR1602" s="16"/>
      <c r="DS1602" s="16"/>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18"/>
      <c r="EQ1602" s="18"/>
      <c r="ER1602" s="18"/>
      <c r="ES1602" s="18"/>
      <c r="ET1602" s="18"/>
      <c r="EU1602" s="18"/>
      <c r="EV1602" s="18"/>
      <c r="EW1602" s="18"/>
      <c r="EX1602" s="18"/>
      <c r="EY1602" s="18"/>
      <c r="EZ1602" s="18"/>
      <c r="FA1602" s="18"/>
      <c r="FB1602" s="18"/>
      <c r="FC1602" s="18"/>
      <c r="FD1602" s="18"/>
      <c r="FE1602" s="18"/>
      <c r="FF1602" s="18"/>
      <c r="FG1602" s="18"/>
      <c r="FH1602" s="18"/>
      <c r="FI1602" s="18"/>
      <c r="FJ1602" s="18"/>
      <c r="FK1602" s="18"/>
      <c r="FL1602" s="18"/>
      <c r="FM1602" s="18"/>
      <c r="FN1602" s="18"/>
      <c r="FO1602" s="18"/>
      <c r="FP1602" s="18"/>
      <c r="FQ1602" s="18"/>
      <c r="FR1602" s="18"/>
      <c r="FS1602" s="18"/>
      <c r="FT1602" s="18"/>
      <c r="FU1602" s="18"/>
      <c r="FV1602" s="18"/>
      <c r="FW1602" s="18"/>
      <c r="FX1602" s="18"/>
      <c r="FY1602" s="18"/>
      <c r="FZ1602" s="18"/>
      <c r="GA1602" s="18"/>
      <c r="GB1602" s="18"/>
      <c r="GC1602" s="18"/>
      <c r="GD1602" s="18"/>
      <c r="GE1602" s="18"/>
      <c r="GF1602" s="18"/>
      <c r="GG1602" s="18"/>
      <c r="GH1602" s="18"/>
      <c r="GI1602" s="18"/>
      <c r="GJ1602" s="18"/>
      <c r="GK1602" s="18"/>
      <c r="GL1602" s="18"/>
      <c r="GM1602" s="18"/>
      <c r="GN1602" s="18"/>
      <c r="GO1602" s="18"/>
      <c r="GP1602" s="18"/>
      <c r="GQ1602" s="18"/>
      <c r="GR1602" s="18"/>
      <c r="GS1602" s="18"/>
      <c r="GT1602" s="18"/>
      <c r="GU1602" s="18"/>
      <c r="GV1602" s="18"/>
      <c r="GW1602" s="18"/>
      <c r="GX1602" s="18"/>
      <c r="GY1602" s="18"/>
      <c r="GZ1602" s="18"/>
      <c r="HA1602" s="18"/>
      <c r="HB1602" s="18"/>
      <c r="HC1602" s="18"/>
      <c r="HD1602" s="18"/>
      <c r="HE1602" s="18"/>
      <c r="HF1602" s="18"/>
      <c r="HG1602" s="18"/>
      <c r="HH1602" s="18"/>
      <c r="HI1602" s="18"/>
      <c r="HJ1602" s="18"/>
      <c r="HK1602" s="18"/>
      <c r="HL1602" s="18"/>
      <c r="HM1602" s="18"/>
      <c r="HN1602" s="18"/>
      <c r="HO1602" s="18"/>
      <c r="HP1602" s="18"/>
      <c r="HQ1602" s="18"/>
      <c r="HR1602" s="18"/>
      <c r="HS1602" s="18"/>
      <c r="HT1602" s="18"/>
      <c r="HU1602" s="18"/>
      <c r="HV1602" s="18"/>
      <c r="HW1602" s="18"/>
      <c r="HX1602" s="18"/>
      <c r="HY1602" s="18"/>
      <c r="HZ1602" s="18"/>
      <c r="IA1602" s="18"/>
      <c r="IB1602" s="18"/>
      <c r="IC1602" s="18"/>
      <c r="ID1602" s="18"/>
      <c r="IE1602" s="18"/>
      <c r="IF1602" s="18"/>
      <c r="IG1602" s="18"/>
      <c r="IH1602" s="18"/>
      <c r="II1602" s="18"/>
      <c r="IJ1602" s="18"/>
      <c r="IK1602" s="18"/>
      <c r="IL1602" s="18"/>
      <c r="IM1602" s="18"/>
      <c r="IN1602" s="18"/>
      <c r="IO1602" s="18"/>
      <c r="IP1602" s="18"/>
      <c r="IQ1602" s="18"/>
      <c r="IR1602" s="18"/>
      <c r="IS1602" s="18"/>
      <c r="IT1602" s="18"/>
      <c r="IU1602" s="18"/>
      <c r="IV1602" s="18"/>
      <c r="IW1602" s="18"/>
      <c r="IX1602" s="18"/>
      <c r="IY1602" s="18"/>
      <c r="IZ1602" s="18"/>
      <c r="JA1602" s="18"/>
      <c r="JB1602" s="18"/>
      <c r="JC1602" s="18"/>
      <c r="JD1602" s="18"/>
      <c r="JE1602" s="18"/>
      <c r="JF1602" s="18"/>
      <c r="JG1602" s="18"/>
      <c r="JH1602" s="18"/>
      <c r="JI1602" s="18"/>
      <c r="JJ1602" s="18"/>
      <c r="JK1602" s="18"/>
      <c r="JL1602" s="18"/>
      <c r="JM1602" s="18"/>
      <c r="JN1602" s="18"/>
      <c r="JO1602" s="16"/>
      <c r="JP1602" s="16"/>
      <c r="JQ1602" s="16"/>
      <c r="JR1602" s="16"/>
      <c r="JS1602" s="16"/>
      <c r="JT1602" s="16"/>
      <c r="JU1602" s="16"/>
      <c r="JV1602" s="16"/>
      <c r="JW1602" s="16"/>
      <c r="JX1602" s="16"/>
      <c r="JY1602" s="16"/>
      <c r="JZ1602" s="16"/>
      <c r="KA1602" s="16"/>
      <c r="KB1602" s="16"/>
    </row>
    <row r="1603" spans="1:288" s="27" customFormat="1" x14ac:dyDescent="0.2">
      <c r="A1603" s="18"/>
      <c r="B1603" s="16">
        <v>2016</v>
      </c>
      <c r="C1603" s="20">
        <v>42535</v>
      </c>
      <c r="D1603" s="20" t="str">
        <f>CONCATENATE(J1603,"-",C1603)</f>
        <v>962-42535</v>
      </c>
      <c r="E1603" s="20" t="str">
        <f>CONCATENATE(T1603,"-",U1603,"-",C1603)</f>
        <v>HW2-F8-42535</v>
      </c>
      <c r="F1603" s="20" t="s">
        <v>106</v>
      </c>
      <c r="G1603" s="90" t="s">
        <v>278</v>
      </c>
      <c r="H1603" s="16"/>
      <c r="I1603" s="16"/>
      <c r="J1603" s="21">
        <v>962</v>
      </c>
      <c r="K1603" s="21"/>
      <c r="L1603" s="16"/>
      <c r="M1603" s="21"/>
      <c r="N1603" s="21"/>
      <c r="O1603" s="21"/>
      <c r="P1603" s="16"/>
      <c r="Q1603" s="16"/>
      <c r="R1603" s="16"/>
      <c r="S1603" s="16"/>
      <c r="T1603" s="16" t="s">
        <v>129</v>
      </c>
      <c r="U1603" s="16" t="s">
        <v>138</v>
      </c>
      <c r="V1603" s="16" t="s">
        <v>114</v>
      </c>
      <c r="W1603" s="16"/>
      <c r="X1603" s="16" t="s">
        <v>115</v>
      </c>
      <c r="Y1603" s="16" t="s">
        <v>122</v>
      </c>
      <c r="Z1603" s="16">
        <v>2.9</v>
      </c>
      <c r="AA1603" s="16"/>
      <c r="AB1603" s="16"/>
      <c r="AC1603" s="16"/>
      <c r="AD1603" s="16"/>
      <c r="AE1603" s="16" t="s">
        <v>123</v>
      </c>
      <c r="AF1603" s="16" t="s">
        <v>123</v>
      </c>
      <c r="AG1603" s="16"/>
      <c r="AH1603" s="16"/>
      <c r="AI1603" s="16"/>
      <c r="AJ1603" s="16"/>
      <c r="AK1603" s="16">
        <v>13</v>
      </c>
      <c r="AL1603" s="16">
        <v>0</v>
      </c>
      <c r="AM1603" s="16">
        <v>1</v>
      </c>
      <c r="AN1603" s="16">
        <v>0</v>
      </c>
      <c r="AO1603" s="16">
        <f>IF(SUM(AL1603:AN1603)&gt;0,1,0)</f>
        <v>1</v>
      </c>
      <c r="AP1603" s="16">
        <f>SUM(AL1603:AN1603)</f>
        <v>1</v>
      </c>
      <c r="AQ1603" s="16"/>
      <c r="AR1603" s="16"/>
      <c r="AS1603" s="16"/>
      <c r="AT1603" s="16"/>
      <c r="AU1603" s="16"/>
      <c r="AV1603" s="16"/>
      <c r="AW1603" s="16"/>
      <c r="AX1603" s="16"/>
      <c r="AY1603" s="16"/>
      <c r="AZ1603" s="16"/>
      <c r="BA1603" s="16"/>
      <c r="BB1603" s="16"/>
      <c r="BC1603" s="16"/>
      <c r="BD1603" s="16"/>
      <c r="BE1603" s="16"/>
      <c r="BF1603" s="16"/>
      <c r="BG1603" s="77"/>
      <c r="BH1603" s="16"/>
      <c r="BI1603" s="16"/>
      <c r="BJ1603" s="16"/>
      <c r="BK1603" s="16"/>
      <c r="BL1603" s="16"/>
      <c r="BM1603" s="16"/>
      <c r="BN1603" s="16"/>
      <c r="BO1603" s="16"/>
      <c r="BP1603" s="16"/>
      <c r="BQ1603" s="16"/>
      <c r="BR1603" s="16"/>
      <c r="BS1603" s="16"/>
      <c r="BT1603" s="77"/>
      <c r="BU1603" s="16"/>
      <c r="BV1603" s="16"/>
      <c r="BW1603" s="16"/>
      <c r="BX1603" s="16"/>
      <c r="BY1603" s="16"/>
      <c r="BZ1603" s="16"/>
      <c r="CA1603" s="16"/>
      <c r="CB1603" s="16"/>
      <c r="CC1603" s="16"/>
      <c r="CD1603" s="77"/>
      <c r="CE1603" s="16"/>
      <c r="CF1603" s="16"/>
      <c r="CG1603" s="16"/>
      <c r="CH1603" s="16"/>
      <c r="CI1603" s="16"/>
      <c r="CJ1603" s="16"/>
      <c r="CK1603" s="16"/>
      <c r="CL1603" s="16"/>
      <c r="CM1603" s="16"/>
      <c r="CN1603" s="16"/>
      <c r="CO1603" s="16"/>
      <c r="CP1603" s="16"/>
      <c r="CQ1603" s="16"/>
      <c r="CR1603" s="16"/>
      <c r="CS1603" s="16"/>
      <c r="CT1603" s="16"/>
      <c r="CU1603" s="16"/>
      <c r="CV1603" s="16"/>
      <c r="CW1603" s="16"/>
      <c r="CX1603" s="16"/>
      <c r="CY1603" s="16"/>
      <c r="CZ1603" s="16"/>
      <c r="DA1603" s="16"/>
      <c r="DB1603" s="16"/>
      <c r="DC1603" s="16"/>
      <c r="DD1603" s="16"/>
      <c r="DE1603" s="16"/>
      <c r="DF1603" s="16" t="e">
        <f>VLOOKUP(K1603,'[3]RNA Seq summary tables'!$V$3:$V$99,1,FALSE)</f>
        <v>#N/A</v>
      </c>
      <c r="DG1603" s="16"/>
      <c r="DH1603" s="16"/>
      <c r="DI1603" s="16"/>
      <c r="DJ1603" s="16"/>
      <c r="DK1603" s="16"/>
      <c r="DL1603" s="16"/>
      <c r="DM1603" s="16"/>
      <c r="DN1603" s="16"/>
      <c r="DO1603" s="16"/>
      <c r="DP1603" s="16"/>
      <c r="DQ1603" s="16"/>
      <c r="DR1603" s="16"/>
      <c r="DS1603" s="16"/>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18"/>
      <c r="EQ1603" s="18"/>
      <c r="ER1603" s="18"/>
      <c r="ES1603" s="18"/>
      <c r="ET1603" s="18"/>
      <c r="EU1603" s="18"/>
      <c r="EV1603" s="18"/>
      <c r="EW1603" s="18"/>
      <c r="EX1603" s="18"/>
      <c r="EY1603" s="18"/>
      <c r="EZ1603" s="18"/>
      <c r="FA1603" s="18"/>
      <c r="FB1603" s="18"/>
      <c r="FC1603" s="18"/>
      <c r="FD1603" s="18"/>
      <c r="FE1603" s="18"/>
      <c r="FF1603" s="18"/>
      <c r="FG1603" s="18"/>
      <c r="FH1603" s="18"/>
      <c r="FI1603" s="18"/>
      <c r="FJ1603" s="18"/>
      <c r="FK1603" s="18"/>
      <c r="FL1603" s="18"/>
      <c r="FM1603" s="18"/>
      <c r="FN1603" s="18"/>
      <c r="FO1603" s="18"/>
      <c r="FP1603" s="18"/>
      <c r="FQ1603" s="18"/>
      <c r="FR1603" s="18"/>
      <c r="FS1603" s="18"/>
      <c r="FT1603" s="18"/>
      <c r="FU1603" s="18"/>
      <c r="FV1603" s="18"/>
      <c r="FW1603" s="18"/>
      <c r="FX1603" s="18"/>
      <c r="FY1603" s="18"/>
      <c r="FZ1603" s="18"/>
      <c r="GA1603" s="18"/>
      <c r="GB1603" s="18"/>
      <c r="GC1603" s="18"/>
      <c r="GD1603" s="18"/>
      <c r="GE1603" s="18"/>
      <c r="GF1603" s="18"/>
      <c r="GG1603" s="18"/>
      <c r="GH1603" s="18"/>
      <c r="GI1603" s="18"/>
      <c r="GJ1603" s="18"/>
      <c r="GK1603" s="18"/>
      <c r="GL1603" s="18"/>
      <c r="GM1603" s="18"/>
      <c r="GN1603" s="18"/>
      <c r="GO1603" s="18"/>
      <c r="GP1603" s="18"/>
      <c r="GQ1603" s="18"/>
      <c r="GR1603" s="18"/>
      <c r="GS1603" s="18"/>
      <c r="GT1603" s="18"/>
      <c r="GU1603" s="18"/>
      <c r="GV1603" s="18"/>
      <c r="GW1603" s="18"/>
      <c r="GX1603" s="18"/>
      <c r="GY1603" s="18"/>
      <c r="GZ1603" s="18"/>
      <c r="HA1603" s="18"/>
      <c r="HB1603" s="18"/>
      <c r="HC1603" s="18"/>
      <c r="HD1603" s="18"/>
      <c r="HE1603" s="18"/>
      <c r="HF1603" s="18"/>
      <c r="HG1603" s="18"/>
      <c r="HH1603" s="18"/>
      <c r="HI1603" s="18"/>
      <c r="HJ1603" s="18"/>
      <c r="HK1603" s="18"/>
      <c r="HL1603" s="18"/>
      <c r="HM1603" s="18"/>
      <c r="HN1603" s="18"/>
      <c r="HO1603" s="18"/>
      <c r="HP1603" s="18"/>
      <c r="HQ1603" s="18"/>
      <c r="HR1603" s="18"/>
      <c r="HS1603" s="18"/>
      <c r="HT1603" s="18"/>
      <c r="HU1603" s="18"/>
      <c r="HV1603" s="18"/>
      <c r="HW1603" s="18"/>
      <c r="HX1603" s="18"/>
      <c r="HY1603" s="18"/>
      <c r="HZ1603" s="18"/>
      <c r="IA1603" s="18"/>
      <c r="IB1603" s="18"/>
      <c r="IC1603" s="18"/>
      <c r="ID1603" s="18"/>
      <c r="IE1603" s="18"/>
      <c r="IF1603" s="18"/>
      <c r="IG1603" s="18"/>
      <c r="IH1603" s="18"/>
      <c r="II1603" s="18"/>
      <c r="IJ1603" s="18"/>
      <c r="IK1603" s="18"/>
      <c r="IL1603" s="18"/>
      <c r="IM1603" s="18"/>
      <c r="IN1603" s="18"/>
      <c r="IO1603" s="18"/>
      <c r="IP1603" s="18"/>
      <c r="IQ1603" s="18"/>
      <c r="IR1603" s="18"/>
      <c r="IS1603" s="18"/>
      <c r="IT1603" s="18"/>
      <c r="IU1603" s="18"/>
      <c r="IV1603" s="18"/>
      <c r="IW1603" s="18"/>
      <c r="IX1603" s="18"/>
      <c r="IY1603" s="18"/>
      <c r="IZ1603" s="18"/>
      <c r="JA1603" s="18"/>
      <c r="JB1603" s="18"/>
      <c r="JC1603" s="18"/>
      <c r="JD1603" s="18"/>
      <c r="JE1603" s="18"/>
      <c r="JF1603" s="18"/>
      <c r="JG1603" s="18"/>
      <c r="JH1603" s="18"/>
      <c r="JI1603" s="18"/>
      <c r="JJ1603" s="18"/>
      <c r="JK1603" s="18"/>
      <c r="JL1603" s="18"/>
      <c r="JM1603" s="18"/>
      <c r="JN1603" s="18"/>
      <c r="JO1603" s="16"/>
      <c r="JP1603" s="16"/>
      <c r="JQ1603" s="16"/>
      <c r="JR1603" s="16"/>
      <c r="JS1603" s="16"/>
      <c r="JT1603" s="16"/>
      <c r="JU1603" s="16"/>
      <c r="JV1603" s="16"/>
      <c r="JW1603" s="16"/>
      <c r="JX1603" s="16"/>
      <c r="JY1603" s="16"/>
      <c r="JZ1603" s="16"/>
      <c r="KA1603" s="16"/>
      <c r="KB1603" s="16"/>
    </row>
    <row r="1604" spans="1:288" s="27" customFormat="1" x14ac:dyDescent="0.2">
      <c r="A1604" s="18"/>
      <c r="B1604" s="16">
        <v>2016</v>
      </c>
      <c r="C1604" s="20">
        <v>42536</v>
      </c>
      <c r="D1604" s="20" t="str">
        <f>CONCATENATE(J1604,"-",C1604)</f>
        <v>962-42536</v>
      </c>
      <c r="E1604" s="20" t="str">
        <f>CONCATENATE(T1604,"-",U1604,"-",C1604)</f>
        <v>HW2-B5-42536</v>
      </c>
      <c r="F1604" s="20" t="s">
        <v>106</v>
      </c>
      <c r="G1604" s="90" t="s">
        <v>278</v>
      </c>
      <c r="H1604" s="16"/>
      <c r="I1604" s="16"/>
      <c r="J1604" s="21">
        <v>962</v>
      </c>
      <c r="K1604" s="21"/>
      <c r="L1604" s="16"/>
      <c r="M1604" s="21"/>
      <c r="N1604" s="21"/>
      <c r="O1604" s="21"/>
      <c r="P1604" s="16"/>
      <c r="Q1604" s="16"/>
      <c r="R1604" s="16"/>
      <c r="S1604" s="16"/>
      <c r="T1604" s="16" t="s">
        <v>129</v>
      </c>
      <c r="U1604" s="16" t="s">
        <v>160</v>
      </c>
      <c r="V1604" s="16"/>
      <c r="W1604" s="16"/>
      <c r="X1604" s="16"/>
      <c r="Y1604" s="16"/>
      <c r="Z1604" s="16"/>
      <c r="AA1604" s="16"/>
      <c r="AB1604" s="16"/>
      <c r="AC1604" s="16"/>
      <c r="AD1604" s="16"/>
      <c r="AE1604" s="16"/>
      <c r="AF1604" s="16"/>
      <c r="AG1604" s="16"/>
      <c r="AH1604" s="16"/>
      <c r="AI1604" s="16"/>
      <c r="AJ1604" s="16"/>
      <c r="AK1604" s="16"/>
      <c r="AL1604" s="16"/>
      <c r="AM1604" s="16"/>
      <c r="AN1604" s="16"/>
      <c r="AO1604" s="16"/>
      <c r="AP1604" s="16"/>
      <c r="AQ1604" s="16"/>
      <c r="AR1604" s="16"/>
      <c r="AS1604" s="16"/>
      <c r="AT1604" s="16"/>
      <c r="AU1604" s="16"/>
      <c r="AV1604" s="16"/>
      <c r="AW1604" s="16"/>
      <c r="AX1604" s="16"/>
      <c r="AY1604" s="16"/>
      <c r="AZ1604" s="16"/>
      <c r="BA1604" s="16"/>
      <c r="BB1604" s="16"/>
      <c r="BC1604" s="16"/>
      <c r="BD1604" s="16"/>
      <c r="BE1604" s="16"/>
      <c r="BF1604" s="16"/>
      <c r="BG1604" s="77"/>
      <c r="BH1604" s="16"/>
      <c r="BI1604" s="16"/>
      <c r="BJ1604" s="16"/>
      <c r="BK1604" s="16"/>
      <c r="BL1604" s="16"/>
      <c r="BM1604" s="16"/>
      <c r="BN1604" s="16"/>
      <c r="BO1604" s="16"/>
      <c r="BP1604" s="16"/>
      <c r="BQ1604" s="16"/>
      <c r="BR1604" s="16"/>
      <c r="BS1604" s="16"/>
      <c r="BT1604" s="77"/>
      <c r="BU1604" s="16"/>
      <c r="BV1604" s="16"/>
      <c r="BW1604" s="16"/>
      <c r="BX1604" s="16"/>
      <c r="BY1604" s="16"/>
      <c r="BZ1604" s="16"/>
      <c r="CA1604" s="16"/>
      <c r="CB1604" s="16"/>
      <c r="CC1604" s="16"/>
      <c r="CD1604" s="77"/>
      <c r="CE1604" s="16"/>
      <c r="CF1604" s="16"/>
      <c r="CG1604" s="16"/>
      <c r="CH1604" s="16"/>
      <c r="CI1604" s="16"/>
      <c r="CJ1604" s="16"/>
      <c r="CK1604" s="16"/>
      <c r="CL1604" s="16"/>
      <c r="CM1604" s="16"/>
      <c r="CN1604" s="16"/>
      <c r="CO1604" s="16"/>
      <c r="CP1604" s="16"/>
      <c r="CQ1604" s="16"/>
      <c r="CR1604" s="16"/>
      <c r="CS1604" s="16"/>
      <c r="CT1604" s="16"/>
      <c r="CU1604" s="16"/>
      <c r="CV1604" s="16"/>
      <c r="CW1604" s="16"/>
      <c r="CX1604" s="16"/>
      <c r="CY1604" s="16"/>
      <c r="CZ1604" s="16"/>
      <c r="DA1604" s="16"/>
      <c r="DB1604" s="16"/>
      <c r="DC1604" s="16"/>
      <c r="DD1604" s="16"/>
      <c r="DE1604" s="16"/>
      <c r="DF1604" s="16" t="e">
        <f>VLOOKUP(K1604,'[3]RNA Seq summary tables'!$V$3:$V$99,1,FALSE)</f>
        <v>#N/A</v>
      </c>
      <c r="DG1604" s="16"/>
      <c r="DH1604" s="16"/>
      <c r="DI1604" s="16"/>
      <c r="DJ1604" s="16"/>
      <c r="DK1604" s="16"/>
      <c r="DL1604" s="16"/>
      <c r="DM1604" s="16"/>
      <c r="DN1604" s="16"/>
      <c r="DO1604" s="16"/>
      <c r="DP1604" s="16"/>
      <c r="DQ1604" s="16"/>
      <c r="DR1604" s="16"/>
      <c r="DS1604" s="16"/>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18"/>
      <c r="EQ1604" s="18"/>
      <c r="ER1604" s="18"/>
      <c r="ES1604" s="18"/>
      <c r="ET1604" s="18"/>
      <c r="EU1604" s="18"/>
      <c r="EV1604" s="18"/>
      <c r="EW1604" s="18"/>
      <c r="EX1604" s="18"/>
      <c r="EY1604" s="18"/>
      <c r="EZ1604" s="18"/>
      <c r="FA1604" s="18"/>
      <c r="FB1604" s="18"/>
      <c r="FC1604" s="18"/>
      <c r="FD1604" s="18"/>
      <c r="FE1604" s="18"/>
      <c r="FF1604" s="18"/>
      <c r="FG1604" s="18"/>
      <c r="FH1604" s="18"/>
      <c r="FI1604" s="18"/>
      <c r="FJ1604" s="18"/>
      <c r="FK1604" s="18"/>
      <c r="FL1604" s="18"/>
      <c r="FM1604" s="18"/>
      <c r="FN1604" s="18"/>
      <c r="FO1604" s="18"/>
      <c r="FP1604" s="18"/>
      <c r="FQ1604" s="18"/>
      <c r="FR1604" s="18"/>
      <c r="FS1604" s="18"/>
      <c r="FT1604" s="18"/>
      <c r="FU1604" s="18"/>
      <c r="FV1604" s="18"/>
      <c r="FW1604" s="18"/>
      <c r="FX1604" s="18"/>
      <c r="FY1604" s="18"/>
      <c r="FZ1604" s="18"/>
      <c r="GA1604" s="18"/>
      <c r="GB1604" s="18"/>
      <c r="GC1604" s="18"/>
      <c r="GD1604" s="18"/>
      <c r="GE1604" s="18"/>
      <c r="GF1604" s="18"/>
      <c r="GG1604" s="18"/>
      <c r="GH1604" s="18"/>
      <c r="GI1604" s="18"/>
      <c r="GJ1604" s="18"/>
      <c r="GK1604" s="18"/>
      <c r="GL1604" s="18"/>
      <c r="GM1604" s="18"/>
      <c r="GN1604" s="18"/>
      <c r="GO1604" s="18"/>
      <c r="GP1604" s="18"/>
      <c r="GQ1604" s="18"/>
      <c r="GR1604" s="18"/>
      <c r="GS1604" s="18"/>
      <c r="GT1604" s="18"/>
      <c r="GU1604" s="18"/>
      <c r="GV1604" s="18"/>
      <c r="GW1604" s="18"/>
      <c r="GX1604" s="18"/>
      <c r="GY1604" s="18"/>
      <c r="GZ1604" s="18"/>
      <c r="HA1604" s="18"/>
      <c r="HB1604" s="18"/>
      <c r="HC1604" s="18"/>
      <c r="HD1604" s="18"/>
      <c r="HE1604" s="18"/>
      <c r="HF1604" s="18"/>
      <c r="HG1604" s="18"/>
      <c r="HH1604" s="18"/>
      <c r="HI1604" s="18"/>
      <c r="HJ1604" s="18"/>
      <c r="HK1604" s="18"/>
      <c r="HL1604" s="18"/>
      <c r="HM1604" s="18"/>
      <c r="HN1604" s="18"/>
      <c r="HO1604" s="18"/>
      <c r="HP1604" s="18"/>
      <c r="HQ1604" s="18"/>
      <c r="HR1604" s="18"/>
      <c r="HS1604" s="18"/>
      <c r="HT1604" s="18"/>
      <c r="HU1604" s="18"/>
      <c r="HV1604" s="18"/>
      <c r="HW1604" s="18"/>
      <c r="HX1604" s="18"/>
      <c r="HY1604" s="18"/>
      <c r="HZ1604" s="18"/>
      <c r="IA1604" s="18"/>
      <c r="IB1604" s="18"/>
      <c r="IC1604" s="18"/>
      <c r="ID1604" s="18"/>
      <c r="IE1604" s="18"/>
      <c r="IF1604" s="18"/>
      <c r="IG1604" s="18"/>
      <c r="IH1604" s="18"/>
      <c r="II1604" s="18"/>
      <c r="IJ1604" s="18"/>
      <c r="IK1604" s="18"/>
      <c r="IL1604" s="18"/>
      <c r="IM1604" s="18"/>
      <c r="IN1604" s="18"/>
      <c r="IO1604" s="18"/>
      <c r="IP1604" s="18"/>
      <c r="IQ1604" s="18"/>
      <c r="IR1604" s="18"/>
      <c r="IS1604" s="18"/>
      <c r="IT1604" s="18"/>
      <c r="IU1604" s="18"/>
      <c r="IV1604" s="18"/>
      <c r="IW1604" s="18"/>
      <c r="IX1604" s="18"/>
      <c r="IY1604" s="18"/>
      <c r="IZ1604" s="18"/>
      <c r="JA1604" s="18"/>
      <c r="JB1604" s="18"/>
      <c r="JC1604" s="18"/>
      <c r="JD1604" s="18"/>
      <c r="JE1604" s="18"/>
      <c r="JF1604" s="18"/>
      <c r="JG1604" s="18"/>
      <c r="JH1604" s="18"/>
      <c r="JI1604" s="18"/>
      <c r="JJ1604" s="18"/>
      <c r="JK1604" s="18"/>
      <c r="JL1604" s="18"/>
      <c r="JM1604" s="18"/>
      <c r="JN1604" s="18"/>
      <c r="JO1604" s="16"/>
      <c r="JR1604" s="16"/>
      <c r="JS1604" s="16"/>
      <c r="JT1604" s="16"/>
      <c r="JU1604" s="16"/>
      <c r="JV1604" s="16"/>
      <c r="JW1604" s="16"/>
      <c r="JX1604" s="16"/>
      <c r="JY1604" s="16"/>
      <c r="JZ1604" s="16"/>
      <c r="KA1604" s="16"/>
      <c r="KB1604" s="16"/>
    </row>
    <row r="1605" spans="1:288" s="27" customFormat="1" x14ac:dyDescent="0.2">
      <c r="A1605" s="18"/>
      <c r="B1605" s="16">
        <v>2016</v>
      </c>
      <c r="C1605" s="20">
        <v>42535</v>
      </c>
      <c r="D1605" s="20" t="str">
        <f>CONCATENATE(J1605,"-",C1605)</f>
        <v>963-42535</v>
      </c>
      <c r="E1605" s="20" t="str">
        <f>CONCATENATE(T1605,"-",U1605,"-",C1605)</f>
        <v>HW1-H3-42535</v>
      </c>
      <c r="F1605" s="20" t="s">
        <v>106</v>
      </c>
      <c r="G1605" s="90" t="s">
        <v>278</v>
      </c>
      <c r="H1605" s="16"/>
      <c r="I1605" s="16"/>
      <c r="J1605" s="21">
        <v>963</v>
      </c>
      <c r="K1605" s="21"/>
      <c r="L1605" s="16"/>
      <c r="M1605" s="21"/>
      <c r="N1605" s="21"/>
      <c r="O1605" s="21"/>
      <c r="P1605" s="16"/>
      <c r="Q1605" s="16"/>
      <c r="R1605" s="16"/>
      <c r="S1605" s="16"/>
      <c r="T1605" s="16" t="s">
        <v>133</v>
      </c>
      <c r="U1605" s="16" t="s">
        <v>174</v>
      </c>
      <c r="V1605" s="16"/>
      <c r="W1605" s="16"/>
      <c r="X1605" s="16"/>
      <c r="Y1605" s="16"/>
      <c r="Z1605" s="16"/>
      <c r="AA1605" s="16"/>
      <c r="AB1605" s="16"/>
      <c r="AC1605" s="16"/>
      <c r="AD1605" s="16"/>
      <c r="AE1605" s="16"/>
      <c r="AF1605" s="16"/>
      <c r="AG1605" s="16"/>
      <c r="AH1605" s="16"/>
      <c r="AI1605" s="16"/>
      <c r="AJ1605" s="16"/>
      <c r="AK1605" s="16">
        <v>13</v>
      </c>
      <c r="AL1605" s="16">
        <v>1</v>
      </c>
      <c r="AM1605" s="16">
        <v>0</v>
      </c>
      <c r="AN1605" s="16">
        <v>0</v>
      </c>
      <c r="AO1605" s="16">
        <f>IF(SUM(AL1605:AN1605)&gt;0,1,0)</f>
        <v>1</v>
      </c>
      <c r="AP1605" s="16">
        <f>SUM(AL1605:AN1605)</f>
        <v>1</v>
      </c>
      <c r="AQ1605" s="16"/>
      <c r="AR1605" s="16"/>
      <c r="AS1605" s="16"/>
      <c r="AT1605" s="16"/>
      <c r="AU1605" s="16"/>
      <c r="AV1605" s="16"/>
      <c r="AW1605" s="16"/>
      <c r="AX1605" s="16"/>
      <c r="AY1605" s="16"/>
      <c r="AZ1605" s="16"/>
      <c r="BA1605" s="16"/>
      <c r="BB1605" s="16"/>
      <c r="BC1605" s="16"/>
      <c r="BD1605" s="16"/>
      <c r="BE1605" s="16"/>
      <c r="BF1605" s="16"/>
      <c r="BG1605" s="77"/>
      <c r="BH1605" s="16"/>
      <c r="BI1605" s="16"/>
      <c r="BJ1605" s="16"/>
      <c r="BK1605" s="16"/>
      <c r="BL1605" s="16"/>
      <c r="BM1605" s="16"/>
      <c r="BN1605" s="16"/>
      <c r="BO1605" s="16"/>
      <c r="BP1605" s="16"/>
      <c r="BQ1605" s="16"/>
      <c r="BR1605" s="16"/>
      <c r="BS1605" s="16"/>
      <c r="BT1605" s="77"/>
      <c r="BU1605" s="16"/>
      <c r="BV1605" s="16"/>
      <c r="BW1605" s="16"/>
      <c r="BX1605" s="16"/>
      <c r="BY1605" s="16"/>
      <c r="BZ1605" s="16"/>
      <c r="CA1605" s="16"/>
      <c r="CB1605" s="16"/>
      <c r="CC1605" s="16"/>
      <c r="CD1605" s="77"/>
      <c r="CE1605" s="16"/>
      <c r="CF1605" s="16"/>
      <c r="CG1605" s="16"/>
      <c r="CH1605" s="16"/>
      <c r="CI1605" s="16"/>
      <c r="CJ1605" s="16"/>
      <c r="CK1605" s="16"/>
      <c r="CL1605" s="16"/>
      <c r="CM1605" s="16"/>
      <c r="CN1605" s="16"/>
      <c r="CO1605" s="16"/>
      <c r="CP1605" s="16"/>
      <c r="CQ1605" s="16"/>
      <c r="CR1605" s="16"/>
      <c r="CS1605" s="16"/>
      <c r="CT1605" s="16"/>
      <c r="CU1605" s="16"/>
      <c r="CV1605" s="16"/>
      <c r="CW1605" s="16"/>
      <c r="CX1605" s="16"/>
      <c r="CY1605" s="16"/>
      <c r="CZ1605" s="16"/>
      <c r="DA1605" s="16"/>
      <c r="DB1605" s="16"/>
      <c r="DC1605" s="16"/>
      <c r="DD1605" s="16"/>
      <c r="DE1605" s="16"/>
      <c r="DF1605" s="16" t="e">
        <f>VLOOKUP(K1605,'[3]RNA Seq summary tables'!$V$3:$V$99,1,FALSE)</f>
        <v>#N/A</v>
      </c>
      <c r="DG1605" s="16"/>
      <c r="DH1605" s="16"/>
      <c r="DI1605" s="16"/>
      <c r="DJ1605" s="16"/>
      <c r="DK1605" s="16"/>
      <c r="DL1605" s="16"/>
      <c r="DM1605" s="16"/>
      <c r="DN1605" s="16"/>
      <c r="DO1605" s="16"/>
      <c r="DP1605" s="16"/>
      <c r="DQ1605" s="16"/>
      <c r="DR1605" s="16"/>
      <c r="DS1605" s="16"/>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18"/>
      <c r="EQ1605" s="18"/>
      <c r="ER1605" s="18"/>
      <c r="ES1605" s="18"/>
      <c r="ET1605" s="18"/>
      <c r="EU1605" s="18"/>
      <c r="EV1605" s="18"/>
      <c r="EW1605" s="18"/>
      <c r="EX1605" s="18"/>
      <c r="EY1605" s="18"/>
      <c r="EZ1605" s="18"/>
      <c r="FA1605" s="18"/>
      <c r="FB1605" s="18"/>
      <c r="FC1605" s="18"/>
      <c r="FD1605" s="18"/>
      <c r="FE1605" s="18"/>
      <c r="FF1605" s="18"/>
      <c r="FG1605" s="18"/>
      <c r="FH1605" s="18"/>
      <c r="FI1605" s="18"/>
      <c r="FJ1605" s="18"/>
      <c r="FK1605" s="18"/>
      <c r="FL1605" s="18"/>
      <c r="FM1605" s="18"/>
      <c r="FN1605" s="18"/>
      <c r="FO1605" s="18"/>
      <c r="FP1605" s="18"/>
      <c r="FQ1605" s="18"/>
      <c r="FR1605" s="18"/>
      <c r="FS1605" s="18"/>
      <c r="FT1605" s="18"/>
      <c r="FU1605" s="18"/>
      <c r="FV1605" s="18"/>
      <c r="FW1605" s="18"/>
      <c r="FX1605" s="18"/>
      <c r="FY1605" s="18"/>
      <c r="FZ1605" s="18"/>
      <c r="GA1605" s="18"/>
      <c r="GB1605" s="18"/>
      <c r="GC1605" s="18"/>
      <c r="GD1605" s="18"/>
      <c r="GE1605" s="18"/>
      <c r="GF1605" s="18"/>
      <c r="GG1605" s="18"/>
      <c r="GH1605" s="18"/>
      <c r="GI1605" s="18"/>
      <c r="GJ1605" s="18"/>
      <c r="GK1605" s="18"/>
      <c r="GL1605" s="18"/>
      <c r="GM1605" s="18"/>
      <c r="GN1605" s="18"/>
      <c r="GO1605" s="18"/>
      <c r="GP1605" s="18"/>
      <c r="GQ1605" s="18"/>
      <c r="GR1605" s="18"/>
      <c r="GS1605" s="18"/>
      <c r="GT1605" s="18"/>
      <c r="GU1605" s="18"/>
      <c r="GV1605" s="18"/>
      <c r="GW1605" s="18"/>
      <c r="GX1605" s="18"/>
      <c r="GY1605" s="18"/>
      <c r="GZ1605" s="18"/>
      <c r="HA1605" s="18"/>
      <c r="HB1605" s="18"/>
      <c r="HC1605" s="18"/>
      <c r="HD1605" s="18"/>
      <c r="HE1605" s="18"/>
      <c r="HF1605" s="18"/>
      <c r="HG1605" s="18"/>
      <c r="HH1605" s="18"/>
      <c r="HI1605" s="18"/>
      <c r="HJ1605" s="18"/>
      <c r="HK1605" s="18"/>
      <c r="HL1605" s="18"/>
      <c r="HM1605" s="18"/>
      <c r="HN1605" s="18"/>
      <c r="HO1605" s="18"/>
      <c r="HP1605" s="18"/>
      <c r="HQ1605" s="18"/>
      <c r="HR1605" s="18"/>
      <c r="HS1605" s="18"/>
      <c r="HT1605" s="18"/>
      <c r="HU1605" s="18"/>
      <c r="HV1605" s="18"/>
      <c r="HW1605" s="18"/>
      <c r="HX1605" s="18"/>
      <c r="HY1605" s="18"/>
      <c r="HZ1605" s="18"/>
      <c r="IA1605" s="18"/>
      <c r="IB1605" s="18"/>
      <c r="IC1605" s="18"/>
      <c r="ID1605" s="18"/>
      <c r="IE1605" s="18"/>
      <c r="IF1605" s="18"/>
      <c r="IG1605" s="18"/>
      <c r="IH1605" s="18"/>
      <c r="II1605" s="18"/>
      <c r="IJ1605" s="18"/>
      <c r="IK1605" s="18"/>
      <c r="IL1605" s="18"/>
      <c r="IM1605" s="18"/>
      <c r="IN1605" s="18"/>
      <c r="IO1605" s="18"/>
      <c r="IP1605" s="18"/>
      <c r="IQ1605" s="18"/>
      <c r="IR1605" s="18"/>
      <c r="IS1605" s="18"/>
      <c r="IT1605" s="18"/>
      <c r="IU1605" s="18"/>
      <c r="IV1605" s="18"/>
      <c r="IW1605" s="18"/>
      <c r="IX1605" s="18"/>
      <c r="IY1605" s="18"/>
      <c r="IZ1605" s="18"/>
      <c r="JA1605" s="18"/>
      <c r="JB1605" s="18"/>
      <c r="JC1605" s="18"/>
      <c r="JD1605" s="18"/>
      <c r="JE1605" s="18"/>
      <c r="JF1605" s="18"/>
      <c r="JG1605" s="18"/>
      <c r="JH1605" s="18"/>
      <c r="JI1605" s="18"/>
      <c r="JJ1605" s="18"/>
      <c r="JK1605" s="18"/>
      <c r="JL1605" s="18"/>
      <c r="JM1605" s="18"/>
      <c r="JN1605" s="18"/>
      <c r="JO1605" s="16"/>
      <c r="JP1605" s="16"/>
      <c r="JQ1605" s="16"/>
      <c r="JR1605" s="16"/>
      <c r="JS1605" s="16"/>
      <c r="JT1605" s="16"/>
      <c r="JU1605" s="16"/>
      <c r="JV1605" s="16"/>
      <c r="JW1605" s="16"/>
      <c r="JX1605" s="16"/>
      <c r="JY1605" s="16"/>
      <c r="JZ1605" s="16"/>
      <c r="KA1605" s="16"/>
      <c r="KB1605" s="16"/>
    </row>
    <row r="1606" spans="1:288" s="27" customFormat="1" x14ac:dyDescent="0.2">
      <c r="A1606" s="18"/>
      <c r="B1606" s="16">
        <v>2016</v>
      </c>
      <c r="C1606" s="20">
        <v>42536</v>
      </c>
      <c r="D1606" s="20" t="str">
        <f>CONCATENATE(J1606,"-",C1606)</f>
        <v>963-42536</v>
      </c>
      <c r="E1606" s="20" t="str">
        <f>CONCATENATE(T1606,"-",U1606,"-",C1606)</f>
        <v>HW1-H4-42536</v>
      </c>
      <c r="F1606" s="20" t="s">
        <v>106</v>
      </c>
      <c r="G1606" s="90" t="s">
        <v>278</v>
      </c>
      <c r="H1606" s="16"/>
      <c r="I1606" s="16"/>
      <c r="J1606" s="21">
        <v>963</v>
      </c>
      <c r="K1606" s="21"/>
      <c r="L1606" s="16"/>
      <c r="M1606" s="21"/>
      <c r="N1606" s="21"/>
      <c r="O1606" s="21"/>
      <c r="P1606" s="16"/>
      <c r="Q1606" s="16"/>
      <c r="R1606" s="16"/>
      <c r="S1606" s="16"/>
      <c r="T1606" s="16" t="s">
        <v>133</v>
      </c>
      <c r="U1606" s="16" t="s">
        <v>151</v>
      </c>
      <c r="V1606" s="16"/>
      <c r="W1606" s="16"/>
      <c r="X1606" s="16" t="s">
        <v>115</v>
      </c>
      <c r="Y1606" s="16" t="s">
        <v>110</v>
      </c>
      <c r="Z1606" s="16">
        <v>3</v>
      </c>
      <c r="AA1606" s="16"/>
      <c r="AB1606" s="16"/>
      <c r="AC1606" s="16"/>
      <c r="AD1606" s="16"/>
      <c r="AE1606" s="16" t="s">
        <v>123</v>
      </c>
      <c r="AF1606" s="16" t="s">
        <v>123</v>
      </c>
      <c r="AG1606" s="16"/>
      <c r="AH1606" s="16"/>
      <c r="AI1606" s="16"/>
      <c r="AJ1606" s="16"/>
      <c r="AK1606" s="16">
        <v>11.5</v>
      </c>
      <c r="AL1606" s="16">
        <v>0</v>
      </c>
      <c r="AM1606" s="16">
        <v>0</v>
      </c>
      <c r="AN1606" s="16">
        <v>0</v>
      </c>
      <c r="AO1606" s="16">
        <f>IF(SUM(AL1606:AN1606)&gt;0,1,0)</f>
        <v>0</v>
      </c>
      <c r="AP1606" s="16">
        <f>SUM(AL1606:AN1606)</f>
        <v>0</v>
      </c>
      <c r="AQ1606" s="16"/>
      <c r="AR1606" s="16"/>
      <c r="AS1606" s="16"/>
      <c r="AT1606" s="16"/>
      <c r="AU1606" s="16"/>
      <c r="AV1606" s="16"/>
      <c r="AW1606" s="16"/>
      <c r="AX1606" s="16"/>
      <c r="AY1606" s="16"/>
      <c r="AZ1606" s="16"/>
      <c r="BA1606" s="16"/>
      <c r="BB1606" s="16"/>
      <c r="BC1606" s="16"/>
      <c r="BD1606" s="16"/>
      <c r="BE1606" s="16"/>
      <c r="BF1606" s="16"/>
      <c r="BG1606" s="77"/>
      <c r="BH1606" s="16"/>
      <c r="BI1606" s="16"/>
      <c r="BJ1606" s="16"/>
      <c r="BK1606" s="16"/>
      <c r="BL1606" s="16"/>
      <c r="BM1606" s="16"/>
      <c r="BN1606" s="16"/>
      <c r="BO1606" s="16"/>
      <c r="BP1606" s="16"/>
      <c r="BQ1606" s="16"/>
      <c r="BR1606" s="16"/>
      <c r="BS1606" s="16"/>
      <c r="BT1606" s="77"/>
      <c r="BU1606" s="16"/>
      <c r="BV1606" s="16"/>
      <c r="BW1606" s="16"/>
      <c r="BX1606" s="16"/>
      <c r="BY1606" s="16"/>
      <c r="BZ1606" s="16"/>
      <c r="CA1606" s="16"/>
      <c r="CB1606" s="16"/>
      <c r="CC1606" s="16"/>
      <c r="CD1606" s="77"/>
      <c r="CE1606" s="16"/>
      <c r="CF1606" s="16"/>
      <c r="CG1606" s="16"/>
      <c r="CH1606" s="16"/>
      <c r="CI1606" s="16"/>
      <c r="CJ1606" s="16"/>
      <c r="CK1606" s="16"/>
      <c r="CL1606" s="16"/>
      <c r="CM1606" s="16"/>
      <c r="CN1606" s="16"/>
      <c r="CO1606" s="16"/>
      <c r="CP1606" s="16"/>
      <c r="CQ1606" s="16"/>
      <c r="CR1606" s="16"/>
      <c r="CS1606" s="16"/>
      <c r="CT1606" s="16"/>
      <c r="CU1606" s="16"/>
      <c r="CV1606" s="16"/>
      <c r="CW1606" s="16"/>
      <c r="CX1606" s="16"/>
      <c r="CY1606" s="16"/>
      <c r="CZ1606" s="16"/>
      <c r="DA1606" s="16"/>
      <c r="DB1606" s="16"/>
      <c r="DC1606" s="16"/>
      <c r="DD1606" s="16"/>
      <c r="DE1606" s="16"/>
      <c r="DF1606" s="16" t="e">
        <f>VLOOKUP(K1606,'[3]RNA Seq summary tables'!$V$3:$V$99,1,FALSE)</f>
        <v>#N/A</v>
      </c>
      <c r="DG1606" s="16"/>
      <c r="DH1606" s="16"/>
      <c r="DI1606" s="16"/>
      <c r="DJ1606" s="16"/>
      <c r="DK1606" s="16"/>
      <c r="DL1606" s="16"/>
      <c r="DM1606" s="16"/>
      <c r="DN1606" s="16"/>
      <c r="DO1606" s="16"/>
      <c r="DP1606" s="16"/>
      <c r="DQ1606" s="16"/>
      <c r="DR1606" s="16"/>
      <c r="DS1606" s="16"/>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18"/>
      <c r="EQ1606" s="18"/>
      <c r="ER1606" s="18"/>
      <c r="ES1606" s="18"/>
      <c r="ET1606" s="18"/>
      <c r="EU1606" s="18"/>
      <c r="EV1606" s="18"/>
      <c r="EW1606" s="18"/>
      <c r="EX1606" s="18"/>
      <c r="EY1606" s="18"/>
      <c r="EZ1606" s="18"/>
      <c r="FA1606" s="18"/>
      <c r="FB1606" s="18"/>
      <c r="FC1606" s="18"/>
      <c r="FD1606" s="18"/>
      <c r="FE1606" s="18"/>
      <c r="FF1606" s="18"/>
      <c r="FG1606" s="18"/>
      <c r="FH1606" s="18"/>
      <c r="FI1606" s="18"/>
      <c r="FJ1606" s="18"/>
      <c r="FK1606" s="18"/>
      <c r="FL1606" s="18"/>
      <c r="FM1606" s="18"/>
      <c r="FN1606" s="18"/>
      <c r="FO1606" s="18"/>
      <c r="FP1606" s="18"/>
      <c r="FQ1606" s="18"/>
      <c r="FR1606" s="18"/>
      <c r="FS1606" s="18"/>
      <c r="FT1606" s="18"/>
      <c r="FU1606" s="18"/>
      <c r="FV1606" s="18"/>
      <c r="FW1606" s="18"/>
      <c r="FX1606" s="18"/>
      <c r="FY1606" s="18"/>
      <c r="FZ1606" s="18"/>
      <c r="GA1606" s="18"/>
      <c r="GB1606" s="18"/>
      <c r="GC1606" s="18"/>
      <c r="GD1606" s="18"/>
      <c r="GE1606" s="18"/>
      <c r="GF1606" s="18"/>
      <c r="GG1606" s="18"/>
      <c r="GH1606" s="18"/>
      <c r="GI1606" s="18"/>
      <c r="GJ1606" s="18"/>
      <c r="GK1606" s="18"/>
      <c r="GL1606" s="18"/>
      <c r="GM1606" s="18"/>
      <c r="GN1606" s="18"/>
      <c r="GO1606" s="18"/>
      <c r="GP1606" s="18"/>
      <c r="GQ1606" s="18"/>
      <c r="GR1606" s="18"/>
      <c r="GS1606" s="18"/>
      <c r="GT1606" s="18"/>
      <c r="GU1606" s="18"/>
      <c r="GV1606" s="18"/>
      <c r="GW1606" s="18"/>
      <c r="GX1606" s="18"/>
      <c r="GY1606" s="18"/>
      <c r="GZ1606" s="18"/>
      <c r="HA1606" s="18"/>
      <c r="HB1606" s="18"/>
      <c r="HC1606" s="18"/>
      <c r="HD1606" s="18"/>
      <c r="HE1606" s="18"/>
      <c r="HF1606" s="18"/>
      <c r="HG1606" s="18"/>
      <c r="HH1606" s="18"/>
      <c r="HI1606" s="18"/>
      <c r="HJ1606" s="18"/>
      <c r="HK1606" s="18"/>
      <c r="HL1606" s="18"/>
      <c r="HM1606" s="18"/>
      <c r="HN1606" s="18"/>
      <c r="HO1606" s="18"/>
      <c r="HP1606" s="18"/>
      <c r="HQ1606" s="18"/>
      <c r="HR1606" s="18"/>
      <c r="HS1606" s="18"/>
      <c r="HT1606" s="18"/>
      <c r="HU1606" s="18"/>
      <c r="HV1606" s="18"/>
      <c r="HW1606" s="18"/>
      <c r="HX1606" s="18"/>
      <c r="HY1606" s="18"/>
      <c r="HZ1606" s="18"/>
      <c r="IA1606" s="18"/>
      <c r="IB1606" s="18"/>
      <c r="IC1606" s="18"/>
      <c r="ID1606" s="18"/>
      <c r="IE1606" s="18"/>
      <c r="IF1606" s="18"/>
      <c r="IG1606" s="18"/>
      <c r="IH1606" s="18"/>
      <c r="II1606" s="18"/>
      <c r="IJ1606" s="18"/>
      <c r="IK1606" s="18"/>
      <c r="IL1606" s="18"/>
      <c r="IM1606" s="18"/>
      <c r="IN1606" s="18"/>
      <c r="IO1606" s="18"/>
      <c r="IP1606" s="18"/>
      <c r="IQ1606" s="18"/>
      <c r="IR1606" s="18"/>
      <c r="IS1606" s="18"/>
      <c r="IT1606" s="18"/>
      <c r="IU1606" s="18"/>
      <c r="IV1606" s="18"/>
      <c r="IW1606" s="18"/>
      <c r="IX1606" s="18"/>
      <c r="IY1606" s="18"/>
      <c r="IZ1606" s="18"/>
      <c r="JA1606" s="18"/>
      <c r="JB1606" s="18"/>
      <c r="JC1606" s="18"/>
      <c r="JD1606" s="18"/>
      <c r="JE1606" s="18"/>
      <c r="JF1606" s="18"/>
      <c r="JG1606" s="18"/>
      <c r="JH1606" s="18"/>
      <c r="JI1606" s="18"/>
      <c r="JJ1606" s="18"/>
      <c r="JK1606" s="18"/>
      <c r="JL1606" s="18"/>
      <c r="JM1606" s="18"/>
      <c r="JN1606" s="18"/>
      <c r="JO1606" s="16"/>
      <c r="JP1606" s="16"/>
      <c r="JQ1606" s="16"/>
      <c r="JR1606" s="16"/>
      <c r="JS1606" s="16"/>
      <c r="JT1606" s="16"/>
      <c r="JU1606" s="16"/>
      <c r="JV1606" s="16"/>
      <c r="JW1606" s="16"/>
      <c r="JX1606" s="16"/>
      <c r="JY1606" s="16"/>
      <c r="JZ1606" s="16"/>
      <c r="KA1606" s="16"/>
      <c r="KB1606" s="16"/>
    </row>
    <row r="1607" spans="1:288" s="27" customFormat="1" x14ac:dyDescent="0.2">
      <c r="A1607" s="18"/>
      <c r="B1607" s="16">
        <v>2016</v>
      </c>
      <c r="C1607" s="20">
        <v>42536</v>
      </c>
      <c r="D1607" s="20" t="str">
        <f>CONCATENATE(J1607,"-",C1607)</f>
        <v>964-42536</v>
      </c>
      <c r="E1607" s="20" t="str">
        <f>CONCATENATE(T1607,"-",U1607,"-",C1607)</f>
        <v>HW1-H5-42536</v>
      </c>
      <c r="F1607" s="20" t="s">
        <v>106</v>
      </c>
      <c r="G1607" s="90" t="s">
        <v>278</v>
      </c>
      <c r="H1607" s="16"/>
      <c r="I1607" s="16"/>
      <c r="J1607" s="21">
        <v>964</v>
      </c>
      <c r="K1607" s="21"/>
      <c r="L1607" s="16"/>
      <c r="M1607" s="21"/>
      <c r="N1607" s="21"/>
      <c r="O1607" s="21"/>
      <c r="P1607" s="16"/>
      <c r="Q1607" s="16"/>
      <c r="R1607" s="16"/>
      <c r="S1607" s="16"/>
      <c r="T1607" s="16" t="s">
        <v>133</v>
      </c>
      <c r="U1607" s="16" t="s">
        <v>180</v>
      </c>
      <c r="V1607" s="16"/>
      <c r="W1607" s="16"/>
      <c r="X1607" s="16" t="s">
        <v>121</v>
      </c>
      <c r="Y1607" s="16" t="s">
        <v>110</v>
      </c>
      <c r="Z1607" s="16">
        <v>3</v>
      </c>
      <c r="AA1607" s="16" t="s">
        <v>161</v>
      </c>
      <c r="AB1607" s="16" t="s">
        <v>123</v>
      </c>
      <c r="AC1607" s="16" t="s">
        <v>123</v>
      </c>
      <c r="AD1607" s="16" t="s">
        <v>116</v>
      </c>
      <c r="AE1607" s="16"/>
      <c r="AF1607" s="16"/>
      <c r="AG1607" s="16"/>
      <c r="AH1607" s="16"/>
      <c r="AI1607" s="16"/>
      <c r="AJ1607" s="16"/>
      <c r="AK1607" s="16">
        <v>14</v>
      </c>
      <c r="AL1607" s="16">
        <v>0</v>
      </c>
      <c r="AM1607" s="16">
        <v>0</v>
      </c>
      <c r="AN1607" s="16">
        <v>0</v>
      </c>
      <c r="AO1607" s="16">
        <f>IF(SUM(AL1607:AN1607)&gt;0,1,0)</f>
        <v>0</v>
      </c>
      <c r="AP1607" s="16">
        <f>SUM(AL1607:AN1607)</f>
        <v>0</v>
      </c>
      <c r="AQ1607" s="16"/>
      <c r="AR1607" s="16"/>
      <c r="AS1607" s="16"/>
      <c r="AT1607" s="16"/>
      <c r="AU1607" s="16"/>
      <c r="AV1607" s="16"/>
      <c r="AW1607" s="16"/>
      <c r="AX1607" s="16"/>
      <c r="AY1607" s="16"/>
      <c r="AZ1607" s="16"/>
      <c r="BA1607" s="16"/>
      <c r="BB1607" s="16"/>
      <c r="BC1607" s="16"/>
      <c r="BD1607" s="16"/>
      <c r="BE1607" s="16"/>
      <c r="BF1607" s="16"/>
      <c r="BG1607" s="77"/>
      <c r="BH1607" s="16"/>
      <c r="BI1607" s="16"/>
      <c r="BJ1607" s="16"/>
      <c r="BK1607" s="16"/>
      <c r="BL1607" s="16"/>
      <c r="BM1607" s="16"/>
      <c r="BN1607" s="16"/>
      <c r="BO1607" s="16"/>
      <c r="BP1607" s="16"/>
      <c r="BQ1607" s="16"/>
      <c r="BR1607" s="16"/>
      <c r="BS1607" s="16"/>
      <c r="BT1607" s="77"/>
      <c r="BU1607" s="16"/>
      <c r="BV1607" s="16"/>
      <c r="BW1607" s="16"/>
      <c r="BX1607" s="16"/>
      <c r="BY1607" s="16"/>
      <c r="BZ1607" s="16"/>
      <c r="CA1607" s="16"/>
      <c r="CB1607" s="16"/>
      <c r="CC1607" s="16"/>
      <c r="CD1607" s="77"/>
      <c r="CE1607" s="16"/>
      <c r="CF1607" s="16"/>
      <c r="CG1607" s="16"/>
      <c r="CH1607" s="16"/>
      <c r="CI1607" s="16"/>
      <c r="CJ1607" s="16"/>
      <c r="CK1607" s="16"/>
      <c r="CL1607" s="16"/>
      <c r="CM1607" s="16"/>
      <c r="CN1607" s="16"/>
      <c r="CO1607" s="16"/>
      <c r="CP1607" s="16"/>
      <c r="CQ1607" s="16"/>
      <c r="CR1607" s="16"/>
      <c r="CS1607" s="16"/>
      <c r="CT1607" s="16"/>
      <c r="CU1607" s="16"/>
      <c r="CV1607" s="16"/>
      <c r="CW1607" s="16"/>
      <c r="CX1607" s="16"/>
      <c r="CY1607" s="16"/>
      <c r="CZ1607" s="16"/>
      <c r="DA1607" s="16"/>
      <c r="DB1607" s="16"/>
      <c r="DC1607" s="16"/>
      <c r="DD1607" s="16"/>
      <c r="DE1607" s="16"/>
      <c r="DF1607" s="16" t="e">
        <f>VLOOKUP(K1607,'[3]RNA Seq summary tables'!$V$3:$V$99,1,FALSE)</f>
        <v>#N/A</v>
      </c>
      <c r="DG1607" s="16"/>
      <c r="DH1607" s="16"/>
      <c r="DI1607" s="16"/>
      <c r="DJ1607" s="16"/>
      <c r="DK1607" s="16"/>
      <c r="DL1607" s="16"/>
      <c r="DM1607" s="16"/>
      <c r="DN1607" s="16"/>
      <c r="DO1607" s="16"/>
      <c r="DP1607" s="16"/>
      <c r="DQ1607" s="16"/>
      <c r="DR1607" s="16"/>
      <c r="DS1607" s="16"/>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18"/>
      <c r="EQ1607" s="18"/>
      <c r="ER1607" s="18"/>
      <c r="ES1607" s="18"/>
      <c r="ET1607" s="18"/>
      <c r="EU1607" s="18"/>
      <c r="EV1607" s="18"/>
      <c r="EW1607" s="18"/>
      <c r="EX1607" s="18"/>
      <c r="EY1607" s="18"/>
      <c r="EZ1607" s="18"/>
      <c r="FA1607" s="18"/>
      <c r="FB1607" s="18"/>
      <c r="FC1607" s="18"/>
      <c r="FD1607" s="18"/>
      <c r="FE1607" s="18"/>
      <c r="FF1607" s="18"/>
      <c r="FG1607" s="18"/>
      <c r="FH1607" s="18"/>
      <c r="FI1607" s="18"/>
      <c r="FJ1607" s="18"/>
      <c r="FK1607" s="18"/>
      <c r="FL1607" s="18"/>
      <c r="FM1607" s="18"/>
      <c r="FN1607" s="18"/>
      <c r="FO1607" s="18"/>
      <c r="FP1607" s="18"/>
      <c r="FQ1607" s="18"/>
      <c r="FR1607" s="18"/>
      <c r="FS1607" s="18"/>
      <c r="FT1607" s="18"/>
      <c r="FU1607" s="18"/>
      <c r="FV1607" s="18"/>
      <c r="FW1607" s="18"/>
      <c r="FX1607" s="18"/>
      <c r="FY1607" s="18"/>
      <c r="FZ1607" s="18"/>
      <c r="GA1607" s="18"/>
      <c r="GB1607" s="18"/>
      <c r="GC1607" s="18"/>
      <c r="GD1607" s="18"/>
      <c r="GE1607" s="18"/>
      <c r="GF1607" s="18"/>
      <c r="GG1607" s="18"/>
      <c r="GH1607" s="18"/>
      <c r="GI1607" s="18"/>
      <c r="GJ1607" s="18"/>
      <c r="GK1607" s="18"/>
      <c r="GL1607" s="18"/>
      <c r="GM1607" s="18"/>
      <c r="GN1607" s="18"/>
      <c r="GO1607" s="18"/>
      <c r="GP1607" s="18"/>
      <c r="GQ1607" s="18"/>
      <c r="GR1607" s="18"/>
      <c r="GS1607" s="18"/>
      <c r="GT1607" s="18"/>
      <c r="GU1607" s="18"/>
      <c r="GV1607" s="18"/>
      <c r="GW1607" s="18"/>
      <c r="GX1607" s="18"/>
      <c r="GY1607" s="18"/>
      <c r="GZ1607" s="18"/>
      <c r="HA1607" s="18"/>
      <c r="HB1607" s="18"/>
      <c r="HC1607" s="18"/>
      <c r="HD1607" s="18"/>
      <c r="HE1607" s="18"/>
      <c r="HF1607" s="18"/>
      <c r="HG1607" s="18"/>
      <c r="HH1607" s="18"/>
      <c r="HI1607" s="18"/>
      <c r="HJ1607" s="18"/>
      <c r="HK1607" s="18"/>
      <c r="HL1607" s="18"/>
      <c r="HM1607" s="18"/>
      <c r="HN1607" s="18"/>
      <c r="HO1607" s="18"/>
      <c r="HP1607" s="18"/>
      <c r="HQ1607" s="18"/>
      <c r="HR1607" s="18"/>
      <c r="HS1607" s="18"/>
      <c r="HT1607" s="18"/>
      <c r="HU1607" s="18"/>
      <c r="HV1607" s="18"/>
      <c r="HW1607" s="18"/>
      <c r="HX1607" s="18"/>
      <c r="HY1607" s="18"/>
      <c r="HZ1607" s="18"/>
      <c r="IA1607" s="18"/>
      <c r="IB1607" s="18"/>
      <c r="IC1607" s="18"/>
      <c r="ID1607" s="18"/>
      <c r="IE1607" s="18"/>
      <c r="IF1607" s="18"/>
      <c r="IG1607" s="18"/>
      <c r="IH1607" s="18"/>
      <c r="II1607" s="18"/>
      <c r="IJ1607" s="18"/>
      <c r="IK1607" s="18"/>
      <c r="IL1607" s="18"/>
      <c r="IM1607" s="18"/>
      <c r="IN1607" s="18"/>
      <c r="IO1607" s="18"/>
      <c r="IP1607" s="18"/>
      <c r="IQ1607" s="18"/>
      <c r="IR1607" s="18"/>
      <c r="IS1607" s="18"/>
      <c r="IT1607" s="18"/>
      <c r="IU1607" s="18"/>
      <c r="IV1607" s="18"/>
      <c r="IW1607" s="18"/>
      <c r="IX1607" s="18"/>
      <c r="IY1607" s="18"/>
      <c r="IZ1607" s="18"/>
      <c r="JA1607" s="18"/>
      <c r="JB1607" s="18"/>
      <c r="JC1607" s="18"/>
      <c r="JD1607" s="18"/>
      <c r="JE1607" s="18"/>
      <c r="JF1607" s="18"/>
      <c r="JG1607" s="18"/>
      <c r="JH1607" s="18"/>
      <c r="JI1607" s="18"/>
      <c r="JJ1607" s="18"/>
      <c r="JK1607" s="18"/>
      <c r="JL1607" s="18"/>
      <c r="JM1607" s="18"/>
      <c r="JN1607" s="18"/>
      <c r="JO1607" s="16"/>
      <c r="JP1607" s="16"/>
      <c r="JQ1607" s="16"/>
      <c r="JR1607" s="16"/>
      <c r="JS1607" s="16"/>
      <c r="JT1607" s="16"/>
      <c r="JU1607" s="16"/>
      <c r="JV1607" s="16"/>
      <c r="JW1607" s="16"/>
      <c r="JX1607" s="16"/>
      <c r="JY1607" s="16"/>
      <c r="JZ1607" s="16"/>
      <c r="KA1607" s="16"/>
      <c r="KB1607" s="16"/>
    </row>
    <row r="1608" spans="1:288" s="27" customFormat="1" x14ac:dyDescent="0.2">
      <c r="A1608" s="18"/>
      <c r="B1608" s="16">
        <v>2016</v>
      </c>
      <c r="C1608" s="20">
        <v>42550</v>
      </c>
      <c r="D1608" s="20" t="str">
        <f>CONCATENATE(J1608,"-",C1608)</f>
        <v>964-42550</v>
      </c>
      <c r="E1608" s="20" t="str">
        <f>CONCATENATE(T1608,"-",U1608,"-",C1608)</f>
        <v>HW1-H6-42550</v>
      </c>
      <c r="F1608" s="20" t="s">
        <v>106</v>
      </c>
      <c r="G1608" s="90" t="s">
        <v>278</v>
      </c>
      <c r="H1608" s="16"/>
      <c r="I1608" s="16"/>
      <c r="J1608" s="21">
        <v>964</v>
      </c>
      <c r="K1608" s="21"/>
      <c r="L1608" s="16"/>
      <c r="M1608" s="21"/>
      <c r="N1608" s="21"/>
      <c r="O1608" s="21"/>
      <c r="P1608" s="16"/>
      <c r="Q1608" s="16"/>
      <c r="R1608" s="16"/>
      <c r="S1608" s="16"/>
      <c r="T1608" s="16" t="s">
        <v>133</v>
      </c>
      <c r="U1608" s="16" t="s">
        <v>141</v>
      </c>
      <c r="V1608" s="16"/>
      <c r="W1608" s="16"/>
      <c r="X1608" s="16" t="s">
        <v>121</v>
      </c>
      <c r="Y1608" s="16" t="s">
        <v>110</v>
      </c>
      <c r="Z1608" s="16">
        <v>3</v>
      </c>
      <c r="AA1608" s="16"/>
      <c r="AB1608" s="16"/>
      <c r="AC1608" s="16"/>
      <c r="AD1608" s="16"/>
      <c r="AE1608" s="16"/>
      <c r="AF1608" s="16"/>
      <c r="AG1608" s="16"/>
      <c r="AH1608" s="16"/>
      <c r="AI1608" s="16"/>
      <c r="AJ1608" s="16"/>
      <c r="AK1608" s="16">
        <v>16.5</v>
      </c>
      <c r="AL1608" s="16">
        <v>0</v>
      </c>
      <c r="AM1608" s="16">
        <v>0</v>
      </c>
      <c r="AN1608" s="16">
        <v>0</v>
      </c>
      <c r="AO1608" s="16">
        <f>IF(SUM(AL1608:AN1608)&gt;0,1,0)</f>
        <v>0</v>
      </c>
      <c r="AP1608" s="16">
        <f>SUM(AL1608:AN1608)</f>
        <v>0</v>
      </c>
      <c r="AQ1608" s="16"/>
      <c r="AR1608" s="16"/>
      <c r="AS1608" s="16"/>
      <c r="AT1608" s="16"/>
      <c r="AU1608" s="16"/>
      <c r="AV1608" s="16"/>
      <c r="AW1608" s="16"/>
      <c r="AX1608" s="16"/>
      <c r="AY1608" s="16"/>
      <c r="AZ1608" s="16"/>
      <c r="BA1608" s="16"/>
      <c r="BB1608" s="16"/>
      <c r="BC1608" s="16"/>
      <c r="BD1608" s="16"/>
      <c r="BE1608" s="16"/>
      <c r="BF1608" s="16"/>
      <c r="BG1608" s="77"/>
      <c r="BH1608" s="16"/>
      <c r="BI1608" s="16"/>
      <c r="BJ1608" s="16"/>
      <c r="BK1608" s="16"/>
      <c r="BL1608" s="16"/>
      <c r="BM1608" s="16"/>
      <c r="BN1608" s="16"/>
      <c r="BO1608" s="16"/>
      <c r="BP1608" s="16"/>
      <c r="BQ1608" s="16"/>
      <c r="BR1608" s="16"/>
      <c r="BS1608" s="16"/>
      <c r="BT1608" s="77"/>
      <c r="BU1608" s="16"/>
      <c r="BV1608" s="16"/>
      <c r="BW1608" s="16"/>
      <c r="BX1608" s="16"/>
      <c r="BY1608" s="16"/>
      <c r="BZ1608" s="16"/>
      <c r="CA1608" s="16"/>
      <c r="CB1608" s="16"/>
      <c r="CC1608" s="16"/>
      <c r="CD1608" s="77"/>
      <c r="CE1608" s="16"/>
      <c r="CF1608" s="16"/>
      <c r="CG1608" s="16"/>
      <c r="CH1608" s="16"/>
      <c r="CI1608" s="16"/>
      <c r="CJ1608" s="16"/>
      <c r="CK1608" s="16"/>
      <c r="CL1608" s="16"/>
      <c r="CM1608" s="16"/>
      <c r="CN1608" s="16"/>
      <c r="CO1608" s="16"/>
      <c r="CP1608" s="16"/>
      <c r="CQ1608" s="16"/>
      <c r="CR1608" s="16"/>
      <c r="CS1608" s="16"/>
      <c r="CT1608" s="16"/>
      <c r="CU1608" s="16"/>
      <c r="CV1608" s="16"/>
      <c r="CW1608" s="16"/>
      <c r="CX1608" s="16"/>
      <c r="CY1608" s="16"/>
      <c r="CZ1608" s="16"/>
      <c r="DA1608" s="16"/>
      <c r="DB1608" s="16"/>
      <c r="DC1608" s="16"/>
      <c r="DD1608" s="16"/>
      <c r="DE1608" s="16"/>
      <c r="DF1608" s="16" t="e">
        <f>VLOOKUP(K1608,'[3]RNA Seq summary tables'!$V$3:$V$99,1,FALSE)</f>
        <v>#N/A</v>
      </c>
      <c r="DG1608" s="16"/>
      <c r="DH1608" s="16"/>
      <c r="DI1608" s="16"/>
      <c r="DJ1608" s="16"/>
      <c r="DK1608" s="16"/>
      <c r="DL1608" s="16"/>
      <c r="DM1608" s="16"/>
      <c r="DN1608" s="16"/>
      <c r="DO1608" s="16"/>
      <c r="DP1608" s="16"/>
      <c r="DQ1608" s="16"/>
      <c r="DR1608" s="16"/>
      <c r="DS1608" s="16"/>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18"/>
      <c r="EQ1608" s="18"/>
      <c r="ER1608" s="18"/>
      <c r="ES1608" s="18"/>
      <c r="ET1608" s="18"/>
      <c r="EU1608" s="18"/>
      <c r="EV1608" s="18"/>
      <c r="EW1608" s="18"/>
      <c r="EX1608" s="18"/>
      <c r="EY1608" s="18"/>
      <c r="EZ1608" s="18"/>
      <c r="FA1608" s="18"/>
      <c r="FB1608" s="18"/>
      <c r="FC1608" s="18"/>
      <c r="FD1608" s="18"/>
      <c r="FE1608" s="18"/>
      <c r="FF1608" s="18"/>
      <c r="FG1608" s="18"/>
      <c r="FH1608" s="18"/>
      <c r="FI1608" s="18"/>
      <c r="FJ1608" s="18"/>
      <c r="FK1608" s="18"/>
      <c r="FL1608" s="18"/>
      <c r="FM1608" s="18"/>
      <c r="FN1608" s="18"/>
      <c r="FO1608" s="18"/>
      <c r="FP1608" s="18"/>
      <c r="FQ1608" s="18"/>
      <c r="FR1608" s="18"/>
      <c r="FS1608" s="18"/>
      <c r="FT1608" s="18"/>
      <c r="FU1608" s="18"/>
      <c r="FV1608" s="18"/>
      <c r="FW1608" s="18"/>
      <c r="FX1608" s="18"/>
      <c r="FY1608" s="18"/>
      <c r="FZ1608" s="18"/>
      <c r="GA1608" s="18"/>
      <c r="GB1608" s="18"/>
      <c r="GC1608" s="18"/>
      <c r="GD1608" s="18"/>
      <c r="GE1608" s="18"/>
      <c r="GF1608" s="18"/>
      <c r="GG1608" s="18"/>
      <c r="GH1608" s="18"/>
      <c r="GI1608" s="18"/>
      <c r="GJ1608" s="18"/>
      <c r="GK1608" s="18"/>
      <c r="GL1608" s="18"/>
      <c r="GM1608" s="18"/>
      <c r="GN1608" s="18"/>
      <c r="GO1608" s="18"/>
      <c r="GP1608" s="18"/>
      <c r="GQ1608" s="18"/>
      <c r="GR1608" s="18"/>
      <c r="GS1608" s="18"/>
      <c r="GT1608" s="18"/>
      <c r="GU1608" s="18"/>
      <c r="GV1608" s="18"/>
      <c r="GW1608" s="18"/>
      <c r="GX1608" s="18"/>
      <c r="GY1608" s="18"/>
      <c r="GZ1608" s="18"/>
      <c r="HA1608" s="18"/>
      <c r="HB1608" s="18"/>
      <c r="HC1608" s="18"/>
      <c r="HD1608" s="18"/>
      <c r="HE1608" s="18"/>
      <c r="HF1608" s="18"/>
      <c r="HG1608" s="18"/>
      <c r="HH1608" s="18"/>
      <c r="HI1608" s="18"/>
      <c r="HJ1608" s="18"/>
      <c r="HK1608" s="18"/>
      <c r="HL1608" s="18"/>
      <c r="HM1608" s="18"/>
      <c r="HN1608" s="18"/>
      <c r="HO1608" s="18"/>
      <c r="HP1608" s="18"/>
      <c r="HQ1608" s="18"/>
      <c r="HR1608" s="18"/>
      <c r="HS1608" s="18"/>
      <c r="HT1608" s="18"/>
      <c r="HU1608" s="18"/>
      <c r="HV1608" s="18"/>
      <c r="HW1608" s="18"/>
      <c r="HX1608" s="18"/>
      <c r="HY1608" s="18"/>
      <c r="HZ1608" s="18"/>
      <c r="IA1608" s="18"/>
      <c r="IB1608" s="18"/>
      <c r="IC1608" s="18"/>
      <c r="ID1608" s="18"/>
      <c r="IE1608" s="18"/>
      <c r="IF1608" s="18"/>
      <c r="IG1608" s="18"/>
      <c r="IH1608" s="18"/>
      <c r="II1608" s="18"/>
      <c r="IJ1608" s="18"/>
      <c r="IK1608" s="18"/>
      <c r="IL1608" s="18"/>
      <c r="IM1608" s="18"/>
      <c r="IN1608" s="18"/>
      <c r="IO1608" s="18"/>
      <c r="IP1608" s="18"/>
      <c r="IQ1608" s="18"/>
      <c r="IR1608" s="18"/>
      <c r="IS1608" s="18"/>
      <c r="IT1608" s="18"/>
      <c r="IU1608" s="18"/>
      <c r="IV1608" s="18"/>
      <c r="IW1608" s="18"/>
      <c r="IX1608" s="18"/>
      <c r="IY1608" s="18"/>
      <c r="IZ1608" s="18"/>
      <c r="JA1608" s="18"/>
      <c r="JB1608" s="18"/>
      <c r="JC1608" s="18"/>
      <c r="JD1608" s="18"/>
      <c r="JE1608" s="18"/>
      <c r="JF1608" s="18"/>
      <c r="JG1608" s="18"/>
      <c r="JH1608" s="18"/>
      <c r="JI1608" s="18"/>
      <c r="JJ1608" s="18"/>
      <c r="JK1608" s="18"/>
      <c r="JL1608" s="18"/>
      <c r="JM1608" s="18"/>
      <c r="JN1608" s="18"/>
      <c r="JO1608" s="16"/>
      <c r="JP1608" s="16"/>
      <c r="JQ1608" s="16"/>
      <c r="JR1608" s="16"/>
      <c r="JS1608" s="16"/>
      <c r="JT1608" s="16"/>
      <c r="JU1608" s="16"/>
      <c r="JV1608" s="16"/>
      <c r="JW1608" s="16"/>
      <c r="JX1608" s="16"/>
      <c r="JY1608" s="16"/>
      <c r="JZ1608" s="16"/>
      <c r="KA1608" s="16"/>
      <c r="KB1608" s="16"/>
    </row>
    <row r="1609" spans="1:288" s="27" customFormat="1" x14ac:dyDescent="0.2">
      <c r="A1609" s="18"/>
      <c r="B1609" s="16">
        <v>2016</v>
      </c>
      <c r="C1609" s="20">
        <v>42538</v>
      </c>
      <c r="D1609" s="20" t="str">
        <f>CONCATENATE(J1609,"-",C1609)</f>
        <v>967-42538</v>
      </c>
      <c r="E1609" s="20" t="str">
        <f>CONCATENATE(T1609,"-",U1609,"-",C1609)</f>
        <v>SP1-A5-42538</v>
      </c>
      <c r="F1609" s="20" t="s">
        <v>106</v>
      </c>
      <c r="G1609" s="90" t="s">
        <v>278</v>
      </c>
      <c r="H1609" s="16"/>
      <c r="I1609" s="16"/>
      <c r="J1609" s="21">
        <v>967</v>
      </c>
      <c r="K1609" s="21"/>
      <c r="L1609" s="16"/>
      <c r="M1609" s="21"/>
      <c r="N1609" s="21"/>
      <c r="O1609" s="21"/>
      <c r="P1609" s="16"/>
      <c r="Q1609" s="16"/>
      <c r="R1609" s="16"/>
      <c r="S1609" s="16"/>
      <c r="T1609" s="16" t="s">
        <v>140</v>
      </c>
      <c r="U1609" s="16" t="s">
        <v>167</v>
      </c>
      <c r="V1609" s="16" t="s">
        <v>142</v>
      </c>
      <c r="W1609" s="16"/>
      <c r="X1609" s="16" t="s">
        <v>121</v>
      </c>
      <c r="Y1609" s="16"/>
      <c r="Z1609" s="16"/>
      <c r="AA1609" s="16"/>
      <c r="AB1609" s="16"/>
      <c r="AC1609" s="16"/>
      <c r="AD1609" s="16"/>
      <c r="AE1609" s="16"/>
      <c r="AF1609" s="16"/>
      <c r="AG1609" s="16"/>
      <c r="AH1609" s="16"/>
      <c r="AI1609" s="16"/>
      <c r="AJ1609" s="16"/>
      <c r="AK1609" s="16">
        <v>15.5</v>
      </c>
      <c r="AL1609" s="16"/>
      <c r="AM1609" s="16"/>
      <c r="AN1609" s="16"/>
      <c r="AO1609" s="16"/>
      <c r="AP1609" s="16"/>
      <c r="AQ1609" s="16"/>
      <c r="AR1609" s="16"/>
      <c r="AS1609" s="16"/>
      <c r="AT1609" s="16"/>
      <c r="AU1609" s="16"/>
      <c r="AV1609" s="16"/>
      <c r="AW1609" s="16"/>
      <c r="AX1609" s="16"/>
      <c r="AY1609" s="16"/>
      <c r="AZ1609" s="16"/>
      <c r="BA1609" s="16"/>
      <c r="BB1609" s="16"/>
      <c r="BC1609" s="16"/>
      <c r="BD1609" s="16"/>
      <c r="BE1609" s="16"/>
      <c r="BF1609" s="16"/>
      <c r="BG1609" s="77"/>
      <c r="BH1609" s="16"/>
      <c r="BI1609" s="16"/>
      <c r="BJ1609" s="16"/>
      <c r="BK1609" s="16"/>
      <c r="BL1609" s="16"/>
      <c r="BM1609" s="16"/>
      <c r="BN1609" s="16"/>
      <c r="BO1609" s="16"/>
      <c r="BP1609" s="16"/>
      <c r="BQ1609" s="16"/>
      <c r="BR1609" s="16"/>
      <c r="BS1609" s="16"/>
      <c r="BT1609" s="77"/>
      <c r="BU1609" s="16"/>
      <c r="BV1609" s="16"/>
      <c r="BW1609" s="16"/>
      <c r="BX1609" s="16"/>
      <c r="BY1609" s="16"/>
      <c r="BZ1609" s="16"/>
      <c r="CA1609" s="16"/>
      <c r="CB1609" s="16"/>
      <c r="CC1609" s="16"/>
      <c r="CD1609" s="77"/>
      <c r="CE1609" s="16"/>
      <c r="CF1609" s="16"/>
      <c r="CG1609" s="16"/>
      <c r="CH1609" s="16"/>
      <c r="CI1609" s="16"/>
      <c r="CJ1609" s="16"/>
      <c r="CK1609" s="16"/>
      <c r="CL1609" s="16"/>
      <c r="CM1609" s="16"/>
      <c r="CN1609" s="16"/>
      <c r="CO1609" s="16"/>
      <c r="CP1609" s="16"/>
      <c r="CQ1609" s="16"/>
      <c r="CR1609" s="16"/>
      <c r="CS1609" s="16"/>
      <c r="CT1609" s="16"/>
      <c r="CU1609" s="16"/>
      <c r="CV1609" s="16"/>
      <c r="CW1609" s="16"/>
      <c r="CX1609" s="16"/>
      <c r="CY1609" s="16"/>
      <c r="CZ1609" s="16"/>
      <c r="DA1609" s="16"/>
      <c r="DB1609" s="16"/>
      <c r="DC1609" s="16"/>
      <c r="DD1609" s="16"/>
      <c r="DE1609" s="16"/>
      <c r="DF1609" s="16" t="e">
        <f>VLOOKUP(K1609,'[3]RNA Seq summary tables'!$V$3:$V$99,1,FALSE)</f>
        <v>#N/A</v>
      </c>
      <c r="DG1609" s="16"/>
      <c r="DH1609" s="16"/>
      <c r="DI1609" s="16"/>
      <c r="DJ1609" s="16"/>
      <c r="DK1609" s="16"/>
      <c r="DL1609" s="16"/>
      <c r="DM1609" s="16"/>
      <c r="DN1609" s="16"/>
      <c r="DO1609" s="16"/>
      <c r="DP1609" s="16"/>
      <c r="DQ1609" s="16"/>
      <c r="DR1609" s="16"/>
      <c r="DS1609" s="16"/>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18"/>
      <c r="EQ1609" s="18"/>
      <c r="ER1609" s="18"/>
      <c r="ES1609" s="18"/>
      <c r="ET1609" s="18"/>
      <c r="EU1609" s="18"/>
      <c r="EV1609" s="18"/>
      <c r="EW1609" s="18"/>
      <c r="EX1609" s="18"/>
      <c r="EY1609" s="18"/>
      <c r="EZ1609" s="18"/>
      <c r="FA1609" s="18"/>
      <c r="FB1609" s="18"/>
      <c r="FC1609" s="18"/>
      <c r="FD1609" s="18"/>
      <c r="FE1609" s="18"/>
      <c r="FF1609" s="18"/>
      <c r="FG1609" s="18"/>
      <c r="FH1609" s="18"/>
      <c r="FI1609" s="18"/>
      <c r="FJ1609" s="18"/>
      <c r="FK1609" s="18"/>
      <c r="FL1609" s="18"/>
      <c r="FM1609" s="18"/>
      <c r="FN1609" s="18"/>
      <c r="FO1609" s="18"/>
      <c r="FP1609" s="18"/>
      <c r="FQ1609" s="18"/>
      <c r="FR1609" s="18"/>
      <c r="FS1609" s="18"/>
      <c r="FT1609" s="18"/>
      <c r="FU1609" s="18"/>
      <c r="FV1609" s="18"/>
      <c r="FW1609" s="18"/>
      <c r="FX1609" s="18"/>
      <c r="FY1609" s="18"/>
      <c r="FZ1609" s="18"/>
      <c r="GA1609" s="18"/>
      <c r="GB1609" s="18"/>
      <c r="GC1609" s="18"/>
      <c r="GD1609" s="18"/>
      <c r="GE1609" s="18"/>
      <c r="GF1609" s="18"/>
      <c r="GG1609" s="18"/>
      <c r="GH1609" s="18"/>
      <c r="GI1609" s="18"/>
      <c r="GJ1609" s="18"/>
      <c r="GK1609" s="18"/>
      <c r="GL1609" s="18"/>
      <c r="GM1609" s="18"/>
      <c r="GN1609" s="18"/>
      <c r="GO1609" s="18"/>
      <c r="GP1609" s="18"/>
      <c r="GQ1609" s="18"/>
      <c r="GR1609" s="18"/>
      <c r="GS1609" s="18"/>
      <c r="GT1609" s="18"/>
      <c r="GU1609" s="18"/>
      <c r="GV1609" s="18"/>
      <c r="GW1609" s="18"/>
      <c r="GX1609" s="18"/>
      <c r="GY1609" s="18"/>
      <c r="GZ1609" s="18"/>
      <c r="HA1609" s="18"/>
      <c r="HB1609" s="18"/>
      <c r="HC1609" s="18"/>
      <c r="HD1609" s="18"/>
      <c r="HE1609" s="18"/>
      <c r="HF1609" s="18"/>
      <c r="HG1609" s="18"/>
      <c r="HH1609" s="18"/>
      <c r="HI1609" s="18"/>
      <c r="HJ1609" s="18"/>
      <c r="HK1609" s="18"/>
      <c r="HL1609" s="18"/>
      <c r="HM1609" s="18"/>
      <c r="HN1609" s="18"/>
      <c r="HO1609" s="18"/>
      <c r="HP1609" s="18"/>
      <c r="HQ1609" s="18"/>
      <c r="HR1609" s="18"/>
      <c r="HS1609" s="18"/>
      <c r="HT1609" s="18"/>
      <c r="HU1609" s="18"/>
      <c r="HV1609" s="18"/>
      <c r="HW1609" s="18"/>
      <c r="HX1609" s="18"/>
      <c r="HY1609" s="18"/>
      <c r="HZ1609" s="18"/>
      <c r="IA1609" s="18"/>
      <c r="IB1609" s="18"/>
      <c r="IC1609" s="18"/>
      <c r="ID1609" s="18"/>
      <c r="IE1609" s="18"/>
      <c r="IF1609" s="18"/>
      <c r="IG1609" s="18"/>
      <c r="IH1609" s="18"/>
      <c r="II1609" s="18"/>
      <c r="IJ1609" s="18"/>
      <c r="IK1609" s="18"/>
      <c r="IL1609" s="18"/>
      <c r="IM1609" s="18"/>
      <c r="IN1609" s="18"/>
      <c r="IO1609" s="18"/>
      <c r="IP1609" s="18"/>
      <c r="IQ1609" s="18"/>
      <c r="IR1609" s="18"/>
      <c r="IS1609" s="18"/>
      <c r="IT1609" s="18"/>
      <c r="IU1609" s="18"/>
      <c r="IV1609" s="18"/>
      <c r="IW1609" s="18"/>
      <c r="IX1609" s="18"/>
      <c r="IY1609" s="18"/>
      <c r="IZ1609" s="18"/>
      <c r="JA1609" s="18"/>
      <c r="JB1609" s="18"/>
      <c r="JC1609" s="18"/>
      <c r="JD1609" s="18"/>
      <c r="JE1609" s="18"/>
      <c r="JF1609" s="18"/>
      <c r="JG1609" s="18"/>
      <c r="JH1609" s="18"/>
      <c r="JI1609" s="18"/>
      <c r="JJ1609" s="18"/>
      <c r="JK1609" s="18"/>
      <c r="JL1609" s="18"/>
      <c r="JM1609" s="18"/>
      <c r="JN1609" s="18"/>
      <c r="JO1609" s="16"/>
      <c r="JP1609" s="16"/>
      <c r="JQ1609" s="16"/>
      <c r="JR1609" s="16"/>
      <c r="JS1609" s="16"/>
      <c r="JT1609" s="16"/>
      <c r="JU1609" s="16"/>
      <c r="JV1609" s="16"/>
      <c r="JW1609" s="16"/>
      <c r="JX1609" s="16"/>
      <c r="JY1609" s="16"/>
      <c r="JZ1609" s="16"/>
      <c r="KA1609" s="16"/>
      <c r="KB1609" s="16"/>
    </row>
    <row r="1610" spans="1:288" s="27" customFormat="1" x14ac:dyDescent="0.2">
      <c r="A1610" s="18"/>
      <c r="B1610" s="16">
        <v>2016</v>
      </c>
      <c r="C1610" s="20">
        <v>42538</v>
      </c>
      <c r="D1610" s="20" t="str">
        <f>CONCATENATE(J1610,"-",C1610)</f>
        <v>968-42538</v>
      </c>
      <c r="E1610" s="20" t="str">
        <f>CONCATENATE(T1610,"-",U1610,"-",C1610)</f>
        <v>SP1-E5-42538</v>
      </c>
      <c r="F1610" s="20" t="s">
        <v>106</v>
      </c>
      <c r="G1610" s="90" t="s">
        <v>278</v>
      </c>
      <c r="H1610" s="16"/>
      <c r="I1610" s="16"/>
      <c r="J1610" s="21">
        <v>968</v>
      </c>
      <c r="K1610" s="21"/>
      <c r="L1610" s="16"/>
      <c r="M1610" s="21"/>
      <c r="N1610" s="21"/>
      <c r="O1610" s="21"/>
      <c r="P1610" s="16"/>
      <c r="Q1610" s="16"/>
      <c r="R1610" s="16"/>
      <c r="S1610" s="16"/>
      <c r="T1610" s="16" t="s">
        <v>140</v>
      </c>
      <c r="U1610" s="16" t="s">
        <v>158</v>
      </c>
      <c r="V1610" s="16" t="s">
        <v>142</v>
      </c>
      <c r="W1610" s="16"/>
      <c r="X1610" s="16"/>
      <c r="Y1610" s="16"/>
      <c r="Z1610" s="16"/>
      <c r="AA1610" s="16"/>
      <c r="AB1610" s="16"/>
      <c r="AC1610" s="16"/>
      <c r="AD1610" s="16"/>
      <c r="AE1610" s="16"/>
      <c r="AF1610" s="16"/>
      <c r="AG1610" s="16"/>
      <c r="AH1610" s="16"/>
      <c r="AI1610" s="16"/>
      <c r="AJ1610" s="16"/>
      <c r="AK1610" s="16">
        <v>14</v>
      </c>
      <c r="AL1610" s="16"/>
      <c r="AM1610" s="16"/>
      <c r="AN1610" s="16"/>
      <c r="AO1610" s="16"/>
      <c r="AP1610" s="16"/>
      <c r="AQ1610" s="16"/>
      <c r="AR1610" s="16"/>
      <c r="AS1610" s="16"/>
      <c r="AT1610" s="16"/>
      <c r="AU1610" s="16"/>
      <c r="AV1610" s="16"/>
      <c r="AW1610" s="16"/>
      <c r="AX1610" s="16"/>
      <c r="AY1610" s="16"/>
      <c r="AZ1610" s="16"/>
      <c r="BA1610" s="16"/>
      <c r="BB1610" s="16"/>
      <c r="BC1610" s="16"/>
      <c r="BD1610" s="16"/>
      <c r="BE1610" s="16"/>
      <c r="BF1610" s="16"/>
      <c r="BG1610" s="77"/>
      <c r="BH1610" s="16"/>
      <c r="BI1610" s="16"/>
      <c r="BJ1610" s="16"/>
      <c r="BK1610" s="16"/>
      <c r="BL1610" s="16"/>
      <c r="BM1610" s="16"/>
      <c r="BN1610" s="16"/>
      <c r="BO1610" s="16"/>
      <c r="BP1610" s="16"/>
      <c r="BQ1610" s="16"/>
      <c r="BR1610" s="16"/>
      <c r="BS1610" s="16"/>
      <c r="BT1610" s="77"/>
      <c r="BU1610" s="16"/>
      <c r="BV1610" s="16"/>
      <c r="BW1610" s="16"/>
      <c r="BX1610" s="16"/>
      <c r="BY1610" s="16"/>
      <c r="BZ1610" s="16"/>
      <c r="CA1610" s="16"/>
      <c r="CB1610" s="16"/>
      <c r="CC1610" s="16"/>
      <c r="CD1610" s="77"/>
      <c r="CE1610" s="16"/>
      <c r="CF1610" s="16"/>
      <c r="CG1610" s="16"/>
      <c r="CH1610" s="16"/>
      <c r="CI1610" s="16"/>
      <c r="CJ1610" s="16"/>
      <c r="CK1610" s="16"/>
      <c r="CL1610" s="16"/>
      <c r="CM1610" s="16"/>
      <c r="CN1610" s="16"/>
      <c r="CO1610" s="16"/>
      <c r="CP1610" s="16"/>
      <c r="CQ1610" s="16"/>
      <c r="CR1610" s="16"/>
      <c r="CS1610" s="16"/>
      <c r="CT1610" s="16"/>
      <c r="CU1610" s="16"/>
      <c r="CV1610" s="16"/>
      <c r="CW1610" s="16"/>
      <c r="CX1610" s="16"/>
      <c r="CY1610" s="16"/>
      <c r="CZ1610" s="16"/>
      <c r="DA1610" s="16"/>
      <c r="DB1610" s="16"/>
      <c r="DC1610" s="16"/>
      <c r="DD1610" s="16"/>
      <c r="DE1610" s="16"/>
      <c r="DF1610" s="16" t="e">
        <f>VLOOKUP(K1610,'[3]RNA Seq summary tables'!$V$3:$V$99,1,FALSE)</f>
        <v>#N/A</v>
      </c>
      <c r="DG1610" s="16"/>
      <c r="DH1610" s="16"/>
      <c r="DI1610" s="16"/>
      <c r="DJ1610" s="16"/>
      <c r="DK1610" s="16"/>
      <c r="DL1610" s="16"/>
      <c r="DM1610" s="16"/>
      <c r="DN1610" s="16"/>
      <c r="DO1610" s="16"/>
      <c r="DP1610" s="16"/>
      <c r="DQ1610" s="16"/>
      <c r="DR1610" s="16"/>
      <c r="DS1610" s="16"/>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18"/>
      <c r="EQ1610" s="18"/>
      <c r="ER1610" s="18"/>
      <c r="ES1610" s="18"/>
      <c r="ET1610" s="18"/>
      <c r="EU1610" s="18"/>
      <c r="EV1610" s="18"/>
      <c r="EW1610" s="18"/>
      <c r="EX1610" s="18"/>
      <c r="EY1610" s="18"/>
      <c r="EZ1610" s="18"/>
      <c r="FA1610" s="18"/>
      <c r="FB1610" s="18"/>
      <c r="FC1610" s="18"/>
      <c r="FD1610" s="18"/>
      <c r="FE1610" s="18"/>
      <c r="FF1610" s="18"/>
      <c r="FG1610" s="18"/>
      <c r="FH1610" s="18"/>
      <c r="FI1610" s="18"/>
      <c r="FJ1610" s="18"/>
      <c r="FK1610" s="18"/>
      <c r="FL1610" s="18"/>
      <c r="FM1610" s="18"/>
      <c r="FN1610" s="18"/>
      <c r="FO1610" s="18"/>
      <c r="FP1610" s="18"/>
      <c r="FQ1610" s="18"/>
      <c r="FR1610" s="18"/>
      <c r="FS1610" s="18"/>
      <c r="FT1610" s="18"/>
      <c r="FU1610" s="18"/>
      <c r="FV1610" s="18"/>
      <c r="FW1610" s="18"/>
      <c r="FX1610" s="18"/>
      <c r="FY1610" s="18"/>
      <c r="FZ1610" s="18"/>
      <c r="GA1610" s="18"/>
      <c r="GB1610" s="18"/>
      <c r="GC1610" s="18"/>
      <c r="GD1610" s="18"/>
      <c r="GE1610" s="18"/>
      <c r="GF1610" s="18"/>
      <c r="GG1610" s="18"/>
      <c r="GH1610" s="18"/>
      <c r="GI1610" s="18"/>
      <c r="GJ1610" s="18"/>
      <c r="GK1610" s="18"/>
      <c r="GL1610" s="18"/>
      <c r="GM1610" s="18"/>
      <c r="GN1610" s="18"/>
      <c r="GO1610" s="18"/>
      <c r="GP1610" s="18"/>
      <c r="GQ1610" s="18"/>
      <c r="GR1610" s="18"/>
      <c r="GS1610" s="18"/>
      <c r="GT1610" s="18"/>
      <c r="GU1610" s="18"/>
      <c r="GV1610" s="18"/>
      <c r="GW1610" s="18"/>
      <c r="GX1610" s="18"/>
      <c r="GY1610" s="18"/>
      <c r="GZ1610" s="18"/>
      <c r="HA1610" s="18"/>
      <c r="HB1610" s="18"/>
      <c r="HC1610" s="18"/>
      <c r="HD1610" s="18"/>
      <c r="HE1610" s="18"/>
      <c r="HF1610" s="18"/>
      <c r="HG1610" s="18"/>
      <c r="HH1610" s="18"/>
      <c r="HI1610" s="18"/>
      <c r="HJ1610" s="18"/>
      <c r="HK1610" s="18"/>
      <c r="HL1610" s="18"/>
      <c r="HM1610" s="18"/>
      <c r="HN1610" s="18"/>
      <c r="HO1610" s="18"/>
      <c r="HP1610" s="18"/>
      <c r="HQ1610" s="18"/>
      <c r="HR1610" s="18"/>
      <c r="HS1610" s="18"/>
      <c r="HT1610" s="18"/>
      <c r="HU1610" s="18"/>
      <c r="HV1610" s="18"/>
      <c r="HW1610" s="18"/>
      <c r="HX1610" s="18"/>
      <c r="HY1610" s="18"/>
      <c r="HZ1610" s="18"/>
      <c r="IA1610" s="18"/>
      <c r="IB1610" s="18"/>
      <c r="IC1610" s="18"/>
      <c r="ID1610" s="18"/>
      <c r="IE1610" s="18"/>
      <c r="IF1610" s="18"/>
      <c r="IG1610" s="18"/>
      <c r="IH1610" s="18"/>
      <c r="II1610" s="18"/>
      <c r="IJ1610" s="18"/>
      <c r="IK1610" s="18"/>
      <c r="IL1610" s="18"/>
      <c r="IM1610" s="18"/>
      <c r="IN1610" s="18"/>
      <c r="IO1610" s="18"/>
      <c r="IP1610" s="18"/>
      <c r="IQ1610" s="18"/>
      <c r="IR1610" s="18"/>
      <c r="IS1610" s="18"/>
      <c r="IT1610" s="18"/>
      <c r="IU1610" s="18"/>
      <c r="IV1610" s="18"/>
      <c r="IW1610" s="18"/>
      <c r="IX1610" s="18"/>
      <c r="IY1610" s="18"/>
      <c r="IZ1610" s="18"/>
      <c r="JA1610" s="18"/>
      <c r="JB1610" s="18"/>
      <c r="JC1610" s="18"/>
      <c r="JD1610" s="18"/>
      <c r="JE1610" s="18"/>
      <c r="JF1610" s="18"/>
      <c r="JG1610" s="18"/>
      <c r="JH1610" s="18"/>
      <c r="JI1610" s="18"/>
      <c r="JJ1610" s="18"/>
      <c r="JK1610" s="18"/>
      <c r="JL1610" s="18"/>
      <c r="JM1610" s="18"/>
      <c r="JN1610" s="18"/>
      <c r="JO1610" s="16"/>
      <c r="JP1610" s="16"/>
      <c r="JQ1610" s="16"/>
      <c r="JR1610" s="16"/>
      <c r="JS1610" s="16"/>
      <c r="JT1610" s="16"/>
      <c r="JU1610" s="16"/>
      <c r="JV1610" s="16"/>
      <c r="JW1610" s="16"/>
      <c r="JX1610" s="16"/>
      <c r="JY1610" s="16"/>
      <c r="JZ1610" s="16"/>
      <c r="KA1610" s="16"/>
      <c r="KB1610" s="16"/>
    </row>
    <row r="1611" spans="1:288" s="27" customFormat="1" x14ac:dyDescent="0.2">
      <c r="A1611" s="18"/>
      <c r="B1611" s="16">
        <v>2016</v>
      </c>
      <c r="C1611" s="20">
        <v>42539</v>
      </c>
      <c r="D1611" s="20" t="str">
        <f>CONCATENATE(J1611,"-",C1611)</f>
        <v>968-42539</v>
      </c>
      <c r="E1611" s="20" t="str">
        <f>CONCATENATE(T1611,"-",U1611,"-",C1611)</f>
        <v>SP1-F4-42539</v>
      </c>
      <c r="F1611" s="20" t="s">
        <v>106</v>
      </c>
      <c r="G1611" s="90" t="s">
        <v>278</v>
      </c>
      <c r="H1611" s="16" t="s">
        <v>279</v>
      </c>
      <c r="I1611" s="16"/>
      <c r="J1611" s="21">
        <v>968</v>
      </c>
      <c r="K1611" s="21"/>
      <c r="L1611" s="16"/>
      <c r="M1611" s="21"/>
      <c r="N1611" s="21"/>
      <c r="O1611" s="21"/>
      <c r="P1611" s="16"/>
      <c r="Q1611" s="16"/>
      <c r="R1611" s="16"/>
      <c r="S1611" s="16"/>
      <c r="T1611" s="16" t="s">
        <v>140</v>
      </c>
      <c r="U1611" s="16" t="s">
        <v>184</v>
      </c>
      <c r="V1611" s="16" t="s">
        <v>142</v>
      </c>
      <c r="W1611" s="16"/>
      <c r="X1611" s="16" t="s">
        <v>115</v>
      </c>
      <c r="Y1611" s="16" t="s">
        <v>110</v>
      </c>
      <c r="Z1611" s="16">
        <v>3</v>
      </c>
      <c r="AA1611" s="16"/>
      <c r="AB1611" s="16"/>
      <c r="AC1611" s="16"/>
      <c r="AD1611" s="16"/>
      <c r="AE1611" s="16" t="s">
        <v>123</v>
      </c>
      <c r="AF1611" s="16" t="s">
        <v>123</v>
      </c>
      <c r="AG1611" s="16"/>
      <c r="AH1611" s="16"/>
      <c r="AI1611" s="16"/>
      <c r="AJ1611" s="16"/>
      <c r="AK1611" s="16">
        <v>15</v>
      </c>
      <c r="AL1611" s="16">
        <v>0</v>
      </c>
      <c r="AM1611" s="16">
        <v>0</v>
      </c>
      <c r="AN1611" s="16">
        <v>0</v>
      </c>
      <c r="AO1611" s="16">
        <f>IF(SUM(AL1611:AN1611)&gt;0,1,0)</f>
        <v>0</v>
      </c>
      <c r="AP1611" s="16">
        <f>SUM(AL1611:AN1611)</f>
        <v>0</v>
      </c>
      <c r="AQ1611" s="16"/>
      <c r="AR1611" s="16"/>
      <c r="AS1611" s="16"/>
      <c r="AT1611" s="16"/>
      <c r="AU1611" s="16"/>
      <c r="AV1611" s="16"/>
      <c r="AW1611" s="16"/>
      <c r="AX1611" s="16"/>
      <c r="AY1611" s="16"/>
      <c r="AZ1611" s="16"/>
      <c r="BA1611" s="16"/>
      <c r="BB1611" s="16"/>
      <c r="BC1611" s="16"/>
      <c r="BD1611" s="16"/>
      <c r="BE1611" s="16"/>
      <c r="BF1611" s="16"/>
      <c r="BG1611" s="77"/>
      <c r="BH1611" s="16"/>
      <c r="BI1611" s="16"/>
      <c r="BJ1611" s="16"/>
      <c r="BK1611" s="16"/>
      <c r="BL1611" s="16"/>
      <c r="BM1611" s="16"/>
      <c r="BN1611" s="16"/>
      <c r="BO1611" s="16"/>
      <c r="BP1611" s="16"/>
      <c r="BQ1611" s="16"/>
      <c r="BR1611" s="16"/>
      <c r="BS1611" s="16"/>
      <c r="BT1611" s="77"/>
      <c r="BU1611" s="16"/>
      <c r="BV1611" s="16"/>
      <c r="BW1611" s="16"/>
      <c r="BX1611" s="16"/>
      <c r="BY1611" s="16"/>
      <c r="BZ1611" s="16"/>
      <c r="CA1611" s="16"/>
      <c r="CB1611" s="16"/>
      <c r="CC1611" s="16"/>
      <c r="CD1611" s="77"/>
      <c r="CE1611" s="16"/>
      <c r="CF1611" s="16"/>
      <c r="CG1611" s="16"/>
      <c r="CH1611" s="16"/>
      <c r="CI1611" s="16"/>
      <c r="CJ1611" s="16"/>
      <c r="CK1611" s="16"/>
      <c r="CL1611" s="16"/>
      <c r="CM1611" s="16"/>
      <c r="CN1611" s="16"/>
      <c r="CO1611" s="16"/>
      <c r="CP1611" s="16"/>
      <c r="CQ1611" s="16"/>
      <c r="CR1611" s="16"/>
      <c r="CS1611" s="16"/>
      <c r="CT1611" s="16"/>
      <c r="CU1611" s="16"/>
      <c r="CV1611" s="16"/>
      <c r="CW1611" s="16"/>
      <c r="CX1611" s="16"/>
      <c r="CY1611" s="16"/>
      <c r="CZ1611" s="16"/>
      <c r="DA1611" s="16"/>
      <c r="DB1611" s="16"/>
      <c r="DC1611" s="16"/>
      <c r="DD1611" s="16"/>
      <c r="DE1611" s="16"/>
      <c r="DF1611" s="16" t="e">
        <f>VLOOKUP(K1611,'[3]RNA Seq summary tables'!$V$3:$V$99,1,FALSE)</f>
        <v>#N/A</v>
      </c>
      <c r="DG1611" s="16"/>
      <c r="DH1611" s="16"/>
      <c r="DI1611" s="16"/>
      <c r="DJ1611" s="16"/>
      <c r="DK1611" s="16"/>
      <c r="DL1611" s="16"/>
      <c r="DM1611" s="16"/>
      <c r="DN1611" s="16"/>
      <c r="DO1611" s="16"/>
      <c r="DP1611" s="16"/>
      <c r="DQ1611" s="16"/>
      <c r="DR1611" s="16"/>
      <c r="DS1611" s="16"/>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18"/>
      <c r="EQ1611" s="18"/>
      <c r="ER1611" s="18"/>
      <c r="ES1611" s="18"/>
      <c r="ET1611" s="18"/>
      <c r="EU1611" s="18"/>
      <c r="EV1611" s="18"/>
      <c r="EW1611" s="18"/>
      <c r="EX1611" s="18"/>
      <c r="EY1611" s="18"/>
      <c r="EZ1611" s="18"/>
      <c r="FA1611" s="18"/>
      <c r="FB1611" s="18"/>
      <c r="FC1611" s="18"/>
      <c r="FD1611" s="18"/>
      <c r="FE1611" s="18"/>
      <c r="FF1611" s="18"/>
      <c r="FG1611" s="18"/>
      <c r="FH1611" s="18"/>
      <c r="FI1611" s="18"/>
      <c r="FJ1611" s="18"/>
      <c r="FK1611" s="18"/>
      <c r="FL1611" s="18"/>
      <c r="FM1611" s="18"/>
      <c r="FN1611" s="18"/>
      <c r="FO1611" s="18"/>
      <c r="FP1611" s="18"/>
      <c r="FQ1611" s="18"/>
      <c r="FR1611" s="18"/>
      <c r="FS1611" s="18"/>
      <c r="FT1611" s="18"/>
      <c r="FU1611" s="18"/>
      <c r="FV1611" s="18"/>
      <c r="FW1611" s="18"/>
      <c r="FX1611" s="18"/>
      <c r="FY1611" s="18"/>
      <c r="FZ1611" s="18"/>
      <c r="GA1611" s="18"/>
      <c r="GB1611" s="18"/>
      <c r="GC1611" s="18"/>
      <c r="GD1611" s="18"/>
      <c r="GE1611" s="18"/>
      <c r="GF1611" s="18"/>
      <c r="GG1611" s="18"/>
      <c r="GH1611" s="18"/>
      <c r="GI1611" s="18"/>
      <c r="GJ1611" s="18"/>
      <c r="GK1611" s="18"/>
      <c r="GL1611" s="18"/>
      <c r="GM1611" s="18"/>
      <c r="GN1611" s="18"/>
      <c r="GO1611" s="18"/>
      <c r="GP1611" s="18"/>
      <c r="GQ1611" s="18"/>
      <c r="GR1611" s="18"/>
      <c r="GS1611" s="18"/>
      <c r="GT1611" s="18"/>
      <c r="GU1611" s="18"/>
      <c r="GV1611" s="18"/>
      <c r="GW1611" s="18"/>
      <c r="GX1611" s="18"/>
      <c r="GY1611" s="18"/>
      <c r="GZ1611" s="18"/>
      <c r="HA1611" s="18"/>
      <c r="HB1611" s="18"/>
      <c r="HC1611" s="18"/>
      <c r="HD1611" s="18"/>
      <c r="HE1611" s="18"/>
      <c r="HF1611" s="18"/>
      <c r="HG1611" s="18"/>
      <c r="HH1611" s="18"/>
      <c r="HI1611" s="18"/>
      <c r="HJ1611" s="18"/>
      <c r="HK1611" s="18"/>
      <c r="HL1611" s="18"/>
      <c r="HM1611" s="18"/>
      <c r="HN1611" s="18"/>
      <c r="HO1611" s="18"/>
      <c r="HP1611" s="18"/>
      <c r="HQ1611" s="18"/>
      <c r="HR1611" s="18"/>
      <c r="HS1611" s="18"/>
      <c r="HT1611" s="18"/>
      <c r="HU1611" s="18"/>
      <c r="HV1611" s="18"/>
      <c r="HW1611" s="18"/>
      <c r="HX1611" s="18"/>
      <c r="HY1611" s="18"/>
      <c r="HZ1611" s="18"/>
      <c r="IA1611" s="18"/>
      <c r="IB1611" s="18"/>
      <c r="IC1611" s="18"/>
      <c r="ID1611" s="18"/>
      <c r="IE1611" s="18"/>
      <c r="IF1611" s="18"/>
      <c r="IG1611" s="18"/>
      <c r="IH1611" s="18"/>
      <c r="II1611" s="18"/>
      <c r="IJ1611" s="18"/>
      <c r="IK1611" s="18"/>
      <c r="IL1611" s="18"/>
      <c r="IM1611" s="18"/>
      <c r="IN1611" s="18"/>
      <c r="IO1611" s="18"/>
      <c r="IP1611" s="18"/>
      <c r="IQ1611" s="18"/>
      <c r="IR1611" s="18"/>
      <c r="IS1611" s="18"/>
      <c r="IT1611" s="18"/>
      <c r="IU1611" s="18"/>
      <c r="IV1611" s="18"/>
      <c r="IW1611" s="18"/>
      <c r="IX1611" s="18"/>
      <c r="IY1611" s="18"/>
      <c r="IZ1611" s="18"/>
      <c r="JA1611" s="18"/>
      <c r="JB1611" s="18"/>
      <c r="JC1611" s="18"/>
      <c r="JD1611" s="18"/>
      <c r="JE1611" s="18"/>
      <c r="JF1611" s="18"/>
      <c r="JG1611" s="18"/>
      <c r="JH1611" s="18"/>
      <c r="JI1611" s="18"/>
      <c r="JJ1611" s="18"/>
      <c r="JK1611" s="18"/>
      <c r="JL1611" s="18"/>
      <c r="JM1611" s="18"/>
      <c r="JN1611" s="18"/>
      <c r="JO1611" s="16"/>
      <c r="JP1611" s="16"/>
      <c r="JQ1611" s="16"/>
      <c r="JR1611" s="38"/>
      <c r="JS1611" s="38"/>
      <c r="JT1611" s="38"/>
      <c r="JU1611" s="38"/>
      <c r="JV1611" s="38"/>
      <c r="JW1611" s="38"/>
      <c r="JX1611" s="38"/>
      <c r="JY1611" s="38"/>
      <c r="JZ1611" s="38"/>
      <c r="KA1611" s="38"/>
      <c r="KB1611" s="38"/>
    </row>
    <row r="1612" spans="1:288" s="27" customFormat="1" x14ac:dyDescent="0.2">
      <c r="A1612" s="18"/>
      <c r="B1612" s="16">
        <v>2016</v>
      </c>
      <c r="C1612" s="20">
        <v>42538</v>
      </c>
      <c r="D1612" s="20" t="str">
        <f>CONCATENATE(J1612,"-",C1612)</f>
        <v>969-42538</v>
      </c>
      <c r="E1612" s="20" t="str">
        <f>CONCATENATE(T1612,"-",U1612,"-",C1612)</f>
        <v>SP2-D8-42538</v>
      </c>
      <c r="F1612" s="20" t="s">
        <v>106</v>
      </c>
      <c r="G1612" s="90" t="s">
        <v>278</v>
      </c>
      <c r="H1612" s="16"/>
      <c r="I1612" s="16"/>
      <c r="J1612" s="21">
        <v>969</v>
      </c>
      <c r="K1612" s="21"/>
      <c r="L1612" s="16"/>
      <c r="M1612" s="21"/>
      <c r="N1612" s="21"/>
      <c r="O1612" s="21"/>
      <c r="P1612" s="16"/>
      <c r="Q1612" s="16"/>
      <c r="R1612" s="16"/>
      <c r="S1612" s="16"/>
      <c r="T1612" s="16" t="s">
        <v>137</v>
      </c>
      <c r="U1612" s="16" t="s">
        <v>178</v>
      </c>
      <c r="V1612" s="16" t="s">
        <v>114</v>
      </c>
      <c r="W1612" s="16"/>
      <c r="X1612" s="16" t="s">
        <v>115</v>
      </c>
      <c r="Y1612" s="16" t="s">
        <v>122</v>
      </c>
      <c r="Z1612" s="16">
        <v>2.6</v>
      </c>
      <c r="AA1612" s="16"/>
      <c r="AB1612" s="16"/>
      <c r="AC1612" s="16"/>
      <c r="AD1612" s="16"/>
      <c r="AE1612" s="16" t="s">
        <v>123</v>
      </c>
      <c r="AF1612" s="16" t="s">
        <v>123</v>
      </c>
      <c r="AG1612" s="16"/>
      <c r="AH1612" s="16"/>
      <c r="AI1612" s="16"/>
      <c r="AJ1612" s="16"/>
      <c r="AK1612" s="16">
        <v>15.5</v>
      </c>
      <c r="AL1612" s="16">
        <v>0</v>
      </c>
      <c r="AM1612" s="16">
        <v>0</v>
      </c>
      <c r="AN1612" s="16">
        <v>0</v>
      </c>
      <c r="AO1612" s="16">
        <f>IF(SUM(AL1612:AN1612)&gt;0,1,0)</f>
        <v>0</v>
      </c>
      <c r="AP1612" s="16">
        <f>SUM(AL1612:AN1612)</f>
        <v>0</v>
      </c>
      <c r="AQ1612" s="16"/>
      <c r="AR1612" s="16"/>
      <c r="AS1612" s="16"/>
      <c r="AT1612" s="16"/>
      <c r="AU1612" s="16"/>
      <c r="AV1612" s="16"/>
      <c r="AW1612" s="16"/>
      <c r="AX1612" s="16"/>
      <c r="AY1612" s="16"/>
      <c r="AZ1612" s="16"/>
      <c r="BA1612" s="16"/>
      <c r="BB1612" s="16"/>
      <c r="BC1612" s="16"/>
      <c r="BD1612" s="16"/>
      <c r="BE1612" s="16"/>
      <c r="BF1612" s="16"/>
      <c r="BG1612" s="77"/>
      <c r="BH1612" s="16"/>
      <c r="BI1612" s="16"/>
      <c r="BJ1612" s="16"/>
      <c r="BK1612" s="16"/>
      <c r="BL1612" s="16"/>
      <c r="BM1612" s="16"/>
      <c r="BN1612" s="16"/>
      <c r="BO1612" s="16"/>
      <c r="BP1612" s="16"/>
      <c r="BQ1612" s="16"/>
      <c r="BR1612" s="16"/>
      <c r="BS1612" s="16"/>
      <c r="BT1612" s="77"/>
      <c r="BU1612" s="16"/>
      <c r="BV1612" s="16"/>
      <c r="BW1612" s="16"/>
      <c r="BX1612" s="16"/>
      <c r="BY1612" s="16"/>
      <c r="BZ1612" s="16"/>
      <c r="CA1612" s="16"/>
      <c r="CB1612" s="16"/>
      <c r="CC1612" s="16"/>
      <c r="CD1612" s="77"/>
      <c r="CE1612" s="16"/>
      <c r="CF1612" s="16"/>
      <c r="CG1612" s="16"/>
      <c r="CH1612" s="16"/>
      <c r="CI1612" s="16"/>
      <c r="CJ1612" s="16"/>
      <c r="CK1612" s="16"/>
      <c r="CL1612" s="16"/>
      <c r="CM1612" s="16"/>
      <c r="CN1612" s="16"/>
      <c r="CO1612" s="16"/>
      <c r="CP1612" s="16"/>
      <c r="CQ1612" s="16"/>
      <c r="CR1612" s="16"/>
      <c r="CS1612" s="16"/>
      <c r="CT1612" s="16"/>
      <c r="CU1612" s="16"/>
      <c r="CV1612" s="16"/>
      <c r="CW1612" s="16"/>
      <c r="CX1612" s="16"/>
      <c r="CY1612" s="16"/>
      <c r="CZ1612" s="16"/>
      <c r="DA1612" s="16"/>
      <c r="DB1612" s="16"/>
      <c r="DC1612" s="16"/>
      <c r="DD1612" s="16"/>
      <c r="DE1612" s="16"/>
      <c r="DF1612" s="16" t="e">
        <f>VLOOKUP(K1612,'[3]RNA Seq summary tables'!$V$3:$V$99,1,FALSE)</f>
        <v>#N/A</v>
      </c>
      <c r="DG1612" s="16"/>
      <c r="DH1612" s="16"/>
      <c r="DI1612" s="16"/>
      <c r="DJ1612" s="16"/>
      <c r="DK1612" s="16"/>
      <c r="DL1612" s="16"/>
      <c r="DM1612" s="16"/>
      <c r="DN1612" s="16"/>
      <c r="DO1612" s="16"/>
      <c r="DP1612" s="16"/>
      <c r="DQ1612" s="16"/>
      <c r="DR1612" s="16"/>
      <c r="DS1612" s="16"/>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18"/>
      <c r="EQ1612" s="18"/>
      <c r="ER1612" s="18"/>
      <c r="ES1612" s="18"/>
      <c r="ET1612" s="18"/>
      <c r="EU1612" s="18"/>
      <c r="EV1612" s="18"/>
      <c r="EW1612" s="18"/>
      <c r="EX1612" s="18"/>
      <c r="EY1612" s="18"/>
      <c r="EZ1612" s="18"/>
      <c r="FA1612" s="18"/>
      <c r="FB1612" s="18"/>
      <c r="FC1612" s="18"/>
      <c r="FD1612" s="18"/>
      <c r="FE1612" s="18"/>
      <c r="FF1612" s="18"/>
      <c r="FG1612" s="18"/>
      <c r="FH1612" s="18"/>
      <c r="FI1612" s="18"/>
      <c r="FJ1612" s="18"/>
      <c r="FK1612" s="18"/>
      <c r="FL1612" s="18"/>
      <c r="FM1612" s="18"/>
      <c r="FN1612" s="18"/>
      <c r="FO1612" s="18"/>
      <c r="FP1612" s="18"/>
      <c r="FQ1612" s="18"/>
      <c r="FR1612" s="18"/>
      <c r="FS1612" s="18"/>
      <c r="FT1612" s="18"/>
      <c r="FU1612" s="18"/>
      <c r="FV1612" s="18"/>
      <c r="FW1612" s="18"/>
      <c r="FX1612" s="18"/>
      <c r="FY1612" s="18"/>
      <c r="FZ1612" s="18"/>
      <c r="GA1612" s="18"/>
      <c r="GB1612" s="18"/>
      <c r="GC1612" s="18"/>
      <c r="GD1612" s="18"/>
      <c r="GE1612" s="18"/>
      <c r="GF1612" s="18"/>
      <c r="GG1612" s="18"/>
      <c r="GH1612" s="18"/>
      <c r="GI1612" s="18"/>
      <c r="GJ1612" s="18"/>
      <c r="GK1612" s="18"/>
      <c r="GL1612" s="18"/>
      <c r="GM1612" s="18"/>
      <c r="GN1612" s="18"/>
      <c r="GO1612" s="18"/>
      <c r="GP1612" s="18"/>
      <c r="GQ1612" s="18"/>
      <c r="GR1612" s="18"/>
      <c r="GS1612" s="18"/>
      <c r="GT1612" s="18"/>
      <c r="GU1612" s="18"/>
      <c r="GV1612" s="18"/>
      <c r="GW1612" s="18"/>
      <c r="GX1612" s="18"/>
      <c r="GY1612" s="18"/>
      <c r="GZ1612" s="18"/>
      <c r="HA1612" s="18"/>
      <c r="HB1612" s="18"/>
      <c r="HC1612" s="18"/>
      <c r="HD1612" s="18"/>
      <c r="HE1612" s="18"/>
      <c r="HF1612" s="18"/>
      <c r="HG1612" s="18"/>
      <c r="HH1612" s="18"/>
      <c r="HI1612" s="18"/>
      <c r="HJ1612" s="18"/>
      <c r="HK1612" s="18"/>
      <c r="HL1612" s="18"/>
      <c r="HM1612" s="18"/>
      <c r="HN1612" s="18"/>
      <c r="HO1612" s="18"/>
      <c r="HP1612" s="18"/>
      <c r="HQ1612" s="18"/>
      <c r="HR1612" s="18"/>
      <c r="HS1612" s="18"/>
      <c r="HT1612" s="18"/>
      <c r="HU1612" s="18"/>
      <c r="HV1612" s="18"/>
      <c r="HW1612" s="18"/>
      <c r="HX1612" s="18"/>
      <c r="HY1612" s="18"/>
      <c r="HZ1612" s="18"/>
      <c r="IA1612" s="18"/>
      <c r="IB1612" s="18"/>
      <c r="IC1612" s="18"/>
      <c r="ID1612" s="18"/>
      <c r="IE1612" s="18"/>
      <c r="IF1612" s="18"/>
      <c r="IG1612" s="18"/>
      <c r="IH1612" s="18"/>
      <c r="II1612" s="18"/>
      <c r="IJ1612" s="18"/>
      <c r="IK1612" s="18"/>
      <c r="IL1612" s="18"/>
      <c r="IM1612" s="18"/>
      <c r="IN1612" s="18"/>
      <c r="IO1612" s="18"/>
      <c r="IP1612" s="18"/>
      <c r="IQ1612" s="18"/>
      <c r="IR1612" s="18"/>
      <c r="IS1612" s="18"/>
      <c r="IT1612" s="18"/>
      <c r="IU1612" s="18"/>
      <c r="IV1612" s="18"/>
      <c r="IW1612" s="18"/>
      <c r="IX1612" s="18"/>
      <c r="IY1612" s="18"/>
      <c r="IZ1612" s="18"/>
      <c r="JA1612" s="18"/>
      <c r="JB1612" s="18"/>
      <c r="JC1612" s="18"/>
      <c r="JD1612" s="18"/>
      <c r="JE1612" s="18"/>
      <c r="JF1612" s="18"/>
      <c r="JG1612" s="18"/>
      <c r="JH1612" s="18"/>
      <c r="JI1612" s="18"/>
      <c r="JJ1612" s="18"/>
      <c r="JK1612" s="18"/>
      <c r="JL1612" s="18"/>
      <c r="JM1612" s="18"/>
      <c r="JN1612" s="18"/>
      <c r="JO1612" s="16"/>
      <c r="JP1612" s="16"/>
      <c r="JQ1612" s="16"/>
      <c r="JR1612" s="38"/>
      <c r="JS1612" s="38"/>
      <c r="JT1612" s="38"/>
      <c r="JU1612" s="38"/>
      <c r="JV1612" s="38"/>
      <c r="JW1612" s="38"/>
      <c r="JX1612" s="38"/>
      <c r="JY1612" s="38"/>
      <c r="JZ1612" s="38"/>
      <c r="KA1612" s="38"/>
      <c r="KB1612" s="38"/>
    </row>
    <row r="1613" spans="1:288" s="27" customFormat="1" x14ac:dyDescent="0.2">
      <c r="A1613" s="18"/>
      <c r="B1613" s="16">
        <v>2016</v>
      </c>
      <c r="C1613" s="20">
        <v>42539</v>
      </c>
      <c r="D1613" s="20" t="str">
        <f>CONCATENATE(J1613,"-",C1613)</f>
        <v>969-42539</v>
      </c>
      <c r="E1613" s="20" t="str">
        <f>CONCATENATE(T1613,"-",U1613,"-",C1613)</f>
        <v>SP2-H5-42539</v>
      </c>
      <c r="F1613" s="20" t="s">
        <v>106</v>
      </c>
      <c r="G1613" s="90" t="s">
        <v>278</v>
      </c>
      <c r="H1613" s="16"/>
      <c r="I1613" s="16"/>
      <c r="J1613" s="21">
        <v>969</v>
      </c>
      <c r="K1613" s="21"/>
      <c r="L1613" s="16"/>
      <c r="M1613" s="21"/>
      <c r="N1613" s="21"/>
      <c r="O1613" s="21"/>
      <c r="P1613" s="16"/>
      <c r="Q1613" s="16"/>
      <c r="R1613" s="16"/>
      <c r="S1613" s="16"/>
      <c r="T1613" s="16" t="s">
        <v>137</v>
      </c>
      <c r="U1613" s="16" t="s">
        <v>180</v>
      </c>
      <c r="V1613" s="16"/>
      <c r="W1613" s="16"/>
      <c r="X1613" s="16" t="s">
        <v>115</v>
      </c>
      <c r="Y1613" s="16" t="s">
        <v>122</v>
      </c>
      <c r="Z1613" s="16">
        <v>2</v>
      </c>
      <c r="AA1613" s="16"/>
      <c r="AB1613" s="16"/>
      <c r="AC1613" s="16"/>
      <c r="AD1613" s="16"/>
      <c r="AE1613" s="16" t="s">
        <v>116</v>
      </c>
      <c r="AF1613" s="16" t="s">
        <v>116</v>
      </c>
      <c r="AG1613" s="16"/>
      <c r="AH1613" s="16"/>
      <c r="AI1613" s="16"/>
      <c r="AJ1613" s="16"/>
      <c r="AK1613" s="16">
        <v>16.5</v>
      </c>
      <c r="AL1613" s="16">
        <v>0</v>
      </c>
      <c r="AM1613" s="16">
        <v>0</v>
      </c>
      <c r="AN1613" s="16">
        <v>0</v>
      </c>
      <c r="AO1613" s="16">
        <f>IF(SUM(AL1613:AN1613)&gt;0,1,0)</f>
        <v>0</v>
      </c>
      <c r="AP1613" s="16">
        <f>SUM(AL1613:AN1613)</f>
        <v>0</v>
      </c>
      <c r="AQ1613" s="16"/>
      <c r="AR1613" s="16"/>
      <c r="AS1613" s="16"/>
      <c r="AT1613" s="16"/>
      <c r="AU1613" s="16"/>
      <c r="AV1613" s="16"/>
      <c r="AW1613" s="16"/>
      <c r="AX1613" s="16"/>
      <c r="AY1613" s="16"/>
      <c r="AZ1613" s="16"/>
      <c r="BA1613" s="16"/>
      <c r="BB1613" s="16"/>
      <c r="BC1613" s="16"/>
      <c r="BD1613" s="16"/>
      <c r="BE1613" s="16"/>
      <c r="BF1613" s="16"/>
      <c r="BG1613" s="77"/>
      <c r="BH1613" s="16"/>
      <c r="BI1613" s="16"/>
      <c r="BJ1613" s="16"/>
      <c r="BK1613" s="16"/>
      <c r="BL1613" s="16"/>
      <c r="BM1613" s="16"/>
      <c r="BN1613" s="16"/>
      <c r="BO1613" s="16"/>
      <c r="BP1613" s="16"/>
      <c r="BQ1613" s="16"/>
      <c r="BR1613" s="16"/>
      <c r="BS1613" s="16"/>
      <c r="BT1613" s="77"/>
      <c r="BU1613" s="16"/>
      <c r="BV1613" s="16"/>
      <c r="BW1613" s="16"/>
      <c r="BX1613" s="16"/>
      <c r="BY1613" s="16"/>
      <c r="BZ1613" s="16"/>
      <c r="CA1613" s="16"/>
      <c r="CB1613" s="16"/>
      <c r="CC1613" s="16"/>
      <c r="CD1613" s="77"/>
      <c r="CE1613" s="16"/>
      <c r="CF1613" s="16"/>
      <c r="CG1613" s="16"/>
      <c r="CH1613" s="16"/>
      <c r="CI1613" s="16"/>
      <c r="CJ1613" s="16"/>
      <c r="CK1613" s="16"/>
      <c r="CL1613" s="16"/>
      <c r="CM1613" s="16"/>
      <c r="CN1613" s="16"/>
      <c r="CO1613" s="16"/>
      <c r="CP1613" s="16"/>
      <c r="CQ1613" s="16"/>
      <c r="CR1613" s="16"/>
      <c r="CS1613" s="16"/>
      <c r="CT1613" s="16"/>
      <c r="CU1613" s="16"/>
      <c r="CV1613" s="16"/>
      <c r="CW1613" s="16"/>
      <c r="CX1613" s="16"/>
      <c r="CY1613" s="16"/>
      <c r="CZ1613" s="16"/>
      <c r="DA1613" s="16"/>
      <c r="DB1613" s="16"/>
      <c r="DC1613" s="16"/>
      <c r="DD1613" s="16"/>
      <c r="DE1613" s="16"/>
      <c r="DF1613" s="16" t="e">
        <f>VLOOKUP(K1613,'[3]RNA Seq summary tables'!$V$3:$V$99,1,FALSE)</f>
        <v>#N/A</v>
      </c>
      <c r="DG1613" s="16"/>
      <c r="DH1613" s="16"/>
      <c r="DI1613" s="16"/>
      <c r="DJ1613" s="16"/>
      <c r="DK1613" s="16"/>
      <c r="DL1613" s="16"/>
      <c r="DM1613" s="16"/>
      <c r="DN1613" s="16"/>
      <c r="DO1613" s="16"/>
      <c r="DP1613" s="16"/>
      <c r="DQ1613" s="16"/>
      <c r="DR1613" s="16"/>
      <c r="DS1613" s="16"/>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18"/>
      <c r="EQ1613" s="18"/>
      <c r="ER1613" s="18"/>
      <c r="ES1613" s="18"/>
      <c r="ET1613" s="18"/>
      <c r="EU1613" s="18"/>
      <c r="EV1613" s="18"/>
      <c r="EW1613" s="18"/>
      <c r="EX1613" s="18"/>
      <c r="EY1613" s="18"/>
      <c r="EZ1613" s="18"/>
      <c r="FA1613" s="18"/>
      <c r="FB1613" s="18"/>
      <c r="FC1613" s="18"/>
      <c r="FD1613" s="18"/>
      <c r="FE1613" s="18"/>
      <c r="FF1613" s="18"/>
      <c r="FG1613" s="18"/>
      <c r="FH1613" s="18"/>
      <c r="FI1613" s="18"/>
      <c r="FJ1613" s="18"/>
      <c r="FK1613" s="18"/>
      <c r="FL1613" s="18"/>
      <c r="FM1613" s="18"/>
      <c r="FN1613" s="18"/>
      <c r="FO1613" s="18"/>
      <c r="FP1613" s="18"/>
      <c r="FQ1613" s="18"/>
      <c r="FR1613" s="18"/>
      <c r="FS1613" s="18"/>
      <c r="FT1613" s="18"/>
      <c r="FU1613" s="18"/>
      <c r="FV1613" s="18"/>
      <c r="FW1613" s="18"/>
      <c r="FX1613" s="18"/>
      <c r="FY1613" s="18"/>
      <c r="FZ1613" s="18"/>
      <c r="GA1613" s="18"/>
      <c r="GB1613" s="18"/>
      <c r="GC1613" s="18"/>
      <c r="GD1613" s="18"/>
      <c r="GE1613" s="18"/>
      <c r="GF1613" s="18"/>
      <c r="GG1613" s="18"/>
      <c r="GH1613" s="18"/>
      <c r="GI1613" s="18"/>
      <c r="GJ1613" s="18"/>
      <c r="GK1613" s="18"/>
      <c r="GL1613" s="18"/>
      <c r="GM1613" s="18"/>
      <c r="GN1613" s="18"/>
      <c r="GO1613" s="18"/>
      <c r="GP1613" s="18"/>
      <c r="GQ1613" s="18"/>
      <c r="GR1613" s="18"/>
      <c r="GS1613" s="18"/>
      <c r="GT1613" s="18"/>
      <c r="GU1613" s="18"/>
      <c r="GV1613" s="18"/>
      <c r="GW1613" s="18"/>
      <c r="GX1613" s="18"/>
      <c r="GY1613" s="18"/>
      <c r="GZ1613" s="18"/>
      <c r="HA1613" s="18"/>
      <c r="HB1613" s="18"/>
      <c r="HC1613" s="18"/>
      <c r="HD1613" s="18"/>
      <c r="HE1613" s="18"/>
      <c r="HF1613" s="18"/>
      <c r="HG1613" s="18"/>
      <c r="HH1613" s="18"/>
      <c r="HI1613" s="18"/>
      <c r="HJ1613" s="18"/>
      <c r="HK1613" s="18"/>
      <c r="HL1613" s="18"/>
      <c r="HM1613" s="18"/>
      <c r="HN1613" s="18"/>
      <c r="HO1613" s="18"/>
      <c r="HP1613" s="18"/>
      <c r="HQ1613" s="18"/>
      <c r="HR1613" s="18"/>
      <c r="HS1613" s="18"/>
      <c r="HT1613" s="18"/>
      <c r="HU1613" s="18"/>
      <c r="HV1613" s="18"/>
      <c r="HW1613" s="18"/>
      <c r="HX1613" s="18"/>
      <c r="HY1613" s="18"/>
      <c r="HZ1613" s="18"/>
      <c r="IA1613" s="18"/>
      <c r="IB1613" s="18"/>
      <c r="IC1613" s="18"/>
      <c r="ID1613" s="18"/>
      <c r="IE1613" s="18"/>
      <c r="IF1613" s="18"/>
      <c r="IG1613" s="18"/>
      <c r="IH1613" s="18"/>
      <c r="II1613" s="18"/>
      <c r="IJ1613" s="18"/>
      <c r="IK1613" s="18"/>
      <c r="IL1613" s="18"/>
      <c r="IM1613" s="18"/>
      <c r="IN1613" s="18"/>
      <c r="IO1613" s="18"/>
      <c r="IP1613" s="18"/>
      <c r="IQ1613" s="18"/>
      <c r="IR1613" s="18"/>
      <c r="IS1613" s="18"/>
      <c r="IT1613" s="18"/>
      <c r="IU1613" s="18"/>
      <c r="IV1613" s="18"/>
      <c r="IW1613" s="18"/>
      <c r="IX1613" s="18"/>
      <c r="IY1613" s="18"/>
      <c r="IZ1613" s="18"/>
      <c r="JA1613" s="18"/>
      <c r="JB1613" s="18"/>
      <c r="JC1613" s="18"/>
      <c r="JD1613" s="18"/>
      <c r="JE1613" s="18"/>
      <c r="JF1613" s="18"/>
      <c r="JG1613" s="18"/>
      <c r="JH1613" s="18"/>
      <c r="JI1613" s="18"/>
      <c r="JJ1613" s="18"/>
      <c r="JK1613" s="18"/>
      <c r="JL1613" s="18"/>
      <c r="JM1613" s="18"/>
      <c r="JN1613" s="18"/>
      <c r="JO1613" s="16"/>
      <c r="JP1613" s="16"/>
      <c r="JQ1613" s="16"/>
      <c r="JR1613" s="38"/>
      <c r="JS1613" s="38"/>
      <c r="JT1613" s="38"/>
      <c r="JU1613" s="38"/>
      <c r="JV1613" s="38"/>
      <c r="JW1613" s="38"/>
      <c r="JX1613" s="38"/>
      <c r="JY1613" s="38"/>
      <c r="JZ1613" s="38"/>
      <c r="KA1613" s="38"/>
      <c r="KB1613" s="38"/>
    </row>
    <row r="1614" spans="1:288" s="27" customFormat="1" x14ac:dyDescent="0.2">
      <c r="A1614" s="18"/>
      <c r="B1614" s="16">
        <v>2016</v>
      </c>
      <c r="C1614" s="20">
        <v>42552</v>
      </c>
      <c r="D1614" s="20" t="str">
        <f>CONCATENATE(J1614,"-",C1614)</f>
        <v>969-42552</v>
      </c>
      <c r="E1614" s="20" t="str">
        <f>CONCATENATE(T1614,"-",U1614,"-",C1614)</f>
        <v>SP1-H6-42552</v>
      </c>
      <c r="F1614" s="20" t="s">
        <v>106</v>
      </c>
      <c r="G1614" s="90" t="s">
        <v>278</v>
      </c>
      <c r="H1614" s="16"/>
      <c r="I1614" s="16"/>
      <c r="J1614" s="21">
        <v>969</v>
      </c>
      <c r="K1614" s="21"/>
      <c r="L1614" s="16"/>
      <c r="M1614" s="21"/>
      <c r="N1614" s="21"/>
      <c r="O1614" s="21"/>
      <c r="P1614" s="16"/>
      <c r="Q1614" s="16"/>
      <c r="R1614" s="16"/>
      <c r="S1614" s="16"/>
      <c r="T1614" s="16" t="s">
        <v>140</v>
      </c>
      <c r="U1614" s="16" t="s">
        <v>141</v>
      </c>
      <c r="V1614" s="16"/>
      <c r="W1614" s="16"/>
      <c r="X1614" s="16"/>
      <c r="Y1614" s="16"/>
      <c r="Z1614" s="16"/>
      <c r="AA1614" s="16"/>
      <c r="AB1614" s="16"/>
      <c r="AC1614" s="16"/>
      <c r="AD1614" s="16"/>
      <c r="AE1614" s="16"/>
      <c r="AF1614" s="16"/>
      <c r="AG1614" s="16"/>
      <c r="AH1614" s="16"/>
      <c r="AI1614" s="16"/>
      <c r="AJ1614" s="16"/>
      <c r="AK1614" s="16">
        <v>17</v>
      </c>
      <c r="AL1614" s="16"/>
      <c r="AM1614" s="16"/>
      <c r="AN1614" s="16"/>
      <c r="AO1614" s="16"/>
      <c r="AP1614" s="16"/>
      <c r="AQ1614" s="16"/>
      <c r="AR1614" s="16"/>
      <c r="AS1614" s="16"/>
      <c r="AT1614" s="16"/>
      <c r="AU1614" s="16"/>
      <c r="AV1614" s="16"/>
      <c r="AW1614" s="16"/>
      <c r="AX1614" s="16"/>
      <c r="AY1614" s="16"/>
      <c r="AZ1614" s="16"/>
      <c r="BA1614" s="16"/>
      <c r="BB1614" s="16"/>
      <c r="BC1614" s="16"/>
      <c r="BD1614" s="16"/>
      <c r="BE1614" s="16"/>
      <c r="BF1614" s="16"/>
      <c r="BG1614" s="77"/>
      <c r="BH1614" s="16"/>
      <c r="BI1614" s="16"/>
      <c r="BJ1614" s="16"/>
      <c r="BK1614" s="16"/>
      <c r="BL1614" s="16"/>
      <c r="BM1614" s="16"/>
      <c r="BN1614" s="16"/>
      <c r="BO1614" s="16"/>
      <c r="BP1614" s="16"/>
      <c r="BQ1614" s="16"/>
      <c r="BR1614" s="16"/>
      <c r="BS1614" s="16"/>
      <c r="BT1614" s="77"/>
      <c r="BU1614" s="16"/>
      <c r="BV1614" s="16"/>
      <c r="BW1614" s="16"/>
      <c r="BX1614" s="16"/>
      <c r="BY1614" s="16"/>
      <c r="BZ1614" s="16"/>
      <c r="CA1614" s="16"/>
      <c r="CB1614" s="16"/>
      <c r="CC1614" s="16"/>
      <c r="CD1614" s="77"/>
      <c r="CE1614" s="16"/>
      <c r="CF1614" s="16"/>
      <c r="CG1614" s="16"/>
      <c r="CH1614" s="16"/>
      <c r="CI1614" s="16"/>
      <c r="CJ1614" s="16"/>
      <c r="CK1614" s="16"/>
      <c r="CL1614" s="16"/>
      <c r="CM1614" s="16"/>
      <c r="CN1614" s="16"/>
      <c r="CO1614" s="16"/>
      <c r="CP1614" s="16"/>
      <c r="CQ1614" s="16"/>
      <c r="CR1614" s="16"/>
      <c r="CS1614" s="16"/>
      <c r="CT1614" s="16"/>
      <c r="CU1614" s="16"/>
      <c r="CV1614" s="16"/>
      <c r="CW1614" s="16"/>
      <c r="CX1614" s="16"/>
      <c r="CY1614" s="16"/>
      <c r="CZ1614" s="16"/>
      <c r="DA1614" s="16"/>
      <c r="DB1614" s="16"/>
      <c r="DC1614" s="16"/>
      <c r="DD1614" s="16"/>
      <c r="DE1614" s="16"/>
      <c r="DF1614" s="16" t="e">
        <f>VLOOKUP(K1614,'[3]RNA Seq summary tables'!$V$3:$V$99,1,FALSE)</f>
        <v>#N/A</v>
      </c>
      <c r="DG1614" s="16"/>
      <c r="DH1614" s="16"/>
      <c r="DI1614" s="16"/>
      <c r="DJ1614" s="16"/>
      <c r="DK1614" s="16"/>
      <c r="DL1614" s="16"/>
      <c r="DM1614" s="16"/>
      <c r="DN1614" s="16"/>
      <c r="DO1614" s="16"/>
      <c r="DP1614" s="16"/>
      <c r="DQ1614" s="16"/>
      <c r="DR1614" s="16"/>
      <c r="DS1614" s="16"/>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18"/>
      <c r="EQ1614" s="18"/>
      <c r="ER1614" s="18"/>
      <c r="ES1614" s="18"/>
      <c r="ET1614" s="18"/>
      <c r="EU1614" s="18"/>
      <c r="EV1614" s="18"/>
      <c r="EW1614" s="18"/>
      <c r="EX1614" s="18"/>
      <c r="EY1614" s="18"/>
      <c r="EZ1614" s="18"/>
      <c r="FA1614" s="18"/>
      <c r="FB1614" s="18"/>
      <c r="FC1614" s="18"/>
      <c r="FD1614" s="18"/>
      <c r="FE1614" s="18"/>
      <c r="FF1614" s="18"/>
      <c r="FG1614" s="18"/>
      <c r="FH1614" s="18"/>
      <c r="FI1614" s="18"/>
      <c r="FJ1614" s="18"/>
      <c r="FK1614" s="18"/>
      <c r="FL1614" s="18"/>
      <c r="FM1614" s="18"/>
      <c r="FN1614" s="18"/>
      <c r="FO1614" s="18"/>
      <c r="FP1614" s="18"/>
      <c r="FQ1614" s="18"/>
      <c r="FR1614" s="18"/>
      <c r="FS1614" s="18"/>
      <c r="FT1614" s="18"/>
      <c r="FU1614" s="18"/>
      <c r="FV1614" s="18"/>
      <c r="FW1614" s="18"/>
      <c r="FX1614" s="18"/>
      <c r="FY1614" s="18"/>
      <c r="FZ1614" s="18"/>
      <c r="GA1614" s="18"/>
      <c r="GB1614" s="18"/>
      <c r="GC1614" s="18"/>
      <c r="GD1614" s="18"/>
      <c r="GE1614" s="18"/>
      <c r="GF1614" s="18"/>
      <c r="GG1614" s="18"/>
      <c r="GH1614" s="18"/>
      <c r="GI1614" s="18"/>
      <c r="GJ1614" s="18"/>
      <c r="GK1614" s="18"/>
      <c r="GL1614" s="18"/>
      <c r="GM1614" s="18"/>
      <c r="GN1614" s="18"/>
      <c r="GO1614" s="18"/>
      <c r="GP1614" s="18"/>
      <c r="GQ1614" s="18"/>
      <c r="GR1614" s="18"/>
      <c r="GS1614" s="18"/>
      <c r="GT1614" s="18"/>
      <c r="GU1614" s="18"/>
      <c r="GV1614" s="18"/>
      <c r="GW1614" s="18"/>
      <c r="GX1614" s="18"/>
      <c r="GY1614" s="18"/>
      <c r="GZ1614" s="18"/>
      <c r="HA1614" s="18"/>
      <c r="HB1614" s="18"/>
      <c r="HC1614" s="18"/>
      <c r="HD1614" s="18"/>
      <c r="HE1614" s="18"/>
      <c r="HF1614" s="18"/>
      <c r="HG1614" s="18"/>
      <c r="HH1614" s="18"/>
      <c r="HI1614" s="18"/>
      <c r="HJ1614" s="18"/>
      <c r="HK1614" s="18"/>
      <c r="HL1614" s="18"/>
      <c r="HM1614" s="18"/>
      <c r="HN1614" s="18"/>
      <c r="HO1614" s="18"/>
      <c r="HP1614" s="18"/>
      <c r="HQ1614" s="18"/>
      <c r="HR1614" s="18"/>
      <c r="HS1614" s="18"/>
      <c r="HT1614" s="18"/>
      <c r="HU1614" s="18"/>
      <c r="HV1614" s="18"/>
      <c r="HW1614" s="18"/>
      <c r="HX1614" s="18"/>
      <c r="HY1614" s="18"/>
      <c r="HZ1614" s="18"/>
      <c r="IA1614" s="18"/>
      <c r="IB1614" s="18"/>
      <c r="IC1614" s="18"/>
      <c r="ID1614" s="18"/>
      <c r="IE1614" s="18"/>
      <c r="IF1614" s="18"/>
      <c r="IG1614" s="18"/>
      <c r="IH1614" s="18"/>
      <c r="II1614" s="18"/>
      <c r="IJ1614" s="18"/>
      <c r="IK1614" s="18"/>
      <c r="IL1614" s="18"/>
      <c r="IM1614" s="18"/>
      <c r="IN1614" s="18"/>
      <c r="IO1614" s="18"/>
      <c r="IP1614" s="18"/>
      <c r="IQ1614" s="18"/>
      <c r="IR1614" s="18"/>
      <c r="IS1614" s="18"/>
      <c r="IT1614" s="18"/>
      <c r="IU1614" s="18"/>
      <c r="IV1614" s="18"/>
      <c r="IW1614" s="18"/>
      <c r="IX1614" s="18"/>
      <c r="IY1614" s="18"/>
      <c r="IZ1614" s="18"/>
      <c r="JA1614" s="18"/>
      <c r="JB1614" s="18"/>
      <c r="JC1614" s="18"/>
      <c r="JD1614" s="18"/>
      <c r="JE1614" s="18"/>
      <c r="JF1614" s="18"/>
      <c r="JG1614" s="18"/>
      <c r="JH1614" s="18"/>
      <c r="JI1614" s="18"/>
      <c r="JJ1614" s="18"/>
      <c r="JK1614" s="18"/>
      <c r="JL1614" s="18"/>
      <c r="JM1614" s="18"/>
      <c r="JN1614" s="18"/>
      <c r="JO1614" s="16"/>
      <c r="JP1614" s="16"/>
      <c r="JQ1614" s="16"/>
      <c r="JR1614" s="16"/>
      <c r="JS1614" s="16"/>
      <c r="JT1614" s="16"/>
      <c r="JU1614" s="16"/>
      <c r="JV1614" s="16"/>
      <c r="JW1614" s="16"/>
      <c r="JX1614" s="16"/>
      <c r="JY1614" s="16"/>
      <c r="JZ1614" s="16"/>
      <c r="KA1614" s="16"/>
      <c r="KB1614" s="16"/>
    </row>
    <row r="1615" spans="1:288" s="27" customFormat="1" x14ac:dyDescent="0.2">
      <c r="A1615" s="18"/>
      <c r="B1615" s="16">
        <v>2016</v>
      </c>
      <c r="C1615" s="20">
        <v>42553</v>
      </c>
      <c r="D1615" s="20" t="str">
        <f>CONCATENATE(J1615,"-",C1615)</f>
        <v>969-42553</v>
      </c>
      <c r="E1615" s="20" t="str">
        <f>CONCATENATE(T1615,"-",U1615,"-",C1615)</f>
        <v>SP1-E8-42553</v>
      </c>
      <c r="F1615" s="20" t="s">
        <v>106</v>
      </c>
      <c r="G1615" s="90" t="s">
        <v>278</v>
      </c>
      <c r="H1615" s="16"/>
      <c r="I1615" s="16"/>
      <c r="J1615" s="21">
        <v>969</v>
      </c>
      <c r="K1615" s="21"/>
      <c r="L1615" s="16"/>
      <c r="M1615" s="21"/>
      <c r="N1615" s="21"/>
      <c r="O1615" s="21"/>
      <c r="P1615" s="16"/>
      <c r="Q1615" s="16"/>
      <c r="R1615" s="16"/>
      <c r="S1615" s="16"/>
      <c r="T1615" s="16" t="s">
        <v>140</v>
      </c>
      <c r="U1615" s="16" t="s">
        <v>181</v>
      </c>
      <c r="V1615" s="16"/>
      <c r="W1615" s="16"/>
      <c r="X1615" s="16"/>
      <c r="Y1615" s="16"/>
      <c r="Z1615" s="16"/>
      <c r="AA1615" s="16"/>
      <c r="AB1615" s="16"/>
      <c r="AC1615" s="16"/>
      <c r="AD1615" s="16"/>
      <c r="AE1615" s="16"/>
      <c r="AF1615" s="16"/>
      <c r="AG1615" s="16"/>
      <c r="AH1615" s="16"/>
      <c r="AI1615" s="16"/>
      <c r="AJ1615" s="16"/>
      <c r="AK1615" s="16">
        <v>15.5</v>
      </c>
      <c r="AL1615" s="16"/>
      <c r="AM1615" s="16"/>
      <c r="AN1615" s="16"/>
      <c r="AO1615" s="16"/>
      <c r="AP1615" s="16"/>
      <c r="AQ1615" s="16"/>
      <c r="AR1615" s="16"/>
      <c r="AS1615" s="16"/>
      <c r="AT1615" s="16"/>
      <c r="AU1615" s="16"/>
      <c r="AV1615" s="16"/>
      <c r="AW1615" s="16"/>
      <c r="AX1615" s="16"/>
      <c r="AY1615" s="16"/>
      <c r="AZ1615" s="16"/>
      <c r="BA1615" s="16"/>
      <c r="BB1615" s="16"/>
      <c r="BC1615" s="16"/>
      <c r="BD1615" s="16"/>
      <c r="BE1615" s="16"/>
      <c r="BF1615" s="16"/>
      <c r="BG1615" s="77"/>
      <c r="BH1615" s="16"/>
      <c r="BI1615" s="16"/>
      <c r="BJ1615" s="16"/>
      <c r="BK1615" s="16"/>
      <c r="BL1615" s="16"/>
      <c r="BM1615" s="16"/>
      <c r="BN1615" s="16"/>
      <c r="BO1615" s="16"/>
      <c r="BP1615" s="16"/>
      <c r="BQ1615" s="16"/>
      <c r="BR1615" s="16"/>
      <c r="BS1615" s="16"/>
      <c r="BT1615" s="77"/>
      <c r="BU1615" s="16"/>
      <c r="BV1615" s="16"/>
      <c r="BW1615" s="16"/>
      <c r="BX1615" s="16"/>
      <c r="BY1615" s="16"/>
      <c r="BZ1615" s="16"/>
      <c r="CA1615" s="16"/>
      <c r="CB1615" s="16"/>
      <c r="CC1615" s="16"/>
      <c r="CD1615" s="77"/>
      <c r="CE1615" s="16"/>
      <c r="CF1615" s="16"/>
      <c r="CG1615" s="16"/>
      <c r="CH1615" s="16"/>
      <c r="CI1615" s="16"/>
      <c r="CJ1615" s="16"/>
      <c r="CK1615" s="16"/>
      <c r="CL1615" s="16"/>
      <c r="CM1615" s="16"/>
      <c r="CN1615" s="16"/>
      <c r="CO1615" s="16"/>
      <c r="CP1615" s="16"/>
      <c r="CQ1615" s="16"/>
      <c r="CR1615" s="16"/>
      <c r="CS1615" s="16"/>
      <c r="CT1615" s="16"/>
      <c r="CU1615" s="16"/>
      <c r="CV1615" s="16"/>
      <c r="CW1615" s="16"/>
      <c r="CX1615" s="16"/>
      <c r="CY1615" s="16"/>
      <c r="CZ1615" s="16"/>
      <c r="DA1615" s="16"/>
      <c r="DB1615" s="16"/>
      <c r="DC1615" s="16"/>
      <c r="DD1615" s="16"/>
      <c r="DE1615" s="16"/>
      <c r="DF1615" s="16" t="e">
        <f>VLOOKUP(K1615,'[3]RNA Seq summary tables'!$V$3:$V$99,1,FALSE)</f>
        <v>#N/A</v>
      </c>
      <c r="DG1615" s="16"/>
      <c r="DH1615" s="16"/>
      <c r="DI1615" s="16"/>
      <c r="DJ1615" s="16"/>
      <c r="DK1615" s="16"/>
      <c r="DL1615" s="16"/>
      <c r="DM1615" s="16"/>
      <c r="DN1615" s="16"/>
      <c r="DO1615" s="16"/>
      <c r="DP1615" s="16"/>
      <c r="DQ1615" s="16"/>
      <c r="DR1615" s="16"/>
      <c r="DS1615" s="16"/>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18"/>
      <c r="EQ1615" s="18"/>
      <c r="ER1615" s="18"/>
      <c r="ES1615" s="18"/>
      <c r="ET1615" s="18"/>
      <c r="EU1615" s="18"/>
      <c r="EV1615" s="18"/>
      <c r="EW1615" s="18"/>
      <c r="EX1615" s="18"/>
      <c r="EY1615" s="18"/>
      <c r="EZ1615" s="18"/>
      <c r="FA1615" s="18"/>
      <c r="FB1615" s="18"/>
      <c r="FC1615" s="18"/>
      <c r="FD1615" s="18"/>
      <c r="FE1615" s="18"/>
      <c r="FF1615" s="18"/>
      <c r="FG1615" s="18"/>
      <c r="FH1615" s="18"/>
      <c r="FI1615" s="18"/>
      <c r="FJ1615" s="18"/>
      <c r="FK1615" s="18"/>
      <c r="FL1615" s="18"/>
      <c r="FM1615" s="18"/>
      <c r="FN1615" s="18"/>
      <c r="FO1615" s="18"/>
      <c r="FP1615" s="18"/>
      <c r="FQ1615" s="18"/>
      <c r="FR1615" s="18"/>
      <c r="FS1615" s="18"/>
      <c r="FT1615" s="18"/>
      <c r="FU1615" s="18"/>
      <c r="FV1615" s="18"/>
      <c r="FW1615" s="18"/>
      <c r="FX1615" s="18"/>
      <c r="FY1615" s="18"/>
      <c r="FZ1615" s="18"/>
      <c r="GA1615" s="18"/>
      <c r="GB1615" s="18"/>
      <c r="GC1615" s="18"/>
      <c r="GD1615" s="18"/>
      <c r="GE1615" s="18"/>
      <c r="GF1615" s="18"/>
      <c r="GG1615" s="18"/>
      <c r="GH1615" s="18"/>
      <c r="GI1615" s="18"/>
      <c r="GJ1615" s="18"/>
      <c r="GK1615" s="18"/>
      <c r="GL1615" s="18"/>
      <c r="GM1615" s="18"/>
      <c r="GN1615" s="18"/>
      <c r="GO1615" s="18"/>
      <c r="GP1615" s="18"/>
      <c r="GQ1615" s="18"/>
      <c r="GR1615" s="18"/>
      <c r="GS1615" s="18"/>
      <c r="GT1615" s="18"/>
      <c r="GU1615" s="18"/>
      <c r="GV1615" s="18"/>
      <c r="GW1615" s="18"/>
      <c r="GX1615" s="18"/>
      <c r="GY1615" s="18"/>
      <c r="GZ1615" s="18"/>
      <c r="HA1615" s="18"/>
      <c r="HB1615" s="18"/>
      <c r="HC1615" s="18"/>
      <c r="HD1615" s="18"/>
      <c r="HE1615" s="18"/>
      <c r="HF1615" s="18"/>
      <c r="HG1615" s="18"/>
      <c r="HH1615" s="18"/>
      <c r="HI1615" s="18"/>
      <c r="HJ1615" s="18"/>
      <c r="HK1615" s="18"/>
      <c r="HL1615" s="18"/>
      <c r="HM1615" s="18"/>
      <c r="HN1615" s="18"/>
      <c r="HO1615" s="18"/>
      <c r="HP1615" s="18"/>
      <c r="HQ1615" s="18"/>
      <c r="HR1615" s="18"/>
      <c r="HS1615" s="18"/>
      <c r="HT1615" s="18"/>
      <c r="HU1615" s="18"/>
      <c r="HV1615" s="18"/>
      <c r="HW1615" s="18"/>
      <c r="HX1615" s="18"/>
      <c r="HY1615" s="18"/>
      <c r="HZ1615" s="18"/>
      <c r="IA1615" s="18"/>
      <c r="IB1615" s="18"/>
      <c r="IC1615" s="18"/>
      <c r="ID1615" s="18"/>
      <c r="IE1615" s="18"/>
      <c r="IF1615" s="18"/>
      <c r="IG1615" s="18"/>
      <c r="IH1615" s="18"/>
      <c r="II1615" s="18"/>
      <c r="IJ1615" s="18"/>
      <c r="IK1615" s="18"/>
      <c r="IL1615" s="18"/>
      <c r="IM1615" s="18"/>
      <c r="IN1615" s="18"/>
      <c r="IO1615" s="18"/>
      <c r="IP1615" s="18"/>
      <c r="IQ1615" s="18"/>
      <c r="IR1615" s="18"/>
      <c r="IS1615" s="18"/>
      <c r="IT1615" s="18"/>
      <c r="IU1615" s="18"/>
      <c r="IV1615" s="18"/>
      <c r="IW1615" s="18"/>
      <c r="IX1615" s="18"/>
      <c r="IY1615" s="18"/>
      <c r="IZ1615" s="18"/>
      <c r="JA1615" s="18"/>
      <c r="JB1615" s="18"/>
      <c r="JC1615" s="18"/>
      <c r="JD1615" s="18"/>
      <c r="JE1615" s="18"/>
      <c r="JF1615" s="18"/>
      <c r="JG1615" s="18"/>
      <c r="JH1615" s="18"/>
      <c r="JI1615" s="18"/>
      <c r="JJ1615" s="18"/>
      <c r="JK1615" s="18"/>
      <c r="JL1615" s="18"/>
      <c r="JM1615" s="18"/>
      <c r="JN1615" s="18"/>
      <c r="JO1615" s="16"/>
      <c r="JP1615" s="16"/>
      <c r="JQ1615" s="16"/>
      <c r="JR1615" s="16"/>
      <c r="JS1615" s="16"/>
      <c r="JT1615" s="16"/>
      <c r="JU1615" s="16"/>
      <c r="JV1615" s="16"/>
      <c r="JW1615" s="16"/>
      <c r="JX1615" s="16"/>
      <c r="JY1615" s="16"/>
      <c r="JZ1615" s="16"/>
      <c r="KA1615" s="16"/>
      <c r="KB1615" s="16"/>
    </row>
    <row r="1616" spans="1:288" s="27" customFormat="1" x14ac:dyDescent="0.2">
      <c r="A1616" s="18"/>
      <c r="B1616" s="16">
        <v>2016</v>
      </c>
      <c r="C1616" s="20">
        <v>42539</v>
      </c>
      <c r="D1616" s="20" t="str">
        <f>CONCATENATE(J1616,"-",C1616)</f>
        <v>970-42539</v>
      </c>
      <c r="E1616" s="20" t="str">
        <f>CONCATENATE(T1616,"-",U1616,"-",C1616)</f>
        <v>SP1-F1-42539</v>
      </c>
      <c r="F1616" s="20" t="s">
        <v>106</v>
      </c>
      <c r="G1616" s="90" t="s">
        <v>278</v>
      </c>
      <c r="H1616" s="16"/>
      <c r="I1616" s="16"/>
      <c r="J1616" s="21">
        <v>970</v>
      </c>
      <c r="K1616" s="21"/>
      <c r="L1616" s="16"/>
      <c r="M1616" s="21"/>
      <c r="N1616" s="21"/>
      <c r="O1616" s="21"/>
      <c r="P1616" s="16"/>
      <c r="Q1616" s="16"/>
      <c r="R1616" s="16"/>
      <c r="S1616" s="16"/>
      <c r="T1616" s="16" t="s">
        <v>140</v>
      </c>
      <c r="U1616" s="16" t="s">
        <v>217</v>
      </c>
      <c r="V1616" s="16" t="s">
        <v>142</v>
      </c>
      <c r="W1616" s="16"/>
      <c r="X1616" s="16" t="s">
        <v>121</v>
      </c>
      <c r="Y1616" s="16" t="s">
        <v>122</v>
      </c>
      <c r="Z1616" s="16">
        <v>2.6</v>
      </c>
      <c r="AA1616" s="16" t="s">
        <v>119</v>
      </c>
      <c r="AB1616" s="16" t="s">
        <v>123</v>
      </c>
      <c r="AC1616" s="16" t="s">
        <v>123</v>
      </c>
      <c r="AD1616" s="16" t="s">
        <v>123</v>
      </c>
      <c r="AE1616" s="16"/>
      <c r="AF1616" s="16"/>
      <c r="AG1616" s="16"/>
      <c r="AH1616" s="16"/>
      <c r="AI1616" s="16"/>
      <c r="AJ1616" s="16"/>
      <c r="AK1616" s="16">
        <v>15</v>
      </c>
      <c r="AL1616" s="16">
        <v>0</v>
      </c>
      <c r="AM1616" s="16">
        <v>0</v>
      </c>
      <c r="AN1616" s="16">
        <v>0</v>
      </c>
      <c r="AO1616" s="16">
        <f>IF(SUM(AL1616:AN1616)&gt;0,1,0)</f>
        <v>0</v>
      </c>
      <c r="AP1616" s="16">
        <f>SUM(AL1616:AN1616)</f>
        <v>0</v>
      </c>
      <c r="AQ1616" s="16"/>
      <c r="AR1616" s="16"/>
      <c r="AS1616" s="16"/>
      <c r="AT1616" s="16"/>
      <c r="AU1616" s="16"/>
      <c r="AV1616" s="16"/>
      <c r="AW1616" s="16"/>
      <c r="AX1616" s="16"/>
      <c r="AY1616" s="16"/>
      <c r="AZ1616" s="16"/>
      <c r="BA1616" s="16"/>
      <c r="BB1616" s="16"/>
      <c r="BC1616" s="16"/>
      <c r="BD1616" s="16"/>
      <c r="BE1616" s="16"/>
      <c r="BF1616" s="16"/>
      <c r="BG1616" s="77"/>
      <c r="BH1616" s="16"/>
      <c r="BI1616" s="16"/>
      <c r="BJ1616" s="16"/>
      <c r="BK1616" s="16"/>
      <c r="BL1616" s="16"/>
      <c r="BM1616" s="16"/>
      <c r="BN1616" s="16"/>
      <c r="BO1616" s="16"/>
      <c r="BP1616" s="16"/>
      <c r="BQ1616" s="16"/>
      <c r="BR1616" s="16"/>
      <c r="BS1616" s="16"/>
      <c r="BT1616" s="77"/>
      <c r="BU1616" s="16"/>
      <c r="BV1616" s="16"/>
      <c r="BW1616" s="16"/>
      <c r="BX1616" s="16"/>
      <c r="BY1616" s="16"/>
      <c r="BZ1616" s="16"/>
      <c r="CA1616" s="16"/>
      <c r="CB1616" s="16"/>
      <c r="CC1616" s="16"/>
      <c r="CD1616" s="77"/>
      <c r="CE1616" s="16"/>
      <c r="CF1616" s="16"/>
      <c r="CG1616" s="16"/>
      <c r="CH1616" s="16"/>
      <c r="CI1616" s="16"/>
      <c r="CJ1616" s="16"/>
      <c r="CK1616" s="16"/>
      <c r="CL1616" s="16"/>
      <c r="CM1616" s="16"/>
      <c r="CN1616" s="16"/>
      <c r="CO1616" s="16"/>
      <c r="CP1616" s="16"/>
      <c r="CQ1616" s="16"/>
      <c r="CR1616" s="16"/>
      <c r="CS1616" s="16"/>
      <c r="CT1616" s="16"/>
      <c r="CU1616" s="16"/>
      <c r="CV1616" s="16"/>
      <c r="CW1616" s="16"/>
      <c r="CX1616" s="16"/>
      <c r="CY1616" s="16"/>
      <c r="CZ1616" s="16"/>
      <c r="DA1616" s="16"/>
      <c r="DB1616" s="16"/>
      <c r="DC1616" s="16"/>
      <c r="DD1616" s="16"/>
      <c r="DE1616" s="16"/>
      <c r="DF1616" s="16" t="e">
        <f>VLOOKUP(K1616,'[3]RNA Seq summary tables'!$V$3:$V$99,1,FALSE)</f>
        <v>#N/A</v>
      </c>
      <c r="DG1616" s="16"/>
      <c r="DH1616" s="16"/>
      <c r="DI1616" s="16"/>
      <c r="DJ1616" s="16"/>
      <c r="DK1616" s="16"/>
      <c r="DL1616" s="16"/>
      <c r="DM1616" s="16"/>
      <c r="DN1616" s="16"/>
      <c r="DO1616" s="16"/>
      <c r="DP1616" s="16"/>
      <c r="DQ1616" s="16"/>
      <c r="DR1616" s="16"/>
      <c r="DS1616" s="16"/>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18"/>
      <c r="EQ1616" s="18"/>
      <c r="ER1616" s="18"/>
      <c r="ES1616" s="18"/>
      <c r="ET1616" s="18"/>
      <c r="EU1616" s="18"/>
      <c r="EV1616" s="18"/>
      <c r="EW1616" s="18"/>
      <c r="EX1616" s="18"/>
      <c r="EY1616" s="18"/>
      <c r="EZ1616" s="18"/>
      <c r="FA1616" s="18"/>
      <c r="FB1616" s="18"/>
      <c r="FC1616" s="18"/>
      <c r="FD1616" s="18"/>
      <c r="FE1616" s="18"/>
      <c r="FF1616" s="18"/>
      <c r="FG1616" s="18"/>
      <c r="FH1616" s="18"/>
      <c r="FI1616" s="18"/>
      <c r="FJ1616" s="18"/>
      <c r="FK1616" s="18"/>
      <c r="FL1616" s="18"/>
      <c r="FM1616" s="18"/>
      <c r="FN1616" s="18"/>
      <c r="FO1616" s="18"/>
      <c r="FP1616" s="18"/>
      <c r="FQ1616" s="18"/>
      <c r="FR1616" s="18"/>
      <c r="FS1616" s="18"/>
      <c r="FT1616" s="18"/>
      <c r="FU1616" s="18"/>
      <c r="FV1616" s="18"/>
      <c r="FW1616" s="18"/>
      <c r="FX1616" s="18"/>
      <c r="FY1616" s="18"/>
      <c r="FZ1616" s="18"/>
      <c r="GA1616" s="18"/>
      <c r="GB1616" s="18"/>
      <c r="GC1616" s="18"/>
      <c r="GD1616" s="18"/>
      <c r="GE1616" s="18"/>
      <c r="GF1616" s="18"/>
      <c r="GG1616" s="18"/>
      <c r="GH1616" s="18"/>
      <c r="GI1616" s="18"/>
      <c r="GJ1616" s="18"/>
      <c r="GK1616" s="18"/>
      <c r="GL1616" s="18"/>
      <c r="GM1616" s="18"/>
      <c r="GN1616" s="18"/>
      <c r="GO1616" s="18"/>
      <c r="GP1616" s="18"/>
      <c r="GQ1616" s="18"/>
      <c r="GR1616" s="18"/>
      <c r="GS1616" s="18"/>
      <c r="GT1616" s="18"/>
      <c r="GU1616" s="18"/>
      <c r="GV1616" s="18"/>
      <c r="GW1616" s="18"/>
      <c r="GX1616" s="18"/>
      <c r="GY1616" s="18"/>
      <c r="GZ1616" s="18"/>
      <c r="HA1616" s="18"/>
      <c r="HB1616" s="18"/>
      <c r="HC1616" s="18"/>
      <c r="HD1616" s="18"/>
      <c r="HE1616" s="18"/>
      <c r="HF1616" s="18"/>
      <c r="HG1616" s="18"/>
      <c r="HH1616" s="18"/>
      <c r="HI1616" s="18"/>
      <c r="HJ1616" s="18"/>
      <c r="HK1616" s="18"/>
      <c r="HL1616" s="18"/>
      <c r="HM1616" s="18"/>
      <c r="HN1616" s="18"/>
      <c r="HO1616" s="18"/>
      <c r="HP1616" s="18"/>
      <c r="HQ1616" s="18"/>
      <c r="HR1616" s="18"/>
      <c r="HS1616" s="18"/>
      <c r="HT1616" s="18"/>
      <c r="HU1616" s="18"/>
      <c r="HV1616" s="18"/>
      <c r="HW1616" s="18"/>
      <c r="HX1616" s="18"/>
      <c r="HY1616" s="18"/>
      <c r="HZ1616" s="18"/>
      <c r="IA1616" s="18"/>
      <c r="IB1616" s="18"/>
      <c r="IC1616" s="18"/>
      <c r="ID1616" s="18"/>
      <c r="IE1616" s="18"/>
      <c r="IF1616" s="18"/>
      <c r="IG1616" s="18"/>
      <c r="IH1616" s="18"/>
      <c r="II1616" s="18"/>
      <c r="IJ1616" s="18"/>
      <c r="IK1616" s="18"/>
      <c r="IL1616" s="18"/>
      <c r="IM1616" s="18"/>
      <c r="IN1616" s="18"/>
      <c r="IO1616" s="18"/>
      <c r="IP1616" s="18"/>
      <c r="IQ1616" s="18"/>
      <c r="IR1616" s="18"/>
      <c r="IS1616" s="18"/>
      <c r="IT1616" s="18"/>
      <c r="IU1616" s="18"/>
      <c r="IV1616" s="18"/>
      <c r="IW1616" s="18"/>
      <c r="IX1616" s="18"/>
      <c r="IY1616" s="18"/>
      <c r="IZ1616" s="18"/>
      <c r="JA1616" s="18"/>
      <c r="JB1616" s="18"/>
      <c r="JC1616" s="18"/>
      <c r="JD1616" s="18"/>
      <c r="JE1616" s="18"/>
      <c r="JF1616" s="18"/>
      <c r="JG1616" s="18"/>
      <c r="JH1616" s="18"/>
      <c r="JI1616" s="18"/>
      <c r="JJ1616" s="18"/>
      <c r="JK1616" s="18"/>
      <c r="JL1616" s="18"/>
      <c r="JM1616" s="18"/>
      <c r="JN1616" s="18"/>
      <c r="JO1616" s="16"/>
      <c r="JP1616" s="16"/>
      <c r="JQ1616" s="16"/>
      <c r="JR1616" s="38"/>
      <c r="JS1616" s="38"/>
      <c r="JT1616" s="38"/>
      <c r="JU1616" s="38"/>
      <c r="JV1616" s="38"/>
      <c r="JW1616" s="38"/>
      <c r="JX1616" s="38"/>
      <c r="JY1616" s="38"/>
      <c r="JZ1616" s="38"/>
      <c r="KA1616" s="38"/>
      <c r="KB1616" s="38"/>
    </row>
    <row r="1617" spans="1:288" s="27" customFormat="1" x14ac:dyDescent="0.2">
      <c r="A1617" s="18"/>
      <c r="B1617" s="16">
        <v>2016</v>
      </c>
      <c r="C1617" s="20">
        <v>42552</v>
      </c>
      <c r="D1617" s="20" t="str">
        <f>CONCATENATE(J1617,"-",C1617)</f>
        <v>970-42552</v>
      </c>
      <c r="E1617" s="20" t="str">
        <f>CONCATENATE(T1617,"-",U1617,"-",C1617)</f>
        <v>SP1-C3-42552</v>
      </c>
      <c r="F1617" s="20" t="s">
        <v>106</v>
      </c>
      <c r="G1617" s="90" t="s">
        <v>278</v>
      </c>
      <c r="H1617" s="16"/>
      <c r="I1617" s="16"/>
      <c r="J1617" s="21">
        <v>970</v>
      </c>
      <c r="K1617" s="21"/>
      <c r="L1617" s="16"/>
      <c r="M1617" s="21"/>
      <c r="N1617" s="21"/>
      <c r="O1617" s="21"/>
      <c r="P1617" s="16"/>
      <c r="Q1617" s="16"/>
      <c r="R1617" s="16"/>
      <c r="S1617" s="16"/>
      <c r="T1617" s="16" t="s">
        <v>140</v>
      </c>
      <c r="U1617" s="16" t="s">
        <v>237</v>
      </c>
      <c r="V1617" s="16" t="s">
        <v>142</v>
      </c>
      <c r="W1617" s="16"/>
      <c r="X1617" s="16"/>
      <c r="Y1617" s="16"/>
      <c r="Z1617" s="16"/>
      <c r="AA1617" s="16"/>
      <c r="AB1617" s="16"/>
      <c r="AC1617" s="16"/>
      <c r="AD1617" s="16"/>
      <c r="AE1617" s="16"/>
      <c r="AF1617" s="16"/>
      <c r="AG1617" s="16"/>
      <c r="AH1617" s="16"/>
      <c r="AI1617" s="16"/>
      <c r="AJ1617" s="16"/>
      <c r="AK1617" s="16">
        <v>17</v>
      </c>
      <c r="AL1617" s="16"/>
      <c r="AM1617" s="16"/>
      <c r="AN1617" s="16"/>
      <c r="AO1617" s="16"/>
      <c r="AP1617" s="16"/>
      <c r="AQ1617" s="16"/>
      <c r="AR1617" s="16"/>
      <c r="AS1617" s="16"/>
      <c r="AT1617" s="16"/>
      <c r="AU1617" s="16"/>
      <c r="AV1617" s="16"/>
      <c r="AW1617" s="16"/>
      <c r="AX1617" s="16"/>
      <c r="AY1617" s="16"/>
      <c r="AZ1617" s="16"/>
      <c r="BA1617" s="16"/>
      <c r="BB1617" s="16"/>
      <c r="BC1617" s="16"/>
      <c r="BD1617" s="16"/>
      <c r="BE1617" s="16"/>
      <c r="BF1617" s="16"/>
      <c r="BG1617" s="77"/>
      <c r="BH1617" s="16"/>
      <c r="BI1617" s="16"/>
      <c r="BJ1617" s="16"/>
      <c r="BK1617" s="16"/>
      <c r="BL1617" s="16"/>
      <c r="BM1617" s="16"/>
      <c r="BN1617" s="16"/>
      <c r="BO1617" s="16"/>
      <c r="BP1617" s="16"/>
      <c r="BQ1617" s="16"/>
      <c r="BR1617" s="16"/>
      <c r="BS1617" s="16"/>
      <c r="BT1617" s="77"/>
      <c r="BU1617" s="16"/>
      <c r="BV1617" s="16"/>
      <c r="BW1617" s="16"/>
      <c r="BX1617" s="16"/>
      <c r="BY1617" s="16"/>
      <c r="BZ1617" s="16"/>
      <c r="CA1617" s="16"/>
      <c r="CB1617" s="16"/>
      <c r="CC1617" s="16"/>
      <c r="CD1617" s="77"/>
      <c r="CE1617" s="16"/>
      <c r="CF1617" s="16"/>
      <c r="CG1617" s="16"/>
      <c r="CH1617" s="16"/>
      <c r="CI1617" s="16"/>
      <c r="CJ1617" s="16"/>
      <c r="CK1617" s="16"/>
      <c r="CL1617" s="16"/>
      <c r="CM1617" s="16"/>
      <c r="CN1617" s="16"/>
      <c r="CO1617" s="16"/>
      <c r="CP1617" s="16"/>
      <c r="CQ1617" s="16"/>
      <c r="CR1617" s="16"/>
      <c r="CS1617" s="16"/>
      <c r="CT1617" s="16"/>
      <c r="CU1617" s="16"/>
      <c r="CV1617" s="16"/>
      <c r="CW1617" s="16"/>
      <c r="CX1617" s="16"/>
      <c r="CY1617" s="16"/>
      <c r="CZ1617" s="16"/>
      <c r="DA1617" s="16"/>
      <c r="DB1617" s="16"/>
      <c r="DC1617" s="16"/>
      <c r="DD1617" s="16"/>
      <c r="DE1617" s="16"/>
      <c r="DF1617" s="16" t="e">
        <f>VLOOKUP(K1617,'[3]RNA Seq summary tables'!$V$3:$V$99,1,FALSE)</f>
        <v>#N/A</v>
      </c>
      <c r="DG1617" s="16"/>
      <c r="DH1617" s="16"/>
      <c r="DI1617" s="16"/>
      <c r="DJ1617" s="16"/>
      <c r="DK1617" s="16"/>
      <c r="DL1617" s="16"/>
      <c r="DM1617" s="16"/>
      <c r="DN1617" s="16"/>
      <c r="DO1617" s="16"/>
      <c r="DP1617" s="16"/>
      <c r="DQ1617" s="16"/>
      <c r="DR1617" s="16"/>
      <c r="DS1617" s="16"/>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18"/>
      <c r="EQ1617" s="18"/>
      <c r="ER1617" s="18"/>
      <c r="ES1617" s="18"/>
      <c r="ET1617" s="18"/>
      <c r="EU1617" s="18"/>
      <c r="EV1617" s="18"/>
      <c r="EW1617" s="18"/>
      <c r="EX1617" s="18"/>
      <c r="EY1617" s="18"/>
      <c r="EZ1617" s="18"/>
      <c r="FA1617" s="18"/>
      <c r="FB1617" s="18"/>
      <c r="FC1617" s="18"/>
      <c r="FD1617" s="18"/>
      <c r="FE1617" s="18"/>
      <c r="FF1617" s="18"/>
      <c r="FG1617" s="18"/>
      <c r="FH1617" s="18"/>
      <c r="FI1617" s="18"/>
      <c r="FJ1617" s="18"/>
      <c r="FK1617" s="18"/>
      <c r="FL1617" s="18"/>
      <c r="FM1617" s="18"/>
      <c r="FN1617" s="18"/>
      <c r="FO1617" s="18"/>
      <c r="FP1617" s="18"/>
      <c r="FQ1617" s="18"/>
      <c r="FR1617" s="18"/>
      <c r="FS1617" s="18"/>
      <c r="FT1617" s="18"/>
      <c r="FU1617" s="18"/>
      <c r="FV1617" s="18"/>
      <c r="FW1617" s="18"/>
      <c r="FX1617" s="18"/>
      <c r="FY1617" s="18"/>
      <c r="FZ1617" s="18"/>
      <c r="GA1617" s="18"/>
      <c r="GB1617" s="18"/>
      <c r="GC1617" s="18"/>
      <c r="GD1617" s="18"/>
      <c r="GE1617" s="18"/>
      <c r="GF1617" s="18"/>
      <c r="GG1617" s="18"/>
      <c r="GH1617" s="18"/>
      <c r="GI1617" s="18"/>
      <c r="GJ1617" s="18"/>
      <c r="GK1617" s="18"/>
      <c r="GL1617" s="18"/>
      <c r="GM1617" s="18"/>
      <c r="GN1617" s="18"/>
      <c r="GO1617" s="18"/>
      <c r="GP1617" s="18"/>
      <c r="GQ1617" s="18"/>
      <c r="GR1617" s="18"/>
      <c r="GS1617" s="18"/>
      <c r="GT1617" s="18"/>
      <c r="GU1617" s="18"/>
      <c r="GV1617" s="18"/>
      <c r="GW1617" s="18"/>
      <c r="GX1617" s="18"/>
      <c r="GY1617" s="18"/>
      <c r="GZ1617" s="18"/>
      <c r="HA1617" s="18"/>
      <c r="HB1617" s="18"/>
      <c r="HC1617" s="18"/>
      <c r="HD1617" s="18"/>
      <c r="HE1617" s="18"/>
      <c r="HF1617" s="18"/>
      <c r="HG1617" s="18"/>
      <c r="HH1617" s="18"/>
      <c r="HI1617" s="18"/>
      <c r="HJ1617" s="18"/>
      <c r="HK1617" s="18"/>
      <c r="HL1617" s="18"/>
      <c r="HM1617" s="18"/>
      <c r="HN1617" s="18"/>
      <c r="HO1617" s="18"/>
      <c r="HP1617" s="18"/>
      <c r="HQ1617" s="18"/>
      <c r="HR1617" s="18"/>
      <c r="HS1617" s="18"/>
      <c r="HT1617" s="18"/>
      <c r="HU1617" s="18"/>
      <c r="HV1617" s="18"/>
      <c r="HW1617" s="18"/>
      <c r="HX1617" s="18"/>
      <c r="HY1617" s="18"/>
      <c r="HZ1617" s="18"/>
      <c r="IA1617" s="18"/>
      <c r="IB1617" s="18"/>
      <c r="IC1617" s="18"/>
      <c r="ID1617" s="18"/>
      <c r="IE1617" s="18"/>
      <c r="IF1617" s="18"/>
      <c r="IG1617" s="18"/>
      <c r="IH1617" s="18"/>
      <c r="II1617" s="18"/>
      <c r="IJ1617" s="18"/>
      <c r="IK1617" s="18"/>
      <c r="IL1617" s="18"/>
      <c r="IM1617" s="18"/>
      <c r="IN1617" s="18"/>
      <c r="IO1617" s="18"/>
      <c r="IP1617" s="18"/>
      <c r="IQ1617" s="18"/>
      <c r="IR1617" s="18"/>
      <c r="IS1617" s="18"/>
      <c r="IT1617" s="18"/>
      <c r="IU1617" s="18"/>
      <c r="IV1617" s="18"/>
      <c r="IW1617" s="18"/>
      <c r="IX1617" s="18"/>
      <c r="IY1617" s="18"/>
      <c r="IZ1617" s="18"/>
      <c r="JA1617" s="18"/>
      <c r="JB1617" s="18"/>
      <c r="JC1617" s="18"/>
      <c r="JD1617" s="18"/>
      <c r="JE1617" s="18"/>
      <c r="JF1617" s="18"/>
      <c r="JG1617" s="18"/>
      <c r="JH1617" s="18"/>
      <c r="JI1617" s="18"/>
      <c r="JJ1617" s="18"/>
      <c r="JK1617" s="18"/>
      <c r="JL1617" s="18"/>
      <c r="JM1617" s="18"/>
      <c r="JN1617" s="18"/>
      <c r="JO1617" s="16"/>
      <c r="JP1617" s="16"/>
      <c r="JQ1617" s="16"/>
      <c r="JR1617" s="16"/>
      <c r="JS1617" s="16"/>
      <c r="JT1617" s="16"/>
      <c r="JU1617" s="16"/>
      <c r="JV1617" s="16"/>
      <c r="JW1617" s="16"/>
      <c r="JX1617" s="16"/>
      <c r="JY1617" s="16"/>
      <c r="JZ1617" s="16"/>
      <c r="KA1617" s="16"/>
      <c r="KB1617" s="16"/>
    </row>
    <row r="1618" spans="1:288" s="27" customFormat="1" x14ac:dyDescent="0.2">
      <c r="A1618" s="18"/>
      <c r="B1618" s="16">
        <v>2016</v>
      </c>
      <c r="C1618" s="20">
        <v>42553</v>
      </c>
      <c r="D1618" s="20" t="str">
        <f>CONCATENATE(J1618,"-",C1618)</f>
        <v>970-42553</v>
      </c>
      <c r="E1618" s="20" t="str">
        <f>CONCATENATE(T1618,"-",U1618,"-",C1618)</f>
        <v>SP1-C2-42553</v>
      </c>
      <c r="F1618" s="20" t="s">
        <v>106</v>
      </c>
      <c r="G1618" s="90" t="s">
        <v>278</v>
      </c>
      <c r="H1618" s="16"/>
      <c r="I1618" s="16"/>
      <c r="J1618" s="21">
        <v>970</v>
      </c>
      <c r="K1618" s="21"/>
      <c r="L1618" s="16"/>
      <c r="M1618" s="21"/>
      <c r="N1618" s="21"/>
      <c r="O1618" s="21"/>
      <c r="P1618" s="16"/>
      <c r="Q1618" s="16"/>
      <c r="R1618" s="16"/>
      <c r="S1618" s="16"/>
      <c r="T1618" s="16" t="s">
        <v>140</v>
      </c>
      <c r="U1618" s="16" t="s">
        <v>162</v>
      </c>
      <c r="V1618" s="16" t="s">
        <v>142</v>
      </c>
      <c r="W1618" s="16"/>
      <c r="X1618" s="16"/>
      <c r="Y1618" s="16"/>
      <c r="Z1618" s="16"/>
      <c r="AA1618" s="16"/>
      <c r="AB1618" s="16"/>
      <c r="AC1618" s="16"/>
      <c r="AD1618" s="16"/>
      <c r="AE1618" s="16"/>
      <c r="AF1618" s="16"/>
      <c r="AG1618" s="16"/>
      <c r="AH1618" s="16"/>
      <c r="AI1618" s="16"/>
      <c r="AJ1618" s="16"/>
      <c r="AK1618" s="16">
        <v>18.5</v>
      </c>
      <c r="AL1618" s="16"/>
      <c r="AM1618" s="16"/>
      <c r="AN1618" s="16"/>
      <c r="AO1618" s="16"/>
      <c r="AP1618" s="16"/>
      <c r="AQ1618" s="16"/>
      <c r="AR1618" s="16"/>
      <c r="AS1618" s="16"/>
      <c r="AT1618" s="16"/>
      <c r="AU1618" s="16"/>
      <c r="AV1618" s="16"/>
      <c r="AW1618" s="16"/>
      <c r="AX1618" s="16"/>
      <c r="AY1618" s="16"/>
      <c r="AZ1618" s="16"/>
      <c r="BA1618" s="16"/>
      <c r="BB1618" s="16"/>
      <c r="BC1618" s="16"/>
      <c r="BD1618" s="16"/>
      <c r="BE1618" s="16"/>
      <c r="BF1618" s="16"/>
      <c r="BG1618" s="77"/>
      <c r="BH1618" s="16"/>
      <c r="BI1618" s="16"/>
      <c r="BJ1618" s="16"/>
      <c r="BK1618" s="16"/>
      <c r="BL1618" s="16"/>
      <c r="BM1618" s="16"/>
      <c r="BN1618" s="16"/>
      <c r="BO1618" s="16"/>
      <c r="BP1618" s="16"/>
      <c r="BQ1618" s="16"/>
      <c r="BR1618" s="16"/>
      <c r="BS1618" s="16"/>
      <c r="BT1618" s="77"/>
      <c r="BU1618" s="16"/>
      <c r="BV1618" s="16"/>
      <c r="BW1618" s="16"/>
      <c r="BX1618" s="16"/>
      <c r="BY1618" s="16"/>
      <c r="BZ1618" s="16"/>
      <c r="CA1618" s="16"/>
      <c r="CB1618" s="16"/>
      <c r="CC1618" s="16"/>
      <c r="CD1618" s="77"/>
      <c r="CE1618" s="16"/>
      <c r="CF1618" s="16"/>
      <c r="CG1618" s="16"/>
      <c r="CH1618" s="16"/>
      <c r="CI1618" s="16"/>
      <c r="CJ1618" s="16"/>
      <c r="CK1618" s="16"/>
      <c r="CL1618" s="16"/>
      <c r="CM1618" s="16"/>
      <c r="CN1618" s="16"/>
      <c r="CO1618" s="16"/>
      <c r="CP1618" s="16"/>
      <c r="CQ1618" s="16"/>
      <c r="CR1618" s="16"/>
      <c r="CS1618" s="16"/>
      <c r="CT1618" s="16"/>
      <c r="CU1618" s="16"/>
      <c r="CV1618" s="16"/>
      <c r="CW1618" s="16"/>
      <c r="CX1618" s="16"/>
      <c r="CY1618" s="16"/>
      <c r="CZ1618" s="16"/>
      <c r="DA1618" s="16"/>
      <c r="DB1618" s="16"/>
      <c r="DC1618" s="16"/>
      <c r="DD1618" s="16"/>
      <c r="DE1618" s="16"/>
      <c r="DF1618" s="16" t="e">
        <f>VLOOKUP(K1618,'[3]RNA Seq summary tables'!$V$3:$V$99,1,FALSE)</f>
        <v>#N/A</v>
      </c>
      <c r="DG1618" s="16"/>
      <c r="DH1618" s="16"/>
      <c r="DI1618" s="16"/>
      <c r="DJ1618" s="16"/>
      <c r="DK1618" s="16"/>
      <c r="DL1618" s="16"/>
      <c r="DM1618" s="16"/>
      <c r="DN1618" s="16"/>
      <c r="DO1618" s="16"/>
      <c r="DP1618" s="16"/>
      <c r="DQ1618" s="16"/>
      <c r="DR1618" s="16"/>
      <c r="DS1618" s="16"/>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18"/>
      <c r="EQ1618" s="18"/>
      <c r="ER1618" s="18"/>
      <c r="ES1618" s="18"/>
      <c r="ET1618" s="18"/>
      <c r="EU1618" s="18"/>
      <c r="EV1618" s="18"/>
      <c r="EW1618" s="18"/>
      <c r="EX1618" s="18"/>
      <c r="EY1618" s="18"/>
      <c r="EZ1618" s="18"/>
      <c r="FA1618" s="18"/>
      <c r="FB1618" s="18"/>
      <c r="FC1618" s="18"/>
      <c r="FD1618" s="18"/>
      <c r="FE1618" s="18"/>
      <c r="FF1618" s="18"/>
      <c r="FG1618" s="18"/>
      <c r="FH1618" s="18"/>
      <c r="FI1618" s="18"/>
      <c r="FJ1618" s="18"/>
      <c r="FK1618" s="18"/>
      <c r="FL1618" s="18"/>
      <c r="FM1618" s="18"/>
      <c r="FN1618" s="18"/>
      <c r="FO1618" s="18"/>
      <c r="FP1618" s="18"/>
      <c r="FQ1618" s="18"/>
      <c r="FR1618" s="18"/>
      <c r="FS1618" s="18"/>
      <c r="FT1618" s="18"/>
      <c r="FU1618" s="18"/>
      <c r="FV1618" s="18"/>
      <c r="FW1618" s="18"/>
      <c r="FX1618" s="18"/>
      <c r="FY1618" s="18"/>
      <c r="FZ1618" s="18"/>
      <c r="GA1618" s="18"/>
      <c r="GB1618" s="18"/>
      <c r="GC1618" s="18"/>
      <c r="GD1618" s="18"/>
      <c r="GE1618" s="18"/>
      <c r="GF1618" s="18"/>
      <c r="GG1618" s="18"/>
      <c r="GH1618" s="18"/>
      <c r="GI1618" s="18"/>
      <c r="GJ1618" s="18"/>
      <c r="GK1618" s="18"/>
      <c r="GL1618" s="18"/>
      <c r="GM1618" s="18"/>
      <c r="GN1618" s="18"/>
      <c r="GO1618" s="18"/>
      <c r="GP1618" s="18"/>
      <c r="GQ1618" s="18"/>
      <c r="GR1618" s="18"/>
      <c r="GS1618" s="18"/>
      <c r="GT1618" s="18"/>
      <c r="GU1618" s="18"/>
      <c r="GV1618" s="18"/>
      <c r="GW1618" s="18"/>
      <c r="GX1618" s="18"/>
      <c r="GY1618" s="18"/>
      <c r="GZ1618" s="18"/>
      <c r="HA1618" s="18"/>
      <c r="HB1618" s="18"/>
      <c r="HC1618" s="18"/>
      <c r="HD1618" s="18"/>
      <c r="HE1618" s="18"/>
      <c r="HF1618" s="18"/>
      <c r="HG1618" s="18"/>
      <c r="HH1618" s="18"/>
      <c r="HI1618" s="18"/>
      <c r="HJ1618" s="18"/>
      <c r="HK1618" s="18"/>
      <c r="HL1618" s="18"/>
      <c r="HM1618" s="18"/>
      <c r="HN1618" s="18"/>
      <c r="HO1618" s="18"/>
      <c r="HP1618" s="18"/>
      <c r="HQ1618" s="18"/>
      <c r="HR1618" s="18"/>
      <c r="HS1618" s="18"/>
      <c r="HT1618" s="18"/>
      <c r="HU1618" s="18"/>
      <c r="HV1618" s="18"/>
      <c r="HW1618" s="18"/>
      <c r="HX1618" s="18"/>
      <c r="HY1618" s="18"/>
      <c r="HZ1618" s="18"/>
      <c r="IA1618" s="18"/>
      <c r="IB1618" s="18"/>
      <c r="IC1618" s="18"/>
      <c r="ID1618" s="18"/>
      <c r="IE1618" s="18"/>
      <c r="IF1618" s="18"/>
      <c r="IG1618" s="18"/>
      <c r="IH1618" s="18"/>
      <c r="II1618" s="18"/>
      <c r="IJ1618" s="18"/>
      <c r="IK1618" s="18"/>
      <c r="IL1618" s="18"/>
      <c r="IM1618" s="18"/>
      <c r="IN1618" s="18"/>
      <c r="IO1618" s="18"/>
      <c r="IP1618" s="18"/>
      <c r="IQ1618" s="18"/>
      <c r="IR1618" s="18"/>
      <c r="IS1618" s="18"/>
      <c r="IT1618" s="18"/>
      <c r="IU1618" s="18"/>
      <c r="IV1618" s="18"/>
      <c r="IW1618" s="18"/>
      <c r="IX1618" s="18"/>
      <c r="IY1618" s="18"/>
      <c r="IZ1618" s="18"/>
      <c r="JA1618" s="18"/>
      <c r="JB1618" s="18"/>
      <c r="JC1618" s="18"/>
      <c r="JD1618" s="18"/>
      <c r="JE1618" s="18"/>
      <c r="JF1618" s="18"/>
      <c r="JG1618" s="18"/>
      <c r="JH1618" s="18"/>
      <c r="JI1618" s="18"/>
      <c r="JJ1618" s="18"/>
      <c r="JK1618" s="18"/>
      <c r="JL1618" s="18"/>
      <c r="JM1618" s="18"/>
      <c r="JN1618" s="18"/>
      <c r="JO1618" s="16"/>
      <c r="JP1618" s="16"/>
      <c r="JQ1618" s="16"/>
      <c r="JR1618" s="16"/>
      <c r="JS1618" s="16"/>
      <c r="JT1618" s="16"/>
      <c r="JU1618" s="16"/>
      <c r="JV1618" s="16"/>
      <c r="JW1618" s="16"/>
      <c r="JX1618" s="16"/>
      <c r="JY1618" s="16"/>
      <c r="JZ1618" s="16"/>
      <c r="KA1618" s="16"/>
      <c r="KB1618" s="16"/>
    </row>
    <row r="1619" spans="1:288" s="27" customFormat="1" x14ac:dyDescent="0.2">
      <c r="A1619" s="18"/>
      <c r="B1619" s="16">
        <v>2016</v>
      </c>
      <c r="C1619" s="20">
        <v>42566</v>
      </c>
      <c r="D1619" s="20" t="str">
        <f>CONCATENATE(J1619,"-",C1619)</f>
        <v>970-42566</v>
      </c>
      <c r="E1619" s="20" t="str">
        <f>CONCATENATE(T1619,"-",U1619,"-",C1619)</f>
        <v>SP1-F3-42566</v>
      </c>
      <c r="F1619" s="20" t="s">
        <v>106</v>
      </c>
      <c r="G1619" s="90" t="s">
        <v>278</v>
      </c>
      <c r="H1619" s="16"/>
      <c r="I1619" s="16"/>
      <c r="J1619" s="21">
        <v>970</v>
      </c>
      <c r="K1619" s="21"/>
      <c r="L1619" s="16"/>
      <c r="M1619" s="21"/>
      <c r="N1619" s="21"/>
      <c r="O1619" s="21"/>
      <c r="P1619" s="16"/>
      <c r="Q1619" s="16"/>
      <c r="R1619" s="16"/>
      <c r="S1619" s="16"/>
      <c r="T1619" s="16" t="s">
        <v>140</v>
      </c>
      <c r="U1619" s="16" t="s">
        <v>182</v>
      </c>
      <c r="V1619" s="16"/>
      <c r="W1619" s="16"/>
      <c r="X1619" s="16"/>
      <c r="Y1619" s="16"/>
      <c r="Z1619" s="16"/>
      <c r="AA1619" s="16"/>
      <c r="AB1619" s="16"/>
      <c r="AC1619" s="16"/>
      <c r="AD1619" s="16"/>
      <c r="AE1619" s="16"/>
      <c r="AF1619" s="16"/>
      <c r="AG1619" s="16"/>
      <c r="AH1619" s="16"/>
      <c r="AI1619" s="16"/>
      <c r="AJ1619" s="16"/>
      <c r="AK1619" s="16"/>
      <c r="AL1619" s="16"/>
      <c r="AM1619" s="16"/>
      <c r="AN1619" s="16"/>
      <c r="AO1619" s="16"/>
      <c r="AP1619" s="16"/>
      <c r="AQ1619" s="16"/>
      <c r="AR1619" s="16"/>
      <c r="AS1619" s="16"/>
      <c r="AT1619" s="16"/>
      <c r="AU1619" s="16"/>
      <c r="AV1619" s="16"/>
      <c r="AW1619" s="16"/>
      <c r="AX1619" s="16"/>
      <c r="AY1619" s="16"/>
      <c r="AZ1619" s="16"/>
      <c r="BA1619" s="16"/>
      <c r="BB1619" s="16"/>
      <c r="BC1619" s="16"/>
      <c r="BD1619" s="16"/>
      <c r="BE1619" s="16"/>
      <c r="BF1619" s="16"/>
      <c r="BG1619" s="77"/>
      <c r="BH1619" s="16"/>
      <c r="BI1619" s="16"/>
      <c r="BJ1619" s="16"/>
      <c r="BK1619" s="16"/>
      <c r="BL1619" s="16"/>
      <c r="BM1619" s="16"/>
      <c r="BN1619" s="16"/>
      <c r="BO1619" s="16"/>
      <c r="BP1619" s="16"/>
      <c r="BQ1619" s="16"/>
      <c r="BR1619" s="16"/>
      <c r="BS1619" s="16"/>
      <c r="BT1619" s="77"/>
      <c r="BU1619" s="16"/>
      <c r="BV1619" s="16"/>
      <c r="BW1619" s="16"/>
      <c r="BX1619" s="16"/>
      <c r="BY1619" s="16"/>
      <c r="BZ1619" s="16"/>
      <c r="CA1619" s="16"/>
      <c r="CB1619" s="16"/>
      <c r="CC1619" s="16"/>
      <c r="CD1619" s="77"/>
      <c r="CE1619" s="16"/>
      <c r="CF1619" s="16"/>
      <c r="CG1619" s="16"/>
      <c r="CH1619" s="16"/>
      <c r="CI1619" s="16"/>
      <c r="CJ1619" s="16"/>
      <c r="CK1619" s="16"/>
      <c r="CL1619" s="16"/>
      <c r="CM1619" s="16"/>
      <c r="CN1619" s="16"/>
      <c r="CO1619" s="16"/>
      <c r="CP1619" s="16"/>
      <c r="CQ1619" s="16"/>
      <c r="CR1619" s="16"/>
      <c r="CS1619" s="16"/>
      <c r="CT1619" s="16"/>
      <c r="CU1619" s="16"/>
      <c r="CV1619" s="16"/>
      <c r="CW1619" s="16"/>
      <c r="CX1619" s="16"/>
      <c r="CY1619" s="16"/>
      <c r="CZ1619" s="16"/>
      <c r="DA1619" s="16"/>
      <c r="DB1619" s="16"/>
      <c r="DC1619" s="16"/>
      <c r="DD1619" s="16"/>
      <c r="DE1619" s="16"/>
      <c r="DF1619" s="16" t="e">
        <f>VLOOKUP(K1619,'[3]RNA Seq summary tables'!$V$3:$V$99,1,FALSE)</f>
        <v>#N/A</v>
      </c>
      <c r="DG1619" s="16"/>
      <c r="DH1619" s="16"/>
      <c r="DI1619" s="16"/>
      <c r="DJ1619" s="16"/>
      <c r="DK1619" s="16"/>
      <c r="DL1619" s="16"/>
      <c r="DM1619" s="16"/>
      <c r="DN1619" s="16"/>
      <c r="DO1619" s="16"/>
      <c r="DP1619" s="16"/>
      <c r="DQ1619" s="16"/>
      <c r="DR1619" s="16"/>
      <c r="DS1619" s="16"/>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18"/>
      <c r="EQ1619" s="18"/>
      <c r="ER1619" s="18"/>
      <c r="ES1619" s="18"/>
      <c r="ET1619" s="18"/>
      <c r="EU1619" s="18"/>
      <c r="EV1619" s="18"/>
      <c r="EW1619" s="18"/>
      <c r="EX1619" s="18"/>
      <c r="EY1619" s="18"/>
      <c r="EZ1619" s="18"/>
      <c r="FA1619" s="18"/>
      <c r="FB1619" s="18"/>
      <c r="FC1619" s="18"/>
      <c r="FD1619" s="18"/>
      <c r="FE1619" s="18"/>
      <c r="FF1619" s="18"/>
      <c r="FG1619" s="18"/>
      <c r="FH1619" s="18"/>
      <c r="FI1619" s="18"/>
      <c r="FJ1619" s="18"/>
      <c r="FK1619" s="18"/>
      <c r="FL1619" s="18"/>
      <c r="FM1619" s="18"/>
      <c r="FN1619" s="18"/>
      <c r="FO1619" s="18"/>
      <c r="FP1619" s="18"/>
      <c r="FQ1619" s="18"/>
      <c r="FR1619" s="18"/>
      <c r="FS1619" s="18"/>
      <c r="FT1619" s="18"/>
      <c r="FU1619" s="18"/>
      <c r="FV1619" s="18"/>
      <c r="FW1619" s="18"/>
      <c r="FX1619" s="18"/>
      <c r="FY1619" s="18"/>
      <c r="FZ1619" s="18"/>
      <c r="GA1619" s="18"/>
      <c r="GB1619" s="18"/>
      <c r="GC1619" s="18"/>
      <c r="GD1619" s="18"/>
      <c r="GE1619" s="18"/>
      <c r="GF1619" s="18"/>
      <c r="GG1619" s="18"/>
      <c r="GH1619" s="18"/>
      <c r="GI1619" s="18"/>
      <c r="GJ1619" s="18"/>
      <c r="GK1619" s="18"/>
      <c r="GL1619" s="18"/>
      <c r="GM1619" s="18"/>
      <c r="GN1619" s="18"/>
      <c r="GO1619" s="18"/>
      <c r="GP1619" s="18"/>
      <c r="GQ1619" s="18"/>
      <c r="GR1619" s="18"/>
      <c r="GS1619" s="18"/>
      <c r="GT1619" s="18"/>
      <c r="GU1619" s="18"/>
      <c r="GV1619" s="18"/>
      <c r="GW1619" s="18"/>
      <c r="GX1619" s="18"/>
      <c r="GY1619" s="18"/>
      <c r="GZ1619" s="18"/>
      <c r="HA1619" s="18"/>
      <c r="HB1619" s="18"/>
      <c r="HC1619" s="18"/>
      <c r="HD1619" s="18"/>
      <c r="HE1619" s="18"/>
      <c r="HF1619" s="18"/>
      <c r="HG1619" s="18"/>
      <c r="HH1619" s="18"/>
      <c r="HI1619" s="18"/>
      <c r="HJ1619" s="18"/>
      <c r="HK1619" s="18"/>
      <c r="HL1619" s="18"/>
      <c r="HM1619" s="18"/>
      <c r="HN1619" s="18"/>
      <c r="HO1619" s="18"/>
      <c r="HP1619" s="18"/>
      <c r="HQ1619" s="18"/>
      <c r="HR1619" s="18"/>
      <c r="HS1619" s="18"/>
      <c r="HT1619" s="18"/>
      <c r="HU1619" s="18"/>
      <c r="HV1619" s="18"/>
      <c r="HW1619" s="18"/>
      <c r="HX1619" s="18"/>
      <c r="HY1619" s="18"/>
      <c r="HZ1619" s="18"/>
      <c r="IA1619" s="18"/>
      <c r="IB1619" s="18"/>
      <c r="IC1619" s="18"/>
      <c r="ID1619" s="18"/>
      <c r="IE1619" s="18"/>
      <c r="IF1619" s="18"/>
      <c r="IG1619" s="18"/>
      <c r="IH1619" s="18"/>
      <c r="II1619" s="18"/>
      <c r="IJ1619" s="18"/>
      <c r="IK1619" s="18"/>
      <c r="IL1619" s="18"/>
      <c r="IM1619" s="18"/>
      <c r="IN1619" s="18"/>
      <c r="IO1619" s="18"/>
      <c r="IP1619" s="18"/>
      <c r="IQ1619" s="18"/>
      <c r="IR1619" s="18"/>
      <c r="IS1619" s="18"/>
      <c r="IT1619" s="18"/>
      <c r="IU1619" s="18"/>
      <c r="IV1619" s="18"/>
      <c r="IW1619" s="18"/>
      <c r="IX1619" s="18"/>
      <c r="IY1619" s="18"/>
      <c r="IZ1619" s="18"/>
      <c r="JA1619" s="18"/>
      <c r="JB1619" s="18"/>
      <c r="JC1619" s="18"/>
      <c r="JD1619" s="18"/>
      <c r="JE1619" s="18"/>
      <c r="JF1619" s="18"/>
      <c r="JG1619" s="18"/>
      <c r="JH1619" s="18"/>
      <c r="JI1619" s="18"/>
      <c r="JJ1619" s="18"/>
      <c r="JK1619" s="18"/>
      <c r="JL1619" s="18"/>
      <c r="JM1619" s="18"/>
      <c r="JN1619" s="18"/>
      <c r="JO1619" s="16"/>
      <c r="JP1619" s="16"/>
      <c r="JQ1619" s="16"/>
      <c r="JR1619" s="16"/>
      <c r="JS1619" s="16"/>
      <c r="JT1619" s="16"/>
      <c r="JU1619" s="16"/>
      <c r="JV1619" s="16"/>
      <c r="JW1619" s="16"/>
      <c r="JX1619" s="16"/>
      <c r="JY1619" s="16"/>
      <c r="JZ1619" s="16"/>
      <c r="KA1619" s="16"/>
      <c r="KB1619" s="16"/>
    </row>
    <row r="1620" spans="1:288" s="27" customFormat="1" x14ac:dyDescent="0.2">
      <c r="A1620" s="18"/>
      <c r="B1620" s="16">
        <v>2016</v>
      </c>
      <c r="C1620" s="20">
        <v>42567</v>
      </c>
      <c r="D1620" s="20" t="str">
        <f>CONCATENATE(J1620,"-",C1620)</f>
        <v>970-42567</v>
      </c>
      <c r="E1620" s="20" t="str">
        <f>CONCATENATE(T1620,"-",U1620,"-",C1620)</f>
        <v>SP1-G1-42567</v>
      </c>
      <c r="F1620" s="20" t="s">
        <v>106</v>
      </c>
      <c r="G1620" s="90" t="s">
        <v>278</v>
      </c>
      <c r="H1620" s="16"/>
      <c r="I1620" s="16"/>
      <c r="J1620" s="21">
        <v>970</v>
      </c>
      <c r="K1620" s="21"/>
      <c r="L1620" s="16"/>
      <c r="M1620" s="21"/>
      <c r="N1620" s="21"/>
      <c r="O1620" s="21"/>
      <c r="P1620" s="16"/>
      <c r="Q1620" s="16"/>
      <c r="R1620" s="16"/>
      <c r="S1620" s="16"/>
      <c r="T1620" s="16" t="s">
        <v>140</v>
      </c>
      <c r="U1620" s="16" t="s">
        <v>155</v>
      </c>
      <c r="V1620" s="16"/>
      <c r="W1620" s="16"/>
      <c r="X1620" s="16"/>
      <c r="Y1620" s="16"/>
      <c r="Z1620" s="16"/>
      <c r="AA1620" s="16"/>
      <c r="AB1620" s="16"/>
      <c r="AC1620" s="16"/>
      <c r="AD1620" s="16"/>
      <c r="AE1620" s="16"/>
      <c r="AF1620" s="16"/>
      <c r="AG1620" s="16"/>
      <c r="AH1620" s="16"/>
      <c r="AI1620" s="16"/>
      <c r="AJ1620" s="16"/>
      <c r="AK1620" s="16">
        <v>19</v>
      </c>
      <c r="AL1620" s="16"/>
      <c r="AM1620" s="16"/>
      <c r="AN1620" s="16"/>
      <c r="AO1620" s="16"/>
      <c r="AP1620" s="16"/>
      <c r="AQ1620" s="16"/>
      <c r="AR1620" s="16"/>
      <c r="AS1620" s="16"/>
      <c r="AT1620" s="16"/>
      <c r="AU1620" s="16"/>
      <c r="AV1620" s="16"/>
      <c r="AW1620" s="16"/>
      <c r="AX1620" s="16"/>
      <c r="AY1620" s="16"/>
      <c r="AZ1620" s="16"/>
      <c r="BA1620" s="16"/>
      <c r="BB1620" s="16"/>
      <c r="BC1620" s="16"/>
      <c r="BD1620" s="16"/>
      <c r="BE1620" s="16"/>
      <c r="BF1620" s="16"/>
      <c r="BG1620" s="77"/>
      <c r="BH1620" s="16"/>
      <c r="BI1620" s="16"/>
      <c r="BJ1620" s="16"/>
      <c r="BK1620" s="16"/>
      <c r="BL1620" s="16"/>
      <c r="BM1620" s="16"/>
      <c r="BN1620" s="16"/>
      <c r="BO1620" s="16"/>
      <c r="BP1620" s="16"/>
      <c r="BQ1620" s="16"/>
      <c r="BR1620" s="16"/>
      <c r="BS1620" s="16"/>
      <c r="BT1620" s="77"/>
      <c r="BU1620" s="16"/>
      <c r="BV1620" s="16"/>
      <c r="BW1620" s="16"/>
      <c r="BX1620" s="16"/>
      <c r="BY1620" s="16"/>
      <c r="BZ1620" s="16"/>
      <c r="CA1620" s="16"/>
      <c r="CB1620" s="16"/>
      <c r="CC1620" s="16"/>
      <c r="CD1620" s="77"/>
      <c r="CE1620" s="16"/>
      <c r="CF1620" s="16"/>
      <c r="CG1620" s="16"/>
      <c r="CH1620" s="16"/>
      <c r="CI1620" s="16"/>
      <c r="CJ1620" s="16"/>
      <c r="CK1620" s="16"/>
      <c r="CL1620" s="16"/>
      <c r="CM1620" s="16"/>
      <c r="CN1620" s="16"/>
      <c r="CO1620" s="16"/>
      <c r="CP1620" s="16"/>
      <c r="CQ1620" s="16"/>
      <c r="CR1620" s="16"/>
      <c r="CS1620" s="16"/>
      <c r="CT1620" s="16"/>
      <c r="CU1620" s="16"/>
      <c r="CV1620" s="16"/>
      <c r="CW1620" s="16"/>
      <c r="CX1620" s="16"/>
      <c r="CY1620" s="16"/>
      <c r="CZ1620" s="16"/>
      <c r="DA1620" s="16"/>
      <c r="DB1620" s="16"/>
      <c r="DC1620" s="16"/>
      <c r="DD1620" s="16"/>
      <c r="DE1620" s="16"/>
      <c r="DF1620" s="16" t="e">
        <f>VLOOKUP(K1620,'[3]RNA Seq summary tables'!$V$3:$V$99,1,FALSE)</f>
        <v>#N/A</v>
      </c>
      <c r="DG1620" s="16"/>
      <c r="DH1620" s="16"/>
      <c r="DI1620" s="16"/>
      <c r="DJ1620" s="16"/>
      <c r="DK1620" s="16"/>
      <c r="DL1620" s="16"/>
      <c r="DM1620" s="16"/>
      <c r="DN1620" s="16"/>
      <c r="DO1620" s="16"/>
      <c r="DP1620" s="16"/>
      <c r="DQ1620" s="16"/>
      <c r="DR1620" s="16"/>
      <c r="DS1620" s="16"/>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18"/>
      <c r="EQ1620" s="18"/>
      <c r="ER1620" s="18"/>
      <c r="ES1620" s="18"/>
      <c r="ET1620" s="18"/>
      <c r="EU1620" s="18"/>
      <c r="EV1620" s="18"/>
      <c r="EW1620" s="18"/>
      <c r="EX1620" s="18"/>
      <c r="EY1620" s="18"/>
      <c r="EZ1620" s="18"/>
      <c r="FA1620" s="18"/>
      <c r="FB1620" s="18"/>
      <c r="FC1620" s="18"/>
      <c r="FD1620" s="18"/>
      <c r="FE1620" s="18"/>
      <c r="FF1620" s="18"/>
      <c r="FG1620" s="18"/>
      <c r="FH1620" s="18"/>
      <c r="FI1620" s="18"/>
      <c r="FJ1620" s="18"/>
      <c r="FK1620" s="18"/>
      <c r="FL1620" s="18"/>
      <c r="FM1620" s="18"/>
      <c r="FN1620" s="18"/>
      <c r="FO1620" s="18"/>
      <c r="FP1620" s="18"/>
      <c r="FQ1620" s="18"/>
      <c r="FR1620" s="18"/>
      <c r="FS1620" s="18"/>
      <c r="FT1620" s="18"/>
      <c r="FU1620" s="18"/>
      <c r="FV1620" s="18"/>
      <c r="FW1620" s="18"/>
      <c r="FX1620" s="18"/>
      <c r="FY1620" s="18"/>
      <c r="FZ1620" s="18"/>
      <c r="GA1620" s="18"/>
      <c r="GB1620" s="18"/>
      <c r="GC1620" s="18"/>
      <c r="GD1620" s="18"/>
      <c r="GE1620" s="18"/>
      <c r="GF1620" s="18"/>
      <c r="GG1620" s="18"/>
      <c r="GH1620" s="18"/>
      <c r="GI1620" s="18"/>
      <c r="GJ1620" s="18"/>
      <c r="GK1620" s="18"/>
      <c r="GL1620" s="18"/>
      <c r="GM1620" s="18"/>
      <c r="GN1620" s="18"/>
      <c r="GO1620" s="18"/>
      <c r="GP1620" s="18"/>
      <c r="GQ1620" s="18"/>
      <c r="GR1620" s="18"/>
      <c r="GS1620" s="18"/>
      <c r="GT1620" s="18"/>
      <c r="GU1620" s="18"/>
      <c r="GV1620" s="18"/>
      <c r="GW1620" s="18"/>
      <c r="GX1620" s="18"/>
      <c r="GY1620" s="18"/>
      <c r="GZ1620" s="18"/>
      <c r="HA1620" s="18"/>
      <c r="HB1620" s="18"/>
      <c r="HC1620" s="18"/>
      <c r="HD1620" s="18"/>
      <c r="HE1620" s="18"/>
      <c r="HF1620" s="18"/>
      <c r="HG1620" s="18"/>
      <c r="HH1620" s="18"/>
      <c r="HI1620" s="18"/>
      <c r="HJ1620" s="18"/>
      <c r="HK1620" s="18"/>
      <c r="HL1620" s="18"/>
      <c r="HM1620" s="18"/>
      <c r="HN1620" s="18"/>
      <c r="HO1620" s="18"/>
      <c r="HP1620" s="18"/>
      <c r="HQ1620" s="18"/>
      <c r="HR1620" s="18"/>
      <c r="HS1620" s="18"/>
      <c r="HT1620" s="18"/>
      <c r="HU1620" s="18"/>
      <c r="HV1620" s="18"/>
      <c r="HW1620" s="18"/>
      <c r="HX1620" s="18"/>
      <c r="HY1620" s="18"/>
      <c r="HZ1620" s="18"/>
      <c r="IA1620" s="18"/>
      <c r="IB1620" s="18"/>
      <c r="IC1620" s="18"/>
      <c r="ID1620" s="18"/>
      <c r="IE1620" s="18"/>
      <c r="IF1620" s="18"/>
      <c r="IG1620" s="18"/>
      <c r="IH1620" s="18"/>
      <c r="II1620" s="18"/>
      <c r="IJ1620" s="18"/>
      <c r="IK1620" s="18"/>
      <c r="IL1620" s="18"/>
      <c r="IM1620" s="18"/>
      <c r="IN1620" s="18"/>
      <c r="IO1620" s="18"/>
      <c r="IP1620" s="18"/>
      <c r="IQ1620" s="18"/>
      <c r="IR1620" s="18"/>
      <c r="IS1620" s="18"/>
      <c r="IT1620" s="18"/>
      <c r="IU1620" s="18"/>
      <c r="IV1620" s="18"/>
      <c r="IW1620" s="18"/>
      <c r="IX1620" s="18"/>
      <c r="IY1620" s="18"/>
      <c r="IZ1620" s="18"/>
      <c r="JA1620" s="18"/>
      <c r="JB1620" s="18"/>
      <c r="JC1620" s="18"/>
      <c r="JD1620" s="18"/>
      <c r="JE1620" s="18"/>
      <c r="JF1620" s="18"/>
      <c r="JG1620" s="18"/>
      <c r="JH1620" s="18"/>
      <c r="JI1620" s="18"/>
      <c r="JJ1620" s="18"/>
      <c r="JK1620" s="18"/>
      <c r="JL1620" s="18"/>
      <c r="JM1620" s="18"/>
      <c r="JN1620" s="18"/>
      <c r="JO1620" s="16"/>
      <c r="JP1620" s="16"/>
      <c r="JQ1620" s="16"/>
      <c r="JR1620" s="16"/>
      <c r="JS1620" s="16"/>
      <c r="JT1620" s="16"/>
      <c r="JU1620" s="16"/>
      <c r="JV1620" s="16"/>
      <c r="JW1620" s="16"/>
      <c r="JX1620" s="16"/>
      <c r="JY1620" s="16"/>
      <c r="JZ1620" s="16"/>
      <c r="KA1620" s="16"/>
      <c r="KB1620" s="16"/>
    </row>
    <row r="1621" spans="1:288" s="27" customFormat="1" x14ac:dyDescent="0.2">
      <c r="A1621" s="18"/>
      <c r="B1621" s="16">
        <v>2016</v>
      </c>
      <c r="C1621" s="20">
        <v>42539</v>
      </c>
      <c r="D1621" s="20" t="str">
        <f>CONCATENATE(J1621,"-",C1621)</f>
        <v>971-42539</v>
      </c>
      <c r="E1621" s="20" t="str">
        <f>CONCATENATE(T1621,"-",U1621,"-",C1621)</f>
        <v>SP1-G8-42539</v>
      </c>
      <c r="F1621" s="20" t="s">
        <v>106</v>
      </c>
      <c r="G1621" s="90" t="s">
        <v>278</v>
      </c>
      <c r="H1621" s="16"/>
      <c r="I1621" s="16"/>
      <c r="J1621" s="21">
        <v>971</v>
      </c>
      <c r="K1621" s="21"/>
      <c r="L1621" s="16"/>
      <c r="M1621" s="21"/>
      <c r="N1621" s="21"/>
      <c r="O1621" s="21"/>
      <c r="P1621" s="16"/>
      <c r="Q1621" s="16"/>
      <c r="R1621" s="16"/>
      <c r="S1621" s="16"/>
      <c r="T1621" s="16" t="s">
        <v>140</v>
      </c>
      <c r="U1621" s="16" t="s">
        <v>216</v>
      </c>
      <c r="V1621" s="16" t="s">
        <v>114</v>
      </c>
      <c r="W1621" s="16"/>
      <c r="X1621" s="16" t="s">
        <v>121</v>
      </c>
      <c r="Y1621" s="16" t="s">
        <v>122</v>
      </c>
      <c r="Z1621" s="16">
        <v>2.6</v>
      </c>
      <c r="AA1621" s="16" t="s">
        <v>119</v>
      </c>
      <c r="AB1621" s="16" t="s">
        <v>123</v>
      </c>
      <c r="AC1621" s="16" t="s">
        <v>123</v>
      </c>
      <c r="AD1621" s="16" t="s">
        <v>123</v>
      </c>
      <c r="AE1621" s="16"/>
      <c r="AF1621" s="16"/>
      <c r="AG1621" s="16"/>
      <c r="AH1621" s="16"/>
      <c r="AI1621" s="16"/>
      <c r="AJ1621" s="16"/>
      <c r="AK1621" s="16">
        <v>16</v>
      </c>
      <c r="AL1621" s="16">
        <v>0</v>
      </c>
      <c r="AM1621" s="16">
        <v>0</v>
      </c>
      <c r="AN1621" s="16">
        <v>0</v>
      </c>
      <c r="AO1621" s="16">
        <f>IF(SUM(AL1621:AN1621)&gt;0,1,0)</f>
        <v>0</v>
      </c>
      <c r="AP1621" s="16">
        <f>SUM(AL1621:AN1621)</f>
        <v>0</v>
      </c>
      <c r="AQ1621" s="16"/>
      <c r="AR1621" s="16"/>
      <c r="AS1621" s="16"/>
      <c r="AT1621" s="16"/>
      <c r="AU1621" s="16"/>
      <c r="AV1621" s="16"/>
      <c r="AW1621" s="16"/>
      <c r="AX1621" s="16"/>
      <c r="AY1621" s="16"/>
      <c r="AZ1621" s="16"/>
      <c r="BA1621" s="16"/>
      <c r="BB1621" s="16"/>
      <c r="BC1621" s="16"/>
      <c r="BD1621" s="16"/>
      <c r="BE1621" s="16"/>
      <c r="BF1621" s="16"/>
      <c r="BG1621" s="77"/>
      <c r="BH1621" s="16"/>
      <c r="BI1621" s="16"/>
      <c r="BJ1621" s="16"/>
      <c r="BK1621" s="16"/>
      <c r="BL1621" s="16"/>
      <c r="BM1621" s="16"/>
      <c r="BN1621" s="16"/>
      <c r="BO1621" s="16"/>
      <c r="BP1621" s="16"/>
      <c r="BQ1621" s="16"/>
      <c r="BR1621" s="16"/>
      <c r="BS1621" s="16"/>
      <c r="BT1621" s="77"/>
      <c r="BU1621" s="16"/>
      <c r="BV1621" s="16"/>
      <c r="BW1621" s="16"/>
      <c r="BX1621" s="16"/>
      <c r="BY1621" s="16"/>
      <c r="BZ1621" s="16"/>
      <c r="CA1621" s="16"/>
      <c r="CB1621" s="16"/>
      <c r="CC1621" s="16"/>
      <c r="CD1621" s="77"/>
      <c r="CE1621" s="16"/>
      <c r="CF1621" s="16"/>
      <c r="CG1621" s="16"/>
      <c r="CH1621" s="16"/>
      <c r="CI1621" s="16"/>
      <c r="CJ1621" s="16"/>
      <c r="CK1621" s="16"/>
      <c r="CL1621" s="16"/>
      <c r="CM1621" s="16"/>
      <c r="CN1621" s="16"/>
      <c r="CO1621" s="16"/>
      <c r="CP1621" s="16"/>
      <c r="CQ1621" s="16"/>
      <c r="CR1621" s="16"/>
      <c r="CS1621" s="16"/>
      <c r="CT1621" s="16"/>
      <c r="CU1621" s="16"/>
      <c r="CV1621" s="16"/>
      <c r="CW1621" s="16"/>
      <c r="CX1621" s="16"/>
      <c r="CY1621" s="16"/>
      <c r="CZ1621" s="16"/>
      <c r="DA1621" s="16"/>
      <c r="DB1621" s="16"/>
      <c r="DC1621" s="16"/>
      <c r="DD1621" s="16"/>
      <c r="DE1621" s="16"/>
      <c r="DF1621" s="16" t="e">
        <f>VLOOKUP(K1621,'[3]RNA Seq summary tables'!$V$3:$V$99,1,FALSE)</f>
        <v>#N/A</v>
      </c>
      <c r="DG1621" s="16"/>
      <c r="DH1621" s="16"/>
      <c r="DI1621" s="16"/>
      <c r="DJ1621" s="16"/>
      <c r="DK1621" s="16"/>
      <c r="DL1621" s="16"/>
      <c r="DM1621" s="16"/>
      <c r="DN1621" s="16"/>
      <c r="DO1621" s="16"/>
      <c r="DP1621" s="16"/>
      <c r="DQ1621" s="16"/>
      <c r="DR1621" s="16"/>
      <c r="DS1621" s="16"/>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18"/>
      <c r="EQ1621" s="18"/>
      <c r="ER1621" s="18"/>
      <c r="ES1621" s="18"/>
      <c r="ET1621" s="18"/>
      <c r="EU1621" s="18"/>
      <c r="EV1621" s="18"/>
      <c r="EW1621" s="18"/>
      <c r="EX1621" s="18"/>
      <c r="EY1621" s="18"/>
      <c r="EZ1621" s="18"/>
      <c r="FA1621" s="18"/>
      <c r="FB1621" s="18"/>
      <c r="FC1621" s="18"/>
      <c r="FD1621" s="18"/>
      <c r="FE1621" s="18"/>
      <c r="FF1621" s="18"/>
      <c r="FG1621" s="18"/>
      <c r="FH1621" s="18"/>
      <c r="FI1621" s="18"/>
      <c r="FJ1621" s="18"/>
      <c r="FK1621" s="18"/>
      <c r="FL1621" s="18"/>
      <c r="FM1621" s="18"/>
      <c r="FN1621" s="18"/>
      <c r="FO1621" s="18"/>
      <c r="FP1621" s="18"/>
      <c r="FQ1621" s="18"/>
      <c r="FR1621" s="18"/>
      <c r="FS1621" s="18"/>
      <c r="FT1621" s="18"/>
      <c r="FU1621" s="18"/>
      <c r="FV1621" s="18"/>
      <c r="FW1621" s="18"/>
      <c r="FX1621" s="18"/>
      <c r="FY1621" s="18"/>
      <c r="FZ1621" s="18"/>
      <c r="GA1621" s="18"/>
      <c r="GB1621" s="18"/>
      <c r="GC1621" s="18"/>
      <c r="GD1621" s="18"/>
      <c r="GE1621" s="18"/>
      <c r="GF1621" s="18"/>
      <c r="GG1621" s="18"/>
      <c r="GH1621" s="18"/>
      <c r="GI1621" s="18"/>
      <c r="GJ1621" s="18"/>
      <c r="GK1621" s="18"/>
      <c r="GL1621" s="18"/>
      <c r="GM1621" s="18"/>
      <c r="GN1621" s="18"/>
      <c r="GO1621" s="18"/>
      <c r="GP1621" s="18"/>
      <c r="GQ1621" s="18"/>
      <c r="GR1621" s="18"/>
      <c r="GS1621" s="18"/>
      <c r="GT1621" s="18"/>
      <c r="GU1621" s="18"/>
      <c r="GV1621" s="18"/>
      <c r="GW1621" s="18"/>
      <c r="GX1621" s="18"/>
      <c r="GY1621" s="18"/>
      <c r="GZ1621" s="18"/>
      <c r="HA1621" s="18"/>
      <c r="HB1621" s="18"/>
      <c r="HC1621" s="18"/>
      <c r="HD1621" s="18"/>
      <c r="HE1621" s="18"/>
      <c r="HF1621" s="18"/>
      <c r="HG1621" s="18"/>
      <c r="HH1621" s="18"/>
      <c r="HI1621" s="18"/>
      <c r="HJ1621" s="18"/>
      <c r="HK1621" s="18"/>
      <c r="HL1621" s="18"/>
      <c r="HM1621" s="18"/>
      <c r="HN1621" s="18"/>
      <c r="HO1621" s="18"/>
      <c r="HP1621" s="18"/>
      <c r="HQ1621" s="18"/>
      <c r="HR1621" s="18"/>
      <c r="HS1621" s="18"/>
      <c r="HT1621" s="18"/>
      <c r="HU1621" s="18"/>
      <c r="HV1621" s="18"/>
      <c r="HW1621" s="18"/>
      <c r="HX1621" s="18"/>
      <c r="HY1621" s="18"/>
      <c r="HZ1621" s="18"/>
      <c r="IA1621" s="18"/>
      <c r="IB1621" s="18"/>
      <c r="IC1621" s="18"/>
      <c r="ID1621" s="18"/>
      <c r="IE1621" s="18"/>
      <c r="IF1621" s="18"/>
      <c r="IG1621" s="18"/>
      <c r="IH1621" s="18"/>
      <c r="II1621" s="18"/>
      <c r="IJ1621" s="18"/>
      <c r="IK1621" s="18"/>
      <c r="IL1621" s="18"/>
      <c r="IM1621" s="18"/>
      <c r="IN1621" s="18"/>
      <c r="IO1621" s="18"/>
      <c r="IP1621" s="18"/>
      <c r="IQ1621" s="18"/>
      <c r="IR1621" s="18"/>
      <c r="IS1621" s="18"/>
      <c r="IT1621" s="18"/>
      <c r="IU1621" s="18"/>
      <c r="IV1621" s="18"/>
      <c r="IW1621" s="18"/>
      <c r="IX1621" s="18"/>
      <c r="IY1621" s="18"/>
      <c r="IZ1621" s="18"/>
      <c r="JA1621" s="18"/>
      <c r="JB1621" s="18"/>
      <c r="JC1621" s="18"/>
      <c r="JD1621" s="18"/>
      <c r="JE1621" s="18"/>
      <c r="JF1621" s="18"/>
      <c r="JG1621" s="18"/>
      <c r="JH1621" s="18"/>
      <c r="JI1621" s="18"/>
      <c r="JJ1621" s="18"/>
      <c r="JK1621" s="18"/>
      <c r="JL1621" s="18"/>
      <c r="JM1621" s="18"/>
      <c r="JN1621" s="18"/>
      <c r="JO1621" s="16"/>
      <c r="JP1621" s="16"/>
      <c r="JQ1621" s="16"/>
      <c r="JR1621" s="38"/>
      <c r="JS1621" s="38"/>
      <c r="JT1621" s="38"/>
      <c r="JU1621" s="38"/>
      <c r="JV1621" s="38"/>
      <c r="JW1621" s="38"/>
      <c r="JX1621" s="38"/>
      <c r="JY1621" s="38"/>
      <c r="JZ1621" s="38"/>
      <c r="KA1621" s="38"/>
      <c r="KB1621" s="38"/>
    </row>
    <row r="1622" spans="1:288" s="27" customFormat="1" x14ac:dyDescent="0.2">
      <c r="A1622" s="18"/>
      <c r="B1622" s="16">
        <v>2016</v>
      </c>
      <c r="C1622" s="20">
        <v>42552</v>
      </c>
      <c r="D1622" s="20" t="str">
        <f>CONCATENATE(J1622,"-",C1622)</f>
        <v>972-42552</v>
      </c>
      <c r="E1622" s="20" t="str">
        <f>CONCATENATE(T1622,"-",U1622,"-",C1622)</f>
        <v>SP2-G1-42552</v>
      </c>
      <c r="F1622" s="20" t="s">
        <v>106</v>
      </c>
      <c r="G1622" s="90" t="s">
        <v>278</v>
      </c>
      <c r="H1622" s="16"/>
      <c r="I1622" s="16"/>
      <c r="J1622" s="21">
        <v>972</v>
      </c>
      <c r="K1622" s="21"/>
      <c r="L1622" s="16"/>
      <c r="M1622" s="21"/>
      <c r="N1622" s="21"/>
      <c r="O1622" s="21"/>
      <c r="P1622" s="16"/>
      <c r="Q1622" s="16"/>
      <c r="R1622" s="16"/>
      <c r="S1622" s="16"/>
      <c r="T1622" s="16" t="s">
        <v>137</v>
      </c>
      <c r="U1622" s="16" t="s">
        <v>155</v>
      </c>
      <c r="V1622" s="16"/>
      <c r="W1622" s="16"/>
      <c r="X1622" s="16"/>
      <c r="Y1622" s="16"/>
      <c r="Z1622" s="16"/>
      <c r="AA1622" s="16"/>
      <c r="AB1622" s="16"/>
      <c r="AC1622" s="16"/>
      <c r="AD1622" s="16"/>
      <c r="AE1622" s="16"/>
      <c r="AF1622" s="16"/>
      <c r="AG1622" s="16"/>
      <c r="AH1622" s="16"/>
      <c r="AI1622" s="16"/>
      <c r="AJ1622" s="16"/>
      <c r="AK1622" s="16">
        <v>17.5</v>
      </c>
      <c r="AL1622" s="16"/>
      <c r="AM1622" s="16"/>
      <c r="AN1622" s="16"/>
      <c r="AO1622" s="16"/>
      <c r="AP1622" s="16"/>
      <c r="AQ1622" s="16"/>
      <c r="AR1622" s="16"/>
      <c r="AS1622" s="16"/>
      <c r="AT1622" s="16"/>
      <c r="AU1622" s="16"/>
      <c r="AV1622" s="16"/>
      <c r="AW1622" s="16"/>
      <c r="AX1622" s="16"/>
      <c r="AY1622" s="16"/>
      <c r="AZ1622" s="16"/>
      <c r="BA1622" s="16"/>
      <c r="BB1622" s="16"/>
      <c r="BC1622" s="16"/>
      <c r="BD1622" s="16"/>
      <c r="BE1622" s="16"/>
      <c r="BF1622" s="16"/>
      <c r="BG1622" s="77"/>
      <c r="BH1622" s="16"/>
      <c r="BI1622" s="16"/>
      <c r="BJ1622" s="16"/>
      <c r="BK1622" s="16"/>
      <c r="BL1622" s="16"/>
      <c r="BM1622" s="16"/>
      <c r="BN1622" s="16"/>
      <c r="BO1622" s="16"/>
      <c r="BP1622" s="16"/>
      <c r="BQ1622" s="16"/>
      <c r="BR1622" s="16"/>
      <c r="BS1622" s="16"/>
      <c r="BT1622" s="77"/>
      <c r="BU1622" s="16"/>
      <c r="BV1622" s="16"/>
      <c r="BW1622" s="16"/>
      <c r="BX1622" s="16"/>
      <c r="BY1622" s="16"/>
      <c r="BZ1622" s="16"/>
      <c r="CA1622" s="16"/>
      <c r="CB1622" s="16"/>
      <c r="CC1622" s="16"/>
      <c r="CD1622" s="77"/>
      <c r="CE1622" s="16"/>
      <c r="CF1622" s="16"/>
      <c r="CG1622" s="16"/>
      <c r="CH1622" s="16"/>
      <c r="CI1622" s="16"/>
      <c r="CJ1622" s="16"/>
      <c r="CK1622" s="16"/>
      <c r="CL1622" s="16"/>
      <c r="CM1622" s="16"/>
      <c r="CN1622" s="16"/>
      <c r="CO1622" s="16"/>
      <c r="CP1622" s="16"/>
      <c r="CQ1622" s="16"/>
      <c r="CR1622" s="16"/>
      <c r="CS1622" s="16"/>
      <c r="CT1622" s="16"/>
      <c r="CU1622" s="16"/>
      <c r="CV1622" s="16"/>
      <c r="CW1622" s="16"/>
      <c r="CX1622" s="16"/>
      <c r="CY1622" s="16"/>
      <c r="CZ1622" s="16"/>
      <c r="DA1622" s="16"/>
      <c r="DB1622" s="16"/>
      <c r="DC1622" s="16"/>
      <c r="DD1622" s="16"/>
      <c r="DE1622" s="16"/>
      <c r="DF1622" s="16" t="e">
        <f>VLOOKUP(K1622,'[3]RNA Seq summary tables'!$V$3:$V$99,1,FALSE)</f>
        <v>#N/A</v>
      </c>
      <c r="DG1622" s="16"/>
      <c r="DH1622" s="16"/>
      <c r="DI1622" s="16"/>
      <c r="DJ1622" s="16"/>
      <c r="DK1622" s="16"/>
      <c r="DL1622" s="16"/>
      <c r="DM1622" s="16"/>
      <c r="DN1622" s="16"/>
      <c r="DO1622" s="16"/>
      <c r="DP1622" s="16"/>
      <c r="DQ1622" s="16"/>
      <c r="DR1622" s="16"/>
      <c r="DS1622" s="16"/>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18"/>
      <c r="EQ1622" s="18"/>
      <c r="ER1622" s="18"/>
      <c r="ES1622" s="18"/>
      <c r="ET1622" s="18"/>
      <c r="EU1622" s="18"/>
      <c r="EV1622" s="18"/>
      <c r="EW1622" s="18"/>
      <c r="EX1622" s="18"/>
      <c r="EY1622" s="18"/>
      <c r="EZ1622" s="18"/>
      <c r="FA1622" s="18"/>
      <c r="FB1622" s="18"/>
      <c r="FC1622" s="18"/>
      <c r="FD1622" s="18"/>
      <c r="FE1622" s="18"/>
      <c r="FF1622" s="18"/>
      <c r="FG1622" s="18"/>
      <c r="FH1622" s="18"/>
      <c r="FI1622" s="18"/>
      <c r="FJ1622" s="18"/>
      <c r="FK1622" s="18"/>
      <c r="FL1622" s="18"/>
      <c r="FM1622" s="18"/>
      <c r="FN1622" s="18"/>
      <c r="FO1622" s="18"/>
      <c r="FP1622" s="18"/>
      <c r="FQ1622" s="18"/>
      <c r="FR1622" s="18"/>
      <c r="FS1622" s="18"/>
      <c r="FT1622" s="18"/>
      <c r="FU1622" s="18"/>
      <c r="FV1622" s="18"/>
      <c r="FW1622" s="18"/>
      <c r="FX1622" s="18"/>
      <c r="FY1622" s="18"/>
      <c r="FZ1622" s="18"/>
      <c r="GA1622" s="18"/>
      <c r="GB1622" s="18"/>
      <c r="GC1622" s="18"/>
      <c r="GD1622" s="18"/>
      <c r="GE1622" s="18"/>
      <c r="GF1622" s="18"/>
      <c r="GG1622" s="18"/>
      <c r="GH1622" s="18"/>
      <c r="GI1622" s="18"/>
      <c r="GJ1622" s="18"/>
      <c r="GK1622" s="18"/>
      <c r="GL1622" s="18"/>
      <c r="GM1622" s="18"/>
      <c r="GN1622" s="18"/>
      <c r="GO1622" s="18"/>
      <c r="GP1622" s="18"/>
      <c r="GQ1622" s="18"/>
      <c r="GR1622" s="18"/>
      <c r="GS1622" s="18"/>
      <c r="GT1622" s="18"/>
      <c r="GU1622" s="18"/>
      <c r="GV1622" s="18"/>
      <c r="GW1622" s="18"/>
      <c r="GX1622" s="18"/>
      <c r="GY1622" s="18"/>
      <c r="GZ1622" s="18"/>
      <c r="HA1622" s="18"/>
      <c r="HB1622" s="18"/>
      <c r="HC1622" s="18"/>
      <c r="HD1622" s="18"/>
      <c r="HE1622" s="18"/>
      <c r="HF1622" s="18"/>
      <c r="HG1622" s="18"/>
      <c r="HH1622" s="18"/>
      <c r="HI1622" s="18"/>
      <c r="HJ1622" s="18"/>
      <c r="HK1622" s="18"/>
      <c r="HL1622" s="18"/>
      <c r="HM1622" s="18"/>
      <c r="HN1622" s="18"/>
      <c r="HO1622" s="18"/>
      <c r="HP1622" s="18"/>
      <c r="HQ1622" s="18"/>
      <c r="HR1622" s="18"/>
      <c r="HS1622" s="18"/>
      <c r="HT1622" s="18"/>
      <c r="HU1622" s="18"/>
      <c r="HV1622" s="18"/>
      <c r="HW1622" s="18"/>
      <c r="HX1622" s="18"/>
      <c r="HY1622" s="18"/>
      <c r="HZ1622" s="18"/>
      <c r="IA1622" s="18"/>
      <c r="IB1622" s="18"/>
      <c r="IC1622" s="18"/>
      <c r="ID1622" s="18"/>
      <c r="IE1622" s="18"/>
      <c r="IF1622" s="18"/>
      <c r="IG1622" s="18"/>
      <c r="IH1622" s="18"/>
      <c r="II1622" s="18"/>
      <c r="IJ1622" s="18"/>
      <c r="IK1622" s="18"/>
      <c r="IL1622" s="18"/>
      <c r="IM1622" s="18"/>
      <c r="IN1622" s="18"/>
      <c r="IO1622" s="18"/>
      <c r="IP1622" s="18"/>
      <c r="IQ1622" s="18"/>
      <c r="IR1622" s="18"/>
      <c r="IS1622" s="18"/>
      <c r="IT1622" s="18"/>
      <c r="IU1622" s="18"/>
      <c r="IV1622" s="18"/>
      <c r="IW1622" s="18"/>
      <c r="IX1622" s="18"/>
      <c r="IY1622" s="18"/>
      <c r="IZ1622" s="18"/>
      <c r="JA1622" s="18"/>
      <c r="JB1622" s="18"/>
      <c r="JC1622" s="18"/>
      <c r="JD1622" s="18"/>
      <c r="JE1622" s="18"/>
      <c r="JF1622" s="18"/>
      <c r="JG1622" s="18"/>
      <c r="JH1622" s="18"/>
      <c r="JI1622" s="18"/>
      <c r="JJ1622" s="18"/>
      <c r="JK1622" s="18"/>
      <c r="JL1622" s="18"/>
      <c r="JM1622" s="18"/>
      <c r="JN1622" s="18"/>
      <c r="JO1622" s="16"/>
      <c r="JP1622" s="16"/>
      <c r="JQ1622" s="16"/>
      <c r="JR1622" s="16"/>
      <c r="JS1622" s="16"/>
      <c r="JT1622" s="16"/>
      <c r="JU1622" s="16"/>
      <c r="JV1622" s="16"/>
      <c r="JW1622" s="16"/>
      <c r="JX1622" s="16"/>
      <c r="JY1622" s="16"/>
      <c r="JZ1622" s="16"/>
      <c r="KA1622" s="16"/>
      <c r="KB1622" s="16"/>
    </row>
    <row r="1623" spans="1:288" s="27" customFormat="1" x14ac:dyDescent="0.2">
      <c r="A1623" s="18"/>
      <c r="B1623" s="16">
        <v>2016</v>
      </c>
      <c r="C1623" s="20">
        <v>42553</v>
      </c>
      <c r="D1623" s="20" t="str">
        <f>CONCATENATE(J1623,"-",C1623)</f>
        <v>972-42553</v>
      </c>
      <c r="E1623" s="20" t="str">
        <f>CONCATENATE(T1623,"-",U1623,"-",C1623)</f>
        <v>SP2-D1-42553</v>
      </c>
      <c r="F1623" s="20" t="s">
        <v>106</v>
      </c>
      <c r="G1623" s="90" t="s">
        <v>278</v>
      </c>
      <c r="H1623" s="16"/>
      <c r="I1623" s="16"/>
      <c r="J1623" s="21">
        <v>972</v>
      </c>
      <c r="K1623" s="21"/>
      <c r="L1623" s="16"/>
      <c r="M1623" s="21"/>
      <c r="N1623" s="21"/>
      <c r="O1623" s="21"/>
      <c r="P1623" s="16"/>
      <c r="Q1623" s="16"/>
      <c r="R1623" s="16"/>
      <c r="S1623" s="16"/>
      <c r="T1623" s="16" t="s">
        <v>137</v>
      </c>
      <c r="U1623" s="16" t="s">
        <v>157</v>
      </c>
      <c r="V1623" s="16"/>
      <c r="W1623" s="16"/>
      <c r="X1623" s="16"/>
      <c r="Y1623" s="16"/>
      <c r="Z1623" s="16"/>
      <c r="AA1623" s="16"/>
      <c r="AB1623" s="16"/>
      <c r="AC1623" s="16"/>
      <c r="AD1623" s="16"/>
      <c r="AE1623" s="16"/>
      <c r="AF1623" s="16"/>
      <c r="AG1623" s="16"/>
      <c r="AH1623" s="16"/>
      <c r="AI1623" s="16"/>
      <c r="AJ1623" s="16"/>
      <c r="AK1623" s="16">
        <v>15.5</v>
      </c>
      <c r="AL1623" s="16"/>
      <c r="AM1623" s="16"/>
      <c r="AN1623" s="16"/>
      <c r="AO1623" s="16"/>
      <c r="AP1623" s="16"/>
      <c r="AQ1623" s="16"/>
      <c r="AR1623" s="16"/>
      <c r="AS1623" s="16"/>
      <c r="AT1623" s="16"/>
      <c r="AU1623" s="16"/>
      <c r="AV1623" s="16"/>
      <c r="AW1623" s="16"/>
      <c r="AX1623" s="16"/>
      <c r="AY1623" s="16"/>
      <c r="AZ1623" s="16"/>
      <c r="BA1623" s="16"/>
      <c r="BB1623" s="16"/>
      <c r="BC1623" s="16"/>
      <c r="BD1623" s="16"/>
      <c r="BE1623" s="16"/>
      <c r="BF1623" s="16"/>
      <c r="BG1623" s="77"/>
      <c r="BH1623" s="16"/>
      <c r="BI1623" s="16"/>
      <c r="BJ1623" s="16"/>
      <c r="BK1623" s="16"/>
      <c r="BL1623" s="16"/>
      <c r="BM1623" s="16"/>
      <c r="BN1623" s="16"/>
      <c r="BO1623" s="16"/>
      <c r="BP1623" s="16"/>
      <c r="BQ1623" s="16"/>
      <c r="BR1623" s="16"/>
      <c r="BS1623" s="16"/>
      <c r="BT1623" s="77"/>
      <c r="BU1623" s="16"/>
      <c r="BV1623" s="16"/>
      <c r="BW1623" s="16"/>
      <c r="BX1623" s="16"/>
      <c r="BY1623" s="16"/>
      <c r="BZ1623" s="16"/>
      <c r="CA1623" s="16"/>
      <c r="CB1623" s="16"/>
      <c r="CC1623" s="16"/>
      <c r="CD1623" s="77"/>
      <c r="CE1623" s="16"/>
      <c r="CF1623" s="16"/>
      <c r="CG1623" s="16"/>
      <c r="CH1623" s="16"/>
      <c r="CI1623" s="16"/>
      <c r="CJ1623" s="16"/>
      <c r="CK1623" s="16"/>
      <c r="CL1623" s="16"/>
      <c r="CM1623" s="16"/>
      <c r="CN1623" s="16"/>
      <c r="CO1623" s="16"/>
      <c r="CP1623" s="16"/>
      <c r="CQ1623" s="16"/>
      <c r="CR1623" s="16"/>
      <c r="CS1623" s="16"/>
      <c r="CT1623" s="16"/>
      <c r="CU1623" s="16"/>
      <c r="CV1623" s="16"/>
      <c r="CW1623" s="16"/>
      <c r="CX1623" s="16"/>
      <c r="CY1623" s="16"/>
      <c r="CZ1623" s="16"/>
      <c r="DA1623" s="16"/>
      <c r="DB1623" s="16"/>
      <c r="DC1623" s="16"/>
      <c r="DD1623" s="16"/>
      <c r="DE1623" s="16"/>
      <c r="DF1623" s="16" t="e">
        <f>VLOOKUP(K1623,'[3]RNA Seq summary tables'!$V$3:$V$99,1,FALSE)</f>
        <v>#N/A</v>
      </c>
      <c r="DG1623" s="16"/>
      <c r="DH1623" s="16"/>
      <c r="DI1623" s="16"/>
      <c r="DJ1623" s="16"/>
      <c r="DK1623" s="16"/>
      <c r="DL1623" s="16"/>
      <c r="DM1623" s="16"/>
      <c r="DN1623" s="16"/>
      <c r="DO1623" s="16"/>
      <c r="DP1623" s="16"/>
      <c r="DQ1623" s="16"/>
      <c r="DR1623" s="16"/>
      <c r="DS1623" s="16"/>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18"/>
      <c r="EQ1623" s="18"/>
      <c r="ER1623" s="18"/>
      <c r="ES1623" s="18"/>
      <c r="ET1623" s="18"/>
      <c r="EU1623" s="18"/>
      <c r="EV1623" s="18"/>
      <c r="EW1623" s="18"/>
      <c r="EX1623" s="18"/>
      <c r="EY1623" s="18"/>
      <c r="EZ1623" s="18"/>
      <c r="FA1623" s="18"/>
      <c r="FB1623" s="18"/>
      <c r="FC1623" s="18"/>
      <c r="FD1623" s="18"/>
      <c r="FE1623" s="18"/>
      <c r="FF1623" s="18"/>
      <c r="FG1623" s="18"/>
      <c r="FH1623" s="18"/>
      <c r="FI1623" s="18"/>
      <c r="FJ1623" s="18"/>
      <c r="FK1623" s="18"/>
      <c r="FL1623" s="18"/>
      <c r="FM1623" s="18"/>
      <c r="FN1623" s="18"/>
      <c r="FO1623" s="18"/>
      <c r="FP1623" s="18"/>
      <c r="FQ1623" s="18"/>
      <c r="FR1623" s="18"/>
      <c r="FS1623" s="18"/>
      <c r="FT1623" s="18"/>
      <c r="FU1623" s="18"/>
      <c r="FV1623" s="18"/>
      <c r="FW1623" s="18"/>
      <c r="FX1623" s="18"/>
      <c r="FY1623" s="18"/>
      <c r="FZ1623" s="18"/>
      <c r="GA1623" s="18"/>
      <c r="GB1623" s="18"/>
      <c r="GC1623" s="18"/>
      <c r="GD1623" s="18"/>
      <c r="GE1623" s="18"/>
      <c r="GF1623" s="18"/>
      <c r="GG1623" s="18"/>
      <c r="GH1623" s="18"/>
      <c r="GI1623" s="18"/>
      <c r="GJ1623" s="18"/>
      <c r="GK1623" s="18"/>
      <c r="GL1623" s="18"/>
      <c r="GM1623" s="18"/>
      <c r="GN1623" s="18"/>
      <c r="GO1623" s="18"/>
      <c r="GP1623" s="18"/>
      <c r="GQ1623" s="18"/>
      <c r="GR1623" s="18"/>
      <c r="GS1623" s="18"/>
      <c r="GT1623" s="18"/>
      <c r="GU1623" s="18"/>
      <c r="GV1623" s="18"/>
      <c r="GW1623" s="18"/>
      <c r="GX1623" s="18"/>
      <c r="GY1623" s="18"/>
      <c r="GZ1623" s="18"/>
      <c r="HA1623" s="18"/>
      <c r="HB1623" s="18"/>
      <c r="HC1623" s="18"/>
      <c r="HD1623" s="18"/>
      <c r="HE1623" s="18"/>
      <c r="HF1623" s="18"/>
      <c r="HG1623" s="18"/>
      <c r="HH1623" s="18"/>
      <c r="HI1623" s="18"/>
      <c r="HJ1623" s="18"/>
      <c r="HK1623" s="18"/>
      <c r="HL1623" s="18"/>
      <c r="HM1623" s="18"/>
      <c r="HN1623" s="18"/>
      <c r="HO1623" s="18"/>
      <c r="HP1623" s="18"/>
      <c r="HQ1623" s="18"/>
      <c r="HR1623" s="18"/>
      <c r="HS1623" s="18"/>
      <c r="HT1623" s="18"/>
      <c r="HU1623" s="18"/>
      <c r="HV1623" s="18"/>
      <c r="HW1623" s="18"/>
      <c r="HX1623" s="18"/>
      <c r="HY1623" s="18"/>
      <c r="HZ1623" s="18"/>
      <c r="IA1623" s="18"/>
      <c r="IB1623" s="18"/>
      <c r="IC1623" s="18"/>
      <c r="ID1623" s="18"/>
      <c r="IE1623" s="18"/>
      <c r="IF1623" s="18"/>
      <c r="IG1623" s="18"/>
      <c r="IH1623" s="18"/>
      <c r="II1623" s="18"/>
      <c r="IJ1623" s="18"/>
      <c r="IK1623" s="18"/>
      <c r="IL1623" s="18"/>
      <c r="IM1623" s="18"/>
      <c r="IN1623" s="18"/>
      <c r="IO1623" s="18"/>
      <c r="IP1623" s="18"/>
      <c r="IQ1623" s="18"/>
      <c r="IR1623" s="18"/>
      <c r="IS1623" s="18"/>
      <c r="IT1623" s="18"/>
      <c r="IU1623" s="18"/>
      <c r="IV1623" s="18"/>
      <c r="IW1623" s="18"/>
      <c r="IX1623" s="18"/>
      <c r="IY1623" s="18"/>
      <c r="IZ1623" s="18"/>
      <c r="JA1623" s="18"/>
      <c r="JB1623" s="18"/>
      <c r="JC1623" s="18"/>
      <c r="JD1623" s="18"/>
      <c r="JE1623" s="18"/>
      <c r="JF1623" s="18"/>
      <c r="JG1623" s="18"/>
      <c r="JH1623" s="18"/>
      <c r="JI1623" s="18"/>
      <c r="JJ1623" s="18"/>
      <c r="JK1623" s="18"/>
      <c r="JL1623" s="18"/>
      <c r="JM1623" s="18"/>
      <c r="JN1623" s="18"/>
      <c r="JO1623" s="16"/>
      <c r="JP1623" s="16"/>
      <c r="JQ1623" s="16"/>
      <c r="JR1623" s="16"/>
      <c r="JS1623" s="16"/>
      <c r="JT1623" s="16"/>
      <c r="JU1623" s="16"/>
      <c r="JV1623" s="16"/>
      <c r="JW1623" s="16"/>
      <c r="JX1623" s="16"/>
      <c r="JY1623" s="16"/>
      <c r="JZ1623" s="16"/>
      <c r="KA1623" s="16"/>
      <c r="KB1623" s="16"/>
    </row>
    <row r="1624" spans="1:288" s="27" customFormat="1" x14ac:dyDescent="0.2">
      <c r="A1624" s="18"/>
      <c r="B1624" s="16">
        <v>2016</v>
      </c>
      <c r="C1624" s="20">
        <v>42552</v>
      </c>
      <c r="D1624" s="20" t="str">
        <f>CONCATENATE(J1624,"-",C1624)</f>
        <v>973-42552</v>
      </c>
      <c r="E1624" s="20" t="str">
        <f>CONCATENATE(T1624,"-",U1624,"-",C1624)</f>
        <v>SP1-H1-42552</v>
      </c>
      <c r="F1624" s="20" t="s">
        <v>106</v>
      </c>
      <c r="G1624" s="90" t="s">
        <v>278</v>
      </c>
      <c r="H1624" s="16"/>
      <c r="I1624" s="16"/>
      <c r="J1624" s="21">
        <v>973</v>
      </c>
      <c r="K1624" s="21"/>
      <c r="L1624" s="16"/>
      <c r="M1624" s="21"/>
      <c r="N1624" s="21"/>
      <c r="O1624" s="21"/>
      <c r="P1624" s="16"/>
      <c r="Q1624" s="16"/>
      <c r="R1624" s="16"/>
      <c r="S1624" s="16"/>
      <c r="T1624" s="16" t="s">
        <v>140</v>
      </c>
      <c r="U1624" s="16" t="s">
        <v>191</v>
      </c>
      <c r="V1624" s="16"/>
      <c r="W1624" s="16"/>
      <c r="X1624" s="16"/>
      <c r="Y1624" s="16"/>
      <c r="Z1624" s="16"/>
      <c r="AA1624" s="16"/>
      <c r="AB1624" s="16"/>
      <c r="AC1624" s="16"/>
      <c r="AD1624" s="16"/>
      <c r="AE1624" s="16"/>
      <c r="AF1624" s="16"/>
      <c r="AG1624" s="16"/>
      <c r="AH1624" s="16"/>
      <c r="AI1624" s="16"/>
      <c r="AJ1624" s="16"/>
      <c r="AK1624" s="16">
        <v>20.5</v>
      </c>
      <c r="AL1624" s="16"/>
      <c r="AM1624" s="16"/>
      <c r="AN1624" s="16"/>
      <c r="AO1624" s="16"/>
      <c r="AP1624" s="16"/>
      <c r="AQ1624" s="16"/>
      <c r="AR1624" s="16"/>
      <c r="AS1624" s="16"/>
      <c r="AT1624" s="16"/>
      <c r="AU1624" s="16"/>
      <c r="AV1624" s="16"/>
      <c r="AW1624" s="16"/>
      <c r="AX1624" s="16"/>
      <c r="AY1624" s="16"/>
      <c r="AZ1624" s="16"/>
      <c r="BA1624" s="16"/>
      <c r="BB1624" s="16"/>
      <c r="BC1624" s="16"/>
      <c r="BD1624" s="16"/>
      <c r="BE1624" s="16"/>
      <c r="BF1624" s="16"/>
      <c r="BG1624" s="77"/>
      <c r="BH1624" s="16"/>
      <c r="BI1624" s="16"/>
      <c r="BJ1624" s="16"/>
      <c r="BK1624" s="16"/>
      <c r="BL1624" s="16"/>
      <c r="BM1624" s="16"/>
      <c r="BN1624" s="16"/>
      <c r="BO1624" s="16"/>
      <c r="BP1624" s="16"/>
      <c r="BQ1624" s="16"/>
      <c r="BR1624" s="16"/>
      <c r="BS1624" s="16"/>
      <c r="BT1624" s="77"/>
      <c r="BU1624" s="16"/>
      <c r="BV1624" s="16"/>
      <c r="BW1624" s="16"/>
      <c r="BX1624" s="16"/>
      <c r="BY1624" s="16"/>
      <c r="BZ1624" s="16"/>
      <c r="CA1624" s="16"/>
      <c r="CB1624" s="16"/>
      <c r="CC1624" s="16"/>
      <c r="CD1624" s="77"/>
      <c r="CE1624" s="16"/>
      <c r="CF1624" s="16"/>
      <c r="CG1624" s="16"/>
      <c r="CH1624" s="16"/>
      <c r="CI1624" s="16"/>
      <c r="CJ1624" s="16"/>
      <c r="CK1624" s="16"/>
      <c r="CL1624" s="16"/>
      <c r="CM1624" s="16"/>
      <c r="CN1624" s="16"/>
      <c r="CO1624" s="16"/>
      <c r="CP1624" s="16"/>
      <c r="CQ1624" s="16"/>
      <c r="CR1624" s="16"/>
      <c r="CS1624" s="16"/>
      <c r="CT1624" s="16"/>
      <c r="CU1624" s="16"/>
      <c r="CV1624" s="16"/>
      <c r="CW1624" s="16"/>
      <c r="CX1624" s="16"/>
      <c r="CY1624" s="16"/>
      <c r="CZ1624" s="16"/>
      <c r="DA1624" s="16"/>
      <c r="DB1624" s="16"/>
      <c r="DC1624" s="16"/>
      <c r="DD1624" s="16"/>
      <c r="DE1624" s="16"/>
      <c r="DF1624" s="16" t="e">
        <f>VLOOKUP(K1624,'[3]RNA Seq summary tables'!$V$3:$V$99,1,FALSE)</f>
        <v>#N/A</v>
      </c>
      <c r="DG1624" s="16"/>
      <c r="DH1624" s="16"/>
      <c r="DI1624" s="16"/>
      <c r="DJ1624" s="16"/>
      <c r="DK1624" s="16"/>
      <c r="DL1624" s="16"/>
      <c r="DM1624" s="16"/>
      <c r="DN1624" s="16"/>
      <c r="DO1624" s="16"/>
      <c r="DP1624" s="16"/>
      <c r="DQ1624" s="16"/>
      <c r="DR1624" s="16"/>
      <c r="DS1624" s="16"/>
      <c r="DT1624" s="25"/>
      <c r="DU1624" s="25"/>
      <c r="DV1624" s="25"/>
      <c r="DW1624" s="25"/>
      <c r="DX1624" s="25"/>
      <c r="DY1624" s="25"/>
      <c r="DZ1624" s="25"/>
      <c r="EA1624" s="25"/>
      <c r="EB1624" s="25"/>
      <c r="EC1624" s="25"/>
      <c r="ED1624" s="25"/>
      <c r="EE1624" s="18"/>
      <c r="EF1624" s="18"/>
      <c r="EG1624" s="18"/>
      <c r="EH1624" s="18"/>
      <c r="EI1624" s="18"/>
      <c r="EJ1624" s="18"/>
      <c r="EK1624" s="18"/>
      <c r="EL1624" s="18"/>
      <c r="EM1624" s="18"/>
      <c r="EN1624" s="18"/>
      <c r="EO1624" s="18"/>
      <c r="EP1624" s="18"/>
      <c r="EQ1624" s="18"/>
      <c r="ER1624" s="18"/>
      <c r="ES1624" s="18"/>
      <c r="ET1624" s="18"/>
      <c r="EU1624" s="18"/>
      <c r="EV1624" s="18"/>
      <c r="EW1624" s="18"/>
      <c r="EX1624" s="18"/>
      <c r="EY1624" s="18"/>
      <c r="EZ1624" s="18"/>
      <c r="FA1624" s="18"/>
      <c r="FB1624" s="18"/>
      <c r="FC1624" s="18"/>
      <c r="FD1624" s="18"/>
      <c r="FE1624" s="18"/>
      <c r="FF1624" s="18"/>
      <c r="FG1624" s="18"/>
      <c r="FH1624" s="18"/>
      <c r="FI1624" s="18"/>
      <c r="FJ1624" s="18"/>
      <c r="FK1624" s="18"/>
      <c r="FL1624" s="18"/>
      <c r="FM1624" s="18"/>
      <c r="FN1624" s="18"/>
      <c r="FO1624" s="18"/>
      <c r="FP1624" s="18"/>
      <c r="FQ1624" s="18"/>
      <c r="FR1624" s="18"/>
      <c r="FS1624" s="18"/>
      <c r="FT1624" s="18"/>
      <c r="FU1624" s="18"/>
      <c r="FV1624" s="18"/>
      <c r="FW1624" s="18"/>
      <c r="FX1624" s="18"/>
      <c r="FY1624" s="18"/>
      <c r="FZ1624" s="18"/>
      <c r="GA1624" s="18"/>
      <c r="GB1624" s="18"/>
      <c r="GC1624" s="18"/>
      <c r="GD1624" s="18"/>
      <c r="GE1624" s="18"/>
      <c r="GF1624" s="18"/>
      <c r="GG1624" s="18"/>
      <c r="GH1624" s="18"/>
      <c r="GI1624" s="18"/>
      <c r="GJ1624" s="18"/>
      <c r="GK1624" s="18"/>
      <c r="GL1624" s="18"/>
      <c r="GM1624" s="18"/>
      <c r="GN1624" s="18"/>
      <c r="GO1624" s="18"/>
      <c r="GP1624" s="18"/>
      <c r="GQ1624" s="18"/>
      <c r="GR1624" s="18"/>
      <c r="GS1624" s="18"/>
      <c r="GT1624" s="18"/>
      <c r="GU1624" s="18"/>
      <c r="GV1624" s="18"/>
      <c r="GW1624" s="18"/>
      <c r="GX1624" s="18"/>
      <c r="GY1624" s="18"/>
      <c r="GZ1624" s="18"/>
      <c r="HA1624" s="18"/>
      <c r="HB1624" s="18"/>
      <c r="HC1624" s="18"/>
      <c r="HD1624" s="18"/>
      <c r="HE1624" s="18"/>
      <c r="HF1624" s="18"/>
      <c r="HG1624" s="18"/>
      <c r="HH1624" s="18"/>
      <c r="HI1624" s="18"/>
      <c r="HJ1624" s="18"/>
      <c r="HK1624" s="18"/>
      <c r="HL1624" s="18"/>
      <c r="HM1624" s="18"/>
      <c r="HN1624" s="18"/>
      <c r="HO1624" s="18"/>
      <c r="HP1624" s="18"/>
      <c r="HQ1624" s="18"/>
      <c r="HR1624" s="18"/>
      <c r="HS1624" s="18"/>
      <c r="HT1624" s="18"/>
      <c r="HU1624" s="18"/>
      <c r="HV1624" s="18"/>
      <c r="HW1624" s="18"/>
      <c r="HX1624" s="18"/>
      <c r="HY1624" s="18"/>
      <c r="HZ1624" s="18"/>
      <c r="IA1624" s="18"/>
      <c r="IB1624" s="18"/>
      <c r="IC1624" s="18"/>
      <c r="ID1624" s="18"/>
      <c r="IE1624" s="18"/>
      <c r="IF1624" s="18"/>
      <c r="IG1624" s="18"/>
      <c r="IH1624" s="18"/>
      <c r="II1624" s="18"/>
      <c r="IJ1624" s="18"/>
      <c r="IK1624" s="18"/>
      <c r="IL1624" s="18"/>
      <c r="IM1624" s="18"/>
      <c r="IN1624" s="18"/>
      <c r="IO1624" s="18"/>
      <c r="IP1624" s="18"/>
      <c r="IQ1624" s="18"/>
      <c r="IR1624" s="18"/>
      <c r="IS1624" s="18"/>
      <c r="IT1624" s="18"/>
      <c r="IU1624" s="18"/>
      <c r="IV1624" s="18"/>
      <c r="IW1624" s="18"/>
      <c r="IX1624" s="18"/>
      <c r="IY1624" s="18"/>
      <c r="IZ1624" s="18"/>
      <c r="JA1624" s="18"/>
      <c r="JB1624" s="18"/>
      <c r="JC1624" s="18"/>
      <c r="JD1624" s="18"/>
      <c r="JE1624" s="18"/>
      <c r="JF1624" s="18"/>
      <c r="JG1624" s="18"/>
      <c r="JH1624" s="18"/>
      <c r="JI1624" s="18"/>
      <c r="JJ1624" s="18"/>
      <c r="JK1624" s="18"/>
      <c r="JL1624" s="18"/>
      <c r="JM1624" s="18"/>
      <c r="JN1624" s="18"/>
      <c r="JO1624" s="16"/>
      <c r="JP1624" s="16"/>
      <c r="JQ1624" s="16"/>
      <c r="JR1624" s="18"/>
      <c r="JS1624" s="18"/>
      <c r="JT1624" s="18"/>
      <c r="JU1624" s="18"/>
      <c r="JV1624" s="18"/>
      <c r="JW1624" s="18"/>
      <c r="JX1624" s="18"/>
      <c r="JY1624" s="18"/>
      <c r="JZ1624" s="18"/>
      <c r="KA1624" s="18"/>
      <c r="KB1624" s="18"/>
    </row>
    <row r="1625" spans="1:288" s="27" customFormat="1" x14ac:dyDescent="0.2">
      <c r="A1625" s="18"/>
      <c r="B1625" s="16">
        <v>2016</v>
      </c>
      <c r="C1625" s="43">
        <v>42553</v>
      </c>
      <c r="D1625" s="43" t="str">
        <f>CONCATENATE(J1625,"-",C1625)</f>
        <v>973-42553</v>
      </c>
      <c r="E1625" s="20" t="str">
        <f>CONCATENATE(T1625,"-",U1625,"-",C1625)</f>
        <v>SP1-H2-42553</v>
      </c>
      <c r="F1625" s="20" t="s">
        <v>106</v>
      </c>
      <c r="G1625" s="91" t="s">
        <v>278</v>
      </c>
      <c r="H1625" s="23"/>
      <c r="I1625" s="23"/>
      <c r="J1625" s="15">
        <v>973</v>
      </c>
      <c r="K1625" s="15"/>
      <c r="L1625" s="23"/>
      <c r="M1625" s="21"/>
      <c r="N1625" s="21"/>
      <c r="O1625" s="21"/>
      <c r="P1625" s="23"/>
      <c r="Q1625" s="23"/>
      <c r="R1625" s="23"/>
      <c r="S1625" s="23"/>
      <c r="T1625" s="23" t="s">
        <v>140</v>
      </c>
      <c r="U1625" s="23" t="s">
        <v>190</v>
      </c>
      <c r="V1625" s="23"/>
      <c r="W1625" s="23"/>
      <c r="X1625" s="23"/>
      <c r="Y1625" s="23"/>
      <c r="Z1625" s="23"/>
      <c r="AA1625" s="23"/>
      <c r="AB1625" s="23"/>
      <c r="AC1625" s="23"/>
      <c r="AD1625" s="23"/>
      <c r="AE1625" s="23"/>
      <c r="AF1625" s="23"/>
      <c r="AG1625" s="23"/>
      <c r="AH1625" s="23"/>
      <c r="AI1625" s="23"/>
      <c r="AJ1625" s="23"/>
      <c r="AK1625" s="23">
        <v>21.5</v>
      </c>
      <c r="AL1625" s="23"/>
      <c r="AM1625" s="23"/>
      <c r="AN1625" s="23"/>
      <c r="AO1625" s="23"/>
      <c r="AP1625" s="23"/>
      <c r="AQ1625" s="23"/>
      <c r="AR1625" s="23"/>
      <c r="AS1625" s="23"/>
      <c r="AT1625" s="16"/>
      <c r="AU1625" s="16"/>
      <c r="AV1625" s="16"/>
      <c r="AW1625" s="16"/>
      <c r="AX1625" s="16"/>
      <c r="AY1625" s="16"/>
      <c r="AZ1625" s="16"/>
      <c r="BA1625" s="16"/>
      <c r="BB1625" s="16"/>
      <c r="BC1625" s="16"/>
      <c r="BD1625" s="16"/>
      <c r="BE1625" s="16"/>
      <c r="BF1625" s="16"/>
      <c r="BG1625" s="77"/>
      <c r="BH1625" s="16"/>
      <c r="BI1625" s="16"/>
      <c r="BJ1625" s="16"/>
      <c r="BK1625" s="16"/>
      <c r="BL1625" s="16"/>
      <c r="BM1625" s="16"/>
      <c r="BN1625" s="16"/>
      <c r="BO1625" s="16"/>
      <c r="BP1625" s="16"/>
      <c r="BQ1625" s="16"/>
      <c r="BR1625" s="16"/>
      <c r="BS1625" s="16"/>
      <c r="BT1625" s="77"/>
      <c r="BU1625" s="16"/>
      <c r="BV1625" s="16"/>
      <c r="BW1625" s="16"/>
      <c r="BX1625" s="16"/>
      <c r="BY1625" s="16"/>
      <c r="BZ1625" s="16"/>
      <c r="CA1625" s="16"/>
      <c r="CB1625" s="16"/>
      <c r="CC1625" s="16"/>
      <c r="CD1625" s="77"/>
      <c r="CE1625" s="16"/>
      <c r="CF1625" s="16"/>
      <c r="CG1625" s="16"/>
      <c r="CH1625" s="16"/>
      <c r="CI1625" s="16"/>
      <c r="CJ1625" s="16"/>
      <c r="CK1625" s="16"/>
      <c r="CL1625" s="16"/>
      <c r="CM1625" s="16"/>
      <c r="CN1625" s="16"/>
      <c r="CO1625" s="16"/>
      <c r="CP1625" s="16"/>
      <c r="CQ1625" s="16"/>
      <c r="CR1625" s="16"/>
      <c r="CS1625" s="16"/>
      <c r="CT1625" s="16"/>
      <c r="CU1625" s="16"/>
      <c r="CV1625" s="16"/>
      <c r="CW1625" s="16"/>
      <c r="CX1625" s="16"/>
      <c r="CY1625" s="16"/>
      <c r="CZ1625" s="16"/>
      <c r="DA1625" s="16"/>
      <c r="DB1625" s="16"/>
      <c r="DC1625" s="23"/>
      <c r="DD1625" s="23"/>
      <c r="DE1625" s="23"/>
      <c r="DF1625" s="16" t="e">
        <f>VLOOKUP(K1625,'[3]RNA Seq summary tables'!$V$3:$V$99,1,FALSE)</f>
        <v>#N/A</v>
      </c>
      <c r="DG1625" s="23"/>
      <c r="DH1625" s="23"/>
      <c r="DI1625" s="23"/>
      <c r="DJ1625" s="23"/>
      <c r="DK1625" s="23"/>
      <c r="DL1625" s="23"/>
      <c r="DM1625" s="23"/>
      <c r="DN1625" s="23"/>
      <c r="DO1625" s="23"/>
      <c r="DP1625" s="23"/>
      <c r="DQ1625" s="23"/>
      <c r="DR1625" s="23"/>
      <c r="DS1625" s="23"/>
      <c r="DT1625" s="25"/>
      <c r="DU1625" s="25"/>
      <c r="DV1625" s="25"/>
      <c r="DW1625" s="25"/>
      <c r="DX1625" s="25"/>
      <c r="DY1625" s="25"/>
      <c r="DZ1625" s="25"/>
      <c r="EA1625" s="25"/>
      <c r="EB1625" s="25"/>
      <c r="EC1625" s="25"/>
      <c r="ED1625" s="25"/>
      <c r="EE1625" s="25"/>
      <c r="EF1625" s="18"/>
      <c r="EG1625" s="18"/>
      <c r="EH1625" s="18"/>
      <c r="EI1625" s="18"/>
      <c r="EJ1625" s="18"/>
      <c r="EK1625" s="18"/>
      <c r="EL1625" s="18"/>
      <c r="EM1625" s="18"/>
      <c r="EN1625" s="18"/>
      <c r="EO1625" s="18"/>
      <c r="EP1625" s="18"/>
      <c r="EQ1625" s="18"/>
      <c r="ER1625" s="18"/>
      <c r="ES1625" s="18"/>
      <c r="ET1625" s="18"/>
      <c r="EU1625" s="18"/>
      <c r="EV1625" s="18"/>
      <c r="EW1625" s="18"/>
      <c r="EX1625" s="18"/>
      <c r="EY1625" s="18"/>
      <c r="EZ1625" s="18"/>
      <c r="FA1625" s="18"/>
      <c r="FB1625" s="18"/>
      <c r="FC1625" s="18"/>
      <c r="FD1625" s="18"/>
      <c r="FE1625" s="18"/>
      <c r="FF1625" s="18"/>
      <c r="FG1625" s="18"/>
      <c r="FH1625" s="18"/>
      <c r="FI1625" s="18"/>
      <c r="FJ1625" s="18"/>
      <c r="FK1625" s="18"/>
      <c r="FL1625" s="18"/>
      <c r="FM1625" s="18"/>
      <c r="FN1625" s="18"/>
      <c r="FO1625" s="18"/>
      <c r="FP1625" s="18"/>
      <c r="FQ1625" s="18"/>
      <c r="FR1625" s="18"/>
      <c r="FS1625" s="18"/>
      <c r="FT1625" s="18"/>
      <c r="FU1625" s="18"/>
      <c r="FV1625" s="18"/>
      <c r="FW1625" s="18"/>
      <c r="FX1625" s="18"/>
      <c r="FY1625" s="18"/>
      <c r="FZ1625" s="18"/>
      <c r="GA1625" s="18"/>
      <c r="GB1625" s="18"/>
      <c r="GC1625" s="18"/>
      <c r="GD1625" s="18"/>
      <c r="GE1625" s="18"/>
      <c r="GF1625" s="18"/>
      <c r="GG1625" s="18"/>
      <c r="GH1625" s="18"/>
      <c r="GI1625" s="18"/>
      <c r="GJ1625" s="18"/>
      <c r="GK1625" s="18"/>
      <c r="GL1625" s="18"/>
      <c r="GM1625" s="18"/>
      <c r="GN1625" s="18"/>
      <c r="GO1625" s="18"/>
      <c r="GP1625" s="18"/>
      <c r="GQ1625" s="18"/>
      <c r="GR1625" s="18"/>
      <c r="GS1625" s="18"/>
      <c r="GT1625" s="18"/>
      <c r="GU1625" s="18"/>
      <c r="GV1625" s="18"/>
      <c r="GW1625" s="18"/>
      <c r="GX1625" s="18"/>
      <c r="GY1625" s="18"/>
      <c r="GZ1625" s="18"/>
      <c r="HA1625" s="18"/>
      <c r="HB1625" s="18"/>
      <c r="HC1625" s="18"/>
      <c r="HD1625" s="18"/>
      <c r="HE1625" s="18"/>
      <c r="HF1625" s="18"/>
      <c r="HG1625" s="18"/>
      <c r="HH1625" s="18"/>
      <c r="HI1625" s="18"/>
      <c r="HJ1625" s="18"/>
      <c r="HK1625" s="18"/>
      <c r="HL1625" s="18"/>
      <c r="HM1625" s="18"/>
      <c r="HN1625" s="18"/>
      <c r="HO1625" s="18"/>
      <c r="HP1625" s="18"/>
      <c r="HQ1625" s="18"/>
      <c r="HR1625" s="18"/>
      <c r="HS1625" s="18"/>
      <c r="HT1625" s="18"/>
      <c r="HU1625" s="18"/>
      <c r="HV1625" s="18"/>
      <c r="HW1625" s="18"/>
      <c r="HX1625" s="18"/>
      <c r="HY1625" s="18"/>
      <c r="HZ1625" s="18"/>
      <c r="IA1625" s="18"/>
      <c r="IB1625" s="18"/>
      <c r="IC1625" s="18"/>
      <c r="ID1625" s="18"/>
      <c r="IE1625" s="18"/>
      <c r="IF1625" s="18"/>
      <c r="IG1625" s="18"/>
      <c r="IH1625" s="18"/>
      <c r="II1625" s="18"/>
      <c r="IJ1625" s="18"/>
      <c r="IK1625" s="18"/>
      <c r="IL1625" s="18"/>
      <c r="IM1625" s="18"/>
      <c r="IN1625" s="18"/>
      <c r="IO1625" s="18"/>
      <c r="IP1625" s="18"/>
      <c r="IQ1625" s="18"/>
      <c r="IR1625" s="18"/>
      <c r="IS1625" s="18"/>
      <c r="IT1625" s="18"/>
      <c r="IU1625" s="18"/>
      <c r="IV1625" s="18"/>
      <c r="IW1625" s="18"/>
      <c r="IX1625" s="18"/>
      <c r="IY1625" s="18"/>
      <c r="IZ1625" s="18"/>
      <c r="JA1625" s="18"/>
      <c r="JB1625" s="18"/>
      <c r="JC1625" s="18"/>
      <c r="JD1625" s="18"/>
      <c r="JE1625" s="18"/>
      <c r="JF1625" s="18"/>
      <c r="JG1625" s="18"/>
      <c r="JH1625" s="18"/>
      <c r="JI1625" s="18"/>
      <c r="JJ1625" s="18"/>
      <c r="JK1625" s="18"/>
      <c r="JL1625" s="18"/>
      <c r="JM1625" s="18"/>
      <c r="JN1625" s="18"/>
      <c r="JO1625" s="16"/>
      <c r="JP1625" s="16"/>
      <c r="JQ1625" s="16"/>
      <c r="JR1625" s="16"/>
      <c r="JS1625" s="16"/>
      <c r="JT1625" s="16"/>
      <c r="JU1625" s="16"/>
      <c r="JV1625" s="16"/>
      <c r="JW1625" s="16"/>
      <c r="JX1625" s="16"/>
      <c r="JY1625" s="16"/>
      <c r="JZ1625" s="16"/>
      <c r="KA1625" s="16"/>
      <c r="KB1625" s="16"/>
    </row>
    <row r="1626" spans="1:288" s="27" customFormat="1" x14ac:dyDescent="0.2">
      <c r="A1626" s="18"/>
      <c r="B1626" s="16">
        <v>2016</v>
      </c>
      <c r="C1626" s="20">
        <v>42580</v>
      </c>
      <c r="D1626" s="20" t="str">
        <f>CONCATENATE(J1626,"-",C1626)</f>
        <v>973-42580</v>
      </c>
      <c r="E1626" s="20" t="str">
        <f>CONCATENATE(T1626,"-",U1626,"-",C1626)</f>
        <v>SP1-H3-42580</v>
      </c>
      <c r="F1626" s="20" t="s">
        <v>106</v>
      </c>
      <c r="G1626" s="90" t="s">
        <v>278</v>
      </c>
      <c r="H1626" s="16"/>
      <c r="I1626" s="16"/>
      <c r="J1626" s="21">
        <v>973</v>
      </c>
      <c r="K1626" s="21"/>
      <c r="L1626" s="16"/>
      <c r="M1626" s="21"/>
      <c r="N1626" s="21"/>
      <c r="O1626" s="21"/>
      <c r="P1626" s="16"/>
      <c r="Q1626" s="16"/>
      <c r="R1626" s="16"/>
      <c r="S1626" s="16"/>
      <c r="T1626" s="16" t="s">
        <v>140</v>
      </c>
      <c r="U1626" s="16" t="s">
        <v>174</v>
      </c>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c r="BA1626" s="16"/>
      <c r="BB1626" s="16"/>
      <c r="BC1626" s="16"/>
      <c r="BD1626" s="16"/>
      <c r="BE1626" s="16"/>
      <c r="BF1626" s="16"/>
      <c r="BG1626" s="77"/>
      <c r="BH1626" s="16"/>
      <c r="BI1626" s="16"/>
      <c r="BJ1626" s="16"/>
      <c r="BK1626" s="16"/>
      <c r="BL1626" s="16"/>
      <c r="BM1626" s="16"/>
      <c r="BN1626" s="16"/>
      <c r="BO1626" s="16"/>
      <c r="BP1626" s="16"/>
      <c r="BQ1626" s="16"/>
      <c r="BR1626" s="16"/>
      <c r="BS1626" s="16"/>
      <c r="BT1626" s="77"/>
      <c r="BU1626" s="16"/>
      <c r="BV1626" s="16"/>
      <c r="BW1626" s="16"/>
      <c r="BX1626" s="16"/>
      <c r="BY1626" s="16"/>
      <c r="BZ1626" s="16"/>
      <c r="CA1626" s="16"/>
      <c r="CB1626" s="16"/>
      <c r="CC1626" s="16"/>
      <c r="CD1626" s="77"/>
      <c r="CE1626" s="16"/>
      <c r="CF1626" s="16"/>
      <c r="CG1626" s="16"/>
      <c r="CH1626" s="16"/>
      <c r="CI1626" s="16"/>
      <c r="CJ1626" s="16"/>
      <c r="CK1626" s="16"/>
      <c r="CL1626" s="16"/>
      <c r="CM1626" s="16"/>
      <c r="CN1626" s="16"/>
      <c r="CO1626" s="16"/>
      <c r="CP1626" s="16"/>
      <c r="CQ1626" s="16"/>
      <c r="CR1626" s="16"/>
      <c r="CS1626" s="16"/>
      <c r="CT1626" s="16"/>
      <c r="CU1626" s="16"/>
      <c r="CV1626" s="16"/>
      <c r="CW1626" s="16"/>
      <c r="CX1626" s="16"/>
      <c r="CY1626" s="16"/>
      <c r="CZ1626" s="16"/>
      <c r="DA1626" s="16"/>
      <c r="DB1626" s="16"/>
      <c r="DC1626" s="16"/>
      <c r="DD1626" s="16"/>
      <c r="DE1626" s="16"/>
      <c r="DF1626" s="16" t="e">
        <f>VLOOKUP(K1626,'[3]RNA Seq summary tables'!$V$3:$V$99,1,FALSE)</f>
        <v>#N/A</v>
      </c>
      <c r="DG1626" s="16"/>
      <c r="DH1626" s="16"/>
      <c r="DI1626" s="16"/>
      <c r="DJ1626" s="16"/>
      <c r="DK1626" s="16"/>
      <c r="DL1626" s="16"/>
      <c r="DM1626" s="16"/>
      <c r="DN1626" s="16"/>
      <c r="DO1626" s="16"/>
      <c r="DP1626" s="16"/>
      <c r="DQ1626" s="16"/>
      <c r="DR1626" s="16"/>
      <c r="DS1626" s="16"/>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18"/>
      <c r="EQ1626" s="18"/>
      <c r="ER1626" s="18"/>
      <c r="ES1626" s="18"/>
      <c r="ET1626" s="18"/>
      <c r="EU1626" s="18"/>
      <c r="EV1626" s="18"/>
      <c r="EW1626" s="18"/>
      <c r="EX1626" s="18"/>
      <c r="EY1626" s="18"/>
      <c r="EZ1626" s="18"/>
      <c r="FA1626" s="18"/>
      <c r="FB1626" s="18"/>
      <c r="FC1626" s="18"/>
      <c r="FD1626" s="18"/>
      <c r="FE1626" s="18"/>
      <c r="FF1626" s="18"/>
      <c r="FG1626" s="18"/>
      <c r="FH1626" s="18"/>
      <c r="FI1626" s="18"/>
      <c r="FJ1626" s="18"/>
      <c r="FK1626" s="18"/>
      <c r="FL1626" s="18"/>
      <c r="FM1626" s="18"/>
      <c r="FN1626" s="18"/>
      <c r="FO1626" s="18"/>
      <c r="FP1626" s="18"/>
      <c r="FQ1626" s="18"/>
      <c r="FR1626" s="18"/>
      <c r="FS1626" s="18"/>
      <c r="FT1626" s="18"/>
      <c r="FU1626" s="18"/>
      <c r="FV1626" s="18"/>
      <c r="FW1626" s="18"/>
      <c r="FX1626" s="18"/>
      <c r="FY1626" s="18"/>
      <c r="FZ1626" s="18"/>
      <c r="GA1626" s="18"/>
      <c r="GB1626" s="18"/>
      <c r="GC1626" s="18"/>
      <c r="GD1626" s="18"/>
      <c r="GE1626" s="18"/>
      <c r="GF1626" s="18"/>
      <c r="GG1626" s="18"/>
      <c r="GH1626" s="18"/>
      <c r="GI1626" s="18"/>
      <c r="GJ1626" s="18"/>
      <c r="GK1626" s="18"/>
      <c r="GL1626" s="18"/>
      <c r="GM1626" s="18"/>
      <c r="GN1626" s="18"/>
      <c r="GO1626" s="18"/>
      <c r="GP1626" s="18"/>
      <c r="GQ1626" s="18"/>
      <c r="GR1626" s="18"/>
      <c r="GS1626" s="18"/>
      <c r="GT1626" s="18"/>
      <c r="GU1626" s="18"/>
      <c r="GV1626" s="18"/>
      <c r="GW1626" s="18"/>
      <c r="GX1626" s="18"/>
      <c r="GY1626" s="18"/>
      <c r="GZ1626" s="18"/>
      <c r="HA1626" s="18"/>
      <c r="HB1626" s="18"/>
      <c r="HC1626" s="18"/>
      <c r="HD1626" s="18"/>
      <c r="HE1626" s="18"/>
      <c r="HF1626" s="18"/>
      <c r="HG1626" s="18"/>
      <c r="HH1626" s="18"/>
      <c r="HI1626" s="18"/>
      <c r="HJ1626" s="18"/>
      <c r="HK1626" s="18"/>
      <c r="HL1626" s="18"/>
      <c r="HM1626" s="18"/>
      <c r="HN1626" s="18"/>
      <c r="HO1626" s="18"/>
      <c r="HP1626" s="18"/>
      <c r="HQ1626" s="18"/>
      <c r="HR1626" s="18"/>
      <c r="HS1626" s="18"/>
      <c r="HT1626" s="18"/>
      <c r="HU1626" s="18"/>
      <c r="HV1626" s="18"/>
      <c r="HW1626" s="18"/>
      <c r="HX1626" s="18"/>
      <c r="HY1626" s="18"/>
      <c r="HZ1626" s="18"/>
      <c r="IA1626" s="18"/>
      <c r="IB1626" s="18"/>
      <c r="IC1626" s="18"/>
      <c r="ID1626" s="18"/>
      <c r="IE1626" s="18"/>
      <c r="IF1626" s="18"/>
      <c r="IG1626" s="18"/>
      <c r="IH1626" s="18"/>
      <c r="II1626" s="18"/>
      <c r="IJ1626" s="18"/>
      <c r="IK1626" s="18"/>
      <c r="IL1626" s="18"/>
      <c r="IM1626" s="18"/>
      <c r="IN1626" s="18"/>
      <c r="IO1626" s="18"/>
      <c r="IP1626" s="18"/>
      <c r="IQ1626" s="18"/>
      <c r="IR1626" s="18"/>
      <c r="IS1626" s="18"/>
      <c r="IT1626" s="18"/>
      <c r="IU1626" s="18"/>
      <c r="IV1626" s="18"/>
      <c r="IW1626" s="18"/>
      <c r="IX1626" s="18"/>
      <c r="IY1626" s="18"/>
      <c r="IZ1626" s="18"/>
      <c r="JA1626" s="18"/>
      <c r="JB1626" s="18"/>
      <c r="JC1626" s="18"/>
      <c r="JD1626" s="18"/>
      <c r="JE1626" s="18"/>
      <c r="JF1626" s="18"/>
      <c r="JG1626" s="18"/>
      <c r="JH1626" s="18"/>
      <c r="JI1626" s="18"/>
      <c r="JJ1626" s="18"/>
      <c r="JK1626" s="18"/>
      <c r="JL1626" s="18"/>
      <c r="JM1626" s="18"/>
      <c r="JN1626" s="18"/>
      <c r="JO1626" s="16"/>
      <c r="JP1626" s="16"/>
      <c r="JQ1626" s="16"/>
      <c r="JR1626" s="16"/>
      <c r="JS1626" s="16"/>
      <c r="JT1626" s="16"/>
      <c r="JU1626" s="16"/>
      <c r="JV1626" s="16"/>
      <c r="JW1626" s="16"/>
      <c r="JX1626" s="16"/>
      <c r="JY1626" s="16"/>
      <c r="JZ1626" s="16"/>
      <c r="KA1626" s="16"/>
      <c r="KB1626" s="16"/>
    </row>
    <row r="1627" spans="1:288" s="27" customFormat="1" x14ac:dyDescent="0.2">
      <c r="A1627" s="18"/>
      <c r="B1627" s="16">
        <v>2016</v>
      </c>
      <c r="C1627" s="20">
        <v>42567</v>
      </c>
      <c r="D1627" s="20" t="str">
        <f>CONCATENATE(J1627,"-",C1627)</f>
        <v>974-42567</v>
      </c>
      <c r="E1627" s="20" t="str">
        <f>CONCATENATE(T1627,"-",U1627,"-",C1627)</f>
        <v>SP2-A1-42567</v>
      </c>
      <c r="F1627" s="20" t="s">
        <v>106</v>
      </c>
      <c r="G1627" s="90" t="s">
        <v>278</v>
      </c>
      <c r="H1627" s="16"/>
      <c r="I1627" s="16"/>
      <c r="J1627" s="21">
        <v>974</v>
      </c>
      <c r="K1627" s="21"/>
      <c r="L1627" s="16"/>
      <c r="M1627" s="21"/>
      <c r="N1627" s="21"/>
      <c r="O1627" s="21"/>
      <c r="P1627" s="16"/>
      <c r="Q1627" s="16"/>
      <c r="R1627" s="16"/>
      <c r="S1627" s="16"/>
      <c r="T1627" s="16" t="s">
        <v>137</v>
      </c>
      <c r="U1627" s="16" t="s">
        <v>210</v>
      </c>
      <c r="V1627" s="16" t="s">
        <v>114</v>
      </c>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c r="BA1627" s="16"/>
      <c r="BB1627" s="16"/>
      <c r="BC1627" s="16"/>
      <c r="BD1627" s="16"/>
      <c r="BE1627" s="16"/>
      <c r="BF1627" s="16"/>
      <c r="BG1627" s="77"/>
      <c r="BH1627" s="16"/>
      <c r="BI1627" s="16"/>
      <c r="BJ1627" s="16"/>
      <c r="BK1627" s="16"/>
      <c r="BL1627" s="16"/>
      <c r="BM1627" s="16"/>
      <c r="BN1627" s="16"/>
      <c r="BO1627" s="16"/>
      <c r="BP1627" s="16"/>
      <c r="BQ1627" s="16"/>
      <c r="BR1627" s="16"/>
      <c r="BS1627" s="16"/>
      <c r="BT1627" s="77"/>
      <c r="BU1627" s="16"/>
      <c r="BV1627" s="16"/>
      <c r="BW1627" s="16"/>
      <c r="BX1627" s="16"/>
      <c r="BY1627" s="16"/>
      <c r="BZ1627" s="16"/>
      <c r="CA1627" s="16"/>
      <c r="CB1627" s="16"/>
      <c r="CC1627" s="16"/>
      <c r="CD1627" s="77"/>
      <c r="CE1627" s="16"/>
      <c r="CF1627" s="16"/>
      <c r="CG1627" s="16"/>
      <c r="CH1627" s="16"/>
      <c r="CI1627" s="16"/>
      <c r="CJ1627" s="16"/>
      <c r="CK1627" s="16"/>
      <c r="CL1627" s="16"/>
      <c r="CM1627" s="16"/>
      <c r="CN1627" s="16"/>
      <c r="CO1627" s="16"/>
      <c r="CP1627" s="16"/>
      <c r="CQ1627" s="16"/>
      <c r="CR1627" s="16"/>
      <c r="CS1627" s="16"/>
      <c r="CT1627" s="16"/>
      <c r="CU1627" s="16"/>
      <c r="CV1627" s="16"/>
      <c r="CW1627" s="16"/>
      <c r="CX1627" s="16"/>
      <c r="CY1627" s="16"/>
      <c r="CZ1627" s="16"/>
      <c r="DA1627" s="16"/>
      <c r="DB1627" s="16"/>
      <c r="DC1627" s="16"/>
      <c r="DD1627" s="16"/>
      <c r="DE1627" s="16"/>
      <c r="DF1627" s="16" t="e">
        <f>VLOOKUP(K1627,'[3]RNA Seq summary tables'!$V$3:$V$99,1,FALSE)</f>
        <v>#N/A</v>
      </c>
      <c r="DG1627" s="16"/>
      <c r="DH1627" s="16"/>
      <c r="DI1627" s="16"/>
      <c r="DJ1627" s="16"/>
      <c r="DK1627" s="16"/>
      <c r="DL1627" s="16"/>
      <c r="DM1627" s="16"/>
      <c r="DN1627" s="16"/>
      <c r="DO1627" s="16"/>
      <c r="DP1627" s="16"/>
      <c r="DQ1627" s="16"/>
      <c r="DR1627" s="16"/>
      <c r="DS1627" s="16"/>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18"/>
      <c r="EQ1627" s="18"/>
      <c r="ER1627" s="18"/>
      <c r="ES1627" s="18"/>
      <c r="ET1627" s="18"/>
      <c r="EU1627" s="18"/>
      <c r="EV1627" s="18"/>
      <c r="EW1627" s="18"/>
      <c r="EX1627" s="18"/>
      <c r="EY1627" s="18"/>
      <c r="EZ1627" s="18"/>
      <c r="FA1627" s="18"/>
      <c r="FB1627" s="18"/>
      <c r="FC1627" s="18"/>
      <c r="FD1627" s="18"/>
      <c r="FE1627" s="18"/>
      <c r="FF1627" s="18"/>
      <c r="FG1627" s="18"/>
      <c r="FH1627" s="18"/>
      <c r="FI1627" s="18"/>
      <c r="FJ1627" s="18"/>
      <c r="FK1627" s="18"/>
      <c r="FL1627" s="18"/>
      <c r="FM1627" s="18"/>
      <c r="FN1627" s="18"/>
      <c r="FO1627" s="18"/>
      <c r="FP1627" s="18"/>
      <c r="FQ1627" s="18"/>
      <c r="FR1627" s="18"/>
      <c r="FS1627" s="18"/>
      <c r="FT1627" s="18"/>
      <c r="FU1627" s="18"/>
      <c r="FV1627" s="18"/>
      <c r="FW1627" s="18"/>
      <c r="FX1627" s="18"/>
      <c r="FY1627" s="18"/>
      <c r="FZ1627" s="18"/>
      <c r="GA1627" s="18"/>
      <c r="GB1627" s="18"/>
      <c r="GC1627" s="18"/>
      <c r="GD1627" s="18"/>
      <c r="GE1627" s="18"/>
      <c r="GF1627" s="18"/>
      <c r="GG1627" s="18"/>
      <c r="GH1627" s="18"/>
      <c r="GI1627" s="18"/>
      <c r="GJ1627" s="18"/>
      <c r="GK1627" s="18"/>
      <c r="GL1627" s="18"/>
      <c r="GM1627" s="18"/>
      <c r="GN1627" s="18"/>
      <c r="GO1627" s="18"/>
      <c r="GP1627" s="18"/>
      <c r="GQ1627" s="18"/>
      <c r="GR1627" s="18"/>
      <c r="GS1627" s="18"/>
      <c r="GT1627" s="18"/>
      <c r="GU1627" s="18"/>
      <c r="GV1627" s="18"/>
      <c r="GW1627" s="18"/>
      <c r="GX1627" s="18"/>
      <c r="GY1627" s="18"/>
      <c r="GZ1627" s="18"/>
      <c r="HA1627" s="18"/>
      <c r="HB1627" s="18"/>
      <c r="HC1627" s="18"/>
      <c r="HD1627" s="18"/>
      <c r="HE1627" s="18"/>
      <c r="HF1627" s="18"/>
      <c r="HG1627" s="18"/>
      <c r="HH1627" s="18"/>
      <c r="HI1627" s="18"/>
      <c r="HJ1627" s="18"/>
      <c r="HK1627" s="18"/>
      <c r="HL1627" s="18"/>
      <c r="HM1627" s="18"/>
      <c r="HN1627" s="18"/>
      <c r="HO1627" s="18"/>
      <c r="HP1627" s="18"/>
      <c r="HQ1627" s="18"/>
      <c r="HR1627" s="18"/>
      <c r="HS1627" s="18"/>
      <c r="HT1627" s="18"/>
      <c r="HU1627" s="18"/>
      <c r="HV1627" s="18"/>
      <c r="HW1627" s="18"/>
      <c r="HX1627" s="18"/>
      <c r="HY1627" s="18"/>
      <c r="HZ1627" s="18"/>
      <c r="IA1627" s="18"/>
      <c r="IB1627" s="18"/>
      <c r="IC1627" s="18"/>
      <c r="ID1627" s="18"/>
      <c r="IE1627" s="18"/>
      <c r="IF1627" s="18"/>
      <c r="IG1627" s="18"/>
      <c r="IH1627" s="18"/>
      <c r="II1627" s="18"/>
      <c r="IJ1627" s="18"/>
      <c r="IK1627" s="18"/>
      <c r="IL1627" s="18"/>
      <c r="IM1627" s="18"/>
      <c r="IN1627" s="18"/>
      <c r="IO1627" s="18"/>
      <c r="IP1627" s="18"/>
      <c r="IQ1627" s="18"/>
      <c r="IR1627" s="18"/>
      <c r="IS1627" s="18"/>
      <c r="IT1627" s="18"/>
      <c r="IU1627" s="18"/>
      <c r="IV1627" s="18"/>
      <c r="IW1627" s="18"/>
      <c r="IX1627" s="18"/>
      <c r="IY1627" s="18"/>
      <c r="IZ1627" s="18"/>
      <c r="JA1627" s="18"/>
      <c r="JB1627" s="18"/>
      <c r="JC1627" s="18"/>
      <c r="JD1627" s="18"/>
      <c r="JE1627" s="18"/>
      <c r="JF1627" s="18"/>
      <c r="JG1627" s="18"/>
      <c r="JH1627" s="18"/>
      <c r="JI1627" s="18"/>
      <c r="JJ1627" s="18"/>
      <c r="JK1627" s="18"/>
      <c r="JL1627" s="18"/>
      <c r="JM1627" s="18"/>
      <c r="JN1627" s="18"/>
      <c r="JO1627" s="16"/>
      <c r="JP1627" s="16"/>
      <c r="JQ1627" s="16"/>
      <c r="JR1627" s="16"/>
      <c r="JS1627" s="16"/>
      <c r="JT1627" s="16"/>
      <c r="JU1627" s="16"/>
      <c r="JV1627" s="16"/>
      <c r="JW1627" s="16"/>
      <c r="JX1627" s="16"/>
      <c r="JY1627" s="16"/>
      <c r="JZ1627" s="16"/>
      <c r="KA1627" s="16"/>
      <c r="KB1627" s="16"/>
    </row>
    <row r="1628" spans="1:288" s="27" customFormat="1" x14ac:dyDescent="0.2">
      <c r="A1628" s="18"/>
      <c r="B1628" s="16">
        <v>2016</v>
      </c>
      <c r="C1628" s="20">
        <v>42609</v>
      </c>
      <c r="D1628" s="20" t="str">
        <f>CONCATENATE(J1628,"-",C1628)</f>
        <v>976-42609</v>
      </c>
      <c r="E1628" s="20" t="str">
        <f>CONCATENATE(T1628,"-",U1628,"-",C1628)</f>
        <v>SP2-D1-42609</v>
      </c>
      <c r="F1628" s="20" t="s">
        <v>227</v>
      </c>
      <c r="G1628" s="90" t="s">
        <v>278</v>
      </c>
      <c r="H1628" s="16"/>
      <c r="I1628" s="16"/>
      <c r="J1628" s="21">
        <v>976</v>
      </c>
      <c r="K1628" s="21"/>
      <c r="L1628" s="16"/>
      <c r="M1628" s="21"/>
      <c r="N1628" s="21"/>
      <c r="O1628" s="21"/>
      <c r="P1628" s="16"/>
      <c r="Q1628" s="16"/>
      <c r="R1628" s="16"/>
      <c r="S1628" s="16"/>
      <c r="T1628" s="16" t="s">
        <v>137</v>
      </c>
      <c r="U1628" s="16" t="s">
        <v>157</v>
      </c>
      <c r="V1628" s="16"/>
      <c r="W1628" s="16"/>
      <c r="X1628" s="16"/>
      <c r="Y1628" s="16"/>
      <c r="Z1628" s="16"/>
      <c r="AA1628" s="16"/>
      <c r="AB1628" s="16"/>
      <c r="AC1628" s="16"/>
      <c r="AD1628" s="16"/>
      <c r="AE1628" s="16"/>
      <c r="AF1628" s="16"/>
      <c r="AG1628" s="16"/>
      <c r="AH1628" s="16"/>
      <c r="AI1628" s="16"/>
      <c r="AJ1628" s="16"/>
      <c r="AK1628" s="16">
        <v>21</v>
      </c>
      <c r="AL1628" s="16"/>
      <c r="AM1628" s="16"/>
      <c r="AN1628" s="16"/>
      <c r="AO1628" s="16"/>
      <c r="AP1628" s="16"/>
      <c r="AQ1628" s="16"/>
      <c r="AR1628" s="16"/>
      <c r="AS1628" s="16"/>
      <c r="AT1628" s="16"/>
      <c r="AU1628" s="16"/>
      <c r="AV1628" s="16"/>
      <c r="AW1628" s="16"/>
      <c r="AX1628" s="16"/>
      <c r="AY1628" s="16"/>
      <c r="AZ1628" s="16"/>
      <c r="BA1628" s="16"/>
      <c r="BB1628" s="16"/>
      <c r="BC1628" s="16"/>
      <c r="BD1628" s="16"/>
      <c r="BE1628" s="16"/>
      <c r="BF1628" s="16"/>
      <c r="BG1628" s="77"/>
      <c r="BH1628" s="16"/>
      <c r="BI1628" s="16"/>
      <c r="BJ1628" s="16"/>
      <c r="BK1628" s="16"/>
      <c r="BL1628" s="16"/>
      <c r="BM1628" s="16"/>
      <c r="BN1628" s="16"/>
      <c r="BO1628" s="16"/>
      <c r="BP1628" s="16"/>
      <c r="BQ1628" s="16"/>
      <c r="BR1628" s="16"/>
      <c r="BS1628" s="16"/>
      <c r="BT1628" s="77"/>
      <c r="BU1628" s="16"/>
      <c r="BV1628" s="16"/>
      <c r="BW1628" s="16"/>
      <c r="BX1628" s="16"/>
      <c r="BY1628" s="16"/>
      <c r="BZ1628" s="16"/>
      <c r="CA1628" s="16"/>
      <c r="CB1628" s="16"/>
      <c r="CC1628" s="16"/>
      <c r="CD1628" s="77"/>
      <c r="CE1628" s="16"/>
      <c r="CF1628" s="16"/>
      <c r="CG1628" s="16"/>
      <c r="CH1628" s="16"/>
      <c r="CI1628" s="16"/>
      <c r="CJ1628" s="16"/>
      <c r="CK1628" s="16"/>
      <c r="CL1628" s="16"/>
      <c r="CM1628" s="16"/>
      <c r="CN1628" s="16"/>
      <c r="CO1628" s="16"/>
      <c r="CP1628" s="16"/>
      <c r="CQ1628" s="16"/>
      <c r="CR1628" s="16"/>
      <c r="CS1628" s="16"/>
      <c r="CT1628" s="16"/>
      <c r="CU1628" s="16"/>
      <c r="CV1628" s="16"/>
      <c r="CW1628" s="16"/>
      <c r="CX1628" s="16"/>
      <c r="CY1628" s="16"/>
      <c r="CZ1628" s="16"/>
      <c r="DA1628" s="16"/>
      <c r="DB1628" s="16"/>
      <c r="DC1628" s="16"/>
      <c r="DD1628" s="16"/>
      <c r="DE1628" s="16"/>
      <c r="DF1628" s="16" t="e">
        <f>VLOOKUP(K1628,'[3]RNA Seq summary tables'!$V$3:$V$99,1,FALSE)</f>
        <v>#N/A</v>
      </c>
      <c r="DG1628" s="16">
        <v>1</v>
      </c>
      <c r="DH1628" s="16" t="str">
        <f>VLOOKUP(D1628,'[8]Data with duplicates'!$B$1:$J$70,9,FALSE)</f>
        <v>sample.40dup</v>
      </c>
      <c r="DI1628" s="16"/>
      <c r="DJ1628" s="16"/>
      <c r="DK1628" s="16"/>
      <c r="DL1628" s="16"/>
      <c r="DM1628" s="16"/>
      <c r="DN1628" s="16"/>
      <c r="DO1628" s="16"/>
      <c r="DP1628" s="16"/>
      <c r="DQ1628" s="16"/>
      <c r="DR1628" s="16"/>
      <c r="DS1628" s="16"/>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18"/>
      <c r="EQ1628" s="18"/>
      <c r="ER1628" s="18"/>
      <c r="ES1628" s="18"/>
      <c r="ET1628" s="18"/>
      <c r="EU1628" s="18"/>
      <c r="EV1628" s="18"/>
      <c r="EW1628" s="18"/>
      <c r="EX1628" s="18"/>
      <c r="EY1628" s="18"/>
      <c r="EZ1628" s="18"/>
      <c r="FA1628" s="18"/>
      <c r="FB1628" s="18"/>
      <c r="FC1628" s="18"/>
      <c r="FD1628" s="18"/>
      <c r="FE1628" s="18"/>
      <c r="FF1628" s="18"/>
      <c r="FG1628" s="18"/>
      <c r="FH1628" s="18"/>
      <c r="FI1628" s="18"/>
      <c r="FJ1628" s="18"/>
      <c r="FK1628" s="18"/>
      <c r="FL1628" s="18"/>
      <c r="FM1628" s="18"/>
      <c r="FN1628" s="18"/>
      <c r="FO1628" s="18"/>
      <c r="FP1628" s="18"/>
      <c r="FQ1628" s="18"/>
      <c r="FR1628" s="18"/>
      <c r="FS1628" s="18"/>
      <c r="FT1628" s="18"/>
      <c r="FU1628" s="18"/>
      <c r="FV1628" s="18"/>
      <c r="FW1628" s="18"/>
      <c r="FX1628" s="18"/>
      <c r="FY1628" s="18"/>
      <c r="FZ1628" s="18"/>
      <c r="GA1628" s="18"/>
      <c r="GB1628" s="18"/>
      <c r="GC1628" s="18"/>
      <c r="GD1628" s="18"/>
      <c r="GE1628" s="18"/>
      <c r="GF1628" s="18"/>
      <c r="GG1628" s="18"/>
      <c r="GH1628" s="18"/>
      <c r="GI1628" s="18"/>
      <c r="GJ1628" s="18"/>
      <c r="GK1628" s="18"/>
      <c r="GL1628" s="18"/>
      <c r="GM1628" s="18"/>
      <c r="GN1628" s="18"/>
      <c r="GO1628" s="18"/>
      <c r="GP1628" s="18"/>
      <c r="GQ1628" s="18"/>
      <c r="GR1628" s="18"/>
      <c r="GS1628" s="18"/>
      <c r="GT1628" s="18"/>
      <c r="GU1628" s="18"/>
      <c r="GV1628" s="18"/>
      <c r="GW1628" s="18"/>
      <c r="GX1628" s="18"/>
      <c r="GY1628" s="18"/>
      <c r="GZ1628" s="18"/>
      <c r="HA1628" s="18"/>
      <c r="HB1628" s="18"/>
      <c r="HC1628" s="18"/>
      <c r="HD1628" s="18"/>
      <c r="HE1628" s="18"/>
      <c r="HF1628" s="18"/>
      <c r="HG1628" s="18"/>
      <c r="HH1628" s="18"/>
      <c r="HI1628" s="18"/>
      <c r="HJ1628" s="18"/>
      <c r="HK1628" s="18"/>
      <c r="HL1628" s="18"/>
      <c r="HM1628" s="18"/>
      <c r="HN1628" s="18"/>
      <c r="HO1628" s="18"/>
      <c r="HP1628" s="18"/>
      <c r="HQ1628" s="18"/>
      <c r="HR1628" s="18"/>
      <c r="HS1628" s="18"/>
      <c r="HT1628" s="18"/>
      <c r="HU1628" s="18"/>
      <c r="HV1628" s="18"/>
      <c r="HW1628" s="18"/>
      <c r="HX1628" s="18"/>
      <c r="HY1628" s="18"/>
      <c r="HZ1628" s="18"/>
      <c r="IA1628" s="18"/>
      <c r="IB1628" s="18"/>
      <c r="IC1628" s="18"/>
      <c r="ID1628" s="18"/>
      <c r="IE1628" s="18"/>
      <c r="IF1628" s="18"/>
      <c r="IG1628" s="18"/>
      <c r="IH1628" s="18"/>
      <c r="II1628" s="18"/>
      <c r="IJ1628" s="18"/>
      <c r="IK1628" s="18"/>
      <c r="IL1628" s="18"/>
      <c r="IM1628" s="18"/>
      <c r="IN1628" s="18"/>
      <c r="IO1628" s="18"/>
      <c r="IP1628" s="18"/>
      <c r="IQ1628" s="18"/>
      <c r="IR1628" s="18"/>
      <c r="IS1628" s="18"/>
      <c r="IT1628" s="18"/>
      <c r="IU1628" s="18"/>
      <c r="IV1628" s="18"/>
      <c r="IW1628" s="18"/>
      <c r="IX1628" s="18"/>
      <c r="IY1628" s="18"/>
      <c r="IZ1628" s="18"/>
      <c r="JA1628" s="18"/>
      <c r="JB1628" s="18"/>
      <c r="JC1628" s="18"/>
      <c r="JD1628" s="18"/>
      <c r="JE1628" s="18"/>
      <c r="JF1628" s="18"/>
      <c r="JG1628" s="18"/>
      <c r="JH1628" s="18"/>
      <c r="JI1628" s="18"/>
      <c r="JJ1628" s="18"/>
      <c r="JK1628" s="18"/>
      <c r="JL1628" s="18"/>
      <c r="JM1628" s="18"/>
      <c r="JN1628" s="18"/>
      <c r="JO1628" s="16"/>
      <c r="JP1628" s="16"/>
      <c r="JQ1628" s="16"/>
      <c r="JR1628" s="16"/>
      <c r="JS1628" s="16"/>
      <c r="JT1628" s="16"/>
      <c r="JU1628" s="16"/>
      <c r="JV1628" s="16"/>
      <c r="JW1628" s="16"/>
      <c r="JX1628" s="16"/>
      <c r="JY1628" s="16"/>
      <c r="JZ1628" s="16"/>
      <c r="KA1628" s="16"/>
      <c r="KB1628" s="16"/>
    </row>
    <row r="1629" spans="1:288" s="27" customFormat="1" x14ac:dyDescent="0.2">
      <c r="A1629" s="18"/>
      <c r="B1629" s="16">
        <v>2016</v>
      </c>
      <c r="C1629" s="20">
        <v>42542</v>
      </c>
      <c r="D1629" s="20" t="str">
        <f>CONCATENATE(J1629,"-",C1629)</f>
        <v>978-42542</v>
      </c>
      <c r="E1629" s="20" t="str">
        <f>CONCATENATE(T1629,"-",U1629,"-",C1629)</f>
        <v>BC2-H1-42542</v>
      </c>
      <c r="F1629" s="20" t="s">
        <v>106</v>
      </c>
      <c r="G1629" s="90" t="s">
        <v>278</v>
      </c>
      <c r="H1629" s="16"/>
      <c r="I1629" s="16"/>
      <c r="J1629" s="21">
        <v>978</v>
      </c>
      <c r="K1629" s="21"/>
      <c r="L1629" s="16"/>
      <c r="M1629" s="21"/>
      <c r="N1629" s="21"/>
      <c r="O1629" s="21"/>
      <c r="P1629" s="16"/>
      <c r="Q1629" s="16"/>
      <c r="R1629" s="16"/>
      <c r="S1629" s="16"/>
      <c r="T1629" s="16" t="s">
        <v>154</v>
      </c>
      <c r="U1629" s="16" t="s">
        <v>191</v>
      </c>
      <c r="V1629" s="16" t="s">
        <v>114</v>
      </c>
      <c r="W1629" s="16"/>
      <c r="X1629" s="16" t="s">
        <v>115</v>
      </c>
      <c r="Y1629" s="16" t="s">
        <v>122</v>
      </c>
      <c r="Z1629" s="16">
        <v>2.9</v>
      </c>
      <c r="AA1629" s="16"/>
      <c r="AB1629" s="16"/>
      <c r="AC1629" s="16"/>
      <c r="AD1629" s="16"/>
      <c r="AE1629" s="16" t="s">
        <v>116</v>
      </c>
      <c r="AF1629" s="16" t="s">
        <v>116</v>
      </c>
      <c r="AG1629" s="16"/>
      <c r="AH1629" s="16"/>
      <c r="AI1629" s="16"/>
      <c r="AJ1629" s="16"/>
      <c r="AK1629" s="16">
        <v>16.5</v>
      </c>
      <c r="AL1629" s="16">
        <v>0</v>
      </c>
      <c r="AM1629" s="16">
        <v>0</v>
      </c>
      <c r="AN1629" s="16">
        <v>0</v>
      </c>
      <c r="AO1629" s="16">
        <f>IF(SUM(AL1629:AN1629)&gt;0,1,0)</f>
        <v>0</v>
      </c>
      <c r="AP1629" s="16">
        <f>SUM(AL1629:AN1629)</f>
        <v>0</v>
      </c>
      <c r="AQ1629" s="16"/>
      <c r="AR1629" s="16"/>
      <c r="AS1629" s="16"/>
      <c r="AT1629" s="16"/>
      <c r="AU1629" s="16"/>
      <c r="AV1629" s="16"/>
      <c r="AW1629" s="16"/>
      <c r="AX1629" s="16"/>
      <c r="AY1629" s="16"/>
      <c r="AZ1629" s="16"/>
      <c r="BA1629" s="16"/>
      <c r="BB1629" s="16"/>
      <c r="BC1629" s="16"/>
      <c r="BD1629" s="16"/>
      <c r="BE1629" s="16"/>
      <c r="BF1629" s="16"/>
      <c r="BG1629" s="77"/>
      <c r="BH1629" s="16"/>
      <c r="BI1629" s="16"/>
      <c r="BJ1629" s="16"/>
      <c r="BK1629" s="16"/>
      <c r="BL1629" s="16"/>
      <c r="BM1629" s="16"/>
      <c r="BN1629" s="16"/>
      <c r="BO1629" s="16"/>
      <c r="BP1629" s="16"/>
      <c r="BQ1629" s="16"/>
      <c r="BR1629" s="16"/>
      <c r="BS1629" s="16"/>
      <c r="BT1629" s="77"/>
      <c r="BU1629" s="16"/>
      <c r="BV1629" s="16"/>
      <c r="BW1629" s="16"/>
      <c r="BX1629" s="16"/>
      <c r="BY1629" s="16"/>
      <c r="BZ1629" s="16"/>
      <c r="CA1629" s="16"/>
      <c r="CB1629" s="16"/>
      <c r="CC1629" s="16"/>
      <c r="CD1629" s="77"/>
      <c r="CE1629" s="16"/>
      <c r="CF1629" s="16"/>
      <c r="CG1629" s="16"/>
      <c r="CH1629" s="16"/>
      <c r="CI1629" s="16"/>
      <c r="CJ1629" s="16"/>
      <c r="CK1629" s="16"/>
      <c r="CL1629" s="16"/>
      <c r="CM1629" s="16"/>
      <c r="CN1629" s="16"/>
      <c r="CO1629" s="16"/>
      <c r="CP1629" s="16"/>
      <c r="CQ1629" s="16"/>
      <c r="CR1629" s="16"/>
      <c r="CS1629" s="16"/>
      <c r="CT1629" s="16"/>
      <c r="CU1629" s="16"/>
      <c r="CV1629" s="16"/>
      <c r="CW1629" s="16"/>
      <c r="CX1629" s="16"/>
      <c r="CY1629" s="16"/>
      <c r="CZ1629" s="16"/>
      <c r="DA1629" s="16"/>
      <c r="DB1629" s="16"/>
      <c r="DC1629" s="16"/>
      <c r="DD1629" s="16"/>
      <c r="DE1629" s="16"/>
      <c r="DF1629" s="16" t="e">
        <f>VLOOKUP(K1629,'[3]RNA Seq summary tables'!$V$3:$V$99,1,FALSE)</f>
        <v>#N/A</v>
      </c>
      <c r="DG1629" s="16"/>
      <c r="DH1629" s="16"/>
      <c r="DI1629" s="16"/>
      <c r="DJ1629" s="16"/>
      <c r="DK1629" s="16"/>
      <c r="DL1629" s="16"/>
      <c r="DM1629" s="16"/>
      <c r="DN1629" s="16"/>
      <c r="DO1629" s="16"/>
      <c r="DP1629" s="16"/>
      <c r="DQ1629" s="16"/>
      <c r="DR1629" s="16"/>
      <c r="DS1629" s="16"/>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18"/>
      <c r="EQ1629" s="18"/>
      <c r="ER1629" s="18"/>
      <c r="ES1629" s="18"/>
      <c r="ET1629" s="18"/>
      <c r="EU1629" s="18"/>
      <c r="EV1629" s="18"/>
      <c r="EW1629" s="18"/>
      <c r="EX1629" s="18"/>
      <c r="EY1629" s="18"/>
      <c r="EZ1629" s="18"/>
      <c r="FA1629" s="18"/>
      <c r="FB1629" s="18"/>
      <c r="FC1629" s="18"/>
      <c r="FD1629" s="18"/>
      <c r="FE1629" s="18"/>
      <c r="FF1629" s="18"/>
      <c r="FG1629" s="18"/>
      <c r="FH1629" s="18"/>
      <c r="FI1629" s="18"/>
      <c r="FJ1629" s="18"/>
      <c r="FK1629" s="18"/>
      <c r="FL1629" s="18"/>
      <c r="FM1629" s="18"/>
      <c r="FN1629" s="18"/>
      <c r="FO1629" s="18"/>
      <c r="FP1629" s="18"/>
      <c r="FQ1629" s="18"/>
      <c r="FR1629" s="18"/>
      <c r="FS1629" s="18"/>
      <c r="FT1629" s="18"/>
      <c r="FU1629" s="18"/>
      <c r="FV1629" s="18"/>
      <c r="FW1629" s="18"/>
      <c r="FX1629" s="18"/>
      <c r="FY1629" s="18"/>
      <c r="FZ1629" s="18"/>
      <c r="GA1629" s="18"/>
      <c r="GB1629" s="18"/>
      <c r="GC1629" s="18"/>
      <c r="GD1629" s="18"/>
      <c r="GE1629" s="18"/>
      <c r="GF1629" s="18"/>
      <c r="GG1629" s="18"/>
      <c r="GH1629" s="18"/>
      <c r="GI1629" s="18"/>
      <c r="GJ1629" s="18"/>
      <c r="GK1629" s="18"/>
      <c r="GL1629" s="18"/>
      <c r="GM1629" s="18"/>
      <c r="GN1629" s="18"/>
      <c r="GO1629" s="18"/>
      <c r="GP1629" s="18"/>
      <c r="GQ1629" s="18"/>
      <c r="GR1629" s="18"/>
      <c r="GS1629" s="18"/>
      <c r="GT1629" s="18"/>
      <c r="GU1629" s="18"/>
      <c r="GV1629" s="18"/>
      <c r="GW1629" s="18"/>
      <c r="GX1629" s="18"/>
      <c r="GY1629" s="18"/>
      <c r="GZ1629" s="18"/>
      <c r="HA1629" s="18"/>
      <c r="HB1629" s="18"/>
      <c r="HC1629" s="18"/>
      <c r="HD1629" s="18"/>
      <c r="HE1629" s="18"/>
      <c r="HF1629" s="18"/>
      <c r="HG1629" s="18"/>
      <c r="HH1629" s="18"/>
      <c r="HI1629" s="18"/>
      <c r="HJ1629" s="18"/>
      <c r="HK1629" s="18"/>
      <c r="HL1629" s="18"/>
      <c r="HM1629" s="18"/>
      <c r="HN1629" s="18"/>
      <c r="HO1629" s="18"/>
      <c r="HP1629" s="18"/>
      <c r="HQ1629" s="18"/>
      <c r="HR1629" s="18"/>
      <c r="HS1629" s="18"/>
      <c r="HT1629" s="18"/>
      <c r="HU1629" s="18"/>
      <c r="HV1629" s="18"/>
      <c r="HW1629" s="18"/>
      <c r="HX1629" s="18"/>
      <c r="HY1629" s="18"/>
      <c r="HZ1629" s="18"/>
      <c r="IA1629" s="18"/>
      <c r="IB1629" s="18"/>
      <c r="IC1629" s="18"/>
      <c r="ID1629" s="18"/>
      <c r="IE1629" s="18"/>
      <c r="IF1629" s="18"/>
      <c r="IG1629" s="18"/>
      <c r="IH1629" s="18"/>
      <c r="II1629" s="18"/>
      <c r="IJ1629" s="18"/>
      <c r="IK1629" s="18"/>
      <c r="IL1629" s="18"/>
      <c r="IM1629" s="18"/>
      <c r="IN1629" s="18"/>
      <c r="IO1629" s="18"/>
      <c r="IP1629" s="18"/>
      <c r="IQ1629" s="18"/>
      <c r="IR1629" s="18"/>
      <c r="IS1629" s="18"/>
      <c r="IT1629" s="18"/>
      <c r="IU1629" s="18"/>
      <c r="IV1629" s="18"/>
      <c r="IW1629" s="18"/>
      <c r="IX1629" s="18"/>
      <c r="IY1629" s="18"/>
      <c r="IZ1629" s="18"/>
      <c r="JA1629" s="18"/>
      <c r="JB1629" s="18"/>
      <c r="JC1629" s="18"/>
      <c r="JD1629" s="18"/>
      <c r="JE1629" s="18"/>
      <c r="JF1629" s="18"/>
      <c r="JG1629" s="18"/>
      <c r="JH1629" s="18"/>
      <c r="JI1629" s="18"/>
      <c r="JJ1629" s="18"/>
      <c r="JK1629" s="18"/>
      <c r="JL1629" s="18"/>
      <c r="JM1629" s="18"/>
      <c r="JN1629" s="18"/>
      <c r="JO1629" s="16"/>
      <c r="JP1629" s="16"/>
      <c r="JQ1629" s="16"/>
      <c r="JR1629" s="38"/>
      <c r="JS1629" s="38"/>
      <c r="JT1629" s="38"/>
      <c r="JU1629" s="38"/>
      <c r="JV1629" s="38"/>
      <c r="JW1629" s="38"/>
      <c r="JX1629" s="38"/>
      <c r="JY1629" s="38"/>
      <c r="JZ1629" s="38"/>
      <c r="KA1629" s="38"/>
      <c r="KB1629" s="38"/>
    </row>
    <row r="1630" spans="1:288" s="27" customFormat="1" x14ac:dyDescent="0.2">
      <c r="A1630" s="18"/>
      <c r="B1630" s="16">
        <v>2016</v>
      </c>
      <c r="C1630" s="20">
        <v>42543</v>
      </c>
      <c r="D1630" s="20" t="str">
        <f>CONCATENATE(J1630,"-",C1630)</f>
        <v>978-42543</v>
      </c>
      <c r="E1630" s="20" t="str">
        <f>CONCATENATE(T1630,"-",U1630,"-",C1630)</f>
        <v>BC2-G2-42543</v>
      </c>
      <c r="F1630" s="20" t="s">
        <v>106</v>
      </c>
      <c r="G1630" s="90" t="s">
        <v>278</v>
      </c>
      <c r="H1630" s="16"/>
      <c r="I1630" s="16"/>
      <c r="J1630" s="21">
        <v>978</v>
      </c>
      <c r="K1630" s="21"/>
      <c r="L1630" s="16"/>
      <c r="M1630" s="21"/>
      <c r="N1630" s="21"/>
      <c r="O1630" s="21"/>
      <c r="P1630" s="16"/>
      <c r="Q1630" s="16"/>
      <c r="R1630" s="16"/>
      <c r="S1630" s="16"/>
      <c r="T1630" s="16" t="s">
        <v>154</v>
      </c>
      <c r="U1630" s="16" t="s">
        <v>128</v>
      </c>
      <c r="V1630" s="16" t="s">
        <v>114</v>
      </c>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c r="BA1630" s="16"/>
      <c r="BB1630" s="16"/>
      <c r="BC1630" s="16"/>
      <c r="BD1630" s="16"/>
      <c r="BE1630" s="16"/>
      <c r="BF1630" s="16"/>
      <c r="BG1630" s="77"/>
      <c r="BH1630" s="16"/>
      <c r="BI1630" s="16"/>
      <c r="BJ1630" s="16"/>
      <c r="BK1630" s="16"/>
      <c r="BL1630" s="16"/>
      <c r="BM1630" s="16"/>
      <c r="BN1630" s="16"/>
      <c r="BO1630" s="16"/>
      <c r="BP1630" s="16"/>
      <c r="BQ1630" s="16"/>
      <c r="BR1630" s="16"/>
      <c r="BS1630" s="16"/>
      <c r="BT1630" s="77"/>
      <c r="BU1630" s="16"/>
      <c r="BV1630" s="16"/>
      <c r="BW1630" s="16"/>
      <c r="BX1630" s="16"/>
      <c r="BY1630" s="16"/>
      <c r="BZ1630" s="16"/>
      <c r="CA1630" s="16"/>
      <c r="CB1630" s="16"/>
      <c r="CC1630" s="16"/>
      <c r="CD1630" s="77"/>
      <c r="CE1630" s="16"/>
      <c r="CF1630" s="16"/>
      <c r="CG1630" s="16"/>
      <c r="CH1630" s="16"/>
      <c r="CI1630" s="16"/>
      <c r="CJ1630" s="16"/>
      <c r="CK1630" s="16"/>
      <c r="CL1630" s="16"/>
      <c r="CM1630" s="16"/>
      <c r="CN1630" s="16"/>
      <c r="CO1630" s="16"/>
      <c r="CP1630" s="16"/>
      <c r="CQ1630" s="16"/>
      <c r="CR1630" s="16"/>
      <c r="CS1630" s="16"/>
      <c r="CT1630" s="16"/>
      <c r="CU1630" s="16"/>
      <c r="CV1630" s="16"/>
      <c r="CW1630" s="16"/>
      <c r="CX1630" s="16"/>
      <c r="CY1630" s="16"/>
      <c r="CZ1630" s="16"/>
      <c r="DA1630" s="16"/>
      <c r="DB1630" s="16"/>
      <c r="DC1630" s="16"/>
      <c r="DD1630" s="16"/>
      <c r="DE1630" s="16"/>
      <c r="DF1630" s="16" t="e">
        <f>VLOOKUP(K1630,'[3]RNA Seq summary tables'!$V$3:$V$99,1,FALSE)</f>
        <v>#N/A</v>
      </c>
      <c r="DG1630" s="16"/>
      <c r="DH1630" s="16"/>
      <c r="DI1630" s="16"/>
      <c r="DJ1630" s="16"/>
      <c r="DK1630" s="16"/>
      <c r="DL1630" s="16"/>
      <c r="DM1630" s="16"/>
      <c r="DN1630" s="16"/>
      <c r="DO1630" s="16"/>
      <c r="DP1630" s="16"/>
      <c r="DQ1630" s="16"/>
      <c r="DR1630" s="16"/>
      <c r="DS1630" s="16"/>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18"/>
      <c r="EQ1630" s="18"/>
      <c r="ER1630" s="18"/>
      <c r="ES1630" s="18"/>
      <c r="ET1630" s="18"/>
      <c r="EU1630" s="18"/>
      <c r="EV1630" s="18"/>
      <c r="EW1630" s="18"/>
      <c r="EX1630" s="18"/>
      <c r="EY1630" s="18"/>
      <c r="EZ1630" s="18"/>
      <c r="FA1630" s="18"/>
      <c r="FB1630" s="18"/>
      <c r="FC1630" s="18"/>
      <c r="FD1630" s="18"/>
      <c r="FE1630" s="18"/>
      <c r="FF1630" s="18"/>
      <c r="FG1630" s="18"/>
      <c r="FH1630" s="18"/>
      <c r="FI1630" s="18"/>
      <c r="FJ1630" s="18"/>
      <c r="FK1630" s="18"/>
      <c r="FL1630" s="18"/>
      <c r="FM1630" s="18"/>
      <c r="FN1630" s="18"/>
      <c r="FO1630" s="18"/>
      <c r="FP1630" s="18"/>
      <c r="FQ1630" s="18"/>
      <c r="FR1630" s="18"/>
      <c r="FS1630" s="18"/>
      <c r="FT1630" s="18"/>
      <c r="FU1630" s="18"/>
      <c r="FV1630" s="18"/>
      <c r="FW1630" s="18"/>
      <c r="FX1630" s="18"/>
      <c r="FY1630" s="18"/>
      <c r="FZ1630" s="18"/>
      <c r="GA1630" s="18"/>
      <c r="GB1630" s="18"/>
      <c r="GC1630" s="18"/>
      <c r="GD1630" s="18"/>
      <c r="GE1630" s="18"/>
      <c r="GF1630" s="18"/>
      <c r="GG1630" s="18"/>
      <c r="GH1630" s="18"/>
      <c r="GI1630" s="18"/>
      <c r="GJ1630" s="18"/>
      <c r="GK1630" s="18"/>
      <c r="GL1630" s="18"/>
      <c r="GM1630" s="18"/>
      <c r="GN1630" s="18"/>
      <c r="GO1630" s="18"/>
      <c r="GP1630" s="18"/>
      <c r="GQ1630" s="18"/>
      <c r="GR1630" s="18"/>
      <c r="GS1630" s="18"/>
      <c r="GT1630" s="18"/>
      <c r="GU1630" s="18"/>
      <c r="GV1630" s="18"/>
      <c r="GW1630" s="18"/>
      <c r="GX1630" s="18"/>
      <c r="GY1630" s="18"/>
      <c r="GZ1630" s="18"/>
      <c r="HA1630" s="18"/>
      <c r="HB1630" s="18"/>
      <c r="HC1630" s="18"/>
      <c r="HD1630" s="18"/>
      <c r="HE1630" s="18"/>
      <c r="HF1630" s="18"/>
      <c r="HG1630" s="18"/>
      <c r="HH1630" s="18"/>
      <c r="HI1630" s="18"/>
      <c r="HJ1630" s="18"/>
      <c r="HK1630" s="18"/>
      <c r="HL1630" s="18"/>
      <c r="HM1630" s="18"/>
      <c r="HN1630" s="18"/>
      <c r="HO1630" s="18"/>
      <c r="HP1630" s="18"/>
      <c r="HQ1630" s="18"/>
      <c r="HR1630" s="18"/>
      <c r="HS1630" s="18"/>
      <c r="HT1630" s="18"/>
      <c r="HU1630" s="18"/>
      <c r="HV1630" s="18"/>
      <c r="HW1630" s="18"/>
      <c r="HX1630" s="18"/>
      <c r="HY1630" s="18"/>
      <c r="HZ1630" s="18"/>
      <c r="IA1630" s="18"/>
      <c r="IB1630" s="18"/>
      <c r="IC1630" s="18"/>
      <c r="ID1630" s="18"/>
      <c r="IE1630" s="18"/>
      <c r="IF1630" s="18"/>
      <c r="IG1630" s="18"/>
      <c r="IH1630" s="18"/>
      <c r="II1630" s="18"/>
      <c r="IJ1630" s="18"/>
      <c r="IK1630" s="18"/>
      <c r="IL1630" s="18"/>
      <c r="IM1630" s="18"/>
      <c r="IN1630" s="18"/>
      <c r="IO1630" s="18"/>
      <c r="IP1630" s="18"/>
      <c r="IQ1630" s="18"/>
      <c r="IR1630" s="18"/>
      <c r="IS1630" s="18"/>
      <c r="IT1630" s="18"/>
      <c r="IU1630" s="18"/>
      <c r="IV1630" s="18"/>
      <c r="IW1630" s="18"/>
      <c r="IX1630" s="18"/>
      <c r="IY1630" s="18"/>
      <c r="IZ1630" s="18"/>
      <c r="JA1630" s="18"/>
      <c r="JB1630" s="18"/>
      <c r="JC1630" s="18"/>
      <c r="JD1630" s="18"/>
      <c r="JE1630" s="18"/>
      <c r="JF1630" s="18"/>
      <c r="JG1630" s="18"/>
      <c r="JH1630" s="18"/>
      <c r="JI1630" s="18"/>
      <c r="JJ1630" s="18"/>
      <c r="JK1630" s="18"/>
      <c r="JL1630" s="18"/>
      <c r="JM1630" s="18"/>
      <c r="JN1630" s="18"/>
      <c r="JO1630" s="16"/>
      <c r="JR1630" s="16"/>
      <c r="JS1630" s="16"/>
      <c r="JT1630" s="16"/>
      <c r="JU1630" s="16"/>
      <c r="JV1630" s="16"/>
      <c r="JW1630" s="16"/>
      <c r="JX1630" s="16"/>
      <c r="JY1630" s="16"/>
      <c r="JZ1630" s="16"/>
      <c r="KA1630" s="16"/>
      <c r="KB1630" s="16"/>
    </row>
    <row r="1631" spans="1:288" s="27" customFormat="1" x14ac:dyDescent="0.2">
      <c r="A1631" s="18"/>
      <c r="B1631" s="16">
        <v>2016</v>
      </c>
      <c r="C1631" s="20">
        <v>42546</v>
      </c>
      <c r="D1631" s="20" t="str">
        <f>CONCATENATE(J1631,"-",C1631)</f>
        <v>981-42546</v>
      </c>
      <c r="E1631" s="20" t="str">
        <f>CONCATENATE(T1631,"-",U1631,"-",C1631)</f>
        <v>PO1-A3-42546</v>
      </c>
      <c r="F1631" s="20" t="s">
        <v>106</v>
      </c>
      <c r="G1631" s="90" t="s">
        <v>278</v>
      </c>
      <c r="H1631" s="16"/>
      <c r="I1631" s="16"/>
      <c r="J1631" s="21">
        <v>981</v>
      </c>
      <c r="K1631" s="21"/>
      <c r="L1631" s="16"/>
      <c r="M1631" s="21"/>
      <c r="N1631" s="21"/>
      <c r="O1631" s="21"/>
      <c r="P1631" s="16"/>
      <c r="Q1631" s="16"/>
      <c r="R1631" s="16"/>
      <c r="S1631" s="16"/>
      <c r="T1631" s="16" t="s">
        <v>112</v>
      </c>
      <c r="U1631" s="16" t="s">
        <v>201</v>
      </c>
      <c r="V1631" s="16"/>
      <c r="W1631" s="16"/>
      <c r="X1631" s="16"/>
      <c r="Y1631" s="16"/>
      <c r="Z1631" s="16"/>
      <c r="AA1631" s="16"/>
      <c r="AB1631" s="16"/>
      <c r="AC1631" s="16"/>
      <c r="AD1631" s="16"/>
      <c r="AE1631" s="16"/>
      <c r="AF1631" s="16"/>
      <c r="AG1631" s="16"/>
      <c r="AH1631" s="16"/>
      <c r="AI1631" s="16"/>
      <c r="AJ1631" s="16"/>
      <c r="AK1631" s="16">
        <v>19.5</v>
      </c>
      <c r="AL1631" s="16"/>
      <c r="AM1631" s="16"/>
      <c r="AN1631" s="16"/>
      <c r="AO1631" s="16"/>
      <c r="AP1631" s="16"/>
      <c r="AQ1631" s="16"/>
      <c r="AR1631" s="16"/>
      <c r="AS1631" s="16"/>
      <c r="AT1631" s="16"/>
      <c r="AU1631" s="16"/>
      <c r="AV1631" s="16"/>
      <c r="AW1631" s="16"/>
      <c r="AX1631" s="16"/>
      <c r="AY1631" s="16"/>
      <c r="AZ1631" s="16"/>
      <c r="BA1631" s="16"/>
      <c r="BB1631" s="16"/>
      <c r="BC1631" s="16"/>
      <c r="BD1631" s="16"/>
      <c r="BE1631" s="16"/>
      <c r="BF1631" s="16"/>
      <c r="BG1631" s="77"/>
      <c r="BH1631" s="16"/>
      <c r="BI1631" s="16"/>
      <c r="BJ1631" s="16"/>
      <c r="BK1631" s="16"/>
      <c r="BL1631" s="16"/>
      <c r="BM1631" s="16"/>
      <c r="BN1631" s="16"/>
      <c r="BO1631" s="16"/>
      <c r="BP1631" s="16"/>
      <c r="BQ1631" s="16"/>
      <c r="BR1631" s="16"/>
      <c r="BS1631" s="16"/>
      <c r="BT1631" s="77"/>
      <c r="BU1631" s="16"/>
      <c r="BV1631" s="16"/>
      <c r="BW1631" s="16"/>
      <c r="BX1631" s="16"/>
      <c r="BY1631" s="16"/>
      <c r="BZ1631" s="16"/>
      <c r="CA1631" s="16"/>
      <c r="CB1631" s="16"/>
      <c r="CC1631" s="16"/>
      <c r="CD1631" s="77"/>
      <c r="CE1631" s="16"/>
      <c r="CF1631" s="16"/>
      <c r="CG1631" s="16"/>
      <c r="CH1631" s="16"/>
      <c r="CI1631" s="16"/>
      <c r="CJ1631" s="16"/>
      <c r="CK1631" s="16"/>
      <c r="CL1631" s="16"/>
      <c r="CM1631" s="16"/>
      <c r="CN1631" s="16"/>
      <c r="CO1631" s="16"/>
      <c r="CP1631" s="16"/>
      <c r="CQ1631" s="16"/>
      <c r="CR1631" s="16"/>
      <c r="CS1631" s="16"/>
      <c r="CT1631" s="16"/>
      <c r="CU1631" s="16"/>
      <c r="CV1631" s="16"/>
      <c r="CW1631" s="16"/>
      <c r="CX1631" s="16"/>
      <c r="CY1631" s="16"/>
      <c r="CZ1631" s="16"/>
      <c r="DA1631" s="16"/>
      <c r="DB1631" s="16"/>
      <c r="DC1631" s="16"/>
      <c r="DD1631" s="16"/>
      <c r="DE1631" s="16"/>
      <c r="DF1631" s="16" t="e">
        <f>VLOOKUP(K1631,'[3]RNA Seq summary tables'!$V$3:$V$99,1,FALSE)</f>
        <v>#N/A</v>
      </c>
      <c r="DG1631" s="16"/>
      <c r="DH1631" s="16"/>
      <c r="DI1631" s="16"/>
      <c r="DJ1631" s="16"/>
      <c r="DK1631" s="16"/>
      <c r="DL1631" s="16"/>
      <c r="DM1631" s="16"/>
      <c r="DN1631" s="16"/>
      <c r="DO1631" s="16"/>
      <c r="DP1631" s="16"/>
      <c r="DQ1631" s="16"/>
      <c r="DR1631" s="16"/>
      <c r="DS1631" s="16"/>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18"/>
      <c r="EQ1631" s="18"/>
      <c r="ER1631" s="18"/>
      <c r="ES1631" s="18"/>
      <c r="ET1631" s="18"/>
      <c r="EU1631" s="18"/>
      <c r="EV1631" s="18"/>
      <c r="EW1631" s="18"/>
      <c r="EX1631" s="18"/>
      <c r="EY1631" s="18"/>
      <c r="EZ1631" s="18"/>
      <c r="FA1631" s="18"/>
      <c r="FB1631" s="18"/>
      <c r="FC1631" s="18"/>
      <c r="FD1631" s="18"/>
      <c r="FE1631" s="18"/>
      <c r="FF1631" s="18"/>
      <c r="FG1631" s="18"/>
      <c r="FH1631" s="18"/>
      <c r="FI1631" s="18"/>
      <c r="FJ1631" s="18"/>
      <c r="FK1631" s="18"/>
      <c r="FL1631" s="18"/>
      <c r="FM1631" s="18"/>
      <c r="FN1631" s="18"/>
      <c r="FO1631" s="18"/>
      <c r="FP1631" s="18"/>
      <c r="FQ1631" s="18"/>
      <c r="FR1631" s="18"/>
      <c r="FS1631" s="18"/>
      <c r="FT1631" s="18"/>
      <c r="FU1631" s="18"/>
      <c r="FV1631" s="18"/>
      <c r="FW1631" s="18"/>
      <c r="FX1631" s="18"/>
      <c r="FY1631" s="18"/>
      <c r="FZ1631" s="18"/>
      <c r="GA1631" s="18"/>
      <c r="GB1631" s="18"/>
      <c r="GC1631" s="18"/>
      <c r="GD1631" s="18"/>
      <c r="GE1631" s="18"/>
      <c r="GF1631" s="18"/>
      <c r="GG1631" s="18"/>
      <c r="GH1631" s="18"/>
      <c r="GI1631" s="18"/>
      <c r="GJ1631" s="18"/>
      <c r="GK1631" s="18"/>
      <c r="GL1631" s="18"/>
      <c r="GM1631" s="18"/>
      <c r="GN1631" s="18"/>
      <c r="GO1631" s="18"/>
      <c r="GP1631" s="18"/>
      <c r="GQ1631" s="18"/>
      <c r="GR1631" s="18"/>
      <c r="GS1631" s="18"/>
      <c r="GT1631" s="18"/>
      <c r="GU1631" s="18"/>
      <c r="GV1631" s="18"/>
      <c r="GW1631" s="18"/>
      <c r="GX1631" s="18"/>
      <c r="GY1631" s="18"/>
      <c r="GZ1631" s="18"/>
      <c r="HA1631" s="18"/>
      <c r="HB1631" s="18"/>
      <c r="HC1631" s="18"/>
      <c r="HD1631" s="18"/>
      <c r="HE1631" s="18"/>
      <c r="HF1631" s="18"/>
      <c r="HG1631" s="18"/>
      <c r="HH1631" s="18"/>
      <c r="HI1631" s="18"/>
      <c r="HJ1631" s="18"/>
      <c r="HK1631" s="18"/>
      <c r="HL1631" s="18"/>
      <c r="HM1631" s="18"/>
      <c r="HN1631" s="18"/>
      <c r="HO1631" s="18"/>
      <c r="HP1631" s="18"/>
      <c r="HQ1631" s="18"/>
      <c r="HR1631" s="18"/>
      <c r="HS1631" s="18"/>
      <c r="HT1631" s="18"/>
      <c r="HU1631" s="18"/>
      <c r="HV1631" s="18"/>
      <c r="HW1631" s="18"/>
      <c r="HX1631" s="18"/>
      <c r="HY1631" s="18"/>
      <c r="HZ1631" s="18"/>
      <c r="IA1631" s="18"/>
      <c r="IB1631" s="18"/>
      <c r="IC1631" s="18"/>
      <c r="ID1631" s="18"/>
      <c r="IE1631" s="18"/>
      <c r="IF1631" s="18"/>
      <c r="IG1631" s="18"/>
      <c r="IH1631" s="18"/>
      <c r="II1631" s="18"/>
      <c r="IJ1631" s="18"/>
      <c r="IK1631" s="18"/>
      <c r="IL1631" s="18"/>
      <c r="IM1631" s="18"/>
      <c r="IN1631" s="18"/>
      <c r="IO1631" s="18"/>
      <c r="IP1631" s="18"/>
      <c r="IQ1631" s="18"/>
      <c r="IR1631" s="18"/>
      <c r="IS1631" s="18"/>
      <c r="IT1631" s="18"/>
      <c r="IU1631" s="18"/>
      <c r="IV1631" s="18"/>
      <c r="IW1631" s="18"/>
      <c r="IX1631" s="18"/>
      <c r="IY1631" s="18"/>
      <c r="IZ1631" s="18"/>
      <c r="JA1631" s="18"/>
      <c r="JB1631" s="18"/>
      <c r="JC1631" s="18"/>
      <c r="JD1631" s="18"/>
      <c r="JE1631" s="18"/>
      <c r="JF1631" s="18"/>
      <c r="JG1631" s="18"/>
      <c r="JH1631" s="18"/>
      <c r="JI1631" s="18"/>
      <c r="JJ1631" s="18"/>
      <c r="JK1631" s="18"/>
      <c r="JL1631" s="18"/>
      <c r="JM1631" s="18"/>
      <c r="JN1631" s="18"/>
      <c r="JO1631" s="16"/>
      <c r="JP1631" s="16"/>
      <c r="JQ1631" s="16"/>
      <c r="JR1631" s="16"/>
      <c r="JS1631" s="16"/>
      <c r="JT1631" s="16"/>
      <c r="JU1631" s="16"/>
      <c r="JV1631" s="16"/>
      <c r="JW1631" s="16"/>
      <c r="JX1631" s="16"/>
      <c r="JY1631" s="16"/>
      <c r="JZ1631" s="16"/>
      <c r="KA1631" s="16"/>
      <c r="KB1631" s="16"/>
    </row>
    <row r="1632" spans="1:288" s="27" customFormat="1" x14ac:dyDescent="0.2">
      <c r="A1632" s="18"/>
      <c r="B1632" s="16">
        <v>2016</v>
      </c>
      <c r="C1632" s="20">
        <v>42560</v>
      </c>
      <c r="D1632" s="20" t="str">
        <f>CONCATENATE(J1632,"-",C1632)</f>
        <v>981-42560</v>
      </c>
      <c r="E1632" s="20" t="str">
        <f>CONCATENATE(T1632,"-",U1632,"-",C1632)</f>
        <v>PO1-B5-42560</v>
      </c>
      <c r="F1632" s="20" t="s">
        <v>106</v>
      </c>
      <c r="G1632" s="90" t="s">
        <v>278</v>
      </c>
      <c r="H1632" s="16"/>
      <c r="I1632" s="16"/>
      <c r="J1632" s="21">
        <v>981</v>
      </c>
      <c r="K1632" s="21"/>
      <c r="L1632" s="16"/>
      <c r="M1632" s="21"/>
      <c r="N1632" s="21"/>
      <c r="O1632" s="21"/>
      <c r="P1632" s="16"/>
      <c r="Q1632" s="16"/>
      <c r="R1632" s="16"/>
      <c r="S1632" s="16"/>
      <c r="T1632" s="16" t="s">
        <v>112</v>
      </c>
      <c r="U1632" s="16" t="s">
        <v>160</v>
      </c>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c r="BA1632" s="16"/>
      <c r="BB1632" s="16"/>
      <c r="BC1632" s="16"/>
      <c r="BD1632" s="16"/>
      <c r="BE1632" s="16"/>
      <c r="BF1632" s="16"/>
      <c r="BG1632" s="77"/>
      <c r="BH1632" s="16"/>
      <c r="BI1632" s="16"/>
      <c r="BJ1632" s="16"/>
      <c r="BK1632" s="16"/>
      <c r="BL1632" s="16"/>
      <c r="BM1632" s="16"/>
      <c r="BN1632" s="16"/>
      <c r="BO1632" s="16"/>
      <c r="BP1632" s="16"/>
      <c r="BQ1632" s="16"/>
      <c r="BR1632" s="16"/>
      <c r="BS1632" s="16"/>
      <c r="BT1632" s="77"/>
      <c r="BU1632" s="16"/>
      <c r="BV1632" s="16"/>
      <c r="BW1632" s="16"/>
      <c r="BX1632" s="16"/>
      <c r="BY1632" s="16"/>
      <c r="BZ1632" s="16"/>
      <c r="CA1632" s="16"/>
      <c r="CB1632" s="16"/>
      <c r="CC1632" s="16"/>
      <c r="CD1632" s="77"/>
      <c r="CE1632" s="16"/>
      <c r="CF1632" s="16"/>
      <c r="CG1632" s="16"/>
      <c r="CH1632" s="16"/>
      <c r="CI1632" s="16"/>
      <c r="CJ1632" s="16"/>
      <c r="CK1632" s="16"/>
      <c r="CL1632" s="16"/>
      <c r="CM1632" s="16"/>
      <c r="CN1632" s="16"/>
      <c r="CO1632" s="16"/>
      <c r="CP1632" s="16"/>
      <c r="CQ1632" s="16"/>
      <c r="CR1632" s="16"/>
      <c r="CS1632" s="16"/>
      <c r="CT1632" s="16"/>
      <c r="CU1632" s="16"/>
      <c r="CV1632" s="16"/>
      <c r="CW1632" s="16"/>
      <c r="CX1632" s="16"/>
      <c r="CY1632" s="16"/>
      <c r="CZ1632" s="16"/>
      <c r="DA1632" s="16"/>
      <c r="DB1632" s="16"/>
      <c r="DC1632" s="16"/>
      <c r="DD1632" s="16"/>
      <c r="DE1632" s="16"/>
      <c r="DF1632" s="16" t="e">
        <f>VLOOKUP(K1632,'[3]RNA Seq summary tables'!$V$3:$V$99,1,FALSE)</f>
        <v>#N/A</v>
      </c>
      <c r="DG1632" s="16"/>
      <c r="DH1632" s="16"/>
      <c r="DI1632" s="16"/>
      <c r="DJ1632" s="16"/>
      <c r="DK1632" s="16"/>
      <c r="DL1632" s="16"/>
      <c r="DM1632" s="16"/>
      <c r="DN1632" s="16"/>
      <c r="DO1632" s="16"/>
      <c r="DP1632" s="16"/>
      <c r="DQ1632" s="16"/>
      <c r="DR1632" s="16"/>
      <c r="DS1632" s="16"/>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18"/>
      <c r="EQ1632" s="18"/>
      <c r="ER1632" s="18"/>
      <c r="ES1632" s="18"/>
      <c r="ET1632" s="18"/>
      <c r="EU1632" s="18"/>
      <c r="EV1632" s="18"/>
      <c r="EW1632" s="18"/>
      <c r="EX1632" s="18"/>
      <c r="EY1632" s="18"/>
      <c r="EZ1632" s="18"/>
      <c r="FA1632" s="18"/>
      <c r="FB1632" s="18"/>
      <c r="FC1632" s="18"/>
      <c r="FD1632" s="18"/>
      <c r="FE1632" s="18"/>
      <c r="FF1632" s="18"/>
      <c r="FG1632" s="18"/>
      <c r="FH1632" s="18"/>
      <c r="FI1632" s="18"/>
      <c r="FJ1632" s="18"/>
      <c r="FK1632" s="18"/>
      <c r="FL1632" s="18"/>
      <c r="FM1632" s="18"/>
      <c r="FN1632" s="18"/>
      <c r="FO1632" s="18"/>
      <c r="FP1632" s="18"/>
      <c r="FQ1632" s="18"/>
      <c r="FR1632" s="18"/>
      <c r="FS1632" s="18"/>
      <c r="FT1632" s="18"/>
      <c r="FU1632" s="18"/>
      <c r="FV1632" s="18"/>
      <c r="FW1632" s="18"/>
      <c r="FX1632" s="18"/>
      <c r="FY1632" s="18"/>
      <c r="FZ1632" s="18"/>
      <c r="GA1632" s="18"/>
      <c r="GB1632" s="18"/>
      <c r="GC1632" s="18"/>
      <c r="GD1632" s="18"/>
      <c r="GE1632" s="18"/>
      <c r="GF1632" s="18"/>
      <c r="GG1632" s="18"/>
      <c r="GH1632" s="18"/>
      <c r="GI1632" s="18"/>
      <c r="GJ1632" s="18"/>
      <c r="GK1632" s="18"/>
      <c r="GL1632" s="18"/>
      <c r="GM1632" s="18"/>
      <c r="GN1632" s="18"/>
      <c r="GO1632" s="18"/>
      <c r="GP1632" s="18"/>
      <c r="GQ1632" s="18"/>
      <c r="GR1632" s="18"/>
      <c r="GS1632" s="18"/>
      <c r="GT1632" s="18"/>
      <c r="GU1632" s="18"/>
      <c r="GV1632" s="18"/>
      <c r="GW1632" s="18"/>
      <c r="GX1632" s="18"/>
      <c r="GY1632" s="18"/>
      <c r="GZ1632" s="18"/>
      <c r="HA1632" s="18"/>
      <c r="HB1632" s="18"/>
      <c r="HC1632" s="18"/>
      <c r="HD1632" s="18"/>
      <c r="HE1632" s="18"/>
      <c r="HF1632" s="18"/>
      <c r="HG1632" s="18"/>
      <c r="HH1632" s="18"/>
      <c r="HI1632" s="18"/>
      <c r="HJ1632" s="18"/>
      <c r="HK1632" s="18"/>
      <c r="HL1632" s="18"/>
      <c r="HM1632" s="18"/>
      <c r="HN1632" s="18"/>
      <c r="HO1632" s="18"/>
      <c r="HP1632" s="18"/>
      <c r="HQ1632" s="18"/>
      <c r="HR1632" s="18"/>
      <c r="HS1632" s="18"/>
      <c r="HT1632" s="18"/>
      <c r="HU1632" s="18"/>
      <c r="HV1632" s="18"/>
      <c r="HW1632" s="18"/>
      <c r="HX1632" s="18"/>
      <c r="HY1632" s="18"/>
      <c r="HZ1632" s="18"/>
      <c r="IA1632" s="18"/>
      <c r="IB1632" s="18"/>
      <c r="IC1632" s="18"/>
      <c r="ID1632" s="18"/>
      <c r="IE1632" s="18"/>
      <c r="IF1632" s="18"/>
      <c r="IG1632" s="18"/>
      <c r="IH1632" s="18"/>
      <c r="II1632" s="18"/>
      <c r="IJ1632" s="18"/>
      <c r="IK1632" s="18"/>
      <c r="IL1632" s="18"/>
      <c r="IM1632" s="18"/>
      <c r="IN1632" s="18"/>
      <c r="IO1632" s="18"/>
      <c r="IP1632" s="18"/>
      <c r="IQ1632" s="18"/>
      <c r="IR1632" s="18"/>
      <c r="IS1632" s="18"/>
      <c r="IT1632" s="18"/>
      <c r="IU1632" s="18"/>
      <c r="IV1632" s="18"/>
      <c r="IW1632" s="18"/>
      <c r="IX1632" s="18"/>
      <c r="IY1632" s="18"/>
      <c r="IZ1632" s="18"/>
      <c r="JA1632" s="18"/>
      <c r="JB1632" s="18"/>
      <c r="JC1632" s="18"/>
      <c r="JD1632" s="18"/>
      <c r="JE1632" s="18"/>
      <c r="JF1632" s="18"/>
      <c r="JG1632" s="18"/>
      <c r="JH1632" s="18"/>
      <c r="JI1632" s="18"/>
      <c r="JJ1632" s="18"/>
      <c r="JK1632" s="18"/>
      <c r="JL1632" s="18"/>
      <c r="JM1632" s="18"/>
      <c r="JN1632" s="18"/>
      <c r="JO1632" s="16"/>
      <c r="JP1632" s="16"/>
      <c r="JQ1632" s="16"/>
      <c r="JR1632" s="16"/>
      <c r="JS1632" s="16"/>
      <c r="JT1632" s="16"/>
      <c r="JU1632" s="16"/>
      <c r="JV1632" s="16"/>
      <c r="JW1632" s="16"/>
      <c r="JX1632" s="16"/>
      <c r="JY1632" s="16"/>
      <c r="JZ1632" s="16"/>
      <c r="KA1632" s="16"/>
      <c r="KB1632" s="16"/>
    </row>
    <row r="1633" spans="1:288" s="27" customFormat="1" x14ac:dyDescent="0.2">
      <c r="A1633" s="18"/>
      <c r="B1633" s="18">
        <v>2016</v>
      </c>
      <c r="C1633" s="37">
        <v>42602</v>
      </c>
      <c r="D1633" s="37" t="str">
        <f>CONCATENATE(J1633,"-",C1633)</f>
        <v>981-42602</v>
      </c>
      <c r="E1633" s="20" t="str">
        <f>CONCATENATE(T1633,"-",U1633,"-",C1633)</f>
        <v>PO1-C2-42602</v>
      </c>
      <c r="F1633" s="20" t="s">
        <v>227</v>
      </c>
      <c r="G1633" s="93" t="s">
        <v>278</v>
      </c>
      <c r="H1633" s="18"/>
      <c r="I1633" s="18"/>
      <c r="J1633" s="36">
        <v>981</v>
      </c>
      <c r="K1633" s="36"/>
      <c r="L1633" s="24"/>
      <c r="M1633" s="36"/>
      <c r="N1633" s="36"/>
      <c r="O1633" s="36"/>
      <c r="P1633" s="18"/>
      <c r="Q1633" s="18"/>
      <c r="R1633" s="18"/>
      <c r="S1633" s="18"/>
      <c r="T1633" s="18" t="s">
        <v>112</v>
      </c>
      <c r="U1633" s="18" t="s">
        <v>162</v>
      </c>
      <c r="V1633" s="18"/>
      <c r="W1633" s="18"/>
      <c r="X1633" s="18"/>
      <c r="Y1633" s="18"/>
      <c r="Z1633" s="18"/>
      <c r="AA1633" s="18"/>
      <c r="AB1633" s="18"/>
      <c r="AC1633" s="18"/>
      <c r="AD1633" s="18"/>
      <c r="AE1633" s="18"/>
      <c r="AF1633" s="18"/>
      <c r="AG1633" s="18"/>
      <c r="AH1633" s="18"/>
      <c r="AI1633" s="18"/>
      <c r="AJ1633" s="18"/>
      <c r="AK1633" s="18">
        <v>23.5</v>
      </c>
      <c r="AL1633" s="18"/>
      <c r="AM1633" s="18"/>
      <c r="AN1633" s="18"/>
      <c r="AO1633" s="18"/>
      <c r="AP1633" s="18"/>
      <c r="AQ1633" s="18">
        <v>1.869</v>
      </c>
      <c r="AR1633" s="18">
        <v>0.39200000000000002</v>
      </c>
      <c r="AS1633" s="18">
        <v>0.39200000000000002</v>
      </c>
      <c r="AT1633" s="18" t="s">
        <v>282</v>
      </c>
      <c r="AU1633" s="18"/>
      <c r="AV1633" s="18"/>
      <c r="AW1633" s="24">
        <v>1</v>
      </c>
      <c r="AX1633" s="24">
        <v>4</v>
      </c>
      <c r="AY1633" s="18">
        <f>(295+1964+77+1)/AS1633</f>
        <v>5961.7346938775509</v>
      </c>
      <c r="AZ1633" s="18">
        <v>1</v>
      </c>
      <c r="BA1633" s="24">
        <v>3</v>
      </c>
      <c r="BB1633" s="18">
        <f>(295+1964+77)/AS1633</f>
        <v>5959.1836734693879</v>
      </c>
      <c r="BC1633" s="18">
        <v>1</v>
      </c>
      <c r="BD1633" s="24">
        <v>295</v>
      </c>
      <c r="BE1633" s="18">
        <f>295/AS1633</f>
        <v>752.55102040816325</v>
      </c>
      <c r="BF1633" s="18">
        <v>1</v>
      </c>
      <c r="BG1633" s="92">
        <v>1964</v>
      </c>
      <c r="BH1633" s="18">
        <f>1964/AS1633</f>
        <v>5010.2040816326526</v>
      </c>
      <c r="BI1633" s="18">
        <v>1</v>
      </c>
      <c r="BJ1633" s="24">
        <v>77</v>
      </c>
      <c r="BK1633" s="18">
        <f>77/AS1633</f>
        <v>196.42857142857142</v>
      </c>
      <c r="BL1633" s="18">
        <f>IF(BM1633&gt;0,1,0)</f>
        <v>1</v>
      </c>
      <c r="BM1633" s="18">
        <f>SUM(BR1633,BU1633,BX1633,CA1633,CD1633,CG1633,CJ1633,CM1633,CP1633)</f>
        <v>1</v>
      </c>
      <c r="BN1633" s="18">
        <f>SUM(BW1633,BZ1633,CC1633,CF1633,CI1633,CL1633,CO1633,CR1633,BT1633)</f>
        <v>2.5510204081632653</v>
      </c>
      <c r="BO1633" s="18"/>
      <c r="BP1633" s="18"/>
      <c r="BQ1633" s="18"/>
      <c r="BR1633" s="18">
        <v>0</v>
      </c>
      <c r="BS1633" s="24">
        <v>0</v>
      </c>
      <c r="BT1633" s="78">
        <f>BS1633/AS1633</f>
        <v>0</v>
      </c>
      <c r="BU1633" s="18">
        <v>0</v>
      </c>
      <c r="BV1633" s="24">
        <v>0</v>
      </c>
      <c r="BW1633" s="18">
        <f>BV1633/AS1633</f>
        <v>0</v>
      </c>
      <c r="BX1633" s="24">
        <v>0</v>
      </c>
      <c r="BY1633" s="24">
        <v>0</v>
      </c>
      <c r="BZ1633" s="18">
        <f>BY1633/AS1633</f>
        <v>0</v>
      </c>
      <c r="CA1633" s="24">
        <v>1</v>
      </c>
      <c r="CB1633" s="24">
        <v>1</v>
      </c>
      <c r="CC1633" s="18">
        <f>1/AS1633</f>
        <v>2.5510204081632653</v>
      </c>
      <c r="CD1633" s="78">
        <v>0</v>
      </c>
      <c r="CE1633" s="24">
        <v>0</v>
      </c>
      <c r="CF1633" s="24">
        <v>0</v>
      </c>
      <c r="CG1633" s="24"/>
      <c r="CH1633" s="24"/>
      <c r="CI1633" s="24"/>
      <c r="CJ1633" s="24"/>
      <c r="CK1633" s="24"/>
      <c r="CL1633" s="24"/>
      <c r="CM1633" s="24"/>
      <c r="CN1633" s="24"/>
      <c r="CO1633" s="24"/>
      <c r="CP1633" s="24" t="s">
        <v>123</v>
      </c>
      <c r="CQ1633" s="24">
        <v>0</v>
      </c>
      <c r="CR1633" s="24">
        <v>0</v>
      </c>
      <c r="CS1633" s="18">
        <f>IF(CT1633&gt;0,1,0)</f>
        <v>0</v>
      </c>
      <c r="CT1633" s="25">
        <f>SUM(CW1633,CZ1633,DC1633)</f>
        <v>0</v>
      </c>
      <c r="CU1633" s="25"/>
      <c r="CV1633" s="24">
        <v>0</v>
      </c>
      <c r="CW1633" s="25">
        <v>0</v>
      </c>
      <c r="CX1633" s="24">
        <v>0</v>
      </c>
      <c r="CY1633" s="24">
        <v>0</v>
      </c>
      <c r="CZ1633" s="18">
        <v>0</v>
      </c>
      <c r="DA1633" s="24">
        <v>0</v>
      </c>
      <c r="DB1633" s="24">
        <v>0</v>
      </c>
      <c r="DC1633" s="18">
        <v>0</v>
      </c>
      <c r="DD1633" s="24">
        <v>0</v>
      </c>
      <c r="DE1633" s="24">
        <v>0</v>
      </c>
      <c r="DF1633" s="16" t="e">
        <f>VLOOKUP(K1633,'[3]RNA Seq summary tables'!$V$3:$V$99,1,FALSE)</f>
        <v>#N/A</v>
      </c>
      <c r="DG1633" s="24"/>
      <c r="DH1633" s="24"/>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18"/>
      <c r="EQ1633" s="18"/>
      <c r="ER1633" s="18"/>
      <c r="ES1633" s="18"/>
      <c r="ET1633" s="18"/>
      <c r="EU1633" s="18"/>
      <c r="EV1633" s="18"/>
      <c r="EW1633" s="18"/>
      <c r="EX1633" s="18"/>
      <c r="EY1633" s="18"/>
      <c r="EZ1633" s="18"/>
      <c r="FA1633" s="18"/>
      <c r="FB1633" s="18"/>
      <c r="FC1633" s="18"/>
      <c r="FD1633" s="18"/>
      <c r="FE1633" s="18"/>
      <c r="FF1633" s="18"/>
      <c r="FG1633" s="18"/>
      <c r="FH1633" s="18"/>
      <c r="FI1633" s="18"/>
      <c r="FJ1633" s="18"/>
      <c r="FK1633" s="18"/>
      <c r="FL1633" s="18"/>
      <c r="FM1633" s="18"/>
      <c r="FN1633" s="18"/>
      <c r="FO1633" s="18"/>
      <c r="FP1633" s="18"/>
      <c r="FQ1633" s="18"/>
      <c r="FR1633" s="18"/>
      <c r="FS1633" s="18"/>
      <c r="FT1633" s="18"/>
      <c r="FU1633" s="18"/>
      <c r="FV1633" s="18"/>
      <c r="FW1633" s="18"/>
      <c r="FX1633" s="18"/>
      <c r="FY1633" s="18"/>
      <c r="FZ1633" s="18"/>
      <c r="GA1633" s="18"/>
      <c r="GB1633" s="18"/>
      <c r="GC1633" s="18"/>
      <c r="GD1633" s="18"/>
      <c r="GE1633" s="18"/>
      <c r="GF1633" s="18"/>
      <c r="GG1633" s="18"/>
      <c r="GH1633" s="18"/>
      <c r="GI1633" s="18"/>
      <c r="GJ1633" s="18"/>
      <c r="GK1633" s="18"/>
      <c r="GL1633" s="18"/>
      <c r="GM1633" s="18"/>
      <c r="GN1633" s="18"/>
      <c r="GO1633" s="18"/>
      <c r="GP1633" s="18"/>
      <c r="GQ1633" s="18"/>
      <c r="GR1633" s="18"/>
      <c r="GS1633" s="18"/>
      <c r="GT1633" s="18"/>
      <c r="GU1633" s="18"/>
      <c r="GV1633" s="18"/>
      <c r="GW1633" s="18"/>
      <c r="GX1633" s="18"/>
      <c r="GY1633" s="18"/>
      <c r="GZ1633" s="18"/>
      <c r="HA1633" s="18"/>
      <c r="HB1633" s="18"/>
      <c r="HC1633" s="18"/>
      <c r="HD1633" s="18"/>
      <c r="HE1633" s="18"/>
      <c r="HF1633" s="18"/>
      <c r="HG1633" s="18"/>
      <c r="HH1633" s="18"/>
      <c r="HI1633" s="18"/>
      <c r="HJ1633" s="18"/>
      <c r="HK1633" s="18"/>
      <c r="HL1633" s="18"/>
      <c r="HM1633" s="18"/>
      <c r="HN1633" s="18"/>
      <c r="HO1633" s="18"/>
      <c r="HP1633" s="18"/>
      <c r="HQ1633" s="18"/>
      <c r="HR1633" s="18"/>
      <c r="HS1633" s="18"/>
      <c r="HT1633" s="18"/>
      <c r="HU1633" s="18"/>
      <c r="HV1633" s="18"/>
      <c r="HW1633" s="18"/>
      <c r="HX1633" s="18"/>
      <c r="HY1633" s="18"/>
      <c r="HZ1633" s="18"/>
      <c r="IA1633" s="18"/>
      <c r="IB1633" s="18"/>
      <c r="IC1633" s="18"/>
      <c r="ID1633" s="18"/>
      <c r="IE1633" s="18"/>
      <c r="IF1633" s="18"/>
      <c r="IG1633" s="18"/>
      <c r="IH1633" s="18"/>
      <c r="II1633" s="18"/>
      <c r="IJ1633" s="18"/>
      <c r="IK1633" s="18"/>
      <c r="IL1633" s="18"/>
      <c r="IM1633" s="18"/>
      <c r="IN1633" s="18"/>
      <c r="IO1633" s="18"/>
      <c r="IP1633" s="18"/>
      <c r="IQ1633" s="18"/>
      <c r="IR1633" s="18"/>
      <c r="IS1633" s="18"/>
      <c r="IT1633" s="18"/>
      <c r="IU1633" s="18"/>
      <c r="IV1633" s="18"/>
      <c r="IW1633" s="18"/>
      <c r="IX1633" s="18"/>
      <c r="IY1633" s="18"/>
      <c r="IZ1633" s="18"/>
      <c r="JA1633" s="18"/>
      <c r="JB1633" s="18"/>
      <c r="JC1633" s="18"/>
      <c r="JD1633" s="18"/>
      <c r="JE1633" s="18"/>
      <c r="JF1633" s="18"/>
      <c r="JG1633" s="18"/>
      <c r="JH1633" s="18"/>
      <c r="JI1633" s="18"/>
      <c r="JJ1633" s="18"/>
      <c r="JK1633" s="18"/>
      <c r="JL1633" s="18"/>
      <c r="JM1633" s="18"/>
      <c r="JN1633" s="18"/>
      <c r="JO1633" s="16"/>
      <c r="JR1633" s="16"/>
      <c r="JS1633" s="16"/>
      <c r="JT1633" s="16"/>
      <c r="JU1633" s="16"/>
      <c r="JV1633" s="16"/>
      <c r="JW1633" s="16"/>
      <c r="JX1633" s="16"/>
      <c r="JY1633" s="16"/>
      <c r="JZ1633" s="16"/>
      <c r="KA1633" s="16"/>
      <c r="KB1633" s="16"/>
    </row>
    <row r="1634" spans="1:288" s="27" customFormat="1" x14ac:dyDescent="0.2">
      <c r="A1634" s="18"/>
      <c r="B1634" s="16">
        <v>2016</v>
      </c>
      <c r="C1634" s="20">
        <v>42546</v>
      </c>
      <c r="D1634" s="20" t="str">
        <f>CONCATENATE(J1634,"-",C1634)</f>
        <v>982-42546</v>
      </c>
      <c r="E1634" s="20" t="str">
        <f>CONCATENATE(T1634,"-",U1634,"-",C1634)</f>
        <v>PO1-G7-42546</v>
      </c>
      <c r="F1634" s="20" t="s">
        <v>106</v>
      </c>
      <c r="G1634" s="90" t="s">
        <v>278</v>
      </c>
      <c r="H1634" s="16"/>
      <c r="I1634" s="16"/>
      <c r="J1634" s="21">
        <v>982</v>
      </c>
      <c r="K1634" s="21"/>
      <c r="L1634" s="16"/>
      <c r="M1634" s="21"/>
      <c r="N1634" s="21"/>
      <c r="O1634" s="21"/>
      <c r="P1634" s="16"/>
      <c r="Q1634" s="16"/>
      <c r="R1634" s="16"/>
      <c r="S1634" s="16"/>
      <c r="T1634" s="16" t="s">
        <v>112</v>
      </c>
      <c r="U1634" s="16" t="s">
        <v>156</v>
      </c>
      <c r="V1634" s="16"/>
      <c r="W1634" s="16"/>
      <c r="X1634" s="16"/>
      <c r="Y1634" s="16"/>
      <c r="Z1634" s="16"/>
      <c r="AA1634" s="16"/>
      <c r="AB1634" s="16"/>
      <c r="AC1634" s="16"/>
      <c r="AD1634" s="16"/>
      <c r="AE1634" s="16"/>
      <c r="AF1634" s="16"/>
      <c r="AG1634" s="16"/>
      <c r="AH1634" s="16"/>
      <c r="AI1634" s="16"/>
      <c r="AJ1634" s="16"/>
      <c r="AK1634" s="16">
        <v>20.5</v>
      </c>
      <c r="AL1634" s="16"/>
      <c r="AM1634" s="16"/>
      <c r="AN1634" s="16"/>
      <c r="AO1634" s="16"/>
      <c r="AP1634" s="16"/>
      <c r="AQ1634" s="16"/>
      <c r="AR1634" s="16"/>
      <c r="AS1634" s="16"/>
      <c r="AT1634" s="16"/>
      <c r="AU1634" s="16"/>
      <c r="AV1634" s="16"/>
      <c r="AW1634" s="16"/>
      <c r="AX1634" s="16"/>
      <c r="AY1634" s="16"/>
      <c r="AZ1634" s="16"/>
      <c r="BA1634" s="16"/>
      <c r="BB1634" s="16"/>
      <c r="BC1634" s="16"/>
      <c r="BD1634" s="16"/>
      <c r="BE1634" s="16"/>
      <c r="BF1634" s="16"/>
      <c r="BG1634" s="77"/>
      <c r="BH1634" s="16"/>
      <c r="BI1634" s="16"/>
      <c r="BJ1634" s="16"/>
      <c r="BK1634" s="16"/>
      <c r="BL1634" s="16"/>
      <c r="BM1634" s="16"/>
      <c r="BN1634" s="16"/>
      <c r="BO1634" s="16"/>
      <c r="BP1634" s="16"/>
      <c r="BQ1634" s="16"/>
      <c r="BR1634" s="16"/>
      <c r="BS1634" s="16"/>
      <c r="BT1634" s="77"/>
      <c r="BU1634" s="16"/>
      <c r="BV1634" s="16"/>
      <c r="BW1634" s="16"/>
      <c r="BX1634" s="16"/>
      <c r="BY1634" s="16"/>
      <c r="BZ1634" s="16"/>
      <c r="CA1634" s="16"/>
      <c r="CB1634" s="16"/>
      <c r="CC1634" s="16"/>
      <c r="CD1634" s="77"/>
      <c r="CE1634" s="16"/>
      <c r="CF1634" s="16"/>
      <c r="CG1634" s="16"/>
      <c r="CH1634" s="16"/>
      <c r="CI1634" s="16"/>
      <c r="CJ1634" s="16"/>
      <c r="CK1634" s="16"/>
      <c r="CL1634" s="16"/>
      <c r="CM1634" s="16"/>
      <c r="CN1634" s="16"/>
      <c r="CO1634" s="16"/>
      <c r="CP1634" s="16"/>
      <c r="CQ1634" s="16"/>
      <c r="CR1634" s="16"/>
      <c r="CS1634" s="16"/>
      <c r="CT1634" s="16"/>
      <c r="CU1634" s="16"/>
      <c r="CV1634" s="16"/>
      <c r="CW1634" s="16"/>
      <c r="CX1634" s="16"/>
      <c r="CY1634" s="16"/>
      <c r="CZ1634" s="16"/>
      <c r="DA1634" s="16"/>
      <c r="DB1634" s="16"/>
      <c r="DC1634" s="16"/>
      <c r="DD1634" s="16"/>
      <c r="DE1634" s="16"/>
      <c r="DF1634" s="16" t="e">
        <f>VLOOKUP(K1634,'[3]RNA Seq summary tables'!$V$3:$V$99,1,FALSE)</f>
        <v>#N/A</v>
      </c>
      <c r="DG1634" s="16"/>
      <c r="DH1634" s="16"/>
      <c r="DI1634" s="16"/>
      <c r="DJ1634" s="16"/>
      <c r="DK1634" s="16"/>
      <c r="DL1634" s="16"/>
      <c r="DM1634" s="16"/>
      <c r="DN1634" s="16"/>
      <c r="DO1634" s="16"/>
      <c r="DP1634" s="16"/>
      <c r="DQ1634" s="16"/>
      <c r="DR1634" s="16"/>
      <c r="DS1634" s="16"/>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18"/>
      <c r="EQ1634" s="18"/>
      <c r="ER1634" s="18"/>
      <c r="ES1634" s="18"/>
      <c r="ET1634" s="18"/>
      <c r="EU1634" s="18"/>
      <c r="EV1634" s="18"/>
      <c r="EW1634" s="18"/>
      <c r="EX1634" s="18"/>
      <c r="EY1634" s="18"/>
      <c r="EZ1634" s="18"/>
      <c r="FA1634" s="18"/>
      <c r="FB1634" s="18"/>
      <c r="FC1634" s="18"/>
      <c r="FD1634" s="18"/>
      <c r="FE1634" s="18"/>
      <c r="FF1634" s="18"/>
      <c r="FG1634" s="18"/>
      <c r="FH1634" s="18"/>
      <c r="FI1634" s="18"/>
      <c r="FJ1634" s="18"/>
      <c r="FK1634" s="18"/>
      <c r="FL1634" s="18"/>
      <c r="FM1634" s="18"/>
      <c r="FN1634" s="18"/>
      <c r="FO1634" s="18"/>
      <c r="FP1634" s="18"/>
      <c r="FQ1634" s="18"/>
      <c r="FR1634" s="18"/>
      <c r="FS1634" s="18"/>
      <c r="FT1634" s="18"/>
      <c r="FU1634" s="18"/>
      <c r="FV1634" s="18"/>
      <c r="FW1634" s="18"/>
      <c r="FX1634" s="18"/>
      <c r="FY1634" s="18"/>
      <c r="FZ1634" s="18"/>
      <c r="GA1634" s="18"/>
      <c r="GB1634" s="18"/>
      <c r="GC1634" s="18"/>
      <c r="GD1634" s="18"/>
      <c r="GE1634" s="18"/>
      <c r="GF1634" s="18"/>
      <c r="GG1634" s="18"/>
      <c r="GH1634" s="18"/>
      <c r="GI1634" s="18"/>
      <c r="GJ1634" s="18"/>
      <c r="GK1634" s="18"/>
      <c r="GL1634" s="18"/>
      <c r="GM1634" s="18"/>
      <c r="GN1634" s="18"/>
      <c r="GO1634" s="18"/>
      <c r="GP1634" s="18"/>
      <c r="GQ1634" s="18"/>
      <c r="GR1634" s="18"/>
      <c r="GS1634" s="18"/>
      <c r="GT1634" s="18"/>
      <c r="GU1634" s="18"/>
      <c r="GV1634" s="18"/>
      <c r="GW1634" s="18"/>
      <c r="GX1634" s="18"/>
      <c r="GY1634" s="18"/>
      <c r="GZ1634" s="18"/>
      <c r="HA1634" s="18"/>
      <c r="HB1634" s="18"/>
      <c r="HC1634" s="18"/>
      <c r="HD1634" s="18"/>
      <c r="HE1634" s="18"/>
      <c r="HF1634" s="18"/>
      <c r="HG1634" s="18"/>
      <c r="HH1634" s="18"/>
      <c r="HI1634" s="18"/>
      <c r="HJ1634" s="18"/>
      <c r="HK1634" s="18"/>
      <c r="HL1634" s="18"/>
      <c r="HM1634" s="18"/>
      <c r="HN1634" s="18"/>
      <c r="HO1634" s="18"/>
      <c r="HP1634" s="18"/>
      <c r="HQ1634" s="18"/>
      <c r="HR1634" s="18"/>
      <c r="HS1634" s="18"/>
      <c r="HT1634" s="18"/>
      <c r="HU1634" s="18"/>
      <c r="HV1634" s="18"/>
      <c r="HW1634" s="18"/>
      <c r="HX1634" s="18"/>
      <c r="HY1634" s="18"/>
      <c r="HZ1634" s="18"/>
      <c r="IA1634" s="18"/>
      <c r="IB1634" s="18"/>
      <c r="IC1634" s="18"/>
      <c r="ID1634" s="18"/>
      <c r="IE1634" s="18"/>
      <c r="IF1634" s="18"/>
      <c r="IG1634" s="18"/>
      <c r="IH1634" s="18"/>
      <c r="II1634" s="18"/>
      <c r="IJ1634" s="18"/>
      <c r="IK1634" s="18"/>
      <c r="IL1634" s="18"/>
      <c r="IM1634" s="18"/>
      <c r="IN1634" s="18"/>
      <c r="IO1634" s="18"/>
      <c r="IP1634" s="18"/>
      <c r="IQ1634" s="18"/>
      <c r="IR1634" s="18"/>
      <c r="IS1634" s="18"/>
      <c r="IT1634" s="18"/>
      <c r="IU1634" s="18"/>
      <c r="IV1634" s="18"/>
      <c r="IW1634" s="18"/>
      <c r="IX1634" s="18"/>
      <c r="IY1634" s="18"/>
      <c r="IZ1634" s="18"/>
      <c r="JA1634" s="18"/>
      <c r="JB1634" s="18"/>
      <c r="JC1634" s="18"/>
      <c r="JD1634" s="18"/>
      <c r="JE1634" s="18"/>
      <c r="JF1634" s="18"/>
      <c r="JG1634" s="18"/>
      <c r="JH1634" s="18"/>
      <c r="JI1634" s="18"/>
      <c r="JJ1634" s="18"/>
      <c r="JK1634" s="18"/>
      <c r="JL1634" s="18"/>
      <c r="JM1634" s="18"/>
      <c r="JN1634" s="18"/>
      <c r="JO1634" s="16"/>
      <c r="JP1634" s="16"/>
      <c r="JQ1634" s="16"/>
      <c r="JR1634" s="16"/>
      <c r="JS1634" s="16"/>
      <c r="JT1634" s="16"/>
      <c r="JU1634" s="16"/>
      <c r="JV1634" s="16"/>
      <c r="JW1634" s="16"/>
      <c r="JX1634" s="16"/>
      <c r="JY1634" s="16"/>
      <c r="JZ1634" s="16"/>
      <c r="KA1634" s="16"/>
      <c r="KB1634" s="16"/>
    </row>
    <row r="1635" spans="1:288" s="27" customFormat="1" x14ac:dyDescent="0.2">
      <c r="A1635" s="18"/>
      <c r="B1635" s="16">
        <v>2016</v>
      </c>
      <c r="C1635" s="20">
        <v>42560</v>
      </c>
      <c r="D1635" s="20" t="str">
        <f>CONCATENATE(J1635,"-",C1635)</f>
        <v>982-42560</v>
      </c>
      <c r="E1635" s="20" t="str">
        <f>CONCATENATE(T1635,"-",U1635,"-",C1635)</f>
        <v>PO1-H6-42560</v>
      </c>
      <c r="F1635" s="20" t="s">
        <v>106</v>
      </c>
      <c r="G1635" s="90" t="s">
        <v>278</v>
      </c>
      <c r="H1635" s="16"/>
      <c r="I1635" s="16"/>
      <c r="J1635" s="21">
        <v>982</v>
      </c>
      <c r="K1635" s="21"/>
      <c r="L1635" s="16"/>
      <c r="M1635" s="21"/>
      <c r="N1635" s="21"/>
      <c r="O1635" s="21"/>
      <c r="P1635" s="16"/>
      <c r="Q1635" s="16"/>
      <c r="R1635" s="16"/>
      <c r="S1635" s="16"/>
      <c r="T1635" s="16" t="s">
        <v>112</v>
      </c>
      <c r="U1635" s="16" t="s">
        <v>141</v>
      </c>
      <c r="V1635" s="16"/>
      <c r="W1635" s="16"/>
      <c r="X1635" s="16"/>
      <c r="Y1635" s="16"/>
      <c r="Z1635" s="16"/>
      <c r="AA1635" s="16"/>
      <c r="AB1635" s="16"/>
      <c r="AC1635" s="16"/>
      <c r="AD1635" s="16"/>
      <c r="AE1635" s="16"/>
      <c r="AF1635" s="16"/>
      <c r="AG1635" s="16"/>
      <c r="AH1635" s="16"/>
      <c r="AI1635" s="16"/>
      <c r="AJ1635" s="16"/>
      <c r="AK1635" s="16">
        <v>23</v>
      </c>
      <c r="AL1635" s="16"/>
      <c r="AM1635" s="16"/>
      <c r="AN1635" s="16"/>
      <c r="AO1635" s="16"/>
      <c r="AP1635" s="16"/>
      <c r="AQ1635" s="16"/>
      <c r="AR1635" s="16"/>
      <c r="AS1635" s="16"/>
      <c r="AT1635" s="16"/>
      <c r="AU1635" s="16"/>
      <c r="AV1635" s="16"/>
      <c r="AW1635" s="16"/>
      <c r="AX1635" s="16"/>
      <c r="AY1635" s="16"/>
      <c r="AZ1635" s="16"/>
      <c r="BA1635" s="16"/>
      <c r="BB1635" s="16"/>
      <c r="BC1635" s="16"/>
      <c r="BD1635" s="16"/>
      <c r="BE1635" s="16"/>
      <c r="BF1635" s="16"/>
      <c r="BG1635" s="77"/>
      <c r="BH1635" s="16"/>
      <c r="BI1635" s="16"/>
      <c r="BJ1635" s="16"/>
      <c r="BK1635" s="16"/>
      <c r="BL1635" s="16"/>
      <c r="BM1635" s="16"/>
      <c r="BN1635" s="16"/>
      <c r="BO1635" s="16"/>
      <c r="BP1635" s="16"/>
      <c r="BQ1635" s="16"/>
      <c r="BR1635" s="16"/>
      <c r="BS1635" s="16"/>
      <c r="BT1635" s="77"/>
      <c r="BU1635" s="16"/>
      <c r="BV1635" s="16"/>
      <c r="BW1635" s="16"/>
      <c r="BX1635" s="16"/>
      <c r="BY1635" s="16"/>
      <c r="BZ1635" s="16"/>
      <c r="CA1635" s="16"/>
      <c r="CB1635" s="16"/>
      <c r="CC1635" s="16"/>
      <c r="CD1635" s="77"/>
      <c r="CE1635" s="16"/>
      <c r="CF1635" s="16"/>
      <c r="CG1635" s="16"/>
      <c r="CH1635" s="16"/>
      <c r="CI1635" s="16"/>
      <c r="CJ1635" s="16"/>
      <c r="CK1635" s="16"/>
      <c r="CL1635" s="16"/>
      <c r="CM1635" s="16"/>
      <c r="CN1635" s="16"/>
      <c r="CO1635" s="16"/>
      <c r="CP1635" s="16"/>
      <c r="CQ1635" s="16"/>
      <c r="CR1635" s="16"/>
      <c r="CS1635" s="16"/>
      <c r="CT1635" s="16"/>
      <c r="CU1635" s="16"/>
      <c r="CV1635" s="16"/>
      <c r="CW1635" s="16"/>
      <c r="CX1635" s="16"/>
      <c r="CY1635" s="16"/>
      <c r="CZ1635" s="16"/>
      <c r="DA1635" s="16"/>
      <c r="DB1635" s="16"/>
      <c r="DC1635" s="16"/>
      <c r="DD1635" s="16"/>
      <c r="DE1635" s="16"/>
      <c r="DF1635" s="16" t="e">
        <f>VLOOKUP(K1635,'[3]RNA Seq summary tables'!$V$3:$V$99,1,FALSE)</f>
        <v>#N/A</v>
      </c>
      <c r="DG1635" s="16"/>
      <c r="DH1635" s="16"/>
      <c r="DI1635" s="16"/>
      <c r="DJ1635" s="16"/>
      <c r="DK1635" s="16"/>
      <c r="DL1635" s="16"/>
      <c r="DM1635" s="16"/>
      <c r="DN1635" s="16"/>
      <c r="DO1635" s="16"/>
      <c r="DP1635" s="16"/>
      <c r="DQ1635" s="16"/>
      <c r="DR1635" s="16"/>
      <c r="DS1635" s="16"/>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18"/>
      <c r="EQ1635" s="18"/>
      <c r="ER1635" s="18"/>
      <c r="ES1635" s="18"/>
      <c r="ET1635" s="18"/>
      <c r="EU1635" s="18"/>
      <c r="EV1635" s="18"/>
      <c r="EW1635" s="18"/>
      <c r="EX1635" s="18"/>
      <c r="EY1635" s="18"/>
      <c r="EZ1635" s="18"/>
      <c r="FA1635" s="18"/>
      <c r="FB1635" s="18"/>
      <c r="FC1635" s="18"/>
      <c r="FD1635" s="18"/>
      <c r="FE1635" s="18"/>
      <c r="FF1635" s="18"/>
      <c r="FG1635" s="18"/>
      <c r="FH1635" s="18"/>
      <c r="FI1635" s="18"/>
      <c r="FJ1635" s="18"/>
      <c r="FK1635" s="18"/>
      <c r="FL1635" s="18"/>
      <c r="FM1635" s="18"/>
      <c r="FN1635" s="18"/>
      <c r="FO1635" s="18"/>
      <c r="FP1635" s="18"/>
      <c r="FQ1635" s="18"/>
      <c r="FR1635" s="18"/>
      <c r="FS1635" s="18"/>
      <c r="FT1635" s="18"/>
      <c r="FU1635" s="18"/>
      <c r="FV1635" s="18"/>
      <c r="FW1635" s="18"/>
      <c r="FX1635" s="18"/>
      <c r="FY1635" s="18"/>
      <c r="FZ1635" s="18"/>
      <c r="GA1635" s="18"/>
      <c r="GB1635" s="18"/>
      <c r="GC1635" s="18"/>
      <c r="GD1635" s="18"/>
      <c r="GE1635" s="18"/>
      <c r="GF1635" s="18"/>
      <c r="GG1635" s="18"/>
      <c r="GH1635" s="18"/>
      <c r="GI1635" s="18"/>
      <c r="GJ1635" s="18"/>
      <c r="GK1635" s="18"/>
      <c r="GL1635" s="18"/>
      <c r="GM1635" s="18"/>
      <c r="GN1635" s="18"/>
      <c r="GO1635" s="18"/>
      <c r="GP1635" s="18"/>
      <c r="GQ1635" s="18"/>
      <c r="GR1635" s="18"/>
      <c r="GS1635" s="18"/>
      <c r="GT1635" s="18"/>
      <c r="GU1635" s="18"/>
      <c r="GV1635" s="18"/>
      <c r="GW1635" s="18"/>
      <c r="GX1635" s="18"/>
      <c r="GY1635" s="18"/>
      <c r="GZ1635" s="18"/>
      <c r="HA1635" s="18"/>
      <c r="HB1635" s="18"/>
      <c r="HC1635" s="18"/>
      <c r="HD1635" s="18"/>
      <c r="HE1635" s="18"/>
      <c r="HF1635" s="18"/>
      <c r="HG1635" s="18"/>
      <c r="HH1635" s="18"/>
      <c r="HI1635" s="18"/>
      <c r="HJ1635" s="18"/>
      <c r="HK1635" s="18"/>
      <c r="HL1635" s="18"/>
      <c r="HM1635" s="18"/>
      <c r="HN1635" s="18"/>
      <c r="HO1635" s="18"/>
      <c r="HP1635" s="18"/>
      <c r="HQ1635" s="18"/>
      <c r="HR1635" s="18"/>
      <c r="HS1635" s="18"/>
      <c r="HT1635" s="18"/>
      <c r="HU1635" s="18"/>
      <c r="HV1635" s="18"/>
      <c r="HW1635" s="18"/>
      <c r="HX1635" s="18"/>
      <c r="HY1635" s="18"/>
      <c r="HZ1635" s="18"/>
      <c r="IA1635" s="18"/>
      <c r="IB1635" s="18"/>
      <c r="IC1635" s="18"/>
      <c r="ID1635" s="18"/>
      <c r="IE1635" s="18"/>
      <c r="IF1635" s="18"/>
      <c r="IG1635" s="18"/>
      <c r="IH1635" s="18"/>
      <c r="II1635" s="18"/>
      <c r="IJ1635" s="18"/>
      <c r="IK1635" s="18"/>
      <c r="IL1635" s="18"/>
      <c r="IM1635" s="18"/>
      <c r="IN1635" s="18"/>
      <c r="IO1635" s="18"/>
      <c r="IP1635" s="18"/>
      <c r="IQ1635" s="18"/>
      <c r="IR1635" s="18"/>
      <c r="IS1635" s="18"/>
      <c r="IT1635" s="18"/>
      <c r="IU1635" s="18"/>
      <c r="IV1635" s="18"/>
      <c r="IW1635" s="18"/>
      <c r="IX1635" s="18"/>
      <c r="IY1635" s="18"/>
      <c r="IZ1635" s="18"/>
      <c r="JA1635" s="18"/>
      <c r="JB1635" s="18"/>
      <c r="JC1635" s="18"/>
      <c r="JD1635" s="18"/>
      <c r="JE1635" s="18"/>
      <c r="JF1635" s="18"/>
      <c r="JG1635" s="18"/>
      <c r="JH1635" s="18"/>
      <c r="JI1635" s="18"/>
      <c r="JJ1635" s="18"/>
      <c r="JK1635" s="18"/>
      <c r="JL1635" s="18"/>
      <c r="JM1635" s="18"/>
      <c r="JN1635" s="18"/>
      <c r="JO1635" s="16"/>
      <c r="JP1635" s="16"/>
      <c r="JQ1635" s="16"/>
      <c r="JR1635" s="16"/>
      <c r="JS1635" s="16"/>
      <c r="JT1635" s="16"/>
      <c r="JU1635" s="16"/>
      <c r="JV1635" s="16"/>
      <c r="JW1635" s="16"/>
      <c r="JX1635" s="16"/>
      <c r="JY1635" s="16"/>
      <c r="JZ1635" s="16"/>
      <c r="KA1635" s="16"/>
      <c r="KB1635" s="16"/>
    </row>
    <row r="1636" spans="1:288" s="27" customFormat="1" x14ac:dyDescent="0.2">
      <c r="A1636" s="18"/>
      <c r="B1636" s="16">
        <v>2016</v>
      </c>
      <c r="C1636" s="20">
        <v>42573</v>
      </c>
      <c r="D1636" s="20" t="str">
        <f>CONCATENATE(J1636,"-",C1636)</f>
        <v>982-42573</v>
      </c>
      <c r="E1636" s="20" t="str">
        <f>CONCATENATE(T1636,"-",U1636,"-",C1636)</f>
        <v>PO1-G7-42573</v>
      </c>
      <c r="F1636" s="20" t="s">
        <v>106</v>
      </c>
      <c r="G1636" s="90" t="s">
        <v>278</v>
      </c>
      <c r="H1636" s="16"/>
      <c r="I1636" s="16"/>
      <c r="J1636" s="21">
        <v>982</v>
      </c>
      <c r="K1636" s="21"/>
      <c r="L1636" s="16"/>
      <c r="M1636" s="21"/>
      <c r="N1636" s="21"/>
      <c r="O1636" s="21"/>
      <c r="P1636" s="16"/>
      <c r="Q1636" s="16"/>
      <c r="R1636" s="16"/>
      <c r="S1636" s="16"/>
      <c r="T1636" s="16" t="s">
        <v>112</v>
      </c>
      <c r="U1636" s="16" t="s">
        <v>156</v>
      </c>
      <c r="V1636" s="16"/>
      <c r="W1636" s="16"/>
      <c r="X1636" s="16"/>
      <c r="Y1636" s="16"/>
      <c r="Z1636" s="16"/>
      <c r="AA1636" s="16"/>
      <c r="AB1636" s="16"/>
      <c r="AC1636" s="16"/>
      <c r="AD1636" s="16"/>
      <c r="AE1636" s="16"/>
      <c r="AF1636" s="16"/>
      <c r="AG1636" s="16"/>
      <c r="AH1636" s="16"/>
      <c r="AI1636" s="16"/>
      <c r="AJ1636" s="16"/>
      <c r="AK1636" s="16">
        <v>27</v>
      </c>
      <c r="AL1636" s="16"/>
      <c r="AM1636" s="16"/>
      <c r="AN1636" s="16"/>
      <c r="AO1636" s="16"/>
      <c r="AP1636" s="16"/>
      <c r="AQ1636" s="16"/>
      <c r="AR1636" s="16"/>
      <c r="AS1636" s="16"/>
      <c r="AT1636" s="16"/>
      <c r="AU1636" s="16"/>
      <c r="AV1636" s="16"/>
      <c r="AW1636" s="16"/>
      <c r="AX1636" s="16"/>
      <c r="AY1636" s="16"/>
      <c r="AZ1636" s="16"/>
      <c r="BA1636" s="16"/>
      <c r="BB1636" s="16"/>
      <c r="BC1636" s="16"/>
      <c r="BD1636" s="16"/>
      <c r="BE1636" s="16"/>
      <c r="BF1636" s="16"/>
      <c r="BG1636" s="77"/>
      <c r="BH1636" s="16"/>
      <c r="BI1636" s="16"/>
      <c r="BJ1636" s="16"/>
      <c r="BK1636" s="16"/>
      <c r="BL1636" s="16"/>
      <c r="BM1636" s="16"/>
      <c r="BN1636" s="16"/>
      <c r="BO1636" s="16"/>
      <c r="BP1636" s="16"/>
      <c r="BQ1636" s="16"/>
      <c r="BR1636" s="16"/>
      <c r="BS1636" s="16"/>
      <c r="BT1636" s="77"/>
      <c r="BU1636" s="16"/>
      <c r="BV1636" s="16"/>
      <c r="BW1636" s="16"/>
      <c r="BX1636" s="16"/>
      <c r="BY1636" s="16"/>
      <c r="BZ1636" s="16"/>
      <c r="CA1636" s="16"/>
      <c r="CB1636" s="16"/>
      <c r="CC1636" s="16"/>
      <c r="CD1636" s="77"/>
      <c r="CE1636" s="16"/>
      <c r="CF1636" s="16"/>
      <c r="CG1636" s="16"/>
      <c r="CH1636" s="16"/>
      <c r="CI1636" s="16"/>
      <c r="CJ1636" s="16"/>
      <c r="CK1636" s="16"/>
      <c r="CL1636" s="16"/>
      <c r="CM1636" s="16"/>
      <c r="CN1636" s="16"/>
      <c r="CO1636" s="16"/>
      <c r="CP1636" s="16"/>
      <c r="CQ1636" s="16"/>
      <c r="CR1636" s="16"/>
      <c r="CS1636" s="16"/>
      <c r="CT1636" s="16"/>
      <c r="CU1636" s="16"/>
      <c r="CV1636" s="16"/>
      <c r="CW1636" s="16"/>
      <c r="CX1636" s="16"/>
      <c r="CY1636" s="16"/>
      <c r="CZ1636" s="16"/>
      <c r="DA1636" s="16"/>
      <c r="DB1636" s="16"/>
      <c r="DC1636" s="16"/>
      <c r="DD1636" s="16"/>
      <c r="DE1636" s="16"/>
      <c r="DF1636" s="16" t="e">
        <f>VLOOKUP(K1636,'[3]RNA Seq summary tables'!$V$3:$V$99,1,FALSE)</f>
        <v>#N/A</v>
      </c>
      <c r="DG1636" s="16"/>
      <c r="DH1636" s="16"/>
      <c r="DI1636" s="16"/>
      <c r="DJ1636" s="16"/>
      <c r="DK1636" s="16"/>
      <c r="DL1636" s="16"/>
      <c r="DM1636" s="16"/>
      <c r="DN1636" s="16"/>
      <c r="DO1636" s="16"/>
      <c r="DP1636" s="16"/>
      <c r="DQ1636" s="16"/>
      <c r="DR1636" s="16"/>
      <c r="DS1636" s="16"/>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18"/>
      <c r="EQ1636" s="18"/>
      <c r="ER1636" s="18"/>
      <c r="ES1636" s="18"/>
      <c r="ET1636" s="18"/>
      <c r="EU1636" s="18"/>
      <c r="EV1636" s="18"/>
      <c r="EW1636" s="18"/>
      <c r="EX1636" s="18"/>
      <c r="EY1636" s="18"/>
      <c r="EZ1636" s="18"/>
      <c r="FA1636" s="18"/>
      <c r="FB1636" s="18"/>
      <c r="FC1636" s="18"/>
      <c r="FD1636" s="18"/>
      <c r="FE1636" s="18"/>
      <c r="FF1636" s="18"/>
      <c r="FG1636" s="18"/>
      <c r="FH1636" s="18"/>
      <c r="FI1636" s="18"/>
      <c r="FJ1636" s="18"/>
      <c r="FK1636" s="18"/>
      <c r="FL1636" s="18"/>
      <c r="FM1636" s="18"/>
      <c r="FN1636" s="18"/>
      <c r="FO1636" s="18"/>
      <c r="FP1636" s="18"/>
      <c r="FQ1636" s="18"/>
      <c r="FR1636" s="18"/>
      <c r="FS1636" s="18"/>
      <c r="FT1636" s="18"/>
      <c r="FU1636" s="18"/>
      <c r="FV1636" s="18"/>
      <c r="FW1636" s="18"/>
      <c r="FX1636" s="18"/>
      <c r="FY1636" s="18"/>
      <c r="FZ1636" s="18"/>
      <c r="GA1636" s="18"/>
      <c r="GB1636" s="18"/>
      <c r="GC1636" s="18"/>
      <c r="GD1636" s="18"/>
      <c r="GE1636" s="18"/>
      <c r="GF1636" s="18"/>
      <c r="GG1636" s="18"/>
      <c r="GH1636" s="18"/>
      <c r="GI1636" s="18"/>
      <c r="GJ1636" s="18"/>
      <c r="GK1636" s="18"/>
      <c r="GL1636" s="18"/>
      <c r="GM1636" s="18"/>
      <c r="GN1636" s="18"/>
      <c r="GO1636" s="18"/>
      <c r="GP1636" s="18"/>
      <c r="GQ1636" s="18"/>
      <c r="GR1636" s="18"/>
      <c r="GS1636" s="18"/>
      <c r="GT1636" s="18"/>
      <c r="GU1636" s="18"/>
      <c r="GV1636" s="18"/>
      <c r="GW1636" s="18"/>
      <c r="GX1636" s="18"/>
      <c r="GY1636" s="18"/>
      <c r="GZ1636" s="18"/>
      <c r="HA1636" s="18"/>
      <c r="HB1636" s="18"/>
      <c r="HC1636" s="18"/>
      <c r="HD1636" s="18"/>
      <c r="HE1636" s="18"/>
      <c r="HF1636" s="18"/>
      <c r="HG1636" s="18"/>
      <c r="HH1636" s="18"/>
      <c r="HI1636" s="18"/>
      <c r="HJ1636" s="18"/>
      <c r="HK1636" s="18"/>
      <c r="HL1636" s="18"/>
      <c r="HM1636" s="18"/>
      <c r="HN1636" s="18"/>
      <c r="HO1636" s="18"/>
      <c r="HP1636" s="18"/>
      <c r="HQ1636" s="18"/>
      <c r="HR1636" s="18"/>
      <c r="HS1636" s="18"/>
      <c r="HT1636" s="18"/>
      <c r="HU1636" s="18"/>
      <c r="HV1636" s="18"/>
      <c r="HW1636" s="18"/>
      <c r="HX1636" s="18"/>
      <c r="HY1636" s="18"/>
      <c r="HZ1636" s="18"/>
      <c r="IA1636" s="18"/>
      <c r="IB1636" s="18"/>
      <c r="IC1636" s="18"/>
      <c r="ID1636" s="18"/>
      <c r="IE1636" s="18"/>
      <c r="IF1636" s="18"/>
      <c r="IG1636" s="18"/>
      <c r="IH1636" s="18"/>
      <c r="II1636" s="18"/>
      <c r="IJ1636" s="18"/>
      <c r="IK1636" s="18"/>
      <c r="IL1636" s="18"/>
      <c r="IM1636" s="18"/>
      <c r="IN1636" s="18"/>
      <c r="IO1636" s="18"/>
      <c r="IP1636" s="18"/>
      <c r="IQ1636" s="18"/>
      <c r="IR1636" s="18"/>
      <c r="IS1636" s="18"/>
      <c r="IT1636" s="18"/>
      <c r="IU1636" s="18"/>
      <c r="IV1636" s="18"/>
      <c r="IW1636" s="18"/>
      <c r="IX1636" s="18"/>
      <c r="IY1636" s="18"/>
      <c r="IZ1636" s="18"/>
      <c r="JA1636" s="18"/>
      <c r="JB1636" s="18"/>
      <c r="JC1636" s="18"/>
      <c r="JD1636" s="18"/>
      <c r="JE1636" s="18"/>
      <c r="JF1636" s="18"/>
      <c r="JG1636" s="18"/>
      <c r="JH1636" s="18"/>
      <c r="JI1636" s="18"/>
      <c r="JJ1636" s="18"/>
      <c r="JK1636" s="18"/>
      <c r="JL1636" s="18"/>
      <c r="JM1636" s="18"/>
      <c r="JN1636" s="18"/>
      <c r="JO1636" s="16"/>
      <c r="JP1636" s="16"/>
      <c r="JQ1636" s="16"/>
      <c r="JR1636" s="26"/>
      <c r="JS1636" s="26"/>
      <c r="JT1636" s="26"/>
      <c r="JU1636" s="26"/>
      <c r="JV1636" s="26"/>
      <c r="JW1636" s="26"/>
      <c r="JX1636" s="26"/>
      <c r="JY1636" s="26"/>
      <c r="JZ1636" s="26"/>
      <c r="KA1636" s="26"/>
      <c r="KB1636" s="26"/>
    </row>
    <row r="1637" spans="1:288" s="27" customFormat="1" x14ac:dyDescent="0.2">
      <c r="A1637" s="18"/>
      <c r="B1637" s="16">
        <v>2016</v>
      </c>
      <c r="C1637" s="20">
        <v>42574</v>
      </c>
      <c r="D1637" s="20" t="str">
        <f>CONCATENATE(J1637,"-",C1637)</f>
        <v>982-42574</v>
      </c>
      <c r="E1637" s="20" t="str">
        <f>CONCATENATE(T1637,"-",U1637,"-",C1637)</f>
        <v>PO1-H2-42574</v>
      </c>
      <c r="F1637" s="20" t="s">
        <v>106</v>
      </c>
      <c r="G1637" s="90" t="s">
        <v>278</v>
      </c>
      <c r="H1637" s="16"/>
      <c r="I1637" s="16"/>
      <c r="J1637" s="21">
        <v>982</v>
      </c>
      <c r="K1637" s="21"/>
      <c r="L1637" s="16"/>
      <c r="M1637" s="21"/>
      <c r="N1637" s="21"/>
      <c r="O1637" s="21"/>
      <c r="P1637" s="16"/>
      <c r="Q1637" s="16"/>
      <c r="R1637" s="16"/>
      <c r="S1637" s="16"/>
      <c r="T1637" s="16" t="s">
        <v>112</v>
      </c>
      <c r="U1637" s="16" t="s">
        <v>190</v>
      </c>
      <c r="V1637" s="16"/>
      <c r="W1637" s="16"/>
      <c r="X1637" s="16"/>
      <c r="Y1637" s="16"/>
      <c r="Z1637" s="16"/>
      <c r="AA1637" s="16"/>
      <c r="AB1637" s="16"/>
      <c r="AC1637" s="16"/>
      <c r="AD1637" s="16"/>
      <c r="AE1637" s="16"/>
      <c r="AF1637" s="16"/>
      <c r="AG1637" s="16"/>
      <c r="AH1637" s="16"/>
      <c r="AI1637" s="16"/>
      <c r="AJ1637" s="16"/>
      <c r="AK1637" s="16">
        <v>27.5</v>
      </c>
      <c r="AL1637" s="16"/>
      <c r="AM1637" s="16"/>
      <c r="AN1637" s="16"/>
      <c r="AO1637" s="16"/>
      <c r="AP1637" s="16"/>
      <c r="AQ1637" s="16"/>
      <c r="AR1637" s="16"/>
      <c r="AS1637" s="16"/>
      <c r="AT1637" s="16"/>
      <c r="AU1637" s="16"/>
      <c r="AV1637" s="16"/>
      <c r="AW1637" s="16"/>
      <c r="AX1637" s="16"/>
      <c r="AY1637" s="16"/>
      <c r="AZ1637" s="16"/>
      <c r="BA1637" s="16"/>
      <c r="BB1637" s="16"/>
      <c r="BC1637" s="16"/>
      <c r="BD1637" s="16"/>
      <c r="BE1637" s="16"/>
      <c r="BF1637" s="16"/>
      <c r="BG1637" s="77"/>
      <c r="BH1637" s="16"/>
      <c r="BI1637" s="16"/>
      <c r="BJ1637" s="16"/>
      <c r="BK1637" s="16"/>
      <c r="BL1637" s="16"/>
      <c r="BM1637" s="16"/>
      <c r="BN1637" s="16"/>
      <c r="BO1637" s="16"/>
      <c r="BP1637" s="16"/>
      <c r="BQ1637" s="16"/>
      <c r="BR1637" s="16"/>
      <c r="BS1637" s="16"/>
      <c r="BT1637" s="77"/>
      <c r="BU1637" s="16"/>
      <c r="BV1637" s="16"/>
      <c r="BW1637" s="16"/>
      <c r="BX1637" s="16"/>
      <c r="BY1637" s="16"/>
      <c r="BZ1637" s="16"/>
      <c r="CA1637" s="16"/>
      <c r="CB1637" s="16"/>
      <c r="CC1637" s="16"/>
      <c r="CD1637" s="77"/>
      <c r="CE1637" s="16"/>
      <c r="CF1637" s="16"/>
      <c r="CG1637" s="16"/>
      <c r="CH1637" s="16"/>
      <c r="CI1637" s="16"/>
      <c r="CJ1637" s="16"/>
      <c r="CK1637" s="16"/>
      <c r="CL1637" s="16"/>
      <c r="CM1637" s="16"/>
      <c r="CN1637" s="16"/>
      <c r="CO1637" s="16"/>
      <c r="CP1637" s="16"/>
      <c r="CQ1637" s="16"/>
      <c r="CR1637" s="16"/>
      <c r="CS1637" s="16"/>
      <c r="CT1637" s="16"/>
      <c r="CU1637" s="16"/>
      <c r="CV1637" s="16"/>
      <c r="CW1637" s="16"/>
      <c r="CX1637" s="16"/>
      <c r="CY1637" s="16"/>
      <c r="CZ1637" s="16"/>
      <c r="DA1637" s="16"/>
      <c r="DB1637" s="16"/>
      <c r="DC1637" s="16"/>
      <c r="DD1637" s="16"/>
      <c r="DE1637" s="16"/>
      <c r="DF1637" s="16" t="e">
        <f>VLOOKUP(K1637,'[3]RNA Seq summary tables'!$V$3:$V$99,1,FALSE)</f>
        <v>#N/A</v>
      </c>
      <c r="DG1637" s="16"/>
      <c r="DH1637" s="16"/>
      <c r="DI1637" s="16"/>
      <c r="DJ1637" s="16"/>
      <c r="DK1637" s="16"/>
      <c r="DL1637" s="16"/>
      <c r="DM1637" s="16"/>
      <c r="DN1637" s="16"/>
      <c r="DO1637" s="16"/>
      <c r="DP1637" s="16"/>
      <c r="DQ1637" s="16"/>
      <c r="DR1637" s="16"/>
      <c r="DS1637" s="16"/>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18"/>
      <c r="EQ1637" s="18"/>
      <c r="ER1637" s="18"/>
      <c r="ES1637" s="18"/>
      <c r="ET1637" s="18"/>
      <c r="EU1637" s="18"/>
      <c r="EV1637" s="18"/>
      <c r="EW1637" s="18"/>
      <c r="EX1637" s="18"/>
      <c r="EY1637" s="18"/>
      <c r="EZ1637" s="18"/>
      <c r="FA1637" s="18"/>
      <c r="FB1637" s="18"/>
      <c r="FC1637" s="18"/>
      <c r="FD1637" s="18"/>
      <c r="FE1637" s="18"/>
      <c r="FF1637" s="18"/>
      <c r="FG1637" s="18"/>
      <c r="FH1637" s="18"/>
      <c r="FI1637" s="18"/>
      <c r="FJ1637" s="18"/>
      <c r="FK1637" s="18"/>
      <c r="FL1637" s="18"/>
      <c r="FM1637" s="18"/>
      <c r="FN1637" s="18"/>
      <c r="FO1637" s="18"/>
      <c r="FP1637" s="18"/>
      <c r="FQ1637" s="18"/>
      <c r="FR1637" s="18"/>
      <c r="FS1637" s="18"/>
      <c r="FT1637" s="18"/>
      <c r="FU1637" s="18"/>
      <c r="FV1637" s="18"/>
      <c r="FW1637" s="18"/>
      <c r="FX1637" s="18"/>
      <c r="FY1637" s="18"/>
      <c r="FZ1637" s="18"/>
      <c r="GA1637" s="18"/>
      <c r="GB1637" s="18"/>
      <c r="GC1637" s="18"/>
      <c r="GD1637" s="18"/>
      <c r="GE1637" s="18"/>
      <c r="GF1637" s="18"/>
      <c r="GG1637" s="18"/>
      <c r="GH1637" s="18"/>
      <c r="GI1637" s="18"/>
      <c r="GJ1637" s="18"/>
      <c r="GK1637" s="18"/>
      <c r="GL1637" s="18"/>
      <c r="GM1637" s="18"/>
      <c r="GN1637" s="18"/>
      <c r="GO1637" s="18"/>
      <c r="GP1637" s="18"/>
      <c r="GQ1637" s="18"/>
      <c r="GR1637" s="18"/>
      <c r="GS1637" s="18"/>
      <c r="GT1637" s="18"/>
      <c r="GU1637" s="18"/>
      <c r="GV1637" s="18"/>
      <c r="GW1637" s="18"/>
      <c r="GX1637" s="18"/>
      <c r="GY1637" s="18"/>
      <c r="GZ1637" s="18"/>
      <c r="HA1637" s="18"/>
      <c r="HB1637" s="18"/>
      <c r="HC1637" s="18"/>
      <c r="HD1637" s="18"/>
      <c r="HE1637" s="18"/>
      <c r="HF1637" s="18"/>
      <c r="HG1637" s="18"/>
      <c r="HH1637" s="18"/>
      <c r="HI1637" s="18"/>
      <c r="HJ1637" s="18"/>
      <c r="HK1637" s="18"/>
      <c r="HL1637" s="18"/>
      <c r="HM1637" s="18"/>
      <c r="HN1637" s="18"/>
      <c r="HO1637" s="18"/>
      <c r="HP1637" s="18"/>
      <c r="HQ1637" s="18"/>
      <c r="HR1637" s="18"/>
      <c r="HS1637" s="18"/>
      <c r="HT1637" s="18"/>
      <c r="HU1637" s="18"/>
      <c r="HV1637" s="18"/>
      <c r="HW1637" s="18"/>
      <c r="HX1637" s="18"/>
      <c r="HY1637" s="18"/>
      <c r="HZ1637" s="18"/>
      <c r="IA1637" s="18"/>
      <c r="IB1637" s="18"/>
      <c r="IC1637" s="18"/>
      <c r="ID1637" s="18"/>
      <c r="IE1637" s="18"/>
      <c r="IF1637" s="18"/>
      <c r="IG1637" s="18"/>
      <c r="IH1637" s="18"/>
      <c r="II1637" s="18"/>
      <c r="IJ1637" s="18"/>
      <c r="IK1637" s="18"/>
      <c r="IL1637" s="18"/>
      <c r="IM1637" s="18"/>
      <c r="IN1637" s="18"/>
      <c r="IO1637" s="18"/>
      <c r="IP1637" s="18"/>
      <c r="IQ1637" s="18"/>
      <c r="IR1637" s="18"/>
      <c r="IS1637" s="18"/>
      <c r="IT1637" s="18"/>
      <c r="IU1637" s="18"/>
      <c r="IV1637" s="18"/>
      <c r="IW1637" s="18"/>
      <c r="IX1637" s="18"/>
      <c r="IY1637" s="18"/>
      <c r="IZ1637" s="18"/>
      <c r="JA1637" s="18"/>
      <c r="JB1637" s="18"/>
      <c r="JC1637" s="18"/>
      <c r="JD1637" s="18"/>
      <c r="JE1637" s="18"/>
      <c r="JF1637" s="18"/>
      <c r="JG1637" s="18"/>
      <c r="JH1637" s="18"/>
      <c r="JI1637" s="18"/>
      <c r="JJ1637" s="18"/>
      <c r="JK1637" s="18"/>
      <c r="JL1637" s="18"/>
      <c r="JM1637" s="18"/>
      <c r="JN1637" s="18"/>
      <c r="JO1637" s="16"/>
      <c r="JP1637" s="16"/>
      <c r="JQ1637" s="16"/>
      <c r="JR1637" s="16"/>
      <c r="JS1637" s="16"/>
      <c r="JT1637" s="16"/>
      <c r="JU1637" s="16"/>
      <c r="JV1637" s="16"/>
      <c r="JW1637" s="16"/>
      <c r="JX1637" s="16"/>
      <c r="JY1637" s="16"/>
      <c r="JZ1637" s="16"/>
      <c r="KA1637" s="16"/>
      <c r="KB1637" s="16"/>
    </row>
    <row r="1638" spans="1:288" s="27" customFormat="1" x14ac:dyDescent="0.2">
      <c r="A1638" s="18"/>
      <c r="B1638" s="16">
        <v>2016</v>
      </c>
      <c r="C1638" s="43">
        <v>42602</v>
      </c>
      <c r="D1638" s="43" t="str">
        <f>CONCATENATE(J1638,"-",C1638)</f>
        <v>982-42602</v>
      </c>
      <c r="E1638" s="20" t="str">
        <f>CONCATENATE(T1638,"-",U1638,"-",C1638)</f>
        <v>PO1-H3-42602</v>
      </c>
      <c r="F1638" s="20" t="s">
        <v>227</v>
      </c>
      <c r="G1638" s="91" t="s">
        <v>278</v>
      </c>
      <c r="H1638" s="23"/>
      <c r="I1638" s="23"/>
      <c r="J1638" s="15">
        <v>982</v>
      </c>
      <c r="K1638" s="15"/>
      <c r="L1638" s="23"/>
      <c r="M1638" s="21"/>
      <c r="N1638" s="21"/>
      <c r="O1638" s="21"/>
      <c r="P1638" s="23"/>
      <c r="Q1638" s="23"/>
      <c r="R1638" s="23"/>
      <c r="S1638" s="23"/>
      <c r="T1638" s="23" t="s">
        <v>112</v>
      </c>
      <c r="U1638" s="23" t="s">
        <v>174</v>
      </c>
      <c r="V1638" s="23"/>
      <c r="W1638" s="23"/>
      <c r="X1638" s="23"/>
      <c r="Y1638" s="23"/>
      <c r="Z1638" s="23"/>
      <c r="AA1638" s="23"/>
      <c r="AB1638" s="23"/>
      <c r="AC1638" s="23"/>
      <c r="AD1638" s="23"/>
      <c r="AE1638" s="23"/>
      <c r="AF1638" s="23"/>
      <c r="AG1638" s="23"/>
      <c r="AH1638" s="23"/>
      <c r="AI1638" s="23"/>
      <c r="AJ1638" s="23"/>
      <c r="AK1638" s="23">
        <v>26.5</v>
      </c>
      <c r="AL1638" s="23"/>
      <c r="AM1638" s="23"/>
      <c r="AN1638" s="23"/>
      <c r="AO1638" s="23"/>
      <c r="AP1638" s="23"/>
      <c r="AQ1638" s="23"/>
      <c r="AR1638" s="23"/>
      <c r="AS1638" s="23"/>
      <c r="AT1638" s="16"/>
      <c r="AU1638" s="16"/>
      <c r="AV1638" s="16"/>
      <c r="AW1638" s="16"/>
      <c r="AX1638" s="16"/>
      <c r="AY1638" s="16"/>
      <c r="AZ1638" s="16"/>
      <c r="BA1638" s="16"/>
      <c r="BB1638" s="16"/>
      <c r="BC1638" s="16"/>
      <c r="BD1638" s="16"/>
      <c r="BE1638" s="16"/>
      <c r="BF1638" s="16"/>
      <c r="BG1638" s="77"/>
      <c r="BH1638" s="16"/>
      <c r="BI1638" s="16"/>
      <c r="BJ1638" s="16"/>
      <c r="BK1638" s="16"/>
      <c r="BL1638" s="16"/>
      <c r="BM1638" s="16"/>
      <c r="BN1638" s="16"/>
      <c r="BO1638" s="16"/>
      <c r="BP1638" s="16"/>
      <c r="BQ1638" s="16"/>
      <c r="BR1638" s="16"/>
      <c r="BS1638" s="16"/>
      <c r="BT1638" s="77"/>
      <c r="BU1638" s="16"/>
      <c r="BV1638" s="16"/>
      <c r="BW1638" s="16"/>
      <c r="BX1638" s="16"/>
      <c r="BY1638" s="16"/>
      <c r="BZ1638" s="16"/>
      <c r="CA1638" s="16"/>
      <c r="CB1638" s="16"/>
      <c r="CC1638" s="16"/>
      <c r="CD1638" s="77"/>
      <c r="CE1638" s="16"/>
      <c r="CF1638" s="16"/>
      <c r="CG1638" s="16"/>
      <c r="CH1638" s="16"/>
      <c r="CI1638" s="16"/>
      <c r="CJ1638" s="16"/>
      <c r="CK1638" s="16"/>
      <c r="CL1638" s="16"/>
      <c r="CM1638" s="16"/>
      <c r="CN1638" s="16"/>
      <c r="CO1638" s="16"/>
      <c r="CP1638" s="16"/>
      <c r="CQ1638" s="16"/>
      <c r="CR1638" s="16"/>
      <c r="CS1638" s="16"/>
      <c r="CT1638" s="16"/>
      <c r="CU1638" s="16"/>
      <c r="CV1638" s="16"/>
      <c r="CW1638" s="16"/>
      <c r="CX1638" s="16"/>
      <c r="CY1638" s="16"/>
      <c r="CZ1638" s="16"/>
      <c r="DA1638" s="16"/>
      <c r="DB1638" s="16"/>
      <c r="DC1638" s="23"/>
      <c r="DD1638" s="23"/>
      <c r="DE1638" s="23"/>
      <c r="DF1638" s="16" t="e">
        <f>VLOOKUP(K1638,'[3]RNA Seq summary tables'!$V$3:$V$99,1,FALSE)</f>
        <v>#N/A</v>
      </c>
      <c r="DG1638" s="23"/>
      <c r="DH1638" s="23"/>
      <c r="DI1638" s="23"/>
      <c r="DJ1638" s="23"/>
      <c r="DK1638" s="23"/>
      <c r="DL1638" s="23"/>
      <c r="DM1638" s="23"/>
      <c r="DN1638" s="23"/>
      <c r="DO1638" s="23"/>
      <c r="DP1638" s="23"/>
      <c r="DQ1638" s="23"/>
      <c r="DR1638" s="23"/>
      <c r="DS1638" s="23"/>
      <c r="DT1638" s="25"/>
      <c r="DU1638" s="25"/>
      <c r="DV1638" s="25"/>
      <c r="DW1638" s="25"/>
      <c r="DX1638" s="25"/>
      <c r="DY1638" s="25"/>
      <c r="DZ1638" s="25"/>
      <c r="EA1638" s="25"/>
      <c r="EB1638" s="25"/>
      <c r="EC1638" s="25"/>
      <c r="ED1638" s="25"/>
      <c r="EE1638" s="25"/>
      <c r="EF1638" s="25"/>
      <c r="EG1638" s="25"/>
      <c r="EH1638" s="25"/>
      <c r="EI1638" s="25"/>
      <c r="EJ1638" s="25"/>
      <c r="EK1638" s="25"/>
      <c r="EL1638" s="25"/>
      <c r="EM1638" s="25"/>
      <c r="EN1638" s="25"/>
      <c r="EO1638" s="25"/>
      <c r="EP1638" s="25"/>
      <c r="EQ1638" s="25"/>
      <c r="ER1638" s="25"/>
      <c r="ES1638" s="25"/>
      <c r="ET1638" s="25"/>
      <c r="EU1638" s="25"/>
      <c r="EV1638" s="25"/>
      <c r="EW1638" s="25"/>
      <c r="EX1638" s="25"/>
      <c r="EY1638" s="25"/>
      <c r="EZ1638" s="25"/>
      <c r="FA1638" s="25"/>
      <c r="FB1638" s="25"/>
      <c r="FC1638" s="25"/>
      <c r="FD1638" s="25"/>
      <c r="FE1638" s="25"/>
      <c r="FF1638" s="25"/>
      <c r="FG1638" s="25"/>
      <c r="FH1638" s="25"/>
      <c r="FI1638" s="25"/>
      <c r="FJ1638" s="25"/>
      <c r="FK1638" s="25"/>
      <c r="FL1638" s="25"/>
      <c r="FM1638" s="25"/>
      <c r="FN1638" s="25"/>
      <c r="FO1638" s="25"/>
      <c r="FP1638" s="25"/>
      <c r="FQ1638" s="25"/>
      <c r="FR1638" s="25"/>
      <c r="FS1638" s="25"/>
      <c r="FT1638" s="25"/>
      <c r="FU1638" s="25"/>
      <c r="FV1638" s="25"/>
      <c r="FW1638" s="25"/>
      <c r="FX1638" s="25"/>
      <c r="FY1638" s="25"/>
      <c r="FZ1638" s="25"/>
      <c r="GA1638" s="25"/>
      <c r="GB1638" s="25"/>
      <c r="GC1638" s="25"/>
      <c r="GD1638" s="25"/>
      <c r="GE1638" s="25"/>
      <c r="GF1638" s="25"/>
      <c r="GG1638" s="25"/>
      <c r="GH1638" s="25"/>
      <c r="GI1638" s="25"/>
      <c r="GJ1638" s="25"/>
      <c r="GK1638" s="25"/>
      <c r="GL1638" s="25"/>
      <c r="GM1638" s="25"/>
      <c r="GN1638" s="25"/>
      <c r="GO1638" s="25"/>
      <c r="GP1638" s="25"/>
      <c r="GQ1638" s="25"/>
      <c r="GR1638" s="25"/>
      <c r="GS1638" s="25"/>
      <c r="GT1638" s="25"/>
      <c r="GU1638" s="25"/>
      <c r="GV1638" s="25"/>
      <c r="GW1638" s="25"/>
      <c r="GX1638" s="25"/>
      <c r="GY1638" s="25"/>
      <c r="GZ1638" s="25"/>
      <c r="HA1638" s="25"/>
      <c r="HB1638" s="25"/>
      <c r="HC1638" s="25"/>
      <c r="HD1638" s="25"/>
      <c r="HE1638" s="25"/>
      <c r="HF1638" s="25"/>
      <c r="HG1638" s="25"/>
      <c r="HH1638" s="25"/>
      <c r="HI1638" s="25"/>
      <c r="HJ1638" s="25"/>
      <c r="HK1638" s="25"/>
      <c r="HL1638" s="25"/>
      <c r="HM1638" s="25"/>
      <c r="HN1638" s="25"/>
      <c r="HO1638" s="25"/>
      <c r="HP1638" s="25"/>
      <c r="HQ1638" s="25"/>
      <c r="HR1638" s="25"/>
      <c r="HS1638" s="25"/>
      <c r="HT1638" s="25"/>
      <c r="HU1638" s="25"/>
      <c r="HV1638" s="25"/>
      <c r="HW1638" s="25"/>
      <c r="HX1638" s="25"/>
      <c r="HY1638" s="25"/>
      <c r="HZ1638" s="25"/>
      <c r="IA1638" s="25"/>
      <c r="IB1638" s="25"/>
      <c r="IC1638" s="25"/>
      <c r="ID1638" s="25"/>
      <c r="IE1638" s="25"/>
      <c r="IF1638" s="25"/>
      <c r="IG1638" s="25"/>
      <c r="IH1638" s="25"/>
      <c r="II1638" s="25"/>
      <c r="IJ1638" s="25"/>
      <c r="IK1638" s="25"/>
      <c r="IL1638" s="25"/>
      <c r="IM1638" s="25"/>
      <c r="IN1638" s="25"/>
      <c r="IO1638" s="25"/>
      <c r="IP1638" s="25"/>
      <c r="IQ1638" s="25"/>
      <c r="IR1638" s="25"/>
      <c r="IS1638" s="25"/>
      <c r="IT1638" s="25"/>
      <c r="IU1638" s="25"/>
      <c r="IV1638" s="25"/>
      <c r="IW1638" s="25"/>
      <c r="IX1638" s="25"/>
      <c r="IY1638" s="25"/>
      <c r="IZ1638" s="25"/>
      <c r="JA1638" s="25"/>
      <c r="JB1638" s="25"/>
      <c r="JC1638" s="25"/>
      <c r="JD1638" s="25"/>
      <c r="JE1638" s="25"/>
      <c r="JF1638" s="25"/>
      <c r="JG1638" s="25"/>
      <c r="JH1638" s="25"/>
      <c r="JI1638" s="25"/>
      <c r="JJ1638" s="25"/>
      <c r="JK1638" s="25"/>
      <c r="JL1638" s="25"/>
      <c r="JM1638" s="25"/>
      <c r="JN1638" s="25"/>
      <c r="JO1638" s="23"/>
      <c r="JP1638" s="23"/>
      <c r="JQ1638" s="23"/>
      <c r="JR1638" s="16"/>
      <c r="JS1638" s="16"/>
      <c r="JT1638" s="16"/>
      <c r="JU1638" s="16"/>
      <c r="JV1638" s="16"/>
      <c r="JW1638" s="16"/>
      <c r="JX1638" s="16"/>
      <c r="JY1638" s="16"/>
      <c r="JZ1638" s="16"/>
      <c r="KA1638" s="16"/>
      <c r="KB1638" s="16"/>
    </row>
    <row r="1639" spans="1:288" s="27" customFormat="1" x14ac:dyDescent="0.2">
      <c r="A1639" s="18"/>
      <c r="B1639" s="16">
        <v>2016</v>
      </c>
      <c r="C1639" s="20">
        <v>42615</v>
      </c>
      <c r="D1639" s="20" t="str">
        <f>CONCATENATE(J1639,"-",C1639)</f>
        <v>982-42615</v>
      </c>
      <c r="E1639" s="20" t="str">
        <f>CONCATENATE(T1639,"-",U1639,"-",C1639)</f>
        <v>PO1-F7-42615</v>
      </c>
      <c r="F1639" s="20" t="s">
        <v>227</v>
      </c>
      <c r="G1639" s="90" t="s">
        <v>278</v>
      </c>
      <c r="H1639" s="16"/>
      <c r="I1639" s="16"/>
      <c r="J1639" s="21">
        <v>982</v>
      </c>
      <c r="K1639" s="21"/>
      <c r="L1639" s="16"/>
      <c r="M1639" s="21"/>
      <c r="N1639" s="21"/>
      <c r="O1639" s="21"/>
      <c r="P1639" s="16"/>
      <c r="Q1639" s="16"/>
      <c r="R1639" s="16"/>
      <c r="S1639" s="16"/>
      <c r="T1639" s="16" t="s">
        <v>112</v>
      </c>
      <c r="U1639" s="16" t="s">
        <v>189</v>
      </c>
      <c r="V1639" s="16"/>
      <c r="W1639" s="16"/>
      <c r="X1639" s="16"/>
      <c r="Y1639" s="16"/>
      <c r="Z1639" s="16"/>
      <c r="AA1639" s="16"/>
      <c r="AB1639" s="16"/>
      <c r="AC1639" s="16"/>
      <c r="AD1639" s="16"/>
      <c r="AE1639" s="16"/>
      <c r="AF1639" s="16"/>
      <c r="AG1639" s="16"/>
      <c r="AH1639" s="16"/>
      <c r="AI1639" s="16"/>
      <c r="AJ1639" s="16"/>
      <c r="AK1639" s="16"/>
      <c r="AL1639" s="16"/>
      <c r="AM1639" s="16"/>
      <c r="AN1639" s="16"/>
      <c r="AO1639" s="16"/>
      <c r="AP1639" s="16"/>
      <c r="AQ1639" s="16"/>
      <c r="AR1639" s="16"/>
      <c r="AS1639" s="16"/>
      <c r="AT1639" s="16"/>
      <c r="AU1639" s="16"/>
      <c r="AV1639" s="16"/>
      <c r="AW1639" s="16"/>
      <c r="AX1639" s="16"/>
      <c r="AY1639" s="16"/>
      <c r="AZ1639" s="16"/>
      <c r="BA1639" s="16"/>
      <c r="BB1639" s="16"/>
      <c r="BC1639" s="16"/>
      <c r="BD1639" s="16"/>
      <c r="BE1639" s="16"/>
      <c r="BF1639" s="16"/>
      <c r="BG1639" s="77"/>
      <c r="BH1639" s="16"/>
      <c r="BI1639" s="16"/>
      <c r="BJ1639" s="16"/>
      <c r="BK1639" s="16"/>
      <c r="BL1639" s="16"/>
      <c r="BM1639" s="16"/>
      <c r="BN1639" s="16"/>
      <c r="BO1639" s="16"/>
      <c r="BP1639" s="16"/>
      <c r="BQ1639" s="16"/>
      <c r="BR1639" s="16"/>
      <c r="BS1639" s="16"/>
      <c r="BT1639" s="77"/>
      <c r="BU1639" s="16"/>
      <c r="BV1639" s="16"/>
      <c r="BW1639" s="16"/>
      <c r="BX1639" s="16"/>
      <c r="BY1639" s="16"/>
      <c r="BZ1639" s="16"/>
      <c r="CA1639" s="16"/>
      <c r="CB1639" s="16"/>
      <c r="CC1639" s="16"/>
      <c r="CD1639" s="77"/>
      <c r="CE1639" s="16"/>
      <c r="CF1639" s="16"/>
      <c r="CG1639" s="16"/>
      <c r="CH1639" s="16"/>
      <c r="CI1639" s="16"/>
      <c r="CJ1639" s="16"/>
      <c r="CK1639" s="16"/>
      <c r="CL1639" s="16"/>
      <c r="CM1639" s="16"/>
      <c r="CN1639" s="16"/>
      <c r="CO1639" s="16"/>
      <c r="CP1639" s="16"/>
      <c r="CQ1639" s="16"/>
      <c r="CR1639" s="16"/>
      <c r="CS1639" s="16"/>
      <c r="CT1639" s="16"/>
      <c r="CU1639" s="16"/>
      <c r="CV1639" s="16"/>
      <c r="CW1639" s="16"/>
      <c r="CX1639" s="16"/>
      <c r="CY1639" s="16"/>
      <c r="CZ1639" s="16"/>
      <c r="DA1639" s="16"/>
      <c r="DB1639" s="16"/>
      <c r="DC1639" s="16"/>
      <c r="DD1639" s="16"/>
      <c r="DE1639" s="16"/>
      <c r="DF1639" s="16" t="e">
        <f>VLOOKUP(K1639,'[3]RNA Seq summary tables'!$V$3:$V$99,1,FALSE)</f>
        <v>#N/A</v>
      </c>
      <c r="DG1639" s="16">
        <v>1</v>
      </c>
      <c r="DH1639" s="16" t="str">
        <f>VLOOKUP(D1639,'[8]Data with duplicates'!$B$1:$J$70,9,FALSE)</f>
        <v>sample.48dup</v>
      </c>
      <c r="DI1639" s="16"/>
      <c r="DJ1639" s="16"/>
      <c r="DK1639" s="16"/>
      <c r="DL1639" s="16"/>
      <c r="DM1639" s="16"/>
      <c r="DN1639" s="16"/>
      <c r="DO1639" s="16"/>
      <c r="DP1639" s="16"/>
      <c r="DQ1639" s="16"/>
      <c r="DR1639" s="16"/>
      <c r="DS1639" s="16"/>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18"/>
      <c r="EQ1639" s="18"/>
      <c r="ER1639" s="18"/>
      <c r="ES1639" s="18"/>
      <c r="ET1639" s="18"/>
      <c r="EU1639" s="18"/>
      <c r="EV1639" s="18"/>
      <c r="EW1639" s="18"/>
      <c r="EX1639" s="18"/>
      <c r="EY1639" s="18"/>
      <c r="EZ1639" s="18"/>
      <c r="FA1639" s="18"/>
      <c r="FB1639" s="18"/>
      <c r="FC1639" s="18"/>
      <c r="FD1639" s="18"/>
      <c r="FE1639" s="18"/>
      <c r="FF1639" s="18"/>
      <c r="FG1639" s="18"/>
      <c r="FH1639" s="18"/>
      <c r="FI1639" s="18"/>
      <c r="FJ1639" s="18"/>
      <c r="FK1639" s="18"/>
      <c r="FL1639" s="18"/>
      <c r="FM1639" s="18"/>
      <c r="FN1639" s="18"/>
      <c r="FO1639" s="18"/>
      <c r="FP1639" s="18"/>
      <c r="FQ1639" s="18"/>
      <c r="FR1639" s="18"/>
      <c r="FS1639" s="18"/>
      <c r="FT1639" s="18"/>
      <c r="FU1639" s="18"/>
      <c r="FV1639" s="18"/>
      <c r="FW1639" s="18"/>
      <c r="FX1639" s="18"/>
      <c r="FY1639" s="18"/>
      <c r="FZ1639" s="18"/>
      <c r="GA1639" s="18"/>
      <c r="GB1639" s="18"/>
      <c r="GC1639" s="18"/>
      <c r="GD1639" s="18"/>
      <c r="GE1639" s="18"/>
      <c r="GF1639" s="18"/>
      <c r="GG1639" s="18"/>
      <c r="GH1639" s="18"/>
      <c r="GI1639" s="18"/>
      <c r="GJ1639" s="18"/>
      <c r="GK1639" s="18"/>
      <c r="GL1639" s="18"/>
      <c r="GM1639" s="18"/>
      <c r="GN1639" s="18"/>
      <c r="GO1639" s="18"/>
      <c r="GP1639" s="18"/>
      <c r="GQ1639" s="18"/>
      <c r="GR1639" s="18"/>
      <c r="GS1639" s="18"/>
      <c r="GT1639" s="18"/>
      <c r="GU1639" s="18"/>
      <c r="GV1639" s="18"/>
      <c r="GW1639" s="18"/>
      <c r="GX1639" s="18"/>
      <c r="GY1639" s="18"/>
      <c r="GZ1639" s="18"/>
      <c r="HA1639" s="18"/>
      <c r="HB1639" s="18"/>
      <c r="HC1639" s="18"/>
      <c r="HD1639" s="18"/>
      <c r="HE1639" s="18"/>
      <c r="HF1639" s="18"/>
      <c r="HG1639" s="18"/>
      <c r="HH1639" s="18"/>
      <c r="HI1639" s="18"/>
      <c r="HJ1639" s="18"/>
      <c r="HK1639" s="18"/>
      <c r="HL1639" s="18"/>
      <c r="HM1639" s="18"/>
      <c r="HN1639" s="18"/>
      <c r="HO1639" s="18"/>
      <c r="HP1639" s="18"/>
      <c r="HQ1639" s="18"/>
      <c r="HR1639" s="18"/>
      <c r="HS1639" s="18"/>
      <c r="HT1639" s="18"/>
      <c r="HU1639" s="18"/>
      <c r="HV1639" s="18"/>
      <c r="HW1639" s="18"/>
      <c r="HX1639" s="18"/>
      <c r="HY1639" s="18"/>
      <c r="HZ1639" s="18"/>
      <c r="IA1639" s="18"/>
      <c r="IB1639" s="18"/>
      <c r="IC1639" s="18"/>
      <c r="ID1639" s="18"/>
      <c r="IE1639" s="18"/>
      <c r="IF1639" s="18"/>
      <c r="IG1639" s="18"/>
      <c r="IH1639" s="18"/>
      <c r="II1639" s="18"/>
      <c r="IJ1639" s="18"/>
      <c r="IK1639" s="18"/>
      <c r="IL1639" s="18"/>
      <c r="IM1639" s="18"/>
      <c r="IN1639" s="18"/>
      <c r="IO1639" s="18"/>
      <c r="IP1639" s="18"/>
      <c r="IQ1639" s="18"/>
      <c r="IR1639" s="18"/>
      <c r="IS1639" s="18"/>
      <c r="IT1639" s="18"/>
      <c r="IU1639" s="18"/>
      <c r="IV1639" s="18"/>
      <c r="IW1639" s="18"/>
      <c r="IX1639" s="18"/>
      <c r="IY1639" s="18"/>
      <c r="IZ1639" s="18"/>
      <c r="JA1639" s="18"/>
      <c r="JB1639" s="18"/>
      <c r="JC1639" s="18"/>
      <c r="JD1639" s="18"/>
      <c r="JE1639" s="18"/>
      <c r="JF1639" s="18"/>
      <c r="JG1639" s="18"/>
      <c r="JH1639" s="18"/>
      <c r="JI1639" s="18"/>
      <c r="JJ1639" s="18"/>
      <c r="JK1639" s="18"/>
      <c r="JL1639" s="18"/>
      <c r="JM1639" s="18"/>
      <c r="JN1639" s="18"/>
      <c r="JO1639" s="16"/>
      <c r="JP1639" s="16"/>
      <c r="JQ1639" s="16"/>
      <c r="JR1639" s="16"/>
      <c r="JS1639" s="16"/>
      <c r="JT1639" s="16"/>
      <c r="JU1639" s="16"/>
      <c r="JV1639" s="16"/>
      <c r="JW1639" s="16"/>
      <c r="JX1639" s="16"/>
      <c r="JY1639" s="16"/>
      <c r="JZ1639" s="16"/>
      <c r="KA1639" s="16"/>
      <c r="KB1639" s="16"/>
    </row>
    <row r="1640" spans="1:288" s="27" customFormat="1" x14ac:dyDescent="0.2">
      <c r="A1640" s="18"/>
      <c r="B1640" s="16">
        <v>2016</v>
      </c>
      <c r="C1640" s="20">
        <v>42546</v>
      </c>
      <c r="D1640" s="20" t="str">
        <f>CONCATENATE(J1640,"-",C1640)</f>
        <v>983-42546</v>
      </c>
      <c r="E1640" s="20" t="str">
        <f>CONCATENATE(T1640,"-",U1640,"-",C1640)</f>
        <v>PO2-E1-42546</v>
      </c>
      <c r="F1640" s="20" t="s">
        <v>106</v>
      </c>
      <c r="G1640" s="90" t="s">
        <v>278</v>
      </c>
      <c r="H1640" s="16"/>
      <c r="I1640" s="16"/>
      <c r="J1640" s="21">
        <v>983</v>
      </c>
      <c r="K1640" s="21"/>
      <c r="L1640" s="16"/>
      <c r="M1640" s="21"/>
      <c r="N1640" s="21"/>
      <c r="O1640" s="21"/>
      <c r="P1640" s="16"/>
      <c r="Q1640" s="16"/>
      <c r="R1640" s="16"/>
      <c r="S1640" s="16"/>
      <c r="T1640" s="16" t="s">
        <v>127</v>
      </c>
      <c r="U1640" s="16" t="s">
        <v>222</v>
      </c>
      <c r="V1640" s="16"/>
      <c r="W1640" s="16"/>
      <c r="X1640" s="16" t="s">
        <v>121</v>
      </c>
      <c r="Y1640" s="16"/>
      <c r="Z1640" s="16"/>
      <c r="AA1640" s="16"/>
      <c r="AB1640" s="16"/>
      <c r="AC1640" s="16"/>
      <c r="AD1640" s="16"/>
      <c r="AE1640" s="16"/>
      <c r="AF1640" s="16"/>
      <c r="AG1640" s="16"/>
      <c r="AH1640" s="16"/>
      <c r="AI1640" s="16"/>
      <c r="AJ1640" s="16"/>
      <c r="AK1640" s="16">
        <v>11</v>
      </c>
      <c r="AL1640" s="16"/>
      <c r="AM1640" s="16"/>
      <c r="AN1640" s="16"/>
      <c r="AO1640" s="16"/>
      <c r="AP1640" s="16"/>
      <c r="AQ1640" s="16"/>
      <c r="AR1640" s="16"/>
      <c r="AS1640" s="16"/>
      <c r="AT1640" s="16"/>
      <c r="AU1640" s="16"/>
      <c r="AV1640" s="16"/>
      <c r="AW1640" s="16"/>
      <c r="AX1640" s="16"/>
      <c r="AY1640" s="16"/>
      <c r="AZ1640" s="16"/>
      <c r="BA1640" s="16"/>
      <c r="BB1640" s="16"/>
      <c r="BC1640" s="16"/>
      <c r="BD1640" s="16"/>
      <c r="BE1640" s="16"/>
      <c r="BF1640" s="16"/>
      <c r="BG1640" s="77"/>
      <c r="BH1640" s="16"/>
      <c r="BI1640" s="16"/>
      <c r="BJ1640" s="16"/>
      <c r="BK1640" s="16"/>
      <c r="BL1640" s="16"/>
      <c r="BM1640" s="16"/>
      <c r="BN1640" s="16"/>
      <c r="BO1640" s="16"/>
      <c r="BP1640" s="16"/>
      <c r="BQ1640" s="16"/>
      <c r="BR1640" s="16"/>
      <c r="BS1640" s="16"/>
      <c r="BT1640" s="77"/>
      <c r="BU1640" s="16"/>
      <c r="BV1640" s="16"/>
      <c r="BW1640" s="16"/>
      <c r="BX1640" s="16"/>
      <c r="BY1640" s="16"/>
      <c r="BZ1640" s="16"/>
      <c r="CA1640" s="16"/>
      <c r="CB1640" s="16"/>
      <c r="CC1640" s="16"/>
      <c r="CD1640" s="77"/>
      <c r="CE1640" s="16"/>
      <c r="CF1640" s="16"/>
      <c r="CG1640" s="16"/>
      <c r="CH1640" s="16"/>
      <c r="CI1640" s="16"/>
      <c r="CJ1640" s="16"/>
      <c r="CK1640" s="16"/>
      <c r="CL1640" s="16"/>
      <c r="CM1640" s="16"/>
      <c r="CN1640" s="16"/>
      <c r="CO1640" s="16"/>
      <c r="CP1640" s="16"/>
      <c r="CQ1640" s="16"/>
      <c r="CR1640" s="16"/>
      <c r="CS1640" s="16"/>
      <c r="CT1640" s="16"/>
      <c r="CU1640" s="16"/>
      <c r="CV1640" s="16"/>
      <c r="CW1640" s="16"/>
      <c r="CX1640" s="16"/>
      <c r="CY1640" s="16"/>
      <c r="CZ1640" s="16"/>
      <c r="DA1640" s="16"/>
      <c r="DB1640" s="16"/>
      <c r="DC1640" s="16"/>
      <c r="DD1640" s="16"/>
      <c r="DE1640" s="16"/>
      <c r="DF1640" s="16" t="e">
        <f>VLOOKUP(K1640,'[3]RNA Seq summary tables'!$V$3:$V$99,1,FALSE)</f>
        <v>#N/A</v>
      </c>
      <c r="DG1640" s="16"/>
      <c r="DH1640" s="16"/>
      <c r="DI1640" s="16"/>
      <c r="DJ1640" s="16"/>
      <c r="DK1640" s="16"/>
      <c r="DL1640" s="16"/>
      <c r="DM1640" s="16"/>
      <c r="DN1640" s="16"/>
      <c r="DO1640" s="16"/>
      <c r="DP1640" s="16"/>
      <c r="DQ1640" s="16"/>
      <c r="DR1640" s="16"/>
      <c r="DS1640" s="16"/>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18"/>
      <c r="EQ1640" s="18"/>
      <c r="ER1640" s="18"/>
      <c r="ES1640" s="18"/>
      <c r="ET1640" s="18"/>
      <c r="EU1640" s="18"/>
      <c r="EV1640" s="18"/>
      <c r="EW1640" s="18"/>
      <c r="EX1640" s="18"/>
      <c r="EY1640" s="18"/>
      <c r="EZ1640" s="18"/>
      <c r="FA1640" s="18"/>
      <c r="FB1640" s="18"/>
      <c r="FC1640" s="18"/>
      <c r="FD1640" s="18"/>
      <c r="FE1640" s="18"/>
      <c r="FF1640" s="18"/>
      <c r="FG1640" s="18"/>
      <c r="FH1640" s="18"/>
      <c r="FI1640" s="18"/>
      <c r="FJ1640" s="18"/>
      <c r="FK1640" s="18"/>
      <c r="FL1640" s="18"/>
      <c r="FM1640" s="18"/>
      <c r="FN1640" s="18"/>
      <c r="FO1640" s="18"/>
      <c r="FP1640" s="18"/>
      <c r="FQ1640" s="18"/>
      <c r="FR1640" s="18"/>
      <c r="FS1640" s="18"/>
      <c r="FT1640" s="18"/>
      <c r="FU1640" s="18"/>
      <c r="FV1640" s="18"/>
      <c r="FW1640" s="18"/>
      <c r="FX1640" s="18"/>
      <c r="FY1640" s="18"/>
      <c r="FZ1640" s="18"/>
      <c r="GA1640" s="18"/>
      <c r="GB1640" s="18"/>
      <c r="GC1640" s="18"/>
      <c r="GD1640" s="18"/>
      <c r="GE1640" s="18"/>
      <c r="GF1640" s="18"/>
      <c r="GG1640" s="18"/>
      <c r="GH1640" s="18"/>
      <c r="GI1640" s="18"/>
      <c r="GJ1640" s="18"/>
      <c r="GK1640" s="18"/>
      <c r="GL1640" s="18"/>
      <c r="GM1640" s="18"/>
      <c r="GN1640" s="18"/>
      <c r="GO1640" s="18"/>
      <c r="GP1640" s="18"/>
      <c r="GQ1640" s="18"/>
      <c r="GR1640" s="18"/>
      <c r="GS1640" s="18"/>
      <c r="GT1640" s="18"/>
      <c r="GU1640" s="18"/>
      <c r="GV1640" s="18"/>
      <c r="GW1640" s="18"/>
      <c r="GX1640" s="18"/>
      <c r="GY1640" s="18"/>
      <c r="GZ1640" s="18"/>
      <c r="HA1640" s="18"/>
      <c r="HB1640" s="18"/>
      <c r="HC1640" s="18"/>
      <c r="HD1640" s="18"/>
      <c r="HE1640" s="18"/>
      <c r="HF1640" s="18"/>
      <c r="HG1640" s="18"/>
      <c r="HH1640" s="18"/>
      <c r="HI1640" s="18"/>
      <c r="HJ1640" s="18"/>
      <c r="HK1640" s="18"/>
      <c r="HL1640" s="18"/>
      <c r="HM1640" s="18"/>
      <c r="HN1640" s="18"/>
      <c r="HO1640" s="18"/>
      <c r="HP1640" s="18"/>
      <c r="HQ1640" s="18"/>
      <c r="HR1640" s="18"/>
      <c r="HS1640" s="18"/>
      <c r="HT1640" s="18"/>
      <c r="HU1640" s="18"/>
      <c r="HV1640" s="18"/>
      <c r="HW1640" s="18"/>
      <c r="HX1640" s="18"/>
      <c r="HY1640" s="18"/>
      <c r="HZ1640" s="18"/>
      <c r="IA1640" s="18"/>
      <c r="IB1640" s="18"/>
      <c r="IC1640" s="18"/>
      <c r="ID1640" s="18"/>
      <c r="IE1640" s="18"/>
      <c r="IF1640" s="18"/>
      <c r="IG1640" s="18"/>
      <c r="IH1640" s="18"/>
      <c r="II1640" s="18"/>
      <c r="IJ1640" s="18"/>
      <c r="IK1640" s="18"/>
      <c r="IL1640" s="18"/>
      <c r="IM1640" s="18"/>
      <c r="IN1640" s="18"/>
      <c r="IO1640" s="18"/>
      <c r="IP1640" s="18"/>
      <c r="IQ1640" s="18"/>
      <c r="IR1640" s="18"/>
      <c r="IS1640" s="18"/>
      <c r="IT1640" s="18"/>
      <c r="IU1640" s="18"/>
      <c r="IV1640" s="18"/>
      <c r="IW1640" s="18"/>
      <c r="IX1640" s="18"/>
      <c r="IY1640" s="18"/>
      <c r="IZ1640" s="18"/>
      <c r="JA1640" s="18"/>
      <c r="JB1640" s="18"/>
      <c r="JC1640" s="18"/>
      <c r="JD1640" s="18"/>
      <c r="JE1640" s="18"/>
      <c r="JF1640" s="18"/>
      <c r="JG1640" s="18"/>
      <c r="JH1640" s="18"/>
      <c r="JI1640" s="18"/>
      <c r="JJ1640" s="18"/>
      <c r="JK1640" s="18"/>
      <c r="JL1640" s="18"/>
      <c r="JM1640" s="18"/>
      <c r="JN1640" s="18"/>
      <c r="JO1640" s="16"/>
      <c r="JP1640" s="16"/>
      <c r="JQ1640" s="16"/>
      <c r="JR1640" s="16"/>
      <c r="JS1640" s="16"/>
      <c r="JT1640" s="16"/>
      <c r="JU1640" s="16"/>
      <c r="JV1640" s="16"/>
      <c r="JW1640" s="16"/>
      <c r="JX1640" s="16"/>
      <c r="JY1640" s="16"/>
      <c r="JZ1640" s="16"/>
      <c r="KA1640" s="16"/>
      <c r="KB1640" s="16"/>
    </row>
    <row r="1641" spans="1:288" s="27" customFormat="1" x14ac:dyDescent="0.2">
      <c r="A1641" s="18"/>
      <c r="B1641" s="16">
        <v>2016</v>
      </c>
      <c r="C1641" s="20">
        <v>42560</v>
      </c>
      <c r="D1641" s="20" t="str">
        <f>CONCATENATE(J1641,"-",C1641)</f>
        <v>983-42560</v>
      </c>
      <c r="E1641" s="20" t="str">
        <f>CONCATENATE(T1641,"-",U1641,"-",C1641)</f>
        <v>PO2-A1-42560</v>
      </c>
      <c r="F1641" s="20" t="s">
        <v>106</v>
      </c>
      <c r="G1641" s="90" t="s">
        <v>278</v>
      </c>
      <c r="H1641" s="16"/>
      <c r="I1641" s="16"/>
      <c r="J1641" s="21">
        <v>983</v>
      </c>
      <c r="K1641" s="21"/>
      <c r="L1641" s="16"/>
      <c r="M1641" s="21"/>
      <c r="N1641" s="21"/>
      <c r="O1641" s="21"/>
      <c r="P1641" s="16"/>
      <c r="Q1641" s="16"/>
      <c r="R1641" s="16"/>
      <c r="S1641" s="16"/>
      <c r="T1641" s="16" t="s">
        <v>127</v>
      </c>
      <c r="U1641" s="16" t="s">
        <v>210</v>
      </c>
      <c r="V1641" s="16"/>
      <c r="W1641" s="16"/>
      <c r="X1641" s="16"/>
      <c r="Y1641" s="16"/>
      <c r="Z1641" s="16"/>
      <c r="AA1641" s="16"/>
      <c r="AB1641" s="16"/>
      <c r="AC1641" s="16"/>
      <c r="AD1641" s="16"/>
      <c r="AE1641" s="16"/>
      <c r="AF1641" s="16"/>
      <c r="AG1641" s="16"/>
      <c r="AH1641" s="16"/>
      <c r="AI1641" s="16"/>
      <c r="AJ1641" s="16"/>
      <c r="AK1641" s="16">
        <v>13.5</v>
      </c>
      <c r="AL1641" s="16"/>
      <c r="AM1641" s="16"/>
      <c r="AN1641" s="16"/>
      <c r="AO1641" s="16"/>
      <c r="AP1641" s="16"/>
      <c r="AQ1641" s="16"/>
      <c r="AR1641" s="16"/>
      <c r="AS1641" s="16"/>
      <c r="AT1641" s="16"/>
      <c r="AU1641" s="16"/>
      <c r="AV1641" s="16"/>
      <c r="AW1641" s="16"/>
      <c r="AX1641" s="16"/>
      <c r="AY1641" s="16"/>
      <c r="AZ1641" s="16"/>
      <c r="BA1641" s="16"/>
      <c r="BB1641" s="16"/>
      <c r="BC1641" s="16"/>
      <c r="BD1641" s="16"/>
      <c r="BE1641" s="16"/>
      <c r="BF1641" s="16"/>
      <c r="BG1641" s="77"/>
      <c r="BH1641" s="16"/>
      <c r="BI1641" s="16"/>
      <c r="BJ1641" s="16"/>
      <c r="BK1641" s="16"/>
      <c r="BL1641" s="16"/>
      <c r="BM1641" s="16"/>
      <c r="BN1641" s="16"/>
      <c r="BO1641" s="16"/>
      <c r="BP1641" s="16"/>
      <c r="BQ1641" s="16"/>
      <c r="BR1641" s="16"/>
      <c r="BS1641" s="16"/>
      <c r="BT1641" s="77"/>
      <c r="BU1641" s="16"/>
      <c r="BV1641" s="16"/>
      <c r="BW1641" s="16"/>
      <c r="BX1641" s="16"/>
      <c r="BY1641" s="16"/>
      <c r="BZ1641" s="16"/>
      <c r="CA1641" s="16"/>
      <c r="CB1641" s="16"/>
      <c r="CC1641" s="16"/>
      <c r="CD1641" s="77"/>
      <c r="CE1641" s="16"/>
      <c r="CF1641" s="16"/>
      <c r="CG1641" s="16"/>
      <c r="CH1641" s="16"/>
      <c r="CI1641" s="16"/>
      <c r="CJ1641" s="16"/>
      <c r="CK1641" s="16"/>
      <c r="CL1641" s="16"/>
      <c r="CM1641" s="16"/>
      <c r="CN1641" s="16"/>
      <c r="CO1641" s="16"/>
      <c r="CP1641" s="16"/>
      <c r="CQ1641" s="16"/>
      <c r="CR1641" s="16"/>
      <c r="CS1641" s="16"/>
      <c r="CT1641" s="16"/>
      <c r="CU1641" s="16"/>
      <c r="CV1641" s="16"/>
      <c r="CW1641" s="16"/>
      <c r="CX1641" s="16"/>
      <c r="CY1641" s="16"/>
      <c r="CZ1641" s="16"/>
      <c r="DA1641" s="16"/>
      <c r="DB1641" s="16"/>
      <c r="DC1641" s="16"/>
      <c r="DD1641" s="16"/>
      <c r="DE1641" s="16"/>
      <c r="DF1641" s="16" t="e">
        <f>VLOOKUP(K1641,'[3]RNA Seq summary tables'!$V$3:$V$99,1,FALSE)</f>
        <v>#N/A</v>
      </c>
      <c r="DG1641" s="16"/>
      <c r="DH1641" s="16"/>
      <c r="DI1641" s="16"/>
      <c r="DJ1641" s="16"/>
      <c r="DK1641" s="16"/>
      <c r="DL1641" s="16"/>
      <c r="DM1641" s="16"/>
      <c r="DN1641" s="16"/>
      <c r="DO1641" s="16"/>
      <c r="DP1641" s="16"/>
      <c r="DQ1641" s="16"/>
      <c r="DR1641" s="16"/>
      <c r="DS1641" s="16"/>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18"/>
      <c r="EQ1641" s="18"/>
      <c r="ER1641" s="18"/>
      <c r="ES1641" s="18"/>
      <c r="ET1641" s="18"/>
      <c r="EU1641" s="18"/>
      <c r="EV1641" s="18"/>
      <c r="EW1641" s="18"/>
      <c r="EX1641" s="18"/>
      <c r="EY1641" s="18"/>
      <c r="EZ1641" s="18"/>
      <c r="FA1641" s="18"/>
      <c r="FB1641" s="18"/>
      <c r="FC1641" s="18"/>
      <c r="FD1641" s="18"/>
      <c r="FE1641" s="18"/>
      <c r="FF1641" s="18"/>
      <c r="FG1641" s="18"/>
      <c r="FH1641" s="18"/>
      <c r="FI1641" s="18"/>
      <c r="FJ1641" s="18"/>
      <c r="FK1641" s="18"/>
      <c r="FL1641" s="18"/>
      <c r="FM1641" s="18"/>
      <c r="FN1641" s="18"/>
      <c r="FO1641" s="18"/>
      <c r="FP1641" s="18"/>
      <c r="FQ1641" s="18"/>
      <c r="FR1641" s="18"/>
      <c r="FS1641" s="18"/>
      <c r="FT1641" s="18"/>
      <c r="FU1641" s="18"/>
      <c r="FV1641" s="18"/>
      <c r="FW1641" s="18"/>
      <c r="FX1641" s="18"/>
      <c r="FY1641" s="18"/>
      <c r="FZ1641" s="18"/>
      <c r="GA1641" s="18"/>
      <c r="GB1641" s="18"/>
      <c r="GC1641" s="18"/>
      <c r="GD1641" s="18"/>
      <c r="GE1641" s="18"/>
      <c r="GF1641" s="18"/>
      <c r="GG1641" s="18"/>
      <c r="GH1641" s="18"/>
      <c r="GI1641" s="18"/>
      <c r="GJ1641" s="18"/>
      <c r="GK1641" s="18"/>
      <c r="GL1641" s="18"/>
      <c r="GM1641" s="18"/>
      <c r="GN1641" s="18"/>
      <c r="GO1641" s="18"/>
      <c r="GP1641" s="18"/>
      <c r="GQ1641" s="18"/>
      <c r="GR1641" s="18"/>
      <c r="GS1641" s="18"/>
      <c r="GT1641" s="18"/>
      <c r="GU1641" s="18"/>
      <c r="GV1641" s="18"/>
      <c r="GW1641" s="18"/>
      <c r="GX1641" s="18"/>
      <c r="GY1641" s="18"/>
      <c r="GZ1641" s="18"/>
      <c r="HA1641" s="18"/>
      <c r="HB1641" s="18"/>
      <c r="HC1641" s="18"/>
      <c r="HD1641" s="18"/>
      <c r="HE1641" s="18"/>
      <c r="HF1641" s="18"/>
      <c r="HG1641" s="18"/>
      <c r="HH1641" s="18"/>
      <c r="HI1641" s="18"/>
      <c r="HJ1641" s="18"/>
      <c r="HK1641" s="18"/>
      <c r="HL1641" s="18"/>
      <c r="HM1641" s="18"/>
      <c r="HN1641" s="18"/>
      <c r="HO1641" s="18"/>
      <c r="HP1641" s="18"/>
      <c r="HQ1641" s="18"/>
      <c r="HR1641" s="18"/>
      <c r="HS1641" s="18"/>
      <c r="HT1641" s="18"/>
      <c r="HU1641" s="18"/>
      <c r="HV1641" s="18"/>
      <c r="HW1641" s="18"/>
      <c r="HX1641" s="18"/>
      <c r="HY1641" s="18"/>
      <c r="HZ1641" s="18"/>
      <c r="IA1641" s="18"/>
      <c r="IB1641" s="18"/>
      <c r="IC1641" s="18"/>
      <c r="ID1641" s="18"/>
      <c r="IE1641" s="18"/>
      <c r="IF1641" s="18"/>
      <c r="IG1641" s="18"/>
      <c r="IH1641" s="18"/>
      <c r="II1641" s="18"/>
      <c r="IJ1641" s="18"/>
      <c r="IK1641" s="18"/>
      <c r="IL1641" s="18"/>
      <c r="IM1641" s="18"/>
      <c r="IN1641" s="18"/>
      <c r="IO1641" s="18"/>
      <c r="IP1641" s="18"/>
      <c r="IQ1641" s="18"/>
      <c r="IR1641" s="18"/>
      <c r="IS1641" s="18"/>
      <c r="IT1641" s="18"/>
      <c r="IU1641" s="18"/>
      <c r="IV1641" s="18"/>
      <c r="IW1641" s="18"/>
      <c r="IX1641" s="18"/>
      <c r="IY1641" s="18"/>
      <c r="IZ1641" s="18"/>
      <c r="JA1641" s="18"/>
      <c r="JB1641" s="18"/>
      <c r="JC1641" s="18"/>
      <c r="JD1641" s="18"/>
      <c r="JE1641" s="18"/>
      <c r="JF1641" s="18"/>
      <c r="JG1641" s="18"/>
      <c r="JH1641" s="18"/>
      <c r="JI1641" s="18"/>
      <c r="JJ1641" s="18"/>
      <c r="JK1641" s="18"/>
      <c r="JL1641" s="18"/>
      <c r="JM1641" s="18"/>
      <c r="JN1641" s="18"/>
      <c r="JO1641" s="16"/>
      <c r="JP1641" s="16"/>
      <c r="JQ1641" s="16"/>
      <c r="JR1641" s="16"/>
      <c r="JS1641" s="16"/>
      <c r="JT1641" s="16"/>
      <c r="JU1641" s="16"/>
      <c r="JV1641" s="16"/>
      <c r="JW1641" s="16"/>
      <c r="JX1641" s="16"/>
      <c r="JY1641" s="16"/>
      <c r="JZ1641" s="16"/>
      <c r="KA1641" s="16"/>
      <c r="KB1641" s="16"/>
    </row>
    <row r="1642" spans="1:288" s="27" customFormat="1" x14ac:dyDescent="0.2">
      <c r="A1642" s="18"/>
      <c r="B1642" s="16">
        <v>2016</v>
      </c>
      <c r="C1642" s="20">
        <v>42560</v>
      </c>
      <c r="D1642" s="20" t="str">
        <f>CONCATENATE(J1642,"-",C1642)</f>
        <v>984-42560</v>
      </c>
      <c r="E1642" s="20" t="str">
        <f>CONCATENATE(T1642,"-",U1642,"-",C1642)</f>
        <v>PO2-F5-42560</v>
      </c>
      <c r="F1642" s="20" t="s">
        <v>106</v>
      </c>
      <c r="G1642" s="20" t="s">
        <v>278</v>
      </c>
      <c r="H1642" s="16"/>
      <c r="I1642" s="16"/>
      <c r="J1642" s="21">
        <v>984</v>
      </c>
      <c r="K1642" s="21"/>
      <c r="L1642" s="16"/>
      <c r="M1642" s="21"/>
      <c r="N1642" s="21"/>
      <c r="O1642" s="21"/>
      <c r="P1642" s="16"/>
      <c r="Q1642" s="16"/>
      <c r="R1642" s="16"/>
      <c r="S1642" s="16"/>
      <c r="T1642" s="16" t="s">
        <v>127</v>
      </c>
      <c r="U1642" s="16" t="s">
        <v>185</v>
      </c>
      <c r="V1642" s="16"/>
      <c r="W1642" s="16"/>
      <c r="X1642" s="16"/>
      <c r="Y1642" s="16"/>
      <c r="Z1642" s="16"/>
      <c r="AA1642" s="16"/>
      <c r="AB1642" s="16"/>
      <c r="AC1642" s="16"/>
      <c r="AD1642" s="16"/>
      <c r="AE1642" s="16"/>
      <c r="AF1642" s="16"/>
      <c r="AG1642" s="16"/>
      <c r="AH1642" s="16"/>
      <c r="AI1642" s="16"/>
      <c r="AJ1642" s="16"/>
      <c r="AK1642" s="16">
        <v>20</v>
      </c>
      <c r="AL1642" s="16"/>
      <c r="AM1642" s="16"/>
      <c r="AN1642" s="16"/>
      <c r="AO1642" s="16"/>
      <c r="AP1642" s="16"/>
      <c r="AQ1642" s="16"/>
      <c r="AR1642" s="16"/>
      <c r="AS1642" s="16"/>
      <c r="AT1642" s="16"/>
      <c r="AU1642" s="16"/>
      <c r="AV1642" s="16"/>
      <c r="AW1642" s="16"/>
      <c r="AX1642" s="16"/>
      <c r="AY1642" s="16"/>
      <c r="AZ1642" s="16"/>
      <c r="BA1642" s="16"/>
      <c r="BB1642" s="16"/>
      <c r="BC1642" s="16"/>
      <c r="BD1642" s="16"/>
      <c r="BE1642" s="16"/>
      <c r="BF1642" s="16"/>
      <c r="BG1642" s="77"/>
      <c r="BH1642" s="16"/>
      <c r="BI1642" s="16"/>
      <c r="BJ1642" s="16"/>
      <c r="BK1642" s="16"/>
      <c r="BL1642" s="16"/>
      <c r="BM1642" s="16"/>
      <c r="BN1642" s="16"/>
      <c r="BO1642" s="16"/>
      <c r="BP1642" s="16"/>
      <c r="BQ1642" s="16"/>
      <c r="BR1642" s="16"/>
      <c r="BS1642" s="16"/>
      <c r="BT1642" s="77"/>
      <c r="BU1642" s="16"/>
      <c r="BV1642" s="16"/>
      <c r="BW1642" s="16"/>
      <c r="BX1642" s="16"/>
      <c r="BY1642" s="16"/>
      <c r="BZ1642" s="16"/>
      <c r="CA1642" s="16"/>
      <c r="CB1642" s="16"/>
      <c r="CC1642" s="16"/>
      <c r="CD1642" s="77"/>
      <c r="CE1642" s="16"/>
      <c r="CF1642" s="16"/>
      <c r="CG1642" s="16"/>
      <c r="CH1642" s="16"/>
      <c r="CI1642" s="16"/>
      <c r="CJ1642" s="16"/>
      <c r="CK1642" s="16"/>
      <c r="CL1642" s="16"/>
      <c r="CM1642" s="16"/>
      <c r="CN1642" s="16"/>
      <c r="CO1642" s="16"/>
      <c r="CP1642" s="16"/>
      <c r="CQ1642" s="16"/>
      <c r="CR1642" s="16"/>
      <c r="CS1642" s="16"/>
      <c r="CT1642" s="16"/>
      <c r="CU1642" s="16"/>
      <c r="CV1642" s="16"/>
      <c r="CW1642" s="16"/>
      <c r="CX1642" s="16"/>
      <c r="CY1642" s="16"/>
      <c r="CZ1642" s="16"/>
      <c r="DA1642" s="16"/>
      <c r="DB1642" s="16"/>
      <c r="DC1642" s="16"/>
      <c r="DD1642" s="16"/>
      <c r="DE1642" s="16"/>
      <c r="DF1642" s="16" t="e">
        <f>VLOOKUP(K1642,'[3]RNA Seq summary tables'!$V$3:$V$99,1,FALSE)</f>
        <v>#N/A</v>
      </c>
      <c r="DG1642" s="16"/>
      <c r="DH1642" s="16"/>
      <c r="DI1642" s="16"/>
      <c r="DJ1642" s="16"/>
      <c r="DK1642" s="16"/>
      <c r="DL1642" s="16"/>
      <c r="DM1642" s="16"/>
      <c r="DN1642" s="16"/>
      <c r="DO1642" s="16"/>
      <c r="DP1642" s="16"/>
      <c r="DQ1642" s="16"/>
      <c r="DR1642" s="16"/>
      <c r="DS1642" s="16"/>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18"/>
      <c r="EQ1642" s="18"/>
      <c r="ER1642" s="18"/>
      <c r="ES1642" s="18"/>
      <c r="ET1642" s="18"/>
      <c r="EU1642" s="18"/>
      <c r="EV1642" s="18"/>
      <c r="EW1642" s="18"/>
      <c r="EX1642" s="18"/>
      <c r="EY1642" s="18"/>
      <c r="EZ1642" s="18"/>
      <c r="FA1642" s="18"/>
      <c r="FB1642" s="18"/>
      <c r="FC1642" s="18"/>
      <c r="FD1642" s="18"/>
      <c r="FE1642" s="18"/>
      <c r="FF1642" s="18"/>
      <c r="FG1642" s="18"/>
      <c r="FH1642" s="18"/>
      <c r="FI1642" s="18"/>
      <c r="FJ1642" s="18"/>
      <c r="FK1642" s="18"/>
      <c r="FL1642" s="18"/>
      <c r="FM1642" s="18"/>
      <c r="FN1642" s="18"/>
      <c r="FO1642" s="18"/>
      <c r="FP1642" s="18"/>
      <c r="FQ1642" s="18"/>
      <c r="FR1642" s="18"/>
      <c r="FS1642" s="18"/>
      <c r="FT1642" s="18"/>
      <c r="FU1642" s="18"/>
      <c r="FV1642" s="18"/>
      <c r="FW1642" s="18"/>
      <c r="FX1642" s="18"/>
      <c r="FY1642" s="18"/>
      <c r="FZ1642" s="18"/>
      <c r="GA1642" s="18"/>
      <c r="GB1642" s="18"/>
      <c r="GC1642" s="18"/>
      <c r="GD1642" s="18"/>
      <c r="GE1642" s="18"/>
      <c r="GF1642" s="18"/>
      <c r="GG1642" s="18"/>
      <c r="GH1642" s="18"/>
      <c r="GI1642" s="18"/>
      <c r="GJ1642" s="18"/>
      <c r="GK1642" s="18"/>
      <c r="GL1642" s="18"/>
      <c r="GM1642" s="18"/>
      <c r="GN1642" s="18"/>
      <c r="GO1642" s="18"/>
      <c r="GP1642" s="18"/>
      <c r="GQ1642" s="18"/>
      <c r="GR1642" s="18"/>
      <c r="GS1642" s="18"/>
      <c r="GT1642" s="18"/>
      <c r="GU1642" s="18"/>
      <c r="GV1642" s="18"/>
      <c r="GW1642" s="18"/>
      <c r="GX1642" s="18"/>
      <c r="GY1642" s="18"/>
      <c r="GZ1642" s="18"/>
      <c r="HA1642" s="18"/>
      <c r="HB1642" s="18"/>
      <c r="HC1642" s="18"/>
      <c r="HD1642" s="18"/>
      <c r="HE1642" s="18"/>
      <c r="HF1642" s="18"/>
      <c r="HG1642" s="18"/>
      <c r="HH1642" s="18"/>
      <c r="HI1642" s="18"/>
      <c r="HJ1642" s="18"/>
      <c r="HK1642" s="18"/>
      <c r="HL1642" s="18"/>
      <c r="HM1642" s="18"/>
      <c r="HN1642" s="18"/>
      <c r="HO1642" s="18"/>
      <c r="HP1642" s="18"/>
      <c r="HQ1642" s="18"/>
      <c r="HR1642" s="18"/>
      <c r="HS1642" s="18"/>
      <c r="HT1642" s="18"/>
      <c r="HU1642" s="18"/>
      <c r="HV1642" s="18"/>
      <c r="HW1642" s="18"/>
      <c r="HX1642" s="18"/>
      <c r="HY1642" s="18"/>
      <c r="HZ1642" s="18"/>
      <c r="IA1642" s="18"/>
      <c r="IB1642" s="18"/>
      <c r="IC1642" s="18"/>
      <c r="ID1642" s="18"/>
      <c r="IE1642" s="18"/>
      <c r="IF1642" s="18"/>
      <c r="IG1642" s="18"/>
      <c r="IH1642" s="18"/>
      <c r="II1642" s="18"/>
      <c r="IJ1642" s="18"/>
      <c r="IK1642" s="18"/>
      <c r="IL1642" s="18"/>
      <c r="IM1642" s="18"/>
      <c r="IN1642" s="18"/>
      <c r="IO1642" s="18"/>
      <c r="IP1642" s="18"/>
      <c r="IQ1642" s="18"/>
      <c r="IR1642" s="18"/>
      <c r="IS1642" s="18"/>
      <c r="IT1642" s="18"/>
      <c r="IU1642" s="18"/>
      <c r="IV1642" s="18"/>
      <c r="IW1642" s="18"/>
      <c r="IX1642" s="18"/>
      <c r="IY1642" s="18"/>
      <c r="IZ1642" s="18"/>
      <c r="JA1642" s="18"/>
      <c r="JB1642" s="18"/>
      <c r="JC1642" s="18"/>
      <c r="JD1642" s="18"/>
      <c r="JE1642" s="18"/>
      <c r="JF1642" s="18"/>
      <c r="JG1642" s="18"/>
      <c r="JH1642" s="18"/>
      <c r="JI1642" s="18"/>
      <c r="JJ1642" s="18"/>
      <c r="JK1642" s="18"/>
      <c r="JL1642" s="18"/>
      <c r="JM1642" s="18"/>
      <c r="JN1642" s="18"/>
      <c r="JO1642" s="16"/>
      <c r="JP1642" s="16"/>
      <c r="JQ1642" s="16"/>
      <c r="JR1642" s="16"/>
      <c r="JS1642" s="16"/>
      <c r="JT1642" s="16"/>
      <c r="JU1642" s="16"/>
      <c r="JV1642" s="16"/>
      <c r="JW1642" s="16"/>
      <c r="JX1642" s="16"/>
      <c r="JY1642" s="16"/>
      <c r="JZ1642" s="16"/>
      <c r="KA1642" s="16"/>
      <c r="KB1642" s="16"/>
    </row>
    <row r="1643" spans="1:288" s="27" customFormat="1" x14ac:dyDescent="0.2">
      <c r="A1643" s="18"/>
      <c r="B1643" s="16">
        <v>2016</v>
      </c>
      <c r="C1643" s="20">
        <v>42563</v>
      </c>
      <c r="D1643" s="20" t="str">
        <f>CONCATENATE(J1643,"-",C1643)</f>
        <v>984-42563</v>
      </c>
      <c r="E1643" s="20" t="str">
        <f>CONCATENATE(T1643,"-",U1643,"-",C1643)</f>
        <v>HW1-C3-42563</v>
      </c>
      <c r="F1643" s="20" t="s">
        <v>106</v>
      </c>
      <c r="G1643" s="20" t="s">
        <v>278</v>
      </c>
      <c r="H1643" s="16" t="s">
        <v>280</v>
      </c>
      <c r="I1643" s="16"/>
      <c r="J1643" s="21">
        <v>984</v>
      </c>
      <c r="K1643" s="21"/>
      <c r="L1643" s="16"/>
      <c r="M1643" s="21"/>
      <c r="N1643" s="21"/>
      <c r="O1643" s="21"/>
      <c r="P1643" s="16"/>
      <c r="Q1643" s="16"/>
      <c r="R1643" s="16"/>
      <c r="S1643" s="16"/>
      <c r="T1643" s="16" t="s">
        <v>133</v>
      </c>
      <c r="U1643" s="16" t="s">
        <v>237</v>
      </c>
      <c r="V1643" s="16"/>
      <c r="W1643" s="16"/>
      <c r="X1643" s="16"/>
      <c r="Y1643" s="16"/>
      <c r="Z1643" s="16"/>
      <c r="AA1643" s="16"/>
      <c r="AB1643" s="16"/>
      <c r="AC1643" s="16"/>
      <c r="AD1643" s="16"/>
      <c r="AE1643" s="16"/>
      <c r="AF1643" s="16"/>
      <c r="AG1643" s="16"/>
      <c r="AH1643" s="16"/>
      <c r="AI1643" s="16"/>
      <c r="AJ1643" s="16"/>
      <c r="AK1643" s="16">
        <v>19</v>
      </c>
      <c r="AL1643" s="16"/>
      <c r="AM1643" s="16"/>
      <c r="AN1643" s="16"/>
      <c r="AO1643" s="16"/>
      <c r="AP1643" s="16"/>
      <c r="AQ1643" s="16"/>
      <c r="AR1643" s="16"/>
      <c r="AS1643" s="16"/>
      <c r="AT1643" s="16"/>
      <c r="AU1643" s="16"/>
      <c r="AV1643" s="16"/>
      <c r="AW1643" s="16"/>
      <c r="AX1643" s="16"/>
      <c r="AY1643" s="16"/>
      <c r="AZ1643" s="16"/>
      <c r="BA1643" s="16"/>
      <c r="BB1643" s="16"/>
      <c r="BC1643" s="16"/>
      <c r="BD1643" s="16"/>
      <c r="BE1643" s="16"/>
      <c r="BF1643" s="16"/>
      <c r="BG1643" s="77"/>
      <c r="BH1643" s="16"/>
      <c r="BI1643" s="16"/>
      <c r="BJ1643" s="16"/>
      <c r="BK1643" s="16"/>
      <c r="BL1643" s="16"/>
      <c r="BM1643" s="16"/>
      <c r="BN1643" s="16"/>
      <c r="BO1643" s="16"/>
      <c r="BP1643" s="16"/>
      <c r="BQ1643" s="16"/>
      <c r="BR1643" s="16"/>
      <c r="BS1643" s="16"/>
      <c r="BT1643" s="77"/>
      <c r="BU1643" s="16"/>
      <c r="BV1643" s="16"/>
      <c r="BW1643" s="16"/>
      <c r="BX1643" s="16"/>
      <c r="BY1643" s="16"/>
      <c r="BZ1643" s="16"/>
      <c r="CA1643" s="16"/>
      <c r="CB1643" s="16"/>
      <c r="CC1643" s="16"/>
      <c r="CD1643" s="77"/>
      <c r="CE1643" s="16"/>
      <c r="CF1643" s="16"/>
      <c r="CG1643" s="16"/>
      <c r="CH1643" s="16"/>
      <c r="CI1643" s="16"/>
      <c r="CJ1643" s="16"/>
      <c r="CK1643" s="16"/>
      <c r="CL1643" s="16"/>
      <c r="CM1643" s="16"/>
      <c r="CN1643" s="16"/>
      <c r="CO1643" s="16"/>
      <c r="CP1643" s="16"/>
      <c r="CQ1643" s="16"/>
      <c r="CR1643" s="16"/>
      <c r="CS1643" s="16"/>
      <c r="CT1643" s="16"/>
      <c r="CU1643" s="16"/>
      <c r="CV1643" s="16"/>
      <c r="CW1643" s="16"/>
      <c r="CX1643" s="16"/>
      <c r="CY1643" s="16"/>
      <c r="CZ1643" s="16"/>
      <c r="DA1643" s="16"/>
      <c r="DB1643" s="16"/>
      <c r="DC1643" s="16"/>
      <c r="DD1643" s="16"/>
      <c r="DE1643" s="16"/>
      <c r="DF1643" s="16" t="e">
        <f>VLOOKUP(K1643,'[3]RNA Seq summary tables'!$V$3:$V$99,1,FALSE)</f>
        <v>#N/A</v>
      </c>
      <c r="DG1643" s="16"/>
      <c r="DH1643" s="16"/>
      <c r="DI1643" s="16"/>
      <c r="DJ1643" s="16"/>
      <c r="DK1643" s="16"/>
      <c r="DL1643" s="16"/>
      <c r="DM1643" s="16"/>
      <c r="DN1643" s="16"/>
      <c r="DO1643" s="16"/>
      <c r="DP1643" s="16"/>
      <c r="DQ1643" s="16"/>
      <c r="DR1643" s="16"/>
      <c r="DS1643" s="16"/>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18"/>
      <c r="EQ1643" s="18"/>
      <c r="ER1643" s="18"/>
      <c r="ES1643" s="18"/>
      <c r="ET1643" s="18"/>
      <c r="EU1643" s="18"/>
      <c r="EV1643" s="18"/>
      <c r="EW1643" s="18"/>
      <c r="EX1643" s="18"/>
      <c r="EY1643" s="18"/>
      <c r="EZ1643" s="18"/>
      <c r="FA1643" s="18"/>
      <c r="FB1643" s="18"/>
      <c r="FC1643" s="18"/>
      <c r="FD1643" s="18"/>
      <c r="FE1643" s="18"/>
      <c r="FF1643" s="18"/>
      <c r="FG1643" s="18"/>
      <c r="FH1643" s="18"/>
      <c r="FI1643" s="18"/>
      <c r="FJ1643" s="18"/>
      <c r="FK1643" s="18"/>
      <c r="FL1643" s="18"/>
      <c r="FM1643" s="18"/>
      <c r="FN1643" s="18"/>
      <c r="FO1643" s="18"/>
      <c r="FP1643" s="18"/>
      <c r="FQ1643" s="18"/>
      <c r="FR1643" s="18"/>
      <c r="FS1643" s="18"/>
      <c r="FT1643" s="18"/>
      <c r="FU1643" s="18"/>
      <c r="FV1643" s="18"/>
      <c r="FW1643" s="18"/>
      <c r="FX1643" s="18"/>
      <c r="FY1643" s="18"/>
      <c r="FZ1643" s="18"/>
      <c r="GA1643" s="18"/>
      <c r="GB1643" s="18"/>
      <c r="GC1643" s="18"/>
      <c r="GD1643" s="18"/>
      <c r="GE1643" s="18"/>
      <c r="GF1643" s="18"/>
      <c r="GG1643" s="18"/>
      <c r="GH1643" s="18"/>
      <c r="GI1643" s="18"/>
      <c r="GJ1643" s="18"/>
      <c r="GK1643" s="18"/>
      <c r="GL1643" s="18"/>
      <c r="GM1643" s="18"/>
      <c r="GN1643" s="18"/>
      <c r="GO1643" s="18"/>
      <c r="GP1643" s="18"/>
      <c r="GQ1643" s="18"/>
      <c r="GR1643" s="18"/>
      <c r="GS1643" s="18"/>
      <c r="GT1643" s="18"/>
      <c r="GU1643" s="18"/>
      <c r="GV1643" s="18"/>
      <c r="GW1643" s="18"/>
      <c r="GX1643" s="18"/>
      <c r="GY1643" s="18"/>
      <c r="GZ1643" s="18"/>
      <c r="HA1643" s="18"/>
      <c r="HB1643" s="18"/>
      <c r="HC1643" s="18"/>
      <c r="HD1643" s="18"/>
      <c r="HE1643" s="18"/>
      <c r="HF1643" s="18"/>
      <c r="HG1643" s="18"/>
      <c r="HH1643" s="18"/>
      <c r="HI1643" s="18"/>
      <c r="HJ1643" s="18"/>
      <c r="HK1643" s="18"/>
      <c r="HL1643" s="18"/>
      <c r="HM1643" s="18"/>
      <c r="HN1643" s="18"/>
      <c r="HO1643" s="18"/>
      <c r="HP1643" s="18"/>
      <c r="HQ1643" s="18"/>
      <c r="HR1643" s="18"/>
      <c r="HS1643" s="18"/>
      <c r="HT1643" s="18"/>
      <c r="HU1643" s="18"/>
      <c r="HV1643" s="18"/>
      <c r="HW1643" s="18"/>
      <c r="HX1643" s="18"/>
      <c r="HY1643" s="18"/>
      <c r="HZ1643" s="18"/>
      <c r="IA1643" s="18"/>
      <c r="IB1643" s="18"/>
      <c r="IC1643" s="18"/>
      <c r="ID1643" s="18"/>
      <c r="IE1643" s="18"/>
      <c r="IF1643" s="18"/>
      <c r="IG1643" s="18"/>
      <c r="IH1643" s="18"/>
      <c r="II1643" s="18"/>
      <c r="IJ1643" s="18"/>
      <c r="IK1643" s="18"/>
      <c r="IL1643" s="18"/>
      <c r="IM1643" s="18"/>
      <c r="IN1643" s="18"/>
      <c r="IO1643" s="18"/>
      <c r="IP1643" s="18"/>
      <c r="IQ1643" s="18"/>
      <c r="IR1643" s="18"/>
      <c r="IS1643" s="18"/>
      <c r="IT1643" s="18"/>
      <c r="IU1643" s="18"/>
      <c r="IV1643" s="18"/>
      <c r="IW1643" s="18"/>
      <c r="IX1643" s="18"/>
      <c r="IY1643" s="18"/>
      <c r="IZ1643" s="18"/>
      <c r="JA1643" s="18"/>
      <c r="JB1643" s="18"/>
      <c r="JC1643" s="18"/>
      <c r="JD1643" s="18"/>
      <c r="JE1643" s="18"/>
      <c r="JF1643" s="18"/>
      <c r="JG1643" s="18"/>
      <c r="JH1643" s="18"/>
      <c r="JI1643" s="18"/>
      <c r="JJ1643" s="18"/>
      <c r="JK1643" s="18"/>
      <c r="JL1643" s="18"/>
      <c r="JM1643" s="18"/>
      <c r="JN1643" s="18"/>
      <c r="JO1643" s="16"/>
      <c r="JP1643" s="16"/>
      <c r="JQ1643" s="16"/>
      <c r="JR1643" s="16"/>
      <c r="JS1643" s="16"/>
      <c r="JT1643" s="16"/>
      <c r="JU1643" s="16"/>
      <c r="JV1643" s="16"/>
      <c r="JW1643" s="16"/>
      <c r="JX1643" s="16"/>
      <c r="JY1643" s="16"/>
      <c r="JZ1643" s="16"/>
      <c r="KA1643" s="16"/>
      <c r="KB1643" s="16"/>
    </row>
    <row r="1644" spans="1:288" s="18" customFormat="1" x14ac:dyDescent="0.2">
      <c r="B1644" s="16">
        <v>2016</v>
      </c>
      <c r="C1644" s="20">
        <v>42564</v>
      </c>
      <c r="D1644" s="20" t="str">
        <f>CONCATENATE(J1644,"-",C1644)</f>
        <v>984-42564</v>
      </c>
      <c r="E1644" s="20" t="str">
        <f>CONCATENATE(T1644,"-",U1644,"-",C1644)</f>
        <v>HW2-B5-42564</v>
      </c>
      <c r="F1644" s="20" t="s">
        <v>106</v>
      </c>
      <c r="G1644" s="20" t="s">
        <v>278</v>
      </c>
      <c r="H1644" s="16"/>
      <c r="I1644" s="16"/>
      <c r="J1644" s="21">
        <v>984</v>
      </c>
      <c r="K1644" s="21"/>
      <c r="L1644" s="16"/>
      <c r="M1644" s="21"/>
      <c r="N1644" s="21"/>
      <c r="O1644" s="21"/>
      <c r="P1644" s="16"/>
      <c r="Q1644" s="16"/>
      <c r="R1644" s="16"/>
      <c r="S1644" s="16"/>
      <c r="T1644" s="16" t="s">
        <v>129</v>
      </c>
      <c r="U1644" s="16" t="s">
        <v>160</v>
      </c>
      <c r="V1644" s="16"/>
      <c r="W1644" s="16"/>
      <c r="X1644" s="16"/>
      <c r="Y1644" s="16"/>
      <c r="Z1644" s="16"/>
      <c r="AA1644" s="16"/>
      <c r="AB1644" s="16"/>
      <c r="AC1644" s="16"/>
      <c r="AD1644" s="16"/>
      <c r="AE1644" s="16"/>
      <c r="AF1644" s="16"/>
      <c r="AG1644" s="16"/>
      <c r="AH1644" s="16"/>
      <c r="AI1644" s="16"/>
      <c r="AJ1644" s="16"/>
      <c r="AK1644" s="16"/>
      <c r="AL1644" s="16"/>
      <c r="AM1644" s="16"/>
      <c r="AN1644" s="16"/>
      <c r="AO1644" s="16"/>
      <c r="AP1644" s="16"/>
      <c r="AQ1644" s="16"/>
      <c r="AR1644" s="16"/>
      <c r="AS1644" s="16"/>
      <c r="AT1644" s="16"/>
      <c r="AU1644" s="16"/>
      <c r="AV1644" s="16"/>
      <c r="AW1644" s="16"/>
      <c r="AX1644" s="16"/>
      <c r="AY1644" s="16"/>
      <c r="AZ1644" s="16"/>
      <c r="BA1644" s="16"/>
      <c r="BB1644" s="16"/>
      <c r="BC1644" s="16"/>
      <c r="BD1644" s="16"/>
      <c r="BE1644" s="16"/>
      <c r="BF1644" s="16"/>
      <c r="BG1644" s="77"/>
      <c r="BH1644" s="16"/>
      <c r="BI1644" s="16"/>
      <c r="BJ1644" s="16"/>
      <c r="BK1644" s="16"/>
      <c r="BL1644" s="16"/>
      <c r="BM1644" s="16"/>
      <c r="BN1644" s="16"/>
      <c r="BO1644" s="16"/>
      <c r="BP1644" s="16"/>
      <c r="BQ1644" s="16"/>
      <c r="BR1644" s="16"/>
      <c r="BS1644" s="16"/>
      <c r="BT1644" s="77"/>
      <c r="BU1644" s="16"/>
      <c r="BV1644" s="16"/>
      <c r="BW1644" s="16"/>
      <c r="BX1644" s="16"/>
      <c r="BY1644" s="16"/>
      <c r="BZ1644" s="16"/>
      <c r="CA1644" s="16"/>
      <c r="CB1644" s="16"/>
      <c r="CC1644" s="16"/>
      <c r="CD1644" s="77"/>
      <c r="CE1644" s="16"/>
      <c r="CF1644" s="16"/>
      <c r="CG1644" s="16"/>
      <c r="CH1644" s="16"/>
      <c r="CI1644" s="16"/>
      <c r="CJ1644" s="16"/>
      <c r="CK1644" s="16"/>
      <c r="CL1644" s="16"/>
      <c r="CM1644" s="16"/>
      <c r="CN1644" s="16"/>
      <c r="CO1644" s="16"/>
      <c r="CP1644" s="16"/>
      <c r="CQ1644" s="16"/>
      <c r="CR1644" s="16"/>
      <c r="CS1644" s="16"/>
      <c r="CT1644" s="16"/>
      <c r="CU1644" s="16"/>
      <c r="CV1644" s="16"/>
      <c r="CW1644" s="16"/>
      <c r="CX1644" s="16"/>
      <c r="CY1644" s="16"/>
      <c r="CZ1644" s="16"/>
      <c r="DA1644" s="16"/>
      <c r="DB1644" s="16"/>
      <c r="DC1644" s="16"/>
      <c r="DD1644" s="16"/>
      <c r="DE1644" s="16"/>
      <c r="DF1644" s="16" t="e">
        <f>VLOOKUP(K1644,'[3]RNA Seq summary tables'!$V$3:$V$99,1,FALSE)</f>
        <v>#N/A</v>
      </c>
      <c r="DG1644" s="16"/>
      <c r="DH1644" s="16"/>
      <c r="DI1644" s="16"/>
      <c r="DJ1644" s="16"/>
      <c r="DK1644" s="16"/>
      <c r="DL1644" s="16"/>
      <c r="DM1644" s="16"/>
      <c r="DN1644" s="16"/>
      <c r="DO1644" s="16"/>
      <c r="DP1644" s="16"/>
      <c r="DQ1644" s="16"/>
      <c r="DR1644" s="16"/>
      <c r="DS1644" s="16"/>
      <c r="JO1644" s="16"/>
      <c r="JP1644" s="16"/>
      <c r="JQ1644" s="16"/>
      <c r="JR1644" s="16"/>
      <c r="JS1644" s="16"/>
      <c r="JT1644" s="16"/>
      <c r="JU1644" s="16"/>
      <c r="JV1644" s="16"/>
      <c r="JW1644" s="16"/>
      <c r="JX1644" s="16"/>
      <c r="JY1644" s="16"/>
      <c r="JZ1644" s="16"/>
      <c r="KA1644" s="16"/>
      <c r="KB1644" s="16"/>
    </row>
    <row r="1645" spans="1:288" s="27" customFormat="1" x14ac:dyDescent="0.2">
      <c r="A1645" s="18"/>
      <c r="B1645" s="16">
        <v>2016</v>
      </c>
      <c r="C1645" s="20">
        <v>42574</v>
      </c>
      <c r="D1645" s="20" t="str">
        <f>CONCATENATE(J1645,"-",C1645)</f>
        <v>984-42574</v>
      </c>
      <c r="E1645" s="20" t="str">
        <f>CONCATENATE(T1645,"-",U1645,"-",C1645)</f>
        <v>PO2-H5-42574</v>
      </c>
      <c r="F1645" s="20" t="s">
        <v>106</v>
      </c>
      <c r="G1645" s="20" t="s">
        <v>278</v>
      </c>
      <c r="H1645" s="16"/>
      <c r="I1645" s="16"/>
      <c r="J1645" s="21">
        <v>984</v>
      </c>
      <c r="K1645" s="21"/>
      <c r="L1645" s="16"/>
      <c r="M1645" s="21"/>
      <c r="N1645" s="21"/>
      <c r="O1645" s="21"/>
      <c r="P1645" s="16"/>
      <c r="Q1645" s="16"/>
      <c r="R1645" s="16"/>
      <c r="S1645" s="16"/>
      <c r="T1645" s="16" t="s">
        <v>127</v>
      </c>
      <c r="U1645" s="16" t="s">
        <v>180</v>
      </c>
      <c r="V1645" s="16"/>
      <c r="W1645" s="16"/>
      <c r="X1645" s="16"/>
      <c r="Y1645" s="16"/>
      <c r="Z1645" s="16"/>
      <c r="AA1645" s="16"/>
      <c r="AB1645" s="16"/>
      <c r="AC1645" s="16"/>
      <c r="AD1645" s="16"/>
      <c r="AE1645" s="16"/>
      <c r="AF1645" s="16"/>
      <c r="AG1645" s="16"/>
      <c r="AH1645" s="16"/>
      <c r="AI1645" s="16"/>
      <c r="AJ1645" s="16"/>
      <c r="AK1645" s="16">
        <v>15</v>
      </c>
      <c r="AL1645" s="16"/>
      <c r="AM1645" s="16"/>
      <c r="AN1645" s="16"/>
      <c r="AO1645" s="16"/>
      <c r="AP1645" s="16"/>
      <c r="AQ1645" s="16"/>
      <c r="AR1645" s="16"/>
      <c r="AS1645" s="16"/>
      <c r="AT1645" s="16"/>
      <c r="AU1645" s="16"/>
      <c r="AV1645" s="16"/>
      <c r="AW1645" s="16"/>
      <c r="AX1645" s="16"/>
      <c r="AY1645" s="16"/>
      <c r="AZ1645" s="16"/>
      <c r="BA1645" s="16"/>
      <c r="BB1645" s="16"/>
      <c r="BC1645" s="16"/>
      <c r="BD1645" s="16"/>
      <c r="BE1645" s="16"/>
      <c r="BF1645" s="16"/>
      <c r="BG1645" s="77"/>
      <c r="BH1645" s="16"/>
      <c r="BI1645" s="16"/>
      <c r="BJ1645" s="16"/>
      <c r="BK1645" s="16"/>
      <c r="BL1645" s="16"/>
      <c r="BM1645" s="16"/>
      <c r="BN1645" s="16"/>
      <c r="BO1645" s="16"/>
      <c r="BP1645" s="16"/>
      <c r="BQ1645" s="16"/>
      <c r="BR1645" s="16"/>
      <c r="BS1645" s="16"/>
      <c r="BT1645" s="77"/>
      <c r="BU1645" s="16"/>
      <c r="BV1645" s="16"/>
      <c r="BW1645" s="16"/>
      <c r="BX1645" s="16"/>
      <c r="BY1645" s="16"/>
      <c r="BZ1645" s="16"/>
      <c r="CA1645" s="16"/>
      <c r="CB1645" s="16"/>
      <c r="CC1645" s="16"/>
      <c r="CD1645" s="77"/>
      <c r="CE1645" s="16"/>
      <c r="CF1645" s="16"/>
      <c r="CG1645" s="16"/>
      <c r="CH1645" s="16"/>
      <c r="CI1645" s="16"/>
      <c r="CJ1645" s="16"/>
      <c r="CK1645" s="16"/>
      <c r="CL1645" s="16"/>
      <c r="CM1645" s="16"/>
      <c r="CN1645" s="16"/>
      <c r="CO1645" s="16"/>
      <c r="CP1645" s="16"/>
      <c r="CQ1645" s="16"/>
      <c r="CR1645" s="16"/>
      <c r="CS1645" s="16"/>
      <c r="CT1645" s="16"/>
      <c r="CU1645" s="16"/>
      <c r="CV1645" s="16"/>
      <c r="CW1645" s="16"/>
      <c r="CX1645" s="16"/>
      <c r="CY1645" s="16"/>
      <c r="CZ1645" s="16"/>
      <c r="DA1645" s="16"/>
      <c r="DB1645" s="16"/>
      <c r="DC1645" s="16"/>
      <c r="DD1645" s="16"/>
      <c r="DE1645" s="16"/>
      <c r="DF1645" s="16" t="e">
        <f>VLOOKUP(K1645,'[3]RNA Seq summary tables'!$V$3:$V$99,1,FALSE)</f>
        <v>#N/A</v>
      </c>
      <c r="DG1645" s="16"/>
      <c r="DH1645" s="16"/>
      <c r="DI1645" s="16"/>
      <c r="DJ1645" s="16"/>
      <c r="DK1645" s="16"/>
      <c r="DL1645" s="16"/>
      <c r="DM1645" s="16"/>
      <c r="DN1645" s="16"/>
      <c r="DO1645" s="16"/>
      <c r="DP1645" s="16"/>
      <c r="DQ1645" s="16"/>
      <c r="DR1645" s="16"/>
      <c r="DS1645" s="16"/>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18"/>
      <c r="EQ1645" s="18"/>
      <c r="ER1645" s="18"/>
      <c r="ES1645" s="18"/>
      <c r="ET1645" s="18"/>
      <c r="EU1645" s="18"/>
      <c r="EV1645" s="18"/>
      <c r="EW1645" s="18"/>
      <c r="EX1645" s="18"/>
      <c r="EY1645" s="18"/>
      <c r="EZ1645" s="18"/>
      <c r="FA1645" s="18"/>
      <c r="FB1645" s="18"/>
      <c r="FC1645" s="18"/>
      <c r="FD1645" s="18"/>
      <c r="FE1645" s="18"/>
      <c r="FF1645" s="18"/>
      <c r="FG1645" s="18"/>
      <c r="FH1645" s="18"/>
      <c r="FI1645" s="18"/>
      <c r="FJ1645" s="18"/>
      <c r="FK1645" s="18"/>
      <c r="FL1645" s="18"/>
      <c r="FM1645" s="18"/>
      <c r="FN1645" s="18"/>
      <c r="FO1645" s="18"/>
      <c r="FP1645" s="18"/>
      <c r="FQ1645" s="18"/>
      <c r="FR1645" s="18"/>
      <c r="FS1645" s="18"/>
      <c r="FT1645" s="18"/>
      <c r="FU1645" s="18"/>
      <c r="FV1645" s="18"/>
      <c r="FW1645" s="18"/>
      <c r="FX1645" s="18"/>
      <c r="FY1645" s="18"/>
      <c r="FZ1645" s="18"/>
      <c r="GA1645" s="18"/>
      <c r="GB1645" s="18"/>
      <c r="GC1645" s="18"/>
      <c r="GD1645" s="18"/>
      <c r="GE1645" s="18"/>
      <c r="GF1645" s="18"/>
      <c r="GG1645" s="18"/>
      <c r="GH1645" s="18"/>
      <c r="GI1645" s="18"/>
      <c r="GJ1645" s="18"/>
      <c r="GK1645" s="18"/>
      <c r="GL1645" s="18"/>
      <c r="GM1645" s="18"/>
      <c r="GN1645" s="18"/>
      <c r="GO1645" s="18"/>
      <c r="GP1645" s="18"/>
      <c r="GQ1645" s="18"/>
      <c r="GR1645" s="18"/>
      <c r="GS1645" s="18"/>
      <c r="GT1645" s="18"/>
      <c r="GU1645" s="18"/>
      <c r="GV1645" s="18"/>
      <c r="GW1645" s="18"/>
      <c r="GX1645" s="18"/>
      <c r="GY1645" s="18"/>
      <c r="GZ1645" s="18"/>
      <c r="HA1645" s="18"/>
      <c r="HB1645" s="18"/>
      <c r="HC1645" s="18"/>
      <c r="HD1645" s="18"/>
      <c r="HE1645" s="18"/>
      <c r="HF1645" s="18"/>
      <c r="HG1645" s="18"/>
      <c r="HH1645" s="18"/>
      <c r="HI1645" s="18"/>
      <c r="HJ1645" s="18"/>
      <c r="HK1645" s="18"/>
      <c r="HL1645" s="18"/>
      <c r="HM1645" s="18"/>
      <c r="HN1645" s="18"/>
      <c r="HO1645" s="18"/>
      <c r="HP1645" s="18"/>
      <c r="HQ1645" s="18"/>
      <c r="HR1645" s="18"/>
      <c r="HS1645" s="18"/>
      <c r="HT1645" s="18"/>
      <c r="HU1645" s="18"/>
      <c r="HV1645" s="18"/>
      <c r="HW1645" s="18"/>
      <c r="HX1645" s="18"/>
      <c r="HY1645" s="18"/>
      <c r="HZ1645" s="18"/>
      <c r="IA1645" s="18"/>
      <c r="IB1645" s="18"/>
      <c r="IC1645" s="18"/>
      <c r="ID1645" s="18"/>
      <c r="IE1645" s="18"/>
      <c r="IF1645" s="18"/>
      <c r="IG1645" s="18"/>
      <c r="IH1645" s="18"/>
      <c r="II1645" s="18"/>
      <c r="IJ1645" s="18"/>
      <c r="IK1645" s="18"/>
      <c r="IL1645" s="18"/>
      <c r="IM1645" s="18"/>
      <c r="IN1645" s="18"/>
      <c r="IO1645" s="18"/>
      <c r="IP1645" s="18"/>
      <c r="IQ1645" s="18"/>
      <c r="IR1645" s="18"/>
      <c r="IS1645" s="18"/>
      <c r="IT1645" s="18"/>
      <c r="IU1645" s="18"/>
      <c r="IV1645" s="18"/>
      <c r="IW1645" s="18"/>
      <c r="IX1645" s="18"/>
      <c r="IY1645" s="18"/>
      <c r="IZ1645" s="18"/>
      <c r="JA1645" s="18"/>
      <c r="JB1645" s="18"/>
      <c r="JC1645" s="18"/>
      <c r="JD1645" s="18"/>
      <c r="JE1645" s="18"/>
      <c r="JF1645" s="18"/>
      <c r="JG1645" s="18"/>
      <c r="JH1645" s="18"/>
      <c r="JI1645" s="18"/>
      <c r="JJ1645" s="18"/>
      <c r="JK1645" s="18"/>
      <c r="JL1645" s="18"/>
      <c r="JM1645" s="18"/>
      <c r="JN1645" s="18"/>
      <c r="JO1645" s="16"/>
      <c r="JP1645" s="16"/>
      <c r="JQ1645" s="16"/>
      <c r="JR1645" s="16"/>
      <c r="JS1645" s="16"/>
      <c r="JT1645" s="16"/>
      <c r="JU1645" s="16"/>
      <c r="JV1645" s="16"/>
      <c r="JW1645" s="16"/>
      <c r="JX1645" s="16"/>
      <c r="JY1645" s="16"/>
      <c r="JZ1645" s="16"/>
      <c r="KA1645" s="16"/>
      <c r="KB1645" s="16"/>
    </row>
    <row r="1646" spans="1:288" s="27" customFormat="1" x14ac:dyDescent="0.2">
      <c r="A1646" s="18"/>
      <c r="B1646" s="16">
        <v>2016</v>
      </c>
      <c r="C1646" s="20">
        <v>42549</v>
      </c>
      <c r="D1646" s="20" t="str">
        <f>CONCATENATE(J1646,"-",C1646)</f>
        <v>985-42549</v>
      </c>
      <c r="E1646" s="20" t="str">
        <f>CONCATENATE(T1646,"-",U1646,"-",C1646)</f>
        <v>HW2-B8-42549</v>
      </c>
      <c r="F1646" s="20" t="s">
        <v>106</v>
      </c>
      <c r="G1646" s="20" t="s">
        <v>278</v>
      </c>
      <c r="H1646" s="16"/>
      <c r="I1646" s="16"/>
      <c r="J1646" s="21">
        <v>985</v>
      </c>
      <c r="K1646" s="21"/>
      <c r="L1646" s="16"/>
      <c r="M1646" s="21"/>
      <c r="N1646" s="21"/>
      <c r="O1646" s="21"/>
      <c r="P1646" s="16"/>
      <c r="Q1646" s="16"/>
      <c r="R1646" s="16"/>
      <c r="S1646" s="16"/>
      <c r="T1646" s="16" t="s">
        <v>129</v>
      </c>
      <c r="U1646" s="16" t="s">
        <v>209</v>
      </c>
      <c r="V1646" s="16" t="s">
        <v>114</v>
      </c>
      <c r="W1646" s="16"/>
      <c r="X1646" s="16"/>
      <c r="Y1646" s="16"/>
      <c r="Z1646" s="16"/>
      <c r="AA1646" s="16"/>
      <c r="AB1646" s="16"/>
      <c r="AC1646" s="16"/>
      <c r="AD1646" s="16"/>
      <c r="AE1646" s="16"/>
      <c r="AF1646" s="16"/>
      <c r="AG1646" s="16"/>
      <c r="AH1646" s="16"/>
      <c r="AI1646" s="16"/>
      <c r="AJ1646" s="16"/>
      <c r="AK1646" s="16">
        <v>18</v>
      </c>
      <c r="AL1646" s="16"/>
      <c r="AM1646" s="16"/>
      <c r="AN1646" s="16"/>
      <c r="AO1646" s="16"/>
      <c r="AP1646" s="16"/>
      <c r="AQ1646" s="16"/>
      <c r="AR1646" s="16"/>
      <c r="AS1646" s="16"/>
      <c r="AT1646" s="16"/>
      <c r="AU1646" s="16"/>
      <c r="AV1646" s="16"/>
      <c r="AW1646" s="16"/>
      <c r="AX1646" s="16"/>
      <c r="AY1646" s="16"/>
      <c r="AZ1646" s="16"/>
      <c r="BA1646" s="16"/>
      <c r="BB1646" s="16"/>
      <c r="BC1646" s="16"/>
      <c r="BD1646" s="16"/>
      <c r="BE1646" s="16"/>
      <c r="BF1646" s="16"/>
      <c r="BG1646" s="77"/>
      <c r="BH1646" s="16"/>
      <c r="BI1646" s="16"/>
      <c r="BJ1646" s="16"/>
      <c r="BK1646" s="16"/>
      <c r="BL1646" s="16"/>
      <c r="BM1646" s="16"/>
      <c r="BN1646" s="16"/>
      <c r="BO1646" s="16"/>
      <c r="BP1646" s="16"/>
      <c r="BQ1646" s="16"/>
      <c r="BR1646" s="16"/>
      <c r="BS1646" s="16"/>
      <c r="BT1646" s="77"/>
      <c r="BU1646" s="16"/>
      <c r="BV1646" s="16"/>
      <c r="BW1646" s="16"/>
      <c r="BX1646" s="16"/>
      <c r="BY1646" s="16"/>
      <c r="BZ1646" s="16"/>
      <c r="CA1646" s="16"/>
      <c r="CB1646" s="16"/>
      <c r="CC1646" s="16"/>
      <c r="CD1646" s="77"/>
      <c r="CE1646" s="16"/>
      <c r="CF1646" s="16"/>
      <c r="CG1646" s="16"/>
      <c r="CH1646" s="16"/>
      <c r="CI1646" s="16"/>
      <c r="CJ1646" s="16"/>
      <c r="CK1646" s="16"/>
      <c r="CL1646" s="16"/>
      <c r="CM1646" s="16"/>
      <c r="CN1646" s="16"/>
      <c r="CO1646" s="16"/>
      <c r="CP1646" s="16"/>
      <c r="CQ1646" s="16"/>
      <c r="CR1646" s="16"/>
      <c r="CS1646" s="16"/>
      <c r="CT1646" s="16"/>
      <c r="CU1646" s="16"/>
      <c r="CV1646" s="16"/>
      <c r="CW1646" s="16"/>
      <c r="CX1646" s="16"/>
      <c r="CY1646" s="16"/>
      <c r="CZ1646" s="16"/>
      <c r="DA1646" s="16"/>
      <c r="DB1646" s="16"/>
      <c r="DC1646" s="16"/>
      <c r="DD1646" s="16"/>
      <c r="DE1646" s="16"/>
      <c r="DF1646" s="16" t="e">
        <f>VLOOKUP(K1646,'[3]RNA Seq summary tables'!$V$3:$V$99,1,FALSE)</f>
        <v>#N/A</v>
      </c>
      <c r="DG1646" s="16"/>
      <c r="DH1646" s="16"/>
      <c r="DI1646" s="16"/>
      <c r="DJ1646" s="16"/>
      <c r="DK1646" s="16"/>
      <c r="DL1646" s="16"/>
      <c r="DM1646" s="16"/>
      <c r="DN1646" s="16"/>
      <c r="DO1646" s="16"/>
      <c r="DP1646" s="16"/>
      <c r="DQ1646" s="16"/>
      <c r="DR1646" s="16"/>
      <c r="DS1646" s="16"/>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18"/>
      <c r="EQ1646" s="18"/>
      <c r="ER1646" s="18"/>
      <c r="ES1646" s="18"/>
      <c r="ET1646" s="18"/>
      <c r="EU1646" s="18"/>
      <c r="EV1646" s="18"/>
      <c r="EW1646" s="18"/>
      <c r="EX1646" s="18"/>
      <c r="EY1646" s="18"/>
      <c r="EZ1646" s="18"/>
      <c r="FA1646" s="18"/>
      <c r="FB1646" s="18"/>
      <c r="FC1646" s="18"/>
      <c r="FD1646" s="18"/>
      <c r="FE1646" s="18"/>
      <c r="FF1646" s="18"/>
      <c r="FG1646" s="18"/>
      <c r="FH1646" s="18"/>
      <c r="FI1646" s="18"/>
      <c r="FJ1646" s="18"/>
      <c r="FK1646" s="18"/>
      <c r="FL1646" s="18"/>
      <c r="FM1646" s="18"/>
      <c r="FN1646" s="18"/>
      <c r="FO1646" s="18"/>
      <c r="FP1646" s="18"/>
      <c r="FQ1646" s="18"/>
      <c r="FR1646" s="18"/>
      <c r="FS1646" s="18"/>
      <c r="FT1646" s="18"/>
      <c r="FU1646" s="18"/>
      <c r="FV1646" s="18"/>
      <c r="FW1646" s="18"/>
      <c r="FX1646" s="18"/>
      <c r="FY1646" s="18"/>
      <c r="FZ1646" s="18"/>
      <c r="GA1646" s="18"/>
      <c r="GB1646" s="18"/>
      <c r="GC1646" s="18"/>
      <c r="GD1646" s="18"/>
      <c r="GE1646" s="18"/>
      <c r="GF1646" s="18"/>
      <c r="GG1646" s="18"/>
      <c r="GH1646" s="18"/>
      <c r="GI1646" s="18"/>
      <c r="GJ1646" s="18"/>
      <c r="GK1646" s="18"/>
      <c r="GL1646" s="18"/>
      <c r="GM1646" s="18"/>
      <c r="GN1646" s="18"/>
      <c r="GO1646" s="18"/>
      <c r="GP1646" s="18"/>
      <c r="GQ1646" s="18"/>
      <c r="GR1646" s="18"/>
      <c r="GS1646" s="18"/>
      <c r="GT1646" s="18"/>
      <c r="GU1646" s="18"/>
      <c r="GV1646" s="18"/>
      <c r="GW1646" s="18"/>
      <c r="GX1646" s="18"/>
      <c r="GY1646" s="18"/>
      <c r="GZ1646" s="18"/>
      <c r="HA1646" s="18"/>
      <c r="HB1646" s="18"/>
      <c r="HC1646" s="18"/>
      <c r="HD1646" s="18"/>
      <c r="HE1646" s="18"/>
      <c r="HF1646" s="18"/>
      <c r="HG1646" s="18"/>
      <c r="HH1646" s="18"/>
      <c r="HI1646" s="18"/>
      <c r="HJ1646" s="18"/>
      <c r="HK1646" s="18"/>
      <c r="HL1646" s="18"/>
      <c r="HM1646" s="18"/>
      <c r="HN1646" s="18"/>
      <c r="HO1646" s="18"/>
      <c r="HP1646" s="18"/>
      <c r="HQ1646" s="18"/>
      <c r="HR1646" s="18"/>
      <c r="HS1646" s="18"/>
      <c r="HT1646" s="18"/>
      <c r="HU1646" s="18"/>
      <c r="HV1646" s="18"/>
      <c r="HW1646" s="18"/>
      <c r="HX1646" s="18"/>
      <c r="HY1646" s="18"/>
      <c r="HZ1646" s="18"/>
      <c r="IA1646" s="18"/>
      <c r="IB1646" s="18"/>
      <c r="IC1646" s="18"/>
      <c r="ID1646" s="18"/>
      <c r="IE1646" s="18"/>
      <c r="IF1646" s="18"/>
      <c r="IG1646" s="18"/>
      <c r="IH1646" s="18"/>
      <c r="II1646" s="18"/>
      <c r="IJ1646" s="18"/>
      <c r="IK1646" s="18"/>
      <c r="IL1646" s="18"/>
      <c r="IM1646" s="18"/>
      <c r="IN1646" s="18"/>
      <c r="IO1646" s="18"/>
      <c r="IP1646" s="18"/>
      <c r="IQ1646" s="18"/>
      <c r="IR1646" s="18"/>
      <c r="IS1646" s="18"/>
      <c r="IT1646" s="18"/>
      <c r="IU1646" s="18"/>
      <c r="IV1646" s="18"/>
      <c r="IW1646" s="18"/>
      <c r="IX1646" s="18"/>
      <c r="IY1646" s="18"/>
      <c r="IZ1646" s="18"/>
      <c r="JA1646" s="18"/>
      <c r="JB1646" s="18"/>
      <c r="JC1646" s="18"/>
      <c r="JD1646" s="18"/>
      <c r="JE1646" s="18"/>
      <c r="JF1646" s="18"/>
      <c r="JG1646" s="18"/>
      <c r="JH1646" s="18"/>
      <c r="JI1646" s="18"/>
      <c r="JJ1646" s="18"/>
      <c r="JK1646" s="18"/>
      <c r="JL1646" s="18"/>
      <c r="JM1646" s="18"/>
      <c r="JN1646" s="18"/>
      <c r="JO1646" s="16"/>
      <c r="JP1646" s="16"/>
      <c r="JQ1646" s="16"/>
      <c r="JR1646" s="16"/>
      <c r="JS1646" s="16"/>
      <c r="JT1646" s="16"/>
      <c r="JU1646" s="16"/>
      <c r="JV1646" s="16"/>
      <c r="JW1646" s="16"/>
      <c r="JX1646" s="16"/>
      <c r="JY1646" s="16"/>
      <c r="JZ1646" s="16"/>
      <c r="KA1646" s="16"/>
      <c r="KB1646" s="16"/>
    </row>
    <row r="1647" spans="1:288" s="27" customFormat="1" x14ac:dyDescent="0.2">
      <c r="A1647" s="18"/>
      <c r="B1647" s="16">
        <v>2016</v>
      </c>
      <c r="C1647" s="20">
        <v>42550</v>
      </c>
      <c r="D1647" s="20" t="str">
        <f>CONCATENATE(J1647,"-",C1647)</f>
        <v>985-42550</v>
      </c>
      <c r="E1647" s="20" t="str">
        <f>CONCATENATE(T1647,"-",U1647,"-",C1647)</f>
        <v>HW2-B7-42550</v>
      </c>
      <c r="F1647" s="20" t="s">
        <v>106</v>
      </c>
      <c r="G1647" s="20" t="s">
        <v>278</v>
      </c>
      <c r="H1647" s="16"/>
      <c r="I1647" s="16"/>
      <c r="J1647" s="21">
        <v>985</v>
      </c>
      <c r="K1647" s="21"/>
      <c r="L1647" s="16"/>
      <c r="M1647" s="21"/>
      <c r="N1647" s="21"/>
      <c r="O1647" s="21"/>
      <c r="P1647" s="16"/>
      <c r="Q1647" s="16"/>
      <c r="R1647" s="16"/>
      <c r="S1647" s="16"/>
      <c r="T1647" s="16" t="s">
        <v>129</v>
      </c>
      <c r="U1647" s="16" t="s">
        <v>168</v>
      </c>
      <c r="V1647" s="16"/>
      <c r="W1647" s="16"/>
      <c r="X1647" s="16"/>
      <c r="Y1647" s="16"/>
      <c r="Z1647" s="16"/>
      <c r="AA1647" s="16"/>
      <c r="AB1647" s="16"/>
      <c r="AC1647" s="16"/>
      <c r="AD1647" s="16"/>
      <c r="AE1647" s="16"/>
      <c r="AF1647" s="16"/>
      <c r="AG1647" s="16"/>
      <c r="AH1647" s="16"/>
      <c r="AI1647" s="16"/>
      <c r="AJ1647" s="16"/>
      <c r="AK1647" s="16"/>
      <c r="AL1647" s="16"/>
      <c r="AM1647" s="16"/>
      <c r="AN1647" s="16"/>
      <c r="AO1647" s="16"/>
      <c r="AP1647" s="16"/>
      <c r="AQ1647" s="16"/>
      <c r="AR1647" s="16"/>
      <c r="AS1647" s="16"/>
      <c r="AT1647" s="16"/>
      <c r="AU1647" s="16"/>
      <c r="AV1647" s="16"/>
      <c r="AW1647" s="16"/>
      <c r="AX1647" s="16"/>
      <c r="AY1647" s="16"/>
      <c r="AZ1647" s="16"/>
      <c r="BA1647" s="16"/>
      <c r="BB1647" s="16"/>
      <c r="BC1647" s="16"/>
      <c r="BD1647" s="16"/>
      <c r="BE1647" s="16"/>
      <c r="BF1647" s="16"/>
      <c r="BG1647" s="77"/>
      <c r="BH1647" s="16"/>
      <c r="BI1647" s="16"/>
      <c r="BJ1647" s="16"/>
      <c r="BK1647" s="16"/>
      <c r="BL1647" s="16"/>
      <c r="BM1647" s="16"/>
      <c r="BN1647" s="16"/>
      <c r="BO1647" s="16"/>
      <c r="BP1647" s="16"/>
      <c r="BQ1647" s="16"/>
      <c r="BR1647" s="16"/>
      <c r="BS1647" s="16"/>
      <c r="BT1647" s="77"/>
      <c r="BU1647" s="16"/>
      <c r="BV1647" s="16"/>
      <c r="BW1647" s="16"/>
      <c r="BX1647" s="16"/>
      <c r="BY1647" s="16"/>
      <c r="BZ1647" s="16"/>
      <c r="CA1647" s="16"/>
      <c r="CB1647" s="16"/>
      <c r="CC1647" s="16"/>
      <c r="CD1647" s="77"/>
      <c r="CE1647" s="16"/>
      <c r="CF1647" s="16"/>
      <c r="CG1647" s="16"/>
      <c r="CH1647" s="16"/>
      <c r="CI1647" s="16"/>
      <c r="CJ1647" s="16"/>
      <c r="CK1647" s="16"/>
      <c r="CL1647" s="16"/>
      <c r="CM1647" s="16"/>
      <c r="CN1647" s="16"/>
      <c r="CO1647" s="16"/>
      <c r="CP1647" s="16"/>
      <c r="CQ1647" s="16"/>
      <c r="CR1647" s="16"/>
      <c r="CS1647" s="16"/>
      <c r="CT1647" s="16"/>
      <c r="CU1647" s="16"/>
      <c r="CV1647" s="16"/>
      <c r="CW1647" s="16"/>
      <c r="CX1647" s="16"/>
      <c r="CY1647" s="16"/>
      <c r="CZ1647" s="16"/>
      <c r="DA1647" s="16"/>
      <c r="DB1647" s="16"/>
      <c r="DC1647" s="16"/>
      <c r="DD1647" s="16"/>
      <c r="DE1647" s="16"/>
      <c r="DF1647" s="16" t="e">
        <f>VLOOKUP(K1647,'[3]RNA Seq summary tables'!$V$3:$V$99,1,FALSE)</f>
        <v>#N/A</v>
      </c>
      <c r="DG1647" s="16"/>
      <c r="DH1647" s="16"/>
      <c r="DI1647" s="16"/>
      <c r="DJ1647" s="16"/>
      <c r="DK1647" s="16"/>
      <c r="DL1647" s="16"/>
      <c r="DM1647" s="16"/>
      <c r="DN1647" s="16"/>
      <c r="DO1647" s="16"/>
      <c r="DP1647" s="16"/>
      <c r="DQ1647" s="16"/>
      <c r="DR1647" s="16"/>
      <c r="DS1647" s="16"/>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18"/>
      <c r="EQ1647" s="18"/>
      <c r="ER1647" s="18"/>
      <c r="ES1647" s="18"/>
      <c r="ET1647" s="18"/>
      <c r="EU1647" s="18"/>
      <c r="EV1647" s="18"/>
      <c r="EW1647" s="18"/>
      <c r="EX1647" s="18"/>
      <c r="EY1647" s="18"/>
      <c r="EZ1647" s="18"/>
      <c r="FA1647" s="18"/>
      <c r="FB1647" s="18"/>
      <c r="FC1647" s="18"/>
      <c r="FD1647" s="18"/>
      <c r="FE1647" s="18"/>
      <c r="FF1647" s="18"/>
      <c r="FG1647" s="18"/>
      <c r="FH1647" s="18"/>
      <c r="FI1647" s="18"/>
      <c r="FJ1647" s="18"/>
      <c r="FK1647" s="18"/>
      <c r="FL1647" s="18"/>
      <c r="FM1647" s="18"/>
      <c r="FN1647" s="18"/>
      <c r="FO1647" s="18"/>
      <c r="FP1647" s="18"/>
      <c r="FQ1647" s="18"/>
      <c r="FR1647" s="18"/>
      <c r="FS1647" s="18"/>
      <c r="FT1647" s="18"/>
      <c r="FU1647" s="18"/>
      <c r="FV1647" s="18"/>
      <c r="FW1647" s="18"/>
      <c r="FX1647" s="18"/>
      <c r="FY1647" s="18"/>
      <c r="FZ1647" s="18"/>
      <c r="GA1647" s="18"/>
      <c r="GB1647" s="18"/>
      <c r="GC1647" s="18"/>
      <c r="GD1647" s="18"/>
      <c r="GE1647" s="18"/>
      <c r="GF1647" s="18"/>
      <c r="GG1647" s="18"/>
      <c r="GH1647" s="18"/>
      <c r="GI1647" s="18"/>
      <c r="GJ1647" s="18"/>
      <c r="GK1647" s="18"/>
      <c r="GL1647" s="18"/>
      <c r="GM1647" s="18"/>
      <c r="GN1647" s="18"/>
      <c r="GO1647" s="18"/>
      <c r="GP1647" s="18"/>
      <c r="GQ1647" s="18"/>
      <c r="GR1647" s="18"/>
      <c r="GS1647" s="18"/>
      <c r="GT1647" s="18"/>
      <c r="GU1647" s="18"/>
      <c r="GV1647" s="18"/>
      <c r="GW1647" s="18"/>
      <c r="GX1647" s="18"/>
      <c r="GY1647" s="18"/>
      <c r="GZ1647" s="18"/>
      <c r="HA1647" s="18"/>
      <c r="HB1647" s="18"/>
      <c r="HC1647" s="18"/>
      <c r="HD1647" s="18"/>
      <c r="HE1647" s="18"/>
      <c r="HF1647" s="18"/>
      <c r="HG1647" s="18"/>
      <c r="HH1647" s="18"/>
      <c r="HI1647" s="18"/>
      <c r="HJ1647" s="18"/>
      <c r="HK1647" s="18"/>
      <c r="HL1647" s="18"/>
      <c r="HM1647" s="18"/>
      <c r="HN1647" s="18"/>
      <c r="HO1647" s="18"/>
      <c r="HP1647" s="18"/>
      <c r="HQ1647" s="18"/>
      <c r="HR1647" s="18"/>
      <c r="HS1647" s="18"/>
      <c r="HT1647" s="18"/>
      <c r="HU1647" s="18"/>
      <c r="HV1647" s="18"/>
      <c r="HW1647" s="18"/>
      <c r="HX1647" s="18"/>
      <c r="HY1647" s="18"/>
      <c r="HZ1647" s="18"/>
      <c r="IA1647" s="18"/>
      <c r="IB1647" s="18"/>
      <c r="IC1647" s="18"/>
      <c r="ID1647" s="18"/>
      <c r="IE1647" s="18"/>
      <c r="IF1647" s="18"/>
      <c r="IG1647" s="18"/>
      <c r="IH1647" s="18"/>
      <c r="II1647" s="18"/>
      <c r="IJ1647" s="18"/>
      <c r="IK1647" s="18"/>
      <c r="IL1647" s="18"/>
      <c r="IM1647" s="18"/>
      <c r="IN1647" s="18"/>
      <c r="IO1647" s="18"/>
      <c r="IP1647" s="18"/>
      <c r="IQ1647" s="18"/>
      <c r="IR1647" s="18"/>
      <c r="IS1647" s="18"/>
      <c r="IT1647" s="18"/>
      <c r="IU1647" s="18"/>
      <c r="IV1647" s="18"/>
      <c r="IW1647" s="18"/>
      <c r="IX1647" s="18"/>
      <c r="IY1647" s="18"/>
      <c r="IZ1647" s="18"/>
      <c r="JA1647" s="18"/>
      <c r="JB1647" s="18"/>
      <c r="JC1647" s="18"/>
      <c r="JD1647" s="18"/>
      <c r="JE1647" s="18"/>
      <c r="JF1647" s="18"/>
      <c r="JG1647" s="18"/>
      <c r="JH1647" s="18"/>
      <c r="JI1647" s="18"/>
      <c r="JJ1647" s="18"/>
      <c r="JK1647" s="18"/>
      <c r="JL1647" s="18"/>
      <c r="JM1647" s="18"/>
      <c r="JN1647" s="18"/>
      <c r="JO1647" s="16"/>
      <c r="JP1647" s="16"/>
      <c r="JQ1647" s="16"/>
      <c r="JR1647" s="16"/>
      <c r="JS1647" s="16"/>
      <c r="JT1647" s="16"/>
      <c r="JU1647" s="16"/>
      <c r="JV1647" s="16"/>
      <c r="JW1647" s="16"/>
      <c r="JX1647" s="16"/>
      <c r="JY1647" s="16"/>
      <c r="JZ1647" s="16"/>
      <c r="KA1647" s="16"/>
      <c r="KB1647" s="16"/>
    </row>
    <row r="1648" spans="1:288" s="27" customFormat="1" x14ac:dyDescent="0.2">
      <c r="A1648" s="18"/>
      <c r="B1648" s="16">
        <v>2016</v>
      </c>
      <c r="C1648" s="20">
        <v>42550</v>
      </c>
      <c r="D1648" s="20" t="str">
        <f>CONCATENATE(J1648,"-",C1648)</f>
        <v>986-42550</v>
      </c>
      <c r="E1648" s="20" t="str">
        <f>CONCATENATE(T1648,"-",U1648,"-",C1648)</f>
        <v>HW1-H5-42550</v>
      </c>
      <c r="F1648" s="20" t="s">
        <v>106</v>
      </c>
      <c r="G1648" s="20" t="s">
        <v>278</v>
      </c>
      <c r="H1648" s="16"/>
      <c r="I1648" s="16"/>
      <c r="J1648" s="21">
        <v>986</v>
      </c>
      <c r="K1648" s="21"/>
      <c r="L1648" s="16"/>
      <c r="M1648" s="21"/>
      <c r="N1648" s="21"/>
      <c r="O1648" s="21"/>
      <c r="P1648" s="16"/>
      <c r="Q1648" s="16"/>
      <c r="R1648" s="16"/>
      <c r="S1648" s="16"/>
      <c r="T1648" s="16" t="s">
        <v>133</v>
      </c>
      <c r="U1648" s="16" t="s">
        <v>180</v>
      </c>
      <c r="V1648" s="16"/>
      <c r="W1648" s="16"/>
      <c r="X1648" s="16" t="s">
        <v>115</v>
      </c>
      <c r="Y1648" s="16" t="s">
        <v>145</v>
      </c>
      <c r="Z1648" s="16">
        <v>1</v>
      </c>
      <c r="AA1648" s="16"/>
      <c r="AB1648" s="16"/>
      <c r="AC1648" s="16"/>
      <c r="AD1648" s="16"/>
      <c r="AE1648" s="16"/>
      <c r="AF1648" s="16"/>
      <c r="AG1648" s="16"/>
      <c r="AH1648" s="16"/>
      <c r="AI1648" s="16"/>
      <c r="AJ1648" s="16"/>
      <c r="AK1648" s="16">
        <v>13.5</v>
      </c>
      <c r="AL1648" s="16">
        <v>0</v>
      </c>
      <c r="AM1648" s="16">
        <v>0</v>
      </c>
      <c r="AN1648" s="16">
        <v>0</v>
      </c>
      <c r="AO1648" s="16">
        <f>IF(SUM(AL1648:AN1648)&gt;0,1,0)</f>
        <v>0</v>
      </c>
      <c r="AP1648" s="16">
        <f>SUM(AL1648:AN1648)</f>
        <v>0</v>
      </c>
      <c r="AQ1648" s="16"/>
      <c r="AR1648" s="16"/>
      <c r="AS1648" s="16"/>
      <c r="AT1648" s="16"/>
      <c r="AU1648" s="16"/>
      <c r="AV1648" s="16"/>
      <c r="AW1648" s="16"/>
      <c r="AX1648" s="16"/>
      <c r="AY1648" s="16"/>
      <c r="AZ1648" s="16"/>
      <c r="BA1648" s="16"/>
      <c r="BB1648" s="16"/>
      <c r="BC1648" s="16"/>
      <c r="BD1648" s="16"/>
      <c r="BE1648" s="16"/>
      <c r="BF1648" s="16"/>
      <c r="BG1648" s="77"/>
      <c r="BH1648" s="16"/>
      <c r="BI1648" s="16"/>
      <c r="BJ1648" s="16"/>
      <c r="BK1648" s="16"/>
      <c r="BL1648" s="16"/>
      <c r="BM1648" s="16"/>
      <c r="BN1648" s="16"/>
      <c r="BO1648" s="16"/>
      <c r="BP1648" s="16"/>
      <c r="BQ1648" s="16"/>
      <c r="BR1648" s="16"/>
      <c r="BS1648" s="16"/>
      <c r="BT1648" s="77"/>
      <c r="BU1648" s="16"/>
      <c r="BV1648" s="16"/>
      <c r="BW1648" s="16"/>
      <c r="BX1648" s="16"/>
      <c r="BY1648" s="16"/>
      <c r="BZ1648" s="16"/>
      <c r="CA1648" s="16"/>
      <c r="CB1648" s="16"/>
      <c r="CC1648" s="16"/>
      <c r="CD1648" s="77"/>
      <c r="CE1648" s="16"/>
      <c r="CF1648" s="16"/>
      <c r="CG1648" s="16"/>
      <c r="CH1648" s="16"/>
      <c r="CI1648" s="16"/>
      <c r="CJ1648" s="16"/>
      <c r="CK1648" s="16"/>
      <c r="CL1648" s="16"/>
      <c r="CM1648" s="16"/>
      <c r="CN1648" s="16"/>
      <c r="CO1648" s="16"/>
      <c r="CP1648" s="16"/>
      <c r="CQ1648" s="16"/>
      <c r="CR1648" s="16"/>
      <c r="CS1648" s="16"/>
      <c r="CT1648" s="16"/>
      <c r="CU1648" s="16"/>
      <c r="CV1648" s="16"/>
      <c r="CW1648" s="16"/>
      <c r="CX1648" s="16"/>
      <c r="CY1648" s="16"/>
      <c r="CZ1648" s="16"/>
      <c r="DA1648" s="16"/>
      <c r="DB1648" s="16"/>
      <c r="DC1648" s="16"/>
      <c r="DD1648" s="16"/>
      <c r="DE1648" s="16"/>
      <c r="DF1648" s="16" t="e">
        <f>VLOOKUP(K1648,'[3]RNA Seq summary tables'!$V$3:$V$99,1,FALSE)</f>
        <v>#N/A</v>
      </c>
      <c r="DG1648" s="16"/>
      <c r="DH1648" s="16"/>
      <c r="DI1648" s="16"/>
      <c r="DJ1648" s="16"/>
      <c r="DK1648" s="16"/>
      <c r="DL1648" s="16"/>
      <c r="DM1648" s="16"/>
      <c r="DN1648" s="16"/>
      <c r="DO1648" s="16"/>
      <c r="DP1648" s="16"/>
      <c r="DQ1648" s="16"/>
      <c r="DR1648" s="16"/>
      <c r="DS1648" s="16"/>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18"/>
      <c r="EQ1648" s="18"/>
      <c r="ER1648" s="18"/>
      <c r="ES1648" s="18"/>
      <c r="ET1648" s="18"/>
      <c r="EU1648" s="18"/>
      <c r="EV1648" s="18"/>
      <c r="EW1648" s="18"/>
      <c r="EX1648" s="18"/>
      <c r="EY1648" s="18"/>
      <c r="EZ1648" s="18"/>
      <c r="FA1648" s="18"/>
      <c r="FB1648" s="18"/>
      <c r="FC1648" s="18"/>
      <c r="FD1648" s="18"/>
      <c r="FE1648" s="18"/>
      <c r="FF1648" s="18"/>
      <c r="FG1648" s="18"/>
      <c r="FH1648" s="18"/>
      <c r="FI1648" s="18"/>
      <c r="FJ1648" s="18"/>
      <c r="FK1648" s="18"/>
      <c r="FL1648" s="18"/>
      <c r="FM1648" s="18"/>
      <c r="FN1648" s="18"/>
      <c r="FO1648" s="18"/>
      <c r="FP1648" s="18"/>
      <c r="FQ1648" s="18"/>
      <c r="FR1648" s="18"/>
      <c r="FS1648" s="18"/>
      <c r="FT1648" s="18"/>
      <c r="FU1648" s="18"/>
      <c r="FV1648" s="18"/>
      <c r="FW1648" s="18"/>
      <c r="FX1648" s="18"/>
      <c r="FY1648" s="18"/>
      <c r="FZ1648" s="18"/>
      <c r="GA1648" s="18"/>
      <c r="GB1648" s="18"/>
      <c r="GC1648" s="18"/>
      <c r="GD1648" s="18"/>
      <c r="GE1648" s="18"/>
      <c r="GF1648" s="18"/>
      <c r="GG1648" s="18"/>
      <c r="GH1648" s="18"/>
      <c r="GI1648" s="18"/>
      <c r="GJ1648" s="18"/>
      <c r="GK1648" s="18"/>
      <c r="GL1648" s="18"/>
      <c r="GM1648" s="18"/>
      <c r="GN1648" s="18"/>
      <c r="GO1648" s="18"/>
      <c r="GP1648" s="18"/>
      <c r="GQ1648" s="18"/>
      <c r="GR1648" s="18"/>
      <c r="GS1648" s="18"/>
      <c r="GT1648" s="18"/>
      <c r="GU1648" s="18"/>
      <c r="GV1648" s="18"/>
      <c r="GW1648" s="18"/>
      <c r="GX1648" s="18"/>
      <c r="GY1648" s="18"/>
      <c r="GZ1648" s="18"/>
      <c r="HA1648" s="18"/>
      <c r="HB1648" s="18"/>
      <c r="HC1648" s="18"/>
      <c r="HD1648" s="18"/>
      <c r="HE1648" s="18"/>
      <c r="HF1648" s="18"/>
      <c r="HG1648" s="18"/>
      <c r="HH1648" s="18"/>
      <c r="HI1648" s="18"/>
      <c r="HJ1648" s="18"/>
      <c r="HK1648" s="18"/>
      <c r="HL1648" s="18"/>
      <c r="HM1648" s="18"/>
      <c r="HN1648" s="18"/>
      <c r="HO1648" s="18"/>
      <c r="HP1648" s="18"/>
      <c r="HQ1648" s="18"/>
      <c r="HR1648" s="18"/>
      <c r="HS1648" s="18"/>
      <c r="HT1648" s="18"/>
      <c r="HU1648" s="18"/>
      <c r="HV1648" s="18"/>
      <c r="HW1648" s="18"/>
      <c r="HX1648" s="18"/>
      <c r="HY1648" s="18"/>
      <c r="HZ1648" s="18"/>
      <c r="IA1648" s="18"/>
      <c r="IB1648" s="18"/>
      <c r="IC1648" s="18"/>
      <c r="ID1648" s="18"/>
      <c r="IE1648" s="18"/>
      <c r="IF1648" s="18"/>
      <c r="IG1648" s="18"/>
      <c r="IH1648" s="18"/>
      <c r="II1648" s="18"/>
      <c r="IJ1648" s="18"/>
      <c r="IK1648" s="18"/>
      <c r="IL1648" s="18"/>
      <c r="IM1648" s="18"/>
      <c r="IN1648" s="18"/>
      <c r="IO1648" s="18"/>
      <c r="IP1648" s="18"/>
      <c r="IQ1648" s="18"/>
      <c r="IR1648" s="18"/>
      <c r="IS1648" s="18"/>
      <c r="IT1648" s="18"/>
      <c r="IU1648" s="18"/>
      <c r="IV1648" s="18"/>
      <c r="IW1648" s="18"/>
      <c r="IX1648" s="18"/>
      <c r="IY1648" s="18"/>
      <c r="IZ1648" s="18"/>
      <c r="JA1648" s="18"/>
      <c r="JB1648" s="18"/>
      <c r="JC1648" s="18"/>
      <c r="JD1648" s="18"/>
      <c r="JE1648" s="18"/>
      <c r="JF1648" s="18"/>
      <c r="JG1648" s="18"/>
      <c r="JH1648" s="18"/>
      <c r="JI1648" s="18"/>
      <c r="JJ1648" s="18"/>
      <c r="JK1648" s="18"/>
      <c r="JL1648" s="18"/>
      <c r="JM1648" s="18"/>
      <c r="JN1648" s="18"/>
      <c r="JO1648" s="16"/>
      <c r="JP1648" s="16"/>
      <c r="JQ1648" s="16"/>
      <c r="JR1648" s="16"/>
      <c r="JS1648" s="16"/>
      <c r="JT1648" s="16"/>
      <c r="JU1648" s="16"/>
      <c r="JV1648" s="16"/>
      <c r="JW1648" s="16"/>
      <c r="JX1648" s="16"/>
      <c r="JY1648" s="16"/>
      <c r="JZ1648" s="16"/>
      <c r="KA1648" s="16"/>
      <c r="KB1648" s="16"/>
    </row>
    <row r="1649" spans="1:288" s="27" customFormat="1" x14ac:dyDescent="0.2">
      <c r="A1649" s="18"/>
      <c r="B1649" s="16">
        <v>2016</v>
      </c>
      <c r="C1649" s="20">
        <v>42563</v>
      </c>
      <c r="D1649" s="20" t="str">
        <f>CONCATENATE(J1649,"-",C1649)</f>
        <v>986-42563</v>
      </c>
      <c r="E1649" s="20" t="str">
        <f>CONCATENATE(T1649,"-",U1649,"-",C1649)</f>
        <v>HW1-H4-42563</v>
      </c>
      <c r="F1649" s="20" t="s">
        <v>106</v>
      </c>
      <c r="G1649" s="20" t="s">
        <v>278</v>
      </c>
      <c r="H1649" s="16"/>
      <c r="I1649" s="16"/>
      <c r="J1649" s="21">
        <v>986</v>
      </c>
      <c r="K1649" s="21"/>
      <c r="L1649" s="16"/>
      <c r="M1649" s="21"/>
      <c r="N1649" s="21"/>
      <c r="O1649" s="21"/>
      <c r="P1649" s="16"/>
      <c r="Q1649" s="16"/>
      <c r="R1649" s="16"/>
      <c r="S1649" s="16"/>
      <c r="T1649" s="16" t="s">
        <v>133</v>
      </c>
      <c r="U1649" s="16" t="s">
        <v>151</v>
      </c>
      <c r="V1649" s="16"/>
      <c r="W1649" s="16"/>
      <c r="X1649" s="16"/>
      <c r="Y1649" s="16" t="s">
        <v>122</v>
      </c>
      <c r="Z1649" s="16">
        <v>2.2999999999999998</v>
      </c>
      <c r="AA1649" s="16"/>
      <c r="AB1649" s="16"/>
      <c r="AC1649" s="16"/>
      <c r="AD1649" s="16"/>
      <c r="AE1649" s="16"/>
      <c r="AF1649" s="16"/>
      <c r="AG1649" s="16"/>
      <c r="AH1649" s="16"/>
      <c r="AI1649" s="16"/>
      <c r="AJ1649" s="16"/>
      <c r="AK1649" s="16">
        <v>13</v>
      </c>
      <c r="AL1649" s="16"/>
      <c r="AM1649" s="16"/>
      <c r="AN1649" s="16"/>
      <c r="AO1649" s="16"/>
      <c r="AP1649" s="16"/>
      <c r="AQ1649" s="16"/>
      <c r="AR1649" s="16"/>
      <c r="AS1649" s="16"/>
      <c r="AT1649" s="16"/>
      <c r="AU1649" s="16"/>
      <c r="AV1649" s="16"/>
      <c r="AW1649" s="16"/>
      <c r="AX1649" s="16"/>
      <c r="AY1649" s="16"/>
      <c r="AZ1649" s="16"/>
      <c r="BA1649" s="16"/>
      <c r="BB1649" s="16"/>
      <c r="BC1649" s="16"/>
      <c r="BD1649" s="16"/>
      <c r="BE1649" s="16"/>
      <c r="BF1649" s="16"/>
      <c r="BG1649" s="77"/>
      <c r="BH1649" s="16"/>
      <c r="BI1649" s="16"/>
      <c r="BJ1649" s="16"/>
      <c r="BK1649" s="16"/>
      <c r="BL1649" s="16"/>
      <c r="BM1649" s="16"/>
      <c r="BN1649" s="16"/>
      <c r="BO1649" s="16"/>
      <c r="BP1649" s="16"/>
      <c r="BQ1649" s="16"/>
      <c r="BR1649" s="16"/>
      <c r="BS1649" s="16"/>
      <c r="BT1649" s="77"/>
      <c r="BU1649" s="16"/>
      <c r="BV1649" s="16"/>
      <c r="BW1649" s="16"/>
      <c r="BX1649" s="16"/>
      <c r="BY1649" s="16"/>
      <c r="BZ1649" s="16"/>
      <c r="CA1649" s="16"/>
      <c r="CB1649" s="16"/>
      <c r="CC1649" s="16"/>
      <c r="CD1649" s="77"/>
      <c r="CE1649" s="16"/>
      <c r="CF1649" s="16"/>
      <c r="CG1649" s="16"/>
      <c r="CH1649" s="16"/>
      <c r="CI1649" s="16"/>
      <c r="CJ1649" s="16"/>
      <c r="CK1649" s="16"/>
      <c r="CL1649" s="16"/>
      <c r="CM1649" s="16"/>
      <c r="CN1649" s="16"/>
      <c r="CO1649" s="16"/>
      <c r="CP1649" s="16"/>
      <c r="CQ1649" s="16"/>
      <c r="CR1649" s="16"/>
      <c r="CS1649" s="16"/>
      <c r="CT1649" s="16"/>
      <c r="CU1649" s="16"/>
      <c r="CV1649" s="16"/>
      <c r="CW1649" s="16"/>
      <c r="CX1649" s="16"/>
      <c r="CY1649" s="16"/>
      <c r="CZ1649" s="16"/>
      <c r="DA1649" s="16"/>
      <c r="DB1649" s="16"/>
      <c r="DC1649" s="16"/>
      <c r="DD1649" s="16"/>
      <c r="DE1649" s="16"/>
      <c r="DF1649" s="16" t="e">
        <f>VLOOKUP(K1649,'[3]RNA Seq summary tables'!$V$3:$V$99,1,FALSE)</f>
        <v>#N/A</v>
      </c>
      <c r="DG1649" s="16"/>
      <c r="DH1649" s="16"/>
      <c r="DI1649" s="16"/>
      <c r="DJ1649" s="16"/>
      <c r="DK1649" s="16"/>
      <c r="DL1649" s="16"/>
      <c r="DM1649" s="16"/>
      <c r="DN1649" s="16"/>
      <c r="DO1649" s="16"/>
      <c r="DP1649" s="16"/>
      <c r="DQ1649" s="16"/>
      <c r="DR1649" s="16"/>
      <c r="DS1649" s="16"/>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18"/>
      <c r="EQ1649" s="18"/>
      <c r="ER1649" s="18"/>
      <c r="ES1649" s="18"/>
      <c r="ET1649" s="18"/>
      <c r="EU1649" s="18"/>
      <c r="EV1649" s="18"/>
      <c r="EW1649" s="18"/>
      <c r="EX1649" s="18"/>
      <c r="EY1649" s="18"/>
      <c r="EZ1649" s="18"/>
      <c r="FA1649" s="18"/>
      <c r="FB1649" s="18"/>
      <c r="FC1649" s="18"/>
      <c r="FD1649" s="18"/>
      <c r="FE1649" s="18"/>
      <c r="FF1649" s="18"/>
      <c r="FG1649" s="18"/>
      <c r="FH1649" s="18"/>
      <c r="FI1649" s="18"/>
      <c r="FJ1649" s="18"/>
      <c r="FK1649" s="18"/>
      <c r="FL1649" s="18"/>
      <c r="FM1649" s="18"/>
      <c r="FN1649" s="18"/>
      <c r="FO1649" s="18"/>
      <c r="FP1649" s="18"/>
      <c r="FQ1649" s="18"/>
      <c r="FR1649" s="18"/>
      <c r="FS1649" s="18"/>
      <c r="FT1649" s="18"/>
      <c r="FU1649" s="18"/>
      <c r="FV1649" s="18"/>
      <c r="FW1649" s="18"/>
      <c r="FX1649" s="18"/>
      <c r="FY1649" s="18"/>
      <c r="FZ1649" s="18"/>
      <c r="GA1649" s="18"/>
      <c r="GB1649" s="18"/>
      <c r="GC1649" s="18"/>
      <c r="GD1649" s="18"/>
      <c r="GE1649" s="18"/>
      <c r="GF1649" s="18"/>
      <c r="GG1649" s="18"/>
      <c r="GH1649" s="18"/>
      <c r="GI1649" s="18"/>
      <c r="GJ1649" s="18"/>
      <c r="GK1649" s="18"/>
      <c r="GL1649" s="18"/>
      <c r="GM1649" s="18"/>
      <c r="GN1649" s="18"/>
      <c r="GO1649" s="18"/>
      <c r="GP1649" s="18"/>
      <c r="GQ1649" s="18"/>
      <c r="GR1649" s="18"/>
      <c r="GS1649" s="18"/>
      <c r="GT1649" s="18"/>
      <c r="GU1649" s="18"/>
      <c r="GV1649" s="18"/>
      <c r="GW1649" s="18"/>
      <c r="GX1649" s="18"/>
      <c r="GY1649" s="18"/>
      <c r="GZ1649" s="18"/>
      <c r="HA1649" s="18"/>
      <c r="HB1649" s="18"/>
      <c r="HC1649" s="18"/>
      <c r="HD1649" s="18"/>
      <c r="HE1649" s="18"/>
      <c r="HF1649" s="18"/>
      <c r="HG1649" s="18"/>
      <c r="HH1649" s="18"/>
      <c r="HI1649" s="18"/>
      <c r="HJ1649" s="18"/>
      <c r="HK1649" s="18"/>
      <c r="HL1649" s="18"/>
      <c r="HM1649" s="18"/>
      <c r="HN1649" s="18"/>
      <c r="HO1649" s="18"/>
      <c r="HP1649" s="18"/>
      <c r="HQ1649" s="18"/>
      <c r="HR1649" s="18"/>
      <c r="HS1649" s="18"/>
      <c r="HT1649" s="18"/>
      <c r="HU1649" s="18"/>
      <c r="HV1649" s="18"/>
      <c r="HW1649" s="18"/>
      <c r="HX1649" s="18"/>
      <c r="HY1649" s="18"/>
      <c r="HZ1649" s="18"/>
      <c r="IA1649" s="18"/>
      <c r="IB1649" s="18"/>
      <c r="IC1649" s="18"/>
      <c r="ID1649" s="18"/>
      <c r="IE1649" s="18"/>
      <c r="IF1649" s="18"/>
      <c r="IG1649" s="18"/>
      <c r="IH1649" s="18"/>
      <c r="II1649" s="18"/>
      <c r="IJ1649" s="18"/>
      <c r="IK1649" s="18"/>
      <c r="IL1649" s="18"/>
      <c r="IM1649" s="18"/>
      <c r="IN1649" s="18"/>
      <c r="IO1649" s="18"/>
      <c r="IP1649" s="18"/>
      <c r="IQ1649" s="18"/>
      <c r="IR1649" s="18"/>
      <c r="IS1649" s="18"/>
      <c r="IT1649" s="18"/>
      <c r="IU1649" s="18"/>
      <c r="IV1649" s="18"/>
      <c r="IW1649" s="18"/>
      <c r="IX1649" s="18"/>
      <c r="IY1649" s="18"/>
      <c r="IZ1649" s="18"/>
      <c r="JA1649" s="18"/>
      <c r="JB1649" s="18"/>
      <c r="JC1649" s="18"/>
      <c r="JD1649" s="18"/>
      <c r="JE1649" s="18"/>
      <c r="JF1649" s="18"/>
      <c r="JG1649" s="18"/>
      <c r="JH1649" s="18"/>
      <c r="JI1649" s="18"/>
      <c r="JJ1649" s="18"/>
      <c r="JK1649" s="18"/>
      <c r="JL1649" s="18"/>
      <c r="JM1649" s="18"/>
      <c r="JN1649" s="18"/>
      <c r="JO1649" s="16"/>
      <c r="JP1649" s="16"/>
      <c r="JQ1649" s="16"/>
      <c r="JR1649" s="16"/>
      <c r="JS1649" s="16"/>
      <c r="JT1649" s="16"/>
      <c r="JU1649" s="16"/>
      <c r="JV1649" s="16"/>
      <c r="JW1649" s="16"/>
      <c r="JX1649" s="16"/>
      <c r="JY1649" s="16"/>
      <c r="JZ1649" s="16"/>
      <c r="KA1649" s="16"/>
      <c r="KB1649" s="16"/>
    </row>
    <row r="1650" spans="1:288" s="27" customFormat="1" x14ac:dyDescent="0.2">
      <c r="A1650" s="18"/>
      <c r="B1650" s="16">
        <v>2016</v>
      </c>
      <c r="C1650" s="20">
        <v>42564</v>
      </c>
      <c r="D1650" s="20" t="str">
        <f>CONCATENATE(J1650,"-",C1650)</f>
        <v>986-42564</v>
      </c>
      <c r="E1650" s="20" t="str">
        <f>CONCATENATE(T1650,"-",U1650,"-",C1650)</f>
        <v>HW2-H5-42564</v>
      </c>
      <c r="F1650" s="20" t="s">
        <v>106</v>
      </c>
      <c r="G1650" s="20" t="s">
        <v>278</v>
      </c>
      <c r="H1650" s="16"/>
      <c r="I1650" s="16"/>
      <c r="J1650" s="21">
        <v>986</v>
      </c>
      <c r="K1650" s="21"/>
      <c r="L1650" s="16"/>
      <c r="M1650" s="21"/>
      <c r="N1650" s="21"/>
      <c r="O1650" s="21"/>
      <c r="P1650" s="16"/>
      <c r="Q1650" s="16"/>
      <c r="R1650" s="16"/>
      <c r="S1650" s="16"/>
      <c r="T1650" s="16" t="s">
        <v>129</v>
      </c>
      <c r="U1650" s="16" t="s">
        <v>180</v>
      </c>
      <c r="V1650" s="16"/>
      <c r="W1650" s="16"/>
      <c r="X1650" s="16"/>
      <c r="Y1650" s="16"/>
      <c r="Z1650" s="16"/>
      <c r="AA1650" s="16"/>
      <c r="AB1650" s="16"/>
      <c r="AC1650" s="16"/>
      <c r="AD1650" s="16"/>
      <c r="AE1650" s="16"/>
      <c r="AF1650" s="16"/>
      <c r="AG1650" s="16"/>
      <c r="AH1650" s="16"/>
      <c r="AI1650" s="16"/>
      <c r="AJ1650" s="16"/>
      <c r="AK1650" s="16"/>
      <c r="AL1650" s="16"/>
      <c r="AM1650" s="16"/>
      <c r="AN1650" s="16"/>
      <c r="AO1650" s="16"/>
      <c r="AP1650" s="16"/>
      <c r="AQ1650" s="16"/>
      <c r="AR1650" s="16"/>
      <c r="AS1650" s="16"/>
      <c r="AT1650" s="16"/>
      <c r="AU1650" s="16"/>
      <c r="AV1650" s="16"/>
      <c r="AW1650" s="16"/>
      <c r="AX1650" s="16"/>
      <c r="AY1650" s="16"/>
      <c r="AZ1650" s="16"/>
      <c r="BA1650" s="16"/>
      <c r="BB1650" s="16"/>
      <c r="BC1650" s="16"/>
      <c r="BD1650" s="16"/>
      <c r="BE1650" s="16"/>
      <c r="BF1650" s="16"/>
      <c r="BG1650" s="77"/>
      <c r="BH1650" s="16"/>
      <c r="BI1650" s="16"/>
      <c r="BJ1650" s="16"/>
      <c r="BK1650" s="16"/>
      <c r="BL1650" s="16"/>
      <c r="BM1650" s="16"/>
      <c r="BN1650" s="16"/>
      <c r="BO1650" s="16"/>
      <c r="BP1650" s="16"/>
      <c r="BQ1650" s="16"/>
      <c r="BR1650" s="16"/>
      <c r="BS1650" s="16"/>
      <c r="BT1650" s="77"/>
      <c r="BU1650" s="16"/>
      <c r="BV1650" s="16"/>
      <c r="BW1650" s="16"/>
      <c r="BX1650" s="16"/>
      <c r="BY1650" s="16"/>
      <c r="BZ1650" s="16"/>
      <c r="CA1650" s="16"/>
      <c r="CB1650" s="16"/>
      <c r="CC1650" s="16"/>
      <c r="CD1650" s="77"/>
      <c r="CE1650" s="16"/>
      <c r="CF1650" s="16"/>
      <c r="CG1650" s="16"/>
      <c r="CH1650" s="16"/>
      <c r="CI1650" s="16"/>
      <c r="CJ1650" s="16"/>
      <c r="CK1650" s="16"/>
      <c r="CL1650" s="16"/>
      <c r="CM1650" s="16"/>
      <c r="CN1650" s="16"/>
      <c r="CO1650" s="16"/>
      <c r="CP1650" s="16"/>
      <c r="CQ1650" s="16"/>
      <c r="CR1650" s="16"/>
      <c r="CS1650" s="16"/>
      <c r="CT1650" s="16"/>
      <c r="CU1650" s="16"/>
      <c r="CV1650" s="16"/>
      <c r="CW1650" s="16"/>
      <c r="CX1650" s="16"/>
      <c r="CY1650" s="16"/>
      <c r="CZ1650" s="16"/>
      <c r="DA1650" s="16"/>
      <c r="DB1650" s="16"/>
      <c r="DC1650" s="16"/>
      <c r="DD1650" s="16"/>
      <c r="DE1650" s="16"/>
      <c r="DF1650" s="16" t="e">
        <f>VLOOKUP(K1650,'[3]RNA Seq summary tables'!$V$3:$V$99,1,FALSE)</f>
        <v>#N/A</v>
      </c>
      <c r="DG1650" s="16"/>
      <c r="DH1650" s="16"/>
      <c r="DI1650" s="16"/>
      <c r="DJ1650" s="16"/>
      <c r="DK1650" s="16"/>
      <c r="DL1650" s="16"/>
      <c r="DM1650" s="16"/>
      <c r="DN1650" s="16"/>
      <c r="DO1650" s="16"/>
      <c r="DP1650" s="16"/>
      <c r="DQ1650" s="16"/>
      <c r="DR1650" s="16"/>
      <c r="DS1650" s="16"/>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18"/>
      <c r="EQ1650" s="18"/>
      <c r="ER1650" s="18"/>
      <c r="ES1650" s="18"/>
      <c r="ET1650" s="18"/>
      <c r="EU1650" s="18"/>
      <c r="EV1650" s="18"/>
      <c r="EW1650" s="18"/>
      <c r="EX1650" s="18"/>
      <c r="EY1650" s="18"/>
      <c r="EZ1650" s="18"/>
      <c r="FA1650" s="18"/>
      <c r="FB1650" s="18"/>
      <c r="FC1650" s="18"/>
      <c r="FD1650" s="18"/>
      <c r="FE1650" s="18"/>
      <c r="FF1650" s="18"/>
      <c r="FG1650" s="18"/>
      <c r="FH1650" s="18"/>
      <c r="FI1650" s="18"/>
      <c r="FJ1650" s="18"/>
      <c r="FK1650" s="18"/>
      <c r="FL1650" s="18"/>
      <c r="FM1650" s="18"/>
      <c r="FN1650" s="18"/>
      <c r="FO1650" s="18"/>
      <c r="FP1650" s="18"/>
      <c r="FQ1650" s="18"/>
      <c r="FR1650" s="18"/>
      <c r="FS1650" s="18"/>
      <c r="FT1650" s="18"/>
      <c r="FU1650" s="18"/>
      <c r="FV1650" s="18"/>
      <c r="FW1650" s="18"/>
      <c r="FX1650" s="18"/>
      <c r="FY1650" s="18"/>
      <c r="FZ1650" s="18"/>
      <c r="GA1650" s="18"/>
      <c r="GB1650" s="18"/>
      <c r="GC1650" s="18"/>
      <c r="GD1650" s="18"/>
      <c r="GE1650" s="18"/>
      <c r="GF1650" s="18"/>
      <c r="GG1650" s="18"/>
      <c r="GH1650" s="18"/>
      <c r="GI1650" s="18"/>
      <c r="GJ1650" s="18"/>
      <c r="GK1650" s="18"/>
      <c r="GL1650" s="18"/>
      <c r="GM1650" s="18"/>
      <c r="GN1650" s="18"/>
      <c r="GO1650" s="18"/>
      <c r="GP1650" s="18"/>
      <c r="GQ1650" s="18"/>
      <c r="GR1650" s="18"/>
      <c r="GS1650" s="18"/>
      <c r="GT1650" s="18"/>
      <c r="GU1650" s="18"/>
      <c r="GV1650" s="18"/>
      <c r="GW1650" s="18"/>
      <c r="GX1650" s="18"/>
      <c r="GY1650" s="18"/>
      <c r="GZ1650" s="18"/>
      <c r="HA1650" s="18"/>
      <c r="HB1650" s="18"/>
      <c r="HC1650" s="18"/>
      <c r="HD1650" s="18"/>
      <c r="HE1650" s="18"/>
      <c r="HF1650" s="18"/>
      <c r="HG1650" s="18"/>
      <c r="HH1650" s="18"/>
      <c r="HI1650" s="18"/>
      <c r="HJ1650" s="18"/>
      <c r="HK1650" s="18"/>
      <c r="HL1650" s="18"/>
      <c r="HM1650" s="18"/>
      <c r="HN1650" s="18"/>
      <c r="HO1650" s="18"/>
      <c r="HP1650" s="18"/>
      <c r="HQ1650" s="18"/>
      <c r="HR1650" s="18"/>
      <c r="HS1650" s="18"/>
      <c r="HT1650" s="18"/>
      <c r="HU1650" s="18"/>
      <c r="HV1650" s="18"/>
      <c r="HW1650" s="18"/>
      <c r="HX1650" s="18"/>
      <c r="HY1650" s="18"/>
      <c r="HZ1650" s="18"/>
      <c r="IA1650" s="18"/>
      <c r="IB1650" s="18"/>
      <c r="IC1650" s="18"/>
      <c r="ID1650" s="18"/>
      <c r="IE1650" s="18"/>
      <c r="IF1650" s="18"/>
      <c r="IG1650" s="18"/>
      <c r="IH1650" s="18"/>
      <c r="II1650" s="18"/>
      <c r="IJ1650" s="18"/>
      <c r="IK1650" s="18"/>
      <c r="IL1650" s="18"/>
      <c r="IM1650" s="18"/>
      <c r="IN1650" s="18"/>
      <c r="IO1650" s="18"/>
      <c r="IP1650" s="18"/>
      <c r="IQ1650" s="18"/>
      <c r="IR1650" s="18"/>
      <c r="IS1650" s="18"/>
      <c r="IT1650" s="18"/>
      <c r="IU1650" s="18"/>
      <c r="IV1650" s="18"/>
      <c r="IW1650" s="18"/>
      <c r="IX1650" s="18"/>
      <c r="IY1650" s="18"/>
      <c r="IZ1650" s="18"/>
      <c r="JA1650" s="18"/>
      <c r="JB1650" s="18"/>
      <c r="JC1650" s="18"/>
      <c r="JD1650" s="18"/>
      <c r="JE1650" s="18"/>
      <c r="JF1650" s="18"/>
      <c r="JG1650" s="18"/>
      <c r="JH1650" s="18"/>
      <c r="JI1650" s="18"/>
      <c r="JJ1650" s="18"/>
      <c r="JK1650" s="18"/>
      <c r="JL1650" s="18"/>
      <c r="JM1650" s="18"/>
      <c r="JN1650" s="18"/>
      <c r="JO1650" s="16"/>
      <c r="JP1650" s="16"/>
      <c r="JQ1650" s="16"/>
      <c r="JR1650" s="16"/>
      <c r="JS1650" s="16"/>
      <c r="JT1650" s="16"/>
      <c r="JU1650" s="16"/>
      <c r="JV1650" s="16"/>
      <c r="JW1650" s="16"/>
      <c r="JX1650" s="16"/>
      <c r="JY1650" s="16"/>
      <c r="JZ1650" s="16"/>
      <c r="KA1650" s="16"/>
      <c r="KB1650" s="16"/>
    </row>
    <row r="1651" spans="1:288" s="27" customFormat="1" x14ac:dyDescent="0.2">
      <c r="A1651" s="18"/>
      <c r="B1651" s="16">
        <v>2016</v>
      </c>
      <c r="C1651" s="20">
        <v>42550</v>
      </c>
      <c r="D1651" s="20" t="str">
        <f>CONCATENATE(J1651,"-",C1651)</f>
        <v>987-42550</v>
      </c>
      <c r="E1651" s="20" t="str">
        <f>CONCATENATE(T1651,"-",U1651,"-",C1651)</f>
        <v>HW1-G6-42550</v>
      </c>
      <c r="F1651" s="20" t="s">
        <v>106</v>
      </c>
      <c r="G1651" s="20" t="s">
        <v>278</v>
      </c>
      <c r="H1651" s="16"/>
      <c r="I1651" s="16"/>
      <c r="J1651" s="21">
        <v>987</v>
      </c>
      <c r="K1651" s="21"/>
      <c r="L1651" s="16"/>
      <c r="M1651" s="21"/>
      <c r="N1651" s="21"/>
      <c r="O1651" s="21"/>
      <c r="P1651" s="16"/>
      <c r="Q1651" s="16"/>
      <c r="R1651" s="16"/>
      <c r="S1651" s="16"/>
      <c r="T1651" s="16" t="s">
        <v>133</v>
      </c>
      <c r="U1651" s="16" t="s">
        <v>218</v>
      </c>
      <c r="V1651" s="16"/>
      <c r="W1651" s="16"/>
      <c r="X1651" s="16"/>
      <c r="Y1651" s="16"/>
      <c r="Z1651" s="16"/>
      <c r="AA1651" s="16"/>
      <c r="AB1651" s="16"/>
      <c r="AC1651" s="16"/>
      <c r="AD1651" s="16"/>
      <c r="AE1651" s="16"/>
      <c r="AF1651" s="16"/>
      <c r="AG1651" s="16"/>
      <c r="AH1651" s="16"/>
      <c r="AI1651" s="16"/>
      <c r="AJ1651" s="16"/>
      <c r="AK1651" s="16">
        <v>17</v>
      </c>
      <c r="AL1651" s="16">
        <v>0</v>
      </c>
      <c r="AM1651" s="16">
        <v>0</v>
      </c>
      <c r="AN1651" s="16">
        <v>0</v>
      </c>
      <c r="AO1651" s="16">
        <f>IF(SUM(AL1651:AN1651)&gt;0,1,0)</f>
        <v>0</v>
      </c>
      <c r="AP1651" s="16">
        <f>SUM(AL1651:AN1651)</f>
        <v>0</v>
      </c>
      <c r="AQ1651" s="16"/>
      <c r="AR1651" s="16"/>
      <c r="AS1651" s="16"/>
      <c r="AT1651" s="16"/>
      <c r="AU1651" s="16"/>
      <c r="AV1651" s="16"/>
      <c r="AW1651" s="16"/>
      <c r="AX1651" s="16"/>
      <c r="AY1651" s="16"/>
      <c r="AZ1651" s="16"/>
      <c r="BA1651" s="16"/>
      <c r="BB1651" s="16"/>
      <c r="BC1651" s="16"/>
      <c r="BD1651" s="16"/>
      <c r="BE1651" s="16"/>
      <c r="BF1651" s="16"/>
      <c r="BG1651" s="77"/>
      <c r="BH1651" s="16"/>
      <c r="BI1651" s="16"/>
      <c r="BJ1651" s="16"/>
      <c r="BK1651" s="16"/>
      <c r="BL1651" s="16"/>
      <c r="BM1651" s="16"/>
      <c r="BN1651" s="16"/>
      <c r="BO1651" s="16"/>
      <c r="BP1651" s="16"/>
      <c r="BQ1651" s="16"/>
      <c r="BR1651" s="16"/>
      <c r="BS1651" s="16"/>
      <c r="BT1651" s="77"/>
      <c r="BU1651" s="16"/>
      <c r="BV1651" s="16"/>
      <c r="BW1651" s="16"/>
      <c r="BX1651" s="16"/>
      <c r="BY1651" s="16"/>
      <c r="BZ1651" s="16"/>
      <c r="CA1651" s="16"/>
      <c r="CB1651" s="16"/>
      <c r="CC1651" s="16"/>
      <c r="CD1651" s="77"/>
      <c r="CE1651" s="16"/>
      <c r="CF1651" s="16"/>
      <c r="CG1651" s="16"/>
      <c r="CH1651" s="16"/>
      <c r="CI1651" s="16"/>
      <c r="CJ1651" s="16"/>
      <c r="CK1651" s="16"/>
      <c r="CL1651" s="16"/>
      <c r="CM1651" s="16"/>
      <c r="CN1651" s="16"/>
      <c r="CO1651" s="16"/>
      <c r="CP1651" s="16"/>
      <c r="CQ1651" s="16"/>
      <c r="CR1651" s="16"/>
      <c r="CS1651" s="16"/>
      <c r="CT1651" s="16"/>
      <c r="CU1651" s="16"/>
      <c r="CV1651" s="16"/>
      <c r="CW1651" s="16"/>
      <c r="CX1651" s="16"/>
      <c r="CY1651" s="16"/>
      <c r="CZ1651" s="16"/>
      <c r="DA1651" s="16"/>
      <c r="DB1651" s="16"/>
      <c r="DC1651" s="16"/>
      <c r="DD1651" s="16"/>
      <c r="DE1651" s="16"/>
      <c r="DF1651" s="16" t="e">
        <f>VLOOKUP(K1651,'[3]RNA Seq summary tables'!$V$3:$V$99,1,FALSE)</f>
        <v>#N/A</v>
      </c>
      <c r="DG1651" s="16"/>
      <c r="DH1651" s="16"/>
      <c r="DI1651" s="16"/>
      <c r="DJ1651" s="16"/>
      <c r="DK1651" s="16"/>
      <c r="DL1651" s="16"/>
      <c r="DM1651" s="16"/>
      <c r="DN1651" s="16"/>
      <c r="DO1651" s="16"/>
      <c r="DP1651" s="16"/>
      <c r="DQ1651" s="16"/>
      <c r="DR1651" s="16"/>
      <c r="DS1651" s="16"/>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18"/>
      <c r="EQ1651" s="18"/>
      <c r="ER1651" s="18"/>
      <c r="ES1651" s="18"/>
      <c r="ET1651" s="18"/>
      <c r="EU1651" s="18"/>
      <c r="EV1651" s="18"/>
      <c r="EW1651" s="18"/>
      <c r="EX1651" s="18"/>
      <c r="EY1651" s="18"/>
      <c r="EZ1651" s="18"/>
      <c r="FA1651" s="18"/>
      <c r="FB1651" s="18"/>
      <c r="FC1651" s="18"/>
      <c r="FD1651" s="18"/>
      <c r="FE1651" s="18"/>
      <c r="FF1651" s="18"/>
      <c r="FG1651" s="18"/>
      <c r="FH1651" s="18"/>
      <c r="FI1651" s="18"/>
      <c r="FJ1651" s="18"/>
      <c r="FK1651" s="18"/>
      <c r="FL1651" s="18"/>
      <c r="FM1651" s="18"/>
      <c r="FN1651" s="18"/>
      <c r="FO1651" s="18"/>
      <c r="FP1651" s="18"/>
      <c r="FQ1651" s="18"/>
      <c r="FR1651" s="18"/>
      <c r="FS1651" s="18"/>
      <c r="FT1651" s="18"/>
      <c r="FU1651" s="18"/>
      <c r="FV1651" s="18"/>
      <c r="FW1651" s="18"/>
      <c r="FX1651" s="18"/>
      <c r="FY1651" s="18"/>
      <c r="FZ1651" s="18"/>
      <c r="GA1651" s="18"/>
      <c r="GB1651" s="18"/>
      <c r="GC1651" s="18"/>
      <c r="GD1651" s="18"/>
      <c r="GE1651" s="18"/>
      <c r="GF1651" s="18"/>
      <c r="GG1651" s="18"/>
      <c r="GH1651" s="18"/>
      <c r="GI1651" s="18"/>
      <c r="GJ1651" s="18"/>
      <c r="GK1651" s="18"/>
      <c r="GL1651" s="18"/>
      <c r="GM1651" s="18"/>
      <c r="GN1651" s="18"/>
      <c r="GO1651" s="18"/>
      <c r="GP1651" s="18"/>
      <c r="GQ1651" s="18"/>
      <c r="GR1651" s="18"/>
      <c r="GS1651" s="18"/>
      <c r="GT1651" s="18"/>
      <c r="GU1651" s="18"/>
      <c r="GV1651" s="18"/>
      <c r="GW1651" s="18"/>
      <c r="GX1651" s="18"/>
      <c r="GY1651" s="18"/>
      <c r="GZ1651" s="18"/>
      <c r="HA1651" s="18"/>
      <c r="HB1651" s="18"/>
      <c r="HC1651" s="18"/>
      <c r="HD1651" s="18"/>
      <c r="HE1651" s="18"/>
      <c r="HF1651" s="18"/>
      <c r="HG1651" s="18"/>
      <c r="HH1651" s="18"/>
      <c r="HI1651" s="18"/>
      <c r="HJ1651" s="18"/>
      <c r="HK1651" s="18"/>
      <c r="HL1651" s="18"/>
      <c r="HM1651" s="18"/>
      <c r="HN1651" s="18"/>
      <c r="HO1651" s="18"/>
      <c r="HP1651" s="18"/>
      <c r="HQ1651" s="18"/>
      <c r="HR1651" s="18"/>
      <c r="HS1651" s="18"/>
      <c r="HT1651" s="18"/>
      <c r="HU1651" s="18"/>
      <c r="HV1651" s="18"/>
      <c r="HW1651" s="18"/>
      <c r="HX1651" s="18"/>
      <c r="HY1651" s="18"/>
      <c r="HZ1651" s="18"/>
      <c r="IA1651" s="18"/>
      <c r="IB1651" s="18"/>
      <c r="IC1651" s="18"/>
      <c r="ID1651" s="18"/>
      <c r="IE1651" s="18"/>
      <c r="IF1651" s="18"/>
      <c r="IG1651" s="18"/>
      <c r="IH1651" s="18"/>
      <c r="II1651" s="18"/>
      <c r="IJ1651" s="18"/>
      <c r="IK1651" s="18"/>
      <c r="IL1651" s="18"/>
      <c r="IM1651" s="18"/>
      <c r="IN1651" s="18"/>
      <c r="IO1651" s="18"/>
      <c r="IP1651" s="18"/>
      <c r="IQ1651" s="18"/>
      <c r="IR1651" s="18"/>
      <c r="IS1651" s="18"/>
      <c r="IT1651" s="18"/>
      <c r="IU1651" s="18"/>
      <c r="IV1651" s="18"/>
      <c r="IW1651" s="18"/>
      <c r="IX1651" s="18"/>
      <c r="IY1651" s="18"/>
      <c r="IZ1651" s="18"/>
      <c r="JA1651" s="18"/>
      <c r="JB1651" s="18"/>
      <c r="JC1651" s="18"/>
      <c r="JD1651" s="18"/>
      <c r="JE1651" s="18"/>
      <c r="JF1651" s="18"/>
      <c r="JG1651" s="18"/>
      <c r="JH1651" s="18"/>
      <c r="JI1651" s="18"/>
      <c r="JJ1651" s="18"/>
      <c r="JK1651" s="18"/>
      <c r="JL1651" s="18"/>
      <c r="JM1651" s="18"/>
      <c r="JN1651" s="18"/>
      <c r="JO1651" s="16"/>
      <c r="JP1651" s="16"/>
      <c r="JQ1651" s="16"/>
      <c r="JR1651" s="16"/>
      <c r="JS1651" s="16"/>
      <c r="JT1651" s="16"/>
      <c r="JU1651" s="16"/>
      <c r="JV1651" s="16"/>
      <c r="JW1651" s="16"/>
      <c r="JX1651" s="16"/>
      <c r="JY1651" s="16"/>
      <c r="JZ1651" s="16"/>
      <c r="KA1651" s="16"/>
      <c r="KB1651" s="16"/>
    </row>
    <row r="1652" spans="1:288" s="27" customFormat="1" x14ac:dyDescent="0.2">
      <c r="A1652" s="18"/>
      <c r="B1652" s="16">
        <v>2016</v>
      </c>
      <c r="C1652" s="20">
        <v>42553</v>
      </c>
      <c r="D1652" s="20" t="str">
        <f>CONCATENATE(J1652,"-",C1652)</f>
        <v>988-42553</v>
      </c>
      <c r="E1652" s="20" t="str">
        <f>CONCATENATE(T1652,"-",U1652,"-",C1652)</f>
        <v>SP2-H6-42553</v>
      </c>
      <c r="F1652" s="20" t="s">
        <v>106</v>
      </c>
      <c r="G1652" s="20" t="s">
        <v>278</v>
      </c>
      <c r="H1652" s="16"/>
      <c r="I1652" s="16"/>
      <c r="J1652" s="21">
        <v>988</v>
      </c>
      <c r="K1652" s="21"/>
      <c r="L1652" s="16"/>
      <c r="M1652" s="21"/>
      <c r="N1652" s="21"/>
      <c r="O1652" s="21"/>
      <c r="P1652" s="16"/>
      <c r="Q1652" s="16"/>
      <c r="R1652" s="16"/>
      <c r="S1652" s="16"/>
      <c r="T1652" s="16" t="s">
        <v>137</v>
      </c>
      <c r="U1652" s="16" t="s">
        <v>141</v>
      </c>
      <c r="V1652" s="16"/>
      <c r="W1652" s="16"/>
      <c r="X1652" s="16"/>
      <c r="Y1652" s="16"/>
      <c r="Z1652" s="16"/>
      <c r="AA1652" s="16"/>
      <c r="AB1652" s="16"/>
      <c r="AC1652" s="16"/>
      <c r="AD1652" s="16"/>
      <c r="AE1652" s="16"/>
      <c r="AF1652" s="16"/>
      <c r="AG1652" s="16"/>
      <c r="AH1652" s="16"/>
      <c r="AI1652" s="16"/>
      <c r="AJ1652" s="16"/>
      <c r="AK1652" s="16">
        <v>12</v>
      </c>
      <c r="AL1652" s="16"/>
      <c r="AM1652" s="16"/>
      <c r="AN1652" s="16"/>
      <c r="AO1652" s="16"/>
      <c r="AP1652" s="16"/>
      <c r="AQ1652" s="16"/>
      <c r="AR1652" s="16"/>
      <c r="AS1652" s="16"/>
      <c r="AT1652" s="16"/>
      <c r="AU1652" s="16"/>
      <c r="AV1652" s="16"/>
      <c r="AW1652" s="16"/>
      <c r="AX1652" s="16"/>
      <c r="AY1652" s="16"/>
      <c r="AZ1652" s="16"/>
      <c r="BA1652" s="16"/>
      <c r="BB1652" s="16"/>
      <c r="BC1652" s="16"/>
      <c r="BD1652" s="16"/>
      <c r="BE1652" s="16"/>
      <c r="BF1652" s="16"/>
      <c r="BG1652" s="77"/>
      <c r="BH1652" s="16"/>
      <c r="BI1652" s="16"/>
      <c r="BJ1652" s="16"/>
      <c r="BK1652" s="16"/>
      <c r="BL1652" s="16"/>
      <c r="BM1652" s="16"/>
      <c r="BN1652" s="16"/>
      <c r="BO1652" s="16"/>
      <c r="BP1652" s="16"/>
      <c r="BQ1652" s="16"/>
      <c r="BR1652" s="16"/>
      <c r="BS1652" s="16"/>
      <c r="BT1652" s="77"/>
      <c r="BU1652" s="16"/>
      <c r="BV1652" s="16"/>
      <c r="BW1652" s="16"/>
      <c r="BX1652" s="16"/>
      <c r="BY1652" s="16"/>
      <c r="BZ1652" s="16"/>
      <c r="CA1652" s="16"/>
      <c r="CB1652" s="16"/>
      <c r="CC1652" s="16"/>
      <c r="CD1652" s="77"/>
      <c r="CE1652" s="16"/>
      <c r="CF1652" s="16"/>
      <c r="CG1652" s="16"/>
      <c r="CH1652" s="16"/>
      <c r="CI1652" s="16"/>
      <c r="CJ1652" s="16"/>
      <c r="CK1652" s="16"/>
      <c r="CL1652" s="16"/>
      <c r="CM1652" s="16"/>
      <c r="CN1652" s="16"/>
      <c r="CO1652" s="16"/>
      <c r="CP1652" s="16"/>
      <c r="CQ1652" s="16"/>
      <c r="CR1652" s="16"/>
      <c r="CS1652" s="16"/>
      <c r="CT1652" s="16"/>
      <c r="CU1652" s="16"/>
      <c r="CV1652" s="16"/>
      <c r="CW1652" s="16"/>
      <c r="CX1652" s="16"/>
      <c r="CY1652" s="16"/>
      <c r="CZ1652" s="16"/>
      <c r="DA1652" s="16"/>
      <c r="DB1652" s="16"/>
      <c r="DC1652" s="16"/>
      <c r="DD1652" s="16"/>
      <c r="DE1652" s="16"/>
      <c r="DF1652" s="16" t="e">
        <f>VLOOKUP(K1652,'[3]RNA Seq summary tables'!$V$3:$V$99,1,FALSE)</f>
        <v>#N/A</v>
      </c>
      <c r="DG1652" s="16"/>
      <c r="DH1652" s="16"/>
      <c r="DI1652" s="16"/>
      <c r="DJ1652" s="16"/>
      <c r="DK1652" s="16"/>
      <c r="DL1652" s="16"/>
      <c r="DM1652" s="16"/>
      <c r="DN1652" s="16"/>
      <c r="DO1652" s="16"/>
      <c r="DP1652" s="16"/>
      <c r="DQ1652" s="16"/>
      <c r="DR1652" s="16"/>
      <c r="DS1652" s="16"/>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18"/>
      <c r="EQ1652" s="18"/>
      <c r="ER1652" s="18"/>
      <c r="ES1652" s="18"/>
      <c r="ET1652" s="18"/>
      <c r="EU1652" s="18"/>
      <c r="EV1652" s="18"/>
      <c r="EW1652" s="18"/>
      <c r="EX1652" s="18"/>
      <c r="EY1652" s="18"/>
      <c r="EZ1652" s="18"/>
      <c r="FA1652" s="18"/>
      <c r="FB1652" s="18"/>
      <c r="FC1652" s="18"/>
      <c r="FD1652" s="18"/>
      <c r="FE1652" s="18"/>
      <c r="FF1652" s="18"/>
      <c r="FG1652" s="18"/>
      <c r="FH1652" s="18"/>
      <c r="FI1652" s="18"/>
      <c r="FJ1652" s="18"/>
      <c r="FK1652" s="18"/>
      <c r="FL1652" s="18"/>
      <c r="FM1652" s="18"/>
      <c r="FN1652" s="18"/>
      <c r="FO1652" s="18"/>
      <c r="FP1652" s="18"/>
      <c r="FQ1652" s="18"/>
      <c r="FR1652" s="18"/>
      <c r="FS1652" s="18"/>
      <c r="FT1652" s="18"/>
      <c r="FU1652" s="18"/>
      <c r="FV1652" s="18"/>
      <c r="FW1652" s="18"/>
      <c r="FX1652" s="18"/>
      <c r="FY1652" s="18"/>
      <c r="FZ1652" s="18"/>
      <c r="GA1652" s="18"/>
      <c r="GB1652" s="18"/>
      <c r="GC1652" s="18"/>
      <c r="GD1652" s="18"/>
      <c r="GE1652" s="18"/>
      <c r="GF1652" s="18"/>
      <c r="GG1652" s="18"/>
      <c r="GH1652" s="18"/>
      <c r="GI1652" s="18"/>
      <c r="GJ1652" s="18"/>
      <c r="GK1652" s="18"/>
      <c r="GL1652" s="18"/>
      <c r="GM1652" s="18"/>
      <c r="GN1652" s="18"/>
      <c r="GO1652" s="18"/>
      <c r="GP1652" s="18"/>
      <c r="GQ1652" s="18"/>
      <c r="GR1652" s="18"/>
      <c r="GS1652" s="18"/>
      <c r="GT1652" s="18"/>
      <c r="GU1652" s="18"/>
      <c r="GV1652" s="18"/>
      <c r="GW1652" s="18"/>
      <c r="GX1652" s="18"/>
      <c r="GY1652" s="18"/>
      <c r="GZ1652" s="18"/>
      <c r="HA1652" s="18"/>
      <c r="HB1652" s="18"/>
      <c r="HC1652" s="18"/>
      <c r="HD1652" s="18"/>
      <c r="HE1652" s="18"/>
      <c r="HF1652" s="18"/>
      <c r="HG1652" s="18"/>
      <c r="HH1652" s="18"/>
      <c r="HI1652" s="18"/>
      <c r="HJ1652" s="18"/>
      <c r="HK1652" s="18"/>
      <c r="HL1652" s="18"/>
      <c r="HM1652" s="18"/>
      <c r="HN1652" s="18"/>
      <c r="HO1652" s="18"/>
      <c r="HP1652" s="18"/>
      <c r="HQ1652" s="18"/>
      <c r="HR1652" s="18"/>
      <c r="HS1652" s="18"/>
      <c r="HT1652" s="18"/>
      <c r="HU1652" s="18"/>
      <c r="HV1652" s="18"/>
      <c r="HW1652" s="18"/>
      <c r="HX1652" s="18"/>
      <c r="HY1652" s="18"/>
      <c r="HZ1652" s="18"/>
      <c r="IA1652" s="18"/>
      <c r="IB1652" s="18"/>
      <c r="IC1652" s="18"/>
      <c r="ID1652" s="18"/>
      <c r="IE1652" s="18"/>
      <c r="IF1652" s="18"/>
      <c r="IG1652" s="18"/>
      <c r="IH1652" s="18"/>
      <c r="II1652" s="18"/>
      <c r="IJ1652" s="18"/>
      <c r="IK1652" s="18"/>
      <c r="IL1652" s="18"/>
      <c r="IM1652" s="18"/>
      <c r="IN1652" s="18"/>
      <c r="IO1652" s="18"/>
      <c r="IP1652" s="18"/>
      <c r="IQ1652" s="18"/>
      <c r="IR1652" s="18"/>
      <c r="IS1652" s="18"/>
      <c r="IT1652" s="18"/>
      <c r="IU1652" s="18"/>
      <c r="IV1652" s="18"/>
      <c r="IW1652" s="18"/>
      <c r="IX1652" s="18"/>
      <c r="IY1652" s="18"/>
      <c r="IZ1652" s="18"/>
      <c r="JA1652" s="18"/>
      <c r="JB1652" s="18"/>
      <c r="JC1652" s="18"/>
      <c r="JD1652" s="18"/>
      <c r="JE1652" s="18"/>
      <c r="JF1652" s="18"/>
      <c r="JG1652" s="18"/>
      <c r="JH1652" s="18"/>
      <c r="JI1652" s="18"/>
      <c r="JJ1652" s="18"/>
      <c r="JK1652" s="18"/>
      <c r="JL1652" s="18"/>
      <c r="JM1652" s="18"/>
      <c r="JN1652" s="18"/>
      <c r="JO1652" s="16"/>
      <c r="JP1652" s="16"/>
      <c r="JQ1652" s="16"/>
      <c r="JR1652" s="16"/>
      <c r="JS1652" s="16"/>
      <c r="JT1652" s="16"/>
      <c r="JU1652" s="16"/>
      <c r="JV1652" s="16"/>
      <c r="JW1652" s="16"/>
      <c r="JX1652" s="16"/>
      <c r="JY1652" s="16"/>
      <c r="JZ1652" s="16"/>
      <c r="KA1652" s="16"/>
      <c r="KB1652" s="16"/>
    </row>
    <row r="1653" spans="1:288" s="27" customFormat="1" x14ac:dyDescent="0.2">
      <c r="A1653" s="18"/>
      <c r="B1653" s="16">
        <v>2016</v>
      </c>
      <c r="C1653" s="20">
        <v>42566</v>
      </c>
      <c r="D1653" s="20" t="str">
        <f>CONCATENATE(J1653,"-",C1653)</f>
        <v>988-42566</v>
      </c>
      <c r="E1653" s="20" t="str">
        <f>CONCATENATE(T1653,"-",U1653,"-",C1653)</f>
        <v>SP1-F5-42566</v>
      </c>
      <c r="F1653" s="20" t="s">
        <v>106</v>
      </c>
      <c r="G1653" s="20" t="s">
        <v>278</v>
      </c>
      <c r="H1653" s="16"/>
      <c r="I1653" s="16"/>
      <c r="J1653" s="21">
        <v>988</v>
      </c>
      <c r="K1653" s="21"/>
      <c r="L1653" s="16"/>
      <c r="M1653" s="21"/>
      <c r="N1653" s="21"/>
      <c r="O1653" s="21"/>
      <c r="P1653" s="16"/>
      <c r="Q1653" s="16"/>
      <c r="R1653" s="16"/>
      <c r="S1653" s="16"/>
      <c r="T1653" s="16" t="s">
        <v>140</v>
      </c>
      <c r="U1653" s="16" t="s">
        <v>185</v>
      </c>
      <c r="V1653" s="16"/>
      <c r="W1653" s="16"/>
      <c r="X1653" s="16"/>
      <c r="Y1653" s="16"/>
      <c r="Z1653" s="16"/>
      <c r="AA1653" s="16"/>
      <c r="AB1653" s="16"/>
      <c r="AC1653" s="16"/>
      <c r="AD1653" s="16"/>
      <c r="AE1653" s="16"/>
      <c r="AF1653" s="16"/>
      <c r="AG1653" s="16"/>
      <c r="AH1653" s="16"/>
      <c r="AI1653" s="16"/>
      <c r="AJ1653" s="16"/>
      <c r="AK1653" s="16"/>
      <c r="AL1653" s="16"/>
      <c r="AM1653" s="16"/>
      <c r="AN1653" s="16"/>
      <c r="AO1653" s="16"/>
      <c r="AP1653" s="16"/>
      <c r="AQ1653" s="16"/>
      <c r="AR1653" s="16"/>
      <c r="AS1653" s="16"/>
      <c r="AT1653" s="16"/>
      <c r="AU1653" s="16"/>
      <c r="AV1653" s="16"/>
      <c r="AW1653" s="16"/>
      <c r="AX1653" s="16"/>
      <c r="AY1653" s="16"/>
      <c r="AZ1653" s="16"/>
      <c r="BA1653" s="16"/>
      <c r="BB1653" s="16"/>
      <c r="BC1653" s="16"/>
      <c r="BD1653" s="16"/>
      <c r="BE1653" s="16"/>
      <c r="BF1653" s="16"/>
      <c r="BG1653" s="77"/>
      <c r="BH1653" s="16"/>
      <c r="BI1653" s="16"/>
      <c r="BJ1653" s="16"/>
      <c r="BK1653" s="16"/>
      <c r="BL1653" s="16"/>
      <c r="BM1653" s="16"/>
      <c r="BN1653" s="16"/>
      <c r="BO1653" s="16"/>
      <c r="BP1653" s="16"/>
      <c r="BQ1653" s="16"/>
      <c r="BR1653" s="16"/>
      <c r="BS1653" s="16"/>
      <c r="BT1653" s="77"/>
      <c r="BU1653" s="16"/>
      <c r="BV1653" s="16"/>
      <c r="BW1653" s="16"/>
      <c r="BX1653" s="16"/>
      <c r="BY1653" s="16"/>
      <c r="BZ1653" s="16"/>
      <c r="CA1653" s="16"/>
      <c r="CB1653" s="16"/>
      <c r="CC1653" s="16"/>
      <c r="CD1653" s="77"/>
      <c r="CE1653" s="16"/>
      <c r="CF1653" s="16"/>
      <c r="CG1653" s="16"/>
      <c r="CH1653" s="16"/>
      <c r="CI1653" s="16"/>
      <c r="CJ1653" s="16"/>
      <c r="CK1653" s="16"/>
      <c r="CL1653" s="16"/>
      <c r="CM1653" s="16"/>
      <c r="CN1653" s="16"/>
      <c r="CO1653" s="16"/>
      <c r="CP1653" s="16"/>
      <c r="CQ1653" s="16"/>
      <c r="CR1653" s="16"/>
      <c r="CS1653" s="16"/>
      <c r="CT1653" s="16"/>
      <c r="CU1653" s="16"/>
      <c r="CV1653" s="16"/>
      <c r="CW1653" s="16"/>
      <c r="CX1653" s="16"/>
      <c r="CY1653" s="16"/>
      <c r="CZ1653" s="16"/>
      <c r="DA1653" s="16"/>
      <c r="DB1653" s="16"/>
      <c r="DC1653" s="16"/>
      <c r="DD1653" s="16"/>
      <c r="DE1653" s="16"/>
      <c r="DF1653" s="16" t="e">
        <f>VLOOKUP(K1653,'[3]RNA Seq summary tables'!$V$3:$V$99,1,FALSE)</f>
        <v>#N/A</v>
      </c>
      <c r="DG1653" s="16"/>
      <c r="DH1653" s="16"/>
      <c r="DI1653" s="16"/>
      <c r="DJ1653" s="16"/>
      <c r="DK1653" s="16"/>
      <c r="DL1653" s="16"/>
      <c r="DM1653" s="16"/>
      <c r="DN1653" s="16"/>
      <c r="DO1653" s="16"/>
      <c r="DP1653" s="16"/>
      <c r="DQ1653" s="16"/>
      <c r="DR1653" s="16"/>
      <c r="DS1653" s="16"/>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18"/>
      <c r="EQ1653" s="18"/>
      <c r="ER1653" s="18"/>
      <c r="ES1653" s="18"/>
      <c r="ET1653" s="18"/>
      <c r="EU1653" s="18"/>
      <c r="EV1653" s="18"/>
      <c r="EW1653" s="18"/>
      <c r="EX1653" s="18"/>
      <c r="EY1653" s="18"/>
      <c r="EZ1653" s="18"/>
      <c r="FA1653" s="18"/>
      <c r="FB1653" s="18"/>
      <c r="FC1653" s="18"/>
      <c r="FD1653" s="18"/>
      <c r="FE1653" s="18"/>
      <c r="FF1653" s="18"/>
      <c r="FG1653" s="18"/>
      <c r="FH1653" s="18"/>
      <c r="FI1653" s="18"/>
      <c r="FJ1653" s="18"/>
      <c r="FK1653" s="18"/>
      <c r="FL1653" s="18"/>
      <c r="FM1653" s="18"/>
      <c r="FN1653" s="18"/>
      <c r="FO1653" s="18"/>
      <c r="FP1653" s="18"/>
      <c r="FQ1653" s="18"/>
      <c r="FR1653" s="18"/>
      <c r="FS1653" s="18"/>
      <c r="FT1653" s="18"/>
      <c r="FU1653" s="18"/>
      <c r="FV1653" s="18"/>
      <c r="FW1653" s="18"/>
      <c r="FX1653" s="18"/>
      <c r="FY1653" s="18"/>
      <c r="FZ1653" s="18"/>
      <c r="GA1653" s="18"/>
      <c r="GB1653" s="18"/>
      <c r="GC1653" s="18"/>
      <c r="GD1653" s="18"/>
      <c r="GE1653" s="18"/>
      <c r="GF1653" s="18"/>
      <c r="GG1653" s="18"/>
      <c r="GH1653" s="18"/>
      <c r="GI1653" s="18"/>
      <c r="GJ1653" s="18"/>
      <c r="GK1653" s="18"/>
      <c r="GL1653" s="18"/>
      <c r="GM1653" s="18"/>
      <c r="GN1653" s="18"/>
      <c r="GO1653" s="18"/>
      <c r="GP1653" s="18"/>
      <c r="GQ1653" s="18"/>
      <c r="GR1653" s="18"/>
      <c r="GS1653" s="18"/>
      <c r="GT1653" s="18"/>
      <c r="GU1653" s="18"/>
      <c r="GV1653" s="18"/>
      <c r="GW1653" s="18"/>
      <c r="GX1653" s="18"/>
      <c r="GY1653" s="18"/>
      <c r="GZ1653" s="18"/>
      <c r="HA1653" s="18"/>
      <c r="HB1653" s="18"/>
      <c r="HC1653" s="18"/>
      <c r="HD1653" s="18"/>
      <c r="HE1653" s="18"/>
      <c r="HF1653" s="18"/>
      <c r="HG1653" s="18"/>
      <c r="HH1653" s="18"/>
      <c r="HI1653" s="18"/>
      <c r="HJ1653" s="18"/>
      <c r="HK1653" s="18"/>
      <c r="HL1653" s="18"/>
      <c r="HM1653" s="18"/>
      <c r="HN1653" s="18"/>
      <c r="HO1653" s="18"/>
      <c r="HP1653" s="18"/>
      <c r="HQ1653" s="18"/>
      <c r="HR1653" s="18"/>
      <c r="HS1653" s="18"/>
      <c r="HT1653" s="18"/>
      <c r="HU1653" s="18"/>
      <c r="HV1653" s="18"/>
      <c r="HW1653" s="18"/>
      <c r="HX1653" s="18"/>
      <c r="HY1653" s="18"/>
      <c r="HZ1653" s="18"/>
      <c r="IA1653" s="18"/>
      <c r="IB1653" s="18"/>
      <c r="IC1653" s="18"/>
      <c r="ID1653" s="18"/>
      <c r="IE1653" s="18"/>
      <c r="IF1653" s="18"/>
      <c r="IG1653" s="18"/>
      <c r="IH1653" s="18"/>
      <c r="II1653" s="18"/>
      <c r="IJ1653" s="18"/>
      <c r="IK1653" s="18"/>
      <c r="IL1653" s="18"/>
      <c r="IM1653" s="18"/>
      <c r="IN1653" s="18"/>
      <c r="IO1653" s="18"/>
      <c r="IP1653" s="18"/>
      <c r="IQ1653" s="18"/>
      <c r="IR1653" s="18"/>
      <c r="IS1653" s="18"/>
      <c r="IT1653" s="18"/>
      <c r="IU1653" s="18"/>
      <c r="IV1653" s="18"/>
      <c r="IW1653" s="18"/>
      <c r="IX1653" s="18"/>
      <c r="IY1653" s="18"/>
      <c r="IZ1653" s="18"/>
      <c r="JA1653" s="18"/>
      <c r="JB1653" s="18"/>
      <c r="JC1653" s="18"/>
      <c r="JD1653" s="18"/>
      <c r="JE1653" s="18"/>
      <c r="JF1653" s="18"/>
      <c r="JG1653" s="18"/>
      <c r="JH1653" s="18"/>
      <c r="JI1653" s="18"/>
      <c r="JJ1653" s="18"/>
      <c r="JK1653" s="18"/>
      <c r="JL1653" s="18"/>
      <c r="JM1653" s="18"/>
      <c r="JN1653" s="18"/>
      <c r="JO1653" s="16"/>
      <c r="JP1653" s="16"/>
      <c r="JQ1653" s="16"/>
      <c r="JR1653" s="16"/>
      <c r="JS1653" s="16"/>
      <c r="JT1653" s="16"/>
      <c r="JU1653" s="16"/>
      <c r="JV1653" s="16"/>
      <c r="JW1653" s="16"/>
      <c r="JX1653" s="16"/>
      <c r="JY1653" s="16"/>
      <c r="JZ1653" s="16"/>
      <c r="KA1653" s="16"/>
      <c r="KB1653" s="16"/>
    </row>
    <row r="1654" spans="1:288" s="27" customFormat="1" x14ac:dyDescent="0.2">
      <c r="A1654" s="18"/>
      <c r="B1654" s="16">
        <v>2016</v>
      </c>
      <c r="C1654" s="20">
        <v>42567</v>
      </c>
      <c r="D1654" s="20" t="str">
        <f>CONCATENATE(J1654,"-",C1654)</f>
        <v>988-42567</v>
      </c>
      <c r="E1654" s="20" t="str">
        <f>CONCATENATE(T1654,"-",U1654,"-",C1654)</f>
        <v>SP1-E5-42567</v>
      </c>
      <c r="F1654" s="20" t="s">
        <v>106</v>
      </c>
      <c r="G1654" s="20" t="s">
        <v>278</v>
      </c>
      <c r="H1654" s="16"/>
      <c r="I1654" s="16"/>
      <c r="J1654" s="21">
        <v>988</v>
      </c>
      <c r="K1654" s="21"/>
      <c r="L1654" s="16"/>
      <c r="M1654" s="21"/>
      <c r="N1654" s="21"/>
      <c r="O1654" s="21"/>
      <c r="P1654" s="16"/>
      <c r="Q1654" s="16"/>
      <c r="R1654" s="16"/>
      <c r="S1654" s="16"/>
      <c r="T1654" s="16" t="s">
        <v>140</v>
      </c>
      <c r="U1654" s="16" t="s">
        <v>158</v>
      </c>
      <c r="V1654" s="16" t="s">
        <v>114</v>
      </c>
      <c r="W1654" s="16"/>
      <c r="X1654" s="16" t="s">
        <v>115</v>
      </c>
      <c r="Y1654" s="16" t="s">
        <v>110</v>
      </c>
      <c r="Z1654" s="16">
        <v>3</v>
      </c>
      <c r="AA1654" s="16"/>
      <c r="AB1654" s="16"/>
      <c r="AC1654" s="16"/>
      <c r="AD1654" s="16"/>
      <c r="AE1654" s="16"/>
      <c r="AF1654" s="16"/>
      <c r="AG1654" s="16"/>
      <c r="AH1654" s="16"/>
      <c r="AI1654" s="16"/>
      <c r="AJ1654" s="16"/>
      <c r="AK1654" s="16">
        <v>13</v>
      </c>
      <c r="AL1654" s="16"/>
      <c r="AM1654" s="16"/>
      <c r="AN1654" s="16"/>
      <c r="AO1654" s="16"/>
      <c r="AP1654" s="16"/>
      <c r="AQ1654" s="16"/>
      <c r="AR1654" s="16"/>
      <c r="AS1654" s="16"/>
      <c r="AT1654" s="16"/>
      <c r="AU1654" s="16"/>
      <c r="AV1654" s="16"/>
      <c r="AW1654" s="16"/>
      <c r="AX1654" s="16"/>
      <c r="AY1654" s="16"/>
      <c r="AZ1654" s="16"/>
      <c r="BA1654" s="16"/>
      <c r="BB1654" s="16"/>
      <c r="BC1654" s="16"/>
      <c r="BD1654" s="16"/>
      <c r="BE1654" s="16"/>
      <c r="BF1654" s="16"/>
      <c r="BG1654" s="77"/>
      <c r="BH1654" s="16"/>
      <c r="BI1654" s="16"/>
      <c r="BJ1654" s="16"/>
      <c r="BK1654" s="16"/>
      <c r="BL1654" s="16"/>
      <c r="BM1654" s="16"/>
      <c r="BN1654" s="16"/>
      <c r="BO1654" s="16"/>
      <c r="BP1654" s="16"/>
      <c r="BQ1654" s="16"/>
      <c r="BR1654" s="16"/>
      <c r="BS1654" s="16"/>
      <c r="BT1654" s="77"/>
      <c r="BU1654" s="16"/>
      <c r="BV1654" s="16"/>
      <c r="BW1654" s="16"/>
      <c r="BX1654" s="16"/>
      <c r="BY1654" s="16"/>
      <c r="BZ1654" s="16"/>
      <c r="CA1654" s="16"/>
      <c r="CB1654" s="16"/>
      <c r="CC1654" s="16"/>
      <c r="CD1654" s="77"/>
      <c r="CE1654" s="16"/>
      <c r="CF1654" s="16"/>
      <c r="CG1654" s="16"/>
      <c r="CH1654" s="16"/>
      <c r="CI1654" s="16"/>
      <c r="CJ1654" s="16"/>
      <c r="CK1654" s="16"/>
      <c r="CL1654" s="16"/>
      <c r="CM1654" s="16"/>
      <c r="CN1654" s="16"/>
      <c r="CO1654" s="16"/>
      <c r="CP1654" s="16"/>
      <c r="CQ1654" s="16"/>
      <c r="CR1654" s="16"/>
      <c r="CS1654" s="16"/>
      <c r="CT1654" s="16"/>
      <c r="CU1654" s="16"/>
      <c r="CV1654" s="16"/>
      <c r="CW1654" s="16"/>
      <c r="CX1654" s="16"/>
      <c r="CY1654" s="16"/>
      <c r="CZ1654" s="16"/>
      <c r="DA1654" s="16"/>
      <c r="DB1654" s="16"/>
      <c r="DC1654" s="16"/>
      <c r="DD1654" s="16"/>
      <c r="DE1654" s="16"/>
      <c r="DF1654" s="16" t="e">
        <f>VLOOKUP(K1654,'[3]RNA Seq summary tables'!$V$3:$V$99,1,FALSE)</f>
        <v>#N/A</v>
      </c>
      <c r="DG1654" s="16"/>
      <c r="DH1654" s="16"/>
      <c r="DI1654" s="16"/>
      <c r="DJ1654" s="16"/>
      <c r="DK1654" s="16"/>
      <c r="DL1654" s="16"/>
      <c r="DM1654" s="16"/>
      <c r="DN1654" s="16"/>
      <c r="DO1654" s="16"/>
      <c r="DP1654" s="16"/>
      <c r="DQ1654" s="16"/>
      <c r="DR1654" s="16"/>
      <c r="DS1654" s="16"/>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18"/>
      <c r="EQ1654" s="18"/>
      <c r="ER1654" s="18"/>
      <c r="ES1654" s="18"/>
      <c r="ET1654" s="18"/>
      <c r="EU1654" s="18"/>
      <c r="EV1654" s="18"/>
      <c r="EW1654" s="18"/>
      <c r="EX1654" s="18"/>
      <c r="EY1654" s="18"/>
      <c r="EZ1654" s="18"/>
      <c r="FA1654" s="18"/>
      <c r="FB1654" s="18"/>
      <c r="FC1654" s="18"/>
      <c r="FD1654" s="18"/>
      <c r="FE1654" s="18"/>
      <c r="FF1654" s="18"/>
      <c r="FG1654" s="18"/>
      <c r="FH1654" s="18"/>
      <c r="FI1654" s="18"/>
      <c r="FJ1654" s="18"/>
      <c r="FK1654" s="18"/>
      <c r="FL1654" s="18"/>
      <c r="FM1654" s="18"/>
      <c r="FN1654" s="18"/>
      <c r="FO1654" s="18"/>
      <c r="FP1654" s="18"/>
      <c r="FQ1654" s="18"/>
      <c r="FR1654" s="18"/>
      <c r="FS1654" s="18"/>
      <c r="FT1654" s="18"/>
      <c r="FU1654" s="18"/>
      <c r="FV1654" s="18"/>
      <c r="FW1654" s="18"/>
      <c r="FX1654" s="18"/>
      <c r="FY1654" s="18"/>
      <c r="FZ1654" s="18"/>
      <c r="GA1654" s="18"/>
      <c r="GB1654" s="18"/>
      <c r="GC1654" s="18"/>
      <c r="GD1654" s="18"/>
      <c r="GE1654" s="18"/>
      <c r="GF1654" s="18"/>
      <c r="GG1654" s="18"/>
      <c r="GH1654" s="18"/>
      <c r="GI1654" s="18"/>
      <c r="GJ1654" s="18"/>
      <c r="GK1654" s="18"/>
      <c r="GL1654" s="18"/>
      <c r="GM1654" s="18"/>
      <c r="GN1654" s="18"/>
      <c r="GO1654" s="18"/>
      <c r="GP1654" s="18"/>
      <c r="GQ1654" s="18"/>
      <c r="GR1654" s="18"/>
      <c r="GS1654" s="18"/>
      <c r="GT1654" s="18"/>
      <c r="GU1654" s="18"/>
      <c r="GV1654" s="18"/>
      <c r="GW1654" s="18"/>
      <c r="GX1654" s="18"/>
      <c r="GY1654" s="18"/>
      <c r="GZ1654" s="18"/>
      <c r="HA1654" s="18"/>
      <c r="HB1654" s="18"/>
      <c r="HC1654" s="18"/>
      <c r="HD1654" s="18"/>
      <c r="HE1654" s="18"/>
      <c r="HF1654" s="18"/>
      <c r="HG1654" s="18"/>
      <c r="HH1654" s="18"/>
      <c r="HI1654" s="18"/>
      <c r="HJ1654" s="18"/>
      <c r="HK1654" s="18"/>
      <c r="HL1654" s="18"/>
      <c r="HM1654" s="18"/>
      <c r="HN1654" s="18"/>
      <c r="HO1654" s="18"/>
      <c r="HP1654" s="18"/>
      <c r="HQ1654" s="18"/>
      <c r="HR1654" s="18"/>
      <c r="HS1654" s="18"/>
      <c r="HT1654" s="18"/>
      <c r="HU1654" s="18"/>
      <c r="HV1654" s="18"/>
      <c r="HW1654" s="18"/>
      <c r="HX1654" s="18"/>
      <c r="HY1654" s="18"/>
      <c r="HZ1654" s="18"/>
      <c r="IA1654" s="18"/>
      <c r="IB1654" s="18"/>
      <c r="IC1654" s="18"/>
      <c r="ID1654" s="18"/>
      <c r="IE1654" s="18"/>
      <c r="IF1654" s="18"/>
      <c r="IG1654" s="18"/>
      <c r="IH1654" s="18"/>
      <c r="II1654" s="18"/>
      <c r="IJ1654" s="18"/>
      <c r="IK1654" s="18"/>
      <c r="IL1654" s="18"/>
      <c r="IM1654" s="18"/>
      <c r="IN1654" s="18"/>
      <c r="IO1654" s="18"/>
      <c r="IP1654" s="18"/>
      <c r="IQ1654" s="18"/>
      <c r="IR1654" s="18"/>
      <c r="IS1654" s="18"/>
      <c r="IT1654" s="18"/>
      <c r="IU1654" s="18"/>
      <c r="IV1654" s="18"/>
      <c r="IW1654" s="18"/>
      <c r="IX1654" s="18"/>
      <c r="IY1654" s="18"/>
      <c r="IZ1654" s="18"/>
      <c r="JA1654" s="18"/>
      <c r="JB1654" s="18"/>
      <c r="JC1654" s="18"/>
      <c r="JD1654" s="18"/>
      <c r="JE1654" s="18"/>
      <c r="JF1654" s="18"/>
      <c r="JG1654" s="18"/>
      <c r="JH1654" s="18"/>
      <c r="JI1654" s="18"/>
      <c r="JJ1654" s="18"/>
      <c r="JK1654" s="18"/>
      <c r="JL1654" s="18"/>
      <c r="JM1654" s="18"/>
      <c r="JN1654" s="18"/>
      <c r="JP1654" s="16"/>
      <c r="JQ1654" s="16"/>
      <c r="JR1654" s="16"/>
      <c r="JS1654" s="16"/>
      <c r="JT1654" s="16"/>
      <c r="JU1654" s="16"/>
      <c r="JV1654" s="16"/>
      <c r="JW1654" s="16"/>
      <c r="JX1654" s="16"/>
      <c r="JY1654" s="16"/>
      <c r="JZ1654" s="16"/>
      <c r="KA1654" s="16"/>
      <c r="KB1654" s="16"/>
    </row>
    <row r="1655" spans="1:288" s="27" customFormat="1" x14ac:dyDescent="0.2">
      <c r="A1655" s="18"/>
      <c r="B1655" s="16">
        <v>2016</v>
      </c>
      <c r="C1655" s="20">
        <v>42581</v>
      </c>
      <c r="D1655" s="20" t="str">
        <f>CONCATENATE(J1655,"-",C1655)</f>
        <v>988-42581</v>
      </c>
      <c r="E1655" s="20" t="str">
        <f>CONCATENATE(T1655,"-",U1655,"-",C1655)</f>
        <v>SP1-H5-42581</v>
      </c>
      <c r="F1655" s="20" t="s">
        <v>106</v>
      </c>
      <c r="G1655" s="20" t="s">
        <v>278</v>
      </c>
      <c r="H1655" s="16"/>
      <c r="I1655" s="16"/>
      <c r="J1655" s="21">
        <v>988</v>
      </c>
      <c r="K1655" s="21"/>
      <c r="L1655" s="16"/>
      <c r="M1655" s="21"/>
      <c r="N1655" s="21"/>
      <c r="O1655" s="21"/>
      <c r="P1655" s="16"/>
      <c r="Q1655" s="16"/>
      <c r="R1655" s="16"/>
      <c r="S1655" s="16"/>
      <c r="T1655" s="16" t="s">
        <v>140</v>
      </c>
      <c r="U1655" s="16" t="s">
        <v>180</v>
      </c>
      <c r="V1655" s="16"/>
      <c r="W1655" s="16"/>
      <c r="X1655" s="16"/>
      <c r="Y1655" s="16"/>
      <c r="Z1655" s="16"/>
      <c r="AA1655" s="16"/>
      <c r="AB1655" s="16"/>
      <c r="AC1655" s="16"/>
      <c r="AD1655" s="16"/>
      <c r="AE1655" s="16"/>
      <c r="AF1655" s="16"/>
      <c r="AG1655" s="16"/>
      <c r="AH1655" s="16"/>
      <c r="AI1655" s="16"/>
      <c r="AJ1655" s="16"/>
      <c r="AK1655" s="16"/>
      <c r="AL1655" s="16"/>
      <c r="AM1655" s="16"/>
      <c r="AN1655" s="16"/>
      <c r="AO1655" s="16"/>
      <c r="AP1655" s="16"/>
      <c r="AQ1655" s="16"/>
      <c r="AR1655" s="16"/>
      <c r="AS1655" s="16"/>
      <c r="AT1655" s="16"/>
      <c r="AU1655" s="16"/>
      <c r="AV1655" s="16"/>
      <c r="AW1655" s="16"/>
      <c r="AX1655" s="16"/>
      <c r="AY1655" s="16"/>
      <c r="AZ1655" s="16"/>
      <c r="BA1655" s="16"/>
      <c r="BB1655" s="16"/>
      <c r="BC1655" s="16"/>
      <c r="BD1655" s="16"/>
      <c r="BE1655" s="16"/>
      <c r="BF1655" s="16"/>
      <c r="BG1655" s="77"/>
      <c r="BH1655" s="16"/>
      <c r="BI1655" s="16"/>
      <c r="BJ1655" s="16"/>
      <c r="BK1655" s="16"/>
      <c r="BL1655" s="16"/>
      <c r="BM1655" s="16"/>
      <c r="BN1655" s="16"/>
      <c r="BO1655" s="16"/>
      <c r="BP1655" s="16"/>
      <c r="BQ1655" s="16"/>
      <c r="BR1655" s="16"/>
      <c r="BS1655" s="16"/>
      <c r="BT1655" s="77"/>
      <c r="BU1655" s="16"/>
      <c r="BV1655" s="16"/>
      <c r="BW1655" s="16"/>
      <c r="BX1655" s="16"/>
      <c r="BY1655" s="16"/>
      <c r="BZ1655" s="16"/>
      <c r="CA1655" s="16"/>
      <c r="CB1655" s="16"/>
      <c r="CC1655" s="16"/>
      <c r="CD1655" s="77"/>
      <c r="CE1655" s="16"/>
      <c r="CF1655" s="16"/>
      <c r="CG1655" s="16"/>
      <c r="CH1655" s="16"/>
      <c r="CI1655" s="16"/>
      <c r="CJ1655" s="16"/>
      <c r="CK1655" s="16"/>
      <c r="CL1655" s="16"/>
      <c r="CM1655" s="16"/>
      <c r="CN1655" s="16"/>
      <c r="CO1655" s="16"/>
      <c r="CP1655" s="16"/>
      <c r="CQ1655" s="16"/>
      <c r="CR1655" s="16"/>
      <c r="CS1655" s="16"/>
      <c r="CT1655" s="16"/>
      <c r="CU1655" s="16"/>
      <c r="CV1655" s="16"/>
      <c r="CW1655" s="16"/>
      <c r="CX1655" s="16"/>
      <c r="CY1655" s="16"/>
      <c r="CZ1655" s="16"/>
      <c r="DA1655" s="16"/>
      <c r="DB1655" s="16"/>
      <c r="DC1655" s="16"/>
      <c r="DD1655" s="16"/>
      <c r="DE1655" s="16"/>
      <c r="DF1655" s="16" t="e">
        <f>VLOOKUP(K1655,'[3]RNA Seq summary tables'!$V$3:$V$99,1,FALSE)</f>
        <v>#N/A</v>
      </c>
      <c r="DG1655" s="16"/>
      <c r="DH1655" s="16"/>
      <c r="DI1655" s="16"/>
      <c r="DJ1655" s="16"/>
      <c r="DK1655" s="16"/>
      <c r="DL1655" s="16"/>
      <c r="DM1655" s="16"/>
      <c r="DN1655" s="16"/>
      <c r="DO1655" s="16"/>
      <c r="DP1655" s="16"/>
      <c r="DQ1655" s="16"/>
      <c r="DR1655" s="16"/>
      <c r="DS1655" s="16"/>
      <c r="DT1655" s="18"/>
      <c r="DU1655" s="18"/>
      <c r="DV1655" s="18"/>
      <c r="DW1655" s="18"/>
      <c r="DX1655" s="18"/>
      <c r="DY1655" s="18"/>
      <c r="DZ1655" s="18"/>
      <c r="EA1655" s="18"/>
      <c r="EB1655" s="18"/>
      <c r="EC1655" s="18"/>
      <c r="ED1655" s="18"/>
      <c r="EE1655" s="18"/>
      <c r="EF1655" s="95"/>
      <c r="EG1655" s="95"/>
      <c r="EH1655" s="95"/>
      <c r="EI1655" s="95"/>
      <c r="EJ1655" s="95"/>
      <c r="EK1655" s="95"/>
      <c r="EL1655" s="95"/>
      <c r="EM1655" s="95"/>
      <c r="EN1655" s="95"/>
      <c r="EO1655" s="95"/>
      <c r="EP1655" s="95"/>
      <c r="EQ1655" s="95"/>
      <c r="ER1655" s="95"/>
      <c r="ES1655" s="95"/>
      <c r="ET1655" s="95"/>
      <c r="EU1655" s="95"/>
      <c r="EV1655" s="95"/>
      <c r="EW1655" s="95"/>
      <c r="EX1655" s="95"/>
      <c r="EY1655" s="95"/>
      <c r="EZ1655" s="95"/>
      <c r="FA1655" s="95"/>
      <c r="FB1655" s="95"/>
      <c r="FC1655" s="95"/>
      <c r="FD1655" s="95"/>
      <c r="FE1655" s="95"/>
      <c r="FF1655" s="95"/>
      <c r="FG1655" s="95"/>
      <c r="FH1655" s="95"/>
      <c r="FI1655" s="95"/>
      <c r="FJ1655" s="95"/>
      <c r="FK1655" s="95"/>
      <c r="FL1655" s="95"/>
      <c r="FM1655" s="95"/>
      <c r="FN1655" s="95"/>
      <c r="FO1655" s="95"/>
      <c r="FP1655" s="95"/>
      <c r="FQ1655" s="95"/>
      <c r="FR1655" s="95"/>
      <c r="FS1655" s="95"/>
      <c r="FT1655" s="95"/>
      <c r="FU1655" s="95"/>
      <c r="FV1655" s="95"/>
      <c r="FW1655" s="95"/>
      <c r="FX1655" s="95"/>
      <c r="FY1655" s="95"/>
      <c r="FZ1655" s="95"/>
      <c r="GA1655" s="95"/>
      <c r="GB1655" s="95"/>
      <c r="GC1655" s="95"/>
      <c r="GD1655" s="95"/>
      <c r="GE1655" s="95"/>
      <c r="GF1655" s="95"/>
      <c r="GG1655" s="95"/>
      <c r="GH1655" s="95"/>
      <c r="GI1655" s="95"/>
      <c r="GJ1655" s="95"/>
      <c r="GK1655" s="95"/>
      <c r="GL1655" s="95"/>
      <c r="GM1655" s="95"/>
      <c r="GN1655" s="95"/>
      <c r="GO1655" s="95"/>
      <c r="GP1655" s="95"/>
      <c r="GQ1655" s="95"/>
      <c r="GR1655" s="95"/>
      <c r="GS1655" s="95"/>
      <c r="GT1655" s="95"/>
      <c r="GU1655" s="95"/>
      <c r="GV1655" s="95"/>
      <c r="GW1655" s="95"/>
      <c r="GX1655" s="95"/>
      <c r="GY1655" s="95"/>
      <c r="GZ1655" s="95"/>
      <c r="HA1655" s="95"/>
      <c r="HB1655" s="95"/>
      <c r="HC1655" s="95"/>
      <c r="HD1655" s="95"/>
      <c r="HE1655" s="95"/>
      <c r="HF1655" s="95"/>
      <c r="HG1655" s="95"/>
      <c r="HH1655" s="95"/>
      <c r="HI1655" s="95"/>
      <c r="HJ1655" s="95"/>
      <c r="HK1655" s="95"/>
      <c r="HL1655" s="95"/>
      <c r="HM1655" s="95"/>
      <c r="HN1655" s="95"/>
      <c r="HO1655" s="95"/>
      <c r="HP1655" s="95"/>
      <c r="HQ1655" s="95"/>
      <c r="HR1655" s="95"/>
      <c r="HS1655" s="95"/>
      <c r="HT1655" s="95"/>
      <c r="HU1655" s="95"/>
      <c r="HV1655" s="95"/>
      <c r="HW1655" s="95"/>
      <c r="HX1655" s="95"/>
      <c r="HY1655" s="95"/>
      <c r="HZ1655" s="95"/>
      <c r="IA1655" s="95"/>
      <c r="IB1655" s="95"/>
      <c r="IC1655" s="95"/>
      <c r="ID1655" s="95"/>
      <c r="IE1655" s="95"/>
      <c r="IF1655" s="95"/>
      <c r="IG1655" s="95"/>
      <c r="IH1655" s="95"/>
      <c r="II1655" s="95"/>
      <c r="IJ1655" s="95"/>
      <c r="IK1655" s="95"/>
      <c r="IL1655" s="95"/>
      <c r="IM1655" s="95"/>
      <c r="IN1655" s="95"/>
      <c r="IO1655" s="95"/>
      <c r="IP1655" s="95"/>
      <c r="IQ1655" s="95"/>
      <c r="IR1655" s="95"/>
      <c r="IS1655" s="95"/>
      <c r="IT1655" s="95"/>
      <c r="IU1655" s="95"/>
      <c r="IV1655" s="95"/>
      <c r="IW1655" s="95"/>
      <c r="IX1655" s="95"/>
      <c r="IY1655" s="95"/>
      <c r="IZ1655" s="95"/>
      <c r="JA1655" s="95"/>
      <c r="JB1655" s="95"/>
      <c r="JC1655" s="95"/>
      <c r="JD1655" s="95"/>
      <c r="JE1655" s="95"/>
      <c r="JF1655" s="95"/>
      <c r="JG1655" s="95"/>
      <c r="JH1655" s="95"/>
      <c r="JI1655" s="95"/>
      <c r="JJ1655" s="95"/>
      <c r="JK1655" s="95"/>
      <c r="JL1655" s="95"/>
      <c r="JM1655" s="95"/>
      <c r="JN1655" s="95"/>
      <c r="JO1655" s="16"/>
      <c r="JP1655" s="18"/>
      <c r="JQ1655" s="18"/>
      <c r="JR1655" s="16"/>
      <c r="JS1655" s="16"/>
      <c r="JT1655" s="16"/>
      <c r="JU1655" s="16"/>
      <c r="JV1655" s="16"/>
      <c r="JW1655" s="16"/>
      <c r="JX1655" s="16"/>
      <c r="JY1655" s="16"/>
      <c r="JZ1655" s="16"/>
      <c r="KA1655" s="16"/>
      <c r="KB1655" s="16"/>
    </row>
    <row r="1656" spans="1:288" s="27" customFormat="1" x14ac:dyDescent="0.2">
      <c r="A1656" s="18"/>
      <c r="B1656" s="16">
        <v>2016</v>
      </c>
      <c r="C1656" s="20">
        <v>42552</v>
      </c>
      <c r="D1656" s="20" t="str">
        <f>CONCATENATE(J1656,"-",C1656)</f>
        <v>989-42552</v>
      </c>
      <c r="E1656" s="20" t="str">
        <f>CONCATENATE(T1656,"-",U1656,"-",C1656)</f>
        <v>SP2-E8-42552</v>
      </c>
      <c r="F1656" s="20" t="s">
        <v>106</v>
      </c>
      <c r="G1656" s="20" t="s">
        <v>278</v>
      </c>
      <c r="H1656" s="16"/>
      <c r="I1656" s="16"/>
      <c r="J1656" s="21">
        <v>989</v>
      </c>
      <c r="K1656" s="21"/>
      <c r="L1656" s="16"/>
      <c r="M1656" s="21"/>
      <c r="N1656" s="21"/>
      <c r="O1656" s="21"/>
      <c r="P1656" s="16"/>
      <c r="Q1656" s="16"/>
      <c r="R1656" s="16"/>
      <c r="S1656" s="16"/>
      <c r="T1656" s="16" t="s">
        <v>137</v>
      </c>
      <c r="U1656" s="16" t="s">
        <v>181</v>
      </c>
      <c r="V1656" s="16"/>
      <c r="W1656" s="16"/>
      <c r="X1656" s="16"/>
      <c r="Y1656" s="16"/>
      <c r="Z1656" s="16"/>
      <c r="AA1656" s="16"/>
      <c r="AB1656" s="16"/>
      <c r="AC1656" s="16"/>
      <c r="AD1656" s="16"/>
      <c r="AE1656" s="16"/>
      <c r="AF1656" s="16"/>
      <c r="AG1656" s="16"/>
      <c r="AH1656" s="16"/>
      <c r="AI1656" s="16"/>
      <c r="AJ1656" s="16"/>
      <c r="AK1656" s="16">
        <v>13</v>
      </c>
      <c r="AL1656" s="16"/>
      <c r="AM1656" s="16"/>
      <c r="AN1656" s="16"/>
      <c r="AO1656" s="16"/>
      <c r="AP1656" s="16"/>
      <c r="AQ1656" s="16"/>
      <c r="AR1656" s="16"/>
      <c r="AS1656" s="16"/>
      <c r="AT1656" s="16"/>
      <c r="AU1656" s="16"/>
      <c r="AV1656" s="16"/>
      <c r="AW1656" s="16"/>
      <c r="AX1656" s="16"/>
      <c r="AY1656" s="16"/>
      <c r="AZ1656" s="16"/>
      <c r="BA1656" s="16"/>
      <c r="BB1656" s="16"/>
      <c r="BC1656" s="16"/>
      <c r="BD1656" s="16"/>
      <c r="BE1656" s="16"/>
      <c r="BF1656" s="16"/>
      <c r="BG1656" s="77"/>
      <c r="BH1656" s="16"/>
      <c r="BI1656" s="16"/>
      <c r="BJ1656" s="16"/>
      <c r="BK1656" s="16"/>
      <c r="BL1656" s="16"/>
      <c r="BM1656" s="16"/>
      <c r="BN1656" s="16"/>
      <c r="BO1656" s="16"/>
      <c r="BP1656" s="16"/>
      <c r="BQ1656" s="16"/>
      <c r="BR1656" s="16"/>
      <c r="BS1656" s="16"/>
      <c r="BT1656" s="77"/>
      <c r="BU1656" s="16"/>
      <c r="BV1656" s="16"/>
      <c r="BW1656" s="16"/>
      <c r="BX1656" s="16"/>
      <c r="BY1656" s="16"/>
      <c r="BZ1656" s="16"/>
      <c r="CA1656" s="16"/>
      <c r="CB1656" s="16"/>
      <c r="CC1656" s="16"/>
      <c r="CD1656" s="77"/>
      <c r="CE1656" s="16"/>
      <c r="CF1656" s="16"/>
      <c r="CG1656" s="16"/>
      <c r="CH1656" s="16"/>
      <c r="CI1656" s="16"/>
      <c r="CJ1656" s="16"/>
      <c r="CK1656" s="16"/>
      <c r="CL1656" s="16"/>
      <c r="CM1656" s="16"/>
      <c r="CN1656" s="16"/>
      <c r="CO1656" s="16"/>
      <c r="CP1656" s="16"/>
      <c r="CQ1656" s="16"/>
      <c r="CR1656" s="16"/>
      <c r="CS1656" s="16"/>
      <c r="CT1656" s="16"/>
      <c r="CU1656" s="16"/>
      <c r="CV1656" s="16"/>
      <c r="CW1656" s="16"/>
      <c r="CX1656" s="16"/>
      <c r="CY1656" s="16"/>
      <c r="CZ1656" s="16"/>
      <c r="DA1656" s="16"/>
      <c r="DB1656" s="16"/>
      <c r="DC1656" s="16"/>
      <c r="DD1656" s="16"/>
      <c r="DE1656" s="16"/>
      <c r="DF1656" s="16" t="e">
        <f>VLOOKUP(K1656,'[3]RNA Seq summary tables'!$V$3:$V$99,1,FALSE)</f>
        <v>#N/A</v>
      </c>
      <c r="DG1656" s="16"/>
      <c r="DH1656" s="16"/>
      <c r="DI1656" s="16"/>
      <c r="DJ1656" s="16"/>
      <c r="DK1656" s="16"/>
      <c r="DL1656" s="16"/>
      <c r="DM1656" s="16"/>
      <c r="DN1656" s="16"/>
      <c r="DO1656" s="16"/>
      <c r="DP1656" s="16"/>
      <c r="DQ1656" s="16"/>
      <c r="DR1656" s="16"/>
      <c r="DS1656" s="16"/>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18"/>
      <c r="EQ1656" s="18"/>
      <c r="ER1656" s="18"/>
      <c r="ES1656" s="18"/>
      <c r="ET1656" s="18"/>
      <c r="EU1656" s="18"/>
      <c r="EV1656" s="18"/>
      <c r="EW1656" s="18"/>
      <c r="EX1656" s="18"/>
      <c r="EY1656" s="18"/>
      <c r="EZ1656" s="18"/>
      <c r="FA1656" s="18"/>
      <c r="FB1656" s="18"/>
      <c r="FC1656" s="18"/>
      <c r="FD1656" s="18"/>
      <c r="FE1656" s="18"/>
      <c r="FF1656" s="18"/>
      <c r="FG1656" s="18"/>
      <c r="FH1656" s="18"/>
      <c r="FI1656" s="18"/>
      <c r="FJ1656" s="18"/>
      <c r="FK1656" s="18"/>
      <c r="FL1656" s="18"/>
      <c r="FM1656" s="18"/>
      <c r="FN1656" s="18"/>
      <c r="FO1656" s="18"/>
      <c r="FP1656" s="18"/>
      <c r="FQ1656" s="18"/>
      <c r="FR1656" s="18"/>
      <c r="FS1656" s="18"/>
      <c r="FT1656" s="18"/>
      <c r="FU1656" s="18"/>
      <c r="FV1656" s="18"/>
      <c r="FW1656" s="18"/>
      <c r="FX1656" s="18"/>
      <c r="FY1656" s="18"/>
      <c r="FZ1656" s="18"/>
      <c r="GA1656" s="18"/>
      <c r="GB1656" s="18"/>
      <c r="GC1656" s="18"/>
      <c r="GD1656" s="18"/>
      <c r="GE1656" s="18"/>
      <c r="GF1656" s="18"/>
      <c r="GG1656" s="18"/>
      <c r="GH1656" s="18"/>
      <c r="GI1656" s="18"/>
      <c r="GJ1656" s="18"/>
      <c r="GK1656" s="18"/>
      <c r="GL1656" s="18"/>
      <c r="GM1656" s="18"/>
      <c r="GN1656" s="18"/>
      <c r="GO1656" s="18"/>
      <c r="GP1656" s="18"/>
      <c r="GQ1656" s="18"/>
      <c r="GR1656" s="18"/>
      <c r="GS1656" s="18"/>
      <c r="GT1656" s="18"/>
      <c r="GU1656" s="18"/>
      <c r="GV1656" s="18"/>
      <c r="GW1656" s="18"/>
      <c r="GX1656" s="18"/>
      <c r="GY1656" s="18"/>
      <c r="GZ1656" s="18"/>
      <c r="HA1656" s="18"/>
      <c r="HB1656" s="18"/>
      <c r="HC1656" s="18"/>
      <c r="HD1656" s="18"/>
      <c r="HE1656" s="18"/>
      <c r="HF1656" s="18"/>
      <c r="HG1656" s="18"/>
      <c r="HH1656" s="18"/>
      <c r="HI1656" s="18"/>
      <c r="HJ1656" s="18"/>
      <c r="HK1656" s="18"/>
      <c r="HL1656" s="18"/>
      <c r="HM1656" s="18"/>
      <c r="HN1656" s="18"/>
      <c r="HO1656" s="18"/>
      <c r="HP1656" s="18"/>
      <c r="HQ1656" s="18"/>
      <c r="HR1656" s="18"/>
      <c r="HS1656" s="18"/>
      <c r="HT1656" s="18"/>
      <c r="HU1656" s="18"/>
      <c r="HV1656" s="18"/>
      <c r="HW1656" s="18"/>
      <c r="HX1656" s="18"/>
      <c r="HY1656" s="18"/>
      <c r="HZ1656" s="18"/>
      <c r="IA1656" s="18"/>
      <c r="IB1656" s="18"/>
      <c r="IC1656" s="18"/>
      <c r="ID1656" s="18"/>
      <c r="IE1656" s="18"/>
      <c r="IF1656" s="18"/>
      <c r="IG1656" s="18"/>
      <c r="IH1656" s="18"/>
      <c r="II1656" s="18"/>
      <c r="IJ1656" s="18"/>
      <c r="IK1656" s="18"/>
      <c r="IL1656" s="18"/>
      <c r="IM1656" s="18"/>
      <c r="IN1656" s="18"/>
      <c r="IO1656" s="18"/>
      <c r="IP1656" s="18"/>
      <c r="IQ1656" s="18"/>
      <c r="IR1656" s="18"/>
      <c r="IS1656" s="18"/>
      <c r="IT1656" s="18"/>
      <c r="IU1656" s="18"/>
      <c r="IV1656" s="18"/>
      <c r="IW1656" s="18"/>
      <c r="IX1656" s="18"/>
      <c r="IY1656" s="18"/>
      <c r="IZ1656" s="18"/>
      <c r="JA1656" s="18"/>
      <c r="JB1656" s="18"/>
      <c r="JC1656" s="18"/>
      <c r="JD1656" s="18"/>
      <c r="JE1656" s="18"/>
      <c r="JF1656" s="18"/>
      <c r="JG1656" s="18"/>
      <c r="JH1656" s="18"/>
      <c r="JI1656" s="18"/>
      <c r="JJ1656" s="18"/>
      <c r="JK1656" s="18"/>
      <c r="JL1656" s="18"/>
      <c r="JM1656" s="18"/>
      <c r="JN1656" s="18"/>
      <c r="JO1656" s="16"/>
      <c r="JP1656" s="16"/>
      <c r="JQ1656" s="16"/>
      <c r="JR1656" s="16"/>
      <c r="JS1656" s="16"/>
      <c r="JT1656" s="16"/>
      <c r="JU1656" s="16"/>
      <c r="JV1656" s="16"/>
      <c r="JW1656" s="16"/>
      <c r="JX1656" s="16"/>
      <c r="JY1656" s="16"/>
      <c r="JZ1656" s="16"/>
      <c r="KA1656" s="16"/>
      <c r="KB1656" s="16"/>
    </row>
    <row r="1657" spans="1:288" s="27" customFormat="1" x14ac:dyDescent="0.2">
      <c r="A1657" s="18"/>
      <c r="B1657" s="16">
        <v>2016</v>
      </c>
      <c r="C1657" s="20">
        <v>42553</v>
      </c>
      <c r="D1657" s="20" t="str">
        <f>CONCATENATE(J1657,"-",C1657)</f>
        <v>989-42553</v>
      </c>
      <c r="E1657" s="20" t="str">
        <f>CONCATENATE(T1657,"-",U1657,"-",C1657)</f>
        <v>SP2-E8-42553</v>
      </c>
      <c r="F1657" s="20" t="s">
        <v>106</v>
      </c>
      <c r="G1657" s="20" t="s">
        <v>278</v>
      </c>
      <c r="H1657" s="16"/>
      <c r="I1657" s="16"/>
      <c r="J1657" s="21">
        <v>989</v>
      </c>
      <c r="K1657" s="21"/>
      <c r="L1657" s="16"/>
      <c r="M1657" s="21"/>
      <c r="N1657" s="21"/>
      <c r="O1657" s="21"/>
      <c r="P1657" s="16"/>
      <c r="Q1657" s="16"/>
      <c r="R1657" s="16"/>
      <c r="S1657" s="16"/>
      <c r="T1657" s="16" t="s">
        <v>137</v>
      </c>
      <c r="U1657" s="16" t="s">
        <v>181</v>
      </c>
      <c r="V1657" s="16"/>
      <c r="W1657" s="16"/>
      <c r="X1657" s="16"/>
      <c r="Y1657" s="16"/>
      <c r="Z1657" s="16"/>
      <c r="AA1657" s="16"/>
      <c r="AB1657" s="16"/>
      <c r="AC1657" s="16"/>
      <c r="AD1657" s="16"/>
      <c r="AE1657" s="16"/>
      <c r="AF1657" s="16"/>
      <c r="AG1657" s="16"/>
      <c r="AH1657" s="16"/>
      <c r="AI1657" s="16"/>
      <c r="AJ1657" s="16"/>
      <c r="AK1657" s="16">
        <v>11.5</v>
      </c>
      <c r="AL1657" s="16"/>
      <c r="AM1657" s="16"/>
      <c r="AN1657" s="16"/>
      <c r="AO1657" s="16"/>
      <c r="AP1657" s="16"/>
      <c r="AQ1657" s="16"/>
      <c r="AR1657" s="16"/>
      <c r="AS1657" s="16"/>
      <c r="AT1657" s="16"/>
      <c r="AU1657" s="16"/>
      <c r="AV1657" s="16"/>
      <c r="AW1657" s="16"/>
      <c r="AX1657" s="16"/>
      <c r="AY1657" s="16"/>
      <c r="AZ1657" s="16"/>
      <c r="BA1657" s="16"/>
      <c r="BB1657" s="16"/>
      <c r="BC1657" s="16"/>
      <c r="BD1657" s="16"/>
      <c r="BE1657" s="16"/>
      <c r="BF1657" s="16"/>
      <c r="BG1657" s="77"/>
      <c r="BH1657" s="16"/>
      <c r="BI1657" s="16"/>
      <c r="BJ1657" s="16"/>
      <c r="BK1657" s="16"/>
      <c r="BL1657" s="16"/>
      <c r="BM1657" s="16"/>
      <c r="BN1657" s="16"/>
      <c r="BO1657" s="16"/>
      <c r="BP1657" s="16"/>
      <c r="BQ1657" s="16"/>
      <c r="BR1657" s="16"/>
      <c r="BS1657" s="16"/>
      <c r="BT1657" s="77"/>
      <c r="BU1657" s="16"/>
      <c r="BV1657" s="16"/>
      <c r="BW1657" s="16"/>
      <c r="BX1657" s="16"/>
      <c r="BY1657" s="16"/>
      <c r="BZ1657" s="16"/>
      <c r="CA1657" s="16"/>
      <c r="CB1657" s="16"/>
      <c r="CC1657" s="16"/>
      <c r="CD1657" s="77"/>
      <c r="CE1657" s="16"/>
      <c r="CF1657" s="16"/>
      <c r="CG1657" s="16"/>
      <c r="CH1657" s="16"/>
      <c r="CI1657" s="16"/>
      <c r="CJ1657" s="16"/>
      <c r="CK1657" s="16"/>
      <c r="CL1657" s="16"/>
      <c r="CM1657" s="16"/>
      <c r="CN1657" s="16"/>
      <c r="CO1657" s="16"/>
      <c r="CP1657" s="16"/>
      <c r="CQ1657" s="16"/>
      <c r="CR1657" s="16"/>
      <c r="CS1657" s="16"/>
      <c r="CT1657" s="16"/>
      <c r="CU1657" s="16"/>
      <c r="CV1657" s="16"/>
      <c r="CW1657" s="16"/>
      <c r="CX1657" s="16"/>
      <c r="CY1657" s="16"/>
      <c r="CZ1657" s="16"/>
      <c r="DA1657" s="16"/>
      <c r="DB1657" s="16"/>
      <c r="DC1657" s="16"/>
      <c r="DD1657" s="16"/>
      <c r="DE1657" s="16"/>
      <c r="DF1657" s="16" t="e">
        <f>VLOOKUP(K1657,'[3]RNA Seq summary tables'!$V$3:$V$99,1,FALSE)</f>
        <v>#N/A</v>
      </c>
      <c r="DG1657" s="16"/>
      <c r="DH1657" s="16"/>
      <c r="DI1657" s="16"/>
      <c r="DJ1657" s="16"/>
      <c r="DK1657" s="16"/>
      <c r="DL1657" s="16"/>
      <c r="DM1657" s="16"/>
      <c r="DN1657" s="16"/>
      <c r="DO1657" s="16"/>
      <c r="DP1657" s="16"/>
      <c r="DQ1657" s="16"/>
      <c r="DR1657" s="16"/>
      <c r="DS1657" s="16"/>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18"/>
      <c r="EQ1657" s="18"/>
      <c r="ER1657" s="18"/>
      <c r="ES1657" s="18"/>
      <c r="ET1657" s="18"/>
      <c r="EU1657" s="18"/>
      <c r="EV1657" s="18"/>
      <c r="EW1657" s="18"/>
      <c r="EX1657" s="18"/>
      <c r="EY1657" s="18"/>
      <c r="EZ1657" s="18"/>
      <c r="FA1657" s="18"/>
      <c r="FB1657" s="18"/>
      <c r="FC1657" s="18"/>
      <c r="FD1657" s="18"/>
      <c r="FE1657" s="18"/>
      <c r="FF1657" s="18"/>
      <c r="FG1657" s="18"/>
      <c r="FH1657" s="18"/>
      <c r="FI1657" s="18"/>
      <c r="FJ1657" s="18"/>
      <c r="FK1657" s="18"/>
      <c r="FL1657" s="18"/>
      <c r="FM1657" s="18"/>
      <c r="FN1657" s="18"/>
      <c r="FO1657" s="18"/>
      <c r="FP1657" s="18"/>
      <c r="FQ1657" s="18"/>
      <c r="FR1657" s="18"/>
      <c r="FS1657" s="18"/>
      <c r="FT1657" s="18"/>
      <c r="FU1657" s="18"/>
      <c r="FV1657" s="18"/>
      <c r="FW1657" s="18"/>
      <c r="FX1657" s="18"/>
      <c r="FY1657" s="18"/>
      <c r="FZ1657" s="18"/>
      <c r="GA1657" s="18"/>
      <c r="GB1657" s="18"/>
      <c r="GC1657" s="18"/>
      <c r="GD1657" s="18"/>
      <c r="GE1657" s="18"/>
      <c r="GF1657" s="18"/>
      <c r="GG1657" s="18"/>
      <c r="GH1657" s="18"/>
      <c r="GI1657" s="18"/>
      <c r="GJ1657" s="18"/>
      <c r="GK1657" s="18"/>
      <c r="GL1657" s="18"/>
      <c r="GM1657" s="18"/>
      <c r="GN1657" s="18"/>
      <c r="GO1657" s="18"/>
      <c r="GP1657" s="18"/>
      <c r="GQ1657" s="18"/>
      <c r="GR1657" s="18"/>
      <c r="GS1657" s="18"/>
      <c r="GT1657" s="18"/>
      <c r="GU1657" s="18"/>
      <c r="GV1657" s="18"/>
      <c r="GW1657" s="18"/>
      <c r="GX1657" s="18"/>
      <c r="GY1657" s="18"/>
      <c r="GZ1657" s="18"/>
      <c r="HA1657" s="18"/>
      <c r="HB1657" s="18"/>
      <c r="HC1657" s="18"/>
      <c r="HD1657" s="18"/>
      <c r="HE1657" s="18"/>
      <c r="HF1657" s="18"/>
      <c r="HG1657" s="18"/>
      <c r="HH1657" s="18"/>
      <c r="HI1657" s="18"/>
      <c r="HJ1657" s="18"/>
      <c r="HK1657" s="18"/>
      <c r="HL1657" s="18"/>
      <c r="HM1657" s="18"/>
      <c r="HN1657" s="18"/>
      <c r="HO1657" s="18"/>
      <c r="HP1657" s="18"/>
      <c r="HQ1657" s="18"/>
      <c r="HR1657" s="18"/>
      <c r="HS1657" s="18"/>
      <c r="HT1657" s="18"/>
      <c r="HU1657" s="18"/>
      <c r="HV1657" s="18"/>
      <c r="HW1657" s="18"/>
      <c r="HX1657" s="18"/>
      <c r="HY1657" s="18"/>
      <c r="HZ1657" s="18"/>
      <c r="IA1657" s="18"/>
      <c r="IB1657" s="18"/>
      <c r="IC1657" s="18"/>
      <c r="ID1657" s="18"/>
      <c r="IE1657" s="18"/>
      <c r="IF1657" s="18"/>
      <c r="IG1657" s="18"/>
      <c r="IH1657" s="18"/>
      <c r="II1657" s="18"/>
      <c r="IJ1657" s="18"/>
      <c r="IK1657" s="18"/>
      <c r="IL1657" s="18"/>
      <c r="IM1657" s="18"/>
      <c r="IN1657" s="18"/>
      <c r="IO1657" s="18"/>
      <c r="IP1657" s="18"/>
      <c r="IQ1657" s="18"/>
      <c r="IR1657" s="18"/>
      <c r="IS1657" s="18"/>
      <c r="IT1657" s="18"/>
      <c r="IU1657" s="18"/>
      <c r="IV1657" s="18"/>
      <c r="IW1657" s="18"/>
      <c r="IX1657" s="18"/>
      <c r="IY1657" s="18"/>
      <c r="IZ1657" s="18"/>
      <c r="JA1657" s="18"/>
      <c r="JB1657" s="18"/>
      <c r="JC1657" s="18"/>
      <c r="JD1657" s="18"/>
      <c r="JE1657" s="18"/>
      <c r="JF1657" s="18"/>
      <c r="JG1657" s="18"/>
      <c r="JH1657" s="18"/>
      <c r="JI1657" s="18"/>
      <c r="JJ1657" s="18"/>
      <c r="JK1657" s="18"/>
      <c r="JL1657" s="18"/>
      <c r="JM1657" s="18"/>
      <c r="JN1657" s="18"/>
      <c r="JO1657" s="16"/>
      <c r="JP1657" s="16"/>
      <c r="JQ1657" s="16"/>
      <c r="JR1657" s="16"/>
      <c r="JS1657" s="16"/>
      <c r="JT1657" s="16"/>
      <c r="JU1657" s="16"/>
      <c r="JV1657" s="16"/>
      <c r="JW1657" s="16"/>
      <c r="JX1657" s="16"/>
      <c r="JY1657" s="16"/>
      <c r="JZ1657" s="16"/>
      <c r="KA1657" s="16"/>
      <c r="KB1657" s="16"/>
    </row>
    <row r="1658" spans="1:288" s="27" customFormat="1" x14ac:dyDescent="0.2">
      <c r="A1658" s="18"/>
      <c r="B1658" s="16">
        <v>2016</v>
      </c>
      <c r="C1658" s="20">
        <v>42567</v>
      </c>
      <c r="D1658" s="20" t="str">
        <f>CONCATENATE(J1658,"-",C1658)</f>
        <v>990-42567</v>
      </c>
      <c r="E1658" s="20" t="str">
        <f>CONCATENATE(T1658,"-",U1658,"-",C1658)</f>
        <v>SP1-F7-42567</v>
      </c>
      <c r="F1658" s="20" t="s">
        <v>106</v>
      </c>
      <c r="G1658" s="20" t="s">
        <v>278</v>
      </c>
      <c r="H1658" s="16"/>
      <c r="I1658" s="16"/>
      <c r="J1658" s="21">
        <v>990</v>
      </c>
      <c r="K1658" s="21"/>
      <c r="L1658" s="16"/>
      <c r="M1658" s="21"/>
      <c r="N1658" s="21"/>
      <c r="O1658" s="21"/>
      <c r="P1658" s="16"/>
      <c r="Q1658" s="16"/>
      <c r="R1658" s="16"/>
      <c r="S1658" s="16"/>
      <c r="T1658" s="16" t="s">
        <v>140</v>
      </c>
      <c r="U1658" s="16" t="s">
        <v>189</v>
      </c>
      <c r="V1658" s="16"/>
      <c r="W1658" s="16"/>
      <c r="X1658" s="16"/>
      <c r="Y1658" s="16"/>
      <c r="Z1658" s="16"/>
      <c r="AA1658" s="16"/>
      <c r="AB1658" s="16"/>
      <c r="AC1658" s="16"/>
      <c r="AD1658" s="16"/>
      <c r="AE1658" s="16"/>
      <c r="AF1658" s="16"/>
      <c r="AG1658" s="16"/>
      <c r="AH1658" s="16"/>
      <c r="AI1658" s="16"/>
      <c r="AJ1658" s="16"/>
      <c r="AK1658" s="16">
        <v>18</v>
      </c>
      <c r="AL1658" s="16"/>
      <c r="AM1658" s="16"/>
      <c r="AN1658" s="16"/>
      <c r="AO1658" s="16"/>
      <c r="AP1658" s="16"/>
      <c r="AQ1658" s="16"/>
      <c r="AR1658" s="16"/>
      <c r="AS1658" s="16"/>
      <c r="AT1658" s="16"/>
      <c r="AU1658" s="16"/>
      <c r="AV1658" s="16"/>
      <c r="AW1658" s="16"/>
      <c r="AX1658" s="16"/>
      <c r="AY1658" s="16"/>
      <c r="AZ1658" s="16"/>
      <c r="BA1658" s="16"/>
      <c r="BB1658" s="16"/>
      <c r="BC1658" s="16"/>
      <c r="BD1658" s="16"/>
      <c r="BE1658" s="16"/>
      <c r="BF1658" s="16"/>
      <c r="BG1658" s="77"/>
      <c r="BH1658" s="16"/>
      <c r="BI1658" s="16"/>
      <c r="BJ1658" s="16"/>
      <c r="BK1658" s="16"/>
      <c r="BL1658" s="16"/>
      <c r="BM1658" s="16"/>
      <c r="BN1658" s="16"/>
      <c r="BO1658" s="16"/>
      <c r="BP1658" s="16"/>
      <c r="BQ1658" s="16"/>
      <c r="BR1658" s="16"/>
      <c r="BS1658" s="16"/>
      <c r="BT1658" s="77"/>
      <c r="BU1658" s="16"/>
      <c r="BV1658" s="16"/>
      <c r="BW1658" s="16"/>
      <c r="BX1658" s="16"/>
      <c r="BY1658" s="16"/>
      <c r="BZ1658" s="16"/>
      <c r="CA1658" s="16"/>
      <c r="CB1658" s="16"/>
      <c r="CC1658" s="16"/>
      <c r="CD1658" s="77"/>
      <c r="CE1658" s="16"/>
      <c r="CF1658" s="16"/>
      <c r="CG1658" s="16"/>
      <c r="CH1658" s="16"/>
      <c r="CI1658" s="16"/>
      <c r="CJ1658" s="16"/>
      <c r="CK1658" s="16"/>
      <c r="CL1658" s="16"/>
      <c r="CM1658" s="16"/>
      <c r="CN1658" s="16"/>
      <c r="CO1658" s="16"/>
      <c r="CP1658" s="16"/>
      <c r="CQ1658" s="16"/>
      <c r="CR1658" s="16"/>
      <c r="CS1658" s="16"/>
      <c r="CT1658" s="16"/>
      <c r="CU1658" s="16"/>
      <c r="CV1658" s="16"/>
      <c r="CW1658" s="16"/>
      <c r="CX1658" s="16"/>
      <c r="CY1658" s="16"/>
      <c r="CZ1658" s="16"/>
      <c r="DA1658" s="16"/>
      <c r="DB1658" s="16"/>
      <c r="DC1658" s="16"/>
      <c r="DD1658" s="16"/>
      <c r="DE1658" s="16"/>
      <c r="DF1658" s="16" t="e">
        <f>VLOOKUP(K1658,'[3]RNA Seq summary tables'!$V$3:$V$99,1,FALSE)</f>
        <v>#N/A</v>
      </c>
      <c r="DG1658" s="16"/>
      <c r="DH1658" s="16"/>
      <c r="DI1658" s="16"/>
      <c r="DJ1658" s="16"/>
      <c r="DK1658" s="16"/>
      <c r="DL1658" s="16"/>
      <c r="DM1658" s="16"/>
      <c r="DN1658" s="16"/>
      <c r="DO1658" s="16"/>
      <c r="DP1658" s="16"/>
      <c r="DQ1658" s="16"/>
      <c r="DR1658" s="16"/>
      <c r="DS1658" s="16"/>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18"/>
      <c r="EQ1658" s="18"/>
      <c r="ER1658" s="18"/>
      <c r="ES1658" s="18"/>
      <c r="ET1658" s="18"/>
      <c r="EU1658" s="18"/>
      <c r="EV1658" s="18"/>
      <c r="EW1658" s="18"/>
      <c r="EX1658" s="18"/>
      <c r="EY1658" s="18"/>
      <c r="EZ1658" s="18"/>
      <c r="FA1658" s="18"/>
      <c r="FB1658" s="18"/>
      <c r="FC1658" s="18"/>
      <c r="FD1658" s="18"/>
      <c r="FE1658" s="18"/>
      <c r="FF1658" s="18"/>
      <c r="FG1658" s="18"/>
      <c r="FH1658" s="18"/>
      <c r="FI1658" s="18"/>
      <c r="FJ1658" s="18"/>
      <c r="FK1658" s="18"/>
      <c r="FL1658" s="18"/>
      <c r="FM1658" s="18"/>
      <c r="FN1658" s="18"/>
      <c r="FO1658" s="18"/>
      <c r="FP1658" s="18"/>
      <c r="FQ1658" s="18"/>
      <c r="FR1658" s="18"/>
      <c r="FS1658" s="18"/>
      <c r="FT1658" s="18"/>
      <c r="FU1658" s="18"/>
      <c r="FV1658" s="18"/>
      <c r="FW1658" s="18"/>
      <c r="FX1658" s="18"/>
      <c r="FY1658" s="18"/>
      <c r="FZ1658" s="18"/>
      <c r="GA1658" s="18"/>
      <c r="GB1658" s="18"/>
      <c r="GC1658" s="18"/>
      <c r="GD1658" s="18"/>
      <c r="GE1658" s="18"/>
      <c r="GF1658" s="18"/>
      <c r="GG1658" s="18"/>
      <c r="GH1658" s="18"/>
      <c r="GI1658" s="18"/>
      <c r="GJ1658" s="18"/>
      <c r="GK1658" s="18"/>
      <c r="GL1658" s="18"/>
      <c r="GM1658" s="18"/>
      <c r="GN1658" s="18"/>
      <c r="GO1658" s="18"/>
      <c r="GP1658" s="18"/>
      <c r="GQ1658" s="18"/>
      <c r="GR1658" s="18"/>
      <c r="GS1658" s="18"/>
      <c r="GT1658" s="18"/>
      <c r="GU1658" s="18"/>
      <c r="GV1658" s="18"/>
      <c r="GW1658" s="18"/>
      <c r="GX1658" s="18"/>
      <c r="GY1658" s="18"/>
      <c r="GZ1658" s="18"/>
      <c r="HA1658" s="18"/>
      <c r="HB1658" s="18"/>
      <c r="HC1658" s="18"/>
      <c r="HD1658" s="18"/>
      <c r="HE1658" s="18"/>
      <c r="HF1658" s="18"/>
      <c r="HG1658" s="18"/>
      <c r="HH1658" s="18"/>
      <c r="HI1658" s="18"/>
      <c r="HJ1658" s="18"/>
      <c r="HK1658" s="18"/>
      <c r="HL1658" s="18"/>
      <c r="HM1658" s="18"/>
      <c r="HN1658" s="18"/>
      <c r="HO1658" s="18"/>
      <c r="HP1658" s="18"/>
      <c r="HQ1658" s="18"/>
      <c r="HR1658" s="18"/>
      <c r="HS1658" s="18"/>
      <c r="HT1658" s="18"/>
      <c r="HU1658" s="18"/>
      <c r="HV1658" s="18"/>
      <c r="HW1658" s="18"/>
      <c r="HX1658" s="18"/>
      <c r="HY1658" s="18"/>
      <c r="HZ1658" s="18"/>
      <c r="IA1658" s="18"/>
      <c r="IB1658" s="18"/>
      <c r="IC1658" s="18"/>
      <c r="ID1658" s="18"/>
      <c r="IE1658" s="18"/>
      <c r="IF1658" s="18"/>
      <c r="IG1658" s="18"/>
      <c r="IH1658" s="18"/>
      <c r="II1658" s="18"/>
      <c r="IJ1658" s="18"/>
      <c r="IK1658" s="18"/>
      <c r="IL1658" s="18"/>
      <c r="IM1658" s="18"/>
      <c r="IN1658" s="18"/>
      <c r="IO1658" s="18"/>
      <c r="IP1658" s="18"/>
      <c r="IQ1658" s="18"/>
      <c r="IR1658" s="18"/>
      <c r="IS1658" s="18"/>
      <c r="IT1658" s="18"/>
      <c r="IU1658" s="18"/>
      <c r="IV1658" s="18"/>
      <c r="IW1658" s="18"/>
      <c r="IX1658" s="18"/>
      <c r="IY1658" s="18"/>
      <c r="IZ1658" s="18"/>
      <c r="JA1658" s="18"/>
      <c r="JB1658" s="18"/>
      <c r="JC1658" s="18"/>
      <c r="JD1658" s="18"/>
      <c r="JE1658" s="18"/>
      <c r="JF1658" s="18"/>
      <c r="JG1658" s="18"/>
      <c r="JH1658" s="18"/>
      <c r="JI1658" s="18"/>
      <c r="JJ1658" s="18"/>
      <c r="JK1658" s="18"/>
      <c r="JL1658" s="18"/>
      <c r="JM1658" s="18"/>
      <c r="JN1658" s="18"/>
      <c r="JO1658" s="16"/>
      <c r="JP1658" s="16"/>
      <c r="JQ1658" s="16"/>
      <c r="JR1658" s="18"/>
      <c r="JS1658" s="18"/>
      <c r="JT1658" s="18"/>
      <c r="JU1658" s="18"/>
      <c r="JV1658" s="18"/>
      <c r="JW1658" s="18"/>
      <c r="JX1658" s="18"/>
      <c r="JY1658" s="18"/>
      <c r="JZ1658" s="18"/>
      <c r="KA1658" s="18"/>
      <c r="KB1658" s="18"/>
    </row>
    <row r="1659" spans="1:288" s="27" customFormat="1" x14ac:dyDescent="0.2">
      <c r="A1659" s="18"/>
      <c r="B1659" s="16">
        <v>2016</v>
      </c>
      <c r="C1659" s="20">
        <v>42558</v>
      </c>
      <c r="D1659" s="20" t="str">
        <f>CONCATENATE(J1659,"-",C1659)</f>
        <v>991-42558</v>
      </c>
      <c r="E1659" s="20" t="str">
        <f>CONCATENATE(T1659,"-",U1659,"-",C1659)</f>
        <v>BC1-B3-42558</v>
      </c>
      <c r="F1659" s="20" t="s">
        <v>106</v>
      </c>
      <c r="G1659" s="20" t="s">
        <v>278</v>
      </c>
      <c r="H1659" s="16"/>
      <c r="I1659" s="16"/>
      <c r="J1659" s="21">
        <v>991</v>
      </c>
      <c r="K1659" s="21"/>
      <c r="L1659" s="16"/>
      <c r="M1659" s="21"/>
      <c r="N1659" s="21"/>
      <c r="O1659" s="21"/>
      <c r="P1659" s="16"/>
      <c r="Q1659" s="16"/>
      <c r="R1659" s="16"/>
      <c r="S1659" s="16"/>
      <c r="T1659" s="16" t="s">
        <v>159</v>
      </c>
      <c r="U1659" s="16" t="s">
        <v>131</v>
      </c>
      <c r="V1659" s="16"/>
      <c r="W1659" s="16"/>
      <c r="X1659" s="16"/>
      <c r="Y1659" s="16"/>
      <c r="Z1659" s="16"/>
      <c r="AA1659" s="16"/>
      <c r="AB1659" s="16"/>
      <c r="AC1659" s="16"/>
      <c r="AD1659" s="16"/>
      <c r="AE1659" s="16"/>
      <c r="AF1659" s="16"/>
      <c r="AG1659" s="16"/>
      <c r="AH1659" s="16"/>
      <c r="AI1659" s="16"/>
      <c r="AJ1659" s="16"/>
      <c r="AK1659" s="16">
        <v>16.5</v>
      </c>
      <c r="AL1659" s="16"/>
      <c r="AM1659" s="16"/>
      <c r="AN1659" s="16"/>
      <c r="AO1659" s="16"/>
      <c r="AP1659" s="16"/>
      <c r="AQ1659" s="16"/>
      <c r="AR1659" s="16"/>
      <c r="AS1659" s="16"/>
      <c r="AT1659" s="16"/>
      <c r="AU1659" s="16"/>
      <c r="AV1659" s="16"/>
      <c r="AW1659" s="16"/>
      <c r="AX1659" s="16"/>
      <c r="AY1659" s="16"/>
      <c r="AZ1659" s="16"/>
      <c r="BA1659" s="16"/>
      <c r="BB1659" s="16"/>
      <c r="BC1659" s="16"/>
      <c r="BD1659" s="16"/>
      <c r="BE1659" s="16"/>
      <c r="BF1659" s="16"/>
      <c r="BG1659" s="77"/>
      <c r="BH1659" s="16"/>
      <c r="BI1659" s="16"/>
      <c r="BJ1659" s="16"/>
      <c r="BK1659" s="16"/>
      <c r="BL1659" s="16"/>
      <c r="BM1659" s="16"/>
      <c r="BN1659" s="16"/>
      <c r="BO1659" s="16"/>
      <c r="BP1659" s="16"/>
      <c r="BQ1659" s="16"/>
      <c r="BR1659" s="16"/>
      <c r="BS1659" s="16"/>
      <c r="BT1659" s="77"/>
      <c r="BU1659" s="16"/>
      <c r="BV1659" s="16"/>
      <c r="BW1659" s="16"/>
      <c r="BX1659" s="16"/>
      <c r="BY1659" s="16"/>
      <c r="BZ1659" s="16"/>
      <c r="CA1659" s="16"/>
      <c r="CB1659" s="16"/>
      <c r="CC1659" s="16"/>
      <c r="CD1659" s="77"/>
      <c r="CE1659" s="16"/>
      <c r="CF1659" s="16"/>
      <c r="CG1659" s="16"/>
      <c r="CH1659" s="16"/>
      <c r="CI1659" s="16"/>
      <c r="CJ1659" s="16"/>
      <c r="CK1659" s="16"/>
      <c r="CL1659" s="16"/>
      <c r="CM1659" s="16"/>
      <c r="CN1659" s="16"/>
      <c r="CO1659" s="16"/>
      <c r="CP1659" s="16"/>
      <c r="CQ1659" s="16"/>
      <c r="CR1659" s="16"/>
      <c r="CS1659" s="16"/>
      <c r="CT1659" s="16"/>
      <c r="CU1659" s="16"/>
      <c r="CV1659" s="16"/>
      <c r="CW1659" s="16"/>
      <c r="CX1659" s="16"/>
      <c r="CY1659" s="16"/>
      <c r="CZ1659" s="16"/>
      <c r="DA1659" s="16"/>
      <c r="DB1659" s="16"/>
      <c r="DC1659" s="16"/>
      <c r="DD1659" s="16"/>
      <c r="DE1659" s="16"/>
      <c r="DF1659" s="16" t="e">
        <f>VLOOKUP(K1659,'[3]RNA Seq summary tables'!$V$3:$V$99,1,FALSE)</f>
        <v>#N/A</v>
      </c>
      <c r="DG1659" s="16"/>
      <c r="DH1659" s="16"/>
      <c r="DI1659" s="16"/>
      <c r="DJ1659" s="16"/>
      <c r="DK1659" s="16"/>
      <c r="DL1659" s="16"/>
      <c r="DM1659" s="16"/>
      <c r="DN1659" s="16"/>
      <c r="DO1659" s="16"/>
      <c r="DP1659" s="16"/>
      <c r="DQ1659" s="16"/>
      <c r="DR1659" s="16"/>
      <c r="DS1659" s="16"/>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18"/>
      <c r="EQ1659" s="18"/>
      <c r="ER1659" s="18"/>
      <c r="ES1659" s="18"/>
      <c r="ET1659" s="18"/>
      <c r="EU1659" s="18"/>
      <c r="EV1659" s="18"/>
      <c r="EW1659" s="18"/>
      <c r="EX1659" s="18"/>
      <c r="EY1659" s="18"/>
      <c r="EZ1659" s="18"/>
      <c r="FA1659" s="18"/>
      <c r="FB1659" s="18"/>
      <c r="FC1659" s="18"/>
      <c r="FD1659" s="18"/>
      <c r="FE1659" s="18"/>
      <c r="FF1659" s="18"/>
      <c r="FG1659" s="18"/>
      <c r="FH1659" s="18"/>
      <c r="FI1659" s="18"/>
      <c r="FJ1659" s="18"/>
      <c r="FK1659" s="18"/>
      <c r="FL1659" s="18"/>
      <c r="FM1659" s="18"/>
      <c r="FN1659" s="18"/>
      <c r="FO1659" s="18"/>
      <c r="FP1659" s="18"/>
      <c r="FQ1659" s="18"/>
      <c r="FR1659" s="18"/>
      <c r="FS1659" s="18"/>
      <c r="FT1659" s="18"/>
      <c r="FU1659" s="18"/>
      <c r="FV1659" s="18"/>
      <c r="FW1659" s="18"/>
      <c r="FX1659" s="18"/>
      <c r="FY1659" s="18"/>
      <c r="FZ1659" s="18"/>
      <c r="GA1659" s="18"/>
      <c r="GB1659" s="18"/>
      <c r="GC1659" s="18"/>
      <c r="GD1659" s="18"/>
      <c r="GE1659" s="18"/>
      <c r="GF1659" s="18"/>
      <c r="GG1659" s="18"/>
      <c r="GH1659" s="18"/>
      <c r="GI1659" s="18"/>
      <c r="GJ1659" s="18"/>
      <c r="GK1659" s="18"/>
      <c r="GL1659" s="18"/>
      <c r="GM1659" s="18"/>
      <c r="GN1659" s="18"/>
      <c r="GO1659" s="18"/>
      <c r="GP1659" s="18"/>
      <c r="GQ1659" s="18"/>
      <c r="GR1659" s="18"/>
      <c r="GS1659" s="18"/>
      <c r="GT1659" s="18"/>
      <c r="GU1659" s="18"/>
      <c r="GV1659" s="18"/>
      <c r="GW1659" s="18"/>
      <c r="GX1659" s="18"/>
      <c r="GY1659" s="18"/>
      <c r="GZ1659" s="18"/>
      <c r="HA1659" s="18"/>
      <c r="HB1659" s="18"/>
      <c r="HC1659" s="18"/>
      <c r="HD1659" s="18"/>
      <c r="HE1659" s="18"/>
      <c r="HF1659" s="18"/>
      <c r="HG1659" s="18"/>
      <c r="HH1659" s="18"/>
      <c r="HI1659" s="18"/>
      <c r="HJ1659" s="18"/>
      <c r="HK1659" s="18"/>
      <c r="HL1659" s="18"/>
      <c r="HM1659" s="18"/>
      <c r="HN1659" s="18"/>
      <c r="HO1659" s="18"/>
      <c r="HP1659" s="18"/>
      <c r="HQ1659" s="18"/>
      <c r="HR1659" s="18"/>
      <c r="HS1659" s="18"/>
      <c r="HT1659" s="18"/>
      <c r="HU1659" s="18"/>
      <c r="HV1659" s="18"/>
      <c r="HW1659" s="18"/>
      <c r="HX1659" s="18"/>
      <c r="HY1659" s="18"/>
      <c r="HZ1659" s="18"/>
      <c r="IA1659" s="18"/>
      <c r="IB1659" s="18"/>
      <c r="IC1659" s="18"/>
      <c r="ID1659" s="18"/>
      <c r="IE1659" s="18"/>
      <c r="IF1659" s="18"/>
      <c r="IG1659" s="18"/>
      <c r="IH1659" s="18"/>
      <c r="II1659" s="18"/>
      <c r="IJ1659" s="18"/>
      <c r="IK1659" s="18"/>
      <c r="IL1659" s="18"/>
      <c r="IM1659" s="18"/>
      <c r="IN1659" s="18"/>
      <c r="IO1659" s="18"/>
      <c r="IP1659" s="18"/>
      <c r="IQ1659" s="18"/>
      <c r="IR1659" s="18"/>
      <c r="IS1659" s="18"/>
      <c r="IT1659" s="18"/>
      <c r="IU1659" s="18"/>
      <c r="IV1659" s="18"/>
      <c r="IW1659" s="18"/>
      <c r="IX1659" s="18"/>
      <c r="IY1659" s="18"/>
      <c r="IZ1659" s="18"/>
      <c r="JA1659" s="18"/>
      <c r="JB1659" s="18"/>
      <c r="JC1659" s="18"/>
      <c r="JD1659" s="18"/>
      <c r="JE1659" s="18"/>
      <c r="JF1659" s="18"/>
      <c r="JG1659" s="18"/>
      <c r="JH1659" s="18"/>
      <c r="JI1659" s="18"/>
      <c r="JJ1659" s="18"/>
      <c r="JK1659" s="18"/>
      <c r="JL1659" s="18"/>
      <c r="JM1659" s="18"/>
      <c r="JN1659" s="18"/>
      <c r="JO1659" s="16"/>
      <c r="JP1659" s="16"/>
      <c r="JQ1659" s="16"/>
      <c r="JR1659" s="16"/>
      <c r="JS1659" s="16"/>
      <c r="JT1659" s="16"/>
      <c r="JU1659" s="16"/>
      <c r="JV1659" s="16"/>
      <c r="JW1659" s="16"/>
      <c r="JX1659" s="16"/>
      <c r="JY1659" s="16"/>
      <c r="JZ1659" s="16"/>
      <c r="KA1659" s="16"/>
      <c r="KB1659" s="16"/>
    </row>
    <row r="1660" spans="1:288" s="27" customFormat="1" x14ac:dyDescent="0.2">
      <c r="A1660" s="18"/>
      <c r="B1660" s="16">
        <v>2016</v>
      </c>
      <c r="C1660" s="20">
        <v>42558</v>
      </c>
      <c r="D1660" s="20" t="str">
        <f>CONCATENATE(J1660,"-",C1660)</f>
        <v>992-42558</v>
      </c>
      <c r="E1660" s="20" t="str">
        <f>CONCATENATE(T1660,"-",U1660,"-",C1660)</f>
        <v>BC2-B1-42558</v>
      </c>
      <c r="F1660" s="20" t="s">
        <v>106</v>
      </c>
      <c r="G1660" s="20" t="s">
        <v>278</v>
      </c>
      <c r="H1660" s="16"/>
      <c r="I1660" s="16"/>
      <c r="J1660" s="21">
        <v>992</v>
      </c>
      <c r="K1660" s="21"/>
      <c r="L1660" s="16"/>
      <c r="M1660" s="21"/>
      <c r="N1660" s="21"/>
      <c r="O1660" s="21"/>
      <c r="P1660" s="16"/>
      <c r="Q1660" s="16"/>
      <c r="R1660" s="16"/>
      <c r="S1660" s="16"/>
      <c r="T1660" s="16" t="s">
        <v>154</v>
      </c>
      <c r="U1660" s="16" t="s">
        <v>113</v>
      </c>
      <c r="V1660" s="16" t="s">
        <v>114</v>
      </c>
      <c r="W1660" s="16">
        <f>AI1660/AG1660</f>
        <v>0.88311688311688308</v>
      </c>
      <c r="X1660" s="16" t="s">
        <v>115</v>
      </c>
      <c r="Y1660" s="16" t="s">
        <v>122</v>
      </c>
      <c r="Z1660" s="16">
        <v>2.2999999999999998</v>
      </c>
      <c r="AA1660" s="16"/>
      <c r="AB1660" s="16"/>
      <c r="AC1660" s="16"/>
      <c r="AD1660" s="16"/>
      <c r="AE1660" s="16" t="s">
        <v>123</v>
      </c>
      <c r="AF1660" s="16" t="s">
        <v>123</v>
      </c>
      <c r="AG1660" s="16">
        <f>AH1660-AI1660</f>
        <v>77</v>
      </c>
      <c r="AH1660" s="16">
        <v>145</v>
      </c>
      <c r="AI1660" s="16">
        <v>68</v>
      </c>
      <c r="AJ1660" s="16"/>
      <c r="AK1660" s="16">
        <v>16</v>
      </c>
      <c r="AL1660" s="16">
        <v>1</v>
      </c>
      <c r="AM1660" s="16">
        <v>0</v>
      </c>
      <c r="AN1660" s="16">
        <v>0</v>
      </c>
      <c r="AO1660" s="16">
        <f>IF(SUM(AL1660:AN1660)&gt;0,1,0)</f>
        <v>1</v>
      </c>
      <c r="AP1660" s="16">
        <f>SUM(AL1660:AN1660)</f>
        <v>1</v>
      </c>
      <c r="AQ1660" s="16"/>
      <c r="AR1660" s="16"/>
      <c r="AS1660" s="16"/>
      <c r="AT1660" s="16"/>
      <c r="AU1660" s="16"/>
      <c r="AV1660" s="16"/>
      <c r="AW1660" s="16"/>
      <c r="AX1660" s="16"/>
      <c r="AY1660" s="16"/>
      <c r="AZ1660" s="16"/>
      <c r="BA1660" s="16"/>
      <c r="BB1660" s="16"/>
      <c r="BC1660" s="16"/>
      <c r="BD1660" s="16"/>
      <c r="BE1660" s="16"/>
      <c r="BF1660" s="16"/>
      <c r="BG1660" s="77"/>
      <c r="BH1660" s="16"/>
      <c r="BI1660" s="16"/>
      <c r="BJ1660" s="16"/>
      <c r="BK1660" s="16"/>
      <c r="BL1660" s="16"/>
      <c r="BM1660" s="16"/>
      <c r="BN1660" s="16"/>
      <c r="BO1660" s="16"/>
      <c r="BP1660" s="16"/>
      <c r="BQ1660" s="16"/>
      <c r="BR1660" s="16"/>
      <c r="BS1660" s="16"/>
      <c r="BT1660" s="77"/>
      <c r="BU1660" s="16"/>
      <c r="BV1660" s="16"/>
      <c r="BW1660" s="16"/>
      <c r="BX1660" s="16"/>
      <c r="BY1660" s="16"/>
      <c r="BZ1660" s="16"/>
      <c r="CA1660" s="16"/>
      <c r="CB1660" s="16"/>
      <c r="CC1660" s="16"/>
      <c r="CD1660" s="77"/>
      <c r="CE1660" s="16"/>
      <c r="CF1660" s="16"/>
      <c r="CG1660" s="16"/>
      <c r="CH1660" s="16"/>
      <c r="CI1660" s="16"/>
      <c r="CJ1660" s="16"/>
      <c r="CK1660" s="16"/>
      <c r="CL1660" s="16"/>
      <c r="CM1660" s="16"/>
      <c r="CN1660" s="16"/>
      <c r="CO1660" s="16"/>
      <c r="CP1660" s="16"/>
      <c r="CQ1660" s="16"/>
      <c r="CR1660" s="16"/>
      <c r="CS1660" s="16"/>
      <c r="CT1660" s="16"/>
      <c r="CU1660" s="16"/>
      <c r="CV1660" s="16"/>
      <c r="CW1660" s="16"/>
      <c r="CX1660" s="16"/>
      <c r="CY1660" s="16"/>
      <c r="CZ1660" s="16"/>
      <c r="DA1660" s="16"/>
      <c r="DB1660" s="16"/>
      <c r="DC1660" s="16"/>
      <c r="DD1660" s="16"/>
      <c r="DE1660" s="16"/>
      <c r="DF1660" s="16" t="e">
        <f>VLOOKUP(K1660,'[3]RNA Seq summary tables'!$V$3:$V$99,1,FALSE)</f>
        <v>#N/A</v>
      </c>
      <c r="DG1660" s="16"/>
      <c r="DH1660" s="16"/>
      <c r="DI1660" s="16"/>
      <c r="DJ1660" s="16"/>
      <c r="DK1660" s="16"/>
      <c r="DL1660" s="16"/>
      <c r="DM1660" s="16"/>
      <c r="DN1660" s="16"/>
      <c r="DO1660" s="16"/>
      <c r="DP1660" s="16"/>
      <c r="DQ1660" s="16"/>
      <c r="DR1660" s="16"/>
      <c r="DS1660" s="16"/>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18"/>
      <c r="EQ1660" s="18"/>
      <c r="ER1660" s="18"/>
      <c r="ES1660" s="18"/>
      <c r="ET1660" s="18"/>
      <c r="EU1660" s="18"/>
      <c r="EV1660" s="18"/>
      <c r="EW1660" s="18"/>
      <c r="EX1660" s="18"/>
      <c r="EY1660" s="18"/>
      <c r="EZ1660" s="18"/>
      <c r="FA1660" s="18"/>
      <c r="FB1660" s="18"/>
      <c r="FC1660" s="18"/>
      <c r="FD1660" s="18"/>
      <c r="FE1660" s="18"/>
      <c r="FF1660" s="18"/>
      <c r="FG1660" s="18"/>
      <c r="FH1660" s="18"/>
      <c r="FI1660" s="18"/>
      <c r="FJ1660" s="18"/>
      <c r="FK1660" s="18"/>
      <c r="FL1660" s="18"/>
      <c r="FM1660" s="18"/>
      <c r="FN1660" s="18"/>
      <c r="FO1660" s="18"/>
      <c r="FP1660" s="18"/>
      <c r="FQ1660" s="18"/>
      <c r="FR1660" s="18"/>
      <c r="FS1660" s="18"/>
      <c r="FT1660" s="18"/>
      <c r="FU1660" s="18"/>
      <c r="FV1660" s="18"/>
      <c r="FW1660" s="18"/>
      <c r="FX1660" s="18"/>
      <c r="FY1660" s="18"/>
      <c r="FZ1660" s="18"/>
      <c r="GA1660" s="18"/>
      <c r="GB1660" s="18"/>
      <c r="GC1660" s="18"/>
      <c r="GD1660" s="18"/>
      <c r="GE1660" s="18"/>
      <c r="GF1660" s="18"/>
      <c r="GG1660" s="18"/>
      <c r="GH1660" s="18"/>
      <c r="GI1660" s="18"/>
      <c r="GJ1660" s="18"/>
      <c r="GK1660" s="18"/>
      <c r="GL1660" s="18"/>
      <c r="GM1660" s="18"/>
      <c r="GN1660" s="18"/>
      <c r="GO1660" s="18"/>
      <c r="GP1660" s="18"/>
      <c r="GQ1660" s="18"/>
      <c r="GR1660" s="18"/>
      <c r="GS1660" s="18"/>
      <c r="GT1660" s="18"/>
      <c r="GU1660" s="18"/>
      <c r="GV1660" s="18"/>
      <c r="GW1660" s="18"/>
      <c r="GX1660" s="18"/>
      <c r="GY1660" s="18"/>
      <c r="GZ1660" s="18"/>
      <c r="HA1660" s="18"/>
      <c r="HB1660" s="18"/>
      <c r="HC1660" s="18"/>
      <c r="HD1660" s="18"/>
      <c r="HE1660" s="18"/>
      <c r="HF1660" s="18"/>
      <c r="HG1660" s="18"/>
      <c r="HH1660" s="18"/>
      <c r="HI1660" s="18"/>
      <c r="HJ1660" s="18"/>
      <c r="HK1660" s="18"/>
      <c r="HL1660" s="18"/>
      <c r="HM1660" s="18"/>
      <c r="HN1660" s="18"/>
      <c r="HO1660" s="18"/>
      <c r="HP1660" s="18"/>
      <c r="HQ1660" s="18"/>
      <c r="HR1660" s="18"/>
      <c r="HS1660" s="18"/>
      <c r="HT1660" s="18"/>
      <c r="HU1660" s="18"/>
      <c r="HV1660" s="18"/>
      <c r="HW1660" s="18"/>
      <c r="HX1660" s="18"/>
      <c r="HY1660" s="18"/>
      <c r="HZ1660" s="18"/>
      <c r="IA1660" s="18"/>
      <c r="IB1660" s="18"/>
      <c r="IC1660" s="18"/>
      <c r="ID1660" s="18"/>
      <c r="IE1660" s="18"/>
      <c r="IF1660" s="18"/>
      <c r="IG1660" s="18"/>
      <c r="IH1660" s="18"/>
      <c r="II1660" s="18"/>
      <c r="IJ1660" s="18"/>
      <c r="IK1660" s="18"/>
      <c r="IL1660" s="18"/>
      <c r="IM1660" s="18"/>
      <c r="IN1660" s="18"/>
      <c r="IO1660" s="18"/>
      <c r="IP1660" s="18"/>
      <c r="IQ1660" s="18"/>
      <c r="IR1660" s="18"/>
      <c r="IS1660" s="18"/>
      <c r="IT1660" s="18"/>
      <c r="IU1660" s="18"/>
      <c r="IV1660" s="18"/>
      <c r="IW1660" s="18"/>
      <c r="IX1660" s="18"/>
      <c r="IY1660" s="18"/>
      <c r="IZ1660" s="18"/>
      <c r="JA1660" s="18"/>
      <c r="JB1660" s="18"/>
      <c r="JC1660" s="18"/>
      <c r="JD1660" s="18"/>
      <c r="JE1660" s="18"/>
      <c r="JF1660" s="18"/>
      <c r="JG1660" s="18"/>
      <c r="JH1660" s="18"/>
      <c r="JI1660" s="18"/>
      <c r="JJ1660" s="18"/>
      <c r="JK1660" s="18"/>
      <c r="JL1660" s="18"/>
      <c r="JM1660" s="18"/>
      <c r="JN1660" s="18"/>
      <c r="JO1660" s="16"/>
      <c r="JP1660" s="16"/>
      <c r="JQ1660" s="16"/>
      <c r="JR1660" s="16"/>
      <c r="JS1660" s="16"/>
      <c r="JT1660" s="16"/>
      <c r="JU1660" s="16"/>
      <c r="JV1660" s="16"/>
      <c r="JW1660" s="16"/>
      <c r="JX1660" s="16"/>
      <c r="JY1660" s="16"/>
      <c r="JZ1660" s="16"/>
      <c r="KA1660" s="16"/>
      <c r="KB1660" s="16"/>
    </row>
    <row r="1661" spans="1:288" s="27" customFormat="1" x14ac:dyDescent="0.2">
      <c r="A1661" s="18"/>
      <c r="B1661" s="16">
        <v>2016</v>
      </c>
      <c r="C1661" s="20">
        <v>42560</v>
      </c>
      <c r="D1661" s="20" t="str">
        <f>CONCATENATE(J1661,"-",C1661)</f>
        <v>995-42560</v>
      </c>
      <c r="E1661" s="20" t="str">
        <f>CONCATENATE(T1661,"-",U1661,"-",C1661)</f>
        <v>PO1-D3-42560</v>
      </c>
      <c r="F1661" s="20" t="s">
        <v>106</v>
      </c>
      <c r="G1661" s="20" t="s">
        <v>278</v>
      </c>
      <c r="H1661" s="16"/>
      <c r="I1661" s="16"/>
      <c r="J1661" s="21">
        <v>995</v>
      </c>
      <c r="K1661" s="21"/>
      <c r="L1661" s="16"/>
      <c r="M1661" s="21"/>
      <c r="N1661" s="21"/>
      <c r="O1661" s="21"/>
      <c r="P1661" s="16"/>
      <c r="Q1661" s="16"/>
      <c r="R1661" s="16"/>
      <c r="S1661" s="16"/>
      <c r="T1661" s="16" t="s">
        <v>112</v>
      </c>
      <c r="U1661" s="16" t="s">
        <v>149</v>
      </c>
      <c r="V1661" s="16"/>
      <c r="W1661" s="16"/>
      <c r="X1661" s="16" t="s">
        <v>115</v>
      </c>
      <c r="Y1661" s="16" t="s">
        <v>145</v>
      </c>
      <c r="Z1661" s="16">
        <v>1</v>
      </c>
      <c r="AA1661" s="16"/>
      <c r="AB1661" s="16"/>
      <c r="AC1661" s="16"/>
      <c r="AD1661" s="16"/>
      <c r="AE1661" s="16"/>
      <c r="AF1661" s="16"/>
      <c r="AG1661" s="16"/>
      <c r="AH1661" s="16"/>
      <c r="AI1661" s="16"/>
      <c r="AJ1661" s="16"/>
      <c r="AK1661" s="16">
        <v>11</v>
      </c>
      <c r="AL1661" s="16"/>
      <c r="AM1661" s="16"/>
      <c r="AN1661" s="16"/>
      <c r="AO1661" s="16"/>
      <c r="AP1661" s="16"/>
      <c r="AQ1661" s="16"/>
      <c r="AR1661" s="16"/>
      <c r="AS1661" s="16"/>
      <c r="AT1661" s="16"/>
      <c r="AU1661" s="16"/>
      <c r="AV1661" s="16"/>
      <c r="AW1661" s="16"/>
      <c r="AX1661" s="16"/>
      <c r="AY1661" s="16"/>
      <c r="AZ1661" s="16"/>
      <c r="BA1661" s="16"/>
      <c r="BB1661" s="16"/>
      <c r="BC1661" s="16"/>
      <c r="BD1661" s="16"/>
      <c r="BE1661" s="16"/>
      <c r="BF1661" s="16"/>
      <c r="BG1661" s="77"/>
      <c r="BH1661" s="16"/>
      <c r="BI1661" s="16"/>
      <c r="BJ1661" s="16"/>
      <c r="BK1661" s="16"/>
      <c r="BL1661" s="16"/>
      <c r="BM1661" s="16"/>
      <c r="BN1661" s="16"/>
      <c r="BO1661" s="16"/>
      <c r="BP1661" s="16"/>
      <c r="BQ1661" s="16"/>
      <c r="BR1661" s="16"/>
      <c r="BS1661" s="16"/>
      <c r="BT1661" s="77"/>
      <c r="BU1661" s="16"/>
      <c r="BV1661" s="16"/>
      <c r="BW1661" s="16"/>
      <c r="BX1661" s="16"/>
      <c r="BY1661" s="16"/>
      <c r="BZ1661" s="16"/>
      <c r="CA1661" s="16"/>
      <c r="CB1661" s="16"/>
      <c r="CC1661" s="16"/>
      <c r="CD1661" s="77"/>
      <c r="CE1661" s="16"/>
      <c r="CF1661" s="16"/>
      <c r="CG1661" s="16"/>
      <c r="CH1661" s="16"/>
      <c r="CI1661" s="16"/>
      <c r="CJ1661" s="16"/>
      <c r="CK1661" s="16"/>
      <c r="CL1661" s="16"/>
      <c r="CM1661" s="16"/>
      <c r="CN1661" s="16"/>
      <c r="CO1661" s="16"/>
      <c r="CP1661" s="16"/>
      <c r="CQ1661" s="16"/>
      <c r="CR1661" s="16"/>
      <c r="CS1661" s="16"/>
      <c r="CT1661" s="16"/>
      <c r="CU1661" s="16"/>
      <c r="CV1661" s="16"/>
      <c r="CW1661" s="16"/>
      <c r="CX1661" s="16"/>
      <c r="CY1661" s="16"/>
      <c r="CZ1661" s="16"/>
      <c r="DA1661" s="16"/>
      <c r="DB1661" s="16"/>
      <c r="DC1661" s="16"/>
      <c r="DD1661" s="16"/>
      <c r="DE1661" s="16"/>
      <c r="DF1661" s="16" t="e">
        <f>VLOOKUP(K1661,'[3]RNA Seq summary tables'!$V$3:$V$99,1,FALSE)</f>
        <v>#N/A</v>
      </c>
      <c r="DG1661" s="16"/>
      <c r="DH1661" s="16"/>
      <c r="DI1661" s="16"/>
      <c r="DJ1661" s="16"/>
      <c r="DK1661" s="16"/>
      <c r="DL1661" s="16"/>
      <c r="DM1661" s="16"/>
      <c r="DN1661" s="16"/>
      <c r="DO1661" s="16"/>
      <c r="DP1661" s="16"/>
      <c r="DQ1661" s="16"/>
      <c r="DR1661" s="16"/>
      <c r="DS1661" s="16"/>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18"/>
      <c r="EQ1661" s="18"/>
      <c r="ER1661" s="18"/>
      <c r="ES1661" s="18"/>
      <c r="ET1661" s="18"/>
      <c r="EU1661" s="18"/>
      <c r="EV1661" s="18"/>
      <c r="EW1661" s="18"/>
      <c r="EX1661" s="18"/>
      <c r="EY1661" s="18"/>
      <c r="EZ1661" s="18"/>
      <c r="FA1661" s="18"/>
      <c r="FB1661" s="18"/>
      <c r="FC1661" s="18"/>
      <c r="FD1661" s="18"/>
      <c r="FE1661" s="18"/>
      <c r="FF1661" s="18"/>
      <c r="FG1661" s="18"/>
      <c r="FH1661" s="18"/>
      <c r="FI1661" s="18"/>
      <c r="FJ1661" s="18"/>
      <c r="FK1661" s="18"/>
      <c r="FL1661" s="18"/>
      <c r="FM1661" s="18"/>
      <c r="FN1661" s="18"/>
      <c r="FO1661" s="18"/>
      <c r="FP1661" s="18"/>
      <c r="FQ1661" s="18"/>
      <c r="FR1661" s="18"/>
      <c r="FS1661" s="18"/>
      <c r="FT1661" s="18"/>
      <c r="FU1661" s="18"/>
      <c r="FV1661" s="18"/>
      <c r="FW1661" s="18"/>
      <c r="FX1661" s="18"/>
      <c r="FY1661" s="18"/>
      <c r="FZ1661" s="18"/>
      <c r="GA1661" s="18"/>
      <c r="GB1661" s="18"/>
      <c r="GC1661" s="18"/>
      <c r="GD1661" s="18"/>
      <c r="GE1661" s="18"/>
      <c r="GF1661" s="18"/>
      <c r="GG1661" s="18"/>
      <c r="GH1661" s="18"/>
      <c r="GI1661" s="18"/>
      <c r="GJ1661" s="18"/>
      <c r="GK1661" s="18"/>
      <c r="GL1661" s="18"/>
      <c r="GM1661" s="18"/>
      <c r="GN1661" s="18"/>
      <c r="GO1661" s="18"/>
      <c r="GP1661" s="18"/>
      <c r="GQ1661" s="18"/>
      <c r="GR1661" s="18"/>
      <c r="GS1661" s="18"/>
      <c r="GT1661" s="18"/>
      <c r="GU1661" s="18"/>
      <c r="GV1661" s="18"/>
      <c r="GW1661" s="18"/>
      <c r="GX1661" s="18"/>
      <c r="GY1661" s="18"/>
      <c r="GZ1661" s="18"/>
      <c r="HA1661" s="18"/>
      <c r="HB1661" s="18"/>
      <c r="HC1661" s="18"/>
      <c r="HD1661" s="18"/>
      <c r="HE1661" s="18"/>
      <c r="HF1661" s="18"/>
      <c r="HG1661" s="18"/>
      <c r="HH1661" s="18"/>
      <c r="HI1661" s="18"/>
      <c r="HJ1661" s="18"/>
      <c r="HK1661" s="18"/>
      <c r="HL1661" s="18"/>
      <c r="HM1661" s="18"/>
      <c r="HN1661" s="18"/>
      <c r="HO1661" s="18"/>
      <c r="HP1661" s="18"/>
      <c r="HQ1661" s="18"/>
      <c r="HR1661" s="18"/>
      <c r="HS1661" s="18"/>
      <c r="HT1661" s="18"/>
      <c r="HU1661" s="18"/>
      <c r="HV1661" s="18"/>
      <c r="HW1661" s="18"/>
      <c r="HX1661" s="18"/>
      <c r="HY1661" s="18"/>
      <c r="HZ1661" s="18"/>
      <c r="IA1661" s="18"/>
      <c r="IB1661" s="18"/>
      <c r="IC1661" s="18"/>
      <c r="ID1661" s="18"/>
      <c r="IE1661" s="18"/>
      <c r="IF1661" s="18"/>
      <c r="IG1661" s="18"/>
      <c r="IH1661" s="18"/>
      <c r="II1661" s="18"/>
      <c r="IJ1661" s="18"/>
      <c r="IK1661" s="18"/>
      <c r="IL1661" s="18"/>
      <c r="IM1661" s="18"/>
      <c r="IN1661" s="18"/>
      <c r="IO1661" s="18"/>
      <c r="IP1661" s="18"/>
      <c r="IQ1661" s="18"/>
      <c r="IR1661" s="18"/>
      <c r="IS1661" s="18"/>
      <c r="IT1661" s="18"/>
      <c r="IU1661" s="18"/>
      <c r="IV1661" s="18"/>
      <c r="IW1661" s="18"/>
      <c r="IX1661" s="18"/>
      <c r="IY1661" s="18"/>
      <c r="IZ1661" s="18"/>
      <c r="JA1661" s="18"/>
      <c r="JB1661" s="18"/>
      <c r="JC1661" s="18"/>
      <c r="JD1661" s="18"/>
      <c r="JE1661" s="18"/>
      <c r="JF1661" s="18"/>
      <c r="JG1661" s="18"/>
      <c r="JH1661" s="18"/>
      <c r="JI1661" s="18"/>
      <c r="JJ1661" s="18"/>
      <c r="JK1661" s="18"/>
      <c r="JL1661" s="18"/>
      <c r="JM1661" s="18"/>
      <c r="JN1661" s="18"/>
      <c r="JO1661" s="16"/>
      <c r="JP1661" s="16"/>
      <c r="JQ1661" s="16"/>
      <c r="JR1661" s="16"/>
      <c r="JS1661" s="16"/>
      <c r="JT1661" s="16"/>
      <c r="JU1661" s="16"/>
      <c r="JV1661" s="16"/>
      <c r="JW1661" s="16"/>
      <c r="JX1661" s="16"/>
      <c r="JY1661" s="16"/>
      <c r="JZ1661" s="16"/>
      <c r="KA1661" s="16"/>
      <c r="KB1661" s="16"/>
    </row>
    <row r="1662" spans="1:288" s="27" customFormat="1" x14ac:dyDescent="0.2">
      <c r="A1662" s="18"/>
      <c r="B1662" s="16">
        <v>2016</v>
      </c>
      <c r="C1662" s="20">
        <v>42560</v>
      </c>
      <c r="D1662" s="20" t="str">
        <f>CONCATENATE(J1662,"-",C1662)</f>
        <v>996-42560</v>
      </c>
      <c r="E1662" s="20" t="str">
        <f>CONCATENATE(T1662,"-",U1662,"-",C1662)</f>
        <v>PO2-D8-42560</v>
      </c>
      <c r="F1662" s="20" t="s">
        <v>106</v>
      </c>
      <c r="G1662" s="20" t="s">
        <v>278</v>
      </c>
      <c r="H1662" s="16"/>
      <c r="I1662" s="16"/>
      <c r="J1662" s="21">
        <v>996</v>
      </c>
      <c r="K1662" s="21"/>
      <c r="L1662" s="16"/>
      <c r="M1662" s="21"/>
      <c r="N1662" s="21"/>
      <c r="O1662" s="21"/>
      <c r="P1662" s="16"/>
      <c r="Q1662" s="16"/>
      <c r="R1662" s="16"/>
      <c r="S1662" s="16"/>
      <c r="T1662" s="16" t="s">
        <v>127</v>
      </c>
      <c r="U1662" s="16" t="s">
        <v>178</v>
      </c>
      <c r="V1662" s="16"/>
      <c r="W1662" s="16"/>
      <c r="X1662" s="16"/>
      <c r="Y1662" s="16"/>
      <c r="Z1662" s="16"/>
      <c r="AA1662" s="16"/>
      <c r="AB1662" s="16"/>
      <c r="AC1662" s="16"/>
      <c r="AD1662" s="16"/>
      <c r="AE1662" s="16"/>
      <c r="AF1662" s="16"/>
      <c r="AG1662" s="16"/>
      <c r="AH1662" s="16"/>
      <c r="AI1662" s="16"/>
      <c r="AJ1662" s="16"/>
      <c r="AK1662" s="16">
        <v>16.5</v>
      </c>
      <c r="AL1662" s="16"/>
      <c r="AM1662" s="16"/>
      <c r="AN1662" s="16"/>
      <c r="AO1662" s="16"/>
      <c r="AP1662" s="16"/>
      <c r="AQ1662" s="16"/>
      <c r="AR1662" s="16"/>
      <c r="AS1662" s="16"/>
      <c r="AT1662" s="16"/>
      <c r="AU1662" s="16"/>
      <c r="AV1662" s="16"/>
      <c r="AW1662" s="16"/>
      <c r="AX1662" s="16"/>
      <c r="AY1662" s="16"/>
      <c r="AZ1662" s="16"/>
      <c r="BA1662" s="16"/>
      <c r="BB1662" s="16"/>
      <c r="BC1662" s="16"/>
      <c r="BD1662" s="16"/>
      <c r="BE1662" s="16"/>
      <c r="BF1662" s="16"/>
      <c r="BG1662" s="77"/>
      <c r="BH1662" s="16"/>
      <c r="BI1662" s="16"/>
      <c r="BJ1662" s="16"/>
      <c r="BK1662" s="16"/>
      <c r="BL1662" s="16"/>
      <c r="BM1662" s="16"/>
      <c r="BN1662" s="16"/>
      <c r="BO1662" s="16"/>
      <c r="BP1662" s="16"/>
      <c r="BQ1662" s="16"/>
      <c r="BR1662" s="16"/>
      <c r="BS1662" s="16"/>
      <c r="BT1662" s="77"/>
      <c r="BU1662" s="16"/>
      <c r="BV1662" s="16"/>
      <c r="BW1662" s="16"/>
      <c r="BX1662" s="16"/>
      <c r="BY1662" s="16"/>
      <c r="BZ1662" s="16"/>
      <c r="CA1662" s="16"/>
      <c r="CB1662" s="16"/>
      <c r="CC1662" s="16"/>
      <c r="CD1662" s="77"/>
      <c r="CE1662" s="16"/>
      <c r="CF1662" s="16"/>
      <c r="CG1662" s="16"/>
      <c r="CH1662" s="16"/>
      <c r="CI1662" s="16"/>
      <c r="CJ1662" s="16"/>
      <c r="CK1662" s="16"/>
      <c r="CL1662" s="16"/>
      <c r="CM1662" s="16"/>
      <c r="CN1662" s="16"/>
      <c r="CO1662" s="16"/>
      <c r="CP1662" s="16"/>
      <c r="CQ1662" s="16"/>
      <c r="CR1662" s="16"/>
      <c r="CS1662" s="16"/>
      <c r="CT1662" s="16"/>
      <c r="CU1662" s="16"/>
      <c r="CV1662" s="16"/>
      <c r="CW1662" s="16"/>
      <c r="CX1662" s="16"/>
      <c r="CY1662" s="16"/>
      <c r="CZ1662" s="16"/>
      <c r="DA1662" s="16"/>
      <c r="DB1662" s="16"/>
      <c r="DC1662" s="16"/>
      <c r="DD1662" s="16"/>
      <c r="DE1662" s="16"/>
      <c r="DF1662" s="16" t="e">
        <f>VLOOKUP(K1662,'[3]RNA Seq summary tables'!$V$3:$V$99,1,FALSE)</f>
        <v>#N/A</v>
      </c>
      <c r="DG1662" s="16"/>
      <c r="DH1662" s="16"/>
      <c r="DI1662" s="16"/>
      <c r="DJ1662" s="16"/>
      <c r="DK1662" s="16"/>
      <c r="DL1662" s="16"/>
      <c r="DM1662" s="16"/>
      <c r="DN1662" s="16"/>
      <c r="DO1662" s="16"/>
      <c r="DP1662" s="16"/>
      <c r="DQ1662" s="16"/>
      <c r="DR1662" s="16"/>
      <c r="DS1662" s="16"/>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18"/>
      <c r="EQ1662" s="18"/>
      <c r="ER1662" s="18"/>
      <c r="ES1662" s="18"/>
      <c r="ET1662" s="18"/>
      <c r="EU1662" s="18"/>
      <c r="EV1662" s="18"/>
      <c r="EW1662" s="18"/>
      <c r="EX1662" s="18"/>
      <c r="EY1662" s="18"/>
      <c r="EZ1662" s="18"/>
      <c r="FA1662" s="18"/>
      <c r="FB1662" s="18"/>
      <c r="FC1662" s="18"/>
      <c r="FD1662" s="18"/>
      <c r="FE1662" s="18"/>
      <c r="FF1662" s="18"/>
      <c r="FG1662" s="18"/>
      <c r="FH1662" s="18"/>
      <c r="FI1662" s="18"/>
      <c r="FJ1662" s="18"/>
      <c r="FK1662" s="18"/>
      <c r="FL1662" s="18"/>
      <c r="FM1662" s="18"/>
      <c r="FN1662" s="18"/>
      <c r="FO1662" s="18"/>
      <c r="FP1662" s="18"/>
      <c r="FQ1662" s="18"/>
      <c r="FR1662" s="18"/>
      <c r="FS1662" s="18"/>
      <c r="FT1662" s="18"/>
      <c r="FU1662" s="18"/>
      <c r="FV1662" s="18"/>
      <c r="FW1662" s="18"/>
      <c r="FX1662" s="18"/>
      <c r="FY1662" s="18"/>
      <c r="FZ1662" s="18"/>
      <c r="GA1662" s="18"/>
      <c r="GB1662" s="18"/>
      <c r="GC1662" s="18"/>
      <c r="GD1662" s="18"/>
      <c r="GE1662" s="18"/>
      <c r="GF1662" s="18"/>
      <c r="GG1662" s="18"/>
      <c r="GH1662" s="18"/>
      <c r="GI1662" s="18"/>
      <c r="GJ1662" s="18"/>
      <c r="GK1662" s="18"/>
      <c r="GL1662" s="18"/>
      <c r="GM1662" s="18"/>
      <c r="GN1662" s="18"/>
      <c r="GO1662" s="18"/>
      <c r="GP1662" s="18"/>
      <c r="GQ1662" s="18"/>
      <c r="GR1662" s="18"/>
      <c r="GS1662" s="18"/>
      <c r="GT1662" s="18"/>
      <c r="GU1662" s="18"/>
      <c r="GV1662" s="18"/>
      <c r="GW1662" s="18"/>
      <c r="GX1662" s="18"/>
      <c r="GY1662" s="18"/>
      <c r="GZ1662" s="18"/>
      <c r="HA1662" s="18"/>
      <c r="HB1662" s="18"/>
      <c r="HC1662" s="18"/>
      <c r="HD1662" s="18"/>
      <c r="HE1662" s="18"/>
      <c r="HF1662" s="18"/>
      <c r="HG1662" s="18"/>
      <c r="HH1662" s="18"/>
      <c r="HI1662" s="18"/>
      <c r="HJ1662" s="18"/>
      <c r="HK1662" s="18"/>
      <c r="HL1662" s="18"/>
      <c r="HM1662" s="18"/>
      <c r="HN1662" s="18"/>
      <c r="HO1662" s="18"/>
      <c r="HP1662" s="18"/>
      <c r="HQ1662" s="18"/>
      <c r="HR1662" s="18"/>
      <c r="HS1662" s="18"/>
      <c r="HT1662" s="18"/>
      <c r="HU1662" s="18"/>
      <c r="HV1662" s="18"/>
      <c r="HW1662" s="18"/>
      <c r="HX1662" s="18"/>
      <c r="HY1662" s="18"/>
      <c r="HZ1662" s="18"/>
      <c r="IA1662" s="18"/>
      <c r="IB1662" s="18"/>
      <c r="IC1662" s="18"/>
      <c r="ID1662" s="18"/>
      <c r="IE1662" s="18"/>
      <c r="IF1662" s="18"/>
      <c r="IG1662" s="18"/>
      <c r="IH1662" s="18"/>
      <c r="II1662" s="18"/>
      <c r="IJ1662" s="18"/>
      <c r="IK1662" s="18"/>
      <c r="IL1662" s="18"/>
      <c r="IM1662" s="18"/>
      <c r="IN1662" s="18"/>
      <c r="IO1662" s="18"/>
      <c r="IP1662" s="18"/>
      <c r="IQ1662" s="18"/>
      <c r="IR1662" s="18"/>
      <c r="IS1662" s="18"/>
      <c r="IT1662" s="18"/>
      <c r="IU1662" s="18"/>
      <c r="IV1662" s="18"/>
      <c r="IW1662" s="18"/>
      <c r="IX1662" s="18"/>
      <c r="IY1662" s="18"/>
      <c r="IZ1662" s="18"/>
      <c r="JA1662" s="18"/>
      <c r="JB1662" s="18"/>
      <c r="JC1662" s="18"/>
      <c r="JD1662" s="18"/>
      <c r="JE1662" s="18"/>
      <c r="JF1662" s="18"/>
      <c r="JG1662" s="18"/>
      <c r="JH1662" s="18"/>
      <c r="JI1662" s="18"/>
      <c r="JJ1662" s="18"/>
      <c r="JK1662" s="18"/>
      <c r="JL1662" s="18"/>
      <c r="JM1662" s="18"/>
      <c r="JN1662" s="18"/>
      <c r="JO1662" s="16"/>
      <c r="JP1662" s="16"/>
      <c r="JQ1662" s="16"/>
      <c r="JR1662" s="16"/>
      <c r="JS1662" s="16"/>
      <c r="JT1662" s="16"/>
      <c r="JU1662" s="16"/>
      <c r="JV1662" s="16"/>
      <c r="JW1662" s="16"/>
      <c r="JX1662" s="16"/>
      <c r="JY1662" s="16"/>
      <c r="JZ1662" s="16"/>
      <c r="KA1662" s="16"/>
      <c r="KB1662" s="16"/>
    </row>
    <row r="1663" spans="1:288" s="27" customFormat="1" x14ac:dyDescent="0.2">
      <c r="A1663" s="18"/>
      <c r="B1663" s="16">
        <v>2016</v>
      </c>
      <c r="C1663" s="20">
        <v>42573</v>
      </c>
      <c r="D1663" s="20" t="str">
        <f>CONCATENATE(J1663,"-",C1663)</f>
        <v>996-42573</v>
      </c>
      <c r="E1663" s="20" t="str">
        <f>CONCATENATE(T1663,"-",U1663,"-",C1663)</f>
        <v>PO2-C6-42573</v>
      </c>
      <c r="F1663" s="20" t="s">
        <v>106</v>
      </c>
      <c r="G1663" s="20" t="s">
        <v>278</v>
      </c>
      <c r="H1663" s="16"/>
      <c r="I1663" s="16"/>
      <c r="J1663" s="21">
        <v>996</v>
      </c>
      <c r="K1663" s="21"/>
      <c r="L1663" s="16"/>
      <c r="M1663" s="21"/>
      <c r="N1663" s="21"/>
      <c r="O1663" s="21"/>
      <c r="P1663" s="16"/>
      <c r="Q1663" s="16"/>
      <c r="R1663" s="16"/>
      <c r="S1663" s="16"/>
      <c r="T1663" s="16" t="s">
        <v>127</v>
      </c>
      <c r="U1663" s="16" t="s">
        <v>213</v>
      </c>
      <c r="V1663" s="16"/>
      <c r="W1663" s="16"/>
      <c r="X1663" s="16"/>
      <c r="Y1663" s="16"/>
      <c r="Z1663" s="16"/>
      <c r="AA1663" s="16"/>
      <c r="AB1663" s="16"/>
      <c r="AC1663" s="16"/>
      <c r="AD1663" s="16"/>
      <c r="AE1663" s="16"/>
      <c r="AF1663" s="16"/>
      <c r="AG1663" s="16"/>
      <c r="AH1663" s="16"/>
      <c r="AI1663" s="16"/>
      <c r="AJ1663" s="16"/>
      <c r="AK1663" s="16">
        <v>14.5</v>
      </c>
      <c r="AL1663" s="16"/>
      <c r="AM1663" s="16"/>
      <c r="AN1663" s="16"/>
      <c r="AO1663" s="16"/>
      <c r="AP1663" s="16"/>
      <c r="AQ1663" s="16"/>
      <c r="AR1663" s="16"/>
      <c r="AS1663" s="16"/>
      <c r="AT1663" s="16"/>
      <c r="AU1663" s="16"/>
      <c r="AV1663" s="16"/>
      <c r="AW1663" s="16"/>
      <c r="AX1663" s="16"/>
      <c r="AY1663" s="16"/>
      <c r="AZ1663" s="16"/>
      <c r="BA1663" s="16"/>
      <c r="BB1663" s="16"/>
      <c r="BC1663" s="16"/>
      <c r="BD1663" s="16"/>
      <c r="BE1663" s="16"/>
      <c r="BF1663" s="16"/>
      <c r="BG1663" s="77"/>
      <c r="BH1663" s="16"/>
      <c r="BI1663" s="16"/>
      <c r="BJ1663" s="16"/>
      <c r="BK1663" s="16"/>
      <c r="BL1663" s="16"/>
      <c r="BM1663" s="16"/>
      <c r="BN1663" s="16"/>
      <c r="BO1663" s="16"/>
      <c r="BP1663" s="16"/>
      <c r="BQ1663" s="16"/>
      <c r="BR1663" s="16"/>
      <c r="BS1663" s="16"/>
      <c r="BT1663" s="77"/>
      <c r="BU1663" s="16"/>
      <c r="BV1663" s="16"/>
      <c r="BW1663" s="16"/>
      <c r="BX1663" s="16"/>
      <c r="BY1663" s="16"/>
      <c r="BZ1663" s="16"/>
      <c r="CA1663" s="16"/>
      <c r="CB1663" s="16"/>
      <c r="CC1663" s="16"/>
      <c r="CD1663" s="77"/>
      <c r="CE1663" s="16"/>
      <c r="CF1663" s="16"/>
      <c r="CG1663" s="16"/>
      <c r="CH1663" s="16"/>
      <c r="CI1663" s="16"/>
      <c r="CJ1663" s="16"/>
      <c r="CK1663" s="16"/>
      <c r="CL1663" s="16"/>
      <c r="CM1663" s="16"/>
      <c r="CN1663" s="16"/>
      <c r="CO1663" s="16"/>
      <c r="CP1663" s="16"/>
      <c r="CQ1663" s="16"/>
      <c r="CR1663" s="16"/>
      <c r="CS1663" s="16"/>
      <c r="CT1663" s="16"/>
      <c r="CU1663" s="16"/>
      <c r="CV1663" s="16"/>
      <c r="CW1663" s="16"/>
      <c r="CX1663" s="16"/>
      <c r="CY1663" s="16"/>
      <c r="CZ1663" s="16"/>
      <c r="DA1663" s="16"/>
      <c r="DB1663" s="16"/>
      <c r="DC1663" s="16"/>
      <c r="DD1663" s="16"/>
      <c r="DE1663" s="16"/>
      <c r="DF1663" s="16" t="e">
        <f>VLOOKUP(K1663,'[3]RNA Seq summary tables'!$V$3:$V$99,1,FALSE)</f>
        <v>#N/A</v>
      </c>
      <c r="DG1663" s="16"/>
      <c r="DH1663" s="16"/>
      <c r="DI1663" s="16"/>
      <c r="DJ1663" s="16"/>
      <c r="DK1663" s="16"/>
      <c r="DL1663" s="16"/>
      <c r="DM1663" s="16"/>
      <c r="DN1663" s="16"/>
      <c r="DO1663" s="16"/>
      <c r="DP1663" s="16"/>
      <c r="DQ1663" s="16"/>
      <c r="DR1663" s="16"/>
      <c r="DS1663" s="16"/>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18"/>
      <c r="EQ1663" s="18"/>
      <c r="ER1663" s="18"/>
      <c r="ES1663" s="18"/>
      <c r="ET1663" s="18"/>
      <c r="EU1663" s="18"/>
      <c r="EV1663" s="18"/>
      <c r="EW1663" s="18"/>
      <c r="EX1663" s="18"/>
      <c r="EY1663" s="18"/>
      <c r="EZ1663" s="18"/>
      <c r="FA1663" s="18"/>
      <c r="FB1663" s="18"/>
      <c r="FC1663" s="18"/>
      <c r="FD1663" s="18"/>
      <c r="FE1663" s="18"/>
      <c r="FF1663" s="18"/>
      <c r="FG1663" s="18"/>
      <c r="FH1663" s="18"/>
      <c r="FI1663" s="18"/>
      <c r="FJ1663" s="18"/>
      <c r="FK1663" s="18"/>
      <c r="FL1663" s="18"/>
      <c r="FM1663" s="18"/>
      <c r="FN1663" s="18"/>
      <c r="FO1663" s="18"/>
      <c r="FP1663" s="18"/>
      <c r="FQ1663" s="18"/>
      <c r="FR1663" s="18"/>
      <c r="FS1663" s="18"/>
      <c r="FT1663" s="18"/>
      <c r="FU1663" s="18"/>
      <c r="FV1663" s="18"/>
      <c r="FW1663" s="18"/>
      <c r="FX1663" s="18"/>
      <c r="FY1663" s="18"/>
      <c r="FZ1663" s="18"/>
      <c r="GA1663" s="18"/>
      <c r="GB1663" s="18"/>
      <c r="GC1663" s="18"/>
      <c r="GD1663" s="18"/>
      <c r="GE1663" s="18"/>
      <c r="GF1663" s="18"/>
      <c r="GG1663" s="18"/>
      <c r="GH1663" s="18"/>
      <c r="GI1663" s="18"/>
      <c r="GJ1663" s="18"/>
      <c r="GK1663" s="18"/>
      <c r="GL1663" s="18"/>
      <c r="GM1663" s="18"/>
      <c r="GN1663" s="18"/>
      <c r="GO1663" s="18"/>
      <c r="GP1663" s="18"/>
      <c r="GQ1663" s="18"/>
      <c r="GR1663" s="18"/>
      <c r="GS1663" s="18"/>
      <c r="GT1663" s="18"/>
      <c r="GU1663" s="18"/>
      <c r="GV1663" s="18"/>
      <c r="GW1663" s="18"/>
      <c r="GX1663" s="18"/>
      <c r="GY1663" s="18"/>
      <c r="GZ1663" s="18"/>
      <c r="HA1663" s="18"/>
      <c r="HB1663" s="18"/>
      <c r="HC1663" s="18"/>
      <c r="HD1663" s="18"/>
      <c r="HE1663" s="18"/>
      <c r="HF1663" s="18"/>
      <c r="HG1663" s="18"/>
      <c r="HH1663" s="18"/>
      <c r="HI1663" s="18"/>
      <c r="HJ1663" s="18"/>
      <c r="HK1663" s="18"/>
      <c r="HL1663" s="18"/>
      <c r="HM1663" s="18"/>
      <c r="HN1663" s="18"/>
      <c r="HO1663" s="18"/>
      <c r="HP1663" s="18"/>
      <c r="HQ1663" s="18"/>
      <c r="HR1663" s="18"/>
      <c r="HS1663" s="18"/>
      <c r="HT1663" s="18"/>
      <c r="HU1663" s="18"/>
      <c r="HV1663" s="18"/>
      <c r="HW1663" s="18"/>
      <c r="HX1663" s="18"/>
      <c r="HY1663" s="18"/>
      <c r="HZ1663" s="18"/>
      <c r="IA1663" s="18"/>
      <c r="IB1663" s="18"/>
      <c r="IC1663" s="18"/>
      <c r="ID1663" s="18"/>
      <c r="IE1663" s="18"/>
      <c r="IF1663" s="18"/>
      <c r="IG1663" s="18"/>
      <c r="IH1663" s="18"/>
      <c r="II1663" s="18"/>
      <c r="IJ1663" s="18"/>
      <c r="IK1663" s="18"/>
      <c r="IL1663" s="18"/>
      <c r="IM1663" s="18"/>
      <c r="IN1663" s="18"/>
      <c r="IO1663" s="18"/>
      <c r="IP1663" s="18"/>
      <c r="IQ1663" s="18"/>
      <c r="IR1663" s="18"/>
      <c r="IS1663" s="18"/>
      <c r="IT1663" s="18"/>
      <c r="IU1663" s="18"/>
      <c r="IV1663" s="18"/>
      <c r="IW1663" s="18"/>
      <c r="IX1663" s="18"/>
      <c r="IY1663" s="18"/>
      <c r="IZ1663" s="18"/>
      <c r="JA1663" s="18"/>
      <c r="JB1663" s="18"/>
      <c r="JC1663" s="18"/>
      <c r="JD1663" s="18"/>
      <c r="JE1663" s="18"/>
      <c r="JF1663" s="18"/>
      <c r="JG1663" s="18"/>
      <c r="JH1663" s="18"/>
      <c r="JI1663" s="18"/>
      <c r="JJ1663" s="18"/>
      <c r="JK1663" s="18"/>
      <c r="JL1663" s="18"/>
      <c r="JM1663" s="18"/>
      <c r="JN1663" s="18"/>
      <c r="JO1663" s="16"/>
      <c r="JP1663" s="16"/>
      <c r="JQ1663" s="16"/>
      <c r="JR1663" s="16"/>
      <c r="JS1663" s="16"/>
      <c r="JT1663" s="16"/>
      <c r="JU1663" s="16"/>
      <c r="JV1663" s="16"/>
      <c r="JW1663" s="16"/>
      <c r="JX1663" s="16"/>
      <c r="JY1663" s="16"/>
      <c r="JZ1663" s="16"/>
      <c r="KA1663" s="16"/>
      <c r="KB1663" s="16"/>
    </row>
    <row r="1664" spans="1:288" s="27" customFormat="1" x14ac:dyDescent="0.2">
      <c r="A1664" s="18"/>
      <c r="B1664" s="16">
        <v>2016</v>
      </c>
      <c r="C1664" s="20">
        <v>42574</v>
      </c>
      <c r="D1664" s="20" t="str">
        <f>CONCATENATE(J1664,"-",C1664)</f>
        <v>996-42574</v>
      </c>
      <c r="E1664" s="20" t="str">
        <f>CONCATENATE(T1664,"-",U1664,"-",C1664)</f>
        <v>PO2-A8-42574</v>
      </c>
      <c r="F1664" s="20" t="s">
        <v>106</v>
      </c>
      <c r="G1664" s="20" t="s">
        <v>278</v>
      </c>
      <c r="H1664" s="16"/>
      <c r="I1664" s="16"/>
      <c r="J1664" s="21">
        <v>996</v>
      </c>
      <c r="K1664" s="21"/>
      <c r="L1664" s="16"/>
      <c r="M1664" s="21"/>
      <c r="N1664" s="21"/>
      <c r="O1664" s="21"/>
      <c r="P1664" s="16"/>
      <c r="Q1664" s="16"/>
      <c r="R1664" s="16"/>
      <c r="S1664" s="16"/>
      <c r="T1664" s="16" t="s">
        <v>127</v>
      </c>
      <c r="U1664" s="16" t="s">
        <v>194</v>
      </c>
      <c r="V1664" s="16" t="s">
        <v>114</v>
      </c>
      <c r="W1664" s="16"/>
      <c r="X1664" s="16" t="s">
        <v>121</v>
      </c>
      <c r="Y1664" s="16" t="s">
        <v>122</v>
      </c>
      <c r="Z1664" s="16">
        <v>2.6</v>
      </c>
      <c r="AA1664" s="16" t="s">
        <v>123</v>
      </c>
      <c r="AB1664" s="16" t="s">
        <v>123</v>
      </c>
      <c r="AC1664" s="16" t="s">
        <v>123</v>
      </c>
      <c r="AD1664" s="16" t="s">
        <v>123</v>
      </c>
      <c r="AE1664" s="16"/>
      <c r="AF1664" s="16"/>
      <c r="AG1664" s="16"/>
      <c r="AH1664" s="16"/>
      <c r="AI1664" s="16"/>
      <c r="AJ1664" s="16"/>
      <c r="AK1664" s="16">
        <v>20</v>
      </c>
      <c r="AL1664" s="16"/>
      <c r="AM1664" s="16"/>
      <c r="AN1664" s="16"/>
      <c r="AO1664" s="16"/>
      <c r="AP1664" s="16"/>
      <c r="AQ1664" s="16"/>
      <c r="AR1664" s="16"/>
      <c r="AS1664" s="16"/>
      <c r="AT1664" s="16"/>
      <c r="AU1664" s="16"/>
      <c r="AV1664" s="16"/>
      <c r="AW1664" s="16"/>
      <c r="AX1664" s="16"/>
      <c r="AY1664" s="16"/>
      <c r="AZ1664" s="16"/>
      <c r="BA1664" s="16"/>
      <c r="BB1664" s="16"/>
      <c r="BC1664" s="16"/>
      <c r="BD1664" s="16"/>
      <c r="BE1664" s="16"/>
      <c r="BF1664" s="16"/>
      <c r="BG1664" s="77"/>
      <c r="BH1664" s="16"/>
      <c r="BI1664" s="16"/>
      <c r="BJ1664" s="16"/>
      <c r="BK1664" s="16"/>
      <c r="BL1664" s="16"/>
      <c r="BM1664" s="16"/>
      <c r="BN1664" s="16"/>
      <c r="BO1664" s="16"/>
      <c r="BP1664" s="16"/>
      <c r="BQ1664" s="16"/>
      <c r="BR1664" s="16"/>
      <c r="BS1664" s="16"/>
      <c r="BT1664" s="77"/>
      <c r="BU1664" s="16"/>
      <c r="BV1664" s="16"/>
      <c r="BW1664" s="16"/>
      <c r="BX1664" s="16"/>
      <c r="BY1664" s="16"/>
      <c r="BZ1664" s="16"/>
      <c r="CA1664" s="16"/>
      <c r="CB1664" s="16"/>
      <c r="CC1664" s="16"/>
      <c r="CD1664" s="77"/>
      <c r="CE1664" s="16"/>
      <c r="CF1664" s="16"/>
      <c r="CG1664" s="16"/>
      <c r="CH1664" s="16"/>
      <c r="CI1664" s="16"/>
      <c r="CJ1664" s="16"/>
      <c r="CK1664" s="16"/>
      <c r="CL1664" s="16"/>
      <c r="CM1664" s="16"/>
      <c r="CN1664" s="16"/>
      <c r="CO1664" s="16"/>
      <c r="CP1664" s="16"/>
      <c r="CQ1664" s="16"/>
      <c r="CR1664" s="16"/>
      <c r="CS1664" s="16"/>
      <c r="CT1664" s="16"/>
      <c r="CU1664" s="16"/>
      <c r="CV1664" s="16"/>
      <c r="CW1664" s="16"/>
      <c r="CX1664" s="16"/>
      <c r="CY1664" s="16"/>
      <c r="CZ1664" s="16"/>
      <c r="DA1664" s="16"/>
      <c r="DB1664" s="16"/>
      <c r="DC1664" s="16"/>
      <c r="DD1664" s="16"/>
      <c r="DE1664" s="16"/>
      <c r="DF1664" s="16" t="e">
        <f>VLOOKUP(K1664,'[3]RNA Seq summary tables'!$V$3:$V$99,1,FALSE)</f>
        <v>#N/A</v>
      </c>
      <c r="DG1664" s="16"/>
      <c r="DH1664" s="16"/>
      <c r="DI1664" s="16"/>
      <c r="DJ1664" s="16"/>
      <c r="DK1664" s="16"/>
      <c r="DL1664" s="16"/>
      <c r="DM1664" s="16"/>
      <c r="DN1664" s="16"/>
      <c r="DO1664" s="16"/>
      <c r="DP1664" s="16"/>
      <c r="DQ1664" s="16"/>
      <c r="DR1664" s="16"/>
      <c r="DS1664" s="16"/>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18"/>
      <c r="EQ1664" s="18"/>
      <c r="ER1664" s="18"/>
      <c r="ES1664" s="18"/>
      <c r="ET1664" s="18"/>
      <c r="EU1664" s="18"/>
      <c r="EV1664" s="18"/>
      <c r="EW1664" s="18"/>
      <c r="EX1664" s="18"/>
      <c r="EY1664" s="18"/>
      <c r="EZ1664" s="18"/>
      <c r="FA1664" s="18"/>
      <c r="FB1664" s="18"/>
      <c r="FC1664" s="18"/>
      <c r="FD1664" s="18"/>
      <c r="FE1664" s="18"/>
      <c r="FF1664" s="18"/>
      <c r="FG1664" s="18"/>
      <c r="FH1664" s="18"/>
      <c r="FI1664" s="18"/>
      <c r="FJ1664" s="18"/>
      <c r="FK1664" s="18"/>
      <c r="FL1664" s="18"/>
      <c r="FM1664" s="18"/>
      <c r="FN1664" s="18"/>
      <c r="FO1664" s="18"/>
      <c r="FP1664" s="18"/>
      <c r="FQ1664" s="18"/>
      <c r="FR1664" s="18"/>
      <c r="FS1664" s="18"/>
      <c r="FT1664" s="18"/>
      <c r="FU1664" s="18"/>
      <c r="FV1664" s="18"/>
      <c r="FW1664" s="18"/>
      <c r="FX1664" s="18"/>
      <c r="FY1664" s="18"/>
      <c r="FZ1664" s="18"/>
      <c r="GA1664" s="18"/>
      <c r="GB1664" s="18"/>
      <c r="GC1664" s="18"/>
      <c r="GD1664" s="18"/>
      <c r="GE1664" s="18"/>
      <c r="GF1664" s="18"/>
      <c r="GG1664" s="18"/>
      <c r="GH1664" s="18"/>
      <c r="GI1664" s="18"/>
      <c r="GJ1664" s="18"/>
      <c r="GK1664" s="18"/>
      <c r="GL1664" s="18"/>
      <c r="GM1664" s="18"/>
      <c r="GN1664" s="18"/>
      <c r="GO1664" s="18"/>
      <c r="GP1664" s="18"/>
      <c r="GQ1664" s="18"/>
      <c r="GR1664" s="18"/>
      <c r="GS1664" s="18"/>
      <c r="GT1664" s="18"/>
      <c r="GU1664" s="18"/>
      <c r="GV1664" s="18"/>
      <c r="GW1664" s="18"/>
      <c r="GX1664" s="18"/>
      <c r="GY1664" s="18"/>
      <c r="GZ1664" s="18"/>
      <c r="HA1664" s="18"/>
      <c r="HB1664" s="18"/>
      <c r="HC1664" s="18"/>
      <c r="HD1664" s="18"/>
      <c r="HE1664" s="18"/>
      <c r="HF1664" s="18"/>
      <c r="HG1664" s="18"/>
      <c r="HH1664" s="18"/>
      <c r="HI1664" s="18"/>
      <c r="HJ1664" s="18"/>
      <c r="HK1664" s="18"/>
      <c r="HL1664" s="18"/>
      <c r="HM1664" s="18"/>
      <c r="HN1664" s="18"/>
      <c r="HO1664" s="18"/>
      <c r="HP1664" s="18"/>
      <c r="HQ1664" s="18"/>
      <c r="HR1664" s="18"/>
      <c r="HS1664" s="18"/>
      <c r="HT1664" s="18"/>
      <c r="HU1664" s="18"/>
      <c r="HV1664" s="18"/>
      <c r="HW1664" s="18"/>
      <c r="HX1664" s="18"/>
      <c r="HY1664" s="18"/>
      <c r="HZ1664" s="18"/>
      <c r="IA1664" s="18"/>
      <c r="IB1664" s="18"/>
      <c r="IC1664" s="18"/>
      <c r="ID1664" s="18"/>
      <c r="IE1664" s="18"/>
      <c r="IF1664" s="18"/>
      <c r="IG1664" s="18"/>
      <c r="IH1664" s="18"/>
      <c r="II1664" s="18"/>
      <c r="IJ1664" s="18"/>
      <c r="IK1664" s="18"/>
      <c r="IL1664" s="18"/>
      <c r="IM1664" s="18"/>
      <c r="IN1664" s="18"/>
      <c r="IO1664" s="18"/>
      <c r="IP1664" s="18"/>
      <c r="IQ1664" s="18"/>
      <c r="IR1664" s="18"/>
      <c r="IS1664" s="18"/>
      <c r="IT1664" s="18"/>
      <c r="IU1664" s="18"/>
      <c r="IV1664" s="18"/>
      <c r="IW1664" s="18"/>
      <c r="IX1664" s="18"/>
      <c r="IY1664" s="18"/>
      <c r="IZ1664" s="18"/>
      <c r="JA1664" s="18"/>
      <c r="JB1664" s="18"/>
      <c r="JC1664" s="18"/>
      <c r="JD1664" s="18"/>
      <c r="JE1664" s="18"/>
      <c r="JF1664" s="18"/>
      <c r="JG1664" s="18"/>
      <c r="JH1664" s="18"/>
      <c r="JI1664" s="18"/>
      <c r="JJ1664" s="18"/>
      <c r="JK1664" s="18"/>
      <c r="JL1664" s="18"/>
      <c r="JM1664" s="18"/>
      <c r="JN1664" s="18"/>
      <c r="JO1664" s="16"/>
      <c r="JP1664" s="16"/>
      <c r="JQ1664" s="16"/>
      <c r="JR1664" s="16"/>
      <c r="JS1664" s="16"/>
      <c r="JT1664" s="16"/>
      <c r="JU1664" s="16"/>
      <c r="JV1664" s="16"/>
      <c r="JW1664" s="16"/>
      <c r="JX1664" s="16"/>
      <c r="JY1664" s="16"/>
      <c r="JZ1664" s="16"/>
      <c r="KA1664" s="16"/>
      <c r="KB1664" s="16"/>
    </row>
    <row r="1665" spans="1:288" s="27" customFormat="1" x14ac:dyDescent="0.2">
      <c r="A1665" s="18"/>
      <c r="B1665" s="16">
        <v>2016</v>
      </c>
      <c r="C1665" s="20">
        <v>42601</v>
      </c>
      <c r="D1665" s="20" t="str">
        <f>CONCATENATE(J1665,"-",C1665)</f>
        <v>996-42601</v>
      </c>
      <c r="E1665" s="20" t="str">
        <f>CONCATENATE(T1665,"-",U1665,"-",C1665)</f>
        <v>PO2-B6-42601</v>
      </c>
      <c r="F1665" s="20" t="s">
        <v>227</v>
      </c>
      <c r="G1665" s="20" t="s">
        <v>278</v>
      </c>
      <c r="H1665" s="16"/>
      <c r="I1665" s="16"/>
      <c r="J1665" s="21">
        <v>996</v>
      </c>
      <c r="K1665" s="21"/>
      <c r="L1665" s="16"/>
      <c r="M1665" s="21"/>
      <c r="N1665" s="21"/>
      <c r="O1665" s="21"/>
      <c r="P1665" s="16"/>
      <c r="Q1665" s="16"/>
      <c r="R1665" s="16"/>
      <c r="S1665" s="16"/>
      <c r="T1665" s="16" t="s">
        <v>127</v>
      </c>
      <c r="U1665" s="16" t="s">
        <v>132</v>
      </c>
      <c r="V1665" s="16"/>
      <c r="W1665" s="16"/>
      <c r="X1665" s="16" t="s">
        <v>121</v>
      </c>
      <c r="Y1665" s="16" t="s">
        <v>110</v>
      </c>
      <c r="Z1665" s="16">
        <v>3</v>
      </c>
      <c r="AA1665" s="16"/>
      <c r="AB1665" s="16"/>
      <c r="AC1665" s="16" t="s">
        <v>116</v>
      </c>
      <c r="AD1665" s="16" t="s">
        <v>116</v>
      </c>
      <c r="AE1665" s="16"/>
      <c r="AF1665" s="16"/>
      <c r="AG1665" s="16"/>
      <c r="AH1665" s="16"/>
      <c r="AI1665" s="16"/>
      <c r="AJ1665" s="16"/>
      <c r="AK1665" s="16">
        <v>34</v>
      </c>
      <c r="AL1665" s="16">
        <v>0</v>
      </c>
      <c r="AM1665" s="16">
        <v>0</v>
      </c>
      <c r="AN1665" s="16">
        <v>1</v>
      </c>
      <c r="AO1665" s="16">
        <f>IF(SUM(AL1665:AN1665)&gt;0,1,0)</f>
        <v>1</v>
      </c>
      <c r="AP1665" s="16">
        <f>SUM(AL1665:AN1665)</f>
        <v>1</v>
      </c>
      <c r="AQ1665" s="16"/>
      <c r="AR1665" s="16"/>
      <c r="AS1665" s="16"/>
      <c r="AT1665" s="16"/>
      <c r="AU1665" s="16"/>
      <c r="AV1665" s="16"/>
      <c r="AW1665" s="16"/>
      <c r="AX1665" s="16"/>
      <c r="AY1665" s="16"/>
      <c r="AZ1665" s="16"/>
      <c r="BA1665" s="16"/>
      <c r="BB1665" s="16"/>
      <c r="BC1665" s="16"/>
      <c r="BD1665" s="16"/>
      <c r="BE1665" s="16"/>
      <c r="BF1665" s="16"/>
      <c r="BG1665" s="77"/>
      <c r="BH1665" s="16"/>
      <c r="BI1665" s="16"/>
      <c r="BJ1665" s="16"/>
      <c r="BK1665" s="16"/>
      <c r="BL1665" s="16"/>
      <c r="BM1665" s="16"/>
      <c r="BN1665" s="16"/>
      <c r="BO1665" s="16"/>
      <c r="BP1665" s="16"/>
      <c r="BQ1665" s="16"/>
      <c r="BR1665" s="16"/>
      <c r="BS1665" s="16"/>
      <c r="BT1665" s="77"/>
      <c r="BU1665" s="16"/>
      <c r="BV1665" s="16"/>
      <c r="BW1665" s="16"/>
      <c r="BX1665" s="16"/>
      <c r="BY1665" s="16"/>
      <c r="BZ1665" s="16"/>
      <c r="CA1665" s="16"/>
      <c r="CB1665" s="16"/>
      <c r="CC1665" s="16"/>
      <c r="CD1665" s="77"/>
      <c r="CE1665" s="16"/>
      <c r="CF1665" s="16"/>
      <c r="CG1665" s="16"/>
      <c r="CH1665" s="16"/>
      <c r="CI1665" s="16"/>
      <c r="CJ1665" s="16"/>
      <c r="CK1665" s="16"/>
      <c r="CL1665" s="16"/>
      <c r="CM1665" s="16"/>
      <c r="CN1665" s="16"/>
      <c r="CO1665" s="16"/>
      <c r="CP1665" s="16"/>
      <c r="CQ1665" s="16"/>
      <c r="CR1665" s="16"/>
      <c r="CS1665" s="16"/>
      <c r="CT1665" s="16"/>
      <c r="CU1665" s="16"/>
      <c r="CV1665" s="16"/>
      <c r="CW1665" s="16"/>
      <c r="CX1665" s="16"/>
      <c r="CY1665" s="16"/>
      <c r="CZ1665" s="16"/>
      <c r="DA1665" s="16"/>
      <c r="DB1665" s="16"/>
      <c r="DC1665" s="16"/>
      <c r="DD1665" s="16"/>
      <c r="DE1665" s="16"/>
      <c r="DF1665" s="16" t="e">
        <f>VLOOKUP(K1665,'[3]RNA Seq summary tables'!$V$3:$V$99,1,FALSE)</f>
        <v>#N/A</v>
      </c>
      <c r="DG1665" s="16"/>
      <c r="DH1665" s="16"/>
      <c r="DI1665" s="16"/>
      <c r="DJ1665" s="16"/>
      <c r="DK1665" s="16"/>
      <c r="DL1665" s="16"/>
      <c r="DM1665" s="16"/>
      <c r="DN1665" s="16"/>
      <c r="DO1665" s="16"/>
      <c r="DP1665" s="16"/>
      <c r="DQ1665" s="16"/>
      <c r="DR1665" s="16"/>
      <c r="DS1665" s="16"/>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18"/>
      <c r="EQ1665" s="18"/>
      <c r="ER1665" s="18"/>
      <c r="ES1665" s="18"/>
      <c r="ET1665" s="18"/>
      <c r="EU1665" s="18"/>
      <c r="EV1665" s="18"/>
      <c r="EW1665" s="18"/>
      <c r="EX1665" s="18"/>
      <c r="EY1665" s="18"/>
      <c r="EZ1665" s="18"/>
      <c r="FA1665" s="18"/>
      <c r="FB1665" s="18"/>
      <c r="FC1665" s="18"/>
      <c r="FD1665" s="18"/>
      <c r="FE1665" s="18"/>
      <c r="FF1665" s="18"/>
      <c r="FG1665" s="18"/>
      <c r="FH1665" s="18"/>
      <c r="FI1665" s="18"/>
      <c r="FJ1665" s="18"/>
      <c r="FK1665" s="18"/>
      <c r="FL1665" s="18"/>
      <c r="FM1665" s="18"/>
      <c r="FN1665" s="18"/>
      <c r="FO1665" s="18"/>
      <c r="FP1665" s="18"/>
      <c r="FQ1665" s="18"/>
      <c r="FR1665" s="18"/>
      <c r="FS1665" s="18"/>
      <c r="FT1665" s="18"/>
      <c r="FU1665" s="18"/>
      <c r="FV1665" s="18"/>
      <c r="FW1665" s="18"/>
      <c r="FX1665" s="18"/>
      <c r="FY1665" s="18"/>
      <c r="FZ1665" s="18"/>
      <c r="GA1665" s="18"/>
      <c r="GB1665" s="18"/>
      <c r="GC1665" s="18"/>
      <c r="GD1665" s="18"/>
      <c r="GE1665" s="18"/>
      <c r="GF1665" s="18"/>
      <c r="GG1665" s="18"/>
      <c r="GH1665" s="18"/>
      <c r="GI1665" s="18"/>
      <c r="GJ1665" s="18"/>
      <c r="GK1665" s="18"/>
      <c r="GL1665" s="18"/>
      <c r="GM1665" s="18"/>
      <c r="GN1665" s="18"/>
      <c r="GO1665" s="18"/>
      <c r="GP1665" s="18"/>
      <c r="GQ1665" s="18"/>
      <c r="GR1665" s="18"/>
      <c r="GS1665" s="18"/>
      <c r="GT1665" s="18"/>
      <c r="GU1665" s="18"/>
      <c r="GV1665" s="18"/>
      <c r="GW1665" s="18"/>
      <c r="GX1665" s="18"/>
      <c r="GY1665" s="18"/>
      <c r="GZ1665" s="18"/>
      <c r="HA1665" s="18"/>
      <c r="HB1665" s="18"/>
      <c r="HC1665" s="18"/>
      <c r="HD1665" s="18"/>
      <c r="HE1665" s="18"/>
      <c r="HF1665" s="18"/>
      <c r="HG1665" s="18"/>
      <c r="HH1665" s="18"/>
      <c r="HI1665" s="18"/>
      <c r="HJ1665" s="18"/>
      <c r="HK1665" s="18"/>
      <c r="HL1665" s="18"/>
      <c r="HM1665" s="18"/>
      <c r="HN1665" s="18"/>
      <c r="HO1665" s="18"/>
      <c r="HP1665" s="18"/>
      <c r="HQ1665" s="18"/>
      <c r="HR1665" s="18"/>
      <c r="HS1665" s="18"/>
      <c r="HT1665" s="18"/>
      <c r="HU1665" s="18"/>
      <c r="HV1665" s="18"/>
      <c r="HW1665" s="18"/>
      <c r="HX1665" s="18"/>
      <c r="HY1665" s="18"/>
      <c r="HZ1665" s="18"/>
      <c r="IA1665" s="18"/>
      <c r="IB1665" s="18"/>
      <c r="IC1665" s="18"/>
      <c r="ID1665" s="18"/>
      <c r="IE1665" s="18"/>
      <c r="IF1665" s="18"/>
      <c r="IG1665" s="18"/>
      <c r="IH1665" s="18"/>
      <c r="II1665" s="18"/>
      <c r="IJ1665" s="18"/>
      <c r="IK1665" s="18"/>
      <c r="IL1665" s="18"/>
      <c r="IM1665" s="18"/>
      <c r="IN1665" s="18"/>
      <c r="IO1665" s="18"/>
      <c r="IP1665" s="18"/>
      <c r="IQ1665" s="18"/>
      <c r="IR1665" s="18"/>
      <c r="IS1665" s="18"/>
      <c r="IT1665" s="18"/>
      <c r="IU1665" s="18"/>
      <c r="IV1665" s="18"/>
      <c r="IW1665" s="18"/>
      <c r="IX1665" s="18"/>
      <c r="IY1665" s="18"/>
      <c r="IZ1665" s="18"/>
      <c r="JA1665" s="18"/>
      <c r="JB1665" s="18"/>
      <c r="JC1665" s="18"/>
      <c r="JD1665" s="18"/>
      <c r="JE1665" s="18"/>
      <c r="JF1665" s="18"/>
      <c r="JG1665" s="18"/>
      <c r="JH1665" s="18"/>
      <c r="JI1665" s="18"/>
      <c r="JJ1665" s="18"/>
      <c r="JK1665" s="18"/>
      <c r="JL1665" s="18"/>
      <c r="JM1665" s="18"/>
      <c r="JN1665" s="18"/>
      <c r="JO1665" s="16"/>
      <c r="JP1665" s="16"/>
      <c r="JQ1665" s="16"/>
      <c r="JR1665" s="16"/>
      <c r="JS1665" s="16"/>
      <c r="JT1665" s="16"/>
      <c r="JU1665" s="16"/>
      <c r="JV1665" s="16"/>
      <c r="JW1665" s="16"/>
      <c r="JX1665" s="16"/>
      <c r="JY1665" s="16"/>
      <c r="JZ1665" s="16"/>
      <c r="KA1665" s="16"/>
      <c r="KB1665" s="16"/>
    </row>
    <row r="1666" spans="1:288" s="27" customFormat="1" x14ac:dyDescent="0.2">
      <c r="A1666" s="18"/>
      <c r="B1666" s="16">
        <v>2016</v>
      </c>
      <c r="C1666" s="20">
        <v>42602</v>
      </c>
      <c r="D1666" s="20" t="str">
        <f>CONCATENATE(J1666,"-",C1666)</f>
        <v>996-42602</v>
      </c>
      <c r="E1666" s="20" t="str">
        <f>CONCATENATE(T1666,"-",U1666,"-",C1666)</f>
        <v>PO2-A5-42602</v>
      </c>
      <c r="F1666" s="20" t="s">
        <v>227</v>
      </c>
      <c r="G1666" s="20" t="s">
        <v>278</v>
      </c>
      <c r="H1666" s="16"/>
      <c r="I1666" s="16"/>
      <c r="J1666" s="21">
        <v>996</v>
      </c>
      <c r="K1666" s="21"/>
      <c r="L1666" s="16"/>
      <c r="M1666" s="21"/>
      <c r="N1666" s="21"/>
      <c r="O1666" s="21"/>
      <c r="P1666" s="16"/>
      <c r="Q1666" s="16"/>
      <c r="R1666" s="16"/>
      <c r="S1666" s="16"/>
      <c r="T1666" s="16" t="s">
        <v>127</v>
      </c>
      <c r="U1666" s="16" t="s">
        <v>167</v>
      </c>
      <c r="V1666" s="16" t="s">
        <v>114</v>
      </c>
      <c r="W1666" s="16"/>
      <c r="X1666" s="16" t="s">
        <v>121</v>
      </c>
      <c r="Y1666" s="16"/>
      <c r="Z1666" s="16"/>
      <c r="AA1666" s="16"/>
      <c r="AB1666" s="16"/>
      <c r="AC1666" s="16"/>
      <c r="AD1666" s="16"/>
      <c r="AE1666" s="16"/>
      <c r="AF1666" s="16"/>
      <c r="AG1666" s="16"/>
      <c r="AH1666" s="16"/>
      <c r="AI1666" s="16"/>
      <c r="AJ1666" s="16"/>
      <c r="AK1666" s="16">
        <v>35</v>
      </c>
      <c r="AL1666" s="16"/>
      <c r="AM1666" s="16"/>
      <c r="AN1666" s="16"/>
      <c r="AO1666" s="16"/>
      <c r="AP1666" s="16"/>
      <c r="AQ1666" s="16"/>
      <c r="AR1666" s="16"/>
      <c r="AS1666" s="16"/>
      <c r="AT1666" s="16"/>
      <c r="AU1666" s="16"/>
      <c r="AV1666" s="16"/>
      <c r="AW1666" s="16"/>
      <c r="AX1666" s="16"/>
      <c r="AY1666" s="16"/>
      <c r="AZ1666" s="16"/>
      <c r="BA1666" s="16"/>
      <c r="BB1666" s="16"/>
      <c r="BC1666" s="16"/>
      <c r="BD1666" s="16"/>
      <c r="BE1666" s="16"/>
      <c r="BF1666" s="16"/>
      <c r="BG1666" s="77"/>
      <c r="BH1666" s="16"/>
      <c r="BI1666" s="16"/>
      <c r="BJ1666" s="16"/>
      <c r="BK1666" s="16"/>
      <c r="BL1666" s="16"/>
      <c r="BM1666" s="16"/>
      <c r="BN1666" s="16"/>
      <c r="BO1666" s="16"/>
      <c r="BP1666" s="16"/>
      <c r="BQ1666" s="16"/>
      <c r="BR1666" s="16"/>
      <c r="BS1666" s="16"/>
      <c r="BT1666" s="77"/>
      <c r="BU1666" s="16"/>
      <c r="BV1666" s="16"/>
      <c r="BW1666" s="16"/>
      <c r="BX1666" s="16"/>
      <c r="BY1666" s="16"/>
      <c r="BZ1666" s="16"/>
      <c r="CA1666" s="16"/>
      <c r="CB1666" s="16"/>
      <c r="CC1666" s="16"/>
      <c r="CD1666" s="77"/>
      <c r="CE1666" s="16"/>
      <c r="CF1666" s="16"/>
      <c r="CG1666" s="16"/>
      <c r="CH1666" s="16"/>
      <c r="CI1666" s="16"/>
      <c r="CJ1666" s="16"/>
      <c r="CK1666" s="16"/>
      <c r="CL1666" s="16"/>
      <c r="CM1666" s="16"/>
      <c r="CN1666" s="16"/>
      <c r="CO1666" s="16"/>
      <c r="CP1666" s="16"/>
      <c r="CQ1666" s="16"/>
      <c r="CR1666" s="16"/>
      <c r="CS1666" s="16"/>
      <c r="CT1666" s="16"/>
      <c r="CU1666" s="16"/>
      <c r="CV1666" s="16"/>
      <c r="CW1666" s="16"/>
      <c r="CX1666" s="16"/>
      <c r="CY1666" s="16"/>
      <c r="CZ1666" s="16"/>
      <c r="DA1666" s="16"/>
      <c r="DB1666" s="16"/>
      <c r="DC1666" s="16"/>
      <c r="DD1666" s="16"/>
      <c r="DE1666" s="16"/>
      <c r="DF1666" s="16" t="e">
        <f>VLOOKUP(K1666,'[3]RNA Seq summary tables'!$V$3:$V$99,1,FALSE)</f>
        <v>#N/A</v>
      </c>
      <c r="DG1666" s="16"/>
      <c r="DH1666" s="16"/>
      <c r="DI1666" s="16"/>
      <c r="DJ1666" s="16"/>
      <c r="DK1666" s="16"/>
      <c r="DL1666" s="16"/>
      <c r="DM1666" s="16"/>
      <c r="DN1666" s="16"/>
      <c r="DO1666" s="16"/>
      <c r="DP1666" s="16"/>
      <c r="DQ1666" s="16"/>
      <c r="DR1666" s="16"/>
      <c r="DS1666" s="16"/>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18"/>
      <c r="EQ1666" s="18"/>
      <c r="ER1666" s="18"/>
      <c r="ES1666" s="18"/>
      <c r="ET1666" s="18"/>
      <c r="EU1666" s="18"/>
      <c r="EV1666" s="18"/>
      <c r="EW1666" s="18"/>
      <c r="EX1666" s="18"/>
      <c r="EY1666" s="18"/>
      <c r="EZ1666" s="18"/>
      <c r="FA1666" s="18"/>
      <c r="FB1666" s="18"/>
      <c r="FC1666" s="18"/>
      <c r="FD1666" s="18"/>
      <c r="FE1666" s="18"/>
      <c r="FF1666" s="18"/>
      <c r="FG1666" s="18"/>
      <c r="FH1666" s="18"/>
      <c r="FI1666" s="18"/>
      <c r="FJ1666" s="18"/>
      <c r="FK1666" s="18"/>
      <c r="FL1666" s="18"/>
      <c r="FM1666" s="18"/>
      <c r="FN1666" s="18"/>
      <c r="FO1666" s="18"/>
      <c r="FP1666" s="18"/>
      <c r="FQ1666" s="18"/>
      <c r="FR1666" s="18"/>
      <c r="FS1666" s="18"/>
      <c r="FT1666" s="18"/>
      <c r="FU1666" s="18"/>
      <c r="FV1666" s="18"/>
      <c r="FW1666" s="18"/>
      <c r="FX1666" s="18"/>
      <c r="FY1666" s="18"/>
      <c r="FZ1666" s="18"/>
      <c r="GA1666" s="18"/>
      <c r="GB1666" s="18"/>
      <c r="GC1666" s="18"/>
      <c r="GD1666" s="18"/>
      <c r="GE1666" s="18"/>
      <c r="GF1666" s="18"/>
      <c r="GG1666" s="18"/>
      <c r="GH1666" s="18"/>
      <c r="GI1666" s="18"/>
      <c r="GJ1666" s="18"/>
      <c r="GK1666" s="18"/>
      <c r="GL1666" s="18"/>
      <c r="GM1666" s="18"/>
      <c r="GN1666" s="18"/>
      <c r="GO1666" s="18"/>
      <c r="GP1666" s="18"/>
      <c r="GQ1666" s="18"/>
      <c r="GR1666" s="18"/>
      <c r="GS1666" s="18"/>
      <c r="GT1666" s="18"/>
      <c r="GU1666" s="18"/>
      <c r="GV1666" s="18"/>
      <c r="GW1666" s="18"/>
      <c r="GX1666" s="18"/>
      <c r="GY1666" s="18"/>
      <c r="GZ1666" s="18"/>
      <c r="HA1666" s="18"/>
      <c r="HB1666" s="18"/>
      <c r="HC1666" s="18"/>
      <c r="HD1666" s="18"/>
      <c r="HE1666" s="18"/>
      <c r="HF1666" s="18"/>
      <c r="HG1666" s="18"/>
      <c r="HH1666" s="18"/>
      <c r="HI1666" s="18"/>
      <c r="HJ1666" s="18"/>
      <c r="HK1666" s="18"/>
      <c r="HL1666" s="18"/>
      <c r="HM1666" s="18"/>
      <c r="HN1666" s="18"/>
      <c r="HO1666" s="18"/>
      <c r="HP1666" s="18"/>
      <c r="HQ1666" s="18"/>
      <c r="HR1666" s="18"/>
      <c r="HS1666" s="18"/>
      <c r="HT1666" s="18"/>
      <c r="HU1666" s="18"/>
      <c r="HV1666" s="18"/>
      <c r="HW1666" s="18"/>
      <c r="HX1666" s="18"/>
      <c r="HY1666" s="18"/>
      <c r="HZ1666" s="18"/>
      <c r="IA1666" s="18"/>
      <c r="IB1666" s="18"/>
      <c r="IC1666" s="18"/>
      <c r="ID1666" s="18"/>
      <c r="IE1666" s="18"/>
      <c r="IF1666" s="18"/>
      <c r="IG1666" s="18"/>
      <c r="IH1666" s="18"/>
      <c r="II1666" s="18"/>
      <c r="IJ1666" s="18"/>
      <c r="IK1666" s="18"/>
      <c r="IL1666" s="18"/>
      <c r="IM1666" s="18"/>
      <c r="IN1666" s="18"/>
      <c r="IO1666" s="18"/>
      <c r="IP1666" s="18"/>
      <c r="IQ1666" s="18"/>
      <c r="IR1666" s="18"/>
      <c r="IS1666" s="18"/>
      <c r="IT1666" s="18"/>
      <c r="IU1666" s="18"/>
      <c r="IV1666" s="18"/>
      <c r="IW1666" s="18"/>
      <c r="IX1666" s="18"/>
      <c r="IY1666" s="18"/>
      <c r="IZ1666" s="18"/>
      <c r="JA1666" s="18"/>
      <c r="JB1666" s="18"/>
      <c r="JC1666" s="18"/>
      <c r="JD1666" s="18"/>
      <c r="JE1666" s="18"/>
      <c r="JF1666" s="18"/>
      <c r="JG1666" s="18"/>
      <c r="JH1666" s="18"/>
      <c r="JI1666" s="18"/>
      <c r="JJ1666" s="18"/>
      <c r="JK1666" s="18"/>
      <c r="JL1666" s="18"/>
      <c r="JM1666" s="18"/>
      <c r="JN1666" s="18"/>
      <c r="JO1666" s="16"/>
      <c r="JP1666" s="16"/>
      <c r="JQ1666" s="16"/>
      <c r="JR1666" s="16"/>
      <c r="JS1666" s="16"/>
      <c r="JT1666" s="16"/>
      <c r="JU1666" s="16"/>
      <c r="JV1666" s="16"/>
      <c r="JW1666" s="16"/>
      <c r="JX1666" s="16"/>
      <c r="JY1666" s="16"/>
      <c r="JZ1666" s="16"/>
      <c r="KA1666" s="16"/>
      <c r="KB1666" s="16"/>
    </row>
    <row r="1667" spans="1:288" s="18" customFormat="1" x14ac:dyDescent="0.2">
      <c r="B1667" s="16">
        <v>2016</v>
      </c>
      <c r="C1667" s="20">
        <v>42615</v>
      </c>
      <c r="D1667" s="20" t="str">
        <f>CONCATENATE(J1667,"-",C1667)</f>
        <v>996-42615</v>
      </c>
      <c r="E1667" s="20" t="str">
        <f>CONCATENATE(T1667,"-",U1667,"-",C1667)</f>
        <v>PO2-A2-42615</v>
      </c>
      <c r="F1667" s="20" t="s">
        <v>227</v>
      </c>
      <c r="G1667" s="20" t="s">
        <v>278</v>
      </c>
      <c r="H1667" s="16"/>
      <c r="I1667" s="16"/>
      <c r="J1667" s="21">
        <v>996</v>
      </c>
      <c r="K1667" s="21"/>
      <c r="L1667" s="16"/>
      <c r="M1667" s="21"/>
      <c r="N1667" s="21"/>
      <c r="O1667" s="21"/>
      <c r="P1667" s="16"/>
      <c r="Q1667" s="16"/>
      <c r="R1667" s="16"/>
      <c r="S1667" s="16"/>
      <c r="T1667" s="16" t="s">
        <v>127</v>
      </c>
      <c r="U1667" s="16" t="s">
        <v>171</v>
      </c>
      <c r="V1667" s="16"/>
      <c r="W1667" s="16"/>
      <c r="X1667" s="16"/>
      <c r="Y1667" s="16"/>
      <c r="Z1667" s="16"/>
      <c r="AA1667" s="16"/>
      <c r="AB1667" s="16"/>
      <c r="AC1667" s="16"/>
      <c r="AD1667" s="16"/>
      <c r="AE1667" s="16"/>
      <c r="AF1667" s="16"/>
      <c r="AG1667" s="16"/>
      <c r="AH1667" s="16"/>
      <c r="AI1667" s="16"/>
      <c r="AJ1667" s="16"/>
      <c r="AK1667" s="16"/>
      <c r="AL1667" s="16"/>
      <c r="AM1667" s="16"/>
      <c r="AN1667" s="16"/>
      <c r="AO1667" s="16"/>
      <c r="AP1667" s="16"/>
      <c r="AQ1667" s="16"/>
      <c r="AR1667" s="16"/>
      <c r="AS1667" s="16"/>
      <c r="AT1667" s="16"/>
      <c r="AU1667" s="16"/>
      <c r="AV1667" s="16"/>
      <c r="AW1667" s="16"/>
      <c r="AX1667" s="16"/>
      <c r="AY1667" s="16"/>
      <c r="AZ1667" s="16"/>
      <c r="BA1667" s="16"/>
      <c r="BB1667" s="16"/>
      <c r="BC1667" s="16"/>
      <c r="BD1667" s="16"/>
      <c r="BE1667" s="16"/>
      <c r="BF1667" s="16"/>
      <c r="BG1667" s="77"/>
      <c r="BH1667" s="16"/>
      <c r="BI1667" s="16"/>
      <c r="BJ1667" s="16"/>
      <c r="BK1667" s="16"/>
      <c r="BL1667" s="16"/>
      <c r="BM1667" s="16"/>
      <c r="BN1667" s="16"/>
      <c r="BO1667" s="16"/>
      <c r="BP1667" s="16"/>
      <c r="BQ1667" s="16"/>
      <c r="BR1667" s="16"/>
      <c r="BS1667" s="16"/>
      <c r="BT1667" s="77"/>
      <c r="BU1667" s="16"/>
      <c r="BV1667" s="16"/>
      <c r="BW1667" s="16"/>
      <c r="BX1667" s="16"/>
      <c r="BY1667" s="16"/>
      <c r="BZ1667" s="16"/>
      <c r="CA1667" s="16"/>
      <c r="CB1667" s="16"/>
      <c r="CC1667" s="16"/>
      <c r="CD1667" s="77"/>
      <c r="CE1667" s="16"/>
      <c r="CF1667" s="16"/>
      <c r="CG1667" s="16"/>
      <c r="CH1667" s="16"/>
      <c r="CI1667" s="16"/>
      <c r="CJ1667" s="16"/>
      <c r="CK1667" s="16"/>
      <c r="CL1667" s="16"/>
      <c r="CM1667" s="16"/>
      <c r="CN1667" s="16"/>
      <c r="CO1667" s="16"/>
      <c r="CP1667" s="16"/>
      <c r="CQ1667" s="16"/>
      <c r="CR1667" s="16"/>
      <c r="CS1667" s="16"/>
      <c r="CT1667" s="16"/>
      <c r="CU1667" s="16"/>
      <c r="CV1667" s="16"/>
      <c r="CW1667" s="16"/>
      <c r="CX1667" s="16"/>
      <c r="CY1667" s="16"/>
      <c r="CZ1667" s="16"/>
      <c r="DA1667" s="16"/>
      <c r="DB1667" s="16"/>
      <c r="DC1667" s="16"/>
      <c r="DD1667" s="16"/>
      <c r="DE1667" s="16"/>
      <c r="DF1667" s="16" t="e">
        <f>VLOOKUP(K1667,'[3]RNA Seq summary tables'!$V$3:$V$99,1,FALSE)</f>
        <v>#N/A</v>
      </c>
      <c r="DG1667" s="16">
        <v>1</v>
      </c>
      <c r="DH1667" s="16" t="str">
        <f>VLOOKUP(D1667,'[8]Data with duplicates'!$B$1:$J$70,9,FALSE)</f>
        <v>sample.57dup</v>
      </c>
      <c r="DI1667" s="16"/>
      <c r="DJ1667" s="16"/>
      <c r="DK1667" s="16"/>
      <c r="DL1667" s="16"/>
      <c r="DM1667" s="16"/>
      <c r="DN1667" s="16"/>
      <c r="DO1667" s="16"/>
      <c r="DP1667" s="16"/>
      <c r="DQ1667" s="16"/>
      <c r="DR1667" s="16"/>
      <c r="DS1667" s="16"/>
      <c r="JO1667" s="16"/>
      <c r="JP1667" s="16"/>
      <c r="JQ1667" s="16"/>
      <c r="JR1667" s="16"/>
      <c r="JS1667" s="16"/>
      <c r="JT1667" s="16"/>
      <c r="JU1667" s="16"/>
      <c r="JV1667" s="16"/>
      <c r="JW1667" s="16"/>
      <c r="JX1667" s="16"/>
      <c r="JY1667" s="16"/>
      <c r="JZ1667" s="16"/>
      <c r="KA1667" s="16"/>
      <c r="KB1667" s="16"/>
    </row>
    <row r="1668" spans="1:288" s="27" customFormat="1" x14ac:dyDescent="0.2">
      <c r="A1668" s="18"/>
      <c r="B1668" s="16">
        <v>2016</v>
      </c>
      <c r="C1668" s="20">
        <v>42563</v>
      </c>
      <c r="D1668" s="20" t="str">
        <f>CONCATENATE(J1668,"-",C1668)</f>
        <v>997-42563</v>
      </c>
      <c r="E1668" s="20" t="str">
        <f>CONCATENATE(T1668,"-",U1668,"-",C1668)</f>
        <v>HW2--42563</v>
      </c>
      <c r="F1668" s="20" t="s">
        <v>106</v>
      </c>
      <c r="G1668" s="20" t="s">
        <v>278</v>
      </c>
      <c r="H1668" s="16"/>
      <c r="I1668" s="16"/>
      <c r="J1668" s="21">
        <v>997</v>
      </c>
      <c r="K1668" s="21"/>
      <c r="L1668" s="16"/>
      <c r="M1668" s="21"/>
      <c r="N1668" s="21"/>
      <c r="O1668" s="21"/>
      <c r="P1668" s="16"/>
      <c r="Q1668" s="16"/>
      <c r="R1668" s="16"/>
      <c r="S1668" s="16"/>
      <c r="T1668" s="16" t="s">
        <v>129</v>
      </c>
      <c r="U1668" s="16"/>
      <c r="V1668" s="16"/>
      <c r="W1668" s="16"/>
      <c r="X1668" s="16"/>
      <c r="Y1668" s="16"/>
      <c r="Z1668" s="16"/>
      <c r="AA1668" s="16"/>
      <c r="AB1668" s="16"/>
      <c r="AC1668" s="16"/>
      <c r="AD1668" s="16"/>
      <c r="AE1668" s="16"/>
      <c r="AF1668" s="16"/>
      <c r="AG1668" s="16"/>
      <c r="AH1668" s="16"/>
      <c r="AI1668" s="16"/>
      <c r="AJ1668" s="16"/>
      <c r="AK1668" s="16">
        <v>33.5</v>
      </c>
      <c r="AL1668" s="16"/>
      <c r="AM1668" s="16"/>
      <c r="AN1668" s="16"/>
      <c r="AO1668" s="16"/>
      <c r="AP1668" s="16"/>
      <c r="AQ1668" s="16"/>
      <c r="AR1668" s="16"/>
      <c r="AS1668" s="16"/>
      <c r="AT1668" s="16"/>
      <c r="AU1668" s="16"/>
      <c r="AV1668" s="16"/>
      <c r="AW1668" s="16"/>
      <c r="AX1668" s="16"/>
      <c r="AY1668" s="16"/>
      <c r="AZ1668" s="16"/>
      <c r="BA1668" s="16"/>
      <c r="BB1668" s="16"/>
      <c r="BC1668" s="16"/>
      <c r="BD1668" s="16"/>
      <c r="BE1668" s="16"/>
      <c r="BF1668" s="16"/>
      <c r="BG1668" s="77"/>
      <c r="BH1668" s="16"/>
      <c r="BI1668" s="16"/>
      <c r="BJ1668" s="16"/>
      <c r="BK1668" s="16"/>
      <c r="BL1668" s="16"/>
      <c r="BM1668" s="16"/>
      <c r="BN1668" s="16"/>
      <c r="BO1668" s="16"/>
      <c r="BP1668" s="16"/>
      <c r="BQ1668" s="16"/>
      <c r="BR1668" s="16"/>
      <c r="BS1668" s="16"/>
      <c r="BT1668" s="77"/>
      <c r="BU1668" s="16"/>
      <c r="BV1668" s="16"/>
      <c r="BW1668" s="16"/>
      <c r="BX1668" s="16"/>
      <c r="BY1668" s="16"/>
      <c r="BZ1668" s="16"/>
      <c r="CA1668" s="16"/>
      <c r="CB1668" s="16"/>
      <c r="CC1668" s="16"/>
      <c r="CD1668" s="77"/>
      <c r="CE1668" s="16"/>
      <c r="CF1668" s="16"/>
      <c r="CG1668" s="16"/>
      <c r="CH1668" s="16"/>
      <c r="CI1668" s="16"/>
      <c r="CJ1668" s="16"/>
      <c r="CK1668" s="16"/>
      <c r="CL1668" s="16"/>
      <c r="CM1668" s="16"/>
      <c r="CN1668" s="16"/>
      <c r="CO1668" s="16"/>
      <c r="CP1668" s="16"/>
      <c r="CQ1668" s="16"/>
      <c r="CR1668" s="16"/>
      <c r="CS1668" s="16"/>
      <c r="CT1668" s="16"/>
      <c r="CU1668" s="16"/>
      <c r="CV1668" s="16"/>
      <c r="CW1668" s="16"/>
      <c r="CX1668" s="16"/>
      <c r="CY1668" s="16"/>
      <c r="CZ1668" s="16"/>
      <c r="DA1668" s="16"/>
      <c r="DB1668" s="16"/>
      <c r="DC1668" s="16"/>
      <c r="DD1668" s="16"/>
      <c r="DE1668" s="16"/>
      <c r="DF1668" s="16" t="e">
        <f>VLOOKUP(K1668,'[3]RNA Seq summary tables'!$V$3:$V$99,1,FALSE)</f>
        <v>#N/A</v>
      </c>
      <c r="DG1668" s="16"/>
      <c r="DH1668" s="16"/>
      <c r="DI1668" s="16"/>
      <c r="DJ1668" s="16"/>
      <c r="DK1668" s="16"/>
      <c r="DL1668" s="16"/>
      <c r="DM1668" s="16"/>
      <c r="DN1668" s="16"/>
      <c r="DO1668" s="16"/>
      <c r="DP1668" s="16"/>
      <c r="DQ1668" s="16"/>
      <c r="DR1668" s="16"/>
      <c r="DS1668" s="16"/>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18"/>
      <c r="EQ1668" s="18"/>
      <c r="ER1668" s="18"/>
      <c r="ES1668" s="18"/>
      <c r="ET1668" s="18"/>
      <c r="EU1668" s="18"/>
      <c r="EV1668" s="18"/>
      <c r="EW1668" s="18"/>
      <c r="EX1668" s="18"/>
      <c r="EY1668" s="18"/>
      <c r="EZ1668" s="18"/>
      <c r="FA1668" s="18"/>
      <c r="FB1668" s="18"/>
      <c r="FC1668" s="18"/>
      <c r="FD1668" s="18"/>
      <c r="FE1668" s="18"/>
      <c r="FF1668" s="18"/>
      <c r="FG1668" s="18"/>
      <c r="FH1668" s="18"/>
      <c r="FI1668" s="18"/>
      <c r="FJ1668" s="18"/>
      <c r="FK1668" s="18"/>
      <c r="FL1668" s="18"/>
      <c r="FM1668" s="18"/>
      <c r="FN1668" s="18"/>
      <c r="FO1668" s="18"/>
      <c r="FP1668" s="18"/>
      <c r="FQ1668" s="18"/>
      <c r="FR1668" s="18"/>
      <c r="FS1668" s="18"/>
      <c r="FT1668" s="18"/>
      <c r="FU1668" s="18"/>
      <c r="FV1668" s="18"/>
      <c r="FW1668" s="18"/>
      <c r="FX1668" s="18"/>
      <c r="FY1668" s="18"/>
      <c r="FZ1668" s="18"/>
      <c r="GA1668" s="18"/>
      <c r="GB1668" s="18"/>
      <c r="GC1668" s="18"/>
      <c r="GD1668" s="18"/>
      <c r="GE1668" s="18"/>
      <c r="GF1668" s="18"/>
      <c r="GG1668" s="18"/>
      <c r="GH1668" s="18"/>
      <c r="GI1668" s="18"/>
      <c r="GJ1668" s="18"/>
      <c r="GK1668" s="18"/>
      <c r="GL1668" s="18"/>
      <c r="GM1668" s="18"/>
      <c r="GN1668" s="18"/>
      <c r="GO1668" s="18"/>
      <c r="GP1668" s="18"/>
      <c r="GQ1668" s="18"/>
      <c r="GR1668" s="18"/>
      <c r="GS1668" s="18"/>
      <c r="GT1668" s="18"/>
      <c r="GU1668" s="18"/>
      <c r="GV1668" s="18"/>
      <c r="GW1668" s="18"/>
      <c r="GX1668" s="18"/>
      <c r="GY1668" s="18"/>
      <c r="GZ1668" s="18"/>
      <c r="HA1668" s="18"/>
      <c r="HB1668" s="18"/>
      <c r="HC1668" s="18"/>
      <c r="HD1668" s="18"/>
      <c r="HE1668" s="18"/>
      <c r="HF1668" s="18"/>
      <c r="HG1668" s="18"/>
      <c r="HH1668" s="18"/>
      <c r="HI1668" s="18"/>
      <c r="HJ1668" s="18"/>
      <c r="HK1668" s="18"/>
      <c r="HL1668" s="18"/>
      <c r="HM1668" s="18"/>
      <c r="HN1668" s="18"/>
      <c r="HO1668" s="18"/>
      <c r="HP1668" s="18"/>
      <c r="HQ1668" s="18"/>
      <c r="HR1668" s="18"/>
      <c r="HS1668" s="18"/>
      <c r="HT1668" s="18"/>
      <c r="HU1668" s="18"/>
      <c r="HV1668" s="18"/>
      <c r="HW1668" s="18"/>
      <c r="HX1668" s="18"/>
      <c r="HY1668" s="18"/>
      <c r="HZ1668" s="18"/>
      <c r="IA1668" s="18"/>
      <c r="IB1668" s="18"/>
      <c r="IC1668" s="18"/>
      <c r="ID1668" s="18"/>
      <c r="IE1668" s="18"/>
      <c r="IF1668" s="18"/>
      <c r="IG1668" s="18"/>
      <c r="IH1668" s="18"/>
      <c r="II1668" s="18"/>
      <c r="IJ1668" s="18"/>
      <c r="IK1668" s="18"/>
      <c r="IL1668" s="18"/>
      <c r="IM1668" s="18"/>
      <c r="IN1668" s="18"/>
      <c r="IO1668" s="18"/>
      <c r="IP1668" s="18"/>
      <c r="IQ1668" s="18"/>
      <c r="IR1668" s="18"/>
      <c r="IS1668" s="18"/>
      <c r="IT1668" s="18"/>
      <c r="IU1668" s="18"/>
      <c r="IV1668" s="18"/>
      <c r="IW1668" s="18"/>
      <c r="IX1668" s="18"/>
      <c r="IY1668" s="18"/>
      <c r="IZ1668" s="18"/>
      <c r="JA1668" s="18"/>
      <c r="JB1668" s="18"/>
      <c r="JC1668" s="18"/>
      <c r="JD1668" s="18"/>
      <c r="JE1668" s="18"/>
      <c r="JF1668" s="18"/>
      <c r="JG1668" s="18"/>
      <c r="JH1668" s="18"/>
      <c r="JI1668" s="18"/>
      <c r="JJ1668" s="18"/>
      <c r="JK1668" s="18"/>
      <c r="JL1668" s="18"/>
      <c r="JM1668" s="18"/>
      <c r="JN1668" s="18"/>
      <c r="JO1668" s="16"/>
      <c r="JP1668" s="41"/>
      <c r="JQ1668" s="41"/>
      <c r="JR1668" s="16"/>
      <c r="JS1668" s="16"/>
      <c r="JT1668" s="16"/>
      <c r="JU1668" s="16"/>
      <c r="JV1668" s="16"/>
      <c r="JW1668" s="16"/>
      <c r="JX1668" s="16"/>
      <c r="JY1668" s="16"/>
      <c r="JZ1668" s="16"/>
      <c r="KA1668" s="16"/>
      <c r="KB1668" s="16"/>
    </row>
    <row r="1669" spans="1:288" s="27" customFormat="1" x14ac:dyDescent="0.2">
      <c r="A1669" s="18"/>
      <c r="B1669" s="16">
        <v>2016</v>
      </c>
      <c r="C1669" s="20">
        <v>42564</v>
      </c>
      <c r="D1669" s="20" t="str">
        <f>CONCATENATE(J1669,"-",C1669)</f>
        <v>997-42564</v>
      </c>
      <c r="E1669" s="20" t="str">
        <f>CONCATENATE(T1669,"-",U1669,"-",C1669)</f>
        <v>HW2-F2-42564</v>
      </c>
      <c r="F1669" s="20" t="s">
        <v>106</v>
      </c>
      <c r="G1669" s="20" t="s">
        <v>278</v>
      </c>
      <c r="H1669" s="16"/>
      <c r="I1669" s="16"/>
      <c r="J1669" s="21">
        <v>997</v>
      </c>
      <c r="K1669" s="21"/>
      <c r="L1669" s="16"/>
      <c r="M1669" s="21"/>
      <c r="N1669" s="21"/>
      <c r="O1669" s="21"/>
      <c r="P1669" s="16"/>
      <c r="Q1669" s="16"/>
      <c r="R1669" s="16"/>
      <c r="S1669" s="16"/>
      <c r="T1669" s="16" t="s">
        <v>129</v>
      </c>
      <c r="U1669" s="16" t="s">
        <v>187</v>
      </c>
      <c r="V1669" s="16"/>
      <c r="W1669" s="16"/>
      <c r="X1669" s="16"/>
      <c r="Y1669" s="16"/>
      <c r="Z1669" s="16"/>
      <c r="AA1669" s="16"/>
      <c r="AB1669" s="16"/>
      <c r="AC1669" s="16"/>
      <c r="AD1669" s="16"/>
      <c r="AE1669" s="16"/>
      <c r="AF1669" s="16"/>
      <c r="AG1669" s="16"/>
      <c r="AH1669" s="16"/>
      <c r="AI1669" s="16"/>
      <c r="AJ1669" s="16"/>
      <c r="AK1669" s="16"/>
      <c r="AL1669" s="16"/>
      <c r="AM1669" s="16"/>
      <c r="AN1669" s="16"/>
      <c r="AO1669" s="16"/>
      <c r="AP1669" s="16"/>
      <c r="AQ1669" s="16"/>
      <c r="AR1669" s="16"/>
      <c r="AS1669" s="16"/>
      <c r="AT1669" s="16"/>
      <c r="AU1669" s="16"/>
      <c r="AV1669" s="16"/>
      <c r="AW1669" s="16"/>
      <c r="AX1669" s="16"/>
      <c r="AY1669" s="16"/>
      <c r="AZ1669" s="16"/>
      <c r="BA1669" s="16"/>
      <c r="BB1669" s="16"/>
      <c r="BC1669" s="16"/>
      <c r="BD1669" s="16"/>
      <c r="BE1669" s="16"/>
      <c r="BF1669" s="16"/>
      <c r="BG1669" s="77"/>
      <c r="BH1669" s="16"/>
      <c r="BI1669" s="16"/>
      <c r="BJ1669" s="16"/>
      <c r="BK1669" s="16"/>
      <c r="BL1669" s="16"/>
      <c r="BM1669" s="16"/>
      <c r="BN1669" s="16"/>
      <c r="BO1669" s="16"/>
      <c r="BP1669" s="16"/>
      <c r="BQ1669" s="16"/>
      <c r="BR1669" s="16"/>
      <c r="BS1669" s="16"/>
      <c r="BT1669" s="77"/>
      <c r="BU1669" s="16"/>
      <c r="BV1669" s="16"/>
      <c r="BW1669" s="16"/>
      <c r="BX1669" s="16"/>
      <c r="BY1669" s="16"/>
      <c r="BZ1669" s="16"/>
      <c r="CA1669" s="16"/>
      <c r="CB1669" s="16"/>
      <c r="CC1669" s="16"/>
      <c r="CD1669" s="77"/>
      <c r="CE1669" s="16"/>
      <c r="CF1669" s="16"/>
      <c r="CG1669" s="16"/>
      <c r="CH1669" s="16"/>
      <c r="CI1669" s="16"/>
      <c r="CJ1669" s="16"/>
      <c r="CK1669" s="16"/>
      <c r="CL1669" s="16"/>
      <c r="CM1669" s="16"/>
      <c r="CN1669" s="16"/>
      <c r="CO1669" s="16"/>
      <c r="CP1669" s="16"/>
      <c r="CQ1669" s="16"/>
      <c r="CR1669" s="16"/>
      <c r="CS1669" s="16"/>
      <c r="CT1669" s="16"/>
      <c r="CU1669" s="16"/>
      <c r="CV1669" s="16"/>
      <c r="CW1669" s="16"/>
      <c r="CX1669" s="16"/>
      <c r="CY1669" s="16"/>
      <c r="CZ1669" s="16"/>
      <c r="DA1669" s="16"/>
      <c r="DB1669" s="16"/>
      <c r="DC1669" s="16"/>
      <c r="DD1669" s="16"/>
      <c r="DE1669" s="16"/>
      <c r="DF1669" s="16" t="e">
        <f>VLOOKUP(K1669,'[3]RNA Seq summary tables'!$V$3:$V$99,1,FALSE)</f>
        <v>#N/A</v>
      </c>
      <c r="DG1669" s="16"/>
      <c r="DH1669" s="16"/>
      <c r="DI1669" s="16"/>
      <c r="DJ1669" s="16"/>
      <c r="DK1669" s="16"/>
      <c r="DL1669" s="16"/>
      <c r="DM1669" s="16"/>
      <c r="DN1669" s="16"/>
      <c r="DO1669" s="16"/>
      <c r="DP1669" s="16"/>
      <c r="DQ1669" s="16"/>
      <c r="DR1669" s="16"/>
      <c r="DS1669" s="16"/>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18"/>
      <c r="EQ1669" s="18"/>
      <c r="ER1669" s="18"/>
      <c r="ES1669" s="18"/>
      <c r="ET1669" s="18"/>
      <c r="EU1669" s="18"/>
      <c r="EV1669" s="18"/>
      <c r="EW1669" s="18"/>
      <c r="EX1669" s="18"/>
      <c r="EY1669" s="18"/>
      <c r="EZ1669" s="18"/>
      <c r="FA1669" s="18"/>
      <c r="FB1669" s="18"/>
      <c r="FC1669" s="18"/>
      <c r="FD1669" s="18"/>
      <c r="FE1669" s="18"/>
      <c r="FF1669" s="18"/>
      <c r="FG1669" s="18"/>
      <c r="FH1669" s="18"/>
      <c r="FI1669" s="18"/>
      <c r="FJ1669" s="18"/>
      <c r="FK1669" s="18"/>
      <c r="FL1669" s="18"/>
      <c r="FM1669" s="18"/>
      <c r="FN1669" s="18"/>
      <c r="FO1669" s="18"/>
      <c r="FP1669" s="18"/>
      <c r="FQ1669" s="18"/>
      <c r="FR1669" s="18"/>
      <c r="FS1669" s="18"/>
      <c r="FT1669" s="18"/>
      <c r="FU1669" s="18"/>
      <c r="FV1669" s="18"/>
      <c r="FW1669" s="18"/>
      <c r="FX1669" s="18"/>
      <c r="FY1669" s="18"/>
      <c r="FZ1669" s="18"/>
      <c r="GA1669" s="18"/>
      <c r="GB1669" s="18"/>
      <c r="GC1669" s="18"/>
      <c r="GD1669" s="18"/>
      <c r="GE1669" s="18"/>
      <c r="GF1669" s="18"/>
      <c r="GG1669" s="18"/>
      <c r="GH1669" s="18"/>
      <c r="GI1669" s="18"/>
      <c r="GJ1669" s="18"/>
      <c r="GK1669" s="18"/>
      <c r="GL1669" s="18"/>
      <c r="GM1669" s="18"/>
      <c r="GN1669" s="18"/>
      <c r="GO1669" s="18"/>
      <c r="GP1669" s="18"/>
      <c r="GQ1669" s="18"/>
      <c r="GR1669" s="18"/>
      <c r="GS1669" s="18"/>
      <c r="GT1669" s="18"/>
      <c r="GU1669" s="18"/>
      <c r="GV1669" s="18"/>
      <c r="GW1669" s="18"/>
      <c r="GX1669" s="18"/>
      <c r="GY1669" s="18"/>
      <c r="GZ1669" s="18"/>
      <c r="HA1669" s="18"/>
      <c r="HB1669" s="18"/>
      <c r="HC1669" s="18"/>
      <c r="HD1669" s="18"/>
      <c r="HE1669" s="18"/>
      <c r="HF1669" s="18"/>
      <c r="HG1669" s="18"/>
      <c r="HH1669" s="18"/>
      <c r="HI1669" s="18"/>
      <c r="HJ1669" s="18"/>
      <c r="HK1669" s="18"/>
      <c r="HL1669" s="18"/>
      <c r="HM1669" s="18"/>
      <c r="HN1669" s="18"/>
      <c r="HO1669" s="18"/>
      <c r="HP1669" s="18"/>
      <c r="HQ1669" s="18"/>
      <c r="HR1669" s="18"/>
      <c r="HS1669" s="18"/>
      <c r="HT1669" s="18"/>
      <c r="HU1669" s="18"/>
      <c r="HV1669" s="18"/>
      <c r="HW1669" s="18"/>
      <c r="HX1669" s="18"/>
      <c r="HY1669" s="18"/>
      <c r="HZ1669" s="18"/>
      <c r="IA1669" s="18"/>
      <c r="IB1669" s="18"/>
      <c r="IC1669" s="18"/>
      <c r="ID1669" s="18"/>
      <c r="IE1669" s="18"/>
      <c r="IF1669" s="18"/>
      <c r="IG1669" s="18"/>
      <c r="IH1669" s="18"/>
      <c r="II1669" s="18"/>
      <c r="IJ1669" s="18"/>
      <c r="IK1669" s="18"/>
      <c r="IL1669" s="18"/>
      <c r="IM1669" s="18"/>
      <c r="IN1669" s="18"/>
      <c r="IO1669" s="18"/>
      <c r="IP1669" s="18"/>
      <c r="IQ1669" s="18"/>
      <c r="IR1669" s="18"/>
      <c r="IS1669" s="18"/>
      <c r="IT1669" s="18"/>
      <c r="IU1669" s="18"/>
      <c r="IV1669" s="18"/>
      <c r="IW1669" s="18"/>
      <c r="IX1669" s="18"/>
      <c r="IY1669" s="18"/>
      <c r="IZ1669" s="18"/>
      <c r="JA1669" s="18"/>
      <c r="JB1669" s="18"/>
      <c r="JC1669" s="18"/>
      <c r="JD1669" s="18"/>
      <c r="JE1669" s="18"/>
      <c r="JF1669" s="18"/>
      <c r="JG1669" s="18"/>
      <c r="JH1669" s="18"/>
      <c r="JI1669" s="18"/>
      <c r="JJ1669" s="18"/>
      <c r="JK1669" s="18"/>
      <c r="JL1669" s="18"/>
      <c r="JM1669" s="18"/>
      <c r="JN1669" s="18"/>
      <c r="JO1669" s="16"/>
      <c r="JP1669" s="41"/>
      <c r="JQ1669" s="41"/>
      <c r="JR1669" s="16"/>
      <c r="JS1669" s="16"/>
      <c r="JT1669" s="16"/>
      <c r="JU1669" s="16"/>
      <c r="JV1669" s="16"/>
      <c r="JW1669" s="16"/>
      <c r="JX1669" s="16"/>
      <c r="JY1669" s="16"/>
      <c r="JZ1669" s="16"/>
      <c r="KA1669" s="16"/>
      <c r="KB1669" s="16"/>
    </row>
    <row r="1670" spans="1:288" s="18" customFormat="1" x14ac:dyDescent="0.2">
      <c r="B1670" s="16">
        <v>2016</v>
      </c>
      <c r="C1670" s="20">
        <v>42578</v>
      </c>
      <c r="D1670" s="20" t="str">
        <f>CONCATENATE(J1670,"-",C1670)</f>
        <v>997-42578</v>
      </c>
      <c r="E1670" s="20" t="str">
        <f>CONCATENATE(T1670,"-",U1670,"-",C1670)</f>
        <v>HW2-H7-42578</v>
      </c>
      <c r="F1670" s="20" t="s">
        <v>106</v>
      </c>
      <c r="G1670" s="20" t="s">
        <v>278</v>
      </c>
      <c r="H1670" s="16"/>
      <c r="I1670" s="16"/>
      <c r="J1670" s="21">
        <v>997</v>
      </c>
      <c r="K1670" s="21"/>
      <c r="L1670" s="16"/>
      <c r="M1670" s="21"/>
      <c r="N1670" s="21"/>
      <c r="O1670" s="21"/>
      <c r="P1670" s="16"/>
      <c r="Q1670" s="16"/>
      <c r="R1670" s="16"/>
      <c r="S1670" s="16"/>
      <c r="T1670" s="16" t="s">
        <v>129</v>
      </c>
      <c r="U1670" s="16" t="s">
        <v>202</v>
      </c>
      <c r="V1670" s="16"/>
      <c r="W1670" s="16"/>
      <c r="X1670" s="16"/>
      <c r="Y1670" s="16"/>
      <c r="Z1670" s="16"/>
      <c r="AA1670" s="16"/>
      <c r="AB1670" s="16"/>
      <c r="AC1670" s="16"/>
      <c r="AD1670" s="16"/>
      <c r="AE1670" s="16"/>
      <c r="AF1670" s="16"/>
      <c r="AG1670" s="16"/>
      <c r="AH1670" s="16"/>
      <c r="AI1670" s="16"/>
      <c r="AJ1670" s="16"/>
      <c r="AK1670" s="16"/>
      <c r="AL1670" s="16"/>
      <c r="AM1670" s="16"/>
      <c r="AN1670" s="16"/>
      <c r="AO1670" s="16"/>
      <c r="AP1670" s="16"/>
      <c r="AQ1670" s="16"/>
      <c r="AR1670" s="16"/>
      <c r="AS1670" s="16"/>
      <c r="AT1670" s="16"/>
      <c r="AU1670" s="16"/>
      <c r="AV1670" s="16"/>
      <c r="AW1670" s="16"/>
      <c r="AX1670" s="16"/>
      <c r="AY1670" s="16"/>
      <c r="AZ1670" s="16"/>
      <c r="BA1670" s="16"/>
      <c r="BB1670" s="16"/>
      <c r="BC1670" s="16"/>
      <c r="BD1670" s="16"/>
      <c r="BE1670" s="16"/>
      <c r="BF1670" s="16"/>
      <c r="BG1670" s="77"/>
      <c r="BH1670" s="16"/>
      <c r="BI1670" s="16"/>
      <c r="BJ1670" s="16"/>
      <c r="BK1670" s="16"/>
      <c r="BL1670" s="16"/>
      <c r="BM1670" s="16"/>
      <c r="BN1670" s="16"/>
      <c r="BO1670" s="16"/>
      <c r="BP1670" s="16"/>
      <c r="BQ1670" s="16"/>
      <c r="BR1670" s="16"/>
      <c r="BS1670" s="16"/>
      <c r="BT1670" s="77"/>
      <c r="BU1670" s="16"/>
      <c r="BV1670" s="16"/>
      <c r="BW1670" s="16"/>
      <c r="BX1670" s="16"/>
      <c r="BY1670" s="16"/>
      <c r="BZ1670" s="16"/>
      <c r="CA1670" s="16"/>
      <c r="CB1670" s="16"/>
      <c r="CC1670" s="16"/>
      <c r="CD1670" s="77"/>
      <c r="CE1670" s="16"/>
      <c r="CF1670" s="16"/>
      <c r="CG1670" s="16"/>
      <c r="CH1670" s="16"/>
      <c r="CI1670" s="16"/>
      <c r="CJ1670" s="16"/>
      <c r="CK1670" s="16"/>
      <c r="CL1670" s="16"/>
      <c r="CM1670" s="16"/>
      <c r="CN1670" s="16"/>
      <c r="CO1670" s="16"/>
      <c r="CP1670" s="16"/>
      <c r="CQ1670" s="16"/>
      <c r="CR1670" s="16"/>
      <c r="CS1670" s="16"/>
      <c r="CT1670" s="16"/>
      <c r="CU1670" s="16"/>
      <c r="CV1670" s="16"/>
      <c r="CW1670" s="16"/>
      <c r="CX1670" s="16"/>
      <c r="CY1670" s="16"/>
      <c r="CZ1670" s="16"/>
      <c r="DA1670" s="16"/>
      <c r="DB1670" s="16"/>
      <c r="DC1670" s="16"/>
      <c r="DD1670" s="16"/>
      <c r="DE1670" s="16"/>
      <c r="DF1670" s="16" t="e">
        <f>VLOOKUP(K1670,'[3]RNA Seq summary tables'!$V$3:$V$99,1,FALSE)</f>
        <v>#N/A</v>
      </c>
      <c r="DG1670" s="16"/>
      <c r="DH1670" s="16"/>
      <c r="DI1670" s="16"/>
      <c r="DJ1670" s="16"/>
      <c r="DK1670" s="16"/>
      <c r="DL1670" s="16"/>
      <c r="DM1670" s="16"/>
      <c r="DN1670" s="16"/>
      <c r="DO1670" s="16"/>
      <c r="DP1670" s="16"/>
      <c r="DQ1670" s="16"/>
      <c r="DR1670" s="16"/>
      <c r="DS1670" s="16"/>
      <c r="JP1670" s="16"/>
      <c r="JQ1670" s="16"/>
      <c r="JR1670" s="16"/>
      <c r="JS1670" s="16"/>
      <c r="JT1670" s="16"/>
      <c r="JU1670" s="16"/>
      <c r="JV1670" s="16"/>
      <c r="JW1670" s="16"/>
      <c r="JX1670" s="16"/>
      <c r="JY1670" s="16"/>
      <c r="JZ1670" s="16"/>
      <c r="KA1670" s="16"/>
      <c r="KB1670" s="16"/>
    </row>
    <row r="1671" spans="1:288" s="27" customFormat="1" x14ac:dyDescent="0.2">
      <c r="A1671" s="18"/>
      <c r="B1671" s="16">
        <v>2016</v>
      </c>
      <c r="C1671" s="20">
        <v>42592</v>
      </c>
      <c r="D1671" s="20" t="str">
        <f>CONCATENATE(J1671,"-",C1671)</f>
        <v>997-42592</v>
      </c>
      <c r="E1671" s="20" t="str">
        <f>CONCATENATE(T1671,"-",U1671,"-",C1671)</f>
        <v>HW2-H7-42592</v>
      </c>
      <c r="F1671" s="20" t="s">
        <v>227</v>
      </c>
      <c r="G1671" s="20" t="s">
        <v>278</v>
      </c>
      <c r="H1671" s="16"/>
      <c r="I1671" s="16"/>
      <c r="J1671" s="21">
        <v>997</v>
      </c>
      <c r="K1671" s="21"/>
      <c r="L1671" s="16"/>
      <c r="M1671" s="21"/>
      <c r="N1671" s="21"/>
      <c r="O1671" s="21"/>
      <c r="P1671" s="16"/>
      <c r="Q1671" s="16"/>
      <c r="R1671" s="16"/>
      <c r="S1671" s="16"/>
      <c r="T1671" s="16" t="s">
        <v>129</v>
      </c>
      <c r="U1671" s="16" t="s">
        <v>202</v>
      </c>
      <c r="V1671" s="16"/>
      <c r="W1671" s="16"/>
      <c r="X1671" s="16"/>
      <c r="Y1671" s="16"/>
      <c r="Z1671" s="16"/>
      <c r="AA1671" s="16"/>
      <c r="AB1671" s="16"/>
      <c r="AC1671" s="16"/>
      <c r="AD1671" s="16"/>
      <c r="AE1671" s="16"/>
      <c r="AF1671" s="16"/>
      <c r="AG1671" s="16"/>
      <c r="AH1671" s="16"/>
      <c r="AI1671" s="16"/>
      <c r="AJ1671" s="16"/>
      <c r="AK1671" s="16">
        <v>25.5</v>
      </c>
      <c r="AL1671" s="16"/>
      <c r="AM1671" s="16"/>
      <c r="AN1671" s="16"/>
      <c r="AO1671" s="16"/>
      <c r="AP1671" s="16"/>
      <c r="AQ1671" s="16"/>
      <c r="AR1671" s="16"/>
      <c r="AS1671" s="16"/>
      <c r="AT1671" s="16"/>
      <c r="AU1671" s="16"/>
      <c r="AV1671" s="16"/>
      <c r="AW1671" s="16"/>
      <c r="AX1671" s="16"/>
      <c r="AY1671" s="16"/>
      <c r="AZ1671" s="16"/>
      <c r="BA1671" s="16"/>
      <c r="BB1671" s="16"/>
      <c r="BC1671" s="16"/>
      <c r="BD1671" s="16"/>
      <c r="BE1671" s="16"/>
      <c r="BF1671" s="16"/>
      <c r="BG1671" s="77"/>
      <c r="BH1671" s="16"/>
      <c r="BI1671" s="16"/>
      <c r="BJ1671" s="16"/>
      <c r="BK1671" s="16"/>
      <c r="BL1671" s="16"/>
      <c r="BM1671" s="16"/>
      <c r="BN1671" s="16"/>
      <c r="BO1671" s="16"/>
      <c r="BP1671" s="16"/>
      <c r="BQ1671" s="16"/>
      <c r="BR1671" s="16"/>
      <c r="BS1671" s="16"/>
      <c r="BT1671" s="77"/>
      <c r="BU1671" s="16"/>
      <c r="BV1671" s="16"/>
      <c r="BW1671" s="16"/>
      <c r="BX1671" s="16"/>
      <c r="BY1671" s="16"/>
      <c r="BZ1671" s="16"/>
      <c r="CA1671" s="16"/>
      <c r="CB1671" s="16"/>
      <c r="CC1671" s="16"/>
      <c r="CD1671" s="77"/>
      <c r="CE1671" s="16"/>
      <c r="CF1671" s="16"/>
      <c r="CG1671" s="16"/>
      <c r="CH1671" s="16"/>
      <c r="CI1671" s="16"/>
      <c r="CJ1671" s="16"/>
      <c r="CK1671" s="16"/>
      <c r="CL1671" s="16"/>
      <c r="CM1671" s="16"/>
      <c r="CN1671" s="16"/>
      <c r="CO1671" s="16"/>
      <c r="CP1671" s="16"/>
      <c r="CQ1671" s="16"/>
      <c r="CR1671" s="16"/>
      <c r="CS1671" s="16"/>
      <c r="CT1671" s="16"/>
      <c r="CU1671" s="16"/>
      <c r="CV1671" s="16"/>
      <c r="CW1671" s="16"/>
      <c r="CX1671" s="16"/>
      <c r="CY1671" s="16"/>
      <c r="CZ1671" s="16"/>
      <c r="DA1671" s="16"/>
      <c r="DB1671" s="16"/>
      <c r="DC1671" s="16"/>
      <c r="DD1671" s="16"/>
      <c r="DE1671" s="16"/>
      <c r="DF1671" s="16" t="e">
        <f>VLOOKUP(K1671,'[3]RNA Seq summary tables'!$V$3:$V$99,1,FALSE)</f>
        <v>#N/A</v>
      </c>
      <c r="DG1671" s="16"/>
      <c r="DH1671" s="16"/>
      <c r="DI1671" s="16"/>
      <c r="DJ1671" s="16"/>
      <c r="DK1671" s="16"/>
      <c r="DL1671" s="16"/>
      <c r="DM1671" s="16"/>
      <c r="DN1671" s="16"/>
      <c r="DO1671" s="16"/>
      <c r="DP1671" s="16"/>
      <c r="DQ1671" s="16"/>
      <c r="DR1671" s="16"/>
      <c r="DS1671" s="16"/>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18"/>
      <c r="EQ1671" s="18"/>
      <c r="ER1671" s="18"/>
      <c r="ES1671" s="18"/>
      <c r="ET1671" s="18"/>
      <c r="EU1671" s="18"/>
      <c r="EV1671" s="18"/>
      <c r="EW1671" s="18"/>
      <c r="EX1671" s="18"/>
      <c r="EY1671" s="18"/>
      <c r="EZ1671" s="18"/>
      <c r="FA1671" s="18"/>
      <c r="FB1671" s="18"/>
      <c r="FC1671" s="18"/>
      <c r="FD1671" s="18"/>
      <c r="FE1671" s="18"/>
      <c r="FF1671" s="18"/>
      <c r="FG1671" s="18"/>
      <c r="FH1671" s="18"/>
      <c r="FI1671" s="18"/>
      <c r="FJ1671" s="18"/>
      <c r="FK1671" s="18"/>
      <c r="FL1671" s="18"/>
      <c r="FM1671" s="18"/>
      <c r="FN1671" s="18"/>
      <c r="FO1671" s="18"/>
      <c r="FP1671" s="18"/>
      <c r="FQ1671" s="18"/>
      <c r="FR1671" s="18"/>
      <c r="FS1671" s="18"/>
      <c r="FT1671" s="18"/>
      <c r="FU1671" s="18"/>
      <c r="FV1671" s="18"/>
      <c r="FW1671" s="18"/>
      <c r="FX1671" s="18"/>
      <c r="FY1671" s="18"/>
      <c r="FZ1671" s="18"/>
      <c r="GA1671" s="18"/>
      <c r="GB1671" s="18"/>
      <c r="GC1671" s="18"/>
      <c r="GD1671" s="18"/>
      <c r="GE1671" s="18"/>
      <c r="GF1671" s="18"/>
      <c r="GG1671" s="18"/>
      <c r="GH1671" s="18"/>
      <c r="GI1671" s="18"/>
      <c r="GJ1671" s="18"/>
      <c r="GK1671" s="18"/>
      <c r="GL1671" s="18"/>
      <c r="GM1671" s="18"/>
      <c r="GN1671" s="18"/>
      <c r="GO1671" s="18"/>
      <c r="GP1671" s="18"/>
      <c r="GQ1671" s="18"/>
      <c r="GR1671" s="18"/>
      <c r="GS1671" s="18"/>
      <c r="GT1671" s="18"/>
      <c r="GU1671" s="18"/>
      <c r="GV1671" s="18"/>
      <c r="GW1671" s="18"/>
      <c r="GX1671" s="18"/>
      <c r="GY1671" s="18"/>
      <c r="GZ1671" s="18"/>
      <c r="HA1671" s="18"/>
      <c r="HB1671" s="18"/>
      <c r="HC1671" s="18"/>
      <c r="HD1671" s="18"/>
      <c r="HE1671" s="18"/>
      <c r="HF1671" s="18"/>
      <c r="HG1671" s="18"/>
      <c r="HH1671" s="18"/>
      <c r="HI1671" s="18"/>
      <c r="HJ1671" s="18"/>
      <c r="HK1671" s="18"/>
      <c r="HL1671" s="18"/>
      <c r="HM1671" s="18"/>
      <c r="HN1671" s="18"/>
      <c r="HO1671" s="18"/>
      <c r="HP1671" s="18"/>
      <c r="HQ1671" s="18"/>
      <c r="HR1671" s="18"/>
      <c r="HS1671" s="18"/>
      <c r="HT1671" s="18"/>
      <c r="HU1671" s="18"/>
      <c r="HV1671" s="18"/>
      <c r="HW1671" s="18"/>
      <c r="HX1671" s="18"/>
      <c r="HY1671" s="18"/>
      <c r="HZ1671" s="18"/>
      <c r="IA1671" s="18"/>
      <c r="IB1671" s="18"/>
      <c r="IC1671" s="18"/>
      <c r="ID1671" s="18"/>
      <c r="IE1671" s="18"/>
      <c r="IF1671" s="18"/>
      <c r="IG1671" s="18"/>
      <c r="IH1671" s="18"/>
      <c r="II1671" s="18"/>
      <c r="IJ1671" s="18"/>
      <c r="IK1671" s="18"/>
      <c r="IL1671" s="18"/>
      <c r="IM1671" s="18"/>
      <c r="IN1671" s="18"/>
      <c r="IO1671" s="18"/>
      <c r="IP1671" s="18"/>
      <c r="IQ1671" s="18"/>
      <c r="IR1671" s="18"/>
      <c r="IS1671" s="18"/>
      <c r="IT1671" s="18"/>
      <c r="IU1671" s="18"/>
      <c r="IV1671" s="18"/>
      <c r="IW1671" s="18"/>
      <c r="IX1671" s="18"/>
      <c r="IY1671" s="18"/>
      <c r="IZ1671" s="18"/>
      <c r="JA1671" s="18"/>
      <c r="JB1671" s="18"/>
      <c r="JC1671" s="18"/>
      <c r="JD1671" s="18"/>
      <c r="JE1671" s="18"/>
      <c r="JF1671" s="18"/>
      <c r="JG1671" s="18"/>
      <c r="JH1671" s="18"/>
      <c r="JI1671" s="18"/>
      <c r="JJ1671" s="18"/>
      <c r="JK1671" s="18"/>
      <c r="JL1671" s="18"/>
      <c r="JM1671" s="18"/>
      <c r="JN1671" s="18"/>
      <c r="JO1671" s="16"/>
      <c r="JP1671" s="16"/>
      <c r="JQ1671" s="16"/>
      <c r="JR1671" s="16"/>
      <c r="JS1671" s="16"/>
      <c r="JT1671" s="16"/>
      <c r="JU1671" s="16"/>
      <c r="JV1671" s="16"/>
      <c r="JW1671" s="16"/>
      <c r="JX1671" s="16"/>
      <c r="JY1671" s="16"/>
      <c r="JZ1671" s="16"/>
      <c r="KA1671" s="16"/>
      <c r="KB1671" s="16"/>
    </row>
    <row r="1672" spans="1:288" s="27" customFormat="1" x14ac:dyDescent="0.2">
      <c r="A1672" s="18"/>
      <c r="B1672" s="16">
        <v>2016</v>
      </c>
      <c r="C1672" s="20">
        <v>42581</v>
      </c>
      <c r="D1672" s="20" t="str">
        <f>CONCATENATE(J1672,"-",C1672)</f>
        <v>999-42581</v>
      </c>
      <c r="E1672" s="20" t="str">
        <f>CONCATENATE(T1672,"-",U1672,"-",C1672)</f>
        <v>SP1-G7-42581</v>
      </c>
      <c r="F1672" s="20" t="s">
        <v>106</v>
      </c>
      <c r="G1672" s="20" t="s">
        <v>278</v>
      </c>
      <c r="H1672" s="16"/>
      <c r="I1672" s="16"/>
      <c r="J1672" s="21">
        <v>999</v>
      </c>
      <c r="K1672" s="21"/>
      <c r="L1672" s="16"/>
      <c r="M1672" s="21"/>
      <c r="N1672" s="21"/>
      <c r="O1672" s="21"/>
      <c r="P1672" s="16"/>
      <c r="Q1672" s="16"/>
      <c r="R1672" s="16"/>
      <c r="S1672" s="16"/>
      <c r="T1672" s="16" t="s">
        <v>140</v>
      </c>
      <c r="U1672" s="16" t="s">
        <v>156</v>
      </c>
      <c r="V1672" s="16"/>
      <c r="W1672" s="16"/>
      <c r="X1672" s="16"/>
      <c r="Y1672" s="16"/>
      <c r="Z1672" s="16"/>
      <c r="AA1672" s="16"/>
      <c r="AB1672" s="16"/>
      <c r="AC1672" s="16"/>
      <c r="AD1672" s="16"/>
      <c r="AE1672" s="16"/>
      <c r="AF1672" s="16"/>
      <c r="AG1672" s="16"/>
      <c r="AH1672" s="16"/>
      <c r="AI1672" s="16"/>
      <c r="AJ1672" s="16"/>
      <c r="AK1672" s="16">
        <v>15.5</v>
      </c>
      <c r="AL1672" s="16"/>
      <c r="AM1672" s="16"/>
      <c r="AN1672" s="16"/>
      <c r="AO1672" s="16"/>
      <c r="AP1672" s="16"/>
      <c r="AQ1672" s="16"/>
      <c r="AR1672" s="16"/>
      <c r="AS1672" s="16"/>
      <c r="AT1672" s="16"/>
      <c r="AU1672" s="16"/>
      <c r="AV1672" s="16"/>
      <c r="AW1672" s="16"/>
      <c r="AX1672" s="16"/>
      <c r="AY1672" s="16"/>
      <c r="AZ1672" s="16"/>
      <c r="BA1672" s="16"/>
      <c r="BB1672" s="16"/>
      <c r="BC1672" s="16"/>
      <c r="BD1672" s="16"/>
      <c r="BE1672" s="16"/>
      <c r="BF1672" s="16"/>
      <c r="BG1672" s="77"/>
      <c r="BH1672" s="16"/>
      <c r="BI1672" s="16"/>
      <c r="BJ1672" s="16"/>
      <c r="BK1672" s="16"/>
      <c r="BL1672" s="16"/>
      <c r="BM1672" s="16"/>
      <c r="BN1672" s="16"/>
      <c r="BO1672" s="16"/>
      <c r="BP1672" s="16"/>
      <c r="BQ1672" s="16"/>
      <c r="BR1672" s="16"/>
      <c r="BS1672" s="16"/>
      <c r="BT1672" s="77"/>
      <c r="BU1672" s="16"/>
      <c r="BV1672" s="16"/>
      <c r="BW1672" s="16"/>
      <c r="BX1672" s="16"/>
      <c r="BY1672" s="16"/>
      <c r="BZ1672" s="16"/>
      <c r="CA1672" s="16"/>
      <c r="CB1672" s="16"/>
      <c r="CC1672" s="16"/>
      <c r="CD1672" s="77"/>
      <c r="CE1672" s="16"/>
      <c r="CF1672" s="16"/>
      <c r="CG1672" s="16"/>
      <c r="CH1672" s="16"/>
      <c r="CI1672" s="16"/>
      <c r="CJ1672" s="16"/>
      <c r="CK1672" s="16"/>
      <c r="CL1672" s="16"/>
      <c r="CM1672" s="16"/>
      <c r="CN1672" s="16"/>
      <c r="CO1672" s="16"/>
      <c r="CP1672" s="16"/>
      <c r="CQ1672" s="16"/>
      <c r="CR1672" s="16"/>
      <c r="CS1672" s="16"/>
      <c r="CT1672" s="16"/>
      <c r="CU1672" s="16"/>
      <c r="CV1672" s="16"/>
      <c r="CW1672" s="16"/>
      <c r="CX1672" s="16"/>
      <c r="CY1672" s="16"/>
      <c r="CZ1672" s="16"/>
      <c r="DA1672" s="16"/>
      <c r="DB1672" s="16"/>
      <c r="DC1672" s="16"/>
      <c r="DD1672" s="16"/>
      <c r="DE1672" s="16"/>
      <c r="DF1672" s="16" t="e">
        <f>VLOOKUP(K1672,'[3]RNA Seq summary tables'!$V$3:$V$99,1,FALSE)</f>
        <v>#N/A</v>
      </c>
      <c r="DG1672" s="16"/>
      <c r="DH1672" s="16"/>
      <c r="DI1672" s="16"/>
      <c r="DJ1672" s="16"/>
      <c r="DK1672" s="16"/>
      <c r="DL1672" s="16"/>
      <c r="DM1672" s="16"/>
      <c r="DN1672" s="16"/>
      <c r="DO1672" s="16"/>
      <c r="DP1672" s="16"/>
      <c r="DQ1672" s="16"/>
      <c r="DR1672" s="16"/>
      <c r="DS1672" s="16"/>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18"/>
      <c r="EQ1672" s="18"/>
      <c r="ER1672" s="18"/>
      <c r="ES1672" s="18"/>
      <c r="ET1672" s="18"/>
      <c r="EU1672" s="18"/>
      <c r="EV1672" s="18"/>
      <c r="EW1672" s="18"/>
      <c r="EX1672" s="18"/>
      <c r="EY1672" s="18"/>
      <c r="EZ1672" s="18"/>
      <c r="FA1672" s="18"/>
      <c r="FB1672" s="18"/>
      <c r="FC1672" s="18"/>
      <c r="FD1672" s="18"/>
      <c r="FE1672" s="18"/>
      <c r="FF1672" s="18"/>
      <c r="FG1672" s="18"/>
      <c r="FH1672" s="18"/>
      <c r="FI1672" s="18"/>
      <c r="FJ1672" s="18"/>
      <c r="FK1672" s="18"/>
      <c r="FL1672" s="18"/>
      <c r="FM1672" s="18"/>
      <c r="FN1672" s="18"/>
      <c r="FO1672" s="18"/>
      <c r="FP1672" s="18"/>
      <c r="FQ1672" s="18"/>
      <c r="FR1672" s="18"/>
      <c r="FS1672" s="18"/>
      <c r="FT1672" s="18"/>
      <c r="FU1672" s="18"/>
      <c r="FV1672" s="18"/>
      <c r="FW1672" s="18"/>
      <c r="FX1672" s="18"/>
      <c r="FY1672" s="18"/>
      <c r="FZ1672" s="18"/>
      <c r="GA1672" s="18"/>
      <c r="GB1672" s="18"/>
      <c r="GC1672" s="18"/>
      <c r="GD1672" s="18"/>
      <c r="GE1672" s="18"/>
      <c r="GF1672" s="18"/>
      <c r="GG1672" s="18"/>
      <c r="GH1672" s="18"/>
      <c r="GI1672" s="18"/>
      <c r="GJ1672" s="18"/>
      <c r="GK1672" s="18"/>
      <c r="GL1672" s="18"/>
      <c r="GM1672" s="18"/>
      <c r="GN1672" s="18"/>
      <c r="GO1672" s="18"/>
      <c r="GP1672" s="18"/>
      <c r="GQ1672" s="18"/>
      <c r="GR1672" s="18"/>
      <c r="GS1672" s="18"/>
      <c r="GT1672" s="18"/>
      <c r="GU1672" s="18"/>
      <c r="GV1672" s="18"/>
      <c r="GW1672" s="18"/>
      <c r="GX1672" s="18"/>
      <c r="GY1672" s="18"/>
      <c r="GZ1672" s="18"/>
      <c r="HA1672" s="18"/>
      <c r="HB1672" s="18"/>
      <c r="HC1672" s="18"/>
      <c r="HD1672" s="18"/>
      <c r="HE1672" s="18"/>
      <c r="HF1672" s="18"/>
      <c r="HG1672" s="18"/>
      <c r="HH1672" s="18"/>
      <c r="HI1672" s="18"/>
      <c r="HJ1672" s="18"/>
      <c r="HK1672" s="18"/>
      <c r="HL1672" s="18"/>
      <c r="HM1672" s="18"/>
      <c r="HN1672" s="18"/>
      <c r="HO1672" s="18"/>
      <c r="HP1672" s="18"/>
      <c r="HQ1672" s="18"/>
      <c r="HR1672" s="18"/>
      <c r="HS1672" s="18"/>
      <c r="HT1672" s="18"/>
      <c r="HU1672" s="18"/>
      <c r="HV1672" s="18"/>
      <c r="HW1672" s="18"/>
      <c r="HX1672" s="18"/>
      <c r="HY1672" s="18"/>
      <c r="HZ1672" s="18"/>
      <c r="IA1672" s="18"/>
      <c r="IB1672" s="18"/>
      <c r="IC1672" s="18"/>
      <c r="ID1672" s="18"/>
      <c r="IE1672" s="18"/>
      <c r="IF1672" s="18"/>
      <c r="IG1672" s="18"/>
      <c r="IH1672" s="18"/>
      <c r="II1672" s="18"/>
      <c r="IJ1672" s="18"/>
      <c r="IK1672" s="18"/>
      <c r="IL1672" s="18"/>
      <c r="IM1672" s="18"/>
      <c r="IN1672" s="18"/>
      <c r="IO1672" s="18"/>
      <c r="IP1672" s="18"/>
      <c r="IQ1672" s="18"/>
      <c r="IR1672" s="18"/>
      <c r="IS1672" s="18"/>
      <c r="IT1672" s="18"/>
      <c r="IU1672" s="18"/>
      <c r="IV1672" s="18"/>
      <c r="IW1672" s="18"/>
      <c r="IX1672" s="18"/>
      <c r="IY1672" s="18"/>
      <c r="IZ1672" s="18"/>
      <c r="JA1672" s="18"/>
      <c r="JB1672" s="18"/>
      <c r="JC1672" s="18"/>
      <c r="JD1672" s="18"/>
      <c r="JE1672" s="18"/>
      <c r="JF1672" s="18"/>
      <c r="JG1672" s="18"/>
      <c r="JH1672" s="18"/>
      <c r="JI1672" s="18"/>
      <c r="JJ1672" s="18"/>
      <c r="JK1672" s="18"/>
      <c r="JL1672" s="18"/>
      <c r="JM1672" s="18"/>
      <c r="JN1672" s="18"/>
      <c r="JO1672" s="16"/>
      <c r="JP1672" s="16"/>
      <c r="JQ1672" s="16"/>
      <c r="JR1672" s="16"/>
      <c r="JS1672" s="16"/>
      <c r="JT1672" s="16"/>
      <c r="JU1672" s="16"/>
      <c r="JV1672" s="16"/>
      <c r="JW1672" s="16"/>
      <c r="JX1672" s="16"/>
      <c r="JY1672" s="16"/>
      <c r="JZ1672" s="16"/>
      <c r="KA1672" s="16"/>
      <c r="KB1672" s="16"/>
    </row>
    <row r="1673" spans="1:288" s="27" customFormat="1" x14ac:dyDescent="0.2">
      <c r="A1673" s="18"/>
      <c r="B1673" s="16">
        <v>2016</v>
      </c>
      <c r="C1673" s="20">
        <v>42571</v>
      </c>
      <c r="D1673" s="20" t="str">
        <f>CONCATENATE(J1673,"-",C1673)</f>
        <v>1001-42571</v>
      </c>
      <c r="E1673" s="20" t="str">
        <f>CONCATENATE(T1673,"-",U1673,"-",C1673)</f>
        <v>BC1-H6-42571</v>
      </c>
      <c r="F1673" s="20" t="s">
        <v>106</v>
      </c>
      <c r="G1673" s="20" t="s">
        <v>278</v>
      </c>
      <c r="H1673" s="16"/>
      <c r="I1673" s="16"/>
      <c r="J1673" s="21">
        <v>1001</v>
      </c>
      <c r="K1673" s="21"/>
      <c r="L1673" s="16"/>
      <c r="M1673" s="21"/>
      <c r="N1673" s="21"/>
      <c r="O1673" s="21"/>
      <c r="P1673" s="16"/>
      <c r="Q1673" s="16"/>
      <c r="R1673" s="16"/>
      <c r="S1673" s="16"/>
      <c r="T1673" s="16" t="s">
        <v>159</v>
      </c>
      <c r="U1673" s="16" t="s">
        <v>141</v>
      </c>
      <c r="V1673" s="16"/>
      <c r="W1673" s="16"/>
      <c r="X1673" s="16"/>
      <c r="Y1673" s="16"/>
      <c r="Z1673" s="16"/>
      <c r="AA1673" s="16"/>
      <c r="AB1673" s="16"/>
      <c r="AC1673" s="16"/>
      <c r="AD1673" s="16"/>
      <c r="AE1673" s="16"/>
      <c r="AF1673" s="16"/>
      <c r="AG1673" s="16"/>
      <c r="AH1673" s="16"/>
      <c r="AI1673" s="16"/>
      <c r="AJ1673" s="16"/>
      <c r="AK1673" s="16">
        <v>10</v>
      </c>
      <c r="AL1673" s="16"/>
      <c r="AM1673" s="16"/>
      <c r="AN1673" s="16"/>
      <c r="AO1673" s="16"/>
      <c r="AP1673" s="16"/>
      <c r="AQ1673" s="16"/>
      <c r="AR1673" s="16"/>
      <c r="AS1673" s="16"/>
      <c r="AT1673" s="16"/>
      <c r="AU1673" s="16"/>
      <c r="AV1673" s="16"/>
      <c r="AW1673" s="16"/>
      <c r="AX1673" s="16"/>
      <c r="AY1673" s="16"/>
      <c r="AZ1673" s="16"/>
      <c r="BA1673" s="16"/>
      <c r="BB1673" s="16"/>
      <c r="BC1673" s="16"/>
      <c r="BD1673" s="16"/>
      <c r="BE1673" s="16"/>
      <c r="BF1673" s="16"/>
      <c r="BG1673" s="77"/>
      <c r="BH1673" s="16"/>
      <c r="BI1673" s="16"/>
      <c r="BJ1673" s="16"/>
      <c r="BK1673" s="16"/>
      <c r="BL1673" s="16"/>
      <c r="BM1673" s="16"/>
      <c r="BN1673" s="16"/>
      <c r="BO1673" s="16"/>
      <c r="BP1673" s="16"/>
      <c r="BQ1673" s="16"/>
      <c r="BR1673" s="16"/>
      <c r="BS1673" s="16"/>
      <c r="BT1673" s="77"/>
      <c r="BU1673" s="16"/>
      <c r="BV1673" s="16"/>
      <c r="BW1673" s="16"/>
      <c r="BX1673" s="16"/>
      <c r="BY1673" s="16"/>
      <c r="BZ1673" s="16"/>
      <c r="CA1673" s="16"/>
      <c r="CB1673" s="16"/>
      <c r="CC1673" s="16"/>
      <c r="CD1673" s="77"/>
      <c r="CE1673" s="16"/>
      <c r="CF1673" s="16"/>
      <c r="CG1673" s="16"/>
      <c r="CH1673" s="16"/>
      <c r="CI1673" s="16"/>
      <c r="CJ1673" s="16"/>
      <c r="CK1673" s="16"/>
      <c r="CL1673" s="16"/>
      <c r="CM1673" s="16"/>
      <c r="CN1673" s="16"/>
      <c r="CO1673" s="16"/>
      <c r="CP1673" s="16"/>
      <c r="CQ1673" s="16"/>
      <c r="CR1673" s="16"/>
      <c r="CS1673" s="16"/>
      <c r="CT1673" s="16"/>
      <c r="CU1673" s="16"/>
      <c r="CV1673" s="16"/>
      <c r="CW1673" s="16"/>
      <c r="CX1673" s="16"/>
      <c r="CY1673" s="16"/>
      <c r="CZ1673" s="16"/>
      <c r="DA1673" s="16"/>
      <c r="DB1673" s="16"/>
      <c r="DC1673" s="16"/>
      <c r="DD1673" s="16"/>
      <c r="DE1673" s="16"/>
      <c r="DF1673" s="16" t="e">
        <f>VLOOKUP(K1673,'[3]RNA Seq summary tables'!$V$3:$V$99,1,FALSE)</f>
        <v>#N/A</v>
      </c>
      <c r="DG1673" s="16">
        <v>1</v>
      </c>
      <c r="DH1673" s="16" t="str">
        <f>VLOOKUP(D1673,'[8]Data with duplicates'!$B$1:$J$70,9,FALSE)</f>
        <v>sample.2</v>
      </c>
      <c r="DI1673" s="16"/>
      <c r="DJ1673" s="16"/>
      <c r="DK1673" s="16"/>
      <c r="DL1673" s="16"/>
      <c r="DM1673" s="16"/>
      <c r="DN1673" s="16"/>
      <c r="DO1673" s="16"/>
      <c r="DP1673" s="16"/>
      <c r="DQ1673" s="16"/>
      <c r="DR1673" s="16"/>
      <c r="DS1673" s="16"/>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18"/>
      <c r="EQ1673" s="18"/>
      <c r="ER1673" s="18"/>
      <c r="ES1673" s="18"/>
      <c r="ET1673" s="18"/>
      <c r="EU1673" s="18"/>
      <c r="EV1673" s="18"/>
      <c r="EW1673" s="18"/>
      <c r="EX1673" s="18"/>
      <c r="EY1673" s="18"/>
      <c r="EZ1673" s="18"/>
      <c r="FA1673" s="18"/>
      <c r="FB1673" s="18"/>
      <c r="FC1673" s="18"/>
      <c r="FD1673" s="18"/>
      <c r="FE1673" s="18"/>
      <c r="FF1673" s="18"/>
      <c r="FG1673" s="18"/>
      <c r="FH1673" s="18"/>
      <c r="FI1673" s="18"/>
      <c r="FJ1673" s="18"/>
      <c r="FK1673" s="18"/>
      <c r="FL1673" s="18"/>
      <c r="FM1673" s="18"/>
      <c r="FN1673" s="18"/>
      <c r="FO1673" s="18"/>
      <c r="FP1673" s="18"/>
      <c r="FQ1673" s="18"/>
      <c r="FR1673" s="18"/>
      <c r="FS1673" s="18"/>
      <c r="FT1673" s="18"/>
      <c r="FU1673" s="18"/>
      <c r="FV1673" s="18"/>
      <c r="FW1673" s="18"/>
      <c r="FX1673" s="18"/>
      <c r="FY1673" s="18"/>
      <c r="FZ1673" s="18"/>
      <c r="GA1673" s="18"/>
      <c r="GB1673" s="18"/>
      <c r="GC1673" s="18"/>
      <c r="GD1673" s="18"/>
      <c r="GE1673" s="18"/>
      <c r="GF1673" s="18"/>
      <c r="GG1673" s="18"/>
      <c r="GH1673" s="18"/>
      <c r="GI1673" s="18"/>
      <c r="GJ1673" s="18"/>
      <c r="GK1673" s="18"/>
      <c r="GL1673" s="18"/>
      <c r="GM1673" s="18"/>
      <c r="GN1673" s="18"/>
      <c r="GO1673" s="18"/>
      <c r="GP1673" s="18"/>
      <c r="GQ1673" s="18"/>
      <c r="GR1673" s="18"/>
      <c r="GS1673" s="18"/>
      <c r="GT1673" s="18"/>
      <c r="GU1673" s="18"/>
      <c r="GV1673" s="18"/>
      <c r="GW1673" s="18"/>
      <c r="GX1673" s="18"/>
      <c r="GY1673" s="18"/>
      <c r="GZ1673" s="18"/>
      <c r="HA1673" s="18"/>
      <c r="HB1673" s="18"/>
      <c r="HC1673" s="18"/>
      <c r="HD1673" s="18"/>
      <c r="HE1673" s="18"/>
      <c r="HF1673" s="18"/>
      <c r="HG1673" s="18"/>
      <c r="HH1673" s="18"/>
      <c r="HI1673" s="18"/>
      <c r="HJ1673" s="18"/>
      <c r="HK1673" s="18"/>
      <c r="HL1673" s="18"/>
      <c r="HM1673" s="18"/>
      <c r="HN1673" s="18"/>
      <c r="HO1673" s="18"/>
      <c r="HP1673" s="18"/>
      <c r="HQ1673" s="18"/>
      <c r="HR1673" s="18"/>
      <c r="HS1673" s="18"/>
      <c r="HT1673" s="18"/>
      <c r="HU1673" s="18"/>
      <c r="HV1673" s="18"/>
      <c r="HW1673" s="18"/>
      <c r="HX1673" s="18"/>
      <c r="HY1673" s="18"/>
      <c r="HZ1673" s="18"/>
      <c r="IA1673" s="18"/>
      <c r="IB1673" s="18"/>
      <c r="IC1673" s="18"/>
      <c r="ID1673" s="18"/>
      <c r="IE1673" s="18"/>
      <c r="IF1673" s="18"/>
      <c r="IG1673" s="18"/>
      <c r="IH1673" s="18"/>
      <c r="II1673" s="18"/>
      <c r="IJ1673" s="18"/>
      <c r="IK1673" s="18"/>
      <c r="IL1673" s="18"/>
      <c r="IM1673" s="18"/>
      <c r="IN1673" s="18"/>
      <c r="IO1673" s="18"/>
      <c r="IP1673" s="18"/>
      <c r="IQ1673" s="18"/>
      <c r="IR1673" s="18"/>
      <c r="IS1673" s="18"/>
      <c r="IT1673" s="18"/>
      <c r="IU1673" s="18"/>
      <c r="IV1673" s="18"/>
      <c r="IW1673" s="18"/>
      <c r="IX1673" s="18"/>
      <c r="IY1673" s="18"/>
      <c r="IZ1673" s="18"/>
      <c r="JA1673" s="18"/>
      <c r="JB1673" s="18"/>
      <c r="JC1673" s="18"/>
      <c r="JD1673" s="18"/>
      <c r="JE1673" s="18"/>
      <c r="JF1673" s="18"/>
      <c r="JG1673" s="18"/>
      <c r="JH1673" s="18"/>
      <c r="JI1673" s="18"/>
      <c r="JJ1673" s="18"/>
      <c r="JK1673" s="18"/>
      <c r="JL1673" s="18"/>
      <c r="JM1673" s="18"/>
      <c r="JN1673" s="18"/>
      <c r="JO1673" s="16"/>
      <c r="JP1673" s="16"/>
      <c r="JQ1673" s="16"/>
      <c r="JR1673" s="16"/>
      <c r="JS1673" s="16"/>
      <c r="JT1673" s="16"/>
      <c r="JU1673" s="16"/>
      <c r="JV1673" s="16"/>
      <c r="JW1673" s="16"/>
      <c r="JX1673" s="16"/>
      <c r="JY1673" s="16"/>
      <c r="JZ1673" s="16"/>
      <c r="KA1673" s="16"/>
      <c r="KB1673" s="16"/>
    </row>
    <row r="1674" spans="1:288" s="18" customFormat="1" x14ac:dyDescent="0.2">
      <c r="B1674" s="16">
        <v>2016</v>
      </c>
      <c r="C1674" s="20">
        <v>42571</v>
      </c>
      <c r="D1674" s="20" t="str">
        <f>CONCATENATE(J1674,"-",C1674)</f>
        <v>1002-42571</v>
      </c>
      <c r="E1674" s="20" t="str">
        <f>CONCATENATE(T1674,"-",U1674,"-",C1674)</f>
        <v>BC1-D1-42571</v>
      </c>
      <c r="F1674" s="20" t="s">
        <v>106</v>
      </c>
      <c r="G1674" s="20" t="s">
        <v>278</v>
      </c>
      <c r="H1674" s="16"/>
      <c r="I1674" s="16"/>
      <c r="J1674" s="21">
        <v>1002</v>
      </c>
      <c r="K1674" s="21"/>
      <c r="L1674" s="16"/>
      <c r="M1674" s="21"/>
      <c r="N1674" s="21"/>
      <c r="O1674" s="21"/>
      <c r="P1674" s="16"/>
      <c r="Q1674" s="16"/>
      <c r="R1674" s="16"/>
      <c r="S1674" s="16"/>
      <c r="T1674" s="16" t="s">
        <v>159</v>
      </c>
      <c r="U1674" s="16" t="s">
        <v>157</v>
      </c>
      <c r="V1674" s="16" t="s">
        <v>114</v>
      </c>
      <c r="W1674" s="16"/>
      <c r="X1674" s="16"/>
      <c r="Y1674" s="16"/>
      <c r="Z1674" s="16"/>
      <c r="AA1674" s="16"/>
      <c r="AB1674" s="16"/>
      <c r="AC1674" s="16"/>
      <c r="AD1674" s="16"/>
      <c r="AE1674" s="16"/>
      <c r="AF1674" s="16"/>
      <c r="AG1674" s="16"/>
      <c r="AH1674" s="16"/>
      <c r="AI1674" s="16"/>
      <c r="AJ1674" s="16"/>
      <c r="AK1674" s="16">
        <v>16.5</v>
      </c>
      <c r="AL1674" s="16"/>
      <c r="AM1674" s="16"/>
      <c r="AN1674" s="16"/>
      <c r="AO1674" s="16"/>
      <c r="AP1674" s="16"/>
      <c r="AQ1674" s="16"/>
      <c r="AR1674" s="16"/>
      <c r="AS1674" s="16"/>
      <c r="AT1674" s="16"/>
      <c r="AU1674" s="16"/>
      <c r="AV1674" s="16"/>
      <c r="AW1674" s="16"/>
      <c r="AX1674" s="16"/>
      <c r="AY1674" s="16"/>
      <c r="AZ1674" s="16"/>
      <c r="BA1674" s="16"/>
      <c r="BB1674" s="16"/>
      <c r="BC1674" s="16"/>
      <c r="BD1674" s="16"/>
      <c r="BE1674" s="16"/>
      <c r="BF1674" s="16"/>
      <c r="BG1674" s="77"/>
      <c r="BH1674" s="16"/>
      <c r="BI1674" s="16"/>
      <c r="BJ1674" s="16"/>
      <c r="BK1674" s="16"/>
      <c r="BL1674" s="16"/>
      <c r="BM1674" s="16"/>
      <c r="BN1674" s="16"/>
      <c r="BO1674" s="16"/>
      <c r="BP1674" s="16"/>
      <c r="BQ1674" s="16"/>
      <c r="BR1674" s="16"/>
      <c r="BS1674" s="16"/>
      <c r="BT1674" s="77"/>
      <c r="BU1674" s="16"/>
      <c r="BV1674" s="16"/>
      <c r="BW1674" s="16"/>
      <c r="BX1674" s="16"/>
      <c r="BY1674" s="16"/>
      <c r="BZ1674" s="16"/>
      <c r="CA1674" s="16"/>
      <c r="CB1674" s="16"/>
      <c r="CC1674" s="16"/>
      <c r="CD1674" s="77"/>
      <c r="CE1674" s="16"/>
      <c r="CF1674" s="16"/>
      <c r="CG1674" s="16"/>
      <c r="CH1674" s="16"/>
      <c r="CI1674" s="16"/>
      <c r="CJ1674" s="16"/>
      <c r="CK1674" s="16"/>
      <c r="CL1674" s="16"/>
      <c r="CM1674" s="16"/>
      <c r="CN1674" s="16"/>
      <c r="CO1674" s="16"/>
      <c r="CP1674" s="16"/>
      <c r="CQ1674" s="16"/>
      <c r="CR1674" s="16"/>
      <c r="CS1674" s="16"/>
      <c r="CT1674" s="16"/>
      <c r="CU1674" s="16"/>
      <c r="CV1674" s="16"/>
      <c r="CW1674" s="16"/>
      <c r="CX1674" s="16"/>
      <c r="CY1674" s="16"/>
      <c r="CZ1674" s="16"/>
      <c r="DA1674" s="16"/>
      <c r="DB1674" s="16"/>
      <c r="DC1674" s="16"/>
      <c r="DD1674" s="16"/>
      <c r="DE1674" s="16"/>
      <c r="DF1674" s="16" t="e">
        <f>VLOOKUP(K1674,'[3]RNA Seq summary tables'!$V$3:$V$99,1,FALSE)</f>
        <v>#N/A</v>
      </c>
      <c r="DG1674" s="16"/>
      <c r="DH1674" s="16"/>
      <c r="DI1674" s="16"/>
      <c r="DJ1674" s="16"/>
      <c r="DK1674" s="16"/>
      <c r="DL1674" s="16"/>
      <c r="DM1674" s="16"/>
      <c r="DN1674" s="16"/>
      <c r="DO1674" s="16"/>
      <c r="DP1674" s="16"/>
      <c r="DQ1674" s="16"/>
      <c r="DR1674" s="16"/>
      <c r="DS1674" s="16"/>
      <c r="JO1674" s="16"/>
      <c r="JP1674" s="16"/>
      <c r="JQ1674" s="16"/>
      <c r="JR1674" s="16"/>
      <c r="JS1674" s="16"/>
      <c r="JT1674" s="16"/>
      <c r="JU1674" s="16"/>
      <c r="JV1674" s="16"/>
      <c r="JW1674" s="16"/>
      <c r="JX1674" s="16"/>
      <c r="JY1674" s="16"/>
      <c r="JZ1674" s="16"/>
      <c r="KA1674" s="16"/>
      <c r="KB1674" s="16"/>
    </row>
    <row r="1675" spans="1:288" s="27" customFormat="1" x14ac:dyDescent="0.2">
      <c r="A1675" s="29"/>
      <c r="B1675" s="16">
        <v>2016</v>
      </c>
      <c r="C1675" s="43">
        <v>42573</v>
      </c>
      <c r="D1675" s="43" t="str">
        <f>CONCATENATE(J1675,"-",C1675)</f>
        <v>1004-42573</v>
      </c>
      <c r="E1675" s="20" t="str">
        <f>CONCATENATE(T1675,"-",U1675,"-",C1675)</f>
        <v>PO1-D6-42573</v>
      </c>
      <c r="F1675" s="20" t="s">
        <v>106</v>
      </c>
      <c r="G1675" s="43" t="s">
        <v>278</v>
      </c>
      <c r="H1675" s="40" t="s">
        <v>169</v>
      </c>
      <c r="I1675" s="23"/>
      <c r="J1675" s="15">
        <v>1004</v>
      </c>
      <c r="K1675" s="15"/>
      <c r="L1675" s="23"/>
      <c r="M1675" s="15"/>
      <c r="N1675" s="15"/>
      <c r="O1675" s="15"/>
      <c r="P1675" s="23"/>
      <c r="Q1675" s="16"/>
      <c r="R1675" s="23"/>
      <c r="S1675" s="23"/>
      <c r="T1675" s="23" t="s">
        <v>112</v>
      </c>
      <c r="U1675" s="23" t="s">
        <v>186</v>
      </c>
      <c r="V1675" s="23"/>
      <c r="W1675" s="23"/>
      <c r="X1675" s="23"/>
      <c r="Y1675" s="23"/>
      <c r="Z1675" s="23"/>
      <c r="AA1675" s="23"/>
      <c r="AB1675" s="23"/>
      <c r="AC1675" s="23"/>
      <c r="AD1675" s="23"/>
      <c r="AE1675" s="23"/>
      <c r="AF1675" s="23"/>
      <c r="AG1675" s="23"/>
      <c r="AH1675" s="23"/>
      <c r="AI1675" s="23"/>
      <c r="AJ1675" s="23"/>
      <c r="AK1675" s="23">
        <v>13</v>
      </c>
      <c r="AL1675" s="23"/>
      <c r="AM1675" s="23"/>
      <c r="AN1675" s="23"/>
      <c r="AO1675" s="23"/>
      <c r="AP1675" s="23"/>
      <c r="AQ1675" s="23"/>
      <c r="AR1675" s="23"/>
      <c r="AS1675" s="23"/>
      <c r="AT1675" s="16"/>
      <c r="AU1675" s="16"/>
      <c r="AV1675" s="16"/>
      <c r="AW1675" s="16"/>
      <c r="AX1675" s="16"/>
      <c r="AY1675" s="16"/>
      <c r="AZ1675" s="16"/>
      <c r="BA1675" s="16"/>
      <c r="BB1675" s="16"/>
      <c r="BC1675" s="16"/>
      <c r="BD1675" s="16"/>
      <c r="BE1675" s="16"/>
      <c r="BF1675" s="16"/>
      <c r="BG1675" s="77"/>
      <c r="BH1675" s="16"/>
      <c r="BI1675" s="16"/>
      <c r="BJ1675" s="16"/>
      <c r="BK1675" s="16"/>
      <c r="BL1675" s="16"/>
      <c r="BM1675" s="16"/>
      <c r="BN1675" s="16"/>
      <c r="BO1675" s="16"/>
      <c r="BP1675" s="16"/>
      <c r="BQ1675" s="16"/>
      <c r="BR1675" s="16"/>
      <c r="BS1675" s="16"/>
      <c r="BT1675" s="77"/>
      <c r="BU1675" s="16"/>
      <c r="BV1675" s="16"/>
      <c r="BW1675" s="16"/>
      <c r="BX1675" s="16"/>
      <c r="BY1675" s="16"/>
      <c r="BZ1675" s="16"/>
      <c r="CA1675" s="16"/>
      <c r="CB1675" s="16"/>
      <c r="CC1675" s="16"/>
      <c r="CD1675" s="77"/>
      <c r="CE1675" s="16"/>
      <c r="CF1675" s="16"/>
      <c r="CG1675" s="16"/>
      <c r="CH1675" s="16"/>
      <c r="CI1675" s="16"/>
      <c r="CJ1675" s="16"/>
      <c r="CK1675" s="16"/>
      <c r="CL1675" s="16"/>
      <c r="CM1675" s="16"/>
      <c r="CN1675" s="16"/>
      <c r="CO1675" s="16"/>
      <c r="CP1675" s="16"/>
      <c r="CQ1675" s="16"/>
      <c r="CR1675" s="16"/>
      <c r="CS1675" s="16"/>
      <c r="CT1675" s="16"/>
      <c r="CU1675" s="16"/>
      <c r="CV1675" s="16"/>
      <c r="CW1675" s="16"/>
      <c r="CX1675" s="16"/>
      <c r="CY1675" s="16"/>
      <c r="CZ1675" s="16"/>
      <c r="DA1675" s="16"/>
      <c r="DB1675" s="16"/>
      <c r="DC1675" s="23"/>
      <c r="DD1675" s="23"/>
      <c r="DE1675" s="23"/>
      <c r="DF1675" s="16" t="e">
        <f>VLOOKUP(K1675,'[3]RNA Seq summary tables'!$V$3:$V$99,1,FALSE)</f>
        <v>#N/A</v>
      </c>
      <c r="DG1675" s="23"/>
      <c r="DH1675" s="23"/>
      <c r="DI1675" s="23"/>
      <c r="DJ1675" s="23"/>
      <c r="DK1675" s="23"/>
      <c r="DL1675" s="23"/>
      <c r="DM1675" s="23"/>
      <c r="DN1675" s="23"/>
      <c r="DO1675" s="23"/>
      <c r="DP1675" s="23"/>
      <c r="DQ1675" s="23"/>
      <c r="DR1675" s="23"/>
      <c r="DS1675" s="23"/>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18"/>
      <c r="EQ1675" s="18"/>
      <c r="ER1675" s="18"/>
      <c r="ES1675" s="18"/>
      <c r="ET1675" s="18"/>
      <c r="EU1675" s="18"/>
      <c r="EV1675" s="18"/>
      <c r="EW1675" s="18"/>
      <c r="EX1675" s="18"/>
      <c r="EY1675" s="18"/>
      <c r="EZ1675" s="18"/>
      <c r="FA1675" s="18"/>
      <c r="FB1675" s="18"/>
      <c r="FC1675" s="18"/>
      <c r="FD1675" s="18"/>
      <c r="FE1675" s="18"/>
      <c r="FF1675" s="18"/>
      <c r="FG1675" s="18"/>
      <c r="FH1675" s="18"/>
      <c r="FI1675" s="18"/>
      <c r="FJ1675" s="18"/>
      <c r="FK1675" s="18"/>
      <c r="FL1675" s="18"/>
      <c r="FM1675" s="18"/>
      <c r="FN1675" s="18"/>
      <c r="FO1675" s="18"/>
      <c r="FP1675" s="18"/>
      <c r="FQ1675" s="18"/>
      <c r="FR1675" s="18"/>
      <c r="FS1675" s="18"/>
      <c r="FT1675" s="18"/>
      <c r="FU1675" s="18"/>
      <c r="FV1675" s="18"/>
      <c r="FW1675" s="18"/>
      <c r="FX1675" s="18"/>
      <c r="FY1675" s="18"/>
      <c r="FZ1675" s="18"/>
      <c r="GA1675" s="18"/>
      <c r="GB1675" s="18"/>
      <c r="GC1675" s="18"/>
      <c r="GD1675" s="18"/>
      <c r="GE1675" s="18"/>
      <c r="GF1675" s="18"/>
      <c r="GG1675" s="18"/>
      <c r="GH1675" s="18"/>
      <c r="GI1675" s="18"/>
      <c r="GJ1675" s="18"/>
      <c r="GK1675" s="18"/>
      <c r="GL1675" s="18"/>
      <c r="GM1675" s="18"/>
      <c r="GN1675" s="18"/>
      <c r="GO1675" s="18"/>
      <c r="GP1675" s="18"/>
      <c r="GQ1675" s="18"/>
      <c r="GR1675" s="18"/>
      <c r="GS1675" s="18"/>
      <c r="GT1675" s="18"/>
      <c r="GU1675" s="18"/>
      <c r="GV1675" s="18"/>
      <c r="GW1675" s="18"/>
      <c r="GX1675" s="18"/>
      <c r="GY1675" s="18"/>
      <c r="GZ1675" s="18"/>
      <c r="HA1675" s="18"/>
      <c r="HB1675" s="18"/>
      <c r="HC1675" s="18"/>
      <c r="HD1675" s="18"/>
      <c r="HE1675" s="18"/>
      <c r="HF1675" s="18"/>
      <c r="HG1675" s="18"/>
      <c r="HH1675" s="18"/>
      <c r="HI1675" s="18"/>
      <c r="HJ1675" s="18"/>
      <c r="HK1675" s="18"/>
      <c r="HL1675" s="18"/>
      <c r="HM1675" s="18"/>
      <c r="HN1675" s="18"/>
      <c r="HO1675" s="18"/>
      <c r="HP1675" s="18"/>
      <c r="HQ1675" s="18"/>
      <c r="HR1675" s="18"/>
      <c r="HS1675" s="18"/>
      <c r="HT1675" s="18"/>
      <c r="HU1675" s="18"/>
      <c r="HV1675" s="18"/>
      <c r="HW1675" s="18"/>
      <c r="HX1675" s="18"/>
      <c r="HY1675" s="18"/>
      <c r="HZ1675" s="18"/>
      <c r="IA1675" s="18"/>
      <c r="IB1675" s="18"/>
      <c r="IC1675" s="18"/>
      <c r="ID1675" s="18"/>
      <c r="IE1675" s="18"/>
      <c r="IF1675" s="18"/>
      <c r="IG1675" s="18"/>
      <c r="IH1675" s="18"/>
      <c r="II1675" s="18"/>
      <c r="IJ1675" s="18"/>
      <c r="IK1675" s="18"/>
      <c r="IL1675" s="18"/>
      <c r="IM1675" s="18"/>
      <c r="IN1675" s="18"/>
      <c r="IO1675" s="18"/>
      <c r="IP1675" s="18"/>
      <c r="IQ1675" s="18"/>
      <c r="IR1675" s="18"/>
      <c r="IS1675" s="18"/>
      <c r="IT1675" s="18"/>
      <c r="IU1675" s="18"/>
      <c r="IV1675" s="18"/>
      <c r="IW1675" s="18"/>
      <c r="IX1675" s="18"/>
      <c r="IY1675" s="18"/>
      <c r="IZ1675" s="18"/>
      <c r="JA1675" s="18"/>
      <c r="JB1675" s="18"/>
      <c r="JC1675" s="18"/>
      <c r="JD1675" s="18"/>
      <c r="JE1675" s="18"/>
      <c r="JF1675" s="18"/>
      <c r="JG1675" s="18"/>
      <c r="JH1675" s="18"/>
      <c r="JI1675" s="18"/>
      <c r="JJ1675" s="18"/>
      <c r="JK1675" s="18"/>
      <c r="JL1675" s="18"/>
      <c r="JM1675" s="18"/>
      <c r="JN1675" s="18"/>
      <c r="JO1675" s="16"/>
      <c r="JP1675" s="16"/>
      <c r="JQ1675" s="16"/>
      <c r="JR1675" s="16"/>
      <c r="JS1675" s="16"/>
      <c r="JT1675" s="16"/>
      <c r="JU1675" s="16"/>
      <c r="JV1675" s="16"/>
      <c r="JW1675" s="16"/>
      <c r="JX1675" s="16"/>
      <c r="JY1675" s="16"/>
      <c r="JZ1675" s="16"/>
      <c r="KA1675" s="16"/>
      <c r="KB1675" s="16"/>
    </row>
    <row r="1676" spans="1:288" s="27" customFormat="1" x14ac:dyDescent="0.2">
      <c r="A1676" s="29"/>
      <c r="B1676" s="16">
        <v>2016</v>
      </c>
      <c r="C1676" s="20">
        <v>42574</v>
      </c>
      <c r="D1676" s="20" t="str">
        <f>CONCATENATE(J1676,"-",C1676)</f>
        <v>1004-42574</v>
      </c>
      <c r="E1676" s="20" t="str">
        <f>CONCATENATE(T1676,"-",U1676,"-",C1676)</f>
        <v>PO1-B8-42574</v>
      </c>
      <c r="F1676" s="20" t="s">
        <v>106</v>
      </c>
      <c r="G1676" s="20" t="s">
        <v>278</v>
      </c>
      <c r="H1676" s="40" t="s">
        <v>169</v>
      </c>
      <c r="I1676" s="16"/>
      <c r="J1676" s="21">
        <v>1004</v>
      </c>
      <c r="K1676" s="21"/>
      <c r="L1676" s="16"/>
      <c r="M1676" s="21"/>
      <c r="N1676" s="21"/>
      <c r="O1676" s="21"/>
      <c r="P1676" s="16"/>
      <c r="Q1676" s="16"/>
      <c r="R1676" s="16"/>
      <c r="S1676" s="16"/>
      <c r="T1676" s="16" t="s">
        <v>112</v>
      </c>
      <c r="U1676" s="16" t="s">
        <v>209</v>
      </c>
      <c r="V1676" s="16" t="s">
        <v>142</v>
      </c>
      <c r="W1676" s="16"/>
      <c r="X1676" s="16" t="s">
        <v>121</v>
      </c>
      <c r="Y1676" s="16" t="s">
        <v>122</v>
      </c>
      <c r="Z1676" s="16">
        <v>2.9</v>
      </c>
      <c r="AA1676" s="16"/>
      <c r="AB1676" s="16"/>
      <c r="AC1676" s="16"/>
      <c r="AD1676" s="16"/>
      <c r="AE1676" s="16"/>
      <c r="AF1676" s="16"/>
      <c r="AG1676" s="16"/>
      <c r="AH1676" s="16"/>
      <c r="AI1676" s="16"/>
      <c r="AJ1676" s="16"/>
      <c r="AK1676" s="16">
        <v>11</v>
      </c>
      <c r="AL1676" s="16"/>
      <c r="AM1676" s="16"/>
      <c r="AN1676" s="16"/>
      <c r="AO1676" s="16"/>
      <c r="AP1676" s="16"/>
      <c r="AQ1676" s="16"/>
      <c r="AR1676" s="16"/>
      <c r="AS1676" s="16"/>
      <c r="AT1676" s="16"/>
      <c r="AU1676" s="16"/>
      <c r="AV1676" s="16"/>
      <c r="AW1676" s="16"/>
      <c r="AX1676" s="16"/>
      <c r="AY1676" s="16"/>
      <c r="AZ1676" s="16"/>
      <c r="BA1676" s="16"/>
      <c r="BB1676" s="16"/>
      <c r="BC1676" s="16"/>
      <c r="BD1676" s="16"/>
      <c r="BE1676" s="16"/>
      <c r="BF1676" s="16"/>
      <c r="BG1676" s="77"/>
      <c r="BH1676" s="16"/>
      <c r="BI1676" s="16"/>
      <c r="BJ1676" s="16"/>
      <c r="BK1676" s="16"/>
      <c r="BL1676" s="16"/>
      <c r="BM1676" s="16"/>
      <c r="BN1676" s="16"/>
      <c r="BO1676" s="16"/>
      <c r="BP1676" s="16"/>
      <c r="BQ1676" s="16"/>
      <c r="BR1676" s="16"/>
      <c r="BS1676" s="16"/>
      <c r="BT1676" s="77"/>
      <c r="BU1676" s="16"/>
      <c r="BV1676" s="16"/>
      <c r="BW1676" s="16"/>
      <c r="BX1676" s="16"/>
      <c r="BY1676" s="16"/>
      <c r="BZ1676" s="16"/>
      <c r="CA1676" s="16"/>
      <c r="CB1676" s="16"/>
      <c r="CC1676" s="16"/>
      <c r="CD1676" s="77"/>
      <c r="CE1676" s="16"/>
      <c r="CF1676" s="16"/>
      <c r="CG1676" s="16"/>
      <c r="CH1676" s="16"/>
      <c r="CI1676" s="16"/>
      <c r="CJ1676" s="16"/>
      <c r="CK1676" s="16"/>
      <c r="CL1676" s="16"/>
      <c r="CM1676" s="16"/>
      <c r="CN1676" s="16"/>
      <c r="CO1676" s="16"/>
      <c r="CP1676" s="16"/>
      <c r="CQ1676" s="16"/>
      <c r="CR1676" s="16"/>
      <c r="CS1676" s="16"/>
      <c r="CT1676" s="16"/>
      <c r="CU1676" s="16"/>
      <c r="CV1676" s="16"/>
      <c r="CW1676" s="16"/>
      <c r="CX1676" s="16"/>
      <c r="CY1676" s="16"/>
      <c r="CZ1676" s="16"/>
      <c r="DA1676" s="16"/>
      <c r="DB1676" s="16"/>
      <c r="DC1676" s="16"/>
      <c r="DD1676" s="16"/>
      <c r="DE1676" s="16"/>
      <c r="DF1676" s="16" t="e">
        <f>VLOOKUP(K1676,'[3]RNA Seq summary tables'!$V$3:$V$99,1,FALSE)</f>
        <v>#N/A</v>
      </c>
      <c r="DG1676" s="16"/>
      <c r="DH1676" s="16"/>
      <c r="DI1676" s="16"/>
      <c r="DJ1676" s="16"/>
      <c r="DK1676" s="16"/>
      <c r="DL1676" s="16"/>
      <c r="DM1676" s="16"/>
      <c r="DN1676" s="16"/>
      <c r="DO1676" s="16"/>
      <c r="DP1676" s="16"/>
      <c r="DQ1676" s="16"/>
      <c r="DR1676" s="16"/>
      <c r="DS1676" s="16"/>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18"/>
      <c r="EQ1676" s="18"/>
      <c r="ER1676" s="18"/>
      <c r="ES1676" s="18"/>
      <c r="ET1676" s="18"/>
      <c r="EU1676" s="18"/>
      <c r="EV1676" s="18"/>
      <c r="EW1676" s="18"/>
      <c r="EX1676" s="18"/>
      <c r="EY1676" s="18"/>
      <c r="EZ1676" s="18"/>
      <c r="FA1676" s="18"/>
      <c r="FB1676" s="18"/>
      <c r="FC1676" s="18"/>
      <c r="FD1676" s="18"/>
      <c r="FE1676" s="18"/>
      <c r="FF1676" s="18"/>
      <c r="FG1676" s="18"/>
      <c r="FH1676" s="18"/>
      <c r="FI1676" s="18"/>
      <c r="FJ1676" s="18"/>
      <c r="FK1676" s="18"/>
      <c r="FL1676" s="18"/>
      <c r="FM1676" s="18"/>
      <c r="FN1676" s="18"/>
      <c r="FO1676" s="18"/>
      <c r="FP1676" s="18"/>
      <c r="FQ1676" s="18"/>
      <c r="FR1676" s="18"/>
      <c r="FS1676" s="18"/>
      <c r="FT1676" s="18"/>
      <c r="FU1676" s="18"/>
      <c r="FV1676" s="18"/>
      <c r="FW1676" s="18"/>
      <c r="FX1676" s="18"/>
      <c r="FY1676" s="18"/>
      <c r="FZ1676" s="18"/>
      <c r="GA1676" s="18"/>
      <c r="GB1676" s="18"/>
      <c r="GC1676" s="18"/>
      <c r="GD1676" s="18"/>
      <c r="GE1676" s="18"/>
      <c r="GF1676" s="18"/>
      <c r="GG1676" s="18"/>
      <c r="GH1676" s="18"/>
      <c r="GI1676" s="18"/>
      <c r="GJ1676" s="18"/>
      <c r="GK1676" s="18"/>
      <c r="GL1676" s="18"/>
      <c r="GM1676" s="18"/>
      <c r="GN1676" s="18"/>
      <c r="GO1676" s="18"/>
      <c r="GP1676" s="18"/>
      <c r="GQ1676" s="18"/>
      <c r="GR1676" s="18"/>
      <c r="GS1676" s="18"/>
      <c r="GT1676" s="18"/>
      <c r="GU1676" s="18"/>
      <c r="GV1676" s="18"/>
      <c r="GW1676" s="18"/>
      <c r="GX1676" s="18"/>
      <c r="GY1676" s="18"/>
      <c r="GZ1676" s="18"/>
      <c r="HA1676" s="18"/>
      <c r="HB1676" s="18"/>
      <c r="HC1676" s="18"/>
      <c r="HD1676" s="18"/>
      <c r="HE1676" s="18"/>
      <c r="HF1676" s="18"/>
      <c r="HG1676" s="18"/>
      <c r="HH1676" s="18"/>
      <c r="HI1676" s="18"/>
      <c r="HJ1676" s="18"/>
      <c r="HK1676" s="18"/>
      <c r="HL1676" s="18"/>
      <c r="HM1676" s="18"/>
      <c r="HN1676" s="18"/>
      <c r="HO1676" s="18"/>
      <c r="HP1676" s="18"/>
      <c r="HQ1676" s="18"/>
      <c r="HR1676" s="18"/>
      <c r="HS1676" s="18"/>
      <c r="HT1676" s="18"/>
      <c r="HU1676" s="18"/>
      <c r="HV1676" s="18"/>
      <c r="HW1676" s="18"/>
      <c r="HX1676" s="18"/>
      <c r="HY1676" s="18"/>
      <c r="HZ1676" s="18"/>
      <c r="IA1676" s="18"/>
      <c r="IB1676" s="18"/>
      <c r="IC1676" s="18"/>
      <c r="ID1676" s="18"/>
      <c r="IE1676" s="18"/>
      <c r="IF1676" s="18"/>
      <c r="IG1676" s="18"/>
      <c r="IH1676" s="18"/>
      <c r="II1676" s="18"/>
      <c r="IJ1676" s="18"/>
      <c r="IK1676" s="18"/>
      <c r="IL1676" s="18"/>
      <c r="IM1676" s="18"/>
      <c r="IN1676" s="18"/>
      <c r="IO1676" s="18"/>
      <c r="IP1676" s="18"/>
      <c r="IQ1676" s="18"/>
      <c r="IR1676" s="18"/>
      <c r="IS1676" s="18"/>
      <c r="IT1676" s="18"/>
      <c r="IU1676" s="18"/>
      <c r="IV1676" s="18"/>
      <c r="IW1676" s="18"/>
      <c r="IX1676" s="18"/>
      <c r="IY1676" s="18"/>
      <c r="IZ1676" s="18"/>
      <c r="JA1676" s="18"/>
      <c r="JB1676" s="18"/>
      <c r="JC1676" s="18"/>
      <c r="JD1676" s="18"/>
      <c r="JE1676" s="18"/>
      <c r="JF1676" s="18"/>
      <c r="JG1676" s="18"/>
      <c r="JH1676" s="18"/>
      <c r="JI1676" s="18"/>
      <c r="JJ1676" s="18"/>
      <c r="JK1676" s="18"/>
      <c r="JL1676" s="18"/>
      <c r="JM1676" s="18"/>
      <c r="JN1676" s="18"/>
      <c r="JO1676" s="16"/>
      <c r="JP1676" s="16"/>
      <c r="JQ1676" s="16"/>
      <c r="JR1676" s="16"/>
      <c r="JS1676" s="16"/>
      <c r="JT1676" s="16"/>
      <c r="JU1676" s="16"/>
      <c r="JV1676" s="16"/>
      <c r="JW1676" s="16"/>
      <c r="JX1676" s="16"/>
      <c r="JY1676" s="16"/>
      <c r="JZ1676" s="16"/>
      <c r="KA1676" s="16"/>
      <c r="KB1676" s="16"/>
    </row>
    <row r="1677" spans="1:288" s="27" customFormat="1" x14ac:dyDescent="0.2">
      <c r="A1677" s="29"/>
      <c r="B1677" s="16">
        <v>2016</v>
      </c>
      <c r="C1677" s="20">
        <v>42614</v>
      </c>
      <c r="D1677" s="20" t="str">
        <f>CONCATENATE(J1677,"-",C1677)</f>
        <v>1004-42614</v>
      </c>
      <c r="E1677" s="20" t="str">
        <f>CONCATENATE(T1677,"-",U1677,"-",C1677)</f>
        <v>PO1-B8-42614</v>
      </c>
      <c r="F1677" s="20" t="s">
        <v>227</v>
      </c>
      <c r="G1677" s="20" t="s">
        <v>278</v>
      </c>
      <c r="H1677" s="40" t="s">
        <v>169</v>
      </c>
      <c r="I1677" s="16"/>
      <c r="J1677" s="21">
        <v>1004</v>
      </c>
      <c r="K1677" s="21"/>
      <c r="L1677" s="16"/>
      <c r="M1677" s="21"/>
      <c r="N1677" s="21"/>
      <c r="O1677" s="21"/>
      <c r="P1677" s="16"/>
      <c r="Q1677" s="16"/>
      <c r="R1677" s="16"/>
      <c r="S1677" s="16"/>
      <c r="T1677" s="16" t="s">
        <v>112</v>
      </c>
      <c r="U1677" s="16" t="s">
        <v>209</v>
      </c>
      <c r="V1677" s="16" t="s">
        <v>142</v>
      </c>
      <c r="W1677" s="16"/>
      <c r="X1677" s="16"/>
      <c r="Y1677" s="16"/>
      <c r="Z1677" s="16"/>
      <c r="AA1677" s="16"/>
      <c r="AB1677" s="16"/>
      <c r="AC1677" s="16"/>
      <c r="AD1677" s="16"/>
      <c r="AE1677" s="16"/>
      <c r="AF1677" s="16"/>
      <c r="AG1677" s="16"/>
      <c r="AH1677" s="16"/>
      <c r="AI1677" s="16"/>
      <c r="AJ1677" s="16"/>
      <c r="AK1677" s="16">
        <v>18.5</v>
      </c>
      <c r="AL1677" s="16"/>
      <c r="AM1677" s="16"/>
      <c r="AN1677" s="16"/>
      <c r="AO1677" s="16"/>
      <c r="AP1677" s="16"/>
      <c r="AQ1677" s="16"/>
      <c r="AR1677" s="16"/>
      <c r="AS1677" s="16"/>
      <c r="AT1677" s="16"/>
      <c r="AU1677" s="16"/>
      <c r="AV1677" s="16"/>
      <c r="AW1677" s="16"/>
      <c r="AX1677" s="16"/>
      <c r="AY1677" s="16"/>
      <c r="AZ1677" s="16"/>
      <c r="BA1677" s="16"/>
      <c r="BB1677" s="16"/>
      <c r="BC1677" s="16"/>
      <c r="BD1677" s="16"/>
      <c r="BE1677" s="16"/>
      <c r="BF1677" s="16"/>
      <c r="BG1677" s="77"/>
      <c r="BH1677" s="16"/>
      <c r="BI1677" s="16"/>
      <c r="BJ1677" s="16"/>
      <c r="BK1677" s="16"/>
      <c r="BL1677" s="16"/>
      <c r="BM1677" s="16"/>
      <c r="BN1677" s="16"/>
      <c r="BO1677" s="16"/>
      <c r="BP1677" s="16"/>
      <c r="BQ1677" s="16"/>
      <c r="BR1677" s="16"/>
      <c r="BS1677" s="16"/>
      <c r="BT1677" s="77"/>
      <c r="BU1677" s="16"/>
      <c r="BV1677" s="16"/>
      <c r="BW1677" s="16"/>
      <c r="BX1677" s="16"/>
      <c r="BY1677" s="16"/>
      <c r="BZ1677" s="16"/>
      <c r="CA1677" s="16"/>
      <c r="CB1677" s="16"/>
      <c r="CC1677" s="16"/>
      <c r="CD1677" s="77"/>
      <c r="CE1677" s="16"/>
      <c r="CF1677" s="16"/>
      <c r="CG1677" s="16"/>
      <c r="CH1677" s="16"/>
      <c r="CI1677" s="16"/>
      <c r="CJ1677" s="16"/>
      <c r="CK1677" s="16"/>
      <c r="CL1677" s="16"/>
      <c r="CM1677" s="16"/>
      <c r="CN1677" s="16"/>
      <c r="CO1677" s="16"/>
      <c r="CP1677" s="16"/>
      <c r="CQ1677" s="16"/>
      <c r="CR1677" s="16"/>
      <c r="CS1677" s="16"/>
      <c r="CT1677" s="16"/>
      <c r="CU1677" s="16"/>
      <c r="CV1677" s="16"/>
      <c r="CW1677" s="16"/>
      <c r="CX1677" s="16"/>
      <c r="CY1677" s="16"/>
      <c r="CZ1677" s="16"/>
      <c r="DA1677" s="16"/>
      <c r="DB1677" s="16"/>
      <c r="DC1677" s="16"/>
      <c r="DD1677" s="16"/>
      <c r="DE1677" s="16"/>
      <c r="DF1677" s="16" t="e">
        <f>VLOOKUP(K1677,'[3]RNA Seq summary tables'!$V$3:$V$99,1,FALSE)</f>
        <v>#N/A</v>
      </c>
      <c r="DG1677" s="16">
        <v>1</v>
      </c>
      <c r="DH1677" s="16" t="str">
        <f>VLOOKUP(D1677,'[8]Data with duplicates'!$B$1:$J$70,9,FALSE)</f>
        <v>sample.7dup</v>
      </c>
      <c r="DI1677" s="16"/>
      <c r="DJ1677" s="16"/>
      <c r="DK1677" s="16"/>
      <c r="DL1677" s="16"/>
      <c r="DM1677" s="16"/>
      <c r="DN1677" s="16"/>
      <c r="DO1677" s="16"/>
      <c r="DP1677" s="16"/>
      <c r="DQ1677" s="16"/>
      <c r="DR1677" s="16"/>
      <c r="DS1677" s="16"/>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18"/>
      <c r="EQ1677" s="18"/>
      <c r="ER1677" s="18"/>
      <c r="ES1677" s="18"/>
      <c r="ET1677" s="18"/>
      <c r="EU1677" s="18"/>
      <c r="EV1677" s="18"/>
      <c r="EW1677" s="18"/>
      <c r="EX1677" s="18"/>
      <c r="EY1677" s="18"/>
      <c r="EZ1677" s="18"/>
      <c r="FA1677" s="18"/>
      <c r="FB1677" s="18"/>
      <c r="FC1677" s="18"/>
      <c r="FD1677" s="18"/>
      <c r="FE1677" s="18"/>
      <c r="FF1677" s="18"/>
      <c r="FG1677" s="18"/>
      <c r="FH1677" s="18"/>
      <c r="FI1677" s="18"/>
      <c r="FJ1677" s="18"/>
      <c r="FK1677" s="18"/>
      <c r="FL1677" s="18"/>
      <c r="FM1677" s="18"/>
      <c r="FN1677" s="18"/>
      <c r="FO1677" s="18"/>
      <c r="FP1677" s="18"/>
      <c r="FQ1677" s="18"/>
      <c r="FR1677" s="18"/>
      <c r="FS1677" s="18"/>
      <c r="FT1677" s="18"/>
      <c r="FU1677" s="18"/>
      <c r="FV1677" s="18"/>
      <c r="FW1677" s="18"/>
      <c r="FX1677" s="18"/>
      <c r="FY1677" s="18"/>
      <c r="FZ1677" s="18"/>
      <c r="GA1677" s="18"/>
      <c r="GB1677" s="18"/>
      <c r="GC1677" s="18"/>
      <c r="GD1677" s="18"/>
      <c r="GE1677" s="18"/>
      <c r="GF1677" s="18"/>
      <c r="GG1677" s="18"/>
      <c r="GH1677" s="18"/>
      <c r="GI1677" s="18"/>
      <c r="GJ1677" s="18"/>
      <c r="GK1677" s="18"/>
      <c r="GL1677" s="18"/>
      <c r="GM1677" s="18"/>
      <c r="GN1677" s="18"/>
      <c r="GO1677" s="18"/>
      <c r="GP1677" s="18"/>
      <c r="GQ1677" s="18"/>
      <c r="GR1677" s="18"/>
      <c r="GS1677" s="18"/>
      <c r="GT1677" s="18"/>
      <c r="GU1677" s="18"/>
      <c r="GV1677" s="18"/>
      <c r="GW1677" s="18"/>
      <c r="GX1677" s="18"/>
      <c r="GY1677" s="18"/>
      <c r="GZ1677" s="18"/>
      <c r="HA1677" s="18"/>
      <c r="HB1677" s="18"/>
      <c r="HC1677" s="18"/>
      <c r="HD1677" s="18"/>
      <c r="HE1677" s="18"/>
      <c r="HF1677" s="18"/>
      <c r="HG1677" s="18"/>
      <c r="HH1677" s="18"/>
      <c r="HI1677" s="18"/>
      <c r="HJ1677" s="18"/>
      <c r="HK1677" s="18"/>
      <c r="HL1677" s="18"/>
      <c r="HM1677" s="18"/>
      <c r="HN1677" s="18"/>
      <c r="HO1677" s="18"/>
      <c r="HP1677" s="18"/>
      <c r="HQ1677" s="18"/>
      <c r="HR1677" s="18"/>
      <c r="HS1677" s="18"/>
      <c r="HT1677" s="18"/>
      <c r="HU1677" s="18"/>
      <c r="HV1677" s="18"/>
      <c r="HW1677" s="18"/>
      <c r="HX1677" s="18"/>
      <c r="HY1677" s="18"/>
      <c r="HZ1677" s="18"/>
      <c r="IA1677" s="18"/>
      <c r="IB1677" s="18"/>
      <c r="IC1677" s="18"/>
      <c r="ID1677" s="18"/>
      <c r="IE1677" s="18"/>
      <c r="IF1677" s="18"/>
      <c r="IG1677" s="18"/>
      <c r="IH1677" s="18"/>
      <c r="II1677" s="18"/>
      <c r="IJ1677" s="18"/>
      <c r="IK1677" s="18"/>
      <c r="IL1677" s="18"/>
      <c r="IM1677" s="18"/>
      <c r="IN1677" s="18"/>
      <c r="IO1677" s="18"/>
      <c r="IP1677" s="18"/>
      <c r="IQ1677" s="18"/>
      <c r="IR1677" s="18"/>
      <c r="IS1677" s="18"/>
      <c r="IT1677" s="18"/>
      <c r="IU1677" s="18"/>
      <c r="IV1677" s="18"/>
      <c r="IW1677" s="18"/>
      <c r="IX1677" s="18"/>
      <c r="IY1677" s="18"/>
      <c r="IZ1677" s="18"/>
      <c r="JA1677" s="18"/>
      <c r="JB1677" s="18"/>
      <c r="JC1677" s="18"/>
      <c r="JD1677" s="18"/>
      <c r="JE1677" s="18"/>
      <c r="JF1677" s="18"/>
      <c r="JG1677" s="18"/>
      <c r="JH1677" s="18"/>
      <c r="JI1677" s="18"/>
      <c r="JJ1677" s="18"/>
      <c r="JK1677" s="18"/>
      <c r="JL1677" s="18"/>
      <c r="JM1677" s="18"/>
      <c r="JN1677" s="18"/>
      <c r="JO1677" s="16"/>
      <c r="JP1677" s="16"/>
      <c r="JQ1677" s="16"/>
      <c r="JR1677" s="16"/>
      <c r="JS1677" s="16"/>
      <c r="JT1677" s="16"/>
      <c r="JU1677" s="16"/>
      <c r="JV1677" s="16"/>
      <c r="JW1677" s="16"/>
      <c r="JX1677" s="16"/>
      <c r="JY1677" s="16"/>
      <c r="JZ1677" s="16"/>
      <c r="KA1677" s="16"/>
      <c r="KB1677" s="16"/>
    </row>
    <row r="1678" spans="1:288" s="27" customFormat="1" x14ac:dyDescent="0.2">
      <c r="A1678" s="18"/>
      <c r="B1678" s="16">
        <v>2016</v>
      </c>
      <c r="C1678" s="43">
        <v>42577</v>
      </c>
      <c r="D1678" s="43" t="str">
        <f>CONCATENATE(J1678,"-",C1678)</f>
        <v>1006-42577</v>
      </c>
      <c r="E1678" s="20" t="str">
        <f>CONCATENATE(T1678,"-",U1678,"-",C1678)</f>
        <v>HW1-F8-42577</v>
      </c>
      <c r="F1678" s="20" t="s">
        <v>106</v>
      </c>
      <c r="G1678" s="43" t="s">
        <v>278</v>
      </c>
      <c r="H1678" s="23"/>
      <c r="I1678" s="23"/>
      <c r="J1678" s="15">
        <v>1006</v>
      </c>
      <c r="K1678" s="15"/>
      <c r="L1678" s="23"/>
      <c r="M1678" s="21"/>
      <c r="N1678" s="21"/>
      <c r="O1678" s="21"/>
      <c r="P1678" s="23"/>
      <c r="Q1678" s="23"/>
      <c r="R1678" s="23"/>
      <c r="S1678" s="23"/>
      <c r="T1678" s="23" t="s">
        <v>133</v>
      </c>
      <c r="U1678" s="23" t="s">
        <v>138</v>
      </c>
      <c r="V1678" s="23"/>
      <c r="W1678" s="23"/>
      <c r="X1678" s="23"/>
      <c r="Y1678" s="23"/>
      <c r="Z1678" s="23"/>
      <c r="AA1678" s="23"/>
      <c r="AB1678" s="23"/>
      <c r="AC1678" s="23"/>
      <c r="AD1678" s="23"/>
      <c r="AE1678" s="23"/>
      <c r="AF1678" s="23"/>
      <c r="AG1678" s="23"/>
      <c r="AH1678" s="23"/>
      <c r="AI1678" s="23"/>
      <c r="AJ1678" s="23"/>
      <c r="AK1678" s="23"/>
      <c r="AL1678" s="23"/>
      <c r="AM1678" s="23"/>
      <c r="AN1678" s="23"/>
      <c r="AO1678" s="23"/>
      <c r="AP1678" s="23"/>
      <c r="AQ1678" s="23"/>
      <c r="AR1678" s="23"/>
      <c r="AS1678" s="23"/>
      <c r="AT1678" s="16"/>
      <c r="AU1678" s="16"/>
      <c r="AV1678" s="16"/>
      <c r="AW1678" s="16"/>
      <c r="AX1678" s="16"/>
      <c r="AY1678" s="16"/>
      <c r="AZ1678" s="16"/>
      <c r="BA1678" s="16"/>
      <c r="BB1678" s="16"/>
      <c r="BC1678" s="16"/>
      <c r="BD1678" s="16"/>
      <c r="BE1678" s="16"/>
      <c r="BF1678" s="16"/>
      <c r="BG1678" s="77"/>
      <c r="BH1678" s="16"/>
      <c r="BI1678" s="16"/>
      <c r="BJ1678" s="16"/>
      <c r="BK1678" s="16"/>
      <c r="BL1678" s="16"/>
      <c r="BM1678" s="16"/>
      <c r="BN1678" s="16"/>
      <c r="BO1678" s="16"/>
      <c r="BP1678" s="16"/>
      <c r="BQ1678" s="16"/>
      <c r="BR1678" s="16"/>
      <c r="BS1678" s="16"/>
      <c r="BT1678" s="77"/>
      <c r="BU1678" s="16"/>
      <c r="BV1678" s="16"/>
      <c r="BW1678" s="16"/>
      <c r="BX1678" s="16"/>
      <c r="BY1678" s="16"/>
      <c r="BZ1678" s="16"/>
      <c r="CA1678" s="16"/>
      <c r="CB1678" s="16"/>
      <c r="CC1678" s="16"/>
      <c r="CD1678" s="77"/>
      <c r="CE1678" s="16"/>
      <c r="CF1678" s="16"/>
      <c r="CG1678" s="16"/>
      <c r="CH1678" s="16"/>
      <c r="CI1678" s="16"/>
      <c r="CJ1678" s="16"/>
      <c r="CK1678" s="16"/>
      <c r="CL1678" s="16"/>
      <c r="CM1678" s="16"/>
      <c r="CN1678" s="16"/>
      <c r="CO1678" s="16"/>
      <c r="CP1678" s="16"/>
      <c r="CQ1678" s="16"/>
      <c r="CR1678" s="16"/>
      <c r="CS1678" s="16"/>
      <c r="CT1678" s="16"/>
      <c r="CU1678" s="16"/>
      <c r="CV1678" s="16"/>
      <c r="CW1678" s="16"/>
      <c r="CX1678" s="16"/>
      <c r="CY1678" s="16"/>
      <c r="CZ1678" s="16"/>
      <c r="DA1678" s="16"/>
      <c r="DB1678" s="16"/>
      <c r="DC1678" s="23"/>
      <c r="DD1678" s="23"/>
      <c r="DE1678" s="23"/>
      <c r="DF1678" s="16" t="e">
        <f>VLOOKUP(K1678,'[3]RNA Seq summary tables'!$V$3:$V$99,1,FALSE)</f>
        <v>#N/A</v>
      </c>
      <c r="DG1678" s="23"/>
      <c r="DH1678" s="23"/>
      <c r="DI1678" s="23"/>
      <c r="DJ1678" s="23"/>
      <c r="DK1678" s="23"/>
      <c r="DL1678" s="23"/>
      <c r="DM1678" s="23"/>
      <c r="DN1678" s="23"/>
      <c r="DO1678" s="23"/>
      <c r="DP1678" s="23"/>
      <c r="DQ1678" s="23"/>
      <c r="DR1678" s="23"/>
      <c r="DS1678" s="23"/>
      <c r="DT1678" s="25"/>
      <c r="DU1678" s="25"/>
      <c r="DV1678" s="25"/>
      <c r="DW1678" s="25"/>
      <c r="DX1678" s="25"/>
      <c r="DY1678" s="25"/>
      <c r="DZ1678" s="25"/>
      <c r="EA1678" s="25"/>
      <c r="EB1678" s="25"/>
      <c r="EC1678" s="25"/>
      <c r="ED1678" s="25"/>
      <c r="EE1678" s="25"/>
      <c r="EF1678" s="18"/>
      <c r="EG1678" s="18"/>
      <c r="EH1678" s="18"/>
      <c r="EI1678" s="18"/>
      <c r="EJ1678" s="18"/>
      <c r="EK1678" s="18"/>
      <c r="EL1678" s="18"/>
      <c r="EM1678" s="18"/>
      <c r="EN1678" s="18"/>
      <c r="EO1678" s="18"/>
      <c r="EP1678" s="18"/>
      <c r="EQ1678" s="18"/>
      <c r="ER1678" s="18"/>
      <c r="ES1678" s="18"/>
      <c r="ET1678" s="18"/>
      <c r="EU1678" s="18"/>
      <c r="EV1678" s="18"/>
      <c r="EW1678" s="18"/>
      <c r="EX1678" s="18"/>
      <c r="EY1678" s="18"/>
      <c r="EZ1678" s="18"/>
      <c r="FA1678" s="18"/>
      <c r="FB1678" s="18"/>
      <c r="FC1678" s="18"/>
      <c r="FD1678" s="18"/>
      <c r="FE1678" s="18"/>
      <c r="FF1678" s="18"/>
      <c r="FG1678" s="18"/>
      <c r="FH1678" s="18"/>
      <c r="FI1678" s="18"/>
      <c r="FJ1678" s="18"/>
      <c r="FK1678" s="18"/>
      <c r="FL1678" s="18"/>
      <c r="FM1678" s="18"/>
      <c r="FN1678" s="18"/>
      <c r="FO1678" s="18"/>
      <c r="FP1678" s="18"/>
      <c r="FQ1678" s="18"/>
      <c r="FR1678" s="18"/>
      <c r="FS1678" s="18"/>
      <c r="FT1678" s="18"/>
      <c r="FU1678" s="18"/>
      <c r="FV1678" s="18"/>
      <c r="FW1678" s="18"/>
      <c r="FX1678" s="18"/>
      <c r="FY1678" s="18"/>
      <c r="FZ1678" s="18"/>
      <c r="GA1678" s="18"/>
      <c r="GB1678" s="18"/>
      <c r="GC1678" s="18"/>
      <c r="GD1678" s="18"/>
      <c r="GE1678" s="18"/>
      <c r="GF1678" s="18"/>
      <c r="GG1678" s="18"/>
      <c r="GH1678" s="18"/>
      <c r="GI1678" s="18"/>
      <c r="GJ1678" s="18"/>
      <c r="GK1678" s="18"/>
      <c r="GL1678" s="18"/>
      <c r="GM1678" s="18"/>
      <c r="GN1678" s="18"/>
      <c r="GO1678" s="18"/>
      <c r="GP1678" s="18"/>
      <c r="GQ1678" s="18"/>
      <c r="GR1678" s="18"/>
      <c r="GS1678" s="18"/>
      <c r="GT1678" s="18"/>
      <c r="GU1678" s="18"/>
      <c r="GV1678" s="18"/>
      <c r="GW1678" s="18"/>
      <c r="GX1678" s="18"/>
      <c r="GY1678" s="18"/>
      <c r="GZ1678" s="18"/>
      <c r="HA1678" s="18"/>
      <c r="HB1678" s="18"/>
      <c r="HC1678" s="18"/>
      <c r="HD1678" s="18"/>
      <c r="HE1678" s="18"/>
      <c r="HF1678" s="18"/>
      <c r="HG1678" s="18"/>
      <c r="HH1678" s="18"/>
      <c r="HI1678" s="18"/>
      <c r="HJ1678" s="18"/>
      <c r="HK1678" s="18"/>
      <c r="HL1678" s="18"/>
      <c r="HM1678" s="18"/>
      <c r="HN1678" s="18"/>
      <c r="HO1678" s="18"/>
      <c r="HP1678" s="18"/>
      <c r="HQ1678" s="18"/>
      <c r="HR1678" s="18"/>
      <c r="HS1678" s="18"/>
      <c r="HT1678" s="18"/>
      <c r="HU1678" s="18"/>
      <c r="HV1678" s="18"/>
      <c r="HW1678" s="18"/>
      <c r="HX1678" s="18"/>
      <c r="HY1678" s="18"/>
      <c r="HZ1678" s="18"/>
      <c r="IA1678" s="18"/>
      <c r="IB1678" s="18"/>
      <c r="IC1678" s="18"/>
      <c r="ID1678" s="18"/>
      <c r="IE1678" s="18"/>
      <c r="IF1678" s="18"/>
      <c r="IG1678" s="18"/>
      <c r="IH1678" s="18"/>
      <c r="II1678" s="18"/>
      <c r="IJ1678" s="18"/>
      <c r="IK1678" s="18"/>
      <c r="IL1678" s="18"/>
      <c r="IM1678" s="18"/>
      <c r="IN1678" s="18"/>
      <c r="IO1678" s="18"/>
      <c r="IP1678" s="18"/>
      <c r="IQ1678" s="18"/>
      <c r="IR1678" s="18"/>
      <c r="IS1678" s="18"/>
      <c r="IT1678" s="18"/>
      <c r="IU1678" s="18"/>
      <c r="IV1678" s="18"/>
      <c r="IW1678" s="18"/>
      <c r="IX1678" s="18"/>
      <c r="IY1678" s="18"/>
      <c r="IZ1678" s="18"/>
      <c r="JA1678" s="18"/>
      <c r="JB1678" s="18"/>
      <c r="JC1678" s="18"/>
      <c r="JD1678" s="18"/>
      <c r="JE1678" s="18"/>
      <c r="JF1678" s="18"/>
      <c r="JG1678" s="18"/>
      <c r="JH1678" s="18"/>
      <c r="JI1678" s="18"/>
      <c r="JJ1678" s="18"/>
      <c r="JK1678" s="18"/>
      <c r="JL1678" s="18"/>
      <c r="JM1678" s="18"/>
      <c r="JN1678" s="18"/>
      <c r="JO1678" s="16"/>
      <c r="JP1678" s="16"/>
      <c r="JQ1678" s="16"/>
      <c r="JR1678" s="16"/>
      <c r="JS1678" s="16"/>
      <c r="JT1678" s="16"/>
      <c r="JU1678" s="16"/>
      <c r="JV1678" s="16"/>
      <c r="JW1678" s="16"/>
      <c r="JX1678" s="16"/>
      <c r="JY1678" s="16"/>
      <c r="JZ1678" s="16"/>
      <c r="KA1678" s="16"/>
      <c r="KB1678" s="16"/>
    </row>
    <row r="1679" spans="1:288" s="27" customFormat="1" x14ac:dyDescent="0.2">
      <c r="A1679" s="18"/>
      <c r="B1679" s="16">
        <v>2016</v>
      </c>
      <c r="C1679" s="43">
        <v>42591</v>
      </c>
      <c r="D1679" s="43" t="str">
        <f>CONCATENATE(J1679,"-",C1679)</f>
        <v>1006-42591</v>
      </c>
      <c r="E1679" s="20" t="str">
        <f>CONCATENATE(T1679,"-",U1679,"-",C1679)</f>
        <v>HW1-G5-42591</v>
      </c>
      <c r="F1679" s="20" t="s">
        <v>224</v>
      </c>
      <c r="G1679" s="43" t="s">
        <v>278</v>
      </c>
      <c r="H1679" s="23"/>
      <c r="I1679" s="23"/>
      <c r="J1679" s="15">
        <v>1006</v>
      </c>
      <c r="K1679" s="15"/>
      <c r="L1679" s="23"/>
      <c r="M1679" s="21"/>
      <c r="N1679" s="21"/>
      <c r="O1679" s="21"/>
      <c r="P1679" s="23"/>
      <c r="Q1679" s="23"/>
      <c r="R1679" s="23"/>
      <c r="S1679" s="23"/>
      <c r="T1679" s="23" t="s">
        <v>133</v>
      </c>
      <c r="U1679" s="23" t="s">
        <v>200</v>
      </c>
      <c r="V1679" s="23"/>
      <c r="W1679" s="23"/>
      <c r="X1679" s="23"/>
      <c r="Y1679" s="23"/>
      <c r="Z1679" s="23"/>
      <c r="AA1679" s="23"/>
      <c r="AB1679" s="23"/>
      <c r="AC1679" s="23"/>
      <c r="AD1679" s="23"/>
      <c r="AE1679" s="23"/>
      <c r="AF1679" s="23"/>
      <c r="AG1679" s="23"/>
      <c r="AH1679" s="23"/>
      <c r="AI1679" s="23"/>
      <c r="AJ1679" s="23"/>
      <c r="AK1679" s="23">
        <v>22</v>
      </c>
      <c r="AL1679" s="23"/>
      <c r="AM1679" s="23"/>
      <c r="AN1679" s="23"/>
      <c r="AO1679" s="23"/>
      <c r="AP1679" s="23"/>
      <c r="AQ1679" s="23"/>
      <c r="AR1679" s="23"/>
      <c r="AS1679" s="23"/>
      <c r="AT1679" s="16"/>
      <c r="AU1679" s="16"/>
      <c r="AV1679" s="16"/>
      <c r="AW1679" s="16"/>
      <c r="AX1679" s="16"/>
      <c r="AY1679" s="16"/>
      <c r="AZ1679" s="16"/>
      <c r="BA1679" s="16"/>
      <c r="BB1679" s="16"/>
      <c r="BC1679" s="16"/>
      <c r="BD1679" s="16"/>
      <c r="BE1679" s="16"/>
      <c r="BF1679" s="16"/>
      <c r="BG1679" s="77"/>
      <c r="BH1679" s="16"/>
      <c r="BI1679" s="16"/>
      <c r="BJ1679" s="16"/>
      <c r="BK1679" s="16"/>
      <c r="BL1679" s="16"/>
      <c r="BM1679" s="16"/>
      <c r="BN1679" s="16"/>
      <c r="BO1679" s="16"/>
      <c r="BP1679" s="16"/>
      <c r="BQ1679" s="16"/>
      <c r="BR1679" s="16"/>
      <c r="BS1679" s="16"/>
      <c r="BT1679" s="77"/>
      <c r="BU1679" s="16"/>
      <c r="BV1679" s="16"/>
      <c r="BW1679" s="16"/>
      <c r="BX1679" s="16"/>
      <c r="BY1679" s="16"/>
      <c r="BZ1679" s="16"/>
      <c r="CA1679" s="16"/>
      <c r="CB1679" s="16"/>
      <c r="CC1679" s="16"/>
      <c r="CD1679" s="77"/>
      <c r="CE1679" s="16"/>
      <c r="CF1679" s="16"/>
      <c r="CG1679" s="16"/>
      <c r="CH1679" s="16"/>
      <c r="CI1679" s="16"/>
      <c r="CJ1679" s="16"/>
      <c r="CK1679" s="16"/>
      <c r="CL1679" s="16"/>
      <c r="CM1679" s="16"/>
      <c r="CN1679" s="16"/>
      <c r="CO1679" s="16"/>
      <c r="CP1679" s="16"/>
      <c r="CQ1679" s="16"/>
      <c r="CR1679" s="16"/>
      <c r="CS1679" s="16"/>
      <c r="CT1679" s="16"/>
      <c r="CU1679" s="16"/>
      <c r="CV1679" s="16"/>
      <c r="CW1679" s="16"/>
      <c r="CX1679" s="16"/>
      <c r="CY1679" s="16"/>
      <c r="CZ1679" s="16"/>
      <c r="DA1679" s="16"/>
      <c r="DB1679" s="16"/>
      <c r="DC1679" s="23"/>
      <c r="DD1679" s="23"/>
      <c r="DE1679" s="23"/>
      <c r="DF1679" s="16" t="e">
        <f>VLOOKUP(K1679,'[3]RNA Seq summary tables'!$V$3:$V$99,1,FALSE)</f>
        <v>#N/A</v>
      </c>
      <c r="DG1679" s="23"/>
      <c r="DH1679" s="23"/>
      <c r="DI1679" s="23"/>
      <c r="DJ1679" s="23"/>
      <c r="DK1679" s="23"/>
      <c r="DL1679" s="23"/>
      <c r="DM1679" s="23"/>
      <c r="DN1679" s="23"/>
      <c r="DO1679" s="23"/>
      <c r="DP1679" s="23"/>
      <c r="DQ1679" s="23"/>
      <c r="DR1679" s="23"/>
      <c r="DS1679" s="23"/>
      <c r="DT1679" s="25"/>
      <c r="DU1679" s="25"/>
      <c r="DV1679" s="25"/>
      <c r="DW1679" s="25"/>
      <c r="DX1679" s="25"/>
      <c r="DY1679" s="25"/>
      <c r="DZ1679" s="25"/>
      <c r="EA1679" s="25"/>
      <c r="EB1679" s="25"/>
      <c r="EC1679" s="25"/>
      <c r="ED1679" s="25"/>
      <c r="EE1679" s="25"/>
      <c r="EF1679" s="18"/>
      <c r="EG1679" s="18"/>
      <c r="EH1679" s="18"/>
      <c r="EI1679" s="18"/>
      <c r="EJ1679" s="18"/>
      <c r="EK1679" s="18"/>
      <c r="EL1679" s="18"/>
      <c r="EM1679" s="18"/>
      <c r="EN1679" s="18"/>
      <c r="EO1679" s="18"/>
      <c r="EP1679" s="18"/>
      <c r="EQ1679" s="18"/>
      <c r="ER1679" s="18"/>
      <c r="ES1679" s="18"/>
      <c r="ET1679" s="18"/>
      <c r="EU1679" s="18"/>
      <c r="EV1679" s="18"/>
      <c r="EW1679" s="18"/>
      <c r="EX1679" s="18"/>
      <c r="EY1679" s="18"/>
      <c r="EZ1679" s="18"/>
      <c r="FA1679" s="18"/>
      <c r="FB1679" s="18"/>
      <c r="FC1679" s="18"/>
      <c r="FD1679" s="18"/>
      <c r="FE1679" s="18"/>
      <c r="FF1679" s="18"/>
      <c r="FG1679" s="18"/>
      <c r="FH1679" s="18"/>
      <c r="FI1679" s="18"/>
      <c r="FJ1679" s="18"/>
      <c r="FK1679" s="18"/>
      <c r="FL1679" s="18"/>
      <c r="FM1679" s="18"/>
      <c r="FN1679" s="18"/>
      <c r="FO1679" s="18"/>
      <c r="FP1679" s="18"/>
      <c r="FQ1679" s="18"/>
      <c r="FR1679" s="18"/>
      <c r="FS1679" s="18"/>
      <c r="FT1679" s="18"/>
      <c r="FU1679" s="18"/>
      <c r="FV1679" s="18"/>
      <c r="FW1679" s="18"/>
      <c r="FX1679" s="18"/>
      <c r="FY1679" s="18"/>
      <c r="FZ1679" s="18"/>
      <c r="GA1679" s="18"/>
      <c r="GB1679" s="18"/>
      <c r="GC1679" s="18"/>
      <c r="GD1679" s="18"/>
      <c r="GE1679" s="18"/>
      <c r="GF1679" s="18"/>
      <c r="GG1679" s="18"/>
      <c r="GH1679" s="18"/>
      <c r="GI1679" s="18"/>
      <c r="GJ1679" s="18"/>
      <c r="GK1679" s="18"/>
      <c r="GL1679" s="18"/>
      <c r="GM1679" s="18"/>
      <c r="GN1679" s="18"/>
      <c r="GO1679" s="18"/>
      <c r="GP1679" s="18"/>
      <c r="GQ1679" s="18"/>
      <c r="GR1679" s="18"/>
      <c r="GS1679" s="18"/>
      <c r="GT1679" s="18"/>
      <c r="GU1679" s="18"/>
      <c r="GV1679" s="18"/>
      <c r="GW1679" s="18"/>
      <c r="GX1679" s="18"/>
      <c r="GY1679" s="18"/>
      <c r="GZ1679" s="18"/>
      <c r="HA1679" s="18"/>
      <c r="HB1679" s="18"/>
      <c r="HC1679" s="18"/>
      <c r="HD1679" s="18"/>
      <c r="HE1679" s="18"/>
      <c r="HF1679" s="18"/>
      <c r="HG1679" s="18"/>
      <c r="HH1679" s="18"/>
      <c r="HI1679" s="18"/>
      <c r="HJ1679" s="18"/>
      <c r="HK1679" s="18"/>
      <c r="HL1679" s="18"/>
      <c r="HM1679" s="18"/>
      <c r="HN1679" s="18"/>
      <c r="HO1679" s="18"/>
      <c r="HP1679" s="18"/>
      <c r="HQ1679" s="18"/>
      <c r="HR1679" s="18"/>
      <c r="HS1679" s="18"/>
      <c r="HT1679" s="18"/>
      <c r="HU1679" s="18"/>
      <c r="HV1679" s="18"/>
      <c r="HW1679" s="18"/>
      <c r="HX1679" s="18"/>
      <c r="HY1679" s="18"/>
      <c r="HZ1679" s="18"/>
      <c r="IA1679" s="18"/>
      <c r="IB1679" s="18"/>
      <c r="IC1679" s="18"/>
      <c r="ID1679" s="18"/>
      <c r="IE1679" s="18"/>
      <c r="IF1679" s="18"/>
      <c r="IG1679" s="18"/>
      <c r="IH1679" s="18"/>
      <c r="II1679" s="18"/>
      <c r="IJ1679" s="18"/>
      <c r="IK1679" s="18"/>
      <c r="IL1679" s="18"/>
      <c r="IM1679" s="18"/>
      <c r="IN1679" s="18"/>
      <c r="IO1679" s="18"/>
      <c r="IP1679" s="18"/>
      <c r="IQ1679" s="18"/>
      <c r="IR1679" s="18"/>
      <c r="IS1679" s="18"/>
      <c r="IT1679" s="18"/>
      <c r="IU1679" s="18"/>
      <c r="IV1679" s="18"/>
      <c r="IW1679" s="18"/>
      <c r="IX1679" s="18"/>
      <c r="IY1679" s="18"/>
      <c r="IZ1679" s="18"/>
      <c r="JA1679" s="18"/>
      <c r="JB1679" s="18"/>
      <c r="JC1679" s="18"/>
      <c r="JD1679" s="18"/>
      <c r="JE1679" s="18"/>
      <c r="JF1679" s="18"/>
      <c r="JG1679" s="18"/>
      <c r="JH1679" s="18"/>
      <c r="JI1679" s="18"/>
      <c r="JJ1679" s="18"/>
      <c r="JK1679" s="18"/>
      <c r="JL1679" s="18"/>
      <c r="JM1679" s="18"/>
      <c r="JN1679" s="18"/>
      <c r="JO1679" s="16"/>
      <c r="JP1679" s="16"/>
      <c r="JQ1679" s="16"/>
      <c r="JR1679" s="16"/>
      <c r="JS1679" s="16"/>
      <c r="JT1679" s="16"/>
      <c r="JU1679" s="16"/>
      <c r="JV1679" s="16"/>
      <c r="JW1679" s="16"/>
      <c r="JX1679" s="16"/>
      <c r="JY1679" s="16"/>
      <c r="JZ1679" s="16"/>
      <c r="KA1679" s="16"/>
      <c r="KB1679" s="16"/>
    </row>
    <row r="1680" spans="1:288" s="27" customFormat="1" x14ac:dyDescent="0.2">
      <c r="A1680" s="18"/>
      <c r="B1680" s="16">
        <v>2016</v>
      </c>
      <c r="C1680" s="20">
        <v>42577</v>
      </c>
      <c r="D1680" s="20" t="str">
        <f>CONCATENATE(J1680,"-",C1680)</f>
        <v>1007-42577</v>
      </c>
      <c r="E1680" s="20" t="str">
        <f>CONCATENATE(T1680,"-",U1680,"-",C1680)</f>
        <v>HW1-H3-42577</v>
      </c>
      <c r="F1680" s="20" t="s">
        <v>106</v>
      </c>
      <c r="G1680" s="20" t="s">
        <v>278</v>
      </c>
      <c r="H1680" s="16"/>
      <c r="I1680" s="16"/>
      <c r="J1680" s="21">
        <v>1007</v>
      </c>
      <c r="K1680" s="21"/>
      <c r="L1680" s="16"/>
      <c r="M1680" s="21"/>
      <c r="N1680" s="21"/>
      <c r="O1680" s="21"/>
      <c r="P1680" s="16"/>
      <c r="Q1680" s="16"/>
      <c r="R1680" s="16"/>
      <c r="S1680" s="16"/>
      <c r="T1680" s="16" t="s">
        <v>133</v>
      </c>
      <c r="U1680" s="16" t="s">
        <v>174</v>
      </c>
      <c r="V1680" s="16"/>
      <c r="W1680" s="16"/>
      <c r="X1680" s="16"/>
      <c r="Y1680" s="16"/>
      <c r="Z1680" s="16"/>
      <c r="AA1680" s="16"/>
      <c r="AB1680" s="16"/>
      <c r="AC1680" s="16"/>
      <c r="AD1680" s="16"/>
      <c r="AE1680" s="16"/>
      <c r="AF1680" s="16"/>
      <c r="AG1680" s="16"/>
      <c r="AH1680" s="16"/>
      <c r="AI1680" s="16"/>
      <c r="AJ1680" s="16"/>
      <c r="AK1680" s="16"/>
      <c r="AL1680" s="16"/>
      <c r="AM1680" s="16"/>
      <c r="AN1680" s="16"/>
      <c r="AO1680" s="16"/>
      <c r="AP1680" s="16"/>
      <c r="AQ1680" s="16"/>
      <c r="AR1680" s="16"/>
      <c r="AS1680" s="16"/>
      <c r="AT1680" s="16"/>
      <c r="AU1680" s="16"/>
      <c r="AV1680" s="16"/>
      <c r="AW1680" s="16"/>
      <c r="AX1680" s="16"/>
      <c r="AY1680" s="16"/>
      <c r="AZ1680" s="16"/>
      <c r="BA1680" s="16"/>
      <c r="BB1680" s="16"/>
      <c r="BC1680" s="16"/>
      <c r="BD1680" s="16"/>
      <c r="BE1680" s="16"/>
      <c r="BF1680" s="16"/>
      <c r="BG1680" s="77"/>
      <c r="BH1680" s="16"/>
      <c r="BI1680" s="16"/>
      <c r="BJ1680" s="16"/>
      <c r="BK1680" s="16"/>
      <c r="BL1680" s="16"/>
      <c r="BM1680" s="16"/>
      <c r="BN1680" s="16"/>
      <c r="BO1680" s="16"/>
      <c r="BP1680" s="16"/>
      <c r="BQ1680" s="16"/>
      <c r="BR1680" s="16"/>
      <c r="BS1680" s="16"/>
      <c r="BT1680" s="77"/>
      <c r="BU1680" s="16"/>
      <c r="BV1680" s="16"/>
      <c r="BW1680" s="16"/>
      <c r="BX1680" s="16"/>
      <c r="BY1680" s="16"/>
      <c r="BZ1680" s="16"/>
      <c r="CA1680" s="16"/>
      <c r="CB1680" s="16"/>
      <c r="CC1680" s="16"/>
      <c r="CD1680" s="77"/>
      <c r="CE1680" s="16"/>
      <c r="CF1680" s="16"/>
      <c r="CG1680" s="16"/>
      <c r="CH1680" s="16"/>
      <c r="CI1680" s="16"/>
      <c r="CJ1680" s="16"/>
      <c r="CK1680" s="16"/>
      <c r="CL1680" s="16"/>
      <c r="CM1680" s="16"/>
      <c r="CN1680" s="16"/>
      <c r="CO1680" s="16"/>
      <c r="CP1680" s="16"/>
      <c r="CQ1680" s="16"/>
      <c r="CR1680" s="16"/>
      <c r="CS1680" s="16"/>
      <c r="CT1680" s="16"/>
      <c r="CU1680" s="16"/>
      <c r="CV1680" s="16"/>
      <c r="CW1680" s="16"/>
      <c r="CX1680" s="16"/>
      <c r="CY1680" s="16"/>
      <c r="CZ1680" s="16"/>
      <c r="DA1680" s="16"/>
      <c r="DB1680" s="16"/>
      <c r="DC1680" s="16"/>
      <c r="DD1680" s="16"/>
      <c r="DE1680" s="16"/>
      <c r="DF1680" s="16" t="e">
        <f>VLOOKUP(K1680,'[3]RNA Seq summary tables'!$V$3:$V$99,1,FALSE)</f>
        <v>#N/A</v>
      </c>
      <c r="DG1680" s="16"/>
      <c r="DH1680" s="16"/>
      <c r="DI1680" s="16"/>
      <c r="DJ1680" s="16"/>
      <c r="DK1680" s="16"/>
      <c r="DL1680" s="16"/>
      <c r="DM1680" s="16"/>
      <c r="DN1680" s="16"/>
      <c r="DO1680" s="16"/>
      <c r="DP1680" s="16"/>
      <c r="DQ1680" s="16"/>
      <c r="DR1680" s="16"/>
      <c r="DS1680" s="16"/>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18"/>
      <c r="EQ1680" s="18"/>
      <c r="ER1680" s="18"/>
      <c r="ES1680" s="18"/>
      <c r="ET1680" s="18"/>
      <c r="EU1680" s="18"/>
      <c r="EV1680" s="18"/>
      <c r="EW1680" s="18"/>
      <c r="EX1680" s="18"/>
      <c r="EY1680" s="18"/>
      <c r="EZ1680" s="18"/>
      <c r="FA1680" s="18"/>
      <c r="FB1680" s="18"/>
      <c r="FC1680" s="18"/>
      <c r="FD1680" s="18"/>
      <c r="FE1680" s="18"/>
      <c r="FF1680" s="18"/>
      <c r="FG1680" s="18"/>
      <c r="FH1680" s="18"/>
      <c r="FI1680" s="18"/>
      <c r="FJ1680" s="18"/>
      <c r="FK1680" s="18"/>
      <c r="FL1680" s="18"/>
      <c r="FM1680" s="18"/>
      <c r="FN1680" s="18"/>
      <c r="FO1680" s="18"/>
      <c r="FP1680" s="18"/>
      <c r="FQ1680" s="18"/>
      <c r="FR1680" s="18"/>
      <c r="FS1680" s="18"/>
      <c r="FT1680" s="18"/>
      <c r="FU1680" s="18"/>
      <c r="FV1680" s="18"/>
      <c r="FW1680" s="18"/>
      <c r="FX1680" s="18"/>
      <c r="FY1680" s="18"/>
      <c r="FZ1680" s="18"/>
      <c r="GA1680" s="18"/>
      <c r="GB1680" s="18"/>
      <c r="GC1680" s="18"/>
      <c r="GD1680" s="18"/>
      <c r="GE1680" s="18"/>
      <c r="GF1680" s="18"/>
      <c r="GG1680" s="18"/>
      <c r="GH1680" s="18"/>
      <c r="GI1680" s="18"/>
      <c r="GJ1680" s="18"/>
      <c r="GK1680" s="18"/>
      <c r="GL1680" s="18"/>
      <c r="GM1680" s="18"/>
      <c r="GN1680" s="18"/>
      <c r="GO1680" s="18"/>
      <c r="GP1680" s="18"/>
      <c r="GQ1680" s="18"/>
      <c r="GR1680" s="18"/>
      <c r="GS1680" s="18"/>
      <c r="GT1680" s="18"/>
      <c r="GU1680" s="18"/>
      <c r="GV1680" s="18"/>
      <c r="GW1680" s="18"/>
      <c r="GX1680" s="18"/>
      <c r="GY1680" s="18"/>
      <c r="GZ1680" s="18"/>
      <c r="HA1680" s="18"/>
      <c r="HB1680" s="18"/>
      <c r="HC1680" s="18"/>
      <c r="HD1680" s="18"/>
      <c r="HE1680" s="18"/>
      <c r="HF1680" s="18"/>
      <c r="HG1680" s="18"/>
      <c r="HH1680" s="18"/>
      <c r="HI1680" s="18"/>
      <c r="HJ1680" s="18"/>
      <c r="HK1680" s="18"/>
      <c r="HL1680" s="18"/>
      <c r="HM1680" s="18"/>
      <c r="HN1680" s="18"/>
      <c r="HO1680" s="18"/>
      <c r="HP1680" s="18"/>
      <c r="HQ1680" s="18"/>
      <c r="HR1680" s="18"/>
      <c r="HS1680" s="18"/>
      <c r="HT1680" s="18"/>
      <c r="HU1680" s="18"/>
      <c r="HV1680" s="18"/>
      <c r="HW1680" s="18"/>
      <c r="HX1680" s="18"/>
      <c r="HY1680" s="18"/>
      <c r="HZ1680" s="18"/>
      <c r="IA1680" s="18"/>
      <c r="IB1680" s="18"/>
      <c r="IC1680" s="18"/>
      <c r="ID1680" s="18"/>
      <c r="IE1680" s="18"/>
      <c r="IF1680" s="18"/>
      <c r="IG1680" s="18"/>
      <c r="IH1680" s="18"/>
      <c r="II1680" s="18"/>
      <c r="IJ1680" s="18"/>
      <c r="IK1680" s="18"/>
      <c r="IL1680" s="18"/>
      <c r="IM1680" s="18"/>
      <c r="IN1680" s="18"/>
      <c r="IO1680" s="18"/>
      <c r="IP1680" s="18"/>
      <c r="IQ1680" s="18"/>
      <c r="IR1680" s="18"/>
      <c r="IS1680" s="18"/>
      <c r="IT1680" s="18"/>
      <c r="IU1680" s="18"/>
      <c r="IV1680" s="18"/>
      <c r="IW1680" s="18"/>
      <c r="IX1680" s="18"/>
      <c r="IY1680" s="18"/>
      <c r="IZ1680" s="18"/>
      <c r="JA1680" s="18"/>
      <c r="JB1680" s="18"/>
      <c r="JC1680" s="18"/>
      <c r="JD1680" s="18"/>
      <c r="JE1680" s="18"/>
      <c r="JF1680" s="18"/>
      <c r="JG1680" s="18"/>
      <c r="JH1680" s="18"/>
      <c r="JI1680" s="18"/>
      <c r="JJ1680" s="18"/>
      <c r="JK1680" s="18"/>
      <c r="JL1680" s="18"/>
      <c r="JM1680" s="18"/>
      <c r="JN1680" s="18"/>
      <c r="JO1680" s="16"/>
      <c r="JP1680" s="16"/>
      <c r="JQ1680" s="16"/>
      <c r="JR1680" s="16"/>
      <c r="JS1680" s="16"/>
      <c r="JT1680" s="16"/>
      <c r="JU1680" s="16"/>
      <c r="JV1680" s="16"/>
      <c r="JW1680" s="16"/>
      <c r="JX1680" s="16"/>
      <c r="JY1680" s="16"/>
      <c r="JZ1680" s="16"/>
      <c r="KA1680" s="16"/>
      <c r="KB1680" s="16"/>
    </row>
    <row r="1681" spans="1:288" s="27" customFormat="1" x14ac:dyDescent="0.2">
      <c r="A1681" s="18"/>
      <c r="B1681" s="16">
        <v>2016</v>
      </c>
      <c r="C1681" s="20">
        <v>42578</v>
      </c>
      <c r="D1681" s="20" t="str">
        <f>CONCATENATE(J1681,"-",C1681)</f>
        <v>1007-42578</v>
      </c>
      <c r="E1681" s="20" t="str">
        <f>CONCATENATE(T1681,"-",U1681,"-",C1681)</f>
        <v>HW1-G5-42578</v>
      </c>
      <c r="F1681" s="20" t="s">
        <v>106</v>
      </c>
      <c r="G1681" s="20" t="s">
        <v>278</v>
      </c>
      <c r="H1681" s="16"/>
      <c r="I1681" s="16"/>
      <c r="J1681" s="21">
        <v>1007</v>
      </c>
      <c r="K1681" s="21"/>
      <c r="L1681" s="16"/>
      <c r="M1681" s="21"/>
      <c r="N1681" s="21"/>
      <c r="O1681" s="21"/>
      <c r="P1681" s="16"/>
      <c r="Q1681" s="16"/>
      <c r="R1681" s="16"/>
      <c r="S1681" s="16"/>
      <c r="T1681" s="16" t="s">
        <v>133</v>
      </c>
      <c r="U1681" s="16" t="s">
        <v>200</v>
      </c>
      <c r="V1681" s="16" t="s">
        <v>114</v>
      </c>
      <c r="W1681" s="16"/>
      <c r="X1681" s="16"/>
      <c r="Y1681" s="16"/>
      <c r="Z1681" s="16"/>
      <c r="AA1681" s="16"/>
      <c r="AB1681" s="16"/>
      <c r="AC1681" s="16"/>
      <c r="AD1681" s="16"/>
      <c r="AE1681" s="16"/>
      <c r="AF1681" s="16"/>
      <c r="AG1681" s="16"/>
      <c r="AH1681" s="16"/>
      <c r="AI1681" s="16"/>
      <c r="AJ1681" s="16"/>
      <c r="AK1681" s="16"/>
      <c r="AL1681" s="16"/>
      <c r="AM1681" s="16"/>
      <c r="AN1681" s="16"/>
      <c r="AO1681" s="16"/>
      <c r="AP1681" s="16"/>
      <c r="AQ1681" s="16"/>
      <c r="AR1681" s="16"/>
      <c r="AS1681" s="16"/>
      <c r="AT1681" s="16"/>
      <c r="AU1681" s="16"/>
      <c r="AV1681" s="16"/>
      <c r="AW1681" s="16"/>
      <c r="AX1681" s="16"/>
      <c r="AY1681" s="16"/>
      <c r="AZ1681" s="16"/>
      <c r="BA1681" s="16"/>
      <c r="BB1681" s="16"/>
      <c r="BC1681" s="16"/>
      <c r="BD1681" s="16"/>
      <c r="BE1681" s="16"/>
      <c r="BF1681" s="16"/>
      <c r="BG1681" s="77"/>
      <c r="BH1681" s="16"/>
      <c r="BI1681" s="16"/>
      <c r="BJ1681" s="16"/>
      <c r="BK1681" s="16"/>
      <c r="BL1681" s="16"/>
      <c r="BM1681" s="16"/>
      <c r="BN1681" s="16"/>
      <c r="BO1681" s="16"/>
      <c r="BP1681" s="16"/>
      <c r="BQ1681" s="16"/>
      <c r="BR1681" s="16"/>
      <c r="BS1681" s="16"/>
      <c r="BT1681" s="77"/>
      <c r="BU1681" s="16"/>
      <c r="BV1681" s="16"/>
      <c r="BW1681" s="16"/>
      <c r="BX1681" s="16"/>
      <c r="BY1681" s="16"/>
      <c r="BZ1681" s="16"/>
      <c r="CA1681" s="16"/>
      <c r="CB1681" s="16"/>
      <c r="CC1681" s="16"/>
      <c r="CD1681" s="77"/>
      <c r="CE1681" s="16"/>
      <c r="CF1681" s="16"/>
      <c r="CG1681" s="16"/>
      <c r="CH1681" s="16"/>
      <c r="CI1681" s="16"/>
      <c r="CJ1681" s="16"/>
      <c r="CK1681" s="16"/>
      <c r="CL1681" s="16"/>
      <c r="CM1681" s="16"/>
      <c r="CN1681" s="16"/>
      <c r="CO1681" s="16"/>
      <c r="CP1681" s="16"/>
      <c r="CQ1681" s="16"/>
      <c r="CR1681" s="16"/>
      <c r="CS1681" s="16"/>
      <c r="CT1681" s="16"/>
      <c r="CU1681" s="16"/>
      <c r="CV1681" s="16"/>
      <c r="CW1681" s="16"/>
      <c r="CX1681" s="16"/>
      <c r="CY1681" s="16"/>
      <c r="CZ1681" s="16"/>
      <c r="DA1681" s="16"/>
      <c r="DB1681" s="16"/>
      <c r="DC1681" s="16"/>
      <c r="DD1681" s="16"/>
      <c r="DE1681" s="16"/>
      <c r="DF1681" s="16" t="e">
        <f>VLOOKUP(K1681,'[3]RNA Seq summary tables'!$V$3:$V$99,1,FALSE)</f>
        <v>#N/A</v>
      </c>
      <c r="DG1681" s="16"/>
      <c r="DH1681" s="16"/>
      <c r="DI1681" s="16"/>
      <c r="DJ1681" s="16"/>
      <c r="DK1681" s="16"/>
      <c r="DL1681" s="16"/>
      <c r="DM1681" s="16"/>
      <c r="DN1681" s="16"/>
      <c r="DO1681" s="16"/>
      <c r="DP1681" s="16"/>
      <c r="DQ1681" s="16"/>
      <c r="DR1681" s="16"/>
      <c r="DS1681" s="16"/>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18"/>
      <c r="EQ1681" s="18"/>
      <c r="ER1681" s="18"/>
      <c r="ES1681" s="18"/>
      <c r="ET1681" s="18"/>
      <c r="EU1681" s="18"/>
      <c r="EV1681" s="18"/>
      <c r="EW1681" s="18"/>
      <c r="EX1681" s="18"/>
      <c r="EY1681" s="18"/>
      <c r="EZ1681" s="18"/>
      <c r="FA1681" s="18"/>
      <c r="FB1681" s="18"/>
      <c r="FC1681" s="18"/>
      <c r="FD1681" s="18"/>
      <c r="FE1681" s="18"/>
      <c r="FF1681" s="18"/>
      <c r="FG1681" s="18"/>
      <c r="FH1681" s="18"/>
      <c r="FI1681" s="18"/>
      <c r="FJ1681" s="18"/>
      <c r="FK1681" s="18"/>
      <c r="FL1681" s="18"/>
      <c r="FM1681" s="18"/>
      <c r="FN1681" s="18"/>
      <c r="FO1681" s="18"/>
      <c r="FP1681" s="18"/>
      <c r="FQ1681" s="18"/>
      <c r="FR1681" s="18"/>
      <c r="FS1681" s="18"/>
      <c r="FT1681" s="18"/>
      <c r="FU1681" s="18"/>
      <c r="FV1681" s="18"/>
      <c r="FW1681" s="18"/>
      <c r="FX1681" s="18"/>
      <c r="FY1681" s="18"/>
      <c r="FZ1681" s="18"/>
      <c r="GA1681" s="18"/>
      <c r="GB1681" s="18"/>
      <c r="GC1681" s="18"/>
      <c r="GD1681" s="18"/>
      <c r="GE1681" s="18"/>
      <c r="GF1681" s="18"/>
      <c r="GG1681" s="18"/>
      <c r="GH1681" s="18"/>
      <c r="GI1681" s="18"/>
      <c r="GJ1681" s="18"/>
      <c r="GK1681" s="18"/>
      <c r="GL1681" s="18"/>
      <c r="GM1681" s="18"/>
      <c r="GN1681" s="18"/>
      <c r="GO1681" s="18"/>
      <c r="GP1681" s="18"/>
      <c r="GQ1681" s="18"/>
      <c r="GR1681" s="18"/>
      <c r="GS1681" s="18"/>
      <c r="GT1681" s="18"/>
      <c r="GU1681" s="18"/>
      <c r="GV1681" s="18"/>
      <c r="GW1681" s="18"/>
      <c r="GX1681" s="18"/>
      <c r="GY1681" s="18"/>
      <c r="GZ1681" s="18"/>
      <c r="HA1681" s="18"/>
      <c r="HB1681" s="18"/>
      <c r="HC1681" s="18"/>
      <c r="HD1681" s="18"/>
      <c r="HE1681" s="18"/>
      <c r="HF1681" s="18"/>
      <c r="HG1681" s="18"/>
      <c r="HH1681" s="18"/>
      <c r="HI1681" s="18"/>
      <c r="HJ1681" s="18"/>
      <c r="HK1681" s="18"/>
      <c r="HL1681" s="18"/>
      <c r="HM1681" s="18"/>
      <c r="HN1681" s="18"/>
      <c r="HO1681" s="18"/>
      <c r="HP1681" s="18"/>
      <c r="HQ1681" s="18"/>
      <c r="HR1681" s="18"/>
      <c r="HS1681" s="18"/>
      <c r="HT1681" s="18"/>
      <c r="HU1681" s="18"/>
      <c r="HV1681" s="18"/>
      <c r="HW1681" s="18"/>
      <c r="HX1681" s="18"/>
      <c r="HY1681" s="18"/>
      <c r="HZ1681" s="18"/>
      <c r="IA1681" s="18"/>
      <c r="IB1681" s="18"/>
      <c r="IC1681" s="18"/>
      <c r="ID1681" s="18"/>
      <c r="IE1681" s="18"/>
      <c r="IF1681" s="18"/>
      <c r="IG1681" s="18"/>
      <c r="IH1681" s="18"/>
      <c r="II1681" s="18"/>
      <c r="IJ1681" s="18"/>
      <c r="IK1681" s="18"/>
      <c r="IL1681" s="18"/>
      <c r="IM1681" s="18"/>
      <c r="IN1681" s="18"/>
      <c r="IO1681" s="18"/>
      <c r="IP1681" s="18"/>
      <c r="IQ1681" s="18"/>
      <c r="IR1681" s="18"/>
      <c r="IS1681" s="18"/>
      <c r="IT1681" s="18"/>
      <c r="IU1681" s="18"/>
      <c r="IV1681" s="18"/>
      <c r="IW1681" s="18"/>
      <c r="IX1681" s="18"/>
      <c r="IY1681" s="18"/>
      <c r="IZ1681" s="18"/>
      <c r="JA1681" s="18"/>
      <c r="JB1681" s="18"/>
      <c r="JC1681" s="18"/>
      <c r="JD1681" s="18"/>
      <c r="JE1681" s="18"/>
      <c r="JF1681" s="18"/>
      <c r="JG1681" s="18"/>
      <c r="JH1681" s="18"/>
      <c r="JI1681" s="18"/>
      <c r="JJ1681" s="18"/>
      <c r="JK1681" s="18"/>
      <c r="JL1681" s="18"/>
      <c r="JM1681" s="18"/>
      <c r="JN1681" s="18"/>
      <c r="JO1681" s="16"/>
      <c r="JP1681" s="16"/>
      <c r="JQ1681" s="16"/>
      <c r="JR1681" s="16"/>
      <c r="JS1681" s="16"/>
      <c r="JT1681" s="16"/>
      <c r="JU1681" s="16"/>
      <c r="JV1681" s="16"/>
      <c r="JW1681" s="16"/>
      <c r="JX1681" s="16"/>
      <c r="JY1681" s="16"/>
      <c r="JZ1681" s="16"/>
      <c r="KA1681" s="16"/>
      <c r="KB1681" s="16"/>
    </row>
    <row r="1682" spans="1:288" s="27" customFormat="1" x14ac:dyDescent="0.2">
      <c r="A1682" s="18"/>
      <c r="B1682" s="16">
        <v>2016</v>
      </c>
      <c r="C1682" s="20">
        <v>42578</v>
      </c>
      <c r="D1682" s="20" t="str">
        <f>CONCATENATE(J1682,"-",C1682)</f>
        <v>1008-42578</v>
      </c>
      <c r="E1682" s="20" t="str">
        <f>CONCATENATE(T1682,"-",U1682,"-",C1682)</f>
        <v>HW1-H4-42578</v>
      </c>
      <c r="F1682" s="20" t="s">
        <v>106</v>
      </c>
      <c r="G1682" s="20" t="s">
        <v>278</v>
      </c>
      <c r="H1682" s="16"/>
      <c r="I1682" s="16"/>
      <c r="J1682" s="21">
        <v>1008</v>
      </c>
      <c r="K1682" s="21"/>
      <c r="L1682" s="16"/>
      <c r="M1682" s="21"/>
      <c r="N1682" s="21"/>
      <c r="O1682" s="21"/>
      <c r="P1682" s="16"/>
      <c r="Q1682" s="16"/>
      <c r="R1682" s="16"/>
      <c r="S1682" s="16"/>
      <c r="T1682" s="16" t="s">
        <v>133</v>
      </c>
      <c r="U1682" s="16" t="s">
        <v>151</v>
      </c>
      <c r="V1682" s="16"/>
      <c r="W1682" s="16"/>
      <c r="X1682" s="16"/>
      <c r="Y1682" s="16"/>
      <c r="Z1682" s="16"/>
      <c r="AA1682" s="16"/>
      <c r="AB1682" s="16"/>
      <c r="AC1682" s="16"/>
      <c r="AD1682" s="16"/>
      <c r="AE1682" s="16"/>
      <c r="AF1682" s="16"/>
      <c r="AG1682" s="16"/>
      <c r="AH1682" s="16"/>
      <c r="AI1682" s="16"/>
      <c r="AJ1682" s="16"/>
      <c r="AK1682" s="16">
        <v>11.5</v>
      </c>
      <c r="AL1682" s="16"/>
      <c r="AM1682" s="16"/>
      <c r="AN1682" s="16"/>
      <c r="AO1682" s="16"/>
      <c r="AP1682" s="16"/>
      <c r="AQ1682" s="16"/>
      <c r="AR1682" s="16"/>
      <c r="AS1682" s="16"/>
      <c r="AT1682" s="16"/>
      <c r="AU1682" s="16"/>
      <c r="AV1682" s="16"/>
      <c r="AW1682" s="16"/>
      <c r="AX1682" s="16"/>
      <c r="AY1682" s="16"/>
      <c r="AZ1682" s="16"/>
      <c r="BA1682" s="16"/>
      <c r="BB1682" s="16"/>
      <c r="BC1682" s="16"/>
      <c r="BD1682" s="16"/>
      <c r="BE1682" s="16"/>
      <c r="BF1682" s="16"/>
      <c r="BG1682" s="77"/>
      <c r="BH1682" s="16"/>
      <c r="BI1682" s="16"/>
      <c r="BJ1682" s="16"/>
      <c r="BK1682" s="16"/>
      <c r="BL1682" s="16"/>
      <c r="BM1682" s="16"/>
      <c r="BN1682" s="16"/>
      <c r="BO1682" s="16"/>
      <c r="BP1682" s="16"/>
      <c r="BQ1682" s="16"/>
      <c r="BR1682" s="16"/>
      <c r="BS1682" s="16"/>
      <c r="BT1682" s="77"/>
      <c r="BU1682" s="16"/>
      <c r="BV1682" s="16"/>
      <c r="BW1682" s="16"/>
      <c r="BX1682" s="16"/>
      <c r="BY1682" s="16"/>
      <c r="BZ1682" s="16"/>
      <c r="CA1682" s="16"/>
      <c r="CB1682" s="16"/>
      <c r="CC1682" s="16"/>
      <c r="CD1682" s="77"/>
      <c r="CE1682" s="16"/>
      <c r="CF1682" s="16"/>
      <c r="CG1682" s="16"/>
      <c r="CH1682" s="16"/>
      <c r="CI1682" s="16"/>
      <c r="CJ1682" s="16"/>
      <c r="CK1682" s="16"/>
      <c r="CL1682" s="16"/>
      <c r="CM1682" s="16"/>
      <c r="CN1682" s="16"/>
      <c r="CO1682" s="16"/>
      <c r="CP1682" s="16"/>
      <c r="CQ1682" s="16"/>
      <c r="CR1682" s="16"/>
      <c r="CS1682" s="16"/>
      <c r="CT1682" s="16"/>
      <c r="CU1682" s="16"/>
      <c r="CV1682" s="16"/>
      <c r="CW1682" s="16"/>
      <c r="CX1682" s="16"/>
      <c r="CY1682" s="16"/>
      <c r="CZ1682" s="16"/>
      <c r="DA1682" s="16"/>
      <c r="DB1682" s="16"/>
      <c r="DC1682" s="16"/>
      <c r="DD1682" s="16"/>
      <c r="DE1682" s="16"/>
      <c r="DF1682" s="16" t="e">
        <f>VLOOKUP(K1682,'[3]RNA Seq summary tables'!$V$3:$V$99,1,FALSE)</f>
        <v>#N/A</v>
      </c>
      <c r="DG1682" s="16"/>
      <c r="DH1682" s="16"/>
      <c r="DI1682" s="16"/>
      <c r="DJ1682" s="16"/>
      <c r="DK1682" s="16"/>
      <c r="DL1682" s="16"/>
      <c r="DM1682" s="16"/>
      <c r="DN1682" s="16"/>
      <c r="DO1682" s="16"/>
      <c r="DP1682" s="16"/>
      <c r="DQ1682" s="16"/>
      <c r="DR1682" s="16"/>
      <c r="DS1682" s="16"/>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18"/>
      <c r="EQ1682" s="18"/>
      <c r="ER1682" s="18"/>
      <c r="ES1682" s="18"/>
      <c r="ET1682" s="18"/>
      <c r="EU1682" s="18"/>
      <c r="EV1682" s="18"/>
      <c r="EW1682" s="18"/>
      <c r="EX1682" s="18"/>
      <c r="EY1682" s="18"/>
      <c r="EZ1682" s="18"/>
      <c r="FA1682" s="18"/>
      <c r="FB1682" s="18"/>
      <c r="FC1682" s="18"/>
      <c r="FD1682" s="18"/>
      <c r="FE1682" s="18"/>
      <c r="FF1682" s="18"/>
      <c r="FG1682" s="18"/>
      <c r="FH1682" s="18"/>
      <c r="FI1682" s="18"/>
      <c r="FJ1682" s="18"/>
      <c r="FK1682" s="18"/>
      <c r="FL1682" s="18"/>
      <c r="FM1682" s="18"/>
      <c r="FN1682" s="18"/>
      <c r="FO1682" s="18"/>
      <c r="FP1682" s="18"/>
      <c r="FQ1682" s="18"/>
      <c r="FR1682" s="18"/>
      <c r="FS1682" s="18"/>
      <c r="FT1682" s="18"/>
      <c r="FU1682" s="18"/>
      <c r="FV1682" s="18"/>
      <c r="FW1682" s="18"/>
      <c r="FX1682" s="18"/>
      <c r="FY1682" s="18"/>
      <c r="FZ1682" s="18"/>
      <c r="GA1682" s="18"/>
      <c r="GB1682" s="18"/>
      <c r="GC1682" s="18"/>
      <c r="GD1682" s="18"/>
      <c r="GE1682" s="18"/>
      <c r="GF1682" s="18"/>
      <c r="GG1682" s="18"/>
      <c r="GH1682" s="18"/>
      <c r="GI1682" s="18"/>
      <c r="GJ1682" s="18"/>
      <c r="GK1682" s="18"/>
      <c r="GL1682" s="18"/>
      <c r="GM1682" s="18"/>
      <c r="GN1682" s="18"/>
      <c r="GO1682" s="18"/>
      <c r="GP1682" s="18"/>
      <c r="GQ1682" s="18"/>
      <c r="GR1682" s="18"/>
      <c r="GS1682" s="18"/>
      <c r="GT1682" s="18"/>
      <c r="GU1682" s="18"/>
      <c r="GV1682" s="18"/>
      <c r="GW1682" s="18"/>
      <c r="GX1682" s="18"/>
      <c r="GY1682" s="18"/>
      <c r="GZ1682" s="18"/>
      <c r="HA1682" s="18"/>
      <c r="HB1682" s="18"/>
      <c r="HC1682" s="18"/>
      <c r="HD1682" s="18"/>
      <c r="HE1682" s="18"/>
      <c r="HF1682" s="18"/>
      <c r="HG1682" s="18"/>
      <c r="HH1682" s="18"/>
      <c r="HI1682" s="18"/>
      <c r="HJ1682" s="18"/>
      <c r="HK1682" s="18"/>
      <c r="HL1682" s="18"/>
      <c r="HM1682" s="18"/>
      <c r="HN1682" s="18"/>
      <c r="HO1682" s="18"/>
      <c r="HP1682" s="18"/>
      <c r="HQ1682" s="18"/>
      <c r="HR1682" s="18"/>
      <c r="HS1682" s="18"/>
      <c r="HT1682" s="18"/>
      <c r="HU1682" s="18"/>
      <c r="HV1682" s="18"/>
      <c r="HW1682" s="18"/>
      <c r="HX1682" s="18"/>
      <c r="HY1682" s="18"/>
      <c r="HZ1682" s="18"/>
      <c r="IA1682" s="18"/>
      <c r="IB1682" s="18"/>
      <c r="IC1682" s="18"/>
      <c r="ID1682" s="18"/>
      <c r="IE1682" s="18"/>
      <c r="IF1682" s="18"/>
      <c r="IG1682" s="18"/>
      <c r="IH1682" s="18"/>
      <c r="II1682" s="18"/>
      <c r="IJ1682" s="18"/>
      <c r="IK1682" s="18"/>
      <c r="IL1682" s="18"/>
      <c r="IM1682" s="18"/>
      <c r="IN1682" s="18"/>
      <c r="IO1682" s="18"/>
      <c r="IP1682" s="18"/>
      <c r="IQ1682" s="18"/>
      <c r="IR1682" s="18"/>
      <c r="IS1682" s="18"/>
      <c r="IT1682" s="18"/>
      <c r="IU1682" s="18"/>
      <c r="IV1682" s="18"/>
      <c r="IW1682" s="18"/>
      <c r="IX1682" s="18"/>
      <c r="IY1682" s="18"/>
      <c r="IZ1682" s="18"/>
      <c r="JA1682" s="18"/>
      <c r="JB1682" s="18"/>
      <c r="JC1682" s="18"/>
      <c r="JD1682" s="18"/>
      <c r="JE1682" s="18"/>
      <c r="JF1682" s="18"/>
      <c r="JG1682" s="18"/>
      <c r="JH1682" s="18"/>
      <c r="JI1682" s="18"/>
      <c r="JJ1682" s="18"/>
      <c r="JK1682" s="18"/>
      <c r="JL1682" s="18"/>
      <c r="JM1682" s="18"/>
      <c r="JN1682" s="18"/>
      <c r="JO1682" s="16"/>
      <c r="JP1682" s="16"/>
      <c r="JQ1682" s="16"/>
      <c r="JR1682" s="16"/>
      <c r="JS1682" s="16"/>
      <c r="JT1682" s="16"/>
      <c r="JU1682" s="16"/>
      <c r="JV1682" s="16"/>
      <c r="JW1682" s="16"/>
      <c r="JX1682" s="16"/>
      <c r="JY1682" s="16"/>
      <c r="JZ1682" s="16"/>
      <c r="KA1682" s="16"/>
      <c r="KB1682" s="16"/>
    </row>
    <row r="1683" spans="1:288" s="27" customFormat="1" x14ac:dyDescent="0.2">
      <c r="A1683" s="18"/>
      <c r="B1683" s="16">
        <v>2016</v>
      </c>
      <c r="C1683" s="20">
        <v>42581</v>
      </c>
      <c r="D1683" s="20" t="str">
        <f>CONCATENATE(J1683,"-",C1683)</f>
        <v>1010-42581</v>
      </c>
      <c r="E1683" s="20" t="str">
        <f>CONCATENATE(T1683,"-",U1683,"-",C1683)</f>
        <v>SP2-A5-42581</v>
      </c>
      <c r="F1683" s="20" t="s">
        <v>106</v>
      </c>
      <c r="G1683" s="20" t="s">
        <v>278</v>
      </c>
      <c r="H1683" s="16"/>
      <c r="I1683" s="16"/>
      <c r="J1683" s="21">
        <v>1010</v>
      </c>
      <c r="K1683" s="21"/>
      <c r="L1683" s="16"/>
      <c r="M1683" s="21"/>
      <c r="N1683" s="21"/>
      <c r="O1683" s="21"/>
      <c r="P1683" s="16"/>
      <c r="Q1683" s="16"/>
      <c r="R1683" s="16"/>
      <c r="S1683" s="16"/>
      <c r="T1683" s="16" t="s">
        <v>137</v>
      </c>
      <c r="U1683" s="16" t="s">
        <v>167</v>
      </c>
      <c r="V1683" s="16"/>
      <c r="W1683" s="16"/>
      <c r="X1683" s="16"/>
      <c r="Y1683" s="16"/>
      <c r="Z1683" s="16"/>
      <c r="AA1683" s="16"/>
      <c r="AB1683" s="16"/>
      <c r="AC1683" s="16"/>
      <c r="AD1683" s="16"/>
      <c r="AE1683" s="16"/>
      <c r="AF1683" s="16"/>
      <c r="AG1683" s="16"/>
      <c r="AH1683" s="16"/>
      <c r="AI1683" s="16"/>
      <c r="AJ1683" s="16"/>
      <c r="AK1683" s="16">
        <v>22</v>
      </c>
      <c r="AL1683" s="16"/>
      <c r="AM1683" s="16"/>
      <c r="AN1683" s="16"/>
      <c r="AO1683" s="16"/>
      <c r="AP1683" s="16"/>
      <c r="AQ1683" s="16"/>
      <c r="AR1683" s="16"/>
      <c r="AS1683" s="16"/>
      <c r="AT1683" s="16"/>
      <c r="AU1683" s="16"/>
      <c r="AV1683" s="16"/>
      <c r="AW1683" s="16"/>
      <c r="AX1683" s="16"/>
      <c r="AY1683" s="16"/>
      <c r="AZ1683" s="16"/>
      <c r="BA1683" s="16"/>
      <c r="BB1683" s="16"/>
      <c r="BC1683" s="16"/>
      <c r="BD1683" s="16"/>
      <c r="BE1683" s="16"/>
      <c r="BF1683" s="16"/>
      <c r="BG1683" s="77"/>
      <c r="BH1683" s="16"/>
      <c r="BI1683" s="16"/>
      <c r="BJ1683" s="16"/>
      <c r="BK1683" s="16"/>
      <c r="BL1683" s="16"/>
      <c r="BM1683" s="16"/>
      <c r="BN1683" s="16"/>
      <c r="BO1683" s="16"/>
      <c r="BP1683" s="16"/>
      <c r="BQ1683" s="16"/>
      <c r="BR1683" s="16"/>
      <c r="BS1683" s="16"/>
      <c r="BT1683" s="77"/>
      <c r="BU1683" s="16"/>
      <c r="BV1683" s="16"/>
      <c r="BW1683" s="16"/>
      <c r="BX1683" s="16"/>
      <c r="BY1683" s="16"/>
      <c r="BZ1683" s="16"/>
      <c r="CA1683" s="16"/>
      <c r="CB1683" s="16"/>
      <c r="CC1683" s="16"/>
      <c r="CD1683" s="77"/>
      <c r="CE1683" s="16"/>
      <c r="CF1683" s="16"/>
      <c r="CG1683" s="16"/>
      <c r="CH1683" s="16"/>
      <c r="CI1683" s="16"/>
      <c r="CJ1683" s="16"/>
      <c r="CK1683" s="16"/>
      <c r="CL1683" s="16"/>
      <c r="CM1683" s="16"/>
      <c r="CN1683" s="16"/>
      <c r="CO1683" s="16"/>
      <c r="CP1683" s="16"/>
      <c r="CQ1683" s="16"/>
      <c r="CR1683" s="16"/>
      <c r="CS1683" s="16"/>
      <c r="CT1683" s="16"/>
      <c r="CU1683" s="16"/>
      <c r="CV1683" s="16"/>
      <c r="CW1683" s="16"/>
      <c r="CX1683" s="16"/>
      <c r="CY1683" s="16"/>
      <c r="CZ1683" s="16"/>
      <c r="DA1683" s="16"/>
      <c r="DB1683" s="16"/>
      <c r="DC1683" s="16"/>
      <c r="DD1683" s="16"/>
      <c r="DE1683" s="16"/>
      <c r="DF1683" s="16" t="e">
        <f>VLOOKUP(K1683,'[3]RNA Seq summary tables'!$V$3:$V$99,1,FALSE)</f>
        <v>#N/A</v>
      </c>
      <c r="DG1683" s="16"/>
      <c r="DH1683" s="16"/>
      <c r="DI1683" s="16"/>
      <c r="DJ1683" s="16"/>
      <c r="DK1683" s="16"/>
      <c r="DL1683" s="16"/>
      <c r="DM1683" s="16"/>
      <c r="DN1683" s="16"/>
      <c r="DO1683" s="16"/>
      <c r="DP1683" s="16"/>
      <c r="DQ1683" s="16"/>
      <c r="DR1683" s="16"/>
      <c r="DS1683" s="16"/>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18"/>
      <c r="EQ1683" s="18"/>
      <c r="ER1683" s="18"/>
      <c r="ES1683" s="18"/>
      <c r="ET1683" s="18"/>
      <c r="EU1683" s="18"/>
      <c r="EV1683" s="18"/>
      <c r="EW1683" s="18"/>
      <c r="EX1683" s="18"/>
      <c r="EY1683" s="18"/>
      <c r="EZ1683" s="18"/>
      <c r="FA1683" s="18"/>
      <c r="FB1683" s="18"/>
      <c r="FC1683" s="18"/>
      <c r="FD1683" s="18"/>
      <c r="FE1683" s="18"/>
      <c r="FF1683" s="18"/>
      <c r="FG1683" s="18"/>
      <c r="FH1683" s="18"/>
      <c r="FI1683" s="18"/>
      <c r="FJ1683" s="18"/>
      <c r="FK1683" s="18"/>
      <c r="FL1683" s="18"/>
      <c r="FM1683" s="18"/>
      <c r="FN1683" s="18"/>
      <c r="FO1683" s="18"/>
      <c r="FP1683" s="18"/>
      <c r="FQ1683" s="18"/>
      <c r="FR1683" s="18"/>
      <c r="FS1683" s="18"/>
      <c r="FT1683" s="18"/>
      <c r="FU1683" s="18"/>
      <c r="FV1683" s="18"/>
      <c r="FW1683" s="18"/>
      <c r="FX1683" s="18"/>
      <c r="FY1683" s="18"/>
      <c r="FZ1683" s="18"/>
      <c r="GA1683" s="18"/>
      <c r="GB1683" s="18"/>
      <c r="GC1683" s="18"/>
      <c r="GD1683" s="18"/>
      <c r="GE1683" s="18"/>
      <c r="GF1683" s="18"/>
      <c r="GG1683" s="18"/>
      <c r="GH1683" s="18"/>
      <c r="GI1683" s="18"/>
      <c r="GJ1683" s="18"/>
      <c r="GK1683" s="18"/>
      <c r="GL1683" s="18"/>
      <c r="GM1683" s="18"/>
      <c r="GN1683" s="18"/>
      <c r="GO1683" s="18"/>
      <c r="GP1683" s="18"/>
      <c r="GQ1683" s="18"/>
      <c r="GR1683" s="18"/>
      <c r="GS1683" s="18"/>
      <c r="GT1683" s="18"/>
      <c r="GU1683" s="18"/>
      <c r="GV1683" s="18"/>
      <c r="GW1683" s="18"/>
      <c r="GX1683" s="18"/>
      <c r="GY1683" s="18"/>
      <c r="GZ1683" s="18"/>
      <c r="HA1683" s="18"/>
      <c r="HB1683" s="18"/>
      <c r="HC1683" s="18"/>
      <c r="HD1683" s="18"/>
      <c r="HE1683" s="18"/>
      <c r="HF1683" s="18"/>
      <c r="HG1683" s="18"/>
      <c r="HH1683" s="18"/>
      <c r="HI1683" s="18"/>
      <c r="HJ1683" s="18"/>
      <c r="HK1683" s="18"/>
      <c r="HL1683" s="18"/>
      <c r="HM1683" s="18"/>
      <c r="HN1683" s="18"/>
      <c r="HO1683" s="18"/>
      <c r="HP1683" s="18"/>
      <c r="HQ1683" s="18"/>
      <c r="HR1683" s="18"/>
      <c r="HS1683" s="18"/>
      <c r="HT1683" s="18"/>
      <c r="HU1683" s="18"/>
      <c r="HV1683" s="18"/>
      <c r="HW1683" s="18"/>
      <c r="HX1683" s="18"/>
      <c r="HY1683" s="18"/>
      <c r="HZ1683" s="18"/>
      <c r="IA1683" s="18"/>
      <c r="IB1683" s="18"/>
      <c r="IC1683" s="18"/>
      <c r="ID1683" s="18"/>
      <c r="IE1683" s="18"/>
      <c r="IF1683" s="18"/>
      <c r="IG1683" s="18"/>
      <c r="IH1683" s="18"/>
      <c r="II1683" s="18"/>
      <c r="IJ1683" s="18"/>
      <c r="IK1683" s="18"/>
      <c r="IL1683" s="18"/>
      <c r="IM1683" s="18"/>
      <c r="IN1683" s="18"/>
      <c r="IO1683" s="18"/>
      <c r="IP1683" s="18"/>
      <c r="IQ1683" s="18"/>
      <c r="IR1683" s="18"/>
      <c r="IS1683" s="18"/>
      <c r="IT1683" s="18"/>
      <c r="IU1683" s="18"/>
      <c r="IV1683" s="18"/>
      <c r="IW1683" s="18"/>
      <c r="IX1683" s="18"/>
      <c r="IY1683" s="18"/>
      <c r="IZ1683" s="18"/>
      <c r="JA1683" s="18"/>
      <c r="JB1683" s="18"/>
      <c r="JC1683" s="18"/>
      <c r="JD1683" s="18"/>
      <c r="JE1683" s="18"/>
      <c r="JF1683" s="18"/>
      <c r="JG1683" s="18"/>
      <c r="JH1683" s="18"/>
      <c r="JI1683" s="18"/>
      <c r="JJ1683" s="18"/>
      <c r="JK1683" s="18"/>
      <c r="JL1683" s="18"/>
      <c r="JM1683" s="18"/>
      <c r="JN1683" s="18"/>
      <c r="JO1683" s="16"/>
      <c r="JP1683" s="16"/>
      <c r="JQ1683" s="16"/>
      <c r="JR1683" s="16"/>
      <c r="JS1683" s="16"/>
      <c r="JT1683" s="16"/>
      <c r="JU1683" s="16"/>
      <c r="JV1683" s="16"/>
      <c r="JW1683" s="16"/>
      <c r="JX1683" s="16"/>
      <c r="JY1683" s="16"/>
      <c r="JZ1683" s="16"/>
      <c r="KA1683" s="16"/>
      <c r="KB1683" s="16"/>
    </row>
    <row r="1684" spans="1:288" s="27" customFormat="1" x14ac:dyDescent="0.2">
      <c r="A1684" s="18"/>
      <c r="B1684" s="16">
        <v>2016</v>
      </c>
      <c r="C1684" s="43">
        <v>42585</v>
      </c>
      <c r="D1684" s="20" t="str">
        <f>CONCATENATE(J1684,"-",C1684)</f>
        <v>1012-42585</v>
      </c>
      <c r="E1684" s="20" t="str">
        <f>CONCATENATE(T1684,"-",U1684,"-",C1684)</f>
        <v>BC1-G3-42585</v>
      </c>
      <c r="F1684" s="20" t="s">
        <v>106</v>
      </c>
      <c r="G1684" s="43" t="s">
        <v>278</v>
      </c>
      <c r="H1684" s="23"/>
      <c r="I1684" s="23"/>
      <c r="J1684" s="15">
        <v>1012</v>
      </c>
      <c r="K1684" s="15"/>
      <c r="L1684" s="23"/>
      <c r="M1684" s="21"/>
      <c r="N1684" s="21"/>
      <c r="O1684" s="21"/>
      <c r="P1684" s="23"/>
      <c r="Q1684" s="23"/>
      <c r="R1684" s="23"/>
      <c r="S1684" s="23"/>
      <c r="T1684" s="23" t="s">
        <v>159</v>
      </c>
      <c r="U1684" s="23" t="s">
        <v>179</v>
      </c>
      <c r="V1684" s="23"/>
      <c r="W1684" s="23"/>
      <c r="X1684" s="23"/>
      <c r="Y1684" s="23"/>
      <c r="Z1684" s="23"/>
      <c r="AA1684" s="23"/>
      <c r="AB1684" s="23"/>
      <c r="AC1684" s="23"/>
      <c r="AD1684" s="23"/>
      <c r="AE1684" s="23"/>
      <c r="AF1684" s="23"/>
      <c r="AG1684" s="23"/>
      <c r="AH1684" s="23"/>
      <c r="AI1684" s="23"/>
      <c r="AJ1684" s="23"/>
      <c r="AK1684" s="23">
        <v>16.5</v>
      </c>
      <c r="AL1684" s="23"/>
      <c r="AM1684" s="23"/>
      <c r="AN1684" s="23"/>
      <c r="AO1684" s="23"/>
      <c r="AP1684" s="23"/>
      <c r="AQ1684" s="23"/>
      <c r="AR1684" s="23"/>
      <c r="AS1684" s="23"/>
      <c r="AT1684" s="16"/>
      <c r="AU1684" s="16"/>
      <c r="AV1684" s="16"/>
      <c r="AW1684" s="16"/>
      <c r="AX1684" s="16"/>
      <c r="AY1684" s="16"/>
      <c r="AZ1684" s="16"/>
      <c r="BA1684" s="16"/>
      <c r="BB1684" s="16"/>
      <c r="BC1684" s="16"/>
      <c r="BD1684" s="16"/>
      <c r="BE1684" s="16"/>
      <c r="BF1684" s="16"/>
      <c r="BG1684" s="77"/>
      <c r="BH1684" s="16"/>
      <c r="BI1684" s="16"/>
      <c r="BJ1684" s="16"/>
      <c r="BK1684" s="16"/>
      <c r="BL1684" s="16"/>
      <c r="BM1684" s="16"/>
      <c r="BN1684" s="16"/>
      <c r="BO1684" s="16"/>
      <c r="BP1684" s="16"/>
      <c r="BQ1684" s="16"/>
      <c r="BR1684" s="16"/>
      <c r="BS1684" s="16"/>
      <c r="BT1684" s="77"/>
      <c r="BU1684" s="16"/>
      <c r="BV1684" s="16"/>
      <c r="BW1684" s="16"/>
      <c r="BX1684" s="16"/>
      <c r="BY1684" s="16"/>
      <c r="BZ1684" s="16"/>
      <c r="CA1684" s="16"/>
      <c r="CB1684" s="16"/>
      <c r="CC1684" s="16"/>
      <c r="CD1684" s="77"/>
      <c r="CE1684" s="16"/>
      <c r="CF1684" s="16"/>
      <c r="CG1684" s="16"/>
      <c r="CH1684" s="16"/>
      <c r="CI1684" s="16"/>
      <c r="CJ1684" s="16"/>
      <c r="CK1684" s="16"/>
      <c r="CL1684" s="16"/>
      <c r="CM1684" s="16"/>
      <c r="CN1684" s="16"/>
      <c r="CO1684" s="16"/>
      <c r="CP1684" s="16"/>
      <c r="CQ1684" s="16"/>
      <c r="CR1684" s="16"/>
      <c r="CS1684" s="16"/>
      <c r="CT1684" s="16"/>
      <c r="CU1684" s="16"/>
      <c r="CV1684" s="16"/>
      <c r="CW1684" s="16"/>
      <c r="CX1684" s="16"/>
      <c r="CY1684" s="16"/>
      <c r="CZ1684" s="16"/>
      <c r="DA1684" s="16"/>
      <c r="DB1684" s="16"/>
      <c r="DC1684" s="23"/>
      <c r="DD1684" s="23"/>
      <c r="DE1684" s="23"/>
      <c r="DF1684" s="16" t="e">
        <f>VLOOKUP(K1684,'[3]RNA Seq summary tables'!$V$3:$V$99,1,FALSE)</f>
        <v>#N/A</v>
      </c>
      <c r="DG1684" s="23"/>
      <c r="DH1684" s="23"/>
      <c r="DI1684" s="23"/>
      <c r="DJ1684" s="23"/>
      <c r="DK1684" s="23"/>
      <c r="DL1684" s="23"/>
      <c r="DM1684" s="23"/>
      <c r="DN1684" s="23"/>
      <c r="DO1684" s="23"/>
      <c r="DP1684" s="23"/>
      <c r="DQ1684" s="23"/>
      <c r="DR1684" s="23"/>
      <c r="DS1684" s="23"/>
      <c r="DT1684" s="25"/>
      <c r="DU1684" s="25"/>
      <c r="DV1684" s="25"/>
      <c r="DW1684" s="25"/>
      <c r="DX1684" s="25"/>
      <c r="DY1684" s="25"/>
      <c r="DZ1684" s="25"/>
      <c r="EA1684" s="25"/>
      <c r="EB1684" s="25"/>
      <c r="EC1684" s="25"/>
      <c r="ED1684" s="25"/>
      <c r="EE1684" s="25"/>
      <c r="EF1684" s="25"/>
      <c r="EG1684" s="25"/>
      <c r="EH1684" s="25"/>
      <c r="EI1684" s="25"/>
      <c r="EJ1684" s="25"/>
      <c r="EK1684" s="25"/>
      <c r="EL1684" s="25"/>
      <c r="EM1684" s="25"/>
      <c r="EN1684" s="25"/>
      <c r="EO1684" s="25"/>
      <c r="EP1684" s="25"/>
      <c r="EQ1684" s="25"/>
      <c r="ER1684" s="25"/>
      <c r="ES1684" s="25"/>
      <c r="ET1684" s="25"/>
      <c r="EU1684" s="25"/>
      <c r="EV1684" s="25"/>
      <c r="EW1684" s="25"/>
      <c r="EX1684" s="25"/>
      <c r="EY1684" s="25"/>
      <c r="EZ1684" s="25"/>
      <c r="FA1684" s="25"/>
      <c r="FB1684" s="25"/>
      <c r="FC1684" s="25"/>
      <c r="FD1684" s="25"/>
      <c r="FE1684" s="25"/>
      <c r="FF1684" s="25"/>
      <c r="FG1684" s="25"/>
      <c r="FH1684" s="25"/>
      <c r="FI1684" s="25"/>
      <c r="FJ1684" s="25"/>
      <c r="FK1684" s="25"/>
      <c r="FL1684" s="25"/>
      <c r="FM1684" s="25"/>
      <c r="FN1684" s="25"/>
      <c r="FO1684" s="25"/>
      <c r="FP1684" s="25"/>
      <c r="FQ1684" s="25"/>
      <c r="FR1684" s="25"/>
      <c r="FS1684" s="25"/>
      <c r="FT1684" s="25"/>
      <c r="FU1684" s="25"/>
      <c r="FV1684" s="25"/>
      <c r="FW1684" s="25"/>
      <c r="FX1684" s="25"/>
      <c r="FY1684" s="25"/>
      <c r="FZ1684" s="25"/>
      <c r="GA1684" s="25"/>
      <c r="GB1684" s="25"/>
      <c r="GC1684" s="25"/>
      <c r="GD1684" s="25"/>
      <c r="GE1684" s="25"/>
      <c r="GF1684" s="25"/>
      <c r="GG1684" s="25"/>
      <c r="GH1684" s="25"/>
      <c r="GI1684" s="25"/>
      <c r="GJ1684" s="25"/>
      <c r="GK1684" s="25"/>
      <c r="GL1684" s="25"/>
      <c r="GM1684" s="25"/>
      <c r="GN1684" s="25"/>
      <c r="GO1684" s="25"/>
      <c r="GP1684" s="25"/>
      <c r="GQ1684" s="25"/>
      <c r="GR1684" s="25"/>
      <c r="GS1684" s="25"/>
      <c r="GT1684" s="25"/>
      <c r="GU1684" s="25"/>
      <c r="GV1684" s="25"/>
      <c r="GW1684" s="25"/>
      <c r="GX1684" s="25"/>
      <c r="GY1684" s="25"/>
      <c r="GZ1684" s="25"/>
      <c r="HA1684" s="25"/>
      <c r="HB1684" s="25"/>
      <c r="HC1684" s="25"/>
      <c r="HD1684" s="25"/>
      <c r="HE1684" s="25"/>
      <c r="HF1684" s="25"/>
      <c r="HG1684" s="25"/>
      <c r="HH1684" s="25"/>
      <c r="HI1684" s="25"/>
      <c r="HJ1684" s="25"/>
      <c r="HK1684" s="25"/>
      <c r="HL1684" s="25"/>
      <c r="HM1684" s="25"/>
      <c r="HN1684" s="25"/>
      <c r="HO1684" s="25"/>
      <c r="HP1684" s="25"/>
      <c r="HQ1684" s="25"/>
      <c r="HR1684" s="25"/>
      <c r="HS1684" s="25"/>
      <c r="HT1684" s="25"/>
      <c r="HU1684" s="25"/>
      <c r="HV1684" s="25"/>
      <c r="HW1684" s="25"/>
      <c r="HX1684" s="25"/>
      <c r="HY1684" s="25"/>
      <c r="HZ1684" s="25"/>
      <c r="IA1684" s="25"/>
      <c r="IB1684" s="25"/>
      <c r="IC1684" s="25"/>
      <c r="ID1684" s="25"/>
      <c r="IE1684" s="25"/>
      <c r="IF1684" s="25"/>
      <c r="IG1684" s="25"/>
      <c r="IH1684" s="25"/>
      <c r="II1684" s="25"/>
      <c r="IJ1684" s="25"/>
      <c r="IK1684" s="25"/>
      <c r="IL1684" s="25"/>
      <c r="IM1684" s="25"/>
      <c r="IN1684" s="25"/>
      <c r="IO1684" s="25"/>
      <c r="IP1684" s="25"/>
      <c r="IQ1684" s="25"/>
      <c r="IR1684" s="25"/>
      <c r="IS1684" s="25"/>
      <c r="IT1684" s="25"/>
      <c r="IU1684" s="25"/>
      <c r="IV1684" s="25"/>
      <c r="IW1684" s="25"/>
      <c r="IX1684" s="25"/>
      <c r="IY1684" s="25"/>
      <c r="IZ1684" s="25"/>
      <c r="JA1684" s="25"/>
      <c r="JB1684" s="25"/>
      <c r="JC1684" s="25"/>
      <c r="JD1684" s="25"/>
      <c r="JE1684" s="25"/>
      <c r="JF1684" s="25"/>
      <c r="JG1684" s="25"/>
      <c r="JH1684" s="25"/>
      <c r="JI1684" s="25"/>
      <c r="JJ1684" s="25"/>
      <c r="JK1684" s="25"/>
      <c r="JL1684" s="25"/>
      <c r="JM1684" s="25"/>
      <c r="JN1684" s="25"/>
      <c r="JO1684" s="16"/>
      <c r="JP1684" s="16"/>
      <c r="JQ1684" s="16"/>
      <c r="JR1684" s="16"/>
      <c r="JS1684" s="16"/>
      <c r="JT1684" s="16"/>
      <c r="JU1684" s="16"/>
      <c r="JV1684" s="16"/>
      <c r="JW1684" s="16"/>
      <c r="JX1684" s="16"/>
      <c r="JY1684" s="16"/>
      <c r="JZ1684" s="16"/>
      <c r="KA1684" s="16"/>
      <c r="KB1684" s="16"/>
    </row>
    <row r="1685" spans="1:288" s="27" customFormat="1" x14ac:dyDescent="0.2">
      <c r="A1685" s="18"/>
      <c r="B1685" s="16">
        <v>2016</v>
      </c>
      <c r="C1685" s="43">
        <v>42585</v>
      </c>
      <c r="D1685" s="20" t="str">
        <f>CONCATENATE(J1685,"-",C1685)</f>
        <v>1013-42585</v>
      </c>
      <c r="E1685" s="20" t="str">
        <f>CONCATENATE(T1685,"-",U1685,"-",C1685)</f>
        <v>BC1-C5-42585</v>
      </c>
      <c r="F1685" s="20" t="s">
        <v>106</v>
      </c>
      <c r="G1685" s="43" t="s">
        <v>278</v>
      </c>
      <c r="H1685" s="23"/>
      <c r="I1685" s="23"/>
      <c r="J1685" s="15">
        <v>1013</v>
      </c>
      <c r="K1685" s="15"/>
      <c r="L1685" s="23"/>
      <c r="M1685" s="21"/>
      <c r="N1685" s="21"/>
      <c r="O1685" s="21"/>
      <c r="P1685" s="23"/>
      <c r="Q1685" s="23"/>
      <c r="R1685" s="23"/>
      <c r="S1685" s="23"/>
      <c r="T1685" s="23" t="s">
        <v>159</v>
      </c>
      <c r="U1685" s="23" t="s">
        <v>172</v>
      </c>
      <c r="V1685" s="23"/>
      <c r="W1685" s="23"/>
      <c r="X1685" s="23"/>
      <c r="Y1685" s="23"/>
      <c r="Z1685" s="23"/>
      <c r="AA1685" s="23"/>
      <c r="AB1685" s="23"/>
      <c r="AC1685" s="23"/>
      <c r="AD1685" s="23"/>
      <c r="AE1685" s="23"/>
      <c r="AF1685" s="23"/>
      <c r="AG1685" s="23"/>
      <c r="AH1685" s="23"/>
      <c r="AI1685" s="23"/>
      <c r="AJ1685" s="23"/>
      <c r="AK1685" s="23">
        <v>10.5</v>
      </c>
      <c r="AL1685" s="23"/>
      <c r="AM1685" s="23"/>
      <c r="AN1685" s="23"/>
      <c r="AO1685" s="23"/>
      <c r="AP1685" s="23"/>
      <c r="AQ1685" s="23"/>
      <c r="AR1685" s="23"/>
      <c r="AS1685" s="23"/>
      <c r="AT1685" s="16"/>
      <c r="AU1685" s="16"/>
      <c r="AV1685" s="16"/>
      <c r="AW1685" s="16"/>
      <c r="AX1685" s="16"/>
      <c r="AY1685" s="16"/>
      <c r="AZ1685" s="16"/>
      <c r="BA1685" s="16"/>
      <c r="BB1685" s="16"/>
      <c r="BC1685" s="16"/>
      <c r="BD1685" s="16"/>
      <c r="BE1685" s="16"/>
      <c r="BF1685" s="16"/>
      <c r="BG1685" s="77"/>
      <c r="BH1685" s="16"/>
      <c r="BI1685" s="16"/>
      <c r="BJ1685" s="16"/>
      <c r="BK1685" s="16"/>
      <c r="BL1685" s="16"/>
      <c r="BM1685" s="16"/>
      <c r="BN1685" s="16"/>
      <c r="BO1685" s="16"/>
      <c r="BP1685" s="16"/>
      <c r="BQ1685" s="16"/>
      <c r="BR1685" s="16"/>
      <c r="BS1685" s="16"/>
      <c r="BT1685" s="77"/>
      <c r="BU1685" s="16"/>
      <c r="BV1685" s="16"/>
      <c r="BW1685" s="16"/>
      <c r="BX1685" s="16"/>
      <c r="BY1685" s="16"/>
      <c r="BZ1685" s="16"/>
      <c r="CA1685" s="16"/>
      <c r="CB1685" s="16"/>
      <c r="CC1685" s="16"/>
      <c r="CD1685" s="77"/>
      <c r="CE1685" s="16"/>
      <c r="CF1685" s="16"/>
      <c r="CG1685" s="16"/>
      <c r="CH1685" s="16"/>
      <c r="CI1685" s="16"/>
      <c r="CJ1685" s="16"/>
      <c r="CK1685" s="16"/>
      <c r="CL1685" s="16"/>
      <c r="CM1685" s="16"/>
      <c r="CN1685" s="16"/>
      <c r="CO1685" s="16"/>
      <c r="CP1685" s="16"/>
      <c r="CQ1685" s="16"/>
      <c r="CR1685" s="16"/>
      <c r="CS1685" s="16"/>
      <c r="CT1685" s="16"/>
      <c r="CU1685" s="16"/>
      <c r="CV1685" s="16"/>
      <c r="CW1685" s="16"/>
      <c r="CX1685" s="16"/>
      <c r="CY1685" s="16"/>
      <c r="CZ1685" s="16"/>
      <c r="DA1685" s="16"/>
      <c r="DB1685" s="16"/>
      <c r="DC1685" s="23"/>
      <c r="DD1685" s="23"/>
      <c r="DE1685" s="23"/>
      <c r="DF1685" s="16" t="e">
        <f>VLOOKUP(K1685,'[3]RNA Seq summary tables'!$V$3:$V$99,1,FALSE)</f>
        <v>#N/A</v>
      </c>
      <c r="DG1685" s="23"/>
      <c r="DH1685" s="23"/>
      <c r="DI1685" s="23"/>
      <c r="DJ1685" s="23"/>
      <c r="DK1685" s="23"/>
      <c r="DL1685" s="23"/>
      <c r="DM1685" s="23"/>
      <c r="DN1685" s="23"/>
      <c r="DO1685" s="23"/>
      <c r="DP1685" s="23"/>
      <c r="DQ1685" s="23"/>
      <c r="DR1685" s="23"/>
      <c r="DS1685" s="23"/>
      <c r="DT1685" s="25"/>
      <c r="DU1685" s="25"/>
      <c r="DV1685" s="25"/>
      <c r="DW1685" s="25"/>
      <c r="DX1685" s="25"/>
      <c r="DY1685" s="25"/>
      <c r="DZ1685" s="25"/>
      <c r="EA1685" s="25"/>
      <c r="EB1685" s="25"/>
      <c r="EC1685" s="25"/>
      <c r="ED1685" s="25"/>
      <c r="EE1685" s="25"/>
      <c r="EF1685" s="25"/>
      <c r="EG1685" s="25"/>
      <c r="EH1685" s="25"/>
      <c r="EI1685" s="25"/>
      <c r="EJ1685" s="25"/>
      <c r="EK1685" s="25"/>
      <c r="EL1685" s="25"/>
      <c r="EM1685" s="25"/>
      <c r="EN1685" s="25"/>
      <c r="EO1685" s="25"/>
      <c r="EP1685" s="25"/>
      <c r="EQ1685" s="25"/>
      <c r="ER1685" s="25"/>
      <c r="ES1685" s="25"/>
      <c r="ET1685" s="25"/>
      <c r="EU1685" s="25"/>
      <c r="EV1685" s="25"/>
      <c r="EW1685" s="25"/>
      <c r="EX1685" s="25"/>
      <c r="EY1685" s="25"/>
      <c r="EZ1685" s="25"/>
      <c r="FA1685" s="25"/>
      <c r="FB1685" s="25"/>
      <c r="FC1685" s="25"/>
      <c r="FD1685" s="25"/>
      <c r="FE1685" s="25"/>
      <c r="FF1685" s="25"/>
      <c r="FG1685" s="25"/>
      <c r="FH1685" s="25"/>
      <c r="FI1685" s="25"/>
      <c r="FJ1685" s="25"/>
      <c r="FK1685" s="25"/>
      <c r="FL1685" s="25"/>
      <c r="FM1685" s="25"/>
      <c r="FN1685" s="25"/>
      <c r="FO1685" s="25"/>
      <c r="FP1685" s="25"/>
      <c r="FQ1685" s="25"/>
      <c r="FR1685" s="25"/>
      <c r="FS1685" s="25"/>
      <c r="FT1685" s="25"/>
      <c r="FU1685" s="25"/>
      <c r="FV1685" s="25"/>
      <c r="FW1685" s="25"/>
      <c r="FX1685" s="25"/>
      <c r="FY1685" s="25"/>
      <c r="FZ1685" s="25"/>
      <c r="GA1685" s="25"/>
      <c r="GB1685" s="25"/>
      <c r="GC1685" s="25"/>
      <c r="GD1685" s="25"/>
      <c r="GE1685" s="25"/>
      <c r="GF1685" s="25"/>
      <c r="GG1685" s="25"/>
      <c r="GH1685" s="25"/>
      <c r="GI1685" s="25"/>
      <c r="GJ1685" s="25"/>
      <c r="GK1685" s="25"/>
      <c r="GL1685" s="25"/>
      <c r="GM1685" s="25"/>
      <c r="GN1685" s="25"/>
      <c r="GO1685" s="25"/>
      <c r="GP1685" s="25"/>
      <c r="GQ1685" s="25"/>
      <c r="GR1685" s="25"/>
      <c r="GS1685" s="25"/>
      <c r="GT1685" s="25"/>
      <c r="GU1685" s="25"/>
      <c r="GV1685" s="25"/>
      <c r="GW1685" s="25"/>
      <c r="GX1685" s="25"/>
      <c r="GY1685" s="25"/>
      <c r="GZ1685" s="25"/>
      <c r="HA1685" s="25"/>
      <c r="HB1685" s="25"/>
      <c r="HC1685" s="25"/>
      <c r="HD1685" s="25"/>
      <c r="HE1685" s="25"/>
      <c r="HF1685" s="25"/>
      <c r="HG1685" s="25"/>
      <c r="HH1685" s="25"/>
      <c r="HI1685" s="25"/>
      <c r="HJ1685" s="25"/>
      <c r="HK1685" s="25"/>
      <c r="HL1685" s="25"/>
      <c r="HM1685" s="25"/>
      <c r="HN1685" s="25"/>
      <c r="HO1685" s="25"/>
      <c r="HP1685" s="25"/>
      <c r="HQ1685" s="25"/>
      <c r="HR1685" s="25"/>
      <c r="HS1685" s="25"/>
      <c r="HT1685" s="25"/>
      <c r="HU1685" s="25"/>
      <c r="HV1685" s="25"/>
      <c r="HW1685" s="25"/>
      <c r="HX1685" s="25"/>
      <c r="HY1685" s="25"/>
      <c r="HZ1685" s="25"/>
      <c r="IA1685" s="25"/>
      <c r="IB1685" s="25"/>
      <c r="IC1685" s="25"/>
      <c r="ID1685" s="25"/>
      <c r="IE1685" s="25"/>
      <c r="IF1685" s="25"/>
      <c r="IG1685" s="25"/>
      <c r="IH1685" s="25"/>
      <c r="II1685" s="25"/>
      <c r="IJ1685" s="25"/>
      <c r="IK1685" s="25"/>
      <c r="IL1685" s="25"/>
      <c r="IM1685" s="25"/>
      <c r="IN1685" s="25"/>
      <c r="IO1685" s="25"/>
      <c r="IP1685" s="25"/>
      <c r="IQ1685" s="25"/>
      <c r="IR1685" s="25"/>
      <c r="IS1685" s="25"/>
      <c r="IT1685" s="25"/>
      <c r="IU1685" s="25"/>
      <c r="IV1685" s="25"/>
      <c r="IW1685" s="25"/>
      <c r="IX1685" s="25"/>
      <c r="IY1685" s="25"/>
      <c r="IZ1685" s="25"/>
      <c r="JA1685" s="25"/>
      <c r="JB1685" s="25"/>
      <c r="JC1685" s="25"/>
      <c r="JD1685" s="25"/>
      <c r="JE1685" s="25"/>
      <c r="JF1685" s="25"/>
      <c r="JG1685" s="25"/>
      <c r="JH1685" s="25"/>
      <c r="JI1685" s="25"/>
      <c r="JJ1685" s="25"/>
      <c r="JK1685" s="25"/>
      <c r="JL1685" s="25"/>
      <c r="JM1685" s="25"/>
      <c r="JN1685" s="25"/>
      <c r="JO1685" s="28"/>
      <c r="JP1685" s="23"/>
      <c r="JQ1685" s="23"/>
      <c r="JR1685" s="16"/>
      <c r="JS1685" s="16"/>
      <c r="JT1685" s="16"/>
      <c r="JU1685" s="16"/>
      <c r="JV1685" s="16"/>
      <c r="JW1685" s="16"/>
      <c r="JX1685" s="16"/>
      <c r="JY1685" s="16"/>
      <c r="JZ1685" s="16"/>
      <c r="KA1685" s="16"/>
      <c r="KB1685" s="16"/>
    </row>
    <row r="1686" spans="1:288" s="27" customFormat="1" x14ac:dyDescent="0.2">
      <c r="A1686" s="18"/>
      <c r="B1686" s="18">
        <v>2016</v>
      </c>
      <c r="C1686" s="65">
        <v>42597</v>
      </c>
      <c r="D1686" s="65" t="str">
        <f>CONCATENATE(J1686,"-",C1686)</f>
        <v>1017-42597</v>
      </c>
      <c r="E1686" s="20" t="str">
        <f>CONCATENATE(T1686,"-",U1686,"-",C1686)</f>
        <v>BC1-G3-42597</v>
      </c>
      <c r="F1686" s="20" t="s">
        <v>227</v>
      </c>
      <c r="G1686" s="65" t="s">
        <v>278</v>
      </c>
      <c r="H1686" s="25" t="s">
        <v>281</v>
      </c>
      <c r="I1686" s="25"/>
      <c r="J1686" s="42">
        <v>1017</v>
      </c>
      <c r="K1686" s="42"/>
      <c r="L1686" s="53"/>
      <c r="M1686" s="36"/>
      <c r="N1686" s="36"/>
      <c r="O1686" s="36"/>
      <c r="P1686" s="25"/>
      <c r="Q1686" s="25"/>
      <c r="R1686" s="25"/>
      <c r="S1686" s="25"/>
      <c r="T1686" s="25" t="s">
        <v>159</v>
      </c>
      <c r="U1686" s="25" t="s">
        <v>179</v>
      </c>
      <c r="V1686" s="25" t="s">
        <v>114</v>
      </c>
      <c r="W1686" s="23">
        <f>AI1686/AG1686</f>
        <v>0.79710144927536231</v>
      </c>
      <c r="X1686" s="25" t="s">
        <v>115</v>
      </c>
      <c r="Y1686" s="25" t="s">
        <v>145</v>
      </c>
      <c r="Z1686" s="25">
        <v>1</v>
      </c>
      <c r="AA1686" s="25"/>
      <c r="AB1686" s="25"/>
      <c r="AC1686" s="25"/>
      <c r="AD1686" s="25"/>
      <c r="AE1686" s="25" t="s">
        <v>123</v>
      </c>
      <c r="AF1686" s="25" t="s">
        <v>123</v>
      </c>
      <c r="AG1686" s="25">
        <f>AH1686-AI1686</f>
        <v>69</v>
      </c>
      <c r="AH1686" s="25">
        <v>124</v>
      </c>
      <c r="AI1686" s="25">
        <v>55</v>
      </c>
      <c r="AJ1686" s="25"/>
      <c r="AK1686" s="25">
        <v>12</v>
      </c>
      <c r="AL1686" s="25">
        <v>0</v>
      </c>
      <c r="AM1686" s="25">
        <v>0</v>
      </c>
      <c r="AN1686" s="25">
        <v>0</v>
      </c>
      <c r="AO1686" s="25">
        <f>IF(SUM(AL1686:AN1686)&gt;0,1,0)</f>
        <v>0</v>
      </c>
      <c r="AP1686" s="25">
        <f>SUM(AL1686:AN1686)</f>
        <v>0</v>
      </c>
      <c r="AQ1686" s="25"/>
      <c r="AR1686" s="25">
        <v>0.121</v>
      </c>
      <c r="AS1686" s="25">
        <v>0.121</v>
      </c>
      <c r="AT1686" s="18" t="s">
        <v>212</v>
      </c>
      <c r="AU1686" s="18"/>
      <c r="AV1686" s="18"/>
      <c r="AW1686" s="24">
        <v>1</v>
      </c>
      <c r="AX1686" s="24">
        <v>3</v>
      </c>
      <c r="AY1686" s="24">
        <f>(138+2198+23)/0.121</f>
        <v>19495.867768595042</v>
      </c>
      <c r="AZ1686" s="18">
        <v>1</v>
      </c>
      <c r="BA1686" s="24">
        <v>3</v>
      </c>
      <c r="BB1686" s="24">
        <f>(138+2198+23)/0.121</f>
        <v>19495.867768595042</v>
      </c>
      <c r="BC1686" s="18">
        <v>1</v>
      </c>
      <c r="BD1686" s="24">
        <v>138</v>
      </c>
      <c r="BE1686" s="24">
        <f>138/0.121</f>
        <v>1140.495867768595</v>
      </c>
      <c r="BF1686" s="18">
        <v>1</v>
      </c>
      <c r="BG1686" s="92">
        <v>2198</v>
      </c>
      <c r="BH1686" s="24">
        <f>2198/0.121</f>
        <v>18165.289256198346</v>
      </c>
      <c r="BI1686" s="18">
        <v>1</v>
      </c>
      <c r="BJ1686" s="24">
        <v>23</v>
      </c>
      <c r="BK1686" s="24">
        <f>23/0.121</f>
        <v>190.08264462809919</v>
      </c>
      <c r="BL1686" s="18">
        <f>IF(BM1686&gt;0,1,0)</f>
        <v>0</v>
      </c>
      <c r="BM1686" s="18">
        <f>SUM(BR1686,BU1686,BX1686,CA1686,CD1686,CG1686,CJ1686,CM1686,CP1686)</f>
        <v>0</v>
      </c>
      <c r="BN1686" s="18">
        <f>SUM(BW1686,BZ1686,CC1686,CF1686,CI1686,CL1686,CO1686,CR1686,BT1686)</f>
        <v>0</v>
      </c>
      <c r="BO1686" s="18"/>
      <c r="BP1686" s="18"/>
      <c r="BQ1686" s="18"/>
      <c r="BR1686" s="18">
        <v>0</v>
      </c>
      <c r="BS1686" s="24">
        <v>0</v>
      </c>
      <c r="BT1686" s="78">
        <f>BS1686/AS1686</f>
        <v>0</v>
      </c>
      <c r="BU1686" s="18">
        <v>0</v>
      </c>
      <c r="BV1686" s="24">
        <v>0</v>
      </c>
      <c r="BW1686" s="18">
        <f>BV1686/AS1686</f>
        <v>0</v>
      </c>
      <c r="BX1686" s="18">
        <v>0</v>
      </c>
      <c r="BY1686" s="24">
        <v>0</v>
      </c>
      <c r="BZ1686" s="18">
        <f>BY1686/AS1686</f>
        <v>0</v>
      </c>
      <c r="CA1686" s="24">
        <v>0</v>
      </c>
      <c r="CB1686" s="24">
        <v>0</v>
      </c>
      <c r="CC1686" s="24">
        <v>0</v>
      </c>
      <c r="CD1686" s="78">
        <v>0</v>
      </c>
      <c r="CE1686" s="24">
        <v>0</v>
      </c>
      <c r="CF1686" s="24">
        <v>0</v>
      </c>
      <c r="CG1686" s="24"/>
      <c r="CH1686" s="24"/>
      <c r="CI1686" s="24"/>
      <c r="CJ1686" s="24"/>
      <c r="CK1686" s="24"/>
      <c r="CL1686" s="24"/>
      <c r="CM1686" s="24"/>
      <c r="CN1686" s="24"/>
      <c r="CO1686" s="24"/>
      <c r="CP1686" s="24" t="s">
        <v>123</v>
      </c>
      <c r="CQ1686" s="24">
        <v>0</v>
      </c>
      <c r="CR1686" s="24">
        <v>0</v>
      </c>
      <c r="CS1686" s="18">
        <f>IF(CT1686&gt;0,1,0)</f>
        <v>0</v>
      </c>
      <c r="CT1686" s="25">
        <f>SUM(CW1686,CZ1686,DC1686)</f>
        <v>0</v>
      </c>
      <c r="CU1686" s="25"/>
      <c r="CV1686" s="24">
        <v>0</v>
      </c>
      <c r="CW1686" s="25">
        <v>0</v>
      </c>
      <c r="CX1686" s="24">
        <v>0</v>
      </c>
      <c r="CY1686" s="24">
        <v>0</v>
      </c>
      <c r="CZ1686" s="18">
        <v>0</v>
      </c>
      <c r="DA1686" s="24">
        <v>0</v>
      </c>
      <c r="DB1686" s="24">
        <v>0</v>
      </c>
      <c r="DC1686" s="25">
        <v>0</v>
      </c>
      <c r="DD1686" s="53">
        <v>0</v>
      </c>
      <c r="DE1686" s="53">
        <v>0</v>
      </c>
      <c r="DF1686" s="16" t="e">
        <f>VLOOKUP(K1686,'[3]RNA Seq summary tables'!$V$3:$V$99,1,FALSE)</f>
        <v>#N/A</v>
      </c>
      <c r="DG1686" s="23">
        <v>1</v>
      </c>
      <c r="DH1686" s="23" t="str">
        <f>VLOOKUP(D1686,'[8]Data with duplicates'!$B$1:$J$70,9,FALSE)</f>
        <v>sample.15</v>
      </c>
      <c r="DI1686" s="25"/>
      <c r="DJ1686" s="25"/>
      <c r="DK1686" s="25"/>
      <c r="DL1686" s="25"/>
      <c r="DM1686" s="25"/>
      <c r="DN1686" s="25"/>
      <c r="DO1686" s="25"/>
      <c r="DP1686" s="25"/>
      <c r="DQ1686" s="25"/>
      <c r="DR1686" s="25"/>
      <c r="DS1686" s="25"/>
      <c r="DT1686" s="25"/>
      <c r="DU1686" s="25"/>
      <c r="DV1686" s="25"/>
      <c r="DW1686" s="25"/>
      <c r="DX1686" s="25"/>
      <c r="DY1686" s="25"/>
      <c r="DZ1686" s="25"/>
      <c r="EA1686" s="25"/>
      <c r="EB1686" s="25"/>
      <c r="EC1686" s="25"/>
      <c r="ED1686" s="25"/>
      <c r="EE1686" s="25"/>
      <c r="EF1686" s="25"/>
      <c r="EG1686" s="25"/>
      <c r="EH1686" s="25"/>
      <c r="EI1686" s="25"/>
      <c r="EJ1686" s="25"/>
      <c r="EK1686" s="25"/>
      <c r="EL1686" s="25"/>
      <c r="EM1686" s="25"/>
      <c r="EN1686" s="25"/>
      <c r="EO1686" s="25"/>
      <c r="EP1686" s="25"/>
      <c r="EQ1686" s="25"/>
      <c r="ER1686" s="25"/>
      <c r="ES1686" s="25"/>
      <c r="ET1686" s="25"/>
      <c r="EU1686" s="25"/>
      <c r="EV1686" s="25"/>
      <c r="EW1686" s="25"/>
      <c r="EX1686" s="25"/>
      <c r="EY1686" s="25"/>
      <c r="EZ1686" s="25"/>
      <c r="FA1686" s="25"/>
      <c r="FB1686" s="25"/>
      <c r="FC1686" s="25"/>
      <c r="FD1686" s="25"/>
      <c r="FE1686" s="25"/>
      <c r="FF1686" s="25"/>
      <c r="FG1686" s="25"/>
      <c r="FH1686" s="25"/>
      <c r="FI1686" s="25"/>
      <c r="FJ1686" s="25"/>
      <c r="FK1686" s="25"/>
      <c r="FL1686" s="25"/>
      <c r="FM1686" s="25"/>
      <c r="FN1686" s="25"/>
      <c r="FO1686" s="25"/>
      <c r="FP1686" s="25"/>
      <c r="FQ1686" s="25"/>
      <c r="FR1686" s="25"/>
      <c r="FS1686" s="25"/>
      <c r="FT1686" s="25"/>
      <c r="FU1686" s="25"/>
      <c r="FV1686" s="25"/>
      <c r="FW1686" s="25"/>
      <c r="FX1686" s="25"/>
      <c r="FY1686" s="25"/>
      <c r="FZ1686" s="25"/>
      <c r="GA1686" s="25"/>
      <c r="GB1686" s="25"/>
      <c r="GC1686" s="25"/>
      <c r="GD1686" s="25"/>
      <c r="GE1686" s="25"/>
      <c r="GF1686" s="25"/>
      <c r="GG1686" s="25"/>
      <c r="GH1686" s="25"/>
      <c r="GI1686" s="25"/>
      <c r="GJ1686" s="25"/>
      <c r="GK1686" s="25"/>
      <c r="GL1686" s="25"/>
      <c r="GM1686" s="25"/>
      <c r="GN1686" s="25"/>
      <c r="GO1686" s="25"/>
      <c r="GP1686" s="25"/>
      <c r="GQ1686" s="25"/>
      <c r="GR1686" s="25"/>
      <c r="GS1686" s="25"/>
      <c r="GT1686" s="25"/>
      <c r="GU1686" s="25"/>
      <c r="GV1686" s="25"/>
      <c r="GW1686" s="25"/>
      <c r="GX1686" s="25"/>
      <c r="GY1686" s="25"/>
      <c r="GZ1686" s="25"/>
      <c r="HA1686" s="25"/>
      <c r="HB1686" s="25"/>
      <c r="HC1686" s="25"/>
      <c r="HD1686" s="25"/>
      <c r="HE1686" s="25"/>
      <c r="HF1686" s="25"/>
      <c r="HG1686" s="25"/>
      <c r="HH1686" s="25"/>
      <c r="HI1686" s="25"/>
      <c r="HJ1686" s="25"/>
      <c r="HK1686" s="25"/>
      <c r="HL1686" s="25"/>
      <c r="HM1686" s="25"/>
      <c r="HN1686" s="25"/>
      <c r="HO1686" s="25"/>
      <c r="HP1686" s="25"/>
      <c r="HQ1686" s="25"/>
      <c r="HR1686" s="25"/>
      <c r="HS1686" s="25"/>
      <c r="HT1686" s="25"/>
      <c r="HU1686" s="25"/>
      <c r="HV1686" s="25"/>
      <c r="HW1686" s="25"/>
      <c r="HX1686" s="25"/>
      <c r="HY1686" s="25"/>
      <c r="HZ1686" s="25"/>
      <c r="IA1686" s="25"/>
      <c r="IB1686" s="25"/>
      <c r="IC1686" s="25"/>
      <c r="ID1686" s="25"/>
      <c r="IE1686" s="25"/>
      <c r="IF1686" s="25"/>
      <c r="IG1686" s="25"/>
      <c r="IH1686" s="25"/>
      <c r="II1686" s="25"/>
      <c r="IJ1686" s="25"/>
      <c r="IK1686" s="25"/>
      <c r="IL1686" s="25"/>
      <c r="IM1686" s="25"/>
      <c r="IN1686" s="25"/>
      <c r="IO1686" s="25"/>
      <c r="IP1686" s="25"/>
      <c r="IQ1686" s="25"/>
      <c r="IR1686" s="25"/>
      <c r="IS1686" s="25"/>
      <c r="IT1686" s="25"/>
      <c r="IU1686" s="25"/>
      <c r="IV1686" s="25"/>
      <c r="IW1686" s="25"/>
      <c r="IX1686" s="25"/>
      <c r="IY1686" s="25"/>
      <c r="IZ1686" s="25"/>
      <c r="JA1686" s="25"/>
      <c r="JB1686" s="25"/>
      <c r="JC1686" s="25"/>
      <c r="JD1686" s="25"/>
      <c r="JE1686" s="25"/>
      <c r="JF1686" s="25"/>
      <c r="JG1686" s="25"/>
      <c r="JH1686" s="25"/>
      <c r="JI1686" s="25"/>
      <c r="JJ1686" s="25"/>
      <c r="JK1686" s="25"/>
      <c r="JL1686" s="25"/>
      <c r="JM1686" s="25"/>
      <c r="JN1686" s="25"/>
      <c r="JO1686" s="23"/>
      <c r="JP1686" s="16"/>
      <c r="JQ1686" s="16"/>
      <c r="JR1686" s="16"/>
      <c r="JS1686" s="16"/>
      <c r="JT1686" s="16"/>
      <c r="JU1686" s="16"/>
      <c r="JV1686" s="16"/>
      <c r="JW1686" s="16"/>
      <c r="JX1686" s="16"/>
      <c r="JY1686" s="16"/>
      <c r="JZ1686" s="16"/>
      <c r="KA1686" s="16"/>
      <c r="KB1686" s="16"/>
    </row>
    <row r="1687" spans="1:288" s="27" customFormat="1" x14ac:dyDescent="0.2">
      <c r="A1687" s="18"/>
      <c r="B1687" s="16">
        <v>2016</v>
      </c>
      <c r="C1687" s="20">
        <v>42599</v>
      </c>
      <c r="D1687" s="20" t="str">
        <f>CONCATENATE(J1687,"-",C1687)</f>
        <v>1017-42599</v>
      </c>
      <c r="E1687" s="20" t="str">
        <f>CONCATENATE(T1687,"-",U1687,"-",C1687)</f>
        <v>BC1-G1-42599</v>
      </c>
      <c r="F1687" s="20" t="s">
        <v>227</v>
      </c>
      <c r="G1687" s="20" t="s">
        <v>278</v>
      </c>
      <c r="H1687" s="16"/>
      <c r="I1687" s="16"/>
      <c r="J1687" s="21">
        <v>1017</v>
      </c>
      <c r="K1687" s="21"/>
      <c r="L1687" s="16"/>
      <c r="M1687" s="21"/>
      <c r="N1687" s="21"/>
      <c r="O1687" s="21"/>
      <c r="P1687" s="16"/>
      <c r="Q1687" s="16"/>
      <c r="R1687" s="16"/>
      <c r="S1687" s="16"/>
      <c r="T1687" s="16" t="s">
        <v>159</v>
      </c>
      <c r="U1687" s="16" t="s">
        <v>155</v>
      </c>
      <c r="V1687" s="16" t="s">
        <v>114</v>
      </c>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77"/>
      <c r="BH1687" s="16"/>
      <c r="BI1687" s="16"/>
      <c r="BJ1687" s="16"/>
      <c r="BK1687" s="16"/>
      <c r="BL1687" s="16"/>
      <c r="BM1687" s="16"/>
      <c r="BN1687" s="16"/>
      <c r="BO1687" s="16"/>
      <c r="BP1687" s="16"/>
      <c r="BQ1687" s="16"/>
      <c r="BR1687" s="16"/>
      <c r="BS1687" s="16"/>
      <c r="BT1687" s="77"/>
      <c r="BU1687" s="16"/>
      <c r="BV1687" s="16"/>
      <c r="BW1687" s="16"/>
      <c r="BX1687" s="16"/>
      <c r="BY1687" s="16"/>
      <c r="BZ1687" s="16"/>
      <c r="CA1687" s="16"/>
      <c r="CB1687" s="16"/>
      <c r="CC1687" s="16"/>
      <c r="CD1687" s="77"/>
      <c r="CE1687" s="16"/>
      <c r="CF1687" s="16"/>
      <c r="CG1687" s="16"/>
      <c r="CH1687" s="16"/>
      <c r="CI1687" s="16"/>
      <c r="CJ1687" s="16"/>
      <c r="CK1687" s="16"/>
      <c r="CL1687" s="16"/>
      <c r="CM1687" s="16"/>
      <c r="CN1687" s="16"/>
      <c r="CO1687" s="16"/>
      <c r="CP1687" s="16"/>
      <c r="CQ1687" s="16"/>
      <c r="CR1687" s="16"/>
      <c r="CS1687" s="16"/>
      <c r="CT1687" s="16"/>
      <c r="CU1687" s="16"/>
      <c r="CV1687" s="16"/>
      <c r="CW1687" s="16"/>
      <c r="CX1687" s="16"/>
      <c r="CY1687" s="16"/>
      <c r="CZ1687" s="16"/>
      <c r="DA1687" s="16"/>
      <c r="DB1687" s="16"/>
      <c r="DC1687" s="16"/>
      <c r="DD1687" s="16"/>
      <c r="DE1687" s="16"/>
      <c r="DF1687" s="16" t="e">
        <f>VLOOKUP(K1687,'[3]RNA Seq summary tables'!$V$3:$V$99,1,FALSE)</f>
        <v>#N/A</v>
      </c>
      <c r="DG1687" s="16"/>
      <c r="DH1687" s="16"/>
      <c r="DI1687" s="16"/>
      <c r="DJ1687" s="16"/>
      <c r="DK1687" s="16"/>
      <c r="DL1687" s="16"/>
      <c r="DM1687" s="16"/>
      <c r="DN1687" s="16"/>
      <c r="DO1687" s="16"/>
      <c r="DP1687" s="16"/>
      <c r="DQ1687" s="16"/>
      <c r="DR1687" s="16"/>
      <c r="DS1687" s="16"/>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18"/>
      <c r="EQ1687" s="18"/>
      <c r="ER1687" s="18"/>
      <c r="ES1687" s="18"/>
      <c r="ET1687" s="18"/>
      <c r="EU1687" s="18"/>
      <c r="EV1687" s="18"/>
      <c r="EW1687" s="18"/>
      <c r="EX1687" s="18"/>
      <c r="EY1687" s="18"/>
      <c r="EZ1687" s="18"/>
      <c r="FA1687" s="18"/>
      <c r="FB1687" s="18"/>
      <c r="FC1687" s="18"/>
      <c r="FD1687" s="18"/>
      <c r="FE1687" s="18"/>
      <c r="FF1687" s="18"/>
      <c r="FG1687" s="18"/>
      <c r="FH1687" s="18"/>
      <c r="FI1687" s="18"/>
      <c r="FJ1687" s="18"/>
      <c r="FK1687" s="18"/>
      <c r="FL1687" s="18"/>
      <c r="FM1687" s="18"/>
      <c r="FN1687" s="18"/>
      <c r="FO1687" s="18"/>
      <c r="FP1687" s="18"/>
      <c r="FQ1687" s="18"/>
      <c r="FR1687" s="18"/>
      <c r="FS1687" s="18"/>
      <c r="FT1687" s="18"/>
      <c r="FU1687" s="18"/>
      <c r="FV1687" s="18"/>
      <c r="FW1687" s="18"/>
      <c r="FX1687" s="18"/>
      <c r="FY1687" s="18"/>
      <c r="FZ1687" s="18"/>
      <c r="GA1687" s="18"/>
      <c r="GB1687" s="18"/>
      <c r="GC1687" s="18"/>
      <c r="GD1687" s="18"/>
      <c r="GE1687" s="18"/>
      <c r="GF1687" s="18"/>
      <c r="GG1687" s="18"/>
      <c r="GH1687" s="18"/>
      <c r="GI1687" s="18"/>
      <c r="GJ1687" s="18"/>
      <c r="GK1687" s="18"/>
      <c r="GL1687" s="18"/>
      <c r="GM1687" s="18"/>
      <c r="GN1687" s="18"/>
      <c r="GO1687" s="18"/>
      <c r="GP1687" s="18"/>
      <c r="GQ1687" s="18"/>
      <c r="GR1687" s="18"/>
      <c r="GS1687" s="18"/>
      <c r="GT1687" s="18"/>
      <c r="GU1687" s="18"/>
      <c r="GV1687" s="18"/>
      <c r="GW1687" s="18"/>
      <c r="GX1687" s="18"/>
      <c r="GY1687" s="18"/>
      <c r="GZ1687" s="18"/>
      <c r="HA1687" s="18"/>
      <c r="HB1687" s="18"/>
      <c r="HC1687" s="18"/>
      <c r="HD1687" s="18"/>
      <c r="HE1687" s="18"/>
      <c r="HF1687" s="18"/>
      <c r="HG1687" s="18"/>
      <c r="HH1687" s="18"/>
      <c r="HI1687" s="18"/>
      <c r="HJ1687" s="18"/>
      <c r="HK1687" s="18"/>
      <c r="HL1687" s="18"/>
      <c r="HM1687" s="18"/>
      <c r="HN1687" s="18"/>
      <c r="HO1687" s="18"/>
      <c r="HP1687" s="18"/>
      <c r="HQ1687" s="18"/>
      <c r="HR1687" s="18"/>
      <c r="HS1687" s="18"/>
      <c r="HT1687" s="18"/>
      <c r="HU1687" s="18"/>
      <c r="HV1687" s="18"/>
      <c r="HW1687" s="18"/>
      <c r="HX1687" s="18"/>
      <c r="HY1687" s="18"/>
      <c r="HZ1687" s="18"/>
      <c r="IA1687" s="18"/>
      <c r="IB1687" s="18"/>
      <c r="IC1687" s="18"/>
      <c r="ID1687" s="18"/>
      <c r="IE1687" s="18"/>
      <c r="IF1687" s="18"/>
      <c r="IG1687" s="18"/>
      <c r="IH1687" s="18"/>
      <c r="II1687" s="18"/>
      <c r="IJ1687" s="18"/>
      <c r="IK1687" s="18"/>
      <c r="IL1687" s="18"/>
      <c r="IM1687" s="18"/>
      <c r="IN1687" s="18"/>
      <c r="IO1687" s="18"/>
      <c r="IP1687" s="18"/>
      <c r="IQ1687" s="18"/>
      <c r="IR1687" s="18"/>
      <c r="IS1687" s="18"/>
      <c r="IT1687" s="18"/>
      <c r="IU1687" s="18"/>
      <c r="IV1687" s="18"/>
      <c r="IW1687" s="18"/>
      <c r="IX1687" s="18"/>
      <c r="IY1687" s="18"/>
      <c r="IZ1687" s="18"/>
      <c r="JA1687" s="18"/>
      <c r="JB1687" s="18"/>
      <c r="JC1687" s="18"/>
      <c r="JD1687" s="18"/>
      <c r="JE1687" s="18"/>
      <c r="JF1687" s="18"/>
      <c r="JG1687" s="18"/>
      <c r="JH1687" s="18"/>
      <c r="JI1687" s="18"/>
      <c r="JJ1687" s="18"/>
      <c r="JK1687" s="18"/>
      <c r="JL1687" s="18"/>
      <c r="JM1687" s="18"/>
      <c r="JN1687" s="18"/>
      <c r="JO1687" s="16"/>
      <c r="JP1687" s="16"/>
      <c r="JQ1687" s="16"/>
      <c r="JR1687" s="16"/>
      <c r="JS1687" s="16"/>
      <c r="JT1687" s="16"/>
      <c r="JU1687" s="16"/>
      <c r="JV1687" s="16"/>
      <c r="JW1687" s="16"/>
      <c r="JX1687" s="16"/>
      <c r="JY1687" s="16"/>
      <c r="JZ1687" s="16"/>
      <c r="KA1687" s="16"/>
      <c r="KB1687" s="16"/>
    </row>
    <row r="1688" spans="1:288" s="27" customFormat="1" x14ac:dyDescent="0.2">
      <c r="A1688" s="18"/>
      <c r="B1688" s="16">
        <v>2016</v>
      </c>
      <c r="C1688" s="20">
        <v>42611</v>
      </c>
      <c r="D1688" s="20" t="str">
        <f>CONCATENATE(J1688,"-",C1688)</f>
        <v>1018-42611</v>
      </c>
      <c r="E1688" s="20" t="str">
        <f>CONCATENATE(T1688,"-",U1688,"-",C1688)</f>
        <v>BC2-H8-42611</v>
      </c>
      <c r="F1688" s="20" t="s">
        <v>227</v>
      </c>
      <c r="G1688" s="20" t="s">
        <v>278</v>
      </c>
      <c r="H1688" s="16"/>
      <c r="I1688" s="16"/>
      <c r="J1688" s="21">
        <v>1018</v>
      </c>
      <c r="K1688" s="21"/>
      <c r="L1688" s="16"/>
      <c r="M1688" s="21"/>
      <c r="N1688" s="21"/>
      <c r="O1688" s="21"/>
      <c r="P1688" s="16"/>
      <c r="Q1688" s="16"/>
      <c r="R1688" s="16"/>
      <c r="S1688" s="16"/>
      <c r="T1688" s="16" t="s">
        <v>154</v>
      </c>
      <c r="U1688" s="16" t="s">
        <v>152</v>
      </c>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77"/>
      <c r="BH1688" s="16"/>
      <c r="BI1688" s="16"/>
      <c r="BJ1688" s="16"/>
      <c r="BK1688" s="16"/>
      <c r="BL1688" s="16"/>
      <c r="BM1688" s="16"/>
      <c r="BN1688" s="16"/>
      <c r="BO1688" s="16"/>
      <c r="BP1688" s="16"/>
      <c r="BQ1688" s="16"/>
      <c r="BR1688" s="16"/>
      <c r="BS1688" s="16"/>
      <c r="BT1688" s="77"/>
      <c r="BU1688" s="16"/>
      <c r="BV1688" s="16"/>
      <c r="BW1688" s="16"/>
      <c r="BX1688" s="16"/>
      <c r="BY1688" s="16"/>
      <c r="BZ1688" s="16"/>
      <c r="CA1688" s="16"/>
      <c r="CB1688" s="16"/>
      <c r="CC1688" s="16"/>
      <c r="CD1688" s="77"/>
      <c r="CE1688" s="16"/>
      <c r="CF1688" s="16"/>
      <c r="CG1688" s="16"/>
      <c r="CH1688" s="16"/>
      <c r="CI1688" s="16"/>
      <c r="CJ1688" s="16"/>
      <c r="CK1688" s="16"/>
      <c r="CL1688" s="16"/>
      <c r="CM1688" s="16"/>
      <c r="CN1688" s="16"/>
      <c r="CO1688" s="16"/>
      <c r="CP1688" s="16"/>
      <c r="CQ1688" s="16"/>
      <c r="CR1688" s="16"/>
      <c r="CS1688" s="16"/>
      <c r="CT1688" s="16"/>
      <c r="CU1688" s="16"/>
      <c r="CV1688" s="16"/>
      <c r="CW1688" s="16"/>
      <c r="CX1688" s="16"/>
      <c r="CY1688" s="16"/>
      <c r="CZ1688" s="16"/>
      <c r="DA1688" s="16"/>
      <c r="DB1688" s="16"/>
      <c r="DC1688" s="16"/>
      <c r="DD1688" s="16"/>
      <c r="DE1688" s="16"/>
      <c r="DF1688" s="16" t="e">
        <f>VLOOKUP(K1688,'[3]RNA Seq summary tables'!$V$3:$V$99,1,FALSE)</f>
        <v>#N/A</v>
      </c>
      <c r="DG1688" s="16"/>
      <c r="DH1688" s="16"/>
      <c r="DI1688" s="16"/>
      <c r="DJ1688" s="16"/>
      <c r="DK1688" s="16"/>
      <c r="DL1688" s="16"/>
      <c r="DM1688" s="16"/>
      <c r="DN1688" s="16"/>
      <c r="DO1688" s="16"/>
      <c r="DP1688" s="16"/>
      <c r="DQ1688" s="16"/>
      <c r="DR1688" s="16"/>
      <c r="DS1688" s="16"/>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18"/>
      <c r="EQ1688" s="18"/>
      <c r="ER1688" s="18"/>
      <c r="ES1688" s="18"/>
      <c r="ET1688" s="18"/>
      <c r="EU1688" s="18"/>
      <c r="EV1688" s="18"/>
      <c r="EW1688" s="18"/>
      <c r="EX1688" s="18"/>
      <c r="EY1688" s="18"/>
      <c r="EZ1688" s="18"/>
      <c r="FA1688" s="18"/>
      <c r="FB1688" s="18"/>
      <c r="FC1688" s="18"/>
      <c r="FD1688" s="18"/>
      <c r="FE1688" s="18"/>
      <c r="FF1688" s="18"/>
      <c r="FG1688" s="18"/>
      <c r="FH1688" s="18"/>
      <c r="FI1688" s="18"/>
      <c r="FJ1688" s="18"/>
      <c r="FK1688" s="18"/>
      <c r="FL1688" s="18"/>
      <c r="FM1688" s="18"/>
      <c r="FN1688" s="18"/>
      <c r="FO1688" s="18"/>
      <c r="FP1688" s="18"/>
      <c r="FQ1688" s="18"/>
      <c r="FR1688" s="18"/>
      <c r="FS1688" s="18"/>
      <c r="FT1688" s="18"/>
      <c r="FU1688" s="18"/>
      <c r="FV1688" s="18"/>
      <c r="FW1688" s="18"/>
      <c r="FX1688" s="18"/>
      <c r="FY1688" s="18"/>
      <c r="FZ1688" s="18"/>
      <c r="GA1688" s="18"/>
      <c r="GB1688" s="18"/>
      <c r="GC1688" s="18"/>
      <c r="GD1688" s="18"/>
      <c r="GE1688" s="18"/>
      <c r="GF1688" s="18"/>
      <c r="GG1688" s="18"/>
      <c r="GH1688" s="18"/>
      <c r="GI1688" s="18"/>
      <c r="GJ1688" s="18"/>
      <c r="GK1688" s="18"/>
      <c r="GL1688" s="18"/>
      <c r="GM1688" s="18"/>
      <c r="GN1688" s="18"/>
      <c r="GO1688" s="18"/>
      <c r="GP1688" s="18"/>
      <c r="GQ1688" s="18"/>
      <c r="GR1688" s="18"/>
      <c r="GS1688" s="18"/>
      <c r="GT1688" s="18"/>
      <c r="GU1688" s="18"/>
      <c r="GV1688" s="18"/>
      <c r="GW1688" s="18"/>
      <c r="GX1688" s="18"/>
      <c r="GY1688" s="18"/>
      <c r="GZ1688" s="18"/>
      <c r="HA1688" s="18"/>
      <c r="HB1688" s="18"/>
      <c r="HC1688" s="18"/>
      <c r="HD1688" s="18"/>
      <c r="HE1688" s="18"/>
      <c r="HF1688" s="18"/>
      <c r="HG1688" s="18"/>
      <c r="HH1688" s="18"/>
      <c r="HI1688" s="18"/>
      <c r="HJ1688" s="18"/>
      <c r="HK1688" s="18"/>
      <c r="HL1688" s="18"/>
      <c r="HM1688" s="18"/>
      <c r="HN1688" s="18"/>
      <c r="HO1688" s="18"/>
      <c r="HP1688" s="18"/>
      <c r="HQ1688" s="18"/>
      <c r="HR1688" s="18"/>
      <c r="HS1688" s="18"/>
      <c r="HT1688" s="18"/>
      <c r="HU1688" s="18"/>
      <c r="HV1688" s="18"/>
      <c r="HW1688" s="18"/>
      <c r="HX1688" s="18"/>
      <c r="HY1688" s="18"/>
      <c r="HZ1688" s="18"/>
      <c r="IA1688" s="18"/>
      <c r="IB1688" s="18"/>
      <c r="IC1688" s="18"/>
      <c r="ID1688" s="18"/>
      <c r="IE1688" s="18"/>
      <c r="IF1688" s="18"/>
      <c r="IG1688" s="18"/>
      <c r="IH1688" s="18"/>
      <c r="II1688" s="18"/>
      <c r="IJ1688" s="18"/>
      <c r="IK1688" s="18"/>
      <c r="IL1688" s="18"/>
      <c r="IM1688" s="18"/>
      <c r="IN1688" s="18"/>
      <c r="IO1688" s="18"/>
      <c r="IP1688" s="18"/>
      <c r="IQ1688" s="18"/>
      <c r="IR1688" s="18"/>
      <c r="IS1688" s="18"/>
      <c r="IT1688" s="18"/>
      <c r="IU1688" s="18"/>
      <c r="IV1688" s="18"/>
      <c r="IW1688" s="18"/>
      <c r="IX1688" s="18"/>
      <c r="IY1688" s="18"/>
      <c r="IZ1688" s="18"/>
      <c r="JA1688" s="18"/>
      <c r="JB1688" s="18"/>
      <c r="JC1688" s="18"/>
      <c r="JD1688" s="18"/>
      <c r="JE1688" s="18"/>
      <c r="JF1688" s="18"/>
      <c r="JG1688" s="18"/>
      <c r="JH1688" s="18"/>
      <c r="JI1688" s="18"/>
      <c r="JJ1688" s="18"/>
      <c r="JK1688" s="18"/>
      <c r="JL1688" s="18"/>
      <c r="JM1688" s="18"/>
      <c r="JN1688" s="18"/>
      <c r="JO1688" s="16"/>
      <c r="JP1688" s="16"/>
      <c r="JQ1688" s="16"/>
      <c r="JR1688" s="16"/>
      <c r="JS1688" s="16"/>
      <c r="JT1688" s="16"/>
      <c r="JU1688" s="16"/>
      <c r="JV1688" s="16"/>
      <c r="JW1688" s="16"/>
      <c r="JX1688" s="16"/>
      <c r="JY1688" s="16"/>
      <c r="JZ1688" s="16"/>
      <c r="KA1688" s="16"/>
      <c r="KB1688" s="16"/>
    </row>
    <row r="1689" spans="1:288" s="27" customFormat="1" x14ac:dyDescent="0.2">
      <c r="A1689" s="18"/>
      <c r="B1689" s="16">
        <v>2016</v>
      </c>
      <c r="C1689" s="20">
        <v>42612</v>
      </c>
      <c r="D1689" s="20" t="str">
        <f>CONCATENATE(J1689,"-",C1689)</f>
        <v>1018-42612</v>
      </c>
      <c r="E1689" s="20" t="str">
        <f>CONCATENATE(T1689,"-",U1689,"-",C1689)</f>
        <v>BC1-E4-42612</v>
      </c>
      <c r="F1689" s="20" t="s">
        <v>227</v>
      </c>
      <c r="G1689" s="20" t="s">
        <v>278</v>
      </c>
      <c r="H1689" s="16"/>
      <c r="I1689" s="16"/>
      <c r="J1689" s="21">
        <v>1018</v>
      </c>
      <c r="K1689" s="21"/>
      <c r="L1689" s="16"/>
      <c r="M1689" s="21"/>
      <c r="N1689" s="21"/>
      <c r="O1689" s="21"/>
      <c r="P1689" s="16"/>
      <c r="Q1689" s="16"/>
      <c r="R1689" s="16"/>
      <c r="S1689" s="16"/>
      <c r="T1689" s="16" t="s">
        <v>159</v>
      </c>
      <c r="U1689" s="16" t="s">
        <v>206</v>
      </c>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77"/>
      <c r="BH1689" s="16"/>
      <c r="BI1689" s="16"/>
      <c r="BJ1689" s="16"/>
      <c r="BK1689" s="16"/>
      <c r="BL1689" s="16"/>
      <c r="BM1689" s="16"/>
      <c r="BN1689" s="16"/>
      <c r="BO1689" s="16"/>
      <c r="BP1689" s="16"/>
      <c r="BQ1689" s="16"/>
      <c r="BR1689" s="16"/>
      <c r="BS1689" s="16"/>
      <c r="BT1689" s="77"/>
      <c r="BU1689" s="16"/>
      <c r="BV1689" s="16"/>
      <c r="BW1689" s="16"/>
      <c r="BX1689" s="16"/>
      <c r="BY1689" s="16"/>
      <c r="BZ1689" s="16"/>
      <c r="CA1689" s="16"/>
      <c r="CB1689" s="16"/>
      <c r="CC1689" s="16"/>
      <c r="CD1689" s="77"/>
      <c r="CE1689" s="16"/>
      <c r="CF1689" s="16"/>
      <c r="CG1689" s="16"/>
      <c r="CH1689" s="16"/>
      <c r="CI1689" s="16"/>
      <c r="CJ1689" s="16"/>
      <c r="CK1689" s="16"/>
      <c r="CL1689" s="16"/>
      <c r="CM1689" s="16"/>
      <c r="CN1689" s="16"/>
      <c r="CO1689" s="16"/>
      <c r="CP1689" s="16"/>
      <c r="CQ1689" s="16"/>
      <c r="CR1689" s="16"/>
      <c r="CS1689" s="16"/>
      <c r="CT1689" s="16"/>
      <c r="CU1689" s="16"/>
      <c r="CV1689" s="16"/>
      <c r="CW1689" s="16"/>
      <c r="CX1689" s="16"/>
      <c r="CY1689" s="16"/>
      <c r="CZ1689" s="16"/>
      <c r="DA1689" s="16"/>
      <c r="DB1689" s="16"/>
      <c r="DC1689" s="16"/>
      <c r="DD1689" s="16"/>
      <c r="DE1689" s="16"/>
      <c r="DF1689" s="16" t="e">
        <f>VLOOKUP(K1689,'[3]RNA Seq summary tables'!$V$3:$V$99,1,FALSE)</f>
        <v>#N/A</v>
      </c>
      <c r="DG1689" s="16"/>
      <c r="DH1689" s="16"/>
      <c r="DI1689" s="16"/>
      <c r="DJ1689" s="16"/>
      <c r="DK1689" s="16"/>
      <c r="DL1689" s="16"/>
      <c r="DM1689" s="16"/>
      <c r="DN1689" s="16"/>
      <c r="DO1689" s="16"/>
      <c r="DP1689" s="16"/>
      <c r="DQ1689" s="16"/>
      <c r="DR1689" s="16"/>
      <c r="DS1689" s="16"/>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18"/>
      <c r="EQ1689" s="18"/>
      <c r="ER1689" s="18"/>
      <c r="ES1689" s="18"/>
      <c r="ET1689" s="18"/>
      <c r="EU1689" s="18"/>
      <c r="EV1689" s="18"/>
      <c r="EW1689" s="18"/>
      <c r="EX1689" s="18"/>
      <c r="EY1689" s="18"/>
      <c r="EZ1689" s="18"/>
      <c r="FA1689" s="18"/>
      <c r="FB1689" s="18"/>
      <c r="FC1689" s="18"/>
      <c r="FD1689" s="18"/>
      <c r="FE1689" s="18"/>
      <c r="FF1689" s="18"/>
      <c r="FG1689" s="18"/>
      <c r="FH1689" s="18"/>
      <c r="FI1689" s="18"/>
      <c r="FJ1689" s="18"/>
      <c r="FK1689" s="18"/>
      <c r="FL1689" s="18"/>
      <c r="FM1689" s="18"/>
      <c r="FN1689" s="18"/>
      <c r="FO1689" s="18"/>
      <c r="FP1689" s="18"/>
      <c r="FQ1689" s="18"/>
      <c r="FR1689" s="18"/>
      <c r="FS1689" s="18"/>
      <c r="FT1689" s="18"/>
      <c r="FU1689" s="18"/>
      <c r="FV1689" s="18"/>
      <c r="FW1689" s="18"/>
      <c r="FX1689" s="18"/>
      <c r="FY1689" s="18"/>
      <c r="FZ1689" s="18"/>
      <c r="GA1689" s="18"/>
      <c r="GB1689" s="18"/>
      <c r="GC1689" s="18"/>
      <c r="GD1689" s="18"/>
      <c r="GE1689" s="18"/>
      <c r="GF1689" s="18"/>
      <c r="GG1689" s="18"/>
      <c r="GH1689" s="18"/>
      <c r="GI1689" s="18"/>
      <c r="GJ1689" s="18"/>
      <c r="GK1689" s="18"/>
      <c r="GL1689" s="18"/>
      <c r="GM1689" s="18"/>
      <c r="GN1689" s="18"/>
      <c r="GO1689" s="18"/>
      <c r="GP1689" s="18"/>
      <c r="GQ1689" s="18"/>
      <c r="GR1689" s="18"/>
      <c r="GS1689" s="18"/>
      <c r="GT1689" s="18"/>
      <c r="GU1689" s="18"/>
      <c r="GV1689" s="18"/>
      <c r="GW1689" s="18"/>
      <c r="GX1689" s="18"/>
      <c r="GY1689" s="18"/>
      <c r="GZ1689" s="18"/>
      <c r="HA1689" s="18"/>
      <c r="HB1689" s="18"/>
      <c r="HC1689" s="18"/>
      <c r="HD1689" s="18"/>
      <c r="HE1689" s="18"/>
      <c r="HF1689" s="18"/>
      <c r="HG1689" s="18"/>
      <c r="HH1689" s="18"/>
      <c r="HI1689" s="18"/>
      <c r="HJ1689" s="18"/>
      <c r="HK1689" s="18"/>
      <c r="HL1689" s="18"/>
      <c r="HM1689" s="18"/>
      <c r="HN1689" s="18"/>
      <c r="HO1689" s="18"/>
      <c r="HP1689" s="18"/>
      <c r="HQ1689" s="18"/>
      <c r="HR1689" s="18"/>
      <c r="HS1689" s="18"/>
      <c r="HT1689" s="18"/>
      <c r="HU1689" s="18"/>
      <c r="HV1689" s="18"/>
      <c r="HW1689" s="18"/>
      <c r="HX1689" s="18"/>
      <c r="HY1689" s="18"/>
      <c r="HZ1689" s="18"/>
      <c r="IA1689" s="18"/>
      <c r="IB1689" s="18"/>
      <c r="IC1689" s="18"/>
      <c r="ID1689" s="18"/>
      <c r="IE1689" s="18"/>
      <c r="IF1689" s="18"/>
      <c r="IG1689" s="18"/>
      <c r="IH1689" s="18"/>
      <c r="II1689" s="18"/>
      <c r="IJ1689" s="18"/>
      <c r="IK1689" s="18"/>
      <c r="IL1689" s="18"/>
      <c r="IM1689" s="18"/>
      <c r="IN1689" s="18"/>
      <c r="IO1689" s="18"/>
      <c r="IP1689" s="18"/>
      <c r="IQ1689" s="18"/>
      <c r="IR1689" s="18"/>
      <c r="IS1689" s="18"/>
      <c r="IT1689" s="18"/>
      <c r="IU1689" s="18"/>
      <c r="IV1689" s="18"/>
      <c r="IW1689" s="18"/>
      <c r="IX1689" s="18"/>
      <c r="IY1689" s="18"/>
      <c r="IZ1689" s="18"/>
      <c r="JA1689" s="18"/>
      <c r="JB1689" s="18"/>
      <c r="JC1689" s="18"/>
      <c r="JD1689" s="18"/>
      <c r="JE1689" s="18"/>
      <c r="JF1689" s="18"/>
      <c r="JG1689" s="18"/>
      <c r="JH1689" s="18"/>
      <c r="JI1689" s="18"/>
      <c r="JJ1689" s="18"/>
      <c r="JK1689" s="18"/>
      <c r="JL1689" s="18"/>
      <c r="JM1689" s="18"/>
      <c r="JN1689" s="18"/>
      <c r="JO1689" s="16"/>
      <c r="JP1689" s="16"/>
      <c r="JQ1689" s="16"/>
      <c r="JR1689" s="16"/>
      <c r="JS1689" s="16"/>
      <c r="JT1689" s="16"/>
      <c r="JU1689" s="16"/>
      <c r="JV1689" s="16"/>
      <c r="JW1689" s="16"/>
      <c r="JX1689" s="16"/>
      <c r="JY1689" s="16"/>
      <c r="JZ1689" s="16"/>
      <c r="KA1689" s="16"/>
      <c r="KB1689" s="16"/>
    </row>
    <row r="1690" spans="1:288" s="27" customFormat="1" x14ac:dyDescent="0.2">
      <c r="A1690" s="26"/>
      <c r="B1690" s="26">
        <v>2017</v>
      </c>
      <c r="C1690" s="94">
        <v>42885</v>
      </c>
      <c r="D1690" s="94" t="str">
        <f>CONCATENATE(J1690,"-",C1690)</f>
        <v>1022-42885</v>
      </c>
      <c r="E1690" s="20" t="str">
        <f>CONCATENATE(T1690,"-",U1690,"-",C1690)</f>
        <v>BC1-B1-42885</v>
      </c>
      <c r="F1690" s="20" t="s">
        <v>106</v>
      </c>
      <c r="G1690" s="94" t="s">
        <v>278</v>
      </c>
      <c r="H1690" s="48"/>
      <c r="I1690" s="48"/>
      <c r="J1690" s="46">
        <v>1022</v>
      </c>
      <c r="K1690" s="46"/>
      <c r="L1690" s="48"/>
      <c r="M1690" s="46"/>
      <c r="N1690" s="46"/>
      <c r="O1690" s="46"/>
      <c r="P1690" s="48"/>
      <c r="Q1690" s="48"/>
      <c r="R1690" s="48"/>
      <c r="S1690" s="48"/>
      <c r="T1690" s="48" t="s">
        <v>159</v>
      </c>
      <c r="U1690" s="48" t="s">
        <v>113</v>
      </c>
      <c r="V1690" s="48"/>
      <c r="W1690" s="48"/>
      <c r="X1690" s="48"/>
      <c r="Y1690" s="48"/>
      <c r="Z1690" s="48"/>
      <c r="AA1690" s="48"/>
      <c r="AB1690" s="48"/>
      <c r="AC1690" s="48"/>
      <c r="AD1690" s="48"/>
      <c r="AE1690" s="48"/>
      <c r="AF1690" s="48"/>
      <c r="AG1690" s="48"/>
      <c r="AH1690" s="48"/>
      <c r="AI1690" s="48"/>
      <c r="AJ1690" s="48"/>
      <c r="AK1690" s="48"/>
      <c r="AL1690" s="48"/>
      <c r="AM1690" s="48"/>
      <c r="AN1690" s="48"/>
      <c r="AO1690" s="48"/>
      <c r="AP1690" s="48">
        <f>SUM(AL1690:AN1690)</f>
        <v>0</v>
      </c>
      <c r="AQ1690" s="48">
        <v>2.0470000000000002</v>
      </c>
      <c r="AR1690" s="48">
        <f>AP1690-1.472</f>
        <v>-1.472</v>
      </c>
      <c r="AS1690" s="48">
        <f>AQ1690-1.472</f>
        <v>0.57500000000000018</v>
      </c>
      <c r="AT1690" s="26" t="s">
        <v>284</v>
      </c>
      <c r="AU1690" s="26"/>
      <c r="AV1690" s="26"/>
      <c r="AW1690" s="26"/>
      <c r="AX1690" s="26"/>
      <c r="AY1690" s="26"/>
      <c r="AZ1690" s="26"/>
      <c r="BA1690" s="26"/>
      <c r="BB1690" s="26"/>
      <c r="BC1690" s="26"/>
      <c r="BD1690" s="26"/>
      <c r="BE1690" s="26"/>
      <c r="BF1690" s="26"/>
      <c r="BG1690" s="82"/>
      <c r="BH1690" s="26"/>
      <c r="BI1690" s="26"/>
      <c r="BJ1690" s="26"/>
      <c r="BK1690" s="26"/>
      <c r="BL1690" s="26"/>
      <c r="BM1690" s="26"/>
      <c r="BN1690" s="26"/>
      <c r="BO1690" s="26"/>
      <c r="BP1690" s="26"/>
      <c r="BQ1690" s="26"/>
      <c r="BR1690" s="26"/>
      <c r="BS1690" s="26"/>
      <c r="BT1690" s="82"/>
      <c r="BU1690" s="26"/>
      <c r="BV1690" s="26"/>
      <c r="BW1690" s="26"/>
      <c r="BX1690" s="26"/>
      <c r="BY1690" s="26"/>
      <c r="BZ1690" s="26"/>
      <c r="CA1690" s="26"/>
      <c r="CB1690" s="26"/>
      <c r="CC1690" s="26"/>
      <c r="CD1690" s="82"/>
      <c r="CE1690" s="26"/>
      <c r="CF1690" s="26"/>
      <c r="CG1690" s="26"/>
      <c r="CH1690" s="26"/>
      <c r="CI1690" s="26"/>
      <c r="CJ1690" s="26"/>
      <c r="CK1690" s="26"/>
      <c r="CL1690" s="26"/>
      <c r="CM1690" s="26"/>
      <c r="CN1690" s="26"/>
      <c r="CO1690" s="26"/>
      <c r="CP1690" s="26"/>
      <c r="CQ1690" s="26"/>
      <c r="CR1690" s="26"/>
      <c r="CS1690" s="26"/>
      <c r="CT1690" s="26"/>
      <c r="CU1690" s="26"/>
      <c r="CV1690" s="26"/>
      <c r="CW1690" s="26"/>
      <c r="CX1690" s="26"/>
      <c r="CY1690" s="26"/>
      <c r="CZ1690" s="26"/>
      <c r="DA1690" s="26"/>
      <c r="DB1690" s="26"/>
      <c r="DC1690" s="48"/>
      <c r="DD1690" s="48"/>
      <c r="DE1690" s="48"/>
      <c r="DF1690" s="16" t="e">
        <f>VLOOKUP(K1690,'[3]RNA Seq summary tables'!$V$3:$V$99,1,FALSE)</f>
        <v>#N/A</v>
      </c>
      <c r="DG1690" s="48"/>
      <c r="DH1690" s="48"/>
      <c r="DI1690" s="48"/>
      <c r="DJ1690" s="48"/>
      <c r="DK1690" s="48"/>
      <c r="DL1690" s="48"/>
      <c r="DM1690" s="48"/>
      <c r="DN1690" s="48"/>
      <c r="DO1690" s="48"/>
      <c r="DP1690" s="48"/>
      <c r="DQ1690" s="48"/>
      <c r="DR1690" s="48"/>
      <c r="DS1690" s="4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18"/>
      <c r="EQ1690" s="18"/>
      <c r="ER1690" s="18"/>
      <c r="ES1690" s="18"/>
      <c r="ET1690" s="18"/>
      <c r="EU1690" s="18"/>
      <c r="EV1690" s="18"/>
      <c r="EW1690" s="18"/>
      <c r="EX1690" s="18"/>
      <c r="EY1690" s="18"/>
      <c r="EZ1690" s="18"/>
      <c r="FA1690" s="18"/>
      <c r="FB1690" s="18"/>
      <c r="FC1690" s="18"/>
      <c r="FD1690" s="18"/>
      <c r="FE1690" s="18"/>
      <c r="FF1690" s="18"/>
      <c r="FG1690" s="18"/>
      <c r="FH1690" s="18"/>
      <c r="FI1690" s="18"/>
      <c r="FJ1690" s="18"/>
      <c r="FK1690" s="18"/>
      <c r="FL1690" s="18"/>
      <c r="FM1690" s="18"/>
      <c r="FN1690" s="18"/>
      <c r="FO1690" s="18"/>
      <c r="FP1690" s="18"/>
      <c r="FQ1690" s="18"/>
      <c r="FR1690" s="18"/>
      <c r="FS1690" s="18"/>
      <c r="FT1690" s="18"/>
      <c r="FU1690" s="18"/>
      <c r="FV1690" s="18"/>
      <c r="FW1690" s="18"/>
      <c r="FX1690" s="18"/>
      <c r="FY1690" s="18"/>
      <c r="FZ1690" s="18"/>
      <c r="GA1690" s="18"/>
      <c r="GB1690" s="18"/>
      <c r="GC1690" s="18"/>
      <c r="GD1690" s="18"/>
      <c r="GE1690" s="18"/>
      <c r="GF1690" s="18"/>
      <c r="GG1690" s="18"/>
      <c r="GH1690" s="18"/>
      <c r="GI1690" s="18"/>
      <c r="GJ1690" s="18"/>
      <c r="GK1690" s="18"/>
      <c r="GL1690" s="18"/>
      <c r="GM1690" s="18"/>
      <c r="GN1690" s="18"/>
      <c r="GO1690" s="18"/>
      <c r="GP1690" s="18"/>
      <c r="GQ1690" s="18"/>
      <c r="GR1690" s="18"/>
      <c r="GS1690" s="18"/>
      <c r="GT1690" s="18"/>
      <c r="GU1690" s="18"/>
      <c r="GV1690" s="18"/>
      <c r="GW1690" s="18"/>
      <c r="GX1690" s="18"/>
      <c r="GY1690" s="18"/>
      <c r="GZ1690" s="18"/>
      <c r="HA1690" s="18"/>
      <c r="HB1690" s="18"/>
      <c r="HC1690" s="18"/>
      <c r="HD1690" s="18"/>
      <c r="HE1690" s="18"/>
      <c r="HF1690" s="18"/>
      <c r="HG1690" s="18"/>
      <c r="HH1690" s="18"/>
      <c r="HI1690" s="18"/>
      <c r="HJ1690" s="18"/>
      <c r="HK1690" s="18"/>
      <c r="HL1690" s="18"/>
      <c r="HM1690" s="18"/>
      <c r="HN1690" s="18"/>
      <c r="HO1690" s="18"/>
      <c r="HP1690" s="18"/>
      <c r="HQ1690" s="18"/>
      <c r="HR1690" s="18"/>
      <c r="HS1690" s="18"/>
      <c r="HT1690" s="18"/>
      <c r="HU1690" s="18"/>
      <c r="HV1690" s="18"/>
      <c r="HW1690" s="18"/>
      <c r="HX1690" s="18"/>
      <c r="HY1690" s="18"/>
      <c r="HZ1690" s="18"/>
      <c r="IA1690" s="18"/>
      <c r="IB1690" s="18"/>
      <c r="IC1690" s="18"/>
      <c r="ID1690" s="18"/>
      <c r="IE1690" s="18"/>
      <c r="IF1690" s="18"/>
      <c r="IG1690" s="18"/>
      <c r="IH1690" s="18"/>
      <c r="II1690" s="18"/>
      <c r="IJ1690" s="18"/>
      <c r="IK1690" s="18"/>
      <c r="IL1690" s="18"/>
      <c r="IM1690" s="18"/>
      <c r="IN1690" s="18"/>
      <c r="IO1690" s="18"/>
      <c r="IP1690" s="18"/>
      <c r="IQ1690" s="18"/>
      <c r="IR1690" s="18"/>
      <c r="IS1690" s="18"/>
      <c r="IT1690" s="18"/>
      <c r="IU1690" s="18"/>
      <c r="IV1690" s="18"/>
      <c r="IW1690" s="18"/>
      <c r="IX1690" s="18"/>
      <c r="IY1690" s="18"/>
      <c r="IZ1690" s="18"/>
      <c r="JA1690" s="18"/>
      <c r="JB1690" s="18"/>
      <c r="JC1690" s="18"/>
      <c r="JD1690" s="18"/>
      <c r="JE1690" s="18"/>
      <c r="JF1690" s="18"/>
      <c r="JG1690" s="18"/>
      <c r="JH1690" s="18"/>
      <c r="JI1690" s="18"/>
      <c r="JJ1690" s="18"/>
      <c r="JK1690" s="18"/>
      <c r="JL1690" s="18"/>
      <c r="JM1690" s="18"/>
      <c r="JN1690" s="18"/>
      <c r="JP1690" s="16"/>
      <c r="JQ1690" s="16"/>
      <c r="JR1690" s="16"/>
      <c r="JS1690" s="16"/>
      <c r="JT1690" s="16"/>
      <c r="JU1690" s="16"/>
      <c r="JV1690" s="16"/>
      <c r="JW1690" s="16"/>
      <c r="JX1690" s="16"/>
      <c r="JY1690" s="16"/>
      <c r="JZ1690" s="16"/>
      <c r="KA1690" s="16"/>
      <c r="KB1690" s="16"/>
    </row>
    <row r="1691" spans="1:288" s="27" customFormat="1" x14ac:dyDescent="0.2">
      <c r="A1691" s="26"/>
      <c r="B1691" s="26">
        <v>2017</v>
      </c>
      <c r="C1691" s="96">
        <v>42886</v>
      </c>
      <c r="D1691" s="96" t="str">
        <f>CONCATENATE(J1691,"-",C1691)</f>
        <v>1022-42886</v>
      </c>
      <c r="E1691" s="20" t="str">
        <f>CONCATENATE(T1691,"-",U1691,"-",C1691)</f>
        <v>BC1-A1-42886</v>
      </c>
      <c r="F1691" s="20" t="s">
        <v>106</v>
      </c>
      <c r="G1691" s="94" t="s">
        <v>278</v>
      </c>
      <c r="H1691" s="48"/>
      <c r="I1691" s="48"/>
      <c r="J1691" s="46">
        <v>1022</v>
      </c>
      <c r="K1691" s="46"/>
      <c r="L1691" s="48"/>
      <c r="M1691" s="46"/>
      <c r="N1691" s="46"/>
      <c r="O1691" s="46"/>
      <c r="P1691" s="48"/>
      <c r="Q1691" s="48"/>
      <c r="R1691" s="48"/>
      <c r="S1691" s="48"/>
      <c r="T1691" s="48" t="s">
        <v>159</v>
      </c>
      <c r="U1691" s="48" t="s">
        <v>210</v>
      </c>
      <c r="V1691" s="48"/>
      <c r="W1691" s="48"/>
      <c r="X1691" s="48"/>
      <c r="Y1691" s="48"/>
      <c r="Z1691" s="48"/>
      <c r="AA1691" s="48"/>
      <c r="AB1691" s="48"/>
      <c r="AC1691" s="48"/>
      <c r="AD1691" s="48"/>
      <c r="AE1691" s="48"/>
      <c r="AF1691" s="48"/>
      <c r="AG1691" s="48"/>
      <c r="AH1691" s="48"/>
      <c r="AI1691" s="48"/>
      <c r="AJ1691" s="48"/>
      <c r="AK1691" s="48"/>
      <c r="AL1691" s="48"/>
      <c r="AM1691" s="48"/>
      <c r="AN1691" s="48"/>
      <c r="AO1691" s="48"/>
      <c r="AP1691" s="48">
        <f>SUM(AL1691:AN1691)</f>
        <v>0</v>
      </c>
      <c r="AQ1691" s="48">
        <v>1.7290000000000001</v>
      </c>
      <c r="AR1691" s="48">
        <f>AP1691-1.472</f>
        <v>-1.472</v>
      </c>
      <c r="AS1691" s="48">
        <f>AQ1691-1.472</f>
        <v>0.25700000000000012</v>
      </c>
      <c r="AT1691" s="16"/>
      <c r="AU1691" s="26"/>
      <c r="AV1691" s="26"/>
      <c r="AW1691" s="26"/>
      <c r="AX1691" s="26"/>
      <c r="AY1691" s="26"/>
      <c r="AZ1691" s="26"/>
      <c r="BA1691" s="26"/>
      <c r="BB1691" s="26"/>
      <c r="BC1691" s="26"/>
      <c r="BD1691" s="26"/>
      <c r="BE1691" s="26"/>
      <c r="BF1691" s="26"/>
      <c r="BG1691" s="82"/>
      <c r="BH1691" s="26"/>
      <c r="BI1691" s="26"/>
      <c r="BJ1691" s="26"/>
      <c r="BK1691" s="26"/>
      <c r="BL1691" s="26"/>
      <c r="BM1691" s="26"/>
      <c r="BN1691" s="26"/>
      <c r="BO1691" s="26"/>
      <c r="BP1691" s="26"/>
      <c r="BQ1691" s="26"/>
      <c r="BR1691" s="26"/>
      <c r="BS1691" s="26"/>
      <c r="BT1691" s="82"/>
      <c r="BU1691" s="26"/>
      <c r="BV1691" s="26"/>
      <c r="BW1691" s="26"/>
      <c r="BX1691" s="26"/>
      <c r="BY1691" s="26"/>
      <c r="BZ1691" s="26"/>
      <c r="CA1691" s="26"/>
      <c r="CB1691" s="26"/>
      <c r="CC1691" s="26"/>
      <c r="CD1691" s="82"/>
      <c r="CE1691" s="26"/>
      <c r="CF1691" s="26"/>
      <c r="CG1691" s="26"/>
      <c r="CH1691" s="26"/>
      <c r="CI1691" s="26"/>
      <c r="CJ1691" s="26"/>
      <c r="CK1691" s="26"/>
      <c r="CL1691" s="26"/>
      <c r="CM1691" s="26"/>
      <c r="CN1691" s="26"/>
      <c r="CO1691" s="26"/>
      <c r="CP1691" s="26"/>
      <c r="CQ1691" s="26"/>
      <c r="CR1691" s="26"/>
      <c r="CS1691" s="26"/>
      <c r="CT1691" s="26"/>
      <c r="CU1691" s="26"/>
      <c r="CV1691" s="26"/>
      <c r="CW1691" s="26"/>
      <c r="CX1691" s="26"/>
      <c r="CY1691" s="26"/>
      <c r="CZ1691" s="26"/>
      <c r="DA1691" s="26"/>
      <c r="DB1691" s="26"/>
      <c r="DC1691" s="48"/>
      <c r="DD1691" s="48"/>
      <c r="DE1691" s="48"/>
      <c r="DF1691" s="16" t="e">
        <f>VLOOKUP(K1691,'[3]RNA Seq summary tables'!$V$3:$V$99,1,FALSE)</f>
        <v>#N/A</v>
      </c>
      <c r="DG1691" s="48"/>
      <c r="DH1691" s="48"/>
      <c r="DI1691" s="48"/>
      <c r="DJ1691" s="48"/>
      <c r="DK1691" s="48"/>
      <c r="DL1691" s="48"/>
      <c r="DM1691" s="48"/>
      <c r="DN1691" s="48"/>
      <c r="DO1691" s="48"/>
      <c r="DP1691" s="48"/>
      <c r="DQ1691" s="48"/>
      <c r="DR1691" s="48"/>
      <c r="DS1691" s="4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18"/>
      <c r="EQ1691" s="18"/>
      <c r="ER1691" s="18"/>
      <c r="ES1691" s="18"/>
      <c r="ET1691" s="18"/>
      <c r="EU1691" s="18"/>
      <c r="EV1691" s="18"/>
      <c r="EW1691" s="18"/>
      <c r="EX1691" s="18"/>
      <c r="EY1691" s="18"/>
      <c r="EZ1691" s="18"/>
      <c r="FA1691" s="18"/>
      <c r="FB1691" s="18"/>
      <c r="FC1691" s="18"/>
      <c r="FD1691" s="18"/>
      <c r="FE1691" s="18"/>
      <c r="FF1691" s="18"/>
      <c r="FG1691" s="18"/>
      <c r="FH1691" s="18"/>
      <c r="FI1691" s="18"/>
      <c r="FJ1691" s="18"/>
      <c r="FK1691" s="18"/>
      <c r="FL1691" s="18"/>
      <c r="FM1691" s="18"/>
      <c r="FN1691" s="18"/>
      <c r="FO1691" s="18"/>
      <c r="FP1691" s="18"/>
      <c r="FQ1691" s="18"/>
      <c r="FR1691" s="18"/>
      <c r="FS1691" s="18"/>
      <c r="FT1691" s="18"/>
      <c r="FU1691" s="18"/>
      <c r="FV1691" s="18"/>
      <c r="FW1691" s="18"/>
      <c r="FX1691" s="18"/>
      <c r="FY1691" s="18"/>
      <c r="FZ1691" s="18"/>
      <c r="GA1691" s="18"/>
      <c r="GB1691" s="18"/>
      <c r="GC1691" s="18"/>
      <c r="GD1691" s="18"/>
      <c r="GE1691" s="18"/>
      <c r="GF1691" s="18"/>
      <c r="GG1691" s="18"/>
      <c r="GH1691" s="18"/>
      <c r="GI1691" s="18"/>
      <c r="GJ1691" s="18"/>
      <c r="GK1691" s="18"/>
      <c r="GL1691" s="18"/>
      <c r="GM1691" s="18"/>
      <c r="GN1691" s="18"/>
      <c r="GO1691" s="18"/>
      <c r="GP1691" s="18"/>
      <c r="GQ1691" s="18"/>
      <c r="GR1691" s="18"/>
      <c r="GS1691" s="18"/>
      <c r="GT1691" s="18"/>
      <c r="GU1691" s="18"/>
      <c r="GV1691" s="18"/>
      <c r="GW1691" s="18"/>
      <c r="GX1691" s="18"/>
      <c r="GY1691" s="18"/>
      <c r="GZ1691" s="18"/>
      <c r="HA1691" s="18"/>
      <c r="HB1691" s="18"/>
      <c r="HC1691" s="18"/>
      <c r="HD1691" s="18"/>
      <c r="HE1691" s="18"/>
      <c r="HF1691" s="18"/>
      <c r="HG1691" s="18"/>
      <c r="HH1691" s="18"/>
      <c r="HI1691" s="18"/>
      <c r="HJ1691" s="18"/>
      <c r="HK1691" s="18"/>
      <c r="HL1691" s="18"/>
      <c r="HM1691" s="18"/>
      <c r="HN1691" s="18"/>
      <c r="HO1691" s="18"/>
      <c r="HP1691" s="18"/>
      <c r="HQ1691" s="18"/>
      <c r="HR1691" s="18"/>
      <c r="HS1691" s="18"/>
      <c r="HT1691" s="18"/>
      <c r="HU1691" s="18"/>
      <c r="HV1691" s="18"/>
      <c r="HW1691" s="18"/>
      <c r="HX1691" s="18"/>
      <c r="HY1691" s="18"/>
      <c r="HZ1691" s="18"/>
      <c r="IA1691" s="18"/>
      <c r="IB1691" s="18"/>
      <c r="IC1691" s="18"/>
      <c r="ID1691" s="18"/>
      <c r="IE1691" s="18"/>
      <c r="IF1691" s="18"/>
      <c r="IG1691" s="18"/>
      <c r="IH1691" s="18"/>
      <c r="II1691" s="18"/>
      <c r="IJ1691" s="18"/>
      <c r="IK1691" s="18"/>
      <c r="IL1691" s="18"/>
      <c r="IM1691" s="18"/>
      <c r="IN1691" s="18"/>
      <c r="IO1691" s="18"/>
      <c r="IP1691" s="18"/>
      <c r="IQ1691" s="18"/>
      <c r="IR1691" s="18"/>
      <c r="IS1691" s="18"/>
      <c r="IT1691" s="18"/>
      <c r="IU1691" s="18"/>
      <c r="IV1691" s="18"/>
      <c r="IW1691" s="18"/>
      <c r="IX1691" s="18"/>
      <c r="IY1691" s="18"/>
      <c r="IZ1691" s="18"/>
      <c r="JA1691" s="18"/>
      <c r="JB1691" s="18"/>
      <c r="JC1691" s="18"/>
      <c r="JD1691" s="18"/>
      <c r="JE1691" s="18"/>
      <c r="JF1691" s="18"/>
      <c r="JG1691" s="18"/>
      <c r="JH1691" s="18"/>
      <c r="JI1691" s="18"/>
      <c r="JJ1691" s="18"/>
      <c r="JK1691" s="18"/>
      <c r="JL1691" s="18"/>
      <c r="JM1691" s="18"/>
      <c r="JN1691" s="18"/>
      <c r="JO1691" s="16"/>
      <c r="JP1691" s="16"/>
      <c r="JQ1691" s="16"/>
      <c r="JR1691" s="16"/>
      <c r="JS1691" s="16"/>
      <c r="JT1691" s="16"/>
      <c r="JU1691" s="16"/>
      <c r="JV1691" s="16"/>
      <c r="JW1691" s="16"/>
      <c r="JX1691" s="16"/>
      <c r="JY1691" s="16"/>
      <c r="JZ1691" s="16"/>
      <c r="KA1691" s="16"/>
      <c r="KB1691" s="16"/>
    </row>
    <row r="1692" spans="1:288" s="27" customFormat="1" x14ac:dyDescent="0.2">
      <c r="A1692" s="18"/>
      <c r="B1692" s="16">
        <v>2017</v>
      </c>
      <c r="C1692" s="20">
        <v>42885</v>
      </c>
      <c r="D1692" s="20" t="str">
        <f>CONCATENATE(J1692,"-",C1692)</f>
        <v>1023-42885</v>
      </c>
      <c r="E1692" s="20" t="str">
        <f>CONCATENATE(T1692,"-",U1692,"-",C1692)</f>
        <v>BC1-B7-42885</v>
      </c>
      <c r="F1692" s="20" t="s">
        <v>106</v>
      </c>
      <c r="G1692" s="20" t="s">
        <v>278</v>
      </c>
      <c r="H1692" s="16"/>
      <c r="I1692" s="16"/>
      <c r="J1692" s="21">
        <v>1023</v>
      </c>
      <c r="K1692" s="21"/>
      <c r="L1692" s="16"/>
      <c r="M1692" s="21"/>
      <c r="N1692" s="21"/>
      <c r="O1692" s="21"/>
      <c r="P1692" s="16"/>
      <c r="Q1692" s="16"/>
      <c r="R1692" s="16"/>
      <c r="S1692" s="16"/>
      <c r="T1692" s="16" t="s">
        <v>159</v>
      </c>
      <c r="U1692" s="16" t="s">
        <v>168</v>
      </c>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f>SUM(AL1692:AN1692)</f>
        <v>0</v>
      </c>
      <c r="AQ1692" s="16">
        <v>1.5269999999999999</v>
      </c>
      <c r="AR1692" s="16">
        <f>AP1692-1.472</f>
        <v>-1.472</v>
      </c>
      <c r="AS1692" s="16">
        <f>AQ1692-1.472</f>
        <v>5.4999999999999938E-2</v>
      </c>
      <c r="AT1692" s="16"/>
      <c r="AU1692" s="16"/>
      <c r="AV1692" s="16"/>
      <c r="AW1692" s="16"/>
      <c r="AX1692" s="16"/>
      <c r="AY1692" s="18"/>
      <c r="AZ1692" s="16"/>
      <c r="BA1692" s="16"/>
      <c r="BB1692" s="16"/>
      <c r="BC1692" s="16"/>
      <c r="BD1692" s="16"/>
      <c r="BE1692" s="16"/>
      <c r="BF1692" s="16"/>
      <c r="BG1692" s="77"/>
      <c r="BH1692" s="16"/>
      <c r="BI1692" s="16"/>
      <c r="BJ1692" s="16"/>
      <c r="BK1692" s="16"/>
      <c r="BL1692" s="16"/>
      <c r="BM1692" s="16"/>
      <c r="BN1692" s="16"/>
      <c r="BO1692" s="16"/>
      <c r="BP1692" s="16"/>
      <c r="BQ1692" s="16"/>
      <c r="BR1692" s="16"/>
      <c r="BS1692" s="16"/>
      <c r="BT1692" s="77"/>
      <c r="BU1692" s="16"/>
      <c r="BV1692" s="16"/>
      <c r="BW1692" s="16"/>
      <c r="BX1692" s="16"/>
      <c r="BY1692" s="16"/>
      <c r="BZ1692" s="16"/>
      <c r="CA1692" s="16"/>
      <c r="CB1692" s="16"/>
      <c r="CC1692" s="16"/>
      <c r="CD1692" s="77"/>
      <c r="CE1692" s="16"/>
      <c r="CF1692" s="16"/>
      <c r="CG1692" s="16"/>
      <c r="CH1692" s="16"/>
      <c r="CI1692" s="16"/>
      <c r="CJ1692" s="16"/>
      <c r="CK1692" s="16"/>
      <c r="CL1692" s="16"/>
      <c r="CM1692" s="16"/>
      <c r="CN1692" s="16"/>
      <c r="CO1692" s="16"/>
      <c r="CP1692" s="16"/>
      <c r="CQ1692" s="16"/>
      <c r="CR1692" s="16"/>
      <c r="CS1692" s="16"/>
      <c r="CT1692" s="16"/>
      <c r="CU1692" s="16"/>
      <c r="CV1692" s="16"/>
      <c r="CW1692" s="16"/>
      <c r="CX1692" s="16"/>
      <c r="CY1692" s="16"/>
      <c r="CZ1692" s="16"/>
      <c r="DA1692" s="16"/>
      <c r="DB1692" s="16"/>
      <c r="DC1692" s="16"/>
      <c r="DD1692" s="16"/>
      <c r="DE1692" s="16"/>
      <c r="DF1692" s="16" t="e">
        <f>VLOOKUP(K1692,'[3]RNA Seq summary tables'!$V$3:$V$99,1,FALSE)</f>
        <v>#N/A</v>
      </c>
      <c r="DG1692" s="16"/>
      <c r="DH1692" s="16"/>
      <c r="DI1692" s="16"/>
      <c r="DJ1692" s="16"/>
      <c r="DK1692" s="16"/>
      <c r="DL1692" s="16"/>
      <c r="DM1692" s="16"/>
      <c r="DN1692" s="16"/>
      <c r="DO1692" s="16"/>
      <c r="DP1692" s="16"/>
      <c r="DQ1692" s="16"/>
      <c r="DR1692" s="16"/>
      <c r="DS1692" s="16"/>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18"/>
      <c r="EQ1692" s="18"/>
      <c r="ER1692" s="18"/>
      <c r="ES1692" s="18"/>
      <c r="ET1692" s="18"/>
      <c r="EU1692" s="18"/>
      <c r="EV1692" s="18"/>
      <c r="EW1692" s="18"/>
      <c r="EX1692" s="18"/>
      <c r="EY1692" s="18"/>
      <c r="EZ1692" s="18"/>
      <c r="FA1692" s="18"/>
      <c r="FB1692" s="18"/>
      <c r="FC1692" s="18"/>
      <c r="FD1692" s="18"/>
      <c r="FE1692" s="18"/>
      <c r="FF1692" s="18"/>
      <c r="FG1692" s="18"/>
      <c r="FH1692" s="18"/>
      <c r="FI1692" s="18"/>
      <c r="FJ1692" s="18"/>
      <c r="FK1692" s="18"/>
      <c r="FL1692" s="18"/>
      <c r="FM1692" s="18"/>
      <c r="FN1692" s="18"/>
      <c r="FO1692" s="18"/>
      <c r="FP1692" s="18"/>
      <c r="FQ1692" s="18"/>
      <c r="FR1692" s="18"/>
      <c r="FS1692" s="18"/>
      <c r="FT1692" s="18"/>
      <c r="FU1692" s="18"/>
      <c r="FV1692" s="18"/>
      <c r="FW1692" s="18"/>
      <c r="FX1692" s="18"/>
      <c r="FY1692" s="18"/>
      <c r="FZ1692" s="18"/>
      <c r="GA1692" s="18"/>
      <c r="GB1692" s="18"/>
      <c r="GC1692" s="18"/>
      <c r="GD1692" s="18"/>
      <c r="GE1692" s="18"/>
      <c r="GF1692" s="18"/>
      <c r="GG1692" s="18"/>
      <c r="GH1692" s="18"/>
      <c r="GI1692" s="18"/>
      <c r="GJ1692" s="18"/>
      <c r="GK1692" s="18"/>
      <c r="GL1692" s="18"/>
      <c r="GM1692" s="18"/>
      <c r="GN1692" s="18"/>
      <c r="GO1692" s="18"/>
      <c r="GP1692" s="18"/>
      <c r="GQ1692" s="18"/>
      <c r="GR1692" s="18"/>
      <c r="GS1692" s="18"/>
      <c r="GT1692" s="18"/>
      <c r="GU1692" s="18"/>
      <c r="GV1692" s="18"/>
      <c r="GW1692" s="18"/>
      <c r="GX1692" s="18"/>
      <c r="GY1692" s="18"/>
      <c r="GZ1692" s="18"/>
      <c r="HA1692" s="18"/>
      <c r="HB1692" s="18"/>
      <c r="HC1692" s="18"/>
      <c r="HD1692" s="18"/>
      <c r="HE1692" s="18"/>
      <c r="HF1692" s="18"/>
      <c r="HG1692" s="18"/>
      <c r="HH1692" s="18"/>
      <c r="HI1692" s="18"/>
      <c r="HJ1692" s="18"/>
      <c r="HK1692" s="18"/>
      <c r="HL1692" s="18"/>
      <c r="HM1692" s="18"/>
      <c r="HN1692" s="18"/>
      <c r="HO1692" s="18"/>
      <c r="HP1692" s="18"/>
      <c r="HQ1692" s="18"/>
      <c r="HR1692" s="18"/>
      <c r="HS1692" s="18"/>
      <c r="HT1692" s="18"/>
      <c r="HU1692" s="18"/>
      <c r="HV1692" s="18"/>
      <c r="HW1692" s="18"/>
      <c r="HX1692" s="18"/>
      <c r="HY1692" s="18"/>
      <c r="HZ1692" s="18"/>
      <c r="IA1692" s="18"/>
      <c r="IB1692" s="18"/>
      <c r="IC1692" s="18"/>
      <c r="ID1692" s="18"/>
      <c r="IE1692" s="18"/>
      <c r="IF1692" s="18"/>
      <c r="IG1692" s="18"/>
      <c r="IH1692" s="18"/>
      <c r="II1692" s="18"/>
      <c r="IJ1692" s="18"/>
      <c r="IK1692" s="18"/>
      <c r="IL1692" s="18"/>
      <c r="IM1692" s="18"/>
      <c r="IN1692" s="18"/>
      <c r="IO1692" s="18"/>
      <c r="IP1692" s="18"/>
      <c r="IQ1692" s="18"/>
      <c r="IR1692" s="18"/>
      <c r="IS1692" s="18"/>
      <c r="IT1692" s="18"/>
      <c r="IU1692" s="18"/>
      <c r="IV1692" s="18"/>
      <c r="IW1692" s="18"/>
      <c r="IX1692" s="18"/>
      <c r="IY1692" s="18"/>
      <c r="IZ1692" s="18"/>
      <c r="JA1692" s="18"/>
      <c r="JB1692" s="18"/>
      <c r="JC1692" s="18"/>
      <c r="JD1692" s="18"/>
      <c r="JE1692" s="18"/>
      <c r="JF1692" s="18"/>
      <c r="JG1692" s="18"/>
      <c r="JH1692" s="18"/>
      <c r="JI1692" s="18"/>
      <c r="JJ1692" s="18"/>
      <c r="JK1692" s="18"/>
      <c r="JL1692" s="18"/>
      <c r="JM1692" s="18"/>
      <c r="JN1692" s="18"/>
      <c r="JO1692" s="18"/>
      <c r="JP1692" s="16"/>
      <c r="JQ1692" s="16"/>
      <c r="JR1692" s="16"/>
      <c r="JS1692" s="16"/>
      <c r="JT1692" s="16"/>
      <c r="JU1692" s="16"/>
      <c r="JV1692" s="16"/>
      <c r="JW1692" s="16"/>
      <c r="JX1692" s="16"/>
      <c r="JY1692" s="16"/>
      <c r="JZ1692" s="16"/>
      <c r="KA1692" s="16"/>
      <c r="KB1692" s="16"/>
    </row>
    <row r="1693" spans="1:288" s="27" customFormat="1" x14ac:dyDescent="0.2">
      <c r="A1693" s="18"/>
      <c r="B1693" s="16">
        <v>2017</v>
      </c>
      <c r="C1693" s="66">
        <v>42886</v>
      </c>
      <c r="D1693" s="66" t="str">
        <f>CONCATENATE(J1693,"-",C1693)</f>
        <v>1023-42886</v>
      </c>
      <c r="E1693" s="20" t="str">
        <f>CONCATENATE(T1693,"-",U1693,"-",C1693)</f>
        <v>BC1-C4-42886</v>
      </c>
      <c r="F1693" s="20" t="s">
        <v>106</v>
      </c>
      <c r="G1693" s="20" t="s">
        <v>278</v>
      </c>
      <c r="H1693" s="16"/>
      <c r="I1693" s="16"/>
      <c r="J1693" s="21">
        <v>1023</v>
      </c>
      <c r="K1693" s="21"/>
      <c r="L1693" s="16"/>
      <c r="M1693" s="21"/>
      <c r="N1693" s="21"/>
      <c r="O1693" s="21"/>
      <c r="P1693" s="16"/>
      <c r="Q1693" s="16"/>
      <c r="R1693" s="16"/>
      <c r="S1693" s="16"/>
      <c r="T1693" s="16" t="s">
        <v>159</v>
      </c>
      <c r="U1693" s="16" t="s">
        <v>229</v>
      </c>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f>SUM(AL1693:AN1693)</f>
        <v>0</v>
      </c>
      <c r="AQ1693" s="18"/>
      <c r="AR1693" s="18"/>
      <c r="AS1693" s="18"/>
      <c r="AT1693" s="16" t="s">
        <v>285</v>
      </c>
      <c r="AU1693" s="16"/>
      <c r="AV1693" s="16"/>
      <c r="AW1693" s="16"/>
      <c r="AX1693" s="16"/>
      <c r="AY1693" s="18"/>
      <c r="AZ1693" s="16"/>
      <c r="BA1693" s="16"/>
      <c r="BB1693" s="16"/>
      <c r="BC1693" s="16"/>
      <c r="BD1693" s="16"/>
      <c r="BE1693" s="16"/>
      <c r="BF1693" s="16"/>
      <c r="BG1693" s="77"/>
      <c r="BH1693" s="16"/>
      <c r="BI1693" s="16"/>
      <c r="BJ1693" s="16"/>
      <c r="BK1693" s="16"/>
      <c r="BL1693" s="16"/>
      <c r="BM1693" s="16"/>
      <c r="BN1693" s="16"/>
      <c r="BO1693" s="16"/>
      <c r="BP1693" s="16"/>
      <c r="BQ1693" s="16"/>
      <c r="BR1693" s="16"/>
      <c r="BS1693" s="16"/>
      <c r="BT1693" s="77"/>
      <c r="BU1693" s="16"/>
      <c r="BV1693" s="16"/>
      <c r="BW1693" s="16"/>
      <c r="BX1693" s="16"/>
      <c r="BY1693" s="16"/>
      <c r="BZ1693" s="16"/>
      <c r="CA1693" s="16"/>
      <c r="CB1693" s="16"/>
      <c r="CC1693" s="16"/>
      <c r="CD1693" s="77"/>
      <c r="CE1693" s="16"/>
      <c r="CF1693" s="16"/>
      <c r="CG1693" s="16"/>
      <c r="CH1693" s="16"/>
      <c r="CI1693" s="16"/>
      <c r="CJ1693" s="16"/>
      <c r="CK1693" s="16"/>
      <c r="CL1693" s="16"/>
      <c r="CM1693" s="16"/>
      <c r="CN1693" s="16"/>
      <c r="CO1693" s="16"/>
      <c r="CP1693" s="16"/>
      <c r="CQ1693" s="16"/>
      <c r="CR1693" s="16"/>
      <c r="CS1693" s="16"/>
      <c r="CT1693" s="16"/>
      <c r="CU1693" s="16"/>
      <c r="CV1693" s="16"/>
      <c r="CW1693" s="16"/>
      <c r="CX1693" s="16"/>
      <c r="CY1693" s="16"/>
      <c r="CZ1693" s="16"/>
      <c r="DA1693" s="16"/>
      <c r="DB1693" s="16"/>
      <c r="DC1693" s="16"/>
      <c r="DD1693" s="16"/>
      <c r="DE1693" s="16"/>
      <c r="DF1693" s="16" t="e">
        <f>VLOOKUP(K1693,'[3]RNA Seq summary tables'!$V$3:$V$99,1,FALSE)</f>
        <v>#N/A</v>
      </c>
      <c r="DG1693" s="16"/>
      <c r="DH1693" s="16"/>
      <c r="DI1693" s="16"/>
      <c r="DJ1693" s="16"/>
      <c r="DK1693" s="16"/>
      <c r="DL1693" s="16"/>
      <c r="DM1693" s="16"/>
      <c r="DN1693" s="16"/>
      <c r="DO1693" s="16"/>
      <c r="DP1693" s="16"/>
      <c r="DQ1693" s="16"/>
      <c r="DR1693" s="16"/>
      <c r="DS1693" s="16"/>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18"/>
      <c r="EQ1693" s="18"/>
      <c r="ER1693" s="18"/>
      <c r="ES1693" s="18"/>
      <c r="ET1693" s="18"/>
      <c r="EU1693" s="18"/>
      <c r="EV1693" s="18"/>
      <c r="EW1693" s="18"/>
      <c r="EX1693" s="18"/>
      <c r="EY1693" s="18"/>
      <c r="EZ1693" s="18"/>
      <c r="FA1693" s="18"/>
      <c r="FB1693" s="18"/>
      <c r="FC1693" s="18"/>
      <c r="FD1693" s="18"/>
      <c r="FE1693" s="18"/>
      <c r="FF1693" s="18"/>
      <c r="FG1693" s="18"/>
      <c r="FH1693" s="18"/>
      <c r="FI1693" s="18"/>
      <c r="FJ1693" s="18"/>
      <c r="FK1693" s="18"/>
      <c r="FL1693" s="18"/>
      <c r="FM1693" s="18"/>
      <c r="FN1693" s="18"/>
      <c r="FO1693" s="18"/>
      <c r="FP1693" s="18"/>
      <c r="FQ1693" s="18"/>
      <c r="FR1693" s="18"/>
      <c r="FS1693" s="18"/>
      <c r="FT1693" s="18"/>
      <c r="FU1693" s="18"/>
      <c r="FV1693" s="18"/>
      <c r="FW1693" s="18"/>
      <c r="FX1693" s="18"/>
      <c r="FY1693" s="18"/>
      <c r="FZ1693" s="18"/>
      <c r="GA1693" s="18"/>
      <c r="GB1693" s="18"/>
      <c r="GC1693" s="18"/>
      <c r="GD1693" s="18"/>
      <c r="GE1693" s="18"/>
      <c r="GF1693" s="18"/>
      <c r="GG1693" s="18"/>
      <c r="GH1693" s="18"/>
      <c r="GI1693" s="18"/>
      <c r="GJ1693" s="18"/>
      <c r="GK1693" s="18"/>
      <c r="GL1693" s="18"/>
      <c r="GM1693" s="18"/>
      <c r="GN1693" s="18"/>
      <c r="GO1693" s="18"/>
      <c r="GP1693" s="18"/>
      <c r="GQ1693" s="18"/>
      <c r="GR1693" s="18"/>
      <c r="GS1693" s="18"/>
      <c r="GT1693" s="18"/>
      <c r="GU1693" s="18"/>
      <c r="GV1693" s="18"/>
      <c r="GW1693" s="18"/>
      <c r="GX1693" s="18"/>
      <c r="GY1693" s="18"/>
      <c r="GZ1693" s="18"/>
      <c r="HA1693" s="18"/>
      <c r="HB1693" s="18"/>
      <c r="HC1693" s="18"/>
      <c r="HD1693" s="18"/>
      <c r="HE1693" s="18"/>
      <c r="HF1693" s="18"/>
      <c r="HG1693" s="18"/>
      <c r="HH1693" s="18"/>
      <c r="HI1693" s="18"/>
      <c r="HJ1693" s="18"/>
      <c r="HK1693" s="18"/>
      <c r="HL1693" s="18"/>
      <c r="HM1693" s="18"/>
      <c r="HN1693" s="18"/>
      <c r="HO1693" s="18"/>
      <c r="HP1693" s="18"/>
      <c r="HQ1693" s="18"/>
      <c r="HR1693" s="18"/>
      <c r="HS1693" s="18"/>
      <c r="HT1693" s="18"/>
      <c r="HU1693" s="18"/>
      <c r="HV1693" s="18"/>
      <c r="HW1693" s="18"/>
      <c r="HX1693" s="18"/>
      <c r="HY1693" s="18"/>
      <c r="HZ1693" s="18"/>
      <c r="IA1693" s="18"/>
      <c r="IB1693" s="18"/>
      <c r="IC1693" s="18"/>
      <c r="ID1693" s="18"/>
      <c r="IE1693" s="18"/>
      <c r="IF1693" s="18"/>
      <c r="IG1693" s="18"/>
      <c r="IH1693" s="18"/>
      <c r="II1693" s="18"/>
      <c r="IJ1693" s="18"/>
      <c r="IK1693" s="18"/>
      <c r="IL1693" s="18"/>
      <c r="IM1693" s="18"/>
      <c r="IN1693" s="18"/>
      <c r="IO1693" s="18"/>
      <c r="IP1693" s="18"/>
      <c r="IQ1693" s="18"/>
      <c r="IR1693" s="18"/>
      <c r="IS1693" s="18"/>
      <c r="IT1693" s="18"/>
      <c r="IU1693" s="18"/>
      <c r="IV1693" s="18"/>
      <c r="IW1693" s="18"/>
      <c r="IX1693" s="18"/>
      <c r="IY1693" s="18"/>
      <c r="IZ1693" s="18"/>
      <c r="JA1693" s="18"/>
      <c r="JB1693" s="18"/>
      <c r="JC1693" s="18"/>
      <c r="JD1693" s="18"/>
      <c r="JE1693" s="18"/>
      <c r="JF1693" s="18"/>
      <c r="JG1693" s="18"/>
      <c r="JH1693" s="18"/>
      <c r="JI1693" s="18"/>
      <c r="JJ1693" s="18"/>
      <c r="JK1693" s="18"/>
      <c r="JL1693" s="18"/>
      <c r="JM1693" s="18"/>
      <c r="JN1693" s="18"/>
      <c r="JO1693" s="16"/>
      <c r="JP1693" s="16"/>
      <c r="JQ1693" s="16"/>
    </row>
    <row r="1694" spans="1:288" s="18" customFormat="1" x14ac:dyDescent="0.2">
      <c r="B1694" s="16">
        <v>2016</v>
      </c>
      <c r="C1694" s="20">
        <v>42605</v>
      </c>
      <c r="D1694" s="20" t="str">
        <f>CONCATENATE(J1694,"-",C1694)</f>
        <v>1024-42605</v>
      </c>
      <c r="E1694" s="20" t="str">
        <f>CONCATENATE(T1694,"-",U1694,"-",C1694)</f>
        <v>HW1-E6-42605</v>
      </c>
      <c r="F1694" s="20" t="s">
        <v>227</v>
      </c>
      <c r="G1694" s="20" t="s">
        <v>278</v>
      </c>
      <c r="H1694" s="16"/>
      <c r="I1694" s="16"/>
      <c r="J1694" s="21">
        <v>1024</v>
      </c>
      <c r="K1694" s="21"/>
      <c r="L1694" s="16"/>
      <c r="M1694" s="21"/>
      <c r="N1694" s="21"/>
      <c r="O1694" s="21"/>
      <c r="P1694" s="16"/>
      <c r="Q1694" s="16"/>
      <c r="R1694" s="16"/>
      <c r="S1694" s="16"/>
      <c r="T1694" s="16" t="s">
        <v>133</v>
      </c>
      <c r="U1694" s="16" t="s">
        <v>232</v>
      </c>
      <c r="V1694" s="16"/>
      <c r="W1694" s="16"/>
      <c r="X1694" s="16"/>
      <c r="Y1694" s="16"/>
      <c r="Z1694" s="16"/>
      <c r="AA1694" s="16"/>
      <c r="AB1694" s="16"/>
      <c r="AC1694" s="16"/>
      <c r="AD1694" s="16"/>
      <c r="AE1694" s="16"/>
      <c r="AF1694" s="16"/>
      <c r="AG1694" s="16"/>
      <c r="AH1694" s="16"/>
      <c r="AI1694" s="16"/>
      <c r="AJ1694" s="16"/>
      <c r="AK1694" s="16">
        <v>17.5</v>
      </c>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77"/>
      <c r="BH1694" s="16"/>
      <c r="BI1694" s="16"/>
      <c r="BJ1694" s="16"/>
      <c r="BK1694" s="16"/>
      <c r="BL1694" s="16"/>
      <c r="BM1694" s="16"/>
      <c r="BN1694" s="16"/>
      <c r="BO1694" s="16"/>
      <c r="BP1694" s="16"/>
      <c r="BQ1694" s="16"/>
      <c r="BR1694" s="16"/>
      <c r="BS1694" s="16"/>
      <c r="BT1694" s="77"/>
      <c r="BU1694" s="16"/>
      <c r="BV1694" s="16"/>
      <c r="BW1694" s="16"/>
      <c r="BX1694" s="16"/>
      <c r="BY1694" s="16"/>
      <c r="BZ1694" s="16"/>
      <c r="CA1694" s="16"/>
      <c r="CB1694" s="16"/>
      <c r="CC1694" s="16"/>
      <c r="CD1694" s="77"/>
      <c r="CE1694" s="16"/>
      <c r="CF1694" s="16"/>
      <c r="CG1694" s="16"/>
      <c r="CH1694" s="16"/>
      <c r="CI1694" s="16"/>
      <c r="CJ1694" s="16"/>
      <c r="CK1694" s="16"/>
      <c r="CL1694" s="16"/>
      <c r="CM1694" s="16"/>
      <c r="CN1694" s="16"/>
      <c r="CO1694" s="16"/>
      <c r="CP1694" s="16"/>
      <c r="CQ1694" s="16"/>
      <c r="CR1694" s="16"/>
      <c r="CS1694" s="16"/>
      <c r="CT1694" s="16"/>
      <c r="CU1694" s="16"/>
      <c r="CV1694" s="16"/>
      <c r="CW1694" s="16"/>
      <c r="CX1694" s="16"/>
      <c r="CY1694" s="16"/>
      <c r="CZ1694" s="16"/>
      <c r="DA1694" s="16"/>
      <c r="DB1694" s="16"/>
      <c r="DC1694" s="16"/>
      <c r="DD1694" s="16"/>
      <c r="DE1694" s="16"/>
      <c r="DF1694" s="16" t="e">
        <f>VLOOKUP(K1694,'[3]RNA Seq summary tables'!$V$3:$V$99,1,FALSE)</f>
        <v>#N/A</v>
      </c>
      <c r="DG1694" s="16">
        <v>1</v>
      </c>
      <c r="DH1694" s="16" t="str">
        <f>VLOOKUP(D1694,'[8]Data with duplicates'!$B$1:$J$70,9,FALSE)</f>
        <v>sample.18dup</v>
      </c>
      <c r="DI1694" s="16"/>
      <c r="DJ1694" s="16"/>
      <c r="DK1694" s="16"/>
      <c r="DL1694" s="16"/>
      <c r="DM1694" s="16"/>
      <c r="DN1694" s="16"/>
      <c r="DO1694" s="16"/>
      <c r="DP1694" s="16"/>
      <c r="DQ1694" s="16"/>
      <c r="DR1694" s="16"/>
      <c r="DS1694" s="16"/>
      <c r="JO1694" s="16"/>
      <c r="JP1694" s="16"/>
      <c r="JQ1694" s="16"/>
      <c r="JR1694" s="16"/>
      <c r="JS1694" s="16"/>
      <c r="JT1694" s="16"/>
      <c r="JU1694" s="16"/>
      <c r="JV1694" s="16"/>
      <c r="JW1694" s="16"/>
      <c r="JX1694" s="16"/>
      <c r="JY1694" s="16"/>
      <c r="JZ1694" s="16"/>
      <c r="KA1694" s="16"/>
      <c r="KB1694" s="16"/>
    </row>
    <row r="1695" spans="1:288" s="18" customFormat="1" x14ac:dyDescent="0.2">
      <c r="B1695" s="16">
        <v>2016</v>
      </c>
      <c r="C1695" s="20">
        <v>42606</v>
      </c>
      <c r="D1695" s="20" t="str">
        <f>CONCATENATE(J1695,"-",C1695)</f>
        <v>1024-42606</v>
      </c>
      <c r="E1695" s="20" t="str">
        <f>CONCATENATE(T1695,"-",U1695,"-",C1695)</f>
        <v>HW2-E7-42606</v>
      </c>
      <c r="F1695" s="20" t="s">
        <v>227</v>
      </c>
      <c r="G1695" s="20" t="s">
        <v>278</v>
      </c>
      <c r="H1695" s="16"/>
      <c r="I1695" s="16"/>
      <c r="J1695" s="21">
        <v>1024</v>
      </c>
      <c r="K1695" s="21"/>
      <c r="L1695" s="16"/>
      <c r="M1695" s="21"/>
      <c r="N1695" s="21"/>
      <c r="O1695" s="21"/>
      <c r="P1695" s="16"/>
      <c r="Q1695" s="16"/>
      <c r="R1695" s="16"/>
      <c r="S1695" s="16"/>
      <c r="T1695" s="16" t="s">
        <v>129</v>
      </c>
      <c r="U1695" s="16" t="s">
        <v>135</v>
      </c>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77"/>
      <c r="BH1695" s="16"/>
      <c r="BI1695" s="16"/>
      <c r="BJ1695" s="16"/>
      <c r="BK1695" s="16"/>
      <c r="BL1695" s="16"/>
      <c r="BM1695" s="16"/>
      <c r="BN1695" s="16"/>
      <c r="BO1695" s="16"/>
      <c r="BP1695" s="16"/>
      <c r="BQ1695" s="16"/>
      <c r="BR1695" s="16"/>
      <c r="BS1695" s="16"/>
      <c r="BT1695" s="77"/>
      <c r="BU1695" s="16"/>
      <c r="BV1695" s="16"/>
      <c r="BW1695" s="16"/>
      <c r="BX1695" s="16"/>
      <c r="BY1695" s="16"/>
      <c r="BZ1695" s="16"/>
      <c r="CA1695" s="16"/>
      <c r="CB1695" s="16"/>
      <c r="CC1695" s="16"/>
      <c r="CD1695" s="77"/>
      <c r="CE1695" s="16"/>
      <c r="CF1695" s="16"/>
      <c r="CG1695" s="16"/>
      <c r="CH1695" s="16"/>
      <c r="CI1695" s="16"/>
      <c r="CJ1695" s="16"/>
      <c r="CK1695" s="16"/>
      <c r="CL1695" s="16"/>
      <c r="CM1695" s="16"/>
      <c r="CN1695" s="16"/>
      <c r="CO1695" s="16"/>
      <c r="CP1695" s="16"/>
      <c r="CQ1695" s="16"/>
      <c r="CR1695" s="16"/>
      <c r="CS1695" s="16"/>
      <c r="CT1695" s="16"/>
      <c r="CU1695" s="16"/>
      <c r="CV1695" s="16"/>
      <c r="CW1695" s="16"/>
      <c r="CX1695" s="16"/>
      <c r="CY1695" s="16"/>
      <c r="CZ1695" s="16"/>
      <c r="DA1695" s="16"/>
      <c r="DB1695" s="16"/>
      <c r="DC1695" s="16"/>
      <c r="DD1695" s="16"/>
      <c r="DE1695" s="16"/>
      <c r="DF1695" s="16" t="e">
        <f>VLOOKUP(K1695,'[3]RNA Seq summary tables'!$V$3:$V$99,1,FALSE)</f>
        <v>#N/A</v>
      </c>
      <c r="DG1695" s="16"/>
      <c r="DH1695" s="16"/>
      <c r="DI1695" s="16"/>
      <c r="DJ1695" s="16"/>
      <c r="DK1695" s="16"/>
      <c r="DL1695" s="16"/>
      <c r="DM1695" s="16"/>
      <c r="DN1695" s="16"/>
      <c r="DO1695" s="16"/>
      <c r="DP1695" s="16"/>
      <c r="DQ1695" s="16"/>
      <c r="DR1695" s="16"/>
      <c r="DS1695" s="16"/>
      <c r="JO1695" s="16"/>
      <c r="JP1695" s="16"/>
      <c r="JQ1695" s="16"/>
      <c r="JR1695" s="16"/>
      <c r="JS1695" s="16"/>
      <c r="JT1695" s="16"/>
      <c r="JU1695" s="16"/>
      <c r="JV1695" s="16"/>
      <c r="JW1695" s="16"/>
      <c r="JX1695" s="16"/>
      <c r="JY1695" s="16"/>
      <c r="JZ1695" s="16"/>
      <c r="KA1695" s="16"/>
      <c r="KB1695" s="16"/>
    </row>
    <row r="1696" spans="1:288" s="18" customFormat="1" x14ac:dyDescent="0.2">
      <c r="B1696" s="16">
        <v>2016</v>
      </c>
      <c r="C1696" s="20">
        <v>42606</v>
      </c>
      <c r="D1696" s="20" t="str">
        <f>CONCATENATE(J1696,"-",C1696)</f>
        <v>1025-42606</v>
      </c>
      <c r="E1696" s="20" t="str">
        <f>CONCATENATE(T1696,"-",U1696,"-",C1696)</f>
        <v>HW2-H8-42606</v>
      </c>
      <c r="F1696" s="20" t="s">
        <v>227</v>
      </c>
      <c r="G1696" s="20" t="s">
        <v>278</v>
      </c>
      <c r="H1696" s="16" t="s">
        <v>283</v>
      </c>
      <c r="I1696" s="16"/>
      <c r="J1696" s="21">
        <v>1025</v>
      </c>
      <c r="K1696" s="21"/>
      <c r="L1696" s="16"/>
      <c r="M1696" s="21"/>
      <c r="N1696" s="21"/>
      <c r="O1696" s="21"/>
      <c r="P1696" s="16"/>
      <c r="Q1696" s="16"/>
      <c r="R1696" s="16"/>
      <c r="S1696" s="16"/>
      <c r="T1696" s="16" t="s">
        <v>129</v>
      </c>
      <c r="U1696" s="16" t="s">
        <v>152</v>
      </c>
      <c r="V1696" s="16"/>
      <c r="W1696" s="16"/>
      <c r="X1696" s="16"/>
      <c r="Y1696" s="16"/>
      <c r="Z1696" s="16"/>
      <c r="AA1696" s="16"/>
      <c r="AB1696" s="16"/>
      <c r="AC1696" s="16"/>
      <c r="AD1696" s="16"/>
      <c r="AE1696" s="16"/>
      <c r="AF1696" s="16"/>
      <c r="AG1696" s="16"/>
      <c r="AH1696" s="16"/>
      <c r="AI1696" s="16"/>
      <c r="AJ1696" s="16"/>
      <c r="AK1696" s="16">
        <v>17</v>
      </c>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77"/>
      <c r="BH1696" s="16"/>
      <c r="BI1696" s="16"/>
      <c r="BJ1696" s="16"/>
      <c r="BK1696" s="16"/>
      <c r="BL1696" s="16"/>
      <c r="BM1696" s="16"/>
      <c r="BN1696" s="16"/>
      <c r="BO1696" s="16"/>
      <c r="BP1696" s="16"/>
      <c r="BQ1696" s="16"/>
      <c r="BR1696" s="16"/>
      <c r="BS1696" s="16"/>
      <c r="BT1696" s="77"/>
      <c r="BU1696" s="16"/>
      <c r="BV1696" s="16"/>
      <c r="BW1696" s="16"/>
      <c r="BX1696" s="16"/>
      <c r="BY1696" s="16"/>
      <c r="BZ1696" s="16"/>
      <c r="CA1696" s="16"/>
      <c r="CB1696" s="16"/>
      <c r="CC1696" s="16"/>
      <c r="CD1696" s="77"/>
      <c r="CE1696" s="16"/>
      <c r="CF1696" s="16"/>
      <c r="CG1696" s="16"/>
      <c r="CH1696" s="16"/>
      <c r="CI1696" s="16"/>
      <c r="CJ1696" s="16"/>
      <c r="CK1696" s="16"/>
      <c r="CL1696" s="16"/>
      <c r="CM1696" s="16"/>
      <c r="CN1696" s="16"/>
      <c r="CO1696" s="16"/>
      <c r="CP1696" s="16"/>
      <c r="CQ1696" s="16"/>
      <c r="CR1696" s="16"/>
      <c r="CS1696" s="16"/>
      <c r="CT1696" s="16"/>
      <c r="CU1696" s="16"/>
      <c r="CV1696" s="16"/>
      <c r="CW1696" s="16"/>
      <c r="CX1696" s="16"/>
      <c r="CY1696" s="16"/>
      <c r="CZ1696" s="16"/>
      <c r="DA1696" s="16"/>
      <c r="DB1696" s="16"/>
      <c r="DC1696" s="16"/>
      <c r="DD1696" s="16"/>
      <c r="DE1696" s="16"/>
      <c r="DF1696" s="16" t="e">
        <f>VLOOKUP(K1696,'[3]RNA Seq summary tables'!$V$3:$V$99,1,FALSE)</f>
        <v>#N/A</v>
      </c>
      <c r="DG1696" s="16"/>
      <c r="DH1696" s="16"/>
      <c r="DI1696" s="16"/>
      <c r="DJ1696" s="16"/>
      <c r="DK1696" s="16"/>
      <c r="DL1696" s="16"/>
      <c r="DM1696" s="16"/>
      <c r="DN1696" s="16"/>
      <c r="DO1696" s="16"/>
      <c r="DP1696" s="16"/>
      <c r="DQ1696" s="16"/>
      <c r="DR1696" s="16"/>
      <c r="DS1696" s="16"/>
      <c r="JO1696" s="16"/>
      <c r="JP1696" s="16"/>
      <c r="JQ1696" s="16"/>
      <c r="JR1696" s="27"/>
      <c r="JS1696" s="27"/>
      <c r="JT1696" s="27"/>
      <c r="JU1696" s="27"/>
      <c r="JV1696" s="27"/>
      <c r="JW1696" s="27"/>
      <c r="JX1696" s="27"/>
      <c r="JY1696" s="27"/>
      <c r="JZ1696" s="27"/>
      <c r="KA1696" s="27"/>
      <c r="KB1696" s="27"/>
    </row>
    <row r="1697" spans="1:288" s="27" customFormat="1" x14ac:dyDescent="0.2">
      <c r="A1697" s="18"/>
      <c r="B1697" s="18">
        <v>2017</v>
      </c>
      <c r="C1697" s="65">
        <v>42885</v>
      </c>
      <c r="D1697" s="65" t="str">
        <f>CONCATENATE(J1697,"-",C1697)</f>
        <v>1026-42885</v>
      </c>
      <c r="E1697" s="20" t="str">
        <f>CONCATENATE(T1697,"-",U1697,"-",C1697)</f>
        <v>BC1-F7-42885</v>
      </c>
      <c r="F1697" s="20" t="s">
        <v>106</v>
      </c>
      <c r="G1697" s="65" t="s">
        <v>278</v>
      </c>
      <c r="H1697" s="25"/>
      <c r="I1697" s="25"/>
      <c r="J1697" s="42">
        <v>1026</v>
      </c>
      <c r="K1697" s="42"/>
      <c r="L1697" s="25"/>
      <c r="M1697" s="42"/>
      <c r="N1697" s="42"/>
      <c r="O1697" s="42"/>
      <c r="P1697" s="25"/>
      <c r="Q1697" s="25"/>
      <c r="R1697" s="25"/>
      <c r="S1697" s="25"/>
      <c r="T1697" s="25" t="s">
        <v>159</v>
      </c>
      <c r="U1697" s="25" t="s">
        <v>189</v>
      </c>
      <c r="V1697" s="25"/>
      <c r="W1697" s="25"/>
      <c r="X1697" s="25"/>
      <c r="Y1697" s="25"/>
      <c r="Z1697" s="25"/>
      <c r="AA1697" s="25"/>
      <c r="AB1697" s="25"/>
      <c r="AC1697" s="25"/>
      <c r="AD1697" s="25"/>
      <c r="AE1697" s="25"/>
      <c r="AF1697" s="25"/>
      <c r="AG1697" s="25"/>
      <c r="AH1697" s="25"/>
      <c r="AI1697" s="25"/>
      <c r="AJ1697" s="25"/>
      <c r="AK1697" s="25"/>
      <c r="AL1697" s="25"/>
      <c r="AM1697" s="25"/>
      <c r="AN1697" s="25"/>
      <c r="AO1697" s="25"/>
      <c r="AP1697" s="25"/>
      <c r="AQ1697" s="25">
        <v>1.6719999999999999</v>
      </c>
      <c r="AR1697" s="25">
        <f>AP1697-1.472</f>
        <v>-1.472</v>
      </c>
      <c r="AS1697" s="25">
        <f>AQ1697-1.472</f>
        <v>0.19999999999999996</v>
      </c>
      <c r="AT1697" s="18"/>
      <c r="AU1697" s="18"/>
      <c r="AV1697" s="18"/>
      <c r="AW1697" s="18"/>
      <c r="AX1697" s="18"/>
      <c r="AY1697" s="18"/>
      <c r="AZ1697" s="18"/>
      <c r="BA1697" s="18"/>
      <c r="BB1697" s="18"/>
      <c r="BC1697" s="18"/>
      <c r="BD1697" s="18"/>
      <c r="BE1697" s="18"/>
      <c r="BF1697" s="18"/>
      <c r="BG1697" s="78"/>
      <c r="BH1697" s="18"/>
      <c r="BI1697" s="18"/>
      <c r="BJ1697" s="18"/>
      <c r="BK1697" s="18"/>
      <c r="BL1697" s="18"/>
      <c r="BM1697" s="18"/>
      <c r="BN1697" s="18"/>
      <c r="BO1697" s="18"/>
      <c r="BP1697" s="18"/>
      <c r="BQ1697" s="18"/>
      <c r="BR1697" s="18"/>
      <c r="BS1697" s="18"/>
      <c r="BT1697" s="78"/>
      <c r="BU1697" s="18"/>
      <c r="BV1697" s="18"/>
      <c r="BW1697" s="18"/>
      <c r="BX1697" s="18"/>
      <c r="BY1697" s="18"/>
      <c r="BZ1697" s="18"/>
      <c r="CA1697" s="18"/>
      <c r="CB1697" s="18"/>
      <c r="CC1697" s="18"/>
      <c r="CD1697" s="7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25"/>
      <c r="DD1697" s="25"/>
      <c r="DE1697" s="25"/>
      <c r="DF1697" s="16" t="e">
        <f>VLOOKUP(K1697,'[3]RNA Seq summary tables'!$V$3:$V$99,1,FALSE)</f>
        <v>#N/A</v>
      </c>
      <c r="DG1697" s="25"/>
      <c r="DH1697" s="25"/>
      <c r="DI1697" s="25"/>
      <c r="DJ1697" s="25"/>
      <c r="DK1697" s="25"/>
      <c r="DL1697" s="25"/>
      <c r="DM1697" s="25"/>
      <c r="DN1697" s="25"/>
      <c r="DO1697" s="25"/>
      <c r="DP1697" s="25"/>
      <c r="DQ1697" s="25"/>
      <c r="DR1697" s="25"/>
      <c r="DS1697" s="25"/>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18"/>
      <c r="EQ1697" s="18"/>
      <c r="ER1697" s="18"/>
      <c r="ES1697" s="18"/>
      <c r="ET1697" s="18"/>
      <c r="EU1697" s="18"/>
      <c r="EV1697" s="18"/>
      <c r="EW1697" s="18"/>
      <c r="EX1697" s="18"/>
      <c r="EY1697" s="18"/>
      <c r="EZ1697" s="18"/>
      <c r="FA1697" s="18"/>
      <c r="FB1697" s="18"/>
      <c r="FC1697" s="18"/>
      <c r="FD1697" s="18"/>
      <c r="FE1697" s="18"/>
      <c r="FF1697" s="18"/>
      <c r="FG1697" s="18"/>
      <c r="FH1697" s="18"/>
      <c r="FI1697" s="18"/>
      <c r="FJ1697" s="18"/>
      <c r="FK1697" s="18"/>
      <c r="FL1697" s="18"/>
      <c r="FM1697" s="18"/>
      <c r="FN1697" s="18"/>
      <c r="FO1697" s="18"/>
      <c r="FP1697" s="18"/>
      <c r="FQ1697" s="18"/>
      <c r="FR1697" s="18"/>
      <c r="FS1697" s="18"/>
      <c r="FT1697" s="18"/>
      <c r="FU1697" s="18"/>
      <c r="FV1697" s="18"/>
      <c r="FW1697" s="18"/>
      <c r="FX1697" s="18"/>
      <c r="FY1697" s="18"/>
      <c r="FZ1697" s="18"/>
      <c r="GA1697" s="18"/>
      <c r="GB1697" s="18"/>
      <c r="GC1697" s="18"/>
      <c r="GD1697" s="18"/>
      <c r="GE1697" s="18"/>
      <c r="GF1697" s="18"/>
      <c r="GG1697" s="18"/>
      <c r="GH1697" s="18"/>
      <c r="GI1697" s="18"/>
      <c r="GJ1697" s="18"/>
      <c r="GK1697" s="18"/>
      <c r="GL1697" s="18"/>
      <c r="GM1697" s="18"/>
      <c r="GN1697" s="18"/>
      <c r="GO1697" s="18"/>
      <c r="GP1697" s="18"/>
      <c r="GQ1697" s="18"/>
      <c r="GR1697" s="18"/>
      <c r="GS1697" s="18"/>
      <c r="GT1697" s="18"/>
      <c r="GU1697" s="18"/>
      <c r="GV1697" s="18"/>
      <c r="GW1697" s="18"/>
      <c r="GX1697" s="18"/>
      <c r="GY1697" s="18"/>
      <c r="GZ1697" s="18"/>
      <c r="HA1697" s="18"/>
      <c r="HB1697" s="18"/>
      <c r="HC1697" s="18"/>
      <c r="HD1697" s="18"/>
      <c r="HE1697" s="18"/>
      <c r="HF1697" s="18"/>
      <c r="HG1697" s="18"/>
      <c r="HH1697" s="18"/>
      <c r="HI1697" s="18"/>
      <c r="HJ1697" s="18"/>
      <c r="HK1697" s="18"/>
      <c r="HL1697" s="18"/>
      <c r="HM1697" s="18"/>
      <c r="HN1697" s="18"/>
      <c r="HO1697" s="18"/>
      <c r="HP1697" s="18"/>
      <c r="HQ1697" s="18"/>
      <c r="HR1697" s="18"/>
      <c r="HS1697" s="18"/>
      <c r="HT1697" s="18"/>
      <c r="HU1697" s="18"/>
      <c r="HV1697" s="18"/>
      <c r="HW1697" s="18"/>
      <c r="HX1697" s="18"/>
      <c r="HY1697" s="18"/>
      <c r="HZ1697" s="18"/>
      <c r="IA1697" s="18"/>
      <c r="IB1697" s="18"/>
      <c r="IC1697" s="18"/>
      <c r="ID1697" s="18"/>
      <c r="IE1697" s="18"/>
      <c r="IF1697" s="18"/>
      <c r="IG1697" s="18"/>
      <c r="IH1697" s="18"/>
      <c r="II1697" s="18"/>
      <c r="IJ1697" s="18"/>
      <c r="IK1697" s="18"/>
      <c r="IL1697" s="18"/>
      <c r="IM1697" s="18"/>
      <c r="IN1697" s="18"/>
      <c r="IO1697" s="18"/>
      <c r="IP1697" s="18"/>
      <c r="IQ1697" s="18"/>
      <c r="IR1697" s="18"/>
      <c r="IS1697" s="18"/>
      <c r="IT1697" s="18"/>
      <c r="IU1697" s="18"/>
      <c r="IV1697" s="18"/>
      <c r="IW1697" s="18"/>
      <c r="IX1697" s="18"/>
      <c r="IY1697" s="18"/>
      <c r="IZ1697" s="18"/>
      <c r="JA1697" s="18"/>
      <c r="JB1697" s="18"/>
      <c r="JC1697" s="18"/>
      <c r="JD1697" s="18"/>
      <c r="JE1697" s="18"/>
      <c r="JF1697" s="18"/>
      <c r="JG1697" s="18"/>
      <c r="JH1697" s="18"/>
      <c r="JI1697" s="18"/>
      <c r="JJ1697" s="18"/>
      <c r="JK1697" s="18"/>
      <c r="JL1697" s="18"/>
      <c r="JM1697" s="18"/>
      <c r="JN1697" s="18"/>
      <c r="JO1697" s="26"/>
      <c r="JP1697" s="16"/>
      <c r="JQ1697" s="16"/>
    </row>
    <row r="1698" spans="1:288" s="27" customFormat="1" x14ac:dyDescent="0.2">
      <c r="A1698" s="18"/>
      <c r="B1698" s="18">
        <v>2017</v>
      </c>
      <c r="C1698" s="71">
        <v>42886</v>
      </c>
      <c r="D1698" s="71" t="str">
        <f>CONCATENATE(J1698,"-",C1698)</f>
        <v>1026-42886</v>
      </c>
      <c r="E1698" s="20" t="str">
        <f>CONCATENATE(T1698,"-",U1698,"-",C1698)</f>
        <v>BC1-F2-42886</v>
      </c>
      <c r="F1698" s="20" t="s">
        <v>106</v>
      </c>
      <c r="G1698" s="37" t="s">
        <v>278</v>
      </c>
      <c r="H1698" s="18"/>
      <c r="I1698" s="18"/>
      <c r="J1698" s="36">
        <v>1026</v>
      </c>
      <c r="K1698" s="36"/>
      <c r="L1698" s="18"/>
      <c r="M1698" s="36"/>
      <c r="N1698" s="36"/>
      <c r="O1698" s="36"/>
      <c r="P1698" s="18"/>
      <c r="Q1698" s="18"/>
      <c r="R1698" s="18"/>
      <c r="S1698" s="18"/>
      <c r="T1698" s="18" t="s">
        <v>159</v>
      </c>
      <c r="U1698" s="18" t="s">
        <v>187</v>
      </c>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v>1.61</v>
      </c>
      <c r="AR1698" s="18">
        <f>AP1698-1.472</f>
        <v>-1.472</v>
      </c>
      <c r="AS1698" s="18">
        <f>AQ1698-1.472</f>
        <v>0.13800000000000012</v>
      </c>
      <c r="AT1698" s="18"/>
      <c r="AU1698" s="18"/>
      <c r="AV1698" s="18"/>
      <c r="AW1698" s="18"/>
      <c r="AX1698" s="18"/>
      <c r="AY1698" s="18"/>
      <c r="AZ1698" s="18"/>
      <c r="BA1698" s="18"/>
      <c r="BB1698" s="18"/>
      <c r="BC1698" s="18"/>
      <c r="BD1698" s="18"/>
      <c r="BE1698" s="18"/>
      <c r="BF1698" s="18"/>
      <c r="BG1698" s="78"/>
      <c r="BH1698" s="18"/>
      <c r="BI1698" s="18"/>
      <c r="BJ1698" s="18"/>
      <c r="BK1698" s="18"/>
      <c r="BL1698" s="18"/>
      <c r="BM1698" s="18"/>
      <c r="BN1698" s="18"/>
      <c r="BO1698" s="18"/>
      <c r="BP1698" s="18"/>
      <c r="BQ1698" s="18"/>
      <c r="BR1698" s="18"/>
      <c r="BS1698" s="18"/>
      <c r="BT1698" s="78"/>
      <c r="BU1698" s="18"/>
      <c r="BV1698" s="18"/>
      <c r="BW1698" s="18"/>
      <c r="BX1698" s="18"/>
      <c r="BY1698" s="18"/>
      <c r="BZ1698" s="18"/>
      <c r="CA1698" s="18"/>
      <c r="CB1698" s="18"/>
      <c r="CC1698" s="18"/>
      <c r="CD1698" s="7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6" t="e">
        <f>VLOOKUP(K1698,'[3]RNA Seq summary tables'!$V$3:$V$99,1,FALSE)</f>
        <v>#N/A</v>
      </c>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18"/>
      <c r="EQ1698" s="18"/>
      <c r="ER1698" s="18"/>
      <c r="ES1698" s="18"/>
      <c r="ET1698" s="18"/>
      <c r="EU1698" s="18"/>
      <c r="EV1698" s="18"/>
      <c r="EW1698" s="18"/>
      <c r="EX1698" s="18"/>
      <c r="EY1698" s="18"/>
      <c r="EZ1698" s="18"/>
      <c r="FA1698" s="18"/>
      <c r="FB1698" s="18"/>
      <c r="FC1698" s="18"/>
      <c r="FD1698" s="18"/>
      <c r="FE1698" s="18"/>
      <c r="FF1698" s="18"/>
      <c r="FG1698" s="18"/>
      <c r="FH1698" s="18"/>
      <c r="FI1698" s="18"/>
      <c r="FJ1698" s="18"/>
      <c r="FK1698" s="18"/>
      <c r="FL1698" s="18"/>
      <c r="FM1698" s="18"/>
      <c r="FN1698" s="18"/>
      <c r="FO1698" s="18"/>
      <c r="FP1698" s="18"/>
      <c r="FQ1698" s="18"/>
      <c r="FR1698" s="18"/>
      <c r="FS1698" s="18"/>
      <c r="FT1698" s="18"/>
      <c r="FU1698" s="18"/>
      <c r="FV1698" s="18"/>
      <c r="FW1698" s="18"/>
      <c r="FX1698" s="18"/>
      <c r="FY1698" s="18"/>
      <c r="FZ1698" s="18"/>
      <c r="GA1698" s="18"/>
      <c r="GB1698" s="18"/>
      <c r="GC1698" s="18"/>
      <c r="GD1698" s="18"/>
      <c r="GE1698" s="18"/>
      <c r="GF1698" s="18"/>
      <c r="GG1698" s="18"/>
      <c r="GH1698" s="18"/>
      <c r="GI1698" s="18"/>
      <c r="GJ1698" s="18"/>
      <c r="GK1698" s="18"/>
      <c r="GL1698" s="18"/>
      <c r="GM1698" s="18"/>
      <c r="GN1698" s="18"/>
      <c r="GO1698" s="18"/>
      <c r="GP1698" s="18"/>
      <c r="GQ1698" s="18"/>
      <c r="GR1698" s="18"/>
      <c r="GS1698" s="18"/>
      <c r="GT1698" s="18"/>
      <c r="GU1698" s="18"/>
      <c r="GV1698" s="18"/>
      <c r="GW1698" s="18"/>
      <c r="GX1698" s="18"/>
      <c r="GY1698" s="18"/>
      <c r="GZ1698" s="18"/>
      <c r="HA1698" s="18"/>
      <c r="HB1698" s="18"/>
      <c r="HC1698" s="18"/>
      <c r="HD1698" s="18"/>
      <c r="HE1698" s="18"/>
      <c r="HF1698" s="18"/>
      <c r="HG1698" s="18"/>
      <c r="HH1698" s="18"/>
      <c r="HI1698" s="18"/>
      <c r="HJ1698" s="18"/>
      <c r="HK1698" s="18"/>
      <c r="HL1698" s="18"/>
      <c r="HM1698" s="18"/>
      <c r="HN1698" s="18"/>
      <c r="HO1698" s="18"/>
      <c r="HP1698" s="18"/>
      <c r="HQ1698" s="18"/>
      <c r="HR1698" s="18"/>
      <c r="HS1698" s="18"/>
      <c r="HT1698" s="18"/>
      <c r="HU1698" s="18"/>
      <c r="HV1698" s="18"/>
      <c r="HW1698" s="18"/>
      <c r="HX1698" s="18"/>
      <c r="HY1698" s="18"/>
      <c r="HZ1698" s="18"/>
      <c r="IA1698" s="18"/>
      <c r="IB1698" s="18"/>
      <c r="IC1698" s="18"/>
      <c r="ID1698" s="18"/>
      <c r="IE1698" s="18"/>
      <c r="IF1698" s="18"/>
      <c r="IG1698" s="18"/>
      <c r="IH1698" s="18"/>
      <c r="II1698" s="18"/>
      <c r="IJ1698" s="18"/>
      <c r="IK1698" s="18"/>
      <c r="IL1698" s="18"/>
      <c r="IM1698" s="18"/>
      <c r="IN1698" s="18"/>
      <c r="IO1698" s="18"/>
      <c r="IP1698" s="18"/>
      <c r="IQ1698" s="18"/>
      <c r="IR1698" s="18"/>
      <c r="IS1698" s="18"/>
      <c r="IT1698" s="18"/>
      <c r="IU1698" s="18"/>
      <c r="IV1698" s="18"/>
      <c r="IW1698" s="18"/>
      <c r="IX1698" s="18"/>
      <c r="IY1698" s="18"/>
      <c r="IZ1698" s="18"/>
      <c r="JA1698" s="18"/>
      <c r="JB1698" s="18"/>
      <c r="JC1698" s="18"/>
      <c r="JD1698" s="18"/>
      <c r="JE1698" s="18"/>
      <c r="JF1698" s="18"/>
      <c r="JG1698" s="18"/>
      <c r="JH1698" s="18"/>
      <c r="JI1698" s="18"/>
      <c r="JJ1698" s="18"/>
      <c r="JK1698" s="18"/>
      <c r="JL1698" s="18"/>
      <c r="JM1698" s="18"/>
      <c r="JN1698" s="18"/>
      <c r="JO1698" s="16"/>
      <c r="JP1698" s="16"/>
      <c r="JQ1698" s="16"/>
      <c r="JR1698" s="16"/>
      <c r="JS1698" s="16"/>
      <c r="JT1698" s="16"/>
      <c r="JU1698" s="16"/>
      <c r="JV1698" s="16"/>
      <c r="JW1698" s="16"/>
      <c r="JX1698" s="16"/>
      <c r="JY1698" s="16"/>
      <c r="JZ1698" s="16"/>
      <c r="KA1698" s="16"/>
      <c r="KB1698" s="16"/>
    </row>
    <row r="1699" spans="1:288" s="27" customFormat="1" x14ac:dyDescent="0.2">
      <c r="A1699" s="18"/>
      <c r="B1699" s="18">
        <v>2017</v>
      </c>
      <c r="C1699" s="37">
        <v>42885</v>
      </c>
      <c r="D1699" s="37" t="str">
        <f>CONCATENATE(J1699,"-",C1699)</f>
        <v>1027-42885</v>
      </c>
      <c r="E1699" s="20" t="str">
        <f>CONCATENATE(T1699,"-",U1699,"-",C1699)</f>
        <v>BC1-D1-42885</v>
      </c>
      <c r="F1699" s="20" t="s">
        <v>106</v>
      </c>
      <c r="G1699" s="37" t="s">
        <v>278</v>
      </c>
      <c r="H1699" s="18"/>
      <c r="I1699" s="18"/>
      <c r="J1699" s="36">
        <v>1027</v>
      </c>
      <c r="K1699" s="36"/>
      <c r="L1699" s="18"/>
      <c r="M1699" s="36"/>
      <c r="N1699" s="36"/>
      <c r="O1699" s="36"/>
      <c r="P1699" s="18"/>
      <c r="Q1699" s="18"/>
      <c r="R1699" s="18"/>
      <c r="S1699" s="18"/>
      <c r="T1699" s="18" t="s">
        <v>159</v>
      </c>
      <c r="U1699" s="18" t="s">
        <v>157</v>
      </c>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v>1.675</v>
      </c>
      <c r="AR1699" s="18">
        <f>AP1699-1.472</f>
        <v>-1.472</v>
      </c>
      <c r="AS1699" s="18">
        <f>AQ1699-1.472</f>
        <v>0.20300000000000007</v>
      </c>
      <c r="AT1699" s="18"/>
      <c r="AU1699" s="18"/>
      <c r="AV1699" s="18"/>
      <c r="AW1699" s="18"/>
      <c r="AX1699" s="18"/>
      <c r="AY1699" s="18"/>
      <c r="AZ1699" s="18"/>
      <c r="BA1699" s="18"/>
      <c r="BB1699" s="18"/>
      <c r="BC1699" s="18"/>
      <c r="BD1699" s="18"/>
      <c r="BE1699" s="18"/>
      <c r="BF1699" s="18"/>
      <c r="BG1699" s="78"/>
      <c r="BH1699" s="18"/>
      <c r="BI1699" s="18"/>
      <c r="BJ1699" s="18"/>
      <c r="BK1699" s="18"/>
      <c r="BL1699" s="18"/>
      <c r="BM1699" s="18"/>
      <c r="BN1699" s="18"/>
      <c r="BO1699" s="18"/>
      <c r="BP1699" s="18"/>
      <c r="BQ1699" s="18"/>
      <c r="BR1699" s="18"/>
      <c r="BS1699" s="18"/>
      <c r="BT1699" s="78"/>
      <c r="BU1699" s="18"/>
      <c r="BV1699" s="18"/>
      <c r="BW1699" s="18"/>
      <c r="BX1699" s="18"/>
      <c r="BY1699" s="18"/>
      <c r="BZ1699" s="18"/>
      <c r="CA1699" s="18"/>
      <c r="CB1699" s="18"/>
      <c r="CC1699" s="18"/>
      <c r="CD1699" s="7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6" t="e">
        <f>VLOOKUP(K1699,'[3]RNA Seq summary tables'!$V$3:$V$99,1,FALSE)</f>
        <v>#N/A</v>
      </c>
      <c r="DG1699" s="18"/>
      <c r="DH1699" s="18"/>
      <c r="DI1699" s="18"/>
      <c r="DJ1699" s="18"/>
      <c r="DK1699" s="18"/>
      <c r="DL1699" s="18"/>
      <c r="DM1699" s="18"/>
      <c r="DN1699" s="18"/>
      <c r="DO1699" s="18"/>
      <c r="DP1699" s="18"/>
      <c r="DQ1699" s="18"/>
      <c r="DR1699" s="18"/>
      <c r="DS1699" s="18"/>
      <c r="DT1699" s="95"/>
      <c r="DU1699" s="95"/>
      <c r="DV1699" s="95"/>
      <c r="DW1699" s="95"/>
      <c r="DX1699" s="95"/>
      <c r="DY1699" s="95"/>
      <c r="DZ1699" s="95"/>
      <c r="EA1699" s="95"/>
      <c r="EB1699" s="95"/>
      <c r="EC1699" s="95"/>
      <c r="ED1699" s="95"/>
      <c r="EE1699" s="18"/>
      <c r="EF1699" s="18"/>
      <c r="EG1699" s="18"/>
      <c r="EH1699" s="18"/>
      <c r="EI1699" s="18"/>
      <c r="EJ1699" s="18"/>
      <c r="EK1699" s="18"/>
      <c r="EL1699" s="18"/>
      <c r="EM1699" s="18"/>
      <c r="EN1699" s="18"/>
      <c r="EO1699" s="18"/>
      <c r="EP1699" s="18"/>
      <c r="EQ1699" s="18"/>
      <c r="ER1699" s="18"/>
      <c r="ES1699" s="18"/>
      <c r="ET1699" s="18"/>
      <c r="EU1699" s="18"/>
      <c r="EV1699" s="18"/>
      <c r="EW1699" s="18"/>
      <c r="EX1699" s="18"/>
      <c r="EY1699" s="18"/>
      <c r="EZ1699" s="18"/>
      <c r="FA1699" s="18"/>
      <c r="FB1699" s="18"/>
      <c r="FC1699" s="18"/>
      <c r="FD1699" s="18"/>
      <c r="FE1699" s="18"/>
      <c r="FF1699" s="18"/>
      <c r="FG1699" s="18"/>
      <c r="FH1699" s="18"/>
      <c r="FI1699" s="18"/>
      <c r="FJ1699" s="18"/>
      <c r="FK1699" s="18"/>
      <c r="FL1699" s="18"/>
      <c r="FM1699" s="18"/>
      <c r="FN1699" s="18"/>
      <c r="FO1699" s="18"/>
      <c r="FP1699" s="18"/>
      <c r="FQ1699" s="18"/>
      <c r="FR1699" s="18"/>
      <c r="FS1699" s="18"/>
      <c r="FT1699" s="18"/>
      <c r="FU1699" s="18"/>
      <c r="FV1699" s="18"/>
      <c r="FW1699" s="18"/>
      <c r="FX1699" s="18"/>
      <c r="FY1699" s="18"/>
      <c r="FZ1699" s="18"/>
      <c r="GA1699" s="18"/>
      <c r="GB1699" s="18"/>
      <c r="GC1699" s="18"/>
      <c r="GD1699" s="18"/>
      <c r="GE1699" s="18"/>
      <c r="GF1699" s="18"/>
      <c r="GG1699" s="18"/>
      <c r="GH1699" s="18"/>
      <c r="GI1699" s="18"/>
      <c r="GJ1699" s="18"/>
      <c r="GK1699" s="18"/>
      <c r="GL1699" s="18"/>
      <c r="GM1699" s="18"/>
      <c r="GN1699" s="18"/>
      <c r="GO1699" s="18"/>
      <c r="GP1699" s="18"/>
      <c r="GQ1699" s="18"/>
      <c r="GR1699" s="18"/>
      <c r="GS1699" s="18"/>
      <c r="GT1699" s="18"/>
      <c r="GU1699" s="18"/>
      <c r="GV1699" s="18"/>
      <c r="GW1699" s="18"/>
      <c r="GX1699" s="18"/>
      <c r="GY1699" s="18"/>
      <c r="GZ1699" s="18"/>
      <c r="HA1699" s="18"/>
      <c r="HB1699" s="18"/>
      <c r="HC1699" s="18"/>
      <c r="HD1699" s="18"/>
      <c r="HE1699" s="18"/>
      <c r="HF1699" s="18"/>
      <c r="HG1699" s="18"/>
      <c r="HH1699" s="18"/>
      <c r="HI1699" s="18"/>
      <c r="HJ1699" s="18"/>
      <c r="HK1699" s="18"/>
      <c r="HL1699" s="18"/>
      <c r="HM1699" s="18"/>
      <c r="HN1699" s="18"/>
      <c r="HO1699" s="18"/>
      <c r="HP1699" s="18"/>
      <c r="HQ1699" s="18"/>
      <c r="HR1699" s="18"/>
      <c r="HS1699" s="18"/>
      <c r="HT1699" s="18"/>
      <c r="HU1699" s="18"/>
      <c r="HV1699" s="18"/>
      <c r="HW1699" s="18"/>
      <c r="HX1699" s="18"/>
      <c r="HY1699" s="18"/>
      <c r="HZ1699" s="18"/>
      <c r="IA1699" s="18"/>
      <c r="IB1699" s="18"/>
      <c r="IC1699" s="18"/>
      <c r="ID1699" s="18"/>
      <c r="IE1699" s="18"/>
      <c r="IF1699" s="18"/>
      <c r="IG1699" s="18"/>
      <c r="IH1699" s="18"/>
      <c r="II1699" s="18"/>
      <c r="IJ1699" s="18"/>
      <c r="IK1699" s="18"/>
      <c r="IL1699" s="18"/>
      <c r="IM1699" s="18"/>
      <c r="IN1699" s="18"/>
      <c r="IO1699" s="18"/>
      <c r="IP1699" s="18"/>
      <c r="IQ1699" s="18"/>
      <c r="IR1699" s="18"/>
      <c r="IS1699" s="18"/>
      <c r="IT1699" s="18"/>
      <c r="IU1699" s="18"/>
      <c r="IV1699" s="18"/>
      <c r="IW1699" s="18"/>
      <c r="IX1699" s="18"/>
      <c r="IY1699" s="18"/>
      <c r="IZ1699" s="18"/>
      <c r="JA1699" s="18"/>
      <c r="JB1699" s="18"/>
      <c r="JC1699" s="18"/>
      <c r="JD1699" s="18"/>
      <c r="JE1699" s="18"/>
      <c r="JF1699" s="18"/>
      <c r="JG1699" s="18"/>
      <c r="JH1699" s="18"/>
      <c r="JI1699" s="18"/>
      <c r="JJ1699" s="18"/>
      <c r="JK1699" s="18"/>
      <c r="JL1699" s="18"/>
      <c r="JM1699" s="18"/>
      <c r="JN1699" s="18"/>
      <c r="JO1699" s="26"/>
      <c r="JP1699" s="16"/>
      <c r="JQ1699" s="16"/>
      <c r="JR1699" s="16"/>
      <c r="JS1699" s="16"/>
      <c r="JT1699" s="16"/>
      <c r="JU1699" s="16"/>
      <c r="JV1699" s="16"/>
      <c r="JW1699" s="16"/>
      <c r="JX1699" s="16"/>
      <c r="JY1699" s="16"/>
      <c r="JZ1699" s="16"/>
      <c r="KA1699" s="16"/>
      <c r="KB1699" s="16"/>
    </row>
    <row r="1700" spans="1:288" s="27" customFormat="1" x14ac:dyDescent="0.2">
      <c r="A1700" s="18"/>
      <c r="B1700" s="16">
        <v>2017</v>
      </c>
      <c r="C1700" s="20">
        <v>42920</v>
      </c>
      <c r="D1700" s="20" t="str">
        <f>CONCATENATE(J1700,"-",C1700)</f>
        <v>1027-42920</v>
      </c>
      <c r="E1700" s="20" t="str">
        <f>CONCATENATE(T1700,"-",U1700,"-",C1700)</f>
        <v>BC1-D2-42920</v>
      </c>
      <c r="F1700" s="20" t="s">
        <v>106</v>
      </c>
      <c r="G1700" s="20" t="s">
        <v>278</v>
      </c>
      <c r="H1700" s="16"/>
      <c r="I1700" s="16"/>
      <c r="J1700" s="21">
        <v>1027</v>
      </c>
      <c r="K1700" s="21"/>
      <c r="L1700" s="16"/>
      <c r="M1700" s="21"/>
      <c r="N1700" s="21"/>
      <c r="O1700" s="21"/>
      <c r="P1700" s="16"/>
      <c r="Q1700" s="16"/>
      <c r="R1700" s="16"/>
      <c r="S1700" s="16"/>
      <c r="T1700" s="16" t="s">
        <v>159</v>
      </c>
      <c r="U1700" s="16" t="s">
        <v>198</v>
      </c>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f>SUM(AL1700:AN1700)</f>
        <v>0</v>
      </c>
      <c r="AQ1700" s="16"/>
      <c r="AR1700" s="16"/>
      <c r="AS1700" s="16"/>
      <c r="AT1700" s="16" t="s">
        <v>285</v>
      </c>
      <c r="AU1700" s="16"/>
      <c r="AV1700" s="16"/>
      <c r="AW1700" s="16"/>
      <c r="AX1700" s="16"/>
      <c r="AY1700" s="18"/>
      <c r="AZ1700" s="16"/>
      <c r="BA1700" s="16"/>
      <c r="BB1700" s="16"/>
      <c r="BC1700" s="16"/>
      <c r="BD1700" s="16"/>
      <c r="BE1700" s="16"/>
      <c r="BF1700" s="16"/>
      <c r="BG1700" s="77"/>
      <c r="BH1700" s="16"/>
      <c r="BI1700" s="16"/>
      <c r="BJ1700" s="16"/>
      <c r="BK1700" s="16"/>
      <c r="BL1700" s="16"/>
      <c r="BM1700" s="16"/>
      <c r="BN1700" s="16"/>
      <c r="BO1700" s="16"/>
      <c r="BP1700" s="16"/>
      <c r="BQ1700" s="16"/>
      <c r="BR1700" s="16"/>
      <c r="BS1700" s="16"/>
      <c r="BT1700" s="77"/>
      <c r="BU1700" s="16"/>
      <c r="BV1700" s="16"/>
      <c r="BW1700" s="16"/>
      <c r="BX1700" s="16"/>
      <c r="BY1700" s="16"/>
      <c r="BZ1700" s="16"/>
      <c r="CA1700" s="16"/>
      <c r="CB1700" s="16"/>
      <c r="CC1700" s="16"/>
      <c r="CD1700" s="77"/>
      <c r="CE1700" s="16"/>
      <c r="CF1700" s="16"/>
      <c r="CG1700" s="16"/>
      <c r="CH1700" s="16"/>
      <c r="CI1700" s="16"/>
      <c r="CJ1700" s="16"/>
      <c r="CK1700" s="16"/>
      <c r="CL1700" s="16"/>
      <c r="CM1700" s="16"/>
      <c r="CN1700" s="16"/>
      <c r="CO1700" s="16"/>
      <c r="CP1700" s="16"/>
      <c r="CQ1700" s="16"/>
      <c r="CR1700" s="16"/>
      <c r="CS1700" s="16"/>
      <c r="CT1700" s="16"/>
      <c r="CU1700" s="16"/>
      <c r="CV1700" s="16"/>
      <c r="CW1700" s="16"/>
      <c r="CX1700" s="16"/>
      <c r="CY1700" s="16"/>
      <c r="CZ1700" s="16"/>
      <c r="DA1700" s="16"/>
      <c r="DB1700" s="16"/>
      <c r="DC1700" s="16"/>
      <c r="DD1700" s="16"/>
      <c r="DE1700" s="16"/>
      <c r="DF1700" s="16" t="e">
        <f>VLOOKUP(K1700,'[3]RNA Seq summary tables'!$V$3:$V$99,1,FALSE)</f>
        <v>#N/A</v>
      </c>
      <c r="DG1700" s="16"/>
      <c r="DH1700" s="16"/>
      <c r="DI1700" s="16"/>
      <c r="DJ1700" s="16"/>
      <c r="DK1700" s="16"/>
      <c r="DL1700" s="16"/>
      <c r="DM1700" s="16"/>
      <c r="DN1700" s="16"/>
      <c r="DO1700" s="16"/>
      <c r="DP1700" s="16"/>
      <c r="DQ1700" s="16"/>
      <c r="DR1700" s="16"/>
      <c r="DS1700" s="16"/>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18"/>
      <c r="EQ1700" s="18"/>
      <c r="ER1700" s="18"/>
      <c r="ES1700" s="18"/>
      <c r="ET1700" s="18"/>
      <c r="EU1700" s="18"/>
      <c r="EV1700" s="18"/>
      <c r="EW1700" s="18"/>
      <c r="EX1700" s="18"/>
      <c r="EY1700" s="18"/>
      <c r="EZ1700" s="18"/>
      <c r="FA1700" s="18"/>
      <c r="FB1700" s="18"/>
      <c r="FC1700" s="18"/>
      <c r="FD1700" s="18"/>
      <c r="FE1700" s="18"/>
      <c r="FF1700" s="18"/>
      <c r="FG1700" s="18"/>
      <c r="FH1700" s="18"/>
      <c r="FI1700" s="18"/>
      <c r="FJ1700" s="18"/>
      <c r="FK1700" s="18"/>
      <c r="FL1700" s="18"/>
      <c r="FM1700" s="18"/>
      <c r="FN1700" s="18"/>
      <c r="FO1700" s="18"/>
      <c r="FP1700" s="18"/>
      <c r="FQ1700" s="18"/>
      <c r="FR1700" s="18"/>
      <c r="FS1700" s="18"/>
      <c r="FT1700" s="18"/>
      <c r="FU1700" s="18"/>
      <c r="FV1700" s="18"/>
      <c r="FW1700" s="18"/>
      <c r="FX1700" s="18"/>
      <c r="FY1700" s="18"/>
      <c r="FZ1700" s="18"/>
      <c r="GA1700" s="18"/>
      <c r="GB1700" s="18"/>
      <c r="GC1700" s="18"/>
      <c r="GD1700" s="18"/>
      <c r="GE1700" s="18"/>
      <c r="GF1700" s="18"/>
      <c r="GG1700" s="18"/>
      <c r="GH1700" s="18"/>
      <c r="GI1700" s="18"/>
      <c r="GJ1700" s="18"/>
      <c r="GK1700" s="18"/>
      <c r="GL1700" s="18"/>
      <c r="GM1700" s="18"/>
      <c r="GN1700" s="18"/>
      <c r="GO1700" s="18"/>
      <c r="GP1700" s="18"/>
      <c r="GQ1700" s="18"/>
      <c r="GR1700" s="18"/>
      <c r="GS1700" s="18"/>
      <c r="GT1700" s="18"/>
      <c r="GU1700" s="18"/>
      <c r="GV1700" s="18"/>
      <c r="GW1700" s="18"/>
      <c r="GX1700" s="18"/>
      <c r="GY1700" s="18"/>
      <c r="GZ1700" s="18"/>
      <c r="HA1700" s="18"/>
      <c r="HB1700" s="18"/>
      <c r="HC1700" s="18"/>
      <c r="HD1700" s="18"/>
      <c r="HE1700" s="18"/>
      <c r="HF1700" s="18"/>
      <c r="HG1700" s="18"/>
      <c r="HH1700" s="18"/>
      <c r="HI1700" s="18"/>
      <c r="HJ1700" s="18"/>
      <c r="HK1700" s="18"/>
      <c r="HL1700" s="18"/>
      <c r="HM1700" s="18"/>
      <c r="HN1700" s="18"/>
      <c r="HO1700" s="18"/>
      <c r="HP1700" s="18"/>
      <c r="HQ1700" s="18"/>
      <c r="HR1700" s="18"/>
      <c r="HS1700" s="18"/>
      <c r="HT1700" s="18"/>
      <c r="HU1700" s="18"/>
      <c r="HV1700" s="18"/>
      <c r="HW1700" s="18"/>
      <c r="HX1700" s="18"/>
      <c r="HY1700" s="18"/>
      <c r="HZ1700" s="18"/>
      <c r="IA1700" s="18"/>
      <c r="IB1700" s="18"/>
      <c r="IC1700" s="18"/>
      <c r="ID1700" s="18"/>
      <c r="IE1700" s="18"/>
      <c r="IF1700" s="18"/>
      <c r="IG1700" s="18"/>
      <c r="IH1700" s="18"/>
      <c r="II1700" s="18"/>
      <c r="IJ1700" s="18"/>
      <c r="IK1700" s="18"/>
      <c r="IL1700" s="18"/>
      <c r="IM1700" s="18"/>
      <c r="IN1700" s="18"/>
      <c r="IO1700" s="18"/>
      <c r="IP1700" s="18"/>
      <c r="IQ1700" s="18"/>
      <c r="IR1700" s="18"/>
      <c r="IS1700" s="18"/>
      <c r="IT1700" s="18"/>
      <c r="IU1700" s="18"/>
      <c r="IV1700" s="18"/>
      <c r="IW1700" s="18"/>
      <c r="IX1700" s="18"/>
      <c r="IY1700" s="18"/>
      <c r="IZ1700" s="18"/>
      <c r="JA1700" s="18"/>
      <c r="JB1700" s="18"/>
      <c r="JC1700" s="18"/>
      <c r="JD1700" s="18"/>
      <c r="JE1700" s="18"/>
      <c r="JF1700" s="18"/>
      <c r="JG1700" s="18"/>
      <c r="JH1700" s="18"/>
      <c r="JI1700" s="18"/>
      <c r="JJ1700" s="18"/>
      <c r="JK1700" s="18"/>
      <c r="JL1700" s="18"/>
      <c r="JM1700" s="18"/>
      <c r="JN1700" s="18"/>
      <c r="JO1700" s="18"/>
    </row>
    <row r="1701" spans="1:288" s="27" customFormat="1" x14ac:dyDescent="0.2">
      <c r="A1701" s="18"/>
      <c r="B1701" s="16">
        <v>2017</v>
      </c>
      <c r="C1701" s="20">
        <v>42938</v>
      </c>
      <c r="D1701" s="20" t="str">
        <f>CONCATENATE(J1701,"-",C1701)</f>
        <v>1027-42938</v>
      </c>
      <c r="E1701" s="20" t="str">
        <f>CONCATENATE(T1701,"-",U1701,"-",C1701)</f>
        <v>BC1-D2-42938</v>
      </c>
      <c r="F1701" s="20" t="s">
        <v>106</v>
      </c>
      <c r="G1701" s="20" t="s">
        <v>278</v>
      </c>
      <c r="H1701" s="16"/>
      <c r="I1701" s="16"/>
      <c r="J1701" s="21">
        <v>1027</v>
      </c>
      <c r="K1701" s="21"/>
      <c r="L1701" s="16"/>
      <c r="M1701" s="21"/>
      <c r="N1701" s="21"/>
      <c r="O1701" s="21"/>
      <c r="P1701" s="16"/>
      <c r="Q1701" s="16"/>
      <c r="R1701" s="16"/>
      <c r="S1701" s="16"/>
      <c r="T1701" s="16" t="s">
        <v>159</v>
      </c>
      <c r="U1701" s="16" t="s">
        <v>198</v>
      </c>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f>SUM(AL1701:AN1701)</f>
        <v>0</v>
      </c>
      <c r="AQ1701" s="16"/>
      <c r="AR1701" s="16"/>
      <c r="AS1701" s="16"/>
      <c r="AT1701" s="16" t="s">
        <v>285</v>
      </c>
      <c r="AU1701" s="16"/>
      <c r="AV1701" s="16"/>
      <c r="AW1701" s="16"/>
      <c r="AX1701" s="16"/>
      <c r="AY1701" s="18"/>
      <c r="AZ1701" s="16"/>
      <c r="BA1701" s="16"/>
      <c r="BB1701" s="16"/>
      <c r="BC1701" s="16"/>
      <c r="BD1701" s="16"/>
      <c r="BE1701" s="16"/>
      <c r="BF1701" s="16"/>
      <c r="BG1701" s="77"/>
      <c r="BH1701" s="16"/>
      <c r="BI1701" s="16"/>
      <c r="BJ1701" s="16"/>
      <c r="BK1701" s="16"/>
      <c r="BL1701" s="16"/>
      <c r="BM1701" s="16"/>
      <c r="BN1701" s="16"/>
      <c r="BO1701" s="16"/>
      <c r="BP1701" s="16"/>
      <c r="BQ1701" s="16"/>
      <c r="BR1701" s="16"/>
      <c r="BS1701" s="16"/>
      <c r="BT1701" s="77"/>
      <c r="BU1701" s="16"/>
      <c r="BV1701" s="16"/>
      <c r="BW1701" s="16"/>
      <c r="BX1701" s="16"/>
      <c r="BY1701" s="16"/>
      <c r="BZ1701" s="16"/>
      <c r="CA1701" s="16"/>
      <c r="CB1701" s="16"/>
      <c r="CC1701" s="16"/>
      <c r="CD1701" s="77"/>
      <c r="CE1701" s="16"/>
      <c r="CF1701" s="16"/>
      <c r="CG1701" s="16"/>
      <c r="CH1701" s="16"/>
      <c r="CI1701" s="16"/>
      <c r="CJ1701" s="16"/>
      <c r="CK1701" s="16"/>
      <c r="CL1701" s="16"/>
      <c r="CM1701" s="16"/>
      <c r="CN1701" s="16"/>
      <c r="CO1701" s="16"/>
      <c r="CP1701" s="16"/>
      <c r="CQ1701" s="16"/>
      <c r="CR1701" s="16"/>
      <c r="CS1701" s="16"/>
      <c r="CT1701" s="16"/>
      <c r="CU1701" s="16"/>
      <c r="CV1701" s="16"/>
      <c r="CW1701" s="16"/>
      <c r="CX1701" s="16"/>
      <c r="CY1701" s="16"/>
      <c r="CZ1701" s="16"/>
      <c r="DA1701" s="16"/>
      <c r="DB1701" s="16"/>
      <c r="DC1701" s="16"/>
      <c r="DD1701" s="16"/>
      <c r="DE1701" s="16"/>
      <c r="DF1701" s="16" t="e">
        <f>VLOOKUP(K1701,'[3]RNA Seq summary tables'!$V$3:$V$99,1,FALSE)</f>
        <v>#N/A</v>
      </c>
      <c r="DG1701" s="16"/>
      <c r="DH1701" s="16"/>
      <c r="DI1701" s="16"/>
      <c r="DJ1701" s="16"/>
      <c r="DK1701" s="16"/>
      <c r="DL1701" s="16"/>
      <c r="DM1701" s="16"/>
      <c r="DN1701" s="16"/>
      <c r="DO1701" s="16"/>
      <c r="DP1701" s="16"/>
      <c r="DQ1701" s="16"/>
      <c r="DR1701" s="16"/>
      <c r="DS1701" s="16"/>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18"/>
      <c r="EQ1701" s="18"/>
      <c r="ER1701" s="18"/>
      <c r="ES1701" s="18"/>
      <c r="ET1701" s="18"/>
      <c r="EU1701" s="18"/>
      <c r="EV1701" s="18"/>
      <c r="EW1701" s="18"/>
      <c r="EX1701" s="18"/>
      <c r="EY1701" s="18"/>
      <c r="EZ1701" s="18"/>
      <c r="FA1701" s="18"/>
      <c r="FB1701" s="18"/>
      <c r="FC1701" s="18"/>
      <c r="FD1701" s="18"/>
      <c r="FE1701" s="18"/>
      <c r="FF1701" s="18"/>
      <c r="FG1701" s="18"/>
      <c r="FH1701" s="18"/>
      <c r="FI1701" s="18"/>
      <c r="FJ1701" s="18"/>
      <c r="FK1701" s="18"/>
      <c r="FL1701" s="18"/>
      <c r="FM1701" s="18"/>
      <c r="FN1701" s="18"/>
      <c r="FO1701" s="18"/>
      <c r="FP1701" s="18"/>
      <c r="FQ1701" s="18"/>
      <c r="FR1701" s="18"/>
      <c r="FS1701" s="18"/>
      <c r="FT1701" s="18"/>
      <c r="FU1701" s="18"/>
      <c r="FV1701" s="18"/>
      <c r="FW1701" s="18"/>
      <c r="FX1701" s="18"/>
      <c r="FY1701" s="18"/>
      <c r="FZ1701" s="18"/>
      <c r="GA1701" s="18"/>
      <c r="GB1701" s="18"/>
      <c r="GC1701" s="18"/>
      <c r="GD1701" s="18"/>
      <c r="GE1701" s="18"/>
      <c r="GF1701" s="18"/>
      <c r="GG1701" s="18"/>
      <c r="GH1701" s="18"/>
      <c r="GI1701" s="18"/>
      <c r="GJ1701" s="18"/>
      <c r="GK1701" s="18"/>
      <c r="GL1701" s="18"/>
      <c r="GM1701" s="18"/>
      <c r="GN1701" s="18"/>
      <c r="GO1701" s="18"/>
      <c r="GP1701" s="18"/>
      <c r="GQ1701" s="18"/>
      <c r="GR1701" s="18"/>
      <c r="GS1701" s="18"/>
      <c r="GT1701" s="18"/>
      <c r="GU1701" s="18"/>
      <c r="GV1701" s="18"/>
      <c r="GW1701" s="18"/>
      <c r="GX1701" s="18"/>
      <c r="GY1701" s="18"/>
      <c r="GZ1701" s="18"/>
      <c r="HA1701" s="18"/>
      <c r="HB1701" s="18"/>
      <c r="HC1701" s="18"/>
      <c r="HD1701" s="18"/>
      <c r="HE1701" s="18"/>
      <c r="HF1701" s="18"/>
      <c r="HG1701" s="18"/>
      <c r="HH1701" s="18"/>
      <c r="HI1701" s="18"/>
      <c r="HJ1701" s="18"/>
      <c r="HK1701" s="18"/>
      <c r="HL1701" s="18"/>
      <c r="HM1701" s="18"/>
      <c r="HN1701" s="18"/>
      <c r="HO1701" s="18"/>
      <c r="HP1701" s="18"/>
      <c r="HQ1701" s="18"/>
      <c r="HR1701" s="18"/>
      <c r="HS1701" s="18"/>
      <c r="HT1701" s="18"/>
      <c r="HU1701" s="18"/>
      <c r="HV1701" s="18"/>
      <c r="HW1701" s="18"/>
      <c r="HX1701" s="18"/>
      <c r="HY1701" s="18"/>
      <c r="HZ1701" s="18"/>
      <c r="IA1701" s="18"/>
      <c r="IB1701" s="18"/>
      <c r="IC1701" s="18"/>
      <c r="ID1701" s="18"/>
      <c r="IE1701" s="18"/>
      <c r="IF1701" s="18"/>
      <c r="IG1701" s="18"/>
      <c r="IH1701" s="18"/>
      <c r="II1701" s="18"/>
      <c r="IJ1701" s="18"/>
      <c r="IK1701" s="18"/>
      <c r="IL1701" s="18"/>
      <c r="IM1701" s="18"/>
      <c r="IN1701" s="18"/>
      <c r="IO1701" s="18"/>
      <c r="IP1701" s="18"/>
      <c r="IQ1701" s="18"/>
      <c r="IR1701" s="18"/>
      <c r="IS1701" s="18"/>
      <c r="IT1701" s="18"/>
      <c r="IU1701" s="18"/>
      <c r="IV1701" s="18"/>
      <c r="IW1701" s="18"/>
      <c r="IX1701" s="18"/>
      <c r="IY1701" s="18"/>
      <c r="IZ1701" s="18"/>
      <c r="JA1701" s="18"/>
      <c r="JB1701" s="18"/>
      <c r="JC1701" s="18"/>
      <c r="JD1701" s="18"/>
      <c r="JE1701" s="18"/>
      <c r="JF1701" s="18"/>
      <c r="JG1701" s="18"/>
      <c r="JH1701" s="18"/>
      <c r="JI1701" s="18"/>
      <c r="JJ1701" s="18"/>
      <c r="JK1701" s="18"/>
      <c r="JL1701" s="18"/>
      <c r="JM1701" s="18"/>
      <c r="JN1701" s="18"/>
      <c r="JP1701" s="18"/>
      <c r="JQ1701" s="18"/>
      <c r="JR1701" s="18"/>
      <c r="JS1701" s="18"/>
      <c r="JT1701" s="18"/>
      <c r="JU1701" s="18"/>
      <c r="JV1701" s="18"/>
      <c r="JW1701" s="18"/>
      <c r="JX1701" s="18"/>
      <c r="JY1701" s="18"/>
      <c r="JZ1701" s="18"/>
      <c r="KA1701" s="18"/>
      <c r="KB1701" s="18"/>
    </row>
    <row r="1702" spans="1:288" s="27" customFormat="1" x14ac:dyDescent="0.2">
      <c r="A1702" s="18"/>
      <c r="B1702" s="16">
        <v>2017</v>
      </c>
      <c r="C1702" s="20">
        <v>42885</v>
      </c>
      <c r="D1702" s="20" t="str">
        <f>CONCATENATE(J1702,"-",C1702)</f>
        <v>1028-42885</v>
      </c>
      <c r="E1702" s="20" t="str">
        <f>CONCATENATE(T1702,"-",U1702,"-",C1702)</f>
        <v>BC1-E2-42885</v>
      </c>
      <c r="F1702" s="20" t="s">
        <v>106</v>
      </c>
      <c r="G1702" s="20" t="s">
        <v>278</v>
      </c>
      <c r="H1702" s="16"/>
      <c r="I1702" s="16"/>
      <c r="J1702" s="21">
        <v>1028</v>
      </c>
      <c r="K1702" s="21"/>
      <c r="L1702" s="16"/>
      <c r="M1702" s="21"/>
      <c r="N1702" s="21"/>
      <c r="O1702" s="21"/>
      <c r="P1702" s="16"/>
      <c r="Q1702" s="16"/>
      <c r="R1702" s="16"/>
      <c r="S1702" s="16"/>
      <c r="T1702" s="16" t="s">
        <v>159</v>
      </c>
      <c r="U1702" s="16" t="s">
        <v>136</v>
      </c>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f>SUM(AL1702:AN1702)</f>
        <v>0</v>
      </c>
      <c r="AQ1702" s="18"/>
      <c r="AR1702" s="18"/>
      <c r="AS1702" s="18"/>
      <c r="AT1702" s="16" t="s">
        <v>285</v>
      </c>
      <c r="AU1702" s="16"/>
      <c r="AV1702" s="16"/>
      <c r="AW1702" s="16"/>
      <c r="AX1702" s="16"/>
      <c r="AY1702" s="18"/>
      <c r="AZ1702" s="16"/>
      <c r="BA1702" s="16"/>
      <c r="BB1702" s="16"/>
      <c r="BC1702" s="16"/>
      <c r="BD1702" s="16"/>
      <c r="BE1702" s="16"/>
      <c r="BF1702" s="16"/>
      <c r="BG1702" s="77"/>
      <c r="BH1702" s="16"/>
      <c r="BI1702" s="16"/>
      <c r="BJ1702" s="16"/>
      <c r="BK1702" s="16"/>
      <c r="BL1702" s="16"/>
      <c r="BM1702" s="16"/>
      <c r="BN1702" s="16"/>
      <c r="BO1702" s="16"/>
      <c r="BP1702" s="16"/>
      <c r="BQ1702" s="16"/>
      <c r="BR1702" s="16"/>
      <c r="BS1702" s="16"/>
      <c r="BT1702" s="77"/>
      <c r="BU1702" s="16"/>
      <c r="BV1702" s="16"/>
      <c r="BW1702" s="16"/>
      <c r="BX1702" s="16"/>
      <c r="BY1702" s="16"/>
      <c r="BZ1702" s="16"/>
      <c r="CA1702" s="16"/>
      <c r="CB1702" s="16"/>
      <c r="CC1702" s="16"/>
      <c r="CD1702" s="77"/>
      <c r="CE1702" s="16"/>
      <c r="CF1702" s="16"/>
      <c r="CG1702" s="16"/>
      <c r="CH1702" s="16"/>
      <c r="CI1702" s="16"/>
      <c r="CJ1702" s="16"/>
      <c r="CK1702" s="16"/>
      <c r="CL1702" s="16"/>
      <c r="CM1702" s="16"/>
      <c r="CN1702" s="16"/>
      <c r="CO1702" s="16"/>
      <c r="CP1702" s="16"/>
      <c r="CQ1702" s="16"/>
      <c r="CR1702" s="16"/>
      <c r="CS1702" s="16"/>
      <c r="CT1702" s="16"/>
      <c r="CU1702" s="16"/>
      <c r="CV1702" s="16"/>
      <c r="CW1702" s="16"/>
      <c r="CX1702" s="16"/>
      <c r="CY1702" s="16"/>
      <c r="CZ1702" s="16"/>
      <c r="DA1702" s="16"/>
      <c r="DB1702" s="16"/>
      <c r="DC1702" s="16"/>
      <c r="DD1702" s="16"/>
      <c r="DE1702" s="16"/>
      <c r="DF1702" s="16" t="e">
        <f>VLOOKUP(K1702,'[3]RNA Seq summary tables'!$V$3:$V$99,1,FALSE)</f>
        <v>#N/A</v>
      </c>
      <c r="DG1702" s="16"/>
      <c r="DH1702" s="16"/>
      <c r="DI1702" s="16"/>
      <c r="DJ1702" s="16"/>
      <c r="DK1702" s="16"/>
      <c r="DL1702" s="16"/>
      <c r="DM1702" s="16"/>
      <c r="DN1702" s="16"/>
      <c r="DO1702" s="16"/>
      <c r="DP1702" s="16"/>
      <c r="DQ1702" s="16"/>
      <c r="DR1702" s="16"/>
      <c r="DS1702" s="16"/>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18"/>
      <c r="EQ1702" s="18"/>
      <c r="ER1702" s="18"/>
      <c r="ES1702" s="18"/>
      <c r="ET1702" s="18"/>
      <c r="EU1702" s="18"/>
      <c r="EV1702" s="18"/>
      <c r="EW1702" s="18"/>
      <c r="EX1702" s="18"/>
      <c r="EY1702" s="18"/>
      <c r="EZ1702" s="18"/>
      <c r="FA1702" s="18"/>
      <c r="FB1702" s="18"/>
      <c r="FC1702" s="18"/>
      <c r="FD1702" s="18"/>
      <c r="FE1702" s="18"/>
      <c r="FF1702" s="18"/>
      <c r="FG1702" s="18"/>
      <c r="FH1702" s="18"/>
      <c r="FI1702" s="18"/>
      <c r="FJ1702" s="18"/>
      <c r="FK1702" s="18"/>
      <c r="FL1702" s="18"/>
      <c r="FM1702" s="18"/>
      <c r="FN1702" s="18"/>
      <c r="FO1702" s="18"/>
      <c r="FP1702" s="18"/>
      <c r="FQ1702" s="18"/>
      <c r="FR1702" s="18"/>
      <c r="FS1702" s="18"/>
      <c r="FT1702" s="18"/>
      <c r="FU1702" s="18"/>
      <c r="FV1702" s="18"/>
      <c r="FW1702" s="18"/>
      <c r="FX1702" s="18"/>
      <c r="FY1702" s="18"/>
      <c r="FZ1702" s="18"/>
      <c r="GA1702" s="18"/>
      <c r="GB1702" s="18"/>
      <c r="GC1702" s="18"/>
      <c r="GD1702" s="18"/>
      <c r="GE1702" s="18"/>
      <c r="GF1702" s="18"/>
      <c r="GG1702" s="18"/>
      <c r="GH1702" s="18"/>
      <c r="GI1702" s="18"/>
      <c r="GJ1702" s="18"/>
      <c r="GK1702" s="18"/>
      <c r="GL1702" s="18"/>
      <c r="GM1702" s="18"/>
      <c r="GN1702" s="18"/>
      <c r="GO1702" s="18"/>
      <c r="GP1702" s="18"/>
      <c r="GQ1702" s="18"/>
      <c r="GR1702" s="18"/>
      <c r="GS1702" s="18"/>
      <c r="GT1702" s="18"/>
      <c r="GU1702" s="18"/>
      <c r="GV1702" s="18"/>
      <c r="GW1702" s="18"/>
      <c r="GX1702" s="18"/>
      <c r="GY1702" s="18"/>
      <c r="GZ1702" s="18"/>
      <c r="HA1702" s="18"/>
      <c r="HB1702" s="18"/>
      <c r="HC1702" s="18"/>
      <c r="HD1702" s="18"/>
      <c r="HE1702" s="18"/>
      <c r="HF1702" s="18"/>
      <c r="HG1702" s="18"/>
      <c r="HH1702" s="18"/>
      <c r="HI1702" s="18"/>
      <c r="HJ1702" s="18"/>
      <c r="HK1702" s="18"/>
      <c r="HL1702" s="18"/>
      <c r="HM1702" s="18"/>
      <c r="HN1702" s="18"/>
      <c r="HO1702" s="18"/>
      <c r="HP1702" s="18"/>
      <c r="HQ1702" s="18"/>
      <c r="HR1702" s="18"/>
      <c r="HS1702" s="18"/>
      <c r="HT1702" s="18"/>
      <c r="HU1702" s="18"/>
      <c r="HV1702" s="18"/>
      <c r="HW1702" s="18"/>
      <c r="HX1702" s="18"/>
      <c r="HY1702" s="18"/>
      <c r="HZ1702" s="18"/>
      <c r="IA1702" s="18"/>
      <c r="IB1702" s="18"/>
      <c r="IC1702" s="18"/>
      <c r="ID1702" s="18"/>
      <c r="IE1702" s="18"/>
      <c r="IF1702" s="18"/>
      <c r="IG1702" s="18"/>
      <c r="IH1702" s="18"/>
      <c r="II1702" s="18"/>
      <c r="IJ1702" s="18"/>
      <c r="IK1702" s="18"/>
      <c r="IL1702" s="18"/>
      <c r="IM1702" s="18"/>
      <c r="IN1702" s="18"/>
      <c r="IO1702" s="18"/>
      <c r="IP1702" s="18"/>
      <c r="IQ1702" s="18"/>
      <c r="IR1702" s="18"/>
      <c r="IS1702" s="18"/>
      <c r="IT1702" s="18"/>
      <c r="IU1702" s="18"/>
      <c r="IV1702" s="18"/>
      <c r="IW1702" s="18"/>
      <c r="IX1702" s="18"/>
      <c r="IY1702" s="18"/>
      <c r="IZ1702" s="18"/>
      <c r="JA1702" s="18"/>
      <c r="JB1702" s="18"/>
      <c r="JC1702" s="18"/>
      <c r="JD1702" s="18"/>
      <c r="JE1702" s="18"/>
      <c r="JF1702" s="18"/>
      <c r="JG1702" s="18"/>
      <c r="JH1702" s="18"/>
      <c r="JI1702" s="18"/>
      <c r="JJ1702" s="18"/>
      <c r="JK1702" s="18"/>
      <c r="JL1702" s="18"/>
      <c r="JM1702" s="18"/>
      <c r="JN1702" s="18"/>
      <c r="JO1702" s="16"/>
      <c r="JP1702" s="26"/>
      <c r="JQ1702" s="26"/>
      <c r="JR1702" s="16"/>
      <c r="JS1702" s="16"/>
      <c r="JT1702" s="16"/>
      <c r="JU1702" s="16"/>
      <c r="JV1702" s="16"/>
      <c r="JW1702" s="16"/>
      <c r="JX1702" s="16"/>
      <c r="JY1702" s="16"/>
      <c r="JZ1702" s="16"/>
      <c r="KA1702" s="16"/>
      <c r="KB1702" s="16"/>
    </row>
    <row r="1703" spans="1:288" s="27" customFormat="1" x14ac:dyDescent="0.2">
      <c r="A1703" s="18"/>
      <c r="B1703" s="16">
        <v>2017</v>
      </c>
      <c r="C1703" s="66">
        <v>42886</v>
      </c>
      <c r="D1703" s="66" t="str">
        <f>CONCATENATE(J1703,"-",C1703)</f>
        <v>1028-42886</v>
      </c>
      <c r="E1703" s="20" t="str">
        <f>CONCATENATE(T1703,"-",U1703,"-",C1703)</f>
        <v>BC1-D1-42886</v>
      </c>
      <c r="F1703" s="20" t="s">
        <v>106</v>
      </c>
      <c r="G1703" s="20" t="s">
        <v>278</v>
      </c>
      <c r="H1703" s="16"/>
      <c r="I1703" s="16"/>
      <c r="J1703" s="21">
        <v>1028</v>
      </c>
      <c r="K1703" s="21"/>
      <c r="L1703" s="16"/>
      <c r="M1703" s="21"/>
      <c r="N1703" s="21"/>
      <c r="O1703" s="21"/>
      <c r="P1703" s="16"/>
      <c r="Q1703" s="16"/>
      <c r="R1703" s="16"/>
      <c r="S1703" s="16"/>
      <c r="T1703" s="16" t="s">
        <v>159</v>
      </c>
      <c r="U1703" s="16" t="s">
        <v>157</v>
      </c>
      <c r="V1703" s="16"/>
      <c r="W1703" s="16"/>
      <c r="X1703" s="16"/>
      <c r="Y1703" s="16"/>
      <c r="Z1703" s="16"/>
      <c r="AA1703" s="16"/>
      <c r="AB1703" s="16"/>
      <c r="AC1703" s="16"/>
      <c r="AD1703" s="16"/>
      <c r="AE1703" s="16"/>
      <c r="AF1703" s="16"/>
      <c r="AG1703" s="16"/>
      <c r="AH1703" s="16"/>
      <c r="AI1703" s="16"/>
      <c r="AJ1703" s="16"/>
      <c r="AK1703" s="16"/>
      <c r="AL1703" s="16"/>
      <c r="AM1703" s="16"/>
      <c r="AN1703" s="16"/>
      <c r="AO1703" s="16"/>
      <c r="AP1703" s="16">
        <f>SUM(AL1703:AN1703)</f>
        <v>0</v>
      </c>
      <c r="AQ1703" s="18">
        <v>1.575</v>
      </c>
      <c r="AR1703" s="18">
        <f>AP1703-1.472</f>
        <v>-1.472</v>
      </c>
      <c r="AS1703" s="18">
        <f>AQ1703-1.472</f>
        <v>0.10299999999999998</v>
      </c>
      <c r="AT1703" s="16"/>
      <c r="AU1703" s="16"/>
      <c r="AV1703" s="16"/>
      <c r="AW1703" s="16"/>
      <c r="AX1703" s="16"/>
      <c r="AY1703" s="18"/>
      <c r="AZ1703" s="16"/>
      <c r="BA1703" s="16"/>
      <c r="BB1703" s="16"/>
      <c r="BC1703" s="16"/>
      <c r="BD1703" s="16"/>
      <c r="BE1703" s="16"/>
      <c r="BF1703" s="16"/>
      <c r="BG1703" s="77"/>
      <c r="BH1703" s="16"/>
      <c r="BI1703" s="16"/>
      <c r="BJ1703" s="16"/>
      <c r="BK1703" s="16"/>
      <c r="BL1703" s="16"/>
      <c r="BM1703" s="16"/>
      <c r="BN1703" s="16"/>
      <c r="BO1703" s="16"/>
      <c r="BP1703" s="16"/>
      <c r="BQ1703" s="16"/>
      <c r="BR1703" s="16"/>
      <c r="BS1703" s="16"/>
      <c r="BT1703" s="77"/>
      <c r="BU1703" s="16"/>
      <c r="BV1703" s="16"/>
      <c r="BW1703" s="16"/>
      <c r="BX1703" s="16"/>
      <c r="BY1703" s="16"/>
      <c r="BZ1703" s="16"/>
      <c r="CA1703" s="16"/>
      <c r="CB1703" s="16"/>
      <c r="CC1703" s="16"/>
      <c r="CD1703" s="77"/>
      <c r="CE1703" s="16"/>
      <c r="CF1703" s="16"/>
      <c r="CG1703" s="16"/>
      <c r="CH1703" s="16"/>
      <c r="CI1703" s="16"/>
      <c r="CJ1703" s="16"/>
      <c r="CK1703" s="16"/>
      <c r="CL1703" s="16"/>
      <c r="CM1703" s="16"/>
      <c r="CN1703" s="16"/>
      <c r="CO1703" s="16"/>
      <c r="CP1703" s="16"/>
      <c r="CQ1703" s="16"/>
      <c r="CR1703" s="16"/>
      <c r="CS1703" s="16"/>
      <c r="CT1703" s="16"/>
      <c r="CU1703" s="16"/>
      <c r="CV1703" s="16"/>
      <c r="CW1703" s="16"/>
      <c r="CX1703" s="16"/>
      <c r="CY1703" s="16"/>
      <c r="CZ1703" s="16"/>
      <c r="DA1703" s="16"/>
      <c r="DB1703" s="16"/>
      <c r="DC1703" s="16"/>
      <c r="DD1703" s="16"/>
      <c r="DE1703" s="16"/>
      <c r="DF1703" s="16" t="e">
        <f>VLOOKUP(K1703,'[3]RNA Seq summary tables'!$V$3:$V$99,1,FALSE)</f>
        <v>#N/A</v>
      </c>
      <c r="DG1703" s="16"/>
      <c r="DH1703" s="16"/>
      <c r="DI1703" s="16"/>
      <c r="DJ1703" s="16"/>
      <c r="DK1703" s="16"/>
      <c r="DL1703" s="16"/>
      <c r="DM1703" s="16"/>
      <c r="DN1703" s="16"/>
      <c r="DO1703" s="16"/>
      <c r="DP1703" s="16"/>
      <c r="DQ1703" s="16"/>
      <c r="DR1703" s="16"/>
      <c r="DS1703" s="16"/>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18"/>
      <c r="EQ1703" s="18"/>
      <c r="ER1703" s="18"/>
      <c r="ES1703" s="18"/>
      <c r="ET1703" s="18"/>
      <c r="EU1703" s="18"/>
      <c r="EV1703" s="18"/>
      <c r="EW1703" s="18"/>
      <c r="EX1703" s="18"/>
      <c r="EY1703" s="18"/>
      <c r="EZ1703" s="18"/>
      <c r="FA1703" s="18"/>
      <c r="FB1703" s="18"/>
      <c r="FC1703" s="18"/>
      <c r="FD1703" s="18"/>
      <c r="FE1703" s="18"/>
      <c r="FF1703" s="18"/>
      <c r="FG1703" s="18"/>
      <c r="FH1703" s="18"/>
      <c r="FI1703" s="18"/>
      <c r="FJ1703" s="18"/>
      <c r="FK1703" s="18"/>
      <c r="FL1703" s="18"/>
      <c r="FM1703" s="18"/>
      <c r="FN1703" s="18"/>
      <c r="FO1703" s="18"/>
      <c r="FP1703" s="18"/>
      <c r="FQ1703" s="18"/>
      <c r="FR1703" s="18"/>
      <c r="FS1703" s="18"/>
      <c r="FT1703" s="18"/>
      <c r="FU1703" s="18"/>
      <c r="FV1703" s="18"/>
      <c r="FW1703" s="18"/>
      <c r="FX1703" s="18"/>
      <c r="FY1703" s="18"/>
      <c r="FZ1703" s="18"/>
      <c r="GA1703" s="18"/>
      <c r="GB1703" s="18"/>
      <c r="GC1703" s="18"/>
      <c r="GD1703" s="18"/>
      <c r="GE1703" s="18"/>
      <c r="GF1703" s="18"/>
      <c r="GG1703" s="18"/>
      <c r="GH1703" s="18"/>
      <c r="GI1703" s="18"/>
      <c r="GJ1703" s="18"/>
      <c r="GK1703" s="18"/>
      <c r="GL1703" s="18"/>
      <c r="GM1703" s="18"/>
      <c r="GN1703" s="18"/>
      <c r="GO1703" s="18"/>
      <c r="GP1703" s="18"/>
      <c r="GQ1703" s="18"/>
      <c r="GR1703" s="18"/>
      <c r="GS1703" s="18"/>
      <c r="GT1703" s="18"/>
      <c r="GU1703" s="18"/>
      <c r="GV1703" s="18"/>
      <c r="GW1703" s="18"/>
      <c r="GX1703" s="18"/>
      <c r="GY1703" s="18"/>
      <c r="GZ1703" s="18"/>
      <c r="HA1703" s="18"/>
      <c r="HB1703" s="18"/>
      <c r="HC1703" s="18"/>
      <c r="HD1703" s="18"/>
      <c r="HE1703" s="18"/>
      <c r="HF1703" s="18"/>
      <c r="HG1703" s="18"/>
      <c r="HH1703" s="18"/>
      <c r="HI1703" s="18"/>
      <c r="HJ1703" s="18"/>
      <c r="HK1703" s="18"/>
      <c r="HL1703" s="18"/>
      <c r="HM1703" s="18"/>
      <c r="HN1703" s="18"/>
      <c r="HO1703" s="18"/>
      <c r="HP1703" s="18"/>
      <c r="HQ1703" s="18"/>
      <c r="HR1703" s="18"/>
      <c r="HS1703" s="18"/>
      <c r="HT1703" s="18"/>
      <c r="HU1703" s="18"/>
      <c r="HV1703" s="18"/>
      <c r="HW1703" s="18"/>
      <c r="HX1703" s="18"/>
      <c r="HY1703" s="18"/>
      <c r="HZ1703" s="18"/>
      <c r="IA1703" s="18"/>
      <c r="IB1703" s="18"/>
      <c r="IC1703" s="18"/>
      <c r="ID1703" s="18"/>
      <c r="IE1703" s="18"/>
      <c r="IF1703" s="18"/>
      <c r="IG1703" s="18"/>
      <c r="IH1703" s="18"/>
      <c r="II1703" s="18"/>
      <c r="IJ1703" s="18"/>
      <c r="IK1703" s="18"/>
      <c r="IL1703" s="18"/>
      <c r="IM1703" s="18"/>
      <c r="IN1703" s="18"/>
      <c r="IO1703" s="18"/>
      <c r="IP1703" s="18"/>
      <c r="IQ1703" s="18"/>
      <c r="IR1703" s="18"/>
      <c r="IS1703" s="18"/>
      <c r="IT1703" s="18"/>
      <c r="IU1703" s="18"/>
      <c r="IV1703" s="18"/>
      <c r="IW1703" s="18"/>
      <c r="IX1703" s="18"/>
      <c r="IY1703" s="18"/>
      <c r="IZ1703" s="18"/>
      <c r="JA1703" s="18"/>
      <c r="JB1703" s="18"/>
      <c r="JC1703" s="18"/>
      <c r="JD1703" s="18"/>
      <c r="JE1703" s="18"/>
      <c r="JF1703" s="18"/>
      <c r="JG1703" s="18"/>
      <c r="JH1703" s="18"/>
      <c r="JI1703" s="18"/>
      <c r="JJ1703" s="18"/>
      <c r="JK1703" s="18"/>
      <c r="JL1703" s="18"/>
      <c r="JM1703" s="18"/>
      <c r="JN1703" s="18"/>
      <c r="JO1703" s="16"/>
      <c r="JP1703" s="26"/>
      <c r="JQ1703" s="26"/>
      <c r="JR1703" s="16"/>
      <c r="JS1703" s="16"/>
      <c r="JT1703" s="16"/>
      <c r="JU1703" s="16"/>
      <c r="JV1703" s="16"/>
      <c r="JW1703" s="16"/>
      <c r="JX1703" s="16"/>
      <c r="JY1703" s="16"/>
      <c r="JZ1703" s="16"/>
      <c r="KA1703" s="16"/>
      <c r="KB1703" s="16"/>
    </row>
    <row r="1704" spans="1:288" s="27" customFormat="1" x14ac:dyDescent="0.2">
      <c r="A1704" s="18"/>
      <c r="B1704" s="16">
        <v>2017</v>
      </c>
      <c r="C1704" s="20">
        <v>42937</v>
      </c>
      <c r="D1704" s="20" t="str">
        <f>CONCATENATE(J1704,"-",C1704)</f>
        <v>1030-42937</v>
      </c>
      <c r="E1704" s="20" t="str">
        <f>CONCATENATE(T1704,"-",U1704,"-",C1704)</f>
        <v>BC2-G3-42937</v>
      </c>
      <c r="F1704" s="20" t="s">
        <v>106</v>
      </c>
      <c r="G1704" s="20" t="s">
        <v>278</v>
      </c>
      <c r="H1704" s="16"/>
      <c r="I1704" s="16"/>
      <c r="J1704" s="21">
        <v>1030</v>
      </c>
      <c r="K1704" s="21"/>
      <c r="L1704" s="16"/>
      <c r="M1704" s="21"/>
      <c r="N1704" s="21"/>
      <c r="O1704" s="21"/>
      <c r="P1704" s="16"/>
      <c r="Q1704" s="16"/>
      <c r="R1704" s="16"/>
      <c r="S1704" s="16"/>
      <c r="T1704" s="16" t="s">
        <v>154</v>
      </c>
      <c r="U1704" s="16" t="s">
        <v>179</v>
      </c>
      <c r="V1704" s="16"/>
      <c r="W1704" s="16"/>
      <c r="X1704" s="16"/>
      <c r="Y1704" s="16"/>
      <c r="Z1704" s="16"/>
      <c r="AA1704" s="16"/>
      <c r="AB1704" s="16"/>
      <c r="AC1704" s="16"/>
      <c r="AD1704" s="16"/>
      <c r="AE1704" s="16"/>
      <c r="AF1704" s="16"/>
      <c r="AG1704" s="16"/>
      <c r="AH1704" s="16"/>
      <c r="AI1704" s="16"/>
      <c r="AJ1704" s="16"/>
      <c r="AK1704" s="16"/>
      <c r="AL1704" s="16"/>
      <c r="AM1704" s="16"/>
      <c r="AN1704" s="16"/>
      <c r="AO1704" s="16"/>
      <c r="AP1704" s="16">
        <f>SUM(AL1704:AN1704)</f>
        <v>0</v>
      </c>
      <c r="AQ1704" s="16"/>
      <c r="AR1704" s="16"/>
      <c r="AS1704" s="16"/>
      <c r="AT1704" s="16" t="s">
        <v>285</v>
      </c>
      <c r="AU1704" s="16"/>
      <c r="AV1704" s="16"/>
      <c r="AW1704" s="16"/>
      <c r="AX1704" s="16"/>
      <c r="AY1704" s="18"/>
      <c r="AZ1704" s="16"/>
      <c r="BA1704" s="16"/>
      <c r="BB1704" s="16"/>
      <c r="BC1704" s="16"/>
      <c r="BD1704" s="16"/>
      <c r="BE1704" s="16"/>
      <c r="BF1704" s="16"/>
      <c r="BG1704" s="77"/>
      <c r="BH1704" s="16"/>
      <c r="BI1704" s="16"/>
      <c r="BJ1704" s="16"/>
      <c r="BK1704" s="16"/>
      <c r="BL1704" s="16"/>
      <c r="BM1704" s="16"/>
      <c r="BN1704" s="16"/>
      <c r="BO1704" s="16"/>
      <c r="BP1704" s="16"/>
      <c r="BQ1704" s="16"/>
      <c r="BR1704" s="16"/>
      <c r="BS1704" s="16"/>
      <c r="BT1704" s="77"/>
      <c r="BU1704" s="16"/>
      <c r="BV1704" s="16"/>
      <c r="BW1704" s="16"/>
      <c r="BX1704" s="16"/>
      <c r="BY1704" s="16"/>
      <c r="BZ1704" s="16"/>
      <c r="CA1704" s="16"/>
      <c r="CB1704" s="16"/>
      <c r="CC1704" s="16"/>
      <c r="CD1704" s="77"/>
      <c r="CE1704" s="16"/>
      <c r="CF1704" s="16"/>
      <c r="CG1704" s="16"/>
      <c r="CH1704" s="16"/>
      <c r="CI1704" s="16"/>
      <c r="CJ1704" s="16"/>
      <c r="CK1704" s="16"/>
      <c r="CL1704" s="16"/>
      <c r="CM1704" s="16"/>
      <c r="CN1704" s="16"/>
      <c r="CO1704" s="16"/>
      <c r="CP1704" s="16"/>
      <c r="CQ1704" s="16"/>
      <c r="CR1704" s="16"/>
      <c r="CS1704" s="16"/>
      <c r="CT1704" s="16"/>
      <c r="CU1704" s="16"/>
      <c r="CV1704" s="16"/>
      <c r="CW1704" s="16"/>
      <c r="CX1704" s="16"/>
      <c r="CY1704" s="16"/>
      <c r="CZ1704" s="16"/>
      <c r="DA1704" s="16"/>
      <c r="DB1704" s="16"/>
      <c r="DC1704" s="16"/>
      <c r="DD1704" s="16"/>
      <c r="DE1704" s="16"/>
      <c r="DF1704" s="16" t="e">
        <f>VLOOKUP(K1704,'[3]RNA Seq summary tables'!$V$3:$V$99,1,FALSE)</f>
        <v>#N/A</v>
      </c>
      <c r="DG1704" s="16"/>
      <c r="DH1704" s="16"/>
      <c r="DI1704" s="16"/>
      <c r="DJ1704" s="16"/>
      <c r="DK1704" s="16"/>
      <c r="DL1704" s="16"/>
      <c r="DM1704" s="16"/>
      <c r="DN1704" s="16"/>
      <c r="DO1704" s="16"/>
      <c r="DP1704" s="16"/>
      <c r="DQ1704" s="16"/>
      <c r="DR1704" s="16"/>
      <c r="DS1704" s="16"/>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18"/>
      <c r="EQ1704" s="18"/>
      <c r="ER1704" s="18"/>
      <c r="ES1704" s="18"/>
      <c r="ET1704" s="18"/>
      <c r="EU1704" s="18"/>
      <c r="EV1704" s="18"/>
      <c r="EW1704" s="18"/>
      <c r="EX1704" s="18"/>
      <c r="EY1704" s="18"/>
      <c r="EZ1704" s="18"/>
      <c r="FA1704" s="18"/>
      <c r="FB1704" s="18"/>
      <c r="FC1704" s="18"/>
      <c r="FD1704" s="18"/>
      <c r="FE1704" s="18"/>
      <c r="FF1704" s="18"/>
      <c r="FG1704" s="18"/>
      <c r="FH1704" s="18"/>
      <c r="FI1704" s="18"/>
      <c r="FJ1704" s="18"/>
      <c r="FK1704" s="18"/>
      <c r="FL1704" s="18"/>
      <c r="FM1704" s="18"/>
      <c r="FN1704" s="18"/>
      <c r="FO1704" s="18"/>
      <c r="FP1704" s="18"/>
      <c r="FQ1704" s="18"/>
      <c r="FR1704" s="18"/>
      <c r="FS1704" s="18"/>
      <c r="FT1704" s="18"/>
      <c r="FU1704" s="18"/>
      <c r="FV1704" s="18"/>
      <c r="FW1704" s="18"/>
      <c r="FX1704" s="18"/>
      <c r="FY1704" s="18"/>
      <c r="FZ1704" s="18"/>
      <c r="GA1704" s="18"/>
      <c r="GB1704" s="18"/>
      <c r="GC1704" s="18"/>
      <c r="GD1704" s="18"/>
      <c r="GE1704" s="18"/>
      <c r="GF1704" s="18"/>
      <c r="GG1704" s="18"/>
      <c r="GH1704" s="18"/>
      <c r="GI1704" s="18"/>
      <c r="GJ1704" s="18"/>
      <c r="GK1704" s="18"/>
      <c r="GL1704" s="18"/>
      <c r="GM1704" s="18"/>
      <c r="GN1704" s="18"/>
      <c r="GO1704" s="18"/>
      <c r="GP1704" s="18"/>
      <c r="GQ1704" s="18"/>
      <c r="GR1704" s="18"/>
      <c r="GS1704" s="18"/>
      <c r="GT1704" s="18"/>
      <c r="GU1704" s="18"/>
      <c r="GV1704" s="18"/>
      <c r="GW1704" s="18"/>
      <c r="GX1704" s="18"/>
      <c r="GY1704" s="18"/>
      <c r="GZ1704" s="18"/>
      <c r="HA1704" s="18"/>
      <c r="HB1704" s="18"/>
      <c r="HC1704" s="18"/>
      <c r="HD1704" s="18"/>
      <c r="HE1704" s="18"/>
      <c r="HF1704" s="18"/>
      <c r="HG1704" s="18"/>
      <c r="HH1704" s="18"/>
      <c r="HI1704" s="18"/>
      <c r="HJ1704" s="18"/>
      <c r="HK1704" s="18"/>
      <c r="HL1704" s="18"/>
      <c r="HM1704" s="18"/>
      <c r="HN1704" s="18"/>
      <c r="HO1704" s="18"/>
      <c r="HP1704" s="18"/>
      <c r="HQ1704" s="18"/>
      <c r="HR1704" s="18"/>
      <c r="HS1704" s="18"/>
      <c r="HT1704" s="18"/>
      <c r="HU1704" s="18"/>
      <c r="HV1704" s="18"/>
      <c r="HW1704" s="18"/>
      <c r="HX1704" s="18"/>
      <c r="HY1704" s="18"/>
      <c r="HZ1704" s="18"/>
      <c r="IA1704" s="18"/>
      <c r="IB1704" s="18"/>
      <c r="IC1704" s="18"/>
      <c r="ID1704" s="18"/>
      <c r="IE1704" s="18"/>
      <c r="IF1704" s="18"/>
      <c r="IG1704" s="18"/>
      <c r="IH1704" s="18"/>
      <c r="II1704" s="18"/>
      <c r="IJ1704" s="18"/>
      <c r="IK1704" s="18"/>
      <c r="IL1704" s="18"/>
      <c r="IM1704" s="18"/>
      <c r="IN1704" s="18"/>
      <c r="IO1704" s="18"/>
      <c r="IP1704" s="18"/>
      <c r="IQ1704" s="18"/>
      <c r="IR1704" s="18"/>
      <c r="IS1704" s="18"/>
      <c r="IT1704" s="18"/>
      <c r="IU1704" s="18"/>
      <c r="IV1704" s="18"/>
      <c r="IW1704" s="18"/>
      <c r="IX1704" s="18"/>
      <c r="IY1704" s="18"/>
      <c r="IZ1704" s="18"/>
      <c r="JA1704" s="18"/>
      <c r="JB1704" s="18"/>
      <c r="JC1704" s="18"/>
      <c r="JD1704" s="18"/>
      <c r="JE1704" s="18"/>
      <c r="JF1704" s="18"/>
      <c r="JG1704" s="18"/>
      <c r="JH1704" s="18"/>
      <c r="JI1704" s="18"/>
      <c r="JJ1704" s="18"/>
      <c r="JK1704" s="18"/>
      <c r="JL1704" s="18"/>
      <c r="JM1704" s="18"/>
      <c r="JN1704" s="18"/>
      <c r="JP1704" s="16"/>
      <c r="JQ1704" s="16"/>
      <c r="JR1704" s="18"/>
      <c r="JS1704" s="18"/>
      <c r="JT1704" s="18"/>
      <c r="JU1704" s="18"/>
      <c r="JV1704" s="18"/>
      <c r="JW1704" s="18"/>
      <c r="JX1704" s="18"/>
      <c r="JY1704" s="18"/>
      <c r="JZ1704" s="18"/>
      <c r="KA1704" s="18"/>
      <c r="KB1704" s="18"/>
    </row>
    <row r="1705" spans="1:288" s="27" customFormat="1" x14ac:dyDescent="0.2">
      <c r="A1705" s="18"/>
      <c r="B1705" s="16">
        <v>2017</v>
      </c>
      <c r="C1705" s="20">
        <v>42938</v>
      </c>
      <c r="D1705" s="20" t="str">
        <f>CONCATENATE(J1705,"-",C1705)</f>
        <v>1030-42938</v>
      </c>
      <c r="E1705" s="20" t="str">
        <f>CONCATENATE(T1705,"-",U1705,"-",C1705)</f>
        <v>BC2-G3-42938</v>
      </c>
      <c r="F1705" s="20" t="s">
        <v>106</v>
      </c>
      <c r="G1705" s="20" t="s">
        <v>278</v>
      </c>
      <c r="H1705" s="16"/>
      <c r="I1705" s="16"/>
      <c r="J1705" s="21">
        <v>1030</v>
      </c>
      <c r="K1705" s="21"/>
      <c r="L1705" s="16"/>
      <c r="M1705" s="21"/>
      <c r="N1705" s="21"/>
      <c r="O1705" s="21"/>
      <c r="P1705" s="16"/>
      <c r="Q1705" s="16"/>
      <c r="R1705" s="16"/>
      <c r="S1705" s="16"/>
      <c r="T1705" s="16" t="s">
        <v>154</v>
      </c>
      <c r="U1705" s="16" t="s">
        <v>179</v>
      </c>
      <c r="V1705" s="16"/>
      <c r="W1705" s="16"/>
      <c r="X1705" s="16"/>
      <c r="Y1705" s="16"/>
      <c r="Z1705" s="16"/>
      <c r="AA1705" s="16"/>
      <c r="AB1705" s="16"/>
      <c r="AC1705" s="16"/>
      <c r="AD1705" s="16"/>
      <c r="AE1705" s="16"/>
      <c r="AF1705" s="16"/>
      <c r="AG1705" s="16"/>
      <c r="AH1705" s="16"/>
      <c r="AI1705" s="16"/>
      <c r="AJ1705" s="16"/>
      <c r="AK1705" s="16"/>
      <c r="AL1705" s="16"/>
      <c r="AM1705" s="16"/>
      <c r="AN1705" s="16"/>
      <c r="AO1705" s="16"/>
      <c r="AP1705" s="16">
        <f>SUM(AL1705:AN1705)</f>
        <v>0</v>
      </c>
      <c r="AQ1705" s="16"/>
      <c r="AR1705" s="16"/>
      <c r="AS1705" s="16"/>
      <c r="AT1705" s="16" t="s">
        <v>285</v>
      </c>
      <c r="AU1705" s="16"/>
      <c r="AV1705" s="16"/>
      <c r="AW1705" s="16"/>
      <c r="AX1705" s="16"/>
      <c r="AY1705" s="18"/>
      <c r="AZ1705" s="16"/>
      <c r="BA1705" s="16"/>
      <c r="BB1705" s="16"/>
      <c r="BC1705" s="16"/>
      <c r="BD1705" s="16"/>
      <c r="BE1705" s="16"/>
      <c r="BF1705" s="16"/>
      <c r="BG1705" s="77"/>
      <c r="BH1705" s="16"/>
      <c r="BI1705" s="16"/>
      <c r="BJ1705" s="16"/>
      <c r="BK1705" s="16"/>
      <c r="BL1705" s="16"/>
      <c r="BM1705" s="16"/>
      <c r="BN1705" s="16"/>
      <c r="BO1705" s="16"/>
      <c r="BP1705" s="16"/>
      <c r="BQ1705" s="16"/>
      <c r="BR1705" s="16"/>
      <c r="BS1705" s="16"/>
      <c r="BT1705" s="77"/>
      <c r="BU1705" s="16"/>
      <c r="BV1705" s="16"/>
      <c r="BW1705" s="16"/>
      <c r="BX1705" s="16"/>
      <c r="BY1705" s="16"/>
      <c r="BZ1705" s="16"/>
      <c r="CA1705" s="16"/>
      <c r="CB1705" s="16"/>
      <c r="CC1705" s="16"/>
      <c r="CD1705" s="77"/>
      <c r="CE1705" s="16"/>
      <c r="CF1705" s="16"/>
      <c r="CG1705" s="16"/>
      <c r="CH1705" s="16"/>
      <c r="CI1705" s="16"/>
      <c r="CJ1705" s="16"/>
      <c r="CK1705" s="16"/>
      <c r="CL1705" s="16"/>
      <c r="CM1705" s="16"/>
      <c r="CN1705" s="16"/>
      <c r="CO1705" s="16"/>
      <c r="CP1705" s="16"/>
      <c r="CQ1705" s="16"/>
      <c r="CR1705" s="16"/>
      <c r="CS1705" s="16"/>
      <c r="CT1705" s="16"/>
      <c r="CU1705" s="16"/>
      <c r="CV1705" s="16"/>
      <c r="CW1705" s="16"/>
      <c r="CX1705" s="16"/>
      <c r="CY1705" s="16"/>
      <c r="CZ1705" s="16"/>
      <c r="DA1705" s="16"/>
      <c r="DB1705" s="16"/>
      <c r="DC1705" s="16"/>
      <c r="DD1705" s="16"/>
      <c r="DE1705" s="16"/>
      <c r="DF1705" s="16" t="e">
        <f>VLOOKUP(K1705,'[3]RNA Seq summary tables'!$V$3:$V$99,1,FALSE)</f>
        <v>#N/A</v>
      </c>
      <c r="DG1705" s="16"/>
      <c r="DH1705" s="16"/>
      <c r="DI1705" s="16"/>
      <c r="DJ1705" s="16"/>
      <c r="DK1705" s="16"/>
      <c r="DL1705" s="16"/>
      <c r="DM1705" s="16"/>
      <c r="DN1705" s="16"/>
      <c r="DO1705" s="16"/>
      <c r="DP1705" s="16"/>
      <c r="DQ1705" s="16"/>
      <c r="DR1705" s="16"/>
      <c r="DS1705" s="16"/>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18"/>
      <c r="EQ1705" s="18"/>
      <c r="ER1705" s="18"/>
      <c r="ES1705" s="18"/>
      <c r="ET1705" s="18"/>
      <c r="EU1705" s="18"/>
      <c r="EV1705" s="18"/>
      <c r="EW1705" s="18"/>
      <c r="EX1705" s="18"/>
      <c r="EY1705" s="18"/>
      <c r="EZ1705" s="18"/>
      <c r="FA1705" s="18"/>
      <c r="FB1705" s="18"/>
      <c r="FC1705" s="18"/>
      <c r="FD1705" s="18"/>
      <c r="FE1705" s="18"/>
      <c r="FF1705" s="18"/>
      <c r="FG1705" s="18"/>
      <c r="FH1705" s="18"/>
      <c r="FI1705" s="18"/>
      <c r="FJ1705" s="18"/>
      <c r="FK1705" s="18"/>
      <c r="FL1705" s="18"/>
      <c r="FM1705" s="18"/>
      <c r="FN1705" s="18"/>
      <c r="FO1705" s="18"/>
      <c r="FP1705" s="18"/>
      <c r="FQ1705" s="18"/>
      <c r="FR1705" s="18"/>
      <c r="FS1705" s="18"/>
      <c r="FT1705" s="18"/>
      <c r="FU1705" s="18"/>
      <c r="FV1705" s="18"/>
      <c r="FW1705" s="18"/>
      <c r="FX1705" s="18"/>
      <c r="FY1705" s="18"/>
      <c r="FZ1705" s="18"/>
      <c r="GA1705" s="18"/>
      <c r="GB1705" s="18"/>
      <c r="GC1705" s="18"/>
      <c r="GD1705" s="18"/>
      <c r="GE1705" s="18"/>
      <c r="GF1705" s="18"/>
      <c r="GG1705" s="18"/>
      <c r="GH1705" s="18"/>
      <c r="GI1705" s="18"/>
      <c r="GJ1705" s="18"/>
      <c r="GK1705" s="18"/>
      <c r="GL1705" s="18"/>
      <c r="GM1705" s="18"/>
      <c r="GN1705" s="18"/>
      <c r="GO1705" s="18"/>
      <c r="GP1705" s="18"/>
      <c r="GQ1705" s="18"/>
      <c r="GR1705" s="18"/>
      <c r="GS1705" s="18"/>
      <c r="GT1705" s="18"/>
      <c r="GU1705" s="18"/>
      <c r="GV1705" s="18"/>
      <c r="GW1705" s="18"/>
      <c r="GX1705" s="18"/>
      <c r="GY1705" s="18"/>
      <c r="GZ1705" s="18"/>
      <c r="HA1705" s="18"/>
      <c r="HB1705" s="18"/>
      <c r="HC1705" s="18"/>
      <c r="HD1705" s="18"/>
      <c r="HE1705" s="18"/>
      <c r="HF1705" s="18"/>
      <c r="HG1705" s="18"/>
      <c r="HH1705" s="18"/>
      <c r="HI1705" s="18"/>
      <c r="HJ1705" s="18"/>
      <c r="HK1705" s="18"/>
      <c r="HL1705" s="18"/>
      <c r="HM1705" s="18"/>
      <c r="HN1705" s="18"/>
      <c r="HO1705" s="18"/>
      <c r="HP1705" s="18"/>
      <c r="HQ1705" s="18"/>
      <c r="HR1705" s="18"/>
      <c r="HS1705" s="18"/>
      <c r="HT1705" s="18"/>
      <c r="HU1705" s="18"/>
      <c r="HV1705" s="18"/>
      <c r="HW1705" s="18"/>
      <c r="HX1705" s="18"/>
      <c r="HY1705" s="18"/>
      <c r="HZ1705" s="18"/>
      <c r="IA1705" s="18"/>
      <c r="IB1705" s="18"/>
      <c r="IC1705" s="18"/>
      <c r="ID1705" s="18"/>
      <c r="IE1705" s="18"/>
      <c r="IF1705" s="18"/>
      <c r="IG1705" s="18"/>
      <c r="IH1705" s="18"/>
      <c r="II1705" s="18"/>
      <c r="IJ1705" s="18"/>
      <c r="IK1705" s="18"/>
      <c r="IL1705" s="18"/>
      <c r="IM1705" s="18"/>
      <c r="IN1705" s="18"/>
      <c r="IO1705" s="18"/>
      <c r="IP1705" s="18"/>
      <c r="IQ1705" s="18"/>
      <c r="IR1705" s="18"/>
      <c r="IS1705" s="18"/>
      <c r="IT1705" s="18"/>
      <c r="IU1705" s="18"/>
      <c r="IV1705" s="18"/>
      <c r="IW1705" s="18"/>
      <c r="IX1705" s="18"/>
      <c r="IY1705" s="18"/>
      <c r="IZ1705" s="18"/>
      <c r="JA1705" s="18"/>
      <c r="JB1705" s="18"/>
      <c r="JC1705" s="18"/>
      <c r="JD1705" s="18"/>
      <c r="JE1705" s="18"/>
      <c r="JF1705" s="18"/>
      <c r="JG1705" s="18"/>
      <c r="JH1705" s="18"/>
      <c r="JI1705" s="18"/>
      <c r="JJ1705" s="18"/>
      <c r="JK1705" s="18"/>
      <c r="JL1705" s="18"/>
      <c r="JM1705" s="18"/>
      <c r="JN1705" s="18"/>
      <c r="JP1705" s="16"/>
      <c r="JQ1705" s="16"/>
      <c r="JR1705" s="16"/>
      <c r="JS1705" s="16"/>
      <c r="JT1705" s="16"/>
      <c r="JU1705" s="16"/>
      <c r="JV1705" s="16"/>
      <c r="JW1705" s="16"/>
      <c r="JX1705" s="16"/>
      <c r="JY1705" s="16"/>
      <c r="JZ1705" s="16"/>
      <c r="KA1705" s="16"/>
      <c r="KB1705" s="16"/>
    </row>
    <row r="1706" spans="1:288" s="27" customFormat="1" x14ac:dyDescent="0.2">
      <c r="A1706" s="26"/>
      <c r="B1706" s="26">
        <v>2017</v>
      </c>
      <c r="C1706" s="72">
        <v>42886</v>
      </c>
      <c r="D1706" s="72" t="str">
        <f>CONCATENATE(J1706,"-",C1706)</f>
        <v>1031-42886</v>
      </c>
      <c r="E1706" s="20" t="str">
        <f>CONCATENATE(T1706,"-",U1706,"-",C1706)</f>
        <v>BC1-F8-42886</v>
      </c>
      <c r="F1706" s="20" t="s">
        <v>106</v>
      </c>
      <c r="G1706" s="44" t="s">
        <v>278</v>
      </c>
      <c r="H1706" s="26"/>
      <c r="I1706" s="26"/>
      <c r="J1706" s="45">
        <v>1031</v>
      </c>
      <c r="K1706" s="45"/>
      <c r="L1706" s="26"/>
      <c r="M1706" s="45"/>
      <c r="N1706" s="45"/>
      <c r="O1706" s="45"/>
      <c r="P1706" s="26"/>
      <c r="Q1706" s="26"/>
      <c r="R1706" s="26"/>
      <c r="S1706" s="26"/>
      <c r="T1706" s="26" t="s">
        <v>159</v>
      </c>
      <c r="U1706" s="26" t="s">
        <v>138</v>
      </c>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f>SUM(AL1706:AN1706)</f>
        <v>0</v>
      </c>
      <c r="AQ1706" s="26">
        <v>1.9350000000000001</v>
      </c>
      <c r="AR1706" s="26">
        <f>AP1706-1.472</f>
        <v>-1.472</v>
      </c>
      <c r="AS1706" s="26">
        <f>AQ1706-1.472</f>
        <v>0.46300000000000008</v>
      </c>
      <c r="AT1706" s="26" t="s">
        <v>284</v>
      </c>
      <c r="AU1706" s="26"/>
      <c r="AV1706" s="26"/>
      <c r="AW1706" s="26"/>
      <c r="AX1706" s="26"/>
      <c r="AY1706" s="26"/>
      <c r="AZ1706" s="26"/>
      <c r="BA1706" s="26"/>
      <c r="BB1706" s="26"/>
      <c r="BC1706" s="26"/>
      <c r="BD1706" s="26"/>
      <c r="BE1706" s="26"/>
      <c r="BF1706" s="26"/>
      <c r="BG1706" s="82"/>
      <c r="BH1706" s="26"/>
      <c r="BI1706" s="26"/>
      <c r="BJ1706" s="26"/>
      <c r="BK1706" s="26"/>
      <c r="BL1706" s="26"/>
      <c r="BM1706" s="26"/>
      <c r="BN1706" s="26"/>
      <c r="BO1706" s="26"/>
      <c r="BP1706" s="26"/>
      <c r="BQ1706" s="26"/>
      <c r="BR1706" s="26"/>
      <c r="BS1706" s="26"/>
      <c r="BT1706" s="82"/>
      <c r="BU1706" s="26"/>
      <c r="BV1706" s="26"/>
      <c r="BW1706" s="26"/>
      <c r="BX1706" s="26"/>
      <c r="BY1706" s="26"/>
      <c r="BZ1706" s="26"/>
      <c r="CA1706" s="26"/>
      <c r="CB1706" s="26"/>
      <c r="CC1706" s="26"/>
      <c r="CD1706" s="82"/>
      <c r="CE1706" s="26"/>
      <c r="CF1706" s="26"/>
      <c r="CG1706" s="26"/>
      <c r="CH1706" s="26"/>
      <c r="CI1706" s="26"/>
      <c r="CJ1706" s="26"/>
      <c r="CK1706" s="26"/>
      <c r="CL1706" s="26"/>
      <c r="CM1706" s="26"/>
      <c r="CN1706" s="26"/>
      <c r="CO1706" s="26"/>
      <c r="CP1706" s="26"/>
      <c r="CQ1706" s="26"/>
      <c r="CR1706" s="26"/>
      <c r="CS1706" s="26"/>
      <c r="CT1706" s="26"/>
      <c r="CU1706" s="26"/>
      <c r="CV1706" s="26"/>
      <c r="CW1706" s="26"/>
      <c r="CX1706" s="26"/>
      <c r="CY1706" s="26"/>
      <c r="CZ1706" s="26"/>
      <c r="DA1706" s="26"/>
      <c r="DB1706" s="26"/>
      <c r="DC1706" s="26"/>
      <c r="DD1706" s="26"/>
      <c r="DE1706" s="26"/>
      <c r="DF1706" s="16" t="e">
        <f>VLOOKUP(K1706,'[3]RNA Seq summary tables'!$V$3:$V$99,1,FALSE)</f>
        <v>#N/A</v>
      </c>
      <c r="DG1706" s="26"/>
      <c r="DH1706" s="26"/>
      <c r="DI1706" s="26"/>
      <c r="DJ1706" s="26"/>
      <c r="DK1706" s="26"/>
      <c r="DL1706" s="26"/>
      <c r="DM1706" s="26"/>
      <c r="DN1706" s="26"/>
      <c r="DO1706" s="26"/>
      <c r="DP1706" s="26"/>
      <c r="DQ1706" s="26"/>
      <c r="DR1706" s="26"/>
      <c r="DS1706" s="26"/>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18"/>
      <c r="EQ1706" s="18"/>
      <c r="ER1706" s="18"/>
      <c r="ES1706" s="18"/>
      <c r="ET1706" s="18"/>
      <c r="EU1706" s="18"/>
      <c r="EV1706" s="18"/>
      <c r="EW1706" s="18"/>
      <c r="EX1706" s="18"/>
      <c r="EY1706" s="18"/>
      <c r="EZ1706" s="18"/>
      <c r="FA1706" s="18"/>
      <c r="FB1706" s="18"/>
      <c r="FC1706" s="18"/>
      <c r="FD1706" s="18"/>
      <c r="FE1706" s="18"/>
      <c r="FF1706" s="18"/>
      <c r="FG1706" s="18"/>
      <c r="FH1706" s="18"/>
      <c r="FI1706" s="18"/>
      <c r="FJ1706" s="18"/>
      <c r="FK1706" s="18"/>
      <c r="FL1706" s="18"/>
      <c r="FM1706" s="18"/>
      <c r="FN1706" s="18"/>
      <c r="FO1706" s="18"/>
      <c r="FP1706" s="18"/>
      <c r="FQ1706" s="18"/>
      <c r="FR1706" s="18"/>
      <c r="FS1706" s="18"/>
      <c r="FT1706" s="18"/>
      <c r="FU1706" s="18"/>
      <c r="FV1706" s="18"/>
      <c r="FW1706" s="18"/>
      <c r="FX1706" s="18"/>
      <c r="FY1706" s="18"/>
      <c r="FZ1706" s="18"/>
      <c r="GA1706" s="18"/>
      <c r="GB1706" s="18"/>
      <c r="GC1706" s="18"/>
      <c r="GD1706" s="18"/>
      <c r="GE1706" s="18"/>
      <c r="GF1706" s="18"/>
      <c r="GG1706" s="18"/>
      <c r="GH1706" s="18"/>
      <c r="GI1706" s="18"/>
      <c r="GJ1706" s="18"/>
      <c r="GK1706" s="18"/>
      <c r="GL1706" s="18"/>
      <c r="GM1706" s="18"/>
      <c r="GN1706" s="18"/>
      <c r="GO1706" s="18"/>
      <c r="GP1706" s="18"/>
      <c r="GQ1706" s="18"/>
      <c r="GR1706" s="18"/>
      <c r="GS1706" s="18"/>
      <c r="GT1706" s="18"/>
      <c r="GU1706" s="18"/>
      <c r="GV1706" s="18"/>
      <c r="GW1706" s="18"/>
      <c r="GX1706" s="18"/>
      <c r="GY1706" s="18"/>
      <c r="GZ1706" s="18"/>
      <c r="HA1706" s="18"/>
      <c r="HB1706" s="18"/>
      <c r="HC1706" s="18"/>
      <c r="HD1706" s="18"/>
      <c r="HE1706" s="18"/>
      <c r="HF1706" s="18"/>
      <c r="HG1706" s="18"/>
      <c r="HH1706" s="18"/>
      <c r="HI1706" s="18"/>
      <c r="HJ1706" s="18"/>
      <c r="HK1706" s="18"/>
      <c r="HL1706" s="18"/>
      <c r="HM1706" s="18"/>
      <c r="HN1706" s="18"/>
      <c r="HO1706" s="18"/>
      <c r="HP1706" s="18"/>
      <c r="HQ1706" s="18"/>
      <c r="HR1706" s="18"/>
      <c r="HS1706" s="18"/>
      <c r="HT1706" s="18"/>
      <c r="HU1706" s="18"/>
      <c r="HV1706" s="18"/>
      <c r="HW1706" s="18"/>
      <c r="HX1706" s="18"/>
      <c r="HY1706" s="18"/>
      <c r="HZ1706" s="18"/>
      <c r="IA1706" s="18"/>
      <c r="IB1706" s="18"/>
      <c r="IC1706" s="18"/>
      <c r="ID1706" s="18"/>
      <c r="IE1706" s="18"/>
      <c r="IF1706" s="18"/>
      <c r="IG1706" s="18"/>
      <c r="IH1706" s="18"/>
      <c r="II1706" s="18"/>
      <c r="IJ1706" s="18"/>
      <c r="IK1706" s="18"/>
      <c r="IL1706" s="18"/>
      <c r="IM1706" s="18"/>
      <c r="IN1706" s="18"/>
      <c r="IO1706" s="18"/>
      <c r="IP1706" s="18"/>
      <c r="IQ1706" s="18"/>
      <c r="IR1706" s="18"/>
      <c r="IS1706" s="18"/>
      <c r="IT1706" s="18"/>
      <c r="IU1706" s="18"/>
      <c r="IV1706" s="18"/>
      <c r="IW1706" s="18"/>
      <c r="IX1706" s="18"/>
      <c r="IY1706" s="18"/>
      <c r="IZ1706" s="18"/>
      <c r="JA1706" s="18"/>
      <c r="JB1706" s="18"/>
      <c r="JC1706" s="18"/>
      <c r="JD1706" s="18"/>
      <c r="JE1706" s="18"/>
      <c r="JF1706" s="18"/>
      <c r="JG1706" s="18"/>
      <c r="JH1706" s="18"/>
      <c r="JI1706" s="18"/>
      <c r="JJ1706" s="18"/>
      <c r="JK1706" s="18"/>
      <c r="JL1706" s="18"/>
      <c r="JM1706" s="18"/>
      <c r="JN1706" s="18"/>
      <c r="JP1706" s="16"/>
      <c r="JQ1706" s="16"/>
      <c r="JR1706" s="16"/>
      <c r="JS1706" s="16"/>
      <c r="JT1706" s="16"/>
      <c r="JU1706" s="16"/>
      <c r="JV1706" s="16"/>
      <c r="JW1706" s="16"/>
      <c r="JX1706" s="16"/>
      <c r="JY1706" s="16"/>
      <c r="JZ1706" s="16"/>
      <c r="KA1706" s="16"/>
      <c r="KB1706" s="16"/>
    </row>
    <row r="1707" spans="1:288" s="27" customFormat="1" x14ac:dyDescent="0.2">
      <c r="A1707" s="18"/>
      <c r="B1707" s="16">
        <v>2017</v>
      </c>
      <c r="C1707" s="73">
        <v>42904</v>
      </c>
      <c r="D1707" s="73" t="str">
        <f>CONCATENATE(J1707,"-",C1707)</f>
        <v>1032-42904</v>
      </c>
      <c r="E1707" s="20" t="str">
        <f>CONCATENATE(T1707,"-",U1707,"-",C1707)</f>
        <v>BC2-B7-42904</v>
      </c>
      <c r="F1707" s="20" t="s">
        <v>106</v>
      </c>
      <c r="G1707" s="43" t="s">
        <v>278</v>
      </c>
      <c r="H1707" s="23"/>
      <c r="I1707" s="23"/>
      <c r="J1707" s="15">
        <v>1032</v>
      </c>
      <c r="K1707" s="15"/>
      <c r="L1707" s="23"/>
      <c r="M1707" s="21"/>
      <c r="N1707" s="21"/>
      <c r="O1707" s="21"/>
      <c r="P1707" s="25"/>
      <c r="Q1707" s="23"/>
      <c r="R1707" s="23"/>
      <c r="S1707" s="23"/>
      <c r="T1707" s="23" t="s">
        <v>154</v>
      </c>
      <c r="U1707" s="23" t="s">
        <v>168</v>
      </c>
      <c r="V1707" s="23"/>
      <c r="W1707" s="23"/>
      <c r="X1707" s="23"/>
      <c r="Y1707" s="23"/>
      <c r="Z1707" s="23"/>
      <c r="AA1707" s="23"/>
      <c r="AB1707" s="23"/>
      <c r="AC1707" s="23"/>
      <c r="AD1707" s="23"/>
      <c r="AE1707" s="23"/>
      <c r="AF1707" s="23"/>
      <c r="AG1707" s="23"/>
      <c r="AH1707" s="23"/>
      <c r="AI1707" s="23"/>
      <c r="AJ1707" s="23"/>
      <c r="AK1707" s="23"/>
      <c r="AL1707" s="23"/>
      <c r="AM1707" s="23"/>
      <c r="AN1707" s="23"/>
      <c r="AO1707" s="23"/>
      <c r="AP1707" s="23"/>
      <c r="AQ1707" s="23"/>
      <c r="AR1707" s="23"/>
      <c r="AS1707" s="23"/>
      <c r="AT1707" s="16" t="s">
        <v>278</v>
      </c>
      <c r="AU1707" s="16"/>
      <c r="AV1707" s="16"/>
      <c r="AW1707" s="16"/>
      <c r="AX1707" s="16"/>
      <c r="AY1707" s="18"/>
      <c r="AZ1707" s="16"/>
      <c r="BA1707" s="16"/>
      <c r="BB1707" s="16"/>
      <c r="BC1707" s="16"/>
      <c r="BD1707" s="16"/>
      <c r="BE1707" s="16"/>
      <c r="BF1707" s="16"/>
      <c r="BG1707" s="77"/>
      <c r="BH1707" s="16"/>
      <c r="BI1707" s="16"/>
      <c r="BJ1707" s="16"/>
      <c r="BK1707" s="16"/>
      <c r="BL1707" s="16"/>
      <c r="BM1707" s="16"/>
      <c r="BN1707" s="16"/>
      <c r="BO1707" s="16"/>
      <c r="BP1707" s="16"/>
      <c r="BQ1707" s="16"/>
      <c r="BR1707" s="16"/>
      <c r="BS1707" s="16"/>
      <c r="BT1707" s="77"/>
      <c r="BU1707" s="16"/>
      <c r="BV1707" s="16"/>
      <c r="BW1707" s="16"/>
      <c r="BX1707" s="16"/>
      <c r="BY1707" s="16"/>
      <c r="BZ1707" s="16"/>
      <c r="CA1707" s="16"/>
      <c r="CB1707" s="16"/>
      <c r="CC1707" s="16"/>
      <c r="CD1707" s="77"/>
      <c r="CE1707" s="16"/>
      <c r="CF1707" s="16"/>
      <c r="CG1707" s="16"/>
      <c r="CH1707" s="16"/>
      <c r="CI1707" s="16"/>
      <c r="CJ1707" s="16"/>
      <c r="CK1707" s="16"/>
      <c r="CL1707" s="16"/>
      <c r="CM1707" s="16"/>
      <c r="CN1707" s="16"/>
      <c r="CO1707" s="16"/>
      <c r="CP1707" s="16"/>
      <c r="CQ1707" s="16"/>
      <c r="CR1707" s="16"/>
      <c r="CS1707" s="16"/>
      <c r="CT1707" s="16"/>
      <c r="CU1707" s="16"/>
      <c r="CV1707" s="16"/>
      <c r="CW1707" s="16"/>
      <c r="CX1707" s="16"/>
      <c r="CY1707" s="16"/>
      <c r="CZ1707" s="16"/>
      <c r="DA1707" s="16"/>
      <c r="DB1707" s="16"/>
      <c r="DC1707" s="23"/>
      <c r="DD1707" s="23"/>
      <c r="DE1707" s="23"/>
      <c r="DF1707" s="16" t="e">
        <f>VLOOKUP(K1707,'[3]RNA Seq summary tables'!$V$3:$V$99,1,FALSE)</f>
        <v>#N/A</v>
      </c>
      <c r="DG1707" s="23"/>
      <c r="DH1707" s="23"/>
      <c r="DI1707" s="23"/>
      <c r="DJ1707" s="23"/>
      <c r="DK1707" s="23"/>
      <c r="DL1707" s="23"/>
      <c r="DM1707" s="23"/>
      <c r="DN1707" s="23"/>
      <c r="DO1707" s="23"/>
      <c r="DP1707" s="23"/>
      <c r="DQ1707" s="23"/>
      <c r="DR1707" s="23"/>
      <c r="DS1707" s="23"/>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18"/>
      <c r="EQ1707" s="18"/>
      <c r="ER1707" s="18"/>
      <c r="ES1707" s="18"/>
      <c r="ET1707" s="18"/>
      <c r="EU1707" s="18"/>
      <c r="EV1707" s="18"/>
      <c r="EW1707" s="18"/>
      <c r="EX1707" s="18"/>
      <c r="EY1707" s="18"/>
      <c r="EZ1707" s="18"/>
      <c r="FA1707" s="18"/>
      <c r="FB1707" s="18"/>
      <c r="FC1707" s="18"/>
      <c r="FD1707" s="18"/>
      <c r="FE1707" s="18"/>
      <c r="FF1707" s="18"/>
      <c r="FG1707" s="18"/>
      <c r="FH1707" s="18"/>
      <c r="FI1707" s="18"/>
      <c r="FJ1707" s="18"/>
      <c r="FK1707" s="18"/>
      <c r="FL1707" s="18"/>
      <c r="FM1707" s="18"/>
      <c r="FN1707" s="18"/>
      <c r="FO1707" s="18"/>
      <c r="FP1707" s="18"/>
      <c r="FQ1707" s="18"/>
      <c r="FR1707" s="18"/>
      <c r="FS1707" s="18"/>
      <c r="FT1707" s="18"/>
      <c r="FU1707" s="18"/>
      <c r="FV1707" s="18"/>
      <c r="FW1707" s="18"/>
      <c r="FX1707" s="18"/>
      <c r="FY1707" s="18"/>
      <c r="FZ1707" s="18"/>
      <c r="GA1707" s="18"/>
      <c r="GB1707" s="18"/>
      <c r="GC1707" s="18"/>
      <c r="GD1707" s="18"/>
      <c r="GE1707" s="18"/>
      <c r="GF1707" s="18"/>
      <c r="GG1707" s="18"/>
      <c r="GH1707" s="18"/>
      <c r="GI1707" s="18"/>
      <c r="GJ1707" s="18"/>
      <c r="GK1707" s="18"/>
      <c r="GL1707" s="18"/>
      <c r="GM1707" s="18"/>
      <c r="GN1707" s="18"/>
      <c r="GO1707" s="18"/>
      <c r="GP1707" s="18"/>
      <c r="GQ1707" s="18"/>
      <c r="GR1707" s="18"/>
      <c r="GS1707" s="18"/>
      <c r="GT1707" s="18"/>
      <c r="GU1707" s="18"/>
      <c r="GV1707" s="18"/>
      <c r="GW1707" s="18"/>
      <c r="GX1707" s="18"/>
      <c r="GY1707" s="18"/>
      <c r="GZ1707" s="18"/>
      <c r="HA1707" s="18"/>
      <c r="HB1707" s="18"/>
      <c r="HC1707" s="18"/>
      <c r="HD1707" s="18"/>
      <c r="HE1707" s="18"/>
      <c r="HF1707" s="18"/>
      <c r="HG1707" s="18"/>
      <c r="HH1707" s="18"/>
      <c r="HI1707" s="18"/>
      <c r="HJ1707" s="18"/>
      <c r="HK1707" s="18"/>
      <c r="HL1707" s="18"/>
      <c r="HM1707" s="18"/>
      <c r="HN1707" s="18"/>
      <c r="HO1707" s="18"/>
      <c r="HP1707" s="18"/>
      <c r="HQ1707" s="18"/>
      <c r="HR1707" s="18"/>
      <c r="HS1707" s="18"/>
      <c r="HT1707" s="18"/>
      <c r="HU1707" s="18"/>
      <c r="HV1707" s="18"/>
      <c r="HW1707" s="18"/>
      <c r="HX1707" s="18"/>
      <c r="HY1707" s="18"/>
      <c r="HZ1707" s="18"/>
      <c r="IA1707" s="18"/>
      <c r="IB1707" s="18"/>
      <c r="IC1707" s="18"/>
      <c r="ID1707" s="18"/>
      <c r="IE1707" s="18"/>
      <c r="IF1707" s="18"/>
      <c r="IG1707" s="18"/>
      <c r="IH1707" s="18"/>
      <c r="II1707" s="18"/>
      <c r="IJ1707" s="18"/>
      <c r="IK1707" s="18"/>
      <c r="IL1707" s="18"/>
      <c r="IM1707" s="18"/>
      <c r="IN1707" s="18"/>
      <c r="IO1707" s="18"/>
      <c r="IP1707" s="18"/>
      <c r="IQ1707" s="18"/>
      <c r="IR1707" s="18"/>
      <c r="IS1707" s="18"/>
      <c r="IT1707" s="18"/>
      <c r="IU1707" s="18"/>
      <c r="IV1707" s="18"/>
      <c r="IW1707" s="18"/>
      <c r="IX1707" s="18"/>
      <c r="IY1707" s="18"/>
      <c r="IZ1707" s="18"/>
      <c r="JA1707" s="18"/>
      <c r="JB1707" s="18"/>
      <c r="JC1707" s="18"/>
      <c r="JD1707" s="18"/>
      <c r="JE1707" s="18"/>
      <c r="JF1707" s="18"/>
      <c r="JG1707" s="18"/>
      <c r="JH1707" s="18"/>
      <c r="JI1707" s="18"/>
      <c r="JJ1707" s="18"/>
      <c r="JK1707" s="18"/>
      <c r="JL1707" s="18"/>
      <c r="JM1707" s="18"/>
      <c r="JN1707" s="18"/>
      <c r="JO1707" s="16"/>
      <c r="JP1707" s="16"/>
      <c r="JQ1707" s="16"/>
    </row>
    <row r="1708" spans="1:288" s="27" customFormat="1" x14ac:dyDescent="0.2">
      <c r="A1708" s="18"/>
      <c r="B1708" s="16">
        <v>2017</v>
      </c>
      <c r="C1708" s="66">
        <v>42888</v>
      </c>
      <c r="D1708" s="66" t="str">
        <f>CONCATENATE(J1708,"-",C1708)</f>
        <v>1035-42888</v>
      </c>
      <c r="E1708" s="20" t="str">
        <f>CONCATENATE(T1708,"-",U1708,"-",C1708)</f>
        <v>SP1-D4-42888</v>
      </c>
      <c r="F1708" s="20" t="s">
        <v>106</v>
      </c>
      <c r="G1708" s="20" t="s">
        <v>278</v>
      </c>
      <c r="H1708" s="18" t="s">
        <v>236</v>
      </c>
      <c r="I1708" s="16"/>
      <c r="J1708" s="21">
        <v>1035</v>
      </c>
      <c r="K1708" s="21"/>
      <c r="L1708" s="16"/>
      <c r="M1708" s="21"/>
      <c r="N1708" s="21"/>
      <c r="O1708" s="21"/>
      <c r="P1708" s="16"/>
      <c r="Q1708" s="16"/>
      <c r="R1708" s="16"/>
      <c r="S1708" s="16"/>
      <c r="T1708" s="16" t="s">
        <v>140</v>
      </c>
      <c r="U1708" s="16" t="s">
        <v>221</v>
      </c>
      <c r="V1708" s="16"/>
      <c r="W1708" s="16"/>
      <c r="X1708" s="16"/>
      <c r="Y1708" s="16"/>
      <c r="Z1708" s="16"/>
      <c r="AA1708" s="16"/>
      <c r="AB1708" s="16"/>
      <c r="AC1708" s="16"/>
      <c r="AD1708" s="16"/>
      <c r="AE1708" s="16"/>
      <c r="AF1708" s="16"/>
      <c r="AG1708" s="16"/>
      <c r="AH1708" s="16"/>
      <c r="AI1708" s="16"/>
      <c r="AJ1708" s="16"/>
      <c r="AK1708" s="16"/>
      <c r="AL1708" s="16"/>
      <c r="AM1708" s="16"/>
      <c r="AN1708" s="16"/>
      <c r="AO1708" s="16"/>
      <c r="AP1708" s="16"/>
      <c r="AQ1708" s="16"/>
      <c r="AR1708" s="16"/>
      <c r="AS1708" s="16"/>
      <c r="AT1708" s="16" t="s">
        <v>278</v>
      </c>
      <c r="AU1708" s="16"/>
      <c r="AV1708" s="16"/>
      <c r="AW1708" s="16"/>
      <c r="AX1708" s="16"/>
      <c r="AY1708" s="18"/>
      <c r="AZ1708" s="16"/>
      <c r="BA1708" s="16"/>
      <c r="BB1708" s="16"/>
      <c r="BC1708" s="16"/>
      <c r="BD1708" s="16"/>
      <c r="BE1708" s="16"/>
      <c r="BF1708" s="16"/>
      <c r="BG1708" s="77"/>
      <c r="BH1708" s="16"/>
      <c r="BI1708" s="16"/>
      <c r="BJ1708" s="16"/>
      <c r="BK1708" s="16"/>
      <c r="BL1708" s="16"/>
      <c r="BM1708" s="16"/>
      <c r="BN1708" s="16"/>
      <c r="BO1708" s="16"/>
      <c r="BP1708" s="16"/>
      <c r="BQ1708" s="16"/>
      <c r="BR1708" s="16"/>
      <c r="BS1708" s="16"/>
      <c r="BT1708" s="77"/>
      <c r="BU1708" s="16"/>
      <c r="BV1708" s="16"/>
      <c r="BW1708" s="16"/>
      <c r="BX1708" s="16"/>
      <c r="BY1708" s="16"/>
      <c r="BZ1708" s="16"/>
      <c r="CA1708" s="16"/>
      <c r="CB1708" s="16"/>
      <c r="CC1708" s="16"/>
      <c r="CD1708" s="77"/>
      <c r="CE1708" s="16"/>
      <c r="CF1708" s="16"/>
      <c r="CG1708" s="16"/>
      <c r="CH1708" s="16"/>
      <c r="CI1708" s="16"/>
      <c r="CJ1708" s="16"/>
      <c r="CK1708" s="16"/>
      <c r="CL1708" s="16"/>
      <c r="CM1708" s="16"/>
      <c r="CN1708" s="16"/>
      <c r="CO1708" s="16"/>
      <c r="CP1708" s="16"/>
      <c r="CQ1708" s="16"/>
      <c r="CR1708" s="16"/>
      <c r="CS1708" s="16"/>
      <c r="CT1708" s="16"/>
      <c r="CU1708" s="16"/>
      <c r="CV1708" s="16"/>
      <c r="CW1708" s="16"/>
      <c r="CX1708" s="16"/>
      <c r="CY1708" s="16"/>
      <c r="CZ1708" s="16"/>
      <c r="DA1708" s="16"/>
      <c r="DB1708" s="16"/>
      <c r="DC1708" s="16"/>
      <c r="DD1708" s="16"/>
      <c r="DE1708" s="16"/>
      <c r="DF1708" s="16" t="e">
        <f>VLOOKUP(K1708,'[3]RNA Seq summary tables'!$V$3:$V$99,1,FALSE)</f>
        <v>#N/A</v>
      </c>
      <c r="DG1708" s="16"/>
      <c r="DH1708" s="16"/>
      <c r="DI1708" s="16"/>
      <c r="DJ1708" s="16"/>
      <c r="DK1708" s="16"/>
      <c r="DL1708" s="16"/>
      <c r="DM1708" s="16"/>
      <c r="DN1708" s="16"/>
      <c r="DO1708" s="16"/>
      <c r="DP1708" s="16"/>
      <c r="DQ1708" s="16"/>
      <c r="DR1708" s="16"/>
      <c r="DS1708" s="16"/>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18"/>
      <c r="EQ1708" s="18"/>
      <c r="ER1708" s="18"/>
      <c r="ES1708" s="18"/>
      <c r="ET1708" s="18"/>
      <c r="EU1708" s="18"/>
      <c r="EV1708" s="18"/>
      <c r="EW1708" s="18"/>
      <c r="EX1708" s="18"/>
      <c r="EY1708" s="18"/>
      <c r="EZ1708" s="18"/>
      <c r="FA1708" s="18"/>
      <c r="FB1708" s="18"/>
      <c r="FC1708" s="18"/>
      <c r="FD1708" s="18"/>
      <c r="FE1708" s="18"/>
      <c r="FF1708" s="18"/>
      <c r="FG1708" s="18"/>
      <c r="FH1708" s="18"/>
      <c r="FI1708" s="18"/>
      <c r="FJ1708" s="18"/>
      <c r="FK1708" s="18"/>
      <c r="FL1708" s="18"/>
      <c r="FM1708" s="18"/>
      <c r="FN1708" s="18"/>
      <c r="FO1708" s="18"/>
      <c r="FP1708" s="18"/>
      <c r="FQ1708" s="18"/>
      <c r="FR1708" s="18"/>
      <c r="FS1708" s="18"/>
      <c r="FT1708" s="18"/>
      <c r="FU1708" s="18"/>
      <c r="FV1708" s="18"/>
      <c r="FW1708" s="18"/>
      <c r="FX1708" s="18"/>
      <c r="FY1708" s="18"/>
      <c r="FZ1708" s="18"/>
      <c r="GA1708" s="18"/>
      <c r="GB1708" s="18"/>
      <c r="GC1708" s="18"/>
      <c r="GD1708" s="18"/>
      <c r="GE1708" s="18"/>
      <c r="GF1708" s="18"/>
      <c r="GG1708" s="18"/>
      <c r="GH1708" s="18"/>
      <c r="GI1708" s="18"/>
      <c r="GJ1708" s="18"/>
      <c r="GK1708" s="18"/>
      <c r="GL1708" s="18"/>
      <c r="GM1708" s="18"/>
      <c r="GN1708" s="18"/>
      <c r="GO1708" s="18"/>
      <c r="GP1708" s="18"/>
      <c r="GQ1708" s="18"/>
      <c r="GR1708" s="18"/>
      <c r="GS1708" s="18"/>
      <c r="GT1708" s="18"/>
      <c r="GU1708" s="18"/>
      <c r="GV1708" s="18"/>
      <c r="GW1708" s="18"/>
      <c r="GX1708" s="18"/>
      <c r="GY1708" s="18"/>
      <c r="GZ1708" s="18"/>
      <c r="HA1708" s="18"/>
      <c r="HB1708" s="18"/>
      <c r="HC1708" s="18"/>
      <c r="HD1708" s="18"/>
      <c r="HE1708" s="18"/>
      <c r="HF1708" s="18"/>
      <c r="HG1708" s="18"/>
      <c r="HH1708" s="18"/>
      <c r="HI1708" s="18"/>
      <c r="HJ1708" s="18"/>
      <c r="HK1708" s="18"/>
      <c r="HL1708" s="18"/>
      <c r="HM1708" s="18"/>
      <c r="HN1708" s="18"/>
      <c r="HO1708" s="18"/>
      <c r="HP1708" s="18"/>
      <c r="HQ1708" s="18"/>
      <c r="HR1708" s="18"/>
      <c r="HS1708" s="18"/>
      <c r="HT1708" s="18"/>
      <c r="HU1708" s="18"/>
      <c r="HV1708" s="18"/>
      <c r="HW1708" s="18"/>
      <c r="HX1708" s="18"/>
      <c r="HY1708" s="18"/>
      <c r="HZ1708" s="18"/>
      <c r="IA1708" s="18"/>
      <c r="IB1708" s="18"/>
      <c r="IC1708" s="18"/>
      <c r="ID1708" s="18"/>
      <c r="IE1708" s="18"/>
      <c r="IF1708" s="18"/>
      <c r="IG1708" s="18"/>
      <c r="IH1708" s="18"/>
      <c r="II1708" s="18"/>
      <c r="IJ1708" s="18"/>
      <c r="IK1708" s="18"/>
      <c r="IL1708" s="18"/>
      <c r="IM1708" s="18"/>
      <c r="IN1708" s="18"/>
      <c r="IO1708" s="18"/>
      <c r="IP1708" s="18"/>
      <c r="IQ1708" s="18"/>
      <c r="IR1708" s="18"/>
      <c r="IS1708" s="18"/>
      <c r="IT1708" s="18"/>
      <c r="IU1708" s="18"/>
      <c r="IV1708" s="18"/>
      <c r="IW1708" s="18"/>
      <c r="IX1708" s="18"/>
      <c r="IY1708" s="18"/>
      <c r="IZ1708" s="18"/>
      <c r="JA1708" s="18"/>
      <c r="JB1708" s="18"/>
      <c r="JC1708" s="18"/>
      <c r="JD1708" s="18"/>
      <c r="JE1708" s="18"/>
      <c r="JF1708" s="18"/>
      <c r="JG1708" s="18"/>
      <c r="JH1708" s="18"/>
      <c r="JI1708" s="18"/>
      <c r="JJ1708" s="18"/>
      <c r="JK1708" s="18"/>
      <c r="JL1708" s="18"/>
      <c r="JM1708" s="18"/>
      <c r="JN1708" s="18"/>
      <c r="JO1708" s="16"/>
      <c r="JP1708" s="16"/>
      <c r="JQ1708" s="16"/>
      <c r="JR1708" s="16"/>
      <c r="JS1708" s="16"/>
      <c r="JT1708" s="16"/>
      <c r="JU1708" s="16"/>
      <c r="JV1708" s="16"/>
      <c r="JW1708" s="16"/>
      <c r="JX1708" s="16"/>
      <c r="JY1708" s="16"/>
      <c r="JZ1708" s="16"/>
      <c r="KA1708" s="16"/>
      <c r="KB1708" s="16"/>
    </row>
    <row r="1709" spans="1:288" s="27" customFormat="1" x14ac:dyDescent="0.2">
      <c r="A1709" s="18"/>
      <c r="B1709" s="16">
        <v>2017</v>
      </c>
      <c r="C1709" s="66">
        <v>42889</v>
      </c>
      <c r="D1709" s="66" t="str">
        <f>CONCATENATE(J1709,"-",C1709)</f>
        <v>1035-42889</v>
      </c>
      <c r="E1709" s="20" t="str">
        <f>CONCATENATE(T1709,"-",U1709,"-",C1709)</f>
        <v>SP1-D4-42889</v>
      </c>
      <c r="F1709" s="20" t="s">
        <v>106</v>
      </c>
      <c r="G1709" s="20" t="s">
        <v>278</v>
      </c>
      <c r="H1709" s="18" t="s">
        <v>236</v>
      </c>
      <c r="I1709" s="16"/>
      <c r="J1709" s="21">
        <v>1035</v>
      </c>
      <c r="K1709" s="21"/>
      <c r="L1709" s="16"/>
      <c r="M1709" s="21"/>
      <c r="N1709" s="21"/>
      <c r="O1709" s="21"/>
      <c r="P1709" s="16"/>
      <c r="Q1709" s="16"/>
      <c r="R1709" s="16"/>
      <c r="S1709" s="16"/>
      <c r="T1709" s="16" t="s">
        <v>140</v>
      </c>
      <c r="U1709" s="16" t="s">
        <v>221</v>
      </c>
      <c r="V1709" s="16"/>
      <c r="W1709" s="16"/>
      <c r="X1709" s="16"/>
      <c r="Y1709" s="16"/>
      <c r="Z1709" s="16"/>
      <c r="AA1709" s="16"/>
      <c r="AB1709" s="16"/>
      <c r="AC1709" s="16"/>
      <c r="AD1709" s="16"/>
      <c r="AE1709" s="16"/>
      <c r="AF1709" s="16"/>
      <c r="AG1709" s="16"/>
      <c r="AH1709" s="16"/>
      <c r="AI1709" s="16"/>
      <c r="AJ1709" s="16"/>
      <c r="AK1709" s="16"/>
      <c r="AL1709" s="16"/>
      <c r="AM1709" s="16"/>
      <c r="AN1709" s="16"/>
      <c r="AO1709" s="16"/>
      <c r="AP1709" s="16"/>
      <c r="AQ1709" s="16"/>
      <c r="AR1709" s="16"/>
      <c r="AS1709" s="16"/>
      <c r="AT1709" s="16" t="s">
        <v>278</v>
      </c>
      <c r="AU1709" s="16"/>
      <c r="AV1709" s="16"/>
      <c r="AW1709" s="16"/>
      <c r="AX1709" s="16"/>
      <c r="AY1709" s="18"/>
      <c r="AZ1709" s="16"/>
      <c r="BA1709" s="16"/>
      <c r="BB1709" s="16"/>
      <c r="BC1709" s="16"/>
      <c r="BD1709" s="16"/>
      <c r="BE1709" s="16"/>
      <c r="BF1709" s="16"/>
      <c r="BG1709" s="77"/>
      <c r="BH1709" s="16"/>
      <c r="BI1709" s="16"/>
      <c r="BJ1709" s="16"/>
      <c r="BK1709" s="16"/>
      <c r="BL1709" s="16"/>
      <c r="BM1709" s="16"/>
      <c r="BN1709" s="16"/>
      <c r="BO1709" s="16"/>
      <c r="BP1709" s="16"/>
      <c r="BQ1709" s="16"/>
      <c r="BR1709" s="16"/>
      <c r="BS1709" s="16"/>
      <c r="BT1709" s="77"/>
      <c r="BU1709" s="16"/>
      <c r="BV1709" s="16"/>
      <c r="BW1709" s="16"/>
      <c r="BX1709" s="16"/>
      <c r="BY1709" s="16"/>
      <c r="BZ1709" s="16"/>
      <c r="CA1709" s="16"/>
      <c r="CB1709" s="16"/>
      <c r="CC1709" s="16"/>
      <c r="CD1709" s="77"/>
      <c r="CE1709" s="16"/>
      <c r="CF1709" s="16"/>
      <c r="CG1709" s="16"/>
      <c r="CH1709" s="16"/>
      <c r="CI1709" s="16"/>
      <c r="CJ1709" s="16"/>
      <c r="CK1709" s="16"/>
      <c r="CL1709" s="16"/>
      <c r="CM1709" s="16"/>
      <c r="CN1709" s="16"/>
      <c r="CO1709" s="16"/>
      <c r="CP1709" s="16"/>
      <c r="CQ1709" s="16"/>
      <c r="CR1709" s="16"/>
      <c r="CS1709" s="16"/>
      <c r="CT1709" s="16"/>
      <c r="CU1709" s="16"/>
      <c r="CV1709" s="16"/>
      <c r="CW1709" s="16"/>
      <c r="CX1709" s="16"/>
      <c r="CY1709" s="16"/>
      <c r="CZ1709" s="16"/>
      <c r="DA1709" s="16"/>
      <c r="DB1709" s="16"/>
      <c r="DC1709" s="16"/>
      <c r="DD1709" s="16"/>
      <c r="DE1709" s="16"/>
      <c r="DF1709" s="16" t="e">
        <f>VLOOKUP(K1709,'[3]RNA Seq summary tables'!$V$3:$V$99,1,FALSE)</f>
        <v>#N/A</v>
      </c>
      <c r="DG1709" s="16"/>
      <c r="DH1709" s="16"/>
      <c r="DI1709" s="16"/>
      <c r="DJ1709" s="16"/>
      <c r="DK1709" s="16"/>
      <c r="DL1709" s="16"/>
      <c r="DM1709" s="16"/>
      <c r="DN1709" s="16"/>
      <c r="DO1709" s="16"/>
      <c r="DP1709" s="16"/>
      <c r="DQ1709" s="16"/>
      <c r="DR1709" s="16"/>
      <c r="DS1709" s="16"/>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18"/>
      <c r="EQ1709" s="18"/>
      <c r="ER1709" s="18"/>
      <c r="ES1709" s="18"/>
      <c r="ET1709" s="18"/>
      <c r="EU1709" s="18"/>
      <c r="EV1709" s="18"/>
      <c r="EW1709" s="18"/>
      <c r="EX1709" s="18"/>
      <c r="EY1709" s="18"/>
      <c r="EZ1709" s="18"/>
      <c r="FA1709" s="18"/>
      <c r="FB1709" s="18"/>
      <c r="FC1709" s="18"/>
      <c r="FD1709" s="18"/>
      <c r="FE1709" s="18"/>
      <c r="FF1709" s="18"/>
      <c r="FG1709" s="18"/>
      <c r="FH1709" s="18"/>
      <c r="FI1709" s="18"/>
      <c r="FJ1709" s="18"/>
      <c r="FK1709" s="18"/>
      <c r="FL1709" s="18"/>
      <c r="FM1709" s="18"/>
      <c r="FN1709" s="18"/>
      <c r="FO1709" s="18"/>
      <c r="FP1709" s="18"/>
      <c r="FQ1709" s="18"/>
      <c r="FR1709" s="18"/>
      <c r="FS1709" s="18"/>
      <c r="FT1709" s="18"/>
      <c r="FU1709" s="18"/>
      <c r="FV1709" s="18"/>
      <c r="FW1709" s="18"/>
      <c r="FX1709" s="18"/>
      <c r="FY1709" s="18"/>
      <c r="FZ1709" s="18"/>
      <c r="GA1709" s="18"/>
      <c r="GB1709" s="18"/>
      <c r="GC1709" s="18"/>
      <c r="GD1709" s="18"/>
      <c r="GE1709" s="18"/>
      <c r="GF1709" s="18"/>
      <c r="GG1709" s="18"/>
      <c r="GH1709" s="18"/>
      <c r="GI1709" s="18"/>
      <c r="GJ1709" s="18"/>
      <c r="GK1709" s="18"/>
      <c r="GL1709" s="18"/>
      <c r="GM1709" s="18"/>
      <c r="GN1709" s="18"/>
      <c r="GO1709" s="18"/>
      <c r="GP1709" s="18"/>
      <c r="GQ1709" s="18"/>
      <c r="GR1709" s="18"/>
      <c r="GS1709" s="18"/>
      <c r="GT1709" s="18"/>
      <c r="GU1709" s="18"/>
      <c r="GV1709" s="18"/>
      <c r="GW1709" s="18"/>
      <c r="GX1709" s="18"/>
      <c r="GY1709" s="18"/>
      <c r="GZ1709" s="18"/>
      <c r="HA1709" s="18"/>
      <c r="HB1709" s="18"/>
      <c r="HC1709" s="18"/>
      <c r="HD1709" s="18"/>
      <c r="HE1709" s="18"/>
      <c r="HF1709" s="18"/>
      <c r="HG1709" s="18"/>
      <c r="HH1709" s="18"/>
      <c r="HI1709" s="18"/>
      <c r="HJ1709" s="18"/>
      <c r="HK1709" s="18"/>
      <c r="HL1709" s="18"/>
      <c r="HM1709" s="18"/>
      <c r="HN1709" s="18"/>
      <c r="HO1709" s="18"/>
      <c r="HP1709" s="18"/>
      <c r="HQ1709" s="18"/>
      <c r="HR1709" s="18"/>
      <c r="HS1709" s="18"/>
      <c r="HT1709" s="18"/>
      <c r="HU1709" s="18"/>
      <c r="HV1709" s="18"/>
      <c r="HW1709" s="18"/>
      <c r="HX1709" s="18"/>
      <c r="HY1709" s="18"/>
      <c r="HZ1709" s="18"/>
      <c r="IA1709" s="18"/>
      <c r="IB1709" s="18"/>
      <c r="IC1709" s="18"/>
      <c r="ID1709" s="18"/>
      <c r="IE1709" s="18"/>
      <c r="IF1709" s="18"/>
      <c r="IG1709" s="18"/>
      <c r="IH1709" s="18"/>
      <c r="II1709" s="18"/>
      <c r="IJ1709" s="18"/>
      <c r="IK1709" s="18"/>
      <c r="IL1709" s="18"/>
      <c r="IM1709" s="18"/>
      <c r="IN1709" s="18"/>
      <c r="IO1709" s="18"/>
      <c r="IP1709" s="18"/>
      <c r="IQ1709" s="18"/>
      <c r="IR1709" s="18"/>
      <c r="IS1709" s="18"/>
      <c r="IT1709" s="18"/>
      <c r="IU1709" s="18"/>
      <c r="IV1709" s="18"/>
      <c r="IW1709" s="18"/>
      <c r="IX1709" s="18"/>
      <c r="IY1709" s="18"/>
      <c r="IZ1709" s="18"/>
      <c r="JA1709" s="18"/>
      <c r="JB1709" s="18"/>
      <c r="JC1709" s="18"/>
      <c r="JD1709" s="18"/>
      <c r="JE1709" s="18"/>
      <c r="JF1709" s="18"/>
      <c r="JG1709" s="18"/>
      <c r="JH1709" s="18"/>
      <c r="JI1709" s="18"/>
      <c r="JJ1709" s="18"/>
      <c r="JK1709" s="18"/>
      <c r="JL1709" s="18"/>
      <c r="JM1709" s="18"/>
      <c r="JN1709" s="18"/>
      <c r="JO1709" s="16"/>
      <c r="JR1709" s="16"/>
      <c r="JS1709" s="16"/>
      <c r="JT1709" s="16"/>
      <c r="JU1709" s="16"/>
      <c r="JV1709" s="16"/>
      <c r="JW1709" s="16"/>
      <c r="JX1709" s="16"/>
      <c r="JY1709" s="16"/>
      <c r="JZ1709" s="16"/>
      <c r="KA1709" s="16"/>
      <c r="KB1709" s="16"/>
    </row>
    <row r="1710" spans="1:288" s="27" customFormat="1" x14ac:dyDescent="0.2">
      <c r="A1710" s="18"/>
      <c r="B1710" s="16">
        <v>2017</v>
      </c>
      <c r="C1710" s="43">
        <v>42973</v>
      </c>
      <c r="D1710" s="43" t="str">
        <f>CONCATENATE(J1710,"-",C1710)</f>
        <v>1035-42973</v>
      </c>
      <c r="E1710" s="20" t="str">
        <f>CONCATENATE(T1710,"-",U1710,"-",C1710)</f>
        <v>SP1-C6-42973</v>
      </c>
      <c r="F1710" s="20" t="s">
        <v>224</v>
      </c>
      <c r="G1710" s="43" t="s">
        <v>278</v>
      </c>
      <c r="H1710" s="18" t="s">
        <v>236</v>
      </c>
      <c r="I1710" s="23"/>
      <c r="J1710" s="15">
        <v>1035</v>
      </c>
      <c r="K1710" s="15"/>
      <c r="L1710" s="23"/>
      <c r="M1710" s="21"/>
      <c r="N1710" s="21"/>
      <c r="O1710" s="21"/>
      <c r="P1710" s="23"/>
      <c r="Q1710" s="23"/>
      <c r="R1710" s="23"/>
      <c r="S1710" s="23"/>
      <c r="T1710" s="23" t="s">
        <v>140</v>
      </c>
      <c r="U1710" s="23" t="s">
        <v>213</v>
      </c>
      <c r="V1710" s="23"/>
      <c r="W1710" s="23"/>
      <c r="X1710" s="23"/>
      <c r="Y1710" s="23"/>
      <c r="Z1710" s="23"/>
      <c r="AA1710" s="23"/>
      <c r="AB1710" s="23"/>
      <c r="AC1710" s="23"/>
      <c r="AD1710" s="23"/>
      <c r="AE1710" s="23"/>
      <c r="AF1710" s="23"/>
      <c r="AG1710" s="23"/>
      <c r="AH1710" s="23"/>
      <c r="AI1710" s="23"/>
      <c r="AJ1710" s="23"/>
      <c r="AK1710" s="23"/>
      <c r="AL1710" s="23"/>
      <c r="AM1710" s="23"/>
      <c r="AN1710" s="23"/>
      <c r="AO1710" s="23"/>
      <c r="AP1710" s="23"/>
      <c r="AQ1710" s="23"/>
      <c r="AR1710" s="23"/>
      <c r="AS1710" s="23"/>
      <c r="AT1710" s="16" t="s">
        <v>278</v>
      </c>
      <c r="AU1710" s="16"/>
      <c r="AV1710" s="16"/>
      <c r="AW1710" s="16"/>
      <c r="AX1710" s="16"/>
      <c r="AY1710" s="18"/>
      <c r="AZ1710" s="16"/>
      <c r="BA1710" s="16"/>
      <c r="BB1710" s="16"/>
      <c r="BC1710" s="16"/>
      <c r="BD1710" s="16"/>
      <c r="BE1710" s="16"/>
      <c r="BF1710" s="16"/>
      <c r="BG1710" s="77"/>
      <c r="BH1710" s="16"/>
      <c r="BI1710" s="16"/>
      <c r="BJ1710" s="16"/>
      <c r="BK1710" s="16"/>
      <c r="BL1710" s="16"/>
      <c r="BM1710" s="16"/>
      <c r="BN1710" s="16"/>
      <c r="BO1710" s="16"/>
      <c r="BP1710" s="16"/>
      <c r="BQ1710" s="16"/>
      <c r="BR1710" s="16"/>
      <c r="BS1710" s="16"/>
      <c r="BT1710" s="77"/>
      <c r="BU1710" s="16"/>
      <c r="BV1710" s="16"/>
      <c r="BW1710" s="16"/>
      <c r="BX1710" s="16"/>
      <c r="BY1710" s="16"/>
      <c r="BZ1710" s="16"/>
      <c r="CA1710" s="16"/>
      <c r="CB1710" s="16"/>
      <c r="CC1710" s="16"/>
      <c r="CD1710" s="77"/>
      <c r="CE1710" s="16"/>
      <c r="CF1710" s="16"/>
      <c r="CG1710" s="16"/>
      <c r="CH1710" s="16"/>
      <c r="CI1710" s="16"/>
      <c r="CJ1710" s="16"/>
      <c r="CK1710" s="16"/>
      <c r="CL1710" s="16"/>
      <c r="CM1710" s="16"/>
      <c r="CN1710" s="16"/>
      <c r="CO1710" s="16"/>
      <c r="CP1710" s="16"/>
      <c r="CQ1710" s="16"/>
      <c r="CR1710" s="16"/>
      <c r="CS1710" s="16"/>
      <c r="CT1710" s="16"/>
      <c r="CU1710" s="16"/>
      <c r="CV1710" s="16"/>
      <c r="CW1710" s="16"/>
      <c r="CX1710" s="16"/>
      <c r="CY1710" s="16"/>
      <c r="CZ1710" s="16"/>
      <c r="DA1710" s="16"/>
      <c r="DB1710" s="16"/>
      <c r="DC1710" s="23"/>
      <c r="DD1710" s="23"/>
      <c r="DE1710" s="23"/>
      <c r="DF1710" s="16" t="e">
        <f>VLOOKUP(K1710,'[3]RNA Seq summary tables'!$V$3:$V$99,1,FALSE)</f>
        <v>#N/A</v>
      </c>
      <c r="DG1710" s="23"/>
      <c r="DH1710" s="23"/>
      <c r="DI1710" s="23"/>
      <c r="DJ1710" s="23"/>
      <c r="DK1710" s="23"/>
      <c r="DL1710" s="23"/>
      <c r="DM1710" s="23"/>
      <c r="DN1710" s="23"/>
      <c r="DO1710" s="23"/>
      <c r="DP1710" s="23"/>
      <c r="DQ1710" s="23"/>
      <c r="DR1710" s="23"/>
      <c r="DS1710" s="23"/>
      <c r="DT1710" s="25"/>
      <c r="DU1710" s="25"/>
      <c r="DV1710" s="25"/>
      <c r="DW1710" s="25"/>
      <c r="DX1710" s="25"/>
      <c r="DY1710" s="25"/>
      <c r="DZ1710" s="25"/>
      <c r="EA1710" s="25"/>
      <c r="EB1710" s="25"/>
      <c r="EC1710" s="25"/>
      <c r="ED1710" s="25"/>
      <c r="EE1710" s="25"/>
      <c r="EF1710" s="18"/>
      <c r="EG1710" s="18"/>
      <c r="EH1710" s="18"/>
      <c r="EI1710" s="18"/>
      <c r="EJ1710" s="18"/>
      <c r="EK1710" s="18"/>
      <c r="EL1710" s="18"/>
      <c r="EM1710" s="18"/>
      <c r="EN1710" s="18"/>
      <c r="EO1710" s="18"/>
      <c r="EP1710" s="18"/>
      <c r="EQ1710" s="18"/>
      <c r="ER1710" s="18"/>
      <c r="ES1710" s="18"/>
      <c r="ET1710" s="18"/>
      <c r="EU1710" s="18"/>
      <c r="EV1710" s="18"/>
      <c r="EW1710" s="18"/>
      <c r="EX1710" s="18"/>
      <c r="EY1710" s="18"/>
      <c r="EZ1710" s="18"/>
      <c r="FA1710" s="18"/>
      <c r="FB1710" s="18"/>
      <c r="FC1710" s="18"/>
      <c r="FD1710" s="18"/>
      <c r="FE1710" s="18"/>
      <c r="FF1710" s="18"/>
      <c r="FG1710" s="18"/>
      <c r="FH1710" s="18"/>
      <c r="FI1710" s="18"/>
      <c r="FJ1710" s="18"/>
      <c r="FK1710" s="18"/>
      <c r="FL1710" s="18"/>
      <c r="FM1710" s="18"/>
      <c r="FN1710" s="18"/>
      <c r="FO1710" s="18"/>
      <c r="FP1710" s="18"/>
      <c r="FQ1710" s="18"/>
      <c r="FR1710" s="18"/>
      <c r="FS1710" s="18"/>
      <c r="FT1710" s="18"/>
      <c r="FU1710" s="18"/>
      <c r="FV1710" s="18"/>
      <c r="FW1710" s="18"/>
      <c r="FX1710" s="18"/>
      <c r="FY1710" s="18"/>
      <c r="FZ1710" s="18"/>
      <c r="GA1710" s="18"/>
      <c r="GB1710" s="18"/>
      <c r="GC1710" s="18"/>
      <c r="GD1710" s="18"/>
      <c r="GE1710" s="18"/>
      <c r="GF1710" s="18"/>
      <c r="GG1710" s="18"/>
      <c r="GH1710" s="18"/>
      <c r="GI1710" s="18"/>
      <c r="GJ1710" s="18"/>
      <c r="GK1710" s="18"/>
      <c r="GL1710" s="18"/>
      <c r="GM1710" s="18"/>
      <c r="GN1710" s="18"/>
      <c r="GO1710" s="18"/>
      <c r="GP1710" s="18"/>
      <c r="GQ1710" s="18"/>
      <c r="GR1710" s="18"/>
      <c r="GS1710" s="18"/>
      <c r="GT1710" s="18"/>
      <c r="GU1710" s="18"/>
      <c r="GV1710" s="18"/>
      <c r="GW1710" s="18"/>
      <c r="GX1710" s="18"/>
      <c r="GY1710" s="18"/>
      <c r="GZ1710" s="18"/>
      <c r="HA1710" s="18"/>
      <c r="HB1710" s="18"/>
      <c r="HC1710" s="18"/>
      <c r="HD1710" s="18"/>
      <c r="HE1710" s="18"/>
      <c r="HF1710" s="18"/>
      <c r="HG1710" s="18"/>
      <c r="HH1710" s="18"/>
      <c r="HI1710" s="18"/>
      <c r="HJ1710" s="18"/>
      <c r="HK1710" s="18"/>
      <c r="HL1710" s="18"/>
      <c r="HM1710" s="18"/>
      <c r="HN1710" s="18"/>
      <c r="HO1710" s="18"/>
      <c r="HP1710" s="18"/>
      <c r="HQ1710" s="18"/>
      <c r="HR1710" s="18"/>
      <c r="HS1710" s="18"/>
      <c r="HT1710" s="18"/>
      <c r="HU1710" s="18"/>
      <c r="HV1710" s="18"/>
      <c r="HW1710" s="18"/>
      <c r="HX1710" s="18"/>
      <c r="HY1710" s="18"/>
      <c r="HZ1710" s="18"/>
      <c r="IA1710" s="18"/>
      <c r="IB1710" s="18"/>
      <c r="IC1710" s="18"/>
      <c r="ID1710" s="18"/>
      <c r="IE1710" s="18"/>
      <c r="IF1710" s="18"/>
      <c r="IG1710" s="18"/>
      <c r="IH1710" s="18"/>
      <c r="II1710" s="18"/>
      <c r="IJ1710" s="18"/>
      <c r="IK1710" s="18"/>
      <c r="IL1710" s="18"/>
      <c r="IM1710" s="18"/>
      <c r="IN1710" s="18"/>
      <c r="IO1710" s="18"/>
      <c r="IP1710" s="18"/>
      <c r="IQ1710" s="18"/>
      <c r="IR1710" s="18"/>
      <c r="IS1710" s="18"/>
      <c r="IT1710" s="18"/>
      <c r="IU1710" s="18"/>
      <c r="IV1710" s="18"/>
      <c r="IW1710" s="18"/>
      <c r="IX1710" s="18"/>
      <c r="IY1710" s="18"/>
      <c r="IZ1710" s="18"/>
      <c r="JA1710" s="18"/>
      <c r="JB1710" s="18"/>
      <c r="JC1710" s="18"/>
      <c r="JD1710" s="18"/>
      <c r="JE1710" s="18"/>
      <c r="JF1710" s="18"/>
      <c r="JG1710" s="18"/>
      <c r="JH1710" s="18"/>
      <c r="JI1710" s="18"/>
      <c r="JJ1710" s="18"/>
      <c r="JK1710" s="18"/>
      <c r="JL1710" s="18"/>
      <c r="JM1710" s="18"/>
      <c r="JN1710" s="18"/>
      <c r="JO1710" s="18"/>
      <c r="JP1710" s="16"/>
      <c r="JQ1710" s="16"/>
      <c r="JR1710" s="16"/>
      <c r="JS1710" s="16"/>
      <c r="JT1710" s="16"/>
      <c r="JU1710" s="16"/>
      <c r="JV1710" s="16"/>
      <c r="JW1710" s="16"/>
      <c r="JX1710" s="16"/>
      <c r="JY1710" s="16"/>
      <c r="JZ1710" s="16"/>
      <c r="KA1710" s="16"/>
      <c r="KB1710" s="16"/>
    </row>
    <row r="1711" spans="1:288" s="27" customFormat="1" x14ac:dyDescent="0.2">
      <c r="A1711" s="18"/>
      <c r="B1711" s="16">
        <v>2017</v>
      </c>
      <c r="C1711" s="43">
        <v>42974</v>
      </c>
      <c r="D1711" s="43" t="str">
        <f>CONCATENATE(J1711,"-",C1711)</f>
        <v>1035-42974</v>
      </c>
      <c r="E1711" s="20" t="str">
        <f>CONCATENATE(T1711,"-",U1711,"-",C1711)</f>
        <v>SP1-C7-42974</v>
      </c>
      <c r="F1711" s="20" t="s">
        <v>224</v>
      </c>
      <c r="G1711" s="43" t="s">
        <v>278</v>
      </c>
      <c r="H1711" s="18" t="s">
        <v>236</v>
      </c>
      <c r="I1711" s="23"/>
      <c r="J1711" s="15">
        <v>1035</v>
      </c>
      <c r="K1711" s="15"/>
      <c r="L1711" s="23"/>
      <c r="M1711" s="21"/>
      <c r="N1711" s="21"/>
      <c r="O1711" s="21"/>
      <c r="P1711" s="23"/>
      <c r="Q1711" s="23"/>
      <c r="R1711" s="23"/>
      <c r="S1711" s="23"/>
      <c r="T1711" s="23" t="s">
        <v>140</v>
      </c>
      <c r="U1711" s="23" t="s">
        <v>207</v>
      </c>
      <c r="V1711" s="23"/>
      <c r="W1711" s="23"/>
      <c r="X1711" s="23"/>
      <c r="Y1711" s="23"/>
      <c r="Z1711" s="23"/>
      <c r="AA1711" s="23"/>
      <c r="AB1711" s="23"/>
      <c r="AC1711" s="23"/>
      <c r="AD1711" s="23"/>
      <c r="AE1711" s="23"/>
      <c r="AF1711" s="23"/>
      <c r="AG1711" s="23"/>
      <c r="AH1711" s="23"/>
      <c r="AI1711" s="23"/>
      <c r="AJ1711" s="23"/>
      <c r="AK1711" s="23"/>
      <c r="AL1711" s="23"/>
      <c r="AM1711" s="23"/>
      <c r="AN1711" s="23"/>
      <c r="AO1711" s="23"/>
      <c r="AP1711" s="23"/>
      <c r="AQ1711" s="23"/>
      <c r="AR1711" s="23"/>
      <c r="AS1711" s="23"/>
      <c r="AT1711" s="16" t="s">
        <v>278</v>
      </c>
      <c r="AU1711" s="16"/>
      <c r="AV1711" s="16"/>
      <c r="AW1711" s="16"/>
      <c r="AX1711" s="16"/>
      <c r="AY1711" s="18"/>
      <c r="AZ1711" s="16"/>
      <c r="BA1711" s="16"/>
      <c r="BB1711" s="16"/>
      <c r="BC1711" s="16"/>
      <c r="BD1711" s="16"/>
      <c r="BE1711" s="16"/>
      <c r="BF1711" s="16"/>
      <c r="BG1711" s="77"/>
      <c r="BH1711" s="16"/>
      <c r="BI1711" s="16"/>
      <c r="BJ1711" s="16"/>
      <c r="BK1711" s="16"/>
      <c r="BL1711" s="16"/>
      <c r="BM1711" s="16"/>
      <c r="BN1711" s="16"/>
      <c r="BO1711" s="16"/>
      <c r="BP1711" s="16"/>
      <c r="BQ1711" s="16"/>
      <c r="BR1711" s="16"/>
      <c r="BS1711" s="16"/>
      <c r="BT1711" s="77"/>
      <c r="BU1711" s="16"/>
      <c r="BV1711" s="16"/>
      <c r="BW1711" s="16"/>
      <c r="BX1711" s="16"/>
      <c r="BY1711" s="16"/>
      <c r="BZ1711" s="16"/>
      <c r="CA1711" s="16"/>
      <c r="CB1711" s="16"/>
      <c r="CC1711" s="16"/>
      <c r="CD1711" s="77"/>
      <c r="CE1711" s="16"/>
      <c r="CF1711" s="16"/>
      <c r="CG1711" s="16"/>
      <c r="CH1711" s="16"/>
      <c r="CI1711" s="16"/>
      <c r="CJ1711" s="16"/>
      <c r="CK1711" s="16"/>
      <c r="CL1711" s="16"/>
      <c r="CM1711" s="16"/>
      <c r="CN1711" s="16"/>
      <c r="CO1711" s="16"/>
      <c r="CP1711" s="16"/>
      <c r="CQ1711" s="16"/>
      <c r="CR1711" s="16"/>
      <c r="CS1711" s="16"/>
      <c r="CT1711" s="16"/>
      <c r="CU1711" s="16"/>
      <c r="CV1711" s="16"/>
      <c r="CW1711" s="16"/>
      <c r="CX1711" s="16"/>
      <c r="CY1711" s="16"/>
      <c r="CZ1711" s="16"/>
      <c r="DA1711" s="16"/>
      <c r="DB1711" s="16"/>
      <c r="DC1711" s="23"/>
      <c r="DD1711" s="23"/>
      <c r="DE1711" s="23"/>
      <c r="DF1711" s="16" t="e">
        <f>VLOOKUP(K1711,'[3]RNA Seq summary tables'!$V$3:$V$99,1,FALSE)</f>
        <v>#N/A</v>
      </c>
      <c r="DG1711" s="23"/>
      <c r="DH1711" s="23"/>
      <c r="DI1711" s="23"/>
      <c r="DJ1711" s="23"/>
      <c r="DK1711" s="23"/>
      <c r="DL1711" s="23"/>
      <c r="DM1711" s="23"/>
      <c r="DN1711" s="23"/>
      <c r="DO1711" s="23"/>
      <c r="DP1711" s="23"/>
      <c r="DQ1711" s="23"/>
      <c r="DR1711" s="23"/>
      <c r="DS1711" s="23"/>
      <c r="DT1711" s="25"/>
      <c r="DU1711" s="25"/>
      <c r="DV1711" s="25"/>
      <c r="DW1711" s="25"/>
      <c r="DX1711" s="25"/>
      <c r="DY1711" s="25"/>
      <c r="DZ1711" s="25"/>
      <c r="EA1711" s="25"/>
      <c r="EB1711" s="25"/>
      <c r="EC1711" s="25"/>
      <c r="ED1711" s="25"/>
      <c r="EE1711" s="25"/>
      <c r="EF1711" s="18"/>
      <c r="EG1711" s="18"/>
      <c r="EH1711" s="18"/>
      <c r="EI1711" s="18"/>
      <c r="EJ1711" s="18"/>
      <c r="EK1711" s="18"/>
      <c r="EL1711" s="18"/>
      <c r="EM1711" s="18"/>
      <c r="EN1711" s="18"/>
      <c r="EO1711" s="18"/>
      <c r="EP1711" s="18"/>
      <c r="EQ1711" s="18"/>
      <c r="ER1711" s="18"/>
      <c r="ES1711" s="18"/>
      <c r="ET1711" s="18"/>
      <c r="EU1711" s="18"/>
      <c r="EV1711" s="18"/>
      <c r="EW1711" s="18"/>
      <c r="EX1711" s="18"/>
      <c r="EY1711" s="18"/>
      <c r="EZ1711" s="18"/>
      <c r="FA1711" s="18"/>
      <c r="FB1711" s="18"/>
      <c r="FC1711" s="18"/>
      <c r="FD1711" s="18"/>
      <c r="FE1711" s="18"/>
      <c r="FF1711" s="18"/>
      <c r="FG1711" s="18"/>
      <c r="FH1711" s="18"/>
      <c r="FI1711" s="18"/>
      <c r="FJ1711" s="18"/>
      <c r="FK1711" s="18"/>
      <c r="FL1711" s="18"/>
      <c r="FM1711" s="18"/>
      <c r="FN1711" s="18"/>
      <c r="FO1711" s="18"/>
      <c r="FP1711" s="18"/>
      <c r="FQ1711" s="18"/>
      <c r="FR1711" s="18"/>
      <c r="FS1711" s="18"/>
      <c r="FT1711" s="18"/>
      <c r="FU1711" s="18"/>
      <c r="FV1711" s="18"/>
      <c r="FW1711" s="18"/>
      <c r="FX1711" s="18"/>
      <c r="FY1711" s="18"/>
      <c r="FZ1711" s="18"/>
      <c r="GA1711" s="18"/>
      <c r="GB1711" s="18"/>
      <c r="GC1711" s="18"/>
      <c r="GD1711" s="18"/>
      <c r="GE1711" s="18"/>
      <c r="GF1711" s="18"/>
      <c r="GG1711" s="18"/>
      <c r="GH1711" s="18"/>
      <c r="GI1711" s="18"/>
      <c r="GJ1711" s="18"/>
      <c r="GK1711" s="18"/>
      <c r="GL1711" s="18"/>
      <c r="GM1711" s="18"/>
      <c r="GN1711" s="18"/>
      <c r="GO1711" s="18"/>
      <c r="GP1711" s="18"/>
      <c r="GQ1711" s="18"/>
      <c r="GR1711" s="18"/>
      <c r="GS1711" s="18"/>
      <c r="GT1711" s="18"/>
      <c r="GU1711" s="18"/>
      <c r="GV1711" s="18"/>
      <c r="GW1711" s="18"/>
      <c r="GX1711" s="18"/>
      <c r="GY1711" s="18"/>
      <c r="GZ1711" s="18"/>
      <c r="HA1711" s="18"/>
      <c r="HB1711" s="18"/>
      <c r="HC1711" s="18"/>
      <c r="HD1711" s="18"/>
      <c r="HE1711" s="18"/>
      <c r="HF1711" s="18"/>
      <c r="HG1711" s="18"/>
      <c r="HH1711" s="18"/>
      <c r="HI1711" s="18"/>
      <c r="HJ1711" s="18"/>
      <c r="HK1711" s="18"/>
      <c r="HL1711" s="18"/>
      <c r="HM1711" s="18"/>
      <c r="HN1711" s="18"/>
      <c r="HO1711" s="18"/>
      <c r="HP1711" s="18"/>
      <c r="HQ1711" s="18"/>
      <c r="HR1711" s="18"/>
      <c r="HS1711" s="18"/>
      <c r="HT1711" s="18"/>
      <c r="HU1711" s="18"/>
      <c r="HV1711" s="18"/>
      <c r="HW1711" s="18"/>
      <c r="HX1711" s="18"/>
      <c r="HY1711" s="18"/>
      <c r="HZ1711" s="18"/>
      <c r="IA1711" s="18"/>
      <c r="IB1711" s="18"/>
      <c r="IC1711" s="18"/>
      <c r="ID1711" s="18"/>
      <c r="IE1711" s="18"/>
      <c r="IF1711" s="18"/>
      <c r="IG1711" s="18"/>
      <c r="IH1711" s="18"/>
      <c r="II1711" s="18"/>
      <c r="IJ1711" s="18"/>
      <c r="IK1711" s="18"/>
      <c r="IL1711" s="18"/>
      <c r="IM1711" s="18"/>
      <c r="IN1711" s="18"/>
      <c r="IO1711" s="18"/>
      <c r="IP1711" s="18"/>
      <c r="IQ1711" s="18"/>
      <c r="IR1711" s="18"/>
      <c r="IS1711" s="18"/>
      <c r="IT1711" s="18"/>
      <c r="IU1711" s="18"/>
      <c r="IV1711" s="18"/>
      <c r="IW1711" s="18"/>
      <c r="IX1711" s="18"/>
      <c r="IY1711" s="18"/>
      <c r="IZ1711" s="18"/>
      <c r="JA1711" s="18"/>
      <c r="JB1711" s="18"/>
      <c r="JC1711" s="18"/>
      <c r="JD1711" s="18"/>
      <c r="JE1711" s="18"/>
      <c r="JF1711" s="18"/>
      <c r="JG1711" s="18"/>
      <c r="JH1711" s="18"/>
      <c r="JI1711" s="18"/>
      <c r="JJ1711" s="18"/>
      <c r="JK1711" s="18"/>
      <c r="JL1711" s="18"/>
      <c r="JM1711" s="18"/>
      <c r="JN1711" s="18"/>
      <c r="JO1711" s="18"/>
      <c r="JP1711" s="16"/>
      <c r="JQ1711" s="16"/>
      <c r="JR1711" s="16"/>
      <c r="JS1711" s="16"/>
      <c r="JT1711" s="16"/>
      <c r="JU1711" s="16"/>
      <c r="JV1711" s="16"/>
      <c r="JW1711" s="16"/>
      <c r="JX1711" s="16"/>
      <c r="JY1711" s="16"/>
      <c r="JZ1711" s="16"/>
      <c r="KA1711" s="16"/>
      <c r="KB1711" s="16"/>
    </row>
    <row r="1712" spans="1:288" s="27" customFormat="1" x14ac:dyDescent="0.2">
      <c r="A1712" s="18"/>
      <c r="B1712" s="16">
        <v>2017</v>
      </c>
      <c r="C1712" s="73">
        <v>42889</v>
      </c>
      <c r="D1712" s="73" t="str">
        <f>CONCATENATE(J1712,"-",C1712)</f>
        <v>1036-42889</v>
      </c>
      <c r="E1712" s="20" t="str">
        <f>CONCATENATE(T1712,"-",U1712,"-",C1712)</f>
        <v>SP1-D1-42889</v>
      </c>
      <c r="F1712" s="20" t="s">
        <v>106</v>
      </c>
      <c r="G1712" s="43" t="s">
        <v>278</v>
      </c>
      <c r="H1712" s="23"/>
      <c r="I1712" s="23"/>
      <c r="J1712" s="15">
        <v>1036</v>
      </c>
      <c r="K1712" s="15"/>
      <c r="L1712" s="23"/>
      <c r="M1712" s="21"/>
      <c r="N1712" s="21"/>
      <c r="O1712" s="21"/>
      <c r="P1712" s="23"/>
      <c r="Q1712" s="23"/>
      <c r="R1712" s="23"/>
      <c r="S1712" s="23"/>
      <c r="T1712" s="23" t="s">
        <v>140</v>
      </c>
      <c r="U1712" s="23" t="s">
        <v>157</v>
      </c>
      <c r="V1712" s="23"/>
      <c r="W1712" s="23"/>
      <c r="X1712" s="23"/>
      <c r="Y1712" s="23"/>
      <c r="Z1712" s="23"/>
      <c r="AA1712" s="23"/>
      <c r="AB1712" s="23"/>
      <c r="AC1712" s="23"/>
      <c r="AD1712" s="23"/>
      <c r="AE1712" s="23"/>
      <c r="AF1712" s="23"/>
      <c r="AG1712" s="23"/>
      <c r="AH1712" s="23"/>
      <c r="AI1712" s="23"/>
      <c r="AJ1712" s="23"/>
      <c r="AK1712" s="23"/>
      <c r="AL1712" s="23"/>
      <c r="AM1712" s="23"/>
      <c r="AN1712" s="23"/>
      <c r="AO1712" s="23"/>
      <c r="AP1712" s="23">
        <f>SUM(AL1712:AN1712)</f>
        <v>0</v>
      </c>
      <c r="AQ1712" s="23"/>
      <c r="AR1712" s="23"/>
      <c r="AS1712" s="23"/>
      <c r="AT1712" s="16" t="s">
        <v>285</v>
      </c>
      <c r="AU1712" s="16"/>
      <c r="AV1712" s="16"/>
      <c r="AW1712" s="16"/>
      <c r="AX1712" s="16"/>
      <c r="AY1712" s="18"/>
      <c r="AZ1712" s="16"/>
      <c r="BA1712" s="16"/>
      <c r="BB1712" s="16"/>
      <c r="BC1712" s="16"/>
      <c r="BD1712" s="16"/>
      <c r="BE1712" s="16"/>
      <c r="BF1712" s="16"/>
      <c r="BG1712" s="77"/>
      <c r="BH1712" s="16"/>
      <c r="BI1712" s="16"/>
      <c r="BJ1712" s="16"/>
      <c r="BK1712" s="16"/>
      <c r="BL1712" s="16"/>
      <c r="BM1712" s="16"/>
      <c r="BN1712" s="16"/>
      <c r="BO1712" s="16"/>
      <c r="BP1712" s="16"/>
      <c r="BQ1712" s="16"/>
      <c r="BR1712" s="16"/>
      <c r="BS1712" s="16"/>
      <c r="BT1712" s="77"/>
      <c r="BU1712" s="16"/>
      <c r="BV1712" s="16"/>
      <c r="BW1712" s="16"/>
      <c r="BX1712" s="16"/>
      <c r="BY1712" s="16"/>
      <c r="BZ1712" s="16"/>
      <c r="CA1712" s="16"/>
      <c r="CB1712" s="16"/>
      <c r="CC1712" s="16"/>
      <c r="CD1712" s="77"/>
      <c r="CE1712" s="16"/>
      <c r="CF1712" s="16"/>
      <c r="CG1712" s="16"/>
      <c r="CH1712" s="16"/>
      <c r="CI1712" s="16"/>
      <c r="CJ1712" s="16"/>
      <c r="CK1712" s="16"/>
      <c r="CL1712" s="16"/>
      <c r="CM1712" s="16"/>
      <c r="CN1712" s="16"/>
      <c r="CO1712" s="16"/>
      <c r="CP1712" s="16"/>
      <c r="CQ1712" s="16"/>
      <c r="CR1712" s="16"/>
      <c r="CS1712" s="16"/>
      <c r="CT1712" s="16"/>
      <c r="CU1712" s="16"/>
      <c r="CV1712" s="16"/>
      <c r="CW1712" s="16"/>
      <c r="CX1712" s="16"/>
      <c r="CY1712" s="16"/>
      <c r="CZ1712" s="16"/>
      <c r="DA1712" s="16"/>
      <c r="DB1712" s="16"/>
      <c r="DC1712" s="23"/>
      <c r="DD1712" s="23"/>
      <c r="DE1712" s="23"/>
      <c r="DF1712" s="16" t="e">
        <f>VLOOKUP(K1712,'[3]RNA Seq summary tables'!$V$3:$V$99,1,FALSE)</f>
        <v>#N/A</v>
      </c>
      <c r="DG1712" s="23"/>
      <c r="DH1712" s="23"/>
      <c r="DI1712" s="23"/>
      <c r="DJ1712" s="23"/>
      <c r="DK1712" s="23"/>
      <c r="DL1712" s="23"/>
      <c r="DM1712" s="23"/>
      <c r="DN1712" s="23"/>
      <c r="DO1712" s="23"/>
      <c r="DP1712" s="23"/>
      <c r="DQ1712" s="23"/>
      <c r="DR1712" s="23"/>
      <c r="DS1712" s="23"/>
      <c r="DT1712" s="25"/>
      <c r="DU1712" s="25"/>
      <c r="DV1712" s="25"/>
      <c r="DW1712" s="25"/>
      <c r="DX1712" s="25"/>
      <c r="DY1712" s="25"/>
      <c r="DZ1712" s="25"/>
      <c r="EA1712" s="25"/>
      <c r="EB1712" s="25"/>
      <c r="EC1712" s="25"/>
      <c r="ED1712" s="25"/>
      <c r="EE1712" s="25"/>
      <c r="EF1712" s="18"/>
      <c r="EG1712" s="18"/>
      <c r="EH1712" s="18"/>
      <c r="EI1712" s="18"/>
      <c r="EJ1712" s="18"/>
      <c r="EK1712" s="18"/>
      <c r="EL1712" s="18"/>
      <c r="EM1712" s="18"/>
      <c r="EN1712" s="18"/>
      <c r="EO1712" s="18"/>
      <c r="EP1712" s="18"/>
      <c r="EQ1712" s="18"/>
      <c r="ER1712" s="18"/>
      <c r="ES1712" s="18"/>
      <c r="ET1712" s="18"/>
      <c r="EU1712" s="18"/>
      <c r="EV1712" s="18"/>
      <c r="EW1712" s="18"/>
      <c r="EX1712" s="18"/>
      <c r="EY1712" s="18"/>
      <c r="EZ1712" s="18"/>
      <c r="FA1712" s="18"/>
      <c r="FB1712" s="18"/>
      <c r="FC1712" s="18"/>
      <c r="FD1712" s="18"/>
      <c r="FE1712" s="18"/>
      <c r="FF1712" s="18"/>
      <c r="FG1712" s="18"/>
      <c r="FH1712" s="18"/>
      <c r="FI1712" s="18"/>
      <c r="FJ1712" s="18"/>
      <c r="FK1712" s="18"/>
      <c r="FL1712" s="18"/>
      <c r="FM1712" s="18"/>
      <c r="FN1712" s="18"/>
      <c r="FO1712" s="18"/>
      <c r="FP1712" s="18"/>
      <c r="FQ1712" s="18"/>
      <c r="FR1712" s="18"/>
      <c r="FS1712" s="18"/>
      <c r="FT1712" s="18"/>
      <c r="FU1712" s="18"/>
      <c r="FV1712" s="18"/>
      <c r="FW1712" s="18"/>
      <c r="FX1712" s="18"/>
      <c r="FY1712" s="18"/>
      <c r="FZ1712" s="18"/>
      <c r="GA1712" s="18"/>
      <c r="GB1712" s="18"/>
      <c r="GC1712" s="18"/>
      <c r="GD1712" s="18"/>
      <c r="GE1712" s="18"/>
      <c r="GF1712" s="18"/>
      <c r="GG1712" s="18"/>
      <c r="GH1712" s="18"/>
      <c r="GI1712" s="18"/>
      <c r="GJ1712" s="18"/>
      <c r="GK1712" s="18"/>
      <c r="GL1712" s="18"/>
      <c r="GM1712" s="18"/>
      <c r="GN1712" s="18"/>
      <c r="GO1712" s="18"/>
      <c r="GP1712" s="18"/>
      <c r="GQ1712" s="18"/>
      <c r="GR1712" s="18"/>
      <c r="GS1712" s="18"/>
      <c r="GT1712" s="18"/>
      <c r="GU1712" s="18"/>
      <c r="GV1712" s="18"/>
      <c r="GW1712" s="18"/>
      <c r="GX1712" s="18"/>
      <c r="GY1712" s="18"/>
      <c r="GZ1712" s="18"/>
      <c r="HA1712" s="18"/>
      <c r="HB1712" s="18"/>
      <c r="HC1712" s="18"/>
      <c r="HD1712" s="18"/>
      <c r="HE1712" s="18"/>
      <c r="HF1712" s="18"/>
      <c r="HG1712" s="18"/>
      <c r="HH1712" s="18"/>
      <c r="HI1712" s="18"/>
      <c r="HJ1712" s="18"/>
      <c r="HK1712" s="18"/>
      <c r="HL1712" s="18"/>
      <c r="HM1712" s="18"/>
      <c r="HN1712" s="18"/>
      <c r="HO1712" s="18"/>
      <c r="HP1712" s="18"/>
      <c r="HQ1712" s="18"/>
      <c r="HR1712" s="18"/>
      <c r="HS1712" s="18"/>
      <c r="HT1712" s="18"/>
      <c r="HU1712" s="18"/>
      <c r="HV1712" s="18"/>
      <c r="HW1712" s="18"/>
      <c r="HX1712" s="18"/>
      <c r="HY1712" s="18"/>
      <c r="HZ1712" s="18"/>
      <c r="IA1712" s="18"/>
      <c r="IB1712" s="18"/>
      <c r="IC1712" s="18"/>
      <c r="ID1712" s="18"/>
      <c r="IE1712" s="18"/>
      <c r="IF1712" s="18"/>
      <c r="IG1712" s="18"/>
      <c r="IH1712" s="18"/>
      <c r="II1712" s="18"/>
      <c r="IJ1712" s="18"/>
      <c r="IK1712" s="18"/>
      <c r="IL1712" s="18"/>
      <c r="IM1712" s="18"/>
      <c r="IN1712" s="18"/>
      <c r="IO1712" s="18"/>
      <c r="IP1712" s="18"/>
      <c r="IQ1712" s="18"/>
      <c r="IR1712" s="18"/>
      <c r="IS1712" s="18"/>
      <c r="IT1712" s="18"/>
      <c r="IU1712" s="18"/>
      <c r="IV1712" s="18"/>
      <c r="IW1712" s="18"/>
      <c r="IX1712" s="18"/>
      <c r="IY1712" s="18"/>
      <c r="IZ1712" s="18"/>
      <c r="JA1712" s="18"/>
      <c r="JB1712" s="18"/>
      <c r="JC1712" s="18"/>
      <c r="JD1712" s="18"/>
      <c r="JE1712" s="18"/>
      <c r="JF1712" s="18"/>
      <c r="JG1712" s="18"/>
      <c r="JH1712" s="18"/>
      <c r="JI1712" s="18"/>
      <c r="JJ1712" s="18"/>
      <c r="JK1712" s="18"/>
      <c r="JL1712" s="18"/>
      <c r="JM1712" s="18"/>
      <c r="JN1712" s="18"/>
      <c r="JR1712" s="16"/>
      <c r="JS1712" s="16"/>
      <c r="JT1712" s="16"/>
      <c r="JU1712" s="16"/>
      <c r="JV1712" s="16"/>
      <c r="JW1712" s="16"/>
      <c r="JX1712" s="16"/>
      <c r="JY1712" s="16"/>
      <c r="JZ1712" s="16"/>
      <c r="KA1712" s="16"/>
      <c r="KB1712" s="16"/>
    </row>
    <row r="1713" spans="1:288" s="27" customFormat="1" x14ac:dyDescent="0.2">
      <c r="A1713" s="18"/>
      <c r="B1713" s="16">
        <v>2017</v>
      </c>
      <c r="C1713" s="43">
        <v>42906</v>
      </c>
      <c r="D1713" s="43" t="str">
        <f>CONCATENATE(J1713,"-",C1713)</f>
        <v>1036-42906</v>
      </c>
      <c r="E1713" s="20" t="str">
        <f>CONCATENATE(T1713,"-",U1713,"-",C1713)</f>
        <v>SP1-E1-42906</v>
      </c>
      <c r="F1713" s="20" t="s">
        <v>106</v>
      </c>
      <c r="G1713" s="43" t="s">
        <v>278</v>
      </c>
      <c r="H1713" s="23"/>
      <c r="I1713" s="23"/>
      <c r="J1713" s="15">
        <v>1036</v>
      </c>
      <c r="K1713" s="15"/>
      <c r="L1713" s="23"/>
      <c r="M1713" s="21"/>
      <c r="N1713" s="21"/>
      <c r="O1713" s="21"/>
      <c r="P1713" s="23"/>
      <c r="Q1713" s="23"/>
      <c r="R1713" s="23"/>
      <c r="S1713" s="23"/>
      <c r="T1713" s="23" t="s">
        <v>140</v>
      </c>
      <c r="U1713" s="23" t="s">
        <v>222</v>
      </c>
      <c r="V1713" s="23"/>
      <c r="W1713" s="23"/>
      <c r="X1713" s="23"/>
      <c r="Y1713" s="23"/>
      <c r="Z1713" s="23"/>
      <c r="AA1713" s="23"/>
      <c r="AB1713" s="23"/>
      <c r="AC1713" s="23"/>
      <c r="AD1713" s="23"/>
      <c r="AE1713" s="23"/>
      <c r="AF1713" s="23"/>
      <c r="AG1713" s="23"/>
      <c r="AH1713" s="23"/>
      <c r="AI1713" s="23"/>
      <c r="AJ1713" s="23"/>
      <c r="AK1713" s="23"/>
      <c r="AL1713" s="23"/>
      <c r="AM1713" s="23"/>
      <c r="AN1713" s="23"/>
      <c r="AO1713" s="23"/>
      <c r="AP1713" s="23">
        <f>SUM(AL1713:AN1713)</f>
        <v>0</v>
      </c>
      <c r="AQ1713" s="23"/>
      <c r="AR1713" s="23"/>
      <c r="AS1713" s="23"/>
      <c r="AT1713" s="16" t="s">
        <v>285</v>
      </c>
      <c r="AU1713" s="16"/>
      <c r="AV1713" s="16"/>
      <c r="AW1713" s="16"/>
      <c r="AX1713" s="16"/>
      <c r="AY1713" s="18"/>
      <c r="AZ1713" s="16"/>
      <c r="BA1713" s="16"/>
      <c r="BB1713" s="16"/>
      <c r="BC1713" s="16"/>
      <c r="BD1713" s="16"/>
      <c r="BE1713" s="16"/>
      <c r="BF1713" s="16"/>
      <c r="BG1713" s="77"/>
      <c r="BH1713" s="16"/>
      <c r="BI1713" s="16"/>
      <c r="BJ1713" s="16"/>
      <c r="BK1713" s="16"/>
      <c r="BL1713" s="16"/>
      <c r="BM1713" s="16"/>
      <c r="BN1713" s="16"/>
      <c r="BO1713" s="16"/>
      <c r="BP1713" s="16"/>
      <c r="BQ1713" s="16"/>
      <c r="BR1713" s="16"/>
      <c r="BS1713" s="16"/>
      <c r="BT1713" s="77"/>
      <c r="BU1713" s="16"/>
      <c r="BV1713" s="16"/>
      <c r="BW1713" s="16"/>
      <c r="BX1713" s="16"/>
      <c r="BY1713" s="16"/>
      <c r="BZ1713" s="16"/>
      <c r="CA1713" s="16"/>
      <c r="CB1713" s="16"/>
      <c r="CC1713" s="16"/>
      <c r="CD1713" s="77"/>
      <c r="CE1713" s="16"/>
      <c r="CF1713" s="16"/>
      <c r="CG1713" s="16"/>
      <c r="CH1713" s="16"/>
      <c r="CI1713" s="16"/>
      <c r="CJ1713" s="16"/>
      <c r="CK1713" s="16"/>
      <c r="CL1713" s="16"/>
      <c r="CM1713" s="16"/>
      <c r="CN1713" s="16"/>
      <c r="CO1713" s="16"/>
      <c r="CP1713" s="16"/>
      <c r="CQ1713" s="16"/>
      <c r="CR1713" s="16"/>
      <c r="CS1713" s="16"/>
      <c r="CT1713" s="16"/>
      <c r="CU1713" s="16"/>
      <c r="CV1713" s="16"/>
      <c r="CW1713" s="16"/>
      <c r="CX1713" s="16"/>
      <c r="CY1713" s="16"/>
      <c r="CZ1713" s="16"/>
      <c r="DA1713" s="16"/>
      <c r="DB1713" s="16"/>
      <c r="DC1713" s="23"/>
      <c r="DD1713" s="23"/>
      <c r="DE1713" s="23"/>
      <c r="DF1713" s="16" t="e">
        <f>VLOOKUP(K1713,'[3]RNA Seq summary tables'!$V$3:$V$99,1,FALSE)</f>
        <v>#N/A</v>
      </c>
      <c r="DG1713" s="23"/>
      <c r="DH1713" s="23"/>
      <c r="DI1713" s="23"/>
      <c r="DJ1713" s="23"/>
      <c r="DK1713" s="23"/>
      <c r="DL1713" s="23"/>
      <c r="DM1713" s="23"/>
      <c r="DN1713" s="23"/>
      <c r="DO1713" s="23"/>
      <c r="DP1713" s="23"/>
      <c r="DQ1713" s="23"/>
      <c r="DR1713" s="23"/>
      <c r="DS1713" s="23"/>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18"/>
      <c r="EQ1713" s="18"/>
      <c r="ER1713" s="18"/>
      <c r="ES1713" s="18"/>
      <c r="ET1713" s="18"/>
      <c r="EU1713" s="18"/>
      <c r="EV1713" s="18"/>
      <c r="EW1713" s="18"/>
      <c r="EX1713" s="18"/>
      <c r="EY1713" s="18"/>
      <c r="EZ1713" s="18"/>
      <c r="FA1713" s="18"/>
      <c r="FB1713" s="18"/>
      <c r="FC1713" s="18"/>
      <c r="FD1713" s="18"/>
      <c r="FE1713" s="18"/>
      <c r="FF1713" s="18"/>
      <c r="FG1713" s="18"/>
      <c r="FH1713" s="18"/>
      <c r="FI1713" s="18"/>
      <c r="FJ1713" s="18"/>
      <c r="FK1713" s="18"/>
      <c r="FL1713" s="18"/>
      <c r="FM1713" s="18"/>
      <c r="FN1713" s="18"/>
      <c r="FO1713" s="18"/>
      <c r="FP1713" s="18"/>
      <c r="FQ1713" s="18"/>
      <c r="FR1713" s="18"/>
      <c r="FS1713" s="18"/>
      <c r="FT1713" s="18"/>
      <c r="FU1713" s="18"/>
      <c r="FV1713" s="18"/>
      <c r="FW1713" s="18"/>
      <c r="FX1713" s="18"/>
      <c r="FY1713" s="18"/>
      <c r="FZ1713" s="18"/>
      <c r="GA1713" s="18"/>
      <c r="GB1713" s="18"/>
      <c r="GC1713" s="18"/>
      <c r="GD1713" s="18"/>
      <c r="GE1713" s="18"/>
      <c r="GF1713" s="18"/>
      <c r="GG1713" s="18"/>
      <c r="GH1713" s="18"/>
      <c r="GI1713" s="18"/>
      <c r="GJ1713" s="18"/>
      <c r="GK1713" s="18"/>
      <c r="GL1713" s="18"/>
      <c r="GM1713" s="18"/>
      <c r="GN1713" s="18"/>
      <c r="GO1713" s="18"/>
      <c r="GP1713" s="18"/>
      <c r="GQ1713" s="18"/>
      <c r="GR1713" s="18"/>
      <c r="GS1713" s="18"/>
      <c r="GT1713" s="18"/>
      <c r="GU1713" s="18"/>
      <c r="GV1713" s="18"/>
      <c r="GW1713" s="18"/>
      <c r="GX1713" s="18"/>
      <c r="GY1713" s="18"/>
      <c r="GZ1713" s="18"/>
      <c r="HA1713" s="18"/>
      <c r="HB1713" s="18"/>
      <c r="HC1713" s="18"/>
      <c r="HD1713" s="18"/>
      <c r="HE1713" s="18"/>
      <c r="HF1713" s="18"/>
      <c r="HG1713" s="18"/>
      <c r="HH1713" s="18"/>
      <c r="HI1713" s="18"/>
      <c r="HJ1713" s="18"/>
      <c r="HK1713" s="18"/>
      <c r="HL1713" s="18"/>
      <c r="HM1713" s="18"/>
      <c r="HN1713" s="18"/>
      <c r="HO1713" s="18"/>
      <c r="HP1713" s="18"/>
      <c r="HQ1713" s="18"/>
      <c r="HR1713" s="18"/>
      <c r="HS1713" s="18"/>
      <c r="HT1713" s="18"/>
      <c r="HU1713" s="18"/>
      <c r="HV1713" s="18"/>
      <c r="HW1713" s="18"/>
      <c r="HX1713" s="18"/>
      <c r="HY1713" s="18"/>
      <c r="HZ1713" s="18"/>
      <c r="IA1713" s="18"/>
      <c r="IB1713" s="18"/>
      <c r="IC1713" s="18"/>
      <c r="ID1713" s="18"/>
      <c r="IE1713" s="18"/>
      <c r="IF1713" s="18"/>
      <c r="IG1713" s="18"/>
      <c r="IH1713" s="18"/>
      <c r="II1713" s="18"/>
      <c r="IJ1713" s="18"/>
      <c r="IK1713" s="18"/>
      <c r="IL1713" s="18"/>
      <c r="IM1713" s="18"/>
      <c r="IN1713" s="18"/>
      <c r="IO1713" s="18"/>
      <c r="IP1713" s="18"/>
      <c r="IQ1713" s="18"/>
      <c r="IR1713" s="18"/>
      <c r="IS1713" s="18"/>
      <c r="IT1713" s="18"/>
      <c r="IU1713" s="18"/>
      <c r="IV1713" s="18"/>
      <c r="IW1713" s="18"/>
      <c r="IX1713" s="18"/>
      <c r="IY1713" s="18"/>
      <c r="IZ1713" s="18"/>
      <c r="JA1713" s="18"/>
      <c r="JB1713" s="18"/>
      <c r="JC1713" s="18"/>
      <c r="JD1713" s="18"/>
      <c r="JE1713" s="18"/>
      <c r="JF1713" s="18"/>
      <c r="JG1713" s="18"/>
      <c r="JH1713" s="18"/>
      <c r="JI1713" s="18"/>
      <c r="JJ1713" s="18"/>
      <c r="JK1713" s="18"/>
      <c r="JL1713" s="18"/>
      <c r="JM1713" s="18"/>
      <c r="JN1713" s="18"/>
      <c r="JO1713" s="16"/>
      <c r="JR1713" s="16"/>
      <c r="JS1713" s="16"/>
      <c r="JT1713" s="16"/>
      <c r="JU1713" s="16"/>
      <c r="JV1713" s="16"/>
      <c r="JW1713" s="16"/>
      <c r="JX1713" s="16"/>
      <c r="JY1713" s="16"/>
      <c r="JZ1713" s="16"/>
      <c r="KA1713" s="16"/>
      <c r="KB1713" s="16"/>
    </row>
    <row r="1714" spans="1:288" s="27" customFormat="1" x14ac:dyDescent="0.2">
      <c r="A1714" s="18"/>
      <c r="B1714" s="16">
        <v>2017</v>
      </c>
      <c r="C1714" s="20">
        <v>42923</v>
      </c>
      <c r="D1714" s="20" t="str">
        <f>CONCATENATE(J1714,"-",C1714)</f>
        <v>1036-42923</v>
      </c>
      <c r="E1714" s="20" t="str">
        <f>CONCATENATE(T1714,"-",U1714,"-",C1714)</f>
        <v>SP1-B1-42923</v>
      </c>
      <c r="F1714" s="20" t="s">
        <v>106</v>
      </c>
      <c r="G1714" s="20" t="s">
        <v>278</v>
      </c>
      <c r="H1714" s="16"/>
      <c r="I1714" s="16"/>
      <c r="J1714" s="21">
        <v>1036</v>
      </c>
      <c r="K1714" s="21"/>
      <c r="L1714" s="16"/>
      <c r="M1714" s="21"/>
      <c r="N1714" s="21"/>
      <c r="O1714" s="21"/>
      <c r="P1714" s="16"/>
      <c r="Q1714" s="16"/>
      <c r="R1714" s="16"/>
      <c r="S1714" s="16"/>
      <c r="T1714" s="16" t="s">
        <v>140</v>
      </c>
      <c r="U1714" s="16" t="s">
        <v>113</v>
      </c>
      <c r="V1714" s="16"/>
      <c r="W1714" s="16"/>
      <c r="X1714" s="16"/>
      <c r="Y1714" s="16"/>
      <c r="Z1714" s="16"/>
      <c r="AA1714" s="16"/>
      <c r="AB1714" s="16"/>
      <c r="AC1714" s="16"/>
      <c r="AD1714" s="16"/>
      <c r="AE1714" s="16"/>
      <c r="AF1714" s="16"/>
      <c r="AG1714" s="16"/>
      <c r="AH1714" s="16"/>
      <c r="AI1714" s="16"/>
      <c r="AJ1714" s="16"/>
      <c r="AK1714" s="16"/>
      <c r="AL1714" s="16"/>
      <c r="AM1714" s="16"/>
      <c r="AN1714" s="16"/>
      <c r="AO1714" s="16"/>
      <c r="AP1714" s="16">
        <f>SUM(AL1714:AN1714)</f>
        <v>0</v>
      </c>
      <c r="AQ1714" s="16"/>
      <c r="AR1714" s="16"/>
      <c r="AS1714" s="16"/>
      <c r="AT1714" s="16" t="s">
        <v>285</v>
      </c>
      <c r="AU1714" s="16"/>
      <c r="AV1714" s="16"/>
      <c r="AW1714" s="16"/>
      <c r="AX1714" s="16"/>
      <c r="AY1714" s="18"/>
      <c r="AZ1714" s="16"/>
      <c r="BA1714" s="16"/>
      <c r="BB1714" s="16"/>
      <c r="BC1714" s="16"/>
      <c r="BD1714" s="16"/>
      <c r="BE1714" s="16"/>
      <c r="BF1714" s="16"/>
      <c r="BG1714" s="77"/>
      <c r="BH1714" s="16"/>
      <c r="BI1714" s="16"/>
      <c r="BJ1714" s="16"/>
      <c r="BK1714" s="16"/>
      <c r="BL1714" s="16"/>
      <c r="BM1714" s="16"/>
      <c r="BN1714" s="16"/>
      <c r="BO1714" s="16"/>
      <c r="BP1714" s="16"/>
      <c r="BQ1714" s="16"/>
      <c r="BR1714" s="16"/>
      <c r="BS1714" s="16"/>
      <c r="BT1714" s="77"/>
      <c r="BU1714" s="16"/>
      <c r="BV1714" s="16"/>
      <c r="BW1714" s="16"/>
      <c r="BX1714" s="16"/>
      <c r="BY1714" s="16"/>
      <c r="BZ1714" s="16"/>
      <c r="CA1714" s="16"/>
      <c r="CB1714" s="16"/>
      <c r="CC1714" s="16"/>
      <c r="CD1714" s="77"/>
      <c r="CE1714" s="16"/>
      <c r="CF1714" s="16"/>
      <c r="CG1714" s="16"/>
      <c r="CH1714" s="16"/>
      <c r="CI1714" s="16"/>
      <c r="CJ1714" s="16"/>
      <c r="CK1714" s="16"/>
      <c r="CL1714" s="16"/>
      <c r="CM1714" s="16"/>
      <c r="CN1714" s="16"/>
      <c r="CO1714" s="16"/>
      <c r="CP1714" s="16"/>
      <c r="CQ1714" s="16"/>
      <c r="CR1714" s="16"/>
      <c r="CS1714" s="16"/>
      <c r="CT1714" s="16"/>
      <c r="CU1714" s="16"/>
      <c r="CV1714" s="16"/>
      <c r="CW1714" s="16"/>
      <c r="CX1714" s="16"/>
      <c r="CY1714" s="16"/>
      <c r="CZ1714" s="16"/>
      <c r="DA1714" s="16"/>
      <c r="DB1714" s="16"/>
      <c r="DC1714" s="16"/>
      <c r="DD1714" s="16"/>
      <c r="DE1714" s="16"/>
      <c r="DF1714" s="16" t="e">
        <f>VLOOKUP(K1714,'[3]RNA Seq summary tables'!$V$3:$V$99,1,FALSE)</f>
        <v>#N/A</v>
      </c>
      <c r="DG1714" s="16"/>
      <c r="DH1714" s="16"/>
      <c r="DI1714" s="16"/>
      <c r="DJ1714" s="16"/>
      <c r="DK1714" s="16"/>
      <c r="DL1714" s="16"/>
      <c r="DM1714" s="16"/>
      <c r="DN1714" s="16"/>
      <c r="DO1714" s="16"/>
      <c r="DP1714" s="16"/>
      <c r="DQ1714" s="16"/>
      <c r="DR1714" s="16"/>
      <c r="DS1714" s="16"/>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18"/>
      <c r="EQ1714" s="18"/>
      <c r="ER1714" s="18"/>
      <c r="ES1714" s="18"/>
      <c r="ET1714" s="18"/>
      <c r="EU1714" s="18"/>
      <c r="EV1714" s="18"/>
      <c r="EW1714" s="18"/>
      <c r="EX1714" s="18"/>
      <c r="EY1714" s="18"/>
      <c r="EZ1714" s="18"/>
      <c r="FA1714" s="18"/>
      <c r="FB1714" s="18"/>
      <c r="FC1714" s="18"/>
      <c r="FD1714" s="18"/>
      <c r="FE1714" s="18"/>
      <c r="FF1714" s="18"/>
      <c r="FG1714" s="18"/>
      <c r="FH1714" s="18"/>
      <c r="FI1714" s="18"/>
      <c r="FJ1714" s="18"/>
      <c r="FK1714" s="18"/>
      <c r="FL1714" s="18"/>
      <c r="FM1714" s="18"/>
      <c r="FN1714" s="18"/>
      <c r="FO1714" s="18"/>
      <c r="FP1714" s="18"/>
      <c r="FQ1714" s="18"/>
      <c r="FR1714" s="18"/>
      <c r="FS1714" s="18"/>
      <c r="FT1714" s="18"/>
      <c r="FU1714" s="18"/>
      <c r="FV1714" s="18"/>
      <c r="FW1714" s="18"/>
      <c r="FX1714" s="18"/>
      <c r="FY1714" s="18"/>
      <c r="FZ1714" s="18"/>
      <c r="GA1714" s="18"/>
      <c r="GB1714" s="18"/>
      <c r="GC1714" s="18"/>
      <c r="GD1714" s="18"/>
      <c r="GE1714" s="18"/>
      <c r="GF1714" s="18"/>
      <c r="GG1714" s="18"/>
      <c r="GH1714" s="18"/>
      <c r="GI1714" s="18"/>
      <c r="GJ1714" s="18"/>
      <c r="GK1714" s="18"/>
      <c r="GL1714" s="18"/>
      <c r="GM1714" s="18"/>
      <c r="GN1714" s="18"/>
      <c r="GO1714" s="18"/>
      <c r="GP1714" s="18"/>
      <c r="GQ1714" s="18"/>
      <c r="GR1714" s="18"/>
      <c r="GS1714" s="18"/>
      <c r="GT1714" s="18"/>
      <c r="GU1714" s="18"/>
      <c r="GV1714" s="18"/>
      <c r="GW1714" s="18"/>
      <c r="GX1714" s="18"/>
      <c r="GY1714" s="18"/>
      <c r="GZ1714" s="18"/>
      <c r="HA1714" s="18"/>
      <c r="HB1714" s="18"/>
      <c r="HC1714" s="18"/>
      <c r="HD1714" s="18"/>
      <c r="HE1714" s="18"/>
      <c r="HF1714" s="18"/>
      <c r="HG1714" s="18"/>
      <c r="HH1714" s="18"/>
      <c r="HI1714" s="18"/>
      <c r="HJ1714" s="18"/>
      <c r="HK1714" s="18"/>
      <c r="HL1714" s="18"/>
      <c r="HM1714" s="18"/>
      <c r="HN1714" s="18"/>
      <c r="HO1714" s="18"/>
      <c r="HP1714" s="18"/>
      <c r="HQ1714" s="18"/>
      <c r="HR1714" s="18"/>
      <c r="HS1714" s="18"/>
      <c r="HT1714" s="18"/>
      <c r="HU1714" s="18"/>
      <c r="HV1714" s="18"/>
      <c r="HW1714" s="18"/>
      <c r="HX1714" s="18"/>
      <c r="HY1714" s="18"/>
      <c r="HZ1714" s="18"/>
      <c r="IA1714" s="18"/>
      <c r="IB1714" s="18"/>
      <c r="IC1714" s="18"/>
      <c r="ID1714" s="18"/>
      <c r="IE1714" s="18"/>
      <c r="IF1714" s="18"/>
      <c r="IG1714" s="18"/>
      <c r="IH1714" s="18"/>
      <c r="II1714" s="18"/>
      <c r="IJ1714" s="18"/>
      <c r="IK1714" s="18"/>
      <c r="IL1714" s="18"/>
      <c r="IM1714" s="18"/>
      <c r="IN1714" s="18"/>
      <c r="IO1714" s="18"/>
      <c r="IP1714" s="18"/>
      <c r="IQ1714" s="18"/>
      <c r="IR1714" s="18"/>
      <c r="IS1714" s="18"/>
      <c r="IT1714" s="18"/>
      <c r="IU1714" s="18"/>
      <c r="IV1714" s="18"/>
      <c r="IW1714" s="18"/>
      <c r="IX1714" s="18"/>
      <c r="IY1714" s="18"/>
      <c r="IZ1714" s="18"/>
      <c r="JA1714" s="18"/>
      <c r="JB1714" s="18"/>
      <c r="JC1714" s="18"/>
      <c r="JD1714" s="18"/>
      <c r="JE1714" s="18"/>
      <c r="JF1714" s="18"/>
      <c r="JG1714" s="18"/>
      <c r="JH1714" s="18"/>
      <c r="JI1714" s="18"/>
      <c r="JJ1714" s="18"/>
      <c r="JK1714" s="18"/>
      <c r="JL1714" s="18"/>
      <c r="JM1714" s="18"/>
      <c r="JN1714" s="18"/>
      <c r="JO1714" s="16"/>
    </row>
    <row r="1715" spans="1:288" s="18" customFormat="1" x14ac:dyDescent="0.2">
      <c r="B1715" s="16">
        <v>2017</v>
      </c>
      <c r="C1715" s="43">
        <v>42941</v>
      </c>
      <c r="D1715" s="20" t="str">
        <f>CONCATENATE(J1715,"-",C1715)</f>
        <v>1036-42941</v>
      </c>
      <c r="E1715" s="20" t="str">
        <f>CONCATENATE(T1715,"-",U1715,"-",C1715)</f>
        <v>SP1-C1-42941</v>
      </c>
      <c r="F1715" s="20" t="s">
        <v>106</v>
      </c>
      <c r="G1715" s="43" t="s">
        <v>278</v>
      </c>
      <c r="H1715" s="23"/>
      <c r="I1715" s="23"/>
      <c r="J1715" s="15">
        <v>1036</v>
      </c>
      <c r="K1715" s="15"/>
      <c r="L1715" s="23"/>
      <c r="M1715" s="21"/>
      <c r="N1715" s="21"/>
      <c r="O1715" s="21"/>
      <c r="P1715" s="23"/>
      <c r="Q1715" s="23"/>
      <c r="R1715" s="23"/>
      <c r="S1715" s="23"/>
      <c r="T1715" s="23" t="s">
        <v>140</v>
      </c>
      <c r="U1715" s="23" t="s">
        <v>150</v>
      </c>
      <c r="V1715" s="23"/>
      <c r="W1715" s="23"/>
      <c r="X1715" s="23"/>
      <c r="Y1715" s="23"/>
      <c r="Z1715" s="23"/>
      <c r="AA1715" s="23"/>
      <c r="AB1715" s="23"/>
      <c r="AC1715" s="23"/>
      <c r="AD1715" s="23"/>
      <c r="AE1715" s="23"/>
      <c r="AF1715" s="23"/>
      <c r="AG1715" s="23"/>
      <c r="AH1715" s="23"/>
      <c r="AI1715" s="23"/>
      <c r="AJ1715" s="23"/>
      <c r="AK1715" s="23"/>
      <c r="AL1715" s="23"/>
      <c r="AM1715" s="23"/>
      <c r="AN1715" s="23"/>
      <c r="AO1715" s="23"/>
      <c r="AP1715" s="23">
        <f>SUM(AL1715:AN1715)</f>
        <v>0</v>
      </c>
      <c r="AQ1715" s="23"/>
      <c r="AR1715" s="23"/>
      <c r="AS1715" s="23"/>
      <c r="AT1715" s="16" t="s">
        <v>285</v>
      </c>
      <c r="AU1715" s="16"/>
      <c r="AV1715" s="16"/>
      <c r="AW1715" s="16"/>
      <c r="AX1715" s="16"/>
      <c r="AZ1715" s="16"/>
      <c r="BA1715" s="16"/>
      <c r="BB1715" s="16"/>
      <c r="BC1715" s="16"/>
      <c r="BD1715" s="16"/>
      <c r="BE1715" s="16"/>
      <c r="BF1715" s="16"/>
      <c r="BG1715" s="77"/>
      <c r="BH1715" s="16"/>
      <c r="BI1715" s="16"/>
      <c r="BJ1715" s="16"/>
      <c r="BK1715" s="16"/>
      <c r="BL1715" s="16"/>
      <c r="BM1715" s="16"/>
      <c r="BN1715" s="16"/>
      <c r="BO1715" s="16"/>
      <c r="BP1715" s="16"/>
      <c r="BQ1715" s="16"/>
      <c r="BR1715" s="16"/>
      <c r="BS1715" s="16"/>
      <c r="BT1715" s="77"/>
      <c r="BU1715" s="16"/>
      <c r="BV1715" s="16"/>
      <c r="BW1715" s="16"/>
      <c r="BX1715" s="16"/>
      <c r="BY1715" s="16"/>
      <c r="BZ1715" s="16"/>
      <c r="CA1715" s="16"/>
      <c r="CB1715" s="16"/>
      <c r="CC1715" s="16"/>
      <c r="CD1715" s="77"/>
      <c r="CE1715" s="16"/>
      <c r="CF1715" s="16"/>
      <c r="CG1715" s="16"/>
      <c r="CH1715" s="16"/>
      <c r="CI1715" s="16"/>
      <c r="CJ1715" s="16"/>
      <c r="CK1715" s="16"/>
      <c r="CL1715" s="16"/>
      <c r="CM1715" s="16"/>
      <c r="CN1715" s="16"/>
      <c r="CO1715" s="16"/>
      <c r="CP1715" s="16"/>
      <c r="CQ1715" s="16"/>
      <c r="CR1715" s="16"/>
      <c r="CS1715" s="16"/>
      <c r="CT1715" s="16"/>
      <c r="CU1715" s="16"/>
      <c r="CV1715" s="16"/>
      <c r="CW1715" s="16"/>
      <c r="CX1715" s="16"/>
      <c r="CY1715" s="16"/>
      <c r="CZ1715" s="16"/>
      <c r="DA1715" s="16"/>
      <c r="DB1715" s="16"/>
      <c r="DC1715" s="23"/>
      <c r="DD1715" s="23"/>
      <c r="DE1715" s="23"/>
      <c r="DF1715" s="16" t="e">
        <f>VLOOKUP(K1715,'[3]RNA Seq summary tables'!$V$3:$V$99,1,FALSE)</f>
        <v>#N/A</v>
      </c>
      <c r="DG1715" s="23"/>
      <c r="DH1715" s="23"/>
      <c r="DI1715" s="23"/>
      <c r="DJ1715" s="23"/>
      <c r="DK1715" s="23"/>
      <c r="DL1715" s="23"/>
      <c r="DM1715" s="23"/>
      <c r="DN1715" s="23"/>
      <c r="DO1715" s="23"/>
      <c r="DP1715" s="23"/>
      <c r="DQ1715" s="23"/>
      <c r="DR1715" s="23"/>
      <c r="DS1715" s="23"/>
      <c r="DT1715" s="25"/>
      <c r="DU1715" s="25"/>
      <c r="DV1715" s="25"/>
      <c r="DW1715" s="25"/>
      <c r="DX1715" s="25"/>
      <c r="DY1715" s="25"/>
      <c r="DZ1715" s="25"/>
      <c r="EA1715" s="25"/>
      <c r="EB1715" s="25"/>
      <c r="EC1715" s="25"/>
      <c r="ED1715" s="25"/>
      <c r="EE1715" s="25"/>
      <c r="EF1715" s="25"/>
      <c r="EG1715" s="25"/>
      <c r="EH1715" s="25"/>
      <c r="EI1715" s="25"/>
      <c r="EJ1715" s="25"/>
      <c r="EK1715" s="25"/>
      <c r="EL1715" s="25"/>
      <c r="EM1715" s="25"/>
      <c r="EN1715" s="25"/>
      <c r="EO1715" s="25"/>
      <c r="EP1715" s="25"/>
      <c r="EQ1715" s="25"/>
      <c r="ER1715" s="25"/>
      <c r="ES1715" s="25"/>
      <c r="ET1715" s="25"/>
      <c r="EU1715" s="25"/>
      <c r="EV1715" s="25"/>
      <c r="EW1715" s="25"/>
      <c r="EX1715" s="25"/>
      <c r="EY1715" s="25"/>
      <c r="EZ1715" s="25"/>
      <c r="FA1715" s="25"/>
      <c r="FB1715" s="25"/>
      <c r="FC1715" s="25"/>
      <c r="FD1715" s="25"/>
      <c r="FE1715" s="25"/>
      <c r="FF1715" s="25"/>
      <c r="FG1715" s="25"/>
      <c r="FH1715" s="25"/>
      <c r="FI1715" s="25"/>
      <c r="FJ1715" s="25"/>
      <c r="FK1715" s="25"/>
      <c r="FL1715" s="25"/>
      <c r="FM1715" s="25"/>
      <c r="FN1715" s="25"/>
      <c r="FO1715" s="25"/>
      <c r="FP1715" s="25"/>
      <c r="FQ1715" s="25"/>
      <c r="FR1715" s="25"/>
      <c r="FS1715" s="25"/>
      <c r="FT1715" s="25"/>
      <c r="FU1715" s="25"/>
      <c r="FV1715" s="25"/>
      <c r="FW1715" s="25"/>
      <c r="FX1715" s="25"/>
      <c r="FY1715" s="25"/>
      <c r="FZ1715" s="25"/>
      <c r="GA1715" s="25"/>
      <c r="GB1715" s="25"/>
      <c r="GC1715" s="25"/>
      <c r="GD1715" s="25"/>
      <c r="GE1715" s="25"/>
      <c r="GF1715" s="25"/>
      <c r="GG1715" s="25"/>
      <c r="GH1715" s="25"/>
      <c r="GI1715" s="25"/>
      <c r="GJ1715" s="25"/>
      <c r="GK1715" s="25"/>
      <c r="GL1715" s="25"/>
      <c r="GM1715" s="25"/>
      <c r="GN1715" s="25"/>
      <c r="GO1715" s="25"/>
      <c r="GP1715" s="25"/>
      <c r="GQ1715" s="25"/>
      <c r="GR1715" s="25"/>
      <c r="GS1715" s="25"/>
      <c r="GT1715" s="25"/>
      <c r="GU1715" s="25"/>
      <c r="GV1715" s="25"/>
      <c r="GW1715" s="25"/>
      <c r="GX1715" s="25"/>
      <c r="GY1715" s="25"/>
      <c r="GZ1715" s="25"/>
      <c r="HA1715" s="25"/>
      <c r="HB1715" s="25"/>
      <c r="HC1715" s="25"/>
      <c r="HD1715" s="25"/>
      <c r="HE1715" s="25"/>
      <c r="HF1715" s="25"/>
      <c r="HG1715" s="25"/>
      <c r="HH1715" s="25"/>
      <c r="HI1715" s="25"/>
      <c r="HJ1715" s="25"/>
      <c r="HK1715" s="25"/>
      <c r="HL1715" s="25"/>
      <c r="HM1715" s="25"/>
      <c r="HN1715" s="25"/>
      <c r="HO1715" s="25"/>
      <c r="HP1715" s="25"/>
      <c r="HQ1715" s="25"/>
      <c r="HR1715" s="25"/>
      <c r="HS1715" s="25"/>
      <c r="HT1715" s="25"/>
      <c r="HU1715" s="25"/>
      <c r="HV1715" s="25"/>
      <c r="HW1715" s="25"/>
      <c r="HX1715" s="25"/>
      <c r="HY1715" s="25"/>
      <c r="HZ1715" s="25"/>
      <c r="IA1715" s="25"/>
      <c r="IB1715" s="25"/>
      <c r="IC1715" s="25"/>
      <c r="ID1715" s="25"/>
      <c r="IE1715" s="25"/>
      <c r="IF1715" s="25"/>
      <c r="IG1715" s="25"/>
      <c r="IH1715" s="25"/>
      <c r="II1715" s="25"/>
      <c r="IJ1715" s="25"/>
      <c r="IK1715" s="25"/>
      <c r="IL1715" s="25"/>
      <c r="IM1715" s="25"/>
      <c r="IN1715" s="25"/>
      <c r="IO1715" s="25"/>
      <c r="IP1715" s="25"/>
      <c r="IQ1715" s="25"/>
      <c r="IR1715" s="25"/>
      <c r="IS1715" s="25"/>
      <c r="IT1715" s="25"/>
      <c r="IU1715" s="25"/>
      <c r="IV1715" s="25"/>
      <c r="IW1715" s="25"/>
      <c r="IX1715" s="25"/>
      <c r="IY1715" s="25"/>
      <c r="IZ1715" s="25"/>
      <c r="JA1715" s="25"/>
      <c r="JB1715" s="25"/>
      <c r="JC1715" s="25"/>
      <c r="JD1715" s="25"/>
      <c r="JE1715" s="25"/>
      <c r="JF1715" s="25"/>
      <c r="JG1715" s="25"/>
      <c r="JH1715" s="25"/>
      <c r="JI1715" s="25"/>
      <c r="JJ1715" s="25"/>
      <c r="JK1715" s="25"/>
      <c r="JL1715" s="25"/>
      <c r="JM1715" s="25"/>
      <c r="JN1715" s="25"/>
      <c r="JP1715" s="16"/>
      <c r="JQ1715" s="16"/>
      <c r="JR1715" s="16"/>
      <c r="JS1715" s="16"/>
      <c r="JT1715" s="16"/>
      <c r="JU1715" s="16"/>
      <c r="JV1715" s="16"/>
      <c r="JW1715" s="16"/>
      <c r="JX1715" s="16"/>
      <c r="JY1715" s="16"/>
      <c r="JZ1715" s="16"/>
      <c r="KA1715" s="16"/>
      <c r="KB1715" s="16"/>
    </row>
    <row r="1716" spans="1:288" s="18" customFormat="1" x14ac:dyDescent="0.2">
      <c r="B1716" s="16">
        <v>2017</v>
      </c>
      <c r="C1716" s="20">
        <v>42958</v>
      </c>
      <c r="D1716" s="20" t="str">
        <f>CONCATENATE(J1716,"-",C1716)</f>
        <v>1036-42958</v>
      </c>
      <c r="E1716" s="20" t="str">
        <f>CONCATENATE(T1716,"-",U1716,"-",C1716)</f>
        <v>SP1-E1-42958</v>
      </c>
      <c r="F1716" s="20" t="s">
        <v>106</v>
      </c>
      <c r="G1716" s="20" t="s">
        <v>278</v>
      </c>
      <c r="H1716" s="16"/>
      <c r="I1716" s="16"/>
      <c r="J1716" s="21">
        <v>1036</v>
      </c>
      <c r="K1716" s="21"/>
      <c r="L1716" s="16"/>
      <c r="M1716" s="21"/>
      <c r="N1716" s="21"/>
      <c r="O1716" s="21"/>
      <c r="P1716" s="16"/>
      <c r="Q1716" s="16"/>
      <c r="R1716" s="16"/>
      <c r="S1716" s="16"/>
      <c r="T1716" s="16" t="s">
        <v>140</v>
      </c>
      <c r="U1716" s="16" t="s">
        <v>222</v>
      </c>
      <c r="V1716" s="16"/>
      <c r="W1716" s="16"/>
      <c r="X1716" s="16"/>
      <c r="Y1716" s="16"/>
      <c r="Z1716" s="16"/>
      <c r="AA1716" s="16"/>
      <c r="AB1716" s="16"/>
      <c r="AC1716" s="16"/>
      <c r="AD1716" s="16"/>
      <c r="AE1716" s="16"/>
      <c r="AF1716" s="16"/>
      <c r="AG1716" s="16"/>
      <c r="AH1716" s="16"/>
      <c r="AI1716" s="16"/>
      <c r="AJ1716" s="16"/>
      <c r="AK1716" s="16"/>
      <c r="AL1716" s="16"/>
      <c r="AM1716" s="16"/>
      <c r="AN1716" s="16"/>
      <c r="AO1716" s="16"/>
      <c r="AP1716" s="16">
        <f>SUM(AL1716:AN1716)</f>
        <v>0</v>
      </c>
      <c r="AQ1716" s="16"/>
      <c r="AR1716" s="16"/>
      <c r="AS1716" s="16"/>
      <c r="AT1716" s="16" t="s">
        <v>285</v>
      </c>
      <c r="AU1716" s="16"/>
      <c r="AV1716" s="16"/>
      <c r="AW1716" s="16"/>
      <c r="AX1716" s="16"/>
      <c r="AZ1716" s="16"/>
      <c r="BA1716" s="16"/>
      <c r="BB1716" s="16"/>
      <c r="BC1716" s="16"/>
      <c r="BD1716" s="16"/>
      <c r="BE1716" s="16"/>
      <c r="BF1716" s="16"/>
      <c r="BG1716" s="77"/>
      <c r="BH1716" s="16"/>
      <c r="BI1716" s="16"/>
      <c r="BJ1716" s="16"/>
      <c r="BK1716" s="16"/>
      <c r="BL1716" s="16"/>
      <c r="BM1716" s="16"/>
      <c r="BN1716" s="16"/>
      <c r="BO1716" s="16"/>
      <c r="BP1716" s="16"/>
      <c r="BQ1716" s="16"/>
      <c r="BR1716" s="16"/>
      <c r="BS1716" s="16"/>
      <c r="BT1716" s="77"/>
      <c r="BU1716" s="16"/>
      <c r="BV1716" s="16"/>
      <c r="BW1716" s="16"/>
      <c r="BX1716" s="16"/>
      <c r="BY1716" s="16"/>
      <c r="BZ1716" s="16"/>
      <c r="CA1716" s="16"/>
      <c r="CB1716" s="16"/>
      <c r="CC1716" s="16"/>
      <c r="CD1716" s="77"/>
      <c r="CE1716" s="16"/>
      <c r="CF1716" s="16"/>
      <c r="CG1716" s="16"/>
      <c r="CH1716" s="16"/>
      <c r="CI1716" s="16"/>
      <c r="CJ1716" s="16"/>
      <c r="CK1716" s="16"/>
      <c r="CL1716" s="16"/>
      <c r="CM1716" s="16"/>
      <c r="CN1716" s="16"/>
      <c r="CO1716" s="16"/>
      <c r="CP1716" s="16"/>
      <c r="CQ1716" s="16"/>
      <c r="CR1716" s="16"/>
      <c r="CS1716" s="16"/>
      <c r="CT1716" s="16"/>
      <c r="CU1716" s="16"/>
      <c r="CV1716" s="16"/>
      <c r="CW1716" s="16"/>
      <c r="CX1716" s="16"/>
      <c r="CY1716" s="16"/>
      <c r="CZ1716" s="16"/>
      <c r="DA1716" s="16"/>
      <c r="DB1716" s="16"/>
      <c r="DC1716" s="16"/>
      <c r="DD1716" s="16"/>
      <c r="DE1716" s="16"/>
      <c r="DF1716" s="16" t="e">
        <f>VLOOKUP(K1716,'[3]RNA Seq summary tables'!$V$3:$V$99,1,FALSE)</f>
        <v>#N/A</v>
      </c>
      <c r="DG1716" s="16"/>
      <c r="DH1716" s="16"/>
      <c r="DI1716" s="16"/>
      <c r="DJ1716" s="16"/>
      <c r="DK1716" s="16"/>
      <c r="DL1716" s="16"/>
      <c r="DM1716" s="16"/>
      <c r="DN1716" s="16"/>
      <c r="DO1716" s="16"/>
      <c r="DP1716" s="16"/>
      <c r="DQ1716" s="16"/>
      <c r="DR1716" s="16"/>
      <c r="DS1716" s="16"/>
      <c r="JO1716" s="27"/>
      <c r="JP1716" s="16"/>
      <c r="JQ1716" s="16"/>
      <c r="JR1716" s="16"/>
      <c r="JS1716" s="16"/>
      <c r="JT1716" s="16"/>
      <c r="JU1716" s="16"/>
      <c r="JV1716" s="16"/>
      <c r="JW1716" s="16"/>
      <c r="JX1716" s="16"/>
      <c r="JY1716" s="16"/>
      <c r="JZ1716" s="16"/>
      <c r="KA1716" s="16"/>
      <c r="KB1716" s="16"/>
    </row>
    <row r="1717" spans="1:288" s="18" customFormat="1" x14ac:dyDescent="0.2">
      <c r="B1717" s="16">
        <v>2017</v>
      </c>
      <c r="C1717" s="20">
        <v>42959</v>
      </c>
      <c r="D1717" s="20" t="str">
        <f>CONCATENATE(J1717,"-",C1717)</f>
        <v>1036-42959</v>
      </c>
      <c r="E1717" s="20" t="str">
        <f>CONCATENATE(T1717,"-",U1717,"-",C1717)</f>
        <v>SP1-E1-42959</v>
      </c>
      <c r="F1717" s="20" t="s">
        <v>106</v>
      </c>
      <c r="G1717" s="20" t="s">
        <v>278</v>
      </c>
      <c r="H1717" s="16"/>
      <c r="I1717" s="16"/>
      <c r="J1717" s="21">
        <v>1036</v>
      </c>
      <c r="K1717" s="21"/>
      <c r="L1717" s="16"/>
      <c r="M1717" s="21"/>
      <c r="N1717" s="21"/>
      <c r="O1717" s="21"/>
      <c r="P1717" s="16"/>
      <c r="Q1717" s="16"/>
      <c r="R1717" s="16"/>
      <c r="S1717" s="16"/>
      <c r="T1717" s="16" t="s">
        <v>140</v>
      </c>
      <c r="U1717" s="16" t="s">
        <v>222</v>
      </c>
      <c r="V1717" s="16"/>
      <c r="W1717" s="16"/>
      <c r="X1717" s="16"/>
      <c r="Y1717" s="16"/>
      <c r="Z1717" s="16"/>
      <c r="AA1717" s="16"/>
      <c r="AB1717" s="16"/>
      <c r="AC1717" s="16"/>
      <c r="AD1717" s="16"/>
      <c r="AE1717" s="16"/>
      <c r="AF1717" s="16"/>
      <c r="AG1717" s="16"/>
      <c r="AH1717" s="16"/>
      <c r="AI1717" s="16"/>
      <c r="AJ1717" s="16"/>
      <c r="AK1717" s="16"/>
      <c r="AL1717" s="16"/>
      <c r="AM1717" s="16"/>
      <c r="AN1717" s="16"/>
      <c r="AO1717" s="16"/>
      <c r="AP1717" s="16">
        <f>SUM(AL1717:AN1717)</f>
        <v>0</v>
      </c>
      <c r="AQ1717" s="16"/>
      <c r="AR1717" s="16"/>
      <c r="AS1717" s="16"/>
      <c r="AT1717" s="16" t="s">
        <v>285</v>
      </c>
      <c r="AU1717" s="16"/>
      <c r="AV1717" s="16"/>
      <c r="AW1717" s="16"/>
      <c r="AX1717" s="16"/>
      <c r="AZ1717" s="16"/>
      <c r="BA1717" s="16"/>
      <c r="BB1717" s="16"/>
      <c r="BC1717" s="16"/>
      <c r="BD1717" s="16"/>
      <c r="BE1717" s="16"/>
      <c r="BF1717" s="16"/>
      <c r="BG1717" s="77"/>
      <c r="BH1717" s="16"/>
      <c r="BI1717" s="16"/>
      <c r="BJ1717" s="16"/>
      <c r="BK1717" s="16"/>
      <c r="BL1717" s="16"/>
      <c r="BM1717" s="16"/>
      <c r="BN1717" s="16"/>
      <c r="BO1717" s="16"/>
      <c r="BP1717" s="16"/>
      <c r="BQ1717" s="16"/>
      <c r="BR1717" s="16"/>
      <c r="BS1717" s="16"/>
      <c r="BT1717" s="77"/>
      <c r="BU1717" s="16"/>
      <c r="BV1717" s="16"/>
      <c r="BW1717" s="16"/>
      <c r="BX1717" s="16"/>
      <c r="BY1717" s="16"/>
      <c r="BZ1717" s="16"/>
      <c r="CA1717" s="16"/>
      <c r="CB1717" s="16"/>
      <c r="CC1717" s="16"/>
      <c r="CD1717" s="77"/>
      <c r="CE1717" s="16"/>
      <c r="CF1717" s="16"/>
      <c r="CG1717" s="16"/>
      <c r="CH1717" s="16"/>
      <c r="CI1717" s="16"/>
      <c r="CJ1717" s="16"/>
      <c r="CK1717" s="16"/>
      <c r="CL1717" s="16"/>
      <c r="CM1717" s="16"/>
      <c r="CN1717" s="16"/>
      <c r="CO1717" s="16"/>
      <c r="CP1717" s="16"/>
      <c r="CQ1717" s="16"/>
      <c r="CR1717" s="16"/>
      <c r="CS1717" s="16"/>
      <c r="CT1717" s="16"/>
      <c r="CU1717" s="16"/>
      <c r="CV1717" s="16"/>
      <c r="CW1717" s="16"/>
      <c r="CX1717" s="16"/>
      <c r="CY1717" s="16"/>
      <c r="CZ1717" s="16"/>
      <c r="DA1717" s="16"/>
      <c r="DB1717" s="16"/>
      <c r="DC1717" s="16"/>
      <c r="DD1717" s="16"/>
      <c r="DE1717" s="16"/>
      <c r="DF1717" s="16" t="e">
        <f>VLOOKUP(K1717,'[3]RNA Seq summary tables'!$V$3:$V$99,1,FALSE)</f>
        <v>#N/A</v>
      </c>
      <c r="DG1717" s="16"/>
      <c r="DH1717" s="16"/>
      <c r="DI1717" s="16"/>
      <c r="DJ1717" s="16"/>
      <c r="DK1717" s="16"/>
      <c r="DL1717" s="16"/>
      <c r="DM1717" s="16"/>
      <c r="DN1717" s="16"/>
      <c r="DO1717" s="16"/>
      <c r="DP1717" s="16"/>
      <c r="DQ1717" s="16"/>
      <c r="DR1717" s="16"/>
      <c r="DS1717" s="16"/>
      <c r="JO1717" s="27"/>
      <c r="JP1717" s="16"/>
      <c r="JQ1717" s="16"/>
      <c r="JR1717" s="16"/>
      <c r="JS1717" s="16"/>
      <c r="JT1717" s="16"/>
      <c r="JU1717" s="16"/>
      <c r="JV1717" s="16"/>
      <c r="JW1717" s="16"/>
      <c r="JX1717" s="16"/>
      <c r="JY1717" s="16"/>
      <c r="JZ1717" s="16"/>
      <c r="KA1717" s="16"/>
      <c r="KB1717" s="16"/>
    </row>
    <row r="1718" spans="1:288" s="18" customFormat="1" x14ac:dyDescent="0.2">
      <c r="B1718" s="16">
        <v>2017</v>
      </c>
      <c r="C1718" s="66">
        <v>42888</v>
      </c>
      <c r="D1718" s="66" t="str">
        <f>CONCATENATE(J1718,"-",C1718)</f>
        <v>1037-42888</v>
      </c>
      <c r="E1718" s="20" t="str">
        <f>CONCATENATE(T1718,"-",U1718,"-",C1718)</f>
        <v>SP1-G2-42888</v>
      </c>
      <c r="F1718" s="20" t="s">
        <v>106</v>
      </c>
      <c r="G1718" s="20" t="s">
        <v>278</v>
      </c>
      <c r="H1718" s="16"/>
      <c r="I1718" s="16"/>
      <c r="J1718" s="21">
        <v>1037</v>
      </c>
      <c r="K1718" s="21"/>
      <c r="L1718" s="16"/>
      <c r="M1718" s="21"/>
      <c r="N1718" s="21"/>
      <c r="O1718" s="21"/>
      <c r="P1718" s="16"/>
      <c r="Q1718" s="16"/>
      <c r="R1718" s="16"/>
      <c r="S1718" s="16"/>
      <c r="T1718" s="16" t="s">
        <v>140</v>
      </c>
      <c r="U1718" s="16" t="s">
        <v>128</v>
      </c>
      <c r="V1718" s="16"/>
      <c r="W1718" s="16"/>
      <c r="X1718" s="16"/>
      <c r="Y1718" s="16"/>
      <c r="Z1718" s="16"/>
      <c r="AA1718" s="16"/>
      <c r="AB1718" s="16"/>
      <c r="AC1718" s="16"/>
      <c r="AD1718" s="16"/>
      <c r="AE1718" s="16"/>
      <c r="AF1718" s="16"/>
      <c r="AG1718" s="16"/>
      <c r="AH1718" s="16"/>
      <c r="AI1718" s="16"/>
      <c r="AJ1718" s="16"/>
      <c r="AK1718" s="16"/>
      <c r="AL1718" s="16"/>
      <c r="AM1718" s="16"/>
      <c r="AN1718" s="16"/>
      <c r="AO1718" s="16"/>
      <c r="AP1718" s="16">
        <f>SUM(AL1718:AN1718)</f>
        <v>0</v>
      </c>
      <c r="AQ1718" s="16"/>
      <c r="AR1718" s="16"/>
      <c r="AS1718" s="16"/>
      <c r="AT1718" s="16" t="s">
        <v>285</v>
      </c>
      <c r="AU1718" s="16"/>
      <c r="AV1718" s="16"/>
      <c r="AW1718" s="16"/>
      <c r="AX1718" s="16"/>
      <c r="AZ1718" s="16"/>
      <c r="BA1718" s="16"/>
      <c r="BB1718" s="16"/>
      <c r="BC1718" s="16"/>
      <c r="BD1718" s="16"/>
      <c r="BE1718" s="16"/>
      <c r="BF1718" s="16"/>
      <c r="BG1718" s="77"/>
      <c r="BH1718" s="16"/>
      <c r="BI1718" s="16"/>
      <c r="BJ1718" s="16"/>
      <c r="BK1718" s="16"/>
      <c r="BL1718" s="16"/>
      <c r="BM1718" s="16"/>
      <c r="BN1718" s="16"/>
      <c r="BO1718" s="16"/>
      <c r="BP1718" s="16"/>
      <c r="BQ1718" s="16"/>
      <c r="BR1718" s="16"/>
      <c r="BS1718" s="16"/>
      <c r="BT1718" s="77"/>
      <c r="BU1718" s="16"/>
      <c r="BV1718" s="16"/>
      <c r="BW1718" s="16"/>
      <c r="BX1718" s="16"/>
      <c r="BY1718" s="16"/>
      <c r="BZ1718" s="16"/>
      <c r="CA1718" s="16"/>
      <c r="CB1718" s="16"/>
      <c r="CC1718" s="16"/>
      <c r="CD1718" s="77"/>
      <c r="CE1718" s="16"/>
      <c r="CF1718" s="16"/>
      <c r="CG1718" s="16"/>
      <c r="CH1718" s="16"/>
      <c r="CI1718" s="16"/>
      <c r="CJ1718" s="16"/>
      <c r="CK1718" s="16"/>
      <c r="CL1718" s="16"/>
      <c r="CM1718" s="16"/>
      <c r="CN1718" s="16"/>
      <c r="CO1718" s="16"/>
      <c r="CP1718" s="16"/>
      <c r="CQ1718" s="16"/>
      <c r="CR1718" s="16"/>
      <c r="CS1718" s="16"/>
      <c r="CT1718" s="16"/>
      <c r="CU1718" s="16"/>
      <c r="CV1718" s="16"/>
      <c r="CW1718" s="16"/>
      <c r="CX1718" s="16"/>
      <c r="CY1718" s="16"/>
      <c r="CZ1718" s="16"/>
      <c r="DA1718" s="16"/>
      <c r="DB1718" s="16"/>
      <c r="DC1718" s="16"/>
      <c r="DD1718" s="16"/>
      <c r="DE1718" s="16"/>
      <c r="DF1718" s="16" t="e">
        <f>VLOOKUP(K1718,'[3]RNA Seq summary tables'!$V$3:$V$99,1,FALSE)</f>
        <v>#N/A</v>
      </c>
      <c r="DG1718" s="16"/>
      <c r="DH1718" s="16"/>
      <c r="DI1718" s="16"/>
      <c r="DJ1718" s="16"/>
      <c r="DK1718" s="16"/>
      <c r="DL1718" s="16"/>
      <c r="DM1718" s="16"/>
      <c r="DN1718" s="16"/>
      <c r="DO1718" s="16"/>
      <c r="DP1718" s="16"/>
      <c r="DQ1718" s="16"/>
      <c r="DR1718" s="16"/>
      <c r="DS1718" s="16"/>
      <c r="JO1718" s="16"/>
      <c r="JP1718" s="16"/>
      <c r="JQ1718" s="16"/>
      <c r="JR1718" s="16"/>
      <c r="JS1718" s="16"/>
      <c r="JT1718" s="16"/>
      <c r="JU1718" s="16"/>
      <c r="JV1718" s="16"/>
      <c r="JW1718" s="16"/>
      <c r="JX1718" s="16"/>
      <c r="JY1718" s="16"/>
      <c r="JZ1718" s="16"/>
      <c r="KA1718" s="16"/>
      <c r="KB1718" s="16"/>
    </row>
    <row r="1719" spans="1:288" s="18" customFormat="1" x14ac:dyDescent="0.2">
      <c r="B1719" s="16">
        <v>2017</v>
      </c>
      <c r="C1719" s="66">
        <v>42889</v>
      </c>
      <c r="D1719" s="66" t="str">
        <f>CONCATENATE(J1719,"-",C1719)</f>
        <v>1037-42889</v>
      </c>
      <c r="E1719" s="20" t="str">
        <f>CONCATENATE(T1719,"-",U1719,"-",C1719)</f>
        <v>SP1-G3-42889</v>
      </c>
      <c r="F1719" s="20" t="s">
        <v>106</v>
      </c>
      <c r="G1719" s="20" t="s">
        <v>278</v>
      </c>
      <c r="H1719" s="16"/>
      <c r="I1719" s="16"/>
      <c r="J1719" s="21">
        <v>1037</v>
      </c>
      <c r="K1719" s="21"/>
      <c r="L1719" s="16"/>
      <c r="M1719" s="21"/>
      <c r="N1719" s="21"/>
      <c r="O1719" s="21"/>
      <c r="P1719" s="16"/>
      <c r="Q1719" s="16"/>
      <c r="R1719" s="16"/>
      <c r="S1719" s="16"/>
      <c r="T1719" s="16" t="s">
        <v>140</v>
      </c>
      <c r="U1719" s="16" t="s">
        <v>179</v>
      </c>
      <c r="V1719" s="16"/>
      <c r="W1719" s="16"/>
      <c r="X1719" s="16"/>
      <c r="Y1719" s="16"/>
      <c r="Z1719" s="16"/>
      <c r="AA1719" s="16"/>
      <c r="AB1719" s="16"/>
      <c r="AC1719" s="16"/>
      <c r="AD1719" s="16"/>
      <c r="AE1719" s="16"/>
      <c r="AF1719" s="16"/>
      <c r="AG1719" s="16"/>
      <c r="AH1719" s="16"/>
      <c r="AI1719" s="16"/>
      <c r="AJ1719" s="16"/>
      <c r="AK1719" s="16"/>
      <c r="AL1719" s="16"/>
      <c r="AM1719" s="16"/>
      <c r="AN1719" s="16"/>
      <c r="AO1719" s="16"/>
      <c r="AP1719" s="16">
        <f>SUM(AL1719:AN1719)</f>
        <v>0</v>
      </c>
      <c r="AQ1719" s="16"/>
      <c r="AR1719" s="16"/>
      <c r="AS1719" s="16"/>
      <c r="AT1719" s="16" t="s">
        <v>285</v>
      </c>
      <c r="AU1719" s="16"/>
      <c r="AV1719" s="16"/>
      <c r="AW1719" s="16"/>
      <c r="AX1719" s="16"/>
      <c r="AZ1719" s="16"/>
      <c r="BA1719" s="16"/>
      <c r="BB1719" s="16"/>
      <c r="BC1719" s="16"/>
      <c r="BD1719" s="16"/>
      <c r="BE1719" s="16"/>
      <c r="BF1719" s="16"/>
      <c r="BG1719" s="77"/>
      <c r="BH1719" s="16"/>
      <c r="BI1719" s="16"/>
      <c r="BJ1719" s="16"/>
      <c r="BK1719" s="16"/>
      <c r="BL1719" s="16"/>
      <c r="BM1719" s="16"/>
      <c r="BN1719" s="16"/>
      <c r="BO1719" s="16"/>
      <c r="BP1719" s="16"/>
      <c r="BQ1719" s="16"/>
      <c r="BR1719" s="16"/>
      <c r="BS1719" s="16"/>
      <c r="BT1719" s="77"/>
      <c r="BU1719" s="16"/>
      <c r="BV1719" s="16"/>
      <c r="BW1719" s="16"/>
      <c r="BX1719" s="16"/>
      <c r="BY1719" s="16"/>
      <c r="BZ1719" s="16"/>
      <c r="CA1719" s="16"/>
      <c r="CB1719" s="16"/>
      <c r="CC1719" s="16"/>
      <c r="CD1719" s="77"/>
      <c r="CE1719" s="16"/>
      <c r="CF1719" s="16"/>
      <c r="CG1719" s="16"/>
      <c r="CH1719" s="16"/>
      <c r="CI1719" s="16"/>
      <c r="CJ1719" s="16"/>
      <c r="CK1719" s="16"/>
      <c r="CL1719" s="16"/>
      <c r="CM1719" s="16"/>
      <c r="CN1719" s="16"/>
      <c r="CO1719" s="16"/>
      <c r="CP1719" s="16"/>
      <c r="CQ1719" s="16"/>
      <c r="CR1719" s="16"/>
      <c r="CS1719" s="16"/>
      <c r="CT1719" s="16"/>
      <c r="CU1719" s="16"/>
      <c r="CV1719" s="16"/>
      <c r="CW1719" s="16"/>
      <c r="CX1719" s="16"/>
      <c r="CY1719" s="16"/>
      <c r="CZ1719" s="16"/>
      <c r="DA1719" s="16"/>
      <c r="DB1719" s="16"/>
      <c r="DC1719" s="16"/>
      <c r="DD1719" s="16"/>
      <c r="DE1719" s="16"/>
      <c r="DF1719" s="16" t="e">
        <f>VLOOKUP(K1719,'[3]RNA Seq summary tables'!$V$3:$V$99,1,FALSE)</f>
        <v>#N/A</v>
      </c>
      <c r="DG1719" s="16"/>
      <c r="DH1719" s="16"/>
      <c r="DI1719" s="16"/>
      <c r="DJ1719" s="16"/>
      <c r="DK1719" s="16"/>
      <c r="DL1719" s="16"/>
      <c r="DM1719" s="16"/>
      <c r="DN1719" s="16"/>
      <c r="DO1719" s="16"/>
      <c r="DP1719" s="16"/>
      <c r="DQ1719" s="16"/>
      <c r="DR1719" s="16"/>
      <c r="DS1719" s="16"/>
      <c r="JO1719" s="16"/>
      <c r="JP1719" s="16"/>
      <c r="JQ1719" s="16"/>
      <c r="JR1719" s="16"/>
      <c r="JS1719" s="16"/>
      <c r="JT1719" s="16"/>
      <c r="JU1719" s="16"/>
      <c r="JV1719" s="16"/>
      <c r="JW1719" s="16"/>
      <c r="JX1719" s="16"/>
      <c r="JY1719" s="16"/>
      <c r="JZ1719" s="16"/>
      <c r="KA1719" s="16"/>
      <c r="KB1719" s="16"/>
    </row>
    <row r="1720" spans="1:288" s="18" customFormat="1" x14ac:dyDescent="0.2">
      <c r="B1720" s="16">
        <v>2017</v>
      </c>
      <c r="C1720" s="20">
        <v>42906</v>
      </c>
      <c r="D1720" s="20" t="str">
        <f>CONCATENATE(J1720,"-",C1720)</f>
        <v>1037-42906</v>
      </c>
      <c r="E1720" s="20" t="str">
        <f>CONCATENATE(T1720,"-",U1720,"-",C1720)</f>
        <v>SP1-F6-42906</v>
      </c>
      <c r="F1720" s="20" t="s">
        <v>106</v>
      </c>
      <c r="G1720" s="20" t="s">
        <v>278</v>
      </c>
      <c r="H1720" s="16"/>
      <c r="I1720" s="16"/>
      <c r="J1720" s="21">
        <v>1037</v>
      </c>
      <c r="K1720" s="21"/>
      <c r="L1720" s="16"/>
      <c r="M1720" s="21"/>
      <c r="N1720" s="21"/>
      <c r="O1720" s="21"/>
      <c r="P1720" s="16"/>
      <c r="Q1720" s="16"/>
      <c r="R1720" s="16"/>
      <c r="S1720" s="16"/>
      <c r="T1720" s="16" t="s">
        <v>140</v>
      </c>
      <c r="U1720" s="16" t="s">
        <v>170</v>
      </c>
      <c r="V1720" s="16"/>
      <c r="W1720" s="16"/>
      <c r="X1720" s="16"/>
      <c r="Y1720" s="16"/>
      <c r="Z1720" s="16"/>
      <c r="AA1720" s="16"/>
      <c r="AB1720" s="16"/>
      <c r="AC1720" s="16"/>
      <c r="AD1720" s="16"/>
      <c r="AE1720" s="16"/>
      <c r="AF1720" s="16"/>
      <c r="AG1720" s="16"/>
      <c r="AH1720" s="16"/>
      <c r="AI1720" s="16"/>
      <c r="AJ1720" s="16"/>
      <c r="AK1720" s="16"/>
      <c r="AL1720" s="16"/>
      <c r="AM1720" s="16"/>
      <c r="AN1720" s="16"/>
      <c r="AO1720" s="16"/>
      <c r="AP1720" s="16">
        <f>SUM(AL1720:AN1720)</f>
        <v>0</v>
      </c>
      <c r="AQ1720" s="16"/>
      <c r="AR1720" s="16"/>
      <c r="AS1720" s="16"/>
      <c r="AT1720" s="16" t="s">
        <v>285</v>
      </c>
      <c r="AU1720" s="16"/>
      <c r="AV1720" s="16"/>
      <c r="AW1720" s="16"/>
      <c r="AX1720" s="16"/>
      <c r="AZ1720" s="16"/>
      <c r="BA1720" s="16"/>
      <c r="BB1720" s="16"/>
      <c r="BC1720" s="16"/>
      <c r="BD1720" s="16"/>
      <c r="BE1720" s="16"/>
      <c r="BF1720" s="16"/>
      <c r="BG1720" s="77"/>
      <c r="BH1720" s="16"/>
      <c r="BI1720" s="16"/>
      <c r="BJ1720" s="16"/>
      <c r="BK1720" s="16"/>
      <c r="BL1720" s="16"/>
      <c r="BM1720" s="16"/>
      <c r="BN1720" s="16"/>
      <c r="BO1720" s="16"/>
      <c r="BP1720" s="16"/>
      <c r="BQ1720" s="16"/>
      <c r="BR1720" s="16"/>
      <c r="BS1720" s="16"/>
      <c r="BT1720" s="77"/>
      <c r="BU1720" s="16"/>
      <c r="BV1720" s="16"/>
      <c r="BW1720" s="16"/>
      <c r="BX1720" s="16"/>
      <c r="BY1720" s="16"/>
      <c r="BZ1720" s="16"/>
      <c r="CA1720" s="16"/>
      <c r="CB1720" s="16"/>
      <c r="CC1720" s="16"/>
      <c r="CD1720" s="77"/>
      <c r="CE1720" s="16"/>
      <c r="CF1720" s="16"/>
      <c r="CG1720" s="16"/>
      <c r="CH1720" s="16"/>
      <c r="CI1720" s="16"/>
      <c r="CJ1720" s="16"/>
      <c r="CK1720" s="16"/>
      <c r="CL1720" s="16"/>
      <c r="CM1720" s="16"/>
      <c r="CN1720" s="16"/>
      <c r="CO1720" s="16"/>
      <c r="CP1720" s="16"/>
      <c r="CQ1720" s="16"/>
      <c r="CR1720" s="16"/>
      <c r="CS1720" s="16"/>
      <c r="CT1720" s="16"/>
      <c r="CU1720" s="16"/>
      <c r="CV1720" s="16"/>
      <c r="CW1720" s="16"/>
      <c r="CX1720" s="16"/>
      <c r="CY1720" s="16"/>
      <c r="CZ1720" s="16"/>
      <c r="DA1720" s="16"/>
      <c r="DB1720" s="16"/>
      <c r="DC1720" s="16"/>
      <c r="DD1720" s="16"/>
      <c r="DE1720" s="16"/>
      <c r="DF1720" s="16" t="e">
        <f>VLOOKUP(K1720,'[3]RNA Seq summary tables'!$V$3:$V$99,1,FALSE)</f>
        <v>#N/A</v>
      </c>
      <c r="DG1720" s="16"/>
      <c r="DH1720" s="16"/>
      <c r="DI1720" s="16"/>
      <c r="DJ1720" s="16"/>
      <c r="DK1720" s="16"/>
      <c r="DL1720" s="16"/>
      <c r="DM1720" s="16"/>
      <c r="DN1720" s="16"/>
      <c r="DO1720" s="16"/>
      <c r="DP1720" s="16"/>
      <c r="DQ1720" s="16"/>
      <c r="DR1720" s="16"/>
      <c r="DS1720" s="16"/>
      <c r="JP1720" s="16"/>
      <c r="JQ1720" s="16"/>
      <c r="JR1720" s="16"/>
      <c r="JS1720" s="16"/>
      <c r="JT1720" s="16"/>
      <c r="JU1720" s="16"/>
      <c r="JV1720" s="16"/>
      <c r="JW1720" s="16"/>
      <c r="JX1720" s="16"/>
      <c r="JY1720" s="16"/>
      <c r="JZ1720" s="16"/>
      <c r="KA1720" s="16"/>
      <c r="KB1720" s="16"/>
    </row>
    <row r="1721" spans="1:288" s="18" customFormat="1" x14ac:dyDescent="0.2">
      <c r="B1721" s="16">
        <v>2017</v>
      </c>
      <c r="C1721" s="43">
        <v>42907</v>
      </c>
      <c r="D1721" s="20" t="str">
        <f>CONCATENATE(J1721,"-",C1721)</f>
        <v>1037-42907</v>
      </c>
      <c r="E1721" s="20" t="str">
        <f>CONCATENATE(T1721,"-",U1721,"-",C1721)</f>
        <v>SP1-F6-42907</v>
      </c>
      <c r="F1721" s="20" t="s">
        <v>106</v>
      </c>
      <c r="G1721" s="43" t="s">
        <v>278</v>
      </c>
      <c r="H1721" s="23"/>
      <c r="I1721" s="23"/>
      <c r="J1721" s="15">
        <v>1037</v>
      </c>
      <c r="K1721" s="15"/>
      <c r="L1721" s="23"/>
      <c r="M1721" s="21"/>
      <c r="N1721" s="21"/>
      <c r="O1721" s="21"/>
      <c r="P1721" s="23"/>
      <c r="Q1721" s="16"/>
      <c r="R1721" s="23"/>
      <c r="S1721" s="23"/>
      <c r="T1721" s="23" t="s">
        <v>140</v>
      </c>
      <c r="U1721" s="23" t="s">
        <v>170</v>
      </c>
      <c r="V1721" s="23"/>
      <c r="W1721" s="16"/>
      <c r="X1721" s="23"/>
      <c r="Y1721" s="23"/>
      <c r="Z1721" s="23"/>
      <c r="AA1721" s="23"/>
      <c r="AB1721" s="23"/>
      <c r="AC1721" s="23"/>
      <c r="AD1721" s="23"/>
      <c r="AE1721" s="23"/>
      <c r="AF1721" s="23"/>
      <c r="AG1721" s="23"/>
      <c r="AH1721" s="23"/>
      <c r="AI1721" s="23"/>
      <c r="AJ1721" s="23"/>
      <c r="AK1721" s="23"/>
      <c r="AL1721" s="23"/>
      <c r="AM1721" s="23"/>
      <c r="AN1721" s="23"/>
      <c r="AO1721" s="23"/>
      <c r="AP1721" s="23">
        <f>SUM(AL1721:AN1721)</f>
        <v>0</v>
      </c>
      <c r="AQ1721" s="23"/>
      <c r="AR1721" s="23"/>
      <c r="AS1721" s="23"/>
      <c r="AT1721" s="23" t="s">
        <v>285</v>
      </c>
      <c r="AU1721" s="23"/>
      <c r="AV1721" s="23"/>
      <c r="AW1721" s="23"/>
      <c r="AX1721" s="23"/>
      <c r="AY1721" s="25"/>
      <c r="AZ1721" s="16"/>
      <c r="BA1721" s="23"/>
      <c r="BB1721" s="23"/>
      <c r="BC1721" s="16"/>
      <c r="BD1721" s="23"/>
      <c r="BE1721" s="23"/>
      <c r="BF1721" s="16"/>
      <c r="BG1721" s="77"/>
      <c r="BH1721" s="23"/>
      <c r="BI1721" s="16"/>
      <c r="BJ1721" s="23"/>
      <c r="BK1721" s="23"/>
      <c r="BL1721" s="16"/>
      <c r="BM1721" s="16"/>
      <c r="BN1721" s="16"/>
      <c r="BO1721" s="16"/>
      <c r="BP1721" s="16"/>
      <c r="BQ1721" s="16"/>
      <c r="BR1721" s="16"/>
      <c r="BS1721" s="23"/>
      <c r="BT1721" s="77"/>
      <c r="BU1721" s="16"/>
      <c r="BV1721" s="23"/>
      <c r="BW1721" s="16"/>
      <c r="BX1721" s="16"/>
      <c r="BY1721" s="23"/>
      <c r="BZ1721" s="16"/>
      <c r="CA1721" s="16"/>
      <c r="CB1721" s="23"/>
      <c r="CC1721" s="23"/>
      <c r="CD1721" s="77"/>
      <c r="CE1721" s="23"/>
      <c r="CF1721" s="23"/>
      <c r="CG1721" s="23"/>
      <c r="CH1721" s="23"/>
      <c r="CI1721" s="23"/>
      <c r="CJ1721" s="23"/>
      <c r="CK1721" s="23"/>
      <c r="CL1721" s="23"/>
      <c r="CM1721" s="23"/>
      <c r="CN1721" s="23"/>
      <c r="CO1721" s="23"/>
      <c r="CP1721" s="23"/>
      <c r="CQ1721" s="23"/>
      <c r="CR1721" s="23"/>
      <c r="CS1721" s="16"/>
      <c r="CT1721" s="16"/>
      <c r="CU1721" s="16"/>
      <c r="CV1721" s="23"/>
      <c r="CW1721" s="16"/>
      <c r="CX1721" s="23"/>
      <c r="CY1721" s="23"/>
      <c r="CZ1721" s="23"/>
      <c r="DA1721" s="23"/>
      <c r="DB1721" s="23"/>
      <c r="DC1721" s="23"/>
      <c r="DD1721" s="23"/>
      <c r="DE1721" s="23"/>
      <c r="DF1721" s="16" t="e">
        <f>VLOOKUP(K1721,'[3]RNA Seq summary tables'!$V$3:$V$99,1,FALSE)</f>
        <v>#N/A</v>
      </c>
      <c r="DG1721" s="23"/>
      <c r="DH1721" s="23"/>
      <c r="DI1721" s="23"/>
      <c r="DJ1721" s="23"/>
      <c r="DK1721" s="23"/>
      <c r="DL1721" s="23"/>
      <c r="DM1721" s="23"/>
      <c r="DN1721" s="23"/>
      <c r="DO1721" s="23"/>
      <c r="DP1721" s="23"/>
      <c r="DQ1721" s="23"/>
      <c r="DR1721" s="23"/>
      <c r="DS1721" s="23"/>
      <c r="DT1721" s="25"/>
      <c r="DU1721" s="25"/>
      <c r="DV1721" s="25"/>
      <c r="DW1721" s="25"/>
      <c r="DX1721" s="25"/>
      <c r="DY1721" s="25"/>
      <c r="DZ1721" s="25"/>
      <c r="EA1721" s="25"/>
      <c r="EB1721" s="25"/>
      <c r="EC1721" s="25"/>
      <c r="ED1721" s="25"/>
      <c r="EE1721" s="25"/>
      <c r="EF1721" s="25"/>
      <c r="EG1721" s="25"/>
      <c r="EH1721" s="25"/>
      <c r="EI1721" s="25"/>
      <c r="EJ1721" s="25"/>
      <c r="EK1721" s="25"/>
      <c r="EL1721" s="25"/>
      <c r="EM1721" s="25"/>
      <c r="EN1721" s="25"/>
      <c r="EO1721" s="25"/>
      <c r="EP1721" s="25"/>
      <c r="EQ1721" s="25"/>
      <c r="ER1721" s="25"/>
      <c r="ES1721" s="25"/>
      <c r="ET1721" s="25"/>
      <c r="EU1721" s="25"/>
      <c r="EV1721" s="25"/>
      <c r="EW1721" s="25"/>
      <c r="EX1721" s="25"/>
      <c r="EY1721" s="25"/>
      <c r="EZ1721" s="25"/>
      <c r="FA1721" s="25"/>
      <c r="FB1721" s="25"/>
      <c r="FC1721" s="25"/>
      <c r="FD1721" s="25"/>
      <c r="FE1721" s="25"/>
      <c r="FF1721" s="25"/>
      <c r="FG1721" s="25"/>
      <c r="FH1721" s="25"/>
      <c r="FI1721" s="25"/>
      <c r="FJ1721" s="25"/>
      <c r="FK1721" s="25"/>
      <c r="FL1721" s="25"/>
      <c r="FM1721" s="25"/>
      <c r="FN1721" s="25"/>
      <c r="FO1721" s="25"/>
      <c r="FP1721" s="25"/>
      <c r="FQ1721" s="25"/>
      <c r="FR1721" s="25"/>
      <c r="FS1721" s="25"/>
      <c r="FT1721" s="25"/>
      <c r="FU1721" s="25"/>
      <c r="FV1721" s="25"/>
      <c r="FW1721" s="25"/>
      <c r="FX1721" s="25"/>
      <c r="FY1721" s="25"/>
      <c r="FZ1721" s="25"/>
      <c r="GA1721" s="25"/>
      <c r="GB1721" s="25"/>
      <c r="GC1721" s="25"/>
      <c r="GD1721" s="25"/>
      <c r="GE1721" s="25"/>
      <c r="GF1721" s="25"/>
      <c r="GG1721" s="25"/>
      <c r="GH1721" s="25"/>
      <c r="GI1721" s="25"/>
      <c r="GJ1721" s="25"/>
      <c r="GK1721" s="25"/>
      <c r="GL1721" s="25"/>
      <c r="GM1721" s="25"/>
      <c r="GN1721" s="25"/>
      <c r="GO1721" s="25"/>
      <c r="GP1721" s="25"/>
      <c r="GQ1721" s="25"/>
      <c r="GR1721" s="25"/>
      <c r="GS1721" s="25"/>
      <c r="GT1721" s="25"/>
      <c r="GU1721" s="25"/>
      <c r="GV1721" s="25"/>
      <c r="GW1721" s="25"/>
      <c r="GX1721" s="25"/>
      <c r="GY1721" s="25"/>
      <c r="GZ1721" s="25"/>
      <c r="HA1721" s="25"/>
      <c r="HB1721" s="25"/>
      <c r="HC1721" s="25"/>
      <c r="HD1721" s="25"/>
      <c r="HE1721" s="25"/>
      <c r="HF1721" s="25"/>
      <c r="HG1721" s="25"/>
      <c r="HH1721" s="25"/>
      <c r="HI1721" s="25"/>
      <c r="HJ1721" s="25"/>
      <c r="HK1721" s="25"/>
      <c r="HL1721" s="25"/>
      <c r="HM1721" s="25"/>
      <c r="HN1721" s="25"/>
      <c r="HO1721" s="25"/>
      <c r="HP1721" s="25"/>
      <c r="HQ1721" s="25"/>
      <c r="HR1721" s="25"/>
      <c r="HS1721" s="25"/>
      <c r="HT1721" s="25"/>
      <c r="HU1721" s="25"/>
      <c r="HV1721" s="25"/>
      <c r="HW1721" s="25"/>
      <c r="HX1721" s="25"/>
      <c r="HY1721" s="25"/>
      <c r="HZ1721" s="25"/>
      <c r="IA1721" s="25"/>
      <c r="IB1721" s="25"/>
      <c r="IC1721" s="25"/>
      <c r="ID1721" s="25"/>
      <c r="IE1721" s="25"/>
      <c r="IF1721" s="25"/>
      <c r="IG1721" s="25"/>
      <c r="IH1721" s="25"/>
      <c r="II1721" s="25"/>
      <c r="IJ1721" s="25"/>
      <c r="IK1721" s="25"/>
      <c r="IL1721" s="25"/>
      <c r="IM1721" s="25"/>
      <c r="IN1721" s="25"/>
      <c r="IO1721" s="25"/>
      <c r="IP1721" s="25"/>
      <c r="IQ1721" s="25"/>
      <c r="IR1721" s="25"/>
      <c r="IS1721" s="25"/>
      <c r="IT1721" s="25"/>
      <c r="IU1721" s="25"/>
      <c r="IV1721" s="25"/>
      <c r="IW1721" s="25"/>
      <c r="IX1721" s="25"/>
      <c r="IY1721" s="25"/>
      <c r="IZ1721" s="25"/>
      <c r="JA1721" s="25"/>
      <c r="JB1721" s="25"/>
      <c r="JC1721" s="25"/>
      <c r="JD1721" s="25"/>
      <c r="JE1721" s="25"/>
      <c r="JF1721" s="25"/>
      <c r="JG1721" s="25"/>
      <c r="JH1721" s="25"/>
      <c r="JI1721" s="25"/>
      <c r="JJ1721" s="25"/>
      <c r="JK1721" s="25"/>
      <c r="JL1721" s="25"/>
      <c r="JM1721" s="25"/>
      <c r="JN1721" s="25"/>
      <c r="JO1721" s="16"/>
      <c r="JP1721" s="16"/>
      <c r="JQ1721" s="16"/>
      <c r="JR1721" s="16"/>
      <c r="JS1721" s="16"/>
      <c r="JT1721" s="16"/>
      <c r="JU1721" s="16"/>
      <c r="JV1721" s="16"/>
      <c r="JW1721" s="16"/>
      <c r="JX1721" s="16"/>
      <c r="JY1721" s="16"/>
      <c r="JZ1721" s="16"/>
      <c r="KA1721" s="16"/>
      <c r="KB1721" s="16"/>
    </row>
    <row r="1722" spans="1:288" s="18" customFormat="1" x14ac:dyDescent="0.2">
      <c r="B1722" s="16">
        <v>2017</v>
      </c>
      <c r="C1722" s="66">
        <v>42888</v>
      </c>
      <c r="D1722" s="66" t="str">
        <f>CONCATENATE(J1722,"-",C1722)</f>
        <v>1038-42888</v>
      </c>
      <c r="E1722" s="20" t="str">
        <f>CONCATENATE(T1722,"-",U1722,"-",C1722)</f>
        <v>SP1-C8-42888</v>
      </c>
      <c r="F1722" s="20" t="s">
        <v>106</v>
      </c>
      <c r="G1722" s="20" t="s">
        <v>278</v>
      </c>
      <c r="H1722" s="16"/>
      <c r="I1722" s="16"/>
      <c r="J1722" s="21">
        <v>1038</v>
      </c>
      <c r="K1722" s="21"/>
      <c r="L1722" s="16"/>
      <c r="M1722" s="21"/>
      <c r="N1722" s="21"/>
      <c r="O1722" s="21"/>
      <c r="P1722" s="16"/>
      <c r="Q1722" s="16"/>
      <c r="R1722" s="16"/>
      <c r="S1722" s="16"/>
      <c r="T1722" s="16" t="s">
        <v>140</v>
      </c>
      <c r="U1722" s="16" t="s">
        <v>188</v>
      </c>
      <c r="V1722" s="16"/>
      <c r="W1722" s="16"/>
      <c r="X1722" s="16"/>
      <c r="Y1722" s="16"/>
      <c r="Z1722" s="16"/>
      <c r="AA1722" s="16"/>
      <c r="AB1722" s="16"/>
      <c r="AC1722" s="16"/>
      <c r="AD1722" s="16"/>
      <c r="AE1722" s="16"/>
      <c r="AF1722" s="16"/>
      <c r="AG1722" s="16"/>
      <c r="AH1722" s="16"/>
      <c r="AI1722" s="16"/>
      <c r="AJ1722" s="16"/>
      <c r="AK1722" s="16"/>
      <c r="AL1722" s="16"/>
      <c r="AM1722" s="16"/>
      <c r="AN1722" s="16"/>
      <c r="AO1722" s="16"/>
      <c r="AP1722" s="16">
        <f>SUM(AL1722:AN1722)</f>
        <v>0</v>
      </c>
      <c r="AQ1722" s="16"/>
      <c r="AR1722" s="16"/>
      <c r="AS1722" s="16"/>
      <c r="AT1722" s="16" t="s">
        <v>285</v>
      </c>
      <c r="AU1722" s="16"/>
      <c r="AV1722" s="16"/>
      <c r="AW1722" s="16"/>
      <c r="AX1722" s="16"/>
      <c r="AZ1722" s="16"/>
      <c r="BA1722" s="16"/>
      <c r="BB1722" s="16"/>
      <c r="BC1722" s="16"/>
      <c r="BD1722" s="16"/>
      <c r="BE1722" s="16"/>
      <c r="BF1722" s="16"/>
      <c r="BG1722" s="77"/>
      <c r="BH1722" s="16"/>
      <c r="BI1722" s="16"/>
      <c r="BJ1722" s="16"/>
      <c r="BK1722" s="16"/>
      <c r="BL1722" s="16"/>
      <c r="BM1722" s="16"/>
      <c r="BN1722" s="16"/>
      <c r="BO1722" s="16"/>
      <c r="BP1722" s="16"/>
      <c r="BQ1722" s="16"/>
      <c r="BR1722" s="16"/>
      <c r="BS1722" s="16"/>
      <c r="BT1722" s="77"/>
      <c r="BU1722" s="16"/>
      <c r="BV1722" s="16"/>
      <c r="BW1722" s="16"/>
      <c r="BX1722" s="16"/>
      <c r="BY1722" s="16"/>
      <c r="BZ1722" s="16"/>
      <c r="CA1722" s="16"/>
      <c r="CB1722" s="16"/>
      <c r="CC1722" s="16"/>
      <c r="CD1722" s="77"/>
      <c r="CE1722" s="16"/>
      <c r="CF1722" s="16"/>
      <c r="CG1722" s="16"/>
      <c r="CH1722" s="16"/>
      <c r="CI1722" s="16"/>
      <c r="CJ1722" s="16"/>
      <c r="CK1722" s="16"/>
      <c r="CL1722" s="16"/>
      <c r="CM1722" s="16"/>
      <c r="CN1722" s="16"/>
      <c r="CO1722" s="16"/>
      <c r="CP1722" s="16"/>
      <c r="CQ1722" s="16"/>
      <c r="CR1722" s="16"/>
      <c r="CS1722" s="16"/>
      <c r="CT1722" s="16"/>
      <c r="CU1722" s="16"/>
      <c r="CV1722" s="16"/>
      <c r="CW1722" s="16"/>
      <c r="CX1722" s="16"/>
      <c r="CY1722" s="16"/>
      <c r="CZ1722" s="16"/>
      <c r="DA1722" s="16"/>
      <c r="DB1722" s="16"/>
      <c r="DC1722" s="16"/>
      <c r="DD1722" s="16"/>
      <c r="DE1722" s="16"/>
      <c r="DF1722" s="16" t="e">
        <f>VLOOKUP(K1722,'[3]RNA Seq summary tables'!$V$3:$V$99,1,FALSE)</f>
        <v>#N/A</v>
      </c>
      <c r="DG1722" s="16"/>
      <c r="DH1722" s="16"/>
      <c r="DI1722" s="16"/>
      <c r="DJ1722" s="16"/>
      <c r="DK1722" s="16"/>
      <c r="DL1722" s="16"/>
      <c r="DM1722" s="16"/>
      <c r="DN1722" s="16"/>
      <c r="DO1722" s="16"/>
      <c r="DP1722" s="16"/>
      <c r="DQ1722" s="16"/>
      <c r="DR1722" s="16"/>
      <c r="DS1722" s="16"/>
      <c r="JO1722" s="27"/>
      <c r="JP1722" s="27"/>
      <c r="JQ1722" s="27"/>
      <c r="JR1722" s="16"/>
      <c r="JS1722" s="16"/>
      <c r="JT1722" s="16"/>
      <c r="JU1722" s="16"/>
      <c r="JV1722" s="16"/>
      <c r="JW1722" s="16"/>
      <c r="JX1722" s="16"/>
      <c r="JY1722" s="16"/>
      <c r="JZ1722" s="16"/>
      <c r="KA1722" s="16"/>
      <c r="KB1722" s="16"/>
    </row>
    <row r="1723" spans="1:288" s="18" customFormat="1" x14ac:dyDescent="0.2">
      <c r="B1723" s="16">
        <v>2017</v>
      </c>
      <c r="C1723" s="66">
        <v>42889</v>
      </c>
      <c r="D1723" s="66" t="str">
        <f>CONCATENATE(J1723,"-",C1723)</f>
        <v>1038-42889</v>
      </c>
      <c r="E1723" s="20" t="str">
        <f>CONCATENATE(T1723,"-",U1723,"-",C1723)</f>
        <v>SP1-E8-42889</v>
      </c>
      <c r="F1723" s="20" t="s">
        <v>106</v>
      </c>
      <c r="G1723" s="20" t="s">
        <v>278</v>
      </c>
      <c r="H1723" s="16"/>
      <c r="I1723" s="16"/>
      <c r="J1723" s="21">
        <v>1038</v>
      </c>
      <c r="K1723" s="21"/>
      <c r="L1723" s="16"/>
      <c r="M1723" s="21"/>
      <c r="N1723" s="21"/>
      <c r="O1723" s="21"/>
      <c r="P1723" s="16"/>
      <c r="Q1723" s="16"/>
      <c r="R1723" s="16"/>
      <c r="S1723" s="16"/>
      <c r="T1723" s="16" t="s">
        <v>140</v>
      </c>
      <c r="U1723" s="16" t="s">
        <v>181</v>
      </c>
      <c r="V1723" s="16"/>
      <c r="W1723" s="16"/>
      <c r="X1723" s="16"/>
      <c r="Y1723" s="16"/>
      <c r="Z1723" s="16"/>
      <c r="AA1723" s="16"/>
      <c r="AB1723" s="16"/>
      <c r="AC1723" s="16"/>
      <c r="AD1723" s="16"/>
      <c r="AE1723" s="16"/>
      <c r="AF1723" s="16"/>
      <c r="AG1723" s="16"/>
      <c r="AH1723" s="16"/>
      <c r="AI1723" s="16"/>
      <c r="AJ1723" s="16"/>
      <c r="AK1723" s="16"/>
      <c r="AL1723" s="16"/>
      <c r="AM1723" s="16"/>
      <c r="AN1723" s="16"/>
      <c r="AO1723" s="16"/>
      <c r="AP1723" s="16">
        <f>SUM(AL1723:AN1723)</f>
        <v>0</v>
      </c>
      <c r="AQ1723" s="16"/>
      <c r="AR1723" s="16"/>
      <c r="AS1723" s="16"/>
      <c r="AT1723" s="16" t="s">
        <v>285</v>
      </c>
      <c r="AU1723" s="16"/>
      <c r="AV1723" s="16"/>
      <c r="AW1723" s="16"/>
      <c r="AX1723" s="16"/>
      <c r="AZ1723" s="16"/>
      <c r="BA1723" s="16"/>
      <c r="BB1723" s="16"/>
      <c r="BC1723" s="16"/>
      <c r="BD1723" s="16"/>
      <c r="BE1723" s="16"/>
      <c r="BF1723" s="16"/>
      <c r="BG1723" s="77"/>
      <c r="BH1723" s="16"/>
      <c r="BI1723" s="16"/>
      <c r="BJ1723" s="16"/>
      <c r="BK1723" s="16"/>
      <c r="BL1723" s="16"/>
      <c r="BM1723" s="16"/>
      <c r="BN1723" s="16"/>
      <c r="BO1723" s="16"/>
      <c r="BP1723" s="16"/>
      <c r="BQ1723" s="16"/>
      <c r="BR1723" s="16"/>
      <c r="BS1723" s="16"/>
      <c r="BT1723" s="77"/>
      <c r="BU1723" s="16"/>
      <c r="BV1723" s="16"/>
      <c r="BW1723" s="16"/>
      <c r="BX1723" s="16"/>
      <c r="BY1723" s="16"/>
      <c r="BZ1723" s="16"/>
      <c r="CA1723" s="16"/>
      <c r="CB1723" s="16"/>
      <c r="CC1723" s="16"/>
      <c r="CD1723" s="77"/>
      <c r="CE1723" s="16"/>
      <c r="CF1723" s="16"/>
      <c r="CG1723" s="16"/>
      <c r="CH1723" s="16"/>
      <c r="CI1723" s="16"/>
      <c r="CJ1723" s="16"/>
      <c r="CK1723" s="16"/>
      <c r="CL1723" s="16"/>
      <c r="CM1723" s="16"/>
      <c r="CN1723" s="16"/>
      <c r="CO1723" s="16"/>
      <c r="CP1723" s="16"/>
      <c r="CQ1723" s="16"/>
      <c r="CR1723" s="16"/>
      <c r="CS1723" s="16"/>
      <c r="CT1723" s="16"/>
      <c r="CU1723" s="16"/>
      <c r="CV1723" s="16"/>
      <c r="CW1723" s="16"/>
      <c r="CX1723" s="16"/>
      <c r="CY1723" s="16"/>
      <c r="CZ1723" s="16"/>
      <c r="DA1723" s="16"/>
      <c r="DB1723" s="16"/>
      <c r="DC1723" s="16"/>
      <c r="DD1723" s="16"/>
      <c r="DE1723" s="16"/>
      <c r="DF1723" s="16" t="e">
        <f>VLOOKUP(K1723,'[3]RNA Seq summary tables'!$V$3:$V$99,1,FALSE)</f>
        <v>#N/A</v>
      </c>
      <c r="DG1723" s="16"/>
      <c r="DH1723" s="16"/>
      <c r="DI1723" s="16"/>
      <c r="DJ1723" s="16"/>
      <c r="DK1723" s="16"/>
      <c r="DL1723" s="16"/>
      <c r="DM1723" s="16"/>
      <c r="DN1723" s="16"/>
      <c r="DO1723" s="16"/>
      <c r="DP1723" s="16"/>
      <c r="DQ1723" s="16"/>
      <c r="DR1723" s="16"/>
      <c r="DS1723" s="16"/>
      <c r="JO1723" s="16"/>
      <c r="JP1723" s="16"/>
      <c r="JQ1723" s="16"/>
      <c r="JR1723" s="16"/>
      <c r="JS1723" s="16"/>
      <c r="JT1723" s="16"/>
      <c r="JU1723" s="16"/>
      <c r="JV1723" s="16"/>
      <c r="JW1723" s="16"/>
      <c r="JX1723" s="16"/>
      <c r="JY1723" s="16"/>
      <c r="JZ1723" s="16"/>
      <c r="KA1723" s="16"/>
      <c r="KB1723" s="16"/>
    </row>
    <row r="1724" spans="1:288" s="18" customFormat="1" x14ac:dyDescent="0.2">
      <c r="B1724" s="16">
        <v>2017</v>
      </c>
      <c r="C1724" s="20">
        <v>42889</v>
      </c>
      <c r="D1724" s="20" t="str">
        <f>CONCATENATE(J1724,"-",C1724)</f>
        <v>1039-42889</v>
      </c>
      <c r="E1724" s="20" t="str">
        <f>CONCATENATE(T1724,"-",U1724,"-",C1724)</f>
        <v>SP1-B2-42889</v>
      </c>
      <c r="F1724" s="20" t="s">
        <v>106</v>
      </c>
      <c r="G1724" s="20" t="s">
        <v>278</v>
      </c>
      <c r="H1724" s="16"/>
      <c r="I1724" s="16"/>
      <c r="J1724" s="21">
        <v>1039</v>
      </c>
      <c r="K1724" s="21"/>
      <c r="L1724" s="16"/>
      <c r="M1724" s="21"/>
      <c r="N1724" s="21"/>
      <c r="O1724" s="21"/>
      <c r="P1724" s="16"/>
      <c r="Q1724" s="16"/>
      <c r="R1724" s="16"/>
      <c r="S1724" s="16"/>
      <c r="T1724" s="16" t="s">
        <v>140</v>
      </c>
      <c r="U1724" s="16" t="s">
        <v>130</v>
      </c>
      <c r="V1724" s="16"/>
      <c r="W1724" s="16"/>
      <c r="X1724" s="16"/>
      <c r="Y1724" s="16"/>
      <c r="Z1724" s="16"/>
      <c r="AA1724" s="16"/>
      <c r="AB1724" s="16"/>
      <c r="AC1724" s="16"/>
      <c r="AD1724" s="16"/>
      <c r="AE1724" s="16"/>
      <c r="AF1724" s="16"/>
      <c r="AG1724" s="16"/>
      <c r="AH1724" s="16"/>
      <c r="AI1724" s="16"/>
      <c r="AJ1724" s="16"/>
      <c r="AK1724" s="16"/>
      <c r="AL1724" s="16"/>
      <c r="AM1724" s="16"/>
      <c r="AN1724" s="16"/>
      <c r="AO1724" s="16"/>
      <c r="AP1724" s="16">
        <f>SUM(AL1724:AN1724)</f>
        <v>0</v>
      </c>
      <c r="AQ1724" s="16"/>
      <c r="AR1724" s="16"/>
      <c r="AS1724" s="16"/>
      <c r="AT1724" s="16" t="s">
        <v>285</v>
      </c>
      <c r="AU1724" s="16"/>
      <c r="AV1724" s="16"/>
      <c r="AW1724" s="16"/>
      <c r="AX1724" s="16"/>
      <c r="AZ1724" s="16"/>
      <c r="BA1724" s="16"/>
      <c r="BB1724" s="16"/>
      <c r="BC1724" s="16"/>
      <c r="BD1724" s="16"/>
      <c r="BE1724" s="16"/>
      <c r="BF1724" s="16"/>
      <c r="BG1724" s="77"/>
      <c r="BH1724" s="16"/>
      <c r="BI1724" s="16"/>
      <c r="BJ1724" s="16"/>
      <c r="BK1724" s="16"/>
      <c r="BL1724" s="16"/>
      <c r="BM1724" s="16"/>
      <c r="BN1724" s="16"/>
      <c r="BO1724" s="16"/>
      <c r="BP1724" s="16"/>
      <c r="BQ1724" s="16"/>
      <c r="BR1724" s="16"/>
      <c r="BS1724" s="16"/>
      <c r="BT1724" s="77"/>
      <c r="BU1724" s="16"/>
      <c r="BV1724" s="16"/>
      <c r="BW1724" s="16"/>
      <c r="BX1724" s="16"/>
      <c r="BY1724" s="16"/>
      <c r="BZ1724" s="16"/>
      <c r="CA1724" s="16"/>
      <c r="CB1724" s="16"/>
      <c r="CC1724" s="16"/>
      <c r="CD1724" s="77"/>
      <c r="CE1724" s="16"/>
      <c r="CF1724" s="16"/>
      <c r="CG1724" s="16"/>
      <c r="CH1724" s="16"/>
      <c r="CI1724" s="16"/>
      <c r="CJ1724" s="16"/>
      <c r="CK1724" s="16"/>
      <c r="CL1724" s="16"/>
      <c r="CM1724" s="16"/>
      <c r="CN1724" s="16"/>
      <c r="CO1724" s="16"/>
      <c r="CP1724" s="16"/>
      <c r="CQ1724" s="16"/>
      <c r="CR1724" s="16"/>
      <c r="CS1724" s="16"/>
      <c r="CT1724" s="16"/>
      <c r="CU1724" s="16"/>
      <c r="CV1724" s="16"/>
      <c r="CW1724" s="16"/>
      <c r="CX1724" s="16"/>
      <c r="CY1724" s="16"/>
      <c r="CZ1724" s="16"/>
      <c r="DA1724" s="16"/>
      <c r="DB1724" s="16"/>
      <c r="DC1724" s="16"/>
      <c r="DD1724" s="16"/>
      <c r="DE1724" s="16"/>
      <c r="DF1724" s="16" t="e">
        <f>VLOOKUP(K1724,'[3]RNA Seq summary tables'!$V$3:$V$99,1,FALSE)</f>
        <v>#N/A</v>
      </c>
      <c r="DG1724" s="16"/>
      <c r="DH1724" s="16"/>
      <c r="DI1724" s="16"/>
      <c r="DJ1724" s="16"/>
      <c r="DK1724" s="16"/>
      <c r="DL1724" s="16"/>
      <c r="DM1724" s="16"/>
      <c r="DN1724" s="16"/>
      <c r="DO1724" s="16"/>
      <c r="DP1724" s="16"/>
      <c r="DQ1724" s="16"/>
      <c r="DR1724" s="16"/>
      <c r="DS1724" s="16"/>
      <c r="JO1724" s="16"/>
      <c r="JP1724" s="16"/>
      <c r="JQ1724" s="16"/>
      <c r="JR1724" s="16"/>
      <c r="JS1724" s="16"/>
      <c r="JT1724" s="16"/>
      <c r="JU1724" s="16"/>
      <c r="JV1724" s="16"/>
      <c r="JW1724" s="16"/>
      <c r="JX1724" s="16"/>
      <c r="JY1724" s="16"/>
      <c r="JZ1724" s="16"/>
      <c r="KA1724" s="16"/>
      <c r="KB1724" s="16"/>
    </row>
    <row r="1725" spans="1:288" s="18" customFormat="1" x14ac:dyDescent="0.2">
      <c r="A1725" s="26"/>
      <c r="B1725" s="26">
        <v>2017</v>
      </c>
      <c r="C1725" s="44">
        <v>42888</v>
      </c>
      <c r="D1725" s="44" t="str">
        <f>CONCATENATE(J1725,"-",C1725)</f>
        <v>1040-42888</v>
      </c>
      <c r="E1725" s="20" t="str">
        <f>CONCATENATE(T1725,"-",U1725,"-",C1725)</f>
        <v>SP1-F1-42888</v>
      </c>
      <c r="F1725" s="20" t="s">
        <v>106</v>
      </c>
      <c r="G1725" s="44" t="s">
        <v>278</v>
      </c>
      <c r="H1725" s="26"/>
      <c r="I1725" s="26"/>
      <c r="J1725" s="45">
        <v>1040</v>
      </c>
      <c r="K1725" s="45"/>
      <c r="L1725" s="26"/>
      <c r="M1725" s="45"/>
      <c r="N1725" s="45"/>
      <c r="O1725" s="45"/>
      <c r="P1725" s="26"/>
      <c r="Q1725" s="26"/>
      <c r="R1725" s="26"/>
      <c r="S1725" s="26"/>
      <c r="T1725" s="26" t="s">
        <v>140</v>
      </c>
      <c r="U1725" s="26" t="s">
        <v>217</v>
      </c>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f>SUM(AL1725:AN1725)</f>
        <v>0</v>
      </c>
      <c r="AQ1725" s="26">
        <v>1.7470000000000001</v>
      </c>
      <c r="AR1725" s="26">
        <f>AP1725-1.472</f>
        <v>-1.472</v>
      </c>
      <c r="AS1725" s="26">
        <f>AQ1725-1.472</f>
        <v>0.27500000000000013</v>
      </c>
      <c r="AT1725" s="26" t="s">
        <v>284</v>
      </c>
      <c r="AU1725" s="26"/>
      <c r="AV1725" s="26"/>
      <c r="AW1725" s="26"/>
      <c r="AX1725" s="26"/>
      <c r="AY1725" s="26"/>
      <c r="AZ1725" s="26"/>
      <c r="BA1725" s="26"/>
      <c r="BB1725" s="26"/>
      <c r="BC1725" s="26"/>
      <c r="BD1725" s="26"/>
      <c r="BE1725" s="26"/>
      <c r="BF1725" s="26"/>
      <c r="BG1725" s="82"/>
      <c r="BH1725" s="26"/>
      <c r="BI1725" s="26"/>
      <c r="BJ1725" s="26"/>
      <c r="BK1725" s="26"/>
      <c r="BL1725" s="26"/>
      <c r="BM1725" s="26"/>
      <c r="BN1725" s="26"/>
      <c r="BO1725" s="26"/>
      <c r="BP1725" s="26"/>
      <c r="BQ1725" s="26"/>
      <c r="BR1725" s="26"/>
      <c r="BS1725" s="26"/>
      <c r="BT1725" s="82"/>
      <c r="BU1725" s="26"/>
      <c r="BV1725" s="26"/>
      <c r="BW1725" s="26"/>
      <c r="BX1725" s="26"/>
      <c r="BY1725" s="26"/>
      <c r="BZ1725" s="26"/>
      <c r="CA1725" s="26"/>
      <c r="CB1725" s="26"/>
      <c r="CC1725" s="26"/>
      <c r="CD1725" s="82"/>
      <c r="CE1725" s="26"/>
      <c r="CF1725" s="26"/>
      <c r="CG1725" s="26"/>
      <c r="CH1725" s="26"/>
      <c r="CI1725" s="26"/>
      <c r="CJ1725" s="26"/>
      <c r="CK1725" s="26"/>
      <c r="CL1725" s="26"/>
      <c r="CM1725" s="26"/>
      <c r="CN1725" s="26"/>
      <c r="CO1725" s="26"/>
      <c r="CP1725" s="26"/>
      <c r="CQ1725" s="26"/>
      <c r="CR1725" s="26"/>
      <c r="CS1725" s="26"/>
      <c r="CT1725" s="26"/>
      <c r="CU1725" s="26"/>
      <c r="CV1725" s="26"/>
      <c r="CW1725" s="26"/>
      <c r="CX1725" s="26"/>
      <c r="CY1725" s="26"/>
      <c r="CZ1725" s="26"/>
      <c r="DA1725" s="26"/>
      <c r="DB1725" s="26"/>
      <c r="DC1725" s="26"/>
      <c r="DD1725" s="26"/>
      <c r="DE1725" s="26"/>
      <c r="DF1725" s="16" t="e">
        <f>VLOOKUP(K1725,'[3]RNA Seq summary tables'!$V$3:$V$99,1,FALSE)</f>
        <v>#N/A</v>
      </c>
      <c r="DG1725" s="26"/>
      <c r="DH1725" s="26"/>
      <c r="DI1725" s="26"/>
      <c r="DJ1725" s="26"/>
      <c r="DK1725" s="26"/>
      <c r="DL1725" s="26"/>
      <c r="DM1725" s="26"/>
      <c r="DN1725" s="26"/>
      <c r="DO1725" s="26"/>
      <c r="DP1725" s="26"/>
      <c r="DQ1725" s="26"/>
      <c r="DR1725" s="26"/>
      <c r="DS1725" s="26"/>
      <c r="JO1725" s="27"/>
      <c r="JP1725" s="16"/>
      <c r="JQ1725" s="16"/>
      <c r="JR1725" s="16"/>
      <c r="JS1725" s="16"/>
      <c r="JT1725" s="16"/>
      <c r="JU1725" s="16"/>
      <c r="JV1725" s="16"/>
      <c r="JW1725" s="16"/>
      <c r="JX1725" s="16"/>
      <c r="JY1725" s="16"/>
      <c r="JZ1725" s="16"/>
      <c r="KA1725" s="16"/>
      <c r="KB1725" s="16"/>
    </row>
    <row r="1726" spans="1:288" s="18" customFormat="1" x14ac:dyDescent="0.2">
      <c r="B1726" s="16">
        <v>2017</v>
      </c>
      <c r="C1726" s="66">
        <v>42889</v>
      </c>
      <c r="D1726" s="66" t="str">
        <f>CONCATENATE(J1726,"-",C1726)</f>
        <v>1040-42889</v>
      </c>
      <c r="E1726" s="20" t="str">
        <f>CONCATENATE(T1726,"-",U1726,"-",C1726)</f>
        <v>SP1-F1-42889</v>
      </c>
      <c r="F1726" s="20" t="s">
        <v>106</v>
      </c>
      <c r="G1726" s="20" t="s">
        <v>278</v>
      </c>
      <c r="H1726" s="16"/>
      <c r="I1726" s="16"/>
      <c r="J1726" s="21">
        <v>1040</v>
      </c>
      <c r="K1726" s="21"/>
      <c r="L1726" s="16"/>
      <c r="M1726" s="21"/>
      <c r="N1726" s="21"/>
      <c r="O1726" s="21"/>
      <c r="P1726" s="16"/>
      <c r="Q1726" s="16"/>
      <c r="R1726" s="16"/>
      <c r="S1726" s="16"/>
      <c r="T1726" s="16" t="s">
        <v>140</v>
      </c>
      <c r="U1726" s="16" t="s">
        <v>217</v>
      </c>
      <c r="V1726" s="16"/>
      <c r="W1726" s="16"/>
      <c r="X1726" s="16"/>
      <c r="Y1726" s="16"/>
      <c r="Z1726" s="16"/>
      <c r="AA1726" s="16"/>
      <c r="AB1726" s="16"/>
      <c r="AC1726" s="16"/>
      <c r="AD1726" s="16"/>
      <c r="AE1726" s="16"/>
      <c r="AF1726" s="16"/>
      <c r="AG1726" s="16"/>
      <c r="AH1726" s="16"/>
      <c r="AI1726" s="16"/>
      <c r="AJ1726" s="16"/>
      <c r="AK1726" s="16"/>
      <c r="AL1726" s="16"/>
      <c r="AM1726" s="16"/>
      <c r="AN1726" s="16"/>
      <c r="AO1726" s="16"/>
      <c r="AP1726" s="16">
        <f>SUM(AL1726:AN1726)</f>
        <v>0</v>
      </c>
      <c r="AQ1726" s="16"/>
      <c r="AR1726" s="16"/>
      <c r="AS1726" s="16"/>
      <c r="AT1726" s="16" t="s">
        <v>285</v>
      </c>
      <c r="AU1726" s="16"/>
      <c r="AV1726" s="16"/>
      <c r="AW1726" s="16"/>
      <c r="AX1726" s="16"/>
      <c r="AZ1726" s="16"/>
      <c r="BA1726" s="16"/>
      <c r="BB1726" s="16"/>
      <c r="BC1726" s="16"/>
      <c r="BD1726" s="16"/>
      <c r="BE1726" s="16"/>
      <c r="BF1726" s="16"/>
      <c r="BG1726" s="77"/>
      <c r="BH1726" s="16"/>
      <c r="BI1726" s="16"/>
      <c r="BJ1726" s="16"/>
      <c r="BK1726" s="16"/>
      <c r="BL1726" s="16"/>
      <c r="BM1726" s="16"/>
      <c r="BN1726" s="16"/>
      <c r="BO1726" s="16"/>
      <c r="BP1726" s="16"/>
      <c r="BQ1726" s="16"/>
      <c r="BR1726" s="16"/>
      <c r="BS1726" s="16"/>
      <c r="BT1726" s="77"/>
      <c r="BU1726" s="16"/>
      <c r="BV1726" s="16"/>
      <c r="BW1726" s="16"/>
      <c r="BX1726" s="16"/>
      <c r="BY1726" s="16"/>
      <c r="BZ1726" s="16"/>
      <c r="CA1726" s="16"/>
      <c r="CB1726" s="16"/>
      <c r="CC1726" s="16"/>
      <c r="CD1726" s="77"/>
      <c r="CE1726" s="16"/>
      <c r="CF1726" s="16"/>
      <c r="CG1726" s="16"/>
      <c r="CH1726" s="16"/>
      <c r="CI1726" s="16"/>
      <c r="CJ1726" s="16"/>
      <c r="CK1726" s="16"/>
      <c r="CL1726" s="16"/>
      <c r="CM1726" s="16"/>
      <c r="CN1726" s="16"/>
      <c r="CO1726" s="16"/>
      <c r="CP1726" s="16"/>
      <c r="CQ1726" s="16"/>
      <c r="CR1726" s="16"/>
      <c r="CS1726" s="16"/>
      <c r="CT1726" s="16"/>
      <c r="CU1726" s="16"/>
      <c r="CV1726" s="16"/>
      <c r="CW1726" s="16"/>
      <c r="CX1726" s="16"/>
      <c r="CY1726" s="16"/>
      <c r="CZ1726" s="16"/>
      <c r="DA1726" s="16"/>
      <c r="DB1726" s="16"/>
      <c r="DC1726" s="16"/>
      <c r="DD1726" s="16"/>
      <c r="DE1726" s="16"/>
      <c r="DF1726" s="16" t="e">
        <f>VLOOKUP(K1726,'[3]RNA Seq summary tables'!$V$3:$V$99,1,FALSE)</f>
        <v>#N/A</v>
      </c>
      <c r="DG1726" s="16"/>
      <c r="DH1726" s="16"/>
      <c r="DI1726" s="16"/>
      <c r="DJ1726" s="16"/>
      <c r="DK1726" s="16"/>
      <c r="DL1726" s="16"/>
      <c r="DM1726" s="16"/>
      <c r="DN1726" s="16"/>
      <c r="DO1726" s="16"/>
      <c r="DP1726" s="16"/>
      <c r="DQ1726" s="16"/>
      <c r="DR1726" s="16"/>
      <c r="DS1726" s="16"/>
      <c r="JO1726" s="16"/>
      <c r="JP1726" s="16"/>
      <c r="JQ1726" s="16"/>
      <c r="JR1726" s="16"/>
      <c r="JS1726" s="16"/>
      <c r="JT1726" s="16"/>
      <c r="JU1726" s="16"/>
      <c r="JV1726" s="16"/>
      <c r="JW1726" s="16"/>
      <c r="JX1726" s="16"/>
      <c r="JY1726" s="16"/>
      <c r="JZ1726" s="16"/>
      <c r="KA1726" s="16"/>
      <c r="KB1726" s="16"/>
    </row>
    <row r="1727" spans="1:288" s="18" customFormat="1" x14ac:dyDescent="0.2">
      <c r="B1727" s="16">
        <v>2017</v>
      </c>
      <c r="C1727" s="20">
        <v>42906</v>
      </c>
      <c r="D1727" s="20" t="str">
        <f>CONCATENATE(J1727,"-",C1727)</f>
        <v>1040-42906</v>
      </c>
      <c r="E1727" s="20" t="str">
        <f>CONCATENATE(T1727,"-",U1727,"-",C1727)</f>
        <v>SP1-H4-42906</v>
      </c>
      <c r="F1727" s="20" t="s">
        <v>106</v>
      </c>
      <c r="G1727" s="20" t="s">
        <v>278</v>
      </c>
      <c r="H1727" s="16"/>
      <c r="I1727" s="16"/>
      <c r="J1727" s="21">
        <v>1040</v>
      </c>
      <c r="K1727" s="21"/>
      <c r="L1727" s="16"/>
      <c r="M1727" s="21"/>
      <c r="N1727" s="21"/>
      <c r="O1727" s="21"/>
      <c r="P1727" s="16"/>
      <c r="Q1727" s="16"/>
      <c r="R1727" s="16"/>
      <c r="S1727" s="16"/>
      <c r="T1727" s="16" t="s">
        <v>140</v>
      </c>
      <c r="U1727" s="16" t="s">
        <v>151</v>
      </c>
      <c r="V1727" s="16"/>
      <c r="W1727" s="16"/>
      <c r="X1727" s="16"/>
      <c r="Y1727" s="16"/>
      <c r="Z1727" s="16"/>
      <c r="AA1727" s="16"/>
      <c r="AB1727" s="16"/>
      <c r="AC1727" s="16"/>
      <c r="AD1727" s="16"/>
      <c r="AE1727" s="16"/>
      <c r="AF1727" s="16"/>
      <c r="AG1727" s="16"/>
      <c r="AH1727" s="16"/>
      <c r="AI1727" s="16"/>
      <c r="AJ1727" s="16"/>
      <c r="AK1727" s="16"/>
      <c r="AL1727" s="16"/>
      <c r="AM1727" s="16"/>
      <c r="AN1727" s="16"/>
      <c r="AO1727" s="16"/>
      <c r="AP1727" s="16">
        <f>SUM(AL1727:AN1727)</f>
        <v>0</v>
      </c>
      <c r="AQ1727" s="16"/>
      <c r="AR1727" s="16"/>
      <c r="AS1727" s="16"/>
      <c r="AT1727" s="16" t="s">
        <v>285</v>
      </c>
      <c r="AU1727" s="16"/>
      <c r="AV1727" s="16"/>
      <c r="AW1727" s="16"/>
      <c r="AX1727" s="16"/>
      <c r="AZ1727" s="16"/>
      <c r="BA1727" s="16"/>
      <c r="BB1727" s="16"/>
      <c r="BC1727" s="16"/>
      <c r="BD1727" s="16"/>
      <c r="BE1727" s="16"/>
      <c r="BF1727" s="16"/>
      <c r="BG1727" s="77"/>
      <c r="BH1727" s="16"/>
      <c r="BI1727" s="16"/>
      <c r="BJ1727" s="16"/>
      <c r="BK1727" s="16"/>
      <c r="BL1727" s="16"/>
      <c r="BM1727" s="16"/>
      <c r="BN1727" s="16"/>
      <c r="BO1727" s="16"/>
      <c r="BP1727" s="16"/>
      <c r="BQ1727" s="16"/>
      <c r="BR1727" s="16"/>
      <c r="BS1727" s="16"/>
      <c r="BT1727" s="77"/>
      <c r="BU1727" s="16"/>
      <c r="BV1727" s="16"/>
      <c r="BW1727" s="16"/>
      <c r="BX1727" s="16"/>
      <c r="BY1727" s="16"/>
      <c r="BZ1727" s="16"/>
      <c r="CA1727" s="16"/>
      <c r="CB1727" s="16"/>
      <c r="CC1727" s="16"/>
      <c r="CD1727" s="77"/>
      <c r="CE1727" s="16"/>
      <c r="CF1727" s="16"/>
      <c r="CG1727" s="16"/>
      <c r="CH1727" s="16"/>
      <c r="CI1727" s="16"/>
      <c r="CJ1727" s="16"/>
      <c r="CK1727" s="16"/>
      <c r="CL1727" s="16"/>
      <c r="CM1727" s="16"/>
      <c r="CN1727" s="16"/>
      <c r="CO1727" s="16"/>
      <c r="CP1727" s="16"/>
      <c r="CQ1727" s="16"/>
      <c r="CR1727" s="16"/>
      <c r="CS1727" s="16"/>
      <c r="CT1727" s="16"/>
      <c r="CU1727" s="16"/>
      <c r="CV1727" s="16"/>
      <c r="CW1727" s="16"/>
      <c r="CX1727" s="16"/>
      <c r="CY1727" s="16"/>
      <c r="CZ1727" s="16"/>
      <c r="DA1727" s="16"/>
      <c r="DB1727" s="16"/>
      <c r="DC1727" s="16"/>
      <c r="DD1727" s="16"/>
      <c r="DE1727" s="16"/>
      <c r="DF1727" s="16" t="e">
        <f>VLOOKUP(K1727,'[3]RNA Seq summary tables'!$V$3:$V$99,1,FALSE)</f>
        <v>#N/A</v>
      </c>
      <c r="DG1727" s="16"/>
      <c r="DH1727" s="16"/>
      <c r="DI1727" s="16"/>
      <c r="DJ1727" s="16"/>
      <c r="DK1727" s="16"/>
      <c r="DL1727" s="16"/>
      <c r="DM1727" s="16"/>
      <c r="DN1727" s="16"/>
      <c r="DO1727" s="16"/>
      <c r="DP1727" s="16"/>
      <c r="DQ1727" s="16"/>
      <c r="DR1727" s="16"/>
      <c r="DS1727" s="16"/>
      <c r="JO1727" s="16"/>
      <c r="JP1727" s="16"/>
      <c r="JQ1727" s="16"/>
      <c r="JR1727" s="16"/>
      <c r="JS1727" s="16"/>
      <c r="JT1727" s="16"/>
      <c r="JU1727" s="16"/>
      <c r="JV1727" s="16"/>
      <c r="JW1727" s="16"/>
      <c r="JX1727" s="16"/>
      <c r="JY1727" s="16"/>
      <c r="JZ1727" s="16"/>
      <c r="KA1727" s="16"/>
      <c r="KB1727" s="16"/>
    </row>
    <row r="1728" spans="1:288" s="27" customFormat="1" x14ac:dyDescent="0.2">
      <c r="A1728" s="18"/>
      <c r="B1728" s="16">
        <v>2017</v>
      </c>
      <c r="C1728" s="20">
        <v>42907</v>
      </c>
      <c r="D1728" s="20" t="str">
        <f>CONCATENATE(J1728,"-",C1728)</f>
        <v>1040-42907</v>
      </c>
      <c r="E1728" s="20" t="str">
        <f>CONCATENATE(T1728,"-",U1728,"-",C1728)</f>
        <v>SP1-G3-42907</v>
      </c>
      <c r="F1728" s="20" t="s">
        <v>106</v>
      </c>
      <c r="G1728" s="20" t="s">
        <v>278</v>
      </c>
      <c r="H1728" s="16"/>
      <c r="I1728" s="16"/>
      <c r="J1728" s="21">
        <v>1040</v>
      </c>
      <c r="K1728" s="21"/>
      <c r="L1728" s="16"/>
      <c r="M1728" s="21"/>
      <c r="N1728" s="21"/>
      <c r="O1728" s="21"/>
      <c r="P1728" s="16"/>
      <c r="Q1728" s="16"/>
      <c r="R1728" s="16"/>
      <c r="S1728" s="16"/>
      <c r="T1728" s="16" t="s">
        <v>140</v>
      </c>
      <c r="U1728" s="16" t="s">
        <v>179</v>
      </c>
      <c r="V1728" s="16"/>
      <c r="W1728" s="16"/>
      <c r="X1728" s="16"/>
      <c r="Y1728" s="16"/>
      <c r="Z1728" s="16"/>
      <c r="AA1728" s="16"/>
      <c r="AB1728" s="16"/>
      <c r="AC1728" s="16"/>
      <c r="AD1728" s="16"/>
      <c r="AE1728" s="16"/>
      <c r="AF1728" s="16"/>
      <c r="AG1728" s="16"/>
      <c r="AH1728" s="16"/>
      <c r="AI1728" s="16"/>
      <c r="AJ1728" s="16"/>
      <c r="AK1728" s="16"/>
      <c r="AL1728" s="16"/>
      <c r="AM1728" s="16"/>
      <c r="AN1728" s="16"/>
      <c r="AO1728" s="16"/>
      <c r="AP1728" s="16">
        <f>SUM(AL1728:AN1728)</f>
        <v>0</v>
      </c>
      <c r="AQ1728" s="16"/>
      <c r="AR1728" s="16"/>
      <c r="AS1728" s="16"/>
      <c r="AT1728" s="16" t="s">
        <v>285</v>
      </c>
      <c r="AU1728" s="16"/>
      <c r="AV1728" s="16"/>
      <c r="AW1728" s="16"/>
      <c r="AX1728" s="16"/>
      <c r="AY1728" s="18"/>
      <c r="AZ1728" s="16"/>
      <c r="BA1728" s="16"/>
      <c r="BB1728" s="16"/>
      <c r="BC1728" s="16"/>
      <c r="BD1728" s="16"/>
      <c r="BE1728" s="16"/>
      <c r="BF1728" s="16"/>
      <c r="BG1728" s="77"/>
      <c r="BH1728" s="16"/>
      <c r="BI1728" s="16"/>
      <c r="BJ1728" s="16"/>
      <c r="BK1728" s="16"/>
      <c r="BL1728" s="16"/>
      <c r="BM1728" s="16"/>
      <c r="BN1728" s="16"/>
      <c r="BO1728" s="16"/>
      <c r="BP1728" s="16"/>
      <c r="BQ1728" s="16"/>
      <c r="BR1728" s="16"/>
      <c r="BS1728" s="16"/>
      <c r="BT1728" s="77"/>
      <c r="BU1728" s="16"/>
      <c r="BV1728" s="16"/>
      <c r="BW1728" s="16"/>
      <c r="BX1728" s="16"/>
      <c r="BY1728" s="16"/>
      <c r="BZ1728" s="16"/>
      <c r="CA1728" s="16"/>
      <c r="CB1728" s="16"/>
      <c r="CC1728" s="16"/>
      <c r="CD1728" s="77"/>
      <c r="CE1728" s="16"/>
      <c r="CF1728" s="16"/>
      <c r="CG1728" s="16"/>
      <c r="CH1728" s="16"/>
      <c r="CI1728" s="16"/>
      <c r="CJ1728" s="16"/>
      <c r="CK1728" s="16"/>
      <c r="CL1728" s="16"/>
      <c r="CM1728" s="16"/>
      <c r="CN1728" s="16"/>
      <c r="CO1728" s="16"/>
      <c r="CP1728" s="16"/>
      <c r="CQ1728" s="16"/>
      <c r="CR1728" s="16"/>
      <c r="CS1728" s="16"/>
      <c r="CT1728" s="16"/>
      <c r="CU1728" s="16"/>
      <c r="CV1728" s="16"/>
      <c r="CW1728" s="16"/>
      <c r="CX1728" s="16"/>
      <c r="CY1728" s="16"/>
      <c r="CZ1728" s="16"/>
      <c r="DA1728" s="16"/>
      <c r="DB1728" s="16"/>
      <c r="DC1728" s="16"/>
      <c r="DD1728" s="16"/>
      <c r="DE1728" s="16"/>
      <c r="DF1728" s="16" t="e">
        <f>VLOOKUP(K1728,'[3]RNA Seq summary tables'!$V$3:$V$99,1,FALSE)</f>
        <v>#N/A</v>
      </c>
      <c r="DG1728" s="16"/>
      <c r="DH1728" s="16"/>
      <c r="DI1728" s="16"/>
      <c r="DJ1728" s="16"/>
      <c r="DK1728" s="16"/>
      <c r="DL1728" s="16"/>
      <c r="DM1728" s="16"/>
      <c r="DN1728" s="16"/>
      <c r="DO1728" s="16"/>
      <c r="DP1728" s="16"/>
      <c r="DQ1728" s="16"/>
      <c r="DR1728" s="16"/>
      <c r="DS1728" s="16"/>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18"/>
      <c r="EQ1728" s="18"/>
      <c r="ER1728" s="18"/>
      <c r="ES1728" s="18"/>
      <c r="ET1728" s="18"/>
      <c r="EU1728" s="18"/>
      <c r="EV1728" s="18"/>
      <c r="EW1728" s="18"/>
      <c r="EX1728" s="18"/>
      <c r="EY1728" s="18"/>
      <c r="EZ1728" s="18"/>
      <c r="FA1728" s="18"/>
      <c r="FB1728" s="18"/>
      <c r="FC1728" s="18"/>
      <c r="FD1728" s="18"/>
      <c r="FE1728" s="18"/>
      <c r="FF1728" s="18"/>
      <c r="FG1728" s="18"/>
      <c r="FH1728" s="18"/>
      <c r="FI1728" s="18"/>
      <c r="FJ1728" s="18"/>
      <c r="FK1728" s="18"/>
      <c r="FL1728" s="18"/>
      <c r="FM1728" s="18"/>
      <c r="FN1728" s="18"/>
      <c r="FO1728" s="18"/>
      <c r="FP1728" s="18"/>
      <c r="FQ1728" s="18"/>
      <c r="FR1728" s="18"/>
      <c r="FS1728" s="18"/>
      <c r="FT1728" s="18"/>
      <c r="FU1728" s="18"/>
      <c r="FV1728" s="18"/>
      <c r="FW1728" s="18"/>
      <c r="FX1728" s="18"/>
      <c r="FY1728" s="18"/>
      <c r="FZ1728" s="18"/>
      <c r="GA1728" s="18"/>
      <c r="GB1728" s="18"/>
      <c r="GC1728" s="18"/>
      <c r="GD1728" s="18"/>
      <c r="GE1728" s="18"/>
      <c r="GF1728" s="18"/>
      <c r="GG1728" s="18"/>
      <c r="GH1728" s="18"/>
      <c r="GI1728" s="18"/>
      <c r="GJ1728" s="18"/>
      <c r="GK1728" s="18"/>
      <c r="GL1728" s="18"/>
      <c r="GM1728" s="18"/>
      <c r="GN1728" s="18"/>
      <c r="GO1728" s="18"/>
      <c r="GP1728" s="18"/>
      <c r="GQ1728" s="18"/>
      <c r="GR1728" s="18"/>
      <c r="GS1728" s="18"/>
      <c r="GT1728" s="18"/>
      <c r="GU1728" s="18"/>
      <c r="GV1728" s="18"/>
      <c r="GW1728" s="18"/>
      <c r="GX1728" s="18"/>
      <c r="GY1728" s="18"/>
      <c r="GZ1728" s="18"/>
      <c r="HA1728" s="18"/>
      <c r="HB1728" s="18"/>
      <c r="HC1728" s="18"/>
      <c r="HD1728" s="18"/>
      <c r="HE1728" s="18"/>
      <c r="HF1728" s="18"/>
      <c r="HG1728" s="18"/>
      <c r="HH1728" s="18"/>
      <c r="HI1728" s="18"/>
      <c r="HJ1728" s="18"/>
      <c r="HK1728" s="18"/>
      <c r="HL1728" s="18"/>
      <c r="HM1728" s="18"/>
      <c r="HN1728" s="18"/>
      <c r="HO1728" s="18"/>
      <c r="HP1728" s="18"/>
      <c r="HQ1728" s="18"/>
      <c r="HR1728" s="18"/>
      <c r="HS1728" s="18"/>
      <c r="HT1728" s="18"/>
      <c r="HU1728" s="18"/>
      <c r="HV1728" s="18"/>
      <c r="HW1728" s="18"/>
      <c r="HX1728" s="18"/>
      <c r="HY1728" s="18"/>
      <c r="HZ1728" s="18"/>
      <c r="IA1728" s="18"/>
      <c r="IB1728" s="18"/>
      <c r="IC1728" s="18"/>
      <c r="ID1728" s="18"/>
      <c r="IE1728" s="18"/>
      <c r="IF1728" s="18"/>
      <c r="IG1728" s="18"/>
      <c r="IH1728" s="18"/>
      <c r="II1728" s="18"/>
      <c r="IJ1728" s="18"/>
      <c r="IK1728" s="18"/>
      <c r="IL1728" s="18"/>
      <c r="IM1728" s="18"/>
      <c r="IN1728" s="18"/>
      <c r="IO1728" s="18"/>
      <c r="IP1728" s="18"/>
      <c r="IQ1728" s="18"/>
      <c r="IR1728" s="18"/>
      <c r="IS1728" s="18"/>
      <c r="IT1728" s="18"/>
      <c r="IU1728" s="18"/>
      <c r="IV1728" s="18"/>
      <c r="IW1728" s="18"/>
      <c r="IX1728" s="18"/>
      <c r="IY1728" s="18"/>
      <c r="IZ1728" s="18"/>
      <c r="JA1728" s="18"/>
      <c r="JB1728" s="18"/>
      <c r="JC1728" s="18"/>
      <c r="JD1728" s="18"/>
      <c r="JE1728" s="18"/>
      <c r="JF1728" s="18"/>
      <c r="JG1728" s="18"/>
      <c r="JH1728" s="18"/>
      <c r="JI1728" s="18"/>
      <c r="JJ1728" s="18"/>
      <c r="JK1728" s="18"/>
      <c r="JL1728" s="18"/>
      <c r="JM1728" s="18"/>
      <c r="JN1728" s="18"/>
      <c r="JO1728" s="16"/>
      <c r="JP1728" s="16"/>
      <c r="JQ1728" s="16"/>
      <c r="JR1728" s="16"/>
      <c r="JS1728" s="16"/>
      <c r="JT1728" s="16"/>
      <c r="JU1728" s="16"/>
      <c r="JV1728" s="16"/>
      <c r="JW1728" s="16"/>
      <c r="JX1728" s="16"/>
      <c r="JY1728" s="16"/>
      <c r="JZ1728" s="16"/>
      <c r="KA1728" s="16"/>
      <c r="KB1728" s="16"/>
    </row>
    <row r="1729" spans="1:288" s="27" customFormat="1" x14ac:dyDescent="0.2">
      <c r="A1729" s="18"/>
      <c r="B1729" s="16">
        <v>2017</v>
      </c>
      <c r="C1729" s="66">
        <v>42888</v>
      </c>
      <c r="D1729" s="66" t="str">
        <f>CONCATENATE(J1729,"-",C1729)</f>
        <v>1041-42888</v>
      </c>
      <c r="E1729" s="20" t="str">
        <f>CONCATENATE(T1729,"-",U1729,"-",C1729)</f>
        <v>SP1-F8-42888</v>
      </c>
      <c r="F1729" s="20" t="s">
        <v>106</v>
      </c>
      <c r="G1729" s="20" t="s">
        <v>278</v>
      </c>
      <c r="H1729" s="16"/>
      <c r="I1729" s="16"/>
      <c r="J1729" s="21">
        <v>1041</v>
      </c>
      <c r="K1729" s="21"/>
      <c r="L1729" s="16"/>
      <c r="M1729" s="21"/>
      <c r="N1729" s="21"/>
      <c r="O1729" s="21"/>
      <c r="P1729" s="16"/>
      <c r="Q1729" s="16"/>
      <c r="R1729" s="16"/>
      <c r="S1729" s="16"/>
      <c r="T1729" s="16" t="s">
        <v>140</v>
      </c>
      <c r="U1729" s="16" t="s">
        <v>138</v>
      </c>
      <c r="V1729" s="16"/>
      <c r="W1729" s="16"/>
      <c r="X1729" s="16"/>
      <c r="Y1729" s="16"/>
      <c r="Z1729" s="16"/>
      <c r="AA1729" s="16"/>
      <c r="AB1729" s="16"/>
      <c r="AC1729" s="16"/>
      <c r="AD1729" s="16"/>
      <c r="AE1729" s="16"/>
      <c r="AF1729" s="16"/>
      <c r="AG1729" s="16"/>
      <c r="AH1729" s="16"/>
      <c r="AI1729" s="16"/>
      <c r="AJ1729" s="16"/>
      <c r="AK1729" s="16"/>
      <c r="AL1729" s="16"/>
      <c r="AM1729" s="16"/>
      <c r="AN1729" s="16"/>
      <c r="AO1729" s="16"/>
      <c r="AP1729" s="16">
        <f>SUM(AL1729:AN1729)</f>
        <v>0</v>
      </c>
      <c r="AQ1729" s="16"/>
      <c r="AR1729" s="16"/>
      <c r="AS1729" s="16"/>
      <c r="AT1729" s="16" t="s">
        <v>285</v>
      </c>
      <c r="AU1729" s="16"/>
      <c r="AV1729" s="16"/>
      <c r="AW1729" s="16"/>
      <c r="AX1729" s="16"/>
      <c r="AY1729" s="18"/>
      <c r="AZ1729" s="16"/>
      <c r="BA1729" s="16"/>
      <c r="BB1729" s="16"/>
      <c r="BC1729" s="16"/>
      <c r="BD1729" s="16"/>
      <c r="BE1729" s="16"/>
      <c r="BF1729" s="16"/>
      <c r="BG1729" s="77"/>
      <c r="BH1729" s="16"/>
      <c r="BI1729" s="16"/>
      <c r="BJ1729" s="16"/>
      <c r="BK1729" s="16"/>
      <c r="BL1729" s="16"/>
      <c r="BM1729" s="16"/>
      <c r="BN1729" s="16"/>
      <c r="BO1729" s="16"/>
      <c r="BP1729" s="16"/>
      <c r="BQ1729" s="16"/>
      <c r="BR1729" s="16"/>
      <c r="BS1729" s="16"/>
      <c r="BT1729" s="77"/>
      <c r="BU1729" s="16"/>
      <c r="BV1729" s="16"/>
      <c r="BW1729" s="16"/>
      <c r="BX1729" s="16"/>
      <c r="BY1729" s="16"/>
      <c r="BZ1729" s="16"/>
      <c r="CA1729" s="16"/>
      <c r="CB1729" s="16"/>
      <c r="CC1729" s="16"/>
      <c r="CD1729" s="77"/>
      <c r="CE1729" s="16"/>
      <c r="CF1729" s="16"/>
      <c r="CG1729" s="16"/>
      <c r="CH1729" s="16"/>
      <c r="CI1729" s="16"/>
      <c r="CJ1729" s="16"/>
      <c r="CK1729" s="16"/>
      <c r="CL1729" s="16"/>
      <c r="CM1729" s="16"/>
      <c r="CN1729" s="16"/>
      <c r="CO1729" s="16"/>
      <c r="CP1729" s="16"/>
      <c r="CQ1729" s="16"/>
      <c r="CR1729" s="16"/>
      <c r="CS1729" s="16"/>
      <c r="CT1729" s="16"/>
      <c r="CU1729" s="16"/>
      <c r="CV1729" s="16"/>
      <c r="CW1729" s="16"/>
      <c r="CX1729" s="16"/>
      <c r="CY1729" s="16"/>
      <c r="CZ1729" s="16"/>
      <c r="DA1729" s="16"/>
      <c r="DB1729" s="16"/>
      <c r="DC1729" s="16"/>
      <c r="DD1729" s="16"/>
      <c r="DE1729" s="16"/>
      <c r="DF1729" s="16" t="e">
        <f>VLOOKUP(K1729,'[3]RNA Seq summary tables'!$V$3:$V$99,1,FALSE)</f>
        <v>#N/A</v>
      </c>
      <c r="DG1729" s="16"/>
      <c r="DH1729" s="16"/>
      <c r="DI1729" s="16"/>
      <c r="DJ1729" s="16"/>
      <c r="DK1729" s="16"/>
      <c r="DL1729" s="16"/>
      <c r="DM1729" s="16"/>
      <c r="DN1729" s="16"/>
      <c r="DO1729" s="16"/>
      <c r="DP1729" s="16"/>
      <c r="DQ1729" s="16"/>
      <c r="DR1729" s="16"/>
      <c r="DS1729" s="16"/>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18"/>
      <c r="EQ1729" s="18"/>
      <c r="ER1729" s="18"/>
      <c r="ES1729" s="18"/>
      <c r="ET1729" s="18"/>
      <c r="EU1729" s="18"/>
      <c r="EV1729" s="18"/>
      <c r="EW1729" s="18"/>
      <c r="EX1729" s="18"/>
      <c r="EY1729" s="18"/>
      <c r="EZ1729" s="18"/>
      <c r="FA1729" s="18"/>
      <c r="FB1729" s="18"/>
      <c r="FC1729" s="18"/>
      <c r="FD1729" s="18"/>
      <c r="FE1729" s="18"/>
      <c r="FF1729" s="18"/>
      <c r="FG1729" s="18"/>
      <c r="FH1729" s="18"/>
      <c r="FI1729" s="18"/>
      <c r="FJ1729" s="18"/>
      <c r="FK1729" s="18"/>
      <c r="FL1729" s="18"/>
      <c r="FM1729" s="18"/>
      <c r="FN1729" s="18"/>
      <c r="FO1729" s="18"/>
      <c r="FP1729" s="18"/>
      <c r="FQ1729" s="18"/>
      <c r="FR1729" s="18"/>
      <c r="FS1729" s="18"/>
      <c r="FT1729" s="18"/>
      <c r="FU1729" s="18"/>
      <c r="FV1729" s="18"/>
      <c r="FW1729" s="18"/>
      <c r="FX1729" s="18"/>
      <c r="FY1729" s="18"/>
      <c r="FZ1729" s="18"/>
      <c r="GA1729" s="18"/>
      <c r="GB1729" s="18"/>
      <c r="GC1729" s="18"/>
      <c r="GD1729" s="18"/>
      <c r="GE1729" s="18"/>
      <c r="GF1729" s="18"/>
      <c r="GG1729" s="18"/>
      <c r="GH1729" s="18"/>
      <c r="GI1729" s="18"/>
      <c r="GJ1729" s="18"/>
      <c r="GK1729" s="18"/>
      <c r="GL1729" s="18"/>
      <c r="GM1729" s="18"/>
      <c r="GN1729" s="18"/>
      <c r="GO1729" s="18"/>
      <c r="GP1729" s="18"/>
      <c r="GQ1729" s="18"/>
      <c r="GR1729" s="18"/>
      <c r="GS1729" s="18"/>
      <c r="GT1729" s="18"/>
      <c r="GU1729" s="18"/>
      <c r="GV1729" s="18"/>
      <c r="GW1729" s="18"/>
      <c r="GX1729" s="18"/>
      <c r="GY1729" s="18"/>
      <c r="GZ1729" s="18"/>
      <c r="HA1729" s="18"/>
      <c r="HB1729" s="18"/>
      <c r="HC1729" s="18"/>
      <c r="HD1729" s="18"/>
      <c r="HE1729" s="18"/>
      <c r="HF1729" s="18"/>
      <c r="HG1729" s="18"/>
      <c r="HH1729" s="18"/>
      <c r="HI1729" s="18"/>
      <c r="HJ1729" s="18"/>
      <c r="HK1729" s="18"/>
      <c r="HL1729" s="18"/>
      <c r="HM1729" s="18"/>
      <c r="HN1729" s="18"/>
      <c r="HO1729" s="18"/>
      <c r="HP1729" s="18"/>
      <c r="HQ1729" s="18"/>
      <c r="HR1729" s="18"/>
      <c r="HS1729" s="18"/>
      <c r="HT1729" s="18"/>
      <c r="HU1729" s="18"/>
      <c r="HV1729" s="18"/>
      <c r="HW1729" s="18"/>
      <c r="HX1729" s="18"/>
      <c r="HY1729" s="18"/>
      <c r="HZ1729" s="18"/>
      <c r="IA1729" s="18"/>
      <c r="IB1729" s="18"/>
      <c r="IC1729" s="18"/>
      <c r="ID1729" s="18"/>
      <c r="IE1729" s="18"/>
      <c r="IF1729" s="18"/>
      <c r="IG1729" s="18"/>
      <c r="IH1729" s="18"/>
      <c r="II1729" s="18"/>
      <c r="IJ1729" s="18"/>
      <c r="IK1729" s="18"/>
      <c r="IL1729" s="18"/>
      <c r="IM1729" s="18"/>
      <c r="IN1729" s="18"/>
      <c r="IO1729" s="18"/>
      <c r="IP1729" s="18"/>
      <c r="IQ1729" s="18"/>
      <c r="IR1729" s="18"/>
      <c r="IS1729" s="18"/>
      <c r="IT1729" s="18"/>
      <c r="IU1729" s="18"/>
      <c r="IV1729" s="18"/>
      <c r="IW1729" s="18"/>
      <c r="IX1729" s="18"/>
      <c r="IY1729" s="18"/>
      <c r="IZ1729" s="18"/>
      <c r="JA1729" s="18"/>
      <c r="JB1729" s="18"/>
      <c r="JC1729" s="18"/>
      <c r="JD1729" s="18"/>
      <c r="JE1729" s="18"/>
      <c r="JF1729" s="18"/>
      <c r="JG1729" s="18"/>
      <c r="JH1729" s="18"/>
      <c r="JI1729" s="18"/>
      <c r="JJ1729" s="18"/>
      <c r="JK1729" s="18"/>
      <c r="JL1729" s="18"/>
      <c r="JM1729" s="18"/>
      <c r="JN1729" s="18"/>
      <c r="JP1729" s="16"/>
      <c r="JQ1729" s="16"/>
      <c r="JR1729" s="16"/>
      <c r="JS1729" s="16"/>
      <c r="JT1729" s="16"/>
      <c r="JU1729" s="16"/>
      <c r="JV1729" s="16"/>
      <c r="JW1729" s="16"/>
      <c r="JX1729" s="16"/>
      <c r="JY1729" s="16"/>
      <c r="JZ1729" s="16"/>
      <c r="KA1729" s="16"/>
      <c r="KB1729" s="16"/>
    </row>
    <row r="1730" spans="1:288" s="27" customFormat="1" x14ac:dyDescent="0.2">
      <c r="A1730" s="18"/>
      <c r="B1730" s="16">
        <v>2017</v>
      </c>
      <c r="C1730" s="66">
        <v>42888</v>
      </c>
      <c r="D1730" s="66" t="str">
        <f>CONCATENATE(J1730,"-",C1730)</f>
        <v>1043-42888</v>
      </c>
      <c r="E1730" s="20" t="str">
        <f>CONCATENATE(T1730,"-",U1730,"-",C1730)</f>
        <v>SP2-D8-42888</v>
      </c>
      <c r="F1730" s="20" t="s">
        <v>106</v>
      </c>
      <c r="G1730" s="20" t="s">
        <v>278</v>
      </c>
      <c r="H1730" s="16"/>
      <c r="I1730" s="16"/>
      <c r="J1730" s="21">
        <v>1043</v>
      </c>
      <c r="K1730" s="21"/>
      <c r="L1730" s="16"/>
      <c r="M1730" s="21"/>
      <c r="N1730" s="21"/>
      <c r="O1730" s="21"/>
      <c r="P1730" s="16"/>
      <c r="Q1730" s="16"/>
      <c r="R1730" s="16"/>
      <c r="S1730" s="16"/>
      <c r="T1730" s="16" t="s">
        <v>137</v>
      </c>
      <c r="U1730" s="16" t="s">
        <v>178</v>
      </c>
      <c r="V1730" s="16"/>
      <c r="W1730" s="16"/>
      <c r="X1730" s="16"/>
      <c r="Y1730" s="16"/>
      <c r="Z1730" s="16"/>
      <c r="AA1730" s="16"/>
      <c r="AB1730" s="16"/>
      <c r="AC1730" s="16"/>
      <c r="AD1730" s="16"/>
      <c r="AE1730" s="16"/>
      <c r="AF1730" s="16"/>
      <c r="AG1730" s="16"/>
      <c r="AH1730" s="16"/>
      <c r="AI1730" s="16"/>
      <c r="AJ1730" s="16"/>
      <c r="AK1730" s="16"/>
      <c r="AL1730" s="16"/>
      <c r="AM1730" s="16"/>
      <c r="AN1730" s="16"/>
      <c r="AO1730" s="16"/>
      <c r="AP1730" s="16">
        <f>SUM(AL1730:AN1730)</f>
        <v>0</v>
      </c>
      <c r="AQ1730" s="16"/>
      <c r="AR1730" s="16"/>
      <c r="AS1730" s="16"/>
      <c r="AT1730" s="16" t="s">
        <v>285</v>
      </c>
      <c r="AU1730" s="16"/>
      <c r="AV1730" s="16"/>
      <c r="AW1730" s="16"/>
      <c r="AX1730" s="16"/>
      <c r="AY1730" s="18"/>
      <c r="AZ1730" s="16"/>
      <c r="BA1730" s="16"/>
      <c r="BB1730" s="16"/>
      <c r="BC1730" s="16"/>
      <c r="BD1730" s="16"/>
      <c r="BE1730" s="16"/>
      <c r="BF1730" s="16"/>
      <c r="BG1730" s="77"/>
      <c r="BH1730" s="16"/>
      <c r="BI1730" s="16"/>
      <c r="BJ1730" s="16"/>
      <c r="BK1730" s="16"/>
      <c r="BL1730" s="16"/>
      <c r="BM1730" s="16"/>
      <c r="BN1730" s="16"/>
      <c r="BO1730" s="16"/>
      <c r="BP1730" s="16"/>
      <c r="BQ1730" s="16"/>
      <c r="BR1730" s="16"/>
      <c r="BS1730" s="16"/>
      <c r="BT1730" s="77"/>
      <c r="BU1730" s="16"/>
      <c r="BV1730" s="16"/>
      <c r="BW1730" s="16"/>
      <c r="BX1730" s="16"/>
      <c r="BY1730" s="16"/>
      <c r="BZ1730" s="16"/>
      <c r="CA1730" s="16"/>
      <c r="CB1730" s="16"/>
      <c r="CC1730" s="16"/>
      <c r="CD1730" s="77"/>
      <c r="CE1730" s="16"/>
      <c r="CF1730" s="16"/>
      <c r="CG1730" s="16"/>
      <c r="CH1730" s="16"/>
      <c r="CI1730" s="16"/>
      <c r="CJ1730" s="16"/>
      <c r="CK1730" s="16"/>
      <c r="CL1730" s="16"/>
      <c r="CM1730" s="16"/>
      <c r="CN1730" s="16"/>
      <c r="CO1730" s="16"/>
      <c r="CP1730" s="16"/>
      <c r="CQ1730" s="16"/>
      <c r="CR1730" s="16"/>
      <c r="CS1730" s="16"/>
      <c r="CT1730" s="16"/>
      <c r="CU1730" s="16"/>
      <c r="CV1730" s="16"/>
      <c r="CW1730" s="16"/>
      <c r="CX1730" s="16"/>
      <c r="CY1730" s="16"/>
      <c r="CZ1730" s="16"/>
      <c r="DA1730" s="16"/>
      <c r="DB1730" s="16"/>
      <c r="DC1730" s="16"/>
      <c r="DD1730" s="16"/>
      <c r="DE1730" s="16"/>
      <c r="DF1730" s="16" t="e">
        <f>VLOOKUP(K1730,'[3]RNA Seq summary tables'!$V$3:$V$99,1,FALSE)</f>
        <v>#N/A</v>
      </c>
      <c r="DG1730" s="16"/>
      <c r="DH1730" s="16"/>
      <c r="DI1730" s="16"/>
      <c r="DJ1730" s="16"/>
      <c r="DK1730" s="16"/>
      <c r="DL1730" s="16"/>
      <c r="DM1730" s="16"/>
      <c r="DN1730" s="16"/>
      <c r="DO1730" s="16"/>
      <c r="DP1730" s="16"/>
      <c r="DQ1730" s="16"/>
      <c r="DR1730" s="16"/>
      <c r="DS1730" s="16"/>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18"/>
      <c r="EQ1730" s="18"/>
      <c r="ER1730" s="18"/>
      <c r="ES1730" s="18"/>
      <c r="ET1730" s="18"/>
      <c r="EU1730" s="18"/>
      <c r="EV1730" s="18"/>
      <c r="EW1730" s="18"/>
      <c r="EX1730" s="18"/>
      <c r="EY1730" s="18"/>
      <c r="EZ1730" s="18"/>
      <c r="FA1730" s="18"/>
      <c r="FB1730" s="18"/>
      <c r="FC1730" s="18"/>
      <c r="FD1730" s="18"/>
      <c r="FE1730" s="18"/>
      <c r="FF1730" s="18"/>
      <c r="FG1730" s="18"/>
      <c r="FH1730" s="18"/>
      <c r="FI1730" s="18"/>
      <c r="FJ1730" s="18"/>
      <c r="FK1730" s="18"/>
      <c r="FL1730" s="18"/>
      <c r="FM1730" s="18"/>
      <c r="FN1730" s="18"/>
      <c r="FO1730" s="18"/>
      <c r="FP1730" s="18"/>
      <c r="FQ1730" s="18"/>
      <c r="FR1730" s="18"/>
      <c r="FS1730" s="18"/>
      <c r="FT1730" s="18"/>
      <c r="FU1730" s="18"/>
      <c r="FV1730" s="18"/>
      <c r="FW1730" s="18"/>
      <c r="FX1730" s="18"/>
      <c r="FY1730" s="18"/>
      <c r="FZ1730" s="18"/>
      <c r="GA1730" s="18"/>
      <c r="GB1730" s="18"/>
      <c r="GC1730" s="18"/>
      <c r="GD1730" s="18"/>
      <c r="GE1730" s="18"/>
      <c r="GF1730" s="18"/>
      <c r="GG1730" s="18"/>
      <c r="GH1730" s="18"/>
      <c r="GI1730" s="18"/>
      <c r="GJ1730" s="18"/>
      <c r="GK1730" s="18"/>
      <c r="GL1730" s="18"/>
      <c r="GM1730" s="18"/>
      <c r="GN1730" s="18"/>
      <c r="GO1730" s="18"/>
      <c r="GP1730" s="18"/>
      <c r="GQ1730" s="18"/>
      <c r="GR1730" s="18"/>
      <c r="GS1730" s="18"/>
      <c r="GT1730" s="18"/>
      <c r="GU1730" s="18"/>
      <c r="GV1730" s="18"/>
      <c r="GW1730" s="18"/>
      <c r="GX1730" s="18"/>
      <c r="GY1730" s="18"/>
      <c r="GZ1730" s="18"/>
      <c r="HA1730" s="18"/>
      <c r="HB1730" s="18"/>
      <c r="HC1730" s="18"/>
      <c r="HD1730" s="18"/>
      <c r="HE1730" s="18"/>
      <c r="HF1730" s="18"/>
      <c r="HG1730" s="18"/>
      <c r="HH1730" s="18"/>
      <c r="HI1730" s="18"/>
      <c r="HJ1730" s="18"/>
      <c r="HK1730" s="18"/>
      <c r="HL1730" s="18"/>
      <c r="HM1730" s="18"/>
      <c r="HN1730" s="18"/>
      <c r="HO1730" s="18"/>
      <c r="HP1730" s="18"/>
      <c r="HQ1730" s="18"/>
      <c r="HR1730" s="18"/>
      <c r="HS1730" s="18"/>
      <c r="HT1730" s="18"/>
      <c r="HU1730" s="18"/>
      <c r="HV1730" s="18"/>
      <c r="HW1730" s="18"/>
      <c r="HX1730" s="18"/>
      <c r="HY1730" s="18"/>
      <c r="HZ1730" s="18"/>
      <c r="IA1730" s="18"/>
      <c r="IB1730" s="18"/>
      <c r="IC1730" s="18"/>
      <c r="ID1730" s="18"/>
      <c r="IE1730" s="18"/>
      <c r="IF1730" s="18"/>
      <c r="IG1730" s="18"/>
      <c r="IH1730" s="18"/>
      <c r="II1730" s="18"/>
      <c r="IJ1730" s="18"/>
      <c r="IK1730" s="18"/>
      <c r="IL1730" s="18"/>
      <c r="IM1730" s="18"/>
      <c r="IN1730" s="18"/>
      <c r="IO1730" s="18"/>
      <c r="IP1730" s="18"/>
      <c r="IQ1730" s="18"/>
      <c r="IR1730" s="18"/>
      <c r="IS1730" s="18"/>
      <c r="IT1730" s="18"/>
      <c r="IU1730" s="18"/>
      <c r="IV1730" s="18"/>
      <c r="IW1730" s="18"/>
      <c r="IX1730" s="18"/>
      <c r="IY1730" s="18"/>
      <c r="IZ1730" s="18"/>
      <c r="JA1730" s="18"/>
      <c r="JB1730" s="18"/>
      <c r="JC1730" s="18"/>
      <c r="JD1730" s="18"/>
      <c r="JE1730" s="18"/>
      <c r="JF1730" s="18"/>
      <c r="JG1730" s="18"/>
      <c r="JH1730" s="18"/>
      <c r="JI1730" s="18"/>
      <c r="JJ1730" s="18"/>
      <c r="JK1730" s="18"/>
      <c r="JL1730" s="18"/>
      <c r="JM1730" s="18"/>
      <c r="JN1730" s="18"/>
      <c r="JO1730" s="16"/>
      <c r="JP1730" s="16"/>
      <c r="JQ1730" s="16"/>
      <c r="JR1730" s="41"/>
      <c r="JS1730" s="41"/>
      <c r="JT1730" s="41"/>
      <c r="JU1730" s="41"/>
      <c r="JV1730" s="41"/>
      <c r="JW1730" s="41"/>
      <c r="JX1730" s="41"/>
      <c r="JY1730" s="41"/>
      <c r="JZ1730" s="41"/>
      <c r="KA1730" s="41"/>
      <c r="KB1730" s="41"/>
    </row>
    <row r="1731" spans="1:288" s="27" customFormat="1" x14ac:dyDescent="0.2">
      <c r="A1731" s="18"/>
      <c r="B1731" s="16">
        <v>2017</v>
      </c>
      <c r="C1731" s="73">
        <v>42889</v>
      </c>
      <c r="D1731" s="66" t="str">
        <f>CONCATENATE(J1731,"-",C1731)</f>
        <v>1043-42889</v>
      </c>
      <c r="E1731" s="20" t="str">
        <f>CONCATENATE(T1731,"-",U1731,"-",C1731)</f>
        <v>SP2-B8-42889</v>
      </c>
      <c r="F1731" s="20" t="s">
        <v>106</v>
      </c>
      <c r="G1731" s="43" t="s">
        <v>278</v>
      </c>
      <c r="H1731" s="23"/>
      <c r="I1731" s="23"/>
      <c r="J1731" s="15">
        <v>1043</v>
      </c>
      <c r="K1731" s="15"/>
      <c r="L1731" s="23"/>
      <c r="M1731" s="21"/>
      <c r="N1731" s="21"/>
      <c r="O1731" s="21"/>
      <c r="P1731" s="23"/>
      <c r="Q1731" s="23"/>
      <c r="R1731" s="23"/>
      <c r="S1731" s="23"/>
      <c r="T1731" s="23" t="s">
        <v>137</v>
      </c>
      <c r="U1731" s="23" t="s">
        <v>209</v>
      </c>
      <c r="V1731" s="23"/>
      <c r="W1731" s="23"/>
      <c r="X1731" s="23"/>
      <c r="Y1731" s="23"/>
      <c r="Z1731" s="23"/>
      <c r="AA1731" s="23"/>
      <c r="AB1731" s="23"/>
      <c r="AC1731" s="23"/>
      <c r="AD1731" s="23"/>
      <c r="AE1731" s="23"/>
      <c r="AF1731" s="23"/>
      <c r="AG1731" s="23"/>
      <c r="AH1731" s="23"/>
      <c r="AI1731" s="23"/>
      <c r="AJ1731" s="23"/>
      <c r="AK1731" s="23"/>
      <c r="AL1731" s="23"/>
      <c r="AM1731" s="23"/>
      <c r="AN1731" s="23"/>
      <c r="AO1731" s="23"/>
      <c r="AP1731" s="23">
        <f>SUM(AL1731:AN1731)</f>
        <v>0</v>
      </c>
      <c r="AQ1731" s="23"/>
      <c r="AR1731" s="23"/>
      <c r="AS1731" s="23"/>
      <c r="AT1731" s="16" t="s">
        <v>285</v>
      </c>
      <c r="AU1731" s="16"/>
      <c r="AV1731" s="16"/>
      <c r="AW1731" s="16"/>
      <c r="AX1731" s="16"/>
      <c r="AY1731" s="18"/>
      <c r="AZ1731" s="16"/>
      <c r="BA1731" s="16"/>
      <c r="BB1731" s="16"/>
      <c r="BC1731" s="16"/>
      <c r="BD1731" s="16"/>
      <c r="BE1731" s="16"/>
      <c r="BF1731" s="16"/>
      <c r="BG1731" s="77"/>
      <c r="BH1731" s="16"/>
      <c r="BI1731" s="16"/>
      <c r="BJ1731" s="16"/>
      <c r="BK1731" s="16"/>
      <c r="BL1731" s="16"/>
      <c r="BM1731" s="16"/>
      <c r="BN1731" s="16"/>
      <c r="BO1731" s="16"/>
      <c r="BP1731" s="16"/>
      <c r="BQ1731" s="16"/>
      <c r="BR1731" s="16"/>
      <c r="BS1731" s="16"/>
      <c r="BT1731" s="77"/>
      <c r="BU1731" s="16"/>
      <c r="BV1731" s="16"/>
      <c r="BW1731" s="16"/>
      <c r="BX1731" s="16"/>
      <c r="BY1731" s="16"/>
      <c r="BZ1731" s="16"/>
      <c r="CA1731" s="16"/>
      <c r="CB1731" s="16"/>
      <c r="CC1731" s="16"/>
      <c r="CD1731" s="77"/>
      <c r="CE1731" s="16"/>
      <c r="CF1731" s="16"/>
      <c r="CG1731" s="16"/>
      <c r="CH1731" s="16"/>
      <c r="CI1731" s="16"/>
      <c r="CJ1731" s="16"/>
      <c r="CK1731" s="16"/>
      <c r="CL1731" s="16"/>
      <c r="CM1731" s="16"/>
      <c r="CN1731" s="16"/>
      <c r="CO1731" s="16"/>
      <c r="CP1731" s="16"/>
      <c r="CQ1731" s="16"/>
      <c r="CR1731" s="16"/>
      <c r="CS1731" s="16"/>
      <c r="CT1731" s="16"/>
      <c r="CU1731" s="16"/>
      <c r="CV1731" s="16"/>
      <c r="CW1731" s="16"/>
      <c r="CX1731" s="16"/>
      <c r="CY1731" s="16"/>
      <c r="CZ1731" s="16"/>
      <c r="DA1731" s="16"/>
      <c r="DB1731" s="16"/>
      <c r="DC1731" s="23"/>
      <c r="DD1731" s="23"/>
      <c r="DE1731" s="23"/>
      <c r="DF1731" s="16" t="e">
        <f>VLOOKUP(K1731,'[3]RNA Seq summary tables'!$V$3:$V$99,1,FALSE)</f>
        <v>#N/A</v>
      </c>
      <c r="DG1731" s="23"/>
      <c r="DH1731" s="23"/>
      <c r="DI1731" s="23"/>
      <c r="DJ1731" s="23"/>
      <c r="DK1731" s="23"/>
      <c r="DL1731" s="23"/>
      <c r="DM1731" s="23"/>
      <c r="DN1731" s="23"/>
      <c r="DO1731" s="23"/>
      <c r="DP1731" s="23"/>
      <c r="DQ1731" s="23"/>
      <c r="DR1731" s="23"/>
      <c r="DS1731" s="23"/>
      <c r="DT1731" s="25"/>
      <c r="DU1731" s="25"/>
      <c r="DV1731" s="25"/>
      <c r="DW1731" s="25"/>
      <c r="DX1731" s="25"/>
      <c r="DY1731" s="25"/>
      <c r="DZ1731" s="25"/>
      <c r="EA1731" s="25"/>
      <c r="EB1731" s="25"/>
      <c r="EC1731" s="25"/>
      <c r="ED1731" s="25"/>
      <c r="EE1731" s="25"/>
      <c r="EF1731" s="25"/>
      <c r="EG1731" s="25"/>
      <c r="EH1731" s="25"/>
      <c r="EI1731" s="25"/>
      <c r="EJ1731" s="25"/>
      <c r="EK1731" s="25"/>
      <c r="EL1731" s="25"/>
      <c r="EM1731" s="25"/>
      <c r="EN1731" s="25"/>
      <c r="EO1731" s="25"/>
      <c r="EP1731" s="25"/>
      <c r="EQ1731" s="25"/>
      <c r="ER1731" s="25"/>
      <c r="ES1731" s="25"/>
      <c r="ET1731" s="25"/>
      <c r="EU1731" s="25"/>
      <c r="EV1731" s="25"/>
      <c r="EW1731" s="25"/>
      <c r="EX1731" s="25"/>
      <c r="EY1731" s="25"/>
      <c r="EZ1731" s="25"/>
      <c r="FA1731" s="25"/>
      <c r="FB1731" s="25"/>
      <c r="FC1731" s="25"/>
      <c r="FD1731" s="25"/>
      <c r="FE1731" s="25"/>
      <c r="FF1731" s="25"/>
      <c r="FG1731" s="25"/>
      <c r="FH1731" s="25"/>
      <c r="FI1731" s="25"/>
      <c r="FJ1731" s="25"/>
      <c r="FK1731" s="25"/>
      <c r="FL1731" s="25"/>
      <c r="FM1731" s="25"/>
      <c r="FN1731" s="25"/>
      <c r="FO1731" s="25"/>
      <c r="FP1731" s="25"/>
      <c r="FQ1731" s="25"/>
      <c r="FR1731" s="25"/>
      <c r="FS1731" s="25"/>
      <c r="FT1731" s="25"/>
      <c r="FU1731" s="25"/>
      <c r="FV1731" s="25"/>
      <c r="FW1731" s="25"/>
      <c r="FX1731" s="25"/>
      <c r="FY1731" s="25"/>
      <c r="FZ1731" s="25"/>
      <c r="GA1731" s="25"/>
      <c r="GB1731" s="25"/>
      <c r="GC1731" s="25"/>
      <c r="GD1731" s="25"/>
      <c r="GE1731" s="25"/>
      <c r="GF1731" s="25"/>
      <c r="GG1731" s="25"/>
      <c r="GH1731" s="25"/>
      <c r="GI1731" s="25"/>
      <c r="GJ1731" s="25"/>
      <c r="GK1731" s="25"/>
      <c r="GL1731" s="25"/>
      <c r="GM1731" s="25"/>
      <c r="GN1731" s="25"/>
      <c r="GO1731" s="25"/>
      <c r="GP1731" s="25"/>
      <c r="GQ1731" s="25"/>
      <c r="GR1731" s="25"/>
      <c r="GS1731" s="25"/>
      <c r="GT1731" s="25"/>
      <c r="GU1731" s="25"/>
      <c r="GV1731" s="25"/>
      <c r="GW1731" s="25"/>
      <c r="GX1731" s="25"/>
      <c r="GY1731" s="25"/>
      <c r="GZ1731" s="25"/>
      <c r="HA1731" s="25"/>
      <c r="HB1731" s="25"/>
      <c r="HC1731" s="25"/>
      <c r="HD1731" s="25"/>
      <c r="HE1731" s="25"/>
      <c r="HF1731" s="25"/>
      <c r="HG1731" s="25"/>
      <c r="HH1731" s="25"/>
      <c r="HI1731" s="25"/>
      <c r="HJ1731" s="25"/>
      <c r="HK1731" s="25"/>
      <c r="HL1731" s="25"/>
      <c r="HM1731" s="25"/>
      <c r="HN1731" s="25"/>
      <c r="HO1731" s="25"/>
      <c r="HP1731" s="25"/>
      <c r="HQ1731" s="25"/>
      <c r="HR1731" s="25"/>
      <c r="HS1731" s="25"/>
      <c r="HT1731" s="25"/>
      <c r="HU1731" s="25"/>
      <c r="HV1731" s="25"/>
      <c r="HW1731" s="25"/>
      <c r="HX1731" s="25"/>
      <c r="HY1731" s="25"/>
      <c r="HZ1731" s="25"/>
      <c r="IA1731" s="25"/>
      <c r="IB1731" s="25"/>
      <c r="IC1731" s="25"/>
      <c r="ID1731" s="25"/>
      <c r="IE1731" s="25"/>
      <c r="IF1731" s="25"/>
      <c r="IG1731" s="25"/>
      <c r="IH1731" s="25"/>
      <c r="II1731" s="25"/>
      <c r="IJ1731" s="25"/>
      <c r="IK1731" s="25"/>
      <c r="IL1731" s="25"/>
      <c r="IM1731" s="25"/>
      <c r="IN1731" s="25"/>
      <c r="IO1731" s="25"/>
      <c r="IP1731" s="25"/>
      <c r="IQ1731" s="25"/>
      <c r="IR1731" s="25"/>
      <c r="IS1731" s="25"/>
      <c r="IT1731" s="25"/>
      <c r="IU1731" s="25"/>
      <c r="IV1731" s="25"/>
      <c r="IW1731" s="25"/>
      <c r="IX1731" s="25"/>
      <c r="IY1731" s="25"/>
      <c r="IZ1731" s="25"/>
      <c r="JA1731" s="25"/>
      <c r="JB1731" s="25"/>
      <c r="JC1731" s="25"/>
      <c r="JD1731" s="25"/>
      <c r="JE1731" s="25"/>
      <c r="JF1731" s="25"/>
      <c r="JG1731" s="25"/>
      <c r="JH1731" s="25"/>
      <c r="JI1731" s="25"/>
      <c r="JJ1731" s="25"/>
      <c r="JK1731" s="25"/>
      <c r="JL1731" s="25"/>
      <c r="JM1731" s="25"/>
      <c r="JN1731" s="25"/>
      <c r="JO1731" s="23"/>
      <c r="JP1731" s="23"/>
      <c r="JQ1731" s="23"/>
      <c r="JR1731" s="23"/>
      <c r="JS1731" s="23"/>
      <c r="JT1731" s="23"/>
      <c r="JU1731" s="23"/>
      <c r="JV1731" s="23"/>
      <c r="JW1731" s="23"/>
      <c r="JX1731" s="23"/>
      <c r="JY1731" s="23"/>
      <c r="JZ1731" s="23"/>
      <c r="KA1731" s="23"/>
      <c r="KB1731" s="23"/>
    </row>
    <row r="1732" spans="1:288" s="27" customFormat="1" x14ac:dyDescent="0.2">
      <c r="A1732" s="18"/>
      <c r="B1732" s="16">
        <v>2017</v>
      </c>
      <c r="C1732" s="20">
        <v>42923</v>
      </c>
      <c r="D1732" s="20" t="str">
        <f>CONCATENATE(J1732,"-",C1732)</f>
        <v>1043-42923</v>
      </c>
      <c r="E1732" s="20" t="str">
        <f>CONCATENATE(T1732,"-",U1732,"-",C1732)</f>
        <v>SP2-B8-42923</v>
      </c>
      <c r="F1732" s="20" t="s">
        <v>106</v>
      </c>
      <c r="G1732" s="20" t="s">
        <v>278</v>
      </c>
      <c r="H1732" s="16"/>
      <c r="I1732" s="16"/>
      <c r="J1732" s="21">
        <v>1043</v>
      </c>
      <c r="K1732" s="21"/>
      <c r="L1732" s="16"/>
      <c r="M1732" s="21"/>
      <c r="N1732" s="21"/>
      <c r="O1732" s="21"/>
      <c r="P1732" s="16"/>
      <c r="Q1732" s="16"/>
      <c r="R1732" s="16"/>
      <c r="S1732" s="16"/>
      <c r="T1732" s="16" t="s">
        <v>137</v>
      </c>
      <c r="U1732" s="16" t="s">
        <v>209</v>
      </c>
      <c r="V1732" s="16"/>
      <c r="W1732" s="16"/>
      <c r="X1732" s="16"/>
      <c r="Y1732" s="16"/>
      <c r="Z1732" s="16"/>
      <c r="AA1732" s="16"/>
      <c r="AB1732" s="16"/>
      <c r="AC1732" s="16"/>
      <c r="AD1732" s="16"/>
      <c r="AE1732" s="16"/>
      <c r="AF1732" s="16"/>
      <c r="AG1732" s="16"/>
      <c r="AH1732" s="16"/>
      <c r="AI1732" s="16"/>
      <c r="AJ1732" s="16"/>
      <c r="AK1732" s="16"/>
      <c r="AL1732" s="16"/>
      <c r="AM1732" s="16"/>
      <c r="AN1732" s="16"/>
      <c r="AO1732" s="16"/>
      <c r="AP1732" s="16">
        <f>SUM(AL1732:AN1732)</f>
        <v>0</v>
      </c>
      <c r="AQ1732" s="16"/>
      <c r="AR1732" s="16"/>
      <c r="AS1732" s="16"/>
      <c r="AT1732" s="16" t="s">
        <v>285</v>
      </c>
      <c r="AU1732" s="16"/>
      <c r="AV1732" s="16"/>
      <c r="AW1732" s="16"/>
      <c r="AX1732" s="16"/>
      <c r="AY1732" s="18"/>
      <c r="AZ1732" s="16"/>
      <c r="BA1732" s="16"/>
      <c r="BB1732" s="16"/>
      <c r="BC1732" s="16"/>
      <c r="BD1732" s="16"/>
      <c r="BE1732" s="16"/>
      <c r="BF1732" s="16"/>
      <c r="BG1732" s="77"/>
      <c r="BH1732" s="16"/>
      <c r="BI1732" s="16"/>
      <c r="BJ1732" s="16"/>
      <c r="BK1732" s="16"/>
      <c r="BL1732" s="16"/>
      <c r="BM1732" s="16"/>
      <c r="BN1732" s="16"/>
      <c r="BO1732" s="16"/>
      <c r="BP1732" s="16"/>
      <c r="BQ1732" s="16"/>
      <c r="BR1732" s="16"/>
      <c r="BS1732" s="16"/>
      <c r="BT1732" s="77"/>
      <c r="BU1732" s="16"/>
      <c r="BV1732" s="16"/>
      <c r="BW1732" s="16"/>
      <c r="BX1732" s="16"/>
      <c r="BY1732" s="16"/>
      <c r="BZ1732" s="16"/>
      <c r="CA1732" s="16"/>
      <c r="CB1732" s="16"/>
      <c r="CC1732" s="16"/>
      <c r="CD1732" s="77"/>
      <c r="CE1732" s="16"/>
      <c r="CF1732" s="16"/>
      <c r="CG1732" s="16"/>
      <c r="CH1732" s="16"/>
      <c r="CI1732" s="16"/>
      <c r="CJ1732" s="16"/>
      <c r="CK1732" s="16"/>
      <c r="CL1732" s="16"/>
      <c r="CM1732" s="16"/>
      <c r="CN1732" s="16"/>
      <c r="CO1732" s="16"/>
      <c r="CP1732" s="16"/>
      <c r="CQ1732" s="16"/>
      <c r="CR1732" s="16"/>
      <c r="CS1732" s="16"/>
      <c r="CT1732" s="16"/>
      <c r="CU1732" s="16"/>
      <c r="CV1732" s="16"/>
      <c r="CW1732" s="16"/>
      <c r="CX1732" s="16"/>
      <c r="CY1732" s="16"/>
      <c r="CZ1732" s="16"/>
      <c r="DA1732" s="16"/>
      <c r="DB1732" s="16"/>
      <c r="DC1732" s="16"/>
      <c r="DD1732" s="16"/>
      <c r="DE1732" s="16"/>
      <c r="DF1732" s="16" t="e">
        <f>VLOOKUP(K1732,'[3]RNA Seq summary tables'!$V$3:$V$99,1,FALSE)</f>
        <v>#N/A</v>
      </c>
      <c r="DG1732" s="16"/>
      <c r="DH1732" s="16"/>
      <c r="DI1732" s="16"/>
      <c r="DJ1732" s="16"/>
      <c r="DK1732" s="16"/>
      <c r="DL1732" s="16"/>
      <c r="DM1732" s="16"/>
      <c r="DN1732" s="16"/>
      <c r="DO1732" s="16"/>
      <c r="DP1732" s="16"/>
      <c r="DQ1732" s="16"/>
      <c r="DR1732" s="16"/>
      <c r="DS1732" s="16"/>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18"/>
      <c r="EQ1732" s="18"/>
      <c r="ER1732" s="18"/>
      <c r="ES1732" s="18"/>
      <c r="ET1732" s="18"/>
      <c r="EU1732" s="18"/>
      <c r="EV1732" s="18"/>
      <c r="EW1732" s="18"/>
      <c r="EX1732" s="18"/>
      <c r="EY1732" s="18"/>
      <c r="EZ1732" s="18"/>
      <c r="FA1732" s="18"/>
      <c r="FB1732" s="18"/>
      <c r="FC1732" s="18"/>
      <c r="FD1732" s="18"/>
      <c r="FE1732" s="18"/>
      <c r="FF1732" s="18"/>
      <c r="FG1732" s="18"/>
      <c r="FH1732" s="18"/>
      <c r="FI1732" s="18"/>
      <c r="FJ1732" s="18"/>
      <c r="FK1732" s="18"/>
      <c r="FL1732" s="18"/>
      <c r="FM1732" s="18"/>
      <c r="FN1732" s="18"/>
      <c r="FO1732" s="18"/>
      <c r="FP1732" s="18"/>
      <c r="FQ1732" s="18"/>
      <c r="FR1732" s="18"/>
      <c r="FS1732" s="18"/>
      <c r="FT1732" s="18"/>
      <c r="FU1732" s="18"/>
      <c r="FV1732" s="18"/>
      <c r="FW1732" s="18"/>
      <c r="FX1732" s="18"/>
      <c r="FY1732" s="18"/>
      <c r="FZ1732" s="18"/>
      <c r="GA1732" s="18"/>
      <c r="GB1732" s="18"/>
      <c r="GC1732" s="18"/>
      <c r="GD1732" s="18"/>
      <c r="GE1732" s="18"/>
      <c r="GF1732" s="18"/>
      <c r="GG1732" s="18"/>
      <c r="GH1732" s="18"/>
      <c r="GI1732" s="18"/>
      <c r="GJ1732" s="18"/>
      <c r="GK1732" s="18"/>
      <c r="GL1732" s="18"/>
      <c r="GM1732" s="18"/>
      <c r="GN1732" s="18"/>
      <c r="GO1732" s="18"/>
      <c r="GP1732" s="18"/>
      <c r="GQ1732" s="18"/>
      <c r="GR1732" s="18"/>
      <c r="GS1732" s="18"/>
      <c r="GT1732" s="18"/>
      <c r="GU1732" s="18"/>
      <c r="GV1732" s="18"/>
      <c r="GW1732" s="18"/>
      <c r="GX1732" s="18"/>
      <c r="GY1732" s="18"/>
      <c r="GZ1732" s="18"/>
      <c r="HA1732" s="18"/>
      <c r="HB1732" s="18"/>
      <c r="HC1732" s="18"/>
      <c r="HD1732" s="18"/>
      <c r="HE1732" s="18"/>
      <c r="HF1732" s="18"/>
      <c r="HG1732" s="18"/>
      <c r="HH1732" s="18"/>
      <c r="HI1732" s="18"/>
      <c r="HJ1732" s="18"/>
      <c r="HK1732" s="18"/>
      <c r="HL1732" s="18"/>
      <c r="HM1732" s="18"/>
      <c r="HN1732" s="18"/>
      <c r="HO1732" s="18"/>
      <c r="HP1732" s="18"/>
      <c r="HQ1732" s="18"/>
      <c r="HR1732" s="18"/>
      <c r="HS1732" s="18"/>
      <c r="HT1732" s="18"/>
      <c r="HU1732" s="18"/>
      <c r="HV1732" s="18"/>
      <c r="HW1732" s="18"/>
      <c r="HX1732" s="18"/>
      <c r="HY1732" s="18"/>
      <c r="HZ1732" s="18"/>
      <c r="IA1732" s="18"/>
      <c r="IB1732" s="18"/>
      <c r="IC1732" s="18"/>
      <c r="ID1732" s="18"/>
      <c r="IE1732" s="18"/>
      <c r="IF1732" s="18"/>
      <c r="IG1732" s="18"/>
      <c r="IH1732" s="18"/>
      <c r="II1732" s="18"/>
      <c r="IJ1732" s="18"/>
      <c r="IK1732" s="18"/>
      <c r="IL1732" s="18"/>
      <c r="IM1732" s="18"/>
      <c r="IN1732" s="18"/>
      <c r="IO1732" s="18"/>
      <c r="IP1732" s="18"/>
      <c r="IQ1732" s="18"/>
      <c r="IR1732" s="18"/>
      <c r="IS1732" s="18"/>
      <c r="IT1732" s="18"/>
      <c r="IU1732" s="18"/>
      <c r="IV1732" s="18"/>
      <c r="IW1732" s="18"/>
      <c r="IX1732" s="18"/>
      <c r="IY1732" s="18"/>
      <c r="IZ1732" s="18"/>
      <c r="JA1732" s="18"/>
      <c r="JB1732" s="18"/>
      <c r="JC1732" s="18"/>
      <c r="JD1732" s="18"/>
      <c r="JE1732" s="18"/>
      <c r="JF1732" s="18"/>
      <c r="JG1732" s="18"/>
      <c r="JH1732" s="18"/>
      <c r="JI1732" s="18"/>
      <c r="JJ1732" s="18"/>
      <c r="JK1732" s="18"/>
      <c r="JL1732" s="18"/>
      <c r="JM1732" s="18"/>
      <c r="JN1732" s="18"/>
      <c r="JO1732" s="16"/>
      <c r="JP1732" s="16"/>
      <c r="JQ1732" s="16"/>
    </row>
    <row r="1733" spans="1:288" s="18" customFormat="1" x14ac:dyDescent="0.2">
      <c r="B1733" s="16">
        <v>2017</v>
      </c>
      <c r="C1733" s="20">
        <v>42940</v>
      </c>
      <c r="D1733" s="20" t="str">
        <f>CONCATENATE(J1733,"-",C1733)</f>
        <v>1043-42940</v>
      </c>
      <c r="E1733" s="20" t="str">
        <f>CONCATENATE(T1733,"-",U1733,"-",C1733)</f>
        <v>SP2-B6-42940</v>
      </c>
      <c r="F1733" s="20" t="s">
        <v>106</v>
      </c>
      <c r="G1733" s="20" t="s">
        <v>278</v>
      </c>
      <c r="H1733" s="16"/>
      <c r="I1733" s="16"/>
      <c r="J1733" s="21">
        <v>1043</v>
      </c>
      <c r="K1733" s="21"/>
      <c r="L1733" s="16"/>
      <c r="M1733" s="21"/>
      <c r="N1733" s="21"/>
      <c r="O1733" s="21"/>
      <c r="P1733" s="16"/>
      <c r="Q1733" s="16"/>
      <c r="R1733" s="16"/>
      <c r="S1733" s="16"/>
      <c r="T1733" s="16" t="s">
        <v>137</v>
      </c>
      <c r="U1733" s="16" t="s">
        <v>132</v>
      </c>
      <c r="V1733" s="16"/>
      <c r="W1733" s="16"/>
      <c r="X1733" s="16"/>
      <c r="Y1733" s="16"/>
      <c r="Z1733" s="16"/>
      <c r="AA1733" s="16"/>
      <c r="AB1733" s="16"/>
      <c r="AC1733" s="16"/>
      <c r="AD1733" s="16"/>
      <c r="AE1733" s="16"/>
      <c r="AF1733" s="16"/>
      <c r="AG1733" s="16"/>
      <c r="AH1733" s="16"/>
      <c r="AI1733" s="16"/>
      <c r="AJ1733" s="16"/>
      <c r="AK1733" s="16"/>
      <c r="AL1733" s="16"/>
      <c r="AM1733" s="16"/>
      <c r="AN1733" s="16"/>
      <c r="AO1733" s="16"/>
      <c r="AP1733" s="16">
        <f>SUM(AL1733:AN1733)</f>
        <v>0</v>
      </c>
      <c r="AQ1733" s="16"/>
      <c r="AR1733" s="16"/>
      <c r="AS1733" s="16"/>
      <c r="AT1733" s="16" t="s">
        <v>285</v>
      </c>
      <c r="AU1733" s="16"/>
      <c r="AV1733" s="16"/>
      <c r="AW1733" s="16"/>
      <c r="AX1733" s="16"/>
      <c r="AZ1733" s="16"/>
      <c r="BA1733" s="16"/>
      <c r="BB1733" s="16"/>
      <c r="BC1733" s="16"/>
      <c r="BD1733" s="16"/>
      <c r="BE1733" s="16"/>
      <c r="BF1733" s="16"/>
      <c r="BG1733" s="77"/>
      <c r="BH1733" s="16"/>
      <c r="BI1733" s="16"/>
      <c r="BJ1733" s="16"/>
      <c r="BK1733" s="16"/>
      <c r="BL1733" s="16"/>
      <c r="BM1733" s="16"/>
      <c r="BN1733" s="16"/>
      <c r="BO1733" s="16"/>
      <c r="BP1733" s="16"/>
      <c r="BQ1733" s="16"/>
      <c r="BR1733" s="16"/>
      <c r="BS1733" s="16"/>
      <c r="BT1733" s="77"/>
      <c r="BU1733" s="16"/>
      <c r="BV1733" s="16"/>
      <c r="BW1733" s="16"/>
      <c r="BX1733" s="16"/>
      <c r="BY1733" s="16"/>
      <c r="BZ1733" s="16"/>
      <c r="CA1733" s="16"/>
      <c r="CB1733" s="16"/>
      <c r="CC1733" s="16"/>
      <c r="CD1733" s="77"/>
      <c r="CE1733" s="16"/>
      <c r="CF1733" s="16"/>
      <c r="CG1733" s="16"/>
      <c r="CH1733" s="16"/>
      <c r="CI1733" s="16"/>
      <c r="CJ1733" s="16"/>
      <c r="CK1733" s="16"/>
      <c r="CL1733" s="16"/>
      <c r="CM1733" s="16"/>
      <c r="CN1733" s="16"/>
      <c r="CO1733" s="16"/>
      <c r="CP1733" s="16"/>
      <c r="CQ1733" s="16"/>
      <c r="CR1733" s="16"/>
      <c r="CS1733" s="16"/>
      <c r="CT1733" s="16"/>
      <c r="CU1733" s="16"/>
      <c r="CV1733" s="16"/>
      <c r="CW1733" s="16"/>
      <c r="CX1733" s="16"/>
      <c r="CY1733" s="16"/>
      <c r="CZ1733" s="16"/>
      <c r="DA1733" s="16"/>
      <c r="DB1733" s="16"/>
      <c r="DC1733" s="16"/>
      <c r="DD1733" s="16"/>
      <c r="DE1733" s="16"/>
      <c r="DF1733" s="16" t="e">
        <f>VLOOKUP(K1733,'[3]RNA Seq summary tables'!$V$3:$V$99,1,FALSE)</f>
        <v>#N/A</v>
      </c>
      <c r="DG1733" s="16"/>
      <c r="DH1733" s="16"/>
      <c r="DI1733" s="16"/>
      <c r="DJ1733" s="16"/>
      <c r="DK1733" s="16"/>
      <c r="DL1733" s="16"/>
      <c r="DM1733" s="16"/>
      <c r="DN1733" s="16"/>
      <c r="DO1733" s="16"/>
      <c r="DP1733" s="16"/>
      <c r="DQ1733" s="16"/>
      <c r="DR1733" s="16"/>
      <c r="DS1733" s="16"/>
      <c r="JO1733" s="27"/>
      <c r="JP1733" s="16"/>
      <c r="JQ1733" s="16"/>
      <c r="JR1733" s="16"/>
      <c r="JS1733" s="16"/>
      <c r="JT1733" s="16"/>
      <c r="JU1733" s="16"/>
      <c r="JV1733" s="16"/>
      <c r="JW1733" s="16"/>
      <c r="JX1733" s="16"/>
      <c r="JY1733" s="16"/>
      <c r="JZ1733" s="16"/>
      <c r="KA1733" s="16"/>
      <c r="KB1733" s="16"/>
    </row>
    <row r="1734" spans="1:288" s="18" customFormat="1" x14ac:dyDescent="0.2">
      <c r="B1734" s="16">
        <v>2017</v>
      </c>
      <c r="C1734" s="20">
        <v>42941</v>
      </c>
      <c r="D1734" s="20" t="str">
        <f>CONCATENATE(J1734,"-",C1734)</f>
        <v>1043-42941</v>
      </c>
      <c r="E1734" s="20" t="str">
        <f>CONCATENATE(T1734,"-",U1734,"-",C1734)</f>
        <v>SP2-B6-42941</v>
      </c>
      <c r="F1734" s="20" t="s">
        <v>106</v>
      </c>
      <c r="G1734" s="20" t="s">
        <v>278</v>
      </c>
      <c r="H1734" s="16"/>
      <c r="I1734" s="16"/>
      <c r="J1734" s="21">
        <v>1043</v>
      </c>
      <c r="K1734" s="21"/>
      <c r="L1734" s="16"/>
      <c r="M1734" s="21"/>
      <c r="N1734" s="21"/>
      <c r="O1734" s="21"/>
      <c r="P1734" s="16"/>
      <c r="Q1734" s="16"/>
      <c r="R1734" s="16"/>
      <c r="S1734" s="16"/>
      <c r="T1734" s="16" t="s">
        <v>137</v>
      </c>
      <c r="U1734" s="16" t="s">
        <v>132</v>
      </c>
      <c r="V1734" s="16"/>
      <c r="W1734" s="16"/>
      <c r="X1734" s="16"/>
      <c r="Y1734" s="16"/>
      <c r="Z1734" s="16"/>
      <c r="AA1734" s="16"/>
      <c r="AB1734" s="16"/>
      <c r="AC1734" s="16"/>
      <c r="AD1734" s="16"/>
      <c r="AE1734" s="16"/>
      <c r="AF1734" s="16"/>
      <c r="AG1734" s="16"/>
      <c r="AH1734" s="16"/>
      <c r="AI1734" s="16"/>
      <c r="AJ1734" s="16"/>
      <c r="AK1734" s="16"/>
      <c r="AL1734" s="16"/>
      <c r="AM1734" s="16"/>
      <c r="AN1734" s="16"/>
      <c r="AO1734" s="16"/>
      <c r="AP1734" s="16">
        <f>SUM(AL1734:AN1734)</f>
        <v>0</v>
      </c>
      <c r="AQ1734" s="16"/>
      <c r="AR1734" s="16"/>
      <c r="AS1734" s="16"/>
      <c r="AT1734" s="16" t="s">
        <v>285</v>
      </c>
      <c r="AU1734" s="16"/>
      <c r="AV1734" s="16"/>
      <c r="AW1734" s="16"/>
      <c r="AX1734" s="16"/>
      <c r="AZ1734" s="16"/>
      <c r="BA1734" s="16"/>
      <c r="BB1734" s="16"/>
      <c r="BC1734" s="16"/>
      <c r="BD1734" s="16"/>
      <c r="BE1734" s="16"/>
      <c r="BF1734" s="16"/>
      <c r="BG1734" s="77"/>
      <c r="BH1734" s="16"/>
      <c r="BI1734" s="16"/>
      <c r="BJ1734" s="16"/>
      <c r="BK1734" s="16"/>
      <c r="BL1734" s="16"/>
      <c r="BM1734" s="16"/>
      <c r="BN1734" s="16"/>
      <c r="BO1734" s="16"/>
      <c r="BP1734" s="16"/>
      <c r="BQ1734" s="16"/>
      <c r="BR1734" s="16"/>
      <c r="BS1734" s="16"/>
      <c r="BT1734" s="77"/>
      <c r="BU1734" s="16"/>
      <c r="BV1734" s="16"/>
      <c r="BW1734" s="16"/>
      <c r="BX1734" s="16"/>
      <c r="BY1734" s="16"/>
      <c r="BZ1734" s="16"/>
      <c r="CA1734" s="16"/>
      <c r="CB1734" s="16"/>
      <c r="CC1734" s="16"/>
      <c r="CD1734" s="77"/>
      <c r="CE1734" s="16"/>
      <c r="CF1734" s="16"/>
      <c r="CG1734" s="16"/>
      <c r="CH1734" s="16"/>
      <c r="CI1734" s="16"/>
      <c r="CJ1734" s="16"/>
      <c r="CK1734" s="16"/>
      <c r="CL1734" s="16"/>
      <c r="CM1734" s="16"/>
      <c r="CN1734" s="16"/>
      <c r="CO1734" s="16"/>
      <c r="CP1734" s="16"/>
      <c r="CQ1734" s="16"/>
      <c r="CR1734" s="16"/>
      <c r="CS1734" s="16"/>
      <c r="CT1734" s="16"/>
      <c r="CU1734" s="16"/>
      <c r="CV1734" s="16"/>
      <c r="CW1734" s="16"/>
      <c r="CX1734" s="16"/>
      <c r="CY1734" s="16"/>
      <c r="CZ1734" s="16"/>
      <c r="DA1734" s="16"/>
      <c r="DB1734" s="16"/>
      <c r="DC1734" s="16"/>
      <c r="DD1734" s="16"/>
      <c r="DE1734" s="16"/>
      <c r="DF1734" s="16" t="e">
        <f>VLOOKUP(K1734,'[3]RNA Seq summary tables'!$V$3:$V$99,1,FALSE)</f>
        <v>#N/A</v>
      </c>
      <c r="DG1734" s="16"/>
      <c r="DH1734" s="16"/>
      <c r="DI1734" s="16"/>
      <c r="DJ1734" s="16"/>
      <c r="DK1734" s="16"/>
      <c r="DL1734" s="16"/>
      <c r="DM1734" s="16"/>
      <c r="DN1734" s="16"/>
      <c r="DO1734" s="16"/>
      <c r="DP1734" s="16"/>
      <c r="DQ1734" s="16"/>
      <c r="DR1734" s="16"/>
      <c r="DS1734" s="16"/>
      <c r="JO1734" s="27"/>
      <c r="JP1734" s="16"/>
      <c r="JQ1734" s="16"/>
      <c r="JR1734" s="16"/>
      <c r="JS1734" s="16"/>
      <c r="JT1734" s="16"/>
      <c r="JU1734" s="16"/>
      <c r="JV1734" s="16"/>
      <c r="JW1734" s="16"/>
      <c r="JX1734" s="16"/>
      <c r="JY1734" s="16"/>
      <c r="JZ1734" s="16"/>
      <c r="KA1734" s="16"/>
      <c r="KB1734" s="16"/>
    </row>
    <row r="1735" spans="1:288" s="27" customFormat="1" x14ac:dyDescent="0.2">
      <c r="A1735" s="18"/>
      <c r="B1735" s="16">
        <v>2017</v>
      </c>
      <c r="C1735" s="66">
        <v>42889</v>
      </c>
      <c r="D1735" s="66" t="str">
        <f>CONCATENATE(J1735,"-",C1735)</f>
        <v>1044-42889</v>
      </c>
      <c r="E1735" s="20" t="str">
        <f>CONCATENATE(T1735,"-",U1735,"-",C1735)</f>
        <v>SP2-C1-42889</v>
      </c>
      <c r="F1735" s="20" t="s">
        <v>106</v>
      </c>
      <c r="G1735" s="20" t="s">
        <v>278</v>
      </c>
      <c r="H1735" s="16"/>
      <c r="I1735" s="16"/>
      <c r="J1735" s="21">
        <v>1044</v>
      </c>
      <c r="K1735" s="21"/>
      <c r="L1735" s="16"/>
      <c r="M1735" s="21"/>
      <c r="N1735" s="21"/>
      <c r="O1735" s="21"/>
      <c r="P1735" s="16"/>
      <c r="Q1735" s="16"/>
      <c r="R1735" s="16"/>
      <c r="S1735" s="16"/>
      <c r="T1735" s="16" t="s">
        <v>137</v>
      </c>
      <c r="U1735" s="16" t="s">
        <v>150</v>
      </c>
      <c r="V1735" s="16"/>
      <c r="W1735" s="16"/>
      <c r="X1735" s="16"/>
      <c r="Y1735" s="16"/>
      <c r="Z1735" s="16"/>
      <c r="AA1735" s="16"/>
      <c r="AB1735" s="16"/>
      <c r="AC1735" s="16"/>
      <c r="AD1735" s="16"/>
      <c r="AE1735" s="16"/>
      <c r="AF1735" s="16"/>
      <c r="AG1735" s="16"/>
      <c r="AH1735" s="16"/>
      <c r="AI1735" s="16"/>
      <c r="AJ1735" s="16"/>
      <c r="AK1735" s="16"/>
      <c r="AL1735" s="16"/>
      <c r="AM1735" s="16"/>
      <c r="AN1735" s="16"/>
      <c r="AO1735" s="16"/>
      <c r="AP1735" s="16">
        <f>SUM(AL1735:AN1735)</f>
        <v>0</v>
      </c>
      <c r="AQ1735" s="16"/>
      <c r="AR1735" s="16"/>
      <c r="AS1735" s="16"/>
      <c r="AT1735" s="16" t="s">
        <v>285</v>
      </c>
      <c r="AU1735" s="16"/>
      <c r="AV1735" s="16"/>
      <c r="AW1735" s="16"/>
      <c r="AX1735" s="16"/>
      <c r="AY1735" s="18"/>
      <c r="AZ1735" s="16"/>
      <c r="BA1735" s="16"/>
      <c r="BB1735" s="16"/>
      <c r="BC1735" s="16"/>
      <c r="BD1735" s="16"/>
      <c r="BE1735" s="16"/>
      <c r="BF1735" s="16"/>
      <c r="BG1735" s="77"/>
      <c r="BH1735" s="16"/>
      <c r="BI1735" s="16"/>
      <c r="BJ1735" s="16"/>
      <c r="BK1735" s="16"/>
      <c r="BL1735" s="16"/>
      <c r="BM1735" s="16"/>
      <c r="BN1735" s="16"/>
      <c r="BO1735" s="16"/>
      <c r="BP1735" s="16"/>
      <c r="BQ1735" s="16"/>
      <c r="BR1735" s="16"/>
      <c r="BS1735" s="16"/>
      <c r="BT1735" s="77"/>
      <c r="BU1735" s="16"/>
      <c r="BV1735" s="16"/>
      <c r="BW1735" s="16"/>
      <c r="BX1735" s="16"/>
      <c r="BY1735" s="16"/>
      <c r="BZ1735" s="16"/>
      <c r="CA1735" s="16"/>
      <c r="CB1735" s="16"/>
      <c r="CC1735" s="16"/>
      <c r="CD1735" s="77"/>
      <c r="CE1735" s="16"/>
      <c r="CF1735" s="16"/>
      <c r="CG1735" s="16"/>
      <c r="CH1735" s="16"/>
      <c r="CI1735" s="16"/>
      <c r="CJ1735" s="16"/>
      <c r="CK1735" s="16"/>
      <c r="CL1735" s="16"/>
      <c r="CM1735" s="16"/>
      <c r="CN1735" s="16"/>
      <c r="CO1735" s="16"/>
      <c r="CP1735" s="16"/>
      <c r="CQ1735" s="16"/>
      <c r="CR1735" s="16"/>
      <c r="CS1735" s="16"/>
      <c r="CT1735" s="16"/>
      <c r="CU1735" s="16"/>
      <c r="CV1735" s="16"/>
      <c r="CW1735" s="16"/>
      <c r="CX1735" s="16"/>
      <c r="CY1735" s="16"/>
      <c r="CZ1735" s="16"/>
      <c r="DA1735" s="16"/>
      <c r="DB1735" s="16"/>
      <c r="DC1735" s="16"/>
      <c r="DD1735" s="16"/>
      <c r="DE1735" s="16"/>
      <c r="DF1735" s="16" t="e">
        <f>VLOOKUP(K1735,'[3]RNA Seq summary tables'!$V$3:$V$99,1,FALSE)</f>
        <v>#N/A</v>
      </c>
      <c r="DG1735" s="16"/>
      <c r="DH1735" s="16"/>
      <c r="DI1735" s="16"/>
      <c r="DJ1735" s="16"/>
      <c r="DK1735" s="16"/>
      <c r="DL1735" s="16"/>
      <c r="DM1735" s="16"/>
      <c r="DN1735" s="16"/>
      <c r="DO1735" s="16"/>
      <c r="DP1735" s="16"/>
      <c r="DQ1735" s="16"/>
      <c r="DR1735" s="16"/>
      <c r="DS1735" s="16"/>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18"/>
      <c r="EQ1735" s="18"/>
      <c r="ER1735" s="18"/>
      <c r="ES1735" s="18"/>
      <c r="ET1735" s="18"/>
      <c r="EU1735" s="18"/>
      <c r="EV1735" s="18"/>
      <c r="EW1735" s="18"/>
      <c r="EX1735" s="18"/>
      <c r="EY1735" s="18"/>
      <c r="EZ1735" s="18"/>
      <c r="FA1735" s="18"/>
      <c r="FB1735" s="18"/>
      <c r="FC1735" s="18"/>
      <c r="FD1735" s="18"/>
      <c r="FE1735" s="18"/>
      <c r="FF1735" s="18"/>
      <c r="FG1735" s="18"/>
      <c r="FH1735" s="18"/>
      <c r="FI1735" s="18"/>
      <c r="FJ1735" s="18"/>
      <c r="FK1735" s="18"/>
      <c r="FL1735" s="18"/>
      <c r="FM1735" s="18"/>
      <c r="FN1735" s="18"/>
      <c r="FO1735" s="18"/>
      <c r="FP1735" s="18"/>
      <c r="FQ1735" s="18"/>
      <c r="FR1735" s="18"/>
      <c r="FS1735" s="18"/>
      <c r="FT1735" s="18"/>
      <c r="FU1735" s="18"/>
      <c r="FV1735" s="18"/>
      <c r="FW1735" s="18"/>
      <c r="FX1735" s="18"/>
      <c r="FY1735" s="18"/>
      <c r="FZ1735" s="18"/>
      <c r="GA1735" s="18"/>
      <c r="GB1735" s="18"/>
      <c r="GC1735" s="18"/>
      <c r="GD1735" s="18"/>
      <c r="GE1735" s="18"/>
      <c r="GF1735" s="18"/>
      <c r="GG1735" s="18"/>
      <c r="GH1735" s="18"/>
      <c r="GI1735" s="18"/>
      <c r="GJ1735" s="18"/>
      <c r="GK1735" s="18"/>
      <c r="GL1735" s="18"/>
      <c r="GM1735" s="18"/>
      <c r="GN1735" s="18"/>
      <c r="GO1735" s="18"/>
      <c r="GP1735" s="18"/>
      <c r="GQ1735" s="18"/>
      <c r="GR1735" s="18"/>
      <c r="GS1735" s="18"/>
      <c r="GT1735" s="18"/>
      <c r="GU1735" s="18"/>
      <c r="GV1735" s="18"/>
      <c r="GW1735" s="18"/>
      <c r="GX1735" s="18"/>
      <c r="GY1735" s="18"/>
      <c r="GZ1735" s="18"/>
      <c r="HA1735" s="18"/>
      <c r="HB1735" s="18"/>
      <c r="HC1735" s="18"/>
      <c r="HD1735" s="18"/>
      <c r="HE1735" s="18"/>
      <c r="HF1735" s="18"/>
      <c r="HG1735" s="18"/>
      <c r="HH1735" s="18"/>
      <c r="HI1735" s="18"/>
      <c r="HJ1735" s="18"/>
      <c r="HK1735" s="18"/>
      <c r="HL1735" s="18"/>
      <c r="HM1735" s="18"/>
      <c r="HN1735" s="18"/>
      <c r="HO1735" s="18"/>
      <c r="HP1735" s="18"/>
      <c r="HQ1735" s="18"/>
      <c r="HR1735" s="18"/>
      <c r="HS1735" s="18"/>
      <c r="HT1735" s="18"/>
      <c r="HU1735" s="18"/>
      <c r="HV1735" s="18"/>
      <c r="HW1735" s="18"/>
      <c r="HX1735" s="18"/>
      <c r="HY1735" s="18"/>
      <c r="HZ1735" s="18"/>
      <c r="IA1735" s="18"/>
      <c r="IB1735" s="18"/>
      <c r="IC1735" s="18"/>
      <c r="ID1735" s="18"/>
      <c r="IE1735" s="18"/>
      <c r="IF1735" s="18"/>
      <c r="IG1735" s="18"/>
      <c r="IH1735" s="18"/>
      <c r="II1735" s="18"/>
      <c r="IJ1735" s="18"/>
      <c r="IK1735" s="18"/>
      <c r="IL1735" s="18"/>
      <c r="IM1735" s="18"/>
      <c r="IN1735" s="18"/>
      <c r="IO1735" s="18"/>
      <c r="IP1735" s="18"/>
      <c r="IQ1735" s="18"/>
      <c r="IR1735" s="18"/>
      <c r="IS1735" s="18"/>
      <c r="IT1735" s="18"/>
      <c r="IU1735" s="18"/>
      <c r="IV1735" s="18"/>
      <c r="IW1735" s="18"/>
      <c r="IX1735" s="18"/>
      <c r="IY1735" s="18"/>
      <c r="IZ1735" s="18"/>
      <c r="JA1735" s="18"/>
      <c r="JB1735" s="18"/>
      <c r="JC1735" s="18"/>
      <c r="JD1735" s="18"/>
      <c r="JE1735" s="18"/>
      <c r="JF1735" s="18"/>
      <c r="JG1735" s="18"/>
      <c r="JH1735" s="18"/>
      <c r="JI1735" s="18"/>
      <c r="JJ1735" s="18"/>
      <c r="JK1735" s="18"/>
      <c r="JL1735" s="18"/>
      <c r="JM1735" s="18"/>
      <c r="JN1735" s="18"/>
      <c r="JO1735" s="16"/>
      <c r="JP1735" s="16"/>
      <c r="JQ1735" s="16"/>
      <c r="JR1735" s="16"/>
      <c r="JS1735" s="16"/>
      <c r="JT1735" s="16"/>
      <c r="JU1735" s="16"/>
      <c r="JV1735" s="16"/>
      <c r="JW1735" s="16"/>
      <c r="JX1735" s="16"/>
      <c r="JY1735" s="16"/>
      <c r="JZ1735" s="16"/>
      <c r="KA1735" s="16"/>
      <c r="KB1735" s="16"/>
    </row>
    <row r="1736" spans="1:288" s="27" customFormat="1" x14ac:dyDescent="0.2">
      <c r="A1736" s="18"/>
      <c r="B1736" s="16">
        <v>2017</v>
      </c>
      <c r="C1736" s="66">
        <v>42888</v>
      </c>
      <c r="D1736" s="66" t="str">
        <f>CONCATENATE(J1736,"-",C1736)</f>
        <v>1045-42888</v>
      </c>
      <c r="E1736" s="20" t="str">
        <f>CONCATENATE(T1736,"-",U1736,"-",C1736)</f>
        <v>SP2-C2-42888</v>
      </c>
      <c r="F1736" s="20" t="s">
        <v>106</v>
      </c>
      <c r="G1736" s="20" t="s">
        <v>278</v>
      </c>
      <c r="H1736" s="16"/>
      <c r="I1736" s="16"/>
      <c r="J1736" s="21">
        <v>1045</v>
      </c>
      <c r="K1736" s="21"/>
      <c r="L1736" s="16"/>
      <c r="M1736" s="21"/>
      <c r="N1736" s="21"/>
      <c r="O1736" s="21"/>
      <c r="P1736" s="16"/>
      <c r="Q1736" s="16"/>
      <c r="R1736" s="16"/>
      <c r="S1736" s="16"/>
      <c r="T1736" s="16" t="s">
        <v>137</v>
      </c>
      <c r="U1736" s="16" t="s">
        <v>162</v>
      </c>
      <c r="V1736" s="16"/>
      <c r="W1736" s="16"/>
      <c r="X1736" s="16"/>
      <c r="Y1736" s="16"/>
      <c r="Z1736" s="16"/>
      <c r="AA1736" s="16"/>
      <c r="AB1736" s="16"/>
      <c r="AC1736" s="16"/>
      <c r="AD1736" s="16"/>
      <c r="AE1736" s="16"/>
      <c r="AF1736" s="16"/>
      <c r="AG1736" s="16"/>
      <c r="AH1736" s="16"/>
      <c r="AI1736" s="16"/>
      <c r="AJ1736" s="16"/>
      <c r="AK1736" s="16"/>
      <c r="AL1736" s="16"/>
      <c r="AM1736" s="16"/>
      <c r="AN1736" s="16"/>
      <c r="AO1736" s="16"/>
      <c r="AP1736" s="16">
        <f>SUM(AL1736:AN1736)</f>
        <v>0</v>
      </c>
      <c r="AQ1736" s="16"/>
      <c r="AR1736" s="16"/>
      <c r="AS1736" s="16"/>
      <c r="AT1736" s="16" t="s">
        <v>285</v>
      </c>
      <c r="AU1736" s="16"/>
      <c r="AV1736" s="16"/>
      <c r="AW1736" s="16"/>
      <c r="AX1736" s="16"/>
      <c r="AY1736" s="18"/>
      <c r="AZ1736" s="16"/>
      <c r="BA1736" s="16"/>
      <c r="BB1736" s="16"/>
      <c r="BC1736" s="16"/>
      <c r="BD1736" s="16"/>
      <c r="BE1736" s="16"/>
      <c r="BF1736" s="16"/>
      <c r="BG1736" s="77"/>
      <c r="BH1736" s="16"/>
      <c r="BI1736" s="16"/>
      <c r="BJ1736" s="16"/>
      <c r="BK1736" s="16"/>
      <c r="BL1736" s="16"/>
      <c r="BM1736" s="16"/>
      <c r="BN1736" s="16"/>
      <c r="BO1736" s="16"/>
      <c r="BP1736" s="16"/>
      <c r="BQ1736" s="16"/>
      <c r="BR1736" s="16"/>
      <c r="BS1736" s="16"/>
      <c r="BT1736" s="77"/>
      <c r="BU1736" s="16"/>
      <c r="BV1736" s="16"/>
      <c r="BW1736" s="16"/>
      <c r="BX1736" s="16"/>
      <c r="BY1736" s="16"/>
      <c r="BZ1736" s="16"/>
      <c r="CA1736" s="16"/>
      <c r="CB1736" s="16"/>
      <c r="CC1736" s="16"/>
      <c r="CD1736" s="77"/>
      <c r="CE1736" s="16"/>
      <c r="CF1736" s="16"/>
      <c r="CG1736" s="16"/>
      <c r="CH1736" s="16"/>
      <c r="CI1736" s="16"/>
      <c r="CJ1736" s="16"/>
      <c r="CK1736" s="16"/>
      <c r="CL1736" s="16"/>
      <c r="CM1736" s="16"/>
      <c r="CN1736" s="16"/>
      <c r="CO1736" s="16"/>
      <c r="CP1736" s="16"/>
      <c r="CQ1736" s="16"/>
      <c r="CR1736" s="16"/>
      <c r="CS1736" s="16"/>
      <c r="CT1736" s="16"/>
      <c r="CU1736" s="16"/>
      <c r="CV1736" s="16"/>
      <c r="CW1736" s="16"/>
      <c r="CX1736" s="16"/>
      <c r="CY1736" s="16"/>
      <c r="CZ1736" s="16"/>
      <c r="DA1736" s="16"/>
      <c r="DB1736" s="16"/>
      <c r="DC1736" s="16"/>
      <c r="DD1736" s="16"/>
      <c r="DE1736" s="16"/>
      <c r="DF1736" s="16" t="e">
        <f>VLOOKUP(K1736,'[3]RNA Seq summary tables'!$V$3:$V$99,1,FALSE)</f>
        <v>#N/A</v>
      </c>
      <c r="DG1736" s="16"/>
      <c r="DH1736" s="16"/>
      <c r="DI1736" s="16"/>
      <c r="DJ1736" s="16"/>
      <c r="DK1736" s="16"/>
      <c r="DL1736" s="16"/>
      <c r="DM1736" s="16"/>
      <c r="DN1736" s="16"/>
      <c r="DO1736" s="16"/>
      <c r="DP1736" s="16"/>
      <c r="DQ1736" s="16"/>
      <c r="DR1736" s="16"/>
      <c r="DS1736" s="16"/>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18"/>
      <c r="EQ1736" s="18"/>
      <c r="ER1736" s="18"/>
      <c r="ES1736" s="18"/>
      <c r="ET1736" s="18"/>
      <c r="EU1736" s="18"/>
      <c r="EV1736" s="18"/>
      <c r="EW1736" s="18"/>
      <c r="EX1736" s="18"/>
      <c r="EY1736" s="18"/>
      <c r="EZ1736" s="18"/>
      <c r="FA1736" s="18"/>
      <c r="FB1736" s="18"/>
      <c r="FC1736" s="18"/>
      <c r="FD1736" s="18"/>
      <c r="FE1736" s="18"/>
      <c r="FF1736" s="18"/>
      <c r="FG1736" s="18"/>
      <c r="FH1736" s="18"/>
      <c r="FI1736" s="18"/>
      <c r="FJ1736" s="18"/>
      <c r="FK1736" s="18"/>
      <c r="FL1736" s="18"/>
      <c r="FM1736" s="18"/>
      <c r="FN1736" s="18"/>
      <c r="FO1736" s="18"/>
      <c r="FP1736" s="18"/>
      <c r="FQ1736" s="18"/>
      <c r="FR1736" s="18"/>
      <c r="FS1736" s="18"/>
      <c r="FT1736" s="18"/>
      <c r="FU1736" s="18"/>
      <c r="FV1736" s="18"/>
      <c r="FW1736" s="18"/>
      <c r="FX1736" s="18"/>
      <c r="FY1736" s="18"/>
      <c r="FZ1736" s="18"/>
      <c r="GA1736" s="18"/>
      <c r="GB1736" s="18"/>
      <c r="GC1736" s="18"/>
      <c r="GD1736" s="18"/>
      <c r="GE1736" s="18"/>
      <c r="GF1736" s="18"/>
      <c r="GG1736" s="18"/>
      <c r="GH1736" s="18"/>
      <c r="GI1736" s="18"/>
      <c r="GJ1736" s="18"/>
      <c r="GK1736" s="18"/>
      <c r="GL1736" s="18"/>
      <c r="GM1736" s="18"/>
      <c r="GN1736" s="18"/>
      <c r="GO1736" s="18"/>
      <c r="GP1736" s="18"/>
      <c r="GQ1736" s="18"/>
      <c r="GR1736" s="18"/>
      <c r="GS1736" s="18"/>
      <c r="GT1736" s="18"/>
      <c r="GU1736" s="18"/>
      <c r="GV1736" s="18"/>
      <c r="GW1736" s="18"/>
      <c r="GX1736" s="18"/>
      <c r="GY1736" s="18"/>
      <c r="GZ1736" s="18"/>
      <c r="HA1736" s="18"/>
      <c r="HB1736" s="18"/>
      <c r="HC1736" s="18"/>
      <c r="HD1736" s="18"/>
      <c r="HE1736" s="18"/>
      <c r="HF1736" s="18"/>
      <c r="HG1736" s="18"/>
      <c r="HH1736" s="18"/>
      <c r="HI1736" s="18"/>
      <c r="HJ1736" s="18"/>
      <c r="HK1736" s="18"/>
      <c r="HL1736" s="18"/>
      <c r="HM1736" s="18"/>
      <c r="HN1736" s="18"/>
      <c r="HO1736" s="18"/>
      <c r="HP1736" s="18"/>
      <c r="HQ1736" s="18"/>
      <c r="HR1736" s="18"/>
      <c r="HS1736" s="18"/>
      <c r="HT1736" s="18"/>
      <c r="HU1736" s="18"/>
      <c r="HV1736" s="18"/>
      <c r="HW1736" s="18"/>
      <c r="HX1736" s="18"/>
      <c r="HY1736" s="18"/>
      <c r="HZ1736" s="18"/>
      <c r="IA1736" s="18"/>
      <c r="IB1736" s="18"/>
      <c r="IC1736" s="18"/>
      <c r="ID1736" s="18"/>
      <c r="IE1736" s="18"/>
      <c r="IF1736" s="18"/>
      <c r="IG1736" s="18"/>
      <c r="IH1736" s="18"/>
      <c r="II1736" s="18"/>
      <c r="IJ1736" s="18"/>
      <c r="IK1736" s="18"/>
      <c r="IL1736" s="18"/>
      <c r="IM1736" s="18"/>
      <c r="IN1736" s="18"/>
      <c r="IO1736" s="18"/>
      <c r="IP1736" s="18"/>
      <c r="IQ1736" s="18"/>
      <c r="IR1736" s="18"/>
      <c r="IS1736" s="18"/>
      <c r="IT1736" s="18"/>
      <c r="IU1736" s="18"/>
      <c r="IV1736" s="18"/>
      <c r="IW1736" s="18"/>
      <c r="IX1736" s="18"/>
      <c r="IY1736" s="18"/>
      <c r="IZ1736" s="18"/>
      <c r="JA1736" s="18"/>
      <c r="JB1736" s="18"/>
      <c r="JC1736" s="18"/>
      <c r="JD1736" s="18"/>
      <c r="JE1736" s="18"/>
      <c r="JF1736" s="18"/>
      <c r="JG1736" s="18"/>
      <c r="JH1736" s="18"/>
      <c r="JI1736" s="18"/>
      <c r="JJ1736" s="18"/>
      <c r="JK1736" s="18"/>
      <c r="JL1736" s="18"/>
      <c r="JM1736" s="18"/>
      <c r="JN1736" s="18"/>
      <c r="JO1736" s="16"/>
      <c r="JP1736" s="16"/>
      <c r="JQ1736" s="16"/>
      <c r="JR1736" s="16"/>
      <c r="JS1736" s="16"/>
      <c r="JT1736" s="16"/>
      <c r="JU1736" s="16"/>
      <c r="JV1736" s="16"/>
      <c r="JW1736" s="16"/>
      <c r="JX1736" s="16"/>
      <c r="JY1736" s="16"/>
      <c r="JZ1736" s="16"/>
      <c r="KA1736" s="16"/>
      <c r="KB1736" s="16"/>
    </row>
    <row r="1737" spans="1:288" s="27" customFormat="1" x14ac:dyDescent="0.2">
      <c r="A1737" s="18"/>
      <c r="B1737" s="16">
        <v>2017</v>
      </c>
      <c r="C1737" s="20">
        <v>42907</v>
      </c>
      <c r="D1737" s="20" t="str">
        <f>CONCATENATE(J1737,"-",C1737)</f>
        <v>1045-42907</v>
      </c>
      <c r="E1737" s="20" t="str">
        <f>CONCATENATE(T1737,"-",U1737,"-",C1737)</f>
        <v>SP2-A3-42907</v>
      </c>
      <c r="F1737" s="20" t="s">
        <v>106</v>
      </c>
      <c r="G1737" s="20" t="s">
        <v>278</v>
      </c>
      <c r="H1737" s="16"/>
      <c r="I1737" s="16"/>
      <c r="J1737" s="21">
        <v>1045</v>
      </c>
      <c r="K1737" s="21"/>
      <c r="L1737" s="16"/>
      <c r="M1737" s="21"/>
      <c r="N1737" s="21"/>
      <c r="O1737" s="21"/>
      <c r="P1737" s="16"/>
      <c r="Q1737" s="16"/>
      <c r="R1737" s="16"/>
      <c r="S1737" s="16"/>
      <c r="T1737" s="16" t="s">
        <v>137</v>
      </c>
      <c r="U1737" s="16" t="s">
        <v>201</v>
      </c>
      <c r="V1737" s="16"/>
      <c r="W1737" s="16"/>
      <c r="X1737" s="16"/>
      <c r="Y1737" s="16"/>
      <c r="Z1737" s="16"/>
      <c r="AA1737" s="16"/>
      <c r="AB1737" s="16"/>
      <c r="AC1737" s="16"/>
      <c r="AD1737" s="16"/>
      <c r="AE1737" s="16"/>
      <c r="AF1737" s="16"/>
      <c r="AG1737" s="16"/>
      <c r="AH1737" s="16"/>
      <c r="AI1737" s="16"/>
      <c r="AJ1737" s="16"/>
      <c r="AK1737" s="16"/>
      <c r="AL1737" s="16"/>
      <c r="AM1737" s="16"/>
      <c r="AN1737" s="16"/>
      <c r="AO1737" s="16"/>
      <c r="AP1737" s="16">
        <f>SUM(AL1737:AN1737)</f>
        <v>0</v>
      </c>
      <c r="AQ1737" s="16"/>
      <c r="AR1737" s="16"/>
      <c r="AS1737" s="16"/>
      <c r="AT1737" s="16" t="s">
        <v>285</v>
      </c>
      <c r="AU1737" s="16"/>
      <c r="AV1737" s="16"/>
      <c r="AW1737" s="16"/>
      <c r="AX1737" s="16"/>
      <c r="AY1737" s="18"/>
      <c r="AZ1737" s="16"/>
      <c r="BA1737" s="16"/>
      <c r="BB1737" s="16"/>
      <c r="BC1737" s="16"/>
      <c r="BD1737" s="16"/>
      <c r="BE1737" s="16"/>
      <c r="BF1737" s="16"/>
      <c r="BG1737" s="77"/>
      <c r="BH1737" s="16"/>
      <c r="BI1737" s="16"/>
      <c r="BJ1737" s="16"/>
      <c r="BK1737" s="16"/>
      <c r="BL1737" s="16"/>
      <c r="BM1737" s="16"/>
      <c r="BN1737" s="16"/>
      <c r="BO1737" s="16"/>
      <c r="BP1737" s="16"/>
      <c r="BQ1737" s="16"/>
      <c r="BR1737" s="16"/>
      <c r="BS1737" s="16"/>
      <c r="BT1737" s="77"/>
      <c r="BU1737" s="16"/>
      <c r="BV1737" s="16"/>
      <c r="BW1737" s="16"/>
      <c r="BX1737" s="16"/>
      <c r="BY1737" s="16"/>
      <c r="BZ1737" s="16"/>
      <c r="CA1737" s="16"/>
      <c r="CB1737" s="16"/>
      <c r="CC1737" s="16"/>
      <c r="CD1737" s="77"/>
      <c r="CE1737" s="16"/>
      <c r="CF1737" s="16"/>
      <c r="CG1737" s="16"/>
      <c r="CH1737" s="16"/>
      <c r="CI1737" s="16"/>
      <c r="CJ1737" s="16"/>
      <c r="CK1737" s="16"/>
      <c r="CL1737" s="16"/>
      <c r="CM1737" s="16"/>
      <c r="CN1737" s="16"/>
      <c r="CO1737" s="16"/>
      <c r="CP1737" s="16"/>
      <c r="CQ1737" s="16"/>
      <c r="CR1737" s="16"/>
      <c r="CS1737" s="16"/>
      <c r="CT1737" s="16"/>
      <c r="CU1737" s="16"/>
      <c r="CV1737" s="16"/>
      <c r="CW1737" s="16"/>
      <c r="CX1737" s="16"/>
      <c r="CY1737" s="16"/>
      <c r="CZ1737" s="16"/>
      <c r="DA1737" s="16"/>
      <c r="DB1737" s="16"/>
      <c r="DC1737" s="16"/>
      <c r="DD1737" s="16"/>
      <c r="DE1737" s="16"/>
      <c r="DF1737" s="16" t="e">
        <f>VLOOKUP(K1737,'[3]RNA Seq summary tables'!$V$3:$V$99,1,FALSE)</f>
        <v>#N/A</v>
      </c>
      <c r="DG1737" s="16"/>
      <c r="DH1737" s="16"/>
      <c r="DI1737" s="16"/>
      <c r="DJ1737" s="16"/>
      <c r="DK1737" s="16"/>
      <c r="DL1737" s="16"/>
      <c r="DM1737" s="16"/>
      <c r="DN1737" s="16"/>
      <c r="DO1737" s="16"/>
      <c r="DP1737" s="16"/>
      <c r="DQ1737" s="16"/>
      <c r="DR1737" s="16"/>
      <c r="DS1737" s="16"/>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18"/>
      <c r="EQ1737" s="18"/>
      <c r="ER1737" s="18"/>
      <c r="ES1737" s="18"/>
      <c r="ET1737" s="18"/>
      <c r="EU1737" s="18"/>
      <c r="EV1737" s="18"/>
      <c r="EW1737" s="18"/>
      <c r="EX1737" s="18"/>
      <c r="EY1737" s="18"/>
      <c r="EZ1737" s="18"/>
      <c r="FA1737" s="18"/>
      <c r="FB1737" s="18"/>
      <c r="FC1737" s="18"/>
      <c r="FD1737" s="18"/>
      <c r="FE1737" s="18"/>
      <c r="FF1737" s="18"/>
      <c r="FG1737" s="18"/>
      <c r="FH1737" s="18"/>
      <c r="FI1737" s="18"/>
      <c r="FJ1737" s="18"/>
      <c r="FK1737" s="18"/>
      <c r="FL1737" s="18"/>
      <c r="FM1737" s="18"/>
      <c r="FN1737" s="18"/>
      <c r="FO1737" s="18"/>
      <c r="FP1737" s="18"/>
      <c r="FQ1737" s="18"/>
      <c r="FR1737" s="18"/>
      <c r="FS1737" s="18"/>
      <c r="FT1737" s="18"/>
      <c r="FU1737" s="18"/>
      <c r="FV1737" s="18"/>
      <c r="FW1737" s="18"/>
      <c r="FX1737" s="18"/>
      <c r="FY1737" s="18"/>
      <c r="FZ1737" s="18"/>
      <c r="GA1737" s="18"/>
      <c r="GB1737" s="18"/>
      <c r="GC1737" s="18"/>
      <c r="GD1737" s="18"/>
      <c r="GE1737" s="18"/>
      <c r="GF1737" s="18"/>
      <c r="GG1737" s="18"/>
      <c r="GH1737" s="18"/>
      <c r="GI1737" s="18"/>
      <c r="GJ1737" s="18"/>
      <c r="GK1737" s="18"/>
      <c r="GL1737" s="18"/>
      <c r="GM1737" s="18"/>
      <c r="GN1737" s="18"/>
      <c r="GO1737" s="18"/>
      <c r="GP1737" s="18"/>
      <c r="GQ1737" s="18"/>
      <c r="GR1737" s="18"/>
      <c r="GS1737" s="18"/>
      <c r="GT1737" s="18"/>
      <c r="GU1737" s="18"/>
      <c r="GV1737" s="18"/>
      <c r="GW1737" s="18"/>
      <c r="GX1737" s="18"/>
      <c r="GY1737" s="18"/>
      <c r="GZ1737" s="18"/>
      <c r="HA1737" s="18"/>
      <c r="HB1737" s="18"/>
      <c r="HC1737" s="18"/>
      <c r="HD1737" s="18"/>
      <c r="HE1737" s="18"/>
      <c r="HF1737" s="18"/>
      <c r="HG1737" s="18"/>
      <c r="HH1737" s="18"/>
      <c r="HI1737" s="18"/>
      <c r="HJ1737" s="18"/>
      <c r="HK1737" s="18"/>
      <c r="HL1737" s="18"/>
      <c r="HM1737" s="18"/>
      <c r="HN1737" s="18"/>
      <c r="HO1737" s="18"/>
      <c r="HP1737" s="18"/>
      <c r="HQ1737" s="18"/>
      <c r="HR1737" s="18"/>
      <c r="HS1737" s="18"/>
      <c r="HT1737" s="18"/>
      <c r="HU1737" s="18"/>
      <c r="HV1737" s="18"/>
      <c r="HW1737" s="18"/>
      <c r="HX1737" s="18"/>
      <c r="HY1737" s="18"/>
      <c r="HZ1737" s="18"/>
      <c r="IA1737" s="18"/>
      <c r="IB1737" s="18"/>
      <c r="IC1737" s="18"/>
      <c r="ID1737" s="18"/>
      <c r="IE1737" s="18"/>
      <c r="IF1737" s="18"/>
      <c r="IG1737" s="18"/>
      <c r="IH1737" s="18"/>
      <c r="II1737" s="18"/>
      <c r="IJ1737" s="18"/>
      <c r="IK1737" s="18"/>
      <c r="IL1737" s="18"/>
      <c r="IM1737" s="18"/>
      <c r="IN1737" s="18"/>
      <c r="IO1737" s="18"/>
      <c r="IP1737" s="18"/>
      <c r="IQ1737" s="18"/>
      <c r="IR1737" s="18"/>
      <c r="IS1737" s="18"/>
      <c r="IT1737" s="18"/>
      <c r="IU1737" s="18"/>
      <c r="IV1737" s="18"/>
      <c r="IW1737" s="18"/>
      <c r="IX1737" s="18"/>
      <c r="IY1737" s="18"/>
      <c r="IZ1737" s="18"/>
      <c r="JA1737" s="18"/>
      <c r="JB1737" s="18"/>
      <c r="JC1737" s="18"/>
      <c r="JD1737" s="18"/>
      <c r="JE1737" s="18"/>
      <c r="JF1737" s="18"/>
      <c r="JG1737" s="18"/>
      <c r="JH1737" s="18"/>
      <c r="JI1737" s="18"/>
      <c r="JJ1737" s="18"/>
      <c r="JK1737" s="18"/>
      <c r="JL1737" s="18"/>
      <c r="JM1737" s="18"/>
      <c r="JN1737" s="18"/>
      <c r="JO1737" s="16"/>
      <c r="JP1737" s="16"/>
      <c r="JQ1737" s="16"/>
      <c r="JR1737" s="16"/>
      <c r="JS1737" s="16"/>
      <c r="JT1737" s="16"/>
      <c r="JU1737" s="16"/>
      <c r="JV1737" s="16"/>
      <c r="JW1737" s="16"/>
      <c r="JX1737" s="16"/>
      <c r="JY1737" s="16"/>
      <c r="JZ1737" s="16"/>
      <c r="KA1737" s="16"/>
      <c r="KB1737" s="16"/>
    </row>
    <row r="1738" spans="1:288" s="27" customFormat="1" x14ac:dyDescent="0.2">
      <c r="A1738" s="18"/>
      <c r="B1738" s="16">
        <v>2017</v>
      </c>
      <c r="C1738" s="20">
        <v>42923</v>
      </c>
      <c r="D1738" s="20" t="str">
        <f>CONCATENATE(J1738,"-",C1738)</f>
        <v>1045-42923</v>
      </c>
      <c r="E1738" s="20" t="str">
        <f>CONCATENATE(T1738,"-",U1738,"-",C1738)</f>
        <v>SP2-C3-42923</v>
      </c>
      <c r="F1738" s="20" t="s">
        <v>106</v>
      </c>
      <c r="G1738" s="20" t="s">
        <v>278</v>
      </c>
      <c r="H1738" s="16"/>
      <c r="I1738" s="16"/>
      <c r="J1738" s="21">
        <v>1045</v>
      </c>
      <c r="K1738" s="21"/>
      <c r="L1738" s="16"/>
      <c r="M1738" s="21"/>
      <c r="N1738" s="21"/>
      <c r="O1738" s="21"/>
      <c r="P1738" s="16"/>
      <c r="Q1738" s="16"/>
      <c r="R1738" s="16"/>
      <c r="S1738" s="16"/>
      <c r="T1738" s="16" t="s">
        <v>137</v>
      </c>
      <c r="U1738" s="16" t="s">
        <v>237</v>
      </c>
      <c r="V1738" s="16"/>
      <c r="W1738" s="16"/>
      <c r="X1738" s="16"/>
      <c r="Y1738" s="16"/>
      <c r="Z1738" s="16"/>
      <c r="AA1738" s="16"/>
      <c r="AB1738" s="16"/>
      <c r="AC1738" s="16"/>
      <c r="AD1738" s="16"/>
      <c r="AE1738" s="16"/>
      <c r="AF1738" s="16"/>
      <c r="AG1738" s="16"/>
      <c r="AH1738" s="16"/>
      <c r="AI1738" s="16"/>
      <c r="AJ1738" s="16"/>
      <c r="AK1738" s="16"/>
      <c r="AL1738" s="16"/>
      <c r="AM1738" s="16"/>
      <c r="AN1738" s="16"/>
      <c r="AO1738" s="16"/>
      <c r="AP1738" s="16">
        <f>SUM(AL1738:AN1738)</f>
        <v>0</v>
      </c>
      <c r="AQ1738" s="16"/>
      <c r="AR1738" s="16"/>
      <c r="AS1738" s="16"/>
      <c r="AT1738" s="16" t="s">
        <v>285</v>
      </c>
      <c r="AU1738" s="16"/>
      <c r="AV1738" s="16"/>
      <c r="AW1738" s="16"/>
      <c r="AX1738" s="16"/>
      <c r="AY1738" s="18"/>
      <c r="AZ1738" s="16"/>
      <c r="BA1738" s="16"/>
      <c r="BB1738" s="16"/>
      <c r="BC1738" s="16"/>
      <c r="BD1738" s="16"/>
      <c r="BE1738" s="16"/>
      <c r="BF1738" s="16"/>
      <c r="BG1738" s="77"/>
      <c r="BH1738" s="16"/>
      <c r="BI1738" s="16"/>
      <c r="BJ1738" s="16"/>
      <c r="BK1738" s="16"/>
      <c r="BL1738" s="16"/>
      <c r="BM1738" s="16"/>
      <c r="BN1738" s="16"/>
      <c r="BO1738" s="16"/>
      <c r="BP1738" s="16"/>
      <c r="BQ1738" s="16"/>
      <c r="BR1738" s="16"/>
      <c r="BS1738" s="16"/>
      <c r="BT1738" s="77"/>
      <c r="BU1738" s="16"/>
      <c r="BV1738" s="16"/>
      <c r="BW1738" s="16"/>
      <c r="BX1738" s="16"/>
      <c r="BY1738" s="16"/>
      <c r="BZ1738" s="16"/>
      <c r="CA1738" s="16"/>
      <c r="CB1738" s="16"/>
      <c r="CC1738" s="16"/>
      <c r="CD1738" s="77"/>
      <c r="CE1738" s="16"/>
      <c r="CF1738" s="16"/>
      <c r="CG1738" s="16"/>
      <c r="CH1738" s="16"/>
      <c r="CI1738" s="16"/>
      <c r="CJ1738" s="16"/>
      <c r="CK1738" s="16"/>
      <c r="CL1738" s="16"/>
      <c r="CM1738" s="16"/>
      <c r="CN1738" s="16"/>
      <c r="CO1738" s="16"/>
      <c r="CP1738" s="16"/>
      <c r="CQ1738" s="16"/>
      <c r="CR1738" s="16"/>
      <c r="CS1738" s="16"/>
      <c r="CT1738" s="16"/>
      <c r="CU1738" s="16"/>
      <c r="CV1738" s="16"/>
      <c r="CW1738" s="16"/>
      <c r="CX1738" s="16"/>
      <c r="CY1738" s="16"/>
      <c r="CZ1738" s="16"/>
      <c r="DA1738" s="16"/>
      <c r="DB1738" s="16"/>
      <c r="DC1738" s="16"/>
      <c r="DD1738" s="16"/>
      <c r="DE1738" s="16"/>
      <c r="DF1738" s="16" t="e">
        <f>VLOOKUP(K1738,'[3]RNA Seq summary tables'!$V$3:$V$99,1,FALSE)</f>
        <v>#N/A</v>
      </c>
      <c r="DG1738" s="16"/>
      <c r="DH1738" s="16"/>
      <c r="DI1738" s="16"/>
      <c r="DJ1738" s="16"/>
      <c r="DK1738" s="16"/>
      <c r="DL1738" s="16"/>
      <c r="DM1738" s="16"/>
      <c r="DN1738" s="16"/>
      <c r="DO1738" s="16"/>
      <c r="DP1738" s="16"/>
      <c r="DQ1738" s="16"/>
      <c r="DR1738" s="16"/>
      <c r="DS1738" s="16"/>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18"/>
      <c r="EQ1738" s="18"/>
      <c r="ER1738" s="18"/>
      <c r="ES1738" s="18"/>
      <c r="ET1738" s="18"/>
      <c r="EU1738" s="18"/>
      <c r="EV1738" s="18"/>
      <c r="EW1738" s="18"/>
      <c r="EX1738" s="18"/>
      <c r="EY1738" s="18"/>
      <c r="EZ1738" s="18"/>
      <c r="FA1738" s="18"/>
      <c r="FB1738" s="18"/>
      <c r="FC1738" s="18"/>
      <c r="FD1738" s="18"/>
      <c r="FE1738" s="18"/>
      <c r="FF1738" s="18"/>
      <c r="FG1738" s="18"/>
      <c r="FH1738" s="18"/>
      <c r="FI1738" s="18"/>
      <c r="FJ1738" s="18"/>
      <c r="FK1738" s="18"/>
      <c r="FL1738" s="18"/>
      <c r="FM1738" s="18"/>
      <c r="FN1738" s="18"/>
      <c r="FO1738" s="18"/>
      <c r="FP1738" s="18"/>
      <c r="FQ1738" s="18"/>
      <c r="FR1738" s="18"/>
      <c r="FS1738" s="18"/>
      <c r="FT1738" s="18"/>
      <c r="FU1738" s="18"/>
      <c r="FV1738" s="18"/>
      <c r="FW1738" s="18"/>
      <c r="FX1738" s="18"/>
      <c r="FY1738" s="18"/>
      <c r="FZ1738" s="18"/>
      <c r="GA1738" s="18"/>
      <c r="GB1738" s="18"/>
      <c r="GC1738" s="18"/>
      <c r="GD1738" s="18"/>
      <c r="GE1738" s="18"/>
      <c r="GF1738" s="18"/>
      <c r="GG1738" s="18"/>
      <c r="GH1738" s="18"/>
      <c r="GI1738" s="18"/>
      <c r="GJ1738" s="18"/>
      <c r="GK1738" s="18"/>
      <c r="GL1738" s="18"/>
      <c r="GM1738" s="18"/>
      <c r="GN1738" s="18"/>
      <c r="GO1738" s="18"/>
      <c r="GP1738" s="18"/>
      <c r="GQ1738" s="18"/>
      <c r="GR1738" s="18"/>
      <c r="GS1738" s="18"/>
      <c r="GT1738" s="18"/>
      <c r="GU1738" s="18"/>
      <c r="GV1738" s="18"/>
      <c r="GW1738" s="18"/>
      <c r="GX1738" s="18"/>
      <c r="GY1738" s="18"/>
      <c r="GZ1738" s="18"/>
      <c r="HA1738" s="18"/>
      <c r="HB1738" s="18"/>
      <c r="HC1738" s="18"/>
      <c r="HD1738" s="18"/>
      <c r="HE1738" s="18"/>
      <c r="HF1738" s="18"/>
      <c r="HG1738" s="18"/>
      <c r="HH1738" s="18"/>
      <c r="HI1738" s="18"/>
      <c r="HJ1738" s="18"/>
      <c r="HK1738" s="18"/>
      <c r="HL1738" s="18"/>
      <c r="HM1738" s="18"/>
      <c r="HN1738" s="18"/>
      <c r="HO1738" s="18"/>
      <c r="HP1738" s="18"/>
      <c r="HQ1738" s="18"/>
      <c r="HR1738" s="18"/>
      <c r="HS1738" s="18"/>
      <c r="HT1738" s="18"/>
      <c r="HU1738" s="18"/>
      <c r="HV1738" s="18"/>
      <c r="HW1738" s="18"/>
      <c r="HX1738" s="18"/>
      <c r="HY1738" s="18"/>
      <c r="HZ1738" s="18"/>
      <c r="IA1738" s="18"/>
      <c r="IB1738" s="18"/>
      <c r="IC1738" s="18"/>
      <c r="ID1738" s="18"/>
      <c r="IE1738" s="18"/>
      <c r="IF1738" s="18"/>
      <c r="IG1738" s="18"/>
      <c r="IH1738" s="18"/>
      <c r="II1738" s="18"/>
      <c r="IJ1738" s="18"/>
      <c r="IK1738" s="18"/>
      <c r="IL1738" s="18"/>
      <c r="IM1738" s="18"/>
      <c r="IN1738" s="18"/>
      <c r="IO1738" s="18"/>
      <c r="IP1738" s="18"/>
      <c r="IQ1738" s="18"/>
      <c r="IR1738" s="18"/>
      <c r="IS1738" s="18"/>
      <c r="IT1738" s="18"/>
      <c r="IU1738" s="18"/>
      <c r="IV1738" s="18"/>
      <c r="IW1738" s="18"/>
      <c r="IX1738" s="18"/>
      <c r="IY1738" s="18"/>
      <c r="IZ1738" s="18"/>
      <c r="JA1738" s="18"/>
      <c r="JB1738" s="18"/>
      <c r="JC1738" s="18"/>
      <c r="JD1738" s="18"/>
      <c r="JE1738" s="18"/>
      <c r="JF1738" s="18"/>
      <c r="JG1738" s="18"/>
      <c r="JH1738" s="18"/>
      <c r="JI1738" s="18"/>
      <c r="JJ1738" s="18"/>
      <c r="JK1738" s="18"/>
      <c r="JL1738" s="18"/>
      <c r="JM1738" s="18"/>
      <c r="JN1738" s="18"/>
      <c r="JO1738" s="16"/>
      <c r="JP1738" s="16"/>
      <c r="JQ1738" s="16"/>
    </row>
    <row r="1739" spans="1:288" s="18" customFormat="1" x14ac:dyDescent="0.2">
      <c r="B1739" s="16">
        <v>2017</v>
      </c>
      <c r="C1739" s="20">
        <v>42940</v>
      </c>
      <c r="D1739" s="20" t="str">
        <f>CONCATENATE(J1739,"-",C1739)</f>
        <v>1045-42940</v>
      </c>
      <c r="E1739" s="20" t="str">
        <f>CONCATENATE(T1739,"-",U1739,"-",C1739)</f>
        <v>SP2-E5-42940</v>
      </c>
      <c r="F1739" s="20" t="s">
        <v>106</v>
      </c>
      <c r="G1739" s="20" t="s">
        <v>278</v>
      </c>
      <c r="H1739" s="16"/>
      <c r="I1739" s="16"/>
      <c r="J1739" s="21">
        <v>1045</v>
      </c>
      <c r="K1739" s="21"/>
      <c r="L1739" s="16"/>
      <c r="M1739" s="21"/>
      <c r="N1739" s="21"/>
      <c r="O1739" s="21"/>
      <c r="P1739" s="16"/>
      <c r="Q1739" s="16"/>
      <c r="R1739" s="16"/>
      <c r="S1739" s="16"/>
      <c r="T1739" s="16" t="s">
        <v>137</v>
      </c>
      <c r="U1739" s="16" t="s">
        <v>158</v>
      </c>
      <c r="V1739" s="16"/>
      <c r="W1739" s="16"/>
      <c r="X1739" s="16"/>
      <c r="Y1739" s="16"/>
      <c r="Z1739" s="16"/>
      <c r="AA1739" s="16"/>
      <c r="AB1739" s="16"/>
      <c r="AC1739" s="16"/>
      <c r="AD1739" s="16"/>
      <c r="AE1739" s="16"/>
      <c r="AF1739" s="16"/>
      <c r="AG1739" s="16"/>
      <c r="AH1739" s="16"/>
      <c r="AI1739" s="16"/>
      <c r="AJ1739" s="16"/>
      <c r="AK1739" s="16"/>
      <c r="AL1739" s="16"/>
      <c r="AM1739" s="16"/>
      <c r="AN1739" s="16"/>
      <c r="AO1739" s="16"/>
      <c r="AP1739" s="16">
        <f>SUM(AL1739:AN1739)</f>
        <v>0</v>
      </c>
      <c r="AQ1739" s="16"/>
      <c r="AR1739" s="16"/>
      <c r="AS1739" s="16"/>
      <c r="AT1739" s="16" t="s">
        <v>285</v>
      </c>
      <c r="AU1739" s="16"/>
      <c r="AV1739" s="16"/>
      <c r="AW1739" s="16"/>
      <c r="AX1739" s="16"/>
      <c r="AZ1739" s="16"/>
      <c r="BA1739" s="16"/>
      <c r="BB1739" s="16"/>
      <c r="BC1739" s="16"/>
      <c r="BD1739" s="16"/>
      <c r="BE1739" s="16"/>
      <c r="BF1739" s="16"/>
      <c r="BG1739" s="77"/>
      <c r="BH1739" s="16"/>
      <c r="BI1739" s="16"/>
      <c r="BJ1739" s="16"/>
      <c r="BK1739" s="16"/>
      <c r="BL1739" s="16"/>
      <c r="BM1739" s="16"/>
      <c r="BN1739" s="16"/>
      <c r="BO1739" s="16"/>
      <c r="BP1739" s="16"/>
      <c r="BQ1739" s="16"/>
      <c r="BR1739" s="16"/>
      <c r="BS1739" s="16"/>
      <c r="BT1739" s="77"/>
      <c r="BU1739" s="16"/>
      <c r="BV1739" s="16"/>
      <c r="BW1739" s="16"/>
      <c r="BX1739" s="16"/>
      <c r="BY1739" s="16"/>
      <c r="BZ1739" s="16"/>
      <c r="CA1739" s="16"/>
      <c r="CB1739" s="16"/>
      <c r="CC1739" s="16"/>
      <c r="CD1739" s="77"/>
      <c r="CE1739" s="16"/>
      <c r="CF1739" s="16"/>
      <c r="CG1739" s="16"/>
      <c r="CH1739" s="16"/>
      <c r="CI1739" s="16"/>
      <c r="CJ1739" s="16"/>
      <c r="CK1739" s="16"/>
      <c r="CL1739" s="16"/>
      <c r="CM1739" s="16"/>
      <c r="CN1739" s="16"/>
      <c r="CO1739" s="16"/>
      <c r="CP1739" s="16"/>
      <c r="CQ1739" s="16"/>
      <c r="CR1739" s="16"/>
      <c r="CS1739" s="16"/>
      <c r="CT1739" s="16"/>
      <c r="CU1739" s="16"/>
      <c r="CV1739" s="16"/>
      <c r="CW1739" s="16"/>
      <c r="CX1739" s="16"/>
      <c r="CY1739" s="16"/>
      <c r="CZ1739" s="16"/>
      <c r="DA1739" s="16"/>
      <c r="DB1739" s="16"/>
      <c r="DC1739" s="16"/>
      <c r="DD1739" s="16"/>
      <c r="DE1739" s="16"/>
      <c r="DF1739" s="16" t="e">
        <f>VLOOKUP(K1739,'[3]RNA Seq summary tables'!$V$3:$V$99,1,FALSE)</f>
        <v>#N/A</v>
      </c>
      <c r="DG1739" s="16"/>
      <c r="DH1739" s="16"/>
      <c r="DI1739" s="16"/>
      <c r="DJ1739" s="16"/>
      <c r="DK1739" s="16"/>
      <c r="DL1739" s="16"/>
      <c r="DM1739" s="16"/>
      <c r="DN1739" s="16"/>
      <c r="DO1739" s="16"/>
      <c r="DP1739" s="16"/>
      <c r="DQ1739" s="16"/>
      <c r="DR1739" s="16"/>
      <c r="DS1739" s="16"/>
      <c r="JO1739" s="27"/>
      <c r="JP1739" s="16"/>
      <c r="JQ1739" s="16"/>
      <c r="JR1739" s="16"/>
      <c r="JS1739" s="16"/>
      <c r="JT1739" s="16"/>
      <c r="JU1739" s="16"/>
      <c r="JV1739" s="16"/>
      <c r="JW1739" s="16"/>
      <c r="JX1739" s="16"/>
      <c r="JY1739" s="16"/>
      <c r="JZ1739" s="16"/>
      <c r="KA1739" s="16"/>
      <c r="KB1739" s="16"/>
    </row>
    <row r="1740" spans="1:288" s="18" customFormat="1" x14ac:dyDescent="0.2">
      <c r="B1740" s="16">
        <v>2017</v>
      </c>
      <c r="C1740" s="20">
        <v>42958</v>
      </c>
      <c r="D1740" s="20" t="str">
        <f>CONCATENATE(J1740,"-",C1740)</f>
        <v>1045-42958</v>
      </c>
      <c r="E1740" s="20" t="str">
        <f>CONCATENATE(T1740,"-",U1740,"-",C1740)</f>
        <v>SP2-C2-42958</v>
      </c>
      <c r="F1740" s="20" t="s">
        <v>106</v>
      </c>
      <c r="G1740" s="20" t="s">
        <v>278</v>
      </c>
      <c r="H1740" s="16"/>
      <c r="I1740" s="16"/>
      <c r="J1740" s="21">
        <v>1045</v>
      </c>
      <c r="K1740" s="21"/>
      <c r="L1740" s="16"/>
      <c r="M1740" s="21"/>
      <c r="N1740" s="21"/>
      <c r="O1740" s="21"/>
      <c r="P1740" s="16"/>
      <c r="Q1740" s="16"/>
      <c r="R1740" s="16"/>
      <c r="S1740" s="16"/>
      <c r="T1740" s="16" t="s">
        <v>137</v>
      </c>
      <c r="U1740" s="16" t="s">
        <v>162</v>
      </c>
      <c r="V1740" s="16"/>
      <c r="W1740" s="16"/>
      <c r="X1740" s="16"/>
      <c r="Y1740" s="16"/>
      <c r="Z1740" s="16"/>
      <c r="AA1740" s="16"/>
      <c r="AB1740" s="16"/>
      <c r="AC1740" s="16"/>
      <c r="AD1740" s="16"/>
      <c r="AE1740" s="16"/>
      <c r="AF1740" s="16"/>
      <c r="AG1740" s="16"/>
      <c r="AH1740" s="16"/>
      <c r="AI1740" s="16"/>
      <c r="AJ1740" s="16"/>
      <c r="AK1740" s="16"/>
      <c r="AL1740" s="16"/>
      <c r="AM1740" s="16"/>
      <c r="AN1740" s="16"/>
      <c r="AO1740" s="16"/>
      <c r="AP1740" s="16">
        <f>SUM(AL1740:AN1740)</f>
        <v>0</v>
      </c>
      <c r="AQ1740" s="16"/>
      <c r="AR1740" s="16"/>
      <c r="AS1740" s="16"/>
      <c r="AT1740" s="16" t="s">
        <v>285</v>
      </c>
      <c r="AU1740" s="16"/>
      <c r="AV1740" s="16"/>
      <c r="AW1740" s="16"/>
      <c r="AX1740" s="16"/>
      <c r="AZ1740" s="16"/>
      <c r="BA1740" s="16"/>
      <c r="BB1740" s="16"/>
      <c r="BC1740" s="16"/>
      <c r="BD1740" s="16"/>
      <c r="BE1740" s="16"/>
      <c r="BF1740" s="16"/>
      <c r="BG1740" s="77"/>
      <c r="BH1740" s="16"/>
      <c r="BI1740" s="16"/>
      <c r="BJ1740" s="16"/>
      <c r="BK1740" s="16"/>
      <c r="BL1740" s="16"/>
      <c r="BM1740" s="16"/>
      <c r="BN1740" s="16"/>
      <c r="BO1740" s="16"/>
      <c r="BP1740" s="16"/>
      <c r="BQ1740" s="16"/>
      <c r="BR1740" s="16"/>
      <c r="BS1740" s="16"/>
      <c r="BT1740" s="77"/>
      <c r="BU1740" s="16"/>
      <c r="BV1740" s="16"/>
      <c r="BW1740" s="16"/>
      <c r="BX1740" s="16"/>
      <c r="BY1740" s="16"/>
      <c r="BZ1740" s="16"/>
      <c r="CA1740" s="16"/>
      <c r="CB1740" s="16"/>
      <c r="CC1740" s="16"/>
      <c r="CD1740" s="77"/>
      <c r="CE1740" s="16"/>
      <c r="CF1740" s="16"/>
      <c r="CG1740" s="16"/>
      <c r="CH1740" s="16"/>
      <c r="CI1740" s="16"/>
      <c r="CJ1740" s="16"/>
      <c r="CK1740" s="16"/>
      <c r="CL1740" s="16"/>
      <c r="CM1740" s="16"/>
      <c r="CN1740" s="16"/>
      <c r="CO1740" s="16"/>
      <c r="CP1740" s="16"/>
      <c r="CQ1740" s="16"/>
      <c r="CR1740" s="16"/>
      <c r="CS1740" s="16"/>
      <c r="CT1740" s="16"/>
      <c r="CU1740" s="16"/>
      <c r="CV1740" s="16"/>
      <c r="CW1740" s="16"/>
      <c r="CX1740" s="16"/>
      <c r="CY1740" s="16"/>
      <c r="CZ1740" s="16"/>
      <c r="DA1740" s="16"/>
      <c r="DB1740" s="16"/>
      <c r="DC1740" s="16"/>
      <c r="DD1740" s="16"/>
      <c r="DE1740" s="16"/>
      <c r="DF1740" s="16" t="e">
        <f>VLOOKUP(K1740,'[3]RNA Seq summary tables'!$V$3:$V$99,1,FALSE)</f>
        <v>#N/A</v>
      </c>
      <c r="DG1740" s="16"/>
      <c r="DH1740" s="16"/>
      <c r="DI1740" s="16"/>
      <c r="DJ1740" s="16"/>
      <c r="DK1740" s="16"/>
      <c r="DL1740" s="16"/>
      <c r="DM1740" s="16"/>
      <c r="DN1740" s="16"/>
      <c r="DO1740" s="16"/>
      <c r="DP1740" s="16"/>
      <c r="DQ1740" s="16"/>
      <c r="DR1740" s="16"/>
      <c r="DS1740" s="16"/>
      <c r="JO1740" s="27"/>
      <c r="JP1740" s="16"/>
      <c r="JQ1740" s="16"/>
      <c r="JR1740" s="16"/>
      <c r="JS1740" s="16"/>
      <c r="JT1740" s="16"/>
      <c r="JU1740" s="16"/>
      <c r="JV1740" s="16"/>
      <c r="JW1740" s="16"/>
      <c r="JX1740" s="16"/>
      <c r="JY1740" s="16"/>
      <c r="JZ1740" s="16"/>
      <c r="KA1740" s="16"/>
      <c r="KB1740" s="16"/>
    </row>
    <row r="1741" spans="1:288" s="18" customFormat="1" x14ac:dyDescent="0.2">
      <c r="B1741" s="16">
        <v>2017</v>
      </c>
      <c r="C1741" s="20">
        <v>42959</v>
      </c>
      <c r="D1741" s="20" t="str">
        <f>CONCATENATE(J1741,"-",C1741)</f>
        <v>1045-42959</v>
      </c>
      <c r="E1741" s="20" t="str">
        <f>CONCATENATE(T1741,"-",U1741,"-",C1741)</f>
        <v>SP2-B3-42959</v>
      </c>
      <c r="F1741" s="20" t="s">
        <v>106</v>
      </c>
      <c r="G1741" s="20" t="s">
        <v>278</v>
      </c>
      <c r="H1741" s="16"/>
      <c r="I1741" s="16"/>
      <c r="J1741" s="21">
        <v>1045</v>
      </c>
      <c r="K1741" s="21"/>
      <c r="L1741" s="16"/>
      <c r="M1741" s="21"/>
      <c r="N1741" s="21"/>
      <c r="O1741" s="21"/>
      <c r="P1741" s="16"/>
      <c r="Q1741" s="16"/>
      <c r="R1741" s="16"/>
      <c r="S1741" s="16"/>
      <c r="T1741" s="16" t="s">
        <v>137</v>
      </c>
      <c r="U1741" s="16" t="s">
        <v>131</v>
      </c>
      <c r="V1741" s="16"/>
      <c r="W1741" s="16"/>
      <c r="X1741" s="16"/>
      <c r="Y1741" s="16"/>
      <c r="Z1741" s="16"/>
      <c r="AA1741" s="16"/>
      <c r="AB1741" s="16"/>
      <c r="AC1741" s="16"/>
      <c r="AD1741" s="16"/>
      <c r="AE1741" s="16"/>
      <c r="AF1741" s="16"/>
      <c r="AG1741" s="16"/>
      <c r="AH1741" s="16"/>
      <c r="AI1741" s="16"/>
      <c r="AJ1741" s="16"/>
      <c r="AK1741" s="16"/>
      <c r="AL1741" s="16"/>
      <c r="AM1741" s="16"/>
      <c r="AN1741" s="16"/>
      <c r="AO1741" s="16"/>
      <c r="AP1741" s="16">
        <f>SUM(AL1741:AN1741)</f>
        <v>0</v>
      </c>
      <c r="AQ1741" s="16"/>
      <c r="AR1741" s="16"/>
      <c r="AS1741" s="16"/>
      <c r="AT1741" s="16" t="s">
        <v>285</v>
      </c>
      <c r="AU1741" s="16"/>
      <c r="AV1741" s="16"/>
      <c r="AW1741" s="16"/>
      <c r="AX1741" s="16"/>
      <c r="AZ1741" s="16"/>
      <c r="BA1741" s="16"/>
      <c r="BB1741" s="16"/>
      <c r="BC1741" s="16"/>
      <c r="BD1741" s="16"/>
      <c r="BE1741" s="16"/>
      <c r="BF1741" s="16"/>
      <c r="BG1741" s="77"/>
      <c r="BH1741" s="16"/>
      <c r="BI1741" s="16"/>
      <c r="BJ1741" s="16"/>
      <c r="BK1741" s="16"/>
      <c r="BL1741" s="16"/>
      <c r="BM1741" s="16"/>
      <c r="BN1741" s="16"/>
      <c r="BO1741" s="16"/>
      <c r="BP1741" s="16"/>
      <c r="BQ1741" s="16"/>
      <c r="BR1741" s="16"/>
      <c r="BS1741" s="16"/>
      <c r="BT1741" s="77"/>
      <c r="BU1741" s="16"/>
      <c r="BV1741" s="16"/>
      <c r="BW1741" s="16"/>
      <c r="BX1741" s="16"/>
      <c r="BY1741" s="16"/>
      <c r="BZ1741" s="16"/>
      <c r="CA1741" s="16"/>
      <c r="CB1741" s="16"/>
      <c r="CC1741" s="16"/>
      <c r="CD1741" s="77"/>
      <c r="CE1741" s="16"/>
      <c r="CF1741" s="16"/>
      <c r="CG1741" s="16"/>
      <c r="CH1741" s="16"/>
      <c r="CI1741" s="16"/>
      <c r="CJ1741" s="16"/>
      <c r="CK1741" s="16"/>
      <c r="CL1741" s="16"/>
      <c r="CM1741" s="16"/>
      <c r="CN1741" s="16"/>
      <c r="CO1741" s="16"/>
      <c r="CP1741" s="16"/>
      <c r="CQ1741" s="16"/>
      <c r="CR1741" s="16"/>
      <c r="CS1741" s="16"/>
      <c r="CT1741" s="16"/>
      <c r="CU1741" s="16"/>
      <c r="CV1741" s="16"/>
      <c r="CW1741" s="16"/>
      <c r="CX1741" s="16"/>
      <c r="CY1741" s="16"/>
      <c r="CZ1741" s="16"/>
      <c r="DA1741" s="16"/>
      <c r="DB1741" s="16"/>
      <c r="DC1741" s="16"/>
      <c r="DD1741" s="16"/>
      <c r="DE1741" s="16"/>
      <c r="DF1741" s="16" t="e">
        <f>VLOOKUP(K1741,'[3]RNA Seq summary tables'!$V$3:$V$99,1,FALSE)</f>
        <v>#N/A</v>
      </c>
      <c r="DG1741" s="16"/>
      <c r="DH1741" s="16"/>
      <c r="DI1741" s="16"/>
      <c r="DJ1741" s="16"/>
      <c r="DK1741" s="16"/>
      <c r="DL1741" s="16"/>
      <c r="DM1741" s="16"/>
      <c r="DN1741" s="16"/>
      <c r="DO1741" s="16"/>
      <c r="DP1741" s="16"/>
      <c r="DQ1741" s="16"/>
      <c r="DR1741" s="16"/>
      <c r="DS1741" s="16"/>
      <c r="JO1741" s="27"/>
      <c r="JP1741" s="16"/>
      <c r="JQ1741" s="16"/>
      <c r="JR1741" s="16"/>
      <c r="JS1741" s="16"/>
      <c r="JT1741" s="16"/>
      <c r="JU1741" s="16"/>
      <c r="JV1741" s="16"/>
      <c r="JW1741" s="16"/>
      <c r="JX1741" s="16"/>
      <c r="JY1741" s="16"/>
      <c r="JZ1741" s="16"/>
      <c r="KA1741" s="16"/>
      <c r="KB1741" s="16"/>
    </row>
    <row r="1742" spans="1:288" s="18" customFormat="1" x14ac:dyDescent="0.2">
      <c r="B1742" s="16">
        <v>2017</v>
      </c>
      <c r="C1742" s="20">
        <v>42973</v>
      </c>
      <c r="D1742" s="20" t="str">
        <f>CONCATENATE(J1742,"-",C1742)</f>
        <v>1045-42973</v>
      </c>
      <c r="E1742" s="20" t="str">
        <f>CONCATENATE(T1742,"-",U1742,"-",C1742)</f>
        <v>SP2-D2-42973</v>
      </c>
      <c r="F1742" s="20" t="s">
        <v>224</v>
      </c>
      <c r="G1742" s="20" t="s">
        <v>278</v>
      </c>
      <c r="H1742" s="16"/>
      <c r="I1742" s="16"/>
      <c r="J1742" s="21">
        <v>1045</v>
      </c>
      <c r="K1742" s="21"/>
      <c r="L1742" s="16"/>
      <c r="M1742" s="21"/>
      <c r="N1742" s="21"/>
      <c r="O1742" s="21"/>
      <c r="P1742" s="16"/>
      <c r="Q1742" s="16"/>
      <c r="R1742" s="16"/>
      <c r="S1742" s="16"/>
      <c r="T1742" s="16" t="s">
        <v>137</v>
      </c>
      <c r="U1742" s="16" t="s">
        <v>198</v>
      </c>
      <c r="V1742" s="16"/>
      <c r="W1742" s="16"/>
      <c r="X1742" s="16"/>
      <c r="Y1742" s="16"/>
      <c r="Z1742" s="16"/>
      <c r="AA1742" s="16"/>
      <c r="AB1742" s="16"/>
      <c r="AC1742" s="16"/>
      <c r="AD1742" s="16"/>
      <c r="AE1742" s="16"/>
      <c r="AF1742" s="16"/>
      <c r="AG1742" s="16"/>
      <c r="AH1742" s="16"/>
      <c r="AI1742" s="16"/>
      <c r="AJ1742" s="16"/>
      <c r="AK1742" s="16"/>
      <c r="AL1742" s="16"/>
      <c r="AM1742" s="16"/>
      <c r="AN1742" s="16"/>
      <c r="AO1742" s="16"/>
      <c r="AP1742" s="16">
        <f>SUM(AL1742:AN1742)</f>
        <v>0</v>
      </c>
      <c r="AQ1742" s="16"/>
      <c r="AR1742" s="16"/>
      <c r="AS1742" s="16"/>
      <c r="AT1742" s="16" t="s">
        <v>285</v>
      </c>
      <c r="AU1742" s="16"/>
      <c r="AV1742" s="16"/>
      <c r="AW1742" s="16"/>
      <c r="AX1742" s="16"/>
      <c r="AZ1742" s="16"/>
      <c r="BA1742" s="16"/>
      <c r="BB1742" s="16"/>
      <c r="BC1742" s="16"/>
      <c r="BD1742" s="16"/>
      <c r="BE1742" s="16"/>
      <c r="BF1742" s="16"/>
      <c r="BG1742" s="77"/>
      <c r="BH1742" s="16"/>
      <c r="BI1742" s="16"/>
      <c r="BJ1742" s="16"/>
      <c r="BK1742" s="16"/>
      <c r="BL1742" s="16"/>
      <c r="BM1742" s="16"/>
      <c r="BN1742" s="16"/>
      <c r="BO1742" s="16"/>
      <c r="BP1742" s="16"/>
      <c r="BQ1742" s="16"/>
      <c r="BR1742" s="16"/>
      <c r="BS1742" s="16"/>
      <c r="BT1742" s="77"/>
      <c r="BU1742" s="16"/>
      <c r="BV1742" s="16"/>
      <c r="BW1742" s="16"/>
      <c r="BX1742" s="16"/>
      <c r="BY1742" s="16"/>
      <c r="BZ1742" s="16"/>
      <c r="CA1742" s="16"/>
      <c r="CB1742" s="16"/>
      <c r="CC1742" s="16"/>
      <c r="CD1742" s="77"/>
      <c r="CE1742" s="16"/>
      <c r="CF1742" s="16"/>
      <c r="CG1742" s="16"/>
      <c r="CH1742" s="16"/>
      <c r="CI1742" s="16"/>
      <c r="CJ1742" s="16"/>
      <c r="CK1742" s="16"/>
      <c r="CL1742" s="16"/>
      <c r="CM1742" s="16"/>
      <c r="CN1742" s="16"/>
      <c r="CO1742" s="16"/>
      <c r="CP1742" s="16"/>
      <c r="CQ1742" s="16"/>
      <c r="CR1742" s="16"/>
      <c r="CS1742" s="16"/>
      <c r="CT1742" s="16"/>
      <c r="CU1742" s="16"/>
      <c r="CV1742" s="16"/>
      <c r="CW1742" s="16"/>
      <c r="CX1742" s="16"/>
      <c r="CY1742" s="16"/>
      <c r="CZ1742" s="16"/>
      <c r="DA1742" s="16"/>
      <c r="DB1742" s="16"/>
      <c r="DC1742" s="16"/>
      <c r="DD1742" s="16"/>
      <c r="DE1742" s="16"/>
      <c r="DF1742" s="16" t="e">
        <f>VLOOKUP(K1742,'[3]RNA Seq summary tables'!$V$3:$V$99,1,FALSE)</f>
        <v>#N/A</v>
      </c>
      <c r="DG1742" s="16"/>
      <c r="DH1742" s="16"/>
      <c r="DI1742" s="16"/>
      <c r="DJ1742" s="16"/>
      <c r="DK1742" s="16"/>
      <c r="DL1742" s="16"/>
      <c r="DM1742" s="16"/>
      <c r="DN1742" s="16"/>
      <c r="DO1742" s="16"/>
      <c r="DP1742" s="16"/>
      <c r="DQ1742" s="16"/>
      <c r="DR1742" s="16"/>
      <c r="DS1742" s="16"/>
      <c r="JP1742" s="16"/>
      <c r="JQ1742" s="16"/>
      <c r="JR1742" s="16"/>
      <c r="JS1742" s="16"/>
      <c r="JT1742" s="16"/>
      <c r="JU1742" s="16"/>
      <c r="JV1742" s="16"/>
      <c r="JW1742" s="16"/>
      <c r="JX1742" s="16"/>
      <c r="JY1742" s="16"/>
      <c r="JZ1742" s="16"/>
      <c r="KA1742" s="16"/>
      <c r="KB1742" s="16"/>
    </row>
    <row r="1743" spans="1:288" s="18" customFormat="1" x14ac:dyDescent="0.2">
      <c r="B1743" s="16">
        <v>2017</v>
      </c>
      <c r="C1743" s="20">
        <v>42974</v>
      </c>
      <c r="D1743" s="20" t="str">
        <f>CONCATENATE(J1743,"-",C1743)</f>
        <v>1045-42974</v>
      </c>
      <c r="E1743" s="20" t="str">
        <f>CONCATENATE(T1743,"-",U1743,"-",C1743)</f>
        <v>SP2-D4-42974</v>
      </c>
      <c r="F1743" s="20" t="s">
        <v>224</v>
      </c>
      <c r="G1743" s="20" t="s">
        <v>278</v>
      </c>
      <c r="H1743" s="16"/>
      <c r="I1743" s="16"/>
      <c r="J1743" s="21">
        <v>1045</v>
      </c>
      <c r="K1743" s="21"/>
      <c r="L1743" s="16"/>
      <c r="M1743" s="21"/>
      <c r="N1743" s="21"/>
      <c r="O1743" s="21"/>
      <c r="P1743" s="16"/>
      <c r="Q1743" s="16"/>
      <c r="R1743" s="16"/>
      <c r="S1743" s="16"/>
      <c r="T1743" s="16" t="s">
        <v>137</v>
      </c>
      <c r="U1743" s="16" t="s">
        <v>221</v>
      </c>
      <c r="V1743" s="16"/>
      <c r="W1743" s="16"/>
      <c r="X1743" s="16"/>
      <c r="Y1743" s="16"/>
      <c r="Z1743" s="16"/>
      <c r="AA1743" s="16"/>
      <c r="AB1743" s="16"/>
      <c r="AC1743" s="16"/>
      <c r="AD1743" s="16"/>
      <c r="AE1743" s="16"/>
      <c r="AF1743" s="16"/>
      <c r="AG1743" s="16"/>
      <c r="AH1743" s="16"/>
      <c r="AI1743" s="16"/>
      <c r="AJ1743" s="16"/>
      <c r="AK1743" s="16"/>
      <c r="AL1743" s="16"/>
      <c r="AM1743" s="16"/>
      <c r="AN1743" s="16"/>
      <c r="AO1743" s="16"/>
      <c r="AP1743" s="16">
        <f>SUM(AL1743:AN1743)</f>
        <v>0</v>
      </c>
      <c r="AQ1743" s="16"/>
      <c r="AR1743" s="16"/>
      <c r="AS1743" s="16"/>
      <c r="AT1743" s="16" t="s">
        <v>285</v>
      </c>
      <c r="AU1743" s="16"/>
      <c r="AV1743" s="16"/>
      <c r="AW1743" s="16"/>
      <c r="AX1743" s="16"/>
      <c r="AZ1743" s="16"/>
      <c r="BA1743" s="16"/>
      <c r="BB1743" s="16"/>
      <c r="BC1743" s="16"/>
      <c r="BD1743" s="16"/>
      <c r="BE1743" s="16"/>
      <c r="BF1743" s="16"/>
      <c r="BG1743" s="77"/>
      <c r="BH1743" s="16"/>
      <c r="BI1743" s="16"/>
      <c r="BJ1743" s="16"/>
      <c r="BK1743" s="16"/>
      <c r="BL1743" s="16"/>
      <c r="BM1743" s="16"/>
      <c r="BN1743" s="16"/>
      <c r="BO1743" s="16"/>
      <c r="BP1743" s="16"/>
      <c r="BQ1743" s="16"/>
      <c r="BR1743" s="16"/>
      <c r="BS1743" s="16"/>
      <c r="BT1743" s="77"/>
      <c r="BU1743" s="16"/>
      <c r="BV1743" s="16"/>
      <c r="BW1743" s="16"/>
      <c r="BX1743" s="16"/>
      <c r="BY1743" s="16"/>
      <c r="BZ1743" s="16"/>
      <c r="CA1743" s="16"/>
      <c r="CB1743" s="16"/>
      <c r="CC1743" s="16"/>
      <c r="CD1743" s="77"/>
      <c r="CE1743" s="16"/>
      <c r="CF1743" s="16"/>
      <c r="CG1743" s="16"/>
      <c r="CH1743" s="16"/>
      <c r="CI1743" s="16"/>
      <c r="CJ1743" s="16"/>
      <c r="CK1743" s="16"/>
      <c r="CL1743" s="16"/>
      <c r="CM1743" s="16"/>
      <c r="CN1743" s="16"/>
      <c r="CO1743" s="16"/>
      <c r="CP1743" s="16"/>
      <c r="CQ1743" s="16"/>
      <c r="CR1743" s="16"/>
      <c r="CS1743" s="16"/>
      <c r="CT1743" s="16"/>
      <c r="CU1743" s="16"/>
      <c r="CV1743" s="16"/>
      <c r="CW1743" s="16"/>
      <c r="CX1743" s="16"/>
      <c r="CY1743" s="16"/>
      <c r="CZ1743" s="16"/>
      <c r="DA1743" s="16"/>
      <c r="DB1743" s="16"/>
      <c r="DC1743" s="16"/>
      <c r="DD1743" s="16"/>
      <c r="DE1743" s="16"/>
      <c r="DF1743" s="16" t="e">
        <f>VLOOKUP(K1743,'[3]RNA Seq summary tables'!$V$3:$V$99,1,FALSE)</f>
        <v>#N/A</v>
      </c>
      <c r="DG1743" s="16"/>
      <c r="DH1743" s="16"/>
      <c r="DI1743" s="16"/>
      <c r="DJ1743" s="16"/>
      <c r="DK1743" s="16"/>
      <c r="DL1743" s="16"/>
      <c r="DM1743" s="16"/>
      <c r="DN1743" s="16"/>
      <c r="DO1743" s="16"/>
      <c r="DP1743" s="16"/>
      <c r="DQ1743" s="16"/>
      <c r="DR1743" s="16"/>
      <c r="DS1743" s="16"/>
      <c r="JP1743" s="16"/>
      <c r="JQ1743" s="16"/>
      <c r="JR1743" s="16"/>
      <c r="JS1743" s="16"/>
      <c r="JT1743" s="16"/>
      <c r="JU1743" s="16"/>
      <c r="JV1743" s="16"/>
      <c r="JW1743" s="16"/>
      <c r="JX1743" s="16"/>
      <c r="JY1743" s="16"/>
      <c r="JZ1743" s="16"/>
      <c r="KA1743" s="16"/>
      <c r="KB1743" s="16"/>
    </row>
    <row r="1744" spans="1:288" s="18" customFormat="1" x14ac:dyDescent="0.2">
      <c r="B1744" s="16">
        <v>2017</v>
      </c>
      <c r="C1744" s="66">
        <v>42888</v>
      </c>
      <c r="D1744" s="66" t="str">
        <f>CONCATENATE(J1744,"-",C1744)</f>
        <v>1046-42888</v>
      </c>
      <c r="E1744" s="20" t="str">
        <f>CONCATENATE(T1744,"-",U1744,"-",C1744)</f>
        <v>SP2-E6-42888</v>
      </c>
      <c r="F1744" s="20" t="s">
        <v>106</v>
      </c>
      <c r="G1744" s="20" t="s">
        <v>278</v>
      </c>
      <c r="H1744" s="16"/>
      <c r="I1744" s="16"/>
      <c r="J1744" s="21">
        <v>1046</v>
      </c>
      <c r="K1744" s="21"/>
      <c r="L1744" s="16"/>
      <c r="M1744" s="21"/>
      <c r="N1744" s="21"/>
      <c r="O1744" s="21"/>
      <c r="P1744" s="16"/>
      <c r="Q1744" s="16"/>
      <c r="R1744" s="16"/>
      <c r="S1744" s="16"/>
      <c r="T1744" s="16" t="s">
        <v>137</v>
      </c>
      <c r="U1744" s="16" t="s">
        <v>232</v>
      </c>
      <c r="V1744" s="16"/>
      <c r="W1744" s="16"/>
      <c r="X1744" s="16"/>
      <c r="Y1744" s="16"/>
      <c r="Z1744" s="16"/>
      <c r="AA1744" s="16"/>
      <c r="AB1744" s="16"/>
      <c r="AC1744" s="16"/>
      <c r="AD1744" s="16"/>
      <c r="AE1744" s="16"/>
      <c r="AF1744" s="16"/>
      <c r="AG1744" s="16"/>
      <c r="AH1744" s="16"/>
      <c r="AI1744" s="16"/>
      <c r="AJ1744" s="16"/>
      <c r="AK1744" s="16"/>
      <c r="AL1744" s="16"/>
      <c r="AM1744" s="16"/>
      <c r="AN1744" s="16"/>
      <c r="AO1744" s="16"/>
      <c r="AP1744" s="16">
        <f>SUM(AL1744:AN1744)</f>
        <v>0</v>
      </c>
      <c r="AQ1744" s="16"/>
      <c r="AR1744" s="16"/>
      <c r="AS1744" s="16"/>
      <c r="AT1744" s="16" t="s">
        <v>285</v>
      </c>
      <c r="AU1744" s="16"/>
      <c r="AV1744" s="16"/>
      <c r="AW1744" s="16"/>
      <c r="AX1744" s="16"/>
      <c r="AZ1744" s="16"/>
      <c r="BA1744" s="16"/>
      <c r="BB1744" s="16"/>
      <c r="BC1744" s="16"/>
      <c r="BD1744" s="16"/>
      <c r="BE1744" s="16"/>
      <c r="BF1744" s="16"/>
      <c r="BG1744" s="77"/>
      <c r="BH1744" s="16"/>
      <c r="BI1744" s="16"/>
      <c r="BJ1744" s="16"/>
      <c r="BK1744" s="16"/>
      <c r="BL1744" s="16"/>
      <c r="BM1744" s="16"/>
      <c r="BN1744" s="16"/>
      <c r="BO1744" s="16"/>
      <c r="BP1744" s="16"/>
      <c r="BQ1744" s="16"/>
      <c r="BR1744" s="16"/>
      <c r="BS1744" s="16"/>
      <c r="BT1744" s="77"/>
      <c r="BU1744" s="16"/>
      <c r="BV1744" s="16"/>
      <c r="BW1744" s="16"/>
      <c r="BX1744" s="16"/>
      <c r="BY1744" s="16"/>
      <c r="BZ1744" s="16"/>
      <c r="CA1744" s="16"/>
      <c r="CB1744" s="16"/>
      <c r="CC1744" s="16"/>
      <c r="CD1744" s="77"/>
      <c r="CE1744" s="16"/>
      <c r="CF1744" s="16"/>
      <c r="CG1744" s="16"/>
      <c r="CH1744" s="16"/>
      <c r="CI1744" s="16"/>
      <c r="CJ1744" s="16"/>
      <c r="CK1744" s="16"/>
      <c r="CL1744" s="16"/>
      <c r="CM1744" s="16"/>
      <c r="CN1744" s="16"/>
      <c r="CO1744" s="16"/>
      <c r="CP1744" s="16"/>
      <c r="CQ1744" s="16"/>
      <c r="CR1744" s="16"/>
      <c r="CS1744" s="16"/>
      <c r="CT1744" s="16"/>
      <c r="CU1744" s="16"/>
      <c r="CV1744" s="16"/>
      <c r="CW1744" s="16"/>
      <c r="CX1744" s="16"/>
      <c r="CY1744" s="16"/>
      <c r="CZ1744" s="16"/>
      <c r="DA1744" s="16"/>
      <c r="DB1744" s="16"/>
      <c r="DC1744" s="16"/>
      <c r="DD1744" s="16"/>
      <c r="DE1744" s="16"/>
      <c r="DF1744" s="16" t="e">
        <f>VLOOKUP(K1744,'[3]RNA Seq summary tables'!$V$3:$V$99,1,FALSE)</f>
        <v>#N/A</v>
      </c>
      <c r="DG1744" s="16"/>
      <c r="DH1744" s="16"/>
      <c r="DI1744" s="16"/>
      <c r="DJ1744" s="16"/>
      <c r="DK1744" s="16"/>
      <c r="DL1744" s="16"/>
      <c r="DM1744" s="16"/>
      <c r="DN1744" s="16"/>
      <c r="DO1744" s="16"/>
      <c r="DP1744" s="16"/>
      <c r="DQ1744" s="16"/>
      <c r="DR1744" s="16"/>
      <c r="DS1744" s="16"/>
      <c r="JO1744" s="16"/>
      <c r="JR1744" s="16"/>
      <c r="JS1744" s="16"/>
      <c r="JT1744" s="16"/>
      <c r="JU1744" s="16"/>
      <c r="JV1744" s="16"/>
      <c r="JW1744" s="16"/>
      <c r="JX1744" s="16"/>
      <c r="JY1744" s="16"/>
      <c r="JZ1744" s="16"/>
      <c r="KA1744" s="16"/>
      <c r="KB1744" s="16"/>
    </row>
    <row r="1745" spans="1:288" s="18" customFormat="1" x14ac:dyDescent="0.2">
      <c r="B1745" s="16">
        <v>2017</v>
      </c>
      <c r="C1745" s="66">
        <v>42889</v>
      </c>
      <c r="D1745" s="66" t="str">
        <f>CONCATENATE(J1745,"-",C1745)</f>
        <v>1046-42889</v>
      </c>
      <c r="E1745" s="20" t="str">
        <f>CONCATENATE(T1745,"-",U1745,"-",C1745)</f>
        <v>SP2-E6-42889</v>
      </c>
      <c r="F1745" s="20" t="s">
        <v>106</v>
      </c>
      <c r="G1745" s="20" t="s">
        <v>278</v>
      </c>
      <c r="H1745" s="16"/>
      <c r="I1745" s="16"/>
      <c r="J1745" s="21">
        <v>1046</v>
      </c>
      <c r="K1745" s="21"/>
      <c r="L1745" s="16"/>
      <c r="M1745" s="21"/>
      <c r="N1745" s="21"/>
      <c r="O1745" s="21"/>
      <c r="P1745" s="16"/>
      <c r="Q1745" s="16"/>
      <c r="R1745" s="16"/>
      <c r="S1745" s="16"/>
      <c r="T1745" s="16" t="s">
        <v>137</v>
      </c>
      <c r="U1745" s="16" t="s">
        <v>232</v>
      </c>
      <c r="V1745" s="16"/>
      <c r="W1745" s="16"/>
      <c r="X1745" s="16"/>
      <c r="Y1745" s="16"/>
      <c r="Z1745" s="16"/>
      <c r="AA1745" s="16"/>
      <c r="AB1745" s="16"/>
      <c r="AC1745" s="16"/>
      <c r="AD1745" s="16"/>
      <c r="AE1745" s="16"/>
      <c r="AF1745" s="16"/>
      <c r="AG1745" s="16"/>
      <c r="AH1745" s="16"/>
      <c r="AI1745" s="16"/>
      <c r="AJ1745" s="16"/>
      <c r="AK1745" s="16"/>
      <c r="AL1745" s="16"/>
      <c r="AM1745" s="16"/>
      <c r="AN1745" s="16"/>
      <c r="AO1745" s="16"/>
      <c r="AP1745" s="16">
        <f>SUM(AL1745:AN1745)</f>
        <v>0</v>
      </c>
      <c r="AQ1745" s="16"/>
      <c r="AR1745" s="16"/>
      <c r="AS1745" s="16"/>
      <c r="AT1745" s="16" t="s">
        <v>285</v>
      </c>
      <c r="AU1745" s="16"/>
      <c r="AV1745" s="16"/>
      <c r="AW1745" s="16"/>
      <c r="AX1745" s="16"/>
      <c r="AZ1745" s="16"/>
      <c r="BA1745" s="16"/>
      <c r="BB1745" s="16"/>
      <c r="BC1745" s="16"/>
      <c r="BD1745" s="16"/>
      <c r="BE1745" s="16"/>
      <c r="BF1745" s="16"/>
      <c r="BG1745" s="77"/>
      <c r="BH1745" s="16"/>
      <c r="BI1745" s="16"/>
      <c r="BJ1745" s="16"/>
      <c r="BK1745" s="16"/>
      <c r="BL1745" s="16"/>
      <c r="BM1745" s="16"/>
      <c r="BN1745" s="16"/>
      <c r="BO1745" s="16"/>
      <c r="BP1745" s="16"/>
      <c r="BQ1745" s="16"/>
      <c r="BR1745" s="16"/>
      <c r="BS1745" s="16"/>
      <c r="BT1745" s="77"/>
      <c r="BU1745" s="16"/>
      <c r="BV1745" s="16"/>
      <c r="BW1745" s="16"/>
      <c r="BX1745" s="16"/>
      <c r="BY1745" s="16"/>
      <c r="BZ1745" s="16"/>
      <c r="CA1745" s="16"/>
      <c r="CB1745" s="16"/>
      <c r="CC1745" s="16"/>
      <c r="CD1745" s="77"/>
      <c r="CE1745" s="16"/>
      <c r="CF1745" s="16"/>
      <c r="CG1745" s="16"/>
      <c r="CH1745" s="16"/>
      <c r="CI1745" s="16"/>
      <c r="CJ1745" s="16"/>
      <c r="CK1745" s="16"/>
      <c r="CL1745" s="16"/>
      <c r="CM1745" s="16"/>
      <c r="CN1745" s="16"/>
      <c r="CO1745" s="16"/>
      <c r="CP1745" s="16"/>
      <c r="CQ1745" s="16"/>
      <c r="CR1745" s="16"/>
      <c r="CS1745" s="16"/>
      <c r="CT1745" s="16"/>
      <c r="CU1745" s="16"/>
      <c r="CV1745" s="16"/>
      <c r="CW1745" s="16"/>
      <c r="CX1745" s="16"/>
      <c r="CY1745" s="16"/>
      <c r="CZ1745" s="16"/>
      <c r="DA1745" s="16"/>
      <c r="DB1745" s="16"/>
      <c r="DC1745" s="16"/>
      <c r="DD1745" s="16"/>
      <c r="DE1745" s="16"/>
      <c r="DF1745" s="16" t="e">
        <f>VLOOKUP(K1745,'[3]RNA Seq summary tables'!$V$3:$V$99,1,FALSE)</f>
        <v>#N/A</v>
      </c>
      <c r="DG1745" s="16"/>
      <c r="DH1745" s="16"/>
      <c r="DI1745" s="16"/>
      <c r="DJ1745" s="16"/>
      <c r="DK1745" s="16"/>
      <c r="DL1745" s="16"/>
      <c r="DM1745" s="16"/>
      <c r="DN1745" s="16"/>
      <c r="DO1745" s="16"/>
      <c r="DP1745" s="16"/>
      <c r="DQ1745" s="16"/>
      <c r="DR1745" s="16"/>
      <c r="DS1745" s="16"/>
      <c r="JO1745" s="16"/>
      <c r="JR1745" s="16"/>
      <c r="JS1745" s="16"/>
      <c r="JT1745" s="16"/>
      <c r="JU1745" s="16"/>
      <c r="JV1745" s="16"/>
      <c r="JW1745" s="16"/>
      <c r="JX1745" s="16"/>
      <c r="JY1745" s="16"/>
      <c r="JZ1745" s="16"/>
      <c r="KA1745" s="16"/>
      <c r="KB1745" s="16"/>
    </row>
    <row r="1746" spans="1:288" s="18" customFormat="1" x14ac:dyDescent="0.2">
      <c r="B1746" s="16">
        <v>2017</v>
      </c>
      <c r="C1746" s="66">
        <v>42888</v>
      </c>
      <c r="D1746" s="66" t="str">
        <f>CONCATENATE(J1746,"-",C1746)</f>
        <v>1047-42888</v>
      </c>
      <c r="E1746" s="20" t="str">
        <f>CONCATENATE(T1746,"-",U1746,"-",C1746)</f>
        <v>SP2-B5-42888</v>
      </c>
      <c r="F1746" s="20" t="s">
        <v>106</v>
      </c>
      <c r="G1746" s="20" t="s">
        <v>278</v>
      </c>
      <c r="H1746" s="16"/>
      <c r="I1746" s="16"/>
      <c r="J1746" s="21">
        <v>1047</v>
      </c>
      <c r="K1746" s="21"/>
      <c r="L1746" s="16"/>
      <c r="M1746" s="21"/>
      <c r="N1746" s="21"/>
      <c r="O1746" s="21"/>
      <c r="P1746" s="16"/>
      <c r="Q1746" s="16"/>
      <c r="R1746" s="16"/>
      <c r="S1746" s="16"/>
      <c r="T1746" s="16" t="s">
        <v>137</v>
      </c>
      <c r="U1746" s="16" t="s">
        <v>160</v>
      </c>
      <c r="V1746" s="16"/>
      <c r="W1746" s="16"/>
      <c r="X1746" s="16"/>
      <c r="Y1746" s="16"/>
      <c r="Z1746" s="16"/>
      <c r="AA1746" s="16"/>
      <c r="AB1746" s="16"/>
      <c r="AC1746" s="16"/>
      <c r="AD1746" s="16"/>
      <c r="AE1746" s="16"/>
      <c r="AF1746" s="16"/>
      <c r="AG1746" s="16"/>
      <c r="AH1746" s="16"/>
      <c r="AI1746" s="16"/>
      <c r="AJ1746" s="16"/>
      <c r="AK1746" s="16"/>
      <c r="AL1746" s="16"/>
      <c r="AM1746" s="16"/>
      <c r="AN1746" s="16"/>
      <c r="AO1746" s="16"/>
      <c r="AP1746" s="16">
        <f>SUM(AL1746:AN1746)</f>
        <v>0</v>
      </c>
      <c r="AQ1746" s="16"/>
      <c r="AR1746" s="16"/>
      <c r="AS1746" s="16"/>
      <c r="AT1746" s="16" t="s">
        <v>285</v>
      </c>
      <c r="AU1746" s="16"/>
      <c r="AV1746" s="16"/>
      <c r="AW1746" s="16"/>
      <c r="AX1746" s="16"/>
      <c r="AZ1746" s="16"/>
      <c r="BA1746" s="16"/>
      <c r="BB1746" s="16"/>
      <c r="BC1746" s="16"/>
      <c r="BD1746" s="16"/>
      <c r="BE1746" s="16"/>
      <c r="BF1746" s="16"/>
      <c r="BG1746" s="77"/>
      <c r="BH1746" s="16"/>
      <c r="BI1746" s="16"/>
      <c r="BJ1746" s="16"/>
      <c r="BK1746" s="16"/>
      <c r="BL1746" s="16"/>
      <c r="BM1746" s="16"/>
      <c r="BN1746" s="16"/>
      <c r="BO1746" s="16"/>
      <c r="BP1746" s="16"/>
      <c r="BQ1746" s="16"/>
      <c r="BR1746" s="16"/>
      <c r="BS1746" s="16"/>
      <c r="BT1746" s="77"/>
      <c r="BU1746" s="16"/>
      <c r="BV1746" s="16"/>
      <c r="BW1746" s="16"/>
      <c r="BX1746" s="16"/>
      <c r="BY1746" s="16"/>
      <c r="BZ1746" s="16"/>
      <c r="CA1746" s="16"/>
      <c r="CB1746" s="16"/>
      <c r="CC1746" s="16"/>
      <c r="CD1746" s="77"/>
      <c r="CE1746" s="16"/>
      <c r="CF1746" s="16"/>
      <c r="CG1746" s="16"/>
      <c r="CH1746" s="16"/>
      <c r="CI1746" s="16"/>
      <c r="CJ1746" s="16"/>
      <c r="CK1746" s="16"/>
      <c r="CL1746" s="16"/>
      <c r="CM1746" s="16"/>
      <c r="CN1746" s="16"/>
      <c r="CO1746" s="16"/>
      <c r="CP1746" s="16"/>
      <c r="CQ1746" s="16"/>
      <c r="CR1746" s="16"/>
      <c r="CS1746" s="16"/>
      <c r="CT1746" s="16"/>
      <c r="CU1746" s="16"/>
      <c r="CV1746" s="16"/>
      <c r="CW1746" s="16"/>
      <c r="CX1746" s="16"/>
      <c r="CY1746" s="16"/>
      <c r="CZ1746" s="16"/>
      <c r="DA1746" s="16"/>
      <c r="DB1746" s="16"/>
      <c r="DC1746" s="16"/>
      <c r="DD1746" s="16"/>
      <c r="DE1746" s="16"/>
      <c r="DF1746" s="16" t="e">
        <f>VLOOKUP(K1746,'[3]RNA Seq summary tables'!$V$3:$V$99,1,FALSE)</f>
        <v>#N/A</v>
      </c>
      <c r="DG1746" s="16"/>
      <c r="DH1746" s="16"/>
      <c r="DI1746" s="16"/>
      <c r="DJ1746" s="16"/>
      <c r="DK1746" s="16"/>
      <c r="DL1746" s="16"/>
      <c r="DM1746" s="16"/>
      <c r="DN1746" s="16"/>
      <c r="DO1746" s="16"/>
      <c r="DP1746" s="16"/>
      <c r="DQ1746" s="16"/>
      <c r="DR1746" s="16"/>
      <c r="DS1746" s="16"/>
      <c r="JO1746" s="16"/>
      <c r="JP1746" s="16"/>
      <c r="JQ1746" s="16"/>
      <c r="JR1746" s="16"/>
      <c r="JS1746" s="16"/>
      <c r="JT1746" s="16"/>
      <c r="JU1746" s="16"/>
      <c r="JV1746" s="16"/>
      <c r="JW1746" s="16"/>
      <c r="JX1746" s="16"/>
      <c r="JY1746" s="16"/>
      <c r="JZ1746" s="16"/>
      <c r="KA1746" s="16"/>
      <c r="KB1746" s="16"/>
    </row>
    <row r="1747" spans="1:288" s="18" customFormat="1" x14ac:dyDescent="0.2">
      <c r="B1747" s="16">
        <v>2017</v>
      </c>
      <c r="C1747" s="66">
        <v>42889</v>
      </c>
      <c r="D1747" s="66" t="str">
        <f>CONCATENATE(J1747,"-",C1747)</f>
        <v>1047-42889</v>
      </c>
      <c r="E1747" s="20" t="str">
        <f>CONCATENATE(T1747,"-",U1747,"-",C1747)</f>
        <v>SP2-C5-42889</v>
      </c>
      <c r="F1747" s="20" t="s">
        <v>106</v>
      </c>
      <c r="G1747" s="20" t="s">
        <v>278</v>
      </c>
      <c r="H1747" s="16"/>
      <c r="I1747" s="16"/>
      <c r="J1747" s="21">
        <v>1047</v>
      </c>
      <c r="K1747" s="21"/>
      <c r="L1747" s="16"/>
      <c r="M1747" s="21"/>
      <c r="N1747" s="21"/>
      <c r="O1747" s="21"/>
      <c r="P1747" s="16"/>
      <c r="Q1747" s="16"/>
      <c r="R1747" s="16"/>
      <c r="S1747" s="16"/>
      <c r="T1747" s="16" t="s">
        <v>137</v>
      </c>
      <c r="U1747" s="16" t="s">
        <v>172</v>
      </c>
      <c r="V1747" s="16"/>
      <c r="W1747" s="16"/>
      <c r="X1747" s="16"/>
      <c r="Y1747" s="16"/>
      <c r="Z1747" s="16"/>
      <c r="AA1747" s="16"/>
      <c r="AB1747" s="16"/>
      <c r="AC1747" s="16"/>
      <c r="AD1747" s="16"/>
      <c r="AE1747" s="16"/>
      <c r="AF1747" s="16"/>
      <c r="AG1747" s="16"/>
      <c r="AH1747" s="16"/>
      <c r="AI1747" s="16"/>
      <c r="AJ1747" s="16"/>
      <c r="AK1747" s="16"/>
      <c r="AL1747" s="16"/>
      <c r="AM1747" s="16"/>
      <c r="AN1747" s="16"/>
      <c r="AO1747" s="16"/>
      <c r="AP1747" s="16">
        <f>SUM(AL1747:AN1747)</f>
        <v>0</v>
      </c>
      <c r="AQ1747" s="16"/>
      <c r="AR1747" s="16"/>
      <c r="AS1747" s="16"/>
      <c r="AT1747" s="16" t="s">
        <v>285</v>
      </c>
      <c r="AU1747" s="16"/>
      <c r="AV1747" s="16"/>
      <c r="AW1747" s="16"/>
      <c r="AX1747" s="16"/>
      <c r="AZ1747" s="16"/>
      <c r="BA1747" s="16"/>
      <c r="BB1747" s="16"/>
      <c r="BC1747" s="16"/>
      <c r="BD1747" s="16"/>
      <c r="BE1747" s="16"/>
      <c r="BF1747" s="16"/>
      <c r="BG1747" s="77"/>
      <c r="BH1747" s="16"/>
      <c r="BI1747" s="16"/>
      <c r="BJ1747" s="16"/>
      <c r="BK1747" s="16"/>
      <c r="BL1747" s="16"/>
      <c r="BM1747" s="16"/>
      <c r="BN1747" s="16"/>
      <c r="BO1747" s="16"/>
      <c r="BP1747" s="16"/>
      <c r="BQ1747" s="16"/>
      <c r="BR1747" s="16"/>
      <c r="BS1747" s="16"/>
      <c r="BT1747" s="77"/>
      <c r="BU1747" s="16"/>
      <c r="BV1747" s="16"/>
      <c r="BW1747" s="16"/>
      <c r="BX1747" s="16"/>
      <c r="BY1747" s="16"/>
      <c r="BZ1747" s="16"/>
      <c r="CA1747" s="16"/>
      <c r="CB1747" s="16"/>
      <c r="CC1747" s="16"/>
      <c r="CD1747" s="77"/>
      <c r="CE1747" s="16"/>
      <c r="CF1747" s="16"/>
      <c r="CG1747" s="16"/>
      <c r="CH1747" s="16"/>
      <c r="CI1747" s="16"/>
      <c r="CJ1747" s="16"/>
      <c r="CK1747" s="16"/>
      <c r="CL1747" s="16"/>
      <c r="CM1747" s="16"/>
      <c r="CN1747" s="16"/>
      <c r="CO1747" s="16"/>
      <c r="CP1747" s="16"/>
      <c r="CQ1747" s="16"/>
      <c r="CR1747" s="16"/>
      <c r="CS1747" s="16"/>
      <c r="CT1747" s="16"/>
      <c r="CU1747" s="16"/>
      <c r="CV1747" s="16"/>
      <c r="CW1747" s="16"/>
      <c r="CX1747" s="16"/>
      <c r="CY1747" s="16"/>
      <c r="CZ1747" s="16"/>
      <c r="DA1747" s="16"/>
      <c r="DB1747" s="16"/>
      <c r="DC1747" s="16"/>
      <c r="DD1747" s="16"/>
      <c r="DE1747" s="16"/>
      <c r="DF1747" s="16" t="e">
        <f>VLOOKUP(K1747,'[3]RNA Seq summary tables'!$V$3:$V$99,1,FALSE)</f>
        <v>#N/A</v>
      </c>
      <c r="DG1747" s="16"/>
      <c r="DH1747" s="16"/>
      <c r="DI1747" s="16"/>
      <c r="DJ1747" s="16"/>
      <c r="DK1747" s="16"/>
      <c r="DL1747" s="16"/>
      <c r="DM1747" s="16"/>
      <c r="DN1747" s="16"/>
      <c r="DO1747" s="16"/>
      <c r="DP1747" s="16"/>
      <c r="DQ1747" s="16"/>
      <c r="DR1747" s="16"/>
      <c r="DS1747" s="16"/>
      <c r="JO1747" s="16"/>
      <c r="JP1747" s="16"/>
      <c r="JQ1747" s="16"/>
      <c r="JR1747" s="16"/>
      <c r="JS1747" s="16"/>
      <c r="JT1747" s="16"/>
      <c r="JU1747" s="16"/>
      <c r="JV1747" s="16"/>
      <c r="JW1747" s="16"/>
      <c r="JX1747" s="16"/>
      <c r="JY1747" s="16"/>
      <c r="JZ1747" s="16"/>
      <c r="KA1747" s="16"/>
      <c r="KB1747" s="16"/>
    </row>
    <row r="1748" spans="1:288" s="18" customFormat="1" x14ac:dyDescent="0.2">
      <c r="B1748" s="16">
        <v>2017</v>
      </c>
      <c r="C1748" s="66">
        <v>42889</v>
      </c>
      <c r="D1748" s="66" t="str">
        <f>CONCATENATE(J1748,"-",C1748)</f>
        <v>1048-42889</v>
      </c>
      <c r="E1748" s="20" t="str">
        <f>CONCATENATE(T1748,"-",U1748,"-",C1748)</f>
        <v>SP2-E1-42889</v>
      </c>
      <c r="F1748" s="20" t="s">
        <v>106</v>
      </c>
      <c r="G1748" s="20" t="s">
        <v>278</v>
      </c>
      <c r="H1748" s="16"/>
      <c r="I1748" s="16"/>
      <c r="J1748" s="21">
        <v>1048</v>
      </c>
      <c r="K1748" s="21"/>
      <c r="L1748" s="16"/>
      <c r="M1748" s="21"/>
      <c r="N1748" s="21"/>
      <c r="O1748" s="21"/>
      <c r="P1748" s="16"/>
      <c r="Q1748" s="16"/>
      <c r="R1748" s="16"/>
      <c r="S1748" s="16"/>
      <c r="T1748" s="16" t="s">
        <v>137</v>
      </c>
      <c r="U1748" s="16" t="s">
        <v>222</v>
      </c>
      <c r="V1748" s="16"/>
      <c r="W1748" s="16"/>
      <c r="X1748" s="16"/>
      <c r="Y1748" s="16"/>
      <c r="Z1748" s="16"/>
      <c r="AA1748" s="16"/>
      <c r="AB1748" s="16"/>
      <c r="AC1748" s="16"/>
      <c r="AD1748" s="16"/>
      <c r="AE1748" s="16"/>
      <c r="AF1748" s="16"/>
      <c r="AG1748" s="16"/>
      <c r="AH1748" s="16"/>
      <c r="AI1748" s="16"/>
      <c r="AJ1748" s="16"/>
      <c r="AK1748" s="16"/>
      <c r="AL1748" s="16"/>
      <c r="AM1748" s="16"/>
      <c r="AN1748" s="16"/>
      <c r="AO1748" s="16"/>
      <c r="AP1748" s="16">
        <f>SUM(AL1748:AN1748)</f>
        <v>0</v>
      </c>
      <c r="AQ1748" s="16"/>
      <c r="AR1748" s="16"/>
      <c r="AS1748" s="16"/>
      <c r="AT1748" s="16" t="s">
        <v>285</v>
      </c>
      <c r="AU1748" s="16"/>
      <c r="AV1748" s="16"/>
      <c r="AW1748" s="16"/>
      <c r="AX1748" s="16"/>
      <c r="AZ1748" s="16"/>
      <c r="BA1748" s="16"/>
      <c r="BB1748" s="16"/>
      <c r="BC1748" s="16"/>
      <c r="BD1748" s="16"/>
      <c r="BE1748" s="16"/>
      <c r="BF1748" s="16"/>
      <c r="BG1748" s="77"/>
      <c r="BH1748" s="16"/>
      <c r="BI1748" s="16"/>
      <c r="BJ1748" s="16"/>
      <c r="BK1748" s="16"/>
      <c r="BL1748" s="16"/>
      <c r="BM1748" s="16"/>
      <c r="BN1748" s="16"/>
      <c r="BO1748" s="16"/>
      <c r="BP1748" s="16"/>
      <c r="BQ1748" s="16"/>
      <c r="BR1748" s="16"/>
      <c r="BS1748" s="16"/>
      <c r="BT1748" s="77"/>
      <c r="BU1748" s="16"/>
      <c r="BV1748" s="16"/>
      <c r="BW1748" s="16"/>
      <c r="BX1748" s="16"/>
      <c r="BY1748" s="16"/>
      <c r="BZ1748" s="16"/>
      <c r="CA1748" s="16"/>
      <c r="CB1748" s="16"/>
      <c r="CC1748" s="16"/>
      <c r="CD1748" s="77"/>
      <c r="CE1748" s="16"/>
      <c r="CF1748" s="16"/>
      <c r="CG1748" s="16"/>
      <c r="CH1748" s="16"/>
      <c r="CI1748" s="16"/>
      <c r="CJ1748" s="16"/>
      <c r="CK1748" s="16"/>
      <c r="CL1748" s="16"/>
      <c r="CM1748" s="16"/>
      <c r="CN1748" s="16"/>
      <c r="CO1748" s="16"/>
      <c r="CP1748" s="16"/>
      <c r="CQ1748" s="16"/>
      <c r="CR1748" s="16"/>
      <c r="CS1748" s="16"/>
      <c r="CT1748" s="16"/>
      <c r="CU1748" s="16"/>
      <c r="CV1748" s="16"/>
      <c r="CW1748" s="16"/>
      <c r="CX1748" s="16"/>
      <c r="CY1748" s="16"/>
      <c r="CZ1748" s="16"/>
      <c r="DA1748" s="16"/>
      <c r="DB1748" s="16"/>
      <c r="DC1748" s="16"/>
      <c r="DD1748" s="16"/>
      <c r="DE1748" s="16"/>
      <c r="DF1748" s="16" t="e">
        <f>VLOOKUP(K1748,'[3]RNA Seq summary tables'!$V$3:$V$99,1,FALSE)</f>
        <v>#N/A</v>
      </c>
      <c r="DG1748" s="16"/>
      <c r="DH1748" s="16"/>
      <c r="DI1748" s="16"/>
      <c r="DJ1748" s="16"/>
      <c r="DK1748" s="16"/>
      <c r="DL1748" s="16"/>
      <c r="DM1748" s="16"/>
      <c r="DN1748" s="16"/>
      <c r="DO1748" s="16"/>
      <c r="DP1748" s="16"/>
      <c r="DQ1748" s="16"/>
      <c r="DR1748" s="16"/>
      <c r="DS1748" s="16"/>
      <c r="JO1748" s="16"/>
      <c r="JP1748" s="16"/>
      <c r="JQ1748" s="16"/>
      <c r="JR1748" s="16"/>
      <c r="JS1748" s="16"/>
      <c r="JT1748" s="16"/>
      <c r="JU1748" s="16"/>
      <c r="JV1748" s="16"/>
      <c r="JW1748" s="16"/>
      <c r="JX1748" s="16"/>
      <c r="JY1748" s="16"/>
      <c r="JZ1748" s="16"/>
      <c r="KA1748" s="16"/>
      <c r="KB1748" s="16"/>
    </row>
    <row r="1749" spans="1:288" s="18" customFormat="1" x14ac:dyDescent="0.2">
      <c r="A1749" s="26"/>
      <c r="B1749" s="26">
        <v>2017</v>
      </c>
      <c r="C1749" s="72">
        <v>42888</v>
      </c>
      <c r="D1749" s="72" t="str">
        <f>CONCATENATE(J1749,"-",C1749)</f>
        <v>1049-42888</v>
      </c>
      <c r="E1749" s="20" t="str">
        <f>CONCATENATE(T1749,"-",U1749,"-",C1749)</f>
        <v>SP2-F4-42888</v>
      </c>
      <c r="F1749" s="20" t="s">
        <v>106</v>
      </c>
      <c r="G1749" s="44" t="s">
        <v>278</v>
      </c>
      <c r="H1749" s="26"/>
      <c r="I1749" s="26"/>
      <c r="J1749" s="45">
        <v>1049</v>
      </c>
      <c r="K1749" s="45"/>
      <c r="L1749" s="26"/>
      <c r="M1749" s="45"/>
      <c r="N1749" s="45"/>
      <c r="O1749" s="45"/>
      <c r="P1749" s="26"/>
      <c r="Q1749" s="26"/>
      <c r="R1749" s="26"/>
      <c r="S1749" s="26"/>
      <c r="T1749" s="26" t="s">
        <v>137</v>
      </c>
      <c r="U1749" s="26" t="s">
        <v>184</v>
      </c>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f>SUM(AL1749:AN1749)</f>
        <v>0</v>
      </c>
      <c r="AQ1749" s="26">
        <v>1.7609999999999999</v>
      </c>
      <c r="AR1749" s="26">
        <f>AP1749-1.472</f>
        <v>-1.472</v>
      </c>
      <c r="AS1749" s="26">
        <f>AQ1749-1.472</f>
        <v>0.28899999999999992</v>
      </c>
      <c r="AT1749" s="47" t="s">
        <v>284</v>
      </c>
      <c r="AU1749" s="47"/>
      <c r="AV1749" s="47"/>
      <c r="AW1749" s="26"/>
      <c r="AX1749" s="26"/>
      <c r="AY1749" s="26"/>
      <c r="AZ1749" s="26"/>
      <c r="BA1749" s="26"/>
      <c r="BB1749" s="26"/>
      <c r="BC1749" s="26"/>
      <c r="BD1749" s="26"/>
      <c r="BE1749" s="26"/>
      <c r="BF1749" s="26"/>
      <c r="BG1749" s="82"/>
      <c r="BH1749" s="26"/>
      <c r="BI1749" s="26"/>
      <c r="BJ1749" s="26"/>
      <c r="BK1749" s="26"/>
      <c r="BL1749" s="26"/>
      <c r="BM1749" s="26"/>
      <c r="BN1749" s="26"/>
      <c r="BO1749" s="26"/>
      <c r="BP1749" s="26"/>
      <c r="BQ1749" s="26"/>
      <c r="BR1749" s="26"/>
      <c r="BS1749" s="26"/>
      <c r="BT1749" s="82"/>
      <c r="BU1749" s="26"/>
      <c r="BV1749" s="26"/>
      <c r="BW1749" s="26"/>
      <c r="BX1749" s="26"/>
      <c r="BY1749" s="26"/>
      <c r="BZ1749" s="26"/>
      <c r="CA1749" s="26"/>
      <c r="CB1749" s="26"/>
      <c r="CC1749" s="26"/>
      <c r="CD1749" s="82"/>
      <c r="CE1749" s="26"/>
      <c r="CF1749" s="26"/>
      <c r="CG1749" s="26"/>
      <c r="CH1749" s="26"/>
      <c r="CI1749" s="26"/>
      <c r="CJ1749" s="26"/>
      <c r="CK1749" s="26"/>
      <c r="CL1749" s="26"/>
      <c r="CM1749" s="26"/>
      <c r="CN1749" s="26"/>
      <c r="CO1749" s="26"/>
      <c r="CP1749" s="26"/>
      <c r="CQ1749" s="26"/>
      <c r="CR1749" s="26"/>
      <c r="CS1749" s="26"/>
      <c r="CT1749" s="26"/>
      <c r="CU1749" s="26"/>
      <c r="CV1749" s="26"/>
      <c r="CW1749" s="26"/>
      <c r="CX1749" s="26"/>
      <c r="CY1749" s="26"/>
      <c r="CZ1749" s="26"/>
      <c r="DA1749" s="26"/>
      <c r="DB1749" s="26"/>
      <c r="DC1749" s="26"/>
      <c r="DD1749" s="26"/>
      <c r="DE1749" s="26"/>
      <c r="DF1749" s="16" t="e">
        <f>VLOOKUP(K1749,'[3]RNA Seq summary tables'!$V$3:$V$99,1,FALSE)</f>
        <v>#N/A</v>
      </c>
      <c r="DG1749" s="26"/>
      <c r="DH1749" s="26"/>
      <c r="DI1749" s="26"/>
      <c r="DJ1749" s="26"/>
      <c r="DK1749" s="26"/>
      <c r="DL1749" s="26"/>
      <c r="DM1749" s="26"/>
      <c r="DN1749" s="26"/>
      <c r="DO1749" s="26"/>
      <c r="DP1749" s="26"/>
      <c r="DQ1749" s="26"/>
      <c r="DR1749" s="26"/>
      <c r="DS1749" s="26"/>
      <c r="JO1749" s="16"/>
      <c r="JP1749" s="16"/>
      <c r="JQ1749" s="16"/>
      <c r="JR1749" s="16"/>
      <c r="JS1749" s="16"/>
      <c r="JT1749" s="16"/>
      <c r="JU1749" s="16"/>
      <c r="JV1749" s="16"/>
      <c r="JW1749" s="16"/>
      <c r="JX1749" s="16"/>
      <c r="JY1749" s="16"/>
      <c r="JZ1749" s="16"/>
      <c r="KA1749" s="16"/>
      <c r="KB1749" s="16"/>
    </row>
    <row r="1750" spans="1:288" s="18" customFormat="1" x14ac:dyDescent="0.2">
      <c r="B1750" s="16">
        <v>2017</v>
      </c>
      <c r="C1750" s="66">
        <v>42889</v>
      </c>
      <c r="D1750" s="66" t="str">
        <f>CONCATENATE(J1750,"-",C1750)</f>
        <v>1049-42889</v>
      </c>
      <c r="E1750" s="20" t="str">
        <f>CONCATENATE(T1750,"-",U1750,"-",C1750)</f>
        <v>SP2-F4-42889</v>
      </c>
      <c r="F1750" s="20" t="s">
        <v>106</v>
      </c>
      <c r="G1750" s="20" t="s">
        <v>278</v>
      </c>
      <c r="H1750" s="16"/>
      <c r="I1750" s="16"/>
      <c r="J1750" s="21">
        <v>1049</v>
      </c>
      <c r="K1750" s="21"/>
      <c r="L1750" s="16"/>
      <c r="M1750" s="21"/>
      <c r="N1750" s="21"/>
      <c r="O1750" s="21"/>
      <c r="P1750" s="16"/>
      <c r="Q1750" s="16"/>
      <c r="R1750" s="16"/>
      <c r="S1750" s="16"/>
      <c r="T1750" s="16" t="s">
        <v>137</v>
      </c>
      <c r="U1750" s="16" t="s">
        <v>184</v>
      </c>
      <c r="V1750" s="16"/>
      <c r="W1750" s="16"/>
      <c r="X1750" s="16"/>
      <c r="Y1750" s="16"/>
      <c r="Z1750" s="16"/>
      <c r="AA1750" s="16"/>
      <c r="AB1750" s="16"/>
      <c r="AC1750" s="16"/>
      <c r="AD1750" s="16"/>
      <c r="AE1750" s="16"/>
      <c r="AF1750" s="16"/>
      <c r="AG1750" s="16"/>
      <c r="AH1750" s="16"/>
      <c r="AI1750" s="16"/>
      <c r="AJ1750" s="16"/>
      <c r="AK1750" s="16"/>
      <c r="AL1750" s="16"/>
      <c r="AM1750" s="16"/>
      <c r="AN1750" s="16"/>
      <c r="AO1750" s="16"/>
      <c r="AP1750" s="16">
        <f>SUM(AL1750:AN1750)</f>
        <v>0</v>
      </c>
      <c r="AQ1750" s="16"/>
      <c r="AR1750" s="16"/>
      <c r="AS1750" s="16"/>
      <c r="AT1750" s="16" t="s">
        <v>285</v>
      </c>
      <c r="AU1750" s="16"/>
      <c r="AV1750" s="16"/>
      <c r="AW1750" s="16"/>
      <c r="AX1750" s="16"/>
      <c r="AZ1750" s="16"/>
      <c r="BA1750" s="16"/>
      <c r="BB1750" s="16"/>
      <c r="BC1750" s="16"/>
      <c r="BD1750" s="16"/>
      <c r="BE1750" s="16"/>
      <c r="BF1750" s="16"/>
      <c r="BG1750" s="77"/>
      <c r="BH1750" s="16"/>
      <c r="BI1750" s="16"/>
      <c r="BJ1750" s="16"/>
      <c r="BK1750" s="16"/>
      <c r="BL1750" s="16"/>
      <c r="BM1750" s="16"/>
      <c r="BN1750" s="16"/>
      <c r="BO1750" s="16"/>
      <c r="BP1750" s="16"/>
      <c r="BQ1750" s="16"/>
      <c r="BR1750" s="16"/>
      <c r="BS1750" s="16"/>
      <c r="BT1750" s="77"/>
      <c r="BU1750" s="16"/>
      <c r="BV1750" s="16"/>
      <c r="BW1750" s="16"/>
      <c r="BX1750" s="16"/>
      <c r="BY1750" s="16"/>
      <c r="BZ1750" s="16"/>
      <c r="CA1750" s="16"/>
      <c r="CB1750" s="16"/>
      <c r="CC1750" s="16"/>
      <c r="CD1750" s="77"/>
      <c r="CE1750" s="16"/>
      <c r="CF1750" s="16"/>
      <c r="CG1750" s="16"/>
      <c r="CH1750" s="16"/>
      <c r="CI1750" s="16"/>
      <c r="CJ1750" s="16"/>
      <c r="CK1750" s="16"/>
      <c r="CL1750" s="16"/>
      <c r="CM1750" s="16"/>
      <c r="CN1750" s="16"/>
      <c r="CO1750" s="16"/>
      <c r="CP1750" s="16"/>
      <c r="CQ1750" s="16"/>
      <c r="CR1750" s="16"/>
      <c r="CS1750" s="16"/>
      <c r="CT1750" s="16"/>
      <c r="CU1750" s="16"/>
      <c r="CV1750" s="16"/>
      <c r="CW1750" s="16"/>
      <c r="CX1750" s="16"/>
      <c r="CY1750" s="16"/>
      <c r="CZ1750" s="16"/>
      <c r="DA1750" s="16"/>
      <c r="DB1750" s="16"/>
      <c r="DC1750" s="16"/>
      <c r="DD1750" s="16"/>
      <c r="DE1750" s="16"/>
      <c r="DF1750" s="16" t="e">
        <f>VLOOKUP(K1750,'[3]RNA Seq summary tables'!$V$3:$V$99,1,FALSE)</f>
        <v>#N/A</v>
      </c>
      <c r="DG1750" s="16"/>
      <c r="DH1750" s="16"/>
      <c r="DI1750" s="16"/>
      <c r="DJ1750" s="16"/>
      <c r="DK1750" s="16"/>
      <c r="DL1750" s="16"/>
      <c r="DM1750" s="16"/>
      <c r="DN1750" s="16"/>
      <c r="DO1750" s="16"/>
      <c r="DP1750" s="16"/>
      <c r="DQ1750" s="16"/>
      <c r="DR1750" s="16"/>
      <c r="DS1750" s="16"/>
      <c r="JO1750" s="16"/>
      <c r="JR1750" s="16"/>
      <c r="JS1750" s="16"/>
      <c r="JT1750" s="16"/>
      <c r="JU1750" s="16"/>
      <c r="JV1750" s="16"/>
      <c r="JW1750" s="16"/>
      <c r="JX1750" s="16"/>
      <c r="JY1750" s="16"/>
      <c r="JZ1750" s="16"/>
      <c r="KA1750" s="16"/>
      <c r="KB1750" s="16"/>
    </row>
    <row r="1751" spans="1:288" s="18" customFormat="1" x14ac:dyDescent="0.2">
      <c r="B1751" s="16">
        <v>2017</v>
      </c>
      <c r="C1751" s="66">
        <v>42888</v>
      </c>
      <c r="D1751" s="66" t="str">
        <f>CONCATENATE(J1751,"-",C1751)</f>
        <v>1050-42888</v>
      </c>
      <c r="E1751" s="20" t="str">
        <f>CONCATENATE(T1751,"-",U1751,"-",C1751)</f>
        <v>SP2-H4-42888</v>
      </c>
      <c r="F1751" s="20" t="s">
        <v>106</v>
      </c>
      <c r="G1751" s="20" t="s">
        <v>278</v>
      </c>
      <c r="H1751" s="16"/>
      <c r="I1751" s="16"/>
      <c r="J1751" s="21">
        <v>1050</v>
      </c>
      <c r="K1751" s="21"/>
      <c r="L1751" s="16"/>
      <c r="M1751" s="21"/>
      <c r="N1751" s="21"/>
      <c r="O1751" s="21"/>
      <c r="P1751" s="16"/>
      <c r="Q1751" s="16"/>
      <c r="R1751" s="16"/>
      <c r="S1751" s="16"/>
      <c r="T1751" s="16" t="s">
        <v>137</v>
      </c>
      <c r="U1751" s="16" t="s">
        <v>151</v>
      </c>
      <c r="V1751" s="16"/>
      <c r="W1751" s="16"/>
      <c r="X1751" s="16"/>
      <c r="Y1751" s="16"/>
      <c r="Z1751" s="16"/>
      <c r="AA1751" s="16"/>
      <c r="AB1751" s="16"/>
      <c r="AC1751" s="16"/>
      <c r="AD1751" s="16"/>
      <c r="AE1751" s="16"/>
      <c r="AF1751" s="16"/>
      <c r="AG1751" s="16"/>
      <c r="AH1751" s="16"/>
      <c r="AI1751" s="16"/>
      <c r="AJ1751" s="16"/>
      <c r="AK1751" s="16"/>
      <c r="AL1751" s="16"/>
      <c r="AM1751" s="16"/>
      <c r="AN1751" s="16"/>
      <c r="AO1751" s="16"/>
      <c r="AP1751" s="16">
        <f>SUM(AL1751:AN1751)</f>
        <v>0</v>
      </c>
      <c r="AQ1751" s="16"/>
      <c r="AR1751" s="16"/>
      <c r="AS1751" s="16"/>
      <c r="AT1751" s="16" t="s">
        <v>285</v>
      </c>
      <c r="AU1751" s="16"/>
      <c r="AV1751" s="16"/>
      <c r="AW1751" s="16"/>
      <c r="AX1751" s="16"/>
      <c r="AZ1751" s="16"/>
      <c r="BA1751" s="16"/>
      <c r="BB1751" s="16"/>
      <c r="BC1751" s="16"/>
      <c r="BD1751" s="16"/>
      <c r="BE1751" s="16"/>
      <c r="BF1751" s="16"/>
      <c r="BG1751" s="77"/>
      <c r="BH1751" s="16"/>
      <c r="BI1751" s="16"/>
      <c r="BJ1751" s="16"/>
      <c r="BK1751" s="16"/>
      <c r="BL1751" s="16"/>
      <c r="BM1751" s="16"/>
      <c r="BN1751" s="16"/>
      <c r="BO1751" s="16"/>
      <c r="BP1751" s="16"/>
      <c r="BQ1751" s="16"/>
      <c r="BR1751" s="16"/>
      <c r="BS1751" s="16"/>
      <c r="BT1751" s="77"/>
      <c r="BU1751" s="16"/>
      <c r="BV1751" s="16"/>
      <c r="BW1751" s="16"/>
      <c r="BX1751" s="16"/>
      <c r="BY1751" s="16"/>
      <c r="BZ1751" s="16"/>
      <c r="CA1751" s="16"/>
      <c r="CB1751" s="16"/>
      <c r="CC1751" s="16"/>
      <c r="CD1751" s="77"/>
      <c r="CE1751" s="16"/>
      <c r="CF1751" s="16"/>
      <c r="CG1751" s="16"/>
      <c r="CH1751" s="16"/>
      <c r="CI1751" s="16"/>
      <c r="CJ1751" s="16"/>
      <c r="CK1751" s="16"/>
      <c r="CL1751" s="16"/>
      <c r="CM1751" s="16"/>
      <c r="CN1751" s="16"/>
      <c r="CO1751" s="16"/>
      <c r="CP1751" s="16"/>
      <c r="CQ1751" s="16"/>
      <c r="CR1751" s="16"/>
      <c r="CS1751" s="16"/>
      <c r="CT1751" s="16"/>
      <c r="CU1751" s="16"/>
      <c r="CV1751" s="16"/>
      <c r="CW1751" s="16"/>
      <c r="CX1751" s="16"/>
      <c r="CY1751" s="16"/>
      <c r="CZ1751" s="16"/>
      <c r="DA1751" s="16"/>
      <c r="DB1751" s="16"/>
      <c r="DC1751" s="16"/>
      <c r="DD1751" s="16"/>
      <c r="DE1751" s="16"/>
      <c r="DF1751" s="16" t="e">
        <f>VLOOKUP(K1751,'[3]RNA Seq summary tables'!$V$3:$V$99,1,FALSE)</f>
        <v>#N/A</v>
      </c>
      <c r="DG1751" s="16"/>
      <c r="DH1751" s="16"/>
      <c r="DI1751" s="16"/>
      <c r="DJ1751" s="16"/>
      <c r="DK1751" s="16"/>
      <c r="DL1751" s="16"/>
      <c r="DM1751" s="16"/>
      <c r="DN1751" s="16"/>
      <c r="DO1751" s="16"/>
      <c r="DP1751" s="16"/>
      <c r="DQ1751" s="16"/>
      <c r="DR1751" s="16"/>
      <c r="DS1751" s="16"/>
      <c r="JO1751" s="16"/>
      <c r="JP1751" s="16"/>
      <c r="JQ1751" s="16"/>
      <c r="JR1751" s="16"/>
      <c r="JS1751" s="16"/>
      <c r="JT1751" s="16"/>
      <c r="JU1751" s="16"/>
      <c r="JV1751" s="16"/>
      <c r="JW1751" s="16"/>
      <c r="JX1751" s="16"/>
      <c r="JY1751" s="16"/>
      <c r="JZ1751" s="16"/>
      <c r="KA1751" s="16"/>
      <c r="KB1751" s="16"/>
    </row>
    <row r="1752" spans="1:288" s="18" customFormat="1" x14ac:dyDescent="0.2">
      <c r="B1752" s="16">
        <v>2017</v>
      </c>
      <c r="C1752" s="66">
        <v>42889</v>
      </c>
      <c r="D1752" s="66" t="str">
        <f>CONCATENATE(J1752,"-",C1752)</f>
        <v>1050-42889</v>
      </c>
      <c r="E1752" s="20" t="str">
        <f>CONCATENATE(T1752,"-",U1752,"-",C1752)</f>
        <v>SP2-G5-42889</v>
      </c>
      <c r="F1752" s="20" t="s">
        <v>106</v>
      </c>
      <c r="G1752" s="20" t="s">
        <v>278</v>
      </c>
      <c r="H1752" s="16"/>
      <c r="I1752" s="16"/>
      <c r="J1752" s="21">
        <v>1050</v>
      </c>
      <c r="K1752" s="21"/>
      <c r="L1752" s="16"/>
      <c r="M1752" s="21"/>
      <c r="N1752" s="21"/>
      <c r="O1752" s="21"/>
      <c r="P1752" s="16"/>
      <c r="Q1752" s="16"/>
      <c r="R1752" s="16"/>
      <c r="S1752" s="16"/>
      <c r="T1752" s="16" t="s">
        <v>137</v>
      </c>
      <c r="U1752" s="16" t="s">
        <v>200</v>
      </c>
      <c r="V1752" s="16"/>
      <c r="W1752" s="16"/>
      <c r="X1752" s="16"/>
      <c r="Y1752" s="16"/>
      <c r="Z1752" s="16"/>
      <c r="AA1752" s="16"/>
      <c r="AB1752" s="16"/>
      <c r="AC1752" s="16"/>
      <c r="AD1752" s="16"/>
      <c r="AE1752" s="16"/>
      <c r="AF1752" s="16"/>
      <c r="AG1752" s="16"/>
      <c r="AH1752" s="16"/>
      <c r="AI1752" s="16"/>
      <c r="AJ1752" s="16"/>
      <c r="AK1752" s="16"/>
      <c r="AL1752" s="16"/>
      <c r="AM1752" s="16"/>
      <c r="AN1752" s="16"/>
      <c r="AO1752" s="16"/>
      <c r="AP1752" s="16">
        <f>SUM(AL1752:AN1752)</f>
        <v>0</v>
      </c>
      <c r="AQ1752" s="16"/>
      <c r="AR1752" s="16"/>
      <c r="AS1752" s="16"/>
      <c r="AT1752" s="16" t="s">
        <v>285</v>
      </c>
      <c r="AU1752" s="16"/>
      <c r="AV1752" s="16"/>
      <c r="AW1752" s="16"/>
      <c r="AX1752" s="16"/>
      <c r="AZ1752" s="16"/>
      <c r="BA1752" s="16"/>
      <c r="BB1752" s="16"/>
      <c r="BC1752" s="16"/>
      <c r="BD1752" s="16"/>
      <c r="BE1752" s="16"/>
      <c r="BF1752" s="16"/>
      <c r="BG1752" s="77"/>
      <c r="BH1752" s="16"/>
      <c r="BI1752" s="16"/>
      <c r="BJ1752" s="16"/>
      <c r="BK1752" s="16"/>
      <c r="BL1752" s="16"/>
      <c r="BM1752" s="16"/>
      <c r="BN1752" s="16"/>
      <c r="BO1752" s="16"/>
      <c r="BP1752" s="16"/>
      <c r="BQ1752" s="16"/>
      <c r="BR1752" s="16"/>
      <c r="BS1752" s="16"/>
      <c r="BT1752" s="77"/>
      <c r="BU1752" s="16"/>
      <c r="BV1752" s="16"/>
      <c r="BW1752" s="16"/>
      <c r="BX1752" s="16"/>
      <c r="BY1752" s="16"/>
      <c r="BZ1752" s="16"/>
      <c r="CA1752" s="16"/>
      <c r="CB1752" s="16"/>
      <c r="CC1752" s="16"/>
      <c r="CD1752" s="77"/>
      <c r="CE1752" s="16"/>
      <c r="CF1752" s="16"/>
      <c r="CG1752" s="16"/>
      <c r="CH1752" s="16"/>
      <c r="CI1752" s="16"/>
      <c r="CJ1752" s="16"/>
      <c r="CK1752" s="16"/>
      <c r="CL1752" s="16"/>
      <c r="CM1752" s="16"/>
      <c r="CN1752" s="16"/>
      <c r="CO1752" s="16"/>
      <c r="CP1752" s="16"/>
      <c r="CQ1752" s="16"/>
      <c r="CR1752" s="16"/>
      <c r="CS1752" s="16"/>
      <c r="CT1752" s="16"/>
      <c r="CU1752" s="16"/>
      <c r="CV1752" s="16"/>
      <c r="CW1752" s="16"/>
      <c r="CX1752" s="16"/>
      <c r="CY1752" s="16"/>
      <c r="CZ1752" s="16"/>
      <c r="DA1752" s="16"/>
      <c r="DB1752" s="16"/>
      <c r="DC1752" s="16"/>
      <c r="DD1752" s="16"/>
      <c r="DE1752" s="16"/>
      <c r="DF1752" s="16" t="e">
        <f>VLOOKUP(K1752,'[3]RNA Seq summary tables'!$V$3:$V$99,1,FALSE)</f>
        <v>#N/A</v>
      </c>
      <c r="DG1752" s="16"/>
      <c r="DH1752" s="16"/>
      <c r="DI1752" s="16"/>
      <c r="DJ1752" s="16"/>
      <c r="DK1752" s="16"/>
      <c r="DL1752" s="16"/>
      <c r="DM1752" s="16"/>
      <c r="DN1752" s="16"/>
      <c r="DO1752" s="16"/>
      <c r="DP1752" s="16"/>
      <c r="DQ1752" s="16"/>
      <c r="DR1752" s="16"/>
      <c r="DS1752" s="16"/>
      <c r="JO1752" s="16"/>
      <c r="JP1752" s="16"/>
      <c r="JQ1752" s="16"/>
      <c r="JR1752" s="16"/>
      <c r="JS1752" s="16"/>
      <c r="JT1752" s="16"/>
      <c r="JU1752" s="16"/>
      <c r="JV1752" s="16"/>
      <c r="JW1752" s="16"/>
      <c r="JX1752" s="16"/>
      <c r="JY1752" s="16"/>
      <c r="JZ1752" s="16"/>
      <c r="KA1752" s="16"/>
      <c r="KB1752" s="16"/>
    </row>
    <row r="1753" spans="1:288" s="18" customFormat="1" x14ac:dyDescent="0.2">
      <c r="B1753" s="16">
        <v>2017</v>
      </c>
      <c r="C1753" s="20">
        <v>42906</v>
      </c>
      <c r="D1753" s="20" t="str">
        <f>CONCATENATE(J1753,"-",C1753)</f>
        <v>1050-42906</v>
      </c>
      <c r="E1753" s="20" t="str">
        <f>CONCATENATE(T1753,"-",U1753,"-",C1753)</f>
        <v>SP2-F8-42906</v>
      </c>
      <c r="F1753" s="20" t="s">
        <v>106</v>
      </c>
      <c r="G1753" s="20" t="s">
        <v>278</v>
      </c>
      <c r="H1753" s="16"/>
      <c r="I1753" s="16"/>
      <c r="J1753" s="21">
        <v>1050</v>
      </c>
      <c r="K1753" s="21"/>
      <c r="L1753" s="16"/>
      <c r="M1753" s="21"/>
      <c r="N1753" s="21"/>
      <c r="O1753" s="21"/>
      <c r="P1753" s="16"/>
      <c r="Q1753" s="16"/>
      <c r="R1753" s="16"/>
      <c r="S1753" s="16"/>
      <c r="T1753" s="16" t="s">
        <v>137</v>
      </c>
      <c r="U1753" s="16" t="s">
        <v>138</v>
      </c>
      <c r="V1753" s="16"/>
      <c r="W1753" s="16"/>
      <c r="X1753" s="16"/>
      <c r="Y1753" s="16"/>
      <c r="Z1753" s="16"/>
      <c r="AA1753" s="16"/>
      <c r="AB1753" s="16"/>
      <c r="AC1753" s="16"/>
      <c r="AD1753" s="16"/>
      <c r="AE1753" s="16"/>
      <c r="AF1753" s="16"/>
      <c r="AG1753" s="16"/>
      <c r="AH1753" s="16"/>
      <c r="AI1753" s="16"/>
      <c r="AJ1753" s="16"/>
      <c r="AK1753" s="16"/>
      <c r="AL1753" s="16"/>
      <c r="AM1753" s="16"/>
      <c r="AN1753" s="16"/>
      <c r="AO1753" s="16"/>
      <c r="AP1753" s="16">
        <f>SUM(AL1753:AN1753)</f>
        <v>0</v>
      </c>
      <c r="AQ1753" s="16"/>
      <c r="AR1753" s="16"/>
      <c r="AS1753" s="16"/>
      <c r="AT1753" s="16" t="s">
        <v>285</v>
      </c>
      <c r="AU1753" s="16"/>
      <c r="AV1753" s="16"/>
      <c r="AW1753" s="16"/>
      <c r="AX1753" s="16"/>
      <c r="AZ1753" s="16"/>
      <c r="BA1753" s="16"/>
      <c r="BB1753" s="16"/>
      <c r="BC1753" s="16"/>
      <c r="BD1753" s="16"/>
      <c r="BE1753" s="16"/>
      <c r="BF1753" s="16"/>
      <c r="BG1753" s="77"/>
      <c r="BH1753" s="16"/>
      <c r="BI1753" s="16"/>
      <c r="BJ1753" s="16"/>
      <c r="BK1753" s="16"/>
      <c r="BL1753" s="16"/>
      <c r="BM1753" s="16"/>
      <c r="BN1753" s="16"/>
      <c r="BO1753" s="16"/>
      <c r="BP1753" s="16"/>
      <c r="BQ1753" s="16"/>
      <c r="BR1753" s="16"/>
      <c r="BS1753" s="16"/>
      <c r="BT1753" s="77"/>
      <c r="BU1753" s="16"/>
      <c r="BV1753" s="16"/>
      <c r="BW1753" s="16"/>
      <c r="BX1753" s="16"/>
      <c r="BY1753" s="16"/>
      <c r="BZ1753" s="16"/>
      <c r="CA1753" s="16"/>
      <c r="CB1753" s="16"/>
      <c r="CC1753" s="16"/>
      <c r="CD1753" s="77"/>
      <c r="CE1753" s="16"/>
      <c r="CF1753" s="16"/>
      <c r="CG1753" s="16"/>
      <c r="CH1753" s="16"/>
      <c r="CI1753" s="16"/>
      <c r="CJ1753" s="16"/>
      <c r="CK1753" s="16"/>
      <c r="CL1753" s="16"/>
      <c r="CM1753" s="16"/>
      <c r="CN1753" s="16"/>
      <c r="CO1753" s="16"/>
      <c r="CP1753" s="16"/>
      <c r="CQ1753" s="16"/>
      <c r="CR1753" s="16"/>
      <c r="CS1753" s="16"/>
      <c r="CT1753" s="16"/>
      <c r="CU1753" s="16"/>
      <c r="CV1753" s="16"/>
      <c r="CW1753" s="16"/>
      <c r="CX1753" s="16"/>
      <c r="CY1753" s="16"/>
      <c r="CZ1753" s="16"/>
      <c r="DA1753" s="16"/>
      <c r="DB1753" s="16"/>
      <c r="DC1753" s="16"/>
      <c r="DD1753" s="16"/>
      <c r="DE1753" s="16"/>
      <c r="DF1753" s="16" t="e">
        <f>VLOOKUP(K1753,'[3]RNA Seq summary tables'!$V$3:$V$99,1,FALSE)</f>
        <v>#N/A</v>
      </c>
      <c r="DG1753" s="16"/>
      <c r="DH1753" s="16"/>
      <c r="DI1753" s="16"/>
      <c r="DJ1753" s="16"/>
      <c r="DK1753" s="16"/>
      <c r="DL1753" s="16"/>
      <c r="DM1753" s="16"/>
      <c r="DN1753" s="16"/>
      <c r="DO1753" s="16"/>
      <c r="DP1753" s="16"/>
      <c r="DQ1753" s="16"/>
      <c r="DR1753" s="16"/>
      <c r="DS1753" s="16"/>
      <c r="JO1753" s="60"/>
      <c r="JP1753" s="16"/>
      <c r="JQ1753" s="16"/>
      <c r="JR1753" s="16"/>
      <c r="JS1753" s="16"/>
      <c r="JT1753" s="16"/>
      <c r="JU1753" s="16"/>
      <c r="JV1753" s="16"/>
      <c r="JW1753" s="16"/>
      <c r="JX1753" s="16"/>
      <c r="JY1753" s="16"/>
      <c r="JZ1753" s="16"/>
      <c r="KA1753" s="16"/>
      <c r="KB1753" s="16"/>
    </row>
    <row r="1754" spans="1:288" s="18" customFormat="1" x14ac:dyDescent="0.2">
      <c r="B1754" s="16">
        <v>2017</v>
      </c>
      <c r="C1754" s="20">
        <v>42907</v>
      </c>
      <c r="D1754" s="20" t="str">
        <f>CONCATENATE(J1754,"-",C1754)</f>
        <v>1050-42907</v>
      </c>
      <c r="E1754" s="20" t="str">
        <f>CONCATENATE(T1754,"-",U1754,"-",C1754)</f>
        <v>SP2-H4-42907</v>
      </c>
      <c r="F1754" s="20" t="s">
        <v>106</v>
      </c>
      <c r="G1754" s="20" t="s">
        <v>278</v>
      </c>
      <c r="H1754" s="16"/>
      <c r="I1754" s="16"/>
      <c r="J1754" s="21">
        <v>1050</v>
      </c>
      <c r="K1754" s="21"/>
      <c r="L1754" s="16"/>
      <c r="M1754" s="21"/>
      <c r="N1754" s="21"/>
      <c r="O1754" s="21"/>
      <c r="P1754" s="16"/>
      <c r="Q1754" s="16"/>
      <c r="R1754" s="16"/>
      <c r="S1754" s="16"/>
      <c r="T1754" s="16" t="s">
        <v>137</v>
      </c>
      <c r="U1754" s="16" t="s">
        <v>151</v>
      </c>
      <c r="V1754" s="16"/>
      <c r="W1754" s="16"/>
      <c r="X1754" s="16"/>
      <c r="Y1754" s="16"/>
      <c r="Z1754" s="16"/>
      <c r="AA1754" s="16"/>
      <c r="AB1754" s="16"/>
      <c r="AC1754" s="16"/>
      <c r="AD1754" s="16"/>
      <c r="AE1754" s="16"/>
      <c r="AF1754" s="16"/>
      <c r="AG1754" s="16"/>
      <c r="AH1754" s="16"/>
      <c r="AI1754" s="16"/>
      <c r="AJ1754" s="16"/>
      <c r="AK1754" s="16"/>
      <c r="AL1754" s="16"/>
      <c r="AM1754" s="16"/>
      <c r="AN1754" s="16"/>
      <c r="AO1754" s="16"/>
      <c r="AP1754" s="16">
        <f>SUM(AL1754:AN1754)</f>
        <v>0</v>
      </c>
      <c r="AQ1754" s="16"/>
      <c r="AR1754" s="16"/>
      <c r="AS1754" s="16"/>
      <c r="AT1754" s="16" t="s">
        <v>285</v>
      </c>
      <c r="AU1754" s="16"/>
      <c r="AV1754" s="16"/>
      <c r="AW1754" s="16"/>
      <c r="AX1754" s="16"/>
      <c r="AZ1754" s="16"/>
      <c r="BA1754" s="16"/>
      <c r="BB1754" s="16"/>
      <c r="BC1754" s="16"/>
      <c r="BD1754" s="16"/>
      <c r="BE1754" s="16"/>
      <c r="BF1754" s="16"/>
      <c r="BG1754" s="77"/>
      <c r="BH1754" s="16"/>
      <c r="BI1754" s="16"/>
      <c r="BJ1754" s="16"/>
      <c r="BK1754" s="16"/>
      <c r="BL1754" s="16"/>
      <c r="BM1754" s="16"/>
      <c r="BN1754" s="16"/>
      <c r="BO1754" s="16"/>
      <c r="BP1754" s="16"/>
      <c r="BQ1754" s="16"/>
      <c r="BR1754" s="16"/>
      <c r="BS1754" s="16"/>
      <c r="BT1754" s="77"/>
      <c r="BU1754" s="16"/>
      <c r="BV1754" s="16"/>
      <c r="BW1754" s="16"/>
      <c r="BX1754" s="16"/>
      <c r="BY1754" s="16"/>
      <c r="BZ1754" s="16"/>
      <c r="CA1754" s="16"/>
      <c r="CB1754" s="16"/>
      <c r="CC1754" s="16"/>
      <c r="CD1754" s="77"/>
      <c r="CE1754" s="16"/>
      <c r="CF1754" s="16"/>
      <c r="CG1754" s="16"/>
      <c r="CH1754" s="16"/>
      <c r="CI1754" s="16"/>
      <c r="CJ1754" s="16"/>
      <c r="CK1754" s="16"/>
      <c r="CL1754" s="16"/>
      <c r="CM1754" s="16"/>
      <c r="CN1754" s="16"/>
      <c r="CO1754" s="16"/>
      <c r="CP1754" s="16"/>
      <c r="CQ1754" s="16"/>
      <c r="CR1754" s="16"/>
      <c r="CS1754" s="16"/>
      <c r="CT1754" s="16"/>
      <c r="CU1754" s="16"/>
      <c r="CV1754" s="16"/>
      <c r="CW1754" s="16"/>
      <c r="CX1754" s="16"/>
      <c r="CY1754" s="16"/>
      <c r="CZ1754" s="16"/>
      <c r="DA1754" s="16"/>
      <c r="DB1754" s="16"/>
      <c r="DC1754" s="16"/>
      <c r="DD1754" s="16"/>
      <c r="DE1754" s="16"/>
      <c r="DF1754" s="16" t="e">
        <f>VLOOKUP(K1754,'[3]RNA Seq summary tables'!$V$3:$V$99,1,FALSE)</f>
        <v>#N/A</v>
      </c>
      <c r="DG1754" s="16"/>
      <c r="DH1754" s="16"/>
      <c r="DI1754" s="16"/>
      <c r="DJ1754" s="16"/>
      <c r="DK1754" s="16"/>
      <c r="DL1754" s="16"/>
      <c r="DM1754" s="16"/>
      <c r="DN1754" s="16"/>
      <c r="DO1754" s="16"/>
      <c r="DP1754" s="16"/>
      <c r="DQ1754" s="16"/>
      <c r="DR1754" s="16"/>
      <c r="DS1754" s="16"/>
      <c r="JO1754" s="16"/>
      <c r="JP1754" s="16"/>
      <c r="JQ1754" s="16"/>
      <c r="JR1754" s="16"/>
      <c r="JS1754" s="16"/>
      <c r="JT1754" s="16"/>
      <c r="JU1754" s="16"/>
      <c r="JV1754" s="16"/>
      <c r="JW1754" s="16"/>
      <c r="JX1754" s="16"/>
      <c r="JY1754" s="16"/>
      <c r="JZ1754" s="16"/>
      <c r="KA1754" s="16"/>
      <c r="KB1754" s="16"/>
    </row>
    <row r="1755" spans="1:288" s="27" customFormat="1" x14ac:dyDescent="0.2">
      <c r="A1755" s="18"/>
      <c r="B1755" s="16">
        <v>2017</v>
      </c>
      <c r="C1755" s="20">
        <v>42907</v>
      </c>
      <c r="D1755" s="20" t="str">
        <f>CONCATENATE(J1755,"-",C1755)</f>
        <v>1052-42907</v>
      </c>
      <c r="E1755" s="20" t="str">
        <f>CONCATENATE(T1755,"-",U1755,"-",C1755)</f>
        <v>SP1-H3-42907</v>
      </c>
      <c r="F1755" s="20" t="s">
        <v>106</v>
      </c>
      <c r="G1755" s="20" t="s">
        <v>278</v>
      </c>
      <c r="H1755" s="16"/>
      <c r="I1755" s="16"/>
      <c r="J1755" s="21">
        <v>1052</v>
      </c>
      <c r="K1755" s="21"/>
      <c r="L1755" s="16"/>
      <c r="M1755" s="21"/>
      <c r="N1755" s="21"/>
      <c r="O1755" s="21"/>
      <c r="P1755" s="16"/>
      <c r="Q1755" s="16"/>
      <c r="R1755" s="16"/>
      <c r="S1755" s="16"/>
      <c r="T1755" s="16" t="s">
        <v>140</v>
      </c>
      <c r="U1755" s="16" t="s">
        <v>174</v>
      </c>
      <c r="V1755" s="16"/>
      <c r="W1755" s="16"/>
      <c r="X1755" s="16"/>
      <c r="Y1755" s="16"/>
      <c r="Z1755" s="16"/>
      <c r="AA1755" s="16"/>
      <c r="AB1755" s="16"/>
      <c r="AC1755" s="16"/>
      <c r="AD1755" s="16"/>
      <c r="AE1755" s="16"/>
      <c r="AF1755" s="16"/>
      <c r="AG1755" s="16"/>
      <c r="AH1755" s="16"/>
      <c r="AI1755" s="16"/>
      <c r="AJ1755" s="16"/>
      <c r="AK1755" s="16"/>
      <c r="AL1755" s="16"/>
      <c r="AM1755" s="16"/>
      <c r="AN1755" s="16"/>
      <c r="AO1755" s="16"/>
      <c r="AP1755" s="16">
        <f>SUM(AL1755:AN1755)</f>
        <v>0</v>
      </c>
      <c r="AQ1755" s="16"/>
      <c r="AR1755" s="16"/>
      <c r="AS1755" s="16"/>
      <c r="AT1755" s="16" t="s">
        <v>285</v>
      </c>
      <c r="AU1755" s="16"/>
      <c r="AV1755" s="16"/>
      <c r="AW1755" s="16"/>
      <c r="AX1755" s="16"/>
      <c r="AY1755" s="18"/>
      <c r="AZ1755" s="16"/>
      <c r="BA1755" s="16"/>
      <c r="BB1755" s="16"/>
      <c r="BC1755" s="16"/>
      <c r="BD1755" s="16"/>
      <c r="BE1755" s="16"/>
      <c r="BF1755" s="16"/>
      <c r="BG1755" s="77"/>
      <c r="BH1755" s="16"/>
      <c r="BI1755" s="16"/>
      <c r="BJ1755" s="16"/>
      <c r="BK1755" s="16"/>
      <c r="BL1755" s="16"/>
      <c r="BM1755" s="16"/>
      <c r="BN1755" s="16"/>
      <c r="BO1755" s="16"/>
      <c r="BP1755" s="16"/>
      <c r="BQ1755" s="16"/>
      <c r="BR1755" s="16"/>
      <c r="BS1755" s="16"/>
      <c r="BT1755" s="77"/>
      <c r="BU1755" s="16"/>
      <c r="BV1755" s="16"/>
      <c r="BW1755" s="16"/>
      <c r="BX1755" s="16"/>
      <c r="BY1755" s="16"/>
      <c r="BZ1755" s="16"/>
      <c r="CA1755" s="16"/>
      <c r="CB1755" s="16"/>
      <c r="CC1755" s="16"/>
      <c r="CD1755" s="77"/>
      <c r="CE1755" s="16"/>
      <c r="CF1755" s="16"/>
      <c r="CG1755" s="16"/>
      <c r="CH1755" s="16"/>
      <c r="CI1755" s="16"/>
      <c r="CJ1755" s="16"/>
      <c r="CK1755" s="16"/>
      <c r="CL1755" s="16"/>
      <c r="CM1755" s="16"/>
      <c r="CN1755" s="16"/>
      <c r="CO1755" s="16"/>
      <c r="CP1755" s="16"/>
      <c r="CQ1755" s="16"/>
      <c r="CR1755" s="16"/>
      <c r="CS1755" s="16"/>
      <c r="CT1755" s="16"/>
      <c r="CU1755" s="16"/>
      <c r="CV1755" s="16"/>
      <c r="CW1755" s="16"/>
      <c r="CX1755" s="16"/>
      <c r="CY1755" s="16"/>
      <c r="CZ1755" s="16"/>
      <c r="DA1755" s="16"/>
      <c r="DB1755" s="16"/>
      <c r="DC1755" s="16"/>
      <c r="DD1755" s="16"/>
      <c r="DE1755" s="16"/>
      <c r="DF1755" s="16" t="e">
        <f>VLOOKUP(K1755,'[3]RNA Seq summary tables'!$V$3:$V$99,1,FALSE)</f>
        <v>#N/A</v>
      </c>
      <c r="DG1755" s="16"/>
      <c r="DH1755" s="16"/>
      <c r="DI1755" s="16"/>
      <c r="DJ1755" s="16"/>
      <c r="DK1755" s="16"/>
      <c r="DL1755" s="16"/>
      <c r="DM1755" s="16"/>
      <c r="DN1755" s="16"/>
      <c r="DO1755" s="16"/>
      <c r="DP1755" s="16"/>
      <c r="DQ1755" s="16"/>
      <c r="DR1755" s="16"/>
      <c r="DS1755" s="16"/>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18"/>
      <c r="EQ1755" s="18"/>
      <c r="ER1755" s="18"/>
      <c r="ES1755" s="18"/>
      <c r="ET1755" s="18"/>
      <c r="EU1755" s="18"/>
      <c r="EV1755" s="18"/>
      <c r="EW1755" s="18"/>
      <c r="EX1755" s="18"/>
      <c r="EY1755" s="18"/>
      <c r="EZ1755" s="18"/>
      <c r="FA1755" s="18"/>
      <c r="FB1755" s="18"/>
      <c r="FC1755" s="18"/>
      <c r="FD1755" s="18"/>
      <c r="FE1755" s="18"/>
      <c r="FF1755" s="18"/>
      <c r="FG1755" s="18"/>
      <c r="FH1755" s="18"/>
      <c r="FI1755" s="18"/>
      <c r="FJ1755" s="18"/>
      <c r="FK1755" s="18"/>
      <c r="FL1755" s="18"/>
      <c r="FM1755" s="18"/>
      <c r="FN1755" s="18"/>
      <c r="FO1755" s="18"/>
      <c r="FP1755" s="18"/>
      <c r="FQ1755" s="18"/>
      <c r="FR1755" s="18"/>
      <c r="FS1755" s="18"/>
      <c r="FT1755" s="18"/>
      <c r="FU1755" s="18"/>
      <c r="FV1755" s="18"/>
      <c r="FW1755" s="18"/>
      <c r="FX1755" s="18"/>
      <c r="FY1755" s="18"/>
      <c r="FZ1755" s="18"/>
      <c r="GA1755" s="18"/>
      <c r="GB1755" s="18"/>
      <c r="GC1755" s="18"/>
      <c r="GD1755" s="18"/>
      <c r="GE1755" s="18"/>
      <c r="GF1755" s="18"/>
      <c r="GG1755" s="18"/>
      <c r="GH1755" s="18"/>
      <c r="GI1755" s="18"/>
      <c r="GJ1755" s="18"/>
      <c r="GK1755" s="18"/>
      <c r="GL1755" s="18"/>
      <c r="GM1755" s="18"/>
      <c r="GN1755" s="18"/>
      <c r="GO1755" s="18"/>
      <c r="GP1755" s="18"/>
      <c r="GQ1755" s="18"/>
      <c r="GR1755" s="18"/>
      <c r="GS1755" s="18"/>
      <c r="GT1755" s="18"/>
      <c r="GU1755" s="18"/>
      <c r="GV1755" s="18"/>
      <c r="GW1755" s="18"/>
      <c r="GX1755" s="18"/>
      <c r="GY1755" s="18"/>
      <c r="GZ1755" s="18"/>
      <c r="HA1755" s="18"/>
      <c r="HB1755" s="18"/>
      <c r="HC1755" s="18"/>
      <c r="HD1755" s="18"/>
      <c r="HE1755" s="18"/>
      <c r="HF1755" s="18"/>
      <c r="HG1755" s="18"/>
      <c r="HH1755" s="18"/>
      <c r="HI1755" s="18"/>
      <c r="HJ1755" s="18"/>
      <c r="HK1755" s="18"/>
      <c r="HL1755" s="18"/>
      <c r="HM1755" s="18"/>
      <c r="HN1755" s="18"/>
      <c r="HO1755" s="18"/>
      <c r="HP1755" s="18"/>
      <c r="HQ1755" s="18"/>
      <c r="HR1755" s="18"/>
      <c r="HS1755" s="18"/>
      <c r="HT1755" s="18"/>
      <c r="HU1755" s="18"/>
      <c r="HV1755" s="18"/>
      <c r="HW1755" s="18"/>
      <c r="HX1755" s="18"/>
      <c r="HY1755" s="18"/>
      <c r="HZ1755" s="18"/>
      <c r="IA1755" s="18"/>
      <c r="IB1755" s="18"/>
      <c r="IC1755" s="18"/>
      <c r="ID1755" s="18"/>
      <c r="IE1755" s="18"/>
      <c r="IF1755" s="18"/>
      <c r="IG1755" s="18"/>
      <c r="IH1755" s="18"/>
      <c r="II1755" s="18"/>
      <c r="IJ1755" s="18"/>
      <c r="IK1755" s="18"/>
      <c r="IL1755" s="18"/>
      <c r="IM1755" s="18"/>
      <c r="IN1755" s="18"/>
      <c r="IO1755" s="18"/>
      <c r="IP1755" s="18"/>
      <c r="IQ1755" s="18"/>
      <c r="IR1755" s="18"/>
      <c r="IS1755" s="18"/>
      <c r="IT1755" s="18"/>
      <c r="IU1755" s="18"/>
      <c r="IV1755" s="18"/>
      <c r="IW1755" s="18"/>
      <c r="IX1755" s="18"/>
      <c r="IY1755" s="18"/>
      <c r="IZ1755" s="18"/>
      <c r="JA1755" s="18"/>
      <c r="JB1755" s="18"/>
      <c r="JC1755" s="18"/>
      <c r="JD1755" s="18"/>
      <c r="JE1755" s="18"/>
      <c r="JF1755" s="18"/>
      <c r="JG1755" s="18"/>
      <c r="JH1755" s="18"/>
      <c r="JI1755" s="18"/>
      <c r="JJ1755" s="18"/>
      <c r="JK1755" s="18"/>
      <c r="JL1755" s="18"/>
      <c r="JM1755" s="18"/>
      <c r="JN1755" s="18"/>
      <c r="JO1755" s="18"/>
      <c r="JP1755" s="16"/>
      <c r="JQ1755" s="16"/>
      <c r="JR1755" s="16"/>
      <c r="JS1755" s="16"/>
      <c r="JT1755" s="16"/>
      <c r="JU1755" s="16"/>
      <c r="JV1755" s="16"/>
      <c r="JW1755" s="16"/>
      <c r="JX1755" s="16"/>
      <c r="JY1755" s="16"/>
      <c r="JZ1755" s="16"/>
      <c r="KA1755" s="16"/>
      <c r="KB1755" s="16"/>
    </row>
    <row r="1756" spans="1:288" s="27" customFormat="1" x14ac:dyDescent="0.2">
      <c r="A1756" s="18"/>
      <c r="B1756" s="16">
        <v>2017</v>
      </c>
      <c r="C1756" s="20">
        <v>42941</v>
      </c>
      <c r="D1756" s="20" t="str">
        <f>CONCATENATE(J1756,"-",C1756)</f>
        <v>1052-42941</v>
      </c>
      <c r="E1756" s="20" t="str">
        <f>CONCATENATE(T1756,"-",U1756,"-",C1756)</f>
        <v>SP1-H3-42941</v>
      </c>
      <c r="F1756" s="20" t="s">
        <v>106</v>
      </c>
      <c r="G1756" s="20" t="s">
        <v>278</v>
      </c>
      <c r="H1756" s="16"/>
      <c r="I1756" s="16"/>
      <c r="J1756" s="21">
        <v>1052</v>
      </c>
      <c r="K1756" s="21"/>
      <c r="L1756" s="16"/>
      <c r="M1756" s="21"/>
      <c r="N1756" s="21"/>
      <c r="O1756" s="21"/>
      <c r="P1756" s="16"/>
      <c r="Q1756" s="16"/>
      <c r="R1756" s="16"/>
      <c r="S1756" s="16"/>
      <c r="T1756" s="16" t="s">
        <v>140</v>
      </c>
      <c r="U1756" s="16" t="s">
        <v>174</v>
      </c>
      <c r="V1756" s="16"/>
      <c r="W1756" s="16"/>
      <c r="X1756" s="16"/>
      <c r="Y1756" s="16"/>
      <c r="Z1756" s="16"/>
      <c r="AA1756" s="16"/>
      <c r="AB1756" s="16"/>
      <c r="AC1756" s="16"/>
      <c r="AD1756" s="16"/>
      <c r="AE1756" s="16"/>
      <c r="AF1756" s="16"/>
      <c r="AG1756" s="16"/>
      <c r="AH1756" s="16"/>
      <c r="AI1756" s="16"/>
      <c r="AJ1756" s="16"/>
      <c r="AK1756" s="16"/>
      <c r="AL1756" s="16"/>
      <c r="AM1756" s="16"/>
      <c r="AN1756" s="16"/>
      <c r="AO1756" s="16"/>
      <c r="AP1756" s="16">
        <f>SUM(AL1756:AN1756)</f>
        <v>0</v>
      </c>
      <c r="AQ1756" s="16"/>
      <c r="AR1756" s="16"/>
      <c r="AS1756" s="16"/>
      <c r="AT1756" s="16" t="s">
        <v>285</v>
      </c>
      <c r="AU1756" s="16"/>
      <c r="AV1756" s="16"/>
      <c r="AW1756" s="16"/>
      <c r="AX1756" s="16"/>
      <c r="AY1756" s="18"/>
      <c r="AZ1756" s="16"/>
      <c r="BA1756" s="16"/>
      <c r="BB1756" s="16"/>
      <c r="BC1756" s="16"/>
      <c r="BD1756" s="16"/>
      <c r="BE1756" s="16"/>
      <c r="BF1756" s="16"/>
      <c r="BG1756" s="77"/>
      <c r="BH1756" s="16"/>
      <c r="BI1756" s="16"/>
      <c r="BJ1756" s="16"/>
      <c r="BK1756" s="16"/>
      <c r="BL1756" s="16"/>
      <c r="BM1756" s="16"/>
      <c r="BN1756" s="16"/>
      <c r="BO1756" s="16"/>
      <c r="BP1756" s="16"/>
      <c r="BQ1756" s="16"/>
      <c r="BR1756" s="16"/>
      <c r="BS1756" s="16"/>
      <c r="BT1756" s="77"/>
      <c r="BU1756" s="16"/>
      <c r="BV1756" s="16"/>
      <c r="BW1756" s="16"/>
      <c r="BX1756" s="16"/>
      <c r="BY1756" s="16"/>
      <c r="BZ1756" s="16"/>
      <c r="CA1756" s="16"/>
      <c r="CB1756" s="16"/>
      <c r="CC1756" s="16"/>
      <c r="CD1756" s="77"/>
      <c r="CE1756" s="16"/>
      <c r="CF1756" s="16"/>
      <c r="CG1756" s="16"/>
      <c r="CH1756" s="16"/>
      <c r="CI1756" s="16"/>
      <c r="CJ1756" s="16"/>
      <c r="CK1756" s="16"/>
      <c r="CL1756" s="16"/>
      <c r="CM1756" s="16"/>
      <c r="CN1756" s="16"/>
      <c r="CO1756" s="16"/>
      <c r="CP1756" s="16"/>
      <c r="CQ1756" s="16"/>
      <c r="CR1756" s="16"/>
      <c r="CS1756" s="16"/>
      <c r="CT1756" s="16"/>
      <c r="CU1756" s="16"/>
      <c r="CV1756" s="16"/>
      <c r="CW1756" s="16"/>
      <c r="CX1756" s="16"/>
      <c r="CY1756" s="16"/>
      <c r="CZ1756" s="16"/>
      <c r="DA1756" s="16"/>
      <c r="DB1756" s="16"/>
      <c r="DC1756" s="16"/>
      <c r="DD1756" s="16"/>
      <c r="DE1756" s="16"/>
      <c r="DF1756" s="16" t="e">
        <f>VLOOKUP(K1756,'[3]RNA Seq summary tables'!$V$3:$V$99,1,FALSE)</f>
        <v>#N/A</v>
      </c>
      <c r="DG1756" s="16"/>
      <c r="DH1756" s="16"/>
      <c r="DI1756" s="16"/>
      <c r="DJ1756" s="16"/>
      <c r="DK1756" s="16"/>
      <c r="DL1756" s="16"/>
      <c r="DM1756" s="16"/>
      <c r="DN1756" s="16"/>
      <c r="DO1756" s="16"/>
      <c r="DP1756" s="16"/>
      <c r="DQ1756" s="16"/>
      <c r="DR1756" s="16"/>
      <c r="DS1756" s="16"/>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18"/>
      <c r="EQ1756" s="18"/>
      <c r="ER1756" s="18"/>
      <c r="ES1756" s="18"/>
      <c r="ET1756" s="18"/>
      <c r="EU1756" s="18"/>
      <c r="EV1756" s="18"/>
      <c r="EW1756" s="18"/>
      <c r="EX1756" s="18"/>
      <c r="EY1756" s="18"/>
      <c r="EZ1756" s="18"/>
      <c r="FA1756" s="18"/>
      <c r="FB1756" s="18"/>
      <c r="FC1756" s="18"/>
      <c r="FD1756" s="18"/>
      <c r="FE1756" s="18"/>
      <c r="FF1756" s="18"/>
      <c r="FG1756" s="18"/>
      <c r="FH1756" s="18"/>
      <c r="FI1756" s="18"/>
      <c r="FJ1756" s="18"/>
      <c r="FK1756" s="18"/>
      <c r="FL1756" s="18"/>
      <c r="FM1756" s="18"/>
      <c r="FN1756" s="18"/>
      <c r="FO1756" s="18"/>
      <c r="FP1756" s="18"/>
      <c r="FQ1756" s="18"/>
      <c r="FR1756" s="18"/>
      <c r="FS1756" s="18"/>
      <c r="FT1756" s="18"/>
      <c r="FU1756" s="18"/>
      <c r="FV1756" s="18"/>
      <c r="FW1756" s="18"/>
      <c r="FX1756" s="18"/>
      <c r="FY1756" s="18"/>
      <c r="FZ1756" s="18"/>
      <c r="GA1756" s="18"/>
      <c r="GB1756" s="18"/>
      <c r="GC1756" s="18"/>
      <c r="GD1756" s="18"/>
      <c r="GE1756" s="18"/>
      <c r="GF1756" s="18"/>
      <c r="GG1756" s="18"/>
      <c r="GH1756" s="18"/>
      <c r="GI1756" s="18"/>
      <c r="GJ1756" s="18"/>
      <c r="GK1756" s="18"/>
      <c r="GL1756" s="18"/>
      <c r="GM1756" s="18"/>
      <c r="GN1756" s="18"/>
      <c r="GO1756" s="18"/>
      <c r="GP1756" s="18"/>
      <c r="GQ1756" s="18"/>
      <c r="GR1756" s="18"/>
      <c r="GS1756" s="18"/>
      <c r="GT1756" s="18"/>
      <c r="GU1756" s="18"/>
      <c r="GV1756" s="18"/>
      <c r="GW1756" s="18"/>
      <c r="GX1756" s="18"/>
      <c r="GY1756" s="18"/>
      <c r="GZ1756" s="18"/>
      <c r="HA1756" s="18"/>
      <c r="HB1756" s="18"/>
      <c r="HC1756" s="18"/>
      <c r="HD1756" s="18"/>
      <c r="HE1756" s="18"/>
      <c r="HF1756" s="18"/>
      <c r="HG1756" s="18"/>
      <c r="HH1756" s="18"/>
      <c r="HI1756" s="18"/>
      <c r="HJ1756" s="18"/>
      <c r="HK1756" s="18"/>
      <c r="HL1756" s="18"/>
      <c r="HM1756" s="18"/>
      <c r="HN1756" s="18"/>
      <c r="HO1756" s="18"/>
      <c r="HP1756" s="18"/>
      <c r="HQ1756" s="18"/>
      <c r="HR1756" s="18"/>
      <c r="HS1756" s="18"/>
      <c r="HT1756" s="18"/>
      <c r="HU1756" s="18"/>
      <c r="HV1756" s="18"/>
      <c r="HW1756" s="18"/>
      <c r="HX1756" s="18"/>
      <c r="HY1756" s="18"/>
      <c r="HZ1756" s="18"/>
      <c r="IA1756" s="18"/>
      <c r="IB1756" s="18"/>
      <c r="IC1756" s="18"/>
      <c r="ID1756" s="18"/>
      <c r="IE1756" s="18"/>
      <c r="IF1756" s="18"/>
      <c r="IG1756" s="18"/>
      <c r="IH1756" s="18"/>
      <c r="II1756" s="18"/>
      <c r="IJ1756" s="18"/>
      <c r="IK1756" s="18"/>
      <c r="IL1756" s="18"/>
      <c r="IM1756" s="18"/>
      <c r="IN1756" s="18"/>
      <c r="IO1756" s="18"/>
      <c r="IP1756" s="18"/>
      <c r="IQ1756" s="18"/>
      <c r="IR1756" s="18"/>
      <c r="IS1756" s="18"/>
      <c r="IT1756" s="18"/>
      <c r="IU1756" s="18"/>
      <c r="IV1756" s="18"/>
      <c r="IW1756" s="18"/>
      <c r="IX1756" s="18"/>
      <c r="IY1756" s="18"/>
      <c r="IZ1756" s="18"/>
      <c r="JA1756" s="18"/>
      <c r="JB1756" s="18"/>
      <c r="JC1756" s="18"/>
      <c r="JD1756" s="18"/>
      <c r="JE1756" s="18"/>
      <c r="JF1756" s="18"/>
      <c r="JG1756" s="18"/>
      <c r="JH1756" s="18"/>
      <c r="JI1756" s="18"/>
      <c r="JJ1756" s="18"/>
      <c r="JK1756" s="18"/>
      <c r="JL1756" s="18"/>
      <c r="JM1756" s="18"/>
      <c r="JN1756" s="18"/>
      <c r="JP1756" s="16"/>
      <c r="JQ1756" s="16"/>
      <c r="JR1756" s="16"/>
      <c r="JS1756" s="16"/>
      <c r="JT1756" s="16"/>
      <c r="JU1756" s="16"/>
      <c r="JV1756" s="16"/>
      <c r="JW1756" s="16"/>
      <c r="JX1756" s="16"/>
      <c r="JY1756" s="16"/>
      <c r="JZ1756" s="16"/>
      <c r="KA1756" s="16"/>
      <c r="KB1756" s="16"/>
    </row>
    <row r="1757" spans="1:288" s="27" customFormat="1" x14ac:dyDescent="0.2">
      <c r="A1757" s="18"/>
      <c r="B1757" s="16">
        <v>2017</v>
      </c>
      <c r="C1757" s="20">
        <v>42959</v>
      </c>
      <c r="D1757" s="20" t="str">
        <f>CONCATENATE(J1757,"-",C1757)</f>
        <v>1052-42959</v>
      </c>
      <c r="E1757" s="20" t="str">
        <f>CONCATENATE(T1757,"-",U1757,"-",C1757)</f>
        <v>SP1-H4-42959</v>
      </c>
      <c r="F1757" s="20" t="s">
        <v>106</v>
      </c>
      <c r="G1757" s="20" t="s">
        <v>278</v>
      </c>
      <c r="H1757" s="16"/>
      <c r="I1757" s="16"/>
      <c r="J1757" s="21">
        <v>1052</v>
      </c>
      <c r="K1757" s="21"/>
      <c r="L1757" s="16"/>
      <c r="M1757" s="21"/>
      <c r="N1757" s="21"/>
      <c r="O1757" s="21"/>
      <c r="P1757" s="16"/>
      <c r="Q1757" s="16"/>
      <c r="R1757" s="16"/>
      <c r="S1757" s="16"/>
      <c r="T1757" s="16" t="s">
        <v>140</v>
      </c>
      <c r="U1757" s="16" t="s">
        <v>151</v>
      </c>
      <c r="V1757" s="16"/>
      <c r="W1757" s="16"/>
      <c r="X1757" s="16"/>
      <c r="Y1757" s="16"/>
      <c r="Z1757" s="16"/>
      <c r="AA1757" s="16"/>
      <c r="AB1757" s="16"/>
      <c r="AC1757" s="16"/>
      <c r="AD1757" s="16"/>
      <c r="AE1757" s="16"/>
      <c r="AF1757" s="16"/>
      <c r="AG1757" s="16"/>
      <c r="AH1757" s="16"/>
      <c r="AI1757" s="16"/>
      <c r="AJ1757" s="16"/>
      <c r="AK1757" s="16"/>
      <c r="AL1757" s="16"/>
      <c r="AM1757" s="16"/>
      <c r="AN1757" s="16"/>
      <c r="AO1757" s="16"/>
      <c r="AP1757" s="16">
        <f>SUM(AL1757:AN1757)</f>
        <v>0</v>
      </c>
      <c r="AQ1757" s="16"/>
      <c r="AR1757" s="16"/>
      <c r="AS1757" s="16"/>
      <c r="AT1757" s="16" t="s">
        <v>285</v>
      </c>
      <c r="AU1757" s="16"/>
      <c r="AV1757" s="16"/>
      <c r="AW1757" s="16"/>
      <c r="AX1757" s="16"/>
      <c r="AY1757" s="18"/>
      <c r="AZ1757" s="16"/>
      <c r="BA1757" s="16"/>
      <c r="BB1757" s="16"/>
      <c r="BC1757" s="16"/>
      <c r="BD1757" s="16"/>
      <c r="BE1757" s="16"/>
      <c r="BF1757" s="16"/>
      <c r="BG1757" s="77"/>
      <c r="BH1757" s="16"/>
      <c r="BI1757" s="16"/>
      <c r="BJ1757" s="16"/>
      <c r="BK1757" s="16"/>
      <c r="BL1757" s="16"/>
      <c r="BM1757" s="16"/>
      <c r="BN1757" s="16"/>
      <c r="BO1757" s="16"/>
      <c r="BP1757" s="16"/>
      <c r="BQ1757" s="16"/>
      <c r="BR1757" s="16"/>
      <c r="BS1757" s="16"/>
      <c r="BT1757" s="77"/>
      <c r="BU1757" s="16"/>
      <c r="BV1757" s="16"/>
      <c r="BW1757" s="16"/>
      <c r="BX1757" s="16"/>
      <c r="BY1757" s="16"/>
      <c r="BZ1757" s="16"/>
      <c r="CA1757" s="16"/>
      <c r="CB1757" s="16"/>
      <c r="CC1757" s="16"/>
      <c r="CD1757" s="77"/>
      <c r="CE1757" s="16"/>
      <c r="CF1757" s="16"/>
      <c r="CG1757" s="16"/>
      <c r="CH1757" s="16"/>
      <c r="CI1757" s="16"/>
      <c r="CJ1757" s="16"/>
      <c r="CK1757" s="16"/>
      <c r="CL1757" s="16"/>
      <c r="CM1757" s="16"/>
      <c r="CN1757" s="16"/>
      <c r="CO1757" s="16"/>
      <c r="CP1757" s="16"/>
      <c r="CQ1757" s="16"/>
      <c r="CR1757" s="16"/>
      <c r="CS1757" s="16"/>
      <c r="CT1757" s="16"/>
      <c r="CU1757" s="16"/>
      <c r="CV1757" s="16"/>
      <c r="CW1757" s="16"/>
      <c r="CX1757" s="16"/>
      <c r="CY1757" s="16"/>
      <c r="CZ1757" s="16"/>
      <c r="DA1757" s="16"/>
      <c r="DB1757" s="16"/>
      <c r="DC1757" s="16"/>
      <c r="DD1757" s="16"/>
      <c r="DE1757" s="16"/>
      <c r="DF1757" s="16" t="e">
        <f>VLOOKUP(K1757,'[3]RNA Seq summary tables'!$V$3:$V$99,1,FALSE)</f>
        <v>#N/A</v>
      </c>
      <c r="DG1757" s="16"/>
      <c r="DH1757" s="16"/>
      <c r="DI1757" s="16"/>
      <c r="DJ1757" s="16"/>
      <c r="DK1757" s="16"/>
      <c r="DL1757" s="16"/>
      <c r="DM1757" s="16"/>
      <c r="DN1757" s="16"/>
      <c r="DO1757" s="16"/>
      <c r="DP1757" s="16"/>
      <c r="DQ1757" s="16"/>
      <c r="DR1757" s="16"/>
      <c r="DS1757" s="16"/>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18"/>
      <c r="EQ1757" s="18"/>
      <c r="ER1757" s="18"/>
      <c r="ES1757" s="18"/>
      <c r="ET1757" s="18"/>
      <c r="EU1757" s="18"/>
      <c r="EV1757" s="18"/>
      <c r="EW1757" s="18"/>
      <c r="EX1757" s="18"/>
      <c r="EY1757" s="18"/>
      <c r="EZ1757" s="18"/>
      <c r="FA1757" s="18"/>
      <c r="FB1757" s="18"/>
      <c r="FC1757" s="18"/>
      <c r="FD1757" s="18"/>
      <c r="FE1757" s="18"/>
      <c r="FF1757" s="18"/>
      <c r="FG1757" s="18"/>
      <c r="FH1757" s="18"/>
      <c r="FI1757" s="18"/>
      <c r="FJ1757" s="18"/>
      <c r="FK1757" s="18"/>
      <c r="FL1757" s="18"/>
      <c r="FM1757" s="18"/>
      <c r="FN1757" s="18"/>
      <c r="FO1757" s="18"/>
      <c r="FP1757" s="18"/>
      <c r="FQ1757" s="18"/>
      <c r="FR1757" s="18"/>
      <c r="FS1757" s="18"/>
      <c r="FT1757" s="18"/>
      <c r="FU1757" s="18"/>
      <c r="FV1757" s="18"/>
      <c r="FW1757" s="18"/>
      <c r="FX1757" s="18"/>
      <c r="FY1757" s="18"/>
      <c r="FZ1757" s="18"/>
      <c r="GA1757" s="18"/>
      <c r="GB1757" s="18"/>
      <c r="GC1757" s="18"/>
      <c r="GD1757" s="18"/>
      <c r="GE1757" s="18"/>
      <c r="GF1757" s="18"/>
      <c r="GG1757" s="18"/>
      <c r="GH1757" s="18"/>
      <c r="GI1757" s="18"/>
      <c r="GJ1757" s="18"/>
      <c r="GK1757" s="18"/>
      <c r="GL1757" s="18"/>
      <c r="GM1757" s="18"/>
      <c r="GN1757" s="18"/>
      <c r="GO1757" s="18"/>
      <c r="GP1757" s="18"/>
      <c r="GQ1757" s="18"/>
      <c r="GR1757" s="18"/>
      <c r="GS1757" s="18"/>
      <c r="GT1757" s="18"/>
      <c r="GU1757" s="18"/>
      <c r="GV1757" s="18"/>
      <c r="GW1757" s="18"/>
      <c r="GX1757" s="18"/>
      <c r="GY1757" s="18"/>
      <c r="GZ1757" s="18"/>
      <c r="HA1757" s="18"/>
      <c r="HB1757" s="18"/>
      <c r="HC1757" s="18"/>
      <c r="HD1757" s="18"/>
      <c r="HE1757" s="18"/>
      <c r="HF1757" s="18"/>
      <c r="HG1757" s="18"/>
      <c r="HH1757" s="18"/>
      <c r="HI1757" s="18"/>
      <c r="HJ1757" s="18"/>
      <c r="HK1757" s="18"/>
      <c r="HL1757" s="18"/>
      <c r="HM1757" s="18"/>
      <c r="HN1757" s="18"/>
      <c r="HO1757" s="18"/>
      <c r="HP1757" s="18"/>
      <c r="HQ1757" s="18"/>
      <c r="HR1757" s="18"/>
      <c r="HS1757" s="18"/>
      <c r="HT1757" s="18"/>
      <c r="HU1757" s="18"/>
      <c r="HV1757" s="18"/>
      <c r="HW1757" s="18"/>
      <c r="HX1757" s="18"/>
      <c r="HY1757" s="18"/>
      <c r="HZ1757" s="18"/>
      <c r="IA1757" s="18"/>
      <c r="IB1757" s="18"/>
      <c r="IC1757" s="18"/>
      <c r="ID1757" s="18"/>
      <c r="IE1757" s="18"/>
      <c r="IF1757" s="18"/>
      <c r="IG1757" s="18"/>
      <c r="IH1757" s="18"/>
      <c r="II1757" s="18"/>
      <c r="IJ1757" s="18"/>
      <c r="IK1757" s="18"/>
      <c r="IL1757" s="18"/>
      <c r="IM1757" s="18"/>
      <c r="IN1757" s="18"/>
      <c r="IO1757" s="18"/>
      <c r="IP1757" s="18"/>
      <c r="IQ1757" s="18"/>
      <c r="IR1757" s="18"/>
      <c r="IS1757" s="18"/>
      <c r="IT1757" s="18"/>
      <c r="IU1757" s="18"/>
      <c r="IV1757" s="18"/>
      <c r="IW1757" s="18"/>
      <c r="IX1757" s="18"/>
      <c r="IY1757" s="18"/>
      <c r="IZ1757" s="18"/>
      <c r="JA1757" s="18"/>
      <c r="JB1757" s="18"/>
      <c r="JC1757" s="18"/>
      <c r="JD1757" s="18"/>
      <c r="JE1757" s="18"/>
      <c r="JF1757" s="18"/>
      <c r="JG1757" s="18"/>
      <c r="JH1757" s="18"/>
      <c r="JI1757" s="18"/>
      <c r="JJ1757" s="18"/>
      <c r="JK1757" s="18"/>
      <c r="JL1757" s="18"/>
      <c r="JM1757" s="18"/>
      <c r="JN1757" s="18"/>
      <c r="JP1757" s="16"/>
      <c r="JQ1757" s="16"/>
      <c r="JR1757" s="16"/>
      <c r="JS1757" s="16"/>
      <c r="JT1757" s="16"/>
      <c r="JU1757" s="16"/>
      <c r="JV1757" s="16"/>
      <c r="JW1757" s="16"/>
      <c r="JX1757" s="16"/>
      <c r="JY1757" s="16"/>
      <c r="JZ1757" s="16"/>
      <c r="KA1757" s="16"/>
      <c r="KB1757" s="16"/>
    </row>
    <row r="1758" spans="1:288" s="12" customFormat="1" x14ac:dyDescent="0.2">
      <c r="A1758" s="18"/>
      <c r="B1758" s="16">
        <v>2017</v>
      </c>
      <c r="C1758" s="20">
        <v>42973</v>
      </c>
      <c r="D1758" s="20" t="str">
        <f>CONCATENATE(J1758,"-",C1758)</f>
        <v>1052-42973</v>
      </c>
      <c r="E1758" s="20" t="str">
        <f>CONCATENATE(T1758,"-",U1758,"-",C1758)</f>
        <v>SP1-H2-42973</v>
      </c>
      <c r="F1758" s="20" t="s">
        <v>224</v>
      </c>
      <c r="G1758" s="20" t="s">
        <v>278</v>
      </c>
      <c r="H1758" s="16"/>
      <c r="I1758" s="16"/>
      <c r="J1758" s="21">
        <v>1052</v>
      </c>
      <c r="K1758" s="21"/>
      <c r="L1758" s="16"/>
      <c r="M1758" s="21"/>
      <c r="N1758" s="21"/>
      <c r="O1758" s="21"/>
      <c r="P1758" s="16"/>
      <c r="Q1758" s="16"/>
      <c r="R1758" s="16"/>
      <c r="S1758" s="16"/>
      <c r="T1758" s="16" t="s">
        <v>140</v>
      </c>
      <c r="U1758" s="16" t="s">
        <v>190</v>
      </c>
      <c r="V1758" s="16"/>
      <c r="W1758" s="16"/>
      <c r="X1758" s="16"/>
      <c r="Y1758" s="16"/>
      <c r="Z1758" s="16"/>
      <c r="AA1758" s="16"/>
      <c r="AB1758" s="16"/>
      <c r="AC1758" s="16"/>
      <c r="AD1758" s="16"/>
      <c r="AE1758" s="16"/>
      <c r="AF1758" s="16"/>
      <c r="AG1758" s="16"/>
      <c r="AH1758" s="16"/>
      <c r="AI1758" s="16"/>
      <c r="AJ1758" s="16"/>
      <c r="AK1758" s="16"/>
      <c r="AL1758" s="16"/>
      <c r="AM1758" s="16"/>
      <c r="AN1758" s="16"/>
      <c r="AO1758" s="16"/>
      <c r="AP1758" s="16">
        <f>SUM(AL1758:AN1758)</f>
        <v>0</v>
      </c>
      <c r="AQ1758" s="16"/>
      <c r="AR1758" s="16"/>
      <c r="AS1758" s="16"/>
      <c r="AT1758" s="16" t="s">
        <v>285</v>
      </c>
      <c r="AU1758" s="16"/>
      <c r="AV1758" s="16"/>
      <c r="AW1758" s="16"/>
      <c r="AX1758" s="16"/>
      <c r="AY1758" s="18"/>
      <c r="AZ1758" s="16"/>
      <c r="BA1758" s="16"/>
      <c r="BB1758" s="16"/>
      <c r="BC1758" s="16"/>
      <c r="BD1758" s="16"/>
      <c r="BE1758" s="16"/>
      <c r="BF1758" s="16"/>
      <c r="BG1758" s="77"/>
      <c r="BH1758" s="16"/>
      <c r="BI1758" s="16"/>
      <c r="BJ1758" s="16"/>
      <c r="BK1758" s="16"/>
      <c r="BL1758" s="16"/>
      <c r="BM1758" s="16"/>
      <c r="BN1758" s="16"/>
      <c r="BO1758" s="16"/>
      <c r="BP1758" s="16"/>
      <c r="BQ1758" s="16"/>
      <c r="BR1758" s="16"/>
      <c r="BS1758" s="16"/>
      <c r="BT1758" s="77"/>
      <c r="BU1758" s="16"/>
      <c r="BV1758" s="16"/>
      <c r="BW1758" s="16"/>
      <c r="BX1758" s="16"/>
      <c r="BY1758" s="16"/>
      <c r="BZ1758" s="16"/>
      <c r="CA1758" s="16"/>
      <c r="CB1758" s="16"/>
      <c r="CC1758" s="16"/>
      <c r="CD1758" s="77"/>
      <c r="CE1758" s="16"/>
      <c r="CF1758" s="16"/>
      <c r="CG1758" s="16"/>
      <c r="CH1758" s="16"/>
      <c r="CI1758" s="16"/>
      <c r="CJ1758" s="16"/>
      <c r="CK1758" s="16"/>
      <c r="CL1758" s="16"/>
      <c r="CM1758" s="16"/>
      <c r="CN1758" s="16"/>
      <c r="CO1758" s="16"/>
      <c r="CP1758" s="16"/>
      <c r="CQ1758" s="16"/>
      <c r="CR1758" s="16"/>
      <c r="CS1758" s="16"/>
      <c r="CT1758" s="16"/>
      <c r="CU1758" s="16"/>
      <c r="CV1758" s="16"/>
      <c r="CW1758" s="16"/>
      <c r="CX1758" s="16"/>
      <c r="CY1758" s="16"/>
      <c r="CZ1758" s="16"/>
      <c r="DA1758" s="16"/>
      <c r="DB1758" s="16"/>
      <c r="DC1758" s="16"/>
      <c r="DD1758" s="16"/>
      <c r="DE1758" s="16"/>
      <c r="DF1758" s="16" t="e">
        <f>VLOOKUP(K1758,'[3]RNA Seq summary tables'!$V$3:$V$99,1,FALSE)</f>
        <v>#N/A</v>
      </c>
      <c r="DG1758" s="16"/>
      <c r="DH1758" s="16"/>
      <c r="DI1758" s="16"/>
      <c r="DJ1758" s="16"/>
      <c r="DK1758" s="16"/>
      <c r="DL1758" s="16"/>
      <c r="DM1758" s="16"/>
      <c r="DN1758" s="16"/>
      <c r="DO1758" s="16"/>
      <c r="DP1758" s="16"/>
      <c r="DQ1758" s="16"/>
      <c r="DR1758" s="16"/>
      <c r="DS1758" s="16"/>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18"/>
      <c r="EQ1758" s="18"/>
      <c r="ER1758" s="18"/>
      <c r="ES1758" s="18"/>
      <c r="ET1758" s="18"/>
      <c r="EU1758" s="18"/>
      <c r="EV1758" s="18"/>
      <c r="EW1758" s="18"/>
      <c r="EX1758" s="18"/>
      <c r="EY1758" s="18"/>
      <c r="EZ1758" s="18"/>
      <c r="FA1758" s="18"/>
      <c r="FB1758" s="18"/>
      <c r="FC1758" s="18"/>
      <c r="FD1758" s="18"/>
      <c r="FE1758" s="18"/>
      <c r="FF1758" s="18"/>
      <c r="FG1758" s="18"/>
      <c r="FH1758" s="18"/>
      <c r="FI1758" s="18"/>
      <c r="FJ1758" s="18"/>
      <c r="FK1758" s="18"/>
      <c r="FL1758" s="18"/>
      <c r="FM1758" s="18"/>
      <c r="FN1758" s="18"/>
      <c r="FO1758" s="18"/>
      <c r="FP1758" s="18"/>
      <c r="FQ1758" s="18"/>
      <c r="FR1758" s="18"/>
      <c r="FS1758" s="18"/>
      <c r="FT1758" s="18"/>
      <c r="FU1758" s="18"/>
      <c r="FV1758" s="18"/>
      <c r="FW1758" s="18"/>
      <c r="FX1758" s="18"/>
      <c r="FY1758" s="18"/>
      <c r="FZ1758" s="18"/>
      <c r="GA1758" s="18"/>
      <c r="GB1758" s="18"/>
      <c r="GC1758" s="18"/>
      <c r="GD1758" s="18"/>
      <c r="GE1758" s="18"/>
      <c r="GF1758" s="18"/>
      <c r="GG1758" s="18"/>
      <c r="GH1758" s="18"/>
      <c r="GI1758" s="18"/>
      <c r="GJ1758" s="18"/>
      <c r="GK1758" s="18"/>
      <c r="GL1758" s="18"/>
      <c r="GM1758" s="18"/>
      <c r="GN1758" s="18"/>
      <c r="GO1758" s="18"/>
      <c r="GP1758" s="18"/>
      <c r="GQ1758" s="18"/>
      <c r="GR1758" s="18"/>
      <c r="GS1758" s="18"/>
      <c r="GT1758" s="18"/>
      <c r="GU1758" s="18"/>
      <c r="GV1758" s="18"/>
      <c r="GW1758" s="18"/>
      <c r="GX1758" s="18"/>
      <c r="GY1758" s="18"/>
      <c r="GZ1758" s="18"/>
      <c r="HA1758" s="18"/>
      <c r="HB1758" s="18"/>
      <c r="HC1758" s="18"/>
      <c r="HD1758" s="18"/>
      <c r="HE1758" s="18"/>
      <c r="HF1758" s="18"/>
      <c r="HG1758" s="18"/>
      <c r="HH1758" s="18"/>
      <c r="HI1758" s="18"/>
      <c r="HJ1758" s="18"/>
      <c r="HK1758" s="18"/>
      <c r="HL1758" s="18"/>
      <c r="HM1758" s="18"/>
      <c r="HN1758" s="18"/>
      <c r="HO1758" s="18"/>
      <c r="HP1758" s="18"/>
      <c r="HQ1758" s="18"/>
      <c r="HR1758" s="18"/>
      <c r="HS1758" s="18"/>
      <c r="HT1758" s="18"/>
      <c r="HU1758" s="18"/>
      <c r="HV1758" s="18"/>
      <c r="HW1758" s="18"/>
      <c r="HX1758" s="18"/>
      <c r="HY1758" s="18"/>
      <c r="HZ1758" s="18"/>
      <c r="IA1758" s="18"/>
      <c r="IB1758" s="18"/>
      <c r="IC1758" s="18"/>
      <c r="ID1758" s="18"/>
      <c r="IE1758" s="18"/>
      <c r="IF1758" s="18"/>
      <c r="IG1758" s="18"/>
      <c r="IH1758" s="18"/>
      <c r="II1758" s="18"/>
      <c r="IJ1758" s="18"/>
      <c r="IK1758" s="18"/>
      <c r="IL1758" s="18"/>
      <c r="IM1758" s="18"/>
      <c r="IN1758" s="18"/>
      <c r="IO1758" s="18"/>
      <c r="IP1758" s="18"/>
      <c r="IQ1758" s="18"/>
      <c r="IR1758" s="18"/>
      <c r="IS1758" s="18"/>
      <c r="IT1758" s="18"/>
      <c r="IU1758" s="18"/>
      <c r="IV1758" s="18"/>
      <c r="IW1758" s="18"/>
      <c r="IX1758" s="18"/>
      <c r="IY1758" s="18"/>
      <c r="IZ1758" s="18"/>
      <c r="JA1758" s="18"/>
      <c r="JB1758" s="18"/>
      <c r="JC1758" s="18"/>
      <c r="JD1758" s="18"/>
      <c r="JE1758" s="18"/>
      <c r="JF1758" s="18"/>
      <c r="JG1758" s="18"/>
      <c r="JH1758" s="18"/>
      <c r="JI1758" s="18"/>
      <c r="JJ1758" s="18"/>
      <c r="JK1758" s="18"/>
      <c r="JL1758" s="18"/>
      <c r="JM1758" s="18"/>
      <c r="JN1758" s="18"/>
      <c r="JO1758" s="18"/>
      <c r="JP1758" s="18"/>
      <c r="JQ1758" s="18"/>
      <c r="JR1758" s="16"/>
      <c r="JS1758" s="16"/>
      <c r="JT1758" s="16"/>
      <c r="JU1758" s="16"/>
      <c r="JV1758" s="16"/>
      <c r="JW1758" s="16"/>
      <c r="JX1758" s="16"/>
      <c r="JY1758" s="16"/>
      <c r="JZ1758" s="16"/>
      <c r="KA1758" s="16"/>
      <c r="KB1758" s="16"/>
    </row>
    <row r="1759" spans="1:288" s="12" customFormat="1" x14ac:dyDescent="0.2">
      <c r="A1759" s="26"/>
      <c r="B1759" s="26">
        <v>2017</v>
      </c>
      <c r="C1759" s="44">
        <v>42906</v>
      </c>
      <c r="D1759" s="44" t="str">
        <f>CONCATENATE(J1759,"-",C1759)</f>
        <v>1053-42906</v>
      </c>
      <c r="E1759" s="20" t="str">
        <f>CONCATENATE(T1759,"-",U1759,"-",C1759)</f>
        <v>SP1-G7-42906</v>
      </c>
      <c r="F1759" s="20" t="s">
        <v>106</v>
      </c>
      <c r="G1759" s="44" t="s">
        <v>278</v>
      </c>
      <c r="H1759" s="26"/>
      <c r="I1759" s="26"/>
      <c r="J1759" s="45">
        <v>1053</v>
      </c>
      <c r="K1759" s="45"/>
      <c r="L1759" s="26"/>
      <c r="M1759" s="45"/>
      <c r="N1759" s="45"/>
      <c r="O1759" s="45"/>
      <c r="P1759" s="26"/>
      <c r="Q1759" s="26"/>
      <c r="R1759" s="26"/>
      <c r="S1759" s="26"/>
      <c r="T1759" s="26" t="s">
        <v>140</v>
      </c>
      <c r="U1759" s="26" t="s">
        <v>156</v>
      </c>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f>SUM(AL1759:AN1759)</f>
        <v>0</v>
      </c>
      <c r="AQ1759" s="26">
        <v>2.5089999999999999</v>
      </c>
      <c r="AR1759" s="26">
        <f>AP1759-1.472</f>
        <v>-1.472</v>
      </c>
      <c r="AS1759" s="26">
        <f>AQ1759-1.472</f>
        <v>1.0369999999999999</v>
      </c>
      <c r="AT1759" s="47" t="s">
        <v>284</v>
      </c>
      <c r="AU1759" s="47"/>
      <c r="AV1759" s="47"/>
      <c r="AW1759" s="26"/>
      <c r="AX1759" s="26"/>
      <c r="AY1759" s="26"/>
      <c r="AZ1759" s="26"/>
      <c r="BA1759" s="26"/>
      <c r="BB1759" s="26"/>
      <c r="BC1759" s="26"/>
      <c r="BD1759" s="26"/>
      <c r="BE1759" s="26"/>
      <c r="BF1759" s="26"/>
      <c r="BG1759" s="82"/>
      <c r="BH1759" s="26"/>
      <c r="BI1759" s="26"/>
      <c r="BJ1759" s="26"/>
      <c r="BK1759" s="26"/>
      <c r="BL1759" s="26"/>
      <c r="BM1759" s="26"/>
      <c r="BN1759" s="26"/>
      <c r="BO1759" s="26"/>
      <c r="BP1759" s="26"/>
      <c r="BQ1759" s="26"/>
      <c r="BR1759" s="26"/>
      <c r="BS1759" s="26"/>
      <c r="BT1759" s="82"/>
      <c r="BU1759" s="26"/>
      <c r="BV1759" s="26"/>
      <c r="BW1759" s="26"/>
      <c r="BX1759" s="26"/>
      <c r="BY1759" s="26"/>
      <c r="BZ1759" s="26"/>
      <c r="CA1759" s="26"/>
      <c r="CB1759" s="26"/>
      <c r="CC1759" s="26"/>
      <c r="CD1759" s="82"/>
      <c r="CE1759" s="26"/>
      <c r="CF1759" s="26"/>
      <c r="CG1759" s="26"/>
      <c r="CH1759" s="26"/>
      <c r="CI1759" s="26"/>
      <c r="CJ1759" s="26"/>
      <c r="CK1759" s="26"/>
      <c r="CL1759" s="26"/>
      <c r="CM1759" s="26"/>
      <c r="CN1759" s="26"/>
      <c r="CO1759" s="26"/>
      <c r="CP1759" s="26"/>
      <c r="CQ1759" s="26"/>
      <c r="CR1759" s="26"/>
      <c r="CS1759" s="26"/>
      <c r="CT1759" s="26"/>
      <c r="CU1759" s="26"/>
      <c r="CV1759" s="26"/>
      <c r="CW1759" s="26"/>
      <c r="CX1759" s="26"/>
      <c r="CY1759" s="26"/>
      <c r="CZ1759" s="26"/>
      <c r="DA1759" s="26"/>
      <c r="DB1759" s="26"/>
      <c r="DC1759" s="26"/>
      <c r="DD1759" s="26"/>
      <c r="DE1759" s="26"/>
      <c r="DF1759" s="16" t="e">
        <f>VLOOKUP(K1759,'[3]RNA Seq summary tables'!$V$3:$V$99,1,FALSE)</f>
        <v>#N/A</v>
      </c>
      <c r="DG1759" s="26"/>
      <c r="DH1759" s="26"/>
      <c r="DI1759" s="26"/>
      <c r="DJ1759" s="26"/>
      <c r="DK1759" s="26"/>
      <c r="DL1759" s="26"/>
      <c r="DM1759" s="26"/>
      <c r="DN1759" s="26"/>
      <c r="DO1759" s="26"/>
      <c r="DP1759" s="26"/>
      <c r="DQ1759" s="26"/>
      <c r="DR1759" s="26"/>
      <c r="DS1759" s="26"/>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18"/>
      <c r="EQ1759" s="18"/>
      <c r="ER1759" s="18"/>
      <c r="ES1759" s="18"/>
      <c r="ET1759" s="18"/>
      <c r="EU1759" s="18"/>
      <c r="EV1759" s="18"/>
      <c r="EW1759" s="18"/>
      <c r="EX1759" s="18"/>
      <c r="EY1759" s="18"/>
      <c r="EZ1759" s="18"/>
      <c r="FA1759" s="18"/>
      <c r="FB1759" s="18"/>
      <c r="FC1759" s="18"/>
      <c r="FD1759" s="18"/>
      <c r="FE1759" s="18"/>
      <c r="FF1759" s="18"/>
      <c r="FG1759" s="18"/>
      <c r="FH1759" s="18"/>
      <c r="FI1759" s="18"/>
      <c r="FJ1759" s="18"/>
      <c r="FK1759" s="18"/>
      <c r="FL1759" s="18"/>
      <c r="FM1759" s="18"/>
      <c r="FN1759" s="18"/>
      <c r="FO1759" s="18"/>
      <c r="FP1759" s="18"/>
      <c r="FQ1759" s="18"/>
      <c r="FR1759" s="18"/>
      <c r="FS1759" s="18"/>
      <c r="FT1759" s="18"/>
      <c r="FU1759" s="18"/>
      <c r="FV1759" s="18"/>
      <c r="FW1759" s="18"/>
      <c r="FX1759" s="18"/>
      <c r="FY1759" s="18"/>
      <c r="FZ1759" s="18"/>
      <c r="GA1759" s="18"/>
      <c r="GB1759" s="18"/>
      <c r="GC1759" s="18"/>
      <c r="GD1759" s="18"/>
      <c r="GE1759" s="18"/>
      <c r="GF1759" s="18"/>
      <c r="GG1759" s="18"/>
      <c r="GH1759" s="18"/>
      <c r="GI1759" s="18"/>
      <c r="GJ1759" s="18"/>
      <c r="GK1759" s="18"/>
      <c r="GL1759" s="18"/>
      <c r="GM1759" s="18"/>
      <c r="GN1759" s="18"/>
      <c r="GO1759" s="18"/>
      <c r="GP1759" s="18"/>
      <c r="GQ1759" s="18"/>
      <c r="GR1759" s="18"/>
      <c r="GS1759" s="18"/>
      <c r="GT1759" s="18"/>
      <c r="GU1759" s="18"/>
      <c r="GV1759" s="18"/>
      <c r="GW1759" s="18"/>
      <c r="GX1759" s="18"/>
      <c r="GY1759" s="18"/>
      <c r="GZ1759" s="18"/>
      <c r="HA1759" s="18"/>
      <c r="HB1759" s="18"/>
      <c r="HC1759" s="18"/>
      <c r="HD1759" s="18"/>
      <c r="HE1759" s="18"/>
      <c r="HF1759" s="18"/>
      <c r="HG1759" s="18"/>
      <c r="HH1759" s="18"/>
      <c r="HI1759" s="18"/>
      <c r="HJ1759" s="18"/>
      <c r="HK1759" s="18"/>
      <c r="HL1759" s="18"/>
      <c r="HM1759" s="18"/>
      <c r="HN1759" s="18"/>
      <c r="HO1759" s="18"/>
      <c r="HP1759" s="18"/>
      <c r="HQ1759" s="18"/>
      <c r="HR1759" s="18"/>
      <c r="HS1759" s="18"/>
      <c r="HT1759" s="18"/>
      <c r="HU1759" s="18"/>
      <c r="HV1759" s="18"/>
      <c r="HW1759" s="18"/>
      <c r="HX1759" s="18"/>
      <c r="HY1759" s="18"/>
      <c r="HZ1759" s="18"/>
      <c r="IA1759" s="18"/>
      <c r="IB1759" s="18"/>
      <c r="IC1759" s="18"/>
      <c r="ID1759" s="18"/>
      <c r="IE1759" s="18"/>
      <c r="IF1759" s="18"/>
      <c r="IG1759" s="18"/>
      <c r="IH1759" s="18"/>
      <c r="II1759" s="18"/>
      <c r="IJ1759" s="18"/>
      <c r="IK1759" s="18"/>
      <c r="IL1759" s="18"/>
      <c r="IM1759" s="18"/>
      <c r="IN1759" s="18"/>
      <c r="IO1759" s="18"/>
      <c r="IP1759" s="18"/>
      <c r="IQ1759" s="18"/>
      <c r="IR1759" s="18"/>
      <c r="IS1759" s="18"/>
      <c r="IT1759" s="18"/>
      <c r="IU1759" s="18"/>
      <c r="IV1759" s="18"/>
      <c r="IW1759" s="18"/>
      <c r="IX1759" s="18"/>
      <c r="IY1759" s="18"/>
      <c r="IZ1759" s="18"/>
      <c r="JA1759" s="18"/>
      <c r="JB1759" s="18"/>
      <c r="JC1759" s="18"/>
      <c r="JD1759" s="18"/>
      <c r="JE1759" s="18"/>
      <c r="JF1759" s="18"/>
      <c r="JG1759" s="18"/>
      <c r="JH1759" s="18"/>
      <c r="JI1759" s="18"/>
      <c r="JJ1759" s="18"/>
      <c r="JK1759" s="18"/>
      <c r="JL1759" s="18"/>
      <c r="JM1759" s="18"/>
      <c r="JN1759" s="18"/>
      <c r="JO1759" s="60"/>
      <c r="JP1759" s="16"/>
      <c r="JQ1759" s="16"/>
      <c r="JR1759" s="16"/>
      <c r="JS1759" s="16"/>
      <c r="JT1759" s="16"/>
      <c r="JU1759" s="16"/>
      <c r="JV1759" s="16"/>
      <c r="JW1759" s="16"/>
      <c r="JX1759" s="16"/>
      <c r="JY1759" s="16"/>
      <c r="JZ1759" s="16"/>
      <c r="KA1759" s="16"/>
      <c r="KB1759" s="16"/>
    </row>
    <row r="1760" spans="1:288" s="27" customFormat="1" x14ac:dyDescent="0.2">
      <c r="A1760" s="18"/>
      <c r="B1760" s="16">
        <v>2017</v>
      </c>
      <c r="C1760" s="66">
        <v>42889</v>
      </c>
      <c r="D1760" s="66" t="str">
        <f>CONCATENATE(J1760,"-",C1760)</f>
        <v>1055-42889</v>
      </c>
      <c r="E1760" s="20" t="str">
        <f>CONCATENATE(T1760,"-",U1760,"-",C1760)</f>
        <v>SP2-C2-42889</v>
      </c>
      <c r="F1760" s="20" t="s">
        <v>106</v>
      </c>
      <c r="G1760" s="20" t="s">
        <v>278</v>
      </c>
      <c r="H1760" s="16"/>
      <c r="I1760" s="16"/>
      <c r="J1760" s="21">
        <v>1055</v>
      </c>
      <c r="K1760" s="21"/>
      <c r="L1760" s="16"/>
      <c r="M1760" s="21"/>
      <c r="N1760" s="21"/>
      <c r="O1760" s="21"/>
      <c r="P1760" s="16"/>
      <c r="Q1760" s="16"/>
      <c r="R1760" s="16"/>
      <c r="S1760" s="16"/>
      <c r="T1760" s="16" t="s">
        <v>137</v>
      </c>
      <c r="U1760" s="16" t="s">
        <v>162</v>
      </c>
      <c r="V1760" s="16"/>
      <c r="W1760" s="16"/>
      <c r="X1760" s="16"/>
      <c r="Y1760" s="16"/>
      <c r="Z1760" s="16"/>
      <c r="AA1760" s="16"/>
      <c r="AB1760" s="16"/>
      <c r="AC1760" s="16"/>
      <c r="AD1760" s="16"/>
      <c r="AE1760" s="16"/>
      <c r="AF1760" s="16"/>
      <c r="AG1760" s="16"/>
      <c r="AH1760" s="16"/>
      <c r="AI1760" s="16"/>
      <c r="AJ1760" s="16"/>
      <c r="AK1760" s="16"/>
      <c r="AL1760" s="16"/>
      <c r="AM1760" s="16"/>
      <c r="AN1760" s="16"/>
      <c r="AO1760" s="16"/>
      <c r="AP1760" s="16">
        <f>SUM(AL1760:AN1760)</f>
        <v>0</v>
      </c>
      <c r="AQ1760" s="16"/>
      <c r="AR1760" s="16"/>
      <c r="AS1760" s="16"/>
      <c r="AT1760" s="16" t="s">
        <v>285</v>
      </c>
      <c r="AU1760" s="16"/>
      <c r="AV1760" s="16"/>
      <c r="AW1760" s="16"/>
      <c r="AX1760" s="16"/>
      <c r="AY1760" s="18"/>
      <c r="AZ1760" s="16"/>
      <c r="BA1760" s="16"/>
      <c r="BB1760" s="16"/>
      <c r="BC1760" s="16"/>
      <c r="BD1760" s="16"/>
      <c r="BE1760" s="16"/>
      <c r="BF1760" s="16"/>
      <c r="BG1760" s="77"/>
      <c r="BH1760" s="16"/>
      <c r="BI1760" s="16"/>
      <c r="BJ1760" s="16"/>
      <c r="BK1760" s="16"/>
      <c r="BL1760" s="16"/>
      <c r="BM1760" s="16"/>
      <c r="BN1760" s="16"/>
      <c r="BO1760" s="16"/>
      <c r="BP1760" s="16"/>
      <c r="BQ1760" s="16"/>
      <c r="BR1760" s="16"/>
      <c r="BS1760" s="16"/>
      <c r="BT1760" s="77"/>
      <c r="BU1760" s="16"/>
      <c r="BV1760" s="16"/>
      <c r="BW1760" s="16"/>
      <c r="BX1760" s="16"/>
      <c r="BY1760" s="16"/>
      <c r="BZ1760" s="16"/>
      <c r="CA1760" s="16"/>
      <c r="CB1760" s="16"/>
      <c r="CC1760" s="16"/>
      <c r="CD1760" s="77"/>
      <c r="CE1760" s="16"/>
      <c r="CF1760" s="16"/>
      <c r="CG1760" s="16"/>
      <c r="CH1760" s="16"/>
      <c r="CI1760" s="16"/>
      <c r="CJ1760" s="16"/>
      <c r="CK1760" s="16"/>
      <c r="CL1760" s="16"/>
      <c r="CM1760" s="16"/>
      <c r="CN1760" s="16"/>
      <c r="CO1760" s="16"/>
      <c r="CP1760" s="16"/>
      <c r="CQ1760" s="16"/>
      <c r="CR1760" s="16"/>
      <c r="CS1760" s="16"/>
      <c r="CT1760" s="16"/>
      <c r="CU1760" s="16"/>
      <c r="CV1760" s="16"/>
      <c r="CW1760" s="16"/>
      <c r="CX1760" s="16"/>
      <c r="CY1760" s="16"/>
      <c r="CZ1760" s="16"/>
      <c r="DA1760" s="16"/>
      <c r="DB1760" s="16"/>
      <c r="DC1760" s="16"/>
      <c r="DD1760" s="16"/>
      <c r="DE1760" s="16"/>
      <c r="DF1760" s="16" t="e">
        <f>VLOOKUP(K1760,'[3]RNA Seq summary tables'!$V$3:$V$99,1,FALSE)</f>
        <v>#N/A</v>
      </c>
      <c r="DG1760" s="16"/>
      <c r="DH1760" s="16"/>
      <c r="DI1760" s="16"/>
      <c r="DJ1760" s="16"/>
      <c r="DK1760" s="16"/>
      <c r="DL1760" s="16"/>
      <c r="DM1760" s="16"/>
      <c r="DN1760" s="16"/>
      <c r="DO1760" s="16"/>
      <c r="DP1760" s="16"/>
      <c r="DQ1760" s="16"/>
      <c r="DR1760" s="16"/>
      <c r="DS1760" s="16"/>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18"/>
      <c r="EQ1760" s="18"/>
      <c r="ER1760" s="18"/>
      <c r="ES1760" s="18"/>
      <c r="ET1760" s="18"/>
      <c r="EU1760" s="18"/>
      <c r="EV1760" s="18"/>
      <c r="EW1760" s="18"/>
      <c r="EX1760" s="18"/>
      <c r="EY1760" s="18"/>
      <c r="EZ1760" s="18"/>
      <c r="FA1760" s="18"/>
      <c r="FB1760" s="18"/>
      <c r="FC1760" s="18"/>
      <c r="FD1760" s="18"/>
      <c r="FE1760" s="18"/>
      <c r="FF1760" s="18"/>
      <c r="FG1760" s="18"/>
      <c r="FH1760" s="18"/>
      <c r="FI1760" s="18"/>
      <c r="FJ1760" s="18"/>
      <c r="FK1760" s="18"/>
      <c r="FL1760" s="18"/>
      <c r="FM1760" s="18"/>
      <c r="FN1760" s="18"/>
      <c r="FO1760" s="18"/>
      <c r="FP1760" s="18"/>
      <c r="FQ1760" s="18"/>
      <c r="FR1760" s="18"/>
      <c r="FS1760" s="18"/>
      <c r="FT1760" s="18"/>
      <c r="FU1760" s="18"/>
      <c r="FV1760" s="18"/>
      <c r="FW1760" s="18"/>
      <c r="FX1760" s="18"/>
      <c r="FY1760" s="18"/>
      <c r="FZ1760" s="18"/>
      <c r="GA1760" s="18"/>
      <c r="GB1760" s="18"/>
      <c r="GC1760" s="18"/>
      <c r="GD1760" s="18"/>
      <c r="GE1760" s="18"/>
      <c r="GF1760" s="18"/>
      <c r="GG1760" s="18"/>
      <c r="GH1760" s="18"/>
      <c r="GI1760" s="18"/>
      <c r="GJ1760" s="18"/>
      <c r="GK1760" s="18"/>
      <c r="GL1760" s="18"/>
      <c r="GM1760" s="18"/>
      <c r="GN1760" s="18"/>
      <c r="GO1760" s="18"/>
      <c r="GP1760" s="18"/>
      <c r="GQ1760" s="18"/>
      <c r="GR1760" s="18"/>
      <c r="GS1760" s="18"/>
      <c r="GT1760" s="18"/>
      <c r="GU1760" s="18"/>
      <c r="GV1760" s="18"/>
      <c r="GW1760" s="18"/>
      <c r="GX1760" s="18"/>
      <c r="GY1760" s="18"/>
      <c r="GZ1760" s="18"/>
      <c r="HA1760" s="18"/>
      <c r="HB1760" s="18"/>
      <c r="HC1760" s="18"/>
      <c r="HD1760" s="18"/>
      <c r="HE1760" s="18"/>
      <c r="HF1760" s="18"/>
      <c r="HG1760" s="18"/>
      <c r="HH1760" s="18"/>
      <c r="HI1760" s="18"/>
      <c r="HJ1760" s="18"/>
      <c r="HK1760" s="18"/>
      <c r="HL1760" s="18"/>
      <c r="HM1760" s="18"/>
      <c r="HN1760" s="18"/>
      <c r="HO1760" s="18"/>
      <c r="HP1760" s="18"/>
      <c r="HQ1760" s="18"/>
      <c r="HR1760" s="18"/>
      <c r="HS1760" s="18"/>
      <c r="HT1760" s="18"/>
      <c r="HU1760" s="18"/>
      <c r="HV1760" s="18"/>
      <c r="HW1760" s="18"/>
      <c r="HX1760" s="18"/>
      <c r="HY1760" s="18"/>
      <c r="HZ1760" s="18"/>
      <c r="IA1760" s="18"/>
      <c r="IB1760" s="18"/>
      <c r="IC1760" s="18"/>
      <c r="ID1760" s="18"/>
      <c r="IE1760" s="18"/>
      <c r="IF1760" s="18"/>
      <c r="IG1760" s="18"/>
      <c r="IH1760" s="18"/>
      <c r="II1760" s="18"/>
      <c r="IJ1760" s="18"/>
      <c r="IK1760" s="18"/>
      <c r="IL1760" s="18"/>
      <c r="IM1760" s="18"/>
      <c r="IN1760" s="18"/>
      <c r="IO1760" s="18"/>
      <c r="IP1760" s="18"/>
      <c r="IQ1760" s="18"/>
      <c r="IR1760" s="18"/>
      <c r="IS1760" s="18"/>
      <c r="IT1760" s="18"/>
      <c r="IU1760" s="18"/>
      <c r="IV1760" s="18"/>
      <c r="IW1760" s="18"/>
      <c r="IX1760" s="18"/>
      <c r="IY1760" s="18"/>
      <c r="IZ1760" s="18"/>
      <c r="JA1760" s="18"/>
      <c r="JB1760" s="18"/>
      <c r="JC1760" s="18"/>
      <c r="JD1760" s="18"/>
      <c r="JE1760" s="18"/>
      <c r="JF1760" s="18"/>
      <c r="JG1760" s="18"/>
      <c r="JH1760" s="18"/>
      <c r="JI1760" s="18"/>
      <c r="JJ1760" s="18"/>
      <c r="JK1760" s="18"/>
      <c r="JL1760" s="18"/>
      <c r="JM1760" s="18"/>
      <c r="JN1760" s="18"/>
      <c r="JO1760" s="16"/>
      <c r="JP1760" s="16"/>
      <c r="JQ1760" s="16"/>
      <c r="JR1760" s="16"/>
      <c r="JS1760" s="16"/>
      <c r="JT1760" s="16"/>
      <c r="JU1760" s="16"/>
      <c r="JV1760" s="16"/>
      <c r="JW1760" s="16"/>
      <c r="JX1760" s="16"/>
      <c r="JY1760" s="16"/>
      <c r="JZ1760" s="16"/>
      <c r="KA1760" s="16"/>
      <c r="KB1760" s="16"/>
    </row>
    <row r="1761" spans="1:288" s="27" customFormat="1" x14ac:dyDescent="0.2">
      <c r="A1761" s="18"/>
      <c r="B1761" s="16">
        <v>2017</v>
      </c>
      <c r="C1761" s="20">
        <v>42973</v>
      </c>
      <c r="D1761" s="20" t="str">
        <f>CONCATENATE(J1761,"-",C1761)</f>
        <v>1055-42973</v>
      </c>
      <c r="E1761" s="20" t="str">
        <f>CONCATENATE(T1761,"-",U1761,"-",C1761)</f>
        <v>SP2-B1-42973</v>
      </c>
      <c r="F1761" s="20" t="s">
        <v>224</v>
      </c>
      <c r="G1761" s="20" t="s">
        <v>278</v>
      </c>
      <c r="H1761" s="16"/>
      <c r="I1761" s="16"/>
      <c r="J1761" s="21">
        <v>1055</v>
      </c>
      <c r="K1761" s="21"/>
      <c r="L1761" s="16"/>
      <c r="M1761" s="21"/>
      <c r="N1761" s="21"/>
      <c r="O1761" s="21"/>
      <c r="P1761" s="16"/>
      <c r="Q1761" s="16"/>
      <c r="R1761" s="16"/>
      <c r="S1761" s="16"/>
      <c r="T1761" s="16" t="s">
        <v>137</v>
      </c>
      <c r="U1761" s="16" t="s">
        <v>113</v>
      </c>
      <c r="V1761" s="16"/>
      <c r="W1761" s="16"/>
      <c r="X1761" s="16"/>
      <c r="Y1761" s="16"/>
      <c r="Z1761" s="16"/>
      <c r="AA1761" s="16"/>
      <c r="AB1761" s="16"/>
      <c r="AC1761" s="16"/>
      <c r="AD1761" s="16"/>
      <c r="AE1761" s="16"/>
      <c r="AF1761" s="16"/>
      <c r="AG1761" s="16"/>
      <c r="AH1761" s="16"/>
      <c r="AI1761" s="16"/>
      <c r="AJ1761" s="16"/>
      <c r="AK1761" s="16"/>
      <c r="AL1761" s="16"/>
      <c r="AM1761" s="16"/>
      <c r="AN1761" s="16"/>
      <c r="AO1761" s="16"/>
      <c r="AP1761" s="16">
        <f>SUM(AL1761:AN1761)</f>
        <v>0</v>
      </c>
      <c r="AQ1761" s="16"/>
      <c r="AR1761" s="16"/>
      <c r="AS1761" s="16"/>
      <c r="AT1761" s="16" t="s">
        <v>285</v>
      </c>
      <c r="AU1761" s="16"/>
      <c r="AV1761" s="16"/>
      <c r="AW1761" s="16"/>
      <c r="AX1761" s="16"/>
      <c r="AY1761" s="18"/>
      <c r="AZ1761" s="16"/>
      <c r="BA1761" s="16"/>
      <c r="BB1761" s="16"/>
      <c r="BC1761" s="16"/>
      <c r="BD1761" s="16"/>
      <c r="BE1761" s="16"/>
      <c r="BF1761" s="16"/>
      <c r="BG1761" s="77"/>
      <c r="BH1761" s="16"/>
      <c r="BI1761" s="16"/>
      <c r="BJ1761" s="16"/>
      <c r="BK1761" s="16"/>
      <c r="BL1761" s="16"/>
      <c r="BM1761" s="16"/>
      <c r="BN1761" s="16"/>
      <c r="BO1761" s="16"/>
      <c r="BP1761" s="16"/>
      <c r="BQ1761" s="16"/>
      <c r="BR1761" s="16"/>
      <c r="BS1761" s="16"/>
      <c r="BT1761" s="77"/>
      <c r="BU1761" s="16"/>
      <c r="BV1761" s="16"/>
      <c r="BW1761" s="16"/>
      <c r="BX1761" s="16"/>
      <c r="BY1761" s="16"/>
      <c r="BZ1761" s="16"/>
      <c r="CA1761" s="16"/>
      <c r="CB1761" s="16"/>
      <c r="CC1761" s="16"/>
      <c r="CD1761" s="77"/>
      <c r="CE1761" s="16"/>
      <c r="CF1761" s="16"/>
      <c r="CG1761" s="16"/>
      <c r="CH1761" s="16"/>
      <c r="CI1761" s="16"/>
      <c r="CJ1761" s="16"/>
      <c r="CK1761" s="16"/>
      <c r="CL1761" s="16"/>
      <c r="CM1761" s="16"/>
      <c r="CN1761" s="16"/>
      <c r="CO1761" s="16"/>
      <c r="CP1761" s="16"/>
      <c r="CQ1761" s="16"/>
      <c r="CR1761" s="16"/>
      <c r="CS1761" s="16"/>
      <c r="CT1761" s="16"/>
      <c r="CU1761" s="16"/>
      <c r="CV1761" s="16"/>
      <c r="CW1761" s="16"/>
      <c r="CX1761" s="16"/>
      <c r="CY1761" s="16"/>
      <c r="CZ1761" s="16"/>
      <c r="DA1761" s="16"/>
      <c r="DB1761" s="16"/>
      <c r="DC1761" s="16"/>
      <c r="DD1761" s="16"/>
      <c r="DE1761" s="16"/>
      <c r="DF1761" s="16" t="e">
        <f>VLOOKUP(K1761,'[3]RNA Seq summary tables'!$V$3:$V$99,1,FALSE)</f>
        <v>#N/A</v>
      </c>
      <c r="DG1761" s="16"/>
      <c r="DH1761" s="16"/>
      <c r="DI1761" s="16"/>
      <c r="DJ1761" s="16"/>
      <c r="DK1761" s="16"/>
      <c r="DL1761" s="16"/>
      <c r="DM1761" s="16"/>
      <c r="DN1761" s="16"/>
      <c r="DO1761" s="16"/>
      <c r="DP1761" s="16"/>
      <c r="DQ1761" s="16"/>
      <c r="DR1761" s="16"/>
      <c r="DS1761" s="16"/>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18"/>
      <c r="EQ1761" s="18"/>
      <c r="ER1761" s="18"/>
      <c r="ES1761" s="18"/>
      <c r="ET1761" s="18"/>
      <c r="EU1761" s="18"/>
      <c r="EV1761" s="18"/>
      <c r="EW1761" s="18"/>
      <c r="EX1761" s="18"/>
      <c r="EY1761" s="18"/>
      <c r="EZ1761" s="18"/>
      <c r="FA1761" s="18"/>
      <c r="FB1761" s="18"/>
      <c r="FC1761" s="18"/>
      <c r="FD1761" s="18"/>
      <c r="FE1761" s="18"/>
      <c r="FF1761" s="18"/>
      <c r="FG1761" s="18"/>
      <c r="FH1761" s="18"/>
      <c r="FI1761" s="18"/>
      <c r="FJ1761" s="18"/>
      <c r="FK1761" s="18"/>
      <c r="FL1761" s="18"/>
      <c r="FM1761" s="18"/>
      <c r="FN1761" s="18"/>
      <c r="FO1761" s="18"/>
      <c r="FP1761" s="18"/>
      <c r="FQ1761" s="18"/>
      <c r="FR1761" s="18"/>
      <c r="FS1761" s="18"/>
      <c r="FT1761" s="18"/>
      <c r="FU1761" s="18"/>
      <c r="FV1761" s="18"/>
      <c r="FW1761" s="18"/>
      <c r="FX1761" s="18"/>
      <c r="FY1761" s="18"/>
      <c r="FZ1761" s="18"/>
      <c r="GA1761" s="18"/>
      <c r="GB1761" s="18"/>
      <c r="GC1761" s="18"/>
      <c r="GD1761" s="18"/>
      <c r="GE1761" s="18"/>
      <c r="GF1761" s="18"/>
      <c r="GG1761" s="18"/>
      <c r="GH1761" s="18"/>
      <c r="GI1761" s="18"/>
      <c r="GJ1761" s="18"/>
      <c r="GK1761" s="18"/>
      <c r="GL1761" s="18"/>
      <c r="GM1761" s="18"/>
      <c r="GN1761" s="18"/>
      <c r="GO1761" s="18"/>
      <c r="GP1761" s="18"/>
      <c r="GQ1761" s="18"/>
      <c r="GR1761" s="18"/>
      <c r="GS1761" s="18"/>
      <c r="GT1761" s="18"/>
      <c r="GU1761" s="18"/>
      <c r="GV1761" s="18"/>
      <c r="GW1761" s="18"/>
      <c r="GX1761" s="18"/>
      <c r="GY1761" s="18"/>
      <c r="GZ1761" s="18"/>
      <c r="HA1761" s="18"/>
      <c r="HB1761" s="18"/>
      <c r="HC1761" s="18"/>
      <c r="HD1761" s="18"/>
      <c r="HE1761" s="18"/>
      <c r="HF1761" s="18"/>
      <c r="HG1761" s="18"/>
      <c r="HH1761" s="18"/>
      <c r="HI1761" s="18"/>
      <c r="HJ1761" s="18"/>
      <c r="HK1761" s="18"/>
      <c r="HL1761" s="18"/>
      <c r="HM1761" s="18"/>
      <c r="HN1761" s="18"/>
      <c r="HO1761" s="18"/>
      <c r="HP1761" s="18"/>
      <c r="HQ1761" s="18"/>
      <c r="HR1761" s="18"/>
      <c r="HS1761" s="18"/>
      <c r="HT1761" s="18"/>
      <c r="HU1761" s="18"/>
      <c r="HV1761" s="18"/>
      <c r="HW1761" s="18"/>
      <c r="HX1761" s="18"/>
      <c r="HY1761" s="18"/>
      <c r="HZ1761" s="18"/>
      <c r="IA1761" s="18"/>
      <c r="IB1761" s="18"/>
      <c r="IC1761" s="18"/>
      <c r="ID1761" s="18"/>
      <c r="IE1761" s="18"/>
      <c r="IF1761" s="18"/>
      <c r="IG1761" s="18"/>
      <c r="IH1761" s="18"/>
      <c r="II1761" s="18"/>
      <c r="IJ1761" s="18"/>
      <c r="IK1761" s="18"/>
      <c r="IL1761" s="18"/>
      <c r="IM1761" s="18"/>
      <c r="IN1761" s="18"/>
      <c r="IO1761" s="18"/>
      <c r="IP1761" s="18"/>
      <c r="IQ1761" s="18"/>
      <c r="IR1761" s="18"/>
      <c r="IS1761" s="18"/>
      <c r="IT1761" s="18"/>
      <c r="IU1761" s="18"/>
      <c r="IV1761" s="18"/>
      <c r="IW1761" s="18"/>
      <c r="IX1761" s="18"/>
      <c r="IY1761" s="18"/>
      <c r="IZ1761" s="18"/>
      <c r="JA1761" s="18"/>
      <c r="JB1761" s="18"/>
      <c r="JC1761" s="18"/>
      <c r="JD1761" s="18"/>
      <c r="JE1761" s="18"/>
      <c r="JF1761" s="18"/>
      <c r="JG1761" s="18"/>
      <c r="JH1761" s="18"/>
      <c r="JI1761" s="18"/>
      <c r="JJ1761" s="18"/>
      <c r="JK1761" s="18"/>
      <c r="JL1761" s="18"/>
      <c r="JM1761" s="18"/>
      <c r="JN1761" s="18"/>
      <c r="JO1761" s="18"/>
      <c r="JP1761" s="18"/>
      <c r="JQ1761" s="18"/>
      <c r="JR1761" s="16"/>
      <c r="JS1761" s="16"/>
      <c r="JT1761" s="16"/>
      <c r="JU1761" s="16"/>
      <c r="JV1761" s="16"/>
      <c r="JW1761" s="16"/>
      <c r="JX1761" s="16"/>
      <c r="JY1761" s="16"/>
      <c r="JZ1761" s="16"/>
      <c r="KA1761" s="16"/>
      <c r="KB1761" s="16"/>
    </row>
    <row r="1762" spans="1:288" s="27" customFormat="1" x14ac:dyDescent="0.2">
      <c r="A1762" s="18"/>
      <c r="B1762" s="16">
        <v>2017</v>
      </c>
      <c r="C1762" s="66">
        <v>42889</v>
      </c>
      <c r="D1762" s="66" t="str">
        <f>CONCATENATE(J1762,"-",C1762)</f>
        <v>1056-42889</v>
      </c>
      <c r="E1762" s="20" t="str">
        <f>CONCATENATE(T1762,"-",U1762,"-",C1762)</f>
        <v>SP2-H5-42889</v>
      </c>
      <c r="F1762" s="20" t="s">
        <v>106</v>
      </c>
      <c r="G1762" s="20" t="s">
        <v>278</v>
      </c>
      <c r="H1762" s="16"/>
      <c r="I1762" s="16"/>
      <c r="J1762" s="21">
        <v>1056</v>
      </c>
      <c r="K1762" s="21"/>
      <c r="L1762" s="16"/>
      <c r="M1762" s="21"/>
      <c r="N1762" s="21"/>
      <c r="O1762" s="21"/>
      <c r="P1762" s="16"/>
      <c r="Q1762" s="16"/>
      <c r="R1762" s="16"/>
      <c r="S1762" s="16"/>
      <c r="T1762" s="16" t="s">
        <v>137</v>
      </c>
      <c r="U1762" s="16" t="s">
        <v>180</v>
      </c>
      <c r="V1762" s="16"/>
      <c r="W1762" s="16"/>
      <c r="X1762" s="16"/>
      <c r="Y1762" s="16"/>
      <c r="Z1762" s="16"/>
      <c r="AA1762" s="16"/>
      <c r="AB1762" s="16"/>
      <c r="AC1762" s="16"/>
      <c r="AD1762" s="16"/>
      <c r="AE1762" s="16"/>
      <c r="AF1762" s="16"/>
      <c r="AG1762" s="16"/>
      <c r="AH1762" s="16"/>
      <c r="AI1762" s="16"/>
      <c r="AJ1762" s="16"/>
      <c r="AK1762" s="16"/>
      <c r="AL1762" s="16"/>
      <c r="AM1762" s="16"/>
      <c r="AN1762" s="16"/>
      <c r="AO1762" s="16"/>
      <c r="AP1762" s="16">
        <f>SUM(AL1762:AN1762)</f>
        <v>0</v>
      </c>
      <c r="AQ1762" s="16"/>
      <c r="AR1762" s="16"/>
      <c r="AS1762" s="16"/>
      <c r="AT1762" s="16" t="s">
        <v>285</v>
      </c>
      <c r="AU1762" s="16"/>
      <c r="AV1762" s="16"/>
      <c r="AW1762" s="16"/>
      <c r="AX1762" s="16"/>
      <c r="AY1762" s="18"/>
      <c r="AZ1762" s="16"/>
      <c r="BA1762" s="16"/>
      <c r="BB1762" s="16"/>
      <c r="BC1762" s="16"/>
      <c r="BD1762" s="16"/>
      <c r="BE1762" s="16"/>
      <c r="BF1762" s="16"/>
      <c r="BG1762" s="77"/>
      <c r="BH1762" s="16"/>
      <c r="BI1762" s="16"/>
      <c r="BJ1762" s="16"/>
      <c r="BK1762" s="16"/>
      <c r="BL1762" s="16"/>
      <c r="BM1762" s="16"/>
      <c r="BN1762" s="16"/>
      <c r="BO1762" s="16"/>
      <c r="BP1762" s="16"/>
      <c r="BQ1762" s="16"/>
      <c r="BR1762" s="16"/>
      <c r="BS1762" s="16"/>
      <c r="BT1762" s="77"/>
      <c r="BU1762" s="16"/>
      <c r="BV1762" s="16"/>
      <c r="BW1762" s="16"/>
      <c r="BX1762" s="16"/>
      <c r="BY1762" s="16"/>
      <c r="BZ1762" s="16"/>
      <c r="CA1762" s="16"/>
      <c r="CB1762" s="16"/>
      <c r="CC1762" s="16"/>
      <c r="CD1762" s="77"/>
      <c r="CE1762" s="16"/>
      <c r="CF1762" s="16"/>
      <c r="CG1762" s="16"/>
      <c r="CH1762" s="16"/>
      <c r="CI1762" s="16"/>
      <c r="CJ1762" s="16"/>
      <c r="CK1762" s="16"/>
      <c r="CL1762" s="16"/>
      <c r="CM1762" s="16"/>
      <c r="CN1762" s="16"/>
      <c r="CO1762" s="16"/>
      <c r="CP1762" s="16"/>
      <c r="CQ1762" s="16"/>
      <c r="CR1762" s="16"/>
      <c r="CS1762" s="16"/>
      <c r="CT1762" s="16"/>
      <c r="CU1762" s="16"/>
      <c r="CV1762" s="16"/>
      <c r="CW1762" s="16"/>
      <c r="CX1762" s="16"/>
      <c r="CY1762" s="16"/>
      <c r="CZ1762" s="16"/>
      <c r="DA1762" s="16"/>
      <c r="DB1762" s="16"/>
      <c r="DC1762" s="16"/>
      <c r="DD1762" s="16"/>
      <c r="DE1762" s="16"/>
      <c r="DF1762" s="16" t="e">
        <f>VLOOKUP(K1762,'[3]RNA Seq summary tables'!$V$3:$V$99,1,FALSE)</f>
        <v>#N/A</v>
      </c>
      <c r="DG1762" s="16"/>
      <c r="DH1762" s="16"/>
      <c r="DI1762" s="16"/>
      <c r="DJ1762" s="16"/>
      <c r="DK1762" s="16"/>
      <c r="DL1762" s="16"/>
      <c r="DM1762" s="16"/>
      <c r="DN1762" s="16"/>
      <c r="DO1762" s="16"/>
      <c r="DP1762" s="16"/>
      <c r="DQ1762" s="16"/>
      <c r="DR1762" s="16"/>
      <c r="DS1762" s="16"/>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18"/>
      <c r="EQ1762" s="18"/>
      <c r="ER1762" s="18"/>
      <c r="ES1762" s="18"/>
      <c r="ET1762" s="18"/>
      <c r="EU1762" s="18"/>
      <c r="EV1762" s="18"/>
      <c r="EW1762" s="18"/>
      <c r="EX1762" s="18"/>
      <c r="EY1762" s="18"/>
      <c r="EZ1762" s="18"/>
      <c r="FA1762" s="18"/>
      <c r="FB1762" s="18"/>
      <c r="FC1762" s="18"/>
      <c r="FD1762" s="18"/>
      <c r="FE1762" s="18"/>
      <c r="FF1762" s="18"/>
      <c r="FG1762" s="18"/>
      <c r="FH1762" s="18"/>
      <c r="FI1762" s="18"/>
      <c r="FJ1762" s="18"/>
      <c r="FK1762" s="18"/>
      <c r="FL1762" s="18"/>
      <c r="FM1762" s="18"/>
      <c r="FN1762" s="18"/>
      <c r="FO1762" s="18"/>
      <c r="FP1762" s="18"/>
      <c r="FQ1762" s="18"/>
      <c r="FR1762" s="18"/>
      <c r="FS1762" s="18"/>
      <c r="FT1762" s="18"/>
      <c r="FU1762" s="18"/>
      <c r="FV1762" s="18"/>
      <c r="FW1762" s="18"/>
      <c r="FX1762" s="18"/>
      <c r="FY1762" s="18"/>
      <c r="FZ1762" s="18"/>
      <c r="GA1762" s="18"/>
      <c r="GB1762" s="18"/>
      <c r="GC1762" s="18"/>
      <c r="GD1762" s="18"/>
      <c r="GE1762" s="18"/>
      <c r="GF1762" s="18"/>
      <c r="GG1762" s="18"/>
      <c r="GH1762" s="18"/>
      <c r="GI1762" s="18"/>
      <c r="GJ1762" s="18"/>
      <c r="GK1762" s="18"/>
      <c r="GL1762" s="18"/>
      <c r="GM1762" s="18"/>
      <c r="GN1762" s="18"/>
      <c r="GO1762" s="18"/>
      <c r="GP1762" s="18"/>
      <c r="GQ1762" s="18"/>
      <c r="GR1762" s="18"/>
      <c r="GS1762" s="18"/>
      <c r="GT1762" s="18"/>
      <c r="GU1762" s="18"/>
      <c r="GV1762" s="18"/>
      <c r="GW1762" s="18"/>
      <c r="GX1762" s="18"/>
      <c r="GY1762" s="18"/>
      <c r="GZ1762" s="18"/>
      <c r="HA1762" s="18"/>
      <c r="HB1762" s="18"/>
      <c r="HC1762" s="18"/>
      <c r="HD1762" s="18"/>
      <c r="HE1762" s="18"/>
      <c r="HF1762" s="18"/>
      <c r="HG1762" s="18"/>
      <c r="HH1762" s="18"/>
      <c r="HI1762" s="18"/>
      <c r="HJ1762" s="18"/>
      <c r="HK1762" s="18"/>
      <c r="HL1762" s="18"/>
      <c r="HM1762" s="18"/>
      <c r="HN1762" s="18"/>
      <c r="HO1762" s="18"/>
      <c r="HP1762" s="18"/>
      <c r="HQ1762" s="18"/>
      <c r="HR1762" s="18"/>
      <c r="HS1762" s="18"/>
      <c r="HT1762" s="18"/>
      <c r="HU1762" s="18"/>
      <c r="HV1762" s="18"/>
      <c r="HW1762" s="18"/>
      <c r="HX1762" s="18"/>
      <c r="HY1762" s="18"/>
      <c r="HZ1762" s="18"/>
      <c r="IA1762" s="18"/>
      <c r="IB1762" s="18"/>
      <c r="IC1762" s="18"/>
      <c r="ID1762" s="18"/>
      <c r="IE1762" s="18"/>
      <c r="IF1762" s="18"/>
      <c r="IG1762" s="18"/>
      <c r="IH1762" s="18"/>
      <c r="II1762" s="18"/>
      <c r="IJ1762" s="18"/>
      <c r="IK1762" s="18"/>
      <c r="IL1762" s="18"/>
      <c r="IM1762" s="18"/>
      <c r="IN1762" s="18"/>
      <c r="IO1762" s="18"/>
      <c r="IP1762" s="18"/>
      <c r="IQ1762" s="18"/>
      <c r="IR1762" s="18"/>
      <c r="IS1762" s="18"/>
      <c r="IT1762" s="18"/>
      <c r="IU1762" s="18"/>
      <c r="IV1762" s="18"/>
      <c r="IW1762" s="18"/>
      <c r="IX1762" s="18"/>
      <c r="IY1762" s="18"/>
      <c r="IZ1762" s="18"/>
      <c r="JA1762" s="18"/>
      <c r="JB1762" s="18"/>
      <c r="JC1762" s="18"/>
      <c r="JD1762" s="18"/>
      <c r="JE1762" s="18"/>
      <c r="JF1762" s="18"/>
      <c r="JG1762" s="18"/>
      <c r="JH1762" s="18"/>
      <c r="JI1762" s="18"/>
      <c r="JJ1762" s="18"/>
      <c r="JK1762" s="18"/>
      <c r="JL1762" s="18"/>
      <c r="JM1762" s="18"/>
      <c r="JN1762" s="18"/>
      <c r="JO1762" s="16"/>
      <c r="JP1762" s="16"/>
      <c r="JQ1762" s="16"/>
      <c r="JR1762" s="16"/>
      <c r="JS1762" s="16"/>
      <c r="JT1762" s="16"/>
      <c r="JU1762" s="16"/>
      <c r="JV1762" s="16"/>
      <c r="JW1762" s="16"/>
      <c r="JX1762" s="16"/>
      <c r="JY1762" s="16"/>
      <c r="JZ1762" s="16"/>
      <c r="KA1762" s="16"/>
      <c r="KB1762" s="16"/>
    </row>
    <row r="1763" spans="1:288" s="27" customFormat="1" x14ac:dyDescent="0.2">
      <c r="A1763" s="18"/>
      <c r="B1763" s="16">
        <v>2017</v>
      </c>
      <c r="C1763" s="20">
        <v>42907</v>
      </c>
      <c r="D1763" s="20" t="str">
        <f>CONCATENATE(J1763,"-",C1763)</f>
        <v>1056-42907</v>
      </c>
      <c r="E1763" s="20" t="str">
        <f>CONCATENATE(T1763,"-",U1763,"-",C1763)</f>
        <v>SP2-H2-42907</v>
      </c>
      <c r="F1763" s="20" t="s">
        <v>106</v>
      </c>
      <c r="G1763" s="20" t="s">
        <v>278</v>
      </c>
      <c r="H1763" s="16"/>
      <c r="I1763" s="16"/>
      <c r="J1763" s="21">
        <v>1056</v>
      </c>
      <c r="K1763" s="21"/>
      <c r="L1763" s="16"/>
      <c r="M1763" s="21"/>
      <c r="N1763" s="21"/>
      <c r="O1763" s="21"/>
      <c r="P1763" s="16"/>
      <c r="Q1763" s="16"/>
      <c r="R1763" s="16"/>
      <c r="S1763" s="16"/>
      <c r="T1763" s="16" t="s">
        <v>137</v>
      </c>
      <c r="U1763" s="16" t="s">
        <v>190</v>
      </c>
      <c r="V1763" s="16"/>
      <c r="W1763" s="16"/>
      <c r="X1763" s="16"/>
      <c r="Y1763" s="16"/>
      <c r="Z1763" s="16"/>
      <c r="AA1763" s="16"/>
      <c r="AB1763" s="16"/>
      <c r="AC1763" s="16"/>
      <c r="AD1763" s="16"/>
      <c r="AE1763" s="16"/>
      <c r="AF1763" s="16"/>
      <c r="AG1763" s="16"/>
      <c r="AH1763" s="16"/>
      <c r="AI1763" s="16"/>
      <c r="AJ1763" s="16"/>
      <c r="AK1763" s="16"/>
      <c r="AL1763" s="16"/>
      <c r="AM1763" s="16"/>
      <c r="AN1763" s="16"/>
      <c r="AO1763" s="16"/>
      <c r="AP1763" s="16">
        <f>SUM(AL1763:AN1763)</f>
        <v>0</v>
      </c>
      <c r="AQ1763" s="16"/>
      <c r="AR1763" s="16"/>
      <c r="AS1763" s="16"/>
      <c r="AT1763" s="16" t="s">
        <v>285</v>
      </c>
      <c r="AU1763" s="16"/>
      <c r="AV1763" s="16"/>
      <c r="AW1763" s="16"/>
      <c r="AX1763" s="16"/>
      <c r="AY1763" s="18"/>
      <c r="AZ1763" s="16"/>
      <c r="BA1763" s="16"/>
      <c r="BB1763" s="16"/>
      <c r="BC1763" s="16"/>
      <c r="BD1763" s="16"/>
      <c r="BE1763" s="16"/>
      <c r="BF1763" s="16"/>
      <c r="BG1763" s="77"/>
      <c r="BH1763" s="16"/>
      <c r="BI1763" s="16"/>
      <c r="BJ1763" s="16"/>
      <c r="BK1763" s="16"/>
      <c r="BL1763" s="16"/>
      <c r="BM1763" s="16"/>
      <c r="BN1763" s="16"/>
      <c r="BO1763" s="16"/>
      <c r="BP1763" s="16"/>
      <c r="BQ1763" s="16"/>
      <c r="BR1763" s="16"/>
      <c r="BS1763" s="16"/>
      <c r="BT1763" s="77"/>
      <c r="BU1763" s="16"/>
      <c r="BV1763" s="16"/>
      <c r="BW1763" s="16"/>
      <c r="BX1763" s="16"/>
      <c r="BY1763" s="16"/>
      <c r="BZ1763" s="16"/>
      <c r="CA1763" s="16"/>
      <c r="CB1763" s="16"/>
      <c r="CC1763" s="16"/>
      <c r="CD1763" s="77"/>
      <c r="CE1763" s="16"/>
      <c r="CF1763" s="16"/>
      <c r="CG1763" s="16"/>
      <c r="CH1763" s="16"/>
      <c r="CI1763" s="16"/>
      <c r="CJ1763" s="16"/>
      <c r="CK1763" s="16"/>
      <c r="CL1763" s="16"/>
      <c r="CM1763" s="16"/>
      <c r="CN1763" s="16"/>
      <c r="CO1763" s="16"/>
      <c r="CP1763" s="16"/>
      <c r="CQ1763" s="16"/>
      <c r="CR1763" s="16"/>
      <c r="CS1763" s="16"/>
      <c r="CT1763" s="16"/>
      <c r="CU1763" s="16"/>
      <c r="CV1763" s="16"/>
      <c r="CW1763" s="16"/>
      <c r="CX1763" s="16"/>
      <c r="CY1763" s="16"/>
      <c r="CZ1763" s="16"/>
      <c r="DA1763" s="16"/>
      <c r="DB1763" s="16"/>
      <c r="DC1763" s="16"/>
      <c r="DD1763" s="16"/>
      <c r="DE1763" s="16"/>
      <c r="DF1763" s="16" t="e">
        <f>VLOOKUP(K1763,'[3]RNA Seq summary tables'!$V$3:$V$99,1,FALSE)</f>
        <v>#N/A</v>
      </c>
      <c r="DG1763" s="16"/>
      <c r="DH1763" s="16"/>
      <c r="DI1763" s="16"/>
      <c r="DJ1763" s="16"/>
      <c r="DK1763" s="16"/>
      <c r="DL1763" s="16"/>
      <c r="DM1763" s="16"/>
      <c r="DN1763" s="16"/>
      <c r="DO1763" s="16"/>
      <c r="DP1763" s="16"/>
      <c r="DQ1763" s="16"/>
      <c r="DR1763" s="16"/>
      <c r="DS1763" s="16"/>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18"/>
      <c r="EQ1763" s="18"/>
      <c r="ER1763" s="18"/>
      <c r="ES1763" s="18"/>
      <c r="ET1763" s="18"/>
      <c r="EU1763" s="18"/>
      <c r="EV1763" s="18"/>
      <c r="EW1763" s="18"/>
      <c r="EX1763" s="18"/>
      <c r="EY1763" s="18"/>
      <c r="EZ1763" s="18"/>
      <c r="FA1763" s="18"/>
      <c r="FB1763" s="18"/>
      <c r="FC1763" s="18"/>
      <c r="FD1763" s="18"/>
      <c r="FE1763" s="18"/>
      <c r="FF1763" s="18"/>
      <c r="FG1763" s="18"/>
      <c r="FH1763" s="18"/>
      <c r="FI1763" s="18"/>
      <c r="FJ1763" s="18"/>
      <c r="FK1763" s="18"/>
      <c r="FL1763" s="18"/>
      <c r="FM1763" s="18"/>
      <c r="FN1763" s="18"/>
      <c r="FO1763" s="18"/>
      <c r="FP1763" s="18"/>
      <c r="FQ1763" s="18"/>
      <c r="FR1763" s="18"/>
      <c r="FS1763" s="18"/>
      <c r="FT1763" s="18"/>
      <c r="FU1763" s="18"/>
      <c r="FV1763" s="18"/>
      <c r="FW1763" s="18"/>
      <c r="FX1763" s="18"/>
      <c r="FY1763" s="18"/>
      <c r="FZ1763" s="18"/>
      <c r="GA1763" s="18"/>
      <c r="GB1763" s="18"/>
      <c r="GC1763" s="18"/>
      <c r="GD1763" s="18"/>
      <c r="GE1763" s="18"/>
      <c r="GF1763" s="18"/>
      <c r="GG1763" s="18"/>
      <c r="GH1763" s="18"/>
      <c r="GI1763" s="18"/>
      <c r="GJ1763" s="18"/>
      <c r="GK1763" s="18"/>
      <c r="GL1763" s="18"/>
      <c r="GM1763" s="18"/>
      <c r="GN1763" s="18"/>
      <c r="GO1763" s="18"/>
      <c r="GP1763" s="18"/>
      <c r="GQ1763" s="18"/>
      <c r="GR1763" s="18"/>
      <c r="GS1763" s="18"/>
      <c r="GT1763" s="18"/>
      <c r="GU1763" s="18"/>
      <c r="GV1763" s="18"/>
      <c r="GW1763" s="18"/>
      <c r="GX1763" s="18"/>
      <c r="GY1763" s="18"/>
      <c r="GZ1763" s="18"/>
      <c r="HA1763" s="18"/>
      <c r="HB1763" s="18"/>
      <c r="HC1763" s="18"/>
      <c r="HD1763" s="18"/>
      <c r="HE1763" s="18"/>
      <c r="HF1763" s="18"/>
      <c r="HG1763" s="18"/>
      <c r="HH1763" s="18"/>
      <c r="HI1763" s="18"/>
      <c r="HJ1763" s="18"/>
      <c r="HK1763" s="18"/>
      <c r="HL1763" s="18"/>
      <c r="HM1763" s="18"/>
      <c r="HN1763" s="18"/>
      <c r="HO1763" s="18"/>
      <c r="HP1763" s="18"/>
      <c r="HQ1763" s="18"/>
      <c r="HR1763" s="18"/>
      <c r="HS1763" s="18"/>
      <c r="HT1763" s="18"/>
      <c r="HU1763" s="18"/>
      <c r="HV1763" s="18"/>
      <c r="HW1763" s="18"/>
      <c r="HX1763" s="18"/>
      <c r="HY1763" s="18"/>
      <c r="HZ1763" s="18"/>
      <c r="IA1763" s="18"/>
      <c r="IB1763" s="18"/>
      <c r="IC1763" s="18"/>
      <c r="ID1763" s="18"/>
      <c r="IE1763" s="18"/>
      <c r="IF1763" s="18"/>
      <c r="IG1763" s="18"/>
      <c r="IH1763" s="18"/>
      <c r="II1763" s="18"/>
      <c r="IJ1763" s="18"/>
      <c r="IK1763" s="18"/>
      <c r="IL1763" s="18"/>
      <c r="IM1763" s="18"/>
      <c r="IN1763" s="18"/>
      <c r="IO1763" s="18"/>
      <c r="IP1763" s="18"/>
      <c r="IQ1763" s="18"/>
      <c r="IR1763" s="18"/>
      <c r="IS1763" s="18"/>
      <c r="IT1763" s="18"/>
      <c r="IU1763" s="18"/>
      <c r="IV1763" s="18"/>
      <c r="IW1763" s="18"/>
      <c r="IX1763" s="18"/>
      <c r="IY1763" s="18"/>
      <c r="IZ1763" s="18"/>
      <c r="JA1763" s="18"/>
      <c r="JB1763" s="18"/>
      <c r="JC1763" s="18"/>
      <c r="JD1763" s="18"/>
      <c r="JE1763" s="18"/>
      <c r="JF1763" s="18"/>
      <c r="JG1763" s="18"/>
      <c r="JH1763" s="18"/>
      <c r="JI1763" s="18"/>
      <c r="JJ1763" s="18"/>
      <c r="JK1763" s="18"/>
      <c r="JL1763" s="18"/>
      <c r="JM1763" s="18"/>
      <c r="JN1763" s="18"/>
      <c r="JO1763" s="16"/>
      <c r="JP1763" s="16"/>
      <c r="JQ1763" s="16"/>
      <c r="JR1763" s="16"/>
      <c r="JS1763" s="16"/>
      <c r="JT1763" s="16"/>
      <c r="JU1763" s="16"/>
      <c r="JV1763" s="16"/>
      <c r="JW1763" s="16"/>
      <c r="JX1763" s="16"/>
      <c r="JY1763" s="16"/>
      <c r="JZ1763" s="16"/>
      <c r="KA1763" s="16"/>
      <c r="KB1763" s="16"/>
    </row>
    <row r="1764" spans="1:288" s="27" customFormat="1" x14ac:dyDescent="0.2">
      <c r="A1764" s="18"/>
      <c r="B1764" s="16">
        <v>2017</v>
      </c>
      <c r="C1764" s="20">
        <v>42959</v>
      </c>
      <c r="D1764" s="20" t="str">
        <f>CONCATENATE(J1764,"-",C1764)</f>
        <v>1056-42959</v>
      </c>
      <c r="E1764" s="20" t="str">
        <f>CONCATENATE(T1764,"-",U1764,"-",C1764)</f>
        <v>SP2-H1-42959</v>
      </c>
      <c r="F1764" s="20" t="s">
        <v>106</v>
      </c>
      <c r="G1764" s="20" t="s">
        <v>278</v>
      </c>
      <c r="H1764" s="16"/>
      <c r="I1764" s="16"/>
      <c r="J1764" s="21">
        <v>1056</v>
      </c>
      <c r="K1764" s="21"/>
      <c r="L1764" s="16"/>
      <c r="M1764" s="21"/>
      <c r="N1764" s="21"/>
      <c r="O1764" s="21"/>
      <c r="P1764" s="16"/>
      <c r="Q1764" s="16"/>
      <c r="R1764" s="16"/>
      <c r="S1764" s="16"/>
      <c r="T1764" s="16" t="s">
        <v>137</v>
      </c>
      <c r="U1764" s="16" t="s">
        <v>191</v>
      </c>
      <c r="V1764" s="16"/>
      <c r="W1764" s="16"/>
      <c r="X1764" s="16"/>
      <c r="Y1764" s="16"/>
      <c r="Z1764" s="16"/>
      <c r="AA1764" s="16"/>
      <c r="AB1764" s="16"/>
      <c r="AC1764" s="16"/>
      <c r="AD1764" s="16"/>
      <c r="AE1764" s="16"/>
      <c r="AF1764" s="16"/>
      <c r="AG1764" s="16"/>
      <c r="AH1764" s="16"/>
      <c r="AI1764" s="16"/>
      <c r="AJ1764" s="16"/>
      <c r="AK1764" s="16"/>
      <c r="AL1764" s="16"/>
      <c r="AM1764" s="16"/>
      <c r="AN1764" s="16"/>
      <c r="AO1764" s="16"/>
      <c r="AP1764" s="16">
        <f>SUM(AL1764:AN1764)</f>
        <v>0</v>
      </c>
      <c r="AQ1764" s="16"/>
      <c r="AR1764" s="16"/>
      <c r="AS1764" s="16"/>
      <c r="AT1764" s="16" t="s">
        <v>285</v>
      </c>
      <c r="AU1764" s="16"/>
      <c r="AV1764" s="16"/>
      <c r="AW1764" s="16"/>
      <c r="AX1764" s="16"/>
      <c r="AY1764" s="18"/>
      <c r="AZ1764" s="16"/>
      <c r="BA1764" s="16"/>
      <c r="BB1764" s="16"/>
      <c r="BC1764" s="16"/>
      <c r="BD1764" s="16"/>
      <c r="BE1764" s="16"/>
      <c r="BF1764" s="16"/>
      <c r="BG1764" s="77"/>
      <c r="BH1764" s="16"/>
      <c r="BI1764" s="16"/>
      <c r="BJ1764" s="16"/>
      <c r="BK1764" s="16"/>
      <c r="BL1764" s="16"/>
      <c r="BM1764" s="16"/>
      <c r="BN1764" s="16"/>
      <c r="BO1764" s="16"/>
      <c r="BP1764" s="16"/>
      <c r="BQ1764" s="16"/>
      <c r="BR1764" s="16"/>
      <c r="BS1764" s="16"/>
      <c r="BT1764" s="77"/>
      <c r="BU1764" s="16"/>
      <c r="BV1764" s="16"/>
      <c r="BW1764" s="16"/>
      <c r="BX1764" s="16"/>
      <c r="BY1764" s="16"/>
      <c r="BZ1764" s="16"/>
      <c r="CA1764" s="16"/>
      <c r="CB1764" s="16"/>
      <c r="CC1764" s="16"/>
      <c r="CD1764" s="77"/>
      <c r="CE1764" s="16"/>
      <c r="CF1764" s="16"/>
      <c r="CG1764" s="16"/>
      <c r="CH1764" s="16"/>
      <c r="CI1764" s="16"/>
      <c r="CJ1764" s="16"/>
      <c r="CK1764" s="16"/>
      <c r="CL1764" s="16"/>
      <c r="CM1764" s="16"/>
      <c r="CN1764" s="16"/>
      <c r="CO1764" s="16"/>
      <c r="CP1764" s="16"/>
      <c r="CQ1764" s="16"/>
      <c r="CR1764" s="16"/>
      <c r="CS1764" s="16"/>
      <c r="CT1764" s="16"/>
      <c r="CU1764" s="16"/>
      <c r="CV1764" s="16"/>
      <c r="CW1764" s="16"/>
      <c r="CX1764" s="16"/>
      <c r="CY1764" s="16"/>
      <c r="CZ1764" s="16"/>
      <c r="DA1764" s="16"/>
      <c r="DB1764" s="16"/>
      <c r="DC1764" s="16"/>
      <c r="DD1764" s="16"/>
      <c r="DE1764" s="16"/>
      <c r="DF1764" s="16" t="e">
        <f>VLOOKUP(K1764,'[3]RNA Seq summary tables'!$V$3:$V$99,1,FALSE)</f>
        <v>#N/A</v>
      </c>
      <c r="DG1764" s="16"/>
      <c r="DH1764" s="16"/>
      <c r="DI1764" s="16"/>
      <c r="DJ1764" s="16"/>
      <c r="DK1764" s="16"/>
      <c r="DL1764" s="16"/>
      <c r="DM1764" s="16"/>
      <c r="DN1764" s="16"/>
      <c r="DO1764" s="16"/>
      <c r="DP1764" s="16"/>
      <c r="DQ1764" s="16"/>
      <c r="DR1764" s="16"/>
      <c r="DS1764" s="16"/>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18"/>
      <c r="EQ1764" s="18"/>
      <c r="ER1764" s="18"/>
      <c r="ES1764" s="18"/>
      <c r="ET1764" s="18"/>
      <c r="EU1764" s="18"/>
      <c r="EV1764" s="18"/>
      <c r="EW1764" s="18"/>
      <c r="EX1764" s="18"/>
      <c r="EY1764" s="18"/>
      <c r="EZ1764" s="18"/>
      <c r="FA1764" s="18"/>
      <c r="FB1764" s="18"/>
      <c r="FC1764" s="18"/>
      <c r="FD1764" s="18"/>
      <c r="FE1764" s="18"/>
      <c r="FF1764" s="18"/>
      <c r="FG1764" s="18"/>
      <c r="FH1764" s="18"/>
      <c r="FI1764" s="18"/>
      <c r="FJ1764" s="18"/>
      <c r="FK1764" s="18"/>
      <c r="FL1764" s="18"/>
      <c r="FM1764" s="18"/>
      <c r="FN1764" s="18"/>
      <c r="FO1764" s="18"/>
      <c r="FP1764" s="18"/>
      <c r="FQ1764" s="18"/>
      <c r="FR1764" s="18"/>
      <c r="FS1764" s="18"/>
      <c r="FT1764" s="18"/>
      <c r="FU1764" s="18"/>
      <c r="FV1764" s="18"/>
      <c r="FW1764" s="18"/>
      <c r="FX1764" s="18"/>
      <c r="FY1764" s="18"/>
      <c r="FZ1764" s="18"/>
      <c r="GA1764" s="18"/>
      <c r="GB1764" s="18"/>
      <c r="GC1764" s="18"/>
      <c r="GD1764" s="18"/>
      <c r="GE1764" s="18"/>
      <c r="GF1764" s="18"/>
      <c r="GG1764" s="18"/>
      <c r="GH1764" s="18"/>
      <c r="GI1764" s="18"/>
      <c r="GJ1764" s="18"/>
      <c r="GK1764" s="18"/>
      <c r="GL1764" s="18"/>
      <c r="GM1764" s="18"/>
      <c r="GN1764" s="18"/>
      <c r="GO1764" s="18"/>
      <c r="GP1764" s="18"/>
      <c r="GQ1764" s="18"/>
      <c r="GR1764" s="18"/>
      <c r="GS1764" s="18"/>
      <c r="GT1764" s="18"/>
      <c r="GU1764" s="18"/>
      <c r="GV1764" s="18"/>
      <c r="GW1764" s="18"/>
      <c r="GX1764" s="18"/>
      <c r="GY1764" s="18"/>
      <c r="GZ1764" s="18"/>
      <c r="HA1764" s="18"/>
      <c r="HB1764" s="18"/>
      <c r="HC1764" s="18"/>
      <c r="HD1764" s="18"/>
      <c r="HE1764" s="18"/>
      <c r="HF1764" s="18"/>
      <c r="HG1764" s="18"/>
      <c r="HH1764" s="18"/>
      <c r="HI1764" s="18"/>
      <c r="HJ1764" s="18"/>
      <c r="HK1764" s="18"/>
      <c r="HL1764" s="18"/>
      <c r="HM1764" s="18"/>
      <c r="HN1764" s="18"/>
      <c r="HO1764" s="18"/>
      <c r="HP1764" s="18"/>
      <c r="HQ1764" s="18"/>
      <c r="HR1764" s="18"/>
      <c r="HS1764" s="18"/>
      <c r="HT1764" s="18"/>
      <c r="HU1764" s="18"/>
      <c r="HV1764" s="18"/>
      <c r="HW1764" s="18"/>
      <c r="HX1764" s="18"/>
      <c r="HY1764" s="18"/>
      <c r="HZ1764" s="18"/>
      <c r="IA1764" s="18"/>
      <c r="IB1764" s="18"/>
      <c r="IC1764" s="18"/>
      <c r="ID1764" s="18"/>
      <c r="IE1764" s="18"/>
      <c r="IF1764" s="18"/>
      <c r="IG1764" s="18"/>
      <c r="IH1764" s="18"/>
      <c r="II1764" s="18"/>
      <c r="IJ1764" s="18"/>
      <c r="IK1764" s="18"/>
      <c r="IL1764" s="18"/>
      <c r="IM1764" s="18"/>
      <c r="IN1764" s="18"/>
      <c r="IO1764" s="18"/>
      <c r="IP1764" s="18"/>
      <c r="IQ1764" s="18"/>
      <c r="IR1764" s="18"/>
      <c r="IS1764" s="18"/>
      <c r="IT1764" s="18"/>
      <c r="IU1764" s="18"/>
      <c r="IV1764" s="18"/>
      <c r="IW1764" s="18"/>
      <c r="IX1764" s="18"/>
      <c r="IY1764" s="18"/>
      <c r="IZ1764" s="18"/>
      <c r="JA1764" s="18"/>
      <c r="JB1764" s="18"/>
      <c r="JC1764" s="18"/>
      <c r="JD1764" s="18"/>
      <c r="JE1764" s="18"/>
      <c r="JF1764" s="18"/>
      <c r="JG1764" s="18"/>
      <c r="JH1764" s="18"/>
      <c r="JI1764" s="18"/>
      <c r="JJ1764" s="18"/>
      <c r="JK1764" s="18"/>
      <c r="JL1764" s="18"/>
      <c r="JM1764" s="18"/>
      <c r="JN1764" s="18"/>
      <c r="JP1764" s="16"/>
      <c r="JQ1764" s="16"/>
      <c r="JR1764" s="16"/>
      <c r="JS1764" s="16"/>
      <c r="JT1764" s="16"/>
      <c r="JU1764" s="16"/>
      <c r="JV1764" s="16"/>
      <c r="JW1764" s="16"/>
      <c r="JX1764" s="16"/>
      <c r="JY1764" s="16"/>
      <c r="JZ1764" s="16"/>
      <c r="KA1764" s="16"/>
      <c r="KB1764" s="16"/>
    </row>
    <row r="1765" spans="1:288" s="27" customFormat="1" x14ac:dyDescent="0.2">
      <c r="A1765" s="18"/>
      <c r="B1765" s="16">
        <v>2017</v>
      </c>
      <c r="C1765" s="20">
        <v>42973</v>
      </c>
      <c r="D1765" s="20" t="str">
        <f>CONCATENATE(J1765,"-",C1765)</f>
        <v>1056-42973</v>
      </c>
      <c r="E1765" s="20" t="str">
        <f>CONCATENATE(T1765,"-",U1765,"-",C1765)</f>
        <v>SP2-G2-42973</v>
      </c>
      <c r="F1765" s="20" t="s">
        <v>224</v>
      </c>
      <c r="G1765" s="20" t="s">
        <v>278</v>
      </c>
      <c r="H1765" s="16"/>
      <c r="I1765" s="16"/>
      <c r="J1765" s="21">
        <v>1056</v>
      </c>
      <c r="K1765" s="21"/>
      <c r="L1765" s="16"/>
      <c r="M1765" s="21"/>
      <c r="N1765" s="21"/>
      <c r="O1765" s="21"/>
      <c r="P1765" s="16"/>
      <c r="Q1765" s="16"/>
      <c r="R1765" s="16"/>
      <c r="S1765" s="16"/>
      <c r="T1765" s="16" t="s">
        <v>137</v>
      </c>
      <c r="U1765" s="16" t="s">
        <v>128</v>
      </c>
      <c r="V1765" s="16"/>
      <c r="W1765" s="16"/>
      <c r="X1765" s="16"/>
      <c r="Y1765" s="16"/>
      <c r="Z1765" s="16"/>
      <c r="AA1765" s="16"/>
      <c r="AB1765" s="16"/>
      <c r="AC1765" s="16"/>
      <c r="AD1765" s="16"/>
      <c r="AE1765" s="16"/>
      <c r="AF1765" s="16"/>
      <c r="AG1765" s="16"/>
      <c r="AH1765" s="16"/>
      <c r="AI1765" s="16"/>
      <c r="AJ1765" s="16"/>
      <c r="AK1765" s="16"/>
      <c r="AL1765" s="16"/>
      <c r="AM1765" s="16"/>
      <c r="AN1765" s="16"/>
      <c r="AO1765" s="16"/>
      <c r="AP1765" s="16">
        <f>SUM(AL1765:AN1765)</f>
        <v>0</v>
      </c>
      <c r="AQ1765" s="16"/>
      <c r="AR1765" s="16"/>
      <c r="AS1765" s="16"/>
      <c r="AT1765" s="16" t="s">
        <v>285</v>
      </c>
      <c r="AU1765" s="16"/>
      <c r="AV1765" s="16"/>
      <c r="AW1765" s="16"/>
      <c r="AX1765" s="16"/>
      <c r="AY1765" s="18"/>
      <c r="AZ1765" s="16"/>
      <c r="BA1765" s="16"/>
      <c r="BB1765" s="16"/>
      <c r="BC1765" s="16"/>
      <c r="BD1765" s="16"/>
      <c r="BE1765" s="16"/>
      <c r="BF1765" s="16"/>
      <c r="BG1765" s="77"/>
      <c r="BH1765" s="16"/>
      <c r="BI1765" s="16"/>
      <c r="BJ1765" s="16"/>
      <c r="BK1765" s="16"/>
      <c r="BL1765" s="16"/>
      <c r="BM1765" s="16"/>
      <c r="BN1765" s="16"/>
      <c r="BO1765" s="16"/>
      <c r="BP1765" s="16"/>
      <c r="BQ1765" s="16"/>
      <c r="BR1765" s="16"/>
      <c r="BS1765" s="16"/>
      <c r="BT1765" s="77"/>
      <c r="BU1765" s="16"/>
      <c r="BV1765" s="16"/>
      <c r="BW1765" s="16"/>
      <c r="BX1765" s="16"/>
      <c r="BY1765" s="16"/>
      <c r="BZ1765" s="16"/>
      <c r="CA1765" s="16"/>
      <c r="CB1765" s="16"/>
      <c r="CC1765" s="16"/>
      <c r="CD1765" s="77"/>
      <c r="CE1765" s="16"/>
      <c r="CF1765" s="16"/>
      <c r="CG1765" s="16"/>
      <c r="CH1765" s="16"/>
      <c r="CI1765" s="16"/>
      <c r="CJ1765" s="16"/>
      <c r="CK1765" s="16"/>
      <c r="CL1765" s="16"/>
      <c r="CM1765" s="16"/>
      <c r="CN1765" s="16"/>
      <c r="CO1765" s="16"/>
      <c r="CP1765" s="16"/>
      <c r="CQ1765" s="16"/>
      <c r="CR1765" s="16"/>
      <c r="CS1765" s="16"/>
      <c r="CT1765" s="16"/>
      <c r="CU1765" s="16"/>
      <c r="CV1765" s="16"/>
      <c r="CW1765" s="16"/>
      <c r="CX1765" s="16"/>
      <c r="CY1765" s="16"/>
      <c r="CZ1765" s="16"/>
      <c r="DA1765" s="16"/>
      <c r="DB1765" s="16"/>
      <c r="DC1765" s="16"/>
      <c r="DD1765" s="16"/>
      <c r="DE1765" s="16"/>
      <c r="DF1765" s="16" t="e">
        <f>VLOOKUP(K1765,'[3]RNA Seq summary tables'!$V$3:$V$99,1,FALSE)</f>
        <v>#N/A</v>
      </c>
      <c r="DG1765" s="16"/>
      <c r="DH1765" s="16"/>
      <c r="DI1765" s="16"/>
      <c r="DJ1765" s="16"/>
      <c r="DK1765" s="16"/>
      <c r="DL1765" s="16"/>
      <c r="DM1765" s="16"/>
      <c r="DN1765" s="16"/>
      <c r="DO1765" s="16"/>
      <c r="DP1765" s="16"/>
      <c r="DQ1765" s="16"/>
      <c r="DR1765" s="16"/>
      <c r="DS1765" s="16"/>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18"/>
      <c r="EQ1765" s="18"/>
      <c r="ER1765" s="18"/>
      <c r="ES1765" s="18"/>
      <c r="ET1765" s="18"/>
      <c r="EU1765" s="18"/>
      <c r="EV1765" s="18"/>
      <c r="EW1765" s="18"/>
      <c r="EX1765" s="18"/>
      <c r="EY1765" s="18"/>
      <c r="EZ1765" s="18"/>
      <c r="FA1765" s="18"/>
      <c r="FB1765" s="18"/>
      <c r="FC1765" s="18"/>
      <c r="FD1765" s="18"/>
      <c r="FE1765" s="18"/>
      <c r="FF1765" s="18"/>
      <c r="FG1765" s="18"/>
      <c r="FH1765" s="18"/>
      <c r="FI1765" s="18"/>
      <c r="FJ1765" s="18"/>
      <c r="FK1765" s="18"/>
      <c r="FL1765" s="18"/>
      <c r="FM1765" s="18"/>
      <c r="FN1765" s="18"/>
      <c r="FO1765" s="18"/>
      <c r="FP1765" s="18"/>
      <c r="FQ1765" s="18"/>
      <c r="FR1765" s="18"/>
      <c r="FS1765" s="18"/>
      <c r="FT1765" s="18"/>
      <c r="FU1765" s="18"/>
      <c r="FV1765" s="18"/>
      <c r="FW1765" s="18"/>
      <c r="FX1765" s="18"/>
      <c r="FY1765" s="18"/>
      <c r="FZ1765" s="18"/>
      <c r="GA1765" s="18"/>
      <c r="GB1765" s="18"/>
      <c r="GC1765" s="18"/>
      <c r="GD1765" s="18"/>
      <c r="GE1765" s="18"/>
      <c r="GF1765" s="18"/>
      <c r="GG1765" s="18"/>
      <c r="GH1765" s="18"/>
      <c r="GI1765" s="18"/>
      <c r="GJ1765" s="18"/>
      <c r="GK1765" s="18"/>
      <c r="GL1765" s="18"/>
      <c r="GM1765" s="18"/>
      <c r="GN1765" s="18"/>
      <c r="GO1765" s="18"/>
      <c r="GP1765" s="18"/>
      <c r="GQ1765" s="18"/>
      <c r="GR1765" s="18"/>
      <c r="GS1765" s="18"/>
      <c r="GT1765" s="18"/>
      <c r="GU1765" s="18"/>
      <c r="GV1765" s="18"/>
      <c r="GW1765" s="18"/>
      <c r="GX1765" s="18"/>
      <c r="GY1765" s="18"/>
      <c r="GZ1765" s="18"/>
      <c r="HA1765" s="18"/>
      <c r="HB1765" s="18"/>
      <c r="HC1765" s="18"/>
      <c r="HD1765" s="18"/>
      <c r="HE1765" s="18"/>
      <c r="HF1765" s="18"/>
      <c r="HG1765" s="18"/>
      <c r="HH1765" s="18"/>
      <c r="HI1765" s="18"/>
      <c r="HJ1765" s="18"/>
      <c r="HK1765" s="18"/>
      <c r="HL1765" s="18"/>
      <c r="HM1765" s="18"/>
      <c r="HN1765" s="18"/>
      <c r="HO1765" s="18"/>
      <c r="HP1765" s="18"/>
      <c r="HQ1765" s="18"/>
      <c r="HR1765" s="18"/>
      <c r="HS1765" s="18"/>
      <c r="HT1765" s="18"/>
      <c r="HU1765" s="18"/>
      <c r="HV1765" s="18"/>
      <c r="HW1765" s="18"/>
      <c r="HX1765" s="18"/>
      <c r="HY1765" s="18"/>
      <c r="HZ1765" s="18"/>
      <c r="IA1765" s="18"/>
      <c r="IB1765" s="18"/>
      <c r="IC1765" s="18"/>
      <c r="ID1765" s="18"/>
      <c r="IE1765" s="18"/>
      <c r="IF1765" s="18"/>
      <c r="IG1765" s="18"/>
      <c r="IH1765" s="18"/>
      <c r="II1765" s="18"/>
      <c r="IJ1765" s="18"/>
      <c r="IK1765" s="18"/>
      <c r="IL1765" s="18"/>
      <c r="IM1765" s="18"/>
      <c r="IN1765" s="18"/>
      <c r="IO1765" s="18"/>
      <c r="IP1765" s="18"/>
      <c r="IQ1765" s="18"/>
      <c r="IR1765" s="18"/>
      <c r="IS1765" s="18"/>
      <c r="IT1765" s="18"/>
      <c r="IU1765" s="18"/>
      <c r="IV1765" s="18"/>
      <c r="IW1765" s="18"/>
      <c r="IX1765" s="18"/>
      <c r="IY1765" s="18"/>
      <c r="IZ1765" s="18"/>
      <c r="JA1765" s="18"/>
      <c r="JB1765" s="18"/>
      <c r="JC1765" s="18"/>
      <c r="JD1765" s="18"/>
      <c r="JE1765" s="18"/>
      <c r="JF1765" s="18"/>
      <c r="JG1765" s="18"/>
      <c r="JH1765" s="18"/>
      <c r="JI1765" s="18"/>
      <c r="JJ1765" s="18"/>
      <c r="JK1765" s="18"/>
      <c r="JL1765" s="18"/>
      <c r="JM1765" s="18"/>
      <c r="JN1765" s="18"/>
      <c r="JO1765" s="18"/>
      <c r="JP1765" s="16"/>
      <c r="JQ1765" s="16"/>
      <c r="JR1765" s="16"/>
      <c r="JS1765" s="16"/>
      <c r="JT1765" s="16"/>
      <c r="JU1765" s="16"/>
      <c r="JV1765" s="16"/>
      <c r="JW1765" s="16"/>
      <c r="JX1765" s="16"/>
      <c r="JY1765" s="16"/>
      <c r="JZ1765" s="16"/>
      <c r="KA1765" s="16"/>
      <c r="KB1765" s="16"/>
    </row>
    <row r="1766" spans="1:288" s="27" customFormat="1" x14ac:dyDescent="0.2">
      <c r="A1766" s="18"/>
      <c r="B1766" s="16">
        <v>2017</v>
      </c>
      <c r="C1766" s="20">
        <v>42906</v>
      </c>
      <c r="D1766" s="20" t="str">
        <f>CONCATENATE(J1766,"-",C1766)</f>
        <v>1059-42906</v>
      </c>
      <c r="E1766" s="20" t="str">
        <f>CONCATENATE(T1766,"-",U1766,"-",C1766)</f>
        <v>SP1-A8-42906</v>
      </c>
      <c r="F1766" s="20" t="s">
        <v>106</v>
      </c>
      <c r="G1766" s="20" t="s">
        <v>278</v>
      </c>
      <c r="H1766" s="16"/>
      <c r="I1766" s="16"/>
      <c r="J1766" s="21">
        <v>1059</v>
      </c>
      <c r="K1766" s="21"/>
      <c r="L1766" s="16"/>
      <c r="M1766" s="21"/>
      <c r="N1766" s="21"/>
      <c r="O1766" s="21"/>
      <c r="P1766" s="16"/>
      <c r="Q1766" s="16"/>
      <c r="R1766" s="16"/>
      <c r="S1766" s="16"/>
      <c r="T1766" s="16" t="s">
        <v>140</v>
      </c>
      <c r="U1766" s="16" t="s">
        <v>194</v>
      </c>
      <c r="V1766" s="16"/>
      <c r="W1766" s="16"/>
      <c r="X1766" s="16"/>
      <c r="Y1766" s="16"/>
      <c r="Z1766" s="16"/>
      <c r="AA1766" s="16"/>
      <c r="AB1766" s="16"/>
      <c r="AC1766" s="16"/>
      <c r="AD1766" s="16"/>
      <c r="AE1766" s="16"/>
      <c r="AF1766" s="16"/>
      <c r="AG1766" s="16"/>
      <c r="AH1766" s="16"/>
      <c r="AI1766" s="16"/>
      <c r="AJ1766" s="16"/>
      <c r="AK1766" s="16"/>
      <c r="AL1766" s="16"/>
      <c r="AM1766" s="16"/>
      <c r="AN1766" s="16"/>
      <c r="AO1766" s="16"/>
      <c r="AP1766" s="16">
        <f>SUM(AL1766:AN1766)</f>
        <v>0</v>
      </c>
      <c r="AQ1766" s="16"/>
      <c r="AR1766" s="16"/>
      <c r="AS1766" s="16"/>
      <c r="AT1766" s="16" t="s">
        <v>285</v>
      </c>
      <c r="AU1766" s="16"/>
      <c r="AV1766" s="16"/>
      <c r="AW1766" s="16"/>
      <c r="AX1766" s="16"/>
      <c r="AY1766" s="18"/>
      <c r="AZ1766" s="16"/>
      <c r="BA1766" s="16"/>
      <c r="BB1766" s="16"/>
      <c r="BC1766" s="16"/>
      <c r="BD1766" s="16"/>
      <c r="BE1766" s="16"/>
      <c r="BF1766" s="16"/>
      <c r="BG1766" s="77"/>
      <c r="BH1766" s="16"/>
      <c r="BI1766" s="16"/>
      <c r="BJ1766" s="16"/>
      <c r="BK1766" s="16"/>
      <c r="BL1766" s="16"/>
      <c r="BM1766" s="16"/>
      <c r="BN1766" s="16"/>
      <c r="BO1766" s="16"/>
      <c r="BP1766" s="16"/>
      <c r="BQ1766" s="16"/>
      <c r="BR1766" s="16"/>
      <c r="BS1766" s="16"/>
      <c r="BT1766" s="77"/>
      <c r="BU1766" s="16"/>
      <c r="BV1766" s="16"/>
      <c r="BW1766" s="16"/>
      <c r="BX1766" s="16"/>
      <c r="BY1766" s="16"/>
      <c r="BZ1766" s="16"/>
      <c r="CA1766" s="16"/>
      <c r="CB1766" s="16"/>
      <c r="CC1766" s="16"/>
      <c r="CD1766" s="77"/>
      <c r="CE1766" s="16"/>
      <c r="CF1766" s="16"/>
      <c r="CG1766" s="16"/>
      <c r="CH1766" s="16"/>
      <c r="CI1766" s="16"/>
      <c r="CJ1766" s="16"/>
      <c r="CK1766" s="16"/>
      <c r="CL1766" s="16"/>
      <c r="CM1766" s="16"/>
      <c r="CN1766" s="16"/>
      <c r="CO1766" s="16"/>
      <c r="CP1766" s="16"/>
      <c r="CQ1766" s="16"/>
      <c r="CR1766" s="16"/>
      <c r="CS1766" s="16"/>
      <c r="CT1766" s="16"/>
      <c r="CU1766" s="16"/>
      <c r="CV1766" s="16"/>
      <c r="CW1766" s="16"/>
      <c r="CX1766" s="16"/>
      <c r="CY1766" s="16"/>
      <c r="CZ1766" s="16"/>
      <c r="DA1766" s="16"/>
      <c r="DB1766" s="16"/>
      <c r="DC1766" s="16"/>
      <c r="DD1766" s="16"/>
      <c r="DE1766" s="16"/>
      <c r="DF1766" s="16" t="e">
        <f>VLOOKUP(K1766,'[3]RNA Seq summary tables'!$V$3:$V$99,1,FALSE)</f>
        <v>#N/A</v>
      </c>
      <c r="DG1766" s="16"/>
      <c r="DH1766" s="16"/>
      <c r="DI1766" s="16"/>
      <c r="DJ1766" s="16"/>
      <c r="DK1766" s="16"/>
      <c r="DL1766" s="16"/>
      <c r="DM1766" s="16"/>
      <c r="DN1766" s="16"/>
      <c r="DO1766" s="16"/>
      <c r="DP1766" s="16"/>
      <c r="DQ1766" s="16"/>
      <c r="DR1766" s="16"/>
      <c r="DS1766" s="16"/>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18"/>
      <c r="EQ1766" s="18"/>
      <c r="ER1766" s="18"/>
      <c r="ES1766" s="18"/>
      <c r="ET1766" s="18"/>
      <c r="EU1766" s="18"/>
      <c r="EV1766" s="18"/>
      <c r="EW1766" s="18"/>
      <c r="EX1766" s="18"/>
      <c r="EY1766" s="18"/>
      <c r="EZ1766" s="18"/>
      <c r="FA1766" s="18"/>
      <c r="FB1766" s="18"/>
      <c r="FC1766" s="18"/>
      <c r="FD1766" s="18"/>
      <c r="FE1766" s="18"/>
      <c r="FF1766" s="18"/>
      <c r="FG1766" s="18"/>
      <c r="FH1766" s="18"/>
      <c r="FI1766" s="18"/>
      <c r="FJ1766" s="18"/>
      <c r="FK1766" s="18"/>
      <c r="FL1766" s="18"/>
      <c r="FM1766" s="18"/>
      <c r="FN1766" s="18"/>
      <c r="FO1766" s="18"/>
      <c r="FP1766" s="18"/>
      <c r="FQ1766" s="18"/>
      <c r="FR1766" s="18"/>
      <c r="FS1766" s="18"/>
      <c r="FT1766" s="18"/>
      <c r="FU1766" s="18"/>
      <c r="FV1766" s="18"/>
      <c r="FW1766" s="18"/>
      <c r="FX1766" s="18"/>
      <c r="FY1766" s="18"/>
      <c r="FZ1766" s="18"/>
      <c r="GA1766" s="18"/>
      <c r="GB1766" s="18"/>
      <c r="GC1766" s="18"/>
      <c r="GD1766" s="18"/>
      <c r="GE1766" s="18"/>
      <c r="GF1766" s="18"/>
      <c r="GG1766" s="18"/>
      <c r="GH1766" s="18"/>
      <c r="GI1766" s="18"/>
      <c r="GJ1766" s="18"/>
      <c r="GK1766" s="18"/>
      <c r="GL1766" s="18"/>
      <c r="GM1766" s="18"/>
      <c r="GN1766" s="18"/>
      <c r="GO1766" s="18"/>
      <c r="GP1766" s="18"/>
      <c r="GQ1766" s="18"/>
      <c r="GR1766" s="18"/>
      <c r="GS1766" s="18"/>
      <c r="GT1766" s="18"/>
      <c r="GU1766" s="18"/>
      <c r="GV1766" s="18"/>
      <c r="GW1766" s="18"/>
      <c r="GX1766" s="18"/>
      <c r="GY1766" s="18"/>
      <c r="GZ1766" s="18"/>
      <c r="HA1766" s="18"/>
      <c r="HB1766" s="18"/>
      <c r="HC1766" s="18"/>
      <c r="HD1766" s="18"/>
      <c r="HE1766" s="18"/>
      <c r="HF1766" s="18"/>
      <c r="HG1766" s="18"/>
      <c r="HH1766" s="18"/>
      <c r="HI1766" s="18"/>
      <c r="HJ1766" s="18"/>
      <c r="HK1766" s="18"/>
      <c r="HL1766" s="18"/>
      <c r="HM1766" s="18"/>
      <c r="HN1766" s="18"/>
      <c r="HO1766" s="18"/>
      <c r="HP1766" s="18"/>
      <c r="HQ1766" s="18"/>
      <c r="HR1766" s="18"/>
      <c r="HS1766" s="18"/>
      <c r="HT1766" s="18"/>
      <c r="HU1766" s="18"/>
      <c r="HV1766" s="18"/>
      <c r="HW1766" s="18"/>
      <c r="HX1766" s="18"/>
      <c r="HY1766" s="18"/>
      <c r="HZ1766" s="18"/>
      <c r="IA1766" s="18"/>
      <c r="IB1766" s="18"/>
      <c r="IC1766" s="18"/>
      <c r="ID1766" s="18"/>
      <c r="IE1766" s="18"/>
      <c r="IF1766" s="18"/>
      <c r="IG1766" s="18"/>
      <c r="IH1766" s="18"/>
      <c r="II1766" s="18"/>
      <c r="IJ1766" s="18"/>
      <c r="IK1766" s="18"/>
      <c r="IL1766" s="18"/>
      <c r="IM1766" s="18"/>
      <c r="IN1766" s="18"/>
      <c r="IO1766" s="18"/>
      <c r="IP1766" s="18"/>
      <c r="IQ1766" s="18"/>
      <c r="IR1766" s="18"/>
      <c r="IS1766" s="18"/>
      <c r="IT1766" s="18"/>
      <c r="IU1766" s="18"/>
      <c r="IV1766" s="18"/>
      <c r="IW1766" s="18"/>
      <c r="IX1766" s="18"/>
      <c r="IY1766" s="18"/>
      <c r="IZ1766" s="18"/>
      <c r="JA1766" s="18"/>
      <c r="JB1766" s="18"/>
      <c r="JC1766" s="18"/>
      <c r="JD1766" s="18"/>
      <c r="JE1766" s="18"/>
      <c r="JF1766" s="18"/>
      <c r="JG1766" s="18"/>
      <c r="JH1766" s="18"/>
      <c r="JI1766" s="18"/>
      <c r="JJ1766" s="18"/>
      <c r="JK1766" s="18"/>
      <c r="JL1766" s="18"/>
      <c r="JM1766" s="18"/>
      <c r="JN1766" s="18"/>
      <c r="JO1766" s="16"/>
      <c r="JP1766" s="16"/>
      <c r="JQ1766" s="16"/>
    </row>
    <row r="1767" spans="1:288" s="18" customFormat="1" x14ac:dyDescent="0.2">
      <c r="B1767" s="16">
        <v>2017</v>
      </c>
      <c r="C1767" s="20">
        <v>42941</v>
      </c>
      <c r="D1767" s="20" t="str">
        <f>CONCATENATE(J1767,"-",C1767)</f>
        <v>1059-42941</v>
      </c>
      <c r="E1767" s="20" t="str">
        <f>CONCATENATE(T1767,"-",U1767,"-",C1767)</f>
        <v>SP1-C5-42941</v>
      </c>
      <c r="F1767" s="20" t="s">
        <v>106</v>
      </c>
      <c r="G1767" s="20" t="s">
        <v>278</v>
      </c>
      <c r="H1767" s="16"/>
      <c r="I1767" s="16"/>
      <c r="J1767" s="21">
        <v>1059</v>
      </c>
      <c r="K1767" s="21"/>
      <c r="L1767" s="16"/>
      <c r="M1767" s="21"/>
      <c r="N1767" s="21"/>
      <c r="O1767" s="21"/>
      <c r="P1767" s="16"/>
      <c r="Q1767" s="16"/>
      <c r="R1767" s="16"/>
      <c r="S1767" s="16"/>
      <c r="T1767" s="16" t="s">
        <v>140</v>
      </c>
      <c r="U1767" s="16" t="s">
        <v>172</v>
      </c>
      <c r="V1767" s="16"/>
      <c r="W1767" s="16"/>
      <c r="X1767" s="16"/>
      <c r="Y1767" s="16"/>
      <c r="Z1767" s="16"/>
      <c r="AA1767" s="16"/>
      <c r="AB1767" s="16"/>
      <c r="AC1767" s="16"/>
      <c r="AD1767" s="16"/>
      <c r="AE1767" s="16"/>
      <c r="AF1767" s="16"/>
      <c r="AG1767" s="16"/>
      <c r="AH1767" s="16"/>
      <c r="AI1767" s="16"/>
      <c r="AJ1767" s="16"/>
      <c r="AK1767" s="16"/>
      <c r="AL1767" s="16"/>
      <c r="AM1767" s="16"/>
      <c r="AN1767" s="16"/>
      <c r="AO1767" s="16"/>
      <c r="AP1767" s="16">
        <f>SUM(AL1767:AN1767)</f>
        <v>0</v>
      </c>
      <c r="AQ1767" s="16"/>
      <c r="AR1767" s="16"/>
      <c r="AS1767" s="16"/>
      <c r="AT1767" s="16" t="s">
        <v>285</v>
      </c>
      <c r="AU1767" s="16"/>
      <c r="AV1767" s="16"/>
      <c r="AW1767" s="16"/>
      <c r="AX1767" s="16"/>
      <c r="AZ1767" s="16"/>
      <c r="BA1767" s="16"/>
      <c r="BB1767" s="16"/>
      <c r="BC1767" s="16"/>
      <c r="BD1767" s="16"/>
      <c r="BE1767" s="16"/>
      <c r="BF1767" s="16"/>
      <c r="BG1767" s="77"/>
      <c r="BH1767" s="16"/>
      <c r="BI1767" s="16"/>
      <c r="BJ1767" s="16"/>
      <c r="BK1767" s="16"/>
      <c r="BL1767" s="16"/>
      <c r="BM1767" s="16"/>
      <c r="BN1767" s="16"/>
      <c r="BO1767" s="16"/>
      <c r="BP1767" s="16"/>
      <c r="BQ1767" s="16"/>
      <c r="BR1767" s="16"/>
      <c r="BS1767" s="16"/>
      <c r="BT1767" s="77"/>
      <c r="BU1767" s="16"/>
      <c r="BV1767" s="16"/>
      <c r="BW1767" s="16"/>
      <c r="BX1767" s="16"/>
      <c r="BY1767" s="16"/>
      <c r="BZ1767" s="16"/>
      <c r="CA1767" s="16"/>
      <c r="CB1767" s="16"/>
      <c r="CC1767" s="16"/>
      <c r="CD1767" s="77"/>
      <c r="CE1767" s="16"/>
      <c r="CF1767" s="16"/>
      <c r="CG1767" s="16"/>
      <c r="CH1767" s="16"/>
      <c r="CI1767" s="16"/>
      <c r="CJ1767" s="16"/>
      <c r="CK1767" s="16"/>
      <c r="CL1767" s="16"/>
      <c r="CM1767" s="16"/>
      <c r="CN1767" s="16"/>
      <c r="CO1767" s="16"/>
      <c r="CP1767" s="16"/>
      <c r="CQ1767" s="16"/>
      <c r="CR1767" s="16"/>
      <c r="CS1767" s="16"/>
      <c r="CT1767" s="16"/>
      <c r="CU1767" s="16"/>
      <c r="CV1767" s="16"/>
      <c r="CW1767" s="16"/>
      <c r="CX1767" s="16"/>
      <c r="CY1767" s="16"/>
      <c r="CZ1767" s="16"/>
      <c r="DA1767" s="16"/>
      <c r="DB1767" s="16"/>
      <c r="DC1767" s="16"/>
      <c r="DD1767" s="16"/>
      <c r="DE1767" s="16"/>
      <c r="DF1767" s="16" t="e">
        <f>VLOOKUP(K1767,'[3]RNA Seq summary tables'!$V$3:$V$99,1,FALSE)</f>
        <v>#N/A</v>
      </c>
      <c r="DG1767" s="16"/>
      <c r="DH1767" s="16"/>
      <c r="DI1767" s="16"/>
      <c r="DJ1767" s="16"/>
      <c r="DK1767" s="16"/>
      <c r="DL1767" s="16"/>
      <c r="DM1767" s="16"/>
      <c r="DN1767" s="16"/>
      <c r="DO1767" s="16"/>
      <c r="DP1767" s="16"/>
      <c r="DQ1767" s="16"/>
      <c r="DR1767" s="16"/>
      <c r="DS1767" s="16"/>
      <c r="JO1767" s="27"/>
      <c r="JP1767" s="16"/>
      <c r="JQ1767" s="16"/>
      <c r="JR1767" s="16"/>
      <c r="JS1767" s="16"/>
      <c r="JT1767" s="16"/>
      <c r="JU1767" s="16"/>
      <c r="JV1767" s="16"/>
      <c r="JW1767" s="16"/>
      <c r="JX1767" s="16"/>
      <c r="JY1767" s="16"/>
      <c r="JZ1767" s="16"/>
      <c r="KA1767" s="16"/>
      <c r="KB1767" s="16"/>
    </row>
    <row r="1768" spans="1:288" s="18" customFormat="1" x14ac:dyDescent="0.2">
      <c r="B1768" s="16">
        <v>2017</v>
      </c>
      <c r="C1768" s="20">
        <v>42958</v>
      </c>
      <c r="D1768" s="20" t="str">
        <f>CONCATENATE(J1768,"-",C1768)</f>
        <v>1059-42958</v>
      </c>
      <c r="E1768" s="20" t="str">
        <f>CONCATENATE(T1768,"-",U1768,"-",C1768)</f>
        <v>SP1-B4-42958</v>
      </c>
      <c r="F1768" s="20" t="s">
        <v>106</v>
      </c>
      <c r="G1768" s="20" t="s">
        <v>278</v>
      </c>
      <c r="H1768" s="16"/>
      <c r="I1768" s="16"/>
      <c r="J1768" s="21">
        <v>1059</v>
      </c>
      <c r="K1768" s="21"/>
      <c r="L1768" s="16"/>
      <c r="M1768" s="21"/>
      <c r="N1768" s="21"/>
      <c r="O1768" s="21"/>
      <c r="P1768" s="16"/>
      <c r="Q1768" s="16"/>
      <c r="R1768" s="16"/>
      <c r="S1768" s="16"/>
      <c r="T1768" s="16" t="s">
        <v>140</v>
      </c>
      <c r="U1768" s="16" t="s">
        <v>144</v>
      </c>
      <c r="V1768" s="16"/>
      <c r="W1768" s="16"/>
      <c r="X1768" s="16"/>
      <c r="Y1768" s="16"/>
      <c r="Z1768" s="16"/>
      <c r="AA1768" s="16"/>
      <c r="AB1768" s="16"/>
      <c r="AC1768" s="16"/>
      <c r="AD1768" s="16"/>
      <c r="AE1768" s="16"/>
      <c r="AF1768" s="16"/>
      <c r="AG1768" s="16"/>
      <c r="AH1768" s="16"/>
      <c r="AI1768" s="16"/>
      <c r="AJ1768" s="16"/>
      <c r="AK1768" s="16"/>
      <c r="AL1768" s="16"/>
      <c r="AM1768" s="16"/>
      <c r="AN1768" s="16"/>
      <c r="AO1768" s="16"/>
      <c r="AP1768" s="16">
        <f>SUM(AL1768:AN1768)</f>
        <v>0</v>
      </c>
      <c r="AQ1768" s="16"/>
      <c r="AR1768" s="16"/>
      <c r="AS1768" s="16"/>
      <c r="AT1768" s="16" t="s">
        <v>285</v>
      </c>
      <c r="AU1768" s="16"/>
      <c r="AV1768" s="16"/>
      <c r="AW1768" s="16"/>
      <c r="AX1768" s="16"/>
      <c r="AZ1768" s="16"/>
      <c r="BA1768" s="16"/>
      <c r="BB1768" s="16"/>
      <c r="BC1768" s="16"/>
      <c r="BD1768" s="16"/>
      <c r="BE1768" s="16"/>
      <c r="BF1768" s="16"/>
      <c r="BG1768" s="77"/>
      <c r="BH1768" s="16"/>
      <c r="BI1768" s="16"/>
      <c r="BJ1768" s="16"/>
      <c r="BK1768" s="16"/>
      <c r="BL1768" s="16"/>
      <c r="BM1768" s="16"/>
      <c r="BN1768" s="16"/>
      <c r="BO1768" s="16"/>
      <c r="BP1768" s="16"/>
      <c r="BQ1768" s="16"/>
      <c r="BR1768" s="16"/>
      <c r="BS1768" s="16"/>
      <c r="BT1768" s="77"/>
      <c r="BU1768" s="16"/>
      <c r="BV1768" s="16"/>
      <c r="BW1768" s="16"/>
      <c r="BX1768" s="16"/>
      <c r="BY1768" s="16"/>
      <c r="BZ1768" s="16"/>
      <c r="CA1768" s="16"/>
      <c r="CB1768" s="16"/>
      <c r="CC1768" s="16"/>
      <c r="CD1768" s="77"/>
      <c r="CE1768" s="16"/>
      <c r="CF1768" s="16"/>
      <c r="CG1768" s="16"/>
      <c r="CH1768" s="16"/>
      <c r="CI1768" s="16"/>
      <c r="CJ1768" s="16"/>
      <c r="CK1768" s="16"/>
      <c r="CL1768" s="16"/>
      <c r="CM1768" s="16"/>
      <c r="CN1768" s="16"/>
      <c r="CO1768" s="16"/>
      <c r="CP1768" s="16"/>
      <c r="CQ1768" s="16"/>
      <c r="CR1768" s="16"/>
      <c r="CS1768" s="16"/>
      <c r="CT1768" s="16"/>
      <c r="CU1768" s="16"/>
      <c r="CV1768" s="16"/>
      <c r="CW1768" s="16"/>
      <c r="CX1768" s="16"/>
      <c r="CY1768" s="16"/>
      <c r="CZ1768" s="16"/>
      <c r="DA1768" s="16"/>
      <c r="DB1768" s="16"/>
      <c r="DC1768" s="16"/>
      <c r="DD1768" s="16"/>
      <c r="DE1768" s="16"/>
      <c r="DF1768" s="16" t="e">
        <f>VLOOKUP(K1768,'[3]RNA Seq summary tables'!$V$3:$V$99,1,FALSE)</f>
        <v>#N/A</v>
      </c>
      <c r="DG1768" s="16"/>
      <c r="DH1768" s="16"/>
      <c r="DI1768" s="16"/>
      <c r="DJ1768" s="16"/>
      <c r="DK1768" s="16"/>
      <c r="DL1768" s="16"/>
      <c r="DM1768" s="16"/>
      <c r="DN1768" s="16"/>
      <c r="DO1768" s="16"/>
      <c r="DP1768" s="16"/>
      <c r="DQ1768" s="16"/>
      <c r="DR1768" s="16"/>
      <c r="DS1768" s="16"/>
      <c r="JO1768" s="27"/>
      <c r="JP1768" s="16"/>
      <c r="JQ1768" s="16"/>
      <c r="JR1768" s="16"/>
      <c r="JS1768" s="16"/>
      <c r="JT1768" s="16"/>
      <c r="JU1768" s="16"/>
      <c r="JV1768" s="16"/>
      <c r="JW1768" s="16"/>
      <c r="JX1768" s="16"/>
      <c r="JY1768" s="16"/>
      <c r="JZ1768" s="16"/>
      <c r="KA1768" s="16"/>
      <c r="KB1768" s="16"/>
    </row>
    <row r="1769" spans="1:288" s="18" customFormat="1" x14ac:dyDescent="0.2">
      <c r="B1769" s="16">
        <v>2017</v>
      </c>
      <c r="C1769" s="20">
        <v>42959</v>
      </c>
      <c r="D1769" s="20" t="str">
        <f>CONCATENATE(J1769,"-",C1769)</f>
        <v>1059-42959</v>
      </c>
      <c r="E1769" s="20" t="str">
        <f>CONCATENATE(T1769,"-",U1769,"-",C1769)</f>
        <v>SP1-B4-42959</v>
      </c>
      <c r="F1769" s="20" t="s">
        <v>106</v>
      </c>
      <c r="G1769" s="20" t="s">
        <v>278</v>
      </c>
      <c r="H1769" s="16"/>
      <c r="I1769" s="16"/>
      <c r="J1769" s="21">
        <v>1059</v>
      </c>
      <c r="K1769" s="21"/>
      <c r="L1769" s="16"/>
      <c r="M1769" s="21"/>
      <c r="N1769" s="21"/>
      <c r="O1769" s="21"/>
      <c r="P1769" s="16"/>
      <c r="Q1769" s="16"/>
      <c r="R1769" s="16"/>
      <c r="S1769" s="16"/>
      <c r="T1769" s="16" t="s">
        <v>140</v>
      </c>
      <c r="U1769" s="16" t="s">
        <v>144</v>
      </c>
      <c r="V1769" s="16"/>
      <c r="W1769" s="16"/>
      <c r="X1769" s="16"/>
      <c r="Y1769" s="16"/>
      <c r="Z1769" s="16"/>
      <c r="AA1769" s="16"/>
      <c r="AB1769" s="16"/>
      <c r="AC1769" s="16"/>
      <c r="AD1769" s="16"/>
      <c r="AE1769" s="16"/>
      <c r="AF1769" s="16"/>
      <c r="AG1769" s="16"/>
      <c r="AH1769" s="16"/>
      <c r="AI1769" s="16"/>
      <c r="AJ1769" s="16"/>
      <c r="AK1769" s="16"/>
      <c r="AL1769" s="16"/>
      <c r="AM1769" s="16"/>
      <c r="AN1769" s="16"/>
      <c r="AO1769" s="16"/>
      <c r="AP1769" s="16">
        <f>SUM(AL1769:AN1769)</f>
        <v>0</v>
      </c>
      <c r="AQ1769" s="16"/>
      <c r="AR1769" s="16"/>
      <c r="AS1769" s="16"/>
      <c r="AT1769" s="16" t="s">
        <v>285</v>
      </c>
      <c r="AU1769" s="16"/>
      <c r="AV1769" s="16"/>
      <c r="AW1769" s="16"/>
      <c r="AX1769" s="16"/>
      <c r="AZ1769" s="16"/>
      <c r="BA1769" s="16"/>
      <c r="BB1769" s="16"/>
      <c r="BC1769" s="16"/>
      <c r="BD1769" s="16"/>
      <c r="BE1769" s="16"/>
      <c r="BF1769" s="16"/>
      <c r="BG1769" s="77"/>
      <c r="BH1769" s="16"/>
      <c r="BI1769" s="16"/>
      <c r="BJ1769" s="16"/>
      <c r="BK1769" s="16"/>
      <c r="BL1769" s="16"/>
      <c r="BM1769" s="16"/>
      <c r="BN1769" s="16"/>
      <c r="BO1769" s="16"/>
      <c r="BP1769" s="16"/>
      <c r="BQ1769" s="16"/>
      <c r="BR1769" s="16"/>
      <c r="BS1769" s="16"/>
      <c r="BT1769" s="77"/>
      <c r="BU1769" s="16"/>
      <c r="BV1769" s="16"/>
      <c r="BW1769" s="16"/>
      <c r="BX1769" s="16"/>
      <c r="BY1769" s="16"/>
      <c r="BZ1769" s="16"/>
      <c r="CA1769" s="16"/>
      <c r="CB1769" s="16"/>
      <c r="CC1769" s="16"/>
      <c r="CD1769" s="77"/>
      <c r="CE1769" s="16"/>
      <c r="CF1769" s="16"/>
      <c r="CG1769" s="16"/>
      <c r="CH1769" s="16"/>
      <c r="CI1769" s="16"/>
      <c r="CJ1769" s="16"/>
      <c r="CK1769" s="16"/>
      <c r="CL1769" s="16"/>
      <c r="CM1769" s="16"/>
      <c r="CN1769" s="16"/>
      <c r="CO1769" s="16"/>
      <c r="CP1769" s="16"/>
      <c r="CQ1769" s="16"/>
      <c r="CR1769" s="16"/>
      <c r="CS1769" s="16"/>
      <c r="CT1769" s="16"/>
      <c r="CU1769" s="16"/>
      <c r="CV1769" s="16"/>
      <c r="CW1769" s="16"/>
      <c r="CX1769" s="16"/>
      <c r="CY1769" s="16"/>
      <c r="CZ1769" s="16"/>
      <c r="DA1769" s="16"/>
      <c r="DB1769" s="16"/>
      <c r="DC1769" s="16"/>
      <c r="DD1769" s="16"/>
      <c r="DE1769" s="16"/>
      <c r="DF1769" s="16" t="e">
        <f>VLOOKUP(K1769,'[3]RNA Seq summary tables'!$V$3:$V$99,1,FALSE)</f>
        <v>#N/A</v>
      </c>
      <c r="DG1769" s="16"/>
      <c r="DH1769" s="16"/>
      <c r="DI1769" s="16"/>
      <c r="DJ1769" s="16"/>
      <c r="DK1769" s="16"/>
      <c r="DL1769" s="16"/>
      <c r="DM1769" s="16"/>
      <c r="DN1769" s="16"/>
      <c r="DO1769" s="16"/>
      <c r="DP1769" s="16"/>
      <c r="DQ1769" s="16"/>
      <c r="DR1769" s="16"/>
      <c r="DS1769" s="16"/>
      <c r="JO1769" s="27"/>
      <c r="JP1769" s="16"/>
      <c r="JQ1769" s="16"/>
      <c r="JR1769" s="16"/>
      <c r="JS1769" s="16"/>
      <c r="JT1769" s="16"/>
      <c r="JU1769" s="16"/>
      <c r="JV1769" s="16"/>
      <c r="JW1769" s="16"/>
      <c r="JX1769" s="16"/>
      <c r="JY1769" s="16"/>
      <c r="JZ1769" s="16"/>
      <c r="KA1769" s="16"/>
      <c r="KB1769" s="16"/>
    </row>
    <row r="1770" spans="1:288" s="18" customFormat="1" x14ac:dyDescent="0.2">
      <c r="B1770" s="16">
        <v>2017</v>
      </c>
      <c r="C1770" s="20">
        <v>42973</v>
      </c>
      <c r="D1770" s="20" t="str">
        <f>CONCATENATE(J1770,"-",C1770)</f>
        <v>1059-42973</v>
      </c>
      <c r="E1770" s="20" t="str">
        <f>CONCATENATE(T1770,"-",U1770,"-",C1770)</f>
        <v>SP1-C4-42973</v>
      </c>
      <c r="F1770" s="20" t="s">
        <v>224</v>
      </c>
      <c r="G1770" s="20" t="s">
        <v>278</v>
      </c>
      <c r="H1770" s="16"/>
      <c r="I1770" s="16"/>
      <c r="J1770" s="21">
        <v>1059</v>
      </c>
      <c r="K1770" s="21"/>
      <c r="L1770" s="16"/>
      <c r="M1770" s="21"/>
      <c r="N1770" s="21"/>
      <c r="O1770" s="21"/>
      <c r="P1770" s="16"/>
      <c r="Q1770" s="16"/>
      <c r="R1770" s="16"/>
      <c r="S1770" s="16"/>
      <c r="T1770" s="16" t="s">
        <v>140</v>
      </c>
      <c r="U1770" s="16" t="s">
        <v>229</v>
      </c>
      <c r="V1770" s="16"/>
      <c r="W1770" s="16"/>
      <c r="X1770" s="16"/>
      <c r="Y1770" s="16"/>
      <c r="Z1770" s="16"/>
      <c r="AA1770" s="16"/>
      <c r="AB1770" s="16"/>
      <c r="AC1770" s="16"/>
      <c r="AD1770" s="16"/>
      <c r="AE1770" s="16"/>
      <c r="AF1770" s="16"/>
      <c r="AG1770" s="16"/>
      <c r="AH1770" s="16"/>
      <c r="AI1770" s="16"/>
      <c r="AJ1770" s="16"/>
      <c r="AK1770" s="16"/>
      <c r="AL1770" s="16"/>
      <c r="AM1770" s="16"/>
      <c r="AN1770" s="16"/>
      <c r="AO1770" s="16"/>
      <c r="AP1770" s="16">
        <f>SUM(AL1770:AN1770)</f>
        <v>0</v>
      </c>
      <c r="AQ1770" s="16"/>
      <c r="AR1770" s="16"/>
      <c r="AS1770" s="16"/>
      <c r="AT1770" s="16" t="s">
        <v>285</v>
      </c>
      <c r="AU1770" s="16"/>
      <c r="AV1770" s="16"/>
      <c r="AW1770" s="16"/>
      <c r="AX1770" s="16"/>
      <c r="AZ1770" s="16"/>
      <c r="BA1770" s="16"/>
      <c r="BB1770" s="16"/>
      <c r="BC1770" s="16"/>
      <c r="BD1770" s="16"/>
      <c r="BE1770" s="16"/>
      <c r="BF1770" s="16"/>
      <c r="BG1770" s="77"/>
      <c r="BH1770" s="16"/>
      <c r="BI1770" s="16"/>
      <c r="BJ1770" s="16"/>
      <c r="BK1770" s="16"/>
      <c r="BL1770" s="16"/>
      <c r="BM1770" s="16"/>
      <c r="BN1770" s="16"/>
      <c r="BO1770" s="16"/>
      <c r="BP1770" s="16"/>
      <c r="BQ1770" s="16"/>
      <c r="BR1770" s="16"/>
      <c r="BS1770" s="16"/>
      <c r="BT1770" s="77"/>
      <c r="BU1770" s="16"/>
      <c r="BV1770" s="16"/>
      <c r="BW1770" s="16"/>
      <c r="BX1770" s="16"/>
      <c r="BY1770" s="16"/>
      <c r="BZ1770" s="16"/>
      <c r="CA1770" s="16"/>
      <c r="CB1770" s="16"/>
      <c r="CC1770" s="16"/>
      <c r="CD1770" s="77"/>
      <c r="CE1770" s="16"/>
      <c r="CF1770" s="16"/>
      <c r="CG1770" s="16"/>
      <c r="CH1770" s="16"/>
      <c r="CI1770" s="16"/>
      <c r="CJ1770" s="16"/>
      <c r="CK1770" s="16"/>
      <c r="CL1770" s="16"/>
      <c r="CM1770" s="16"/>
      <c r="CN1770" s="16"/>
      <c r="CO1770" s="16"/>
      <c r="CP1770" s="16"/>
      <c r="CQ1770" s="16"/>
      <c r="CR1770" s="16"/>
      <c r="CS1770" s="16"/>
      <c r="CT1770" s="16"/>
      <c r="CU1770" s="16"/>
      <c r="CV1770" s="16"/>
      <c r="CW1770" s="16"/>
      <c r="CX1770" s="16"/>
      <c r="CY1770" s="16"/>
      <c r="CZ1770" s="16"/>
      <c r="DA1770" s="16"/>
      <c r="DB1770" s="16"/>
      <c r="DC1770" s="16"/>
      <c r="DD1770" s="16"/>
      <c r="DE1770" s="16"/>
      <c r="DF1770" s="16" t="e">
        <f>VLOOKUP(K1770,'[3]RNA Seq summary tables'!$V$3:$V$99,1,FALSE)</f>
        <v>#N/A</v>
      </c>
      <c r="DG1770" s="16"/>
      <c r="DH1770" s="16"/>
      <c r="DI1770" s="16"/>
      <c r="DJ1770" s="16"/>
      <c r="DK1770" s="16"/>
      <c r="DL1770" s="16"/>
      <c r="DM1770" s="16"/>
      <c r="DN1770" s="16"/>
      <c r="DO1770" s="16"/>
      <c r="DP1770" s="16"/>
      <c r="DQ1770" s="16"/>
      <c r="DR1770" s="16"/>
      <c r="DS1770" s="16"/>
      <c r="JP1770" s="27"/>
      <c r="JQ1770" s="27"/>
      <c r="JR1770" s="16"/>
      <c r="JS1770" s="16"/>
      <c r="JT1770" s="16"/>
      <c r="JU1770" s="16"/>
      <c r="JV1770" s="16"/>
      <c r="JW1770" s="16"/>
      <c r="JX1770" s="16"/>
      <c r="JY1770" s="16"/>
      <c r="JZ1770" s="16"/>
      <c r="KA1770" s="16"/>
      <c r="KB1770" s="16"/>
    </row>
    <row r="1771" spans="1:288" s="18" customFormat="1" x14ac:dyDescent="0.2">
      <c r="B1771" s="16">
        <v>2017</v>
      </c>
      <c r="C1771" s="20">
        <v>42974</v>
      </c>
      <c r="D1771" s="20" t="str">
        <f>CONCATENATE(J1771,"-",C1771)</f>
        <v>1059-42974</v>
      </c>
      <c r="E1771" s="20" t="str">
        <f>CONCATENATE(T1771,"-",U1771,"-",C1771)</f>
        <v>SP1-C4-42974</v>
      </c>
      <c r="F1771" s="20" t="s">
        <v>224</v>
      </c>
      <c r="G1771" s="20" t="s">
        <v>278</v>
      </c>
      <c r="H1771" s="16"/>
      <c r="I1771" s="16"/>
      <c r="J1771" s="21">
        <v>1059</v>
      </c>
      <c r="K1771" s="21"/>
      <c r="L1771" s="16"/>
      <c r="M1771" s="21"/>
      <c r="N1771" s="21"/>
      <c r="O1771" s="21"/>
      <c r="P1771" s="16"/>
      <c r="Q1771" s="16"/>
      <c r="R1771" s="16"/>
      <c r="S1771" s="16"/>
      <c r="T1771" s="16" t="s">
        <v>140</v>
      </c>
      <c r="U1771" s="16" t="s">
        <v>229</v>
      </c>
      <c r="V1771" s="16"/>
      <c r="W1771" s="16"/>
      <c r="X1771" s="16"/>
      <c r="Y1771" s="16"/>
      <c r="Z1771" s="16"/>
      <c r="AA1771" s="16"/>
      <c r="AB1771" s="16"/>
      <c r="AC1771" s="16"/>
      <c r="AD1771" s="16"/>
      <c r="AE1771" s="16"/>
      <c r="AF1771" s="16"/>
      <c r="AG1771" s="16"/>
      <c r="AH1771" s="16"/>
      <c r="AI1771" s="16"/>
      <c r="AJ1771" s="16"/>
      <c r="AK1771" s="16"/>
      <c r="AL1771" s="16"/>
      <c r="AM1771" s="16"/>
      <c r="AN1771" s="16"/>
      <c r="AO1771" s="16"/>
      <c r="AP1771" s="16">
        <f>SUM(AL1771:AN1771)</f>
        <v>0</v>
      </c>
      <c r="AQ1771" s="16"/>
      <c r="AR1771" s="16"/>
      <c r="AS1771" s="16"/>
      <c r="AT1771" s="16" t="s">
        <v>285</v>
      </c>
      <c r="AU1771" s="16"/>
      <c r="AV1771" s="16"/>
      <c r="AW1771" s="16"/>
      <c r="AX1771" s="16"/>
      <c r="AZ1771" s="16"/>
      <c r="BA1771" s="16"/>
      <c r="BB1771" s="16"/>
      <c r="BC1771" s="16"/>
      <c r="BD1771" s="16"/>
      <c r="BE1771" s="16"/>
      <c r="BF1771" s="16"/>
      <c r="BG1771" s="77"/>
      <c r="BH1771" s="16"/>
      <c r="BI1771" s="16"/>
      <c r="BJ1771" s="16"/>
      <c r="BK1771" s="16"/>
      <c r="BL1771" s="16"/>
      <c r="BM1771" s="16"/>
      <c r="BN1771" s="16"/>
      <c r="BO1771" s="16"/>
      <c r="BP1771" s="16"/>
      <c r="BQ1771" s="16"/>
      <c r="BR1771" s="16"/>
      <c r="BS1771" s="16"/>
      <c r="BT1771" s="77"/>
      <c r="BU1771" s="16"/>
      <c r="BV1771" s="16"/>
      <c r="BW1771" s="16"/>
      <c r="BX1771" s="16"/>
      <c r="BY1771" s="16"/>
      <c r="BZ1771" s="16"/>
      <c r="CA1771" s="16"/>
      <c r="CB1771" s="16"/>
      <c r="CC1771" s="16"/>
      <c r="CD1771" s="77"/>
      <c r="CE1771" s="16"/>
      <c r="CF1771" s="16"/>
      <c r="CG1771" s="16"/>
      <c r="CH1771" s="16"/>
      <c r="CI1771" s="16"/>
      <c r="CJ1771" s="16"/>
      <c r="CK1771" s="16"/>
      <c r="CL1771" s="16"/>
      <c r="CM1771" s="16"/>
      <c r="CN1771" s="16"/>
      <c r="CO1771" s="16"/>
      <c r="CP1771" s="16"/>
      <c r="CQ1771" s="16"/>
      <c r="CR1771" s="16"/>
      <c r="CS1771" s="16"/>
      <c r="CT1771" s="16"/>
      <c r="CU1771" s="16"/>
      <c r="CV1771" s="16"/>
      <c r="CW1771" s="16"/>
      <c r="CX1771" s="16"/>
      <c r="CY1771" s="16"/>
      <c r="CZ1771" s="16"/>
      <c r="DA1771" s="16"/>
      <c r="DB1771" s="16"/>
      <c r="DC1771" s="16"/>
      <c r="DD1771" s="16"/>
      <c r="DE1771" s="16"/>
      <c r="DF1771" s="16" t="e">
        <f>VLOOKUP(K1771,'[3]RNA Seq summary tables'!$V$3:$V$99,1,FALSE)</f>
        <v>#N/A</v>
      </c>
      <c r="DG1771" s="16"/>
      <c r="DH1771" s="16"/>
      <c r="DI1771" s="16"/>
      <c r="DJ1771" s="16"/>
      <c r="DK1771" s="16"/>
      <c r="DL1771" s="16"/>
      <c r="DM1771" s="16"/>
      <c r="DN1771" s="16"/>
      <c r="DO1771" s="16"/>
      <c r="DP1771" s="16"/>
      <c r="DQ1771" s="16"/>
      <c r="DR1771" s="16"/>
      <c r="DS1771" s="16"/>
      <c r="JP1771" s="16"/>
      <c r="JQ1771" s="16"/>
      <c r="JR1771" s="16"/>
      <c r="JS1771" s="16"/>
      <c r="JT1771" s="16"/>
      <c r="JU1771" s="16"/>
      <c r="JV1771" s="16"/>
      <c r="JW1771" s="16"/>
      <c r="JX1771" s="16"/>
      <c r="JY1771" s="16"/>
      <c r="JZ1771" s="16"/>
      <c r="KA1771" s="16"/>
      <c r="KB1771" s="16"/>
    </row>
    <row r="1772" spans="1:288" s="18" customFormat="1" x14ac:dyDescent="0.2">
      <c r="B1772" s="16">
        <v>2017</v>
      </c>
      <c r="C1772" s="66">
        <v>42894</v>
      </c>
      <c r="D1772" s="66" t="str">
        <f>CONCATENATE(J1772,"-",C1772)</f>
        <v>1063-42894</v>
      </c>
      <c r="E1772" s="20" t="str">
        <f>CONCATENATE(T1772,"-",U1772,"-",C1772)</f>
        <v>PO1-B5-42894</v>
      </c>
      <c r="F1772" s="20" t="s">
        <v>106</v>
      </c>
      <c r="G1772" s="20" t="s">
        <v>278</v>
      </c>
      <c r="H1772" s="16"/>
      <c r="I1772" s="16"/>
      <c r="J1772" s="21">
        <v>1063</v>
      </c>
      <c r="K1772" s="21"/>
      <c r="L1772" s="16"/>
      <c r="M1772" s="21"/>
      <c r="N1772" s="21"/>
      <c r="O1772" s="21"/>
      <c r="P1772" s="16"/>
      <c r="Q1772" s="16"/>
      <c r="R1772" s="16"/>
      <c r="S1772" s="16"/>
      <c r="T1772" s="16" t="s">
        <v>112</v>
      </c>
      <c r="U1772" s="16" t="s">
        <v>160</v>
      </c>
      <c r="V1772" s="16"/>
      <c r="W1772" s="16"/>
      <c r="X1772" s="16"/>
      <c r="Y1772" s="16"/>
      <c r="Z1772" s="16"/>
      <c r="AA1772" s="16"/>
      <c r="AB1772" s="16"/>
      <c r="AC1772" s="16"/>
      <c r="AD1772" s="16"/>
      <c r="AE1772" s="16"/>
      <c r="AF1772" s="16"/>
      <c r="AG1772" s="16"/>
      <c r="AH1772" s="16"/>
      <c r="AI1772" s="16"/>
      <c r="AJ1772" s="16"/>
      <c r="AK1772" s="16"/>
      <c r="AL1772" s="16"/>
      <c r="AM1772" s="16"/>
      <c r="AN1772" s="16"/>
      <c r="AO1772" s="16"/>
      <c r="AP1772" s="16">
        <f>SUM(AL1772:AN1772)</f>
        <v>0</v>
      </c>
      <c r="AQ1772" s="16"/>
      <c r="AR1772" s="16"/>
      <c r="AS1772" s="16"/>
      <c r="AT1772" s="16" t="s">
        <v>285</v>
      </c>
      <c r="AU1772" s="16"/>
      <c r="AV1772" s="16"/>
      <c r="AW1772" s="16"/>
      <c r="AX1772" s="16"/>
      <c r="AZ1772" s="16"/>
      <c r="BA1772" s="16"/>
      <c r="BB1772" s="16"/>
      <c r="BC1772" s="16"/>
      <c r="BD1772" s="16"/>
      <c r="BE1772" s="16"/>
      <c r="BF1772" s="16"/>
      <c r="BG1772" s="77"/>
      <c r="BH1772" s="16"/>
      <c r="BI1772" s="16"/>
      <c r="BJ1772" s="16"/>
      <c r="BK1772" s="16"/>
      <c r="BL1772" s="16"/>
      <c r="BM1772" s="16"/>
      <c r="BN1772" s="16"/>
      <c r="BO1772" s="16"/>
      <c r="BP1772" s="16"/>
      <c r="BQ1772" s="16"/>
      <c r="BR1772" s="16"/>
      <c r="BS1772" s="16"/>
      <c r="BT1772" s="77"/>
      <c r="BU1772" s="16"/>
      <c r="BV1772" s="16"/>
      <c r="BW1772" s="16"/>
      <c r="BX1772" s="16"/>
      <c r="BY1772" s="16"/>
      <c r="BZ1772" s="16"/>
      <c r="CA1772" s="16"/>
      <c r="CB1772" s="16"/>
      <c r="CC1772" s="16"/>
      <c r="CD1772" s="77"/>
      <c r="CE1772" s="16"/>
      <c r="CF1772" s="16"/>
      <c r="CG1772" s="16"/>
      <c r="CH1772" s="16"/>
      <c r="CI1772" s="16"/>
      <c r="CJ1772" s="16"/>
      <c r="CK1772" s="16"/>
      <c r="CL1772" s="16"/>
      <c r="CM1772" s="16"/>
      <c r="CN1772" s="16"/>
      <c r="CO1772" s="16"/>
      <c r="CP1772" s="16"/>
      <c r="CQ1772" s="16"/>
      <c r="CR1772" s="16"/>
      <c r="CS1772" s="16"/>
      <c r="CT1772" s="16"/>
      <c r="CU1772" s="16"/>
      <c r="CV1772" s="16"/>
      <c r="CW1772" s="16"/>
      <c r="CX1772" s="16"/>
      <c r="CY1772" s="16"/>
      <c r="CZ1772" s="16"/>
      <c r="DA1772" s="16"/>
      <c r="DB1772" s="16"/>
      <c r="DC1772" s="16"/>
      <c r="DD1772" s="16"/>
      <c r="DE1772" s="16"/>
      <c r="DF1772" s="16" t="e">
        <f>VLOOKUP(K1772,'[3]RNA Seq summary tables'!$V$3:$V$99,1,FALSE)</f>
        <v>#N/A</v>
      </c>
      <c r="DG1772" s="16"/>
      <c r="DH1772" s="16"/>
      <c r="DI1772" s="16"/>
      <c r="DJ1772" s="16"/>
      <c r="DK1772" s="16"/>
      <c r="DL1772" s="16"/>
      <c r="DM1772" s="16"/>
      <c r="DN1772" s="16"/>
      <c r="DO1772" s="16"/>
      <c r="DP1772" s="16"/>
      <c r="DQ1772" s="16"/>
      <c r="DR1772" s="16"/>
      <c r="DS1772" s="16"/>
      <c r="JO1772" s="16"/>
      <c r="JP1772" s="16"/>
      <c r="JQ1772" s="16"/>
      <c r="JR1772" s="27"/>
      <c r="JS1772" s="27"/>
      <c r="JT1772" s="27"/>
      <c r="JU1772" s="27"/>
      <c r="JV1772" s="27"/>
      <c r="JW1772" s="27"/>
      <c r="JX1772" s="27"/>
      <c r="JY1772" s="27"/>
      <c r="JZ1772" s="27"/>
      <c r="KA1772" s="27"/>
      <c r="KB1772" s="27"/>
    </row>
    <row r="1773" spans="1:288" s="18" customFormat="1" x14ac:dyDescent="0.2">
      <c r="B1773" s="16">
        <v>2017</v>
      </c>
      <c r="C1773" s="66">
        <v>42895</v>
      </c>
      <c r="D1773" s="66" t="str">
        <f>CONCATENATE(J1773,"-",C1773)</f>
        <v>1063-42895</v>
      </c>
      <c r="E1773" s="20" t="str">
        <f>CONCATENATE(T1773,"-",U1773,"-",C1773)</f>
        <v>PO1-B4-42895</v>
      </c>
      <c r="F1773" s="20" t="s">
        <v>106</v>
      </c>
      <c r="G1773" s="20" t="s">
        <v>278</v>
      </c>
      <c r="H1773" s="16"/>
      <c r="I1773" s="16"/>
      <c r="J1773" s="21">
        <v>1063</v>
      </c>
      <c r="K1773" s="21"/>
      <c r="L1773" s="16"/>
      <c r="M1773" s="21"/>
      <c r="N1773" s="21"/>
      <c r="O1773" s="21"/>
      <c r="P1773" s="16"/>
      <c r="Q1773" s="16"/>
      <c r="R1773" s="16"/>
      <c r="S1773" s="16"/>
      <c r="T1773" s="16" t="s">
        <v>112</v>
      </c>
      <c r="U1773" s="16" t="s">
        <v>144</v>
      </c>
      <c r="V1773" s="16"/>
      <c r="W1773" s="16"/>
      <c r="X1773" s="16"/>
      <c r="Y1773" s="16"/>
      <c r="Z1773" s="16"/>
      <c r="AA1773" s="16"/>
      <c r="AB1773" s="16"/>
      <c r="AC1773" s="16"/>
      <c r="AD1773" s="16"/>
      <c r="AE1773" s="16"/>
      <c r="AF1773" s="16"/>
      <c r="AG1773" s="16"/>
      <c r="AH1773" s="16"/>
      <c r="AI1773" s="16"/>
      <c r="AJ1773" s="16"/>
      <c r="AK1773" s="16"/>
      <c r="AL1773" s="16"/>
      <c r="AM1773" s="16"/>
      <c r="AN1773" s="16"/>
      <c r="AO1773" s="16"/>
      <c r="AP1773" s="16">
        <f>SUM(AL1773:AN1773)</f>
        <v>0</v>
      </c>
      <c r="AQ1773" s="16"/>
      <c r="AR1773" s="16"/>
      <c r="AS1773" s="16"/>
      <c r="AT1773" s="16" t="s">
        <v>285</v>
      </c>
      <c r="AU1773" s="16"/>
      <c r="AV1773" s="16"/>
      <c r="AW1773" s="16"/>
      <c r="AX1773" s="16"/>
      <c r="AZ1773" s="16"/>
      <c r="BA1773" s="16"/>
      <c r="BB1773" s="16"/>
      <c r="BC1773" s="16"/>
      <c r="BD1773" s="16"/>
      <c r="BE1773" s="16"/>
      <c r="BF1773" s="16"/>
      <c r="BG1773" s="77"/>
      <c r="BH1773" s="16"/>
      <c r="BI1773" s="16"/>
      <c r="BJ1773" s="16"/>
      <c r="BK1773" s="16"/>
      <c r="BL1773" s="16"/>
      <c r="BM1773" s="16"/>
      <c r="BN1773" s="16"/>
      <c r="BO1773" s="16"/>
      <c r="BP1773" s="16"/>
      <c r="BQ1773" s="16"/>
      <c r="BR1773" s="16"/>
      <c r="BS1773" s="16"/>
      <c r="BT1773" s="77"/>
      <c r="BU1773" s="16"/>
      <c r="BV1773" s="16"/>
      <c r="BW1773" s="16"/>
      <c r="BX1773" s="16"/>
      <c r="BY1773" s="16"/>
      <c r="BZ1773" s="16"/>
      <c r="CA1773" s="16"/>
      <c r="CB1773" s="16"/>
      <c r="CC1773" s="16"/>
      <c r="CD1773" s="77"/>
      <c r="CE1773" s="16"/>
      <c r="CF1773" s="16"/>
      <c r="CG1773" s="16"/>
      <c r="CH1773" s="16"/>
      <c r="CI1773" s="16"/>
      <c r="CJ1773" s="16"/>
      <c r="CK1773" s="16"/>
      <c r="CL1773" s="16"/>
      <c r="CM1773" s="16"/>
      <c r="CN1773" s="16"/>
      <c r="CO1773" s="16"/>
      <c r="CP1773" s="16"/>
      <c r="CQ1773" s="16"/>
      <c r="CR1773" s="16"/>
      <c r="CS1773" s="16"/>
      <c r="CT1773" s="16"/>
      <c r="CU1773" s="16"/>
      <c r="CV1773" s="16"/>
      <c r="CW1773" s="16"/>
      <c r="CX1773" s="16"/>
      <c r="CY1773" s="16"/>
      <c r="CZ1773" s="16"/>
      <c r="DA1773" s="16"/>
      <c r="DB1773" s="16"/>
      <c r="DC1773" s="16"/>
      <c r="DD1773" s="16"/>
      <c r="DE1773" s="16"/>
      <c r="DF1773" s="16" t="e">
        <f>VLOOKUP(K1773,'[3]RNA Seq summary tables'!$V$3:$V$99,1,FALSE)</f>
        <v>#N/A</v>
      </c>
      <c r="DG1773" s="16"/>
      <c r="DH1773" s="16"/>
      <c r="DI1773" s="16"/>
      <c r="DJ1773" s="16"/>
      <c r="DK1773" s="16"/>
      <c r="DL1773" s="16"/>
      <c r="DM1773" s="16"/>
      <c r="DN1773" s="16"/>
      <c r="DO1773" s="16"/>
      <c r="DP1773" s="16"/>
      <c r="DQ1773" s="16"/>
      <c r="DR1773" s="16"/>
      <c r="DS1773" s="16"/>
      <c r="JP1773" s="16"/>
      <c r="JQ1773" s="16"/>
      <c r="JR1773" s="16"/>
      <c r="JS1773" s="16"/>
      <c r="JT1773" s="16"/>
      <c r="JU1773" s="16"/>
      <c r="JV1773" s="16"/>
      <c r="JW1773" s="16"/>
      <c r="JX1773" s="16"/>
      <c r="JY1773" s="16"/>
      <c r="JZ1773" s="16"/>
      <c r="KA1773" s="16"/>
      <c r="KB1773" s="16"/>
    </row>
    <row r="1774" spans="1:288" s="18" customFormat="1" x14ac:dyDescent="0.2">
      <c r="B1774" s="16">
        <v>2017</v>
      </c>
      <c r="C1774" s="20">
        <v>42912</v>
      </c>
      <c r="D1774" s="20" t="str">
        <f>CONCATENATE(J1774,"-",C1774)</f>
        <v>1063-42912</v>
      </c>
      <c r="E1774" s="20" t="str">
        <f>CONCATENATE(T1774,"-",U1774,"-",C1774)</f>
        <v>PO1-A1-42912</v>
      </c>
      <c r="F1774" s="20" t="s">
        <v>106</v>
      </c>
      <c r="G1774" s="20" t="s">
        <v>278</v>
      </c>
      <c r="H1774" s="16"/>
      <c r="I1774" s="16"/>
      <c r="J1774" s="21">
        <v>1063</v>
      </c>
      <c r="K1774" s="21"/>
      <c r="L1774" s="16"/>
      <c r="M1774" s="21"/>
      <c r="N1774" s="21"/>
      <c r="O1774" s="21"/>
      <c r="P1774" s="16"/>
      <c r="Q1774" s="16"/>
      <c r="R1774" s="16"/>
      <c r="S1774" s="16"/>
      <c r="T1774" s="16" t="s">
        <v>112</v>
      </c>
      <c r="U1774" s="16" t="s">
        <v>210</v>
      </c>
      <c r="V1774" s="16"/>
      <c r="W1774" s="16"/>
      <c r="X1774" s="16"/>
      <c r="Y1774" s="16"/>
      <c r="Z1774" s="16"/>
      <c r="AA1774" s="16"/>
      <c r="AB1774" s="16"/>
      <c r="AC1774" s="16"/>
      <c r="AD1774" s="16"/>
      <c r="AE1774" s="16"/>
      <c r="AF1774" s="16"/>
      <c r="AG1774" s="16"/>
      <c r="AH1774" s="16"/>
      <c r="AI1774" s="16"/>
      <c r="AJ1774" s="16"/>
      <c r="AK1774" s="16"/>
      <c r="AL1774" s="16"/>
      <c r="AM1774" s="16"/>
      <c r="AN1774" s="16"/>
      <c r="AO1774" s="16"/>
      <c r="AP1774" s="16">
        <f>SUM(AL1774:AN1774)</f>
        <v>0</v>
      </c>
      <c r="AQ1774" s="16"/>
      <c r="AR1774" s="16"/>
      <c r="AS1774" s="16"/>
      <c r="AT1774" s="16" t="s">
        <v>285</v>
      </c>
      <c r="AU1774" s="16"/>
      <c r="AV1774" s="16"/>
      <c r="AW1774" s="16"/>
      <c r="AX1774" s="16"/>
      <c r="AZ1774" s="16"/>
      <c r="BA1774" s="16"/>
      <c r="BB1774" s="16"/>
      <c r="BC1774" s="16"/>
      <c r="BD1774" s="16"/>
      <c r="BE1774" s="16"/>
      <c r="BF1774" s="16"/>
      <c r="BG1774" s="77"/>
      <c r="BH1774" s="16"/>
      <c r="BI1774" s="16"/>
      <c r="BJ1774" s="16"/>
      <c r="BK1774" s="16"/>
      <c r="BL1774" s="16"/>
      <c r="BM1774" s="16"/>
      <c r="BN1774" s="16"/>
      <c r="BO1774" s="16"/>
      <c r="BP1774" s="16"/>
      <c r="BQ1774" s="16"/>
      <c r="BR1774" s="16"/>
      <c r="BS1774" s="16"/>
      <c r="BT1774" s="77"/>
      <c r="BU1774" s="16"/>
      <c r="BV1774" s="16"/>
      <c r="BW1774" s="16"/>
      <c r="BX1774" s="16"/>
      <c r="BY1774" s="16"/>
      <c r="BZ1774" s="16"/>
      <c r="CA1774" s="16"/>
      <c r="CB1774" s="16"/>
      <c r="CC1774" s="16"/>
      <c r="CD1774" s="77"/>
      <c r="CE1774" s="16"/>
      <c r="CF1774" s="16"/>
      <c r="CG1774" s="16"/>
      <c r="CH1774" s="16"/>
      <c r="CI1774" s="16"/>
      <c r="CJ1774" s="16"/>
      <c r="CK1774" s="16"/>
      <c r="CL1774" s="16"/>
      <c r="CM1774" s="16"/>
      <c r="CN1774" s="16"/>
      <c r="CO1774" s="16"/>
      <c r="CP1774" s="16"/>
      <c r="CQ1774" s="16"/>
      <c r="CR1774" s="16"/>
      <c r="CS1774" s="16"/>
      <c r="CT1774" s="16"/>
      <c r="CU1774" s="16"/>
      <c r="CV1774" s="16"/>
      <c r="CW1774" s="16"/>
      <c r="CX1774" s="16"/>
      <c r="CY1774" s="16"/>
      <c r="CZ1774" s="16"/>
      <c r="DA1774" s="16"/>
      <c r="DB1774" s="16"/>
      <c r="DC1774" s="16"/>
      <c r="DD1774" s="16"/>
      <c r="DE1774" s="16"/>
      <c r="DF1774" s="16" t="e">
        <f>VLOOKUP(K1774,'[3]RNA Seq summary tables'!$V$3:$V$99,1,FALSE)</f>
        <v>#N/A</v>
      </c>
      <c r="DG1774" s="16"/>
      <c r="DH1774" s="16"/>
      <c r="DI1774" s="16"/>
      <c r="DJ1774" s="16"/>
      <c r="DK1774" s="16"/>
      <c r="DL1774" s="16"/>
      <c r="DM1774" s="16"/>
      <c r="DN1774" s="16"/>
      <c r="DO1774" s="16"/>
      <c r="DP1774" s="16"/>
      <c r="DQ1774" s="16"/>
      <c r="DR1774" s="16"/>
      <c r="DS1774" s="16"/>
      <c r="JO1774" s="16"/>
      <c r="JP1774" s="16"/>
      <c r="JQ1774" s="16"/>
      <c r="JR1774" s="27"/>
      <c r="JS1774" s="27"/>
      <c r="JT1774" s="27"/>
      <c r="JU1774" s="27"/>
      <c r="JV1774" s="27"/>
      <c r="JW1774" s="27"/>
      <c r="JX1774" s="27"/>
      <c r="JY1774" s="27"/>
      <c r="JZ1774" s="27"/>
      <c r="KA1774" s="27"/>
      <c r="KB1774" s="27"/>
    </row>
    <row r="1775" spans="1:288" s="18" customFormat="1" x14ac:dyDescent="0.2">
      <c r="B1775" s="16">
        <v>2017</v>
      </c>
      <c r="C1775" s="20">
        <v>42913</v>
      </c>
      <c r="D1775" s="20" t="str">
        <f>CONCATENATE(J1775,"-",C1775)</f>
        <v>1063-42913</v>
      </c>
      <c r="E1775" s="20" t="str">
        <f>CONCATENATE(T1775,"-",U1775,"-",C1775)</f>
        <v>PO1-A1-42913</v>
      </c>
      <c r="F1775" s="20" t="s">
        <v>106</v>
      </c>
      <c r="G1775" s="20" t="s">
        <v>278</v>
      </c>
      <c r="H1775" s="16"/>
      <c r="I1775" s="16"/>
      <c r="J1775" s="21">
        <v>1063</v>
      </c>
      <c r="K1775" s="21"/>
      <c r="L1775" s="16"/>
      <c r="M1775" s="21"/>
      <c r="N1775" s="21"/>
      <c r="O1775" s="21"/>
      <c r="P1775" s="16"/>
      <c r="Q1775" s="16"/>
      <c r="R1775" s="16"/>
      <c r="S1775" s="16"/>
      <c r="T1775" s="16" t="s">
        <v>112</v>
      </c>
      <c r="U1775" s="16" t="s">
        <v>210</v>
      </c>
      <c r="V1775" s="16"/>
      <c r="W1775" s="16"/>
      <c r="X1775" s="16"/>
      <c r="Y1775" s="16"/>
      <c r="Z1775" s="16"/>
      <c r="AA1775" s="16"/>
      <c r="AB1775" s="16"/>
      <c r="AC1775" s="16"/>
      <c r="AD1775" s="16"/>
      <c r="AE1775" s="16"/>
      <c r="AF1775" s="16"/>
      <c r="AG1775" s="16"/>
      <c r="AH1775" s="16"/>
      <c r="AI1775" s="16"/>
      <c r="AJ1775" s="16"/>
      <c r="AK1775" s="16"/>
      <c r="AL1775" s="16"/>
      <c r="AM1775" s="16"/>
      <c r="AN1775" s="16"/>
      <c r="AO1775" s="16"/>
      <c r="AP1775" s="16">
        <f>SUM(AL1775:AN1775)</f>
        <v>0</v>
      </c>
      <c r="AQ1775" s="16"/>
      <c r="AR1775" s="16"/>
      <c r="AS1775" s="16"/>
      <c r="AT1775" s="16" t="s">
        <v>285</v>
      </c>
      <c r="AU1775" s="16"/>
      <c r="AV1775" s="16"/>
      <c r="AW1775" s="16"/>
      <c r="AX1775" s="16"/>
      <c r="AZ1775" s="16"/>
      <c r="BA1775" s="16"/>
      <c r="BB1775" s="16"/>
      <c r="BC1775" s="16"/>
      <c r="BD1775" s="16"/>
      <c r="BE1775" s="16"/>
      <c r="BF1775" s="16"/>
      <c r="BG1775" s="77"/>
      <c r="BH1775" s="16"/>
      <c r="BI1775" s="16"/>
      <c r="BJ1775" s="16"/>
      <c r="BK1775" s="16"/>
      <c r="BL1775" s="16"/>
      <c r="BM1775" s="16"/>
      <c r="BN1775" s="16"/>
      <c r="BO1775" s="16"/>
      <c r="BP1775" s="16"/>
      <c r="BQ1775" s="16"/>
      <c r="BR1775" s="16"/>
      <c r="BS1775" s="16"/>
      <c r="BT1775" s="77"/>
      <c r="BU1775" s="16"/>
      <c r="BV1775" s="16"/>
      <c r="BW1775" s="16"/>
      <c r="BX1775" s="16"/>
      <c r="BY1775" s="16"/>
      <c r="BZ1775" s="16"/>
      <c r="CA1775" s="16"/>
      <c r="CB1775" s="16"/>
      <c r="CC1775" s="16"/>
      <c r="CD1775" s="77"/>
      <c r="CE1775" s="16"/>
      <c r="CF1775" s="16"/>
      <c r="CG1775" s="16"/>
      <c r="CH1775" s="16"/>
      <c r="CI1775" s="16"/>
      <c r="CJ1775" s="16"/>
      <c r="CK1775" s="16"/>
      <c r="CL1775" s="16"/>
      <c r="CM1775" s="16"/>
      <c r="CN1775" s="16"/>
      <c r="CO1775" s="16"/>
      <c r="CP1775" s="16"/>
      <c r="CQ1775" s="16"/>
      <c r="CR1775" s="16"/>
      <c r="CS1775" s="16"/>
      <c r="CT1775" s="16"/>
      <c r="CU1775" s="16"/>
      <c r="CV1775" s="16"/>
      <c r="CW1775" s="16"/>
      <c r="CX1775" s="16"/>
      <c r="CY1775" s="16"/>
      <c r="CZ1775" s="16"/>
      <c r="DA1775" s="16"/>
      <c r="DB1775" s="16"/>
      <c r="DC1775" s="16"/>
      <c r="DD1775" s="16"/>
      <c r="DE1775" s="16"/>
      <c r="DF1775" s="16" t="e">
        <f>VLOOKUP(K1775,'[3]RNA Seq summary tables'!$V$3:$V$99,1,FALSE)</f>
        <v>#N/A</v>
      </c>
      <c r="DG1775" s="16"/>
      <c r="DH1775" s="16"/>
      <c r="DI1775" s="16"/>
      <c r="DJ1775" s="16"/>
      <c r="DK1775" s="16"/>
      <c r="DL1775" s="16"/>
      <c r="DM1775" s="16"/>
      <c r="DN1775" s="16"/>
      <c r="DO1775" s="16"/>
      <c r="DP1775" s="16"/>
      <c r="DQ1775" s="16"/>
      <c r="DR1775" s="16"/>
      <c r="DS1775" s="16"/>
      <c r="JO1775" s="16"/>
      <c r="JP1775" s="16"/>
      <c r="JQ1775" s="16"/>
      <c r="JR1775" s="16"/>
      <c r="JS1775" s="16"/>
      <c r="JT1775" s="16"/>
      <c r="JU1775" s="16"/>
      <c r="JV1775" s="16"/>
      <c r="JW1775" s="16"/>
      <c r="JX1775" s="16"/>
      <c r="JY1775" s="16"/>
      <c r="JZ1775" s="16"/>
      <c r="KA1775" s="16"/>
      <c r="KB1775" s="16"/>
    </row>
    <row r="1776" spans="1:288" s="18" customFormat="1" x14ac:dyDescent="0.2">
      <c r="B1776" s="16">
        <v>2017</v>
      </c>
      <c r="C1776" s="20">
        <v>42928</v>
      </c>
      <c r="D1776" s="20" t="str">
        <f>CONCATENATE(J1776,"-",C1776)</f>
        <v>1063-42928</v>
      </c>
      <c r="E1776" s="20" t="str">
        <f>CONCATENATE(T1776,"-",U1776,"-",C1776)</f>
        <v>PO1-B4-42928</v>
      </c>
      <c r="F1776" s="20" t="s">
        <v>106</v>
      </c>
      <c r="G1776" s="20" t="s">
        <v>278</v>
      </c>
      <c r="H1776" s="16"/>
      <c r="I1776" s="16"/>
      <c r="J1776" s="21">
        <v>1063</v>
      </c>
      <c r="K1776" s="21"/>
      <c r="L1776" s="16"/>
      <c r="M1776" s="21"/>
      <c r="N1776" s="21"/>
      <c r="O1776" s="21"/>
      <c r="P1776" s="16"/>
      <c r="Q1776" s="16"/>
      <c r="R1776" s="16"/>
      <c r="S1776" s="16"/>
      <c r="T1776" s="16" t="s">
        <v>112</v>
      </c>
      <c r="U1776" s="16" t="s">
        <v>144</v>
      </c>
      <c r="V1776" s="16"/>
      <c r="W1776" s="16"/>
      <c r="X1776" s="16"/>
      <c r="Y1776" s="16"/>
      <c r="Z1776" s="16"/>
      <c r="AA1776" s="16"/>
      <c r="AB1776" s="16"/>
      <c r="AC1776" s="16"/>
      <c r="AD1776" s="16"/>
      <c r="AE1776" s="16"/>
      <c r="AF1776" s="16"/>
      <c r="AG1776" s="16"/>
      <c r="AH1776" s="16"/>
      <c r="AI1776" s="16"/>
      <c r="AJ1776" s="16"/>
      <c r="AK1776" s="16"/>
      <c r="AL1776" s="16"/>
      <c r="AM1776" s="16"/>
      <c r="AN1776" s="16"/>
      <c r="AO1776" s="16"/>
      <c r="AP1776" s="16">
        <f>SUM(AL1776:AN1776)</f>
        <v>0</v>
      </c>
      <c r="AQ1776" s="16"/>
      <c r="AR1776" s="16"/>
      <c r="AS1776" s="16"/>
      <c r="AT1776" s="16" t="s">
        <v>285</v>
      </c>
      <c r="AU1776" s="16"/>
      <c r="AV1776" s="16"/>
      <c r="AW1776" s="16"/>
      <c r="AX1776" s="16"/>
      <c r="AZ1776" s="16"/>
      <c r="BA1776" s="16"/>
      <c r="BB1776" s="16"/>
      <c r="BC1776" s="16"/>
      <c r="BD1776" s="16"/>
      <c r="BE1776" s="16"/>
      <c r="BF1776" s="16"/>
      <c r="BG1776" s="77"/>
      <c r="BH1776" s="16"/>
      <c r="BI1776" s="16"/>
      <c r="BJ1776" s="16"/>
      <c r="BK1776" s="16"/>
      <c r="BL1776" s="16"/>
      <c r="BM1776" s="16"/>
      <c r="BN1776" s="16"/>
      <c r="BO1776" s="16"/>
      <c r="BP1776" s="16"/>
      <c r="BQ1776" s="16"/>
      <c r="BR1776" s="16"/>
      <c r="BS1776" s="16"/>
      <c r="BT1776" s="77"/>
      <c r="BU1776" s="16"/>
      <c r="BV1776" s="16"/>
      <c r="BW1776" s="16"/>
      <c r="BX1776" s="16"/>
      <c r="BY1776" s="16"/>
      <c r="BZ1776" s="16"/>
      <c r="CA1776" s="16"/>
      <c r="CB1776" s="16"/>
      <c r="CC1776" s="16"/>
      <c r="CD1776" s="77"/>
      <c r="CE1776" s="16"/>
      <c r="CF1776" s="16"/>
      <c r="CG1776" s="16"/>
      <c r="CH1776" s="16"/>
      <c r="CI1776" s="16"/>
      <c r="CJ1776" s="16"/>
      <c r="CK1776" s="16"/>
      <c r="CL1776" s="16"/>
      <c r="CM1776" s="16"/>
      <c r="CN1776" s="16"/>
      <c r="CO1776" s="16"/>
      <c r="CP1776" s="16"/>
      <c r="CQ1776" s="16"/>
      <c r="CR1776" s="16"/>
      <c r="CS1776" s="16"/>
      <c r="CT1776" s="16"/>
      <c r="CU1776" s="16"/>
      <c r="CV1776" s="16"/>
      <c r="CW1776" s="16"/>
      <c r="CX1776" s="16"/>
      <c r="CY1776" s="16"/>
      <c r="CZ1776" s="16"/>
      <c r="DA1776" s="16"/>
      <c r="DB1776" s="16"/>
      <c r="DC1776" s="16"/>
      <c r="DD1776" s="16"/>
      <c r="DE1776" s="16"/>
      <c r="DF1776" s="16" t="e">
        <f>VLOOKUP(K1776,'[3]RNA Seq summary tables'!$V$3:$V$99,1,FALSE)</f>
        <v>#N/A</v>
      </c>
      <c r="DG1776" s="16"/>
      <c r="DH1776" s="16"/>
      <c r="DI1776" s="16"/>
      <c r="DJ1776" s="16"/>
      <c r="DK1776" s="16"/>
      <c r="DL1776" s="16"/>
      <c r="DM1776" s="16"/>
      <c r="DN1776" s="16"/>
      <c r="DO1776" s="16"/>
      <c r="DP1776" s="16"/>
      <c r="DQ1776" s="16"/>
      <c r="DR1776" s="16"/>
      <c r="DS1776" s="16"/>
      <c r="JO1776" s="16"/>
      <c r="JP1776" s="16"/>
      <c r="JQ1776" s="16"/>
      <c r="JR1776" s="27"/>
      <c r="JS1776" s="27"/>
      <c r="JT1776" s="27"/>
      <c r="JU1776" s="27"/>
      <c r="JV1776" s="27"/>
      <c r="JW1776" s="27"/>
      <c r="JX1776" s="27"/>
      <c r="JY1776" s="27"/>
      <c r="JZ1776" s="27"/>
      <c r="KA1776" s="27"/>
      <c r="KB1776" s="27"/>
    </row>
    <row r="1777" spans="2:288" s="18" customFormat="1" x14ac:dyDescent="0.2">
      <c r="B1777" s="16">
        <v>2017</v>
      </c>
      <c r="C1777" s="20">
        <v>42929</v>
      </c>
      <c r="D1777" s="20" t="str">
        <f>CONCATENATE(J1777,"-",C1777)</f>
        <v>1063-42929</v>
      </c>
      <c r="E1777" s="20" t="str">
        <f>CONCATENATE(T1777,"-",U1777,"-",C1777)</f>
        <v>PO1-A1-42929</v>
      </c>
      <c r="F1777" s="20" t="s">
        <v>106</v>
      </c>
      <c r="G1777" s="20" t="s">
        <v>278</v>
      </c>
      <c r="H1777" s="16"/>
      <c r="I1777" s="16"/>
      <c r="J1777" s="21">
        <v>1063</v>
      </c>
      <c r="K1777" s="21"/>
      <c r="L1777" s="16"/>
      <c r="M1777" s="21"/>
      <c r="N1777" s="21"/>
      <c r="O1777" s="21"/>
      <c r="P1777" s="16"/>
      <c r="Q1777" s="16"/>
      <c r="R1777" s="16"/>
      <c r="S1777" s="16"/>
      <c r="T1777" s="16" t="s">
        <v>112</v>
      </c>
      <c r="U1777" s="16" t="s">
        <v>210</v>
      </c>
      <c r="V1777" s="16"/>
      <c r="W1777" s="16"/>
      <c r="X1777" s="16"/>
      <c r="Y1777" s="16"/>
      <c r="Z1777" s="16"/>
      <c r="AA1777" s="16"/>
      <c r="AB1777" s="16"/>
      <c r="AC1777" s="16"/>
      <c r="AD1777" s="16"/>
      <c r="AE1777" s="16"/>
      <c r="AF1777" s="16"/>
      <c r="AG1777" s="16"/>
      <c r="AH1777" s="16"/>
      <c r="AI1777" s="16"/>
      <c r="AJ1777" s="16"/>
      <c r="AK1777" s="16"/>
      <c r="AL1777" s="16"/>
      <c r="AM1777" s="16"/>
      <c r="AN1777" s="16"/>
      <c r="AO1777" s="16"/>
      <c r="AP1777" s="16">
        <f>SUM(AL1777:AN1777)</f>
        <v>0</v>
      </c>
      <c r="AQ1777" s="16"/>
      <c r="AR1777" s="16"/>
      <c r="AS1777" s="16"/>
      <c r="AT1777" s="16" t="s">
        <v>285</v>
      </c>
      <c r="AU1777" s="16"/>
      <c r="AV1777" s="16"/>
      <c r="AW1777" s="16"/>
      <c r="AX1777" s="16"/>
      <c r="AZ1777" s="16"/>
      <c r="BA1777" s="16"/>
      <c r="BB1777" s="16"/>
      <c r="BC1777" s="16"/>
      <c r="BD1777" s="16"/>
      <c r="BE1777" s="16"/>
      <c r="BF1777" s="16"/>
      <c r="BG1777" s="77"/>
      <c r="BH1777" s="16"/>
      <c r="BI1777" s="16"/>
      <c r="BJ1777" s="16"/>
      <c r="BK1777" s="16"/>
      <c r="BL1777" s="16"/>
      <c r="BM1777" s="16"/>
      <c r="BN1777" s="16"/>
      <c r="BO1777" s="16"/>
      <c r="BP1777" s="16"/>
      <c r="BQ1777" s="16"/>
      <c r="BR1777" s="16"/>
      <c r="BS1777" s="16"/>
      <c r="BT1777" s="77"/>
      <c r="BU1777" s="16"/>
      <c r="BV1777" s="16"/>
      <c r="BW1777" s="16"/>
      <c r="BX1777" s="16"/>
      <c r="BY1777" s="16"/>
      <c r="BZ1777" s="16"/>
      <c r="CA1777" s="16"/>
      <c r="CB1777" s="16"/>
      <c r="CC1777" s="16"/>
      <c r="CD1777" s="77"/>
      <c r="CE1777" s="16"/>
      <c r="CF1777" s="16"/>
      <c r="CG1777" s="16"/>
      <c r="CH1777" s="16"/>
      <c r="CI1777" s="16"/>
      <c r="CJ1777" s="16"/>
      <c r="CK1777" s="16"/>
      <c r="CL1777" s="16"/>
      <c r="CM1777" s="16"/>
      <c r="CN1777" s="16"/>
      <c r="CO1777" s="16"/>
      <c r="CP1777" s="16"/>
      <c r="CQ1777" s="16"/>
      <c r="CR1777" s="16"/>
      <c r="CS1777" s="16"/>
      <c r="CT1777" s="16"/>
      <c r="CU1777" s="16"/>
      <c r="CV1777" s="16"/>
      <c r="CW1777" s="16"/>
      <c r="CX1777" s="16"/>
      <c r="CY1777" s="16"/>
      <c r="CZ1777" s="16"/>
      <c r="DA1777" s="16"/>
      <c r="DB1777" s="16"/>
      <c r="DC1777" s="16"/>
      <c r="DD1777" s="16"/>
      <c r="DE1777" s="16"/>
      <c r="DF1777" s="16" t="e">
        <f>VLOOKUP(K1777,'[3]RNA Seq summary tables'!$V$3:$V$99,1,FALSE)</f>
        <v>#N/A</v>
      </c>
      <c r="DG1777" s="16"/>
      <c r="DH1777" s="16"/>
      <c r="DI1777" s="16"/>
      <c r="DJ1777" s="16"/>
      <c r="DK1777" s="16"/>
      <c r="DL1777" s="16"/>
      <c r="DM1777" s="16"/>
      <c r="DN1777" s="16"/>
      <c r="DO1777" s="16"/>
      <c r="DP1777" s="16"/>
      <c r="DQ1777" s="16"/>
      <c r="DR1777" s="16"/>
      <c r="DS1777" s="16"/>
      <c r="JP1777" s="16"/>
      <c r="JQ1777" s="16"/>
      <c r="JR1777" s="27"/>
      <c r="JS1777" s="27"/>
      <c r="JT1777" s="27"/>
      <c r="JU1777" s="27"/>
      <c r="JV1777" s="27"/>
      <c r="JW1777" s="27"/>
      <c r="JX1777" s="27"/>
      <c r="JY1777" s="27"/>
      <c r="JZ1777" s="27"/>
      <c r="KA1777" s="27"/>
      <c r="KB1777" s="27"/>
    </row>
    <row r="1778" spans="2:288" s="18" customFormat="1" x14ac:dyDescent="0.2">
      <c r="B1778" s="16">
        <v>2017</v>
      </c>
      <c r="C1778" s="20">
        <v>42946</v>
      </c>
      <c r="D1778" s="20" t="str">
        <f>CONCATENATE(J1778,"-",C1778)</f>
        <v>1063-42946</v>
      </c>
      <c r="E1778" s="20" t="str">
        <f>CONCATENATE(T1778,"-",U1778,"-",C1778)</f>
        <v>PO1-A3-42946</v>
      </c>
      <c r="F1778" s="20" t="s">
        <v>106</v>
      </c>
      <c r="G1778" s="20" t="s">
        <v>278</v>
      </c>
      <c r="H1778" s="16"/>
      <c r="I1778" s="16"/>
      <c r="J1778" s="21">
        <v>1063</v>
      </c>
      <c r="K1778" s="21"/>
      <c r="L1778" s="16"/>
      <c r="M1778" s="21"/>
      <c r="N1778" s="21"/>
      <c r="O1778" s="21"/>
      <c r="P1778" s="16"/>
      <c r="Q1778" s="16"/>
      <c r="R1778" s="16"/>
      <c r="S1778" s="16"/>
      <c r="T1778" s="16" t="s">
        <v>112</v>
      </c>
      <c r="U1778" s="16" t="s">
        <v>201</v>
      </c>
      <c r="V1778" s="16"/>
      <c r="W1778" s="16"/>
      <c r="X1778" s="16"/>
      <c r="Y1778" s="16"/>
      <c r="Z1778" s="16"/>
      <c r="AA1778" s="16"/>
      <c r="AB1778" s="16"/>
      <c r="AC1778" s="16"/>
      <c r="AD1778" s="16"/>
      <c r="AE1778" s="16"/>
      <c r="AF1778" s="16"/>
      <c r="AG1778" s="16"/>
      <c r="AH1778" s="16"/>
      <c r="AI1778" s="16"/>
      <c r="AJ1778" s="16"/>
      <c r="AK1778" s="16"/>
      <c r="AL1778" s="16"/>
      <c r="AM1778" s="16"/>
      <c r="AN1778" s="16"/>
      <c r="AO1778" s="16"/>
      <c r="AP1778" s="16">
        <f>SUM(AL1778:AN1778)</f>
        <v>0</v>
      </c>
      <c r="AQ1778" s="16"/>
      <c r="AR1778" s="16"/>
      <c r="AS1778" s="16"/>
      <c r="AT1778" s="16" t="s">
        <v>285</v>
      </c>
      <c r="AU1778" s="16"/>
      <c r="AV1778" s="16"/>
      <c r="AW1778" s="16"/>
      <c r="AX1778" s="16"/>
      <c r="AZ1778" s="16"/>
      <c r="BA1778" s="16"/>
      <c r="BB1778" s="16"/>
      <c r="BC1778" s="16"/>
      <c r="BD1778" s="16"/>
      <c r="BE1778" s="16"/>
      <c r="BF1778" s="16"/>
      <c r="BG1778" s="77"/>
      <c r="BH1778" s="16"/>
      <c r="BI1778" s="16"/>
      <c r="BJ1778" s="16"/>
      <c r="BK1778" s="16"/>
      <c r="BL1778" s="16"/>
      <c r="BM1778" s="16"/>
      <c r="BN1778" s="16"/>
      <c r="BO1778" s="16"/>
      <c r="BP1778" s="16"/>
      <c r="BQ1778" s="16"/>
      <c r="BR1778" s="16"/>
      <c r="BS1778" s="16"/>
      <c r="BT1778" s="77"/>
      <c r="BU1778" s="16"/>
      <c r="BV1778" s="16"/>
      <c r="BW1778" s="16"/>
      <c r="BX1778" s="16"/>
      <c r="BY1778" s="16"/>
      <c r="BZ1778" s="16"/>
      <c r="CA1778" s="16"/>
      <c r="CB1778" s="16"/>
      <c r="CC1778" s="16"/>
      <c r="CD1778" s="77"/>
      <c r="CE1778" s="16"/>
      <c r="CF1778" s="16"/>
      <c r="CG1778" s="16"/>
      <c r="CH1778" s="16"/>
      <c r="CI1778" s="16"/>
      <c r="CJ1778" s="16"/>
      <c r="CK1778" s="16"/>
      <c r="CL1778" s="16"/>
      <c r="CM1778" s="16"/>
      <c r="CN1778" s="16"/>
      <c r="CO1778" s="16"/>
      <c r="CP1778" s="16"/>
      <c r="CQ1778" s="16"/>
      <c r="CR1778" s="16"/>
      <c r="CS1778" s="16"/>
      <c r="CT1778" s="16"/>
      <c r="CU1778" s="16"/>
      <c r="CV1778" s="16"/>
      <c r="CW1778" s="16"/>
      <c r="CX1778" s="16"/>
      <c r="CY1778" s="16"/>
      <c r="CZ1778" s="16"/>
      <c r="DA1778" s="16"/>
      <c r="DB1778" s="16"/>
      <c r="DC1778" s="16"/>
      <c r="DD1778" s="16"/>
      <c r="DE1778" s="16"/>
      <c r="DF1778" s="16" t="e">
        <f>VLOOKUP(K1778,'[3]RNA Seq summary tables'!$V$3:$V$99,1,FALSE)</f>
        <v>#N/A</v>
      </c>
      <c r="DG1778" s="16"/>
      <c r="DH1778" s="16"/>
      <c r="DI1778" s="16"/>
      <c r="DJ1778" s="16"/>
      <c r="DK1778" s="16"/>
      <c r="DL1778" s="16"/>
      <c r="DM1778" s="16"/>
      <c r="DN1778" s="16"/>
      <c r="DO1778" s="16"/>
      <c r="DP1778" s="16"/>
      <c r="DQ1778" s="16"/>
      <c r="DR1778" s="16"/>
      <c r="DS1778" s="16"/>
      <c r="JO1778" s="27"/>
      <c r="JP1778" s="16"/>
      <c r="JQ1778" s="16"/>
      <c r="JR1778" s="16"/>
      <c r="JS1778" s="16"/>
      <c r="JT1778" s="16"/>
      <c r="JU1778" s="16"/>
      <c r="JV1778" s="16"/>
      <c r="JW1778" s="16"/>
      <c r="JX1778" s="16"/>
      <c r="JY1778" s="16"/>
      <c r="JZ1778" s="16"/>
      <c r="KA1778" s="16"/>
      <c r="KB1778" s="16"/>
    </row>
    <row r="1779" spans="2:288" s="18" customFormat="1" x14ac:dyDescent="0.2">
      <c r="B1779" s="16">
        <v>2017</v>
      </c>
      <c r="C1779" s="20">
        <v>42947</v>
      </c>
      <c r="D1779" s="20" t="str">
        <f>CONCATENATE(J1779,"-",C1779)</f>
        <v>1063-42947</v>
      </c>
      <c r="E1779" s="20" t="str">
        <f>CONCATENATE(T1779,"-",U1779,"-",C1779)</f>
        <v>PO1-A3-42947</v>
      </c>
      <c r="F1779" s="20" t="s">
        <v>106</v>
      </c>
      <c r="G1779" s="20" t="s">
        <v>278</v>
      </c>
      <c r="H1779" s="16"/>
      <c r="I1779" s="16"/>
      <c r="J1779" s="21">
        <v>1063</v>
      </c>
      <c r="K1779" s="21"/>
      <c r="L1779" s="16"/>
      <c r="M1779" s="21"/>
      <c r="N1779" s="21"/>
      <c r="O1779" s="21"/>
      <c r="P1779" s="16"/>
      <c r="Q1779" s="16"/>
      <c r="R1779" s="16"/>
      <c r="S1779" s="16"/>
      <c r="T1779" s="16" t="s">
        <v>112</v>
      </c>
      <c r="U1779" s="16" t="s">
        <v>201</v>
      </c>
      <c r="V1779" s="16"/>
      <c r="W1779" s="16"/>
      <c r="X1779" s="16"/>
      <c r="Y1779" s="16"/>
      <c r="Z1779" s="16"/>
      <c r="AA1779" s="16"/>
      <c r="AB1779" s="16"/>
      <c r="AC1779" s="16"/>
      <c r="AD1779" s="16"/>
      <c r="AE1779" s="16"/>
      <c r="AF1779" s="16"/>
      <c r="AG1779" s="16"/>
      <c r="AH1779" s="16"/>
      <c r="AI1779" s="16"/>
      <c r="AJ1779" s="16"/>
      <c r="AK1779" s="16"/>
      <c r="AL1779" s="16"/>
      <c r="AM1779" s="16"/>
      <c r="AN1779" s="16"/>
      <c r="AO1779" s="16"/>
      <c r="AP1779" s="16">
        <f>SUM(AL1779:AN1779)</f>
        <v>0</v>
      </c>
      <c r="AQ1779" s="16"/>
      <c r="AR1779" s="16"/>
      <c r="AS1779" s="16"/>
      <c r="AT1779" s="16" t="s">
        <v>285</v>
      </c>
      <c r="AU1779" s="16"/>
      <c r="AV1779" s="16"/>
      <c r="AW1779" s="16"/>
      <c r="AX1779" s="16"/>
      <c r="AZ1779" s="16"/>
      <c r="BA1779" s="16"/>
      <c r="BB1779" s="16"/>
      <c r="BC1779" s="16"/>
      <c r="BD1779" s="16"/>
      <c r="BE1779" s="16"/>
      <c r="BF1779" s="16"/>
      <c r="BG1779" s="77"/>
      <c r="BH1779" s="16"/>
      <c r="BI1779" s="16"/>
      <c r="BJ1779" s="16"/>
      <c r="BK1779" s="16"/>
      <c r="BL1779" s="16"/>
      <c r="BM1779" s="16"/>
      <c r="BN1779" s="16"/>
      <c r="BO1779" s="16"/>
      <c r="BP1779" s="16"/>
      <c r="BQ1779" s="16"/>
      <c r="BR1779" s="16"/>
      <c r="BS1779" s="16"/>
      <c r="BT1779" s="77"/>
      <c r="BU1779" s="16"/>
      <c r="BV1779" s="16"/>
      <c r="BW1779" s="16"/>
      <c r="BX1779" s="16"/>
      <c r="BY1779" s="16"/>
      <c r="BZ1779" s="16"/>
      <c r="CA1779" s="16"/>
      <c r="CB1779" s="16"/>
      <c r="CC1779" s="16"/>
      <c r="CD1779" s="77"/>
      <c r="CE1779" s="16"/>
      <c r="CF1779" s="16"/>
      <c r="CG1779" s="16"/>
      <c r="CH1779" s="16"/>
      <c r="CI1779" s="16"/>
      <c r="CJ1779" s="16"/>
      <c r="CK1779" s="16"/>
      <c r="CL1779" s="16"/>
      <c r="CM1779" s="16"/>
      <c r="CN1779" s="16"/>
      <c r="CO1779" s="16"/>
      <c r="CP1779" s="16"/>
      <c r="CQ1779" s="16"/>
      <c r="CR1779" s="16"/>
      <c r="CS1779" s="16"/>
      <c r="CT1779" s="16"/>
      <c r="CU1779" s="16"/>
      <c r="CV1779" s="16"/>
      <c r="CW1779" s="16"/>
      <c r="CX1779" s="16"/>
      <c r="CY1779" s="16"/>
      <c r="CZ1779" s="16"/>
      <c r="DA1779" s="16"/>
      <c r="DB1779" s="16"/>
      <c r="DC1779" s="16"/>
      <c r="DD1779" s="16"/>
      <c r="DE1779" s="16"/>
      <c r="DF1779" s="16" t="e">
        <f>VLOOKUP(K1779,'[3]RNA Seq summary tables'!$V$3:$V$99,1,FALSE)</f>
        <v>#N/A</v>
      </c>
      <c r="DG1779" s="16"/>
      <c r="DH1779" s="16"/>
      <c r="DI1779" s="16"/>
      <c r="DJ1779" s="16"/>
      <c r="DK1779" s="16"/>
      <c r="DL1779" s="16"/>
      <c r="DM1779" s="16"/>
      <c r="DN1779" s="16"/>
      <c r="DO1779" s="16"/>
      <c r="DP1779" s="16"/>
      <c r="DQ1779" s="16"/>
      <c r="DR1779" s="16"/>
      <c r="DS1779" s="16"/>
      <c r="JO1779" s="27"/>
      <c r="JP1779" s="16"/>
      <c r="JQ1779" s="16"/>
      <c r="JR1779" s="16"/>
      <c r="JS1779" s="16"/>
      <c r="JT1779" s="16"/>
      <c r="JU1779" s="16"/>
      <c r="JV1779" s="16"/>
      <c r="JW1779" s="16"/>
      <c r="JX1779" s="16"/>
      <c r="JY1779" s="16"/>
      <c r="JZ1779" s="16"/>
      <c r="KA1779" s="16"/>
      <c r="KB1779" s="16"/>
    </row>
    <row r="1780" spans="2:288" s="18" customFormat="1" x14ac:dyDescent="0.2">
      <c r="B1780" s="16">
        <v>2017</v>
      </c>
      <c r="C1780" s="66">
        <v>42894</v>
      </c>
      <c r="D1780" s="66" t="str">
        <f>CONCATENATE(J1780,"-",C1780)</f>
        <v>1064-42894</v>
      </c>
      <c r="E1780" s="20" t="str">
        <f>CONCATENATE(T1780,"-",U1780,"-",C1780)</f>
        <v>PO1-D5-42894</v>
      </c>
      <c r="F1780" s="20" t="s">
        <v>106</v>
      </c>
      <c r="G1780" s="20" t="s">
        <v>278</v>
      </c>
      <c r="H1780" s="16"/>
      <c r="I1780" s="16"/>
      <c r="J1780" s="21">
        <v>1064</v>
      </c>
      <c r="K1780" s="21"/>
      <c r="L1780" s="16"/>
      <c r="M1780" s="21"/>
      <c r="N1780" s="21"/>
      <c r="O1780" s="21"/>
      <c r="P1780" s="16"/>
      <c r="Q1780" s="16"/>
      <c r="R1780" s="16"/>
      <c r="S1780" s="16"/>
      <c r="T1780" s="16" t="s">
        <v>112</v>
      </c>
      <c r="U1780" s="16" t="s">
        <v>183</v>
      </c>
      <c r="V1780" s="16"/>
      <c r="W1780" s="16"/>
      <c r="X1780" s="16"/>
      <c r="Y1780" s="16"/>
      <c r="Z1780" s="16"/>
      <c r="AA1780" s="16"/>
      <c r="AB1780" s="16"/>
      <c r="AC1780" s="16"/>
      <c r="AD1780" s="16"/>
      <c r="AE1780" s="16"/>
      <c r="AF1780" s="16"/>
      <c r="AG1780" s="16"/>
      <c r="AH1780" s="16"/>
      <c r="AI1780" s="16"/>
      <c r="AJ1780" s="16"/>
      <c r="AK1780" s="16"/>
      <c r="AL1780" s="16"/>
      <c r="AM1780" s="16"/>
      <c r="AN1780" s="16"/>
      <c r="AO1780" s="16"/>
      <c r="AP1780" s="16">
        <f>SUM(AL1780:AN1780)</f>
        <v>0</v>
      </c>
      <c r="AQ1780" s="16"/>
      <c r="AR1780" s="16"/>
      <c r="AS1780" s="16"/>
      <c r="AT1780" s="16" t="s">
        <v>285</v>
      </c>
      <c r="AU1780" s="16"/>
      <c r="AV1780" s="16"/>
      <c r="AW1780" s="16"/>
      <c r="AX1780" s="16"/>
      <c r="AZ1780" s="16"/>
      <c r="BA1780" s="16"/>
      <c r="BB1780" s="16"/>
      <c r="BC1780" s="16"/>
      <c r="BD1780" s="16"/>
      <c r="BE1780" s="16"/>
      <c r="BF1780" s="16"/>
      <c r="BG1780" s="77"/>
      <c r="BH1780" s="16"/>
      <c r="BI1780" s="16"/>
      <c r="BJ1780" s="16"/>
      <c r="BK1780" s="16"/>
      <c r="BL1780" s="16"/>
      <c r="BM1780" s="16"/>
      <c r="BN1780" s="16"/>
      <c r="BO1780" s="16"/>
      <c r="BP1780" s="16"/>
      <c r="BQ1780" s="16"/>
      <c r="BR1780" s="16"/>
      <c r="BS1780" s="16"/>
      <c r="BT1780" s="77"/>
      <c r="BU1780" s="16"/>
      <c r="BV1780" s="16"/>
      <c r="BW1780" s="16"/>
      <c r="BX1780" s="16"/>
      <c r="BY1780" s="16"/>
      <c r="BZ1780" s="16"/>
      <c r="CA1780" s="16"/>
      <c r="CB1780" s="16"/>
      <c r="CC1780" s="16"/>
      <c r="CD1780" s="77"/>
      <c r="CE1780" s="16"/>
      <c r="CF1780" s="16"/>
      <c r="CG1780" s="16"/>
      <c r="CH1780" s="16"/>
      <c r="CI1780" s="16"/>
      <c r="CJ1780" s="16"/>
      <c r="CK1780" s="16"/>
      <c r="CL1780" s="16"/>
      <c r="CM1780" s="16"/>
      <c r="CN1780" s="16"/>
      <c r="CO1780" s="16"/>
      <c r="CP1780" s="16"/>
      <c r="CQ1780" s="16"/>
      <c r="CR1780" s="16"/>
      <c r="CS1780" s="16"/>
      <c r="CT1780" s="16"/>
      <c r="CU1780" s="16"/>
      <c r="CV1780" s="16"/>
      <c r="CW1780" s="16"/>
      <c r="CX1780" s="16"/>
      <c r="CY1780" s="16"/>
      <c r="CZ1780" s="16"/>
      <c r="DA1780" s="16"/>
      <c r="DB1780" s="16"/>
      <c r="DC1780" s="16"/>
      <c r="DD1780" s="16"/>
      <c r="DE1780" s="16"/>
      <c r="DF1780" s="16" t="e">
        <f>VLOOKUP(K1780,'[3]RNA Seq summary tables'!$V$3:$V$99,1,FALSE)</f>
        <v>#N/A</v>
      </c>
      <c r="DG1780" s="16"/>
      <c r="DH1780" s="16"/>
      <c r="DI1780" s="16"/>
      <c r="DJ1780" s="16"/>
      <c r="DK1780" s="16"/>
      <c r="DL1780" s="16"/>
      <c r="DM1780" s="16"/>
      <c r="DN1780" s="16"/>
      <c r="DO1780" s="16"/>
      <c r="DP1780" s="16"/>
      <c r="DQ1780" s="16"/>
      <c r="DR1780" s="16"/>
      <c r="DS1780" s="16"/>
      <c r="JO1780" s="16"/>
      <c r="JP1780" s="16"/>
      <c r="JQ1780" s="16"/>
      <c r="JR1780" s="16"/>
      <c r="JS1780" s="16"/>
      <c r="JT1780" s="16"/>
      <c r="JU1780" s="16"/>
      <c r="JV1780" s="16"/>
      <c r="JW1780" s="16"/>
      <c r="JX1780" s="16"/>
      <c r="JY1780" s="16"/>
      <c r="JZ1780" s="16"/>
      <c r="KA1780" s="16"/>
      <c r="KB1780" s="16"/>
    </row>
    <row r="1781" spans="2:288" s="18" customFormat="1" x14ac:dyDescent="0.2">
      <c r="B1781" s="16">
        <v>2017</v>
      </c>
      <c r="C1781" s="66">
        <v>42895</v>
      </c>
      <c r="D1781" s="66" t="str">
        <f>CONCATENATE(J1781,"-",C1781)</f>
        <v>1064-42895</v>
      </c>
      <c r="E1781" s="20" t="str">
        <f>CONCATENATE(T1781,"-",U1781,"-",C1781)</f>
        <v>PO1-C6-42895</v>
      </c>
      <c r="F1781" s="20" t="s">
        <v>106</v>
      </c>
      <c r="G1781" s="20" t="s">
        <v>278</v>
      </c>
      <c r="H1781" s="16"/>
      <c r="I1781" s="16"/>
      <c r="J1781" s="21">
        <v>1064</v>
      </c>
      <c r="K1781" s="21"/>
      <c r="L1781" s="16"/>
      <c r="M1781" s="21"/>
      <c r="N1781" s="21"/>
      <c r="O1781" s="21"/>
      <c r="P1781" s="16"/>
      <c r="Q1781" s="16"/>
      <c r="R1781" s="16"/>
      <c r="S1781" s="16"/>
      <c r="T1781" s="16" t="s">
        <v>112</v>
      </c>
      <c r="U1781" s="16" t="s">
        <v>213</v>
      </c>
      <c r="V1781" s="16"/>
      <c r="W1781" s="16"/>
      <c r="X1781" s="16"/>
      <c r="Y1781" s="16"/>
      <c r="Z1781" s="16"/>
      <c r="AA1781" s="16"/>
      <c r="AB1781" s="16"/>
      <c r="AC1781" s="16"/>
      <c r="AD1781" s="16"/>
      <c r="AE1781" s="16"/>
      <c r="AF1781" s="16"/>
      <c r="AG1781" s="16"/>
      <c r="AH1781" s="16"/>
      <c r="AI1781" s="16"/>
      <c r="AJ1781" s="16"/>
      <c r="AK1781" s="16"/>
      <c r="AL1781" s="16"/>
      <c r="AM1781" s="16"/>
      <c r="AN1781" s="16"/>
      <c r="AO1781" s="16"/>
      <c r="AP1781" s="16">
        <f>SUM(AL1781:AN1781)</f>
        <v>0</v>
      </c>
      <c r="AQ1781" s="16"/>
      <c r="AR1781" s="16"/>
      <c r="AS1781" s="16"/>
      <c r="AT1781" s="16" t="s">
        <v>285</v>
      </c>
      <c r="AU1781" s="16"/>
      <c r="AV1781" s="16"/>
      <c r="AW1781" s="16"/>
      <c r="AX1781" s="16"/>
      <c r="AZ1781" s="16"/>
      <c r="BA1781" s="16"/>
      <c r="BB1781" s="16"/>
      <c r="BC1781" s="16"/>
      <c r="BD1781" s="16"/>
      <c r="BE1781" s="16"/>
      <c r="BF1781" s="16"/>
      <c r="BG1781" s="77"/>
      <c r="BH1781" s="16"/>
      <c r="BI1781" s="16"/>
      <c r="BJ1781" s="16"/>
      <c r="BK1781" s="16"/>
      <c r="BL1781" s="16"/>
      <c r="BM1781" s="16"/>
      <c r="BN1781" s="16"/>
      <c r="BO1781" s="16"/>
      <c r="BP1781" s="16"/>
      <c r="BQ1781" s="16"/>
      <c r="BR1781" s="16"/>
      <c r="BS1781" s="16"/>
      <c r="BT1781" s="77"/>
      <c r="BU1781" s="16"/>
      <c r="BV1781" s="16"/>
      <c r="BW1781" s="16"/>
      <c r="BX1781" s="16"/>
      <c r="BY1781" s="16"/>
      <c r="BZ1781" s="16"/>
      <c r="CA1781" s="16"/>
      <c r="CB1781" s="16"/>
      <c r="CC1781" s="16"/>
      <c r="CD1781" s="77"/>
      <c r="CE1781" s="16"/>
      <c r="CF1781" s="16"/>
      <c r="CG1781" s="16"/>
      <c r="CH1781" s="16"/>
      <c r="CI1781" s="16"/>
      <c r="CJ1781" s="16"/>
      <c r="CK1781" s="16"/>
      <c r="CL1781" s="16"/>
      <c r="CM1781" s="16"/>
      <c r="CN1781" s="16"/>
      <c r="CO1781" s="16"/>
      <c r="CP1781" s="16"/>
      <c r="CQ1781" s="16"/>
      <c r="CR1781" s="16"/>
      <c r="CS1781" s="16"/>
      <c r="CT1781" s="16"/>
      <c r="CU1781" s="16"/>
      <c r="CV1781" s="16"/>
      <c r="CW1781" s="16"/>
      <c r="CX1781" s="16"/>
      <c r="CY1781" s="16"/>
      <c r="CZ1781" s="16"/>
      <c r="DA1781" s="16"/>
      <c r="DB1781" s="16"/>
      <c r="DC1781" s="16"/>
      <c r="DD1781" s="16"/>
      <c r="DE1781" s="16"/>
      <c r="DF1781" s="16" t="e">
        <f>VLOOKUP(K1781,'[3]RNA Seq summary tables'!$V$3:$V$99,1,FALSE)</f>
        <v>#N/A</v>
      </c>
      <c r="DG1781" s="16"/>
      <c r="DH1781" s="16"/>
      <c r="DI1781" s="16"/>
      <c r="DJ1781" s="16"/>
      <c r="DK1781" s="16"/>
      <c r="DL1781" s="16"/>
      <c r="DM1781" s="16"/>
      <c r="DN1781" s="16"/>
      <c r="DO1781" s="16"/>
      <c r="DP1781" s="16"/>
      <c r="DQ1781" s="16"/>
      <c r="DR1781" s="16"/>
      <c r="DS1781" s="16"/>
      <c r="JO1781" s="16"/>
      <c r="JP1781" s="16"/>
      <c r="JQ1781" s="16"/>
    </row>
    <row r="1782" spans="2:288" s="18" customFormat="1" x14ac:dyDescent="0.2">
      <c r="B1782" s="16">
        <v>2017</v>
      </c>
      <c r="C1782" s="20">
        <v>42912</v>
      </c>
      <c r="D1782" s="20" t="str">
        <f>CONCATENATE(J1782,"-",C1782)</f>
        <v>1064-42912</v>
      </c>
      <c r="E1782" s="20" t="str">
        <f>CONCATENATE(T1782,"-",U1782,"-",C1782)</f>
        <v>PO1-A8-42912</v>
      </c>
      <c r="F1782" s="20" t="s">
        <v>106</v>
      </c>
      <c r="G1782" s="20" t="s">
        <v>278</v>
      </c>
      <c r="H1782" s="16"/>
      <c r="I1782" s="16"/>
      <c r="J1782" s="21">
        <v>1064</v>
      </c>
      <c r="K1782" s="21"/>
      <c r="L1782" s="16"/>
      <c r="M1782" s="21"/>
      <c r="N1782" s="21"/>
      <c r="O1782" s="21"/>
      <c r="P1782" s="16"/>
      <c r="Q1782" s="16"/>
      <c r="R1782" s="16"/>
      <c r="S1782" s="16"/>
      <c r="T1782" s="16" t="s">
        <v>112</v>
      </c>
      <c r="U1782" s="16" t="s">
        <v>194</v>
      </c>
      <c r="V1782" s="16"/>
      <c r="W1782" s="16"/>
      <c r="X1782" s="16"/>
      <c r="Y1782" s="16"/>
      <c r="Z1782" s="16"/>
      <c r="AA1782" s="16"/>
      <c r="AB1782" s="16"/>
      <c r="AC1782" s="16"/>
      <c r="AD1782" s="16"/>
      <c r="AE1782" s="16"/>
      <c r="AF1782" s="16"/>
      <c r="AG1782" s="16"/>
      <c r="AH1782" s="16"/>
      <c r="AI1782" s="16"/>
      <c r="AJ1782" s="16"/>
      <c r="AK1782" s="16"/>
      <c r="AL1782" s="16"/>
      <c r="AM1782" s="16"/>
      <c r="AN1782" s="16"/>
      <c r="AO1782" s="16"/>
      <c r="AP1782" s="16">
        <f>SUM(AL1782:AN1782)</f>
        <v>0</v>
      </c>
      <c r="AQ1782" s="16"/>
      <c r="AR1782" s="16"/>
      <c r="AS1782" s="16"/>
      <c r="AT1782" s="16" t="s">
        <v>285</v>
      </c>
      <c r="AU1782" s="16"/>
      <c r="AV1782" s="16"/>
      <c r="AW1782" s="16"/>
      <c r="AX1782" s="16"/>
      <c r="AZ1782" s="16"/>
      <c r="BA1782" s="16"/>
      <c r="BB1782" s="16"/>
      <c r="BC1782" s="16"/>
      <c r="BD1782" s="16"/>
      <c r="BE1782" s="16"/>
      <c r="BF1782" s="16"/>
      <c r="BG1782" s="77"/>
      <c r="BH1782" s="16"/>
      <c r="BI1782" s="16"/>
      <c r="BJ1782" s="16"/>
      <c r="BK1782" s="16"/>
      <c r="BL1782" s="16"/>
      <c r="BM1782" s="16"/>
      <c r="BN1782" s="16"/>
      <c r="BO1782" s="16"/>
      <c r="BP1782" s="16"/>
      <c r="BQ1782" s="16"/>
      <c r="BR1782" s="16"/>
      <c r="BS1782" s="16"/>
      <c r="BT1782" s="77"/>
      <c r="BU1782" s="16"/>
      <c r="BV1782" s="16"/>
      <c r="BW1782" s="16"/>
      <c r="BX1782" s="16"/>
      <c r="BY1782" s="16"/>
      <c r="BZ1782" s="16"/>
      <c r="CA1782" s="16"/>
      <c r="CB1782" s="16"/>
      <c r="CC1782" s="16"/>
      <c r="CD1782" s="77"/>
      <c r="CE1782" s="16"/>
      <c r="CF1782" s="16"/>
      <c r="CG1782" s="16"/>
      <c r="CH1782" s="16"/>
      <c r="CI1782" s="16"/>
      <c r="CJ1782" s="16"/>
      <c r="CK1782" s="16"/>
      <c r="CL1782" s="16"/>
      <c r="CM1782" s="16"/>
      <c r="CN1782" s="16"/>
      <c r="CO1782" s="16"/>
      <c r="CP1782" s="16"/>
      <c r="CQ1782" s="16"/>
      <c r="CR1782" s="16"/>
      <c r="CS1782" s="16"/>
      <c r="CT1782" s="16"/>
      <c r="CU1782" s="16"/>
      <c r="CV1782" s="16"/>
      <c r="CW1782" s="16"/>
      <c r="CX1782" s="16"/>
      <c r="CY1782" s="16"/>
      <c r="CZ1782" s="16"/>
      <c r="DA1782" s="16"/>
      <c r="DB1782" s="16"/>
      <c r="DC1782" s="16"/>
      <c r="DD1782" s="16"/>
      <c r="DE1782" s="16"/>
      <c r="DF1782" s="16" t="e">
        <f>VLOOKUP(K1782,'[3]RNA Seq summary tables'!$V$3:$V$99,1,FALSE)</f>
        <v>#N/A</v>
      </c>
      <c r="DG1782" s="16"/>
      <c r="DH1782" s="16"/>
      <c r="DI1782" s="16"/>
      <c r="DJ1782" s="16"/>
      <c r="DK1782" s="16"/>
      <c r="DL1782" s="16"/>
      <c r="DM1782" s="16"/>
      <c r="DN1782" s="16"/>
      <c r="DO1782" s="16"/>
      <c r="DP1782" s="16"/>
      <c r="DQ1782" s="16"/>
      <c r="DR1782" s="16"/>
      <c r="DS1782" s="16"/>
      <c r="JO1782" s="16"/>
      <c r="JP1782" s="16"/>
      <c r="JQ1782" s="16"/>
      <c r="JR1782" s="16"/>
      <c r="JS1782" s="16"/>
      <c r="JT1782" s="16"/>
      <c r="JU1782" s="16"/>
      <c r="JV1782" s="16"/>
      <c r="JW1782" s="16"/>
      <c r="JX1782" s="16"/>
      <c r="JY1782" s="16"/>
      <c r="JZ1782" s="16"/>
      <c r="KA1782" s="16"/>
      <c r="KB1782" s="16"/>
    </row>
    <row r="1783" spans="2:288" s="18" customFormat="1" x14ac:dyDescent="0.2">
      <c r="B1783" s="16">
        <v>2017</v>
      </c>
      <c r="C1783" s="20">
        <v>42913</v>
      </c>
      <c r="D1783" s="20" t="str">
        <f>CONCATENATE(J1783,"-",C1783)</f>
        <v>1064-42913</v>
      </c>
      <c r="E1783" s="20" t="str">
        <f>CONCATENATE(T1783,"-",U1783,"-",C1783)</f>
        <v>PO1-B4-42913</v>
      </c>
      <c r="F1783" s="20" t="s">
        <v>106</v>
      </c>
      <c r="G1783" s="20" t="s">
        <v>278</v>
      </c>
      <c r="H1783" s="16"/>
      <c r="I1783" s="16"/>
      <c r="J1783" s="21">
        <v>1064</v>
      </c>
      <c r="K1783" s="21"/>
      <c r="L1783" s="16"/>
      <c r="M1783" s="21"/>
      <c r="N1783" s="21"/>
      <c r="O1783" s="21"/>
      <c r="P1783" s="16"/>
      <c r="Q1783" s="16"/>
      <c r="R1783" s="16"/>
      <c r="S1783" s="16"/>
      <c r="T1783" s="16" t="s">
        <v>112</v>
      </c>
      <c r="U1783" s="16" t="s">
        <v>144</v>
      </c>
      <c r="V1783" s="16"/>
      <c r="W1783" s="16"/>
      <c r="X1783" s="16"/>
      <c r="Y1783" s="16"/>
      <c r="Z1783" s="16"/>
      <c r="AA1783" s="16"/>
      <c r="AB1783" s="16"/>
      <c r="AC1783" s="16"/>
      <c r="AD1783" s="16"/>
      <c r="AE1783" s="16"/>
      <c r="AF1783" s="16"/>
      <c r="AG1783" s="16"/>
      <c r="AH1783" s="16"/>
      <c r="AI1783" s="16"/>
      <c r="AJ1783" s="16"/>
      <c r="AK1783" s="16"/>
      <c r="AL1783" s="16"/>
      <c r="AM1783" s="16"/>
      <c r="AN1783" s="16"/>
      <c r="AO1783" s="16"/>
      <c r="AP1783" s="16">
        <f>SUM(AL1783:AN1783)</f>
        <v>0</v>
      </c>
      <c r="AQ1783" s="16"/>
      <c r="AR1783" s="16"/>
      <c r="AS1783" s="16"/>
      <c r="AT1783" s="16" t="s">
        <v>285</v>
      </c>
      <c r="AU1783" s="16"/>
      <c r="AV1783" s="16"/>
      <c r="AW1783" s="16"/>
      <c r="AX1783" s="16"/>
      <c r="AZ1783" s="16"/>
      <c r="BA1783" s="16"/>
      <c r="BB1783" s="16"/>
      <c r="BC1783" s="16"/>
      <c r="BD1783" s="16"/>
      <c r="BE1783" s="16"/>
      <c r="BF1783" s="16"/>
      <c r="BG1783" s="77"/>
      <c r="BH1783" s="16"/>
      <c r="BI1783" s="16"/>
      <c r="BJ1783" s="16"/>
      <c r="BK1783" s="16"/>
      <c r="BL1783" s="16"/>
      <c r="BM1783" s="16"/>
      <c r="BN1783" s="16"/>
      <c r="BO1783" s="16"/>
      <c r="BP1783" s="16"/>
      <c r="BQ1783" s="16"/>
      <c r="BR1783" s="16"/>
      <c r="BS1783" s="16"/>
      <c r="BT1783" s="77"/>
      <c r="BU1783" s="16"/>
      <c r="BV1783" s="16"/>
      <c r="BW1783" s="16"/>
      <c r="BX1783" s="16"/>
      <c r="BY1783" s="16"/>
      <c r="BZ1783" s="16"/>
      <c r="CA1783" s="16"/>
      <c r="CB1783" s="16"/>
      <c r="CC1783" s="16"/>
      <c r="CD1783" s="77"/>
      <c r="CE1783" s="16"/>
      <c r="CF1783" s="16"/>
      <c r="CG1783" s="16"/>
      <c r="CH1783" s="16"/>
      <c r="CI1783" s="16"/>
      <c r="CJ1783" s="16"/>
      <c r="CK1783" s="16"/>
      <c r="CL1783" s="16"/>
      <c r="CM1783" s="16"/>
      <c r="CN1783" s="16"/>
      <c r="CO1783" s="16"/>
      <c r="CP1783" s="16"/>
      <c r="CQ1783" s="16"/>
      <c r="CR1783" s="16"/>
      <c r="CS1783" s="16"/>
      <c r="CT1783" s="16"/>
      <c r="CU1783" s="16"/>
      <c r="CV1783" s="16"/>
      <c r="CW1783" s="16"/>
      <c r="CX1783" s="16"/>
      <c r="CY1783" s="16"/>
      <c r="CZ1783" s="16"/>
      <c r="DA1783" s="16"/>
      <c r="DB1783" s="16"/>
      <c r="DC1783" s="16"/>
      <c r="DD1783" s="16"/>
      <c r="DE1783" s="16"/>
      <c r="DF1783" s="16" t="e">
        <f>VLOOKUP(K1783,'[3]RNA Seq summary tables'!$V$3:$V$99,1,FALSE)</f>
        <v>#N/A</v>
      </c>
      <c r="DG1783" s="16"/>
      <c r="DH1783" s="16"/>
      <c r="DI1783" s="16"/>
      <c r="DJ1783" s="16"/>
      <c r="DK1783" s="16"/>
      <c r="DL1783" s="16"/>
      <c r="DM1783" s="16"/>
      <c r="DN1783" s="16"/>
      <c r="DO1783" s="16"/>
      <c r="DP1783" s="16"/>
      <c r="DQ1783" s="16"/>
      <c r="DR1783" s="16"/>
      <c r="DS1783" s="16"/>
      <c r="JO1783" s="16"/>
      <c r="JP1783" s="16"/>
      <c r="JQ1783" s="16"/>
      <c r="JR1783" s="16"/>
      <c r="JS1783" s="16"/>
      <c r="JT1783" s="16"/>
      <c r="JU1783" s="16"/>
      <c r="JV1783" s="16"/>
      <c r="JW1783" s="16"/>
      <c r="JX1783" s="16"/>
      <c r="JY1783" s="16"/>
      <c r="JZ1783" s="16"/>
      <c r="KA1783" s="16"/>
      <c r="KB1783" s="16"/>
    </row>
    <row r="1784" spans="2:288" x14ac:dyDescent="0.2">
      <c r="B1784" s="18">
        <v>2017</v>
      </c>
      <c r="C1784" s="37">
        <v>42928</v>
      </c>
      <c r="D1784" s="37" t="str">
        <f>CONCATENATE(J1784,"-",C1784)</f>
        <v>1064-42928</v>
      </c>
      <c r="E1784" s="20" t="str">
        <f>CONCATENATE(T1784,"-",U1784,"-",C1784)</f>
        <v>PO1-A8-42928</v>
      </c>
      <c r="F1784" s="20" t="s">
        <v>106</v>
      </c>
      <c r="G1784" s="37" t="s">
        <v>278</v>
      </c>
      <c r="H1784" s="18"/>
      <c r="I1784" s="18"/>
      <c r="J1784" s="36">
        <v>1064</v>
      </c>
      <c r="K1784" s="36"/>
      <c r="L1784" s="18"/>
      <c r="M1784" s="36"/>
      <c r="N1784" s="36"/>
      <c r="O1784" s="36"/>
      <c r="P1784" s="18"/>
      <c r="Q1784" s="18"/>
      <c r="R1784" s="18"/>
      <c r="S1784" s="18"/>
      <c r="T1784" s="18" t="s">
        <v>112</v>
      </c>
      <c r="U1784" s="18" t="s">
        <v>194</v>
      </c>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v>1.7070000000000001</v>
      </c>
      <c r="AR1784" s="18">
        <f>AP1784-1.472</f>
        <v>-1.472</v>
      </c>
      <c r="AS1784" s="18">
        <f>AQ1784-1.472</f>
        <v>0.2350000000000001</v>
      </c>
      <c r="AT1784" s="18" t="s">
        <v>289</v>
      </c>
      <c r="AU1784" s="18"/>
      <c r="AV1784" s="18"/>
      <c r="AW1784" s="18"/>
      <c r="AX1784" s="18"/>
      <c r="AY1784" s="18"/>
      <c r="AZ1784" s="18"/>
      <c r="BA1784" s="18"/>
      <c r="BB1784" s="18"/>
      <c r="BC1784" s="18"/>
      <c r="BD1784" s="18"/>
      <c r="BE1784" s="18"/>
      <c r="BF1784" s="18"/>
      <c r="BG1784" s="78"/>
      <c r="BH1784" s="18"/>
      <c r="BI1784" s="18"/>
      <c r="BJ1784" s="18"/>
      <c r="BK1784" s="18"/>
      <c r="BL1784" s="18"/>
      <c r="BM1784" s="18"/>
      <c r="BN1784" s="18"/>
      <c r="BO1784" s="18"/>
      <c r="BP1784" s="18"/>
      <c r="BQ1784" s="18"/>
      <c r="BR1784" s="18"/>
      <c r="BS1784" s="18"/>
      <c r="BT1784" s="78"/>
      <c r="BU1784" s="18"/>
      <c r="BV1784" s="18"/>
      <c r="BW1784" s="18"/>
      <c r="BX1784" s="18"/>
      <c r="BY1784" s="18"/>
      <c r="BZ1784" s="18"/>
      <c r="CA1784" s="18"/>
      <c r="CB1784" s="18"/>
      <c r="CC1784" s="18"/>
      <c r="CD1784" s="7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6" t="e">
        <f>VLOOKUP(K1784,'[3]RNA Seq summary tables'!$V$3:$V$99,1,FALSE)</f>
        <v>#N/A</v>
      </c>
      <c r="DG1784" s="18"/>
      <c r="DH1784" s="18"/>
      <c r="DI1784" s="18"/>
      <c r="DJ1784" s="18"/>
      <c r="DK1784" s="18"/>
      <c r="DL1784" s="18"/>
      <c r="DM1784" s="18"/>
      <c r="DN1784" s="18"/>
      <c r="DO1784" s="18"/>
      <c r="DP1784" s="18"/>
      <c r="DQ1784" s="18"/>
      <c r="DR1784" s="18"/>
      <c r="DS1784" s="18"/>
      <c r="JR1784" s="27"/>
      <c r="JS1784" s="27"/>
      <c r="JT1784" s="27"/>
      <c r="JU1784" s="27"/>
      <c r="JV1784" s="27"/>
      <c r="JW1784" s="27"/>
      <c r="JX1784" s="27"/>
      <c r="JY1784" s="27"/>
      <c r="JZ1784" s="27"/>
      <c r="KA1784" s="27"/>
      <c r="KB1784" s="27"/>
    </row>
    <row r="1785" spans="2:288" x14ac:dyDescent="0.2">
      <c r="B1785" s="16">
        <v>2017</v>
      </c>
      <c r="C1785" s="66">
        <v>42894</v>
      </c>
      <c r="D1785" s="66" t="str">
        <f>CONCATENATE(J1785,"-",C1785)</f>
        <v>1065-42894</v>
      </c>
      <c r="E1785" s="20" t="str">
        <f>CONCATENATE(T1785,"-",U1785,"-",C1785)</f>
        <v>PO1-A8-42894</v>
      </c>
      <c r="F1785" s="20" t="s">
        <v>106</v>
      </c>
      <c r="G1785" s="20" t="s">
        <v>278</v>
      </c>
      <c r="J1785" s="21">
        <v>1065</v>
      </c>
      <c r="T1785" s="16" t="s">
        <v>112</v>
      </c>
      <c r="U1785" s="16" t="s">
        <v>194</v>
      </c>
      <c r="AP1785" s="16">
        <f>SUM(AL1785:AN1785)</f>
        <v>0</v>
      </c>
      <c r="AT1785" s="16" t="s">
        <v>285</v>
      </c>
      <c r="AY1785" s="18"/>
      <c r="BG1785" s="77"/>
      <c r="BT1785" s="77"/>
      <c r="CD1785" s="77"/>
      <c r="DF1785" s="16" t="e">
        <f>VLOOKUP(K1785,'[3]RNA Seq summary tables'!$V$3:$V$99,1,FALSE)</f>
        <v>#N/A</v>
      </c>
      <c r="JR1785" s="27"/>
      <c r="JS1785" s="27"/>
      <c r="JT1785" s="27"/>
      <c r="JU1785" s="27"/>
      <c r="JV1785" s="27"/>
      <c r="JW1785" s="27"/>
      <c r="JX1785" s="27"/>
      <c r="JY1785" s="27"/>
      <c r="JZ1785" s="27"/>
      <c r="KA1785" s="27"/>
      <c r="KB1785" s="27"/>
    </row>
    <row r="1786" spans="2:288" x14ac:dyDescent="0.2">
      <c r="B1786" s="16">
        <v>2017</v>
      </c>
      <c r="C1786" s="66">
        <v>42895</v>
      </c>
      <c r="D1786" s="66" t="str">
        <f>CONCATENATE(J1786,"-",C1786)</f>
        <v>1065-42895</v>
      </c>
      <c r="E1786" s="20" t="str">
        <f>CONCATENATE(T1786,"-",U1786,"-",C1786)</f>
        <v>PO1-B7-42895</v>
      </c>
      <c r="F1786" s="20" t="s">
        <v>106</v>
      </c>
      <c r="G1786" s="20" t="s">
        <v>278</v>
      </c>
      <c r="J1786" s="21">
        <v>1065</v>
      </c>
      <c r="T1786" s="16" t="s">
        <v>112</v>
      </c>
      <c r="U1786" s="16" t="s">
        <v>168</v>
      </c>
      <c r="AP1786" s="16">
        <f>SUM(AL1786:AN1786)</f>
        <v>0</v>
      </c>
      <c r="AT1786" s="16" t="s">
        <v>285</v>
      </c>
      <c r="AY1786" s="18"/>
      <c r="BG1786" s="77"/>
      <c r="BT1786" s="77"/>
      <c r="CD1786" s="77"/>
      <c r="DF1786" s="16" t="e">
        <f>VLOOKUP(K1786,'[3]RNA Seq summary tables'!$V$3:$V$99,1,FALSE)</f>
        <v>#N/A</v>
      </c>
    </row>
    <row r="1787" spans="2:288" x14ac:dyDescent="0.2">
      <c r="B1787" s="16">
        <v>2017</v>
      </c>
      <c r="C1787" s="20">
        <v>42912</v>
      </c>
      <c r="D1787" s="20" t="str">
        <f>CONCATENATE(J1787,"-",C1787)</f>
        <v>1065-42912</v>
      </c>
      <c r="E1787" s="20" t="str">
        <f>CONCATENATE(T1787,"-",U1787,"-",C1787)</f>
        <v>PO1-D4-42912</v>
      </c>
      <c r="F1787" s="20" t="s">
        <v>106</v>
      </c>
      <c r="G1787" s="20" t="s">
        <v>278</v>
      </c>
      <c r="J1787" s="21">
        <v>1065</v>
      </c>
      <c r="T1787" s="16" t="s">
        <v>112</v>
      </c>
      <c r="U1787" s="16" t="s">
        <v>221</v>
      </c>
      <c r="AP1787" s="16">
        <f>SUM(AL1787:AN1787)</f>
        <v>0</v>
      </c>
      <c r="AT1787" s="16" t="s">
        <v>285</v>
      </c>
      <c r="AY1787" s="18"/>
      <c r="BG1787" s="77"/>
      <c r="BT1787" s="77"/>
      <c r="CD1787" s="77"/>
      <c r="DF1787" s="16" t="e">
        <f>VLOOKUP(K1787,'[3]RNA Seq summary tables'!$V$3:$V$99,1,FALSE)</f>
        <v>#N/A</v>
      </c>
    </row>
    <row r="1788" spans="2:288" x14ac:dyDescent="0.2">
      <c r="B1788" s="16">
        <v>2017</v>
      </c>
      <c r="C1788" s="20">
        <v>42913</v>
      </c>
      <c r="D1788" s="20" t="str">
        <f>CONCATENATE(J1788,"-",C1788)</f>
        <v>1065-42913</v>
      </c>
      <c r="E1788" s="20" t="str">
        <f>CONCATENATE(T1788,"-",U1788,"-",C1788)</f>
        <v>PO1-A8-42913</v>
      </c>
      <c r="F1788" s="20" t="s">
        <v>106</v>
      </c>
      <c r="G1788" s="20" t="s">
        <v>278</v>
      </c>
      <c r="J1788" s="21">
        <v>1065</v>
      </c>
      <c r="T1788" s="16" t="s">
        <v>112</v>
      </c>
      <c r="U1788" s="16" t="s">
        <v>194</v>
      </c>
      <c r="AP1788" s="16">
        <f>SUM(AL1788:AN1788)</f>
        <v>0</v>
      </c>
      <c r="AT1788" s="16" t="s">
        <v>285</v>
      </c>
      <c r="AY1788" s="18"/>
      <c r="BG1788" s="77"/>
      <c r="BT1788" s="77"/>
      <c r="CD1788" s="77"/>
      <c r="DF1788" s="16" t="e">
        <f>VLOOKUP(K1788,'[3]RNA Seq summary tables'!$V$3:$V$99,1,FALSE)</f>
        <v>#N/A</v>
      </c>
    </row>
    <row r="1789" spans="2:288" x14ac:dyDescent="0.2">
      <c r="B1789" s="16">
        <v>2017</v>
      </c>
      <c r="C1789" s="20">
        <v>42928</v>
      </c>
      <c r="D1789" s="20" t="str">
        <f>CONCATENATE(J1789,"-",C1789)</f>
        <v>1065-42928</v>
      </c>
      <c r="E1789" s="20" t="str">
        <f>CONCATENATE(T1789,"-",U1789,"-",C1789)</f>
        <v>PO1-C8-42928</v>
      </c>
      <c r="F1789" s="20" t="s">
        <v>106</v>
      </c>
      <c r="G1789" s="20" t="s">
        <v>278</v>
      </c>
      <c r="J1789" s="21">
        <v>1065</v>
      </c>
      <c r="T1789" s="16" t="s">
        <v>112</v>
      </c>
      <c r="U1789" s="16" t="s">
        <v>188</v>
      </c>
      <c r="AP1789" s="16">
        <f>SUM(AL1789:AN1789)</f>
        <v>0</v>
      </c>
      <c r="AT1789" s="16" t="s">
        <v>285</v>
      </c>
      <c r="AY1789" s="18"/>
      <c r="BG1789" s="77"/>
      <c r="BT1789" s="77"/>
      <c r="CD1789" s="77"/>
      <c r="DF1789" s="16" t="e">
        <f>VLOOKUP(K1789,'[3]RNA Seq summary tables'!$V$3:$V$99,1,FALSE)</f>
        <v>#N/A</v>
      </c>
      <c r="JR1789" s="27"/>
      <c r="JS1789" s="27"/>
      <c r="JT1789" s="27"/>
      <c r="JU1789" s="27"/>
      <c r="JV1789" s="27"/>
      <c r="JW1789" s="27"/>
      <c r="JX1789" s="27"/>
      <c r="JY1789" s="27"/>
      <c r="JZ1789" s="27"/>
      <c r="KA1789" s="27"/>
      <c r="KB1789" s="27"/>
    </row>
    <row r="1790" spans="2:288" x14ac:dyDescent="0.2">
      <c r="B1790" s="16">
        <v>2017</v>
      </c>
      <c r="C1790" s="20">
        <v>42929</v>
      </c>
      <c r="D1790" s="20" t="str">
        <f>CONCATENATE(J1790,"-",C1790)</f>
        <v>1065-42929</v>
      </c>
      <c r="E1790" s="20" t="str">
        <f>CONCATENATE(T1790,"-",U1790,"-",C1790)</f>
        <v>PO1-D4-42929</v>
      </c>
      <c r="F1790" s="20" t="s">
        <v>106</v>
      </c>
      <c r="G1790" s="20" t="s">
        <v>278</v>
      </c>
      <c r="J1790" s="21">
        <v>1065</v>
      </c>
      <c r="T1790" s="16" t="s">
        <v>112</v>
      </c>
      <c r="U1790" s="16" t="s">
        <v>221</v>
      </c>
      <c r="AP1790" s="16">
        <f>SUM(AL1790:AN1790)</f>
        <v>0</v>
      </c>
      <c r="AT1790" s="16" t="s">
        <v>285</v>
      </c>
      <c r="AY1790" s="18"/>
      <c r="BG1790" s="77"/>
      <c r="BT1790" s="77"/>
      <c r="CD1790" s="77"/>
      <c r="DF1790" s="16" t="e">
        <f>VLOOKUP(K1790,'[3]RNA Seq summary tables'!$V$3:$V$99,1,FALSE)</f>
        <v>#N/A</v>
      </c>
      <c r="JR1790" s="18"/>
      <c r="JS1790" s="18"/>
      <c r="JT1790" s="18"/>
      <c r="JU1790" s="18"/>
      <c r="JV1790" s="18"/>
      <c r="JW1790" s="18"/>
      <c r="JX1790" s="18"/>
      <c r="JY1790" s="18"/>
      <c r="JZ1790" s="18"/>
      <c r="KA1790" s="18"/>
      <c r="KB1790" s="18"/>
    </row>
    <row r="1791" spans="2:288" x14ac:dyDescent="0.2">
      <c r="B1791" s="16">
        <v>2017</v>
      </c>
      <c r="C1791" s="66">
        <v>42894</v>
      </c>
      <c r="D1791" s="66" t="str">
        <f>CONCATENATE(J1791,"-",C1791)</f>
        <v>1066-42894</v>
      </c>
      <c r="E1791" s="20" t="str">
        <f>CONCATENATE(T1791,"-",U1791,"-",C1791)</f>
        <v>PO1-C3-42894</v>
      </c>
      <c r="F1791" s="20" t="s">
        <v>106</v>
      </c>
      <c r="G1791" s="20" t="s">
        <v>278</v>
      </c>
      <c r="J1791" s="21">
        <v>1066</v>
      </c>
      <c r="T1791" s="16" t="s">
        <v>112</v>
      </c>
      <c r="U1791" s="16" t="s">
        <v>237</v>
      </c>
      <c r="AP1791" s="16">
        <f>SUM(AL1791:AN1791)</f>
        <v>0</v>
      </c>
      <c r="AT1791" s="16" t="s">
        <v>285</v>
      </c>
      <c r="AY1791" s="18"/>
      <c r="BG1791" s="77"/>
      <c r="BT1791" s="77"/>
      <c r="CD1791" s="77"/>
      <c r="DF1791" s="16" t="e">
        <f>VLOOKUP(K1791,'[3]RNA Seq summary tables'!$V$3:$V$99,1,FALSE)</f>
        <v>#N/A</v>
      </c>
    </row>
    <row r="1792" spans="2:288" x14ac:dyDescent="0.2">
      <c r="B1792" s="16">
        <v>2017</v>
      </c>
      <c r="C1792" s="66">
        <v>42895</v>
      </c>
      <c r="D1792" s="66" t="str">
        <f>CONCATENATE(J1792,"-",C1792)</f>
        <v>1066-42895</v>
      </c>
      <c r="E1792" s="20" t="str">
        <f>CONCATENATE(T1792,"-",U1792,"-",C1792)</f>
        <v>PO1-C4-42895</v>
      </c>
      <c r="F1792" s="20" t="s">
        <v>106</v>
      </c>
      <c r="G1792" s="20" t="s">
        <v>278</v>
      </c>
      <c r="J1792" s="21">
        <v>1066</v>
      </c>
      <c r="T1792" s="16" t="s">
        <v>112</v>
      </c>
      <c r="U1792" s="16" t="s">
        <v>229</v>
      </c>
      <c r="AP1792" s="16">
        <f>SUM(AL1792:AN1792)</f>
        <v>0</v>
      </c>
      <c r="AT1792" s="16" t="s">
        <v>285</v>
      </c>
      <c r="AY1792" s="18"/>
      <c r="BG1792" s="77"/>
      <c r="BT1792" s="77"/>
      <c r="CD1792" s="77"/>
      <c r="DF1792" s="16" t="e">
        <f>VLOOKUP(K1792,'[3]RNA Seq summary tables'!$V$3:$V$99,1,FALSE)</f>
        <v>#N/A</v>
      </c>
      <c r="JR1792" s="18"/>
      <c r="JS1792" s="18"/>
      <c r="JT1792" s="18"/>
      <c r="JU1792" s="18"/>
      <c r="JV1792" s="18"/>
      <c r="JW1792" s="18"/>
      <c r="JX1792" s="18"/>
      <c r="JY1792" s="18"/>
      <c r="JZ1792" s="18"/>
      <c r="KA1792" s="18"/>
      <c r="KB1792" s="18"/>
    </row>
    <row r="1793" spans="1:288" x14ac:dyDescent="0.2">
      <c r="B1793" s="16">
        <v>2017</v>
      </c>
      <c r="C1793" s="66">
        <v>42894</v>
      </c>
      <c r="D1793" s="66" t="str">
        <f>CONCATENATE(J1793,"-",C1793)</f>
        <v>1067-42894</v>
      </c>
      <c r="E1793" s="20" t="str">
        <f>CONCATENATE(T1793,"-",U1793,"-",C1793)</f>
        <v>--42894</v>
      </c>
      <c r="F1793" s="20" t="s">
        <v>106</v>
      </c>
      <c r="G1793" s="20" t="s">
        <v>278</v>
      </c>
      <c r="J1793" s="21">
        <v>1067</v>
      </c>
      <c r="AP1793" s="16">
        <f>SUM(AL1793:AN1793)</f>
        <v>0</v>
      </c>
      <c r="AT1793" s="16" t="s">
        <v>285</v>
      </c>
      <c r="AY1793" s="18"/>
      <c r="BG1793" s="77"/>
      <c r="BT1793" s="77"/>
      <c r="CD1793" s="77"/>
      <c r="DF1793" s="16" t="e">
        <f>VLOOKUP(K1793,'[3]RNA Seq summary tables'!$V$3:$V$99,1,FALSE)</f>
        <v>#N/A</v>
      </c>
    </row>
    <row r="1794" spans="1:288" x14ac:dyDescent="0.2">
      <c r="B1794" s="16">
        <v>2017</v>
      </c>
      <c r="C1794" s="20">
        <v>42913</v>
      </c>
      <c r="D1794" s="20" t="str">
        <f>CONCATENATE(J1794,"-",C1794)</f>
        <v>1067-42913</v>
      </c>
      <c r="E1794" s="20" t="str">
        <f>CONCATENATE(T1794,"-",U1794,"-",C1794)</f>
        <v>PO1-D2-42913</v>
      </c>
      <c r="F1794" s="20" t="s">
        <v>106</v>
      </c>
      <c r="G1794" s="20" t="s">
        <v>278</v>
      </c>
      <c r="J1794" s="21">
        <v>1067</v>
      </c>
      <c r="T1794" s="16" t="s">
        <v>112</v>
      </c>
      <c r="U1794" s="16" t="s">
        <v>198</v>
      </c>
      <c r="AP1794" s="16">
        <f>SUM(AL1794:AN1794)</f>
        <v>0</v>
      </c>
      <c r="AT1794" s="16" t="s">
        <v>285</v>
      </c>
      <c r="AY1794" s="18"/>
      <c r="BG1794" s="77"/>
      <c r="BT1794" s="77"/>
      <c r="CD1794" s="77"/>
      <c r="DF1794" s="16" t="e">
        <f>VLOOKUP(K1794,'[3]RNA Seq summary tables'!$V$3:$V$99,1,FALSE)</f>
        <v>#N/A</v>
      </c>
      <c r="JO1794" s="27"/>
    </row>
    <row r="1795" spans="1:288" s="26" customFormat="1" x14ac:dyDescent="0.2">
      <c r="A1795" s="18"/>
      <c r="B1795" s="16">
        <v>2017</v>
      </c>
      <c r="C1795" s="66">
        <v>42894</v>
      </c>
      <c r="D1795" s="66" t="str">
        <f>CONCATENATE(J1795,"-",C1795)</f>
        <v>1068-42894</v>
      </c>
      <c r="E1795" s="20" t="str">
        <f>CONCATENATE(T1795,"-",U1795,"-",C1795)</f>
        <v>PO1-E6-42894</v>
      </c>
      <c r="F1795" s="20" t="s">
        <v>106</v>
      </c>
      <c r="G1795" s="20" t="s">
        <v>278</v>
      </c>
      <c r="H1795" s="16"/>
      <c r="I1795" s="16"/>
      <c r="J1795" s="21">
        <v>1068</v>
      </c>
      <c r="K1795" s="21"/>
      <c r="L1795" s="16"/>
      <c r="M1795" s="21"/>
      <c r="N1795" s="21"/>
      <c r="O1795" s="21"/>
      <c r="P1795" s="16"/>
      <c r="Q1795" s="16"/>
      <c r="R1795" s="16"/>
      <c r="S1795" s="16"/>
      <c r="T1795" s="16" t="s">
        <v>112</v>
      </c>
      <c r="U1795" s="16" t="s">
        <v>232</v>
      </c>
      <c r="V1795" s="16"/>
      <c r="W1795" s="16"/>
      <c r="X1795" s="16"/>
      <c r="Y1795" s="16"/>
      <c r="Z1795" s="16"/>
      <c r="AA1795" s="16"/>
      <c r="AB1795" s="16"/>
      <c r="AC1795" s="16"/>
      <c r="AD1795" s="16"/>
      <c r="AE1795" s="16"/>
      <c r="AF1795" s="16"/>
      <c r="AG1795" s="16"/>
      <c r="AH1795" s="16"/>
      <c r="AI1795" s="16"/>
      <c r="AJ1795" s="16"/>
      <c r="AK1795" s="16"/>
      <c r="AL1795" s="16"/>
      <c r="AM1795" s="16"/>
      <c r="AN1795" s="16"/>
      <c r="AO1795" s="16"/>
      <c r="AP1795" s="16">
        <f>SUM(AL1795:AN1795)</f>
        <v>0</v>
      </c>
      <c r="AQ1795" s="16"/>
      <c r="AR1795" s="16"/>
      <c r="AS1795" s="16"/>
      <c r="AT1795" s="16" t="s">
        <v>285</v>
      </c>
      <c r="AU1795" s="16"/>
      <c r="AV1795" s="16"/>
      <c r="AW1795" s="16"/>
      <c r="AX1795" s="16"/>
      <c r="AY1795" s="18"/>
      <c r="AZ1795" s="16"/>
      <c r="BA1795" s="16"/>
      <c r="BB1795" s="16"/>
      <c r="BC1795" s="16"/>
      <c r="BD1795" s="16"/>
      <c r="BE1795" s="16"/>
      <c r="BF1795" s="16"/>
      <c r="BG1795" s="77"/>
      <c r="BH1795" s="16"/>
      <c r="BI1795" s="16"/>
      <c r="BJ1795" s="16"/>
      <c r="BK1795" s="16"/>
      <c r="BL1795" s="16"/>
      <c r="BM1795" s="16"/>
      <c r="BN1795" s="16"/>
      <c r="BO1795" s="16"/>
      <c r="BP1795" s="16"/>
      <c r="BQ1795" s="16"/>
      <c r="BR1795" s="16"/>
      <c r="BS1795" s="16"/>
      <c r="BT1795" s="77"/>
      <c r="BU1795" s="16"/>
      <c r="BV1795" s="16"/>
      <c r="BW1795" s="16"/>
      <c r="BX1795" s="16"/>
      <c r="BY1795" s="16"/>
      <c r="BZ1795" s="16"/>
      <c r="CA1795" s="16"/>
      <c r="CB1795" s="16"/>
      <c r="CC1795" s="16"/>
      <c r="CD1795" s="77"/>
      <c r="CE1795" s="16"/>
      <c r="CF1795" s="16"/>
      <c r="CG1795" s="16"/>
      <c r="CH1795" s="16"/>
      <c r="CI1795" s="16"/>
      <c r="CJ1795" s="16"/>
      <c r="CK1795" s="16"/>
      <c r="CL1795" s="16"/>
      <c r="CM1795" s="16"/>
      <c r="CN1795" s="16"/>
      <c r="CO1795" s="16"/>
      <c r="CP1795" s="16"/>
      <c r="CQ1795" s="16"/>
      <c r="CR1795" s="16"/>
      <c r="CS1795" s="16"/>
      <c r="CT1795" s="16"/>
      <c r="CU1795" s="16"/>
      <c r="CV1795" s="16"/>
      <c r="CW1795" s="16"/>
      <c r="CX1795" s="16"/>
      <c r="CY1795" s="16"/>
      <c r="CZ1795" s="16"/>
      <c r="DA1795" s="16"/>
      <c r="DB1795" s="16"/>
      <c r="DC1795" s="16"/>
      <c r="DD1795" s="16"/>
      <c r="DE1795" s="16"/>
      <c r="DF1795" s="16" t="e">
        <f>VLOOKUP(K1795,'[3]RNA Seq summary tables'!$V$3:$V$99,1,FALSE)</f>
        <v>#N/A</v>
      </c>
      <c r="DG1795" s="16"/>
      <c r="DH1795" s="16"/>
      <c r="DI1795" s="16"/>
      <c r="DJ1795" s="16"/>
      <c r="DK1795" s="16"/>
      <c r="DL1795" s="16"/>
      <c r="DM1795" s="16"/>
      <c r="DN1795" s="16"/>
      <c r="DO1795" s="16"/>
      <c r="DP1795" s="16"/>
      <c r="DQ1795" s="16"/>
      <c r="DR1795" s="16"/>
      <c r="DS1795" s="16"/>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18"/>
      <c r="EQ1795" s="18"/>
      <c r="ER1795" s="18"/>
      <c r="ES1795" s="18"/>
      <c r="ET1795" s="18"/>
      <c r="EU1795" s="18"/>
      <c r="EV1795" s="18"/>
      <c r="EW1795" s="18"/>
      <c r="EX1795" s="18"/>
      <c r="EY1795" s="18"/>
      <c r="EZ1795" s="18"/>
      <c r="FA1795" s="18"/>
      <c r="FB1795" s="18"/>
      <c r="FC1795" s="18"/>
      <c r="FD1795" s="18"/>
      <c r="FE1795" s="18"/>
      <c r="FF1795" s="18"/>
      <c r="FG1795" s="18"/>
      <c r="FH1795" s="18"/>
      <c r="FI1795" s="18"/>
      <c r="FJ1795" s="18"/>
      <c r="FK1795" s="18"/>
      <c r="FL1795" s="18"/>
      <c r="FM1795" s="18"/>
      <c r="FN1795" s="18"/>
      <c r="FO1795" s="18"/>
      <c r="FP1795" s="18"/>
      <c r="FQ1795" s="18"/>
      <c r="FR1795" s="18"/>
      <c r="FS1795" s="18"/>
      <c r="FT1795" s="18"/>
      <c r="FU1795" s="18"/>
      <c r="FV1795" s="18"/>
      <c r="FW1795" s="18"/>
      <c r="FX1795" s="18"/>
      <c r="FY1795" s="18"/>
      <c r="FZ1795" s="18"/>
      <c r="GA1795" s="18"/>
      <c r="GB1795" s="18"/>
      <c r="GC1795" s="18"/>
      <c r="GD1795" s="18"/>
      <c r="GE1795" s="18"/>
      <c r="GF1795" s="18"/>
      <c r="GG1795" s="18"/>
      <c r="GH1795" s="18"/>
      <c r="GI1795" s="18"/>
      <c r="GJ1795" s="18"/>
      <c r="GK1795" s="18"/>
      <c r="GL1795" s="18"/>
      <c r="GM1795" s="18"/>
      <c r="GN1795" s="18"/>
      <c r="GO1795" s="18"/>
      <c r="GP1795" s="18"/>
      <c r="GQ1795" s="18"/>
      <c r="GR1795" s="18"/>
      <c r="GS1795" s="18"/>
      <c r="GT1795" s="18"/>
      <c r="GU1795" s="18"/>
      <c r="GV1795" s="18"/>
      <c r="GW1795" s="18"/>
      <c r="GX1795" s="18"/>
      <c r="GY1795" s="18"/>
      <c r="GZ1795" s="18"/>
      <c r="HA1795" s="18"/>
      <c r="HB1795" s="18"/>
      <c r="HC1795" s="18"/>
      <c r="HD1795" s="18"/>
      <c r="HE1795" s="18"/>
      <c r="HF1795" s="18"/>
      <c r="HG1795" s="18"/>
      <c r="HH1795" s="18"/>
      <c r="HI1795" s="18"/>
      <c r="HJ1795" s="18"/>
      <c r="HK1795" s="18"/>
      <c r="HL1795" s="18"/>
      <c r="HM1795" s="18"/>
      <c r="HN1795" s="18"/>
      <c r="HO1795" s="18"/>
      <c r="HP1795" s="18"/>
      <c r="HQ1795" s="18"/>
      <c r="HR1795" s="18"/>
      <c r="HS1795" s="18"/>
      <c r="HT1795" s="18"/>
      <c r="HU1795" s="18"/>
      <c r="HV1795" s="18"/>
      <c r="HW1795" s="18"/>
      <c r="HX1795" s="18"/>
      <c r="HY1795" s="18"/>
      <c r="HZ1795" s="18"/>
      <c r="IA1795" s="18"/>
      <c r="IB1795" s="18"/>
      <c r="IC1795" s="18"/>
      <c r="ID1795" s="18"/>
      <c r="IE1795" s="18"/>
      <c r="IF1795" s="18"/>
      <c r="IG1795" s="18"/>
      <c r="IH1795" s="18"/>
      <c r="II1795" s="18"/>
      <c r="IJ1795" s="18"/>
      <c r="IK1795" s="18"/>
      <c r="IL1795" s="18"/>
      <c r="IM1795" s="18"/>
      <c r="IN1795" s="18"/>
      <c r="IO1795" s="18"/>
      <c r="IP1795" s="18"/>
      <c r="IQ1795" s="18"/>
      <c r="IR1795" s="18"/>
      <c r="IS1795" s="18"/>
      <c r="IT1795" s="18"/>
      <c r="IU1795" s="18"/>
      <c r="IV1795" s="18"/>
      <c r="IW1795" s="18"/>
      <c r="IX1795" s="18"/>
      <c r="IY1795" s="18"/>
      <c r="IZ1795" s="18"/>
      <c r="JA1795" s="18"/>
      <c r="JB1795" s="18"/>
      <c r="JC1795" s="18"/>
      <c r="JD1795" s="18"/>
      <c r="JE1795" s="18"/>
      <c r="JF1795" s="18"/>
      <c r="JG1795" s="18"/>
      <c r="JH1795" s="18"/>
      <c r="JI1795" s="18"/>
      <c r="JJ1795" s="18"/>
      <c r="JK1795" s="18"/>
      <c r="JL1795" s="18"/>
      <c r="JM1795" s="18"/>
      <c r="JN1795" s="18"/>
      <c r="JO1795" s="16"/>
      <c r="JP1795" s="16"/>
      <c r="JQ1795" s="16"/>
      <c r="JR1795" s="16"/>
      <c r="JS1795" s="16"/>
      <c r="JT1795" s="16"/>
      <c r="JU1795" s="16"/>
      <c r="JV1795" s="16"/>
      <c r="JW1795" s="16"/>
      <c r="JX1795" s="16"/>
      <c r="JY1795" s="16"/>
      <c r="JZ1795" s="16"/>
      <c r="KA1795" s="16"/>
      <c r="KB1795" s="16"/>
    </row>
    <row r="1796" spans="1:288" s="18" customFormat="1" x14ac:dyDescent="0.2">
      <c r="B1796" s="16">
        <v>2017</v>
      </c>
      <c r="C1796" s="66">
        <v>42894</v>
      </c>
      <c r="D1796" s="66" t="str">
        <f>CONCATENATE(J1796,"-",C1796)</f>
        <v>1069-42894</v>
      </c>
      <c r="E1796" s="20" t="str">
        <f>CONCATENATE(T1796,"-",U1796,"-",C1796)</f>
        <v>PO1-E8-42894</v>
      </c>
      <c r="F1796" s="20" t="s">
        <v>106</v>
      </c>
      <c r="G1796" s="20" t="s">
        <v>278</v>
      </c>
      <c r="H1796" s="16"/>
      <c r="I1796" s="16"/>
      <c r="J1796" s="21">
        <v>1069</v>
      </c>
      <c r="K1796" s="21"/>
      <c r="L1796" s="16"/>
      <c r="M1796" s="21"/>
      <c r="N1796" s="21"/>
      <c r="O1796" s="21"/>
      <c r="P1796" s="16"/>
      <c r="Q1796" s="16"/>
      <c r="R1796" s="16"/>
      <c r="S1796" s="16"/>
      <c r="T1796" s="16" t="s">
        <v>112</v>
      </c>
      <c r="U1796" s="16" t="s">
        <v>181</v>
      </c>
      <c r="V1796" s="16"/>
      <c r="W1796" s="16"/>
      <c r="X1796" s="16"/>
      <c r="Y1796" s="16"/>
      <c r="Z1796" s="16"/>
      <c r="AA1796" s="16"/>
      <c r="AB1796" s="16"/>
      <c r="AC1796" s="16"/>
      <c r="AD1796" s="16"/>
      <c r="AE1796" s="16"/>
      <c r="AF1796" s="16"/>
      <c r="AG1796" s="16"/>
      <c r="AH1796" s="16"/>
      <c r="AI1796" s="16"/>
      <c r="AJ1796" s="16"/>
      <c r="AK1796" s="16"/>
      <c r="AL1796" s="16"/>
      <c r="AM1796" s="16"/>
      <c r="AN1796" s="16"/>
      <c r="AO1796" s="16"/>
      <c r="AP1796" s="16">
        <f>SUM(AL1796:AN1796)</f>
        <v>0</v>
      </c>
      <c r="AQ1796" s="16"/>
      <c r="AR1796" s="16"/>
      <c r="AS1796" s="16"/>
      <c r="AT1796" s="16" t="s">
        <v>285</v>
      </c>
      <c r="AU1796" s="16"/>
      <c r="AV1796" s="16"/>
      <c r="AW1796" s="16"/>
      <c r="AX1796" s="16"/>
      <c r="AZ1796" s="16"/>
      <c r="BA1796" s="16"/>
      <c r="BB1796" s="16"/>
      <c r="BC1796" s="16"/>
      <c r="BD1796" s="16"/>
      <c r="BE1796" s="16"/>
      <c r="BF1796" s="16"/>
      <c r="BG1796" s="77"/>
      <c r="BH1796" s="16"/>
      <c r="BI1796" s="16"/>
      <c r="BJ1796" s="16"/>
      <c r="BK1796" s="16"/>
      <c r="BL1796" s="16"/>
      <c r="BM1796" s="16"/>
      <c r="BN1796" s="16"/>
      <c r="BO1796" s="16"/>
      <c r="BP1796" s="16"/>
      <c r="BQ1796" s="16"/>
      <c r="BR1796" s="16"/>
      <c r="BS1796" s="16"/>
      <c r="BT1796" s="77"/>
      <c r="BU1796" s="16"/>
      <c r="BV1796" s="16"/>
      <c r="BW1796" s="16"/>
      <c r="BX1796" s="16"/>
      <c r="BY1796" s="16"/>
      <c r="BZ1796" s="16"/>
      <c r="CA1796" s="16"/>
      <c r="CB1796" s="16"/>
      <c r="CC1796" s="16"/>
      <c r="CD1796" s="77"/>
      <c r="CE1796" s="16"/>
      <c r="CF1796" s="16"/>
      <c r="CG1796" s="16"/>
      <c r="CH1796" s="16"/>
      <c r="CI1796" s="16"/>
      <c r="CJ1796" s="16"/>
      <c r="CK1796" s="16"/>
      <c r="CL1796" s="16"/>
      <c r="CM1796" s="16"/>
      <c r="CN1796" s="16"/>
      <c r="CO1796" s="16"/>
      <c r="CP1796" s="16"/>
      <c r="CQ1796" s="16"/>
      <c r="CR1796" s="16"/>
      <c r="CS1796" s="16"/>
      <c r="CT1796" s="16"/>
      <c r="CU1796" s="16"/>
      <c r="CV1796" s="16"/>
      <c r="CW1796" s="16"/>
      <c r="CX1796" s="16"/>
      <c r="CY1796" s="16"/>
      <c r="CZ1796" s="16"/>
      <c r="DA1796" s="16"/>
      <c r="DB1796" s="16"/>
      <c r="DC1796" s="16"/>
      <c r="DD1796" s="16"/>
      <c r="DE1796" s="16"/>
      <c r="DF1796" s="16" t="e">
        <f>VLOOKUP(K1796,'[3]RNA Seq summary tables'!$V$3:$V$99,1,FALSE)</f>
        <v>#N/A</v>
      </c>
      <c r="DG1796" s="16"/>
      <c r="DH1796" s="16"/>
      <c r="DI1796" s="16"/>
      <c r="DJ1796" s="16"/>
      <c r="DK1796" s="16"/>
      <c r="DL1796" s="16"/>
      <c r="DM1796" s="16"/>
      <c r="DN1796" s="16"/>
      <c r="DO1796" s="16"/>
      <c r="DP1796" s="16"/>
      <c r="DQ1796" s="16"/>
      <c r="DR1796" s="16"/>
      <c r="DS1796" s="16"/>
      <c r="JO1796" s="16"/>
      <c r="JP1796" s="16"/>
      <c r="JQ1796" s="16"/>
      <c r="JR1796" s="16"/>
      <c r="JS1796" s="16"/>
      <c r="JT1796" s="16"/>
      <c r="JU1796" s="16"/>
      <c r="JV1796" s="16"/>
      <c r="JW1796" s="16"/>
      <c r="JX1796" s="16"/>
      <c r="JY1796" s="16"/>
      <c r="JZ1796" s="16"/>
      <c r="KA1796" s="16"/>
      <c r="KB1796" s="16"/>
    </row>
    <row r="1797" spans="1:288" s="128" customFormat="1" x14ac:dyDescent="0.2">
      <c r="A1797" s="18"/>
      <c r="B1797" s="16">
        <v>2017</v>
      </c>
      <c r="C1797" s="20">
        <v>42912</v>
      </c>
      <c r="D1797" s="20" t="str">
        <f>CONCATENATE(J1797,"-",C1797)</f>
        <v>1069-42912</v>
      </c>
      <c r="E1797" s="20" t="str">
        <f>CONCATENATE(T1797,"-",U1797,"-",C1797)</f>
        <v>PO1-B7-42912</v>
      </c>
      <c r="F1797" s="20" t="s">
        <v>106</v>
      </c>
      <c r="G1797" s="20" t="s">
        <v>278</v>
      </c>
      <c r="H1797" s="16"/>
      <c r="I1797" s="16"/>
      <c r="J1797" s="21">
        <v>1069</v>
      </c>
      <c r="K1797" s="21"/>
      <c r="L1797" s="16"/>
      <c r="M1797" s="21"/>
      <c r="N1797" s="21"/>
      <c r="O1797" s="21"/>
      <c r="P1797" s="16"/>
      <c r="Q1797" s="16"/>
      <c r="R1797" s="16"/>
      <c r="S1797" s="16"/>
      <c r="T1797" s="16" t="s">
        <v>112</v>
      </c>
      <c r="U1797" s="16" t="s">
        <v>168</v>
      </c>
      <c r="V1797" s="16"/>
      <c r="W1797" s="16"/>
      <c r="X1797" s="16"/>
      <c r="Y1797" s="16"/>
      <c r="Z1797" s="16"/>
      <c r="AA1797" s="16"/>
      <c r="AB1797" s="16"/>
      <c r="AC1797" s="16"/>
      <c r="AD1797" s="16"/>
      <c r="AE1797" s="16"/>
      <c r="AF1797" s="16"/>
      <c r="AG1797" s="16"/>
      <c r="AH1797" s="16"/>
      <c r="AI1797" s="16"/>
      <c r="AJ1797" s="16"/>
      <c r="AK1797" s="16"/>
      <c r="AL1797" s="16"/>
      <c r="AM1797" s="16"/>
      <c r="AN1797" s="16"/>
      <c r="AO1797" s="16"/>
      <c r="AP1797" s="16">
        <f>SUM(AL1797:AN1797)</f>
        <v>0</v>
      </c>
      <c r="AQ1797" s="16"/>
      <c r="AR1797" s="16"/>
      <c r="AS1797" s="16"/>
      <c r="AT1797" s="16" t="s">
        <v>285</v>
      </c>
      <c r="AU1797" s="16"/>
      <c r="AV1797" s="16"/>
      <c r="AW1797" s="16"/>
      <c r="AX1797" s="16"/>
      <c r="AY1797" s="18"/>
      <c r="AZ1797" s="16"/>
      <c r="BA1797" s="16"/>
      <c r="BB1797" s="16"/>
      <c r="BC1797" s="16"/>
      <c r="BD1797" s="16"/>
      <c r="BE1797" s="16"/>
      <c r="BF1797" s="16"/>
      <c r="BG1797" s="23"/>
      <c r="BH1797" s="16"/>
      <c r="BI1797" s="16"/>
      <c r="BJ1797" s="16"/>
      <c r="BK1797" s="16"/>
      <c r="BL1797" s="16"/>
      <c r="BM1797" s="16"/>
      <c r="BN1797" s="16"/>
      <c r="BO1797" s="16"/>
      <c r="BP1797" s="16"/>
      <c r="BQ1797" s="16"/>
      <c r="BR1797" s="16"/>
      <c r="BS1797" s="16"/>
      <c r="BT1797" s="23"/>
      <c r="BU1797" s="16"/>
      <c r="BV1797" s="16"/>
      <c r="BW1797" s="16"/>
      <c r="BX1797" s="16"/>
      <c r="BY1797" s="16"/>
      <c r="BZ1797" s="16"/>
      <c r="CA1797" s="16"/>
      <c r="CB1797" s="16"/>
      <c r="CC1797" s="16"/>
      <c r="CD1797" s="23"/>
      <c r="CE1797" s="16"/>
      <c r="CF1797" s="16"/>
      <c r="CG1797" s="16"/>
      <c r="CH1797" s="16"/>
      <c r="CI1797" s="16"/>
      <c r="CJ1797" s="16"/>
      <c r="CK1797" s="16"/>
      <c r="CL1797" s="16"/>
      <c r="CM1797" s="16"/>
      <c r="CN1797" s="16"/>
      <c r="CO1797" s="16"/>
      <c r="CP1797" s="16"/>
      <c r="CQ1797" s="16"/>
      <c r="CR1797" s="16"/>
      <c r="CS1797" s="16"/>
      <c r="CT1797" s="16"/>
      <c r="CU1797" s="16"/>
      <c r="CV1797" s="16"/>
      <c r="CW1797" s="16"/>
      <c r="CX1797" s="16"/>
      <c r="CY1797" s="16"/>
      <c r="CZ1797" s="16"/>
      <c r="DA1797" s="16"/>
      <c r="DB1797" s="16"/>
      <c r="DC1797" s="16"/>
      <c r="DD1797" s="16"/>
      <c r="DE1797" s="16"/>
      <c r="DF1797" s="16" t="e">
        <f>VLOOKUP(K1797,'[3]RNA Seq summary tables'!$V$3:$V$99,1,FALSE)</f>
        <v>#N/A</v>
      </c>
      <c r="DG1797" s="16"/>
      <c r="DH1797" s="16"/>
      <c r="DI1797" s="16"/>
      <c r="DJ1797" s="16"/>
      <c r="DK1797" s="16"/>
      <c r="DL1797" s="16"/>
      <c r="DM1797" s="16"/>
      <c r="DN1797" s="16"/>
      <c r="DO1797" s="16"/>
      <c r="DP1797" s="16"/>
      <c r="DQ1797" s="16"/>
      <c r="DR1797" s="16"/>
      <c r="DS1797" s="16"/>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18"/>
      <c r="EQ1797" s="18"/>
      <c r="ER1797" s="18"/>
      <c r="ES1797" s="18"/>
      <c r="ET1797" s="18"/>
      <c r="EU1797" s="18"/>
      <c r="EV1797" s="18"/>
      <c r="EW1797" s="18"/>
      <c r="EX1797" s="18"/>
      <c r="EY1797" s="18"/>
      <c r="EZ1797" s="18"/>
      <c r="FA1797" s="18"/>
      <c r="FB1797" s="18"/>
      <c r="FC1797" s="18"/>
      <c r="FD1797" s="18"/>
      <c r="FE1797" s="18"/>
      <c r="FF1797" s="18"/>
      <c r="FG1797" s="18"/>
      <c r="FH1797" s="18"/>
      <c r="FI1797" s="18"/>
      <c r="FJ1797" s="18"/>
      <c r="FK1797" s="18"/>
      <c r="FL1797" s="18"/>
      <c r="FM1797" s="18"/>
      <c r="FN1797" s="18"/>
      <c r="FO1797" s="18"/>
      <c r="FP1797" s="18"/>
      <c r="FQ1797" s="18"/>
      <c r="FR1797" s="18"/>
      <c r="FS1797" s="18"/>
      <c r="FT1797" s="18"/>
      <c r="FU1797" s="18"/>
      <c r="FV1797" s="18"/>
      <c r="FW1797" s="18"/>
      <c r="FX1797" s="18"/>
      <c r="FY1797" s="18"/>
      <c r="FZ1797" s="18"/>
      <c r="GA1797" s="18"/>
      <c r="GB1797" s="18"/>
      <c r="GC1797" s="18"/>
      <c r="GD1797" s="18"/>
      <c r="GE1797" s="18"/>
      <c r="GF1797" s="18"/>
      <c r="GG1797" s="18"/>
      <c r="GH1797" s="18"/>
      <c r="GI1797" s="18"/>
      <c r="GJ1797" s="18"/>
      <c r="GK1797" s="18"/>
      <c r="GL1797" s="18"/>
      <c r="GM1797" s="18"/>
      <c r="GN1797" s="18"/>
      <c r="GO1797" s="18"/>
      <c r="GP1797" s="18"/>
      <c r="GQ1797" s="18"/>
      <c r="GR1797" s="18"/>
      <c r="GS1797" s="18"/>
      <c r="GT1797" s="18"/>
      <c r="GU1797" s="18"/>
      <c r="GV1797" s="18"/>
      <c r="GW1797" s="18"/>
      <c r="GX1797" s="18"/>
      <c r="GY1797" s="18"/>
      <c r="GZ1797" s="18"/>
      <c r="HA1797" s="18"/>
      <c r="HB1797" s="18"/>
      <c r="HC1797" s="18"/>
      <c r="HD1797" s="18"/>
      <c r="HE1797" s="18"/>
      <c r="HF1797" s="18"/>
      <c r="HG1797" s="18"/>
      <c r="HH1797" s="18"/>
      <c r="HI1797" s="18"/>
      <c r="HJ1797" s="18"/>
      <c r="HK1797" s="18"/>
      <c r="HL1797" s="18"/>
      <c r="HM1797" s="18"/>
      <c r="HN1797" s="18"/>
      <c r="HO1797" s="18"/>
      <c r="HP1797" s="18"/>
      <c r="HQ1797" s="18"/>
      <c r="HR1797" s="18"/>
      <c r="HS1797" s="18"/>
      <c r="HT1797" s="18"/>
      <c r="HU1797" s="18"/>
      <c r="HV1797" s="18"/>
      <c r="HW1797" s="18"/>
      <c r="HX1797" s="18"/>
      <c r="HY1797" s="18"/>
      <c r="HZ1797" s="18"/>
      <c r="IA1797" s="18"/>
      <c r="IB1797" s="18"/>
      <c r="IC1797" s="18"/>
      <c r="ID1797" s="18"/>
      <c r="IE1797" s="18"/>
      <c r="IF1797" s="18"/>
      <c r="IG1797" s="18"/>
      <c r="IH1797" s="18"/>
      <c r="II1797" s="18"/>
      <c r="IJ1797" s="18"/>
      <c r="IK1797" s="18"/>
      <c r="IL1797" s="18"/>
      <c r="IM1797" s="18"/>
      <c r="IN1797" s="18"/>
      <c r="IO1797" s="18"/>
      <c r="IP1797" s="18"/>
      <c r="IQ1797" s="18"/>
      <c r="IR1797" s="18"/>
      <c r="IS1797" s="18"/>
      <c r="IT1797" s="18"/>
      <c r="IU1797" s="18"/>
      <c r="IV1797" s="18"/>
      <c r="IW1797" s="18"/>
      <c r="IX1797" s="18"/>
      <c r="IY1797" s="18"/>
      <c r="IZ1797" s="18"/>
      <c r="JA1797" s="18"/>
      <c r="JB1797" s="18"/>
      <c r="JC1797" s="18"/>
      <c r="JD1797" s="18"/>
      <c r="JE1797" s="18"/>
      <c r="JF1797" s="18"/>
      <c r="JG1797" s="18"/>
      <c r="JH1797" s="18"/>
      <c r="JI1797" s="18"/>
      <c r="JJ1797" s="18"/>
      <c r="JK1797" s="18"/>
      <c r="JL1797" s="18"/>
      <c r="JM1797" s="18"/>
      <c r="JN1797" s="18"/>
      <c r="JO1797" s="16"/>
      <c r="JP1797" s="16"/>
      <c r="JQ1797" s="16"/>
      <c r="JR1797" s="16"/>
      <c r="JS1797" s="16"/>
      <c r="JT1797" s="16"/>
      <c r="JU1797" s="16"/>
      <c r="JV1797" s="16"/>
      <c r="JW1797" s="16"/>
      <c r="JX1797" s="16"/>
      <c r="JY1797" s="16"/>
      <c r="JZ1797" s="16"/>
      <c r="KA1797" s="16"/>
      <c r="KB1797" s="16"/>
    </row>
    <row r="1798" spans="1:288" x14ac:dyDescent="0.2">
      <c r="B1798" s="16">
        <v>2017</v>
      </c>
      <c r="C1798" s="20">
        <v>42913</v>
      </c>
      <c r="D1798" s="20" t="str">
        <f>CONCATENATE(J1798,"-",C1798)</f>
        <v>1069-42913</v>
      </c>
      <c r="E1798" s="20" t="str">
        <f>CONCATENATE(T1798,"-",U1798,"-",C1798)</f>
        <v>PO1-A5-42913</v>
      </c>
      <c r="F1798" s="20" t="s">
        <v>106</v>
      </c>
      <c r="G1798" s="20" t="s">
        <v>278</v>
      </c>
      <c r="J1798" s="21">
        <v>1069</v>
      </c>
      <c r="T1798" s="16" t="s">
        <v>112</v>
      </c>
      <c r="U1798" s="16" t="s">
        <v>167</v>
      </c>
      <c r="AP1798" s="16">
        <f>SUM(AL1798:AN1798)</f>
        <v>0</v>
      </c>
      <c r="AT1798" s="16" t="s">
        <v>285</v>
      </c>
      <c r="AY1798" s="18"/>
      <c r="BG1798" s="23"/>
      <c r="BT1798" s="23"/>
      <c r="CD1798" s="23"/>
      <c r="DF1798" s="16" t="e">
        <f>VLOOKUP(K1798,'[3]RNA Seq summary tables'!$V$3:$V$99,1,FALSE)</f>
        <v>#N/A</v>
      </c>
      <c r="JP1798" s="18"/>
      <c r="JQ1798" s="18"/>
    </row>
    <row r="1799" spans="1:288" x14ac:dyDescent="0.2">
      <c r="B1799" s="16">
        <v>2017</v>
      </c>
      <c r="C1799" s="66">
        <v>42894</v>
      </c>
      <c r="D1799" s="66" t="str">
        <f>CONCATENATE(J1799,"-",C1799)</f>
        <v>1070-42894</v>
      </c>
      <c r="E1799" s="20" t="str">
        <f>CONCATENATE(T1799,"-",U1799,"-",C1799)</f>
        <v>PO1-G6-42894</v>
      </c>
      <c r="F1799" s="20" t="s">
        <v>106</v>
      </c>
      <c r="G1799" s="20" t="s">
        <v>278</v>
      </c>
      <c r="J1799" s="21">
        <v>1070</v>
      </c>
      <c r="T1799" s="16" t="s">
        <v>112</v>
      </c>
      <c r="U1799" s="16" t="s">
        <v>218</v>
      </c>
      <c r="AP1799" s="16">
        <f>SUM(AL1799:AN1799)</f>
        <v>0</v>
      </c>
      <c r="AT1799" s="16" t="s">
        <v>285</v>
      </c>
      <c r="AY1799" s="18"/>
      <c r="BG1799" s="23"/>
      <c r="BT1799" s="23"/>
      <c r="CD1799" s="23"/>
      <c r="DF1799" s="16" t="e">
        <f>VLOOKUP(K1799,'[3]RNA Seq summary tables'!$V$3:$V$99,1,FALSE)</f>
        <v>#N/A</v>
      </c>
    </row>
    <row r="1800" spans="1:288" x14ac:dyDescent="0.2">
      <c r="B1800" s="16">
        <v>2017</v>
      </c>
      <c r="C1800" s="66">
        <v>42895</v>
      </c>
      <c r="D1800" s="66" t="str">
        <f>CONCATENATE(J1800,"-",C1800)</f>
        <v>1070-42895</v>
      </c>
      <c r="E1800" s="20" t="str">
        <f>CONCATENATE(T1800,"-",U1800,"-",C1800)</f>
        <v>PO1-G6-42895</v>
      </c>
      <c r="F1800" s="20" t="s">
        <v>106</v>
      </c>
      <c r="G1800" s="20" t="s">
        <v>278</v>
      </c>
      <c r="J1800" s="21">
        <v>1070</v>
      </c>
      <c r="T1800" s="16" t="s">
        <v>112</v>
      </c>
      <c r="U1800" s="16" t="s">
        <v>218</v>
      </c>
      <c r="AP1800" s="16">
        <f>SUM(AL1800:AN1800)</f>
        <v>0</v>
      </c>
      <c r="AT1800" s="16" t="s">
        <v>285</v>
      </c>
      <c r="AY1800" s="18"/>
      <c r="BG1800" s="23"/>
      <c r="BT1800" s="23"/>
      <c r="CD1800" s="23"/>
      <c r="DF1800" s="16" t="e">
        <f>VLOOKUP(K1800,'[3]RNA Seq summary tables'!$V$3:$V$99,1,FALSE)</f>
        <v>#N/A</v>
      </c>
      <c r="JP1800" s="60"/>
      <c r="JQ1800" s="60"/>
    </row>
    <row r="1801" spans="1:288" x14ac:dyDescent="0.2">
      <c r="B1801" s="16">
        <v>2017</v>
      </c>
      <c r="C1801" s="20">
        <v>42913</v>
      </c>
      <c r="D1801" s="20" t="str">
        <f>CONCATENATE(J1801,"-",C1801)</f>
        <v>1070-42913</v>
      </c>
      <c r="E1801" s="20" t="str">
        <f>CONCATENATE(T1801,"-",U1801,"-",C1801)</f>
        <v>PO1-H4-42913</v>
      </c>
      <c r="F1801" s="20" t="s">
        <v>106</v>
      </c>
      <c r="G1801" s="20" t="s">
        <v>278</v>
      </c>
      <c r="J1801" s="21">
        <v>1070</v>
      </c>
      <c r="T1801" s="16" t="s">
        <v>112</v>
      </c>
      <c r="U1801" s="16" t="s">
        <v>151</v>
      </c>
      <c r="AP1801" s="16">
        <f>SUM(AL1801:AN1801)</f>
        <v>0</v>
      </c>
      <c r="AT1801" s="16" t="s">
        <v>285</v>
      </c>
      <c r="AY1801" s="18"/>
      <c r="BG1801" s="23"/>
      <c r="BT1801" s="23"/>
      <c r="CD1801" s="23"/>
      <c r="DF1801" s="16" t="e">
        <f>VLOOKUP(K1801,'[3]RNA Seq summary tables'!$V$3:$V$99,1,FALSE)</f>
        <v>#N/A</v>
      </c>
      <c r="JP1801" s="60"/>
      <c r="JQ1801" s="60"/>
    </row>
    <row r="1802" spans="1:288" x14ac:dyDescent="0.2">
      <c r="B1802" s="16">
        <v>2017</v>
      </c>
      <c r="C1802" s="20">
        <v>42928</v>
      </c>
      <c r="D1802" s="20" t="str">
        <f>CONCATENATE(J1802,"-",C1802)</f>
        <v>1070-42928</v>
      </c>
      <c r="E1802" s="20" t="str">
        <f>CONCATENATE(T1802,"-",U1802,"-",C1802)</f>
        <v>PO1-H5-42928</v>
      </c>
      <c r="F1802" s="20" t="s">
        <v>106</v>
      </c>
      <c r="G1802" s="20" t="s">
        <v>278</v>
      </c>
      <c r="J1802" s="21">
        <v>1070</v>
      </c>
      <c r="T1802" s="16" t="s">
        <v>112</v>
      </c>
      <c r="U1802" s="16" t="s">
        <v>180</v>
      </c>
      <c r="AP1802" s="16">
        <f>SUM(AL1802:AN1802)</f>
        <v>0</v>
      </c>
      <c r="AT1802" s="16" t="s">
        <v>285</v>
      </c>
      <c r="AY1802" s="18"/>
      <c r="BG1802" s="23"/>
      <c r="BT1802" s="23"/>
      <c r="CD1802" s="23"/>
      <c r="DF1802" s="16" t="e">
        <f>VLOOKUP(K1802,'[3]RNA Seq summary tables'!$V$3:$V$99,1,FALSE)</f>
        <v>#N/A</v>
      </c>
      <c r="JR1802" s="27"/>
      <c r="JS1802" s="27"/>
      <c r="JT1802" s="27"/>
      <c r="JU1802" s="27"/>
      <c r="JV1802" s="27"/>
      <c r="JW1802" s="27"/>
      <c r="JX1802" s="27"/>
      <c r="JY1802" s="27"/>
      <c r="JZ1802" s="27"/>
      <c r="KA1802" s="27"/>
      <c r="KB1802" s="27"/>
    </row>
    <row r="1803" spans="1:288" x14ac:dyDescent="0.2">
      <c r="B1803" s="16">
        <v>2017</v>
      </c>
      <c r="C1803" s="20">
        <v>42929</v>
      </c>
      <c r="D1803" s="20" t="str">
        <f>CONCATENATE(J1803,"-",C1803)</f>
        <v>1070-42929</v>
      </c>
      <c r="E1803" s="20" t="str">
        <f>CONCATENATE(T1803,"-",U1803,"-",C1803)</f>
        <v>PO1-G4-42929</v>
      </c>
      <c r="F1803" s="20" t="s">
        <v>106</v>
      </c>
      <c r="G1803" s="20" t="s">
        <v>278</v>
      </c>
      <c r="J1803" s="21">
        <v>1070</v>
      </c>
      <c r="T1803" s="16" t="s">
        <v>112</v>
      </c>
      <c r="U1803" s="16" t="s">
        <v>173</v>
      </c>
      <c r="AP1803" s="16">
        <f>SUM(AL1803:AN1803)</f>
        <v>0</v>
      </c>
      <c r="AT1803" s="16" t="s">
        <v>285</v>
      </c>
      <c r="AY1803" s="18"/>
      <c r="BG1803" s="23"/>
      <c r="BT1803" s="23"/>
      <c r="CD1803" s="23"/>
      <c r="DF1803" s="16" t="e">
        <f>VLOOKUP(K1803,'[3]RNA Seq summary tables'!$V$3:$V$99,1,FALSE)</f>
        <v>#N/A</v>
      </c>
      <c r="JR1803" s="18"/>
      <c r="JS1803" s="18"/>
      <c r="JT1803" s="18"/>
      <c r="JU1803" s="18"/>
      <c r="JV1803" s="18"/>
      <c r="JW1803" s="18"/>
      <c r="JX1803" s="18"/>
      <c r="JY1803" s="18"/>
      <c r="JZ1803" s="18"/>
      <c r="KA1803" s="18"/>
      <c r="KB1803" s="18"/>
    </row>
    <row r="1804" spans="1:288" x14ac:dyDescent="0.2">
      <c r="B1804" s="16">
        <v>2017</v>
      </c>
      <c r="C1804" s="66">
        <v>42895</v>
      </c>
      <c r="D1804" s="66" t="str">
        <f>CONCATENATE(J1804,"-",C1804)</f>
        <v>1071-42895</v>
      </c>
      <c r="E1804" s="20" t="str">
        <f>CONCATENATE(T1804,"-",U1804,"-",C1804)</f>
        <v>PO1-E5-42895</v>
      </c>
      <c r="F1804" s="20" t="s">
        <v>106</v>
      </c>
      <c r="G1804" s="20" t="s">
        <v>278</v>
      </c>
      <c r="J1804" s="21">
        <v>1071</v>
      </c>
      <c r="T1804" s="16" t="s">
        <v>112</v>
      </c>
      <c r="U1804" s="16" t="s">
        <v>158</v>
      </c>
      <c r="AP1804" s="16">
        <f>SUM(AL1804:AN1804)</f>
        <v>0</v>
      </c>
      <c r="AT1804" s="16" t="s">
        <v>285</v>
      </c>
      <c r="AY1804" s="18"/>
      <c r="BG1804" s="23"/>
      <c r="BT1804" s="23"/>
      <c r="CD1804" s="23"/>
      <c r="DF1804" s="16" t="e">
        <f>VLOOKUP(K1804,'[3]RNA Seq summary tables'!$V$3:$V$99,1,FALSE)</f>
        <v>#N/A</v>
      </c>
    </row>
    <row r="1805" spans="1:288" x14ac:dyDescent="0.2">
      <c r="B1805" s="16">
        <v>2017</v>
      </c>
      <c r="C1805" s="20">
        <v>42912</v>
      </c>
      <c r="D1805" s="20" t="str">
        <f>CONCATENATE(J1805,"-",C1805)</f>
        <v>1071-42912</v>
      </c>
      <c r="E1805" s="20" t="str">
        <f>CONCATENATE(T1805,"-",U1805,"-",C1805)</f>
        <v>PO1-G2-42912</v>
      </c>
      <c r="F1805" s="20" t="s">
        <v>106</v>
      </c>
      <c r="G1805" s="20" t="s">
        <v>278</v>
      </c>
      <c r="J1805" s="21">
        <v>1071</v>
      </c>
      <c r="T1805" s="16" t="s">
        <v>112</v>
      </c>
      <c r="U1805" s="16" t="s">
        <v>128</v>
      </c>
      <c r="AP1805" s="16">
        <f>SUM(AL1805:AN1805)</f>
        <v>0</v>
      </c>
      <c r="AT1805" s="16" t="s">
        <v>285</v>
      </c>
      <c r="AY1805" s="18"/>
      <c r="BG1805" s="23"/>
      <c r="BT1805" s="23"/>
      <c r="CD1805" s="23"/>
      <c r="DF1805" s="16" t="e">
        <f>VLOOKUP(K1805,'[3]RNA Seq summary tables'!$V$3:$V$99,1,FALSE)</f>
        <v>#N/A</v>
      </c>
    </row>
    <row r="1806" spans="1:288" x14ac:dyDescent="0.2">
      <c r="B1806" s="16">
        <v>2017</v>
      </c>
      <c r="C1806" s="20">
        <v>42913</v>
      </c>
      <c r="D1806" s="20" t="str">
        <f>CONCATENATE(J1806,"-",C1806)</f>
        <v>1071-42913</v>
      </c>
      <c r="E1806" s="20" t="str">
        <f>CONCATENATE(T1806,"-",U1806,"-",C1806)</f>
        <v>PO1-G2-42913</v>
      </c>
      <c r="F1806" s="20" t="s">
        <v>106</v>
      </c>
      <c r="G1806" s="20" t="s">
        <v>278</v>
      </c>
      <c r="J1806" s="21">
        <v>1071</v>
      </c>
      <c r="T1806" s="16" t="s">
        <v>112</v>
      </c>
      <c r="U1806" s="16" t="s">
        <v>128</v>
      </c>
      <c r="AP1806" s="16">
        <f>SUM(AL1806:AN1806)</f>
        <v>0</v>
      </c>
      <c r="AT1806" s="16" t="s">
        <v>285</v>
      </c>
      <c r="AY1806" s="18"/>
      <c r="BG1806" s="23"/>
      <c r="BT1806" s="23"/>
      <c r="CD1806" s="23"/>
      <c r="DF1806" s="16" t="e">
        <f>VLOOKUP(K1806,'[3]RNA Seq summary tables'!$V$3:$V$99,1,FALSE)</f>
        <v>#N/A</v>
      </c>
    </row>
    <row r="1807" spans="1:288" x14ac:dyDescent="0.2">
      <c r="B1807" s="16">
        <v>2017</v>
      </c>
      <c r="C1807" s="20">
        <v>42929</v>
      </c>
      <c r="D1807" s="20" t="str">
        <f>CONCATENATE(J1807,"-",C1807)</f>
        <v>1071-42929</v>
      </c>
      <c r="E1807" s="20" t="str">
        <f>CONCATENATE(T1807,"-",U1807,"-",C1807)</f>
        <v>PO1-G1-42929</v>
      </c>
      <c r="F1807" s="20" t="s">
        <v>106</v>
      </c>
      <c r="G1807" s="20" t="s">
        <v>278</v>
      </c>
      <c r="J1807" s="21">
        <v>1071</v>
      </c>
      <c r="T1807" s="16" t="s">
        <v>112</v>
      </c>
      <c r="U1807" s="16" t="s">
        <v>155</v>
      </c>
      <c r="AP1807" s="16">
        <f>SUM(AL1807:AN1807)</f>
        <v>0</v>
      </c>
      <c r="AT1807" s="16" t="s">
        <v>285</v>
      </c>
      <c r="AY1807" s="18"/>
      <c r="BG1807" s="23"/>
      <c r="BT1807" s="23"/>
      <c r="CD1807" s="23"/>
      <c r="DF1807" s="16" t="e">
        <f>VLOOKUP(K1807,'[3]RNA Seq summary tables'!$V$3:$V$99,1,FALSE)</f>
        <v>#N/A</v>
      </c>
      <c r="JR1807" s="18"/>
      <c r="JS1807" s="18"/>
      <c r="JT1807" s="18"/>
      <c r="JU1807" s="18"/>
      <c r="JV1807" s="18"/>
      <c r="JW1807" s="18"/>
      <c r="JX1807" s="18"/>
      <c r="JY1807" s="18"/>
      <c r="JZ1807" s="18"/>
      <c r="KA1807" s="18"/>
      <c r="KB1807" s="18"/>
    </row>
    <row r="1808" spans="1:288" x14ac:dyDescent="0.2">
      <c r="B1808" s="18">
        <v>2017</v>
      </c>
      <c r="C1808" s="37">
        <v>42947</v>
      </c>
      <c r="D1808" s="37" t="str">
        <f>CONCATENATE(J1808,"-",C1808)</f>
        <v>1071-42947</v>
      </c>
      <c r="E1808" s="20" t="str">
        <f>CONCATENATE(T1808,"-",U1808,"-",C1808)</f>
        <v>PO1-G4-42947</v>
      </c>
      <c r="F1808" s="20" t="s">
        <v>106</v>
      </c>
      <c r="G1808" s="37" t="s">
        <v>278</v>
      </c>
      <c r="H1808" s="18"/>
      <c r="I1808" s="18"/>
      <c r="J1808" s="36">
        <v>1071</v>
      </c>
      <c r="K1808" s="36"/>
      <c r="L1808" s="18"/>
      <c r="M1808" s="36"/>
      <c r="N1808" s="36"/>
      <c r="O1808" s="36"/>
      <c r="P1808" s="18"/>
      <c r="Q1808" s="18"/>
      <c r="R1808" s="18"/>
      <c r="S1808" s="18"/>
      <c r="T1808" s="18" t="s">
        <v>112</v>
      </c>
      <c r="U1808" s="18" t="s">
        <v>173</v>
      </c>
      <c r="V1808" s="18" t="s">
        <v>114</v>
      </c>
      <c r="W1808" s="18"/>
      <c r="X1808" s="18"/>
      <c r="Y1808" s="18"/>
      <c r="Z1808" s="18"/>
      <c r="AA1808" s="18"/>
      <c r="AB1808" s="18"/>
      <c r="AC1808" s="18"/>
      <c r="AD1808" s="18"/>
      <c r="AE1808" s="18"/>
      <c r="AF1808" s="18"/>
      <c r="AG1808" s="18"/>
      <c r="AH1808" s="18"/>
      <c r="AI1808" s="18"/>
      <c r="AJ1808" s="18"/>
      <c r="AK1808" s="18"/>
      <c r="AL1808" s="18"/>
      <c r="AM1808" s="18"/>
      <c r="AN1808" s="18"/>
      <c r="AO1808" s="18"/>
      <c r="AP1808" s="18">
        <f>SUM(AL1808:AN1808)</f>
        <v>0</v>
      </c>
      <c r="AQ1808" s="18"/>
      <c r="AR1808" s="18"/>
      <c r="AS1808" s="18"/>
      <c r="AT1808" s="16" t="s">
        <v>285</v>
      </c>
      <c r="AW1808" s="18"/>
      <c r="AX1808" s="18"/>
      <c r="AY1808" s="18"/>
      <c r="AZ1808" s="18"/>
      <c r="BA1808" s="18"/>
      <c r="BB1808" s="18"/>
      <c r="BC1808" s="18"/>
      <c r="BD1808" s="18"/>
      <c r="BE1808" s="18"/>
      <c r="BF1808" s="18"/>
      <c r="BG1808" s="25"/>
      <c r="BH1808" s="18"/>
      <c r="BI1808" s="18"/>
      <c r="BJ1808" s="18"/>
      <c r="BK1808" s="18"/>
      <c r="BL1808" s="18"/>
      <c r="BM1808" s="18"/>
      <c r="BN1808" s="18"/>
      <c r="BO1808" s="18"/>
      <c r="BP1808" s="18"/>
      <c r="BQ1808" s="18"/>
      <c r="BR1808" s="18"/>
      <c r="BS1808" s="18"/>
      <c r="BT1808" s="25"/>
      <c r="BU1808" s="18"/>
      <c r="BV1808" s="18"/>
      <c r="BW1808" s="18"/>
      <c r="BX1808" s="18"/>
      <c r="BY1808" s="18"/>
      <c r="BZ1808" s="18"/>
      <c r="CA1808" s="18"/>
      <c r="CB1808" s="18"/>
      <c r="CC1808" s="18"/>
      <c r="CD1808" s="25"/>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6" t="e">
        <f>VLOOKUP(K1808,'[3]RNA Seq summary tables'!$V$3:$V$99,1,FALSE)</f>
        <v>#N/A</v>
      </c>
      <c r="DG1808" s="18"/>
      <c r="DH1808" s="18"/>
      <c r="DI1808" s="18"/>
      <c r="DJ1808" s="18"/>
      <c r="DK1808" s="18"/>
      <c r="DL1808" s="18"/>
      <c r="DM1808" s="18"/>
      <c r="DN1808" s="18"/>
      <c r="DO1808" s="18"/>
      <c r="DP1808" s="18"/>
      <c r="DQ1808" s="18"/>
      <c r="DR1808" s="18"/>
      <c r="DS1808" s="18"/>
      <c r="JO1808" s="27"/>
      <c r="JP1808" s="18"/>
      <c r="JQ1808" s="18"/>
    </row>
    <row r="1809" spans="1:288" x14ac:dyDescent="0.2">
      <c r="A1809" s="30"/>
      <c r="B1809" s="30">
        <v>2017</v>
      </c>
      <c r="C1809" s="74">
        <v>42894</v>
      </c>
      <c r="D1809" s="74" t="str">
        <f>CONCATENATE(J1809,"-",C1809)</f>
        <v>1072-42894</v>
      </c>
      <c r="E1809" s="20" t="str">
        <f>CONCATENATE(T1809,"-",U1809,"-",C1809)</f>
        <v>PO1-H8-42894</v>
      </c>
      <c r="F1809" s="31" t="s">
        <v>106</v>
      </c>
      <c r="G1809" s="31" t="s">
        <v>278</v>
      </c>
      <c r="H1809" s="30" t="s">
        <v>241</v>
      </c>
      <c r="I1809" s="30">
        <v>1</v>
      </c>
      <c r="J1809" s="32">
        <v>1072</v>
      </c>
      <c r="K1809" s="32"/>
      <c r="L1809" s="30"/>
      <c r="M1809" s="32"/>
      <c r="N1809" s="32"/>
      <c r="O1809" s="32"/>
      <c r="P1809" s="30"/>
      <c r="Q1809" s="30"/>
      <c r="R1809" s="30"/>
      <c r="S1809" s="30"/>
      <c r="T1809" s="30" t="s">
        <v>112</v>
      </c>
      <c r="U1809" s="30" t="s">
        <v>152</v>
      </c>
      <c r="V1809" s="30"/>
      <c r="W1809" s="30"/>
      <c r="X1809" s="30"/>
      <c r="Y1809" s="30"/>
      <c r="Z1809" s="30"/>
      <c r="AA1809" s="30"/>
      <c r="AB1809" s="30"/>
      <c r="AC1809" s="30"/>
      <c r="AD1809" s="30"/>
      <c r="AE1809" s="30"/>
      <c r="AF1809" s="30"/>
      <c r="AG1809" s="30"/>
      <c r="AH1809" s="30"/>
      <c r="AI1809" s="30"/>
      <c r="AJ1809" s="30"/>
      <c r="AK1809" s="30"/>
      <c r="AL1809" s="30"/>
      <c r="AM1809" s="30"/>
      <c r="AN1809" s="30"/>
      <c r="AO1809" s="30"/>
      <c r="AP1809" s="30">
        <f>SUM(AL1809:AN1809)</f>
        <v>0</v>
      </c>
      <c r="AQ1809" s="30"/>
      <c r="AR1809" s="30"/>
      <c r="AS1809" s="30"/>
      <c r="AT1809" s="30" t="s">
        <v>285</v>
      </c>
      <c r="AU1809" s="30"/>
      <c r="AV1809" s="30"/>
      <c r="AW1809" s="30"/>
      <c r="AX1809" s="30"/>
      <c r="AY1809" s="30"/>
      <c r="AZ1809" s="30"/>
      <c r="BA1809" s="30"/>
      <c r="BB1809" s="30"/>
      <c r="BC1809" s="30"/>
      <c r="BD1809" s="30"/>
      <c r="BE1809" s="30"/>
      <c r="BF1809" s="30"/>
      <c r="BG1809" s="34"/>
      <c r="BH1809" s="30"/>
      <c r="BI1809" s="30"/>
      <c r="BJ1809" s="30"/>
      <c r="BK1809" s="30"/>
      <c r="BL1809" s="30"/>
      <c r="BM1809" s="30"/>
      <c r="BN1809" s="30"/>
      <c r="BO1809" s="30"/>
      <c r="BP1809" s="30"/>
      <c r="BQ1809" s="30"/>
      <c r="BR1809" s="30"/>
      <c r="BS1809" s="30"/>
      <c r="BT1809" s="34"/>
      <c r="BU1809" s="30"/>
      <c r="BV1809" s="30"/>
      <c r="BW1809" s="30"/>
      <c r="BX1809" s="30"/>
      <c r="BY1809" s="30"/>
      <c r="BZ1809" s="30"/>
      <c r="CA1809" s="30"/>
      <c r="CB1809" s="30"/>
      <c r="CC1809" s="30"/>
      <c r="CD1809" s="34"/>
      <c r="CE1809" s="30"/>
      <c r="CF1809" s="30"/>
      <c r="CG1809" s="30"/>
      <c r="CH1809" s="30"/>
      <c r="CI1809" s="30"/>
      <c r="CJ1809" s="30"/>
      <c r="CK1809" s="30"/>
      <c r="CL1809" s="30"/>
      <c r="CM1809" s="30"/>
      <c r="CN1809" s="30"/>
      <c r="CO1809" s="30"/>
      <c r="CP1809" s="30"/>
      <c r="CQ1809" s="30"/>
      <c r="CR1809" s="30"/>
      <c r="CS1809" s="30"/>
      <c r="CT1809" s="30"/>
      <c r="CU1809" s="30"/>
      <c r="CV1809" s="30"/>
      <c r="CW1809" s="30"/>
      <c r="CX1809" s="30"/>
      <c r="CY1809" s="30"/>
      <c r="CZ1809" s="30"/>
      <c r="DA1809" s="30"/>
      <c r="DB1809" s="30"/>
      <c r="DC1809" s="30"/>
      <c r="DD1809" s="30"/>
      <c r="DE1809" s="30"/>
      <c r="DF1809" s="16" t="e">
        <f>VLOOKUP(K1809,'[3]RNA Seq summary tables'!$V$3:$V$99,1,FALSE)</f>
        <v>#N/A</v>
      </c>
      <c r="DG1809" s="30"/>
      <c r="DH1809" s="30"/>
      <c r="DI1809" s="30"/>
      <c r="DJ1809" s="30"/>
      <c r="DK1809" s="30"/>
      <c r="DL1809" s="30"/>
      <c r="DM1809" s="30"/>
      <c r="DN1809" s="30"/>
      <c r="DO1809" s="30"/>
      <c r="DP1809" s="30"/>
      <c r="DQ1809" s="30"/>
      <c r="DR1809" s="30"/>
      <c r="DS1809" s="30"/>
      <c r="JO1809" s="18"/>
    </row>
    <row r="1810" spans="1:288" x14ac:dyDescent="0.2">
      <c r="A1810" s="30"/>
      <c r="B1810" s="30">
        <v>2017</v>
      </c>
      <c r="C1810" s="74">
        <v>42895</v>
      </c>
      <c r="D1810" s="74" t="str">
        <f>CONCATENATE(J1810,"-",C1810)</f>
        <v>1072-42895</v>
      </c>
      <c r="E1810" s="20" t="str">
        <f>CONCATENATE(T1810,"-",U1810,"-",C1810)</f>
        <v>PO1-H8-42895</v>
      </c>
      <c r="F1810" s="31" t="s">
        <v>106</v>
      </c>
      <c r="G1810" s="31" t="s">
        <v>278</v>
      </c>
      <c r="H1810" s="30" t="s">
        <v>241</v>
      </c>
      <c r="I1810" s="30">
        <v>1</v>
      </c>
      <c r="J1810" s="32">
        <v>1072</v>
      </c>
      <c r="K1810" s="32"/>
      <c r="L1810" s="30"/>
      <c r="M1810" s="32"/>
      <c r="N1810" s="32"/>
      <c r="O1810" s="32"/>
      <c r="P1810" s="30"/>
      <c r="Q1810" s="30"/>
      <c r="R1810" s="30"/>
      <c r="S1810" s="30"/>
      <c r="T1810" s="30" t="s">
        <v>112</v>
      </c>
      <c r="U1810" s="30" t="s">
        <v>152</v>
      </c>
      <c r="V1810" s="30"/>
      <c r="W1810" s="30"/>
      <c r="X1810" s="30"/>
      <c r="Y1810" s="30"/>
      <c r="Z1810" s="30"/>
      <c r="AA1810" s="30"/>
      <c r="AB1810" s="30"/>
      <c r="AC1810" s="30"/>
      <c r="AD1810" s="30"/>
      <c r="AE1810" s="30"/>
      <c r="AF1810" s="30"/>
      <c r="AG1810" s="30"/>
      <c r="AH1810" s="30"/>
      <c r="AI1810" s="30"/>
      <c r="AJ1810" s="30"/>
      <c r="AK1810" s="30"/>
      <c r="AL1810" s="30"/>
      <c r="AM1810" s="30"/>
      <c r="AN1810" s="30"/>
      <c r="AO1810" s="30"/>
      <c r="AP1810" s="30">
        <f>SUM(AL1810:AN1810)</f>
        <v>0</v>
      </c>
      <c r="AQ1810" s="30"/>
      <c r="AR1810" s="30"/>
      <c r="AS1810" s="30"/>
      <c r="AT1810" s="30" t="s">
        <v>285</v>
      </c>
      <c r="AU1810" s="30"/>
      <c r="AV1810" s="30"/>
      <c r="AW1810" s="30"/>
      <c r="AX1810" s="30"/>
      <c r="AY1810" s="30"/>
      <c r="AZ1810" s="30"/>
      <c r="BA1810" s="30"/>
      <c r="BB1810" s="30"/>
      <c r="BC1810" s="30"/>
      <c r="BD1810" s="30"/>
      <c r="BE1810" s="30"/>
      <c r="BF1810" s="30"/>
      <c r="BG1810" s="34"/>
      <c r="BH1810" s="30"/>
      <c r="BI1810" s="30"/>
      <c r="BJ1810" s="30"/>
      <c r="BK1810" s="30"/>
      <c r="BL1810" s="30"/>
      <c r="BM1810" s="30"/>
      <c r="BN1810" s="30"/>
      <c r="BO1810" s="30"/>
      <c r="BP1810" s="30"/>
      <c r="BQ1810" s="30"/>
      <c r="BR1810" s="30"/>
      <c r="BS1810" s="30"/>
      <c r="BT1810" s="34"/>
      <c r="BU1810" s="30"/>
      <c r="BV1810" s="30"/>
      <c r="BW1810" s="30"/>
      <c r="BX1810" s="30"/>
      <c r="BY1810" s="30"/>
      <c r="BZ1810" s="30"/>
      <c r="CA1810" s="30"/>
      <c r="CB1810" s="30"/>
      <c r="CC1810" s="30"/>
      <c r="CD1810" s="34"/>
      <c r="CE1810" s="30"/>
      <c r="CF1810" s="30"/>
      <c r="CG1810" s="30"/>
      <c r="CH1810" s="30"/>
      <c r="CI1810" s="30"/>
      <c r="CJ1810" s="30"/>
      <c r="CK1810" s="30"/>
      <c r="CL1810" s="30"/>
      <c r="CM1810" s="30"/>
      <c r="CN1810" s="30"/>
      <c r="CO1810" s="30"/>
      <c r="CP1810" s="30"/>
      <c r="CQ1810" s="30"/>
      <c r="CR1810" s="30"/>
      <c r="CS1810" s="30"/>
      <c r="CT1810" s="30"/>
      <c r="CU1810" s="30"/>
      <c r="CV1810" s="30"/>
      <c r="CW1810" s="30"/>
      <c r="CX1810" s="30"/>
      <c r="CY1810" s="30"/>
      <c r="CZ1810" s="30"/>
      <c r="DA1810" s="30"/>
      <c r="DB1810" s="30"/>
      <c r="DC1810" s="30"/>
      <c r="DD1810" s="30"/>
      <c r="DE1810" s="30"/>
      <c r="DF1810" s="16" t="e">
        <f>VLOOKUP(K1810,'[3]RNA Seq summary tables'!$V$3:$V$99,1,FALSE)</f>
        <v>#N/A</v>
      </c>
      <c r="DG1810" s="30"/>
      <c r="DH1810" s="30"/>
      <c r="DI1810" s="30"/>
      <c r="DJ1810" s="30"/>
      <c r="DK1810" s="30"/>
      <c r="DL1810" s="30"/>
      <c r="DM1810" s="30"/>
      <c r="DN1810" s="30"/>
      <c r="DO1810" s="30"/>
      <c r="DP1810" s="30"/>
      <c r="DQ1810" s="30"/>
      <c r="DR1810" s="30"/>
      <c r="DS1810" s="30"/>
    </row>
    <row r="1811" spans="1:288" x14ac:dyDescent="0.2">
      <c r="B1811" s="16">
        <v>2017</v>
      </c>
      <c r="C1811" s="66">
        <v>42894</v>
      </c>
      <c r="D1811" s="66" t="str">
        <f>CONCATENATE(J1811,"-",C1811)</f>
        <v>1073-42894</v>
      </c>
      <c r="E1811" s="20" t="str">
        <f>CONCATENATE(T1811,"-",U1811,"-",C1811)</f>
        <v>PO2-C2-42894</v>
      </c>
      <c r="F1811" s="20" t="s">
        <v>106</v>
      </c>
      <c r="G1811" s="20" t="s">
        <v>278</v>
      </c>
      <c r="J1811" s="21">
        <v>1073</v>
      </c>
      <c r="T1811" s="16" t="s">
        <v>127</v>
      </c>
      <c r="U1811" s="16" t="s">
        <v>162</v>
      </c>
      <c r="AP1811" s="16">
        <f>SUM(AL1811:AN1811)</f>
        <v>0</v>
      </c>
      <c r="AT1811" s="16" t="s">
        <v>285</v>
      </c>
      <c r="AY1811" s="18"/>
      <c r="BG1811" s="23"/>
      <c r="BT1811" s="23"/>
      <c r="CD1811" s="23"/>
      <c r="DF1811" s="16" t="e">
        <f>VLOOKUP(K1811,'[3]RNA Seq summary tables'!$V$3:$V$99,1,FALSE)</f>
        <v>#N/A</v>
      </c>
      <c r="JO1811" s="18"/>
    </row>
    <row r="1812" spans="1:288" x14ac:dyDescent="0.2">
      <c r="B1812" s="16">
        <v>2017</v>
      </c>
      <c r="C1812" s="20">
        <v>42912</v>
      </c>
      <c r="D1812" s="20" t="str">
        <f>CONCATENATE(J1812,"-",C1812)</f>
        <v>1073-42912</v>
      </c>
      <c r="E1812" s="20" t="str">
        <f>CONCATENATE(T1812,"-",U1812,"-",C1812)</f>
        <v>PO2-G4-42912</v>
      </c>
      <c r="F1812" s="20" t="s">
        <v>106</v>
      </c>
      <c r="G1812" s="20" t="s">
        <v>278</v>
      </c>
      <c r="J1812" s="21">
        <v>1073</v>
      </c>
      <c r="T1812" s="16" t="s">
        <v>127</v>
      </c>
      <c r="U1812" s="16" t="s">
        <v>173</v>
      </c>
      <c r="AP1812" s="16">
        <f>SUM(AL1812:AN1812)</f>
        <v>0</v>
      </c>
      <c r="AT1812" s="16" t="s">
        <v>285</v>
      </c>
      <c r="AY1812" s="18"/>
      <c r="BG1812" s="23"/>
      <c r="BT1812" s="23"/>
      <c r="CD1812" s="23"/>
      <c r="DF1812" s="16" t="e">
        <f>VLOOKUP(K1812,'[3]RNA Seq summary tables'!$V$3:$V$99,1,FALSE)</f>
        <v>#N/A</v>
      </c>
      <c r="DT1812" s="25"/>
      <c r="DU1812" s="25"/>
      <c r="DV1812" s="25"/>
      <c r="DW1812" s="25"/>
      <c r="DX1812" s="25"/>
      <c r="DY1812" s="25"/>
      <c r="DZ1812" s="25"/>
      <c r="EA1812" s="25"/>
      <c r="EB1812" s="25"/>
      <c r="EC1812" s="25"/>
      <c r="ED1812" s="25"/>
    </row>
    <row r="1813" spans="1:288" x14ac:dyDescent="0.2">
      <c r="B1813" s="16">
        <v>2017</v>
      </c>
      <c r="C1813" s="20">
        <v>42913</v>
      </c>
      <c r="D1813" s="20" t="str">
        <f>CONCATENATE(J1813,"-",C1813)</f>
        <v>1073-42913</v>
      </c>
      <c r="E1813" s="20" t="str">
        <f>CONCATENATE(T1813,"-",U1813,"-",C1813)</f>
        <v>PO2-H4-42913</v>
      </c>
      <c r="F1813" s="20" t="s">
        <v>106</v>
      </c>
      <c r="G1813" s="20" t="s">
        <v>278</v>
      </c>
      <c r="J1813" s="21">
        <v>1073</v>
      </c>
      <c r="T1813" s="16" t="s">
        <v>127</v>
      </c>
      <c r="U1813" s="16" t="s">
        <v>151</v>
      </c>
      <c r="AP1813" s="16">
        <f>SUM(AL1813:AN1813)</f>
        <v>0</v>
      </c>
      <c r="AT1813" s="16" t="s">
        <v>285</v>
      </c>
      <c r="AY1813" s="18"/>
      <c r="BG1813" s="23"/>
      <c r="BT1813" s="23"/>
      <c r="CD1813" s="23"/>
      <c r="DF1813" s="16" t="e">
        <f>VLOOKUP(K1813,'[3]RNA Seq summary tables'!$V$3:$V$99,1,FALSE)</f>
        <v>#N/A</v>
      </c>
      <c r="JR1813" s="27"/>
      <c r="JS1813" s="27"/>
      <c r="JT1813" s="27"/>
      <c r="JU1813" s="27"/>
      <c r="JV1813" s="27"/>
      <c r="JW1813" s="27"/>
      <c r="JX1813" s="27"/>
      <c r="JY1813" s="27"/>
      <c r="JZ1813" s="27"/>
      <c r="KA1813" s="27"/>
      <c r="KB1813" s="27"/>
    </row>
    <row r="1814" spans="1:288" x14ac:dyDescent="0.2">
      <c r="B1814" s="16">
        <v>2017</v>
      </c>
      <c r="C1814" s="73">
        <v>42894</v>
      </c>
      <c r="D1814" s="73" t="str">
        <f>CONCATENATE(J1814,"-",C1814)</f>
        <v>1074-42894</v>
      </c>
      <c r="E1814" s="20" t="str">
        <f>CONCATENATE(T1814,"-",U1814,"-",C1814)</f>
        <v>PO2-B7-42894</v>
      </c>
      <c r="F1814" s="20" t="s">
        <v>106</v>
      </c>
      <c r="G1814" s="43" t="s">
        <v>278</v>
      </c>
      <c r="H1814" s="23"/>
      <c r="I1814" s="23"/>
      <c r="J1814" s="15">
        <v>1074</v>
      </c>
      <c r="K1814" s="15"/>
      <c r="L1814" s="23"/>
      <c r="M1814" s="15"/>
      <c r="N1814" s="15"/>
      <c r="O1814" s="15"/>
      <c r="P1814" s="23"/>
      <c r="Q1814" s="23"/>
      <c r="R1814" s="23"/>
      <c r="S1814" s="23"/>
      <c r="T1814" s="23" t="s">
        <v>127</v>
      </c>
      <c r="U1814" s="23" t="s">
        <v>168</v>
      </c>
      <c r="V1814" s="23"/>
      <c r="W1814" s="23"/>
      <c r="X1814" s="23"/>
      <c r="Y1814" s="23"/>
      <c r="Z1814" s="23"/>
      <c r="AA1814" s="23"/>
      <c r="AB1814" s="23"/>
      <c r="AC1814" s="23"/>
      <c r="AD1814" s="23"/>
      <c r="AE1814" s="23"/>
      <c r="AF1814" s="23"/>
      <c r="AG1814" s="23"/>
      <c r="AH1814" s="23"/>
      <c r="AI1814" s="23"/>
      <c r="AJ1814" s="23"/>
      <c r="AK1814" s="23"/>
      <c r="AL1814" s="23"/>
      <c r="AM1814" s="23"/>
      <c r="AN1814" s="23"/>
      <c r="AO1814" s="23"/>
      <c r="AP1814" s="23">
        <f>SUM(AL1814:AN1814)</f>
        <v>0</v>
      </c>
      <c r="AQ1814" s="23"/>
      <c r="AR1814" s="23"/>
      <c r="AS1814" s="23"/>
      <c r="AT1814" s="23" t="s">
        <v>285</v>
      </c>
      <c r="AU1814" s="23"/>
      <c r="AV1814" s="23"/>
      <c r="AW1814" s="23"/>
      <c r="AX1814" s="23"/>
      <c r="AY1814" s="25"/>
      <c r="AZ1814" s="23"/>
      <c r="BA1814" s="23"/>
      <c r="BB1814" s="23"/>
      <c r="BC1814" s="23"/>
      <c r="BD1814" s="23"/>
      <c r="BE1814" s="23"/>
      <c r="BF1814" s="23"/>
      <c r="BG1814" s="23"/>
      <c r="BH1814" s="23"/>
      <c r="BI1814" s="23"/>
      <c r="BJ1814" s="23"/>
      <c r="BK1814" s="23"/>
      <c r="BL1814" s="23"/>
      <c r="BM1814" s="23"/>
      <c r="BN1814" s="23"/>
      <c r="BO1814" s="23"/>
      <c r="BP1814" s="23"/>
      <c r="BQ1814" s="23"/>
      <c r="BR1814" s="23"/>
      <c r="BS1814" s="23"/>
      <c r="BT1814" s="23"/>
      <c r="BU1814" s="23"/>
      <c r="BV1814" s="23"/>
      <c r="BW1814" s="23"/>
      <c r="BX1814" s="23"/>
      <c r="BY1814" s="23"/>
      <c r="BZ1814" s="23"/>
      <c r="CA1814" s="23"/>
      <c r="CB1814" s="23"/>
      <c r="CC1814" s="23"/>
      <c r="CD1814" s="23"/>
      <c r="CE1814" s="23"/>
      <c r="CF1814" s="23"/>
      <c r="CG1814" s="23"/>
      <c r="CH1814" s="23"/>
      <c r="CI1814" s="23"/>
      <c r="CJ1814" s="23"/>
      <c r="CK1814" s="23"/>
      <c r="CL1814" s="23"/>
      <c r="CM1814" s="23"/>
      <c r="CN1814" s="23"/>
      <c r="CO1814" s="23"/>
      <c r="CP1814" s="23"/>
      <c r="CQ1814" s="23"/>
      <c r="CR1814" s="23"/>
      <c r="CS1814" s="23"/>
      <c r="CT1814" s="23"/>
      <c r="CU1814" s="23"/>
      <c r="CV1814" s="23"/>
      <c r="CW1814" s="23"/>
      <c r="CX1814" s="23"/>
      <c r="CY1814" s="23"/>
      <c r="CZ1814" s="23"/>
      <c r="DA1814" s="23"/>
      <c r="DB1814" s="23"/>
      <c r="DC1814" s="23"/>
      <c r="DD1814" s="23"/>
      <c r="DE1814" s="23"/>
      <c r="DF1814" s="16" t="e">
        <f>VLOOKUP(K1814,'[3]RNA Seq summary tables'!$V$3:$V$99,1,FALSE)</f>
        <v>#N/A</v>
      </c>
      <c r="DG1814" s="23"/>
      <c r="DH1814" s="23"/>
      <c r="DI1814" s="23"/>
      <c r="DJ1814" s="23"/>
      <c r="DK1814" s="23"/>
      <c r="DL1814" s="23"/>
      <c r="DM1814" s="23"/>
      <c r="DN1814" s="23"/>
      <c r="DO1814" s="23"/>
      <c r="DP1814" s="23"/>
      <c r="DQ1814" s="23"/>
      <c r="DR1814" s="23"/>
      <c r="DS1814" s="23"/>
    </row>
    <row r="1815" spans="1:288" x14ac:dyDescent="0.2">
      <c r="B1815" s="16">
        <v>2017</v>
      </c>
      <c r="C1815" s="66">
        <v>42895</v>
      </c>
      <c r="D1815" s="66" t="str">
        <f>CONCATENATE(J1815,"-",C1815)</f>
        <v>1074-42895</v>
      </c>
      <c r="E1815" s="20" t="str">
        <f>CONCATENATE(T1815,"-",U1815,"-",C1815)</f>
        <v>PO2-B6-42895</v>
      </c>
      <c r="F1815" s="20" t="s">
        <v>106</v>
      </c>
      <c r="G1815" s="20" t="s">
        <v>278</v>
      </c>
      <c r="J1815" s="21">
        <v>1074</v>
      </c>
      <c r="T1815" s="16" t="s">
        <v>127</v>
      </c>
      <c r="U1815" s="16" t="s">
        <v>132</v>
      </c>
      <c r="AP1815" s="16">
        <f>SUM(AL1815:AN1815)</f>
        <v>0</v>
      </c>
      <c r="AT1815" s="16" t="s">
        <v>285</v>
      </c>
      <c r="AY1815" s="18"/>
      <c r="BG1815" s="23"/>
      <c r="BT1815" s="23"/>
      <c r="CD1815" s="23"/>
      <c r="DF1815" s="16" t="e">
        <f>VLOOKUP(K1815,'[3]RNA Seq summary tables'!$V$3:$V$99,1,FALSE)</f>
        <v>#N/A</v>
      </c>
    </row>
    <row r="1816" spans="1:288" x14ac:dyDescent="0.2">
      <c r="B1816" s="16">
        <v>2017</v>
      </c>
      <c r="C1816" s="66">
        <v>42894</v>
      </c>
      <c r="D1816" s="66" t="str">
        <f>CONCATENATE(J1816,"-",C1816)</f>
        <v>1075-42894</v>
      </c>
      <c r="E1816" s="20" t="str">
        <f>CONCATENATE(T1816,"-",U1816,"-",C1816)</f>
        <v>PO2-D3-42894</v>
      </c>
      <c r="F1816" s="20" t="s">
        <v>106</v>
      </c>
      <c r="G1816" s="20" t="s">
        <v>278</v>
      </c>
      <c r="J1816" s="21">
        <v>1075</v>
      </c>
      <c r="T1816" s="16" t="s">
        <v>127</v>
      </c>
      <c r="U1816" s="16" t="s">
        <v>149</v>
      </c>
      <c r="AP1816" s="16">
        <f>SUM(AL1816:AN1816)</f>
        <v>0</v>
      </c>
      <c r="AT1816" s="16" t="s">
        <v>285</v>
      </c>
      <c r="AY1816" s="18"/>
      <c r="BG1816" s="23"/>
      <c r="BT1816" s="23"/>
      <c r="CD1816" s="23"/>
      <c r="DF1816" s="16" t="e">
        <f>VLOOKUP(K1816,'[3]RNA Seq summary tables'!$V$3:$V$99,1,FALSE)</f>
        <v>#N/A</v>
      </c>
    </row>
    <row r="1817" spans="1:288" x14ac:dyDescent="0.2">
      <c r="B1817" s="16">
        <v>2017</v>
      </c>
      <c r="C1817" s="66">
        <v>42895</v>
      </c>
      <c r="D1817" s="66" t="str">
        <f>CONCATENATE(J1817,"-",C1817)</f>
        <v>1075-42895</v>
      </c>
      <c r="E1817" s="20" t="str">
        <f>CONCATENATE(T1817,"-",U1817,"-",C1817)</f>
        <v>PO2-C2-42895</v>
      </c>
      <c r="F1817" s="20" t="s">
        <v>106</v>
      </c>
      <c r="G1817" s="20" t="s">
        <v>278</v>
      </c>
      <c r="J1817" s="21">
        <v>1075</v>
      </c>
      <c r="T1817" s="16" t="s">
        <v>127</v>
      </c>
      <c r="U1817" s="16" t="s">
        <v>162</v>
      </c>
      <c r="AP1817" s="16">
        <f>SUM(AL1817:AN1817)</f>
        <v>0</v>
      </c>
      <c r="AT1817" s="16" t="s">
        <v>285</v>
      </c>
      <c r="AY1817" s="18"/>
      <c r="BG1817" s="23"/>
      <c r="BT1817" s="23"/>
      <c r="CD1817" s="23"/>
      <c r="DF1817" s="16" t="e">
        <f>VLOOKUP(K1817,'[3]RNA Seq summary tables'!$V$3:$V$99,1,FALSE)</f>
        <v>#N/A</v>
      </c>
      <c r="JO1817" s="18"/>
    </row>
    <row r="1818" spans="1:288" x14ac:dyDescent="0.2">
      <c r="B1818" s="16">
        <v>2017</v>
      </c>
      <c r="C1818" s="20">
        <v>42912</v>
      </c>
      <c r="D1818" s="20" t="str">
        <f>CONCATENATE(J1818,"-",C1818)</f>
        <v>1075-42912</v>
      </c>
      <c r="E1818" s="20" t="str">
        <f>CONCATENATE(T1818,"-",U1818,"-",C1818)</f>
        <v>PO2-C4-42912</v>
      </c>
      <c r="F1818" s="20" t="s">
        <v>106</v>
      </c>
      <c r="G1818" s="20" t="s">
        <v>278</v>
      </c>
      <c r="J1818" s="21">
        <v>1075</v>
      </c>
      <c r="T1818" s="16" t="s">
        <v>127</v>
      </c>
      <c r="U1818" s="16" t="s">
        <v>229</v>
      </c>
      <c r="AP1818" s="16">
        <f>SUM(AL1818:AN1818)</f>
        <v>0</v>
      </c>
      <c r="AT1818" s="16" t="s">
        <v>285</v>
      </c>
      <c r="AY1818" s="18"/>
      <c r="BG1818" s="23"/>
      <c r="BT1818" s="23"/>
      <c r="CD1818" s="23"/>
      <c r="DF1818" s="16" t="e">
        <f>VLOOKUP(K1818,'[3]RNA Seq summary tables'!$V$3:$V$99,1,FALSE)</f>
        <v>#N/A</v>
      </c>
    </row>
    <row r="1819" spans="1:288" x14ac:dyDescent="0.2">
      <c r="B1819" s="16">
        <v>2017</v>
      </c>
      <c r="C1819" s="20">
        <v>42913</v>
      </c>
      <c r="D1819" s="20" t="str">
        <f>CONCATENATE(J1819,"-",C1819)</f>
        <v>1075-42913</v>
      </c>
      <c r="E1819" s="20" t="str">
        <f>CONCATENATE(T1819,"-",U1819,"-",C1819)</f>
        <v>PO2-A2-42913</v>
      </c>
      <c r="F1819" s="20" t="s">
        <v>106</v>
      </c>
      <c r="G1819" s="20" t="s">
        <v>278</v>
      </c>
      <c r="J1819" s="21">
        <v>1075</v>
      </c>
      <c r="T1819" s="16" t="s">
        <v>127</v>
      </c>
      <c r="U1819" s="16" t="s">
        <v>171</v>
      </c>
      <c r="AP1819" s="16">
        <f>SUM(AL1819:AN1819)</f>
        <v>0</v>
      </c>
      <c r="AT1819" s="16" t="s">
        <v>285</v>
      </c>
      <c r="AY1819" s="18"/>
      <c r="BG1819" s="23"/>
      <c r="BT1819" s="23"/>
      <c r="CD1819" s="23"/>
      <c r="DF1819" s="16" t="e">
        <f>VLOOKUP(K1819,'[3]RNA Seq summary tables'!$V$3:$V$99,1,FALSE)</f>
        <v>#N/A</v>
      </c>
    </row>
    <row r="1820" spans="1:288" x14ac:dyDescent="0.2">
      <c r="B1820" s="16">
        <v>2017</v>
      </c>
      <c r="C1820" s="66">
        <v>42894</v>
      </c>
      <c r="D1820" s="66" t="str">
        <f>CONCATENATE(J1820,"-",C1820)</f>
        <v>1076-42894</v>
      </c>
      <c r="E1820" s="20" t="str">
        <f>CONCATENATE(T1820,"-",U1820,"-",C1820)</f>
        <v>PO2-F5-42894</v>
      </c>
      <c r="F1820" s="20" t="s">
        <v>106</v>
      </c>
      <c r="G1820" s="20" t="s">
        <v>278</v>
      </c>
      <c r="J1820" s="21">
        <v>1076</v>
      </c>
      <c r="T1820" s="16" t="s">
        <v>127</v>
      </c>
      <c r="U1820" s="16" t="s">
        <v>185</v>
      </c>
      <c r="AP1820" s="16">
        <f>SUM(AL1820:AN1820)</f>
        <v>0</v>
      </c>
      <c r="AT1820" s="16" t="s">
        <v>285</v>
      </c>
      <c r="AY1820" s="18"/>
      <c r="BG1820" s="23"/>
      <c r="BT1820" s="23"/>
      <c r="CD1820" s="23"/>
      <c r="DF1820" s="16" t="e">
        <f>VLOOKUP(K1820,'[3]RNA Seq summary tables'!$V$3:$V$99,1,FALSE)</f>
        <v>#N/A</v>
      </c>
    </row>
    <row r="1821" spans="1:288" x14ac:dyDescent="0.2">
      <c r="B1821" s="16">
        <v>2017</v>
      </c>
      <c r="C1821" s="20">
        <v>42912</v>
      </c>
      <c r="D1821" s="20" t="str">
        <f>CONCATENATE(J1821,"-",C1821)</f>
        <v>1076-42912</v>
      </c>
      <c r="E1821" s="20" t="str">
        <f>CONCATENATE(T1821,"-",U1821,"-",C1821)</f>
        <v>PO2-H3-42912</v>
      </c>
      <c r="F1821" s="20" t="s">
        <v>106</v>
      </c>
      <c r="G1821" s="20" t="s">
        <v>278</v>
      </c>
      <c r="J1821" s="21">
        <v>1076</v>
      </c>
      <c r="T1821" s="16" t="s">
        <v>127</v>
      </c>
      <c r="U1821" s="16" t="s">
        <v>174</v>
      </c>
      <c r="AP1821" s="16">
        <f>SUM(AL1821:AN1821)</f>
        <v>0</v>
      </c>
      <c r="AT1821" s="16" t="s">
        <v>285</v>
      </c>
      <c r="AY1821" s="18"/>
      <c r="BG1821" s="23"/>
      <c r="BT1821" s="23"/>
      <c r="CD1821" s="23"/>
      <c r="DF1821" s="16" t="e">
        <f>VLOOKUP(K1821,'[3]RNA Seq summary tables'!$V$3:$V$99,1,FALSE)</f>
        <v>#N/A</v>
      </c>
      <c r="JR1821" s="18"/>
      <c r="JS1821" s="18"/>
      <c r="JT1821" s="18"/>
      <c r="JU1821" s="18"/>
      <c r="JV1821" s="18"/>
      <c r="JW1821" s="18"/>
      <c r="JX1821" s="18"/>
      <c r="JY1821" s="18"/>
      <c r="JZ1821" s="18"/>
      <c r="KA1821" s="18"/>
      <c r="KB1821" s="18"/>
    </row>
    <row r="1822" spans="1:288" x14ac:dyDescent="0.2">
      <c r="B1822" s="16">
        <v>2017</v>
      </c>
      <c r="C1822" s="20">
        <v>42913</v>
      </c>
      <c r="D1822" s="20" t="str">
        <f>CONCATENATE(J1822,"-",C1822)</f>
        <v>1076-42913</v>
      </c>
      <c r="E1822" s="20" t="str">
        <f>CONCATENATE(T1822,"-",U1822,"-",C1822)</f>
        <v>PO2-G4-42913</v>
      </c>
      <c r="F1822" s="20" t="s">
        <v>106</v>
      </c>
      <c r="G1822" s="20" t="s">
        <v>278</v>
      </c>
      <c r="J1822" s="21">
        <v>1076</v>
      </c>
      <c r="T1822" s="16" t="s">
        <v>127</v>
      </c>
      <c r="U1822" s="16" t="s">
        <v>173</v>
      </c>
      <c r="AP1822" s="16">
        <f>SUM(AL1822:AN1822)</f>
        <v>0</v>
      </c>
      <c r="AT1822" s="16" t="s">
        <v>285</v>
      </c>
      <c r="AY1822" s="18"/>
      <c r="BG1822" s="23"/>
      <c r="BT1822" s="23"/>
      <c r="CD1822" s="23"/>
      <c r="DF1822" s="16" t="e">
        <f>VLOOKUP(K1822,'[3]RNA Seq summary tables'!$V$3:$V$99,1,FALSE)</f>
        <v>#N/A</v>
      </c>
      <c r="JR1822" s="27"/>
      <c r="JS1822" s="27"/>
      <c r="JT1822" s="27"/>
      <c r="JU1822" s="27"/>
      <c r="JV1822" s="27"/>
      <c r="JW1822" s="27"/>
      <c r="JX1822" s="27"/>
      <c r="JY1822" s="27"/>
      <c r="JZ1822" s="27"/>
      <c r="KA1822" s="27"/>
      <c r="KB1822" s="27"/>
    </row>
    <row r="1823" spans="1:288" x14ac:dyDescent="0.2">
      <c r="B1823" s="16">
        <v>2017</v>
      </c>
      <c r="C1823" s="20">
        <v>42964</v>
      </c>
      <c r="D1823" s="20" t="str">
        <f>CONCATENATE(J1823,"-",C1823)</f>
        <v>1076-42964</v>
      </c>
      <c r="E1823" s="20" t="str">
        <f>CONCATENATE(T1823,"-",U1823,"-",C1823)</f>
        <v>PO2-H6-42964</v>
      </c>
      <c r="F1823" s="20" t="s">
        <v>106</v>
      </c>
      <c r="G1823" s="20" t="s">
        <v>278</v>
      </c>
      <c r="J1823" s="21">
        <v>1076</v>
      </c>
      <c r="T1823" s="16" t="s">
        <v>127</v>
      </c>
      <c r="U1823" s="16" t="s">
        <v>141</v>
      </c>
      <c r="AP1823" s="16">
        <f>SUM(AL1823:AN1823)</f>
        <v>0</v>
      </c>
      <c r="AT1823" s="16" t="s">
        <v>285</v>
      </c>
      <c r="AY1823" s="18"/>
      <c r="BG1823" s="23"/>
      <c r="BT1823" s="23"/>
      <c r="CD1823" s="23"/>
      <c r="DF1823" s="16" t="e">
        <f>VLOOKUP(K1823,'[3]RNA Seq summary tables'!$V$3:$V$99,1,FALSE)</f>
        <v>#N/A</v>
      </c>
      <c r="JO1823" s="27"/>
    </row>
    <row r="1824" spans="1:288" x14ac:dyDescent="0.2">
      <c r="B1824" s="16">
        <v>2017</v>
      </c>
      <c r="C1824" s="20">
        <v>42965</v>
      </c>
      <c r="D1824" s="20" t="str">
        <f>CONCATENATE(J1824,"-",C1824)</f>
        <v>1076-42965</v>
      </c>
      <c r="E1824" s="20" t="str">
        <f>CONCATENATE(T1824,"-",U1824,"-",C1824)</f>
        <v>PO2-F7-42965</v>
      </c>
      <c r="F1824" s="20" t="s">
        <v>106</v>
      </c>
      <c r="G1824" s="20" t="s">
        <v>278</v>
      </c>
      <c r="J1824" s="21">
        <v>1076</v>
      </c>
      <c r="T1824" s="16" t="s">
        <v>127</v>
      </c>
      <c r="U1824" s="16" t="s">
        <v>189</v>
      </c>
      <c r="AP1824" s="16">
        <f>SUM(AL1824:AN1824)</f>
        <v>0</v>
      </c>
      <c r="AT1824" s="16" t="s">
        <v>285</v>
      </c>
      <c r="AY1824" s="18"/>
      <c r="BG1824" s="23"/>
      <c r="BT1824" s="23"/>
      <c r="CD1824" s="23"/>
      <c r="DF1824" s="16" t="e">
        <f>VLOOKUP(K1824,'[3]RNA Seq summary tables'!$V$3:$V$99,1,FALSE)</f>
        <v>#N/A</v>
      </c>
      <c r="JO1824" s="27"/>
    </row>
    <row r="1825" spans="1:288" x14ac:dyDescent="0.2">
      <c r="B1825" s="16">
        <v>2017</v>
      </c>
      <c r="C1825" s="20">
        <v>42976</v>
      </c>
      <c r="D1825" s="20" t="str">
        <f>CONCATENATE(J1825,"-",C1825)</f>
        <v>1076-42976</v>
      </c>
      <c r="E1825" s="20" t="str">
        <f>CONCATENATE(T1825,"-",U1825,"-",C1825)</f>
        <v>PO2-G6-42976</v>
      </c>
      <c r="F1825" s="20" t="s">
        <v>224</v>
      </c>
      <c r="G1825" s="20" t="s">
        <v>278</v>
      </c>
      <c r="J1825" s="21">
        <v>1076</v>
      </c>
      <c r="T1825" s="16" t="s">
        <v>127</v>
      </c>
      <c r="U1825" s="16" t="s">
        <v>218</v>
      </c>
      <c r="AP1825" s="16">
        <f>SUM(AL1825:AN1825)</f>
        <v>0</v>
      </c>
      <c r="AT1825" s="16" t="s">
        <v>285</v>
      </c>
      <c r="AY1825" s="18"/>
      <c r="BG1825" s="23"/>
      <c r="BT1825" s="23"/>
      <c r="CD1825" s="23"/>
      <c r="DF1825" s="16" t="e">
        <f>VLOOKUP(K1825,'[3]RNA Seq summary tables'!$V$3:$V$99,1,FALSE)</f>
        <v>#N/A</v>
      </c>
      <c r="JO1825" s="27"/>
    </row>
    <row r="1826" spans="1:288" x14ac:dyDescent="0.2">
      <c r="B1826" s="16">
        <v>2017</v>
      </c>
      <c r="C1826" s="66">
        <v>42894</v>
      </c>
      <c r="D1826" s="66" t="str">
        <f>CONCATENATE(J1826,"-",C1826)</f>
        <v>1077-42894</v>
      </c>
      <c r="E1826" s="20" t="str">
        <f>CONCATENATE(T1826,"-",U1826,"-",C1826)</f>
        <v>PO2-F2-42894</v>
      </c>
      <c r="F1826" s="20" t="s">
        <v>106</v>
      </c>
      <c r="G1826" s="20" t="s">
        <v>278</v>
      </c>
      <c r="J1826" s="21">
        <v>1077</v>
      </c>
      <c r="T1826" s="16" t="s">
        <v>127</v>
      </c>
      <c r="U1826" s="16" t="s">
        <v>187</v>
      </c>
      <c r="AP1826" s="16">
        <f>SUM(AL1826:AN1826)</f>
        <v>0</v>
      </c>
      <c r="AT1826" s="16" t="s">
        <v>285</v>
      </c>
      <c r="AY1826" s="18"/>
      <c r="BG1826" s="23"/>
      <c r="BT1826" s="23"/>
      <c r="CD1826" s="23"/>
      <c r="DF1826" s="16" t="e">
        <f>VLOOKUP(K1826,'[3]RNA Seq summary tables'!$V$3:$V$99,1,FALSE)</f>
        <v>#N/A</v>
      </c>
    </row>
    <row r="1827" spans="1:288" x14ac:dyDescent="0.2">
      <c r="A1827" s="26"/>
      <c r="B1827" s="26">
        <v>2017</v>
      </c>
      <c r="C1827" s="72">
        <v>42895</v>
      </c>
      <c r="D1827" s="72" t="str">
        <f>CONCATENATE(J1827,"-",C1827)</f>
        <v>1077-42895</v>
      </c>
      <c r="E1827" s="20" t="str">
        <f>CONCATENATE(T1827,"-",U1827,"-",C1827)</f>
        <v>PO2-F3-42895</v>
      </c>
      <c r="F1827" s="20" t="s">
        <v>106</v>
      </c>
      <c r="G1827" s="44" t="s">
        <v>278</v>
      </c>
      <c r="H1827" s="26"/>
      <c r="I1827" s="26"/>
      <c r="J1827" s="45">
        <v>1077</v>
      </c>
      <c r="K1827" s="45"/>
      <c r="L1827" s="26"/>
      <c r="M1827" s="45"/>
      <c r="N1827" s="45"/>
      <c r="O1827" s="45"/>
      <c r="P1827" s="26"/>
      <c r="Q1827" s="26"/>
      <c r="R1827" s="26"/>
      <c r="S1827" s="26"/>
      <c r="T1827" s="26" t="s">
        <v>127</v>
      </c>
      <c r="U1827" s="26" t="s">
        <v>182</v>
      </c>
      <c r="V1827" s="26"/>
      <c r="W1827" s="26"/>
      <c r="X1827" s="26"/>
      <c r="Y1827" s="26"/>
      <c r="Z1827" s="26"/>
      <c r="AA1827" s="26"/>
      <c r="AB1827" s="26"/>
      <c r="AC1827" s="26"/>
      <c r="AD1827" s="26"/>
      <c r="AE1827" s="26"/>
      <c r="AF1827" s="26"/>
      <c r="AG1827" s="26"/>
      <c r="AH1827" s="26"/>
      <c r="AI1827" s="26"/>
      <c r="AJ1827" s="26"/>
      <c r="AK1827" s="26"/>
      <c r="AL1827" s="26"/>
      <c r="AM1827" s="26"/>
      <c r="AN1827" s="26"/>
      <c r="AO1827" s="26"/>
      <c r="AP1827" s="26">
        <f>SUM(AL1827:AN1827)</f>
        <v>0</v>
      </c>
      <c r="AQ1827" s="26">
        <v>1.9359999999999999</v>
      </c>
      <c r="AR1827" s="26">
        <f>AP1827-1.472</f>
        <v>-1.472</v>
      </c>
      <c r="AS1827" s="26">
        <f>AQ1827-1.472</f>
        <v>0.46399999999999997</v>
      </c>
      <c r="AT1827" s="47" t="s">
        <v>284</v>
      </c>
      <c r="AU1827" s="47"/>
      <c r="AV1827" s="47"/>
      <c r="AW1827" s="26"/>
      <c r="AX1827" s="26"/>
      <c r="AY1827" s="26"/>
      <c r="AZ1827" s="26"/>
      <c r="BA1827" s="26"/>
      <c r="BB1827" s="26"/>
      <c r="BC1827" s="26"/>
      <c r="BD1827" s="26"/>
      <c r="BE1827" s="26"/>
      <c r="BF1827" s="26"/>
      <c r="BG1827" s="48"/>
      <c r="BH1827" s="26"/>
      <c r="BI1827" s="26"/>
      <c r="BJ1827" s="26"/>
      <c r="BK1827" s="26"/>
      <c r="BL1827" s="26"/>
      <c r="BM1827" s="26"/>
      <c r="BN1827" s="26"/>
      <c r="BO1827" s="26"/>
      <c r="BP1827" s="26"/>
      <c r="BQ1827" s="26"/>
      <c r="BR1827" s="26"/>
      <c r="BS1827" s="26"/>
      <c r="BT1827" s="48"/>
      <c r="BU1827" s="26"/>
      <c r="BV1827" s="26"/>
      <c r="BW1827" s="26"/>
      <c r="BX1827" s="26"/>
      <c r="BY1827" s="26"/>
      <c r="BZ1827" s="26"/>
      <c r="CA1827" s="26"/>
      <c r="CB1827" s="26"/>
      <c r="CC1827" s="26"/>
      <c r="CD1827" s="48"/>
      <c r="CE1827" s="26"/>
      <c r="CF1827" s="26"/>
      <c r="CG1827" s="26"/>
      <c r="CH1827" s="26"/>
      <c r="CI1827" s="26"/>
      <c r="CJ1827" s="26"/>
      <c r="CK1827" s="26"/>
      <c r="CL1827" s="26"/>
      <c r="CM1827" s="26"/>
      <c r="CN1827" s="26"/>
      <c r="CO1827" s="26"/>
      <c r="CP1827" s="26"/>
      <c r="CQ1827" s="26"/>
      <c r="CR1827" s="26"/>
      <c r="CS1827" s="26"/>
      <c r="CT1827" s="26"/>
      <c r="CU1827" s="26"/>
      <c r="CV1827" s="26"/>
      <c r="CW1827" s="26"/>
      <c r="CX1827" s="26"/>
      <c r="CY1827" s="26"/>
      <c r="CZ1827" s="26"/>
      <c r="DA1827" s="26"/>
      <c r="DB1827" s="26"/>
      <c r="DC1827" s="26"/>
      <c r="DD1827" s="26"/>
      <c r="DE1827" s="26"/>
      <c r="DF1827" s="16" t="e">
        <f>VLOOKUP(K1827,'[3]RNA Seq summary tables'!$V$3:$V$99,1,FALSE)</f>
        <v>#N/A</v>
      </c>
      <c r="DG1827" s="26"/>
      <c r="DH1827" s="26"/>
      <c r="DI1827" s="26"/>
      <c r="DJ1827" s="26"/>
      <c r="DK1827" s="26"/>
      <c r="DL1827" s="26"/>
      <c r="DM1827" s="26"/>
      <c r="DN1827" s="26"/>
      <c r="DO1827" s="26"/>
      <c r="DP1827" s="26"/>
      <c r="DQ1827" s="26"/>
      <c r="DR1827" s="26"/>
      <c r="DS1827" s="26"/>
    </row>
    <row r="1828" spans="1:288" x14ac:dyDescent="0.2">
      <c r="B1828" s="16">
        <v>2017</v>
      </c>
      <c r="C1828" s="20">
        <v>42929</v>
      </c>
      <c r="D1828" s="20" t="str">
        <f>CONCATENATE(J1828,"-",C1828)</f>
        <v>1077-42929</v>
      </c>
      <c r="E1828" s="20" t="str">
        <f>CONCATENATE(T1828,"-",U1828,"-",C1828)</f>
        <v>PO2-E1-42929</v>
      </c>
      <c r="F1828" s="20" t="s">
        <v>106</v>
      </c>
      <c r="G1828" s="20" t="s">
        <v>278</v>
      </c>
      <c r="J1828" s="21">
        <v>1077</v>
      </c>
      <c r="T1828" s="16" t="s">
        <v>127</v>
      </c>
      <c r="U1828" s="16" t="s">
        <v>222</v>
      </c>
      <c r="AP1828" s="16">
        <f>SUM(AL1828:AN1828)</f>
        <v>0</v>
      </c>
      <c r="AT1828" s="16" t="s">
        <v>285</v>
      </c>
      <c r="AY1828" s="18"/>
      <c r="BG1828" s="23"/>
      <c r="BT1828" s="23"/>
      <c r="CD1828" s="23"/>
      <c r="DF1828" s="16" t="e">
        <f>VLOOKUP(K1828,'[3]RNA Seq summary tables'!$V$3:$V$99,1,FALSE)</f>
        <v>#N/A</v>
      </c>
      <c r="JR1828" s="27"/>
      <c r="JS1828" s="27"/>
      <c r="JT1828" s="27"/>
      <c r="JU1828" s="27"/>
      <c r="JV1828" s="27"/>
      <c r="JW1828" s="27"/>
      <c r="JX1828" s="27"/>
      <c r="JY1828" s="27"/>
      <c r="JZ1828" s="27"/>
      <c r="KA1828" s="27"/>
      <c r="KB1828" s="27"/>
    </row>
    <row r="1829" spans="1:288" x14ac:dyDescent="0.2">
      <c r="B1829" s="16">
        <v>2017</v>
      </c>
      <c r="C1829" s="66">
        <v>42895</v>
      </c>
      <c r="D1829" s="66" t="str">
        <f>CONCATENATE(J1829,"-",C1829)</f>
        <v>1078-42895</v>
      </c>
      <c r="E1829" s="20" t="str">
        <f>CONCATENATE(T1829,"-",U1829,"-",C1829)</f>
        <v>PO2-H5-42895</v>
      </c>
      <c r="F1829" s="20" t="s">
        <v>106</v>
      </c>
      <c r="G1829" s="20" t="s">
        <v>278</v>
      </c>
      <c r="J1829" s="21">
        <v>1078</v>
      </c>
      <c r="T1829" s="16" t="s">
        <v>127</v>
      </c>
      <c r="U1829" s="16" t="s">
        <v>180</v>
      </c>
      <c r="AP1829" s="16">
        <f>SUM(AL1829:AN1829)</f>
        <v>0</v>
      </c>
      <c r="AT1829" s="16" t="s">
        <v>285</v>
      </c>
      <c r="AY1829" s="18"/>
      <c r="BG1829" s="23"/>
      <c r="BT1829" s="23"/>
      <c r="CD1829" s="23"/>
      <c r="DF1829" s="16" t="e">
        <f>VLOOKUP(K1829,'[3]RNA Seq summary tables'!$V$3:$V$99,1,FALSE)</f>
        <v>#N/A</v>
      </c>
    </row>
    <row r="1830" spans="1:288" x14ac:dyDescent="0.2">
      <c r="B1830" s="16">
        <v>2017</v>
      </c>
      <c r="C1830" s="20">
        <v>42912</v>
      </c>
      <c r="D1830" s="20" t="str">
        <f>CONCATENATE(J1830,"-",C1830)</f>
        <v>1078-42912</v>
      </c>
      <c r="E1830" s="20" t="str">
        <f>CONCATENATE(T1830,"-",U1830,"-",C1830)</f>
        <v>PO2-H6-42912</v>
      </c>
      <c r="F1830" s="20" t="s">
        <v>106</v>
      </c>
      <c r="G1830" s="20" t="s">
        <v>278</v>
      </c>
      <c r="J1830" s="21">
        <v>1078</v>
      </c>
      <c r="T1830" s="16" t="s">
        <v>127</v>
      </c>
      <c r="U1830" s="16" t="s">
        <v>141</v>
      </c>
      <c r="AP1830" s="16">
        <f>SUM(AL1830:AN1830)</f>
        <v>0</v>
      </c>
      <c r="AT1830" s="16" t="s">
        <v>285</v>
      </c>
      <c r="AY1830" s="18"/>
      <c r="BG1830" s="23"/>
      <c r="BT1830" s="23"/>
      <c r="CD1830" s="23"/>
      <c r="DF1830" s="16" t="e">
        <f>VLOOKUP(K1830,'[3]RNA Seq summary tables'!$V$3:$V$99,1,FALSE)</f>
        <v>#N/A</v>
      </c>
    </row>
    <row r="1831" spans="1:288" x14ac:dyDescent="0.2">
      <c r="B1831" s="16">
        <v>2017</v>
      </c>
      <c r="C1831" s="73">
        <v>42895</v>
      </c>
      <c r="D1831" s="73" t="str">
        <f>CONCATENATE(J1831,"-",C1831)</f>
        <v>1079-42895</v>
      </c>
      <c r="E1831" s="20" t="str">
        <f>CONCATENATE(T1831,"-",U1831,"-",C1831)</f>
        <v>PO1-A5-42895</v>
      </c>
      <c r="F1831" s="20" t="s">
        <v>106</v>
      </c>
      <c r="G1831" s="43" t="s">
        <v>278</v>
      </c>
      <c r="H1831" s="23"/>
      <c r="I1831" s="23"/>
      <c r="J1831" s="15">
        <v>1079</v>
      </c>
      <c r="K1831" s="15"/>
      <c r="L1831" s="23"/>
      <c r="M1831" s="15"/>
      <c r="N1831" s="15"/>
      <c r="O1831" s="15"/>
      <c r="P1831" s="23"/>
      <c r="Q1831" s="23"/>
      <c r="R1831" s="23"/>
      <c r="S1831" s="23"/>
      <c r="T1831" s="23" t="s">
        <v>112</v>
      </c>
      <c r="U1831" s="23" t="s">
        <v>167</v>
      </c>
      <c r="V1831" s="23"/>
      <c r="W1831" s="23"/>
      <c r="X1831" s="23"/>
      <c r="Y1831" s="23"/>
      <c r="Z1831" s="23"/>
      <c r="AA1831" s="23"/>
      <c r="AB1831" s="23"/>
      <c r="AC1831" s="23"/>
      <c r="AD1831" s="23"/>
      <c r="AE1831" s="23"/>
      <c r="AF1831" s="23"/>
      <c r="AG1831" s="23"/>
      <c r="AH1831" s="23"/>
      <c r="AI1831" s="23"/>
      <c r="AJ1831" s="23"/>
      <c r="AK1831" s="23"/>
      <c r="AL1831" s="23"/>
      <c r="AM1831" s="23"/>
      <c r="AN1831" s="23"/>
      <c r="AO1831" s="23"/>
      <c r="AP1831" s="23">
        <f>SUM(AL1831:AN1831)</f>
        <v>0</v>
      </c>
      <c r="AQ1831" s="23"/>
      <c r="AR1831" s="23"/>
      <c r="AS1831" s="23"/>
      <c r="AT1831" s="23" t="s">
        <v>285</v>
      </c>
      <c r="AU1831" s="23"/>
      <c r="AV1831" s="23"/>
      <c r="AW1831" s="23"/>
      <c r="AX1831" s="23"/>
      <c r="AY1831" s="25"/>
      <c r="BA1831" s="23"/>
      <c r="BB1831" s="23"/>
      <c r="BD1831" s="23"/>
      <c r="BE1831" s="23"/>
      <c r="BG1831" s="23"/>
      <c r="BH1831" s="23"/>
      <c r="BJ1831" s="23"/>
      <c r="BK1831" s="23"/>
      <c r="BS1831" s="23"/>
      <c r="BT1831" s="23"/>
      <c r="BV1831" s="23"/>
      <c r="BY1831" s="23"/>
      <c r="CB1831" s="23"/>
      <c r="CC1831" s="23"/>
      <c r="CD1831" s="23"/>
      <c r="CE1831" s="23"/>
      <c r="CF1831" s="23"/>
      <c r="CG1831" s="23"/>
      <c r="CH1831" s="23"/>
      <c r="CI1831" s="23"/>
      <c r="CJ1831" s="23"/>
      <c r="CK1831" s="23"/>
      <c r="CL1831" s="23"/>
      <c r="CM1831" s="23"/>
      <c r="CN1831" s="23"/>
      <c r="CO1831" s="23"/>
      <c r="CP1831" s="23"/>
      <c r="CQ1831" s="23"/>
      <c r="CR1831" s="23"/>
      <c r="CV1831" s="23"/>
      <c r="CX1831" s="23"/>
      <c r="CY1831" s="23"/>
      <c r="CZ1831" s="23"/>
      <c r="DA1831" s="23"/>
      <c r="DB1831" s="23"/>
      <c r="DC1831" s="23"/>
      <c r="DD1831" s="23"/>
      <c r="DE1831" s="23"/>
      <c r="DF1831" s="16" t="e">
        <f>VLOOKUP(K1831,'[3]RNA Seq summary tables'!$V$3:$V$99,1,FALSE)</f>
        <v>#N/A</v>
      </c>
      <c r="DG1831" s="23"/>
      <c r="DH1831" s="23"/>
      <c r="DI1831" s="23"/>
      <c r="DJ1831" s="23"/>
      <c r="DK1831" s="23"/>
      <c r="DL1831" s="23"/>
      <c r="DM1831" s="23"/>
      <c r="DN1831" s="23"/>
      <c r="DO1831" s="23"/>
      <c r="DP1831" s="23"/>
      <c r="DQ1831" s="23"/>
      <c r="DR1831" s="23"/>
      <c r="DS1831" s="23"/>
      <c r="JO1831" s="18"/>
    </row>
    <row r="1832" spans="1:288" x14ac:dyDescent="0.2">
      <c r="B1832" s="16">
        <v>2017</v>
      </c>
      <c r="C1832" s="20">
        <v>42912</v>
      </c>
      <c r="D1832" s="20" t="str">
        <f>CONCATENATE(J1832,"-",C1832)</f>
        <v>1079-42912</v>
      </c>
      <c r="E1832" s="20" t="str">
        <f>CONCATENATE(T1832,"-",U1832,"-",C1832)</f>
        <v>PO1-A4-42912</v>
      </c>
      <c r="F1832" s="20" t="s">
        <v>106</v>
      </c>
      <c r="G1832" s="20" t="s">
        <v>278</v>
      </c>
      <c r="J1832" s="21">
        <v>1079</v>
      </c>
      <c r="T1832" s="16" t="s">
        <v>112</v>
      </c>
      <c r="U1832" s="16" t="s">
        <v>134</v>
      </c>
      <c r="AP1832" s="16">
        <f>SUM(AL1832:AN1832)</f>
        <v>0</v>
      </c>
      <c r="AT1832" s="16" t="s">
        <v>285</v>
      </c>
      <c r="AY1832" s="18"/>
      <c r="BG1832" s="23"/>
      <c r="BT1832" s="23"/>
      <c r="CD1832" s="23"/>
      <c r="DF1832" s="16" t="e">
        <f>VLOOKUP(K1832,'[3]RNA Seq summary tables'!$V$3:$V$99,1,FALSE)</f>
        <v>#N/A</v>
      </c>
    </row>
    <row r="1833" spans="1:288" x14ac:dyDescent="0.2">
      <c r="B1833" s="16">
        <v>2017</v>
      </c>
      <c r="C1833" s="20">
        <v>42913</v>
      </c>
      <c r="D1833" s="20" t="str">
        <f>CONCATENATE(J1833,"-",C1833)</f>
        <v>1079-42913</v>
      </c>
      <c r="E1833" s="20" t="str">
        <f>CONCATENATE(T1833,"-",U1833,"-",C1833)</f>
        <v>PO1-C1-42913</v>
      </c>
      <c r="F1833" s="20" t="s">
        <v>106</v>
      </c>
      <c r="G1833" s="20" t="s">
        <v>278</v>
      </c>
      <c r="J1833" s="21">
        <v>1079</v>
      </c>
      <c r="T1833" s="16" t="s">
        <v>112</v>
      </c>
      <c r="U1833" s="16" t="s">
        <v>150</v>
      </c>
      <c r="AP1833" s="16">
        <f>SUM(AL1833:AN1833)</f>
        <v>0</v>
      </c>
      <c r="AQ1833" s="16">
        <v>2.2429999999999999</v>
      </c>
      <c r="AR1833" s="16">
        <f>AP1833-1.472</f>
        <v>-1.472</v>
      </c>
      <c r="AS1833" s="16">
        <f>AQ1833-1.472</f>
        <v>0.77099999999999991</v>
      </c>
      <c r="AT1833" s="22" t="s">
        <v>284</v>
      </c>
      <c r="AU1833" s="22"/>
      <c r="AV1833" s="22"/>
      <c r="AY1833" s="18"/>
      <c r="BG1833" s="23"/>
      <c r="BT1833" s="23"/>
      <c r="CD1833" s="23"/>
      <c r="DF1833" s="16" t="e">
        <f>VLOOKUP(K1833,'[3]RNA Seq summary tables'!$V$3:$V$99,1,FALSE)</f>
        <v>#N/A</v>
      </c>
    </row>
    <row r="1834" spans="1:288" x14ac:dyDescent="0.2">
      <c r="B1834" s="16">
        <v>2017</v>
      </c>
      <c r="C1834" s="20">
        <v>42929</v>
      </c>
      <c r="D1834" s="20" t="str">
        <f>CONCATENATE(J1834,"-",C1834)</f>
        <v>1079-42929</v>
      </c>
      <c r="E1834" s="20" t="str">
        <f>CONCATENATE(T1834,"-",U1834,"-",C1834)</f>
        <v>PO1-B4-42929</v>
      </c>
      <c r="F1834" s="20" t="s">
        <v>106</v>
      </c>
      <c r="G1834" s="20" t="s">
        <v>278</v>
      </c>
      <c r="J1834" s="21">
        <v>1079</v>
      </c>
      <c r="T1834" s="16" t="s">
        <v>112</v>
      </c>
      <c r="U1834" s="16" t="s">
        <v>144</v>
      </c>
      <c r="AP1834" s="16">
        <f>SUM(AL1834:AN1834)</f>
        <v>0</v>
      </c>
      <c r="AT1834" s="16" t="s">
        <v>285</v>
      </c>
      <c r="AY1834" s="18"/>
      <c r="BG1834" s="23"/>
      <c r="BT1834" s="23"/>
      <c r="CD1834" s="23"/>
      <c r="DF1834" s="16" t="e">
        <f>VLOOKUP(K1834,'[3]RNA Seq summary tables'!$V$3:$V$99,1,FALSE)</f>
        <v>#N/A</v>
      </c>
      <c r="JR1834" s="27"/>
      <c r="JS1834" s="27"/>
      <c r="JT1834" s="27"/>
      <c r="JU1834" s="27"/>
      <c r="JV1834" s="27"/>
      <c r="JW1834" s="27"/>
      <c r="JX1834" s="27"/>
      <c r="JY1834" s="27"/>
      <c r="JZ1834" s="27"/>
      <c r="KA1834" s="27"/>
      <c r="KB1834" s="27"/>
    </row>
    <row r="1835" spans="1:288" x14ac:dyDescent="0.2">
      <c r="B1835" s="16">
        <v>2017</v>
      </c>
      <c r="C1835" s="20">
        <v>42947</v>
      </c>
      <c r="D1835" s="20" t="str">
        <f>CONCATENATE(J1835,"-",C1835)</f>
        <v>1079-42947</v>
      </c>
      <c r="E1835" s="20" t="str">
        <f>CONCATENATE(T1835,"-",U1835,"-",C1835)</f>
        <v>PO1-B4-42947</v>
      </c>
      <c r="F1835" s="20" t="s">
        <v>106</v>
      </c>
      <c r="G1835" s="20" t="s">
        <v>278</v>
      </c>
      <c r="J1835" s="21">
        <v>1079</v>
      </c>
      <c r="T1835" s="16" t="s">
        <v>112</v>
      </c>
      <c r="U1835" s="16" t="s">
        <v>144</v>
      </c>
      <c r="AP1835" s="16">
        <f>SUM(AL1835:AN1835)</f>
        <v>0</v>
      </c>
      <c r="AT1835" s="16" t="s">
        <v>285</v>
      </c>
      <c r="AY1835" s="18"/>
      <c r="BG1835" s="23"/>
      <c r="BT1835" s="23"/>
      <c r="CD1835" s="23"/>
      <c r="DF1835" s="16" t="e">
        <f>VLOOKUP(K1835,'[3]RNA Seq summary tables'!$V$3:$V$99,1,FALSE)</f>
        <v>#N/A</v>
      </c>
      <c r="JO1835" s="27"/>
      <c r="JP1835" s="27"/>
      <c r="JQ1835" s="27"/>
    </row>
    <row r="1836" spans="1:288" x14ac:dyDescent="0.2">
      <c r="B1836" s="16">
        <v>2017</v>
      </c>
      <c r="C1836" s="20">
        <v>42964</v>
      </c>
      <c r="D1836" s="20" t="str">
        <f>CONCATENATE(J1836,"-",C1836)</f>
        <v>1079-42964</v>
      </c>
      <c r="E1836" s="20" t="str">
        <f>CONCATENATE(T1836,"-",U1836,"-",C1836)</f>
        <v>PO1-B5-42964</v>
      </c>
      <c r="F1836" s="20" t="s">
        <v>106</v>
      </c>
      <c r="G1836" s="20" t="s">
        <v>278</v>
      </c>
      <c r="J1836" s="21">
        <v>1079</v>
      </c>
      <c r="T1836" s="16" t="s">
        <v>112</v>
      </c>
      <c r="U1836" s="16" t="s">
        <v>160</v>
      </c>
      <c r="AP1836" s="16">
        <f>SUM(AL1836:AN1836)</f>
        <v>0</v>
      </c>
      <c r="AT1836" s="16" t="s">
        <v>285</v>
      </c>
      <c r="AY1836" s="18"/>
      <c r="BG1836" s="23"/>
      <c r="BT1836" s="23"/>
      <c r="CD1836" s="23"/>
      <c r="DF1836" s="16" t="e">
        <f>VLOOKUP(K1836,'[3]RNA Seq summary tables'!$V$3:$V$99,1,FALSE)</f>
        <v>#N/A</v>
      </c>
      <c r="JO1836" s="27"/>
    </row>
    <row r="1837" spans="1:288" x14ac:dyDescent="0.2">
      <c r="B1837" s="16">
        <v>2017</v>
      </c>
      <c r="C1837" s="66">
        <v>42895</v>
      </c>
      <c r="D1837" s="66" t="str">
        <f>CONCATENATE(J1837,"-",C1837)</f>
        <v>1080-42895</v>
      </c>
      <c r="E1837" s="20" t="str">
        <f>CONCATENATE(T1837,"-",U1837,"-",C1837)</f>
        <v>PO1-F8-42895</v>
      </c>
      <c r="F1837" s="20" t="s">
        <v>106</v>
      </c>
      <c r="G1837" s="20" t="s">
        <v>278</v>
      </c>
      <c r="J1837" s="21">
        <v>1080</v>
      </c>
      <c r="T1837" s="16" t="s">
        <v>112</v>
      </c>
      <c r="U1837" s="16" t="s">
        <v>138</v>
      </c>
      <c r="AP1837" s="16">
        <f>SUM(AL1837:AN1837)</f>
        <v>0</v>
      </c>
      <c r="AT1837" s="16" t="s">
        <v>285</v>
      </c>
      <c r="AY1837" s="18"/>
      <c r="BG1837" s="23"/>
      <c r="BT1837" s="23"/>
      <c r="CD1837" s="23"/>
      <c r="DF1837" s="16" t="e">
        <f>VLOOKUP(K1837,'[3]RNA Seq summary tables'!$V$3:$V$99,1,FALSE)</f>
        <v>#N/A</v>
      </c>
    </row>
    <row r="1838" spans="1:288" x14ac:dyDescent="0.2">
      <c r="B1838" s="16">
        <v>2017</v>
      </c>
      <c r="C1838" s="20">
        <v>42912</v>
      </c>
      <c r="D1838" s="20" t="str">
        <f>CONCATENATE(J1838,"-",C1838)</f>
        <v>1080-42912</v>
      </c>
      <c r="E1838" s="20" t="str">
        <f>CONCATENATE(T1838,"-",U1838,"-",C1838)</f>
        <v>PO1-E7-42912</v>
      </c>
      <c r="F1838" s="20" t="s">
        <v>106</v>
      </c>
      <c r="G1838" s="20" t="s">
        <v>278</v>
      </c>
      <c r="J1838" s="21">
        <v>1080</v>
      </c>
      <c r="T1838" s="16" t="s">
        <v>112</v>
      </c>
      <c r="U1838" s="16" t="s">
        <v>135</v>
      </c>
      <c r="AP1838" s="16">
        <f>SUM(AL1838:AN1838)</f>
        <v>0</v>
      </c>
      <c r="AT1838" s="16" t="s">
        <v>285</v>
      </c>
      <c r="AY1838" s="18"/>
      <c r="BG1838" s="23"/>
      <c r="BT1838" s="23"/>
      <c r="CD1838" s="23"/>
      <c r="DF1838" s="16" t="e">
        <f>VLOOKUP(K1838,'[3]RNA Seq summary tables'!$V$3:$V$99,1,FALSE)</f>
        <v>#N/A</v>
      </c>
    </row>
    <row r="1839" spans="1:288" x14ac:dyDescent="0.2">
      <c r="B1839" s="16">
        <v>2017</v>
      </c>
      <c r="C1839" s="20">
        <v>42928</v>
      </c>
      <c r="D1839" s="20" t="str">
        <f>CONCATENATE(J1839,"-",C1839)</f>
        <v>1080-42928</v>
      </c>
      <c r="E1839" s="20" t="str">
        <f>CONCATENATE(T1839,"-",U1839,"-",C1839)</f>
        <v>PO1-H6-42928</v>
      </c>
      <c r="F1839" s="20" t="s">
        <v>106</v>
      </c>
      <c r="G1839" s="20" t="s">
        <v>278</v>
      </c>
      <c r="J1839" s="21">
        <v>1080</v>
      </c>
      <c r="T1839" s="16" t="s">
        <v>112</v>
      </c>
      <c r="U1839" s="16" t="s">
        <v>141</v>
      </c>
      <c r="AP1839" s="16">
        <f>SUM(AL1839:AN1839)</f>
        <v>0</v>
      </c>
      <c r="AT1839" s="16" t="s">
        <v>285</v>
      </c>
      <c r="AY1839" s="18"/>
      <c r="BG1839" s="23"/>
      <c r="BT1839" s="23"/>
      <c r="CD1839" s="23"/>
      <c r="DF1839" s="16" t="e">
        <f>VLOOKUP(K1839,'[3]RNA Seq summary tables'!$V$3:$V$99,1,FALSE)</f>
        <v>#N/A</v>
      </c>
      <c r="JR1839" s="27"/>
      <c r="JS1839" s="27"/>
      <c r="JT1839" s="27"/>
      <c r="JU1839" s="27"/>
      <c r="JV1839" s="27"/>
      <c r="JW1839" s="27"/>
      <c r="JX1839" s="27"/>
      <c r="JY1839" s="27"/>
      <c r="JZ1839" s="27"/>
      <c r="KA1839" s="27"/>
      <c r="KB1839" s="27"/>
    </row>
    <row r="1840" spans="1:288" x14ac:dyDescent="0.2">
      <c r="B1840" s="16">
        <v>2017</v>
      </c>
      <c r="C1840" s="66">
        <v>42895</v>
      </c>
      <c r="D1840" s="66" t="str">
        <f>CONCATENATE(J1840,"-",C1840)</f>
        <v>1081-42895</v>
      </c>
      <c r="E1840" s="20" t="str">
        <f>CONCATENATE(T1840,"-",U1840,"-",C1840)</f>
        <v>PO1-H5-42895</v>
      </c>
      <c r="F1840" s="20" t="s">
        <v>106</v>
      </c>
      <c r="G1840" s="20" t="s">
        <v>278</v>
      </c>
      <c r="J1840" s="21">
        <v>1081</v>
      </c>
      <c r="T1840" s="16" t="s">
        <v>112</v>
      </c>
      <c r="U1840" s="16" t="s">
        <v>180</v>
      </c>
      <c r="AP1840" s="16">
        <f>SUM(AL1840:AN1840)</f>
        <v>0</v>
      </c>
      <c r="AT1840" s="16" t="s">
        <v>285</v>
      </c>
      <c r="AY1840" s="18"/>
      <c r="BG1840" s="23"/>
      <c r="BT1840" s="23"/>
      <c r="CD1840" s="23"/>
      <c r="DF1840" s="16" t="e">
        <f>VLOOKUP(K1840,'[3]RNA Seq summary tables'!$V$3:$V$99,1,FALSE)</f>
        <v>#N/A</v>
      </c>
    </row>
    <row r="1841" spans="2:288" x14ac:dyDescent="0.2">
      <c r="B1841" s="16">
        <v>2017</v>
      </c>
      <c r="C1841" s="20">
        <v>42913</v>
      </c>
      <c r="D1841" s="20" t="str">
        <f>CONCATENATE(J1841,"-",C1841)</f>
        <v>1081-42913</v>
      </c>
      <c r="E1841" s="20" t="str">
        <f>CONCATENATE(T1841,"-",U1841,"-",C1841)</f>
        <v>PO1-F4-42913</v>
      </c>
      <c r="F1841" s="20" t="s">
        <v>106</v>
      </c>
      <c r="G1841" s="20" t="s">
        <v>278</v>
      </c>
      <c r="J1841" s="21">
        <v>1081</v>
      </c>
      <c r="T1841" s="16" t="s">
        <v>112</v>
      </c>
      <c r="U1841" s="16" t="s">
        <v>184</v>
      </c>
      <c r="AP1841" s="16">
        <f>SUM(AL1841:AN1841)</f>
        <v>0</v>
      </c>
      <c r="AT1841" s="16" t="s">
        <v>285</v>
      </c>
      <c r="AY1841" s="18"/>
      <c r="BG1841" s="23"/>
      <c r="BT1841" s="23"/>
      <c r="CD1841" s="23"/>
      <c r="DF1841" s="16" t="e">
        <f>VLOOKUP(K1841,'[3]RNA Seq summary tables'!$V$3:$V$99,1,FALSE)</f>
        <v>#N/A</v>
      </c>
    </row>
    <row r="1842" spans="2:288" x14ac:dyDescent="0.2">
      <c r="B1842" s="16">
        <v>2017</v>
      </c>
      <c r="C1842" s="20">
        <v>42977</v>
      </c>
      <c r="D1842" s="20" t="str">
        <f>CONCATENATE(J1842,"-",C1842)</f>
        <v>1081-42977</v>
      </c>
      <c r="E1842" s="20" t="str">
        <f>CONCATENATE(T1842,"-",U1842,"-",C1842)</f>
        <v>PO1-F3-42977</v>
      </c>
      <c r="F1842" s="20" t="s">
        <v>224</v>
      </c>
      <c r="G1842" s="20" t="s">
        <v>278</v>
      </c>
      <c r="J1842" s="21">
        <v>1081</v>
      </c>
      <c r="T1842" s="16" t="s">
        <v>112</v>
      </c>
      <c r="U1842" s="16" t="s">
        <v>182</v>
      </c>
      <c r="AP1842" s="16">
        <f>SUM(AL1842:AN1842)</f>
        <v>0</v>
      </c>
      <c r="AT1842" s="16" t="s">
        <v>285</v>
      </c>
      <c r="AY1842" s="18"/>
      <c r="BG1842" s="23"/>
      <c r="BT1842" s="23"/>
      <c r="CD1842" s="23"/>
      <c r="DF1842" s="16" t="e">
        <f>VLOOKUP(K1842,'[3]RNA Seq summary tables'!$V$3:$V$99,1,FALSE)</f>
        <v>#N/A</v>
      </c>
      <c r="JO1842" s="18"/>
    </row>
    <row r="1843" spans="2:288" x14ac:dyDescent="0.2">
      <c r="B1843" s="16">
        <v>2017</v>
      </c>
      <c r="C1843" s="20">
        <v>42913</v>
      </c>
      <c r="D1843" s="20" t="str">
        <f>CONCATENATE(J1843,"-",C1843)</f>
        <v>1082-42913</v>
      </c>
      <c r="E1843" s="20" t="str">
        <f>CONCATENATE(T1843,"-",U1843,"-",C1843)</f>
        <v>PO1-G1-42913</v>
      </c>
      <c r="F1843" s="20" t="s">
        <v>106</v>
      </c>
      <c r="G1843" s="20" t="s">
        <v>278</v>
      </c>
      <c r="J1843" s="21">
        <v>1082</v>
      </c>
      <c r="T1843" s="16" t="s">
        <v>112</v>
      </c>
      <c r="U1843" s="16" t="s">
        <v>155</v>
      </c>
      <c r="AP1843" s="16">
        <f>SUM(AL1843:AN1843)</f>
        <v>0</v>
      </c>
      <c r="AT1843" s="16" t="s">
        <v>285</v>
      </c>
      <c r="AY1843" s="18"/>
      <c r="BG1843" s="23"/>
      <c r="BT1843" s="23"/>
      <c r="CD1843" s="23"/>
      <c r="DF1843" s="16" t="e">
        <f>VLOOKUP(K1843,'[3]RNA Seq summary tables'!$V$3:$V$99,1,FALSE)</f>
        <v>#N/A</v>
      </c>
    </row>
    <row r="1844" spans="2:288" x14ac:dyDescent="0.2">
      <c r="B1844" s="16">
        <v>2017</v>
      </c>
      <c r="C1844" s="20">
        <v>42928</v>
      </c>
      <c r="D1844" s="20" t="str">
        <f>CONCATENATE(J1844,"-",C1844)</f>
        <v>1082-42928</v>
      </c>
      <c r="E1844" s="20" t="str">
        <f>CONCATENATE(T1844,"-",U1844,"-",C1844)</f>
        <v>PO1-H2-42928</v>
      </c>
      <c r="F1844" s="20" t="s">
        <v>106</v>
      </c>
      <c r="G1844" s="20" t="s">
        <v>278</v>
      </c>
      <c r="J1844" s="21">
        <v>1082</v>
      </c>
      <c r="T1844" s="16" t="s">
        <v>112</v>
      </c>
      <c r="U1844" s="16" t="s">
        <v>190</v>
      </c>
      <c r="AP1844" s="16">
        <f>SUM(AL1844:AN1844)</f>
        <v>0</v>
      </c>
      <c r="AT1844" s="16" t="s">
        <v>285</v>
      </c>
      <c r="AY1844" s="18"/>
      <c r="BG1844" s="23"/>
      <c r="BT1844" s="23"/>
      <c r="CD1844" s="23"/>
      <c r="DF1844" s="16" t="e">
        <f>VLOOKUP(K1844,'[3]RNA Seq summary tables'!$V$3:$V$99,1,FALSE)</f>
        <v>#N/A</v>
      </c>
      <c r="JR1844" s="27"/>
      <c r="JS1844" s="27"/>
      <c r="JT1844" s="27"/>
      <c r="JU1844" s="27"/>
      <c r="JV1844" s="27"/>
      <c r="JW1844" s="27"/>
      <c r="JX1844" s="27"/>
      <c r="JY1844" s="27"/>
      <c r="JZ1844" s="27"/>
      <c r="KA1844" s="27"/>
      <c r="KB1844" s="27"/>
    </row>
    <row r="1845" spans="2:288" x14ac:dyDescent="0.2">
      <c r="B1845" s="16">
        <v>2017</v>
      </c>
      <c r="C1845" s="20">
        <v>42929</v>
      </c>
      <c r="D1845" s="20" t="str">
        <f>CONCATENATE(J1845,"-",C1845)</f>
        <v>1082-42929</v>
      </c>
      <c r="E1845" s="20" t="str">
        <f>CONCATENATE(T1845,"-",U1845,"-",C1845)</f>
        <v>PO1-H2-42929</v>
      </c>
      <c r="F1845" s="20" t="s">
        <v>106</v>
      </c>
      <c r="G1845" s="20" t="s">
        <v>278</v>
      </c>
      <c r="J1845" s="21">
        <v>1082</v>
      </c>
      <c r="T1845" s="16" t="s">
        <v>112</v>
      </c>
      <c r="U1845" s="16" t="s">
        <v>190</v>
      </c>
      <c r="AP1845" s="16">
        <f>SUM(AL1845:AN1845)</f>
        <v>0</v>
      </c>
      <c r="AT1845" s="16" t="s">
        <v>285</v>
      </c>
      <c r="AY1845" s="18"/>
      <c r="BG1845" s="23"/>
      <c r="BT1845" s="23"/>
      <c r="CD1845" s="23"/>
      <c r="DF1845" s="16" t="e">
        <f>VLOOKUP(K1845,'[3]RNA Seq summary tables'!$V$3:$V$99,1,FALSE)</f>
        <v>#N/A</v>
      </c>
      <c r="JR1845" s="18"/>
      <c r="JS1845" s="18"/>
      <c r="JT1845" s="18"/>
      <c r="JU1845" s="18"/>
      <c r="JV1845" s="18"/>
      <c r="JW1845" s="18"/>
      <c r="JX1845" s="18"/>
      <c r="JY1845" s="18"/>
      <c r="JZ1845" s="18"/>
      <c r="KA1845" s="18"/>
      <c r="KB1845" s="18"/>
    </row>
    <row r="1846" spans="2:288" x14ac:dyDescent="0.2">
      <c r="B1846" s="16">
        <v>2017</v>
      </c>
      <c r="C1846" s="66">
        <v>42895</v>
      </c>
      <c r="D1846" s="66" t="str">
        <f>CONCATENATE(J1846,"-",C1846)</f>
        <v>1083-42895</v>
      </c>
      <c r="E1846" s="20" t="str">
        <f>CONCATENATE(T1846,"-",U1846,"-",C1846)</f>
        <v>PO1-F1-42895</v>
      </c>
      <c r="F1846" s="20" t="s">
        <v>106</v>
      </c>
      <c r="G1846" s="20" t="s">
        <v>278</v>
      </c>
      <c r="J1846" s="21">
        <v>1083</v>
      </c>
      <c r="T1846" s="16" t="s">
        <v>112</v>
      </c>
      <c r="U1846" s="16" t="s">
        <v>217</v>
      </c>
      <c r="AP1846" s="16">
        <f>SUM(AL1846:AN1846)</f>
        <v>0</v>
      </c>
      <c r="AT1846" s="16" t="s">
        <v>285</v>
      </c>
      <c r="AY1846" s="18"/>
      <c r="BG1846" s="23"/>
      <c r="BT1846" s="23"/>
      <c r="CD1846" s="23"/>
      <c r="DF1846" s="16" t="e">
        <f>VLOOKUP(K1846,'[3]RNA Seq summary tables'!$V$3:$V$99,1,FALSE)</f>
        <v>#N/A</v>
      </c>
    </row>
    <row r="1847" spans="2:288" x14ac:dyDescent="0.2">
      <c r="B1847" s="16">
        <v>2017</v>
      </c>
      <c r="C1847" s="20">
        <v>42913</v>
      </c>
      <c r="D1847" s="20" t="str">
        <f>CONCATENATE(J1847,"-",C1847)</f>
        <v>1083-42913</v>
      </c>
      <c r="E1847" s="20" t="str">
        <f>CONCATENATE(T1847,"-",U1847,"-",C1847)</f>
        <v>PO1-E3-42913</v>
      </c>
      <c r="F1847" s="20" t="s">
        <v>106</v>
      </c>
      <c r="G1847" s="20" t="s">
        <v>278</v>
      </c>
      <c r="J1847" s="21">
        <v>1083</v>
      </c>
      <c r="T1847" s="16" t="s">
        <v>112</v>
      </c>
      <c r="U1847" s="16" t="s">
        <v>225</v>
      </c>
      <c r="AP1847" s="16">
        <f>SUM(AL1847:AN1847)</f>
        <v>0</v>
      </c>
      <c r="AT1847" s="16" t="s">
        <v>285</v>
      </c>
      <c r="AY1847" s="18"/>
      <c r="BG1847" s="23"/>
      <c r="BT1847" s="23"/>
      <c r="CD1847" s="23"/>
      <c r="DF1847" s="16" t="e">
        <f>VLOOKUP(K1847,'[3]RNA Seq summary tables'!$V$3:$V$99,1,FALSE)</f>
        <v>#N/A</v>
      </c>
    </row>
    <row r="1848" spans="2:288" x14ac:dyDescent="0.2">
      <c r="B1848" s="16">
        <v>2017</v>
      </c>
      <c r="C1848" s="20">
        <v>42965</v>
      </c>
      <c r="D1848" s="20" t="str">
        <f>CONCATENATE(J1848,"-",C1848)</f>
        <v>1083-42965</v>
      </c>
      <c r="E1848" s="20" t="str">
        <f>CONCATENATE(T1848,"-",U1848,"-",C1848)</f>
        <v>PO1-F3-42965</v>
      </c>
      <c r="F1848" s="20" t="s">
        <v>106</v>
      </c>
      <c r="G1848" s="20" t="s">
        <v>278</v>
      </c>
      <c r="J1848" s="21">
        <v>1083</v>
      </c>
      <c r="T1848" s="16" t="s">
        <v>112</v>
      </c>
      <c r="U1848" s="16" t="s">
        <v>182</v>
      </c>
      <c r="AP1848" s="16">
        <f>SUM(AL1848:AN1848)</f>
        <v>0</v>
      </c>
      <c r="AT1848" s="16" t="s">
        <v>285</v>
      </c>
      <c r="AY1848" s="18"/>
      <c r="BG1848" s="23"/>
      <c r="BT1848" s="23"/>
      <c r="CD1848" s="23"/>
      <c r="DF1848" s="16" t="e">
        <f>VLOOKUP(K1848,'[3]RNA Seq summary tables'!$V$3:$V$99,1,FALSE)</f>
        <v>#N/A</v>
      </c>
      <c r="JO1848" s="27"/>
    </row>
    <row r="1849" spans="2:288" x14ac:dyDescent="0.2">
      <c r="B1849" s="16">
        <v>2017</v>
      </c>
      <c r="C1849" s="20">
        <v>42913</v>
      </c>
      <c r="D1849" s="20" t="str">
        <f>CONCATENATE(J1849,"-",C1849)</f>
        <v>1084-42913</v>
      </c>
      <c r="E1849" s="20" t="str">
        <f>CONCATENATE(T1849,"-",U1849,"-",C1849)</f>
        <v>PO1-G2-42913</v>
      </c>
      <c r="F1849" s="20" t="s">
        <v>106</v>
      </c>
      <c r="G1849" s="20" t="s">
        <v>278</v>
      </c>
      <c r="J1849" s="21">
        <v>1084</v>
      </c>
      <c r="T1849" s="16" t="s">
        <v>112</v>
      </c>
      <c r="U1849" s="16" t="s">
        <v>128</v>
      </c>
      <c r="AP1849" s="16">
        <f>SUM(AL1849:AN1849)</f>
        <v>0</v>
      </c>
      <c r="AT1849" s="16" t="s">
        <v>285</v>
      </c>
      <c r="AY1849" s="18"/>
      <c r="BG1849" s="23"/>
      <c r="BT1849" s="23"/>
      <c r="CD1849" s="23"/>
      <c r="DF1849" s="16" t="e">
        <f>VLOOKUP(K1849,'[3]RNA Seq summary tables'!$V$3:$V$99,1,FALSE)</f>
        <v>#N/A</v>
      </c>
    </row>
    <row r="1850" spans="2:288" x14ac:dyDescent="0.2">
      <c r="B1850" s="16">
        <v>2017</v>
      </c>
      <c r="C1850" s="20">
        <v>42928</v>
      </c>
      <c r="D1850" s="20" t="str">
        <f>CONCATENATE(J1850,"-",C1850)</f>
        <v>1084-42928</v>
      </c>
      <c r="E1850" s="20" t="str">
        <f>CONCATENATE(T1850,"-",U1850,"-",C1850)</f>
        <v>PO1-G1-42928</v>
      </c>
      <c r="F1850" s="20" t="s">
        <v>106</v>
      </c>
      <c r="G1850" s="20" t="s">
        <v>278</v>
      </c>
      <c r="J1850" s="21">
        <v>1084</v>
      </c>
      <c r="T1850" s="16" t="s">
        <v>112</v>
      </c>
      <c r="U1850" s="16" t="s">
        <v>155</v>
      </c>
      <c r="AP1850" s="16">
        <f>SUM(AL1850:AN1850)</f>
        <v>0</v>
      </c>
      <c r="AT1850" s="16" t="s">
        <v>285</v>
      </c>
      <c r="AY1850" s="18"/>
      <c r="BG1850" s="23"/>
      <c r="BT1850" s="23"/>
      <c r="CD1850" s="23"/>
      <c r="DF1850" s="16" t="e">
        <f>VLOOKUP(K1850,'[3]RNA Seq summary tables'!$V$3:$V$99,1,FALSE)</f>
        <v>#N/A</v>
      </c>
      <c r="JR1850" s="18"/>
      <c r="JS1850" s="18"/>
      <c r="JT1850" s="18"/>
      <c r="JU1850" s="18"/>
      <c r="JV1850" s="18"/>
      <c r="JW1850" s="18"/>
      <c r="JX1850" s="18"/>
      <c r="JY1850" s="18"/>
      <c r="JZ1850" s="18"/>
      <c r="KA1850" s="18"/>
      <c r="KB1850" s="18"/>
    </row>
    <row r="1851" spans="2:288" x14ac:dyDescent="0.2">
      <c r="B1851" s="16">
        <v>2017</v>
      </c>
      <c r="C1851" s="20">
        <v>42964</v>
      </c>
      <c r="D1851" s="20" t="str">
        <f>CONCATENATE(J1851,"-",C1851)</f>
        <v>1084-42964</v>
      </c>
      <c r="E1851" s="20" t="str">
        <f>CONCATENATE(T1851,"-",U1851,"-",C1851)</f>
        <v>PO1-H1-42964</v>
      </c>
      <c r="F1851" s="20" t="s">
        <v>106</v>
      </c>
      <c r="G1851" s="20" t="s">
        <v>278</v>
      </c>
      <c r="J1851" s="21">
        <v>1084</v>
      </c>
      <c r="T1851" s="16" t="s">
        <v>112</v>
      </c>
      <c r="U1851" s="16" t="s">
        <v>191</v>
      </c>
      <c r="AP1851" s="16">
        <f>SUM(AL1851:AN1851)</f>
        <v>0</v>
      </c>
      <c r="AT1851" s="16" t="s">
        <v>285</v>
      </c>
      <c r="AY1851" s="18"/>
      <c r="BG1851" s="23"/>
      <c r="BT1851" s="23"/>
      <c r="CD1851" s="23"/>
      <c r="DF1851" s="16" t="e">
        <f>VLOOKUP(K1851,'[3]RNA Seq summary tables'!$V$3:$V$99,1,FALSE)</f>
        <v>#N/A</v>
      </c>
      <c r="JO1851" s="27"/>
    </row>
    <row r="1852" spans="2:288" x14ac:dyDescent="0.2">
      <c r="B1852" s="16">
        <v>2017</v>
      </c>
      <c r="C1852" s="20">
        <v>42965</v>
      </c>
      <c r="D1852" s="20" t="str">
        <f>CONCATENATE(J1852,"-",C1852)</f>
        <v>1084-42965</v>
      </c>
      <c r="E1852" s="20" t="str">
        <f>CONCATENATE(T1852,"-",U1852,"-",C1852)</f>
        <v>PO1-H4-42965</v>
      </c>
      <c r="F1852" s="20" t="s">
        <v>106</v>
      </c>
      <c r="G1852" s="20" t="s">
        <v>278</v>
      </c>
      <c r="J1852" s="21">
        <v>1084</v>
      </c>
      <c r="T1852" s="16" t="s">
        <v>112</v>
      </c>
      <c r="U1852" s="16" t="s">
        <v>151</v>
      </c>
      <c r="AP1852" s="16">
        <f>SUM(AL1852:AN1852)</f>
        <v>0</v>
      </c>
      <c r="AT1852" s="16" t="s">
        <v>285</v>
      </c>
      <c r="AY1852" s="18"/>
      <c r="BG1852" s="23"/>
      <c r="BT1852" s="23"/>
      <c r="CD1852" s="23"/>
      <c r="DF1852" s="16" t="e">
        <f>VLOOKUP(K1852,'[3]RNA Seq summary tables'!$V$3:$V$99,1,FALSE)</f>
        <v>#N/A</v>
      </c>
      <c r="JO1852" s="27"/>
    </row>
    <row r="1853" spans="2:288" x14ac:dyDescent="0.2">
      <c r="B1853" s="16">
        <v>2017</v>
      </c>
      <c r="C1853" s="66">
        <v>42895</v>
      </c>
      <c r="D1853" s="66" t="str">
        <f>CONCATENATE(J1853,"-",C1853)</f>
        <v>1086-42895</v>
      </c>
      <c r="E1853" s="20" t="str">
        <f>CONCATENATE(T1853,"-",U1853,"-",C1853)</f>
        <v>PO2-B7-42895</v>
      </c>
      <c r="F1853" s="20" t="s">
        <v>106</v>
      </c>
      <c r="G1853" s="20" t="s">
        <v>278</v>
      </c>
      <c r="J1853" s="21">
        <v>1086</v>
      </c>
      <c r="T1853" s="16" t="s">
        <v>127</v>
      </c>
      <c r="U1853" s="16" t="s">
        <v>168</v>
      </c>
      <c r="AP1853" s="16">
        <f>SUM(AL1853:AN1853)</f>
        <v>0</v>
      </c>
      <c r="AT1853" s="16" t="s">
        <v>285</v>
      </c>
      <c r="AY1853" s="18"/>
      <c r="BG1853" s="23"/>
      <c r="BT1853" s="23"/>
      <c r="CD1853" s="23"/>
      <c r="DF1853" s="16" t="e">
        <f>VLOOKUP(K1853,'[3]RNA Seq summary tables'!$V$3:$V$99,1,FALSE)</f>
        <v>#N/A</v>
      </c>
      <c r="JR1853" s="18"/>
      <c r="JS1853" s="18"/>
      <c r="JT1853" s="18"/>
      <c r="JU1853" s="18"/>
      <c r="JV1853" s="18"/>
      <c r="JW1853" s="18"/>
      <c r="JX1853" s="18"/>
      <c r="JY1853" s="18"/>
      <c r="JZ1853" s="18"/>
      <c r="KA1853" s="18"/>
      <c r="KB1853" s="18"/>
    </row>
    <row r="1854" spans="2:288" x14ac:dyDescent="0.2">
      <c r="B1854" s="16">
        <v>2017</v>
      </c>
      <c r="C1854" s="20">
        <v>42912</v>
      </c>
      <c r="D1854" s="20" t="str">
        <f>CONCATENATE(J1854,"-",C1854)</f>
        <v>1086-42912</v>
      </c>
      <c r="E1854" s="20" t="str">
        <f>CONCATENATE(T1854,"-",U1854,"-",C1854)</f>
        <v>PO2-C8-42912</v>
      </c>
      <c r="F1854" s="20" t="s">
        <v>106</v>
      </c>
      <c r="G1854" s="20" t="s">
        <v>278</v>
      </c>
      <c r="J1854" s="21">
        <v>1086</v>
      </c>
      <c r="T1854" s="16" t="s">
        <v>127</v>
      </c>
      <c r="U1854" s="16" t="s">
        <v>188</v>
      </c>
      <c r="AP1854" s="16">
        <f>SUM(AL1854:AN1854)</f>
        <v>0</v>
      </c>
      <c r="AT1854" s="16" t="s">
        <v>285</v>
      </c>
      <c r="AY1854" s="18"/>
      <c r="BG1854" s="23"/>
      <c r="BT1854" s="23"/>
      <c r="CD1854" s="23"/>
      <c r="DF1854" s="16" t="e">
        <f>VLOOKUP(K1854,'[3]RNA Seq summary tables'!$V$3:$V$99,1,FALSE)</f>
        <v>#N/A</v>
      </c>
      <c r="DT1854" s="25"/>
      <c r="DU1854" s="25"/>
      <c r="DV1854" s="25"/>
      <c r="DW1854" s="25"/>
      <c r="DX1854" s="25"/>
      <c r="DY1854" s="25"/>
      <c r="DZ1854" s="25"/>
      <c r="EA1854" s="25"/>
      <c r="EB1854" s="25"/>
      <c r="EC1854" s="25"/>
      <c r="ED1854" s="25"/>
      <c r="EE1854" s="25"/>
    </row>
    <row r="1855" spans="2:288" x14ac:dyDescent="0.2">
      <c r="B1855" s="16">
        <v>2017</v>
      </c>
      <c r="C1855" s="20">
        <v>42913</v>
      </c>
      <c r="D1855" s="20" t="str">
        <f>CONCATENATE(J1855,"-",C1855)</f>
        <v>1086-42913</v>
      </c>
      <c r="E1855" s="20" t="str">
        <f>CONCATENATE(T1855,"-",U1855,"-",C1855)</f>
        <v>PO2-A7-42913</v>
      </c>
      <c r="F1855" s="20" t="s">
        <v>106</v>
      </c>
      <c r="G1855" s="20" t="s">
        <v>278</v>
      </c>
      <c r="J1855" s="21">
        <v>1086</v>
      </c>
      <c r="T1855" s="16" t="s">
        <v>127</v>
      </c>
      <c r="U1855" s="16" t="s">
        <v>120</v>
      </c>
      <c r="AP1855" s="16">
        <f>SUM(AL1855:AN1855)</f>
        <v>0</v>
      </c>
      <c r="AT1855" s="16" t="s">
        <v>285</v>
      </c>
      <c r="AY1855" s="18"/>
      <c r="BG1855" s="23"/>
      <c r="BT1855" s="23"/>
      <c r="CD1855" s="23"/>
      <c r="DF1855" s="16" t="e">
        <f>VLOOKUP(K1855,'[3]RNA Seq summary tables'!$V$3:$V$99,1,FALSE)</f>
        <v>#N/A</v>
      </c>
    </row>
    <row r="1856" spans="2:288" x14ac:dyDescent="0.2">
      <c r="B1856" s="16">
        <v>2017</v>
      </c>
      <c r="C1856" s="20">
        <v>42913</v>
      </c>
      <c r="D1856" s="20" t="str">
        <f>CONCATENATE(J1856,"-",C1856)</f>
        <v>1087-42913</v>
      </c>
      <c r="E1856" s="20" t="str">
        <f>CONCATENATE(T1856,"-",U1856,"-",C1856)</f>
        <v>PO2-B8-42913</v>
      </c>
      <c r="F1856" s="20" t="s">
        <v>106</v>
      </c>
      <c r="G1856" s="20" t="s">
        <v>278</v>
      </c>
      <c r="J1856" s="21">
        <v>1087</v>
      </c>
      <c r="T1856" s="16" t="s">
        <v>127</v>
      </c>
      <c r="U1856" s="16" t="s">
        <v>209</v>
      </c>
      <c r="AP1856" s="16">
        <f>SUM(AL1856:AN1856)</f>
        <v>0</v>
      </c>
      <c r="AT1856" s="16" t="s">
        <v>285</v>
      </c>
      <c r="AY1856" s="18"/>
      <c r="BG1856" s="23"/>
      <c r="BT1856" s="23"/>
      <c r="CD1856" s="23"/>
      <c r="DF1856" s="16" t="e">
        <f>VLOOKUP(K1856,'[3]RNA Seq summary tables'!$V$3:$V$99,1,FALSE)</f>
        <v>#N/A</v>
      </c>
      <c r="JR1856" s="27"/>
      <c r="JS1856" s="27"/>
      <c r="JT1856" s="27"/>
      <c r="JU1856" s="27"/>
      <c r="JV1856" s="27"/>
      <c r="JW1856" s="27"/>
      <c r="JX1856" s="27"/>
      <c r="JY1856" s="27"/>
      <c r="JZ1856" s="27"/>
      <c r="KA1856" s="27"/>
      <c r="KB1856" s="27"/>
    </row>
    <row r="1857" spans="2:288" x14ac:dyDescent="0.2">
      <c r="B1857" s="16">
        <v>2017</v>
      </c>
      <c r="C1857" s="66">
        <v>42895</v>
      </c>
      <c r="D1857" s="66" t="str">
        <f>CONCATENATE(J1857,"-",C1857)</f>
        <v>1088-42895</v>
      </c>
      <c r="E1857" s="20" t="str">
        <f>CONCATENATE(T1857,"-",U1857,"-",C1857)</f>
        <v>PO2-C3-42895</v>
      </c>
      <c r="F1857" s="20" t="s">
        <v>106</v>
      </c>
      <c r="G1857" s="20" t="s">
        <v>278</v>
      </c>
      <c r="J1857" s="21">
        <v>1088</v>
      </c>
      <c r="T1857" s="16" t="s">
        <v>127</v>
      </c>
      <c r="U1857" s="16" t="s">
        <v>237</v>
      </c>
      <c r="AP1857" s="16">
        <f>SUM(AL1857:AN1857)</f>
        <v>0</v>
      </c>
      <c r="AT1857" s="16" t="s">
        <v>285</v>
      </c>
      <c r="AY1857" s="18"/>
      <c r="BG1857" s="23"/>
      <c r="BT1857" s="23"/>
      <c r="CD1857" s="23"/>
      <c r="DF1857" s="16" t="e">
        <f>VLOOKUP(K1857,'[3]RNA Seq summary tables'!$V$3:$V$99,1,FALSE)</f>
        <v>#N/A</v>
      </c>
      <c r="JP1857" s="27"/>
      <c r="JQ1857" s="27"/>
    </row>
    <row r="1858" spans="2:288" x14ac:dyDescent="0.2">
      <c r="B1858" s="18">
        <v>2017</v>
      </c>
      <c r="C1858" s="37">
        <v>42912</v>
      </c>
      <c r="D1858" s="37" t="str">
        <f>CONCATENATE(J1858,"-",C1858)</f>
        <v>1088-42912</v>
      </c>
      <c r="E1858" s="20" t="str">
        <f>CONCATENATE(T1858,"-",U1858,"-",C1858)</f>
        <v>PO2-D2-42912</v>
      </c>
      <c r="F1858" s="20" t="s">
        <v>106</v>
      </c>
      <c r="G1858" s="37" t="s">
        <v>278</v>
      </c>
      <c r="H1858" s="18"/>
      <c r="I1858" s="18"/>
      <c r="J1858" s="36">
        <v>1088</v>
      </c>
      <c r="K1858" s="36"/>
      <c r="L1858" s="18"/>
      <c r="M1858" s="36"/>
      <c r="N1858" s="36"/>
      <c r="O1858" s="36"/>
      <c r="P1858" s="18"/>
      <c r="Q1858" s="18"/>
      <c r="R1858" s="18"/>
      <c r="S1858" s="18"/>
      <c r="T1858" s="18" t="s">
        <v>127</v>
      </c>
      <c r="U1858" s="18" t="s">
        <v>198</v>
      </c>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v>1.579</v>
      </c>
      <c r="AR1858" s="18">
        <f>AP1858-1.472</f>
        <v>-1.472</v>
      </c>
      <c r="AS1858" s="18">
        <f>AQ1858-1.472</f>
        <v>0.10699999999999998</v>
      </c>
      <c r="AT1858" s="24" t="s">
        <v>288</v>
      </c>
      <c r="AU1858" s="24"/>
      <c r="AV1858" s="24"/>
      <c r="AW1858" s="18"/>
      <c r="AX1858" s="18"/>
      <c r="AY1858" s="18"/>
      <c r="AZ1858" s="18"/>
      <c r="BA1858" s="18"/>
      <c r="BB1858" s="18"/>
      <c r="BC1858" s="18"/>
      <c r="BD1858" s="18"/>
      <c r="BE1858" s="18"/>
      <c r="BF1858" s="18"/>
      <c r="BG1858" s="25"/>
      <c r="BH1858" s="18"/>
      <c r="BI1858" s="18"/>
      <c r="BJ1858" s="18"/>
      <c r="BK1858" s="18"/>
      <c r="BL1858" s="18"/>
      <c r="BM1858" s="18"/>
      <c r="BN1858" s="18"/>
      <c r="BO1858" s="18"/>
      <c r="BP1858" s="18"/>
      <c r="BQ1858" s="18"/>
      <c r="BR1858" s="18"/>
      <c r="BS1858" s="18"/>
      <c r="BT1858" s="25"/>
      <c r="BU1858" s="18"/>
      <c r="BV1858" s="18"/>
      <c r="BW1858" s="18"/>
      <c r="BX1858" s="18"/>
      <c r="BY1858" s="18"/>
      <c r="BZ1858" s="18"/>
      <c r="CA1858" s="18"/>
      <c r="CB1858" s="18"/>
      <c r="CC1858" s="18"/>
      <c r="CD1858" s="25"/>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6" t="e">
        <f>VLOOKUP(K1858,'[3]RNA Seq summary tables'!$V$3:$V$99,1,FALSE)</f>
        <v>#N/A</v>
      </c>
      <c r="DG1858" s="18"/>
      <c r="DH1858" s="18"/>
      <c r="DI1858" s="18"/>
      <c r="DJ1858" s="18"/>
      <c r="DK1858" s="18"/>
      <c r="DL1858" s="18"/>
      <c r="DM1858" s="18"/>
      <c r="DN1858" s="18"/>
      <c r="DO1858" s="18"/>
      <c r="DP1858" s="18"/>
      <c r="DQ1858" s="18"/>
      <c r="DR1858" s="18"/>
      <c r="DS1858" s="18"/>
    </row>
    <row r="1859" spans="2:288" x14ac:dyDescent="0.2">
      <c r="B1859" s="16">
        <v>2017</v>
      </c>
      <c r="C1859" s="20">
        <v>42913</v>
      </c>
      <c r="D1859" s="20" t="str">
        <f>CONCATENATE(J1859,"-",C1859)</f>
        <v>1088-42913</v>
      </c>
      <c r="E1859" s="20" t="str">
        <f>CONCATENATE(T1859,"-",U1859,"-",C1859)</f>
        <v>PO2-B2-42913</v>
      </c>
      <c r="F1859" s="20" t="s">
        <v>106</v>
      </c>
      <c r="G1859" s="20" t="s">
        <v>278</v>
      </c>
      <c r="J1859" s="21">
        <v>1088</v>
      </c>
      <c r="T1859" s="16" t="s">
        <v>127</v>
      </c>
      <c r="U1859" s="16" t="s">
        <v>130</v>
      </c>
      <c r="AP1859" s="16">
        <f>SUM(AL1859:AN1859)</f>
        <v>0</v>
      </c>
      <c r="AT1859" s="16" t="s">
        <v>285</v>
      </c>
      <c r="AY1859" s="18"/>
      <c r="BG1859" s="23"/>
      <c r="BT1859" s="23"/>
      <c r="CD1859" s="23"/>
      <c r="DF1859" s="16" t="e">
        <f>VLOOKUP(K1859,'[3]RNA Seq summary tables'!$V$3:$V$99,1,FALSE)</f>
        <v>#N/A</v>
      </c>
      <c r="JR1859" s="27"/>
      <c r="JS1859" s="27"/>
      <c r="JT1859" s="27"/>
      <c r="JU1859" s="27"/>
      <c r="JV1859" s="27"/>
      <c r="JW1859" s="27"/>
      <c r="JX1859" s="27"/>
      <c r="JY1859" s="27"/>
      <c r="JZ1859" s="27"/>
      <c r="KA1859" s="27"/>
      <c r="KB1859" s="27"/>
    </row>
    <row r="1860" spans="2:288" x14ac:dyDescent="0.2">
      <c r="B1860" s="16">
        <v>2017</v>
      </c>
      <c r="C1860" s="20">
        <v>42928</v>
      </c>
      <c r="D1860" s="20" t="str">
        <f>CONCATENATE(J1860,"-",C1860)</f>
        <v>1088-42928</v>
      </c>
      <c r="E1860" s="20" t="str">
        <f>CONCATENATE(T1860,"-",U1860,"-",C1860)</f>
        <v>PO2-C4-42928</v>
      </c>
      <c r="F1860" s="20" t="s">
        <v>106</v>
      </c>
      <c r="G1860" s="20" t="s">
        <v>278</v>
      </c>
      <c r="J1860" s="21">
        <v>1088</v>
      </c>
      <c r="T1860" s="16" t="s">
        <v>127</v>
      </c>
      <c r="U1860" s="16" t="s">
        <v>229</v>
      </c>
      <c r="AP1860" s="16">
        <f>SUM(AL1860:AN1860)</f>
        <v>0</v>
      </c>
      <c r="AT1860" s="16" t="s">
        <v>285</v>
      </c>
      <c r="AY1860" s="18"/>
      <c r="BG1860" s="23"/>
      <c r="BT1860" s="23"/>
      <c r="CD1860" s="23"/>
      <c r="DF1860" s="16" t="e">
        <f>VLOOKUP(K1860,'[3]RNA Seq summary tables'!$V$3:$V$99,1,FALSE)</f>
        <v>#N/A</v>
      </c>
      <c r="JR1860" s="27"/>
      <c r="JS1860" s="27"/>
      <c r="JT1860" s="27"/>
      <c r="JU1860" s="27"/>
      <c r="JV1860" s="27"/>
      <c r="JW1860" s="27"/>
      <c r="JX1860" s="27"/>
      <c r="JY1860" s="27"/>
      <c r="JZ1860" s="27"/>
      <c r="KA1860" s="27"/>
      <c r="KB1860" s="27"/>
    </row>
    <row r="1861" spans="2:288" x14ac:dyDescent="0.2">
      <c r="B1861" s="16">
        <v>2017</v>
      </c>
      <c r="C1861" s="20">
        <v>42929</v>
      </c>
      <c r="D1861" s="20" t="str">
        <f>CONCATENATE(J1861,"-",C1861)</f>
        <v>1088-42929</v>
      </c>
      <c r="E1861" s="20" t="str">
        <f>CONCATENATE(T1861,"-",U1861,"-",C1861)</f>
        <v>PO2-C3-42929</v>
      </c>
      <c r="F1861" s="20" t="s">
        <v>106</v>
      </c>
      <c r="G1861" s="20" t="s">
        <v>278</v>
      </c>
      <c r="J1861" s="21">
        <v>1088</v>
      </c>
      <c r="T1861" s="16" t="s">
        <v>127</v>
      </c>
      <c r="U1861" s="16" t="s">
        <v>237</v>
      </c>
      <c r="AP1861" s="16">
        <f>SUM(AL1861:AN1861)</f>
        <v>0</v>
      </c>
      <c r="AT1861" s="16" t="s">
        <v>285</v>
      </c>
      <c r="AY1861" s="18"/>
      <c r="BG1861" s="23"/>
      <c r="BT1861" s="23"/>
      <c r="CD1861" s="23"/>
      <c r="DF1861" s="16" t="e">
        <f>VLOOKUP(K1861,'[3]RNA Seq summary tables'!$V$3:$V$99,1,FALSE)</f>
        <v>#N/A</v>
      </c>
      <c r="JR1861" s="27"/>
      <c r="JS1861" s="27"/>
      <c r="JT1861" s="27"/>
      <c r="JU1861" s="27"/>
      <c r="JV1861" s="27"/>
      <c r="JW1861" s="27"/>
      <c r="JX1861" s="27"/>
      <c r="JY1861" s="27"/>
      <c r="JZ1861" s="27"/>
      <c r="KA1861" s="27"/>
      <c r="KB1861" s="27"/>
    </row>
    <row r="1862" spans="2:288" x14ac:dyDescent="0.2">
      <c r="B1862" s="16">
        <v>2017</v>
      </c>
      <c r="C1862" s="20">
        <v>42976</v>
      </c>
      <c r="D1862" s="20" t="str">
        <f>CONCATENATE(J1862,"-",C1862)</f>
        <v>1088-42976</v>
      </c>
      <c r="E1862" s="20" t="str">
        <f>CONCATENATE(T1862,"-",U1862,"-",C1862)</f>
        <v>PO2-B3-42976</v>
      </c>
      <c r="F1862" s="20" t="s">
        <v>224</v>
      </c>
      <c r="G1862" s="20" t="s">
        <v>278</v>
      </c>
      <c r="J1862" s="21">
        <v>1088</v>
      </c>
      <c r="T1862" s="16" t="s">
        <v>127</v>
      </c>
      <c r="U1862" s="16" t="s">
        <v>131</v>
      </c>
      <c r="AP1862" s="16">
        <f>SUM(AL1862:AN1862)</f>
        <v>0</v>
      </c>
      <c r="AT1862" s="16" t="s">
        <v>285</v>
      </c>
      <c r="AY1862" s="18"/>
      <c r="BG1862" s="23"/>
      <c r="BT1862" s="23"/>
      <c r="CD1862" s="23"/>
      <c r="DF1862" s="16" t="e">
        <f>VLOOKUP(K1862,'[3]RNA Seq summary tables'!$V$3:$V$99,1,FALSE)</f>
        <v>#N/A</v>
      </c>
      <c r="JO1862" s="27"/>
    </row>
    <row r="1863" spans="2:288" x14ac:dyDescent="0.2">
      <c r="B1863" s="16">
        <v>2017</v>
      </c>
      <c r="C1863" s="20">
        <v>42977</v>
      </c>
      <c r="D1863" s="20" t="str">
        <f>CONCATENATE(J1863,"-",C1863)</f>
        <v>1088-42977</v>
      </c>
      <c r="E1863" s="20" t="str">
        <f>CONCATENATE(T1863,"-",U1863,"-",C1863)</f>
        <v>PO2-A2-42977</v>
      </c>
      <c r="F1863" s="20" t="s">
        <v>224</v>
      </c>
      <c r="G1863" s="20" t="s">
        <v>278</v>
      </c>
      <c r="J1863" s="21">
        <v>1088</v>
      </c>
      <c r="T1863" s="16" t="s">
        <v>127</v>
      </c>
      <c r="U1863" s="16" t="s">
        <v>171</v>
      </c>
      <c r="AP1863" s="16">
        <f>SUM(AL1863:AN1863)</f>
        <v>0</v>
      </c>
      <c r="AT1863" s="16" t="s">
        <v>285</v>
      </c>
      <c r="AY1863" s="18"/>
      <c r="BG1863" s="23"/>
      <c r="BT1863" s="23"/>
      <c r="CD1863" s="23"/>
      <c r="DF1863" s="16" t="e">
        <f>VLOOKUP(K1863,'[3]RNA Seq summary tables'!$V$3:$V$99,1,FALSE)</f>
        <v>#N/A</v>
      </c>
      <c r="JO1863" s="18"/>
    </row>
    <row r="1864" spans="2:288" x14ac:dyDescent="0.2">
      <c r="B1864" s="16">
        <v>2017</v>
      </c>
      <c r="C1864" s="66">
        <v>42895</v>
      </c>
      <c r="D1864" s="66" t="str">
        <f>CONCATENATE(J1864,"-",C1864)</f>
        <v>1090-42895</v>
      </c>
      <c r="E1864" s="20" t="str">
        <f>CONCATENATE(T1864,"-",U1864,"-",C1864)</f>
        <v>PO2-E6-42895</v>
      </c>
      <c r="F1864" s="20" t="s">
        <v>106</v>
      </c>
      <c r="G1864" s="20" t="s">
        <v>278</v>
      </c>
      <c r="J1864" s="21">
        <v>1090</v>
      </c>
      <c r="T1864" s="16" t="s">
        <v>127</v>
      </c>
      <c r="U1864" s="16" t="s">
        <v>232</v>
      </c>
      <c r="AP1864" s="16">
        <f>SUM(AL1864:AN1864)</f>
        <v>0</v>
      </c>
      <c r="AT1864" s="16" t="s">
        <v>285</v>
      </c>
      <c r="AY1864" s="18"/>
      <c r="BG1864" s="23"/>
      <c r="BT1864" s="23"/>
      <c r="CD1864" s="23"/>
      <c r="DF1864" s="16" t="e">
        <f>VLOOKUP(K1864,'[3]RNA Seq summary tables'!$V$3:$V$99,1,FALSE)</f>
        <v>#N/A</v>
      </c>
    </row>
    <row r="1865" spans="2:288" x14ac:dyDescent="0.2">
      <c r="B1865" s="16">
        <v>2017</v>
      </c>
      <c r="C1865" s="20">
        <v>42913</v>
      </c>
      <c r="D1865" s="20" t="str">
        <f>CONCATENATE(J1865,"-",C1865)</f>
        <v>1090-42913</v>
      </c>
      <c r="E1865" s="20" t="str">
        <f>CONCATENATE(T1865,"-",U1865,"-",C1865)</f>
        <v>PO2-F3-42913</v>
      </c>
      <c r="F1865" s="20" t="s">
        <v>106</v>
      </c>
      <c r="G1865" s="20" t="s">
        <v>278</v>
      </c>
      <c r="J1865" s="21">
        <v>1090</v>
      </c>
      <c r="T1865" s="16" t="s">
        <v>127</v>
      </c>
      <c r="U1865" s="16" t="s">
        <v>182</v>
      </c>
      <c r="AP1865" s="16">
        <f>SUM(AL1865:AN1865)</f>
        <v>0</v>
      </c>
      <c r="AT1865" s="16" t="s">
        <v>285</v>
      </c>
      <c r="AY1865" s="18"/>
      <c r="BG1865" s="23"/>
      <c r="BT1865" s="23"/>
      <c r="CD1865" s="23"/>
      <c r="DF1865" s="16" t="e">
        <f>VLOOKUP(K1865,'[3]RNA Seq summary tables'!$V$3:$V$99,1,FALSE)</f>
        <v>#N/A</v>
      </c>
      <c r="JR1865" s="27"/>
      <c r="JS1865" s="27"/>
      <c r="JT1865" s="27"/>
      <c r="JU1865" s="27"/>
      <c r="JV1865" s="27"/>
      <c r="JW1865" s="27"/>
      <c r="JX1865" s="27"/>
      <c r="JY1865" s="27"/>
      <c r="JZ1865" s="27"/>
      <c r="KA1865" s="27"/>
      <c r="KB1865" s="27"/>
    </row>
    <row r="1866" spans="2:288" x14ac:dyDescent="0.2">
      <c r="B1866" s="16">
        <v>2017</v>
      </c>
      <c r="C1866" s="20">
        <v>42929</v>
      </c>
      <c r="D1866" s="20" t="str">
        <f>CONCATENATE(J1866,"-",C1866)</f>
        <v>1090-42929</v>
      </c>
      <c r="E1866" s="20" t="str">
        <f>CONCATENATE(T1866,"-",U1866,"-",C1866)</f>
        <v>PO2-F5-42929</v>
      </c>
      <c r="F1866" s="20" t="s">
        <v>106</v>
      </c>
      <c r="G1866" s="20" t="s">
        <v>278</v>
      </c>
      <c r="J1866" s="21">
        <v>1090</v>
      </c>
      <c r="T1866" s="16" t="s">
        <v>127</v>
      </c>
      <c r="U1866" s="16" t="s">
        <v>185</v>
      </c>
      <c r="AP1866" s="16">
        <f>SUM(AL1866:AN1866)</f>
        <v>0</v>
      </c>
      <c r="AT1866" s="16" t="s">
        <v>285</v>
      </c>
      <c r="AY1866" s="18"/>
      <c r="BG1866" s="23"/>
      <c r="BT1866" s="23"/>
      <c r="CD1866" s="23"/>
      <c r="DF1866" s="16" t="e">
        <f>VLOOKUP(K1866,'[3]RNA Seq summary tables'!$V$3:$V$99,1,FALSE)</f>
        <v>#N/A</v>
      </c>
      <c r="JR1866" s="18"/>
      <c r="JS1866" s="18"/>
      <c r="JT1866" s="18"/>
      <c r="JU1866" s="18"/>
      <c r="JV1866" s="18"/>
      <c r="JW1866" s="18"/>
      <c r="JX1866" s="18"/>
      <c r="JY1866" s="18"/>
      <c r="JZ1866" s="18"/>
      <c r="KA1866" s="18"/>
      <c r="KB1866" s="18"/>
    </row>
    <row r="1867" spans="2:288" x14ac:dyDescent="0.2">
      <c r="B1867" s="16">
        <v>2017</v>
      </c>
      <c r="C1867" s="20">
        <v>42964</v>
      </c>
      <c r="D1867" s="20" t="str">
        <f>CONCATENATE(J1867,"-",C1867)</f>
        <v>1090-42964</v>
      </c>
      <c r="E1867" s="20" t="str">
        <f>CONCATENATE(T1867,"-",U1867,"-",C1867)</f>
        <v>PO2-G5-42964</v>
      </c>
      <c r="F1867" s="20" t="s">
        <v>106</v>
      </c>
      <c r="G1867" s="20" t="s">
        <v>278</v>
      </c>
      <c r="J1867" s="21">
        <v>1090</v>
      </c>
      <c r="T1867" s="16" t="s">
        <v>127</v>
      </c>
      <c r="U1867" s="16" t="s">
        <v>200</v>
      </c>
      <c r="AP1867" s="16">
        <f>SUM(AL1867:AN1867)</f>
        <v>0</v>
      </c>
      <c r="AT1867" s="16" t="s">
        <v>285</v>
      </c>
      <c r="AY1867" s="18"/>
      <c r="BG1867" s="23"/>
      <c r="BT1867" s="23"/>
      <c r="CD1867" s="23"/>
      <c r="DF1867" s="16" t="e">
        <f>VLOOKUP(K1867,'[3]RNA Seq summary tables'!$V$3:$V$99,1,FALSE)</f>
        <v>#N/A</v>
      </c>
      <c r="JO1867" s="27"/>
    </row>
    <row r="1868" spans="2:288" x14ac:dyDescent="0.2">
      <c r="B1868" s="16">
        <v>2017</v>
      </c>
      <c r="C1868" s="20">
        <v>42965</v>
      </c>
      <c r="D1868" s="20" t="str">
        <f>CONCATENATE(J1868,"-",C1868)</f>
        <v>1090-42965</v>
      </c>
      <c r="E1868" s="20" t="str">
        <f>CONCATENATE(T1868,"-",U1868,"-",C1868)</f>
        <v>PO2-E5-42965</v>
      </c>
      <c r="F1868" s="20" t="s">
        <v>106</v>
      </c>
      <c r="G1868" s="20" t="s">
        <v>278</v>
      </c>
      <c r="J1868" s="21">
        <v>1090</v>
      </c>
      <c r="T1868" s="16" t="s">
        <v>127</v>
      </c>
      <c r="U1868" s="16" t="s">
        <v>158</v>
      </c>
      <c r="AP1868" s="16">
        <f>SUM(AL1868:AN1868)</f>
        <v>0</v>
      </c>
      <c r="AT1868" s="16" t="s">
        <v>285</v>
      </c>
      <c r="AY1868" s="18"/>
      <c r="BG1868" s="23"/>
      <c r="BT1868" s="23"/>
      <c r="CD1868" s="23"/>
      <c r="DF1868" s="16" t="e">
        <f>VLOOKUP(K1868,'[3]RNA Seq summary tables'!$V$3:$V$99,1,FALSE)</f>
        <v>#N/A</v>
      </c>
      <c r="JO1868" s="27"/>
    </row>
    <row r="1869" spans="2:288" x14ac:dyDescent="0.2">
      <c r="B1869" s="16">
        <v>2017</v>
      </c>
      <c r="C1869" s="20">
        <v>42976</v>
      </c>
      <c r="D1869" s="20" t="str">
        <f>CONCATENATE(J1869,"-",C1869)</f>
        <v>1090-42976</v>
      </c>
      <c r="E1869" s="20" t="str">
        <f>CONCATENATE(T1869,"-",U1869,"-",C1869)</f>
        <v>PO2-F8-42976</v>
      </c>
      <c r="F1869" s="20" t="s">
        <v>224</v>
      </c>
      <c r="G1869" s="20" t="s">
        <v>278</v>
      </c>
      <c r="J1869" s="21">
        <v>1090</v>
      </c>
      <c r="T1869" s="16" t="s">
        <v>127</v>
      </c>
      <c r="U1869" s="16" t="s">
        <v>138</v>
      </c>
      <c r="AP1869" s="16">
        <f>SUM(AL1869:AN1869)</f>
        <v>0</v>
      </c>
      <c r="AT1869" s="16" t="s">
        <v>285</v>
      </c>
      <c r="AY1869" s="18"/>
      <c r="BG1869" s="23"/>
      <c r="BT1869" s="23"/>
      <c r="CD1869" s="23"/>
      <c r="DF1869" s="16" t="e">
        <f>VLOOKUP(K1869,'[3]RNA Seq summary tables'!$V$3:$V$99,1,FALSE)</f>
        <v>#N/A</v>
      </c>
      <c r="JO1869" s="27"/>
    </row>
    <row r="1870" spans="2:288" x14ac:dyDescent="0.2">
      <c r="B1870" s="16">
        <v>2017</v>
      </c>
      <c r="C1870" s="20">
        <v>42977</v>
      </c>
      <c r="D1870" s="20" t="str">
        <f>CONCATENATE(J1870,"-",C1870)</f>
        <v>1090-42977</v>
      </c>
      <c r="E1870" s="20" t="str">
        <f>CONCATENATE(T1870,"-",U1870,"-",C1870)</f>
        <v>PO2-E6-42977</v>
      </c>
      <c r="F1870" s="20" t="s">
        <v>224</v>
      </c>
      <c r="G1870" s="20" t="s">
        <v>278</v>
      </c>
      <c r="J1870" s="21">
        <v>1090</v>
      </c>
      <c r="T1870" s="16" t="s">
        <v>127</v>
      </c>
      <c r="U1870" s="16" t="s">
        <v>232</v>
      </c>
      <c r="AP1870" s="16">
        <f>SUM(AL1870:AN1870)</f>
        <v>0</v>
      </c>
      <c r="AT1870" s="16" t="s">
        <v>285</v>
      </c>
      <c r="AY1870" s="18"/>
      <c r="BG1870" s="23"/>
      <c r="BT1870" s="23"/>
      <c r="CD1870" s="23"/>
      <c r="DF1870" s="16" t="e">
        <f>VLOOKUP(K1870,'[3]RNA Seq summary tables'!$V$3:$V$99,1,FALSE)</f>
        <v>#N/A</v>
      </c>
      <c r="JO1870" s="18"/>
    </row>
    <row r="1871" spans="2:288" x14ac:dyDescent="0.2">
      <c r="B1871" s="16">
        <v>2017</v>
      </c>
      <c r="C1871" s="66">
        <v>42895</v>
      </c>
      <c r="D1871" s="66" t="str">
        <f>CONCATENATE(J1871,"-",C1871)</f>
        <v>1091-42895</v>
      </c>
      <c r="E1871" s="20" t="str">
        <f>CONCATENATE(T1871,"-",U1871,"-",C1871)</f>
        <v>PO2-H7-42895</v>
      </c>
      <c r="F1871" s="20" t="s">
        <v>106</v>
      </c>
      <c r="G1871" s="20" t="s">
        <v>278</v>
      </c>
      <c r="J1871" s="21">
        <v>1091</v>
      </c>
      <c r="T1871" s="16" t="s">
        <v>127</v>
      </c>
      <c r="U1871" s="16" t="s">
        <v>202</v>
      </c>
      <c r="AP1871" s="16">
        <f>SUM(AL1871:AN1871)</f>
        <v>0</v>
      </c>
      <c r="AT1871" s="16" t="s">
        <v>285</v>
      </c>
      <c r="AY1871" s="18"/>
      <c r="BG1871" s="23"/>
      <c r="BT1871" s="23"/>
      <c r="CD1871" s="23"/>
      <c r="DF1871" s="16" t="e">
        <f>VLOOKUP(K1871,'[3]RNA Seq summary tables'!$V$3:$V$99,1,FALSE)</f>
        <v>#N/A</v>
      </c>
    </row>
    <row r="1872" spans="2:288" x14ac:dyDescent="0.2">
      <c r="B1872" s="16">
        <v>2017</v>
      </c>
      <c r="C1872" s="20">
        <v>42928</v>
      </c>
      <c r="D1872" s="20" t="str">
        <f>CONCATENATE(J1872,"-",C1872)</f>
        <v>1092-42928</v>
      </c>
      <c r="E1872" s="20" t="str">
        <f>CONCATENATE(T1872,"-",U1872,"-",C1872)</f>
        <v>PO2-H7-42928</v>
      </c>
      <c r="F1872" s="20" t="s">
        <v>106</v>
      </c>
      <c r="G1872" s="20" t="s">
        <v>278</v>
      </c>
      <c r="J1872" s="21">
        <v>1092</v>
      </c>
      <c r="T1872" s="16" t="s">
        <v>127</v>
      </c>
      <c r="U1872" s="16" t="s">
        <v>202</v>
      </c>
      <c r="AP1872" s="16">
        <f>SUM(AL1872:AN1872)</f>
        <v>0</v>
      </c>
      <c r="AT1872" s="16" t="s">
        <v>285</v>
      </c>
      <c r="AY1872" s="18"/>
      <c r="BG1872" s="23"/>
      <c r="BT1872" s="23"/>
      <c r="CD1872" s="23"/>
      <c r="DF1872" s="16" t="e">
        <f>VLOOKUP(K1872,'[3]RNA Seq summary tables'!$V$3:$V$99,1,FALSE)</f>
        <v>#N/A</v>
      </c>
      <c r="JR1872" s="27"/>
      <c r="JS1872" s="27"/>
      <c r="JT1872" s="27"/>
      <c r="JU1872" s="27"/>
      <c r="JV1872" s="27"/>
      <c r="JW1872" s="27"/>
      <c r="JX1872" s="27"/>
      <c r="JY1872" s="27"/>
      <c r="JZ1872" s="27"/>
      <c r="KA1872" s="27"/>
      <c r="KB1872" s="27"/>
    </row>
    <row r="1873" spans="2:288" x14ac:dyDescent="0.2">
      <c r="B1873" s="16">
        <v>2017</v>
      </c>
      <c r="C1873" s="20">
        <v>42964</v>
      </c>
      <c r="D1873" s="20" t="str">
        <f>CONCATENATE(J1873,"-",C1873)</f>
        <v>1092-42964</v>
      </c>
      <c r="E1873" s="20" t="str">
        <f>CONCATENATE(T1873,"-",U1873,"-",C1873)</f>
        <v>PO2-H7-42964</v>
      </c>
      <c r="F1873" s="20" t="s">
        <v>106</v>
      </c>
      <c r="G1873" s="20" t="s">
        <v>278</v>
      </c>
      <c r="J1873" s="21">
        <v>1092</v>
      </c>
      <c r="T1873" s="16" t="s">
        <v>127</v>
      </c>
      <c r="U1873" s="16" t="s">
        <v>202</v>
      </c>
      <c r="AP1873" s="16">
        <f>SUM(AL1873:AN1873)</f>
        <v>0</v>
      </c>
      <c r="AT1873" s="16" t="s">
        <v>285</v>
      </c>
      <c r="AY1873" s="18"/>
      <c r="BG1873" s="23"/>
      <c r="BT1873" s="23"/>
      <c r="CD1873" s="23"/>
      <c r="DF1873" s="16" t="e">
        <f>VLOOKUP(K1873,'[3]RNA Seq summary tables'!$V$3:$V$99,1,FALSE)</f>
        <v>#N/A</v>
      </c>
      <c r="JO1873" s="27"/>
    </row>
    <row r="1874" spans="2:288" x14ac:dyDescent="0.2">
      <c r="B1874" s="16">
        <v>2017</v>
      </c>
      <c r="C1874" s="20">
        <v>42965</v>
      </c>
      <c r="D1874" s="20" t="str">
        <f>CONCATENATE(J1874,"-",C1874)</f>
        <v>1092-42965</v>
      </c>
      <c r="E1874" s="20" t="str">
        <f>CONCATENATE(T1874,"-",U1874,"-",C1874)</f>
        <v>PO2-H7-42965</v>
      </c>
      <c r="F1874" s="20" t="s">
        <v>106</v>
      </c>
      <c r="G1874" s="20" t="s">
        <v>278</v>
      </c>
      <c r="J1874" s="21">
        <v>1092</v>
      </c>
      <c r="T1874" s="16" t="s">
        <v>127</v>
      </c>
      <c r="U1874" s="16" t="s">
        <v>202</v>
      </c>
      <c r="AP1874" s="16">
        <f>SUM(AL1874:AN1874)</f>
        <v>0</v>
      </c>
      <c r="AT1874" s="16" t="s">
        <v>285</v>
      </c>
      <c r="AY1874" s="18"/>
      <c r="BG1874" s="23"/>
      <c r="BT1874" s="23"/>
      <c r="CD1874" s="23"/>
      <c r="DF1874" s="16" t="e">
        <f>VLOOKUP(K1874,'[3]RNA Seq summary tables'!$V$3:$V$99,1,FALSE)</f>
        <v>#N/A</v>
      </c>
      <c r="JO1874" s="27"/>
    </row>
    <row r="1875" spans="2:288" x14ac:dyDescent="0.2">
      <c r="B1875" s="16">
        <v>2017</v>
      </c>
      <c r="C1875" s="20">
        <v>42912</v>
      </c>
      <c r="D1875" s="20" t="str">
        <f>CONCATENATE(J1875,"-",C1875)</f>
        <v>1097-42912</v>
      </c>
      <c r="E1875" s="20" t="str">
        <f>CONCATENATE(T1875,"-",U1875,"-",C1875)</f>
        <v>PO2-A3-42912</v>
      </c>
      <c r="F1875" s="20" t="s">
        <v>106</v>
      </c>
      <c r="G1875" s="20" t="s">
        <v>278</v>
      </c>
      <c r="J1875" s="21">
        <v>1097</v>
      </c>
      <c r="T1875" s="16" t="s">
        <v>127</v>
      </c>
      <c r="U1875" s="16" t="s">
        <v>201</v>
      </c>
      <c r="AP1875" s="16">
        <f>SUM(AL1875:AN1875)</f>
        <v>0</v>
      </c>
      <c r="AT1875" s="16" t="s">
        <v>285</v>
      </c>
      <c r="AY1875" s="18"/>
      <c r="BG1875" s="23"/>
      <c r="BT1875" s="23"/>
      <c r="CD1875" s="23"/>
      <c r="DF1875" s="16" t="e">
        <f>VLOOKUP(K1875,'[3]RNA Seq summary tables'!$V$3:$V$99,1,FALSE)</f>
        <v>#N/A</v>
      </c>
    </row>
    <row r="1876" spans="2:288" x14ac:dyDescent="0.2">
      <c r="B1876" s="16">
        <v>2017</v>
      </c>
      <c r="C1876" s="20">
        <v>42913</v>
      </c>
      <c r="D1876" s="20" t="str">
        <f>CONCATENATE(J1876,"-",C1876)</f>
        <v>1099-42913</v>
      </c>
      <c r="E1876" s="20" t="str">
        <f>CONCATENATE(T1876,"-",U1876,"-",C1876)</f>
        <v>PO2-H2-42913</v>
      </c>
      <c r="F1876" s="20" t="s">
        <v>106</v>
      </c>
      <c r="G1876" s="20" t="s">
        <v>278</v>
      </c>
      <c r="J1876" s="21">
        <v>1099</v>
      </c>
      <c r="T1876" s="16" t="s">
        <v>127</v>
      </c>
      <c r="U1876" s="16" t="s">
        <v>190</v>
      </c>
      <c r="AP1876" s="16">
        <f>SUM(AL1876:AN1876)</f>
        <v>0</v>
      </c>
      <c r="AT1876" s="16" t="s">
        <v>285</v>
      </c>
      <c r="AY1876" s="18"/>
      <c r="BG1876" s="23"/>
      <c r="BT1876" s="23"/>
      <c r="CD1876" s="23"/>
      <c r="DF1876" s="16" t="e">
        <f>VLOOKUP(K1876,'[3]RNA Seq summary tables'!$V$3:$V$99,1,FALSE)</f>
        <v>#N/A</v>
      </c>
      <c r="JR1876" s="27"/>
      <c r="JS1876" s="27"/>
      <c r="JT1876" s="27"/>
      <c r="JU1876" s="27"/>
      <c r="JV1876" s="27"/>
      <c r="JW1876" s="27"/>
      <c r="JX1876" s="27"/>
      <c r="JY1876" s="27"/>
      <c r="JZ1876" s="27"/>
      <c r="KA1876" s="27"/>
      <c r="KB1876" s="27"/>
    </row>
    <row r="1877" spans="2:288" x14ac:dyDescent="0.2">
      <c r="B1877" s="16">
        <v>2017</v>
      </c>
      <c r="C1877" s="20">
        <v>42977</v>
      </c>
      <c r="D1877" s="20" t="str">
        <f>CONCATENATE(J1877,"-",C1877)</f>
        <v>1099-42977</v>
      </c>
      <c r="E1877" s="20" t="str">
        <f>CONCATENATE(T1877,"-",U1877,"-",C1877)</f>
        <v>PO2-H2-42977</v>
      </c>
      <c r="F1877" s="20" t="s">
        <v>224</v>
      </c>
      <c r="G1877" s="20" t="s">
        <v>278</v>
      </c>
      <c r="J1877" s="21">
        <v>1099</v>
      </c>
      <c r="T1877" s="16" t="s">
        <v>127</v>
      </c>
      <c r="U1877" s="16" t="s">
        <v>190</v>
      </c>
      <c r="AP1877" s="16">
        <f>SUM(AL1877:AN1877)</f>
        <v>0</v>
      </c>
      <c r="AT1877" s="16" t="s">
        <v>285</v>
      </c>
      <c r="AY1877" s="18"/>
      <c r="BG1877" s="23"/>
      <c r="BT1877" s="23"/>
      <c r="CD1877" s="23"/>
      <c r="DF1877" s="16" t="e">
        <f>VLOOKUP(K1877,'[3]RNA Seq summary tables'!$V$3:$V$99,1,FALSE)</f>
        <v>#N/A</v>
      </c>
      <c r="DT1877" s="25"/>
      <c r="DU1877" s="25"/>
      <c r="DV1877" s="25"/>
      <c r="DW1877" s="25"/>
      <c r="DX1877" s="25"/>
      <c r="DY1877" s="25"/>
      <c r="DZ1877" s="25"/>
      <c r="EA1877" s="25"/>
      <c r="EB1877" s="25"/>
      <c r="EC1877" s="25"/>
      <c r="ED1877" s="25"/>
      <c r="EE1877" s="25"/>
      <c r="JP1877" s="18"/>
      <c r="JQ1877" s="18"/>
    </row>
    <row r="1878" spans="2:288" x14ac:dyDescent="0.2">
      <c r="B1878" s="16">
        <v>2017</v>
      </c>
      <c r="C1878" s="20">
        <v>42898</v>
      </c>
      <c r="D1878" s="20" t="str">
        <f>CONCATENATE(J1878,"-",C1878)</f>
        <v>1100-42898</v>
      </c>
      <c r="E1878" s="20" t="str">
        <f>CONCATENATE(T1878,"-",U1878,"-",C1878)</f>
        <v>HW2-C8-42898</v>
      </c>
      <c r="F1878" s="20" t="s">
        <v>106</v>
      </c>
      <c r="G1878" s="20" t="s">
        <v>278</v>
      </c>
      <c r="J1878" s="21">
        <v>1100</v>
      </c>
      <c r="T1878" s="16" t="s">
        <v>129</v>
      </c>
      <c r="U1878" s="16" t="s">
        <v>188</v>
      </c>
      <c r="AP1878" s="16">
        <f>SUM(AL1878:AN1878)</f>
        <v>0</v>
      </c>
      <c r="AT1878" s="16" t="s">
        <v>285</v>
      </c>
      <c r="AY1878" s="18"/>
      <c r="BG1878" s="23"/>
      <c r="BT1878" s="23"/>
      <c r="CD1878" s="23"/>
      <c r="DF1878" s="16" t="e">
        <f>VLOOKUP(K1878,'[3]RNA Seq summary tables'!$V$3:$V$99,1,FALSE)</f>
        <v>#N/A</v>
      </c>
    </row>
    <row r="1879" spans="2:288" x14ac:dyDescent="0.2">
      <c r="B1879" s="16">
        <v>2017</v>
      </c>
      <c r="C1879" s="66">
        <v>42897</v>
      </c>
      <c r="D1879" s="66" t="str">
        <f>CONCATENATE(J1879,"-",C1879)</f>
        <v>1101-42897</v>
      </c>
      <c r="E1879" s="20" t="str">
        <f>CONCATENATE(T1879,"-",U1879,"-",C1879)</f>
        <v>HW2-C5-42897</v>
      </c>
      <c r="F1879" s="20" t="s">
        <v>106</v>
      </c>
      <c r="G1879" s="20" t="s">
        <v>278</v>
      </c>
      <c r="J1879" s="21">
        <v>1101</v>
      </c>
      <c r="T1879" s="16" t="s">
        <v>129</v>
      </c>
      <c r="U1879" s="16" t="s">
        <v>172</v>
      </c>
      <c r="AP1879" s="16">
        <f>SUM(AL1879:AN1879)</f>
        <v>0</v>
      </c>
      <c r="AT1879" s="16" t="s">
        <v>285</v>
      </c>
      <c r="AY1879" s="18"/>
      <c r="BG1879" s="23"/>
      <c r="BT1879" s="23"/>
      <c r="CD1879" s="23"/>
      <c r="DF1879" s="16" t="e">
        <f>VLOOKUP(K1879,'[3]RNA Seq summary tables'!$V$3:$V$99,1,FALSE)</f>
        <v>#N/A</v>
      </c>
    </row>
    <row r="1880" spans="2:288" x14ac:dyDescent="0.2">
      <c r="B1880" s="16">
        <v>2017</v>
      </c>
      <c r="C1880" s="20">
        <v>42898</v>
      </c>
      <c r="D1880" s="20" t="str">
        <f>CONCATENATE(J1880,"-",C1880)</f>
        <v>1101-42898</v>
      </c>
      <c r="E1880" s="20" t="str">
        <f>CONCATENATE(T1880,"-",U1880,"-",C1880)</f>
        <v>HW2-B7-42898</v>
      </c>
      <c r="F1880" s="20" t="s">
        <v>106</v>
      </c>
      <c r="G1880" s="20" t="s">
        <v>278</v>
      </c>
      <c r="J1880" s="21">
        <v>1101</v>
      </c>
      <c r="T1880" s="16" t="s">
        <v>129</v>
      </c>
      <c r="U1880" s="16" t="s">
        <v>168</v>
      </c>
      <c r="AP1880" s="16">
        <f>SUM(AL1880:AN1880)</f>
        <v>0</v>
      </c>
      <c r="AT1880" s="16" t="s">
        <v>285</v>
      </c>
      <c r="AY1880" s="18"/>
      <c r="BG1880" s="23"/>
      <c r="BT1880" s="23"/>
      <c r="CD1880" s="23"/>
      <c r="DF1880" s="16" t="e">
        <f>VLOOKUP(K1880,'[3]RNA Seq summary tables'!$V$3:$V$99,1,FALSE)</f>
        <v>#N/A</v>
      </c>
    </row>
    <row r="1881" spans="2:288" x14ac:dyDescent="0.2">
      <c r="B1881" s="16">
        <v>2017</v>
      </c>
      <c r="C1881" s="20">
        <v>42915</v>
      </c>
      <c r="D1881" s="20" t="str">
        <f>CONCATENATE(J1881,"-",C1881)</f>
        <v>1101-42915</v>
      </c>
      <c r="E1881" s="20" t="str">
        <f>CONCATENATE(T1881,"-",U1881,"-",C1881)</f>
        <v>HW2-B4-42915</v>
      </c>
      <c r="F1881" s="20" t="s">
        <v>106</v>
      </c>
      <c r="G1881" s="20" t="s">
        <v>278</v>
      </c>
      <c r="J1881" s="21">
        <v>1101</v>
      </c>
      <c r="T1881" s="16" t="s">
        <v>129</v>
      </c>
      <c r="U1881" s="16" t="s">
        <v>144</v>
      </c>
      <c r="AP1881" s="16">
        <f>SUM(AL1881:AN1881)</f>
        <v>0</v>
      </c>
      <c r="AT1881" s="16" t="s">
        <v>285</v>
      </c>
      <c r="AY1881" s="18"/>
      <c r="BG1881" s="23"/>
      <c r="BT1881" s="23"/>
      <c r="CD1881" s="23"/>
      <c r="DF1881" s="16" t="e">
        <f>VLOOKUP(K1881,'[3]RNA Seq summary tables'!$V$3:$V$99,1,FALSE)</f>
        <v>#N/A</v>
      </c>
      <c r="JR1881" s="27"/>
      <c r="JS1881" s="27"/>
      <c r="JT1881" s="27"/>
      <c r="JU1881" s="27"/>
      <c r="JV1881" s="27"/>
      <c r="JW1881" s="27"/>
      <c r="JX1881" s="27"/>
      <c r="JY1881" s="27"/>
      <c r="JZ1881" s="27"/>
      <c r="KA1881" s="27"/>
      <c r="KB1881" s="27"/>
    </row>
    <row r="1882" spans="2:288" x14ac:dyDescent="0.2">
      <c r="B1882" s="16">
        <v>2017</v>
      </c>
      <c r="C1882" s="20">
        <v>42916</v>
      </c>
      <c r="D1882" s="20" t="str">
        <f>CONCATENATE(J1882,"-",C1882)</f>
        <v>1101-42916</v>
      </c>
      <c r="E1882" s="20" t="str">
        <f>CONCATENATE(T1882,"-",U1882,"-",C1882)</f>
        <v>HW2-A6-42916</v>
      </c>
      <c r="F1882" s="20" t="s">
        <v>106</v>
      </c>
      <c r="G1882" s="20" t="s">
        <v>278</v>
      </c>
      <c r="J1882" s="21">
        <v>1101</v>
      </c>
      <c r="T1882" s="16" t="s">
        <v>129</v>
      </c>
      <c r="U1882" s="16" t="s">
        <v>147</v>
      </c>
      <c r="AP1882" s="16">
        <f>SUM(AL1882:AN1882)</f>
        <v>0</v>
      </c>
      <c r="AT1882" s="16" t="s">
        <v>285</v>
      </c>
      <c r="AY1882" s="18"/>
      <c r="BG1882" s="23"/>
      <c r="BT1882" s="23"/>
      <c r="CD1882" s="23"/>
      <c r="DF1882" s="16" t="e">
        <f>VLOOKUP(K1882,'[3]RNA Seq summary tables'!$V$3:$V$99,1,FALSE)</f>
        <v>#N/A</v>
      </c>
      <c r="JR1882" s="27"/>
      <c r="JS1882" s="27"/>
      <c r="JT1882" s="27"/>
      <c r="JU1882" s="27"/>
      <c r="JV1882" s="27"/>
      <c r="JW1882" s="27"/>
      <c r="JX1882" s="27"/>
      <c r="JY1882" s="27"/>
      <c r="JZ1882" s="27"/>
      <c r="KA1882" s="27"/>
      <c r="KB1882" s="27"/>
    </row>
    <row r="1883" spans="2:288" x14ac:dyDescent="0.2">
      <c r="B1883" s="16">
        <v>2017</v>
      </c>
      <c r="C1883" s="20">
        <v>42932</v>
      </c>
      <c r="D1883" s="20" t="str">
        <f>CONCATENATE(J1883,"-",C1883)</f>
        <v>1101-42932</v>
      </c>
      <c r="E1883" s="20" t="str">
        <f>CONCATENATE(T1883,"-",U1883,"-",C1883)</f>
        <v>HW2-A8-42932</v>
      </c>
      <c r="F1883" s="20" t="s">
        <v>106</v>
      </c>
      <c r="G1883" s="20" t="s">
        <v>278</v>
      </c>
      <c r="J1883" s="21">
        <v>1101</v>
      </c>
      <c r="T1883" s="16" t="s">
        <v>129</v>
      </c>
      <c r="U1883" s="16" t="s">
        <v>194</v>
      </c>
      <c r="AP1883" s="16">
        <f>SUM(AL1883:AN1883)</f>
        <v>0</v>
      </c>
      <c r="AT1883" s="16" t="s">
        <v>285</v>
      </c>
      <c r="AY1883" s="18"/>
      <c r="BG1883" s="23"/>
      <c r="BT1883" s="23"/>
      <c r="CD1883" s="23"/>
      <c r="DF1883" s="16" t="e">
        <f>VLOOKUP(K1883,'[3]RNA Seq summary tables'!$V$3:$V$99,1,FALSE)</f>
        <v>#N/A</v>
      </c>
      <c r="JO1883" s="27"/>
      <c r="JR1883" s="12"/>
      <c r="JS1883" s="12"/>
      <c r="JT1883" s="12"/>
      <c r="JU1883" s="12"/>
      <c r="JV1883" s="12"/>
      <c r="JW1883" s="12"/>
      <c r="JX1883" s="12"/>
      <c r="JY1883" s="12"/>
      <c r="JZ1883" s="12"/>
      <c r="KA1883" s="12"/>
      <c r="KB1883" s="12"/>
    </row>
    <row r="1884" spans="2:288" x14ac:dyDescent="0.2">
      <c r="B1884" s="16">
        <v>2017</v>
      </c>
      <c r="C1884" s="20">
        <v>42949</v>
      </c>
      <c r="D1884" s="20" t="str">
        <f>CONCATENATE(J1884,"-",C1884)</f>
        <v>1101-42949</v>
      </c>
      <c r="E1884" s="20" t="str">
        <f>CONCATENATE(T1884,"-",U1884,"-",C1884)</f>
        <v>HW2-F5-42949</v>
      </c>
      <c r="F1884" s="20" t="s">
        <v>106</v>
      </c>
      <c r="G1884" s="20" t="s">
        <v>278</v>
      </c>
      <c r="J1884" s="21">
        <v>1101</v>
      </c>
      <c r="T1884" s="16" t="s">
        <v>129</v>
      </c>
      <c r="U1884" s="16" t="s">
        <v>185</v>
      </c>
      <c r="AP1884" s="16">
        <f>SUM(AL1884:AN1884)</f>
        <v>0</v>
      </c>
      <c r="AT1884" s="16" t="s">
        <v>285</v>
      </c>
      <c r="AY1884" s="18"/>
      <c r="BG1884" s="23"/>
      <c r="BT1884" s="23"/>
      <c r="CD1884" s="23"/>
      <c r="DF1884" s="16" t="e">
        <f>VLOOKUP(K1884,'[3]RNA Seq summary tables'!$V$3:$V$99,1,FALSE)</f>
        <v>#N/A</v>
      </c>
      <c r="JO1884" s="27"/>
    </row>
    <row r="1885" spans="2:288" x14ac:dyDescent="0.2">
      <c r="B1885" s="16">
        <v>2017</v>
      </c>
      <c r="C1885" s="20">
        <v>42950</v>
      </c>
      <c r="D1885" s="20" t="str">
        <f>CONCATENATE(J1885,"-",C1885)</f>
        <v>1101-42950</v>
      </c>
      <c r="E1885" s="20" t="str">
        <f>CONCATENATE(T1885,"-",U1885,"-",C1885)</f>
        <v>HW2-B5-42950</v>
      </c>
      <c r="F1885" s="20" t="s">
        <v>106</v>
      </c>
      <c r="G1885" s="20" t="s">
        <v>278</v>
      </c>
      <c r="J1885" s="21">
        <v>1101</v>
      </c>
      <c r="T1885" s="16" t="s">
        <v>129</v>
      </c>
      <c r="U1885" s="16" t="s">
        <v>160</v>
      </c>
      <c r="AP1885" s="16">
        <f>SUM(AL1885:AN1885)</f>
        <v>0</v>
      </c>
      <c r="AT1885" s="16" t="s">
        <v>285</v>
      </c>
      <c r="AY1885" s="18"/>
      <c r="BG1885" s="23"/>
      <c r="BT1885" s="23"/>
      <c r="CD1885" s="23"/>
      <c r="DF1885" s="16" t="e">
        <f>VLOOKUP(K1885,'[3]RNA Seq summary tables'!$V$3:$V$99,1,FALSE)</f>
        <v>#N/A</v>
      </c>
      <c r="JO1885" s="27"/>
    </row>
    <row r="1886" spans="2:288" x14ac:dyDescent="0.2">
      <c r="B1886" s="16">
        <v>2017</v>
      </c>
      <c r="C1886" s="20">
        <v>42967</v>
      </c>
      <c r="D1886" s="20" t="str">
        <f>CONCATENATE(J1886,"-",C1886)</f>
        <v>1101-42967</v>
      </c>
      <c r="E1886" s="20" t="str">
        <f>CONCATENATE(T1886,"-",U1886,"-",C1886)</f>
        <v>HW2-E6-42967</v>
      </c>
      <c r="F1886" s="20" t="s">
        <v>106</v>
      </c>
      <c r="G1886" s="20" t="s">
        <v>278</v>
      </c>
      <c r="J1886" s="21">
        <v>1101</v>
      </c>
      <c r="T1886" s="16" t="s">
        <v>129</v>
      </c>
      <c r="U1886" s="16" t="s">
        <v>232</v>
      </c>
      <c r="AP1886" s="16">
        <f>SUM(AL1886:AN1886)</f>
        <v>0</v>
      </c>
      <c r="AT1886" s="16" t="s">
        <v>285</v>
      </c>
      <c r="AY1886" s="18"/>
      <c r="BG1886" s="23"/>
      <c r="BT1886" s="23"/>
      <c r="CD1886" s="23"/>
      <c r="DF1886" s="16" t="e">
        <f>VLOOKUP(K1886,'[3]RNA Seq summary tables'!$V$3:$V$99,1,FALSE)</f>
        <v>#N/A</v>
      </c>
      <c r="JO1886" s="27"/>
    </row>
    <row r="1887" spans="2:288" x14ac:dyDescent="0.2">
      <c r="B1887" s="16">
        <v>2017</v>
      </c>
      <c r="C1887" s="20">
        <v>42968</v>
      </c>
      <c r="D1887" s="20" t="str">
        <f>CONCATENATE(J1887,"-",C1887)</f>
        <v>1101-42968</v>
      </c>
      <c r="E1887" s="20" t="str">
        <f>CONCATENATE(T1887,"-",U1887,"-",C1887)</f>
        <v>HW2-A5-42968</v>
      </c>
      <c r="F1887" s="20" t="s">
        <v>106</v>
      </c>
      <c r="G1887" s="20" t="s">
        <v>278</v>
      </c>
      <c r="J1887" s="21">
        <v>1101</v>
      </c>
      <c r="T1887" s="16" t="s">
        <v>129</v>
      </c>
      <c r="U1887" s="16" t="s">
        <v>167</v>
      </c>
      <c r="AP1887" s="16">
        <f>SUM(AL1887:AN1887)</f>
        <v>0</v>
      </c>
      <c r="AT1887" s="16" t="s">
        <v>285</v>
      </c>
      <c r="AY1887" s="18"/>
      <c r="BG1887" s="23"/>
      <c r="BT1887" s="23"/>
      <c r="CD1887" s="23"/>
      <c r="DF1887" s="16" t="e">
        <f>VLOOKUP(K1887,'[3]RNA Seq summary tables'!$V$3:$V$99,1,FALSE)</f>
        <v>#N/A</v>
      </c>
      <c r="JO1887" s="18"/>
    </row>
    <row r="1888" spans="2:288" x14ac:dyDescent="0.2">
      <c r="B1888" s="16">
        <v>2017</v>
      </c>
      <c r="C1888" s="66">
        <v>42897</v>
      </c>
      <c r="D1888" s="66" t="str">
        <f>CONCATENATE(J1888,"-",C1888)</f>
        <v>1102-42897</v>
      </c>
      <c r="E1888" s="20" t="str">
        <f>CONCATENATE(T1888,"-",U1888,"-",C1888)</f>
        <v>HW2-E3-42897</v>
      </c>
      <c r="F1888" s="20" t="s">
        <v>106</v>
      </c>
      <c r="G1888" s="20" t="s">
        <v>278</v>
      </c>
      <c r="J1888" s="21">
        <v>1102</v>
      </c>
      <c r="T1888" s="16" t="s">
        <v>129</v>
      </c>
      <c r="U1888" s="16" t="s">
        <v>225</v>
      </c>
      <c r="AP1888" s="16">
        <f>SUM(AL1888:AN1888)</f>
        <v>0</v>
      </c>
      <c r="AT1888" s="16" t="s">
        <v>285</v>
      </c>
      <c r="AY1888" s="18"/>
      <c r="BG1888" s="23"/>
      <c r="BT1888" s="23"/>
      <c r="CD1888" s="23"/>
      <c r="DF1888" s="16" t="e">
        <f>VLOOKUP(K1888,'[3]RNA Seq summary tables'!$V$3:$V$99,1,FALSE)</f>
        <v>#N/A</v>
      </c>
      <c r="JO1888" s="27"/>
      <c r="JR1888" s="18"/>
      <c r="JS1888" s="18"/>
      <c r="JT1888" s="18"/>
      <c r="JU1888" s="18"/>
      <c r="JV1888" s="18"/>
      <c r="JW1888" s="18"/>
      <c r="JX1888" s="18"/>
      <c r="JY1888" s="18"/>
      <c r="JZ1888" s="18"/>
      <c r="KA1888" s="18"/>
      <c r="KB1888" s="18"/>
    </row>
    <row r="1889" spans="2:288" x14ac:dyDescent="0.2">
      <c r="B1889" s="16">
        <v>2017</v>
      </c>
      <c r="C1889" s="20">
        <v>42898</v>
      </c>
      <c r="D1889" s="20" t="str">
        <f>CONCATENATE(J1889,"-",C1889)</f>
        <v>1102-42898</v>
      </c>
      <c r="E1889" s="20" t="str">
        <f>CONCATENATE(T1889,"-",U1889,"-",C1889)</f>
        <v>HW2-C2-42898</v>
      </c>
      <c r="F1889" s="20" t="s">
        <v>106</v>
      </c>
      <c r="G1889" s="20" t="s">
        <v>278</v>
      </c>
      <c r="J1889" s="21">
        <v>1102</v>
      </c>
      <c r="T1889" s="16" t="s">
        <v>129</v>
      </c>
      <c r="U1889" s="16" t="s">
        <v>162</v>
      </c>
      <c r="AP1889" s="16">
        <f>SUM(AL1889:AN1889)</f>
        <v>0</v>
      </c>
      <c r="AT1889" s="16" t="s">
        <v>285</v>
      </c>
      <c r="AY1889" s="18"/>
      <c r="BG1889" s="23"/>
      <c r="BT1889" s="23"/>
      <c r="CD1889" s="23"/>
      <c r="DF1889" s="16" t="e">
        <f>VLOOKUP(K1889,'[3]RNA Seq summary tables'!$V$3:$V$99,1,FALSE)</f>
        <v>#N/A</v>
      </c>
    </row>
    <row r="1890" spans="2:288" x14ac:dyDescent="0.2">
      <c r="B1890" s="16">
        <v>2017</v>
      </c>
      <c r="C1890" s="20">
        <v>42915</v>
      </c>
      <c r="D1890" s="20" t="str">
        <f>CONCATENATE(J1890,"-",C1890)</f>
        <v>1102-42915</v>
      </c>
      <c r="E1890" s="20" t="str">
        <f>CONCATENATE(T1890,"-",U1890,"-",C1890)</f>
        <v>HW2-C1-42915</v>
      </c>
      <c r="F1890" s="20" t="s">
        <v>106</v>
      </c>
      <c r="G1890" s="20" t="s">
        <v>278</v>
      </c>
      <c r="J1890" s="21">
        <v>1102</v>
      </c>
      <c r="T1890" s="16" t="s">
        <v>129</v>
      </c>
      <c r="U1890" s="16" t="s">
        <v>150</v>
      </c>
      <c r="AP1890" s="16">
        <f>SUM(AL1890:AN1890)</f>
        <v>0</v>
      </c>
      <c r="AT1890" s="16" t="s">
        <v>285</v>
      </c>
      <c r="AY1890" s="18"/>
      <c r="BG1890" s="23"/>
      <c r="BT1890" s="23"/>
      <c r="CD1890" s="23"/>
      <c r="DF1890" s="16" t="e">
        <f>VLOOKUP(K1890,'[3]RNA Seq summary tables'!$V$3:$V$99,1,FALSE)</f>
        <v>#N/A</v>
      </c>
      <c r="JR1890" s="27"/>
      <c r="JS1890" s="27"/>
      <c r="JT1890" s="27"/>
      <c r="JU1890" s="27"/>
      <c r="JV1890" s="27"/>
      <c r="JW1890" s="27"/>
      <c r="JX1890" s="27"/>
      <c r="JY1890" s="27"/>
      <c r="JZ1890" s="27"/>
      <c r="KA1890" s="27"/>
      <c r="KB1890" s="27"/>
    </row>
    <row r="1891" spans="2:288" x14ac:dyDescent="0.2">
      <c r="B1891" s="16">
        <v>2017</v>
      </c>
      <c r="C1891" s="20">
        <v>42931</v>
      </c>
      <c r="D1891" s="20" t="str">
        <f>CONCATENATE(J1891,"-",C1891)</f>
        <v>1102-42931</v>
      </c>
      <c r="E1891" s="20" t="str">
        <f>CONCATENATE(T1891,"-",U1891,"-",C1891)</f>
        <v>HW2-H3-42931</v>
      </c>
      <c r="F1891" s="20" t="s">
        <v>106</v>
      </c>
      <c r="G1891" s="20" t="s">
        <v>278</v>
      </c>
      <c r="J1891" s="21">
        <v>1102</v>
      </c>
      <c r="T1891" s="16" t="s">
        <v>129</v>
      </c>
      <c r="U1891" s="16" t="s">
        <v>174</v>
      </c>
      <c r="AP1891" s="16">
        <f>SUM(AL1891:AN1891)</f>
        <v>0</v>
      </c>
      <c r="AQ1891" s="18"/>
      <c r="AT1891" s="16" t="s">
        <v>285</v>
      </c>
      <c r="AY1891" s="18"/>
      <c r="BG1891" s="23"/>
      <c r="BT1891" s="23"/>
      <c r="CD1891" s="23"/>
      <c r="DF1891" s="16" t="e">
        <f>VLOOKUP(K1891,'[3]RNA Seq summary tables'!$V$3:$V$99,1,FALSE)</f>
        <v>#N/A</v>
      </c>
      <c r="JR1891" s="18"/>
      <c r="JS1891" s="18"/>
      <c r="JT1891" s="18"/>
      <c r="JU1891" s="18"/>
      <c r="JV1891" s="18"/>
      <c r="JW1891" s="18"/>
      <c r="JX1891" s="18"/>
      <c r="JY1891" s="18"/>
      <c r="JZ1891" s="18"/>
      <c r="KA1891" s="18"/>
      <c r="KB1891" s="18"/>
    </row>
    <row r="1892" spans="2:288" x14ac:dyDescent="0.2">
      <c r="B1892" s="16">
        <v>2017</v>
      </c>
      <c r="C1892" s="20">
        <v>42950</v>
      </c>
      <c r="D1892" s="20" t="str">
        <f>CONCATENATE(J1892,"-",C1892)</f>
        <v>1102-42950</v>
      </c>
      <c r="E1892" s="20" t="str">
        <f>CONCATENATE(T1892,"-",U1892,"-",C1892)</f>
        <v>HW2-G4-42950</v>
      </c>
      <c r="F1892" s="20" t="s">
        <v>106</v>
      </c>
      <c r="G1892" s="20" t="s">
        <v>278</v>
      </c>
      <c r="J1892" s="21">
        <v>1102</v>
      </c>
      <c r="T1892" s="16" t="s">
        <v>129</v>
      </c>
      <c r="U1892" s="16" t="s">
        <v>173</v>
      </c>
      <c r="AP1892" s="16">
        <f>SUM(AL1892:AN1892)</f>
        <v>0</v>
      </c>
      <c r="AT1892" s="16" t="s">
        <v>285</v>
      </c>
      <c r="AY1892" s="18"/>
      <c r="BG1892" s="23"/>
      <c r="BT1892" s="23"/>
      <c r="CD1892" s="23"/>
      <c r="DF1892" s="16" t="e">
        <f>VLOOKUP(K1892,'[3]RNA Seq summary tables'!$V$3:$V$99,1,FALSE)</f>
        <v>#N/A</v>
      </c>
      <c r="JO1892" s="27"/>
    </row>
    <row r="1893" spans="2:288" x14ac:dyDescent="0.2">
      <c r="B1893" s="16">
        <v>2017</v>
      </c>
      <c r="C1893" s="20">
        <v>42967</v>
      </c>
      <c r="D1893" s="20" t="str">
        <f>CONCATENATE(J1893,"-",C1893)</f>
        <v>1102-42967</v>
      </c>
      <c r="E1893" s="20" t="str">
        <f>CONCATENATE(T1893,"-",U1893,"-",C1893)</f>
        <v>HW2-G3-42967</v>
      </c>
      <c r="F1893" s="20" t="s">
        <v>106</v>
      </c>
      <c r="G1893" s="20" t="s">
        <v>278</v>
      </c>
      <c r="J1893" s="21">
        <v>1102</v>
      </c>
      <c r="T1893" s="16" t="s">
        <v>129</v>
      </c>
      <c r="U1893" s="16" t="s">
        <v>179</v>
      </c>
      <c r="AP1893" s="16">
        <f>SUM(AL1893:AN1893)</f>
        <v>0</v>
      </c>
      <c r="AT1893" s="16" t="s">
        <v>285</v>
      </c>
      <c r="AY1893" s="18"/>
      <c r="BG1893" s="23"/>
      <c r="BT1893" s="23"/>
      <c r="CD1893" s="23"/>
      <c r="DF1893" s="16" t="e">
        <f>VLOOKUP(K1893,'[3]RNA Seq summary tables'!$V$3:$V$99,1,FALSE)</f>
        <v>#N/A</v>
      </c>
      <c r="DT1893" s="25"/>
      <c r="DU1893" s="25"/>
      <c r="DV1893" s="25"/>
      <c r="DW1893" s="25"/>
      <c r="DX1893" s="25"/>
      <c r="DY1893" s="25"/>
      <c r="DZ1893" s="25"/>
      <c r="EA1893" s="25"/>
      <c r="EB1893" s="25"/>
      <c r="EC1893" s="25"/>
      <c r="ED1893" s="25"/>
      <c r="EE1893" s="25"/>
      <c r="JO1893" s="18"/>
    </row>
    <row r="1894" spans="2:288" x14ac:dyDescent="0.2">
      <c r="B1894" s="16">
        <v>2017</v>
      </c>
      <c r="C1894" s="66">
        <v>42897</v>
      </c>
      <c r="D1894" s="66" t="str">
        <f>CONCATENATE(J1894,"-",C1894)</f>
        <v>1104-42897</v>
      </c>
      <c r="E1894" s="20" t="str">
        <f>CONCATENATE(T1894,"-",U1894,"-",C1894)</f>
        <v>HW2 -D7-42897</v>
      </c>
      <c r="F1894" s="20" t="s">
        <v>106</v>
      </c>
      <c r="G1894" s="20" t="s">
        <v>278</v>
      </c>
      <c r="J1894" s="21">
        <v>1104</v>
      </c>
      <c r="T1894" s="16" t="s">
        <v>286</v>
      </c>
      <c r="U1894" s="16" t="s">
        <v>177</v>
      </c>
      <c r="AP1894" s="16">
        <f>SUM(AL1894:AN1894)</f>
        <v>0</v>
      </c>
      <c r="AT1894" s="16" t="s">
        <v>285</v>
      </c>
      <c r="AY1894" s="18"/>
      <c r="BG1894" s="23"/>
      <c r="BT1894" s="23"/>
      <c r="CD1894" s="23"/>
      <c r="DF1894" s="16" t="e">
        <f>VLOOKUP(K1894,'[3]RNA Seq summary tables'!$V$3:$V$99,1,FALSE)</f>
        <v>#N/A</v>
      </c>
    </row>
    <row r="1895" spans="2:288" x14ac:dyDescent="0.2">
      <c r="B1895" s="16">
        <v>2017</v>
      </c>
      <c r="C1895" s="43">
        <v>42898</v>
      </c>
      <c r="D1895" s="43" t="str">
        <f>CONCATENATE(J1895,"-",C1895)</f>
        <v>1104-42898</v>
      </c>
      <c r="E1895" s="20" t="str">
        <f>CONCATENATE(T1895,"-",U1895,"-",C1895)</f>
        <v>HW2-D6-42898</v>
      </c>
      <c r="F1895" s="20" t="s">
        <v>106</v>
      </c>
      <c r="G1895" s="43" t="s">
        <v>278</v>
      </c>
      <c r="H1895" s="23"/>
      <c r="I1895" s="23"/>
      <c r="J1895" s="15">
        <v>1104</v>
      </c>
      <c r="K1895" s="15"/>
      <c r="L1895" s="23"/>
      <c r="P1895" s="23"/>
      <c r="Q1895" s="23"/>
      <c r="R1895" s="23"/>
      <c r="S1895" s="23"/>
      <c r="T1895" s="23" t="s">
        <v>129</v>
      </c>
      <c r="U1895" s="23" t="s">
        <v>186</v>
      </c>
      <c r="V1895" s="23"/>
      <c r="W1895" s="23"/>
      <c r="X1895" s="23"/>
      <c r="Y1895" s="23"/>
      <c r="Z1895" s="23"/>
      <c r="AA1895" s="23"/>
      <c r="AB1895" s="23"/>
      <c r="AC1895" s="23"/>
      <c r="AD1895" s="23"/>
      <c r="AE1895" s="23"/>
      <c r="AF1895" s="23"/>
      <c r="AG1895" s="23"/>
      <c r="AH1895" s="23"/>
      <c r="AI1895" s="23"/>
      <c r="AJ1895" s="23"/>
      <c r="AK1895" s="23"/>
      <c r="AL1895" s="23"/>
      <c r="AM1895" s="23"/>
      <c r="AN1895" s="23"/>
      <c r="AO1895" s="23"/>
      <c r="AP1895" s="23">
        <f>SUM(AL1895:AN1895)</f>
        <v>0</v>
      </c>
      <c r="AQ1895" s="23"/>
      <c r="AR1895" s="23"/>
      <c r="AS1895" s="23"/>
      <c r="AT1895" s="16" t="s">
        <v>285</v>
      </c>
      <c r="AY1895" s="18"/>
      <c r="BG1895" s="23"/>
      <c r="BT1895" s="23"/>
      <c r="CD1895" s="23"/>
      <c r="DC1895" s="23"/>
      <c r="DD1895" s="23"/>
      <c r="DE1895" s="23"/>
      <c r="DF1895" s="16" t="e">
        <f>VLOOKUP(K1895,'[3]RNA Seq summary tables'!$V$3:$V$99,1,FALSE)</f>
        <v>#N/A</v>
      </c>
      <c r="DG1895" s="23"/>
      <c r="DH1895" s="23"/>
      <c r="DI1895" s="23"/>
      <c r="DJ1895" s="23"/>
      <c r="DK1895" s="23"/>
      <c r="DL1895" s="23"/>
      <c r="DM1895" s="23"/>
      <c r="DN1895" s="23"/>
      <c r="DO1895" s="23"/>
      <c r="DP1895" s="23"/>
      <c r="DQ1895" s="23"/>
      <c r="DR1895" s="23"/>
      <c r="DS1895" s="23"/>
      <c r="DT1895" s="25"/>
      <c r="DU1895" s="25"/>
      <c r="DV1895" s="25"/>
      <c r="DW1895" s="25"/>
      <c r="DX1895" s="25"/>
      <c r="DY1895" s="25"/>
      <c r="DZ1895" s="25"/>
      <c r="EA1895" s="25"/>
      <c r="EB1895" s="25"/>
      <c r="EC1895" s="25"/>
      <c r="ED1895" s="25"/>
      <c r="EE1895" s="25"/>
      <c r="EF1895" s="25"/>
      <c r="EG1895" s="25"/>
      <c r="EH1895" s="25"/>
      <c r="EI1895" s="25"/>
      <c r="EJ1895" s="25"/>
      <c r="EK1895" s="25"/>
      <c r="EL1895" s="25"/>
      <c r="EM1895" s="25"/>
      <c r="EN1895" s="25"/>
      <c r="EO1895" s="25"/>
      <c r="EP1895" s="25"/>
      <c r="EQ1895" s="25"/>
      <c r="ER1895" s="25"/>
      <c r="ES1895" s="25"/>
      <c r="ET1895" s="25"/>
      <c r="EU1895" s="25"/>
      <c r="EV1895" s="25"/>
      <c r="EW1895" s="25"/>
      <c r="EX1895" s="25"/>
      <c r="EY1895" s="25"/>
      <c r="EZ1895" s="25"/>
      <c r="FA1895" s="25"/>
      <c r="FB1895" s="25"/>
      <c r="FC1895" s="25"/>
      <c r="FD1895" s="25"/>
      <c r="FE1895" s="25"/>
      <c r="FF1895" s="25"/>
      <c r="FG1895" s="25"/>
      <c r="FH1895" s="25"/>
      <c r="FI1895" s="25"/>
      <c r="FJ1895" s="25"/>
      <c r="FK1895" s="25"/>
      <c r="FL1895" s="25"/>
      <c r="FM1895" s="25"/>
      <c r="FN1895" s="25"/>
      <c r="FO1895" s="25"/>
      <c r="FP1895" s="25"/>
      <c r="FQ1895" s="25"/>
      <c r="FR1895" s="25"/>
      <c r="FS1895" s="25"/>
      <c r="FT1895" s="25"/>
      <c r="FU1895" s="25"/>
      <c r="FV1895" s="25"/>
      <c r="FW1895" s="25"/>
      <c r="FX1895" s="25"/>
      <c r="FY1895" s="25"/>
      <c r="FZ1895" s="25"/>
      <c r="GA1895" s="25"/>
      <c r="GB1895" s="25"/>
      <c r="GC1895" s="25"/>
      <c r="GD1895" s="25"/>
      <c r="GE1895" s="25"/>
      <c r="GF1895" s="25"/>
      <c r="GG1895" s="25"/>
      <c r="GH1895" s="25"/>
      <c r="GI1895" s="25"/>
      <c r="GJ1895" s="25"/>
      <c r="GK1895" s="25"/>
      <c r="GL1895" s="25"/>
      <c r="GM1895" s="25"/>
      <c r="GN1895" s="25"/>
      <c r="GO1895" s="25"/>
      <c r="GP1895" s="25"/>
      <c r="GQ1895" s="25"/>
      <c r="GR1895" s="25"/>
      <c r="GS1895" s="25"/>
      <c r="GT1895" s="25"/>
      <c r="GU1895" s="25"/>
      <c r="GV1895" s="25"/>
      <c r="GW1895" s="25"/>
      <c r="GX1895" s="25"/>
      <c r="GY1895" s="25"/>
      <c r="GZ1895" s="25"/>
      <c r="HA1895" s="25"/>
      <c r="HB1895" s="25"/>
      <c r="HC1895" s="25"/>
      <c r="HD1895" s="25"/>
      <c r="HE1895" s="25"/>
      <c r="HF1895" s="25"/>
      <c r="HG1895" s="25"/>
      <c r="HH1895" s="25"/>
      <c r="HI1895" s="25"/>
      <c r="HJ1895" s="25"/>
      <c r="HK1895" s="25"/>
      <c r="HL1895" s="25"/>
      <c r="HM1895" s="25"/>
      <c r="HN1895" s="25"/>
      <c r="HO1895" s="25"/>
      <c r="HP1895" s="25"/>
      <c r="HQ1895" s="25"/>
      <c r="HR1895" s="25"/>
      <c r="HS1895" s="25"/>
      <c r="HT1895" s="25"/>
      <c r="HU1895" s="25"/>
      <c r="HV1895" s="25"/>
      <c r="HW1895" s="25"/>
      <c r="HX1895" s="25"/>
      <c r="HY1895" s="25"/>
      <c r="HZ1895" s="25"/>
      <c r="IA1895" s="25"/>
      <c r="IB1895" s="25"/>
      <c r="IC1895" s="25"/>
      <c r="ID1895" s="25"/>
      <c r="IE1895" s="25"/>
      <c r="IF1895" s="25"/>
      <c r="IG1895" s="25"/>
      <c r="IH1895" s="25"/>
      <c r="II1895" s="25"/>
      <c r="IJ1895" s="25"/>
      <c r="IK1895" s="25"/>
      <c r="IL1895" s="25"/>
      <c r="IM1895" s="25"/>
      <c r="IN1895" s="25"/>
      <c r="IO1895" s="25"/>
      <c r="IP1895" s="25"/>
      <c r="IQ1895" s="25"/>
      <c r="IR1895" s="25"/>
      <c r="IS1895" s="25"/>
      <c r="IT1895" s="25"/>
      <c r="IU1895" s="25"/>
      <c r="IV1895" s="25"/>
      <c r="IW1895" s="25"/>
      <c r="IX1895" s="25"/>
      <c r="IY1895" s="25"/>
      <c r="IZ1895" s="25"/>
      <c r="JA1895" s="25"/>
      <c r="JB1895" s="25"/>
      <c r="JC1895" s="25"/>
      <c r="JD1895" s="25"/>
      <c r="JE1895" s="25"/>
      <c r="JF1895" s="25"/>
      <c r="JG1895" s="25"/>
      <c r="JH1895" s="25"/>
      <c r="JI1895" s="25"/>
      <c r="JJ1895" s="25"/>
      <c r="JK1895" s="25"/>
      <c r="JL1895" s="25"/>
      <c r="JM1895" s="25"/>
      <c r="JN1895" s="25"/>
    </row>
    <row r="1896" spans="2:288" x14ac:dyDescent="0.2">
      <c r="B1896" s="18">
        <v>2017</v>
      </c>
      <c r="C1896" s="37">
        <v>42915</v>
      </c>
      <c r="D1896" s="37" t="str">
        <f>CONCATENATE(J1896,"-",C1896)</f>
        <v>1104-42915</v>
      </c>
      <c r="E1896" s="20" t="str">
        <f>CONCATENATE(T1896,"-",U1896,"-",C1896)</f>
        <v>HW2-D7-42915</v>
      </c>
      <c r="F1896" s="20" t="s">
        <v>106</v>
      </c>
      <c r="G1896" s="37" t="s">
        <v>278</v>
      </c>
      <c r="H1896" s="18"/>
      <c r="I1896" s="18"/>
      <c r="J1896" s="36">
        <v>1104</v>
      </c>
      <c r="K1896" s="36"/>
      <c r="L1896" s="18"/>
      <c r="M1896" s="36"/>
      <c r="N1896" s="36"/>
      <c r="O1896" s="36"/>
      <c r="P1896" s="18"/>
      <c r="Q1896" s="18"/>
      <c r="R1896" s="18"/>
      <c r="S1896" s="18"/>
      <c r="T1896" s="18" t="s">
        <v>129</v>
      </c>
      <c r="U1896" s="18" t="s">
        <v>177</v>
      </c>
      <c r="V1896" s="18" t="s">
        <v>114</v>
      </c>
      <c r="W1896" s="18"/>
      <c r="X1896" s="18"/>
      <c r="Y1896" s="18"/>
      <c r="Z1896" s="18"/>
      <c r="AA1896" s="18"/>
      <c r="AB1896" s="18"/>
      <c r="AC1896" s="18"/>
      <c r="AD1896" s="18"/>
      <c r="AE1896" s="18"/>
      <c r="AF1896" s="18"/>
      <c r="AG1896" s="18"/>
      <c r="AH1896" s="18"/>
      <c r="AI1896" s="18"/>
      <c r="AJ1896" s="18"/>
      <c r="AK1896" s="18"/>
      <c r="AL1896" s="18"/>
      <c r="AM1896" s="18"/>
      <c r="AN1896" s="18"/>
      <c r="AO1896" s="18"/>
      <c r="AP1896" s="18">
        <f>SUM(AL1896:AN1896)</f>
        <v>0</v>
      </c>
      <c r="AQ1896" s="18"/>
      <c r="AR1896" s="18"/>
      <c r="AS1896" s="18"/>
      <c r="AT1896" s="16" t="s">
        <v>285</v>
      </c>
      <c r="AW1896" s="18"/>
      <c r="AX1896" s="18"/>
      <c r="AY1896" s="18"/>
      <c r="AZ1896" s="18"/>
      <c r="BA1896" s="18"/>
      <c r="BB1896" s="18"/>
      <c r="BC1896" s="18"/>
      <c r="BD1896" s="18"/>
      <c r="BE1896" s="18"/>
      <c r="BF1896" s="18"/>
      <c r="BG1896" s="25"/>
      <c r="BH1896" s="18"/>
      <c r="BI1896" s="18"/>
      <c r="BJ1896" s="18"/>
      <c r="BK1896" s="18"/>
      <c r="BL1896" s="18"/>
      <c r="BM1896" s="18"/>
      <c r="BN1896" s="18"/>
      <c r="BO1896" s="18"/>
      <c r="BP1896" s="18"/>
      <c r="BQ1896" s="18"/>
      <c r="BR1896" s="18"/>
      <c r="BS1896" s="18"/>
      <c r="BT1896" s="25"/>
      <c r="BU1896" s="18"/>
      <c r="BV1896" s="18"/>
      <c r="BW1896" s="18"/>
      <c r="BX1896" s="18"/>
      <c r="BY1896" s="18"/>
      <c r="BZ1896" s="18"/>
      <c r="CA1896" s="18"/>
      <c r="CB1896" s="18"/>
      <c r="CC1896" s="18"/>
      <c r="CD1896" s="25"/>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6" t="e">
        <f>VLOOKUP(K1896,'[3]RNA Seq summary tables'!$V$3:$V$99,1,FALSE)</f>
        <v>#N/A</v>
      </c>
      <c r="DG1896" s="18"/>
      <c r="DH1896" s="18"/>
      <c r="DI1896" s="18"/>
      <c r="DJ1896" s="18"/>
      <c r="DK1896" s="18"/>
      <c r="DL1896" s="18"/>
      <c r="DM1896" s="18"/>
      <c r="DN1896" s="18"/>
      <c r="DO1896" s="18"/>
      <c r="DP1896" s="18"/>
      <c r="DQ1896" s="18"/>
      <c r="DR1896" s="18"/>
      <c r="DS1896" s="18"/>
      <c r="JR1896" s="27"/>
      <c r="JS1896" s="27"/>
      <c r="JT1896" s="27"/>
      <c r="JU1896" s="27"/>
      <c r="JV1896" s="27"/>
      <c r="JW1896" s="27"/>
      <c r="JX1896" s="27"/>
      <c r="JY1896" s="27"/>
      <c r="JZ1896" s="27"/>
      <c r="KA1896" s="27"/>
      <c r="KB1896" s="27"/>
    </row>
    <row r="1897" spans="2:288" x14ac:dyDescent="0.2">
      <c r="B1897" s="16">
        <v>2017</v>
      </c>
      <c r="C1897" s="20">
        <v>42916</v>
      </c>
      <c r="D1897" s="20" t="str">
        <f>CONCATENATE(J1897,"-",C1897)</f>
        <v>1104-42916</v>
      </c>
      <c r="E1897" s="20" t="str">
        <f>CONCATENATE(T1897,"-",U1897,"-",C1897)</f>
        <v>HW2-H6-42916</v>
      </c>
      <c r="F1897" s="20" t="s">
        <v>106</v>
      </c>
      <c r="G1897" s="20" t="s">
        <v>278</v>
      </c>
      <c r="J1897" s="21">
        <v>1104</v>
      </c>
      <c r="T1897" s="16" t="s">
        <v>129</v>
      </c>
      <c r="U1897" s="16" t="s">
        <v>141</v>
      </c>
      <c r="AP1897" s="16">
        <f>SUM(AL1897:AN1897)</f>
        <v>0</v>
      </c>
      <c r="AT1897" s="16" t="s">
        <v>285</v>
      </c>
      <c r="AY1897" s="18"/>
      <c r="BG1897" s="23"/>
      <c r="BT1897" s="23"/>
      <c r="CD1897" s="23"/>
      <c r="DF1897" s="16" t="e">
        <f>VLOOKUP(K1897,'[3]RNA Seq summary tables'!$V$3:$V$99,1,FALSE)</f>
        <v>#N/A</v>
      </c>
      <c r="JR1897" s="27"/>
      <c r="JS1897" s="27"/>
      <c r="JT1897" s="27"/>
      <c r="JU1897" s="27"/>
      <c r="JV1897" s="27"/>
      <c r="JW1897" s="27"/>
      <c r="JX1897" s="27"/>
      <c r="JY1897" s="27"/>
      <c r="JZ1897" s="27"/>
      <c r="KA1897" s="27"/>
      <c r="KB1897" s="27"/>
    </row>
    <row r="1898" spans="2:288" x14ac:dyDescent="0.2">
      <c r="B1898" s="16">
        <v>2017</v>
      </c>
      <c r="C1898" s="20">
        <v>42931</v>
      </c>
      <c r="D1898" s="20" t="str">
        <f>CONCATENATE(J1898,"-",C1898)</f>
        <v>1104-42931</v>
      </c>
      <c r="E1898" s="20" t="str">
        <f>CONCATENATE(T1898,"-",U1898,"-",C1898)</f>
        <v>HW2-D5-42931</v>
      </c>
      <c r="F1898" s="20" t="s">
        <v>106</v>
      </c>
      <c r="G1898" s="20" t="s">
        <v>278</v>
      </c>
      <c r="J1898" s="21">
        <v>1104</v>
      </c>
      <c r="T1898" s="16" t="s">
        <v>129</v>
      </c>
      <c r="U1898" s="16" t="s">
        <v>183</v>
      </c>
      <c r="AP1898" s="16">
        <f>SUM(AL1898:AN1898)</f>
        <v>0</v>
      </c>
      <c r="AQ1898" s="18"/>
      <c r="AT1898" s="16" t="s">
        <v>285</v>
      </c>
      <c r="AY1898" s="18"/>
      <c r="BG1898" s="23"/>
      <c r="BT1898" s="23"/>
      <c r="CD1898" s="23"/>
      <c r="DF1898" s="16" t="e">
        <f>VLOOKUP(K1898,'[3]RNA Seq summary tables'!$V$3:$V$99,1,FALSE)</f>
        <v>#N/A</v>
      </c>
      <c r="JR1898" s="18"/>
      <c r="JS1898" s="18"/>
      <c r="JT1898" s="18"/>
      <c r="JU1898" s="18"/>
      <c r="JV1898" s="18"/>
      <c r="JW1898" s="18"/>
      <c r="JX1898" s="18"/>
      <c r="JY1898" s="18"/>
      <c r="JZ1898" s="18"/>
      <c r="KA1898" s="18"/>
      <c r="KB1898" s="18"/>
    </row>
    <row r="1899" spans="2:288" x14ac:dyDescent="0.2">
      <c r="B1899" s="16">
        <v>2017</v>
      </c>
      <c r="C1899" s="20">
        <v>42932</v>
      </c>
      <c r="D1899" s="20" t="str">
        <f>CONCATENATE(J1899,"-",C1899)</f>
        <v>1104-42932</v>
      </c>
      <c r="E1899" s="20" t="str">
        <f>CONCATENATE(T1899,"-",U1899,"-",C1899)</f>
        <v>HW2-E6-42932</v>
      </c>
      <c r="F1899" s="20" t="s">
        <v>106</v>
      </c>
      <c r="G1899" s="20" t="s">
        <v>278</v>
      </c>
      <c r="J1899" s="21">
        <v>1104</v>
      </c>
      <c r="T1899" s="16" t="s">
        <v>129</v>
      </c>
      <c r="U1899" s="16" t="s">
        <v>232</v>
      </c>
      <c r="AP1899" s="16">
        <f>SUM(AL1899:AN1899)</f>
        <v>0</v>
      </c>
      <c r="AT1899" s="16" t="s">
        <v>285</v>
      </c>
      <c r="AY1899" s="18"/>
      <c r="BG1899" s="23"/>
      <c r="BT1899" s="23"/>
      <c r="CD1899" s="23"/>
      <c r="DF1899" s="16" t="e">
        <f>VLOOKUP(K1899,'[3]RNA Seq summary tables'!$V$3:$V$99,1,FALSE)</f>
        <v>#N/A</v>
      </c>
      <c r="JO1899" s="27"/>
      <c r="JR1899" s="27"/>
      <c r="JS1899" s="27"/>
      <c r="JT1899" s="27"/>
      <c r="JU1899" s="27"/>
      <c r="JV1899" s="27"/>
      <c r="JW1899" s="27"/>
      <c r="JX1899" s="27"/>
      <c r="JY1899" s="27"/>
      <c r="JZ1899" s="27"/>
      <c r="KA1899" s="27"/>
      <c r="KB1899" s="27"/>
    </row>
    <row r="1900" spans="2:288" x14ac:dyDescent="0.2">
      <c r="B1900" s="16">
        <v>2017</v>
      </c>
      <c r="C1900" s="20">
        <v>42949</v>
      </c>
      <c r="D1900" s="20" t="str">
        <f>CONCATENATE(J1900,"-",C1900)</f>
        <v>1104-42949</v>
      </c>
      <c r="E1900" s="20" t="str">
        <f>CONCATENATE(T1900,"-",U1900,"-",C1900)</f>
        <v>HW2-B4-42949</v>
      </c>
      <c r="F1900" s="20" t="s">
        <v>106</v>
      </c>
      <c r="G1900" s="20" t="s">
        <v>278</v>
      </c>
      <c r="J1900" s="21">
        <v>1104</v>
      </c>
      <c r="T1900" s="16" t="s">
        <v>129</v>
      </c>
      <c r="U1900" s="16" t="s">
        <v>144</v>
      </c>
      <c r="AP1900" s="16">
        <f>SUM(AL1900:AN1900)</f>
        <v>0</v>
      </c>
      <c r="AT1900" s="16" t="s">
        <v>285</v>
      </c>
      <c r="AY1900" s="18"/>
      <c r="BG1900" s="23"/>
      <c r="BT1900" s="23"/>
      <c r="CD1900" s="23"/>
      <c r="DF1900" s="16" t="e">
        <f>VLOOKUP(K1900,'[3]RNA Seq summary tables'!$V$3:$V$99,1,FALSE)</f>
        <v>#N/A</v>
      </c>
      <c r="JO1900" s="27"/>
    </row>
    <row r="1901" spans="2:288" x14ac:dyDescent="0.2">
      <c r="B1901" s="16">
        <v>2017</v>
      </c>
      <c r="C1901" s="20">
        <v>42950</v>
      </c>
      <c r="D1901" s="20" t="str">
        <f>CONCATENATE(J1901,"-",C1901)</f>
        <v>1104-42950</v>
      </c>
      <c r="E1901" s="20" t="str">
        <f>CONCATENATE(T1901,"-",U1901,"-",C1901)</f>
        <v>HW2-B4-42950</v>
      </c>
      <c r="F1901" s="20" t="s">
        <v>106</v>
      </c>
      <c r="G1901" s="20" t="s">
        <v>278</v>
      </c>
      <c r="J1901" s="21">
        <v>1104</v>
      </c>
      <c r="T1901" s="16" t="s">
        <v>129</v>
      </c>
      <c r="U1901" s="16" t="s">
        <v>144</v>
      </c>
      <c r="AP1901" s="16">
        <f>SUM(AL1901:AN1901)</f>
        <v>0</v>
      </c>
      <c r="AT1901" s="16" t="s">
        <v>285</v>
      </c>
      <c r="AY1901" s="18"/>
      <c r="BG1901" s="23"/>
      <c r="BT1901" s="23"/>
      <c r="CD1901" s="23"/>
      <c r="DF1901" s="16" t="e">
        <f>VLOOKUP(K1901,'[3]RNA Seq summary tables'!$V$3:$V$99,1,FALSE)</f>
        <v>#N/A</v>
      </c>
      <c r="JO1901" s="27"/>
    </row>
    <row r="1902" spans="2:288" x14ac:dyDescent="0.2">
      <c r="B1902" s="16">
        <v>2017</v>
      </c>
      <c r="C1902" s="20">
        <v>42967</v>
      </c>
      <c r="D1902" s="20" t="str">
        <f>CONCATENATE(J1902,"-",C1902)</f>
        <v>1104-42967</v>
      </c>
      <c r="E1902" s="20" t="str">
        <f>CONCATENATE(T1902,"-",U1902,"-",C1902)</f>
        <v>HW2-D4-42967</v>
      </c>
      <c r="F1902" s="20" t="s">
        <v>106</v>
      </c>
      <c r="G1902" s="20" t="s">
        <v>278</v>
      </c>
      <c r="J1902" s="21">
        <v>1104</v>
      </c>
      <c r="T1902" s="16" t="s">
        <v>129</v>
      </c>
      <c r="U1902" s="16" t="s">
        <v>221</v>
      </c>
      <c r="AP1902" s="16">
        <f>SUM(AL1902:AN1902)</f>
        <v>0</v>
      </c>
      <c r="AT1902" s="16" t="s">
        <v>285</v>
      </c>
      <c r="AY1902" s="18"/>
      <c r="BG1902" s="23"/>
      <c r="BT1902" s="23"/>
      <c r="CD1902" s="23"/>
      <c r="DF1902" s="16" t="e">
        <f>VLOOKUP(K1902,'[3]RNA Seq summary tables'!$V$3:$V$99,1,FALSE)</f>
        <v>#N/A</v>
      </c>
      <c r="JO1902" s="27"/>
    </row>
    <row r="1903" spans="2:288" x14ac:dyDescent="0.2">
      <c r="B1903" s="16">
        <v>2017</v>
      </c>
      <c r="C1903" s="20">
        <v>42968</v>
      </c>
      <c r="D1903" s="20" t="str">
        <f>CONCATENATE(J1903,"-",C1903)</f>
        <v>1104-42968</v>
      </c>
      <c r="E1903" s="20" t="str">
        <f>CONCATENATE(T1903,"-",U1903,"-",C1903)</f>
        <v>HW2-G5-42968</v>
      </c>
      <c r="F1903" s="20" t="s">
        <v>106</v>
      </c>
      <c r="G1903" s="20" t="s">
        <v>278</v>
      </c>
      <c r="J1903" s="21">
        <v>1104</v>
      </c>
      <c r="T1903" s="16" t="s">
        <v>129</v>
      </c>
      <c r="U1903" s="16" t="s">
        <v>200</v>
      </c>
      <c r="AP1903" s="16">
        <f>SUM(AL1903:AN1903)</f>
        <v>0</v>
      </c>
      <c r="AT1903" s="16" t="s">
        <v>285</v>
      </c>
      <c r="AY1903" s="18"/>
      <c r="BG1903" s="23"/>
      <c r="BT1903" s="23"/>
      <c r="CD1903" s="23"/>
      <c r="DF1903" s="16" t="e">
        <f>VLOOKUP(K1903,'[3]RNA Seq summary tables'!$V$3:$V$99,1,FALSE)</f>
        <v>#N/A</v>
      </c>
      <c r="JO1903" s="27"/>
    </row>
    <row r="1904" spans="2:288" x14ac:dyDescent="0.2">
      <c r="B1904" s="16">
        <v>2017</v>
      </c>
      <c r="C1904" s="66">
        <v>42897</v>
      </c>
      <c r="D1904" s="66" t="str">
        <f>CONCATENATE(J1904,"-",C1904)</f>
        <v>1105-42897</v>
      </c>
      <c r="E1904" s="20" t="str">
        <f>CONCATENATE(T1904,"-",U1904,"-",C1904)</f>
        <v>HW2-H1-42897</v>
      </c>
      <c r="F1904" s="20" t="s">
        <v>106</v>
      </c>
      <c r="G1904" s="20" t="s">
        <v>278</v>
      </c>
      <c r="J1904" s="21">
        <v>1105</v>
      </c>
      <c r="T1904" s="16" t="s">
        <v>129</v>
      </c>
      <c r="U1904" s="16" t="s">
        <v>191</v>
      </c>
      <c r="AP1904" s="16">
        <f>SUM(AL1904:AN1904)</f>
        <v>0</v>
      </c>
      <c r="AT1904" s="16" t="s">
        <v>285</v>
      </c>
      <c r="AY1904" s="18"/>
      <c r="BG1904" s="23"/>
      <c r="BT1904" s="23"/>
      <c r="CD1904" s="23"/>
      <c r="DF1904" s="16" t="e">
        <f>VLOOKUP(K1904,'[3]RNA Seq summary tables'!$V$3:$V$99,1,FALSE)</f>
        <v>#N/A</v>
      </c>
      <c r="JR1904" s="60"/>
      <c r="JS1904" s="60"/>
      <c r="JT1904" s="60"/>
      <c r="JU1904" s="60"/>
      <c r="JV1904" s="60"/>
      <c r="JW1904" s="60"/>
      <c r="JX1904" s="60"/>
      <c r="JY1904" s="60"/>
      <c r="JZ1904" s="60"/>
      <c r="KA1904" s="60"/>
      <c r="KB1904" s="60"/>
    </row>
    <row r="1905" spans="2:288" x14ac:dyDescent="0.2">
      <c r="B1905" s="16">
        <v>2017</v>
      </c>
      <c r="C1905" s="20">
        <v>42898</v>
      </c>
      <c r="D1905" s="20" t="str">
        <f>CONCATENATE(J1905,"-",C1905)</f>
        <v>1105-42898</v>
      </c>
      <c r="E1905" s="20" t="str">
        <f>CONCATENATE(T1905,"-",U1905,"-",C1905)</f>
        <v>HW2-H1-42898</v>
      </c>
      <c r="F1905" s="20" t="s">
        <v>106</v>
      </c>
      <c r="G1905" s="20" t="s">
        <v>278</v>
      </c>
      <c r="J1905" s="21">
        <v>1105</v>
      </c>
      <c r="T1905" s="16" t="s">
        <v>129</v>
      </c>
      <c r="U1905" s="16" t="s">
        <v>191</v>
      </c>
      <c r="AP1905" s="16">
        <f>SUM(AL1905:AN1905)</f>
        <v>0</v>
      </c>
      <c r="AT1905" s="16" t="s">
        <v>285</v>
      </c>
      <c r="AY1905" s="18"/>
      <c r="BG1905" s="23"/>
      <c r="BT1905" s="23"/>
      <c r="CD1905" s="23"/>
      <c r="DF1905" s="16" t="e">
        <f>VLOOKUP(K1905,'[3]RNA Seq summary tables'!$V$3:$V$99,1,FALSE)</f>
        <v>#N/A</v>
      </c>
      <c r="DT1905" s="25"/>
      <c r="DU1905" s="25"/>
      <c r="DV1905" s="25"/>
      <c r="DW1905" s="25"/>
      <c r="DX1905" s="25"/>
      <c r="DY1905" s="25"/>
      <c r="DZ1905" s="25"/>
      <c r="EA1905" s="25"/>
      <c r="EB1905" s="25"/>
      <c r="EC1905" s="25"/>
      <c r="ED1905" s="25"/>
      <c r="EE1905" s="25"/>
    </row>
    <row r="1906" spans="2:288" x14ac:dyDescent="0.2">
      <c r="B1906" s="16">
        <v>2017</v>
      </c>
      <c r="C1906" s="20">
        <v>42915</v>
      </c>
      <c r="D1906" s="20" t="str">
        <f>CONCATENATE(J1906,"-",C1906)</f>
        <v>1105-42915</v>
      </c>
      <c r="E1906" s="20" t="str">
        <f>CONCATENATE(T1906,"-",U1906,"-",C1906)</f>
        <v>HW2-H3-42915</v>
      </c>
      <c r="F1906" s="20" t="s">
        <v>106</v>
      </c>
      <c r="G1906" s="20" t="s">
        <v>278</v>
      </c>
      <c r="J1906" s="21">
        <v>1105</v>
      </c>
      <c r="T1906" s="16" t="s">
        <v>129</v>
      </c>
      <c r="U1906" s="16" t="s">
        <v>174</v>
      </c>
      <c r="AP1906" s="16">
        <f>SUM(AL1906:AN1906)</f>
        <v>0</v>
      </c>
      <c r="AT1906" s="16" t="s">
        <v>285</v>
      </c>
      <c r="AY1906" s="18"/>
      <c r="BG1906" s="23"/>
      <c r="BT1906" s="23"/>
      <c r="CD1906" s="23"/>
      <c r="DF1906" s="16" t="e">
        <f>VLOOKUP(K1906,'[3]RNA Seq summary tables'!$V$3:$V$99,1,FALSE)</f>
        <v>#N/A</v>
      </c>
      <c r="JR1906" s="27"/>
      <c r="JS1906" s="27"/>
      <c r="JT1906" s="27"/>
      <c r="JU1906" s="27"/>
      <c r="JV1906" s="27"/>
      <c r="JW1906" s="27"/>
      <c r="JX1906" s="27"/>
      <c r="JY1906" s="27"/>
      <c r="JZ1906" s="27"/>
      <c r="KA1906" s="27"/>
      <c r="KB1906" s="27"/>
    </row>
    <row r="1907" spans="2:288" x14ac:dyDescent="0.2">
      <c r="B1907" s="16">
        <v>2017</v>
      </c>
      <c r="C1907" s="20">
        <v>42916</v>
      </c>
      <c r="D1907" s="20" t="str">
        <f>CONCATENATE(J1907,"-",C1907)</f>
        <v>1105-42916</v>
      </c>
      <c r="E1907" s="20" t="str">
        <f>CONCATENATE(T1907,"-",U1907,"-",C1907)</f>
        <v>HW2-H3-42916</v>
      </c>
      <c r="F1907" s="20" t="s">
        <v>106</v>
      </c>
      <c r="G1907" s="20" t="s">
        <v>278</v>
      </c>
      <c r="J1907" s="21">
        <v>1105</v>
      </c>
      <c r="T1907" s="16" t="s">
        <v>129</v>
      </c>
      <c r="U1907" s="16" t="s">
        <v>174</v>
      </c>
      <c r="AP1907" s="16">
        <f>SUM(AL1907:AN1907)</f>
        <v>0</v>
      </c>
      <c r="AT1907" s="16" t="s">
        <v>285</v>
      </c>
      <c r="AY1907" s="18"/>
      <c r="BG1907" s="23"/>
      <c r="BT1907" s="23"/>
      <c r="CD1907" s="23"/>
      <c r="DF1907" s="16" t="e">
        <f>VLOOKUP(K1907,'[3]RNA Seq summary tables'!$V$3:$V$99,1,FALSE)</f>
        <v>#N/A</v>
      </c>
      <c r="JR1907" s="27"/>
      <c r="JS1907" s="27"/>
      <c r="JT1907" s="27"/>
      <c r="JU1907" s="27"/>
      <c r="JV1907" s="27"/>
      <c r="JW1907" s="27"/>
      <c r="JX1907" s="27"/>
      <c r="JY1907" s="27"/>
      <c r="JZ1907" s="27"/>
      <c r="KA1907" s="27"/>
      <c r="KB1907" s="27"/>
    </row>
    <row r="1908" spans="2:288" x14ac:dyDescent="0.2">
      <c r="B1908" s="16">
        <v>2017</v>
      </c>
      <c r="C1908" s="66">
        <v>42897</v>
      </c>
      <c r="D1908" s="66" t="str">
        <f>CONCATENATE(J1908,"-",C1908)</f>
        <v>1106-42897</v>
      </c>
      <c r="E1908" s="20" t="str">
        <f>CONCATENATE(T1908,"-",U1908,"-",C1908)</f>
        <v>HW2-H2-42897</v>
      </c>
      <c r="F1908" s="20" t="s">
        <v>106</v>
      </c>
      <c r="G1908" s="20" t="s">
        <v>278</v>
      </c>
      <c r="J1908" s="21">
        <v>1106</v>
      </c>
      <c r="T1908" s="16" t="s">
        <v>129</v>
      </c>
      <c r="U1908" s="16" t="s">
        <v>190</v>
      </c>
      <c r="AP1908" s="16">
        <f>SUM(AL1908:AN1908)</f>
        <v>0</v>
      </c>
      <c r="AT1908" s="16" t="s">
        <v>285</v>
      </c>
      <c r="AY1908" s="18"/>
      <c r="BG1908" s="23"/>
      <c r="BT1908" s="23"/>
      <c r="CD1908" s="23"/>
      <c r="DF1908" s="16" t="e">
        <f>VLOOKUP(K1908,'[3]RNA Seq summary tables'!$V$3:$V$99,1,FALSE)</f>
        <v>#N/A</v>
      </c>
      <c r="JR1908" s="60"/>
      <c r="JS1908" s="60"/>
      <c r="JT1908" s="60"/>
      <c r="JU1908" s="60"/>
      <c r="JV1908" s="60"/>
      <c r="JW1908" s="60"/>
      <c r="JX1908" s="60"/>
      <c r="JY1908" s="60"/>
      <c r="JZ1908" s="60"/>
      <c r="KA1908" s="60"/>
      <c r="KB1908" s="60"/>
    </row>
    <row r="1909" spans="2:288" x14ac:dyDescent="0.2">
      <c r="B1909" s="16">
        <v>2017</v>
      </c>
      <c r="C1909" s="20">
        <v>42916</v>
      </c>
      <c r="D1909" s="20" t="str">
        <f>CONCATENATE(J1909,"-",C1909)</f>
        <v>1106-42916</v>
      </c>
      <c r="E1909" s="20" t="str">
        <f>CONCATENATE(T1909,"-",U1909,"-",C1909)</f>
        <v>HW2-H1-42916</v>
      </c>
      <c r="F1909" s="20" t="s">
        <v>106</v>
      </c>
      <c r="G1909" s="20" t="s">
        <v>278</v>
      </c>
      <c r="J1909" s="21">
        <v>1106</v>
      </c>
      <c r="T1909" s="16" t="s">
        <v>129</v>
      </c>
      <c r="U1909" s="16" t="s">
        <v>191</v>
      </c>
      <c r="AP1909" s="16">
        <f>SUM(AL1909:AN1909)</f>
        <v>0</v>
      </c>
      <c r="AT1909" s="16" t="s">
        <v>285</v>
      </c>
      <c r="AY1909" s="18"/>
      <c r="BG1909" s="23"/>
      <c r="BT1909" s="23"/>
      <c r="CD1909" s="23"/>
      <c r="DF1909" s="16" t="e">
        <f>VLOOKUP(K1909,'[3]RNA Seq summary tables'!$V$3:$V$99,1,FALSE)</f>
        <v>#N/A</v>
      </c>
      <c r="JR1909" s="27"/>
      <c r="JS1909" s="27"/>
      <c r="JT1909" s="27"/>
      <c r="JU1909" s="27"/>
      <c r="JV1909" s="27"/>
      <c r="JW1909" s="27"/>
      <c r="JX1909" s="27"/>
      <c r="JY1909" s="27"/>
      <c r="JZ1909" s="27"/>
      <c r="KA1909" s="27"/>
      <c r="KB1909" s="27"/>
    </row>
    <row r="1910" spans="2:288" x14ac:dyDescent="0.2">
      <c r="B1910" s="16">
        <v>2017</v>
      </c>
      <c r="C1910" s="20">
        <v>42898</v>
      </c>
      <c r="D1910" s="20" t="str">
        <f>CONCATENATE(J1910,"-",C1910)</f>
        <v>1108-42898</v>
      </c>
      <c r="E1910" s="20" t="str">
        <f>CONCATENATE(T1910,"-",U1910,"-",C1910)</f>
        <v>HW1-A8-42898</v>
      </c>
      <c r="F1910" s="20" t="s">
        <v>106</v>
      </c>
      <c r="G1910" s="20" t="s">
        <v>278</v>
      </c>
      <c r="J1910" s="21">
        <v>1108</v>
      </c>
      <c r="T1910" s="16" t="s">
        <v>133</v>
      </c>
      <c r="U1910" s="16" t="s">
        <v>194</v>
      </c>
      <c r="AP1910" s="16">
        <f>SUM(AL1910:AN1910)</f>
        <v>0</v>
      </c>
      <c r="AT1910" s="16" t="s">
        <v>285</v>
      </c>
      <c r="AY1910" s="18"/>
      <c r="BG1910" s="23"/>
      <c r="BT1910" s="23"/>
      <c r="CD1910" s="23"/>
      <c r="DF1910" s="16" t="e">
        <f>VLOOKUP(K1910,'[3]RNA Seq summary tables'!$V$3:$V$99,1,FALSE)</f>
        <v>#N/A</v>
      </c>
    </row>
    <row r="1911" spans="2:288" x14ac:dyDescent="0.2">
      <c r="B1911" s="16">
        <v>2017</v>
      </c>
      <c r="C1911" s="20">
        <v>42915</v>
      </c>
      <c r="D1911" s="20" t="str">
        <f>CONCATENATE(J1911,"-",C1911)</f>
        <v>1108-42915</v>
      </c>
      <c r="E1911" s="20" t="str">
        <f>CONCATENATE(T1911,"-",U1911,"-",C1911)</f>
        <v>HW1-A6-42915</v>
      </c>
      <c r="F1911" s="20" t="s">
        <v>106</v>
      </c>
      <c r="G1911" s="20" t="s">
        <v>278</v>
      </c>
      <c r="J1911" s="21">
        <v>1108</v>
      </c>
      <c r="T1911" s="16" t="s">
        <v>133</v>
      </c>
      <c r="U1911" s="16" t="s">
        <v>147</v>
      </c>
      <c r="AP1911" s="16">
        <f>SUM(AL1911:AN1911)</f>
        <v>0</v>
      </c>
      <c r="AT1911" s="16" t="s">
        <v>285</v>
      </c>
      <c r="AY1911" s="18"/>
      <c r="BG1911" s="23"/>
      <c r="BT1911" s="23"/>
      <c r="CD1911" s="23"/>
      <c r="DF1911" s="16" t="e">
        <f>VLOOKUP(K1911,'[3]RNA Seq summary tables'!$V$3:$V$99,1,FALSE)</f>
        <v>#N/A</v>
      </c>
      <c r="JR1911" s="27"/>
      <c r="JS1911" s="27"/>
      <c r="JT1911" s="27"/>
      <c r="JU1911" s="27"/>
      <c r="JV1911" s="27"/>
      <c r="JW1911" s="27"/>
      <c r="JX1911" s="27"/>
      <c r="JY1911" s="27"/>
      <c r="JZ1911" s="27"/>
      <c r="KA1911" s="27"/>
      <c r="KB1911" s="27"/>
    </row>
    <row r="1912" spans="2:288" x14ac:dyDescent="0.2">
      <c r="B1912" s="16">
        <v>2017</v>
      </c>
      <c r="C1912" s="20">
        <v>42916</v>
      </c>
      <c r="D1912" s="20" t="str">
        <f>CONCATENATE(J1912,"-",C1912)</f>
        <v>1108-42916</v>
      </c>
      <c r="E1912" s="20" t="str">
        <f>CONCATENATE(T1912,"-",U1912,"-",C1912)</f>
        <v>HW1-A6-42916</v>
      </c>
      <c r="F1912" s="20" t="s">
        <v>106</v>
      </c>
      <c r="G1912" s="20" t="s">
        <v>278</v>
      </c>
      <c r="J1912" s="21">
        <v>1108</v>
      </c>
      <c r="T1912" s="16" t="s">
        <v>133</v>
      </c>
      <c r="U1912" s="16" t="s">
        <v>147</v>
      </c>
      <c r="AP1912" s="16">
        <f>SUM(AL1912:AN1912)</f>
        <v>0</v>
      </c>
      <c r="AT1912" s="16" t="s">
        <v>285</v>
      </c>
      <c r="AY1912" s="18"/>
      <c r="BG1912" s="23"/>
      <c r="BT1912" s="23"/>
      <c r="CD1912" s="23"/>
      <c r="DF1912" s="16" t="e">
        <f>VLOOKUP(K1912,'[3]RNA Seq summary tables'!$V$3:$V$99,1,FALSE)</f>
        <v>#N/A</v>
      </c>
      <c r="JP1912" s="18"/>
      <c r="JQ1912" s="18"/>
      <c r="JR1912" s="27"/>
      <c r="JS1912" s="27"/>
      <c r="JT1912" s="27"/>
      <c r="JU1912" s="27"/>
      <c r="JV1912" s="27"/>
      <c r="JW1912" s="27"/>
      <c r="JX1912" s="27"/>
      <c r="JY1912" s="27"/>
      <c r="JZ1912" s="27"/>
      <c r="KA1912" s="27"/>
      <c r="KB1912" s="27"/>
    </row>
    <row r="1913" spans="2:288" x14ac:dyDescent="0.2">
      <c r="B1913" s="16">
        <v>2017</v>
      </c>
      <c r="C1913" s="20">
        <v>42949</v>
      </c>
      <c r="D1913" s="20" t="str">
        <f>CONCATENATE(J1913,"-",C1913)</f>
        <v>1108-42949</v>
      </c>
      <c r="E1913" s="20" t="str">
        <f>CONCATENATE(T1913,"-",U1913,"-",C1913)</f>
        <v>HW1-A8-42949</v>
      </c>
      <c r="F1913" s="20" t="s">
        <v>106</v>
      </c>
      <c r="G1913" s="20" t="s">
        <v>278</v>
      </c>
      <c r="J1913" s="21">
        <v>1108</v>
      </c>
      <c r="T1913" s="16" t="s">
        <v>133</v>
      </c>
      <c r="U1913" s="16" t="s">
        <v>194</v>
      </c>
      <c r="AP1913" s="16">
        <f>SUM(AL1913:AN1913)</f>
        <v>0</v>
      </c>
      <c r="AT1913" s="16" t="s">
        <v>285</v>
      </c>
      <c r="AY1913" s="18"/>
      <c r="BG1913" s="23"/>
      <c r="BT1913" s="23"/>
      <c r="CD1913" s="23"/>
      <c r="DF1913" s="16" t="e">
        <f>VLOOKUP(K1913,'[3]RNA Seq summary tables'!$V$3:$V$99,1,FALSE)</f>
        <v>#N/A</v>
      </c>
      <c r="JO1913" s="27"/>
    </row>
    <row r="1914" spans="2:288" x14ac:dyDescent="0.2">
      <c r="B1914" s="16">
        <v>2017</v>
      </c>
      <c r="C1914" s="20">
        <v>42950</v>
      </c>
      <c r="D1914" s="20" t="str">
        <f>CONCATENATE(J1914,"-",C1914)</f>
        <v>1108-42950</v>
      </c>
      <c r="E1914" s="20" t="str">
        <f>CONCATENATE(T1914,"-",U1914,"-",C1914)</f>
        <v>HW1-B7-42950</v>
      </c>
      <c r="F1914" s="20" t="s">
        <v>106</v>
      </c>
      <c r="G1914" s="20" t="s">
        <v>278</v>
      </c>
      <c r="J1914" s="21">
        <v>1108</v>
      </c>
      <c r="T1914" s="16" t="s">
        <v>133</v>
      </c>
      <c r="U1914" s="16" t="s">
        <v>168</v>
      </c>
      <c r="AP1914" s="16">
        <f>SUM(AL1914:AN1914)</f>
        <v>0</v>
      </c>
      <c r="AT1914" s="16" t="s">
        <v>285</v>
      </c>
      <c r="AY1914" s="18"/>
      <c r="BG1914" s="23"/>
      <c r="BT1914" s="23"/>
      <c r="CD1914" s="23"/>
      <c r="DF1914" s="16" t="e">
        <f>VLOOKUP(K1914,'[3]RNA Seq summary tables'!$V$3:$V$99,1,FALSE)</f>
        <v>#N/A</v>
      </c>
      <c r="JO1914" s="27"/>
    </row>
    <row r="1915" spans="2:288" x14ac:dyDescent="0.2">
      <c r="B1915" s="16">
        <v>2017</v>
      </c>
      <c r="C1915" s="20">
        <v>42967</v>
      </c>
      <c r="D1915" s="20" t="str">
        <f>CONCATENATE(J1915,"-",C1915)</f>
        <v>1108-42967</v>
      </c>
      <c r="E1915" s="20" t="str">
        <f>CONCATENATE(T1915,"-",U1915,"-",C1915)</f>
        <v>HW1-A7-42967</v>
      </c>
      <c r="F1915" s="20" t="s">
        <v>106</v>
      </c>
      <c r="G1915" s="20" t="s">
        <v>278</v>
      </c>
      <c r="J1915" s="21">
        <v>1108</v>
      </c>
      <c r="T1915" s="16" t="s">
        <v>133</v>
      </c>
      <c r="U1915" s="16" t="s">
        <v>120</v>
      </c>
      <c r="AP1915" s="16">
        <f>SUM(AL1915:AN1915)</f>
        <v>0</v>
      </c>
      <c r="AT1915" s="16" t="s">
        <v>285</v>
      </c>
      <c r="AY1915" s="18"/>
      <c r="BG1915" s="23"/>
      <c r="BT1915" s="23"/>
      <c r="CD1915" s="23"/>
      <c r="DF1915" s="16" t="e">
        <f>VLOOKUP(K1915,'[3]RNA Seq summary tables'!$V$3:$V$99,1,FALSE)</f>
        <v>#N/A</v>
      </c>
      <c r="JO1915" s="27"/>
      <c r="JP1915" s="27"/>
      <c r="JQ1915" s="27"/>
    </row>
    <row r="1916" spans="2:288" x14ac:dyDescent="0.2">
      <c r="B1916" s="16">
        <v>2017</v>
      </c>
      <c r="C1916" s="20">
        <v>42968</v>
      </c>
      <c r="D1916" s="20" t="str">
        <f>CONCATENATE(J1916,"-",C1916)</f>
        <v>1108-42968</v>
      </c>
      <c r="E1916" s="20" t="str">
        <f>CONCATENATE(T1916,"-",U1916,"-",C1916)</f>
        <v>HW1-A6-42968</v>
      </c>
      <c r="F1916" s="20" t="s">
        <v>106</v>
      </c>
      <c r="G1916" s="20" t="s">
        <v>278</v>
      </c>
      <c r="J1916" s="21">
        <v>1108</v>
      </c>
      <c r="T1916" s="16" t="s">
        <v>133</v>
      </c>
      <c r="U1916" s="16" t="s">
        <v>147</v>
      </c>
      <c r="AP1916" s="16">
        <f>SUM(AL1916:AN1916)</f>
        <v>0</v>
      </c>
      <c r="AT1916" s="16" t="s">
        <v>285</v>
      </c>
      <c r="AY1916" s="18"/>
      <c r="BG1916" s="23"/>
      <c r="BT1916" s="23"/>
      <c r="CD1916" s="23"/>
      <c r="DF1916" s="16" t="e">
        <f>VLOOKUP(K1916,'[3]RNA Seq summary tables'!$V$3:$V$99,1,FALSE)</f>
        <v>#N/A</v>
      </c>
      <c r="JO1916" s="27"/>
    </row>
    <row r="1917" spans="2:288" x14ac:dyDescent="0.2">
      <c r="B1917" s="16">
        <v>2017</v>
      </c>
      <c r="C1917" s="66">
        <v>42897</v>
      </c>
      <c r="D1917" s="66" t="str">
        <f>CONCATENATE(J1917,"-",C1917)</f>
        <v>1109-42897</v>
      </c>
      <c r="E1917" s="20" t="str">
        <f>CONCATENATE(T1917,"-",U1917,"-",C1917)</f>
        <v>HW1-G1-42897</v>
      </c>
      <c r="F1917" s="20" t="s">
        <v>106</v>
      </c>
      <c r="G1917" s="20" t="s">
        <v>278</v>
      </c>
      <c r="J1917" s="21">
        <v>1109</v>
      </c>
      <c r="T1917" s="16" t="s">
        <v>133</v>
      </c>
      <c r="U1917" s="16" t="s">
        <v>155</v>
      </c>
      <c r="AP1917" s="16">
        <f>SUM(AL1917:AN1917)</f>
        <v>0</v>
      </c>
      <c r="AT1917" s="16" t="s">
        <v>285</v>
      </c>
      <c r="AY1917" s="18"/>
      <c r="BG1917" s="23"/>
      <c r="BT1917" s="23"/>
      <c r="CD1917" s="23"/>
      <c r="DF1917" s="16" t="e">
        <f>VLOOKUP(K1917,'[3]RNA Seq summary tables'!$V$3:$V$99,1,FALSE)</f>
        <v>#N/A</v>
      </c>
    </row>
    <row r="1918" spans="2:288" x14ac:dyDescent="0.2">
      <c r="B1918" s="16">
        <v>2017</v>
      </c>
      <c r="C1918" s="20">
        <v>42898</v>
      </c>
      <c r="D1918" s="20" t="str">
        <f>CONCATENATE(J1918,"-",C1918)</f>
        <v>1109-42898</v>
      </c>
      <c r="E1918" s="20" t="str">
        <f>CONCATENATE(T1918,"-",U1918,"-",C1918)</f>
        <v>HW1-F1-42898</v>
      </c>
      <c r="F1918" s="20" t="s">
        <v>106</v>
      </c>
      <c r="G1918" s="20" t="s">
        <v>278</v>
      </c>
      <c r="J1918" s="21">
        <v>1109</v>
      </c>
      <c r="T1918" s="16" t="s">
        <v>133</v>
      </c>
      <c r="U1918" s="16" t="s">
        <v>217</v>
      </c>
      <c r="AP1918" s="16">
        <f>SUM(AL1918:AN1918)</f>
        <v>0</v>
      </c>
      <c r="AT1918" s="16" t="s">
        <v>285</v>
      </c>
      <c r="AY1918" s="18"/>
      <c r="BG1918" s="23"/>
      <c r="BT1918" s="23"/>
      <c r="CD1918" s="23"/>
      <c r="DF1918" s="16" t="e">
        <f>VLOOKUP(K1918,'[3]RNA Seq summary tables'!$V$3:$V$99,1,FALSE)</f>
        <v>#N/A</v>
      </c>
    </row>
    <row r="1919" spans="2:288" x14ac:dyDescent="0.2">
      <c r="B1919" s="16">
        <v>2017</v>
      </c>
      <c r="C1919" s="20">
        <v>42915</v>
      </c>
      <c r="D1919" s="20" t="str">
        <f>CONCATENATE(J1919,"-",C1919)</f>
        <v>1109-42915</v>
      </c>
      <c r="E1919" s="20" t="str">
        <f>CONCATENATE(T1919,"-",U1919,"-",C1919)</f>
        <v>HW1-F1-42915</v>
      </c>
      <c r="F1919" s="20" t="s">
        <v>106</v>
      </c>
      <c r="G1919" s="20" t="s">
        <v>278</v>
      </c>
      <c r="J1919" s="21">
        <v>1109</v>
      </c>
      <c r="T1919" s="16" t="s">
        <v>133</v>
      </c>
      <c r="U1919" s="16" t="s">
        <v>217</v>
      </c>
      <c r="AP1919" s="16">
        <f>SUM(AL1919:AN1919)</f>
        <v>0</v>
      </c>
      <c r="AT1919" s="16" t="s">
        <v>285</v>
      </c>
      <c r="AY1919" s="18"/>
      <c r="BG1919" s="23"/>
      <c r="BT1919" s="23"/>
      <c r="CD1919" s="23"/>
      <c r="DF1919" s="16" t="e">
        <f>VLOOKUP(K1919,'[3]RNA Seq summary tables'!$V$3:$V$99,1,FALSE)</f>
        <v>#N/A</v>
      </c>
      <c r="JR1919" s="18"/>
      <c r="JS1919" s="18"/>
      <c r="JT1919" s="18"/>
      <c r="JU1919" s="18"/>
      <c r="JV1919" s="18"/>
      <c r="JW1919" s="18"/>
      <c r="JX1919" s="18"/>
      <c r="JY1919" s="18"/>
      <c r="JZ1919" s="18"/>
      <c r="KA1919" s="18"/>
      <c r="KB1919" s="18"/>
    </row>
    <row r="1920" spans="2:288" x14ac:dyDescent="0.2">
      <c r="B1920" s="16">
        <v>2017</v>
      </c>
      <c r="C1920" s="43">
        <v>42916</v>
      </c>
      <c r="D1920" s="43" t="str">
        <f>CONCATENATE(J1920,"-",C1920)</f>
        <v>1109-42916</v>
      </c>
      <c r="E1920" s="20" t="str">
        <f>CONCATENATE(T1920,"-",U1920,"-",C1920)</f>
        <v>HW1-F1-42916</v>
      </c>
      <c r="F1920" s="20" t="s">
        <v>106</v>
      </c>
      <c r="G1920" s="43" t="s">
        <v>278</v>
      </c>
      <c r="H1920" s="23"/>
      <c r="I1920" s="23"/>
      <c r="J1920" s="15">
        <v>1109</v>
      </c>
      <c r="K1920" s="15"/>
      <c r="L1920" s="23"/>
      <c r="M1920" s="15"/>
      <c r="N1920" s="15"/>
      <c r="O1920" s="15"/>
      <c r="P1920" s="23"/>
      <c r="Q1920" s="23"/>
      <c r="R1920" s="23"/>
      <c r="S1920" s="23"/>
      <c r="T1920" s="23" t="s">
        <v>133</v>
      </c>
      <c r="U1920" s="23" t="s">
        <v>217</v>
      </c>
      <c r="V1920" s="23"/>
      <c r="W1920" s="23"/>
      <c r="X1920" s="23"/>
      <c r="Y1920" s="23"/>
      <c r="Z1920" s="23"/>
      <c r="AA1920" s="23"/>
      <c r="AB1920" s="23"/>
      <c r="AC1920" s="23"/>
      <c r="AD1920" s="23"/>
      <c r="AE1920" s="23"/>
      <c r="AF1920" s="23"/>
      <c r="AG1920" s="23"/>
      <c r="AH1920" s="23"/>
      <c r="AI1920" s="23"/>
      <c r="AJ1920" s="23"/>
      <c r="AK1920" s="23"/>
      <c r="AL1920" s="23"/>
      <c r="AM1920" s="23"/>
      <c r="AN1920" s="23"/>
      <c r="AO1920" s="23"/>
      <c r="AP1920" s="23">
        <f>SUM(AL1920:AN1920)</f>
        <v>0</v>
      </c>
      <c r="AQ1920" s="23"/>
      <c r="AR1920" s="23"/>
      <c r="AS1920" s="23"/>
      <c r="AT1920" s="16" t="s">
        <v>285</v>
      </c>
      <c r="AY1920" s="18"/>
      <c r="BG1920" s="23"/>
      <c r="BT1920" s="23"/>
      <c r="CD1920" s="23"/>
      <c r="DC1920" s="23"/>
      <c r="DD1920" s="23"/>
      <c r="DE1920" s="23"/>
      <c r="DF1920" s="16" t="e">
        <f>VLOOKUP(K1920,'[3]RNA Seq summary tables'!$V$3:$V$99,1,FALSE)</f>
        <v>#N/A</v>
      </c>
      <c r="DG1920" s="23"/>
      <c r="DH1920" s="23"/>
      <c r="DI1920" s="23"/>
      <c r="DJ1920" s="23"/>
      <c r="DK1920" s="23"/>
      <c r="DL1920" s="23"/>
      <c r="DM1920" s="23"/>
      <c r="DN1920" s="23"/>
      <c r="DO1920" s="23"/>
      <c r="DP1920" s="23"/>
      <c r="DQ1920" s="23"/>
      <c r="DR1920" s="23"/>
      <c r="DS1920" s="23"/>
      <c r="JR1920" s="27"/>
      <c r="JS1920" s="27"/>
      <c r="JT1920" s="27"/>
      <c r="JU1920" s="27"/>
      <c r="JV1920" s="27"/>
      <c r="JW1920" s="27"/>
      <c r="JX1920" s="27"/>
      <c r="JY1920" s="27"/>
      <c r="JZ1920" s="27"/>
      <c r="KA1920" s="27"/>
      <c r="KB1920" s="27"/>
    </row>
    <row r="1921" spans="2:288" x14ac:dyDescent="0.2">
      <c r="B1921" s="16">
        <v>2017</v>
      </c>
      <c r="C1921" s="20">
        <v>42932</v>
      </c>
      <c r="D1921" s="20" t="str">
        <f>CONCATENATE(J1921,"-",C1921)</f>
        <v>1109-42932</v>
      </c>
      <c r="E1921" s="20" t="str">
        <f>CONCATENATE(T1921,"-",U1921,"-",C1921)</f>
        <v>HW1-H2-42932</v>
      </c>
      <c r="F1921" s="20" t="s">
        <v>106</v>
      </c>
      <c r="G1921" s="20" t="s">
        <v>278</v>
      </c>
      <c r="J1921" s="21">
        <v>1109</v>
      </c>
      <c r="T1921" s="16" t="s">
        <v>133</v>
      </c>
      <c r="U1921" s="16" t="s">
        <v>190</v>
      </c>
      <c r="AP1921" s="16">
        <f>SUM(AL1921:AN1921)</f>
        <v>0</v>
      </c>
      <c r="AT1921" s="16" t="s">
        <v>285</v>
      </c>
      <c r="AY1921" s="18"/>
      <c r="BG1921" s="23"/>
      <c r="BT1921" s="23"/>
      <c r="CD1921" s="23"/>
      <c r="DF1921" s="16" t="e">
        <f>VLOOKUP(K1921,'[3]RNA Seq summary tables'!$V$3:$V$99,1,FALSE)</f>
        <v>#N/A</v>
      </c>
      <c r="JO1921" s="27"/>
      <c r="JR1921" s="18"/>
      <c r="JS1921" s="18"/>
      <c r="JT1921" s="18"/>
      <c r="JU1921" s="18"/>
      <c r="JV1921" s="18"/>
      <c r="JW1921" s="18"/>
      <c r="JX1921" s="18"/>
      <c r="JY1921" s="18"/>
      <c r="JZ1921" s="18"/>
      <c r="KA1921" s="18"/>
      <c r="KB1921" s="18"/>
    </row>
    <row r="1922" spans="2:288" x14ac:dyDescent="0.2">
      <c r="B1922" s="16">
        <v>2017</v>
      </c>
      <c r="C1922" s="20">
        <v>42898</v>
      </c>
      <c r="D1922" s="20" t="str">
        <f>CONCATENATE(J1922,"-",C1922)</f>
        <v>1110-42898</v>
      </c>
      <c r="E1922" s="20" t="str">
        <f>CONCATENATE(T1922,"-",U1922,"-",C1922)</f>
        <v>HW1-B7-42898</v>
      </c>
      <c r="F1922" s="20" t="s">
        <v>106</v>
      </c>
      <c r="G1922" s="20" t="s">
        <v>278</v>
      </c>
      <c r="J1922" s="21">
        <v>1110</v>
      </c>
      <c r="T1922" s="16" t="s">
        <v>133</v>
      </c>
      <c r="U1922" s="16" t="s">
        <v>168</v>
      </c>
      <c r="AP1922" s="16">
        <f>SUM(AL1922:AN1922)</f>
        <v>0</v>
      </c>
      <c r="AT1922" s="16" t="s">
        <v>285</v>
      </c>
      <c r="AY1922" s="18"/>
      <c r="BG1922" s="23"/>
      <c r="BT1922" s="23"/>
      <c r="CD1922" s="23"/>
      <c r="DF1922" s="16" t="e">
        <f>VLOOKUP(K1922,'[3]RNA Seq summary tables'!$V$3:$V$99,1,FALSE)</f>
        <v>#N/A</v>
      </c>
    </row>
    <row r="1923" spans="2:288" x14ac:dyDescent="0.2">
      <c r="B1923" s="16">
        <v>2017</v>
      </c>
      <c r="C1923" s="66">
        <v>42897</v>
      </c>
      <c r="D1923" s="66" t="str">
        <f>CONCATENATE(J1923,"-",C1923)</f>
        <v>1111-42897</v>
      </c>
      <c r="E1923" s="20" t="str">
        <f>CONCATENATE(T1923,"-",U1923,"-",C1923)</f>
        <v>HW1-B8-42897</v>
      </c>
      <c r="F1923" s="20" t="s">
        <v>106</v>
      </c>
      <c r="G1923" s="20" t="s">
        <v>278</v>
      </c>
      <c r="J1923" s="21">
        <v>1111</v>
      </c>
      <c r="T1923" s="16" t="s">
        <v>133</v>
      </c>
      <c r="U1923" s="16" t="s">
        <v>209</v>
      </c>
      <c r="AP1923" s="16">
        <f>SUM(AL1923:AN1923)</f>
        <v>0</v>
      </c>
      <c r="AT1923" s="16" t="s">
        <v>285</v>
      </c>
      <c r="AY1923" s="18"/>
      <c r="BG1923" s="23"/>
      <c r="BT1923" s="23"/>
      <c r="CD1923" s="23"/>
      <c r="DF1923" s="16" t="e">
        <f>VLOOKUP(K1923,'[3]RNA Seq summary tables'!$V$3:$V$99,1,FALSE)</f>
        <v>#N/A</v>
      </c>
    </row>
    <row r="1924" spans="2:288" x14ac:dyDescent="0.2">
      <c r="B1924" s="16">
        <v>2017</v>
      </c>
      <c r="C1924" s="20">
        <v>42898</v>
      </c>
      <c r="D1924" s="20" t="str">
        <f>CONCATENATE(J1924,"-",C1924)</f>
        <v>1111-42898</v>
      </c>
      <c r="E1924" s="20" t="str">
        <f>CONCATENATE(T1924,"-",U1924,"-",C1924)</f>
        <v>HW1-C8-42898</v>
      </c>
      <c r="F1924" s="20" t="s">
        <v>106</v>
      </c>
      <c r="G1924" s="20" t="s">
        <v>278</v>
      </c>
      <c r="J1924" s="21">
        <v>1111</v>
      </c>
      <c r="T1924" s="16" t="s">
        <v>133</v>
      </c>
      <c r="U1924" s="16" t="s">
        <v>188</v>
      </c>
      <c r="AP1924" s="16">
        <f>SUM(AL1924:AN1924)</f>
        <v>0</v>
      </c>
      <c r="AT1924" s="16" t="s">
        <v>285</v>
      </c>
      <c r="AY1924" s="18"/>
      <c r="BG1924" s="23"/>
      <c r="BT1924" s="23"/>
      <c r="CD1924" s="23"/>
      <c r="DF1924" s="16" t="e">
        <f>VLOOKUP(K1924,'[3]RNA Seq summary tables'!$V$3:$V$99,1,FALSE)</f>
        <v>#N/A</v>
      </c>
    </row>
    <row r="1925" spans="2:288" x14ac:dyDescent="0.2">
      <c r="B1925" s="16">
        <v>2017</v>
      </c>
      <c r="C1925" s="20">
        <v>42915</v>
      </c>
      <c r="D1925" s="20" t="str">
        <f>CONCATENATE(J1925,"-",C1925)</f>
        <v>1111-42915</v>
      </c>
      <c r="E1925" s="20" t="str">
        <f>CONCATENATE(T1925,"-",U1925,"-",C1925)</f>
        <v>HW1-D8-42915</v>
      </c>
      <c r="F1925" s="20" t="s">
        <v>106</v>
      </c>
      <c r="G1925" s="20" t="s">
        <v>278</v>
      </c>
      <c r="J1925" s="21">
        <v>1111</v>
      </c>
      <c r="T1925" s="16" t="s">
        <v>133</v>
      </c>
      <c r="U1925" s="16" t="s">
        <v>178</v>
      </c>
      <c r="AP1925" s="16">
        <f>SUM(AL1925:AN1925)</f>
        <v>0</v>
      </c>
      <c r="AT1925" s="16" t="s">
        <v>285</v>
      </c>
      <c r="AY1925" s="18"/>
      <c r="BG1925" s="23"/>
      <c r="BT1925" s="23"/>
      <c r="CD1925" s="23"/>
      <c r="DF1925" s="16" t="e">
        <f>VLOOKUP(K1925,'[3]RNA Seq summary tables'!$V$3:$V$99,1,FALSE)</f>
        <v>#N/A</v>
      </c>
      <c r="JR1925" s="27"/>
      <c r="JS1925" s="27"/>
      <c r="JT1925" s="27"/>
      <c r="JU1925" s="27"/>
      <c r="JV1925" s="27"/>
      <c r="JW1925" s="27"/>
      <c r="JX1925" s="27"/>
      <c r="JY1925" s="27"/>
      <c r="JZ1925" s="27"/>
      <c r="KA1925" s="27"/>
      <c r="KB1925" s="27"/>
    </row>
    <row r="1926" spans="2:288" x14ac:dyDescent="0.2">
      <c r="B1926" s="16">
        <v>2017</v>
      </c>
      <c r="C1926" s="20">
        <v>42916</v>
      </c>
      <c r="D1926" s="20" t="str">
        <f>CONCATENATE(J1926,"-",C1926)</f>
        <v>1111-42916</v>
      </c>
      <c r="E1926" s="20" t="str">
        <f>CONCATENATE(T1926,"-",U1926,"-",C1926)</f>
        <v>HW1-A8-42916</v>
      </c>
      <c r="F1926" s="20" t="s">
        <v>106</v>
      </c>
      <c r="G1926" s="20" t="s">
        <v>278</v>
      </c>
      <c r="J1926" s="21">
        <v>1111</v>
      </c>
      <c r="T1926" s="16" t="s">
        <v>133</v>
      </c>
      <c r="U1926" s="16" t="s">
        <v>194</v>
      </c>
      <c r="AP1926" s="16">
        <f>SUM(AL1926:AN1926)</f>
        <v>0</v>
      </c>
      <c r="AT1926" s="16" t="s">
        <v>285</v>
      </c>
      <c r="AY1926" s="18"/>
      <c r="BG1926" s="23"/>
      <c r="BT1926" s="23"/>
      <c r="CD1926" s="23"/>
      <c r="DF1926" s="16" t="e">
        <f>VLOOKUP(K1926,'[3]RNA Seq summary tables'!$V$3:$V$99,1,FALSE)</f>
        <v>#N/A</v>
      </c>
      <c r="JR1926" s="27"/>
      <c r="JS1926" s="27"/>
      <c r="JT1926" s="27"/>
      <c r="JU1926" s="27"/>
      <c r="JV1926" s="27"/>
      <c r="JW1926" s="27"/>
      <c r="JX1926" s="27"/>
      <c r="JY1926" s="27"/>
      <c r="JZ1926" s="27"/>
      <c r="KA1926" s="27"/>
      <c r="KB1926" s="27"/>
    </row>
    <row r="1927" spans="2:288" x14ac:dyDescent="0.2">
      <c r="B1927" s="16">
        <v>2017</v>
      </c>
      <c r="C1927" s="66">
        <v>42897</v>
      </c>
      <c r="D1927" s="66" t="str">
        <f>CONCATENATE(J1927,"-",C1927)</f>
        <v>1112-42897</v>
      </c>
      <c r="E1927" s="20" t="str">
        <f>CONCATENATE(T1927,"-",U1927,"-",C1927)</f>
        <v>HW1-E7-42897</v>
      </c>
      <c r="F1927" s="20" t="s">
        <v>106</v>
      </c>
      <c r="G1927" s="20" t="s">
        <v>278</v>
      </c>
      <c r="J1927" s="21">
        <v>1112</v>
      </c>
      <c r="T1927" s="16" t="s">
        <v>133</v>
      </c>
      <c r="U1927" s="16" t="s">
        <v>135</v>
      </c>
      <c r="AP1927" s="16">
        <f>SUM(AL1927:AN1927)</f>
        <v>0</v>
      </c>
      <c r="AT1927" s="16" t="s">
        <v>285</v>
      </c>
      <c r="AY1927" s="18"/>
      <c r="BG1927" s="23"/>
      <c r="BT1927" s="23"/>
      <c r="CD1927" s="23"/>
      <c r="DF1927" s="16" t="e">
        <f>VLOOKUP(K1927,'[3]RNA Seq summary tables'!$V$3:$V$99,1,FALSE)</f>
        <v>#N/A</v>
      </c>
    </row>
    <row r="1928" spans="2:288" x14ac:dyDescent="0.2">
      <c r="B1928" s="16">
        <v>2017</v>
      </c>
      <c r="C1928" s="20">
        <v>42915</v>
      </c>
      <c r="D1928" s="20" t="str">
        <f>CONCATENATE(J1928,"-",C1928)</f>
        <v>1112-42915</v>
      </c>
      <c r="E1928" s="20" t="str">
        <f>CONCATENATE(T1928,"-",U1928,"-",C1928)</f>
        <v>HW1-B7-42915</v>
      </c>
      <c r="F1928" s="20" t="s">
        <v>106</v>
      </c>
      <c r="G1928" s="20" t="s">
        <v>278</v>
      </c>
      <c r="J1928" s="21">
        <v>1112</v>
      </c>
      <c r="T1928" s="16" t="s">
        <v>133</v>
      </c>
      <c r="U1928" s="16" t="s">
        <v>168</v>
      </c>
      <c r="AP1928" s="16">
        <f>SUM(AL1928:AN1928)</f>
        <v>0</v>
      </c>
      <c r="AT1928" s="16" t="s">
        <v>285</v>
      </c>
      <c r="AY1928" s="18"/>
      <c r="BG1928" s="23"/>
      <c r="BT1928" s="23"/>
      <c r="CD1928" s="23"/>
      <c r="DF1928" s="16" t="e">
        <f>VLOOKUP(K1928,'[3]RNA Seq summary tables'!$V$3:$V$99,1,FALSE)</f>
        <v>#N/A</v>
      </c>
      <c r="JR1928" s="27"/>
      <c r="JS1928" s="27"/>
      <c r="JT1928" s="27"/>
      <c r="JU1928" s="27"/>
      <c r="JV1928" s="27"/>
      <c r="JW1928" s="27"/>
      <c r="JX1928" s="27"/>
      <c r="JY1928" s="27"/>
      <c r="JZ1928" s="27"/>
      <c r="KA1928" s="27"/>
      <c r="KB1928" s="27"/>
    </row>
    <row r="1929" spans="2:288" x14ac:dyDescent="0.2">
      <c r="B1929" s="16">
        <v>2017</v>
      </c>
      <c r="C1929" s="20">
        <v>42931</v>
      </c>
      <c r="D1929" s="20" t="str">
        <f>CONCATENATE(J1929,"-",C1929)</f>
        <v>1112-42931</v>
      </c>
      <c r="E1929" s="20" t="str">
        <f>CONCATENATE(T1929,"-",U1929,"-",C1929)</f>
        <v>HW1-D7-42931</v>
      </c>
      <c r="F1929" s="20" t="s">
        <v>106</v>
      </c>
      <c r="G1929" s="20" t="s">
        <v>278</v>
      </c>
      <c r="J1929" s="21">
        <v>1112</v>
      </c>
      <c r="T1929" s="16" t="s">
        <v>133</v>
      </c>
      <c r="U1929" s="16" t="s">
        <v>177</v>
      </c>
      <c r="AP1929" s="16">
        <f>SUM(AL1929:AN1929)</f>
        <v>0</v>
      </c>
      <c r="AQ1929" s="18"/>
      <c r="AT1929" s="16" t="s">
        <v>285</v>
      </c>
      <c r="AY1929" s="18"/>
      <c r="BG1929" s="23"/>
      <c r="BT1929" s="23"/>
      <c r="CD1929" s="23"/>
      <c r="DF1929" s="16" t="e">
        <f>VLOOKUP(K1929,'[3]RNA Seq summary tables'!$V$3:$V$99,1,FALSE)</f>
        <v>#N/A</v>
      </c>
      <c r="JR1929" s="18"/>
      <c r="JS1929" s="18"/>
      <c r="JT1929" s="18"/>
      <c r="JU1929" s="18"/>
      <c r="JV1929" s="18"/>
      <c r="JW1929" s="18"/>
      <c r="JX1929" s="18"/>
      <c r="JY1929" s="18"/>
      <c r="JZ1929" s="18"/>
      <c r="KA1929" s="18"/>
      <c r="KB1929" s="18"/>
    </row>
    <row r="1930" spans="2:288" x14ac:dyDescent="0.2">
      <c r="B1930" s="16">
        <v>2017</v>
      </c>
      <c r="C1930" s="20">
        <v>42932</v>
      </c>
      <c r="D1930" s="20" t="str">
        <f>CONCATENATE(J1930,"-",C1930)</f>
        <v>1112-42932</v>
      </c>
      <c r="E1930" s="20" t="str">
        <f>CONCATENATE(T1930,"-",U1930,"-",C1930)</f>
        <v>HW1-D7-42932</v>
      </c>
      <c r="F1930" s="20" t="s">
        <v>106</v>
      </c>
      <c r="G1930" s="20" t="s">
        <v>278</v>
      </c>
      <c r="J1930" s="21">
        <v>1112</v>
      </c>
      <c r="T1930" s="16" t="s">
        <v>133</v>
      </c>
      <c r="U1930" s="16" t="s">
        <v>177</v>
      </c>
      <c r="AP1930" s="16">
        <f>SUM(AL1930:AN1930)</f>
        <v>0</v>
      </c>
      <c r="AT1930" s="16" t="s">
        <v>285</v>
      </c>
      <c r="AY1930" s="18"/>
      <c r="BG1930" s="23"/>
      <c r="BT1930" s="23"/>
      <c r="CD1930" s="23"/>
      <c r="DF1930" s="16" t="e">
        <f>VLOOKUP(K1930,'[3]RNA Seq summary tables'!$V$3:$V$99,1,FALSE)</f>
        <v>#N/A</v>
      </c>
      <c r="JO1930" s="27"/>
      <c r="JR1930" s="18"/>
      <c r="JS1930" s="18"/>
      <c r="JT1930" s="18"/>
      <c r="JU1930" s="18"/>
      <c r="JV1930" s="18"/>
      <c r="JW1930" s="18"/>
      <c r="JX1930" s="18"/>
      <c r="JY1930" s="18"/>
      <c r="JZ1930" s="18"/>
      <c r="KA1930" s="18"/>
      <c r="KB1930" s="18"/>
    </row>
    <row r="1931" spans="2:288" x14ac:dyDescent="0.2">
      <c r="B1931" s="16">
        <v>2017</v>
      </c>
      <c r="C1931" s="20">
        <v>42949</v>
      </c>
      <c r="D1931" s="20" t="str">
        <f>CONCATENATE(J1931,"-",C1931)</f>
        <v>1112-42949</v>
      </c>
      <c r="E1931" s="20" t="str">
        <f>CONCATENATE(T1931,"-",U1931,"-",C1931)</f>
        <v>HW1-D8-42949</v>
      </c>
      <c r="F1931" s="20" t="s">
        <v>106</v>
      </c>
      <c r="G1931" s="20" t="s">
        <v>278</v>
      </c>
      <c r="J1931" s="21">
        <v>1112</v>
      </c>
      <c r="T1931" s="16" t="s">
        <v>133</v>
      </c>
      <c r="U1931" s="16" t="s">
        <v>178</v>
      </c>
      <c r="AP1931" s="16">
        <f>SUM(AL1931:AN1931)</f>
        <v>0</v>
      </c>
      <c r="AT1931" s="16" t="s">
        <v>285</v>
      </c>
      <c r="AY1931" s="18"/>
      <c r="BG1931" s="23"/>
      <c r="BT1931" s="23"/>
      <c r="CD1931" s="23"/>
      <c r="DF1931" s="16" t="e">
        <f>VLOOKUP(K1931,'[3]RNA Seq summary tables'!$V$3:$V$99,1,FALSE)</f>
        <v>#N/A</v>
      </c>
      <c r="JO1931" s="27"/>
    </row>
    <row r="1932" spans="2:288" x14ac:dyDescent="0.2">
      <c r="B1932" s="16">
        <v>2017</v>
      </c>
      <c r="C1932" s="20">
        <v>42950</v>
      </c>
      <c r="D1932" s="20" t="str">
        <f>CONCATENATE(J1932,"-",C1932)</f>
        <v>1112-42950</v>
      </c>
      <c r="E1932" s="20" t="str">
        <f>CONCATENATE(T1932,"-",U1932,"-",C1932)</f>
        <v>HW1-C7-42950</v>
      </c>
      <c r="F1932" s="20" t="s">
        <v>106</v>
      </c>
      <c r="G1932" s="20" t="s">
        <v>278</v>
      </c>
      <c r="J1932" s="21">
        <v>1112</v>
      </c>
      <c r="T1932" s="16" t="s">
        <v>133</v>
      </c>
      <c r="U1932" s="16" t="s">
        <v>207</v>
      </c>
      <c r="AP1932" s="16">
        <f>SUM(AL1932:AN1932)</f>
        <v>0</v>
      </c>
      <c r="AT1932" s="16" t="s">
        <v>285</v>
      </c>
      <c r="AY1932" s="18"/>
      <c r="BG1932" s="23"/>
      <c r="BT1932" s="23"/>
      <c r="CD1932" s="23"/>
      <c r="DF1932" s="16" t="e">
        <f>VLOOKUP(K1932,'[3]RNA Seq summary tables'!$V$3:$V$99,1,FALSE)</f>
        <v>#N/A</v>
      </c>
      <c r="JO1932" s="27"/>
    </row>
    <row r="1933" spans="2:288" x14ac:dyDescent="0.2">
      <c r="B1933" s="16">
        <v>2017</v>
      </c>
      <c r="C1933" s="20">
        <v>42967</v>
      </c>
      <c r="D1933" s="20" t="str">
        <f>CONCATENATE(J1933,"-",C1933)</f>
        <v>1112-42967</v>
      </c>
      <c r="E1933" s="20" t="str">
        <f>CONCATENATE(T1933,"-",U1933,"-",C1933)</f>
        <v>HW1-C7-42967</v>
      </c>
      <c r="F1933" s="20" t="s">
        <v>106</v>
      </c>
      <c r="G1933" s="20" t="s">
        <v>278</v>
      </c>
      <c r="J1933" s="21">
        <v>1112</v>
      </c>
      <c r="T1933" s="16" t="s">
        <v>133</v>
      </c>
      <c r="U1933" s="16" t="s">
        <v>207</v>
      </c>
      <c r="AP1933" s="16">
        <f>SUM(AL1933:AN1933)</f>
        <v>0</v>
      </c>
      <c r="AT1933" s="16" t="s">
        <v>285</v>
      </c>
      <c r="AY1933" s="18"/>
      <c r="BG1933" s="23"/>
      <c r="BT1933" s="23"/>
      <c r="CD1933" s="23"/>
      <c r="DF1933" s="16" t="e">
        <f>VLOOKUP(K1933,'[3]RNA Seq summary tables'!$V$3:$V$99,1,FALSE)</f>
        <v>#N/A</v>
      </c>
      <c r="JO1933" s="27"/>
    </row>
    <row r="1934" spans="2:288" x14ac:dyDescent="0.2">
      <c r="B1934" s="16">
        <v>2017</v>
      </c>
      <c r="C1934" s="20">
        <v>42968</v>
      </c>
      <c r="D1934" s="20" t="str">
        <f>CONCATENATE(J1934,"-",C1934)</f>
        <v>1112-42968</v>
      </c>
      <c r="E1934" s="20" t="str">
        <f>CONCATENATE(T1934,"-",U1934,"-",C1934)</f>
        <v>HW1-C7-42968</v>
      </c>
      <c r="F1934" s="20" t="s">
        <v>106</v>
      </c>
      <c r="G1934" s="20" t="s">
        <v>278</v>
      </c>
      <c r="J1934" s="21">
        <v>1112</v>
      </c>
      <c r="T1934" s="16" t="s">
        <v>133</v>
      </c>
      <c r="U1934" s="16" t="s">
        <v>207</v>
      </c>
      <c r="AP1934" s="16">
        <f>SUM(AL1934:AN1934)</f>
        <v>0</v>
      </c>
      <c r="AT1934" s="16" t="s">
        <v>285</v>
      </c>
      <c r="AY1934" s="18"/>
      <c r="BG1934" s="23"/>
      <c r="BT1934" s="23"/>
      <c r="CD1934" s="23"/>
      <c r="DF1934" s="16" t="e">
        <f>VLOOKUP(K1934,'[3]RNA Seq summary tables'!$V$3:$V$99,1,FALSE)</f>
        <v>#N/A</v>
      </c>
      <c r="JO1934" s="27"/>
    </row>
    <row r="1935" spans="2:288" x14ac:dyDescent="0.2">
      <c r="B1935" s="16">
        <v>2017</v>
      </c>
      <c r="C1935" s="66">
        <v>42897</v>
      </c>
      <c r="D1935" s="66" t="str">
        <f>CONCATENATE(J1935,"-",C1935)</f>
        <v>1113-42897</v>
      </c>
      <c r="E1935" s="20" t="str">
        <f>CONCATENATE(T1935,"-",U1935,"-",C1935)</f>
        <v>HW1-F1-42897</v>
      </c>
      <c r="F1935" s="20" t="s">
        <v>106</v>
      </c>
      <c r="G1935" s="20" t="s">
        <v>278</v>
      </c>
      <c r="J1935" s="21">
        <v>1113</v>
      </c>
      <c r="T1935" s="16" t="s">
        <v>133</v>
      </c>
      <c r="U1935" s="16" t="s">
        <v>217</v>
      </c>
      <c r="AP1935" s="16">
        <f>SUM(AL1935:AN1935)</f>
        <v>0</v>
      </c>
      <c r="AT1935" s="16" t="s">
        <v>285</v>
      </c>
      <c r="AY1935" s="18"/>
      <c r="BG1935" s="23"/>
      <c r="BT1935" s="23"/>
      <c r="CD1935" s="23"/>
      <c r="DF1935" s="16" t="e">
        <f>VLOOKUP(K1935,'[3]RNA Seq summary tables'!$V$3:$V$99,1,FALSE)</f>
        <v>#N/A</v>
      </c>
    </row>
    <row r="1936" spans="2:288" x14ac:dyDescent="0.2">
      <c r="B1936" s="16">
        <v>2017</v>
      </c>
      <c r="C1936" s="20">
        <v>42898</v>
      </c>
      <c r="D1936" s="20" t="str">
        <f>CONCATENATE(J1936,"-",C1936)</f>
        <v>1113-42898</v>
      </c>
      <c r="E1936" s="20" t="str">
        <f>CONCATENATE(T1936,"-",U1936,"-",C1936)</f>
        <v>HW1-E1-42898</v>
      </c>
      <c r="F1936" s="20" t="s">
        <v>106</v>
      </c>
      <c r="G1936" s="20" t="s">
        <v>278</v>
      </c>
      <c r="J1936" s="21">
        <v>1113</v>
      </c>
      <c r="T1936" s="16" t="s">
        <v>133</v>
      </c>
      <c r="U1936" s="16" t="s">
        <v>222</v>
      </c>
      <c r="AP1936" s="16">
        <f>SUM(AL1936:AN1936)</f>
        <v>0</v>
      </c>
      <c r="AT1936" s="16" t="s">
        <v>285</v>
      </c>
      <c r="AY1936" s="18"/>
      <c r="BG1936" s="23"/>
      <c r="BT1936" s="23"/>
      <c r="CD1936" s="23"/>
      <c r="DF1936" s="16" t="e">
        <f>VLOOKUP(K1936,'[3]RNA Seq summary tables'!$V$3:$V$99,1,FALSE)</f>
        <v>#N/A</v>
      </c>
    </row>
    <row r="1937" spans="2:288" x14ac:dyDescent="0.2">
      <c r="B1937" s="16">
        <v>2017</v>
      </c>
      <c r="C1937" s="66">
        <v>42897</v>
      </c>
      <c r="D1937" s="66" t="str">
        <f>CONCATENATE(J1937,"-",C1937)</f>
        <v>1114-42897</v>
      </c>
      <c r="E1937" s="20" t="str">
        <f>CONCATENATE(T1937,"-",U1937,"-",C1937)</f>
        <v>HW1-F2-42897</v>
      </c>
      <c r="F1937" s="20" t="s">
        <v>106</v>
      </c>
      <c r="G1937" s="20" t="s">
        <v>278</v>
      </c>
      <c r="J1937" s="21">
        <v>1114</v>
      </c>
      <c r="T1937" s="16" t="s">
        <v>133</v>
      </c>
      <c r="U1937" s="16" t="s">
        <v>187</v>
      </c>
      <c r="AP1937" s="16">
        <f>SUM(AL1937:AN1937)</f>
        <v>0</v>
      </c>
      <c r="AT1937" s="16" t="s">
        <v>285</v>
      </c>
      <c r="AY1937" s="18"/>
      <c r="BG1937" s="23"/>
      <c r="BT1937" s="23"/>
      <c r="CD1937" s="23"/>
      <c r="DF1937" s="16" t="e">
        <f>VLOOKUP(K1937,'[3]RNA Seq summary tables'!$V$3:$V$99,1,FALSE)</f>
        <v>#N/A</v>
      </c>
    </row>
    <row r="1938" spans="2:288" x14ac:dyDescent="0.2">
      <c r="B1938" s="16">
        <v>2017</v>
      </c>
      <c r="C1938" s="20">
        <v>42898</v>
      </c>
      <c r="D1938" s="20" t="str">
        <f>CONCATENATE(J1938,"-",C1938)</f>
        <v>1114-42898</v>
      </c>
      <c r="E1938" s="20" t="str">
        <f>CONCATENATE(T1938,"-",U1938,"-",C1938)</f>
        <v>HW1-A3-42898</v>
      </c>
      <c r="F1938" s="20" t="s">
        <v>106</v>
      </c>
      <c r="G1938" s="20" t="s">
        <v>278</v>
      </c>
      <c r="J1938" s="21">
        <v>1114</v>
      </c>
      <c r="T1938" s="16" t="s">
        <v>133</v>
      </c>
      <c r="U1938" s="16" t="s">
        <v>201</v>
      </c>
      <c r="AP1938" s="16">
        <f>SUM(AL1938:AN1938)</f>
        <v>0</v>
      </c>
      <c r="AT1938" s="16" t="s">
        <v>285</v>
      </c>
      <c r="AY1938" s="18"/>
      <c r="BG1938" s="23"/>
      <c r="BT1938" s="23"/>
      <c r="CD1938" s="23"/>
      <c r="DF1938" s="16" t="e">
        <f>VLOOKUP(K1938,'[3]RNA Seq summary tables'!$V$3:$V$99,1,FALSE)</f>
        <v>#N/A</v>
      </c>
    </row>
    <row r="1939" spans="2:288" x14ac:dyDescent="0.2">
      <c r="B1939" s="16">
        <v>2017</v>
      </c>
      <c r="C1939" s="20">
        <v>42915</v>
      </c>
      <c r="D1939" s="20" t="str">
        <f>CONCATENATE(J1939,"-",C1939)</f>
        <v>1114-42915</v>
      </c>
      <c r="E1939" s="20" t="str">
        <f>CONCATENATE(T1939,"-",U1939,"-",C1939)</f>
        <v>HW1-F6-42915</v>
      </c>
      <c r="F1939" s="20" t="s">
        <v>106</v>
      </c>
      <c r="G1939" s="20" t="s">
        <v>278</v>
      </c>
      <c r="J1939" s="21">
        <v>1114</v>
      </c>
      <c r="T1939" s="16" t="s">
        <v>133</v>
      </c>
      <c r="U1939" s="16" t="s">
        <v>170</v>
      </c>
      <c r="AP1939" s="16">
        <f>SUM(AL1939:AN1939)</f>
        <v>0</v>
      </c>
      <c r="AT1939" s="16" t="s">
        <v>285</v>
      </c>
      <c r="AY1939" s="18"/>
      <c r="BG1939" s="23"/>
      <c r="BT1939" s="23"/>
      <c r="CD1939" s="23"/>
      <c r="DF1939" s="16" t="e">
        <f>VLOOKUP(K1939,'[3]RNA Seq summary tables'!$V$3:$V$99,1,FALSE)</f>
        <v>#N/A</v>
      </c>
      <c r="JR1939" s="27"/>
      <c r="JS1939" s="27"/>
      <c r="JT1939" s="27"/>
      <c r="JU1939" s="27"/>
      <c r="JV1939" s="27"/>
      <c r="JW1939" s="27"/>
      <c r="JX1939" s="27"/>
      <c r="JY1939" s="27"/>
      <c r="JZ1939" s="27"/>
      <c r="KA1939" s="27"/>
      <c r="KB1939" s="27"/>
    </row>
    <row r="1940" spans="2:288" x14ac:dyDescent="0.2">
      <c r="B1940" s="16">
        <v>2017</v>
      </c>
      <c r="C1940" s="20">
        <v>42916</v>
      </c>
      <c r="D1940" s="20" t="str">
        <f>CONCATENATE(J1940,"-",C1940)</f>
        <v>1114-42916</v>
      </c>
      <c r="E1940" s="20" t="str">
        <f>CONCATENATE(T1940,"-",U1940,"-",C1940)</f>
        <v>HW1-F5-42916</v>
      </c>
      <c r="F1940" s="20" t="s">
        <v>106</v>
      </c>
      <c r="G1940" s="20" t="s">
        <v>278</v>
      </c>
      <c r="J1940" s="21">
        <v>1114</v>
      </c>
      <c r="T1940" s="16" t="s">
        <v>133</v>
      </c>
      <c r="U1940" s="16" t="s">
        <v>185</v>
      </c>
      <c r="AP1940" s="16">
        <f>SUM(AL1940:AN1940)</f>
        <v>0</v>
      </c>
      <c r="AT1940" s="16" t="s">
        <v>285</v>
      </c>
      <c r="AY1940" s="18"/>
      <c r="BG1940" s="23"/>
      <c r="BT1940" s="23"/>
      <c r="CD1940" s="23"/>
      <c r="DF1940" s="16" t="e">
        <f>VLOOKUP(K1940,'[3]RNA Seq summary tables'!$V$3:$V$99,1,FALSE)</f>
        <v>#N/A</v>
      </c>
      <c r="JR1940" s="27"/>
      <c r="JS1940" s="27"/>
      <c r="JT1940" s="27"/>
      <c r="JU1940" s="27"/>
      <c r="JV1940" s="27"/>
      <c r="JW1940" s="27"/>
      <c r="JX1940" s="27"/>
      <c r="JY1940" s="27"/>
      <c r="JZ1940" s="27"/>
      <c r="KA1940" s="27"/>
      <c r="KB1940" s="27"/>
    </row>
    <row r="1941" spans="2:288" x14ac:dyDescent="0.2">
      <c r="B1941" s="16">
        <v>2017</v>
      </c>
      <c r="C1941" s="20">
        <v>42931</v>
      </c>
      <c r="D1941" s="20" t="str">
        <f>CONCATENATE(J1941,"-",C1941)</f>
        <v>1114-42931</v>
      </c>
      <c r="E1941" s="20" t="str">
        <f>CONCATENATE(T1941,"-",U1941,"-",C1941)</f>
        <v>HW1-A5-42931</v>
      </c>
      <c r="F1941" s="20" t="s">
        <v>106</v>
      </c>
      <c r="G1941" s="20" t="s">
        <v>278</v>
      </c>
      <c r="J1941" s="21">
        <v>1114</v>
      </c>
      <c r="T1941" s="16" t="s">
        <v>133</v>
      </c>
      <c r="U1941" s="16" t="s">
        <v>167</v>
      </c>
      <c r="AP1941" s="16">
        <f>SUM(AL1941:AN1941)</f>
        <v>0</v>
      </c>
      <c r="AQ1941" s="18"/>
      <c r="AT1941" s="16" t="s">
        <v>285</v>
      </c>
      <c r="AY1941" s="18"/>
      <c r="BG1941" s="23"/>
      <c r="BT1941" s="23"/>
      <c r="CD1941" s="23"/>
      <c r="DF1941" s="16" t="e">
        <f>VLOOKUP(K1941,'[3]RNA Seq summary tables'!$V$3:$V$99,1,FALSE)</f>
        <v>#N/A</v>
      </c>
      <c r="JO1941" s="27"/>
      <c r="JP1941" s="18"/>
      <c r="JQ1941" s="18"/>
      <c r="JR1941" s="27"/>
      <c r="JS1941" s="27"/>
      <c r="JT1941" s="27"/>
      <c r="JU1941" s="27"/>
      <c r="JV1941" s="27"/>
      <c r="JW1941" s="27"/>
      <c r="JX1941" s="27"/>
      <c r="JY1941" s="27"/>
      <c r="JZ1941" s="27"/>
      <c r="KA1941" s="27"/>
      <c r="KB1941" s="27"/>
    </row>
    <row r="1942" spans="2:288" x14ac:dyDescent="0.2">
      <c r="B1942" s="16">
        <v>2017</v>
      </c>
      <c r="C1942" s="20">
        <v>42932</v>
      </c>
      <c r="D1942" s="20" t="str">
        <f>CONCATENATE(J1942,"-",C1942)</f>
        <v>1114-42932</v>
      </c>
      <c r="E1942" s="20" t="str">
        <f>CONCATENATE(T1942,"-",U1942,"-",C1942)</f>
        <v>HW1-A3-42932</v>
      </c>
      <c r="F1942" s="20" t="s">
        <v>106</v>
      </c>
      <c r="G1942" s="20" t="s">
        <v>278</v>
      </c>
      <c r="J1942" s="21">
        <v>1114</v>
      </c>
      <c r="T1942" s="16" t="s">
        <v>133</v>
      </c>
      <c r="U1942" s="16" t="s">
        <v>201</v>
      </c>
      <c r="AP1942" s="16">
        <f>SUM(AL1942:AN1942)</f>
        <v>0</v>
      </c>
      <c r="AT1942" s="16" t="s">
        <v>285</v>
      </c>
      <c r="AY1942" s="18"/>
      <c r="BG1942" s="23"/>
      <c r="BT1942" s="23"/>
      <c r="CD1942" s="23"/>
      <c r="DF1942" s="16" t="e">
        <f>VLOOKUP(K1942,'[3]RNA Seq summary tables'!$V$3:$V$99,1,FALSE)</f>
        <v>#N/A</v>
      </c>
      <c r="JO1942" s="27"/>
      <c r="JR1942" s="18"/>
      <c r="JS1942" s="18"/>
      <c r="JT1942" s="18"/>
      <c r="JU1942" s="18"/>
      <c r="JV1942" s="18"/>
      <c r="JW1942" s="18"/>
      <c r="JX1942" s="18"/>
      <c r="JY1942" s="18"/>
      <c r="JZ1942" s="18"/>
      <c r="KA1942" s="18"/>
      <c r="KB1942" s="18"/>
    </row>
    <row r="1943" spans="2:288" x14ac:dyDescent="0.2">
      <c r="B1943" s="16">
        <v>2017</v>
      </c>
      <c r="C1943" s="20">
        <v>42950</v>
      </c>
      <c r="D1943" s="20" t="str">
        <f>CONCATENATE(J1943,"-",C1943)</f>
        <v>1114-42950</v>
      </c>
      <c r="E1943" s="20" t="str">
        <f>CONCATENATE(T1943,"-",U1943,"-",C1943)</f>
        <v>HW1-B1-42950</v>
      </c>
      <c r="F1943" s="20" t="s">
        <v>106</v>
      </c>
      <c r="G1943" s="20" t="s">
        <v>278</v>
      </c>
      <c r="J1943" s="21">
        <v>1114</v>
      </c>
      <c r="T1943" s="16" t="s">
        <v>133</v>
      </c>
      <c r="U1943" s="16" t="s">
        <v>113</v>
      </c>
      <c r="AP1943" s="16">
        <f>SUM(AL1943:AN1943)</f>
        <v>0</v>
      </c>
      <c r="AT1943" s="16" t="s">
        <v>285</v>
      </c>
      <c r="AY1943" s="18"/>
      <c r="BG1943" s="23"/>
      <c r="BT1943" s="23"/>
      <c r="CD1943" s="23"/>
      <c r="DF1943" s="16" t="e">
        <f>VLOOKUP(K1943,'[3]RNA Seq summary tables'!$V$3:$V$99,1,FALSE)</f>
        <v>#N/A</v>
      </c>
      <c r="JO1943" s="27"/>
    </row>
    <row r="1944" spans="2:288" x14ac:dyDescent="0.2">
      <c r="B1944" s="16">
        <v>2017</v>
      </c>
      <c r="C1944" s="20">
        <v>42967</v>
      </c>
      <c r="D1944" s="20" t="str">
        <f>CONCATENATE(J1944,"-",C1944)</f>
        <v>1114-42967</v>
      </c>
      <c r="E1944" s="20" t="str">
        <f>CONCATENATE(T1944,"-",U1944,"-",C1944)</f>
        <v>HW1-E6-42967</v>
      </c>
      <c r="F1944" s="20" t="s">
        <v>106</v>
      </c>
      <c r="G1944" s="20" t="s">
        <v>278</v>
      </c>
      <c r="J1944" s="21">
        <v>1114</v>
      </c>
      <c r="T1944" s="16" t="s">
        <v>133</v>
      </c>
      <c r="U1944" s="16" t="s">
        <v>232</v>
      </c>
      <c r="AP1944" s="16">
        <f>SUM(AL1944:AN1944)</f>
        <v>0</v>
      </c>
      <c r="AT1944" s="16" t="s">
        <v>285</v>
      </c>
      <c r="AY1944" s="18"/>
      <c r="BG1944" s="23"/>
      <c r="BT1944" s="23"/>
      <c r="CD1944" s="23"/>
      <c r="DF1944" s="16" t="e">
        <f>VLOOKUP(K1944,'[3]RNA Seq summary tables'!$V$3:$V$99,1,FALSE)</f>
        <v>#N/A</v>
      </c>
      <c r="JO1944" s="27"/>
      <c r="JP1944" s="18"/>
      <c r="JQ1944" s="18"/>
    </row>
    <row r="1945" spans="2:288" x14ac:dyDescent="0.2">
      <c r="B1945" s="16">
        <v>2017</v>
      </c>
      <c r="C1945" s="20">
        <v>42968</v>
      </c>
      <c r="D1945" s="20" t="str">
        <f>CONCATENATE(J1945,"-",C1945)</f>
        <v>1114-42968</v>
      </c>
      <c r="E1945" s="20" t="str">
        <f>CONCATENATE(T1945,"-",U1945,"-",C1945)</f>
        <v>HW1-C2-42968</v>
      </c>
      <c r="F1945" s="20" t="s">
        <v>106</v>
      </c>
      <c r="G1945" s="20" t="s">
        <v>278</v>
      </c>
      <c r="J1945" s="21">
        <v>1114</v>
      </c>
      <c r="T1945" s="16" t="s">
        <v>133</v>
      </c>
      <c r="U1945" s="16" t="s">
        <v>162</v>
      </c>
      <c r="AP1945" s="16">
        <f>SUM(AL1945:AN1945)</f>
        <v>0</v>
      </c>
      <c r="AT1945" s="16" t="s">
        <v>285</v>
      </c>
      <c r="AY1945" s="18"/>
      <c r="BG1945" s="23"/>
      <c r="BT1945" s="23"/>
      <c r="CD1945" s="23"/>
      <c r="DF1945" s="16" t="e">
        <f>VLOOKUP(K1945,'[3]RNA Seq summary tables'!$V$3:$V$99,1,FALSE)</f>
        <v>#N/A</v>
      </c>
      <c r="JO1945" s="27"/>
    </row>
    <row r="1946" spans="2:288" x14ac:dyDescent="0.2">
      <c r="B1946" s="16">
        <v>2017</v>
      </c>
      <c r="C1946" s="20">
        <v>42898</v>
      </c>
      <c r="D1946" s="20" t="str">
        <f>CONCATENATE(J1946,"-",C1946)</f>
        <v>1115-42898</v>
      </c>
      <c r="E1946" s="20" t="str">
        <f>CONCATENATE(T1946,"-",U1946,"-",C1946)</f>
        <v>HW2-C4-42898</v>
      </c>
      <c r="F1946" s="20" t="s">
        <v>106</v>
      </c>
      <c r="G1946" s="20" t="s">
        <v>278</v>
      </c>
      <c r="J1946" s="21">
        <v>1115</v>
      </c>
      <c r="T1946" s="16" t="s">
        <v>129</v>
      </c>
      <c r="U1946" s="16" t="s">
        <v>229</v>
      </c>
      <c r="AP1946" s="16">
        <f>SUM(AL1946:AN1946)</f>
        <v>0</v>
      </c>
      <c r="AT1946" s="16" t="s">
        <v>285</v>
      </c>
      <c r="AY1946" s="18"/>
      <c r="BG1946" s="23"/>
      <c r="BT1946" s="23"/>
      <c r="CD1946" s="23"/>
      <c r="DF1946" s="16" t="e">
        <f>VLOOKUP(K1946,'[3]RNA Seq summary tables'!$V$3:$V$99,1,FALSE)</f>
        <v>#N/A</v>
      </c>
      <c r="JP1946" s="18"/>
      <c r="JQ1946" s="18"/>
    </row>
    <row r="1947" spans="2:288" x14ac:dyDescent="0.2">
      <c r="B1947" s="16">
        <v>2017</v>
      </c>
      <c r="C1947" s="20">
        <v>42915</v>
      </c>
      <c r="D1947" s="20" t="str">
        <f>CONCATENATE(J1947,"-",C1947)</f>
        <v>1117-42915</v>
      </c>
      <c r="E1947" s="20" t="str">
        <f>CONCATENATE(T1947,"-",U1947,"-",C1947)</f>
        <v>HW1-C8-42915</v>
      </c>
      <c r="F1947" s="20" t="s">
        <v>106</v>
      </c>
      <c r="G1947" s="20" t="s">
        <v>278</v>
      </c>
      <c r="J1947" s="21">
        <v>1117</v>
      </c>
      <c r="T1947" s="16" t="s">
        <v>133</v>
      </c>
      <c r="U1947" s="16" t="s">
        <v>188</v>
      </c>
      <c r="AP1947" s="16">
        <f>SUM(AL1947:AN1947)</f>
        <v>0</v>
      </c>
      <c r="AT1947" s="16" t="s">
        <v>285</v>
      </c>
      <c r="AY1947" s="18"/>
      <c r="BG1947" s="23"/>
      <c r="BT1947" s="23"/>
      <c r="CD1947" s="23"/>
      <c r="DF1947" s="16" t="e">
        <f>VLOOKUP(K1947,'[3]RNA Seq summary tables'!$V$3:$V$99,1,FALSE)</f>
        <v>#N/A</v>
      </c>
      <c r="JR1947" s="27"/>
      <c r="JS1947" s="27"/>
      <c r="JT1947" s="27"/>
      <c r="JU1947" s="27"/>
      <c r="JV1947" s="27"/>
      <c r="JW1947" s="27"/>
      <c r="JX1947" s="27"/>
      <c r="JY1947" s="27"/>
      <c r="JZ1947" s="27"/>
      <c r="KA1947" s="27"/>
      <c r="KB1947" s="27"/>
    </row>
    <row r="1948" spans="2:288" x14ac:dyDescent="0.2">
      <c r="B1948" s="16">
        <v>2017</v>
      </c>
      <c r="C1948" s="20">
        <v>42916</v>
      </c>
      <c r="D1948" s="20" t="str">
        <f>CONCATENATE(J1948,"-",C1948)</f>
        <v>1117-42916</v>
      </c>
      <c r="E1948" s="20" t="str">
        <f>CONCATENATE(T1948,"-",U1948,"-",C1948)</f>
        <v>HW1-C8-42916</v>
      </c>
      <c r="F1948" s="20" t="s">
        <v>106</v>
      </c>
      <c r="G1948" s="20" t="s">
        <v>278</v>
      </c>
      <c r="J1948" s="21">
        <v>1117</v>
      </c>
      <c r="T1948" s="16" t="s">
        <v>133</v>
      </c>
      <c r="U1948" s="16" t="s">
        <v>188</v>
      </c>
      <c r="AP1948" s="16">
        <f>SUM(AL1948:AN1948)</f>
        <v>0</v>
      </c>
      <c r="AT1948" s="16" t="s">
        <v>285</v>
      </c>
      <c r="AY1948" s="18"/>
      <c r="BG1948" s="23"/>
      <c r="BT1948" s="23"/>
      <c r="CD1948" s="23"/>
      <c r="DF1948" s="16" t="e">
        <f>VLOOKUP(K1948,'[3]RNA Seq summary tables'!$V$3:$V$99,1,FALSE)</f>
        <v>#N/A</v>
      </c>
      <c r="JR1948" s="27"/>
      <c r="JS1948" s="27"/>
      <c r="JT1948" s="27"/>
      <c r="JU1948" s="27"/>
      <c r="JV1948" s="27"/>
      <c r="JW1948" s="27"/>
      <c r="JX1948" s="27"/>
      <c r="JY1948" s="27"/>
      <c r="JZ1948" s="27"/>
      <c r="KA1948" s="27"/>
      <c r="KB1948" s="27"/>
    </row>
    <row r="1949" spans="2:288" x14ac:dyDescent="0.2">
      <c r="B1949" s="16">
        <v>2017</v>
      </c>
      <c r="C1949" s="20">
        <v>42898</v>
      </c>
      <c r="D1949" s="20" t="str">
        <f>CONCATENATE(J1949,"-",C1949)</f>
        <v>1118-42898</v>
      </c>
      <c r="E1949" s="20" t="str">
        <f>CONCATENATE(T1949,"-",U1949,"-",C1949)</f>
        <v>HW1-D1-42898</v>
      </c>
      <c r="F1949" s="20" t="s">
        <v>106</v>
      </c>
      <c r="G1949" s="20" t="s">
        <v>278</v>
      </c>
      <c r="J1949" s="21">
        <v>1118</v>
      </c>
      <c r="T1949" s="16" t="s">
        <v>133</v>
      </c>
      <c r="U1949" s="16" t="s">
        <v>157</v>
      </c>
      <c r="AP1949" s="16">
        <f>SUM(AL1949:AN1949)</f>
        <v>0</v>
      </c>
      <c r="AT1949" s="16" t="s">
        <v>285</v>
      </c>
      <c r="AY1949" s="18"/>
      <c r="BG1949" s="23"/>
      <c r="BT1949" s="23"/>
      <c r="CD1949" s="23"/>
      <c r="DF1949" s="16" t="e">
        <f>VLOOKUP(K1949,'[3]RNA Seq summary tables'!$V$3:$V$99,1,FALSE)</f>
        <v>#N/A</v>
      </c>
    </row>
    <row r="1950" spans="2:288" x14ac:dyDescent="0.2">
      <c r="B1950" s="16">
        <v>2017</v>
      </c>
      <c r="C1950" s="20">
        <v>42915</v>
      </c>
      <c r="D1950" s="20" t="str">
        <f>CONCATENATE(J1950,"-",C1950)</f>
        <v>1118-42915</v>
      </c>
      <c r="E1950" s="20" t="str">
        <f>CONCATENATE(T1950,"-",U1950,"-",C1950)</f>
        <v>HW1-E2-42915</v>
      </c>
      <c r="F1950" s="20" t="s">
        <v>106</v>
      </c>
      <c r="G1950" s="20" t="s">
        <v>278</v>
      </c>
      <c r="J1950" s="21">
        <v>1118</v>
      </c>
      <c r="T1950" s="16" t="s">
        <v>133</v>
      </c>
      <c r="U1950" s="16" t="s">
        <v>136</v>
      </c>
      <c r="AP1950" s="16">
        <f>SUM(AL1950:AN1950)</f>
        <v>0</v>
      </c>
      <c r="AT1950" s="16" t="s">
        <v>285</v>
      </c>
      <c r="AY1950" s="18"/>
      <c r="BG1950" s="23"/>
      <c r="BT1950" s="23"/>
      <c r="CD1950" s="23"/>
      <c r="DF1950" s="16" t="e">
        <f>VLOOKUP(K1950,'[3]RNA Seq summary tables'!$V$3:$V$99,1,FALSE)</f>
        <v>#N/A</v>
      </c>
      <c r="JR1950" s="27"/>
      <c r="JS1950" s="27"/>
      <c r="JT1950" s="27"/>
      <c r="JU1950" s="27"/>
      <c r="JV1950" s="27"/>
      <c r="JW1950" s="27"/>
      <c r="JX1950" s="27"/>
      <c r="JY1950" s="27"/>
      <c r="JZ1950" s="27"/>
      <c r="KA1950" s="27"/>
      <c r="KB1950" s="27"/>
    </row>
    <row r="1951" spans="2:288" x14ac:dyDescent="0.2">
      <c r="B1951" s="16">
        <v>2017</v>
      </c>
      <c r="C1951" s="20">
        <v>42916</v>
      </c>
      <c r="D1951" s="20" t="str">
        <f>CONCATENATE(J1951,"-",C1951)</f>
        <v>1118-42916</v>
      </c>
      <c r="E1951" s="20" t="str">
        <f>CONCATENATE(T1951,"-",U1951,"-",C1951)</f>
        <v>HW1-C1-42916</v>
      </c>
      <c r="F1951" s="20" t="s">
        <v>106</v>
      </c>
      <c r="G1951" s="20" t="s">
        <v>278</v>
      </c>
      <c r="J1951" s="21">
        <v>1118</v>
      </c>
      <c r="T1951" s="16" t="s">
        <v>133</v>
      </c>
      <c r="U1951" s="16" t="s">
        <v>150</v>
      </c>
      <c r="AP1951" s="16">
        <f>SUM(AL1951:AN1951)</f>
        <v>0</v>
      </c>
      <c r="AT1951" s="16" t="s">
        <v>285</v>
      </c>
      <c r="AY1951" s="18"/>
      <c r="BG1951" s="23"/>
      <c r="BT1951" s="23"/>
      <c r="CD1951" s="23"/>
      <c r="DF1951" s="16" t="e">
        <f>VLOOKUP(K1951,'[3]RNA Seq summary tables'!$V$3:$V$99,1,FALSE)</f>
        <v>#N/A</v>
      </c>
      <c r="JR1951" s="27"/>
      <c r="JS1951" s="27"/>
      <c r="JT1951" s="27"/>
      <c r="JU1951" s="27"/>
      <c r="JV1951" s="27"/>
      <c r="JW1951" s="27"/>
      <c r="JX1951" s="27"/>
      <c r="JY1951" s="27"/>
      <c r="JZ1951" s="27"/>
      <c r="KA1951" s="27"/>
      <c r="KB1951" s="27"/>
    </row>
    <row r="1952" spans="2:288" x14ac:dyDescent="0.2">
      <c r="B1952" s="16">
        <v>2017</v>
      </c>
      <c r="C1952" s="20">
        <v>42898</v>
      </c>
      <c r="D1952" s="20" t="str">
        <f>CONCATENATE(J1952,"-",C1952)</f>
        <v>1119-42898</v>
      </c>
      <c r="E1952" s="20" t="str">
        <f>CONCATENATE(T1952,"-",U1952,"-",C1952)</f>
        <v>HW1-D3-42898</v>
      </c>
      <c r="F1952" s="20" t="s">
        <v>106</v>
      </c>
      <c r="G1952" s="20" t="s">
        <v>278</v>
      </c>
      <c r="J1952" s="21">
        <v>1119</v>
      </c>
      <c r="T1952" s="16" t="s">
        <v>133</v>
      </c>
      <c r="U1952" s="16" t="s">
        <v>149</v>
      </c>
      <c r="AP1952" s="16">
        <f>SUM(AL1952:AN1952)</f>
        <v>0</v>
      </c>
      <c r="AT1952" s="16" t="s">
        <v>285</v>
      </c>
      <c r="AY1952" s="18"/>
      <c r="BG1952" s="23"/>
      <c r="BT1952" s="23"/>
      <c r="CD1952" s="23"/>
      <c r="DF1952" s="16" t="e">
        <f>VLOOKUP(K1952,'[3]RNA Seq summary tables'!$V$3:$V$99,1,FALSE)</f>
        <v>#N/A</v>
      </c>
      <c r="JR1952" s="18"/>
      <c r="JS1952" s="18"/>
      <c r="JT1952" s="18"/>
      <c r="JU1952" s="18"/>
      <c r="JV1952" s="18"/>
      <c r="JW1952" s="18"/>
      <c r="JX1952" s="18"/>
      <c r="JY1952" s="18"/>
      <c r="JZ1952" s="18"/>
      <c r="KA1952" s="18"/>
      <c r="KB1952" s="18"/>
    </row>
    <row r="1953" spans="2:288" x14ac:dyDescent="0.2">
      <c r="B1953" s="16">
        <v>2017</v>
      </c>
      <c r="C1953" s="20">
        <v>42915</v>
      </c>
      <c r="D1953" s="20" t="str">
        <f>CONCATENATE(J1953,"-",C1953)</f>
        <v>1119-42915</v>
      </c>
      <c r="E1953" s="20" t="str">
        <f>CONCATENATE(T1953,"-",U1953,"-",C1953)</f>
        <v>HW1-A1-42915</v>
      </c>
      <c r="F1953" s="20" t="s">
        <v>106</v>
      </c>
      <c r="G1953" s="20" t="s">
        <v>278</v>
      </c>
      <c r="J1953" s="21">
        <v>1119</v>
      </c>
      <c r="T1953" s="16" t="s">
        <v>133</v>
      </c>
      <c r="U1953" s="16" t="s">
        <v>210</v>
      </c>
      <c r="AP1953" s="16">
        <f>SUM(AL1953:AN1953)</f>
        <v>0</v>
      </c>
      <c r="AT1953" s="16" t="s">
        <v>285</v>
      </c>
      <c r="AY1953" s="18"/>
      <c r="BG1953" s="23"/>
      <c r="BT1953" s="23"/>
      <c r="CD1953" s="23"/>
      <c r="DF1953" s="16" t="e">
        <f>VLOOKUP(K1953,'[3]RNA Seq summary tables'!$V$3:$V$99,1,FALSE)</f>
        <v>#N/A</v>
      </c>
      <c r="DR1953" s="16">
        <f>SUM(DI1953:DQ1953)</f>
        <v>0</v>
      </c>
      <c r="JR1953" s="27"/>
      <c r="JS1953" s="27"/>
      <c r="JT1953" s="27"/>
      <c r="JU1953" s="27"/>
      <c r="JV1953" s="27"/>
      <c r="JW1953" s="27"/>
      <c r="JX1953" s="27"/>
      <c r="JY1953" s="27"/>
      <c r="JZ1953" s="27"/>
      <c r="KA1953" s="27"/>
      <c r="KB1953" s="27"/>
    </row>
    <row r="1954" spans="2:288" x14ac:dyDescent="0.2">
      <c r="B1954" s="16">
        <v>2017</v>
      </c>
      <c r="C1954" s="20">
        <v>42916</v>
      </c>
      <c r="D1954" s="20" t="str">
        <f>CONCATENATE(J1954,"-",C1954)</f>
        <v>1119-42916</v>
      </c>
      <c r="E1954" s="20" t="str">
        <f>CONCATENATE(T1954,"-",U1954,"-",C1954)</f>
        <v>HW1-A1-42916</v>
      </c>
      <c r="F1954" s="20" t="s">
        <v>106</v>
      </c>
      <c r="G1954" s="20" t="s">
        <v>278</v>
      </c>
      <c r="J1954" s="21">
        <v>1119</v>
      </c>
      <c r="T1954" s="16" t="s">
        <v>133</v>
      </c>
      <c r="U1954" s="16" t="s">
        <v>210</v>
      </c>
      <c r="AP1954" s="16">
        <f>SUM(AL1954:AN1954)</f>
        <v>0</v>
      </c>
      <c r="AT1954" s="16" t="s">
        <v>285</v>
      </c>
      <c r="AY1954" s="18"/>
      <c r="BG1954" s="23"/>
      <c r="BT1954" s="23"/>
      <c r="CD1954" s="23"/>
      <c r="DF1954" s="16" t="e">
        <f>VLOOKUP(K1954,'[3]RNA Seq summary tables'!$V$3:$V$99,1,FALSE)</f>
        <v>#N/A</v>
      </c>
      <c r="JR1954" s="18"/>
      <c r="JS1954" s="18"/>
      <c r="JT1954" s="18"/>
      <c r="JU1954" s="18"/>
      <c r="JV1954" s="18"/>
      <c r="JW1954" s="18"/>
      <c r="JX1954" s="18"/>
      <c r="JY1954" s="18"/>
      <c r="JZ1954" s="18"/>
      <c r="KA1954" s="18"/>
      <c r="KB1954" s="18"/>
    </row>
    <row r="1955" spans="2:288" x14ac:dyDescent="0.2">
      <c r="B1955" s="16">
        <v>2017</v>
      </c>
      <c r="C1955" s="20">
        <v>42916</v>
      </c>
      <c r="D1955" s="20" t="str">
        <f>CONCATENATE(J1955,"-",C1955)</f>
        <v>1120-42916</v>
      </c>
      <c r="E1955" s="20" t="str">
        <f>CONCATENATE(T1955,"-",U1955,"-",C1955)</f>
        <v>HW1-D8-42916</v>
      </c>
      <c r="F1955" s="20" t="s">
        <v>106</v>
      </c>
      <c r="G1955" s="20" t="s">
        <v>278</v>
      </c>
      <c r="J1955" s="21">
        <v>1120</v>
      </c>
      <c r="T1955" s="16" t="s">
        <v>133</v>
      </c>
      <c r="U1955" s="16" t="s">
        <v>178</v>
      </c>
      <c r="AP1955" s="16">
        <f>SUM(AL1955:AN1955)</f>
        <v>0</v>
      </c>
      <c r="AT1955" s="16" t="s">
        <v>285</v>
      </c>
      <c r="AY1955" s="18"/>
      <c r="BG1955" s="23"/>
      <c r="BT1955" s="23"/>
      <c r="CD1955" s="23"/>
      <c r="DF1955" s="16" t="e">
        <f>VLOOKUP(K1955,'[3]RNA Seq summary tables'!$V$3:$V$99,1,FALSE)</f>
        <v>#N/A</v>
      </c>
      <c r="JR1955" s="27"/>
      <c r="JS1955" s="27"/>
      <c r="JT1955" s="27"/>
      <c r="JU1955" s="27"/>
      <c r="JV1955" s="27"/>
      <c r="JW1955" s="27"/>
      <c r="JX1955" s="27"/>
      <c r="JY1955" s="27"/>
      <c r="JZ1955" s="27"/>
      <c r="KA1955" s="27"/>
      <c r="KB1955" s="27"/>
    </row>
    <row r="1956" spans="2:288" x14ac:dyDescent="0.2">
      <c r="B1956" s="16">
        <v>2017</v>
      </c>
      <c r="C1956" s="20">
        <v>42967</v>
      </c>
      <c r="D1956" s="20" t="str">
        <f>CONCATENATE(J1956,"-",C1956)</f>
        <v>1120-42967</v>
      </c>
      <c r="E1956" s="20" t="str">
        <f>CONCATENATE(T1956,"-",U1956,"-",C1956)</f>
        <v>HW1-E8-42967</v>
      </c>
      <c r="F1956" s="20" t="s">
        <v>106</v>
      </c>
      <c r="G1956" s="20" t="s">
        <v>278</v>
      </c>
      <c r="J1956" s="21">
        <v>1120</v>
      </c>
      <c r="T1956" s="16" t="s">
        <v>133</v>
      </c>
      <c r="U1956" s="16" t="s">
        <v>181</v>
      </c>
      <c r="AP1956" s="16">
        <f>SUM(AL1956:AN1956)</f>
        <v>0</v>
      </c>
      <c r="AT1956" s="16" t="s">
        <v>285</v>
      </c>
      <c r="AY1956" s="18"/>
      <c r="BG1956" s="23"/>
      <c r="BT1956" s="23"/>
      <c r="CD1956" s="23"/>
      <c r="DF1956" s="16" t="e">
        <f>VLOOKUP(K1956,'[3]RNA Seq summary tables'!$V$3:$V$99,1,FALSE)</f>
        <v>#N/A</v>
      </c>
      <c r="JO1956" s="27"/>
    </row>
    <row r="1957" spans="2:288" x14ac:dyDescent="0.2">
      <c r="B1957" s="16">
        <v>2017</v>
      </c>
      <c r="C1957" s="20">
        <v>42968</v>
      </c>
      <c r="D1957" s="20" t="str">
        <f>CONCATENATE(J1957,"-",C1957)</f>
        <v>1120-42968</v>
      </c>
      <c r="E1957" s="20" t="str">
        <f>CONCATENATE(T1957,"-",U1957,"-",C1957)</f>
        <v>HW1-E8-42968</v>
      </c>
      <c r="F1957" s="20" t="s">
        <v>106</v>
      </c>
      <c r="G1957" s="20" t="s">
        <v>278</v>
      </c>
      <c r="J1957" s="21">
        <v>1120</v>
      </c>
      <c r="T1957" s="16" t="s">
        <v>133</v>
      </c>
      <c r="U1957" s="16" t="s">
        <v>181</v>
      </c>
      <c r="AP1957" s="16">
        <f>SUM(AL1957:AN1957)</f>
        <v>0</v>
      </c>
      <c r="AT1957" s="16" t="s">
        <v>285</v>
      </c>
      <c r="AY1957" s="18"/>
      <c r="BG1957" s="23"/>
      <c r="BT1957" s="23"/>
      <c r="CD1957" s="23"/>
      <c r="DF1957" s="16" t="e">
        <f>VLOOKUP(K1957,'[3]RNA Seq summary tables'!$V$3:$V$99,1,FALSE)</f>
        <v>#N/A</v>
      </c>
      <c r="JO1957" s="27"/>
    </row>
    <row r="1958" spans="2:288" x14ac:dyDescent="0.2">
      <c r="B1958" s="16">
        <v>2017</v>
      </c>
      <c r="C1958" s="20">
        <v>42898</v>
      </c>
      <c r="D1958" s="20" t="str">
        <f>CONCATENATE(J1958,"-",C1958)</f>
        <v>1121-42898</v>
      </c>
      <c r="E1958" s="20" t="str">
        <f>CONCATENATE(T1958,"-",U1958,"-",C1958)</f>
        <v>HW1-G5-42898</v>
      </c>
      <c r="F1958" s="20" t="s">
        <v>106</v>
      </c>
      <c r="G1958" s="20" t="s">
        <v>278</v>
      </c>
      <c r="H1958" s="16" t="s">
        <v>287</v>
      </c>
      <c r="J1958" s="21">
        <v>1121</v>
      </c>
      <c r="T1958" s="16" t="s">
        <v>133</v>
      </c>
      <c r="U1958" s="16" t="s">
        <v>200</v>
      </c>
      <c r="AP1958" s="16">
        <f>SUM(AL1958:AN1958)</f>
        <v>0</v>
      </c>
      <c r="AT1958" s="16" t="s">
        <v>285</v>
      </c>
      <c r="AY1958" s="18"/>
      <c r="BG1958" s="23"/>
      <c r="BT1958" s="23"/>
      <c r="CD1958" s="23"/>
      <c r="DF1958" s="16" t="e">
        <f>VLOOKUP(K1958,'[3]RNA Seq summary tables'!$V$3:$V$99,1,FALSE)</f>
        <v>#N/A</v>
      </c>
    </row>
    <row r="1959" spans="2:288" x14ac:dyDescent="0.2">
      <c r="B1959" s="16">
        <v>2017</v>
      </c>
      <c r="C1959" s="20">
        <v>42915</v>
      </c>
      <c r="D1959" s="20" t="str">
        <f>CONCATENATE(J1959,"-",C1959)</f>
        <v>1121-42915</v>
      </c>
      <c r="E1959" s="20" t="str">
        <f>CONCATENATE(T1959,"-",U1959,"-",C1959)</f>
        <v>HW1-G8-42915</v>
      </c>
      <c r="F1959" s="20" t="s">
        <v>106</v>
      </c>
      <c r="G1959" s="20" t="s">
        <v>278</v>
      </c>
      <c r="J1959" s="21">
        <v>1121</v>
      </c>
      <c r="T1959" s="16" t="s">
        <v>133</v>
      </c>
      <c r="U1959" s="16" t="s">
        <v>216</v>
      </c>
      <c r="AP1959" s="16">
        <f>SUM(AL1959:AN1959)</f>
        <v>0</v>
      </c>
      <c r="AT1959" s="16" t="s">
        <v>285</v>
      </c>
      <c r="AY1959" s="18"/>
      <c r="BG1959" s="23"/>
      <c r="BT1959" s="23"/>
      <c r="CD1959" s="23"/>
      <c r="DF1959" s="16" t="e">
        <f>VLOOKUP(K1959,'[3]RNA Seq summary tables'!$V$3:$V$99,1,FALSE)</f>
        <v>#N/A</v>
      </c>
      <c r="JR1959" s="27"/>
      <c r="JS1959" s="27"/>
      <c r="JT1959" s="27"/>
      <c r="JU1959" s="27"/>
      <c r="JV1959" s="27"/>
      <c r="JW1959" s="27"/>
      <c r="JX1959" s="27"/>
      <c r="JY1959" s="27"/>
      <c r="JZ1959" s="27"/>
      <c r="KA1959" s="27"/>
      <c r="KB1959" s="27"/>
    </row>
    <row r="1960" spans="2:288" x14ac:dyDescent="0.2">
      <c r="B1960" s="16">
        <v>2017</v>
      </c>
      <c r="C1960" s="20">
        <v>42916</v>
      </c>
      <c r="D1960" s="20" t="str">
        <f>CONCATENATE(J1960,"-",C1960)</f>
        <v>1121-42916</v>
      </c>
      <c r="E1960" s="20" t="str">
        <f>CONCATENATE(T1960,"-",U1960,"-",C1960)</f>
        <v>HW1-H8-42916</v>
      </c>
      <c r="F1960" s="20" t="s">
        <v>106</v>
      </c>
      <c r="G1960" s="20" t="s">
        <v>278</v>
      </c>
      <c r="J1960" s="21">
        <v>1121</v>
      </c>
      <c r="T1960" s="16" t="s">
        <v>133</v>
      </c>
      <c r="U1960" s="16" t="s">
        <v>152</v>
      </c>
      <c r="AP1960" s="16">
        <f>SUM(AL1960:AN1960)</f>
        <v>0</v>
      </c>
      <c r="AT1960" s="16" t="s">
        <v>285</v>
      </c>
      <c r="AY1960" s="18"/>
      <c r="BG1960" s="23"/>
      <c r="BT1960" s="23"/>
      <c r="CD1960" s="23"/>
      <c r="DF1960" s="16" t="e">
        <f>VLOOKUP(K1960,'[3]RNA Seq summary tables'!$V$3:$V$99,1,FALSE)</f>
        <v>#N/A</v>
      </c>
      <c r="JR1960" s="27"/>
      <c r="JS1960" s="27"/>
      <c r="JT1960" s="27"/>
      <c r="JU1960" s="27"/>
      <c r="JV1960" s="27"/>
      <c r="JW1960" s="27"/>
      <c r="JX1960" s="27"/>
      <c r="JY1960" s="27"/>
      <c r="JZ1960" s="27"/>
      <c r="KA1960" s="27"/>
      <c r="KB1960" s="27"/>
    </row>
    <row r="1961" spans="2:288" x14ac:dyDescent="0.2">
      <c r="B1961" s="16">
        <v>2017</v>
      </c>
      <c r="C1961" s="20">
        <v>42898</v>
      </c>
      <c r="D1961" s="20" t="str">
        <f>CONCATENATE(J1961,"-",C1961)</f>
        <v>1123-42898</v>
      </c>
      <c r="E1961" s="20" t="str">
        <f>CONCATENATE(T1961,"-",U1961,"-",C1961)</f>
        <v>HW1-H1-42898</v>
      </c>
      <c r="F1961" s="20" t="s">
        <v>106</v>
      </c>
      <c r="G1961" s="20" t="s">
        <v>278</v>
      </c>
      <c r="J1961" s="21">
        <v>1123</v>
      </c>
      <c r="T1961" s="16" t="s">
        <v>133</v>
      </c>
      <c r="U1961" s="16" t="s">
        <v>191</v>
      </c>
      <c r="AP1961" s="16">
        <f>SUM(AL1961:AN1961)</f>
        <v>0</v>
      </c>
      <c r="AT1961" s="16" t="s">
        <v>285</v>
      </c>
      <c r="AY1961" s="18"/>
      <c r="BG1961" s="23"/>
      <c r="BT1961" s="23"/>
      <c r="CD1961" s="23"/>
      <c r="DF1961" s="16" t="e">
        <f>VLOOKUP(K1961,'[3]RNA Seq summary tables'!$V$3:$V$99,1,FALSE)</f>
        <v>#N/A</v>
      </c>
    </row>
    <row r="1962" spans="2:288" x14ac:dyDescent="0.2">
      <c r="B1962" s="16">
        <v>2017</v>
      </c>
      <c r="C1962" s="20">
        <v>42898</v>
      </c>
      <c r="D1962" s="20" t="str">
        <f>CONCATENATE(J1962,"-",C1962)</f>
        <v>1124-42898</v>
      </c>
      <c r="E1962" s="20" t="str">
        <f>CONCATENATE(T1962,"-",U1962,"-",C1962)</f>
        <v>HW1-G6-42898</v>
      </c>
      <c r="F1962" s="20" t="s">
        <v>106</v>
      </c>
      <c r="G1962" s="20" t="s">
        <v>278</v>
      </c>
      <c r="J1962" s="21">
        <v>1124</v>
      </c>
      <c r="T1962" s="16" t="s">
        <v>133</v>
      </c>
      <c r="U1962" s="16" t="s">
        <v>218</v>
      </c>
      <c r="AP1962" s="16">
        <f>SUM(AL1962:AN1962)</f>
        <v>0</v>
      </c>
      <c r="AT1962" s="16" t="s">
        <v>285</v>
      </c>
      <c r="AY1962" s="18"/>
      <c r="BG1962" s="23"/>
      <c r="BT1962" s="23"/>
      <c r="CD1962" s="23"/>
      <c r="DF1962" s="16" t="e">
        <f>VLOOKUP(K1962,'[3]RNA Seq summary tables'!$V$3:$V$99,1,FALSE)</f>
        <v>#N/A</v>
      </c>
    </row>
    <row r="1963" spans="2:288" x14ac:dyDescent="0.2">
      <c r="B1963" s="16">
        <v>2017</v>
      </c>
      <c r="C1963" s="20">
        <v>42915</v>
      </c>
      <c r="D1963" s="20" t="str">
        <f>CONCATENATE(J1963,"-",C1963)</f>
        <v>1124-42915</v>
      </c>
      <c r="E1963" s="20" t="str">
        <f>CONCATENATE(T1963,"-",U1963,"-",C1963)</f>
        <v>HW1-G4-42915</v>
      </c>
      <c r="F1963" s="20" t="s">
        <v>106</v>
      </c>
      <c r="G1963" s="20" t="s">
        <v>278</v>
      </c>
      <c r="J1963" s="21">
        <v>1124</v>
      </c>
      <c r="T1963" s="16" t="s">
        <v>133</v>
      </c>
      <c r="U1963" s="16" t="s">
        <v>173</v>
      </c>
      <c r="AP1963" s="16">
        <f>SUM(AL1963:AN1963)</f>
        <v>0</v>
      </c>
      <c r="AT1963" s="16" t="s">
        <v>285</v>
      </c>
      <c r="AY1963" s="18"/>
      <c r="BG1963" s="23"/>
      <c r="BT1963" s="23"/>
      <c r="CD1963" s="23"/>
      <c r="DF1963" s="16" t="e">
        <f>VLOOKUP(K1963,'[3]RNA Seq summary tables'!$V$3:$V$99,1,FALSE)</f>
        <v>#N/A</v>
      </c>
      <c r="JR1963" s="27"/>
      <c r="JS1963" s="27"/>
      <c r="JT1963" s="27"/>
      <c r="JU1963" s="27"/>
      <c r="JV1963" s="27"/>
      <c r="JW1963" s="27"/>
      <c r="JX1963" s="27"/>
      <c r="JY1963" s="27"/>
      <c r="JZ1963" s="27"/>
      <c r="KA1963" s="27"/>
      <c r="KB1963" s="27"/>
    </row>
    <row r="1964" spans="2:288" x14ac:dyDescent="0.2">
      <c r="B1964" s="16">
        <v>2017</v>
      </c>
      <c r="C1964" s="20">
        <v>42916</v>
      </c>
      <c r="D1964" s="20" t="str">
        <f>CONCATENATE(J1964,"-",C1964)</f>
        <v>1124-42916</v>
      </c>
      <c r="E1964" s="20" t="str">
        <f>CONCATENATE(T1964,"-",U1964,"-",C1964)</f>
        <v>HW1-F4-42916</v>
      </c>
      <c r="F1964" s="20" t="s">
        <v>106</v>
      </c>
      <c r="G1964" s="20" t="s">
        <v>278</v>
      </c>
      <c r="J1964" s="21">
        <v>1124</v>
      </c>
      <c r="T1964" s="16" t="s">
        <v>133</v>
      </c>
      <c r="U1964" s="16" t="s">
        <v>184</v>
      </c>
      <c r="AP1964" s="16">
        <f>SUM(AL1964:AN1964)</f>
        <v>0</v>
      </c>
      <c r="AT1964" s="16" t="s">
        <v>285</v>
      </c>
      <c r="AY1964" s="18"/>
      <c r="BG1964" s="23"/>
      <c r="BT1964" s="23"/>
      <c r="CD1964" s="23"/>
      <c r="DF1964" s="16" t="e">
        <f>VLOOKUP(K1964,'[3]RNA Seq summary tables'!$V$3:$V$99,1,FALSE)</f>
        <v>#N/A</v>
      </c>
      <c r="JR1964" s="27"/>
      <c r="JS1964" s="27"/>
      <c r="JT1964" s="27"/>
      <c r="JU1964" s="27"/>
      <c r="JV1964" s="27"/>
      <c r="JW1964" s="27"/>
      <c r="JX1964" s="27"/>
      <c r="JY1964" s="27"/>
      <c r="JZ1964" s="27"/>
      <c r="KA1964" s="27"/>
      <c r="KB1964" s="27"/>
    </row>
    <row r="1965" spans="2:288" x14ac:dyDescent="0.2">
      <c r="B1965" s="16">
        <v>2017</v>
      </c>
      <c r="C1965" s="20">
        <v>42932</v>
      </c>
      <c r="D1965" s="20" t="str">
        <f>CONCATENATE(J1965,"-",C1965)</f>
        <v>1129-42932</v>
      </c>
      <c r="E1965" s="20" t="str">
        <f>CONCATENATE(T1965,"-",U1965,"-",C1965)</f>
        <v>HW1-F1-42932</v>
      </c>
      <c r="F1965" s="20" t="s">
        <v>106</v>
      </c>
      <c r="G1965" s="20" t="s">
        <v>278</v>
      </c>
      <c r="J1965" s="21">
        <v>1129</v>
      </c>
      <c r="T1965" s="16" t="s">
        <v>133</v>
      </c>
      <c r="U1965" s="16" t="s">
        <v>217</v>
      </c>
      <c r="AP1965" s="16">
        <f>SUM(AL1965:AN1965)</f>
        <v>0</v>
      </c>
      <c r="AT1965" s="16" t="s">
        <v>285</v>
      </c>
      <c r="AY1965" s="18"/>
      <c r="BG1965" s="23"/>
      <c r="BT1965" s="23"/>
      <c r="CD1965" s="23"/>
      <c r="DF1965" s="16" t="e">
        <f>VLOOKUP(K1965,'[3]RNA Seq summary tables'!$V$3:$V$99,1,FALSE)</f>
        <v>#N/A</v>
      </c>
      <c r="JO1965" s="27"/>
      <c r="JR1965" s="18"/>
      <c r="JS1965" s="18"/>
      <c r="JT1965" s="18"/>
      <c r="JU1965" s="18"/>
      <c r="JV1965" s="18"/>
      <c r="JW1965" s="18"/>
      <c r="JX1965" s="18"/>
      <c r="JY1965" s="18"/>
      <c r="JZ1965" s="18"/>
      <c r="KA1965" s="18"/>
      <c r="KB1965" s="18"/>
    </row>
    <row r="1966" spans="2:288" x14ac:dyDescent="0.2">
      <c r="B1966" s="16">
        <v>2017</v>
      </c>
      <c r="C1966" s="20">
        <v>42915</v>
      </c>
      <c r="D1966" s="20" t="str">
        <f>CONCATENATE(J1966,"-",C1966)</f>
        <v>1130-42915</v>
      </c>
      <c r="E1966" s="20" t="str">
        <f>CONCATENATE(T1966,"-",U1966,"-",C1966)</f>
        <v>HW1-H8-42915</v>
      </c>
      <c r="F1966" s="20" t="s">
        <v>106</v>
      </c>
      <c r="G1966" s="20" t="s">
        <v>278</v>
      </c>
      <c r="J1966" s="21">
        <v>1130</v>
      </c>
      <c r="T1966" s="16" t="s">
        <v>133</v>
      </c>
      <c r="U1966" s="16" t="s">
        <v>152</v>
      </c>
      <c r="AP1966" s="16">
        <f>SUM(AL1966:AN1966)</f>
        <v>0</v>
      </c>
      <c r="AT1966" s="16" t="s">
        <v>285</v>
      </c>
      <c r="AY1966" s="18"/>
      <c r="BG1966" s="23"/>
      <c r="BT1966" s="23"/>
      <c r="CD1966" s="23"/>
      <c r="DF1966" s="16" t="e">
        <f>VLOOKUP(K1966,'[3]RNA Seq summary tables'!$V$3:$V$99,1,FALSE)</f>
        <v>#N/A</v>
      </c>
      <c r="JR1966" s="27"/>
      <c r="JS1966" s="27"/>
      <c r="JT1966" s="27"/>
      <c r="JU1966" s="27"/>
      <c r="JV1966" s="27"/>
      <c r="JW1966" s="27"/>
      <c r="JX1966" s="27"/>
      <c r="JY1966" s="27"/>
      <c r="JZ1966" s="27"/>
      <c r="KA1966" s="27"/>
      <c r="KB1966" s="27"/>
    </row>
    <row r="1967" spans="2:288" x14ac:dyDescent="0.2">
      <c r="B1967" s="16">
        <v>2017</v>
      </c>
      <c r="C1967" s="20">
        <v>42931</v>
      </c>
      <c r="D1967" s="20" t="str">
        <f>CONCATENATE(J1967,"-",C1967)</f>
        <v>1130-42931</v>
      </c>
      <c r="E1967" s="20" t="str">
        <f>CONCATENATE(T1967,"-",U1967,"-",C1967)</f>
        <v>HW1-H5-42931</v>
      </c>
      <c r="F1967" s="20" t="s">
        <v>106</v>
      </c>
      <c r="G1967" s="20" t="s">
        <v>278</v>
      </c>
      <c r="J1967" s="21">
        <v>1130</v>
      </c>
      <c r="T1967" s="16" t="s">
        <v>133</v>
      </c>
      <c r="U1967" s="16" t="s">
        <v>180</v>
      </c>
      <c r="AP1967" s="16">
        <f>SUM(AL1967:AN1967)</f>
        <v>0</v>
      </c>
      <c r="AQ1967" s="18"/>
      <c r="AT1967" s="16" t="s">
        <v>285</v>
      </c>
      <c r="AY1967" s="18"/>
      <c r="BG1967" s="23"/>
      <c r="BT1967" s="23"/>
      <c r="CD1967" s="23"/>
      <c r="DF1967" s="16" t="e">
        <f>VLOOKUP(K1967,'[3]RNA Seq summary tables'!$V$3:$V$99,1,FALSE)</f>
        <v>#N/A</v>
      </c>
      <c r="JO1967" s="27"/>
      <c r="JP1967" s="27"/>
      <c r="JQ1967" s="27"/>
      <c r="JR1967" s="18"/>
      <c r="JS1967" s="18"/>
      <c r="JT1967" s="18"/>
      <c r="JU1967" s="18"/>
      <c r="JV1967" s="18"/>
      <c r="JW1967" s="18"/>
      <c r="JX1967" s="18"/>
      <c r="JY1967" s="18"/>
      <c r="JZ1967" s="18"/>
      <c r="KA1967" s="18"/>
      <c r="KB1967" s="18"/>
    </row>
    <row r="1968" spans="2:288" x14ac:dyDescent="0.2">
      <c r="B1968" s="16">
        <v>2017</v>
      </c>
      <c r="C1968" s="20">
        <v>42932</v>
      </c>
      <c r="D1968" s="20" t="str">
        <f>CONCATENATE(J1968,"-",C1968)</f>
        <v>1130-42932</v>
      </c>
      <c r="E1968" s="20" t="str">
        <f>CONCATENATE(T1968,"-",U1968,"-",C1968)</f>
        <v>HW1-H6-42932</v>
      </c>
      <c r="F1968" s="20" t="s">
        <v>106</v>
      </c>
      <c r="G1968" s="20" t="s">
        <v>278</v>
      </c>
      <c r="J1968" s="21">
        <v>1130</v>
      </c>
      <c r="T1968" s="16" t="s">
        <v>133</v>
      </c>
      <c r="U1968" s="16" t="s">
        <v>141</v>
      </c>
      <c r="AP1968" s="16">
        <f>SUM(AL1968:AN1968)</f>
        <v>0</v>
      </c>
      <c r="AT1968" s="16" t="s">
        <v>285</v>
      </c>
      <c r="AY1968" s="18"/>
      <c r="BG1968" s="23"/>
      <c r="BT1968" s="23"/>
      <c r="CD1968" s="23"/>
      <c r="DF1968" s="16" t="e">
        <f>VLOOKUP(K1968,'[3]RNA Seq summary tables'!$V$3:$V$99,1,FALSE)</f>
        <v>#N/A</v>
      </c>
      <c r="JO1968" s="27"/>
      <c r="JP1968" s="27"/>
      <c r="JQ1968" s="27"/>
      <c r="JR1968" s="27"/>
      <c r="JS1968" s="27"/>
      <c r="JT1968" s="27"/>
      <c r="JU1968" s="27"/>
      <c r="JV1968" s="27"/>
      <c r="JW1968" s="27"/>
      <c r="JX1968" s="27"/>
      <c r="JY1968" s="27"/>
      <c r="JZ1968" s="27"/>
      <c r="KA1968" s="27"/>
      <c r="KB1968" s="27"/>
    </row>
    <row r="1969" spans="2:288" x14ac:dyDescent="0.2">
      <c r="B1969" s="16">
        <v>2017</v>
      </c>
      <c r="C1969" s="20">
        <v>42949</v>
      </c>
      <c r="D1969" s="20" t="str">
        <f>CONCATENATE(J1969,"-",C1969)</f>
        <v>1130-42949</v>
      </c>
      <c r="E1969" s="20" t="str">
        <f>CONCATENATE(T1969,"-",U1969,"-",C1969)</f>
        <v>HW1-H5-42949</v>
      </c>
      <c r="F1969" s="20" t="s">
        <v>106</v>
      </c>
      <c r="G1969" s="20" t="s">
        <v>278</v>
      </c>
      <c r="J1969" s="21">
        <v>1130</v>
      </c>
      <c r="T1969" s="16" t="s">
        <v>133</v>
      </c>
      <c r="U1969" s="16" t="s">
        <v>180</v>
      </c>
      <c r="AP1969" s="16">
        <f>SUM(AL1969:AN1969)</f>
        <v>0</v>
      </c>
      <c r="AT1969" s="16" t="s">
        <v>285</v>
      </c>
      <c r="AY1969" s="18"/>
      <c r="BG1969" s="23"/>
      <c r="BT1969" s="23"/>
      <c r="CD1969" s="23"/>
      <c r="DF1969" s="16" t="e">
        <f>VLOOKUP(K1969,'[3]RNA Seq summary tables'!$V$3:$V$99,1,FALSE)</f>
        <v>#N/A</v>
      </c>
      <c r="JO1969" s="18"/>
      <c r="JP1969" s="18"/>
      <c r="JQ1969" s="18"/>
    </row>
    <row r="1970" spans="2:288" x14ac:dyDescent="0.2">
      <c r="B1970" s="16">
        <v>2017</v>
      </c>
      <c r="C1970" s="20">
        <v>42950</v>
      </c>
      <c r="D1970" s="20" t="str">
        <f>CONCATENATE(J1970,"-",C1970)</f>
        <v>1130-42950</v>
      </c>
      <c r="E1970" s="20" t="str">
        <f>CONCATENATE(T1970,"-",U1970,"-",C1970)</f>
        <v>HW1-G4-42950</v>
      </c>
      <c r="F1970" s="20" t="s">
        <v>106</v>
      </c>
      <c r="G1970" s="20" t="s">
        <v>278</v>
      </c>
      <c r="J1970" s="21">
        <v>1130</v>
      </c>
      <c r="T1970" s="16" t="s">
        <v>133</v>
      </c>
      <c r="U1970" s="16" t="s">
        <v>173</v>
      </c>
      <c r="AP1970" s="16">
        <f>SUM(AL1970:AN1970)</f>
        <v>0</v>
      </c>
      <c r="AT1970" s="16" t="s">
        <v>285</v>
      </c>
      <c r="AY1970" s="18"/>
      <c r="BG1970" s="23"/>
      <c r="BT1970" s="23"/>
      <c r="CD1970" s="23"/>
      <c r="DF1970" s="16" t="e">
        <f>VLOOKUP(K1970,'[3]RNA Seq summary tables'!$V$3:$V$99,1,FALSE)</f>
        <v>#N/A</v>
      </c>
      <c r="JO1970" s="27"/>
      <c r="JP1970" s="27"/>
      <c r="JQ1970" s="27"/>
    </row>
    <row r="1971" spans="2:288" x14ac:dyDescent="0.2">
      <c r="B1971" s="16">
        <v>2017</v>
      </c>
      <c r="C1971" s="20">
        <v>42920</v>
      </c>
      <c r="D1971" s="20" t="str">
        <f>CONCATENATE(J1971,"-",C1971)</f>
        <v>1132-42920</v>
      </c>
      <c r="E1971" s="20" t="str">
        <f>CONCATENATE(T1971,"-",U1971,"-",C1971)</f>
        <v>BC2-H3-42920</v>
      </c>
      <c r="F1971" s="20" t="s">
        <v>106</v>
      </c>
      <c r="G1971" s="20" t="s">
        <v>278</v>
      </c>
      <c r="J1971" s="21">
        <v>1132</v>
      </c>
      <c r="T1971" s="16" t="s">
        <v>154</v>
      </c>
      <c r="U1971" s="16" t="s">
        <v>174</v>
      </c>
      <c r="AP1971" s="16">
        <f>SUM(AL1971:AN1971)</f>
        <v>0</v>
      </c>
      <c r="AT1971" s="16" t="s">
        <v>285</v>
      </c>
      <c r="AY1971" s="18"/>
      <c r="BG1971" s="23"/>
      <c r="BT1971" s="23"/>
      <c r="CD1971" s="23"/>
      <c r="DF1971" s="16" t="e">
        <f>VLOOKUP(K1971,'[3]RNA Seq summary tables'!$V$3:$V$99,1,FALSE)</f>
        <v>#N/A</v>
      </c>
      <c r="JP1971" s="27"/>
      <c r="JQ1971" s="27"/>
      <c r="JR1971" s="27"/>
      <c r="JS1971" s="27"/>
      <c r="JT1971" s="27"/>
      <c r="JU1971" s="27"/>
      <c r="JV1971" s="27"/>
      <c r="JW1971" s="27"/>
      <c r="JX1971" s="27"/>
      <c r="JY1971" s="27"/>
      <c r="JZ1971" s="27"/>
      <c r="KA1971" s="27"/>
      <c r="KB1971" s="27"/>
    </row>
    <row r="1972" spans="2:288" x14ac:dyDescent="0.2">
      <c r="B1972" s="18">
        <v>2017</v>
      </c>
      <c r="C1972" s="65">
        <v>42920</v>
      </c>
      <c r="D1972" s="65" t="str">
        <f>CONCATENATE(J1972,"-",C1972)</f>
        <v>1133-42920</v>
      </c>
      <c r="E1972" s="20" t="str">
        <f>CONCATENATE(T1972,"-",U1972,"-",C1972)</f>
        <v>BC2-D4-42920</v>
      </c>
      <c r="F1972" s="20" t="s">
        <v>106</v>
      </c>
      <c r="G1972" s="65" t="s">
        <v>278</v>
      </c>
      <c r="H1972" s="25"/>
      <c r="I1972" s="25"/>
      <c r="J1972" s="42">
        <v>1133</v>
      </c>
      <c r="K1972" s="42"/>
      <c r="L1972" s="25"/>
      <c r="M1972" s="42"/>
      <c r="N1972" s="42"/>
      <c r="O1972" s="42"/>
      <c r="P1972" s="25"/>
      <c r="Q1972" s="25"/>
      <c r="R1972" s="25"/>
      <c r="S1972" s="25"/>
      <c r="T1972" s="25" t="s">
        <v>154</v>
      </c>
      <c r="U1972" s="25" t="s">
        <v>221</v>
      </c>
      <c r="V1972" s="25" t="s">
        <v>114</v>
      </c>
      <c r="W1972" s="25"/>
      <c r="X1972" s="25"/>
      <c r="Y1972" s="25"/>
      <c r="Z1972" s="25"/>
      <c r="AA1972" s="25"/>
      <c r="AB1972" s="25"/>
      <c r="AC1972" s="25"/>
      <c r="AD1972" s="25"/>
      <c r="AE1972" s="25"/>
      <c r="AF1972" s="25"/>
      <c r="AG1972" s="25"/>
      <c r="AH1972" s="25"/>
      <c r="AI1972" s="25"/>
      <c r="AJ1972" s="25"/>
      <c r="AK1972" s="25"/>
      <c r="AL1972" s="25"/>
      <c r="AM1972" s="25"/>
      <c r="AN1972" s="25"/>
      <c r="AO1972" s="25"/>
      <c r="AP1972" s="25">
        <f>SUM(AL1972:AN1972)</f>
        <v>0</v>
      </c>
      <c r="AQ1972" s="25"/>
      <c r="AR1972" s="25"/>
      <c r="AS1972" s="25"/>
      <c r="AT1972" s="16" t="s">
        <v>285</v>
      </c>
      <c r="AW1972" s="25"/>
      <c r="AX1972" s="25"/>
      <c r="AY1972" s="25"/>
      <c r="AZ1972" s="25"/>
      <c r="BA1972" s="25"/>
      <c r="BB1972" s="25"/>
      <c r="BC1972" s="25"/>
      <c r="BD1972" s="25"/>
      <c r="BE1972" s="25"/>
      <c r="BF1972" s="25"/>
      <c r="BG1972" s="25"/>
      <c r="BH1972" s="25"/>
      <c r="BI1972" s="25"/>
      <c r="BJ1972" s="25"/>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c r="CF1972" s="25"/>
      <c r="CG1972" s="25"/>
      <c r="CH1972" s="25"/>
      <c r="CI1972" s="25"/>
      <c r="CJ1972" s="25"/>
      <c r="CK1972" s="25"/>
      <c r="CL1972" s="25"/>
      <c r="CM1972" s="25"/>
      <c r="CN1972" s="25"/>
      <c r="CO1972" s="25"/>
      <c r="CP1972" s="25"/>
      <c r="CQ1972" s="25"/>
      <c r="CR1972" s="25"/>
      <c r="CS1972" s="25"/>
      <c r="CT1972" s="25"/>
      <c r="CU1972" s="25"/>
      <c r="CV1972" s="25"/>
      <c r="CW1972" s="25"/>
      <c r="CX1972" s="25"/>
      <c r="CY1972" s="25"/>
      <c r="CZ1972" s="25"/>
      <c r="DA1972" s="25"/>
      <c r="DB1972" s="25"/>
      <c r="DC1972" s="25"/>
      <c r="DD1972" s="25"/>
      <c r="DE1972" s="25"/>
      <c r="DF1972" s="16" t="e">
        <f>VLOOKUP(K1972,'[3]RNA Seq summary tables'!$V$3:$V$99,1,FALSE)</f>
        <v>#N/A</v>
      </c>
      <c r="DG1972" s="25"/>
      <c r="DH1972" s="25"/>
      <c r="DI1972" s="25"/>
      <c r="DJ1972" s="25"/>
      <c r="DK1972" s="25"/>
      <c r="DL1972" s="25"/>
      <c r="DM1972" s="25"/>
      <c r="DN1972" s="25"/>
      <c r="DO1972" s="25"/>
      <c r="DP1972" s="25"/>
      <c r="DQ1972" s="25"/>
      <c r="DR1972" s="25"/>
      <c r="DS1972" s="25"/>
      <c r="JP1972" s="27"/>
      <c r="JQ1972" s="27"/>
      <c r="JR1972" s="27"/>
      <c r="JS1972" s="27"/>
      <c r="JT1972" s="27"/>
      <c r="JU1972" s="27"/>
      <c r="JV1972" s="27"/>
      <c r="JW1972" s="27"/>
      <c r="JX1972" s="27"/>
      <c r="JY1972" s="27"/>
      <c r="JZ1972" s="27"/>
      <c r="KA1972" s="27"/>
      <c r="KB1972" s="27"/>
    </row>
    <row r="1973" spans="2:288" x14ac:dyDescent="0.2">
      <c r="B1973" s="16">
        <v>2017</v>
      </c>
      <c r="C1973" s="20">
        <v>42906</v>
      </c>
      <c r="D1973" s="20" t="str">
        <f>CONCATENATE(J1973,"-",C1973)</f>
        <v>1140-42906</v>
      </c>
      <c r="E1973" s="20" t="str">
        <f>CONCATENATE(T1973,"-",U1973,"-",C1973)</f>
        <v>SP1-H5-42906</v>
      </c>
      <c r="F1973" s="20" t="s">
        <v>106</v>
      </c>
      <c r="G1973" s="20" t="s">
        <v>278</v>
      </c>
      <c r="J1973" s="21">
        <v>1140</v>
      </c>
      <c r="T1973" s="16" t="s">
        <v>140</v>
      </c>
      <c r="U1973" s="16" t="s">
        <v>180</v>
      </c>
      <c r="AP1973" s="16">
        <f>SUM(AL1973:AN1973)</f>
        <v>0</v>
      </c>
      <c r="AT1973" s="16" t="s">
        <v>285</v>
      </c>
      <c r="AY1973" s="18"/>
      <c r="BG1973" s="23"/>
      <c r="BT1973" s="23"/>
      <c r="CD1973" s="23"/>
      <c r="DF1973" s="16" t="e">
        <f>VLOOKUP(K1973,'[3]RNA Seq summary tables'!$V$3:$V$99,1,FALSE)</f>
        <v>#N/A</v>
      </c>
      <c r="JP1973" s="27"/>
      <c r="JQ1973" s="27"/>
    </row>
    <row r="1974" spans="2:288" x14ac:dyDescent="0.2">
      <c r="B1974" s="16">
        <v>2017</v>
      </c>
      <c r="C1974" s="43">
        <v>42907</v>
      </c>
      <c r="D1974" s="20" t="str">
        <f>CONCATENATE(J1974,"-",C1974)</f>
        <v>1140-42907</v>
      </c>
      <c r="E1974" s="20" t="str">
        <f>CONCATENATE(T1974,"-",U1974,"-",C1974)</f>
        <v>SP1-F3-42907</v>
      </c>
      <c r="F1974" s="20" t="s">
        <v>106</v>
      </c>
      <c r="G1974" s="43" t="s">
        <v>278</v>
      </c>
      <c r="H1974" s="23"/>
      <c r="J1974" s="15">
        <v>1140</v>
      </c>
      <c r="K1974" s="15"/>
      <c r="P1974" s="23"/>
      <c r="R1974" s="23"/>
      <c r="S1974" s="23"/>
      <c r="T1974" s="23" t="s">
        <v>140</v>
      </c>
      <c r="U1974" s="23" t="s">
        <v>182</v>
      </c>
      <c r="V1974" s="23"/>
      <c r="X1974" s="23"/>
      <c r="Y1974" s="23"/>
      <c r="Z1974" s="23"/>
      <c r="AA1974" s="23"/>
      <c r="AB1974" s="23"/>
      <c r="AC1974" s="23"/>
      <c r="AD1974" s="23"/>
      <c r="AE1974" s="23"/>
      <c r="AF1974" s="23"/>
      <c r="AG1974" s="23"/>
      <c r="AH1974" s="23"/>
      <c r="AI1974" s="23"/>
      <c r="AJ1974" s="23"/>
      <c r="AK1974" s="23"/>
      <c r="AL1974" s="23"/>
      <c r="AM1974" s="23"/>
      <c r="AN1974" s="23"/>
      <c r="AO1974" s="23"/>
      <c r="AP1974" s="23">
        <f>SUM(AL1974:AN1974)</f>
        <v>0</v>
      </c>
      <c r="AQ1974" s="23"/>
      <c r="AR1974" s="23"/>
      <c r="AS1974" s="23"/>
      <c r="AT1974" s="23" t="s">
        <v>285</v>
      </c>
      <c r="AU1974" s="23"/>
      <c r="AV1974" s="23"/>
      <c r="AW1974" s="23"/>
      <c r="AX1974" s="23"/>
      <c r="AY1974" s="25"/>
      <c r="BA1974" s="23"/>
      <c r="BB1974" s="23"/>
      <c r="BD1974" s="23"/>
      <c r="BE1974" s="23"/>
      <c r="BG1974" s="23"/>
      <c r="BH1974" s="23"/>
      <c r="BJ1974" s="23"/>
      <c r="BK1974" s="23"/>
      <c r="BS1974" s="23"/>
      <c r="BT1974" s="23"/>
      <c r="BV1974" s="23"/>
      <c r="BY1974" s="23"/>
      <c r="CB1974" s="23"/>
      <c r="CC1974" s="23"/>
      <c r="CD1974" s="23"/>
      <c r="CE1974" s="23"/>
      <c r="CF1974" s="23"/>
      <c r="CG1974" s="23"/>
      <c r="CH1974" s="23"/>
      <c r="CI1974" s="23"/>
      <c r="CJ1974" s="23"/>
      <c r="CK1974" s="23"/>
      <c r="CL1974" s="23"/>
      <c r="CM1974" s="23"/>
      <c r="CN1974" s="23"/>
      <c r="CO1974" s="23"/>
      <c r="CP1974" s="23"/>
      <c r="CQ1974" s="23"/>
      <c r="CR1974" s="23"/>
      <c r="CV1974" s="23"/>
      <c r="CX1974" s="23"/>
      <c r="CY1974" s="23"/>
      <c r="CZ1974" s="23"/>
      <c r="DA1974" s="23"/>
      <c r="DB1974" s="23"/>
      <c r="DC1974" s="23"/>
      <c r="DD1974" s="23"/>
      <c r="DE1974" s="23"/>
      <c r="DF1974" s="16" t="e">
        <f>VLOOKUP(K1974,'[3]RNA Seq summary tables'!$V$3:$V$99,1,FALSE)</f>
        <v>#N/A</v>
      </c>
      <c r="DI1974" s="23"/>
      <c r="DJ1974" s="23"/>
      <c r="DK1974" s="23"/>
      <c r="DL1974" s="23"/>
      <c r="DM1974" s="23"/>
      <c r="DN1974" s="23"/>
      <c r="DO1974" s="23"/>
      <c r="DP1974" s="23"/>
      <c r="DQ1974" s="23"/>
      <c r="DR1974" s="23"/>
      <c r="DS1974" s="23"/>
      <c r="DT1974" s="25"/>
      <c r="DU1974" s="25"/>
      <c r="DV1974" s="25"/>
      <c r="DW1974" s="25"/>
      <c r="DX1974" s="25"/>
      <c r="DY1974" s="25"/>
      <c r="DZ1974" s="25"/>
      <c r="EA1974" s="25"/>
      <c r="EB1974" s="25"/>
      <c r="EC1974" s="25"/>
      <c r="ED1974" s="25"/>
      <c r="EE1974" s="25"/>
      <c r="EF1974" s="25"/>
      <c r="EG1974" s="25"/>
      <c r="EH1974" s="25"/>
      <c r="EI1974" s="25"/>
      <c r="EJ1974" s="25"/>
      <c r="EK1974" s="25"/>
      <c r="EL1974" s="25"/>
      <c r="EM1974" s="25"/>
      <c r="EN1974" s="25"/>
      <c r="EO1974" s="25"/>
      <c r="EP1974" s="25"/>
      <c r="EQ1974" s="25"/>
      <c r="ER1974" s="25"/>
      <c r="ES1974" s="25"/>
      <c r="ET1974" s="25"/>
      <c r="EU1974" s="25"/>
      <c r="EV1974" s="25"/>
      <c r="EW1974" s="25"/>
      <c r="EX1974" s="25"/>
      <c r="EY1974" s="25"/>
      <c r="EZ1974" s="25"/>
      <c r="FA1974" s="25"/>
      <c r="FB1974" s="25"/>
      <c r="FC1974" s="25"/>
      <c r="FD1974" s="25"/>
      <c r="FE1974" s="25"/>
      <c r="FF1974" s="25"/>
      <c r="FG1974" s="25"/>
      <c r="FH1974" s="25"/>
      <c r="FI1974" s="25"/>
      <c r="FJ1974" s="25"/>
      <c r="FK1974" s="25"/>
      <c r="FL1974" s="25"/>
      <c r="FM1974" s="25"/>
      <c r="FN1974" s="25"/>
      <c r="FO1974" s="25"/>
      <c r="FP1974" s="25"/>
      <c r="FQ1974" s="25"/>
      <c r="FR1974" s="25"/>
      <c r="FS1974" s="25"/>
      <c r="FT1974" s="25"/>
      <c r="FU1974" s="25"/>
      <c r="FV1974" s="25"/>
      <c r="FW1974" s="25"/>
      <c r="FX1974" s="25"/>
      <c r="FY1974" s="25"/>
      <c r="FZ1974" s="25"/>
      <c r="GA1974" s="25"/>
      <c r="GB1974" s="25"/>
      <c r="GC1974" s="25"/>
      <c r="GD1974" s="25"/>
      <c r="GE1974" s="25"/>
      <c r="GF1974" s="25"/>
      <c r="GG1974" s="25"/>
      <c r="GH1974" s="25"/>
      <c r="GI1974" s="25"/>
      <c r="GJ1974" s="25"/>
      <c r="GK1974" s="25"/>
      <c r="GL1974" s="25"/>
      <c r="GM1974" s="25"/>
      <c r="GN1974" s="25"/>
      <c r="GO1974" s="25"/>
      <c r="GP1974" s="25"/>
      <c r="GQ1974" s="25"/>
      <c r="GR1974" s="25"/>
      <c r="GS1974" s="25"/>
      <c r="GT1974" s="25"/>
      <c r="GU1974" s="25"/>
      <c r="GV1974" s="25"/>
      <c r="GW1974" s="25"/>
      <c r="GX1974" s="25"/>
      <c r="GY1974" s="25"/>
      <c r="GZ1974" s="25"/>
      <c r="HA1974" s="25"/>
      <c r="HB1974" s="25"/>
      <c r="HC1974" s="25"/>
      <c r="HD1974" s="25"/>
      <c r="HE1974" s="25"/>
      <c r="HF1974" s="25"/>
      <c r="HG1974" s="25"/>
      <c r="HH1974" s="25"/>
      <c r="HI1974" s="25"/>
      <c r="HJ1974" s="25"/>
      <c r="HK1974" s="25"/>
      <c r="HL1974" s="25"/>
      <c r="HM1974" s="25"/>
      <c r="HN1974" s="25"/>
      <c r="HO1974" s="25"/>
      <c r="HP1974" s="25"/>
      <c r="HQ1974" s="25"/>
      <c r="HR1974" s="25"/>
      <c r="HS1974" s="25"/>
      <c r="HT1974" s="25"/>
      <c r="HU1974" s="25"/>
      <c r="HV1974" s="25"/>
      <c r="HW1974" s="25"/>
      <c r="HX1974" s="25"/>
      <c r="HY1974" s="25"/>
      <c r="HZ1974" s="25"/>
      <c r="IA1974" s="25"/>
      <c r="IB1974" s="25"/>
      <c r="IC1974" s="25"/>
      <c r="ID1974" s="25"/>
      <c r="IE1974" s="25"/>
      <c r="IF1974" s="25"/>
      <c r="IG1974" s="25"/>
      <c r="IH1974" s="25"/>
      <c r="II1974" s="25"/>
      <c r="IJ1974" s="25"/>
      <c r="IK1974" s="25"/>
      <c r="IL1974" s="25"/>
      <c r="IM1974" s="25"/>
      <c r="IN1974" s="25"/>
      <c r="IO1974" s="25"/>
      <c r="IP1974" s="25"/>
      <c r="IQ1974" s="25"/>
      <c r="IR1974" s="25"/>
      <c r="IS1974" s="25"/>
      <c r="IT1974" s="25"/>
      <c r="IU1974" s="25"/>
      <c r="IV1974" s="25"/>
      <c r="IW1974" s="25"/>
      <c r="IX1974" s="25"/>
      <c r="IY1974" s="25"/>
      <c r="IZ1974" s="25"/>
      <c r="JA1974" s="25"/>
      <c r="JB1974" s="25"/>
      <c r="JC1974" s="25"/>
      <c r="JD1974" s="25"/>
      <c r="JE1974" s="25"/>
      <c r="JF1974" s="25"/>
      <c r="JG1974" s="25"/>
      <c r="JH1974" s="25"/>
      <c r="JI1974" s="25"/>
      <c r="JJ1974" s="25"/>
      <c r="JK1974" s="25"/>
      <c r="JL1974" s="25"/>
      <c r="JM1974" s="25"/>
      <c r="JN1974" s="25"/>
      <c r="JO1974" s="23"/>
      <c r="JP1974" s="144"/>
      <c r="JQ1974" s="144"/>
    </row>
    <row r="1975" spans="2:288" x14ac:dyDescent="0.2">
      <c r="B1975" s="16">
        <v>2017</v>
      </c>
      <c r="C1975" s="43">
        <v>42907</v>
      </c>
      <c r="D1975" s="43" t="str">
        <f>CONCATENATE(J1975,"-",C1975)</f>
        <v>1141-42907</v>
      </c>
      <c r="E1975" s="20" t="str">
        <f>CONCATENATE(T1975,"-",U1975,"-",C1975)</f>
        <v>SP1-F4-42907</v>
      </c>
      <c r="F1975" s="20" t="s">
        <v>106</v>
      </c>
      <c r="G1975" s="43" t="s">
        <v>278</v>
      </c>
      <c r="H1975" s="23"/>
      <c r="I1975" s="23"/>
      <c r="J1975" s="15">
        <v>1141</v>
      </c>
      <c r="K1975" s="15"/>
      <c r="L1975" s="23"/>
      <c r="M1975" s="15"/>
      <c r="N1975" s="15"/>
      <c r="O1975" s="15"/>
      <c r="P1975" s="23"/>
      <c r="Q1975" s="23"/>
      <c r="R1975" s="23"/>
      <c r="S1975" s="23"/>
      <c r="T1975" s="23" t="s">
        <v>140</v>
      </c>
      <c r="U1975" s="23" t="s">
        <v>184</v>
      </c>
      <c r="V1975" s="23"/>
      <c r="W1975" s="23"/>
      <c r="X1975" s="23"/>
      <c r="Y1975" s="23"/>
      <c r="Z1975" s="23"/>
      <c r="AA1975" s="23"/>
      <c r="AB1975" s="23"/>
      <c r="AC1975" s="23"/>
      <c r="AD1975" s="23"/>
      <c r="AE1975" s="23"/>
      <c r="AF1975" s="23"/>
      <c r="AG1975" s="23"/>
      <c r="AH1975" s="23"/>
      <c r="AI1975" s="23"/>
      <c r="AJ1975" s="23"/>
      <c r="AK1975" s="23"/>
      <c r="AL1975" s="23"/>
      <c r="AM1975" s="23"/>
      <c r="AN1975" s="23"/>
      <c r="AO1975" s="23"/>
      <c r="AP1975" s="23">
        <f>SUM(AL1975:AN1975)</f>
        <v>0</v>
      </c>
      <c r="AQ1975" s="23"/>
      <c r="AR1975" s="23"/>
      <c r="AS1975" s="23"/>
      <c r="AT1975" s="23" t="s">
        <v>285</v>
      </c>
      <c r="AU1975" s="23"/>
      <c r="AV1975" s="23"/>
      <c r="AW1975" s="23"/>
      <c r="AX1975" s="23"/>
      <c r="AY1975" s="25"/>
      <c r="BA1975" s="23"/>
      <c r="BB1975" s="23"/>
      <c r="BD1975" s="23"/>
      <c r="BE1975" s="23"/>
      <c r="BG1975" s="23"/>
      <c r="BH1975" s="23"/>
      <c r="BJ1975" s="23"/>
      <c r="BK1975" s="23"/>
      <c r="BS1975" s="23"/>
      <c r="BT1975" s="23"/>
      <c r="BV1975" s="23"/>
      <c r="BY1975" s="23"/>
      <c r="CB1975" s="23"/>
      <c r="CC1975" s="23"/>
      <c r="CD1975" s="23"/>
      <c r="CE1975" s="23"/>
      <c r="CF1975" s="23"/>
      <c r="CG1975" s="23"/>
      <c r="CH1975" s="23"/>
      <c r="CI1975" s="23"/>
      <c r="CJ1975" s="23"/>
      <c r="CK1975" s="23"/>
      <c r="CL1975" s="23"/>
      <c r="CM1975" s="23"/>
      <c r="CN1975" s="23"/>
      <c r="CO1975" s="23"/>
      <c r="CP1975" s="23"/>
      <c r="CQ1975" s="23"/>
      <c r="CR1975" s="23"/>
      <c r="CV1975" s="23"/>
      <c r="CX1975" s="23"/>
      <c r="CY1975" s="23"/>
      <c r="CZ1975" s="23"/>
      <c r="DA1975" s="23"/>
      <c r="DB1975" s="23"/>
      <c r="DC1975" s="23"/>
      <c r="DD1975" s="23"/>
      <c r="DE1975" s="23"/>
      <c r="DF1975" s="16" t="e">
        <f>VLOOKUP(K1975,'[3]RNA Seq summary tables'!$V$3:$V$99,1,FALSE)</f>
        <v>#N/A</v>
      </c>
      <c r="DG1975" s="23"/>
      <c r="DH1975" s="23"/>
      <c r="DI1975" s="23"/>
      <c r="DJ1975" s="23"/>
      <c r="DK1975" s="23"/>
      <c r="DL1975" s="23"/>
      <c r="DM1975" s="23"/>
      <c r="DN1975" s="23"/>
      <c r="DO1975" s="23"/>
      <c r="DP1975" s="23"/>
      <c r="DQ1975" s="23"/>
      <c r="DR1975" s="23"/>
      <c r="DS1975" s="23"/>
      <c r="JP1975" s="27"/>
      <c r="JQ1975" s="27"/>
    </row>
    <row r="1976" spans="2:288" x14ac:dyDescent="0.2">
      <c r="B1976" s="16">
        <v>2017</v>
      </c>
      <c r="C1976" s="20">
        <v>42940</v>
      </c>
      <c r="D1976" s="20" t="str">
        <f>CONCATENATE(J1976,"-",C1976)</f>
        <v>1141-42940</v>
      </c>
      <c r="E1976" s="20" t="str">
        <f>CONCATENATE(T1976,"-",U1976,"-",C1976)</f>
        <v>SP1-F4-42940</v>
      </c>
      <c r="F1976" s="20" t="s">
        <v>106</v>
      </c>
      <c r="G1976" s="20" t="s">
        <v>278</v>
      </c>
      <c r="J1976" s="21">
        <v>1141</v>
      </c>
      <c r="T1976" s="16" t="s">
        <v>140</v>
      </c>
      <c r="U1976" s="16" t="s">
        <v>184</v>
      </c>
      <c r="AP1976" s="16">
        <f>SUM(AL1976:AN1976)</f>
        <v>0</v>
      </c>
      <c r="AT1976" s="16" t="s">
        <v>285</v>
      </c>
      <c r="AY1976" s="18"/>
      <c r="BG1976" s="23"/>
      <c r="BT1976" s="23"/>
      <c r="CD1976" s="23"/>
      <c r="DF1976" s="16" t="e">
        <f>VLOOKUP(K1976,'[3]RNA Seq summary tables'!$V$3:$V$99,1,FALSE)</f>
        <v>#N/A</v>
      </c>
      <c r="JO1976" s="27"/>
      <c r="JP1976" s="27"/>
      <c r="JQ1976" s="27"/>
    </row>
    <row r="1977" spans="2:288" x14ac:dyDescent="0.2">
      <c r="B1977" s="16">
        <v>2017</v>
      </c>
      <c r="C1977" s="43">
        <v>42958</v>
      </c>
      <c r="D1977" s="43" t="str">
        <f>CONCATENATE(J1977,"-",C1977)</f>
        <v>1141-42958</v>
      </c>
      <c r="E1977" s="20" t="str">
        <f>CONCATENATE(T1977,"-",U1977,"-",C1977)</f>
        <v>SP1-D3-42958</v>
      </c>
      <c r="F1977" s="20" t="s">
        <v>106</v>
      </c>
      <c r="G1977" s="43" t="s">
        <v>278</v>
      </c>
      <c r="H1977" s="23"/>
      <c r="I1977" s="23"/>
      <c r="J1977" s="15">
        <v>1141</v>
      </c>
      <c r="K1977" s="15"/>
      <c r="L1977" s="23"/>
      <c r="M1977" s="15"/>
      <c r="N1977" s="15"/>
      <c r="O1977" s="15"/>
      <c r="P1977" s="23"/>
      <c r="Q1977" s="23"/>
      <c r="R1977" s="23"/>
      <c r="S1977" s="23"/>
      <c r="T1977" s="23" t="s">
        <v>140</v>
      </c>
      <c r="U1977" s="23" t="s">
        <v>149</v>
      </c>
      <c r="V1977" s="23"/>
      <c r="W1977" s="23"/>
      <c r="X1977" s="23"/>
      <c r="Y1977" s="23"/>
      <c r="Z1977" s="23"/>
      <c r="AA1977" s="23"/>
      <c r="AB1977" s="23"/>
      <c r="AC1977" s="23"/>
      <c r="AD1977" s="23"/>
      <c r="AE1977" s="23"/>
      <c r="AF1977" s="23"/>
      <c r="AG1977" s="23"/>
      <c r="AH1977" s="23"/>
      <c r="AI1977" s="23"/>
      <c r="AJ1977" s="23"/>
      <c r="AK1977" s="23"/>
      <c r="AL1977" s="23"/>
      <c r="AM1977" s="23"/>
      <c r="AN1977" s="23"/>
      <c r="AO1977" s="23"/>
      <c r="AP1977" s="23">
        <f>SUM(AL1977:AN1977)</f>
        <v>0</v>
      </c>
      <c r="AQ1977" s="23"/>
      <c r="AR1977" s="23"/>
      <c r="AS1977" s="23"/>
      <c r="AT1977" s="23" t="s">
        <v>285</v>
      </c>
      <c r="AU1977" s="23"/>
      <c r="AV1977" s="23"/>
      <c r="AW1977" s="23"/>
      <c r="AX1977" s="23"/>
      <c r="AY1977" s="25"/>
      <c r="AZ1977" s="23"/>
      <c r="BA1977" s="23"/>
      <c r="BB1977" s="23"/>
      <c r="BC1977" s="23"/>
      <c r="BD1977" s="23"/>
      <c r="BE1977" s="23"/>
      <c r="BF1977" s="23"/>
      <c r="BG1977" s="23"/>
      <c r="BH1977" s="23"/>
      <c r="BI1977" s="23"/>
      <c r="BJ1977" s="23"/>
      <c r="BK1977" s="23"/>
      <c r="BL1977" s="23"/>
      <c r="BM1977" s="23"/>
      <c r="BN1977" s="23"/>
      <c r="BO1977" s="23"/>
      <c r="BP1977" s="23"/>
      <c r="BQ1977" s="23"/>
      <c r="BR1977" s="23"/>
      <c r="BS1977" s="23"/>
      <c r="BT1977" s="23"/>
      <c r="BU1977" s="23"/>
      <c r="BV1977" s="23"/>
      <c r="BW1977" s="23"/>
      <c r="BX1977" s="23"/>
      <c r="BY1977" s="23"/>
      <c r="BZ1977" s="23"/>
      <c r="CA1977" s="23"/>
      <c r="CB1977" s="23"/>
      <c r="CC1977" s="23"/>
      <c r="CD1977" s="23"/>
      <c r="CE1977" s="23"/>
      <c r="CF1977" s="23"/>
      <c r="CG1977" s="23"/>
      <c r="CH1977" s="23"/>
      <c r="CI1977" s="23"/>
      <c r="CJ1977" s="23"/>
      <c r="CK1977" s="23"/>
      <c r="CL1977" s="23"/>
      <c r="CM1977" s="23"/>
      <c r="CN1977" s="23"/>
      <c r="CO1977" s="23"/>
      <c r="CP1977" s="23"/>
      <c r="CQ1977" s="23"/>
      <c r="CR1977" s="23"/>
      <c r="CS1977" s="23"/>
      <c r="CT1977" s="23"/>
      <c r="CU1977" s="23"/>
      <c r="CV1977" s="23"/>
      <c r="CW1977" s="23"/>
      <c r="CX1977" s="23"/>
      <c r="CY1977" s="23"/>
      <c r="CZ1977" s="23"/>
      <c r="DA1977" s="23"/>
      <c r="DB1977" s="23"/>
      <c r="DC1977" s="23"/>
      <c r="DD1977" s="23"/>
      <c r="DE1977" s="23"/>
      <c r="DF1977" s="16" t="e">
        <f>VLOOKUP(K1977,'[3]RNA Seq summary tables'!$V$3:$V$99,1,FALSE)</f>
        <v>#N/A</v>
      </c>
      <c r="DG1977" s="23"/>
      <c r="DH1977" s="23"/>
      <c r="DI1977" s="23"/>
      <c r="DJ1977" s="23"/>
      <c r="DK1977" s="23"/>
      <c r="DL1977" s="23"/>
      <c r="DM1977" s="23"/>
      <c r="DN1977" s="23"/>
      <c r="DO1977" s="23"/>
      <c r="DP1977" s="23"/>
      <c r="DQ1977" s="23"/>
      <c r="DR1977" s="23"/>
      <c r="DS1977" s="23"/>
      <c r="JO1977" s="27"/>
      <c r="JP1977" s="27"/>
      <c r="JQ1977" s="27"/>
    </row>
    <row r="1978" spans="2:288" x14ac:dyDescent="0.2">
      <c r="B1978" s="16">
        <v>2017</v>
      </c>
      <c r="C1978" s="20">
        <v>42959</v>
      </c>
      <c r="D1978" s="20" t="str">
        <f>CONCATENATE(J1978,"-",C1978)</f>
        <v>1141-42959</v>
      </c>
      <c r="E1978" s="20" t="str">
        <f>CONCATENATE(T1978,"-",U1978,"-",C1978)</f>
        <v>SP1-G4-42959</v>
      </c>
      <c r="F1978" s="20" t="s">
        <v>106</v>
      </c>
      <c r="G1978" s="20" t="s">
        <v>278</v>
      </c>
      <c r="J1978" s="21">
        <v>1141</v>
      </c>
      <c r="T1978" s="16" t="s">
        <v>140</v>
      </c>
      <c r="U1978" s="16" t="s">
        <v>173</v>
      </c>
      <c r="AP1978" s="16">
        <f>SUM(AL1978:AN1978)</f>
        <v>0</v>
      </c>
      <c r="AT1978" s="16" t="s">
        <v>285</v>
      </c>
      <c r="AY1978" s="18"/>
      <c r="BG1978" s="23"/>
      <c r="BT1978" s="23"/>
      <c r="CD1978" s="23"/>
      <c r="DF1978" s="16" t="e">
        <f>VLOOKUP(K1978,'[3]RNA Seq summary tables'!$V$3:$V$99,1,FALSE)</f>
        <v>#N/A</v>
      </c>
      <c r="JO1978" s="27"/>
      <c r="JP1978" s="27"/>
      <c r="JQ1978" s="27"/>
    </row>
    <row r="1979" spans="2:288" x14ac:dyDescent="0.2">
      <c r="B1979" s="16">
        <v>2017</v>
      </c>
      <c r="C1979" s="20">
        <v>42907</v>
      </c>
      <c r="D1979" s="20" t="str">
        <f>CONCATENATE(J1979,"-",C1979)</f>
        <v>1142-42907</v>
      </c>
      <c r="E1979" s="20" t="str">
        <f>CONCATENATE(T1979,"-",U1979,"-",C1979)</f>
        <v>SP2-C5-42907</v>
      </c>
      <c r="F1979" s="20" t="s">
        <v>106</v>
      </c>
      <c r="G1979" s="20" t="s">
        <v>278</v>
      </c>
      <c r="J1979" s="21">
        <v>1142</v>
      </c>
      <c r="T1979" s="16" t="s">
        <v>137</v>
      </c>
      <c r="U1979" s="16" t="s">
        <v>172</v>
      </c>
      <c r="AP1979" s="16">
        <f>SUM(AL1979:AN1979)</f>
        <v>0</v>
      </c>
      <c r="AT1979" s="16" t="s">
        <v>285</v>
      </c>
      <c r="AY1979" s="18"/>
      <c r="BG1979" s="23"/>
      <c r="BT1979" s="23"/>
      <c r="CD1979" s="23"/>
      <c r="DF1979" s="16" t="e">
        <f>VLOOKUP(K1979,'[3]RNA Seq summary tables'!$V$3:$V$99,1,FALSE)</f>
        <v>#N/A</v>
      </c>
      <c r="JP1979" s="27"/>
      <c r="JQ1979" s="27"/>
    </row>
    <row r="1980" spans="2:288" x14ac:dyDescent="0.2">
      <c r="B1980" s="16">
        <v>2017</v>
      </c>
      <c r="C1980" s="20">
        <v>42973</v>
      </c>
      <c r="D1980" s="20" t="str">
        <f>CONCATENATE(J1980,"-",C1980)</f>
        <v>1142-42973</v>
      </c>
      <c r="E1980" s="20" t="str">
        <f>CONCATENATE(T1980,"-",U1980,"-",C1980)</f>
        <v>SP2-D4-42973</v>
      </c>
      <c r="F1980" s="20" t="s">
        <v>224</v>
      </c>
      <c r="G1980" s="20" t="s">
        <v>278</v>
      </c>
      <c r="J1980" s="21">
        <v>1142</v>
      </c>
      <c r="T1980" s="16" t="s">
        <v>137</v>
      </c>
      <c r="U1980" s="16" t="s">
        <v>221</v>
      </c>
      <c r="AP1980" s="16">
        <f>SUM(AL1980:AN1980)</f>
        <v>0</v>
      </c>
      <c r="AT1980" s="16" t="s">
        <v>285</v>
      </c>
      <c r="AY1980" s="18"/>
      <c r="BG1980" s="23"/>
      <c r="BT1980" s="23"/>
      <c r="CD1980" s="23"/>
      <c r="DF1980" s="16" t="e">
        <f>VLOOKUP(K1980,'[3]RNA Seq summary tables'!$V$3:$V$99,1,FALSE)</f>
        <v>#N/A</v>
      </c>
      <c r="JO1980" s="18"/>
      <c r="JP1980" s="27"/>
      <c r="JQ1980" s="27"/>
    </row>
    <row r="1981" spans="2:288" x14ac:dyDescent="0.2">
      <c r="B1981" s="16">
        <v>2017</v>
      </c>
      <c r="C1981" s="20">
        <v>42907</v>
      </c>
      <c r="D1981" s="20" t="str">
        <f>CONCATENATE(J1981,"-",C1981)</f>
        <v>1143-42907</v>
      </c>
      <c r="E1981" s="20" t="str">
        <f>CONCATENATE(T1981,"-",U1981,"-",C1981)</f>
        <v>SP2-B7-42907</v>
      </c>
      <c r="F1981" s="20" t="s">
        <v>106</v>
      </c>
      <c r="G1981" s="20" t="s">
        <v>278</v>
      </c>
      <c r="J1981" s="21">
        <v>1143</v>
      </c>
      <c r="T1981" s="16" t="s">
        <v>137</v>
      </c>
      <c r="U1981" s="16" t="s">
        <v>168</v>
      </c>
      <c r="AP1981" s="16">
        <f>SUM(AL1981:AN1981)</f>
        <v>0</v>
      </c>
      <c r="AT1981" s="16" t="s">
        <v>285</v>
      </c>
      <c r="AY1981" s="18"/>
      <c r="BG1981" s="23"/>
      <c r="BT1981" s="23"/>
      <c r="CD1981" s="23"/>
      <c r="DF1981" s="16" t="e">
        <f>VLOOKUP(K1981,'[3]RNA Seq summary tables'!$V$3:$V$99,1,FALSE)</f>
        <v>#N/A</v>
      </c>
      <c r="JP1981" s="27"/>
      <c r="JQ1981" s="27"/>
    </row>
    <row r="1982" spans="2:288" x14ac:dyDescent="0.2">
      <c r="B1982" s="16">
        <v>2017</v>
      </c>
      <c r="C1982" s="20">
        <v>42940</v>
      </c>
      <c r="D1982" s="20" t="str">
        <f>CONCATENATE(J1982,"-",C1982)</f>
        <v>1145-42940</v>
      </c>
      <c r="E1982" s="20" t="str">
        <f>CONCATENATE(T1982,"-",U1982,"-",C1982)</f>
        <v>SP2-D8-42940</v>
      </c>
      <c r="F1982" s="20" t="s">
        <v>106</v>
      </c>
      <c r="G1982" s="20" t="s">
        <v>278</v>
      </c>
      <c r="J1982" s="21">
        <v>1145</v>
      </c>
      <c r="T1982" s="16" t="s">
        <v>137</v>
      </c>
      <c r="U1982" s="16" t="s">
        <v>178</v>
      </c>
      <c r="AP1982" s="16">
        <f>SUM(AL1982:AN1982)</f>
        <v>0</v>
      </c>
      <c r="AT1982" s="16" t="s">
        <v>285</v>
      </c>
      <c r="AY1982" s="18"/>
      <c r="BG1982" s="23"/>
      <c r="BT1982" s="23"/>
      <c r="CD1982" s="23"/>
      <c r="DF1982" s="16" t="e">
        <f>VLOOKUP(K1982,'[3]RNA Seq summary tables'!$V$3:$V$99,1,FALSE)</f>
        <v>#N/A</v>
      </c>
      <c r="JO1982" s="27"/>
      <c r="JP1982" s="27"/>
      <c r="JQ1982" s="27"/>
    </row>
    <row r="1983" spans="2:288" x14ac:dyDescent="0.2">
      <c r="B1983" s="16">
        <v>2017</v>
      </c>
      <c r="C1983" s="20">
        <v>42973</v>
      </c>
      <c r="D1983" s="20" t="str">
        <f>CONCATENATE(J1983,"-",C1983)</f>
        <v>1145-42973</v>
      </c>
      <c r="E1983" s="20" t="str">
        <f>CONCATENATE(T1983,"-",U1983,"-",C1983)</f>
        <v>SP2-B6-42973</v>
      </c>
      <c r="F1983" s="20" t="s">
        <v>224</v>
      </c>
      <c r="G1983" s="20" t="s">
        <v>278</v>
      </c>
      <c r="J1983" s="21">
        <v>1145</v>
      </c>
      <c r="T1983" s="16" t="s">
        <v>137</v>
      </c>
      <c r="U1983" s="16" t="s">
        <v>132</v>
      </c>
      <c r="AP1983" s="16">
        <f>SUM(AL1983:AN1983)</f>
        <v>0</v>
      </c>
      <c r="AT1983" s="16" t="s">
        <v>285</v>
      </c>
      <c r="AY1983" s="18"/>
      <c r="BG1983" s="23"/>
      <c r="BT1983" s="23"/>
      <c r="CD1983" s="23"/>
      <c r="DF1983" s="16" t="e">
        <f>VLOOKUP(K1983,'[3]RNA Seq summary tables'!$V$3:$V$99,1,FALSE)</f>
        <v>#N/A</v>
      </c>
      <c r="JO1983" s="27"/>
      <c r="JP1983" s="27"/>
      <c r="JQ1983" s="27"/>
    </row>
    <row r="1984" spans="2:288" x14ac:dyDescent="0.2">
      <c r="B1984" s="16">
        <v>2017</v>
      </c>
      <c r="C1984" s="20">
        <v>42974</v>
      </c>
      <c r="D1984" s="20" t="str">
        <f>CONCATENATE(J1984,"-",C1984)</f>
        <v>1145-42974</v>
      </c>
      <c r="E1984" s="20" t="str">
        <f>CONCATENATE(T1984,"-",U1984,"-",C1984)</f>
        <v>SP2-D8-42974</v>
      </c>
      <c r="F1984" s="20" t="s">
        <v>224</v>
      </c>
      <c r="G1984" s="20" t="s">
        <v>278</v>
      </c>
      <c r="J1984" s="21">
        <v>1145</v>
      </c>
      <c r="T1984" s="16" t="s">
        <v>137</v>
      </c>
      <c r="U1984" s="16" t="s">
        <v>178</v>
      </c>
      <c r="AP1984" s="16">
        <f>SUM(AL1984:AN1984)</f>
        <v>0</v>
      </c>
      <c r="AT1984" s="16" t="s">
        <v>285</v>
      </c>
      <c r="AY1984" s="18"/>
      <c r="BG1984" s="23"/>
      <c r="BT1984" s="23"/>
      <c r="CD1984" s="23"/>
      <c r="DF1984" s="16" t="e">
        <f>VLOOKUP(K1984,'[3]RNA Seq summary tables'!$V$3:$V$99,1,FALSE)</f>
        <v>#N/A</v>
      </c>
      <c r="JO1984" s="18"/>
      <c r="JP1984" s="27"/>
      <c r="JQ1984" s="27"/>
    </row>
    <row r="1985" spans="2:288" x14ac:dyDescent="0.2">
      <c r="B1985" s="16">
        <v>2017</v>
      </c>
      <c r="C1985" s="20">
        <v>42973</v>
      </c>
      <c r="D1985" s="20" t="str">
        <f>CONCATENATE(J1985,"-",C1985)</f>
        <v>1146-42973</v>
      </c>
      <c r="E1985" s="20" t="str">
        <f>CONCATENATE(T1985,"-",U1985,"-",C1985)</f>
        <v>SP2-E5-42973</v>
      </c>
      <c r="F1985" s="20" t="s">
        <v>224</v>
      </c>
      <c r="G1985" s="20" t="s">
        <v>278</v>
      </c>
      <c r="J1985" s="21">
        <v>1146</v>
      </c>
      <c r="T1985" s="16" t="s">
        <v>137</v>
      </c>
      <c r="U1985" s="16" t="s">
        <v>158</v>
      </c>
      <c r="AP1985" s="16">
        <f>SUM(AL1985:AN1985)</f>
        <v>0</v>
      </c>
      <c r="AT1985" s="16" t="s">
        <v>285</v>
      </c>
      <c r="AY1985" s="18"/>
      <c r="BG1985" s="23"/>
      <c r="BT1985" s="23"/>
      <c r="CD1985" s="23"/>
      <c r="DF1985" s="16" t="e">
        <f>VLOOKUP(K1985,'[3]RNA Seq summary tables'!$V$3:$V$99,1,FALSE)</f>
        <v>#N/A</v>
      </c>
      <c r="JO1985" s="27"/>
      <c r="JP1985" s="27"/>
      <c r="JQ1985" s="27"/>
    </row>
    <row r="1986" spans="2:288" x14ac:dyDescent="0.2">
      <c r="B1986" s="16">
        <v>2017</v>
      </c>
      <c r="C1986" s="20">
        <v>42974</v>
      </c>
      <c r="D1986" s="20" t="str">
        <f>CONCATENATE(J1986,"-",C1986)</f>
        <v>1146-42974</v>
      </c>
      <c r="E1986" s="20" t="str">
        <f>CONCATENATE(T1986,"-",U1986,"-",C1986)</f>
        <v>SP2-D6-42974</v>
      </c>
      <c r="F1986" s="20" t="s">
        <v>224</v>
      </c>
      <c r="G1986" s="20" t="s">
        <v>278</v>
      </c>
      <c r="J1986" s="21">
        <v>1146</v>
      </c>
      <c r="T1986" s="16" t="s">
        <v>137</v>
      </c>
      <c r="U1986" s="16" t="s">
        <v>186</v>
      </c>
      <c r="AP1986" s="16">
        <f>SUM(AL1986:AN1986)</f>
        <v>0</v>
      </c>
      <c r="AT1986" s="16" t="s">
        <v>285</v>
      </c>
      <c r="AY1986" s="18"/>
      <c r="BG1986" s="23"/>
      <c r="BT1986" s="23"/>
      <c r="CD1986" s="23"/>
      <c r="DF1986" s="16" t="e">
        <f>VLOOKUP(K1986,'[3]RNA Seq summary tables'!$V$3:$V$99,1,FALSE)</f>
        <v>#N/A</v>
      </c>
      <c r="JO1986" s="18"/>
      <c r="JP1986" s="27"/>
      <c r="JQ1986" s="27"/>
    </row>
    <row r="1987" spans="2:288" x14ac:dyDescent="0.2">
      <c r="B1987" s="16">
        <v>2017</v>
      </c>
      <c r="C1987" s="20">
        <v>42907</v>
      </c>
      <c r="D1987" s="20" t="str">
        <f>CONCATENATE(J1987,"-",C1987)</f>
        <v>1148-42907</v>
      </c>
      <c r="E1987" s="20" t="str">
        <f>CONCATENATE(T1987,"-",U1987,"-",C1987)</f>
        <v>SP2-B6-42907</v>
      </c>
      <c r="F1987" s="20" t="s">
        <v>106</v>
      </c>
      <c r="G1987" s="20" t="s">
        <v>278</v>
      </c>
      <c r="J1987" s="21">
        <v>1148</v>
      </c>
      <c r="T1987" s="16" t="s">
        <v>137</v>
      </c>
      <c r="U1987" s="16" t="s">
        <v>132</v>
      </c>
      <c r="AP1987" s="16">
        <f>SUM(AL1987:AN1987)</f>
        <v>0</v>
      </c>
      <c r="AT1987" s="16" t="s">
        <v>285</v>
      </c>
      <c r="AY1987" s="18"/>
      <c r="BG1987" s="23"/>
      <c r="BT1987" s="23"/>
      <c r="CD1987" s="23"/>
      <c r="DF1987" s="16" t="e">
        <f>VLOOKUP(K1987,'[3]RNA Seq summary tables'!$V$3:$V$99,1,FALSE)</f>
        <v>#N/A</v>
      </c>
      <c r="JP1987" s="27"/>
      <c r="JQ1987" s="27"/>
    </row>
    <row r="1988" spans="2:288" x14ac:dyDescent="0.2">
      <c r="B1988" s="16">
        <v>2017</v>
      </c>
      <c r="C1988" s="20">
        <v>42974</v>
      </c>
      <c r="D1988" s="20" t="str">
        <f>CONCATENATE(J1988,"-",C1988)</f>
        <v>1148-42974</v>
      </c>
      <c r="E1988" s="20" t="str">
        <f>CONCATENATE(T1988,"-",U1988,"-",C1988)</f>
        <v>SP2-B6-42974</v>
      </c>
      <c r="F1988" s="20" t="s">
        <v>224</v>
      </c>
      <c r="G1988" s="20" t="s">
        <v>278</v>
      </c>
      <c r="J1988" s="21">
        <v>1148</v>
      </c>
      <c r="T1988" s="16" t="s">
        <v>137</v>
      </c>
      <c r="U1988" s="16" t="s">
        <v>132</v>
      </c>
      <c r="AP1988" s="16">
        <f>SUM(AL1988:AN1988)</f>
        <v>0</v>
      </c>
      <c r="AT1988" s="16" t="s">
        <v>285</v>
      </c>
      <c r="AY1988" s="18"/>
      <c r="BG1988" s="23"/>
      <c r="BT1988" s="23"/>
      <c r="CD1988" s="23"/>
      <c r="DF1988" s="16" t="e">
        <f>VLOOKUP(K1988,'[3]RNA Seq summary tables'!$V$3:$V$99,1,FALSE)</f>
        <v>#N/A</v>
      </c>
      <c r="JO1988" s="18"/>
      <c r="JP1988" s="27"/>
      <c r="JQ1988" s="27"/>
    </row>
    <row r="1989" spans="2:288" x14ac:dyDescent="0.2">
      <c r="B1989" s="16">
        <v>2017</v>
      </c>
      <c r="C1989" s="20">
        <v>42974</v>
      </c>
      <c r="D1989" s="20" t="str">
        <f>CONCATENATE(J1989,"-",C1989)</f>
        <v>1153-42974</v>
      </c>
      <c r="E1989" s="20" t="str">
        <f>CONCATENATE(T1989,"-",U1989,"-",C1989)</f>
        <v>SP2-C8-42974</v>
      </c>
      <c r="F1989" s="20" t="s">
        <v>224</v>
      </c>
      <c r="G1989" s="20" t="s">
        <v>278</v>
      </c>
      <c r="J1989" s="21">
        <v>1153</v>
      </c>
      <c r="T1989" s="16" t="s">
        <v>137</v>
      </c>
      <c r="U1989" s="16" t="s">
        <v>188</v>
      </c>
      <c r="AP1989" s="16">
        <f>SUM(AL1989:AN1989)</f>
        <v>0</v>
      </c>
      <c r="AT1989" s="16" t="s">
        <v>285</v>
      </c>
      <c r="AY1989" s="18"/>
      <c r="BG1989" s="23"/>
      <c r="BT1989" s="23"/>
      <c r="CD1989" s="23"/>
      <c r="DF1989" s="16" t="e">
        <f>VLOOKUP(K1989,'[3]RNA Seq summary tables'!$V$3:$V$99,1,FALSE)</f>
        <v>#N/A</v>
      </c>
      <c r="JO1989" s="18"/>
      <c r="JP1989" s="18"/>
      <c r="JQ1989" s="18"/>
    </row>
    <row r="1990" spans="2:288" x14ac:dyDescent="0.2">
      <c r="B1990" s="16">
        <v>2017</v>
      </c>
      <c r="C1990" s="20">
        <v>42912</v>
      </c>
      <c r="D1990" s="20" t="str">
        <f>CONCATENATE(J1990,"-",C1990)</f>
        <v>1155-42912</v>
      </c>
      <c r="E1990" s="20" t="str">
        <f>CONCATENATE(T1990,"-",U1990,"-",C1990)</f>
        <v>PO1-A7-42912</v>
      </c>
      <c r="F1990" s="20" t="s">
        <v>106</v>
      </c>
      <c r="G1990" s="20" t="s">
        <v>278</v>
      </c>
      <c r="J1990" s="21">
        <v>1155</v>
      </c>
      <c r="T1990" s="16" t="s">
        <v>112</v>
      </c>
      <c r="U1990" s="16" t="s">
        <v>120</v>
      </c>
      <c r="AP1990" s="16">
        <f>SUM(AL1990:AN1990)</f>
        <v>0</v>
      </c>
      <c r="AT1990" s="16" t="s">
        <v>285</v>
      </c>
      <c r="AY1990" s="18"/>
      <c r="BG1990" s="23"/>
      <c r="BT1990" s="23"/>
      <c r="CD1990" s="23"/>
      <c r="DF1990" s="16" t="e">
        <f>VLOOKUP(K1990,'[3]RNA Seq summary tables'!$V$3:$V$99,1,FALSE)</f>
        <v>#N/A</v>
      </c>
      <c r="JP1990" s="27"/>
      <c r="JQ1990" s="27"/>
    </row>
    <row r="1991" spans="2:288" x14ac:dyDescent="0.2">
      <c r="B1991" s="16">
        <v>2017</v>
      </c>
      <c r="C1991" s="20">
        <v>42913</v>
      </c>
      <c r="D1991" s="20" t="str">
        <f>CONCATENATE(J1991,"-",C1991)</f>
        <v>1155-42913</v>
      </c>
      <c r="E1991" s="20" t="str">
        <f>CONCATENATE(T1991,"-",U1991,"-",C1991)</f>
        <v>PO1-A6-42913</v>
      </c>
      <c r="F1991" s="20" t="s">
        <v>106</v>
      </c>
      <c r="G1991" s="20" t="s">
        <v>278</v>
      </c>
      <c r="J1991" s="21">
        <v>1155</v>
      </c>
      <c r="T1991" s="16" t="s">
        <v>112</v>
      </c>
      <c r="U1991" s="16" t="s">
        <v>147</v>
      </c>
      <c r="AP1991" s="16">
        <f>SUM(AL1991:AN1991)</f>
        <v>0</v>
      </c>
      <c r="AT1991" s="16" t="s">
        <v>285</v>
      </c>
      <c r="AY1991" s="18"/>
      <c r="BG1991" s="23"/>
      <c r="BT1991" s="23"/>
      <c r="CD1991" s="23"/>
      <c r="DF1991" s="16" t="e">
        <f>VLOOKUP(K1991,'[3]RNA Seq summary tables'!$V$3:$V$99,1,FALSE)</f>
        <v>#N/A</v>
      </c>
      <c r="JP1991" s="27"/>
      <c r="JQ1991" s="27"/>
    </row>
    <row r="1992" spans="2:288" x14ac:dyDescent="0.2">
      <c r="B1992" s="16">
        <v>2017</v>
      </c>
      <c r="C1992" s="20">
        <v>42912</v>
      </c>
      <c r="D1992" s="20" t="str">
        <f>CONCATENATE(J1992,"-",C1992)</f>
        <v>1156-42912</v>
      </c>
      <c r="E1992" s="20" t="str">
        <f>CONCATENATE(T1992,"-",U1992,"-",C1992)</f>
        <v>PO2-A4-42912</v>
      </c>
      <c r="F1992" s="20" t="s">
        <v>106</v>
      </c>
      <c r="G1992" s="20" t="s">
        <v>278</v>
      </c>
      <c r="J1992" s="21">
        <v>1156</v>
      </c>
      <c r="T1992" s="16" t="s">
        <v>127</v>
      </c>
      <c r="U1992" s="16" t="s">
        <v>134</v>
      </c>
      <c r="AP1992" s="16">
        <f>SUM(AL1992:AN1992)</f>
        <v>0</v>
      </c>
      <c r="AT1992" s="16" t="s">
        <v>285</v>
      </c>
      <c r="AY1992" s="18"/>
      <c r="BG1992" s="23"/>
      <c r="BT1992" s="23"/>
      <c r="CD1992" s="23"/>
      <c r="DF1992" s="16" t="e">
        <f>VLOOKUP(K1992,'[3]RNA Seq summary tables'!$V$3:$V$99,1,FALSE)</f>
        <v>#N/A</v>
      </c>
      <c r="JP1992" s="27"/>
      <c r="JQ1992" s="27"/>
    </row>
    <row r="1993" spans="2:288" x14ac:dyDescent="0.2">
      <c r="B1993" s="16">
        <v>2017</v>
      </c>
      <c r="C1993" s="20">
        <v>42913</v>
      </c>
      <c r="D1993" s="20" t="str">
        <f>CONCATENATE(J1993,"-",C1993)</f>
        <v>1156-42913</v>
      </c>
      <c r="E1993" s="20" t="str">
        <f>CONCATENATE(T1993,"-",U1993,"-",C1993)</f>
        <v>PO2-A6-42913</v>
      </c>
      <c r="F1993" s="20" t="s">
        <v>106</v>
      </c>
      <c r="G1993" s="20" t="s">
        <v>278</v>
      </c>
      <c r="J1993" s="21">
        <v>1156</v>
      </c>
      <c r="T1993" s="16" t="s">
        <v>127</v>
      </c>
      <c r="U1993" s="16" t="s">
        <v>147</v>
      </c>
      <c r="AP1993" s="16">
        <f>SUM(AL1993:AN1993)</f>
        <v>0</v>
      </c>
      <c r="AT1993" s="16" t="s">
        <v>285</v>
      </c>
      <c r="AY1993" s="18"/>
      <c r="BG1993" s="23"/>
      <c r="BT1993" s="23"/>
      <c r="CD1993" s="23"/>
      <c r="DF1993" s="16" t="e">
        <f>VLOOKUP(K1993,'[3]RNA Seq summary tables'!$V$3:$V$99,1,FALSE)</f>
        <v>#N/A</v>
      </c>
      <c r="JP1993" s="27"/>
      <c r="JQ1993" s="27"/>
    </row>
    <row r="1994" spans="2:288" x14ac:dyDescent="0.2">
      <c r="B1994" s="16">
        <v>2017</v>
      </c>
      <c r="C1994" s="20">
        <v>42912</v>
      </c>
      <c r="D1994" s="20" t="str">
        <f>CONCATENATE(J1994,"-",C1994)</f>
        <v>1157-42912</v>
      </c>
      <c r="E1994" s="20" t="str">
        <f>CONCATENATE(T1994,"-",U1994,"-",C1994)</f>
        <v>PO2-B3-42912</v>
      </c>
      <c r="F1994" s="20" t="s">
        <v>106</v>
      </c>
      <c r="G1994" s="20" t="s">
        <v>278</v>
      </c>
      <c r="J1994" s="21">
        <v>1157</v>
      </c>
      <c r="T1994" s="16" t="s">
        <v>127</v>
      </c>
      <c r="U1994" s="16" t="s">
        <v>131</v>
      </c>
      <c r="AP1994" s="16">
        <f>SUM(AL1994:AN1994)</f>
        <v>0</v>
      </c>
      <c r="AT1994" s="16" t="s">
        <v>285</v>
      </c>
      <c r="AY1994" s="18"/>
      <c r="BG1994" s="23"/>
      <c r="BT1994" s="23"/>
      <c r="CD1994" s="23"/>
      <c r="DF1994" s="16" t="e">
        <f>VLOOKUP(K1994,'[3]RNA Seq summary tables'!$V$3:$V$99,1,FALSE)</f>
        <v>#N/A</v>
      </c>
      <c r="JP1994" s="27"/>
      <c r="JQ1994" s="27"/>
    </row>
    <row r="1995" spans="2:288" x14ac:dyDescent="0.2">
      <c r="B1995" s="16">
        <v>2017</v>
      </c>
      <c r="C1995" s="20">
        <v>42913</v>
      </c>
      <c r="D1995" s="20" t="str">
        <f>CONCATENATE(J1995,"-",C1995)</f>
        <v>1157-42913</v>
      </c>
      <c r="E1995" s="20" t="str">
        <f>CONCATENATE(T1995,"-",U1995,"-",C1995)</f>
        <v>PO2-B5-42913</v>
      </c>
      <c r="F1995" s="20" t="s">
        <v>106</v>
      </c>
      <c r="G1995" s="20" t="s">
        <v>278</v>
      </c>
      <c r="J1995" s="21">
        <v>1157</v>
      </c>
      <c r="T1995" s="16" t="s">
        <v>127</v>
      </c>
      <c r="U1995" s="16" t="s">
        <v>160</v>
      </c>
      <c r="AP1995" s="16">
        <f>SUM(AL1995:AN1995)</f>
        <v>0</v>
      </c>
      <c r="AT1995" s="16" t="s">
        <v>285</v>
      </c>
      <c r="AY1995" s="18"/>
      <c r="BG1995" s="23"/>
      <c r="BT1995" s="23"/>
      <c r="CD1995" s="23"/>
      <c r="DF1995" s="16" t="e">
        <f>VLOOKUP(K1995,'[3]RNA Seq summary tables'!$V$3:$V$99,1,FALSE)</f>
        <v>#N/A</v>
      </c>
      <c r="JP1995" s="27"/>
      <c r="JQ1995" s="27"/>
      <c r="JR1995" s="18"/>
      <c r="JS1995" s="18"/>
      <c r="JT1995" s="18"/>
      <c r="JU1995" s="18"/>
      <c r="JV1995" s="18"/>
      <c r="JW1995" s="18"/>
      <c r="JX1995" s="18"/>
      <c r="JY1995" s="18"/>
      <c r="JZ1995" s="18"/>
      <c r="KA1995" s="18"/>
      <c r="KB1995" s="18"/>
    </row>
    <row r="1996" spans="2:288" x14ac:dyDescent="0.2">
      <c r="B1996" s="16">
        <v>2017</v>
      </c>
      <c r="C1996" s="20">
        <v>42977</v>
      </c>
      <c r="D1996" s="20" t="str">
        <f>CONCATENATE(J1996,"-",C1996)</f>
        <v>1159-42977</v>
      </c>
      <c r="E1996" s="20" t="str">
        <f>CONCATENATE(T1996,"-",U1996,"-",C1996)</f>
        <v>PO1-B1-42977</v>
      </c>
      <c r="F1996" s="20" t="s">
        <v>224</v>
      </c>
      <c r="G1996" s="20" t="s">
        <v>278</v>
      </c>
      <c r="J1996" s="21">
        <v>1159</v>
      </c>
      <c r="T1996" s="16" t="s">
        <v>112</v>
      </c>
      <c r="U1996" s="16" t="s">
        <v>113</v>
      </c>
      <c r="AP1996" s="16">
        <f>SUM(AL1996:AN1996)</f>
        <v>0</v>
      </c>
      <c r="AT1996" s="16" t="s">
        <v>285</v>
      </c>
      <c r="AY1996" s="18"/>
      <c r="BG1996" s="23"/>
      <c r="BT1996" s="23"/>
      <c r="CD1996" s="23"/>
      <c r="DF1996" s="16" t="e">
        <f>VLOOKUP(K1996,'[3]RNA Seq summary tables'!$V$3:$V$99,1,FALSE)</f>
        <v>#N/A</v>
      </c>
      <c r="JP1996" s="27"/>
      <c r="JQ1996" s="27"/>
    </row>
    <row r="1997" spans="2:288" x14ac:dyDescent="0.2">
      <c r="B1997" s="16">
        <v>2017</v>
      </c>
      <c r="C1997" s="20">
        <v>42913</v>
      </c>
      <c r="D1997" s="20" t="str">
        <f>CONCATENATE(J1997,"-",C1997)</f>
        <v>1161-42913</v>
      </c>
      <c r="E1997" s="20" t="str">
        <f>CONCATENATE(T1997,"-",U1997,"-",C1997)</f>
        <v>PO1-E4-42913</v>
      </c>
      <c r="F1997" s="20" t="s">
        <v>106</v>
      </c>
      <c r="G1997" s="20" t="s">
        <v>278</v>
      </c>
      <c r="J1997" s="21">
        <v>1161</v>
      </c>
      <c r="T1997" s="16" t="s">
        <v>112</v>
      </c>
      <c r="U1997" s="16" t="s">
        <v>206</v>
      </c>
      <c r="AP1997" s="16">
        <f>SUM(AL1997:AN1997)</f>
        <v>0</v>
      </c>
      <c r="AT1997" s="16" t="s">
        <v>285</v>
      </c>
      <c r="AY1997" s="18"/>
      <c r="BG1997" s="23"/>
      <c r="BT1997" s="23"/>
      <c r="CD1997" s="23"/>
      <c r="DF1997" s="16" t="e">
        <f>VLOOKUP(K1997,'[3]RNA Seq summary tables'!$V$3:$V$99,1,FALSE)</f>
        <v>#N/A</v>
      </c>
      <c r="JP1997" s="27"/>
      <c r="JQ1997" s="27"/>
    </row>
    <row r="1998" spans="2:288" x14ac:dyDescent="0.2">
      <c r="B1998" s="16">
        <v>2017</v>
      </c>
      <c r="C1998" s="20">
        <v>42913</v>
      </c>
      <c r="D1998" s="20" t="str">
        <f>CONCATENATE(J1998,"-",C1998)</f>
        <v>1164-42913</v>
      </c>
      <c r="E1998" s="20" t="str">
        <f>CONCATENATE(T1998,"-",U1998,"-",C1998)</f>
        <v>PO2-D5-42913</v>
      </c>
      <c r="F1998" s="20" t="s">
        <v>106</v>
      </c>
      <c r="G1998" s="20" t="s">
        <v>278</v>
      </c>
      <c r="J1998" s="21">
        <v>1164</v>
      </c>
      <c r="T1998" s="16" t="s">
        <v>127</v>
      </c>
      <c r="U1998" s="16" t="s">
        <v>183</v>
      </c>
      <c r="AP1998" s="16">
        <f>SUM(AL1998:AN1998)</f>
        <v>0</v>
      </c>
      <c r="AT1998" s="16" t="s">
        <v>285</v>
      </c>
      <c r="AY1998" s="18"/>
      <c r="BG1998" s="23"/>
      <c r="BT1998" s="23"/>
      <c r="CD1998" s="23"/>
      <c r="DF1998" s="16" t="e">
        <f>VLOOKUP(K1998,'[3]RNA Seq summary tables'!$V$3:$V$99,1,FALSE)</f>
        <v>#N/A</v>
      </c>
      <c r="JP1998" s="27"/>
      <c r="JQ1998" s="27"/>
      <c r="JR1998" s="27"/>
      <c r="JS1998" s="27"/>
      <c r="JT1998" s="27"/>
      <c r="JU1998" s="27"/>
      <c r="JV1998" s="27"/>
      <c r="JW1998" s="27"/>
      <c r="JX1998" s="27"/>
      <c r="JY1998" s="27"/>
      <c r="JZ1998" s="27"/>
      <c r="KA1998" s="27"/>
      <c r="KB1998" s="27"/>
    </row>
    <row r="1999" spans="2:288" x14ac:dyDescent="0.2">
      <c r="B1999" s="16">
        <v>2017</v>
      </c>
      <c r="C1999" s="20">
        <v>42929</v>
      </c>
      <c r="D1999" s="20" t="str">
        <f>CONCATENATE(J1999,"-",C1999)</f>
        <v>1164-42929</v>
      </c>
      <c r="E1999" s="20" t="str">
        <f>CONCATENATE(T1999,"-",U1999,"-",C1999)</f>
        <v>PO2-D5-42929</v>
      </c>
      <c r="F1999" s="20" t="s">
        <v>106</v>
      </c>
      <c r="G1999" s="20" t="s">
        <v>278</v>
      </c>
      <c r="J1999" s="21">
        <v>1164</v>
      </c>
      <c r="T1999" s="16" t="s">
        <v>127</v>
      </c>
      <c r="U1999" s="16" t="s">
        <v>183</v>
      </c>
      <c r="AP1999" s="16">
        <f>SUM(AL1999:AN1999)</f>
        <v>0</v>
      </c>
      <c r="AT1999" s="16" t="s">
        <v>285</v>
      </c>
      <c r="AY1999" s="18"/>
      <c r="BG1999" s="23"/>
      <c r="BT1999" s="23"/>
      <c r="CD1999" s="23"/>
      <c r="DF1999" s="16" t="e">
        <f>VLOOKUP(K1999,'[3]RNA Seq summary tables'!$V$3:$V$99,1,FALSE)</f>
        <v>#N/A</v>
      </c>
      <c r="JP1999" s="27"/>
      <c r="JQ1999" s="27"/>
      <c r="JR1999" s="27"/>
      <c r="JS1999" s="27"/>
      <c r="JT1999" s="27"/>
      <c r="JU1999" s="27"/>
      <c r="JV1999" s="27"/>
      <c r="JW1999" s="27"/>
      <c r="JX1999" s="27"/>
      <c r="JY1999" s="27"/>
      <c r="JZ1999" s="27"/>
      <c r="KA1999" s="27"/>
      <c r="KB1999" s="27"/>
    </row>
    <row r="2000" spans="2:288" x14ac:dyDescent="0.2">
      <c r="B2000" s="16">
        <v>2017</v>
      </c>
      <c r="C2000" s="20">
        <v>42964</v>
      </c>
      <c r="D2000" s="20" t="str">
        <f>CONCATENATE(J2000,"-",C2000)</f>
        <v>1164-42964</v>
      </c>
      <c r="E2000" s="20" t="str">
        <f>CONCATENATE(T2000,"-",U2000,"-",C2000)</f>
        <v>PO2-D6-42964</v>
      </c>
      <c r="F2000" s="20" t="s">
        <v>106</v>
      </c>
      <c r="G2000" s="20" t="s">
        <v>278</v>
      </c>
      <c r="J2000" s="21">
        <v>1164</v>
      </c>
      <c r="T2000" s="16" t="s">
        <v>127</v>
      </c>
      <c r="U2000" s="16" t="s">
        <v>186</v>
      </c>
      <c r="AP2000" s="16">
        <f>SUM(AL2000:AN2000)</f>
        <v>0</v>
      </c>
      <c r="AT2000" s="16" t="s">
        <v>285</v>
      </c>
      <c r="AY2000" s="18"/>
      <c r="BG2000" s="23"/>
      <c r="BT2000" s="23"/>
      <c r="CD2000" s="23"/>
      <c r="DF2000" s="16" t="e">
        <f>VLOOKUP(K2000,'[3]RNA Seq summary tables'!$V$3:$V$99,1,FALSE)</f>
        <v>#N/A</v>
      </c>
      <c r="JO2000" s="27"/>
      <c r="JP2000" s="27"/>
      <c r="JQ2000" s="27"/>
    </row>
    <row r="2001" spans="2:288" x14ac:dyDescent="0.2">
      <c r="B2001" s="16">
        <v>2017</v>
      </c>
      <c r="C2001" s="20">
        <v>42965</v>
      </c>
      <c r="D2001" s="20" t="str">
        <f>CONCATENATE(J2001,"-",C2001)</f>
        <v>1164-42965</v>
      </c>
      <c r="E2001" s="20" t="str">
        <f>CONCATENATE(T2001,"-",U2001,"-",C2001)</f>
        <v>PO2-C6-42965</v>
      </c>
      <c r="F2001" s="20" t="s">
        <v>106</v>
      </c>
      <c r="G2001" s="20" t="s">
        <v>278</v>
      </c>
      <c r="J2001" s="21">
        <v>1164</v>
      </c>
      <c r="T2001" s="16" t="s">
        <v>127</v>
      </c>
      <c r="U2001" s="16" t="s">
        <v>213</v>
      </c>
      <c r="AP2001" s="16">
        <f>SUM(AL2001:AN2001)</f>
        <v>0</v>
      </c>
      <c r="AT2001" s="16" t="s">
        <v>285</v>
      </c>
      <c r="AY2001" s="18"/>
      <c r="BG2001" s="23"/>
      <c r="BT2001" s="23"/>
      <c r="CD2001" s="23"/>
      <c r="DF2001" s="16" t="e">
        <f>VLOOKUP(K2001,'[3]RNA Seq summary tables'!$V$3:$V$99,1,FALSE)</f>
        <v>#N/A</v>
      </c>
      <c r="JO2001" s="27"/>
      <c r="JP2001" s="27"/>
      <c r="JQ2001" s="27"/>
    </row>
    <row r="2002" spans="2:288" x14ac:dyDescent="0.2">
      <c r="B2002" s="16">
        <v>2017</v>
      </c>
      <c r="C2002" s="20">
        <v>42976</v>
      </c>
      <c r="D2002" s="20" t="str">
        <f>CONCATENATE(J2002,"-",C2002)</f>
        <v>1164-42976</v>
      </c>
      <c r="E2002" s="20" t="str">
        <f>CONCATENATE(T2002,"-",U2002,"-",C2002)</f>
        <v>PO2-E3-42976</v>
      </c>
      <c r="F2002" s="20" t="s">
        <v>224</v>
      </c>
      <c r="G2002" s="20" t="s">
        <v>278</v>
      </c>
      <c r="J2002" s="21">
        <v>1164</v>
      </c>
      <c r="T2002" s="16" t="s">
        <v>127</v>
      </c>
      <c r="U2002" s="16" t="s">
        <v>225</v>
      </c>
      <c r="AP2002" s="16">
        <f>SUM(AL2002:AN2002)</f>
        <v>0</v>
      </c>
      <c r="AT2002" s="16" t="s">
        <v>285</v>
      </c>
      <c r="AY2002" s="18"/>
      <c r="BG2002" s="23"/>
      <c r="BT2002" s="23"/>
      <c r="CD2002" s="23"/>
      <c r="DF2002" s="16" t="e">
        <f>VLOOKUP(K2002,'[3]RNA Seq summary tables'!$V$3:$V$99,1,FALSE)</f>
        <v>#N/A</v>
      </c>
      <c r="JO2002" s="27"/>
      <c r="JP2002" s="27"/>
      <c r="JQ2002" s="27"/>
    </row>
    <row r="2003" spans="2:288" x14ac:dyDescent="0.2">
      <c r="B2003" s="16">
        <v>2017</v>
      </c>
      <c r="C2003" s="20">
        <v>42977</v>
      </c>
      <c r="D2003" s="20" t="str">
        <f>CONCATENATE(J2003,"-",C2003)</f>
        <v>1164-42977</v>
      </c>
      <c r="E2003" s="20" t="str">
        <f>CONCATENATE(T2003,"-",U2003,"-",C2003)</f>
        <v>PO2-C6-42977</v>
      </c>
      <c r="F2003" s="20" t="s">
        <v>224</v>
      </c>
      <c r="G2003" s="20" t="s">
        <v>278</v>
      </c>
      <c r="J2003" s="21">
        <v>1164</v>
      </c>
      <c r="T2003" s="16" t="s">
        <v>127</v>
      </c>
      <c r="U2003" s="16" t="s">
        <v>213</v>
      </c>
      <c r="AP2003" s="16">
        <f>SUM(AL2003:AN2003)</f>
        <v>0</v>
      </c>
      <c r="AT2003" s="16" t="s">
        <v>285</v>
      </c>
      <c r="AY2003" s="18"/>
      <c r="BG2003" s="23"/>
      <c r="BT2003" s="23"/>
      <c r="CD2003" s="23"/>
      <c r="DF2003" s="16" t="e">
        <f>VLOOKUP(K2003,'[3]RNA Seq summary tables'!$V$3:$V$99,1,FALSE)</f>
        <v>#N/A</v>
      </c>
      <c r="JP2003" s="27"/>
      <c r="JQ2003" s="27"/>
    </row>
    <row r="2004" spans="2:288" x14ac:dyDescent="0.2">
      <c r="B2004" s="16">
        <v>2017</v>
      </c>
      <c r="C2004" s="20">
        <v>42913</v>
      </c>
      <c r="D2004" s="20" t="str">
        <f>CONCATENATE(J2004,"-",C2004)</f>
        <v>1165-42913</v>
      </c>
      <c r="E2004" s="20" t="str">
        <f>CONCATENATE(T2004,"-",U2004,"-",C2004)</f>
        <v>PO2-H7-42913</v>
      </c>
      <c r="F2004" s="20" t="s">
        <v>106</v>
      </c>
      <c r="G2004" s="20" t="s">
        <v>278</v>
      </c>
      <c r="J2004" s="21">
        <v>1165</v>
      </c>
      <c r="T2004" s="16" t="s">
        <v>127</v>
      </c>
      <c r="U2004" s="16" t="s">
        <v>202</v>
      </c>
      <c r="AP2004" s="16">
        <f>SUM(AL2004:AN2004)</f>
        <v>0</v>
      </c>
      <c r="AT2004" s="16" t="s">
        <v>285</v>
      </c>
      <c r="AY2004" s="18"/>
      <c r="BG2004" s="23"/>
      <c r="BT2004" s="23"/>
      <c r="CD2004" s="23"/>
      <c r="DF2004" s="16" t="e">
        <f>VLOOKUP(K2004,'[3]RNA Seq summary tables'!$V$3:$V$99,1,FALSE)</f>
        <v>#N/A</v>
      </c>
      <c r="JO2004" s="27"/>
      <c r="JP2004" s="27"/>
      <c r="JQ2004" s="27"/>
      <c r="JR2004" s="27"/>
      <c r="JS2004" s="27"/>
      <c r="JT2004" s="27"/>
      <c r="JU2004" s="27"/>
      <c r="JV2004" s="27"/>
      <c r="JW2004" s="27"/>
      <c r="JX2004" s="27"/>
      <c r="JY2004" s="27"/>
      <c r="JZ2004" s="27"/>
      <c r="KA2004" s="27"/>
      <c r="KB2004" s="27"/>
    </row>
    <row r="2005" spans="2:288" x14ac:dyDescent="0.2">
      <c r="B2005" s="16">
        <v>2017</v>
      </c>
      <c r="C2005" s="20">
        <v>42946</v>
      </c>
      <c r="D2005" s="20" t="str">
        <f>CONCATENATE(J2005,"-",C2005)</f>
        <v>1165-42946</v>
      </c>
      <c r="E2005" s="20" t="str">
        <f>CONCATENATE(T2005,"-",U2005,"-",C2005)</f>
        <v>PO2-H7-42946</v>
      </c>
      <c r="F2005" s="20" t="s">
        <v>106</v>
      </c>
      <c r="G2005" s="20" t="s">
        <v>278</v>
      </c>
      <c r="J2005" s="21">
        <v>1165</v>
      </c>
      <c r="T2005" s="16" t="s">
        <v>127</v>
      </c>
      <c r="U2005" s="16" t="s">
        <v>202</v>
      </c>
      <c r="AP2005" s="16">
        <f>SUM(AL2005:AN2005)</f>
        <v>0</v>
      </c>
      <c r="AT2005" s="16" t="s">
        <v>285</v>
      </c>
      <c r="AY2005" s="18"/>
      <c r="BG2005" s="23"/>
      <c r="BT2005" s="23"/>
      <c r="CD2005" s="23"/>
      <c r="DF2005" s="16" t="e">
        <f>VLOOKUP(K2005,'[3]RNA Seq summary tables'!$V$3:$V$99,1,FALSE)</f>
        <v>#N/A</v>
      </c>
      <c r="JO2005" s="27"/>
      <c r="JP2005" s="27"/>
      <c r="JQ2005" s="27"/>
    </row>
    <row r="2006" spans="2:288" x14ac:dyDescent="0.2">
      <c r="B2006" s="16">
        <v>2017</v>
      </c>
      <c r="C2006" s="20">
        <v>42947</v>
      </c>
      <c r="D2006" s="20" t="str">
        <f>CONCATENATE(J2006,"-",C2006)</f>
        <v>1165-42947</v>
      </c>
      <c r="E2006" s="20" t="str">
        <f>CONCATENATE(T2006,"-",U2006,"-",C2006)</f>
        <v>PO2-H8-42947</v>
      </c>
      <c r="F2006" s="20" t="s">
        <v>106</v>
      </c>
      <c r="G2006" s="20" t="s">
        <v>278</v>
      </c>
      <c r="J2006" s="21">
        <v>1165</v>
      </c>
      <c r="T2006" s="16" t="s">
        <v>127</v>
      </c>
      <c r="U2006" s="16" t="s">
        <v>152</v>
      </c>
      <c r="AP2006" s="16">
        <f>SUM(AL2006:AN2006)</f>
        <v>0</v>
      </c>
      <c r="AT2006" s="16" t="s">
        <v>285</v>
      </c>
      <c r="AY2006" s="18"/>
      <c r="BG2006" s="23"/>
      <c r="BT2006" s="23"/>
      <c r="CD2006" s="23"/>
      <c r="DF2006" s="16" t="e">
        <f>VLOOKUP(K2006,'[3]RNA Seq summary tables'!$V$3:$V$99,1,FALSE)</f>
        <v>#N/A</v>
      </c>
      <c r="JO2006" s="27"/>
      <c r="JP2006" s="27"/>
      <c r="JQ2006" s="27"/>
    </row>
    <row r="2007" spans="2:288" x14ac:dyDescent="0.2">
      <c r="B2007" s="16">
        <v>2017</v>
      </c>
      <c r="C2007" s="20">
        <v>42928</v>
      </c>
      <c r="D2007" s="20" t="str">
        <f>CONCATENATE(J2007,"-",C2007)</f>
        <v>1167-42928</v>
      </c>
      <c r="E2007" s="20" t="str">
        <f>CONCATENATE(T2007,"-",U2007,"-",C2007)</f>
        <v>PO1-E5-42928</v>
      </c>
      <c r="F2007" s="20" t="s">
        <v>106</v>
      </c>
      <c r="G2007" s="20" t="s">
        <v>278</v>
      </c>
      <c r="J2007" s="21">
        <v>1167</v>
      </c>
      <c r="T2007" s="16" t="s">
        <v>112</v>
      </c>
      <c r="U2007" s="16" t="s">
        <v>158</v>
      </c>
      <c r="AP2007" s="16">
        <f>SUM(AL2007:AN2007)</f>
        <v>0</v>
      </c>
      <c r="AT2007" s="16" t="s">
        <v>285</v>
      </c>
      <c r="AY2007" s="18"/>
      <c r="BG2007" s="23"/>
      <c r="BT2007" s="23"/>
      <c r="CD2007" s="23"/>
      <c r="DF2007" s="16" t="e">
        <f>VLOOKUP(K2007,'[3]RNA Seq summary tables'!$V$3:$V$99,1,FALSE)</f>
        <v>#N/A</v>
      </c>
      <c r="JP2007" s="30"/>
      <c r="JQ2007" s="30"/>
      <c r="JR2007" s="18"/>
      <c r="JS2007" s="18"/>
      <c r="JT2007" s="18"/>
      <c r="JU2007" s="18"/>
      <c r="JV2007" s="18"/>
      <c r="JW2007" s="18"/>
      <c r="JX2007" s="18"/>
      <c r="JY2007" s="18"/>
      <c r="JZ2007" s="18"/>
      <c r="KA2007" s="18"/>
      <c r="KB2007" s="18"/>
    </row>
    <row r="2008" spans="2:288" x14ac:dyDescent="0.2">
      <c r="B2008" s="16">
        <v>2017</v>
      </c>
      <c r="C2008" s="20">
        <v>42976</v>
      </c>
      <c r="D2008" s="20" t="str">
        <f>CONCATENATE(J2008,"-",C2008)</f>
        <v>1168-42976</v>
      </c>
      <c r="E2008" s="20" t="str">
        <f>CONCATENATE(T2008,"-",U2008,"-",C2008)</f>
        <v>PO2-A5-42976</v>
      </c>
      <c r="F2008" s="20" t="s">
        <v>224</v>
      </c>
      <c r="G2008" s="20" t="s">
        <v>278</v>
      </c>
      <c r="J2008" s="21">
        <v>1168</v>
      </c>
      <c r="T2008" s="16" t="s">
        <v>127</v>
      </c>
      <c r="U2008" s="16" t="s">
        <v>167</v>
      </c>
      <c r="AP2008" s="16">
        <f>SUM(AL2008:AN2008)</f>
        <v>0</v>
      </c>
      <c r="AT2008" s="16" t="s">
        <v>285</v>
      </c>
      <c r="AY2008" s="18"/>
      <c r="BG2008" s="23"/>
      <c r="BT2008" s="23"/>
      <c r="CD2008" s="23"/>
      <c r="DF2008" s="16" t="e">
        <f>VLOOKUP(K2008,'[3]RNA Seq summary tables'!$V$3:$V$99,1,FALSE)</f>
        <v>#N/A</v>
      </c>
      <c r="JO2008" s="27"/>
      <c r="JP2008" s="30"/>
      <c r="JQ2008" s="30"/>
    </row>
    <row r="2009" spans="2:288" x14ac:dyDescent="0.2">
      <c r="B2009" s="16">
        <v>2017</v>
      </c>
      <c r="C2009" s="20">
        <v>42928</v>
      </c>
      <c r="D2009" s="20" t="str">
        <f>CONCATENATE(J2009,"-",C2009)</f>
        <v>1170-42928</v>
      </c>
      <c r="E2009" s="20" t="str">
        <f>CONCATENATE(T2009,"-",U2009,"-",C2009)</f>
        <v>PO2-D3-42928</v>
      </c>
      <c r="F2009" s="20" t="s">
        <v>106</v>
      </c>
      <c r="G2009" s="20" t="s">
        <v>278</v>
      </c>
      <c r="J2009" s="21">
        <v>1170</v>
      </c>
      <c r="T2009" s="16" t="s">
        <v>127</v>
      </c>
      <c r="U2009" s="16" t="s">
        <v>149</v>
      </c>
      <c r="AP2009" s="16">
        <f>SUM(AL2009:AN2009)</f>
        <v>0</v>
      </c>
      <c r="AT2009" s="16" t="s">
        <v>285</v>
      </c>
      <c r="AY2009" s="18"/>
      <c r="BG2009" s="23"/>
      <c r="BT2009" s="23"/>
      <c r="CD2009" s="23"/>
      <c r="DF2009" s="16" t="e">
        <f>VLOOKUP(K2009,'[3]RNA Seq summary tables'!$V$3:$V$99,1,FALSE)</f>
        <v>#N/A</v>
      </c>
      <c r="JP2009" s="27"/>
      <c r="JQ2009" s="27"/>
      <c r="JR2009" s="27"/>
      <c r="JS2009" s="27"/>
      <c r="JT2009" s="27"/>
      <c r="JU2009" s="27"/>
      <c r="JV2009" s="27"/>
      <c r="JW2009" s="27"/>
      <c r="JX2009" s="27"/>
      <c r="JY2009" s="27"/>
      <c r="JZ2009" s="27"/>
      <c r="KA2009" s="27"/>
      <c r="KB2009" s="27"/>
    </row>
    <row r="2010" spans="2:288" x14ac:dyDescent="0.2">
      <c r="B2010" s="16">
        <v>2017</v>
      </c>
      <c r="C2010" s="20">
        <v>42929</v>
      </c>
      <c r="D2010" s="20" t="str">
        <f>CONCATENATE(J2010,"-",C2010)</f>
        <v>1170-42929</v>
      </c>
      <c r="E2010" s="20" t="str">
        <f>CONCATENATE(T2010,"-",U2010,"-",C2010)</f>
        <v>PO2-D3-42929</v>
      </c>
      <c r="F2010" s="20" t="s">
        <v>106</v>
      </c>
      <c r="G2010" s="20" t="s">
        <v>278</v>
      </c>
      <c r="J2010" s="21">
        <v>1170</v>
      </c>
      <c r="T2010" s="16" t="s">
        <v>127</v>
      </c>
      <c r="U2010" s="16" t="s">
        <v>149</v>
      </c>
      <c r="AP2010" s="16">
        <f>SUM(AL2010:AN2010)</f>
        <v>0</v>
      </c>
      <c r="AT2010" s="16" t="s">
        <v>285</v>
      </c>
      <c r="AY2010" s="18"/>
      <c r="BG2010" s="23"/>
      <c r="BT2010" s="23"/>
      <c r="CD2010" s="23"/>
      <c r="DF2010" s="16" t="e">
        <f>VLOOKUP(K2010,'[3]RNA Seq summary tables'!$V$3:$V$99,1,FALSE)</f>
        <v>#N/A</v>
      </c>
      <c r="JP2010" s="27"/>
      <c r="JQ2010" s="27"/>
      <c r="JR2010" s="27"/>
      <c r="JS2010" s="27"/>
      <c r="JT2010" s="27"/>
      <c r="JU2010" s="27"/>
      <c r="JV2010" s="27"/>
      <c r="JW2010" s="27"/>
      <c r="JX2010" s="27"/>
      <c r="JY2010" s="27"/>
      <c r="JZ2010" s="27"/>
      <c r="KA2010" s="27"/>
      <c r="KB2010" s="27"/>
    </row>
    <row r="2011" spans="2:288" x14ac:dyDescent="0.2">
      <c r="B2011" s="16">
        <v>2017</v>
      </c>
      <c r="C2011" s="20">
        <v>42916</v>
      </c>
      <c r="D2011" s="20" t="str">
        <f>CONCATENATE(J2011,"-",C2011)</f>
        <v>1171-42916</v>
      </c>
      <c r="E2011" s="20" t="str">
        <f>CONCATENATE(T2011,"-",U2011,"-",C2011)</f>
        <v>HW2-C1-42916</v>
      </c>
      <c r="F2011" s="20" t="s">
        <v>106</v>
      </c>
      <c r="G2011" s="20" t="s">
        <v>278</v>
      </c>
      <c r="J2011" s="21">
        <v>1171</v>
      </c>
      <c r="T2011" s="16" t="s">
        <v>129</v>
      </c>
      <c r="U2011" s="16" t="s">
        <v>150</v>
      </c>
      <c r="AP2011" s="16">
        <f>SUM(AL2011:AN2011)</f>
        <v>0</v>
      </c>
      <c r="AT2011" s="16" t="s">
        <v>285</v>
      </c>
      <c r="AY2011" s="18"/>
      <c r="BG2011" s="23"/>
      <c r="BT2011" s="23"/>
      <c r="CD2011" s="23"/>
      <c r="DF2011" s="16" t="e">
        <f>VLOOKUP(K2011,'[3]RNA Seq summary tables'!$V$3:$V$99,1,FALSE)</f>
        <v>#N/A</v>
      </c>
      <c r="JP2011" s="27"/>
      <c r="JQ2011" s="27"/>
      <c r="JR2011" s="27"/>
      <c r="JS2011" s="27"/>
      <c r="JT2011" s="27"/>
      <c r="JU2011" s="27"/>
      <c r="JV2011" s="27"/>
      <c r="JW2011" s="27"/>
      <c r="JX2011" s="27"/>
      <c r="JY2011" s="27"/>
      <c r="JZ2011" s="27"/>
      <c r="KA2011" s="27"/>
      <c r="KB2011" s="27"/>
    </row>
    <row r="2012" spans="2:288" x14ac:dyDescent="0.2">
      <c r="B2012" s="16">
        <v>2017</v>
      </c>
      <c r="C2012" s="20">
        <v>42949</v>
      </c>
      <c r="D2012" s="20" t="str">
        <f>CONCATENATE(J2012,"-",C2012)</f>
        <v>1171-42949</v>
      </c>
      <c r="E2012" s="20" t="str">
        <f>CONCATENATE(T2012,"-",U2012,"-",C2012)</f>
        <v>HW2-E2-42949</v>
      </c>
      <c r="F2012" s="20" t="s">
        <v>106</v>
      </c>
      <c r="G2012" s="20" t="s">
        <v>278</v>
      </c>
      <c r="J2012" s="21">
        <v>1171</v>
      </c>
      <c r="T2012" s="16" t="s">
        <v>129</v>
      </c>
      <c r="U2012" s="16" t="s">
        <v>136</v>
      </c>
      <c r="AP2012" s="16">
        <f>SUM(AL2012:AN2012)</f>
        <v>0</v>
      </c>
      <c r="AT2012" s="16" t="s">
        <v>285</v>
      </c>
      <c r="AY2012" s="18"/>
      <c r="BG2012" s="23"/>
      <c r="BT2012" s="23"/>
      <c r="CD2012" s="23"/>
      <c r="DF2012" s="16" t="e">
        <f>VLOOKUP(K2012,'[3]RNA Seq summary tables'!$V$3:$V$99,1,FALSE)</f>
        <v>#N/A</v>
      </c>
      <c r="JO2012" s="27"/>
      <c r="JP2012" s="27"/>
      <c r="JQ2012" s="27"/>
    </row>
    <row r="2013" spans="2:288" x14ac:dyDescent="0.2">
      <c r="B2013" s="16">
        <v>2017</v>
      </c>
      <c r="C2013" s="20">
        <v>42950</v>
      </c>
      <c r="D2013" s="20" t="str">
        <f>CONCATENATE(J2013,"-",C2013)</f>
        <v>1171-42950</v>
      </c>
      <c r="E2013" s="20" t="str">
        <f>CONCATENATE(T2013,"-",U2013,"-",C2013)</f>
        <v>HW2-B2-42950</v>
      </c>
      <c r="F2013" s="20" t="s">
        <v>106</v>
      </c>
      <c r="G2013" s="20" t="s">
        <v>278</v>
      </c>
      <c r="J2013" s="21">
        <v>1171</v>
      </c>
      <c r="T2013" s="16" t="s">
        <v>129</v>
      </c>
      <c r="U2013" s="16" t="s">
        <v>130</v>
      </c>
      <c r="AP2013" s="16">
        <f>SUM(AL2013:AN2013)</f>
        <v>0</v>
      </c>
      <c r="AT2013" s="16" t="s">
        <v>285</v>
      </c>
      <c r="AY2013" s="18"/>
      <c r="BG2013" s="23"/>
      <c r="BT2013" s="23"/>
      <c r="CD2013" s="23"/>
      <c r="DF2013" s="16" t="e">
        <f>VLOOKUP(K2013,'[3]RNA Seq summary tables'!$V$3:$V$99,1,FALSE)</f>
        <v>#N/A</v>
      </c>
      <c r="JO2013" s="27"/>
      <c r="JP2013" s="27"/>
      <c r="JQ2013" s="27"/>
    </row>
    <row r="2014" spans="2:288" x14ac:dyDescent="0.2">
      <c r="B2014" s="16">
        <v>2017</v>
      </c>
      <c r="C2014" s="20">
        <v>42967</v>
      </c>
      <c r="D2014" s="20" t="str">
        <f>CONCATENATE(J2014,"-",C2014)</f>
        <v>1171-42967</v>
      </c>
      <c r="E2014" s="20" t="str">
        <f>CONCATENATE(T2014,"-",U2014,"-",C2014)</f>
        <v>HW2-B2-42967</v>
      </c>
      <c r="F2014" s="20" t="s">
        <v>106</v>
      </c>
      <c r="G2014" s="20" t="s">
        <v>278</v>
      </c>
      <c r="J2014" s="21">
        <v>1171</v>
      </c>
      <c r="T2014" s="16" t="s">
        <v>129</v>
      </c>
      <c r="U2014" s="16" t="s">
        <v>130</v>
      </c>
      <c r="AP2014" s="16">
        <f>SUM(AL2014:AN2014)</f>
        <v>0</v>
      </c>
      <c r="AT2014" s="16" t="s">
        <v>285</v>
      </c>
      <c r="AY2014" s="18"/>
      <c r="BG2014" s="23"/>
      <c r="BT2014" s="23"/>
      <c r="CD2014" s="23"/>
      <c r="DF2014" s="16" t="e">
        <f>VLOOKUP(K2014,'[3]RNA Seq summary tables'!$V$3:$V$99,1,FALSE)</f>
        <v>#N/A</v>
      </c>
      <c r="JO2014" s="27"/>
      <c r="JP2014" s="27"/>
      <c r="JQ2014" s="27"/>
    </row>
    <row r="2015" spans="2:288" x14ac:dyDescent="0.2">
      <c r="B2015" s="16">
        <v>2017</v>
      </c>
      <c r="C2015" s="20">
        <v>42968</v>
      </c>
      <c r="D2015" s="20" t="str">
        <f>CONCATENATE(J2015,"-",C2015)</f>
        <v>1171-42968</v>
      </c>
      <c r="E2015" s="20" t="str">
        <f>CONCATENATE(T2015,"-",U2015,"-",C2015)</f>
        <v>HW2-E2-42968</v>
      </c>
      <c r="F2015" s="20" t="s">
        <v>106</v>
      </c>
      <c r="G2015" s="20" t="s">
        <v>278</v>
      </c>
      <c r="J2015" s="21">
        <v>1171</v>
      </c>
      <c r="T2015" s="16" t="s">
        <v>129</v>
      </c>
      <c r="U2015" s="16" t="s">
        <v>136</v>
      </c>
      <c r="AP2015" s="16">
        <f>SUM(AL2015:AN2015)</f>
        <v>0</v>
      </c>
      <c r="AT2015" s="16" t="s">
        <v>285</v>
      </c>
      <c r="AY2015" s="18"/>
      <c r="BG2015" s="23"/>
      <c r="BT2015" s="23"/>
      <c r="CD2015" s="23"/>
      <c r="DF2015" s="16" t="e">
        <f>VLOOKUP(K2015,'[3]RNA Seq summary tables'!$V$3:$V$99,1,FALSE)</f>
        <v>#N/A</v>
      </c>
      <c r="JO2015" s="27"/>
      <c r="JP2015" s="27"/>
      <c r="JQ2015" s="27"/>
    </row>
    <row r="2016" spans="2:288" x14ac:dyDescent="0.2">
      <c r="B2016" s="16">
        <v>2017</v>
      </c>
      <c r="C2016" s="20">
        <v>42915</v>
      </c>
      <c r="D2016" s="20" t="str">
        <f>CONCATENATE(J2016,"-",C2016)</f>
        <v>1172-42915</v>
      </c>
      <c r="E2016" s="20" t="str">
        <f>CONCATENATE(T2016,"-",U2016,"-",C2016)</f>
        <v>HW2-A4-42915</v>
      </c>
      <c r="F2016" s="20" t="s">
        <v>106</v>
      </c>
      <c r="G2016" s="20" t="s">
        <v>278</v>
      </c>
      <c r="J2016" s="21">
        <v>1172</v>
      </c>
      <c r="T2016" s="16" t="s">
        <v>129</v>
      </c>
      <c r="U2016" s="16" t="s">
        <v>134</v>
      </c>
      <c r="AP2016" s="16">
        <f>SUM(AL2016:AN2016)</f>
        <v>0</v>
      </c>
      <c r="AT2016" s="16" t="s">
        <v>285</v>
      </c>
      <c r="AY2016" s="18"/>
      <c r="BG2016" s="23"/>
      <c r="BT2016" s="23"/>
      <c r="CD2016" s="23"/>
      <c r="DF2016" s="16" t="e">
        <f>VLOOKUP(K2016,'[3]RNA Seq summary tables'!$V$3:$V$99,1,FALSE)</f>
        <v>#N/A</v>
      </c>
      <c r="JP2016" s="27"/>
      <c r="JQ2016" s="27"/>
      <c r="JR2016" s="27"/>
      <c r="JS2016" s="27"/>
      <c r="JT2016" s="27"/>
      <c r="JU2016" s="27"/>
      <c r="JV2016" s="27"/>
      <c r="JW2016" s="27"/>
      <c r="JX2016" s="27"/>
      <c r="JY2016" s="27"/>
      <c r="JZ2016" s="27"/>
      <c r="KA2016" s="27"/>
      <c r="KB2016" s="27"/>
    </row>
    <row r="2017" spans="2:288" x14ac:dyDescent="0.2">
      <c r="B2017" s="16">
        <v>2017</v>
      </c>
      <c r="C2017" s="43">
        <v>42916</v>
      </c>
      <c r="D2017" s="43" t="str">
        <f>CONCATENATE(J2017,"-",C2017)</f>
        <v>1172-42916</v>
      </c>
      <c r="E2017" s="20" t="str">
        <f>CONCATENATE(T2017,"-",U2017,"-",C2017)</f>
        <v>HW2-A4-42916</v>
      </c>
      <c r="F2017" s="20" t="s">
        <v>106</v>
      </c>
      <c r="G2017" s="43" t="s">
        <v>278</v>
      </c>
      <c r="H2017" s="23"/>
      <c r="I2017" s="23"/>
      <c r="J2017" s="15">
        <v>1172</v>
      </c>
      <c r="K2017" s="15"/>
      <c r="L2017" s="23"/>
      <c r="P2017" s="23"/>
      <c r="Q2017" s="23"/>
      <c r="R2017" s="23"/>
      <c r="S2017" s="23"/>
      <c r="T2017" s="23" t="s">
        <v>129</v>
      </c>
      <c r="U2017" s="23" t="s">
        <v>134</v>
      </c>
      <c r="V2017" s="23"/>
      <c r="W2017" s="23"/>
      <c r="X2017" s="23"/>
      <c r="Y2017" s="23"/>
      <c r="Z2017" s="23"/>
      <c r="AA2017" s="23"/>
      <c r="AB2017" s="23"/>
      <c r="AC2017" s="23"/>
      <c r="AD2017" s="23"/>
      <c r="AE2017" s="23"/>
      <c r="AF2017" s="23"/>
      <c r="AG2017" s="23"/>
      <c r="AH2017" s="23"/>
      <c r="AI2017" s="23"/>
      <c r="AJ2017" s="23"/>
      <c r="AK2017" s="23"/>
      <c r="AL2017" s="23"/>
      <c r="AM2017" s="23"/>
      <c r="AN2017" s="23"/>
      <c r="AO2017" s="23"/>
      <c r="AP2017" s="23">
        <f>SUM(AL2017:AN2017)</f>
        <v>0</v>
      </c>
      <c r="AQ2017" s="23"/>
      <c r="AR2017" s="23"/>
      <c r="AS2017" s="23"/>
      <c r="AT2017" s="16" t="s">
        <v>285</v>
      </c>
      <c r="AY2017" s="18"/>
      <c r="BG2017" s="23"/>
      <c r="BT2017" s="23"/>
      <c r="CD2017" s="23"/>
      <c r="DC2017" s="23"/>
      <c r="DD2017" s="23"/>
      <c r="DE2017" s="23"/>
      <c r="DF2017" s="16" t="e">
        <f>VLOOKUP(K2017,'[3]RNA Seq summary tables'!$V$3:$V$99,1,FALSE)</f>
        <v>#N/A</v>
      </c>
      <c r="DG2017" s="23"/>
      <c r="DH2017" s="23"/>
      <c r="DI2017" s="23"/>
      <c r="DJ2017" s="23"/>
      <c r="DK2017" s="23"/>
      <c r="DL2017" s="23"/>
      <c r="DM2017" s="23"/>
      <c r="DN2017" s="23"/>
      <c r="DO2017" s="23"/>
      <c r="DP2017" s="23"/>
      <c r="DQ2017" s="23"/>
      <c r="DR2017" s="23"/>
      <c r="DS2017" s="23"/>
      <c r="DT2017" s="25"/>
      <c r="DU2017" s="25"/>
      <c r="DV2017" s="25"/>
      <c r="DW2017" s="25"/>
      <c r="DX2017" s="25"/>
      <c r="DY2017" s="25"/>
      <c r="DZ2017" s="25"/>
      <c r="EA2017" s="25"/>
      <c r="EB2017" s="25"/>
      <c r="EC2017" s="25"/>
      <c r="ED2017" s="25"/>
      <c r="EE2017" s="25"/>
      <c r="EF2017" s="25"/>
      <c r="EG2017" s="25"/>
      <c r="EH2017" s="25"/>
      <c r="EI2017" s="25"/>
      <c r="EJ2017" s="25"/>
      <c r="EK2017" s="25"/>
      <c r="EL2017" s="25"/>
      <c r="EM2017" s="25"/>
      <c r="EN2017" s="25"/>
      <c r="EO2017" s="25"/>
      <c r="EP2017" s="25"/>
      <c r="EQ2017" s="25"/>
      <c r="ER2017" s="25"/>
      <c r="ES2017" s="25"/>
      <c r="ET2017" s="25"/>
      <c r="EU2017" s="25"/>
      <c r="EV2017" s="25"/>
      <c r="EW2017" s="25"/>
      <c r="EX2017" s="25"/>
      <c r="EY2017" s="25"/>
      <c r="EZ2017" s="25"/>
      <c r="FA2017" s="25"/>
      <c r="FB2017" s="25"/>
      <c r="FC2017" s="25"/>
      <c r="FD2017" s="25"/>
      <c r="FE2017" s="25"/>
      <c r="FF2017" s="25"/>
      <c r="FG2017" s="25"/>
      <c r="FH2017" s="25"/>
      <c r="FI2017" s="25"/>
      <c r="FJ2017" s="25"/>
      <c r="FK2017" s="25"/>
      <c r="FL2017" s="25"/>
      <c r="FM2017" s="25"/>
      <c r="FN2017" s="25"/>
      <c r="FO2017" s="25"/>
      <c r="FP2017" s="25"/>
      <c r="FQ2017" s="25"/>
      <c r="FR2017" s="25"/>
      <c r="FS2017" s="25"/>
      <c r="FT2017" s="25"/>
      <c r="FU2017" s="25"/>
      <c r="FV2017" s="25"/>
      <c r="FW2017" s="25"/>
      <c r="FX2017" s="25"/>
      <c r="FY2017" s="25"/>
      <c r="FZ2017" s="25"/>
      <c r="GA2017" s="25"/>
      <c r="GB2017" s="25"/>
      <c r="GC2017" s="25"/>
      <c r="GD2017" s="25"/>
      <c r="GE2017" s="25"/>
      <c r="GF2017" s="25"/>
      <c r="GG2017" s="25"/>
      <c r="GH2017" s="25"/>
      <c r="GI2017" s="25"/>
      <c r="GJ2017" s="25"/>
      <c r="GK2017" s="25"/>
      <c r="GL2017" s="25"/>
      <c r="GM2017" s="25"/>
      <c r="GN2017" s="25"/>
      <c r="GO2017" s="25"/>
      <c r="GP2017" s="25"/>
      <c r="GQ2017" s="25"/>
      <c r="GR2017" s="25"/>
      <c r="GS2017" s="25"/>
      <c r="GT2017" s="25"/>
      <c r="GU2017" s="25"/>
      <c r="GV2017" s="25"/>
      <c r="GW2017" s="25"/>
      <c r="GX2017" s="25"/>
      <c r="GY2017" s="25"/>
      <c r="GZ2017" s="25"/>
      <c r="HA2017" s="25"/>
      <c r="HB2017" s="25"/>
      <c r="HC2017" s="25"/>
      <c r="HD2017" s="25"/>
      <c r="HE2017" s="25"/>
      <c r="HF2017" s="25"/>
      <c r="HG2017" s="25"/>
      <c r="HH2017" s="25"/>
      <c r="HI2017" s="25"/>
      <c r="HJ2017" s="25"/>
      <c r="HK2017" s="25"/>
      <c r="HL2017" s="25"/>
      <c r="HM2017" s="25"/>
      <c r="HN2017" s="25"/>
      <c r="HO2017" s="25"/>
      <c r="HP2017" s="25"/>
      <c r="HQ2017" s="25"/>
      <c r="HR2017" s="25"/>
      <c r="HS2017" s="25"/>
      <c r="HT2017" s="25"/>
      <c r="HU2017" s="25"/>
      <c r="HV2017" s="25"/>
      <c r="HW2017" s="25"/>
      <c r="HX2017" s="25"/>
      <c r="HY2017" s="25"/>
      <c r="HZ2017" s="25"/>
      <c r="IA2017" s="25"/>
      <c r="IB2017" s="25"/>
      <c r="IC2017" s="25"/>
      <c r="ID2017" s="25"/>
      <c r="IE2017" s="25"/>
      <c r="IF2017" s="25"/>
      <c r="IG2017" s="25"/>
      <c r="IH2017" s="25"/>
      <c r="II2017" s="25"/>
      <c r="IJ2017" s="25"/>
      <c r="IK2017" s="25"/>
      <c r="IL2017" s="25"/>
      <c r="IM2017" s="25"/>
      <c r="IN2017" s="25"/>
      <c r="IO2017" s="25"/>
      <c r="IP2017" s="25"/>
      <c r="IQ2017" s="25"/>
      <c r="IR2017" s="25"/>
      <c r="IS2017" s="25"/>
      <c r="IT2017" s="25"/>
      <c r="IU2017" s="25"/>
      <c r="IV2017" s="25"/>
      <c r="IW2017" s="25"/>
      <c r="IX2017" s="25"/>
      <c r="IY2017" s="25"/>
      <c r="IZ2017" s="25"/>
      <c r="JA2017" s="25"/>
      <c r="JB2017" s="25"/>
      <c r="JC2017" s="25"/>
      <c r="JD2017" s="25"/>
      <c r="JE2017" s="25"/>
      <c r="JF2017" s="25"/>
      <c r="JG2017" s="25"/>
      <c r="JH2017" s="25"/>
      <c r="JI2017" s="25"/>
      <c r="JJ2017" s="25"/>
      <c r="JK2017" s="25"/>
      <c r="JL2017" s="25"/>
      <c r="JM2017" s="25"/>
      <c r="JN2017" s="25"/>
      <c r="JP2017" s="27"/>
      <c r="JQ2017" s="27"/>
      <c r="JR2017" s="27"/>
      <c r="JS2017" s="27"/>
      <c r="JT2017" s="27"/>
      <c r="JU2017" s="27"/>
      <c r="JV2017" s="27"/>
      <c r="JW2017" s="27"/>
      <c r="JX2017" s="27"/>
      <c r="JY2017" s="27"/>
      <c r="JZ2017" s="27"/>
      <c r="KA2017" s="27"/>
      <c r="KB2017" s="27"/>
    </row>
    <row r="2018" spans="2:288" x14ac:dyDescent="0.2">
      <c r="B2018" s="16">
        <v>2017</v>
      </c>
      <c r="C2018" s="20">
        <v>42950</v>
      </c>
      <c r="D2018" s="20" t="str">
        <f>CONCATENATE(J2018,"-",C2018)</f>
        <v>1172-42950</v>
      </c>
      <c r="E2018" s="20" t="str">
        <f>CONCATENATE(T2018,"-",U2018,"-",C2018)</f>
        <v>HW2-A6-42950</v>
      </c>
      <c r="F2018" s="20" t="s">
        <v>106</v>
      </c>
      <c r="G2018" s="20" t="s">
        <v>278</v>
      </c>
      <c r="J2018" s="21">
        <v>1172</v>
      </c>
      <c r="T2018" s="16" t="s">
        <v>129</v>
      </c>
      <c r="U2018" s="16" t="s">
        <v>147</v>
      </c>
      <c r="AP2018" s="16">
        <f>SUM(AL2018:AN2018)</f>
        <v>0</v>
      </c>
      <c r="AT2018" s="16" t="s">
        <v>285</v>
      </c>
      <c r="AY2018" s="18"/>
      <c r="BG2018" s="23"/>
      <c r="BT2018" s="23"/>
      <c r="CD2018" s="23"/>
      <c r="DF2018" s="16" t="e">
        <f>VLOOKUP(K2018,'[3]RNA Seq summary tables'!$V$3:$V$99,1,FALSE)</f>
        <v>#N/A</v>
      </c>
      <c r="JO2018" s="27"/>
      <c r="JP2018" s="27"/>
      <c r="JQ2018" s="27"/>
    </row>
    <row r="2019" spans="2:288" x14ac:dyDescent="0.2">
      <c r="B2019" s="16">
        <v>2017</v>
      </c>
      <c r="C2019" s="20">
        <v>42967</v>
      </c>
      <c r="D2019" s="20" t="str">
        <f>CONCATENATE(J2019,"-",C2019)</f>
        <v>1172-42967</v>
      </c>
      <c r="E2019" s="20" t="str">
        <f>CONCATENATE(T2019,"-",U2019,"-",C2019)</f>
        <v>HW2-B3-42967</v>
      </c>
      <c r="F2019" s="20" t="s">
        <v>106</v>
      </c>
      <c r="G2019" s="20" t="s">
        <v>278</v>
      </c>
      <c r="J2019" s="21">
        <v>1172</v>
      </c>
      <c r="T2019" s="16" t="s">
        <v>129</v>
      </c>
      <c r="U2019" s="16" t="s">
        <v>131</v>
      </c>
      <c r="AP2019" s="16">
        <f>SUM(AL2019:AN2019)</f>
        <v>0</v>
      </c>
      <c r="AT2019" s="16" t="s">
        <v>285</v>
      </c>
      <c r="AY2019" s="18"/>
      <c r="BG2019" s="23"/>
      <c r="BT2019" s="23"/>
      <c r="CD2019" s="23"/>
      <c r="DF2019" s="16" t="e">
        <f>VLOOKUP(K2019,'[3]RNA Seq summary tables'!$V$3:$V$99,1,FALSE)</f>
        <v>#N/A</v>
      </c>
      <c r="JO2019" s="27"/>
      <c r="JP2019" s="27"/>
      <c r="JQ2019" s="27"/>
    </row>
    <row r="2020" spans="2:288" x14ac:dyDescent="0.2">
      <c r="B2020" s="16">
        <v>2017</v>
      </c>
      <c r="C2020" s="20">
        <v>42968</v>
      </c>
      <c r="D2020" s="20" t="str">
        <f>CONCATENATE(J2020,"-",C2020)</f>
        <v>1172-42968</v>
      </c>
      <c r="E2020" s="20" t="str">
        <f>CONCATENATE(T2020,"-",U2020,"-",C2020)</f>
        <v>HW2-A1-42968</v>
      </c>
      <c r="F2020" s="20" t="s">
        <v>106</v>
      </c>
      <c r="G2020" s="20" t="s">
        <v>278</v>
      </c>
      <c r="J2020" s="21">
        <v>1172</v>
      </c>
      <c r="T2020" s="16" t="s">
        <v>129</v>
      </c>
      <c r="U2020" s="16" t="s">
        <v>210</v>
      </c>
      <c r="AP2020" s="16">
        <f>SUM(AL2020:AN2020)</f>
        <v>0</v>
      </c>
      <c r="AT2020" s="16" t="s">
        <v>285</v>
      </c>
      <c r="AY2020" s="18"/>
      <c r="BG2020" s="23"/>
      <c r="BT2020" s="23"/>
      <c r="CD2020" s="23"/>
      <c r="DF2020" s="16" t="e">
        <f>VLOOKUP(K2020,'[3]RNA Seq summary tables'!$V$3:$V$99,1,FALSE)</f>
        <v>#N/A</v>
      </c>
      <c r="JO2020" s="27"/>
      <c r="JP2020" s="27"/>
      <c r="JQ2020" s="27"/>
    </row>
    <row r="2021" spans="2:288" x14ac:dyDescent="0.2">
      <c r="B2021" s="16">
        <v>2017</v>
      </c>
      <c r="C2021" s="20">
        <v>42915</v>
      </c>
      <c r="D2021" s="20" t="str">
        <f>CONCATENATE(J2021,"-",C2021)</f>
        <v>1174-42915</v>
      </c>
      <c r="E2021" s="20" t="str">
        <f>CONCATENATE(T2021,"-",U2021,"-",C2021)</f>
        <v>HW2-D2-42915</v>
      </c>
      <c r="F2021" s="20" t="s">
        <v>106</v>
      </c>
      <c r="G2021" s="20" t="s">
        <v>278</v>
      </c>
      <c r="J2021" s="21">
        <v>1174</v>
      </c>
      <c r="T2021" s="16" t="s">
        <v>129</v>
      </c>
      <c r="U2021" s="16" t="s">
        <v>198</v>
      </c>
      <c r="AP2021" s="16">
        <f>SUM(AL2021:AN2021)</f>
        <v>0</v>
      </c>
      <c r="AT2021" s="16" t="s">
        <v>285</v>
      </c>
      <c r="AY2021" s="18"/>
      <c r="BG2021" s="23"/>
      <c r="BT2021" s="23"/>
      <c r="CD2021" s="23"/>
      <c r="DF2021" s="16" t="e">
        <f>VLOOKUP(K2021,'[3]RNA Seq summary tables'!$V$3:$V$99,1,FALSE)</f>
        <v>#N/A</v>
      </c>
      <c r="JP2021" s="18"/>
      <c r="JQ2021" s="18"/>
      <c r="JR2021" s="27"/>
      <c r="JS2021" s="27"/>
      <c r="JT2021" s="27"/>
      <c r="JU2021" s="27"/>
      <c r="JV2021" s="27"/>
      <c r="JW2021" s="27"/>
      <c r="JX2021" s="27"/>
      <c r="JY2021" s="27"/>
      <c r="JZ2021" s="27"/>
      <c r="KA2021" s="27"/>
      <c r="KB2021" s="27"/>
    </row>
    <row r="2022" spans="2:288" x14ac:dyDescent="0.2">
      <c r="B2022" s="16">
        <v>2017</v>
      </c>
      <c r="C2022" s="20">
        <v>42916</v>
      </c>
      <c r="D2022" s="20" t="str">
        <f>CONCATENATE(J2022,"-",C2022)</f>
        <v>1174-42916</v>
      </c>
      <c r="E2022" s="20" t="str">
        <f>CONCATENATE(T2022,"-",U2022,"-",C2022)</f>
        <v>HW2-E1-42916</v>
      </c>
      <c r="F2022" s="20" t="s">
        <v>106</v>
      </c>
      <c r="G2022" s="20" t="s">
        <v>278</v>
      </c>
      <c r="J2022" s="21">
        <v>1174</v>
      </c>
      <c r="T2022" s="16" t="s">
        <v>129</v>
      </c>
      <c r="U2022" s="16" t="s">
        <v>222</v>
      </c>
      <c r="AP2022" s="16">
        <f>SUM(AL2022:AN2022)</f>
        <v>0</v>
      </c>
      <c r="AT2022" s="16" t="s">
        <v>285</v>
      </c>
      <c r="AY2022" s="18"/>
      <c r="BG2022" s="23"/>
      <c r="BT2022" s="23"/>
      <c r="CD2022" s="23"/>
      <c r="DF2022" s="16" t="e">
        <f>VLOOKUP(K2022,'[3]RNA Seq summary tables'!$V$3:$V$99,1,FALSE)</f>
        <v>#N/A</v>
      </c>
      <c r="JP2022" s="27"/>
      <c r="JQ2022" s="27"/>
      <c r="JR2022" s="27"/>
      <c r="JS2022" s="27"/>
      <c r="JT2022" s="27"/>
      <c r="JU2022" s="27"/>
      <c r="JV2022" s="27"/>
      <c r="JW2022" s="27"/>
      <c r="JX2022" s="27"/>
      <c r="JY2022" s="27"/>
      <c r="JZ2022" s="27"/>
      <c r="KA2022" s="27"/>
      <c r="KB2022" s="27"/>
    </row>
    <row r="2023" spans="2:288" x14ac:dyDescent="0.2">
      <c r="B2023" s="16">
        <v>2017</v>
      </c>
      <c r="C2023" s="20">
        <v>42915</v>
      </c>
      <c r="D2023" s="20" t="str">
        <f>CONCATENATE(J2023,"-",C2023)</f>
        <v>1175-42915</v>
      </c>
      <c r="E2023" s="20" t="str">
        <f>CONCATENATE(T2023,"-",U2023,"-",C2023)</f>
        <v>HW2-B2-42915</v>
      </c>
      <c r="F2023" s="20" t="s">
        <v>106</v>
      </c>
      <c r="G2023" s="20" t="s">
        <v>278</v>
      </c>
      <c r="J2023" s="21">
        <v>1175</v>
      </c>
      <c r="T2023" s="16" t="s">
        <v>129</v>
      </c>
      <c r="U2023" s="16" t="s">
        <v>130</v>
      </c>
      <c r="AP2023" s="16">
        <f>SUM(AL2023:AN2023)</f>
        <v>0</v>
      </c>
      <c r="AT2023" s="16" t="s">
        <v>285</v>
      </c>
      <c r="AY2023" s="18"/>
      <c r="BG2023" s="23"/>
      <c r="BT2023" s="23"/>
      <c r="CD2023" s="23"/>
      <c r="DF2023" s="16" t="e">
        <f>VLOOKUP(K2023,'[3]RNA Seq summary tables'!$V$3:$V$99,1,FALSE)</f>
        <v>#N/A</v>
      </c>
      <c r="JP2023" s="27"/>
      <c r="JQ2023" s="27"/>
      <c r="JR2023" s="27"/>
      <c r="JS2023" s="27"/>
      <c r="JT2023" s="27"/>
      <c r="JU2023" s="27"/>
      <c r="JV2023" s="27"/>
      <c r="JW2023" s="27"/>
      <c r="JX2023" s="27"/>
      <c r="JY2023" s="27"/>
      <c r="JZ2023" s="27"/>
      <c r="KA2023" s="27"/>
      <c r="KB2023" s="27"/>
    </row>
    <row r="2024" spans="2:288" x14ac:dyDescent="0.2">
      <c r="B2024" s="18">
        <v>2017</v>
      </c>
      <c r="C2024" s="37">
        <v>42915</v>
      </c>
      <c r="D2024" s="37" t="str">
        <f>CONCATENATE(J2024,"-",C2024)</f>
        <v>1175-42915</v>
      </c>
      <c r="E2024" s="20" t="str">
        <f>CONCATENATE(T2024,"-",U2024,"-",C2024)</f>
        <v>HW2-H2-42915</v>
      </c>
      <c r="F2024" s="20" t="s">
        <v>106</v>
      </c>
      <c r="G2024" s="37" t="s">
        <v>278</v>
      </c>
      <c r="H2024" s="18"/>
      <c r="I2024" s="18"/>
      <c r="J2024" s="36">
        <v>1175</v>
      </c>
      <c r="K2024" s="36"/>
      <c r="L2024" s="18"/>
      <c r="M2024" s="36"/>
      <c r="N2024" s="36"/>
      <c r="O2024" s="36"/>
      <c r="P2024" s="18"/>
      <c r="Q2024" s="18"/>
      <c r="R2024" s="18"/>
      <c r="S2024" s="18"/>
      <c r="T2024" s="18" t="s">
        <v>129</v>
      </c>
      <c r="U2024" s="18" t="s">
        <v>190</v>
      </c>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f>SUM(AL2024:AN2024)</f>
        <v>0</v>
      </c>
      <c r="AQ2024" s="18"/>
      <c r="AR2024" s="18"/>
      <c r="AS2024" s="18"/>
      <c r="AT2024" s="18" t="s">
        <v>285</v>
      </c>
      <c r="AU2024" s="18"/>
      <c r="AV2024" s="18"/>
      <c r="AW2024" s="18"/>
      <c r="AX2024" s="18"/>
      <c r="AY2024" s="18"/>
      <c r="AZ2024" s="18"/>
      <c r="BA2024" s="18"/>
      <c r="BB2024" s="18"/>
      <c r="BC2024" s="18"/>
      <c r="BD2024" s="18"/>
      <c r="BE2024" s="18"/>
      <c r="BF2024" s="18"/>
      <c r="BG2024" s="25"/>
      <c r="BH2024" s="18"/>
      <c r="BI2024" s="18"/>
      <c r="BJ2024" s="18"/>
      <c r="BK2024" s="18"/>
      <c r="BL2024" s="18"/>
      <c r="BM2024" s="18"/>
      <c r="BN2024" s="18"/>
      <c r="BO2024" s="18"/>
      <c r="BP2024" s="18"/>
      <c r="BQ2024" s="18"/>
      <c r="BR2024" s="18"/>
      <c r="BS2024" s="18"/>
      <c r="BT2024" s="25"/>
      <c r="BU2024" s="18"/>
      <c r="BV2024" s="18"/>
      <c r="BW2024" s="18"/>
      <c r="BX2024" s="18"/>
      <c r="BY2024" s="18"/>
      <c r="BZ2024" s="18"/>
      <c r="CA2024" s="18"/>
      <c r="CB2024" s="18"/>
      <c r="CC2024" s="18"/>
      <c r="CD2024" s="25"/>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6" t="e">
        <f>VLOOKUP(K2024,'[3]RNA Seq summary tables'!$V$3:$V$99,1,FALSE)</f>
        <v>#N/A</v>
      </c>
      <c r="DG2024" s="18"/>
      <c r="DH2024" s="18"/>
      <c r="DI2024" s="18"/>
      <c r="DJ2024" s="18"/>
      <c r="DK2024" s="18"/>
      <c r="DL2024" s="18"/>
      <c r="DM2024" s="18"/>
      <c r="DN2024" s="18"/>
      <c r="DO2024" s="18"/>
      <c r="DP2024" s="18"/>
      <c r="DQ2024" s="18"/>
      <c r="DR2024" s="18"/>
      <c r="DS2024" s="18"/>
      <c r="JP2024" s="27"/>
      <c r="JQ2024" s="27"/>
      <c r="JR2024" s="27"/>
      <c r="JS2024" s="27"/>
      <c r="JT2024" s="27"/>
      <c r="JU2024" s="27"/>
      <c r="JV2024" s="27"/>
      <c r="JW2024" s="27"/>
      <c r="JX2024" s="27"/>
      <c r="JY2024" s="27"/>
      <c r="JZ2024" s="27"/>
      <c r="KA2024" s="27"/>
      <c r="KB2024" s="27"/>
    </row>
    <row r="2025" spans="2:288" x14ac:dyDescent="0.2">
      <c r="B2025" s="16">
        <v>2017</v>
      </c>
      <c r="C2025" s="20">
        <v>42915</v>
      </c>
      <c r="D2025" s="20" t="str">
        <f>CONCATENATE(J2025,"-",C2025)</f>
        <v>1176-42915</v>
      </c>
      <c r="E2025" s="20" t="str">
        <f>CONCATENATE(T2025,"-",U2025,"-",C2025)</f>
        <v>HW2-G8-42915</v>
      </c>
      <c r="F2025" s="20" t="s">
        <v>106</v>
      </c>
      <c r="G2025" s="20" t="s">
        <v>278</v>
      </c>
      <c r="J2025" s="21">
        <v>1176</v>
      </c>
      <c r="T2025" s="16" t="s">
        <v>129</v>
      </c>
      <c r="U2025" s="16" t="s">
        <v>216</v>
      </c>
      <c r="AP2025" s="16">
        <f>SUM(AL2025:AN2025)</f>
        <v>0</v>
      </c>
      <c r="AT2025" s="16" t="s">
        <v>285</v>
      </c>
      <c r="AY2025" s="18"/>
      <c r="BG2025" s="23"/>
      <c r="BT2025" s="23"/>
      <c r="CD2025" s="23"/>
      <c r="DF2025" s="16" t="e">
        <f>VLOOKUP(K2025,'[3]RNA Seq summary tables'!$V$3:$V$99,1,FALSE)</f>
        <v>#N/A</v>
      </c>
      <c r="JO2025" s="18"/>
      <c r="JP2025" s="27"/>
      <c r="JQ2025" s="27"/>
      <c r="JR2025" s="27"/>
      <c r="JS2025" s="27"/>
      <c r="JT2025" s="27"/>
      <c r="JU2025" s="27"/>
      <c r="JV2025" s="27"/>
      <c r="JW2025" s="27"/>
      <c r="JX2025" s="27"/>
      <c r="JY2025" s="27"/>
      <c r="JZ2025" s="27"/>
      <c r="KA2025" s="27"/>
      <c r="KB2025" s="27"/>
    </row>
    <row r="2026" spans="2:288" x14ac:dyDescent="0.2">
      <c r="B2026" s="16">
        <v>2017</v>
      </c>
      <c r="C2026" s="20">
        <v>42931</v>
      </c>
      <c r="D2026" s="20" t="str">
        <f>CONCATENATE(J2026,"-",C2026)</f>
        <v>1176-42931</v>
      </c>
      <c r="E2026" s="20" t="str">
        <f>CONCATENATE(T2026,"-",U2026,"-",C2026)</f>
        <v>HW2-G6-42931</v>
      </c>
      <c r="F2026" s="20" t="s">
        <v>106</v>
      </c>
      <c r="G2026" s="20" t="s">
        <v>278</v>
      </c>
      <c r="J2026" s="21">
        <v>1176</v>
      </c>
      <c r="T2026" s="16" t="s">
        <v>129</v>
      </c>
      <c r="U2026" s="16" t="s">
        <v>218</v>
      </c>
      <c r="AP2026" s="16">
        <f>SUM(AL2026:AN2026)</f>
        <v>0</v>
      </c>
      <c r="AQ2026" s="18"/>
      <c r="AT2026" s="16" t="s">
        <v>285</v>
      </c>
      <c r="AY2026" s="18"/>
      <c r="BG2026" s="23"/>
      <c r="BT2026" s="23"/>
      <c r="CD2026" s="23"/>
      <c r="DF2026" s="16" t="e">
        <f>VLOOKUP(K2026,'[3]RNA Seq summary tables'!$V$3:$V$99,1,FALSE)</f>
        <v>#N/A</v>
      </c>
      <c r="JO2026" s="18"/>
      <c r="JP2026" s="27"/>
      <c r="JQ2026" s="27"/>
      <c r="JR2026" s="18"/>
      <c r="JS2026" s="18"/>
      <c r="JT2026" s="18"/>
      <c r="JU2026" s="18"/>
      <c r="JV2026" s="18"/>
      <c r="JW2026" s="18"/>
      <c r="JX2026" s="18"/>
      <c r="JY2026" s="18"/>
      <c r="JZ2026" s="18"/>
      <c r="KA2026" s="18"/>
      <c r="KB2026" s="18"/>
    </row>
    <row r="2027" spans="2:288" x14ac:dyDescent="0.2">
      <c r="B2027" s="16">
        <v>2017</v>
      </c>
      <c r="C2027" s="20">
        <v>42932</v>
      </c>
      <c r="D2027" s="20" t="str">
        <f>CONCATENATE(J2027,"-",C2027)</f>
        <v>1176-42932</v>
      </c>
      <c r="E2027" s="20" t="str">
        <f>CONCATENATE(T2027,"-",U2027,"-",C2027)</f>
        <v>HW2-G8-42932</v>
      </c>
      <c r="F2027" s="20" t="s">
        <v>106</v>
      </c>
      <c r="G2027" s="20" t="s">
        <v>278</v>
      </c>
      <c r="J2027" s="21">
        <v>1176</v>
      </c>
      <c r="T2027" s="16" t="s">
        <v>129</v>
      </c>
      <c r="U2027" s="16" t="s">
        <v>216</v>
      </c>
      <c r="AP2027" s="16">
        <f>SUM(AL2027:AN2027)</f>
        <v>0</v>
      </c>
      <c r="AT2027" s="16" t="s">
        <v>285</v>
      </c>
      <c r="AY2027" s="18"/>
      <c r="BG2027" s="23"/>
      <c r="BT2027" s="23"/>
      <c r="CD2027" s="23"/>
      <c r="DF2027" s="16" t="e">
        <f>VLOOKUP(K2027,'[3]RNA Seq summary tables'!$V$3:$V$99,1,FALSE)</f>
        <v>#N/A</v>
      </c>
      <c r="JO2027" s="27"/>
      <c r="JP2027" s="27"/>
      <c r="JQ2027" s="27"/>
      <c r="JR2027" s="27"/>
      <c r="JS2027" s="27"/>
      <c r="JT2027" s="27"/>
      <c r="JU2027" s="27"/>
      <c r="JV2027" s="27"/>
      <c r="JW2027" s="27"/>
      <c r="JX2027" s="27"/>
      <c r="JY2027" s="27"/>
      <c r="JZ2027" s="27"/>
      <c r="KA2027" s="27"/>
      <c r="KB2027" s="27"/>
    </row>
    <row r="2028" spans="2:288" x14ac:dyDescent="0.2">
      <c r="B2028" s="16">
        <v>2017</v>
      </c>
      <c r="C2028" s="20">
        <v>42915</v>
      </c>
      <c r="D2028" s="20" t="str">
        <f>CONCATENATE(J2028,"-",C2028)</f>
        <v>1177-42915</v>
      </c>
      <c r="E2028" s="20" t="str">
        <f>CONCATENATE(T2028,"-",U2028,"-",C2028)</f>
        <v>HW1-B2-42915</v>
      </c>
      <c r="F2028" s="20" t="s">
        <v>106</v>
      </c>
      <c r="G2028" s="20" t="s">
        <v>278</v>
      </c>
      <c r="J2028" s="21">
        <v>1177</v>
      </c>
      <c r="T2028" s="16" t="s">
        <v>133</v>
      </c>
      <c r="U2028" s="16" t="s">
        <v>130</v>
      </c>
      <c r="AP2028" s="16">
        <f>SUM(AL2028:AN2028)</f>
        <v>0</v>
      </c>
      <c r="AT2028" s="16" t="s">
        <v>285</v>
      </c>
      <c r="AY2028" s="18"/>
      <c r="BG2028" s="23"/>
      <c r="BT2028" s="23"/>
      <c r="CD2028" s="23"/>
      <c r="DF2028" s="16" t="e">
        <f>VLOOKUP(K2028,'[3]RNA Seq summary tables'!$V$3:$V$99,1,FALSE)</f>
        <v>#N/A</v>
      </c>
      <c r="JP2028" s="27"/>
      <c r="JQ2028" s="27"/>
      <c r="JR2028" s="27"/>
      <c r="JS2028" s="27"/>
      <c r="JT2028" s="27"/>
      <c r="JU2028" s="27"/>
      <c r="JV2028" s="27"/>
      <c r="JW2028" s="27"/>
      <c r="JX2028" s="27"/>
      <c r="JY2028" s="27"/>
      <c r="JZ2028" s="27"/>
      <c r="KA2028" s="27"/>
      <c r="KB2028" s="27"/>
    </row>
    <row r="2029" spans="2:288" x14ac:dyDescent="0.2">
      <c r="B2029" s="16">
        <v>2017</v>
      </c>
      <c r="C2029" s="20">
        <v>42916</v>
      </c>
      <c r="D2029" s="20" t="str">
        <f>CONCATENATE(J2029,"-",C2029)</f>
        <v>1177-42916</v>
      </c>
      <c r="E2029" s="20" t="str">
        <f>CONCATENATE(T2029,"-",U2029,"-",C2029)</f>
        <v>HW1-D2-42916</v>
      </c>
      <c r="F2029" s="20" t="s">
        <v>106</v>
      </c>
      <c r="G2029" s="20" t="s">
        <v>278</v>
      </c>
      <c r="J2029" s="21">
        <v>1177</v>
      </c>
      <c r="T2029" s="16" t="s">
        <v>133</v>
      </c>
      <c r="U2029" s="16" t="s">
        <v>198</v>
      </c>
      <c r="AP2029" s="16">
        <f>SUM(AL2029:AN2029)</f>
        <v>0</v>
      </c>
      <c r="AT2029" s="16" t="s">
        <v>285</v>
      </c>
      <c r="AY2029" s="18"/>
      <c r="BG2029" s="23"/>
      <c r="BT2029" s="23"/>
      <c r="CD2029" s="23"/>
      <c r="DF2029" s="16" t="e">
        <f>VLOOKUP(K2029,'[3]RNA Seq summary tables'!$V$3:$V$99,1,FALSE)</f>
        <v>#N/A</v>
      </c>
      <c r="JP2029" s="27"/>
      <c r="JQ2029" s="27"/>
      <c r="JR2029" s="27"/>
      <c r="JS2029" s="27"/>
      <c r="JT2029" s="27"/>
      <c r="JU2029" s="27"/>
      <c r="JV2029" s="27"/>
      <c r="JW2029" s="27"/>
      <c r="JX2029" s="27"/>
      <c r="JY2029" s="27"/>
      <c r="JZ2029" s="27"/>
      <c r="KA2029" s="27"/>
      <c r="KB2029" s="27"/>
    </row>
    <row r="2030" spans="2:288" x14ac:dyDescent="0.2">
      <c r="B2030" s="16">
        <v>2017</v>
      </c>
      <c r="C2030" s="20">
        <v>42915</v>
      </c>
      <c r="D2030" s="20" t="str">
        <f>CONCATENATE(J2030,"-",C2030)</f>
        <v>1178-42915</v>
      </c>
      <c r="E2030" s="20" t="str">
        <f>CONCATENATE(T2030,"-",U2030,"-",C2030)</f>
        <v>HW1-B5-42915</v>
      </c>
      <c r="F2030" s="20" t="s">
        <v>106</v>
      </c>
      <c r="G2030" s="20" t="s">
        <v>278</v>
      </c>
      <c r="J2030" s="21">
        <v>1178</v>
      </c>
      <c r="T2030" s="16" t="s">
        <v>133</v>
      </c>
      <c r="U2030" s="16" t="s">
        <v>160</v>
      </c>
      <c r="AP2030" s="16">
        <f>SUM(AL2030:AN2030)</f>
        <v>0</v>
      </c>
      <c r="AT2030" s="16" t="s">
        <v>285</v>
      </c>
      <c r="AY2030" s="18"/>
      <c r="BG2030" s="23"/>
      <c r="BT2030" s="23"/>
      <c r="CD2030" s="23"/>
      <c r="DF2030" s="16" t="e">
        <f>VLOOKUP(K2030,'[3]RNA Seq summary tables'!$V$3:$V$99,1,FALSE)</f>
        <v>#N/A</v>
      </c>
      <c r="JP2030" s="27"/>
      <c r="JQ2030" s="27"/>
      <c r="JR2030" s="27"/>
      <c r="JS2030" s="27"/>
      <c r="JT2030" s="27"/>
      <c r="JU2030" s="27"/>
      <c r="JV2030" s="27"/>
      <c r="JW2030" s="27"/>
      <c r="JX2030" s="27"/>
      <c r="JY2030" s="27"/>
      <c r="JZ2030" s="27"/>
      <c r="KA2030" s="27"/>
      <c r="KB2030" s="27"/>
    </row>
    <row r="2031" spans="2:288" x14ac:dyDescent="0.2">
      <c r="B2031" s="16">
        <v>2017</v>
      </c>
      <c r="C2031" s="20">
        <v>42916</v>
      </c>
      <c r="D2031" s="20" t="str">
        <f>CONCATENATE(J2031,"-",C2031)</f>
        <v>1178-42916</v>
      </c>
      <c r="E2031" s="20" t="str">
        <f>CONCATENATE(T2031,"-",U2031,"-",C2031)</f>
        <v>HW1-A3-42916</v>
      </c>
      <c r="F2031" s="20" t="s">
        <v>106</v>
      </c>
      <c r="G2031" s="20" t="s">
        <v>278</v>
      </c>
      <c r="J2031" s="21">
        <v>1178</v>
      </c>
      <c r="T2031" s="16" t="s">
        <v>133</v>
      </c>
      <c r="U2031" s="16" t="s">
        <v>201</v>
      </c>
      <c r="AP2031" s="16">
        <f>SUM(AL2031:AN2031)</f>
        <v>0</v>
      </c>
      <c r="AT2031" s="16" t="s">
        <v>285</v>
      </c>
      <c r="AY2031" s="18"/>
      <c r="BG2031" s="23"/>
      <c r="BT2031" s="23"/>
      <c r="CD2031" s="23"/>
      <c r="DF2031" s="16" t="e">
        <f>VLOOKUP(K2031,'[3]RNA Seq summary tables'!$V$3:$V$99,1,FALSE)</f>
        <v>#N/A</v>
      </c>
      <c r="JP2031" s="27"/>
      <c r="JQ2031" s="27"/>
      <c r="JR2031" s="27"/>
      <c r="JS2031" s="27"/>
      <c r="JT2031" s="27"/>
      <c r="JU2031" s="27"/>
      <c r="JV2031" s="27"/>
      <c r="JW2031" s="27"/>
      <c r="JX2031" s="27"/>
      <c r="JY2031" s="27"/>
      <c r="JZ2031" s="27"/>
      <c r="KA2031" s="27"/>
      <c r="KB2031" s="27"/>
    </row>
    <row r="2032" spans="2:288" x14ac:dyDescent="0.2">
      <c r="B2032" s="16">
        <v>2017</v>
      </c>
      <c r="C2032" s="20">
        <v>42915</v>
      </c>
      <c r="D2032" s="20" t="str">
        <f>CONCATENATE(J2032,"-",C2032)</f>
        <v>1179-42915</v>
      </c>
      <c r="E2032" s="20" t="str">
        <f>CONCATENATE(T2032,"-",U2032,"-",C2032)</f>
        <v>HW1-D3-42915</v>
      </c>
      <c r="F2032" s="20" t="s">
        <v>106</v>
      </c>
      <c r="G2032" s="20" t="s">
        <v>278</v>
      </c>
      <c r="J2032" s="21">
        <v>1179</v>
      </c>
      <c r="T2032" s="16" t="s">
        <v>133</v>
      </c>
      <c r="U2032" s="16" t="s">
        <v>149</v>
      </c>
      <c r="AP2032" s="16">
        <f>SUM(AL2032:AN2032)</f>
        <v>0</v>
      </c>
      <c r="AT2032" s="16" t="s">
        <v>285</v>
      </c>
      <c r="AY2032" s="18"/>
      <c r="BG2032" s="23"/>
      <c r="BT2032" s="23"/>
      <c r="CD2032" s="23"/>
      <c r="DF2032" s="16" t="e">
        <f>VLOOKUP(K2032,'[3]RNA Seq summary tables'!$V$3:$V$99,1,FALSE)</f>
        <v>#N/A</v>
      </c>
      <c r="JP2032" s="27"/>
      <c r="JQ2032" s="27"/>
      <c r="JR2032" s="27"/>
      <c r="JS2032" s="27"/>
      <c r="JT2032" s="27"/>
      <c r="JU2032" s="27"/>
      <c r="JV2032" s="27"/>
      <c r="JW2032" s="27"/>
      <c r="JX2032" s="27"/>
      <c r="JY2032" s="27"/>
      <c r="JZ2032" s="27"/>
      <c r="KA2032" s="27"/>
      <c r="KB2032" s="27"/>
    </row>
    <row r="2033" spans="2:288" x14ac:dyDescent="0.2">
      <c r="B2033" s="16">
        <v>2017</v>
      </c>
      <c r="C2033" s="20">
        <v>42916</v>
      </c>
      <c r="D2033" s="20" t="str">
        <f>CONCATENATE(J2033,"-",C2033)</f>
        <v>1179-42916</v>
      </c>
      <c r="E2033" s="20" t="str">
        <f>CONCATENATE(T2033,"-",U2033,"-",C2033)</f>
        <v>HW1-E4-42916</v>
      </c>
      <c r="F2033" s="20" t="s">
        <v>106</v>
      </c>
      <c r="G2033" s="20" t="s">
        <v>278</v>
      </c>
      <c r="J2033" s="21">
        <v>1179</v>
      </c>
      <c r="T2033" s="16" t="s">
        <v>133</v>
      </c>
      <c r="U2033" s="16" t="s">
        <v>206</v>
      </c>
      <c r="AP2033" s="16">
        <f>SUM(AL2033:AN2033)</f>
        <v>0</v>
      </c>
      <c r="AT2033" s="16" t="s">
        <v>285</v>
      </c>
      <c r="AY2033" s="18"/>
      <c r="BG2033" s="23"/>
      <c r="BT2033" s="23"/>
      <c r="CD2033" s="23"/>
      <c r="DF2033" s="16" t="e">
        <f>VLOOKUP(K2033,'[3]RNA Seq summary tables'!$V$3:$V$99,1,FALSE)</f>
        <v>#N/A</v>
      </c>
      <c r="JP2033" s="27"/>
      <c r="JQ2033" s="27"/>
      <c r="JR2033" s="27"/>
      <c r="JS2033" s="27"/>
      <c r="JT2033" s="27"/>
      <c r="JU2033" s="27"/>
      <c r="JV2033" s="27"/>
      <c r="JW2033" s="27"/>
      <c r="JX2033" s="27"/>
      <c r="JY2033" s="27"/>
      <c r="JZ2033" s="27"/>
      <c r="KA2033" s="27"/>
      <c r="KB2033" s="27"/>
    </row>
    <row r="2034" spans="2:288" x14ac:dyDescent="0.2">
      <c r="B2034" s="16">
        <v>2017</v>
      </c>
      <c r="C2034" s="20">
        <v>42967</v>
      </c>
      <c r="D2034" s="20" t="str">
        <f>CONCATENATE(J2034,"-",C2034)</f>
        <v>1179-42967</v>
      </c>
      <c r="E2034" s="20" t="str">
        <f>CONCATENATE(T2034,"-",U2034,"-",C2034)</f>
        <v>HW1-B2-42967</v>
      </c>
      <c r="F2034" s="20" t="s">
        <v>106</v>
      </c>
      <c r="G2034" s="20" t="s">
        <v>278</v>
      </c>
      <c r="J2034" s="21">
        <v>1179</v>
      </c>
      <c r="T2034" s="16" t="s">
        <v>133</v>
      </c>
      <c r="U2034" s="16" t="s">
        <v>130</v>
      </c>
      <c r="AP2034" s="16">
        <f>SUM(AL2034:AN2034)</f>
        <v>0</v>
      </c>
      <c r="AT2034" s="16" t="s">
        <v>285</v>
      </c>
      <c r="AY2034" s="18"/>
      <c r="BG2034" s="23"/>
      <c r="BT2034" s="23"/>
      <c r="CD2034" s="23"/>
      <c r="DF2034" s="16" t="e">
        <f>VLOOKUP(K2034,'[3]RNA Seq summary tables'!$V$3:$V$99,1,FALSE)</f>
        <v>#N/A</v>
      </c>
      <c r="JO2034" s="27"/>
      <c r="JP2034" s="27"/>
      <c r="JQ2034" s="27"/>
    </row>
    <row r="2035" spans="2:288" x14ac:dyDescent="0.2">
      <c r="B2035" s="16">
        <v>2017</v>
      </c>
      <c r="C2035" s="20">
        <v>42968</v>
      </c>
      <c r="D2035" s="20" t="str">
        <f>CONCATENATE(J2035,"-",C2035)</f>
        <v>1179-42968</v>
      </c>
      <c r="E2035" s="20" t="str">
        <f>CONCATENATE(T2035,"-",U2035,"-",C2035)</f>
        <v>HW1-B2-42968</v>
      </c>
      <c r="F2035" s="20" t="s">
        <v>106</v>
      </c>
      <c r="G2035" s="20" t="s">
        <v>278</v>
      </c>
      <c r="J2035" s="21">
        <v>1179</v>
      </c>
      <c r="T2035" s="16" t="s">
        <v>133</v>
      </c>
      <c r="U2035" s="16" t="s">
        <v>130</v>
      </c>
      <c r="AP2035" s="16">
        <f>SUM(AL2035:AN2035)</f>
        <v>0</v>
      </c>
      <c r="AT2035" s="16" t="s">
        <v>285</v>
      </c>
      <c r="AY2035" s="18"/>
      <c r="BG2035" s="23"/>
      <c r="BT2035" s="23"/>
      <c r="CD2035" s="23"/>
      <c r="DF2035" s="16" t="e">
        <f>VLOOKUP(K2035,'[3]RNA Seq summary tables'!$V$3:$V$99,1,FALSE)</f>
        <v>#N/A</v>
      </c>
      <c r="JO2035" s="27"/>
      <c r="JP2035" s="27"/>
      <c r="JQ2035" s="27"/>
    </row>
    <row r="2036" spans="2:288" x14ac:dyDescent="0.2">
      <c r="B2036" s="16">
        <v>2017</v>
      </c>
      <c r="C2036" s="20">
        <v>42915</v>
      </c>
      <c r="D2036" s="20" t="str">
        <f>CONCATENATE(J2036,"-",C2036)</f>
        <v>1180-42915</v>
      </c>
      <c r="E2036" s="20" t="str">
        <f>CONCATENATE(T2036,"-",U2036,"-",C2036)</f>
        <v>HW1-D1-42915</v>
      </c>
      <c r="F2036" s="20" t="s">
        <v>106</v>
      </c>
      <c r="G2036" s="20" t="s">
        <v>278</v>
      </c>
      <c r="J2036" s="21">
        <v>1180</v>
      </c>
      <c r="T2036" s="16" t="s">
        <v>133</v>
      </c>
      <c r="U2036" s="16" t="s">
        <v>157</v>
      </c>
      <c r="AP2036" s="16">
        <f>SUM(AL2036:AN2036)</f>
        <v>0</v>
      </c>
      <c r="AT2036" s="16" t="s">
        <v>285</v>
      </c>
      <c r="AY2036" s="18"/>
      <c r="BG2036" s="23"/>
      <c r="BT2036" s="23"/>
      <c r="CD2036" s="23"/>
      <c r="DF2036" s="16" t="e">
        <f>VLOOKUP(K2036,'[3]RNA Seq summary tables'!$V$3:$V$99,1,FALSE)</f>
        <v>#N/A</v>
      </c>
      <c r="JP2036" s="27"/>
      <c r="JQ2036" s="27"/>
      <c r="JR2036" s="27"/>
      <c r="JS2036" s="27"/>
      <c r="JT2036" s="27"/>
      <c r="JU2036" s="27"/>
      <c r="JV2036" s="27"/>
      <c r="JW2036" s="27"/>
      <c r="JX2036" s="27"/>
      <c r="JY2036" s="27"/>
      <c r="JZ2036" s="27"/>
      <c r="KA2036" s="27"/>
      <c r="KB2036" s="27"/>
    </row>
    <row r="2037" spans="2:288" x14ac:dyDescent="0.2">
      <c r="B2037" s="16">
        <v>2017</v>
      </c>
      <c r="C2037" s="20">
        <v>42916</v>
      </c>
      <c r="D2037" s="20" t="str">
        <f>CONCATENATE(J2037,"-",C2037)</f>
        <v>1180-42916</v>
      </c>
      <c r="E2037" s="20" t="str">
        <f>CONCATENATE(T2037,"-",U2037,"-",C2037)</f>
        <v>HW1-D1-42916</v>
      </c>
      <c r="F2037" s="20" t="s">
        <v>106</v>
      </c>
      <c r="G2037" s="20" t="s">
        <v>278</v>
      </c>
      <c r="J2037" s="21">
        <v>1180</v>
      </c>
      <c r="T2037" s="16" t="s">
        <v>133</v>
      </c>
      <c r="U2037" s="16" t="s">
        <v>157</v>
      </c>
      <c r="AP2037" s="16">
        <f>SUM(AL2037:AN2037)</f>
        <v>0</v>
      </c>
      <c r="AT2037" s="16" t="s">
        <v>285</v>
      </c>
      <c r="AY2037" s="18"/>
      <c r="BG2037" s="23"/>
      <c r="BT2037" s="23"/>
      <c r="CD2037" s="23"/>
      <c r="DF2037" s="16" t="e">
        <f>VLOOKUP(K2037,'[3]RNA Seq summary tables'!$V$3:$V$99,1,FALSE)</f>
        <v>#N/A</v>
      </c>
      <c r="JP2037" s="27"/>
      <c r="JQ2037" s="27"/>
      <c r="JR2037" s="27"/>
      <c r="JS2037" s="27"/>
      <c r="JT2037" s="27"/>
      <c r="JU2037" s="27"/>
      <c r="JV2037" s="27"/>
      <c r="JW2037" s="27"/>
      <c r="JX2037" s="27"/>
      <c r="JY2037" s="27"/>
      <c r="JZ2037" s="27"/>
      <c r="KA2037" s="27"/>
      <c r="KB2037" s="27"/>
    </row>
    <row r="2038" spans="2:288" x14ac:dyDescent="0.2">
      <c r="B2038" s="16">
        <v>2017</v>
      </c>
      <c r="C2038" s="20">
        <v>42915</v>
      </c>
      <c r="D2038" s="20" t="str">
        <f>CONCATENATE(J2038,"-",C2038)</f>
        <v>1181-42915</v>
      </c>
      <c r="E2038" s="20" t="str">
        <f>CONCATENATE(T2038,"-",U2038,"-",C2038)</f>
        <v>HW1-G2-42915</v>
      </c>
      <c r="F2038" s="20" t="s">
        <v>106</v>
      </c>
      <c r="G2038" s="20" t="s">
        <v>278</v>
      </c>
      <c r="J2038" s="21">
        <v>1181</v>
      </c>
      <c r="T2038" s="16" t="s">
        <v>133</v>
      </c>
      <c r="U2038" s="16" t="s">
        <v>128</v>
      </c>
      <c r="AP2038" s="16">
        <f>SUM(AL2038:AN2038)</f>
        <v>0</v>
      </c>
      <c r="AT2038" s="16" t="s">
        <v>285</v>
      </c>
      <c r="AY2038" s="18"/>
      <c r="BG2038" s="23"/>
      <c r="BT2038" s="23"/>
      <c r="CD2038" s="23"/>
      <c r="DF2038" s="16" t="e">
        <f>VLOOKUP(K2038,'[3]RNA Seq summary tables'!$V$3:$V$99,1,FALSE)</f>
        <v>#N/A</v>
      </c>
      <c r="JP2038" s="27"/>
      <c r="JQ2038" s="27"/>
      <c r="JR2038" s="27"/>
      <c r="JS2038" s="27"/>
      <c r="JT2038" s="27"/>
      <c r="JU2038" s="27"/>
      <c r="JV2038" s="27"/>
      <c r="JW2038" s="27"/>
      <c r="JX2038" s="27"/>
      <c r="JY2038" s="27"/>
      <c r="JZ2038" s="27"/>
      <c r="KA2038" s="27"/>
      <c r="KB2038" s="27"/>
    </row>
    <row r="2039" spans="2:288" x14ac:dyDescent="0.2">
      <c r="B2039" s="16">
        <v>2017</v>
      </c>
      <c r="C2039" s="20">
        <v>42932</v>
      </c>
      <c r="D2039" s="20" t="str">
        <f>CONCATENATE(J2039,"-",C2039)</f>
        <v>1181-42932</v>
      </c>
      <c r="E2039" s="20" t="str">
        <f>CONCATENATE(T2039,"-",U2039,"-",C2039)</f>
        <v>HW1-G1-42932</v>
      </c>
      <c r="F2039" s="20" t="s">
        <v>106</v>
      </c>
      <c r="G2039" s="20" t="s">
        <v>278</v>
      </c>
      <c r="J2039" s="21">
        <v>1181</v>
      </c>
      <c r="T2039" s="16" t="s">
        <v>133</v>
      </c>
      <c r="U2039" s="16" t="s">
        <v>155</v>
      </c>
      <c r="AP2039" s="16">
        <f>SUM(AL2039:AN2039)</f>
        <v>0</v>
      </c>
      <c r="AT2039" s="16" t="s">
        <v>285</v>
      </c>
      <c r="AY2039" s="18"/>
      <c r="BG2039" s="23"/>
      <c r="BT2039" s="23"/>
      <c r="CD2039" s="23"/>
      <c r="DF2039" s="16" t="e">
        <f>VLOOKUP(K2039,'[3]RNA Seq summary tables'!$V$3:$V$99,1,FALSE)</f>
        <v>#N/A</v>
      </c>
      <c r="JO2039" s="27"/>
      <c r="JP2039" s="27"/>
      <c r="JQ2039" s="27"/>
      <c r="JR2039" s="18"/>
      <c r="JS2039" s="18"/>
      <c r="JT2039" s="18"/>
      <c r="JU2039" s="18"/>
      <c r="JV2039" s="18"/>
      <c r="JW2039" s="18"/>
      <c r="JX2039" s="18"/>
      <c r="JY2039" s="18"/>
      <c r="JZ2039" s="18"/>
      <c r="KA2039" s="18"/>
      <c r="KB2039" s="18"/>
    </row>
    <row r="2040" spans="2:288" x14ac:dyDescent="0.2">
      <c r="B2040" s="16">
        <v>2017</v>
      </c>
      <c r="C2040" s="43">
        <v>42968</v>
      </c>
      <c r="D2040" s="20" t="str">
        <f>CONCATENATE(J2040,"-",C2040)</f>
        <v>1181-42968</v>
      </c>
      <c r="E2040" s="20" t="str">
        <f>CONCATENATE(T2040,"-",U2040,"-",C2040)</f>
        <v>HW1-E1-42968</v>
      </c>
      <c r="F2040" s="20" t="s">
        <v>106</v>
      </c>
      <c r="G2040" s="43" t="s">
        <v>278</v>
      </c>
      <c r="H2040" s="23"/>
      <c r="I2040" s="23"/>
      <c r="J2040" s="15">
        <v>1181</v>
      </c>
      <c r="K2040" s="15"/>
      <c r="L2040" s="23"/>
      <c r="P2040" s="23"/>
      <c r="Q2040" s="23"/>
      <c r="R2040" s="23"/>
      <c r="S2040" s="23"/>
      <c r="T2040" s="23" t="s">
        <v>133</v>
      </c>
      <c r="U2040" s="23" t="s">
        <v>222</v>
      </c>
      <c r="V2040" s="23"/>
      <c r="W2040" s="23"/>
      <c r="X2040" s="23"/>
      <c r="Y2040" s="23"/>
      <c r="Z2040" s="23"/>
      <c r="AA2040" s="23"/>
      <c r="AB2040" s="23"/>
      <c r="AC2040" s="23"/>
      <c r="AD2040" s="23"/>
      <c r="AE2040" s="23"/>
      <c r="AF2040" s="23"/>
      <c r="AG2040" s="23"/>
      <c r="AH2040" s="23"/>
      <c r="AI2040" s="23"/>
      <c r="AJ2040" s="23"/>
      <c r="AK2040" s="23"/>
      <c r="AL2040" s="23"/>
      <c r="AM2040" s="23"/>
      <c r="AN2040" s="23"/>
      <c r="AO2040" s="23"/>
      <c r="AP2040" s="23">
        <f>SUM(AL2040:AN2040)</f>
        <v>0</v>
      </c>
      <c r="AQ2040" s="23"/>
      <c r="AR2040" s="23"/>
      <c r="AS2040" s="23"/>
      <c r="AT2040" s="16" t="s">
        <v>285</v>
      </c>
      <c r="AY2040" s="18"/>
      <c r="BG2040" s="23"/>
      <c r="BT2040" s="23"/>
      <c r="CD2040" s="23"/>
      <c r="DC2040" s="23"/>
      <c r="DD2040" s="23"/>
      <c r="DE2040" s="23"/>
      <c r="DF2040" s="16" t="e">
        <f>VLOOKUP(K2040,'[3]RNA Seq summary tables'!$V$3:$V$99,1,FALSE)</f>
        <v>#N/A</v>
      </c>
      <c r="DG2040" s="23"/>
      <c r="DH2040" s="23"/>
      <c r="DI2040" s="23"/>
      <c r="DJ2040" s="23"/>
      <c r="DK2040" s="23"/>
      <c r="DL2040" s="23"/>
      <c r="DM2040" s="23"/>
      <c r="DN2040" s="23"/>
      <c r="DO2040" s="23"/>
      <c r="DP2040" s="23"/>
      <c r="DQ2040" s="23"/>
      <c r="DR2040" s="23"/>
      <c r="DS2040" s="23"/>
      <c r="DT2040" s="25"/>
      <c r="DU2040" s="25"/>
      <c r="DV2040" s="25"/>
      <c r="DW2040" s="25"/>
      <c r="DX2040" s="25"/>
      <c r="DY2040" s="25"/>
      <c r="DZ2040" s="25"/>
      <c r="EA2040" s="25"/>
      <c r="EB2040" s="25"/>
      <c r="EC2040" s="25"/>
      <c r="ED2040" s="25"/>
      <c r="EE2040" s="25"/>
      <c r="EF2040" s="25"/>
      <c r="EG2040" s="25"/>
      <c r="EH2040" s="25"/>
      <c r="EI2040" s="25"/>
      <c r="EJ2040" s="25"/>
      <c r="EK2040" s="25"/>
      <c r="EL2040" s="25"/>
      <c r="EM2040" s="25"/>
      <c r="EN2040" s="25"/>
      <c r="EO2040" s="25"/>
      <c r="EP2040" s="25"/>
      <c r="EQ2040" s="25"/>
      <c r="ER2040" s="25"/>
      <c r="ES2040" s="25"/>
      <c r="ET2040" s="25"/>
      <c r="EU2040" s="25"/>
      <c r="EV2040" s="25"/>
      <c r="EW2040" s="25"/>
      <c r="EX2040" s="25"/>
      <c r="EY2040" s="25"/>
      <c r="EZ2040" s="25"/>
      <c r="FA2040" s="25"/>
      <c r="FB2040" s="25"/>
      <c r="FC2040" s="25"/>
      <c r="FD2040" s="25"/>
      <c r="FE2040" s="25"/>
      <c r="FF2040" s="25"/>
      <c r="FG2040" s="25"/>
      <c r="FH2040" s="25"/>
      <c r="FI2040" s="25"/>
      <c r="FJ2040" s="25"/>
      <c r="FK2040" s="25"/>
      <c r="FL2040" s="25"/>
      <c r="FM2040" s="25"/>
      <c r="FN2040" s="25"/>
      <c r="FO2040" s="25"/>
      <c r="FP2040" s="25"/>
      <c r="FQ2040" s="25"/>
      <c r="FR2040" s="25"/>
      <c r="FS2040" s="25"/>
      <c r="FT2040" s="25"/>
      <c r="FU2040" s="25"/>
      <c r="FV2040" s="25"/>
      <c r="FW2040" s="25"/>
      <c r="FX2040" s="25"/>
      <c r="FY2040" s="25"/>
      <c r="FZ2040" s="25"/>
      <c r="GA2040" s="25"/>
      <c r="GB2040" s="25"/>
      <c r="GC2040" s="25"/>
      <c r="GD2040" s="25"/>
      <c r="GE2040" s="25"/>
      <c r="GF2040" s="25"/>
      <c r="GG2040" s="25"/>
      <c r="GH2040" s="25"/>
      <c r="GI2040" s="25"/>
      <c r="GJ2040" s="25"/>
      <c r="GK2040" s="25"/>
      <c r="GL2040" s="25"/>
      <c r="GM2040" s="25"/>
      <c r="GN2040" s="25"/>
      <c r="GO2040" s="25"/>
      <c r="GP2040" s="25"/>
      <c r="GQ2040" s="25"/>
      <c r="GR2040" s="25"/>
      <c r="GS2040" s="25"/>
      <c r="GT2040" s="25"/>
      <c r="GU2040" s="25"/>
      <c r="GV2040" s="25"/>
      <c r="GW2040" s="25"/>
      <c r="GX2040" s="25"/>
      <c r="GY2040" s="25"/>
      <c r="GZ2040" s="25"/>
      <c r="HA2040" s="25"/>
      <c r="HB2040" s="25"/>
      <c r="HC2040" s="25"/>
      <c r="HD2040" s="25"/>
      <c r="HE2040" s="25"/>
      <c r="HF2040" s="25"/>
      <c r="HG2040" s="25"/>
      <c r="HH2040" s="25"/>
      <c r="HI2040" s="25"/>
      <c r="HJ2040" s="25"/>
      <c r="HK2040" s="25"/>
      <c r="HL2040" s="25"/>
      <c r="HM2040" s="25"/>
      <c r="HN2040" s="25"/>
      <c r="HO2040" s="25"/>
      <c r="HP2040" s="25"/>
      <c r="HQ2040" s="25"/>
      <c r="HR2040" s="25"/>
      <c r="HS2040" s="25"/>
      <c r="HT2040" s="25"/>
      <c r="HU2040" s="25"/>
      <c r="HV2040" s="25"/>
      <c r="HW2040" s="25"/>
      <c r="HX2040" s="25"/>
      <c r="HY2040" s="25"/>
      <c r="HZ2040" s="25"/>
      <c r="IA2040" s="25"/>
      <c r="IB2040" s="25"/>
      <c r="IC2040" s="25"/>
      <c r="ID2040" s="25"/>
      <c r="IE2040" s="25"/>
      <c r="IF2040" s="25"/>
      <c r="IG2040" s="25"/>
      <c r="IH2040" s="25"/>
      <c r="II2040" s="25"/>
      <c r="IJ2040" s="25"/>
      <c r="IK2040" s="25"/>
      <c r="IL2040" s="25"/>
      <c r="IM2040" s="25"/>
      <c r="IN2040" s="25"/>
      <c r="IO2040" s="25"/>
      <c r="IP2040" s="25"/>
      <c r="IQ2040" s="25"/>
      <c r="IR2040" s="25"/>
      <c r="IS2040" s="25"/>
      <c r="IT2040" s="25"/>
      <c r="IU2040" s="25"/>
      <c r="IV2040" s="25"/>
      <c r="IW2040" s="25"/>
      <c r="IX2040" s="25"/>
      <c r="IY2040" s="25"/>
      <c r="IZ2040" s="25"/>
      <c r="JA2040" s="25"/>
      <c r="JB2040" s="25"/>
      <c r="JC2040" s="25"/>
      <c r="JD2040" s="25"/>
      <c r="JE2040" s="25"/>
      <c r="JF2040" s="25"/>
      <c r="JG2040" s="25"/>
      <c r="JH2040" s="25"/>
      <c r="JI2040" s="25"/>
      <c r="JJ2040" s="25"/>
      <c r="JK2040" s="25"/>
      <c r="JL2040" s="25"/>
      <c r="JM2040" s="25"/>
      <c r="JN2040" s="25"/>
      <c r="JO2040" s="27"/>
      <c r="JP2040" s="27"/>
      <c r="JQ2040" s="27"/>
    </row>
    <row r="2041" spans="2:288" x14ac:dyDescent="0.2">
      <c r="B2041" s="16">
        <v>2017</v>
      </c>
      <c r="C2041" s="20">
        <v>42916</v>
      </c>
      <c r="D2041" s="20" t="str">
        <f>CONCATENATE(J2041,"-",C2041)</f>
        <v>1182-42916</v>
      </c>
      <c r="E2041" s="20" t="str">
        <f>CONCATENATE(T2041,"-",U2041,"-",C2041)</f>
        <v>HW1-F8-42916</v>
      </c>
      <c r="F2041" s="20" t="s">
        <v>106</v>
      </c>
      <c r="G2041" s="20" t="s">
        <v>278</v>
      </c>
      <c r="J2041" s="21">
        <v>1182</v>
      </c>
      <c r="T2041" s="16" t="s">
        <v>133</v>
      </c>
      <c r="U2041" s="16" t="s">
        <v>138</v>
      </c>
      <c r="AP2041" s="16">
        <f>SUM(AL2041:AN2041)</f>
        <v>0</v>
      </c>
      <c r="AT2041" s="16" t="s">
        <v>285</v>
      </c>
      <c r="AY2041" s="18"/>
      <c r="BG2041" s="23"/>
      <c r="BT2041" s="23"/>
      <c r="CD2041" s="23"/>
      <c r="DF2041" s="16" t="e">
        <f>VLOOKUP(K2041,'[3]RNA Seq summary tables'!$V$3:$V$99,1,FALSE)</f>
        <v>#N/A</v>
      </c>
      <c r="JP2041" s="27"/>
      <c r="JQ2041" s="27"/>
      <c r="JR2041" s="27"/>
      <c r="JS2041" s="27"/>
      <c r="JT2041" s="27"/>
      <c r="JU2041" s="27"/>
      <c r="JV2041" s="27"/>
      <c r="JW2041" s="27"/>
      <c r="JX2041" s="27"/>
      <c r="JY2041" s="27"/>
      <c r="JZ2041" s="27"/>
      <c r="KA2041" s="27"/>
      <c r="KB2041" s="27"/>
    </row>
    <row r="2042" spans="2:288" x14ac:dyDescent="0.2">
      <c r="B2042" s="16">
        <v>2017</v>
      </c>
      <c r="C2042" s="20">
        <v>42932</v>
      </c>
      <c r="D2042" s="20" t="str">
        <f>CONCATENATE(J2042,"-",C2042)</f>
        <v>1182-42932</v>
      </c>
      <c r="E2042" s="20" t="str">
        <f>CONCATENATE(T2042,"-",U2042,"-",C2042)</f>
        <v>HW1-G7-42932</v>
      </c>
      <c r="F2042" s="20" t="s">
        <v>106</v>
      </c>
      <c r="G2042" s="20" t="s">
        <v>278</v>
      </c>
      <c r="J2042" s="21">
        <v>1182</v>
      </c>
      <c r="T2042" s="16" t="s">
        <v>133</v>
      </c>
      <c r="U2042" s="16" t="s">
        <v>156</v>
      </c>
      <c r="AP2042" s="16">
        <f>SUM(AL2042:AN2042)</f>
        <v>0</v>
      </c>
      <c r="AT2042" s="16" t="s">
        <v>285</v>
      </c>
      <c r="AY2042" s="18"/>
      <c r="BG2042" s="23"/>
      <c r="BT2042" s="23"/>
      <c r="CD2042" s="23"/>
      <c r="DF2042" s="16" t="e">
        <f>VLOOKUP(K2042,'[3]RNA Seq summary tables'!$V$3:$V$99,1,FALSE)</f>
        <v>#N/A</v>
      </c>
      <c r="JO2042" s="27"/>
      <c r="JP2042" s="27"/>
      <c r="JQ2042" s="27"/>
      <c r="JR2042" s="18"/>
      <c r="JS2042" s="18"/>
      <c r="JT2042" s="18"/>
      <c r="JU2042" s="18"/>
      <c r="JV2042" s="18"/>
      <c r="JW2042" s="18"/>
      <c r="JX2042" s="18"/>
      <c r="JY2042" s="18"/>
      <c r="JZ2042" s="18"/>
      <c r="KA2042" s="18"/>
      <c r="KB2042" s="18"/>
    </row>
    <row r="2043" spans="2:288" x14ac:dyDescent="0.2">
      <c r="B2043" s="16">
        <v>2017</v>
      </c>
      <c r="C2043" s="20">
        <v>42949</v>
      </c>
      <c r="D2043" s="20" t="str">
        <f>CONCATENATE(J2043,"-",C2043)</f>
        <v>1182-42949</v>
      </c>
      <c r="E2043" s="20" t="str">
        <f>CONCATENATE(T2043,"-",U2043,"-",C2043)</f>
        <v>HW1-F8-42949</v>
      </c>
      <c r="F2043" s="20" t="s">
        <v>106</v>
      </c>
      <c r="G2043" s="20" t="s">
        <v>278</v>
      </c>
      <c r="J2043" s="21">
        <v>1182</v>
      </c>
      <c r="T2043" s="16" t="s">
        <v>133</v>
      </c>
      <c r="U2043" s="16" t="s">
        <v>138</v>
      </c>
      <c r="AP2043" s="16">
        <f>SUM(AL2043:AN2043)</f>
        <v>0</v>
      </c>
      <c r="AT2043" s="16" t="s">
        <v>285</v>
      </c>
      <c r="AY2043" s="18"/>
      <c r="BG2043" s="23"/>
      <c r="BT2043" s="23"/>
      <c r="CD2043" s="23"/>
      <c r="DF2043" s="16" t="e">
        <f>VLOOKUP(K2043,'[3]RNA Seq summary tables'!$V$3:$V$99,1,FALSE)</f>
        <v>#N/A</v>
      </c>
      <c r="JO2043" s="27"/>
      <c r="JP2043" s="27"/>
      <c r="JQ2043" s="27"/>
    </row>
    <row r="2044" spans="2:288" x14ac:dyDescent="0.2">
      <c r="B2044" s="16">
        <v>2017</v>
      </c>
      <c r="C2044" s="20">
        <v>42967</v>
      </c>
      <c r="D2044" s="20" t="str">
        <f>CONCATENATE(J2044,"-",C2044)</f>
        <v>1182-42967</v>
      </c>
      <c r="E2044" s="20" t="str">
        <f>CONCATENATE(T2044,"-",U2044,"-",C2044)</f>
        <v>HW1-C8-42967</v>
      </c>
      <c r="F2044" s="20" t="s">
        <v>106</v>
      </c>
      <c r="G2044" s="20" t="s">
        <v>278</v>
      </c>
      <c r="J2044" s="21">
        <v>1182</v>
      </c>
      <c r="T2044" s="16" t="s">
        <v>133</v>
      </c>
      <c r="U2044" s="16" t="s">
        <v>188</v>
      </c>
      <c r="AP2044" s="16">
        <f>SUM(AL2044:AN2044)</f>
        <v>0</v>
      </c>
      <c r="AT2044" s="16" t="s">
        <v>285</v>
      </c>
      <c r="AY2044" s="18"/>
      <c r="BG2044" s="23"/>
      <c r="BT2044" s="23"/>
      <c r="CD2044" s="23"/>
      <c r="DF2044" s="16" t="e">
        <f>VLOOKUP(K2044,'[3]RNA Seq summary tables'!$V$3:$V$99,1,FALSE)</f>
        <v>#N/A</v>
      </c>
      <c r="JO2044" s="27"/>
      <c r="JP2044" s="27"/>
      <c r="JQ2044" s="27"/>
    </row>
    <row r="2045" spans="2:288" x14ac:dyDescent="0.2">
      <c r="B2045" s="16">
        <v>2017</v>
      </c>
      <c r="C2045" s="20">
        <v>42968</v>
      </c>
      <c r="D2045" s="20" t="str">
        <f>CONCATENATE(J2045,"-",C2045)</f>
        <v>1182-42968</v>
      </c>
      <c r="E2045" s="20" t="str">
        <f>CONCATENATE(T2045,"-",U2045,"-",C2045)</f>
        <v>HW1-F8-42968</v>
      </c>
      <c r="F2045" s="20" t="s">
        <v>106</v>
      </c>
      <c r="G2045" s="20" t="s">
        <v>278</v>
      </c>
      <c r="J2045" s="21">
        <v>1182</v>
      </c>
      <c r="T2045" s="16" t="s">
        <v>133</v>
      </c>
      <c r="U2045" s="16" t="s">
        <v>138</v>
      </c>
      <c r="AP2045" s="16">
        <f>SUM(AL2045:AN2045)</f>
        <v>0</v>
      </c>
      <c r="AT2045" s="16" t="s">
        <v>285</v>
      </c>
      <c r="AY2045" s="18"/>
      <c r="BG2045" s="23"/>
      <c r="BT2045" s="23"/>
      <c r="CD2045" s="23"/>
      <c r="DF2045" s="16" t="e">
        <f>VLOOKUP(K2045,'[3]RNA Seq summary tables'!$V$3:$V$99,1,FALSE)</f>
        <v>#N/A</v>
      </c>
      <c r="JO2045" s="27"/>
      <c r="JP2045" s="18"/>
      <c r="JQ2045" s="18"/>
    </row>
    <row r="2046" spans="2:288" x14ac:dyDescent="0.2">
      <c r="B2046" s="16">
        <v>2017</v>
      </c>
      <c r="C2046" s="20">
        <v>42915</v>
      </c>
      <c r="D2046" s="20" t="str">
        <f>CONCATENATE(J2046,"-",C2046)</f>
        <v>1183-42915</v>
      </c>
      <c r="E2046" s="20" t="str">
        <f>CONCATENATE(T2046,"-",U2046,"-",C2046)</f>
        <v>HW1-G5-42915</v>
      </c>
      <c r="F2046" s="20" t="s">
        <v>106</v>
      </c>
      <c r="G2046" s="20" t="s">
        <v>278</v>
      </c>
      <c r="J2046" s="21">
        <v>1183</v>
      </c>
      <c r="T2046" s="16" t="s">
        <v>133</v>
      </c>
      <c r="U2046" s="16" t="s">
        <v>200</v>
      </c>
      <c r="AP2046" s="16">
        <f>SUM(AL2046:AN2046)</f>
        <v>0</v>
      </c>
      <c r="AT2046" s="16" t="s">
        <v>285</v>
      </c>
      <c r="AY2046" s="18"/>
      <c r="BG2046" s="23"/>
      <c r="BT2046" s="23"/>
      <c r="CD2046" s="23"/>
      <c r="DF2046" s="16" t="e">
        <f>VLOOKUP(K2046,'[3]RNA Seq summary tables'!$V$3:$V$99,1,FALSE)</f>
        <v>#N/A</v>
      </c>
      <c r="JP2046" s="27"/>
      <c r="JQ2046" s="27"/>
      <c r="JR2046" s="27"/>
      <c r="JS2046" s="27"/>
      <c r="JT2046" s="27"/>
      <c r="JU2046" s="27"/>
      <c r="JV2046" s="27"/>
      <c r="JW2046" s="27"/>
      <c r="JX2046" s="27"/>
      <c r="JY2046" s="27"/>
      <c r="JZ2046" s="27"/>
      <c r="KA2046" s="27"/>
      <c r="KB2046" s="27"/>
    </row>
    <row r="2047" spans="2:288" x14ac:dyDescent="0.2">
      <c r="B2047" s="16">
        <v>2017</v>
      </c>
      <c r="C2047" s="20">
        <v>42916</v>
      </c>
      <c r="D2047" s="20" t="str">
        <f>CONCATENATE(J2047,"-",C2047)</f>
        <v>1183-42916</v>
      </c>
      <c r="E2047" s="20" t="str">
        <f>CONCATENATE(T2047,"-",U2047,"-",C2047)</f>
        <v>HW1-H4-42916</v>
      </c>
      <c r="F2047" s="20" t="s">
        <v>106</v>
      </c>
      <c r="G2047" s="20" t="s">
        <v>278</v>
      </c>
      <c r="J2047" s="21">
        <v>1183</v>
      </c>
      <c r="T2047" s="16" t="s">
        <v>133</v>
      </c>
      <c r="U2047" s="16" t="s">
        <v>151</v>
      </c>
      <c r="AP2047" s="16">
        <f>SUM(AL2047:AN2047)</f>
        <v>0</v>
      </c>
      <c r="AT2047" s="16" t="s">
        <v>285</v>
      </c>
      <c r="AY2047" s="18"/>
      <c r="BG2047" s="23"/>
      <c r="BT2047" s="23"/>
      <c r="CD2047" s="23"/>
      <c r="DF2047" s="16" t="e">
        <f>VLOOKUP(K2047,'[3]RNA Seq summary tables'!$V$3:$V$99,1,FALSE)</f>
        <v>#N/A</v>
      </c>
      <c r="JP2047" s="27"/>
      <c r="JQ2047" s="27"/>
      <c r="JR2047" s="27"/>
      <c r="JS2047" s="27"/>
      <c r="JT2047" s="27"/>
      <c r="JU2047" s="27"/>
      <c r="JV2047" s="27"/>
      <c r="JW2047" s="27"/>
      <c r="JX2047" s="27"/>
      <c r="JY2047" s="27"/>
      <c r="JZ2047" s="27"/>
      <c r="KA2047" s="27"/>
      <c r="KB2047" s="27"/>
    </row>
    <row r="2048" spans="2:288" x14ac:dyDescent="0.2">
      <c r="B2048" s="16">
        <v>2017</v>
      </c>
      <c r="C2048" s="20">
        <v>42931</v>
      </c>
      <c r="D2048" s="20" t="str">
        <f>CONCATENATE(J2048,"-",C2048)</f>
        <v>1183-42931</v>
      </c>
      <c r="E2048" s="20" t="str">
        <f>CONCATENATE(T2048,"-",U2048,"-",C2048)</f>
        <v>HW1-F5-42931</v>
      </c>
      <c r="F2048" s="20" t="s">
        <v>106</v>
      </c>
      <c r="G2048" s="20" t="s">
        <v>278</v>
      </c>
      <c r="J2048" s="21">
        <v>1183</v>
      </c>
      <c r="T2048" s="16" t="s">
        <v>133</v>
      </c>
      <c r="U2048" s="16" t="s">
        <v>185</v>
      </c>
      <c r="AP2048" s="16">
        <f>SUM(AL2048:AN2048)</f>
        <v>0</v>
      </c>
      <c r="AQ2048" s="18"/>
      <c r="AT2048" s="16" t="s">
        <v>285</v>
      </c>
      <c r="AY2048" s="18"/>
      <c r="BG2048" s="23"/>
      <c r="BT2048" s="23"/>
      <c r="CD2048" s="23"/>
      <c r="DF2048" s="16" t="e">
        <f>VLOOKUP(K2048,'[3]RNA Seq summary tables'!$V$3:$V$99,1,FALSE)</f>
        <v>#N/A</v>
      </c>
      <c r="JO2048" s="27"/>
      <c r="JP2048" s="27"/>
      <c r="JQ2048" s="27"/>
      <c r="JR2048" s="18"/>
      <c r="JS2048" s="18"/>
      <c r="JT2048" s="18"/>
      <c r="JU2048" s="18"/>
      <c r="JV2048" s="18"/>
      <c r="JW2048" s="18"/>
      <c r="JX2048" s="18"/>
      <c r="JY2048" s="18"/>
      <c r="JZ2048" s="18"/>
      <c r="KA2048" s="18"/>
      <c r="KB2048" s="18"/>
    </row>
    <row r="2049" spans="2:288" x14ac:dyDescent="0.2">
      <c r="B2049" s="16">
        <v>2017</v>
      </c>
      <c r="C2049" s="20">
        <v>42932</v>
      </c>
      <c r="D2049" s="20" t="str">
        <f>CONCATENATE(J2049,"-",C2049)</f>
        <v>1183-42932</v>
      </c>
      <c r="E2049" s="20" t="str">
        <f>CONCATENATE(T2049,"-",U2049,"-",C2049)</f>
        <v>HW1-H3-42932</v>
      </c>
      <c r="F2049" s="20" t="s">
        <v>106</v>
      </c>
      <c r="G2049" s="20" t="s">
        <v>278</v>
      </c>
      <c r="J2049" s="21">
        <v>1183</v>
      </c>
      <c r="T2049" s="16" t="s">
        <v>133</v>
      </c>
      <c r="U2049" s="16" t="s">
        <v>174</v>
      </c>
      <c r="AP2049" s="16">
        <f>SUM(AL2049:AN2049)</f>
        <v>0</v>
      </c>
      <c r="AT2049" s="16" t="s">
        <v>285</v>
      </c>
      <c r="AY2049" s="18"/>
      <c r="BG2049" s="23"/>
      <c r="BT2049" s="23"/>
      <c r="CD2049" s="23"/>
      <c r="DF2049" s="16" t="e">
        <f>VLOOKUP(K2049,'[3]RNA Seq summary tables'!$V$3:$V$99,1,FALSE)</f>
        <v>#N/A</v>
      </c>
      <c r="JO2049" s="27"/>
      <c r="JP2049" s="27"/>
      <c r="JQ2049" s="27"/>
      <c r="JR2049" s="18"/>
      <c r="JS2049" s="18"/>
      <c r="JT2049" s="18"/>
      <c r="JU2049" s="18"/>
      <c r="JV2049" s="18"/>
      <c r="JW2049" s="18"/>
      <c r="JX2049" s="18"/>
      <c r="JY2049" s="18"/>
      <c r="JZ2049" s="18"/>
      <c r="KA2049" s="18"/>
      <c r="KB2049" s="18"/>
    </row>
    <row r="2050" spans="2:288" x14ac:dyDescent="0.2">
      <c r="B2050" s="18">
        <v>2017</v>
      </c>
      <c r="C2050" s="37">
        <v>42950</v>
      </c>
      <c r="D2050" s="37" t="str">
        <f>CONCATENATE(J2050,"-",C2050)</f>
        <v>1183-42950</v>
      </c>
      <c r="E2050" s="20" t="str">
        <f>CONCATENATE(T2050,"-",U2050,"-",C2050)</f>
        <v>HW1-F3-42950</v>
      </c>
      <c r="F2050" s="20" t="s">
        <v>106</v>
      </c>
      <c r="G2050" s="37" t="s">
        <v>278</v>
      </c>
      <c r="H2050" s="18" t="s">
        <v>290</v>
      </c>
      <c r="I2050" s="18"/>
      <c r="J2050" s="36">
        <v>1183</v>
      </c>
      <c r="K2050" s="36">
        <v>2072</v>
      </c>
      <c r="L2050" s="18"/>
      <c r="M2050" s="21">
        <f>VLOOKUP($K2050,'[4]blood tubes 2017'!$D$1:$L$647,8,FALSE)</f>
        <v>0</v>
      </c>
      <c r="N2050" s="15">
        <v>0</v>
      </c>
      <c r="O2050" s="15"/>
      <c r="P2050" s="18"/>
      <c r="Q2050" s="18"/>
      <c r="R2050" s="18"/>
      <c r="S2050" s="18"/>
      <c r="T2050" s="18" t="s">
        <v>133</v>
      </c>
      <c r="U2050" s="18" t="s">
        <v>182</v>
      </c>
      <c r="V2050" s="18" t="s">
        <v>114</v>
      </c>
      <c r="W2050" s="16">
        <f>AI2050/AG2050</f>
        <v>0.83529411764705885</v>
      </c>
      <c r="X2050" s="18" t="s">
        <v>121</v>
      </c>
      <c r="Y2050" s="18" t="s">
        <v>110</v>
      </c>
      <c r="Z2050" s="18">
        <v>3</v>
      </c>
      <c r="AA2050" s="18" t="s">
        <v>161</v>
      </c>
      <c r="AB2050" s="18" t="s">
        <v>123</v>
      </c>
      <c r="AC2050" s="18" t="s">
        <v>123</v>
      </c>
      <c r="AD2050" s="18" t="s">
        <v>116</v>
      </c>
      <c r="AE2050" s="18"/>
      <c r="AF2050" s="18"/>
      <c r="AG2050" s="18">
        <f>AH2050-AI2050</f>
        <v>85</v>
      </c>
      <c r="AH2050" s="18">
        <v>156</v>
      </c>
      <c r="AI2050" s="18">
        <v>71</v>
      </c>
      <c r="AJ2050" s="18"/>
      <c r="AK2050" s="18">
        <v>18</v>
      </c>
      <c r="AL2050" s="18">
        <v>0</v>
      </c>
      <c r="AM2050" s="18">
        <v>0</v>
      </c>
      <c r="AN2050" s="18">
        <v>0</v>
      </c>
      <c r="AO2050" s="18">
        <v>0</v>
      </c>
      <c r="AP2050" s="18">
        <f>SUM(AL2050:AN2050)</f>
        <v>0</v>
      </c>
      <c r="AQ2050" s="18">
        <v>1.839</v>
      </c>
      <c r="AR2050" s="18">
        <f>AP2050-1.472</f>
        <v>-1.472</v>
      </c>
      <c r="AS2050" s="18">
        <f>AQ2050-1.472</f>
        <v>0.36699999999999999</v>
      </c>
      <c r="AT2050" s="18">
        <f>VLOOKUP(K2050,'[5]FECs - good data'!$C$1:$P$575,13,FALSE)</f>
        <v>0</v>
      </c>
      <c r="AU2050" s="18"/>
      <c r="AV2050" s="18"/>
      <c r="AW2050" s="18">
        <f>IF(AX2050&gt;0,1,0)</f>
        <v>0</v>
      </c>
      <c r="AX2050" s="18">
        <f>SUM(BA2050,BM2050,CT2050)</f>
        <v>0</v>
      </c>
      <c r="AY2050" s="18">
        <f>SUM(BB2050,BN2050,CV2050)</f>
        <v>0</v>
      </c>
      <c r="AZ2050" s="18">
        <f>IF(BA2050&gt;0,1,0)</f>
        <v>0</v>
      </c>
      <c r="BA2050" s="18">
        <f>SUM(BC2050,BF2050,BI2050)</f>
        <v>0</v>
      </c>
      <c r="BB2050" s="18">
        <f>SUM(BE2050,BH2050,BK2050)</f>
        <v>0</v>
      </c>
      <c r="BC2050" s="18">
        <f>IF(BD2050&gt;0,1,0)</f>
        <v>0</v>
      </c>
      <c r="BD2050" s="18">
        <f>VLOOKUP($K2050,'[5]FECs - good data'!$C$1:$Z$574,14,FALSE)</f>
        <v>0</v>
      </c>
      <c r="BE2050" s="18">
        <f>BD2050/AS2050</f>
        <v>0</v>
      </c>
      <c r="BF2050" s="18">
        <f>IF(BG2050&gt;0,1,0)</f>
        <v>0</v>
      </c>
      <c r="BG2050" s="25">
        <f>VLOOKUP($K2050,'[5]FECs - good data'!$C$1:$Z$574,15,FALSE)</f>
        <v>0</v>
      </c>
      <c r="BH2050" s="18">
        <f>BG2050/AS2050</f>
        <v>0</v>
      </c>
      <c r="BI2050" s="18">
        <f>IF(BJ2050&gt;0,1,0)</f>
        <v>0</v>
      </c>
      <c r="BJ2050" s="18">
        <f>VLOOKUP($K2050,'[5]FECs - good data'!$C$1:$Z$574,16,FALSE)</f>
        <v>0</v>
      </c>
      <c r="BK2050" s="18">
        <f>BJ2050/AS2050</f>
        <v>0</v>
      </c>
      <c r="BL2050" s="18">
        <f>IF(BM2050&gt;0,1,0)</f>
        <v>0</v>
      </c>
      <c r="BM2050" s="18">
        <f>SUM(BR2050,BU2050,BX2050,CA2050,CD2050,CG2050,CJ2050)</f>
        <v>0</v>
      </c>
      <c r="BN2050" s="18">
        <f>SUM(BW2050,BT2050,BZ2050,CC2050,CF2050,CI2050)</f>
        <v>0</v>
      </c>
      <c r="BO2050" s="18"/>
      <c r="BP2050" s="18"/>
      <c r="BQ2050" s="18"/>
      <c r="BR2050" s="18">
        <f>IF(BS2050&gt;0,1,0)</f>
        <v>0</v>
      </c>
      <c r="BS2050" s="18">
        <f>VLOOKUP($K2050,'[5]FECs - good data'!$C$1:$Z$574,17,FALSE)</f>
        <v>0</v>
      </c>
      <c r="BT2050" s="25">
        <f>BS2050/AS2050</f>
        <v>0</v>
      </c>
      <c r="BU2050" s="18">
        <f>IF(BV2050&gt;0,1,0)</f>
        <v>0</v>
      </c>
      <c r="BV2050" s="18">
        <f>VLOOKUP($K2050,'[5]FECs - good data'!$C$1:$Z$574,18,FALSE)</f>
        <v>0</v>
      </c>
      <c r="BW2050" s="18">
        <f>BV2050/AS2050</f>
        <v>0</v>
      </c>
      <c r="BX2050" s="18">
        <f>IF(BY2050&gt;0,1,0)</f>
        <v>0</v>
      </c>
      <c r="BY2050" s="18">
        <f>VLOOKUP($K2050,'[5]FECs - good data'!$C$1:$Z$574,19,FALSE)</f>
        <v>0</v>
      </c>
      <c r="BZ2050" s="18">
        <f>BY2050/AS2050</f>
        <v>0</v>
      </c>
      <c r="CA2050" s="18">
        <f>IF(CB2050&gt;0,1,0)</f>
        <v>0</v>
      </c>
      <c r="CB2050" s="18">
        <f>VLOOKUP($K2050,'[5]FECs - good data'!$C$1:$Z$574,20,FALSE)</f>
        <v>0</v>
      </c>
      <c r="CC2050" s="18">
        <f>CB2050/AS2050</f>
        <v>0</v>
      </c>
      <c r="CD2050" s="25">
        <f>IF(CE2050&gt;0,1,0)</f>
        <v>0</v>
      </c>
      <c r="CE2050" s="18">
        <f>VLOOKUP($K2050,'[5]FECs - good data'!$C$1:$Z$574,21,FALSE)</f>
        <v>0</v>
      </c>
      <c r="CF2050" s="18">
        <f>CE2050/AS2050</f>
        <v>0</v>
      </c>
      <c r="CG2050" s="18">
        <f>IF(CH2050&gt;0,1,0)</f>
        <v>0</v>
      </c>
      <c r="CH2050" s="18">
        <f>VLOOKUP($K2050,'[5]FECs - good data'!$C$1:$Z$574,22,FALSE)</f>
        <v>0</v>
      </c>
      <c r="CI2050" s="18">
        <f>CH2050/AS2050</f>
        <v>0</v>
      </c>
      <c r="CJ2050" s="18">
        <f>IF(CK2050&gt;0,1,0)</f>
        <v>0</v>
      </c>
      <c r="CK2050" s="18">
        <f>VLOOKUP($K2050,'[5]FECs - good data'!$C$1:$Z$674,24,FALSE)</f>
        <v>0</v>
      </c>
      <c r="CL2050" s="18">
        <f>CK2050/AS2050</f>
        <v>0</v>
      </c>
      <c r="CM2050" s="18"/>
      <c r="CN2050" s="18"/>
      <c r="CO2050" s="18"/>
      <c r="CP2050" s="18"/>
      <c r="CQ2050" s="18"/>
      <c r="CR2050" s="18"/>
      <c r="CS2050" s="18">
        <f>IF(CT2050&gt;0,1,0)</f>
        <v>0</v>
      </c>
      <c r="CT2050" s="18">
        <f>SUM(CW2050+CZ2050,DC2050)</f>
        <v>0</v>
      </c>
      <c r="CU2050" s="18"/>
      <c r="CV2050" s="18">
        <f>SUM(CY2050,DB2050,DE2050)</f>
        <v>0</v>
      </c>
      <c r="CW2050" s="18">
        <f>IF(CX2050&gt;0,1,0)</f>
        <v>0</v>
      </c>
      <c r="CX2050" s="18">
        <f>VLOOKUP($K2050,'[5]FECs - good data'!$C$1:$Z$574,22,FALSE)</f>
        <v>0</v>
      </c>
      <c r="CY2050" s="18">
        <f>CX2050/AS2050</f>
        <v>0</v>
      </c>
      <c r="CZ2050" s="18">
        <f>IF(DA2050&gt;0,1,0)</f>
        <v>0</v>
      </c>
      <c r="DA2050" s="18">
        <f>VLOOKUP($K2050,'[5]FECs - good data'!$C$1:$Z$5982,23,FALSE)</f>
        <v>0</v>
      </c>
      <c r="DB2050" s="18">
        <f>DA2050/AS2050</f>
        <v>0</v>
      </c>
      <c r="DC2050" s="18">
        <f>IF(DD2050&gt;0,1,0)</f>
        <v>0</v>
      </c>
      <c r="DD2050" s="18">
        <f>VLOOKUP($K2050,'[5]FECs - good data'!$C$1:$Z$574,23,FALSE)</f>
        <v>0</v>
      </c>
      <c r="DE2050" s="18">
        <f>DD2050/AS2050</f>
        <v>0</v>
      </c>
      <c r="DF2050" s="16" t="e">
        <f>VLOOKUP(K2050,'[3]RNA Seq summary tables'!$V$3:$V$99,1,FALSE)</f>
        <v>#N/A</v>
      </c>
      <c r="DG2050" s="18"/>
      <c r="DH2050" s="18"/>
      <c r="DI2050" s="18"/>
      <c r="DJ2050" s="18"/>
      <c r="DK2050" s="18"/>
      <c r="DL2050" s="18"/>
      <c r="DM2050" s="18"/>
      <c r="DN2050" s="18"/>
      <c r="DO2050" s="18"/>
      <c r="DP2050" s="18"/>
      <c r="DQ2050" s="18"/>
      <c r="DR2050" s="18"/>
      <c r="DS2050" s="18"/>
      <c r="JO2050" s="27"/>
    </row>
    <row r="2051" spans="2:288" x14ac:dyDescent="0.2">
      <c r="B2051" s="16">
        <v>2017</v>
      </c>
      <c r="C2051" s="20">
        <v>42915</v>
      </c>
      <c r="D2051" s="20" t="str">
        <f>CONCATENATE(J2051,"-",C2051)</f>
        <v>1184-42915</v>
      </c>
      <c r="E2051" s="20" t="str">
        <f>CONCATENATE(T2051,"-",U2051,"-",C2051)</f>
        <v>HW1-H1-42915</v>
      </c>
      <c r="F2051" s="20" t="s">
        <v>106</v>
      </c>
      <c r="G2051" s="20" t="s">
        <v>278</v>
      </c>
      <c r="J2051" s="21">
        <v>1184</v>
      </c>
      <c r="T2051" s="16" t="s">
        <v>133</v>
      </c>
      <c r="U2051" s="16" t="s">
        <v>191</v>
      </c>
      <c r="AP2051" s="16">
        <f>SUM(AL2051:AN2051)</f>
        <v>0</v>
      </c>
      <c r="AT2051" s="16" t="s">
        <v>285</v>
      </c>
      <c r="AY2051" s="18"/>
      <c r="BG2051" s="23"/>
      <c r="BT2051" s="23"/>
      <c r="CD2051" s="23"/>
      <c r="DF2051" s="16" t="e">
        <f>VLOOKUP(K2051,'[3]RNA Seq summary tables'!$V$3:$V$99,1,FALSE)</f>
        <v>#N/A</v>
      </c>
      <c r="JP2051" s="27"/>
      <c r="JQ2051" s="27"/>
      <c r="JR2051" s="27"/>
      <c r="JS2051" s="27"/>
      <c r="JT2051" s="27"/>
      <c r="JU2051" s="27"/>
      <c r="JV2051" s="27"/>
      <c r="JW2051" s="27"/>
      <c r="JX2051" s="27"/>
      <c r="JY2051" s="27"/>
      <c r="JZ2051" s="27"/>
      <c r="KA2051" s="27"/>
      <c r="KB2051" s="27"/>
    </row>
    <row r="2052" spans="2:288" x14ac:dyDescent="0.2">
      <c r="B2052" s="16">
        <v>2017</v>
      </c>
      <c r="C2052" s="20">
        <v>42916</v>
      </c>
      <c r="D2052" s="20" t="str">
        <f>CONCATENATE(J2052,"-",C2052)</f>
        <v>1184-42916</v>
      </c>
      <c r="E2052" s="20" t="str">
        <f>CONCATENATE(T2052,"-",U2052,"-",C2052)</f>
        <v>HW1-H1-42916</v>
      </c>
      <c r="F2052" s="20" t="s">
        <v>106</v>
      </c>
      <c r="G2052" s="20" t="s">
        <v>278</v>
      </c>
      <c r="J2052" s="21">
        <v>1184</v>
      </c>
      <c r="T2052" s="16" t="s">
        <v>133</v>
      </c>
      <c r="U2052" s="16" t="s">
        <v>191</v>
      </c>
      <c r="AP2052" s="16">
        <f>SUM(AL2052:AN2052)</f>
        <v>0</v>
      </c>
      <c r="AT2052" s="16" t="s">
        <v>285</v>
      </c>
      <c r="AY2052" s="18"/>
      <c r="BG2052" s="23"/>
      <c r="BT2052" s="23"/>
      <c r="CD2052" s="23"/>
      <c r="DF2052" s="16" t="e">
        <f>VLOOKUP(K2052,'[3]RNA Seq summary tables'!$V$3:$V$99,1,FALSE)</f>
        <v>#N/A</v>
      </c>
      <c r="JP2052" s="27"/>
      <c r="JQ2052" s="27"/>
      <c r="JR2052" s="27"/>
      <c r="JS2052" s="27"/>
      <c r="JT2052" s="27"/>
      <c r="JU2052" s="27"/>
      <c r="JV2052" s="27"/>
      <c r="JW2052" s="27"/>
      <c r="JX2052" s="27"/>
      <c r="JY2052" s="27"/>
      <c r="JZ2052" s="27"/>
      <c r="KA2052" s="27"/>
      <c r="KB2052" s="27"/>
    </row>
    <row r="2053" spans="2:288" x14ac:dyDescent="0.2">
      <c r="B2053" s="16">
        <v>2017</v>
      </c>
      <c r="C2053" s="20">
        <v>42968</v>
      </c>
      <c r="D2053" s="20" t="str">
        <f>CONCATENATE(J2053,"-",C2053)</f>
        <v>1184-42968</v>
      </c>
      <c r="E2053" s="20" t="str">
        <f>CONCATENATE(T2053,"-",U2053,"-",C2053)</f>
        <v>HW1-H1-42968</v>
      </c>
      <c r="F2053" s="20" t="s">
        <v>106</v>
      </c>
      <c r="G2053" s="20" t="s">
        <v>278</v>
      </c>
      <c r="J2053" s="21">
        <v>1184</v>
      </c>
      <c r="T2053" s="16" t="s">
        <v>133</v>
      </c>
      <c r="U2053" s="16" t="s">
        <v>191</v>
      </c>
      <c r="AP2053" s="16">
        <f>SUM(AL2053:AN2053)</f>
        <v>0</v>
      </c>
      <c r="AT2053" s="16" t="s">
        <v>285</v>
      </c>
      <c r="AY2053" s="18"/>
      <c r="BG2053" s="23"/>
      <c r="BT2053" s="23"/>
      <c r="CD2053" s="23"/>
      <c r="DF2053" s="16" t="e">
        <f>VLOOKUP(K2053,'[3]RNA Seq summary tables'!$V$3:$V$99,1,FALSE)</f>
        <v>#N/A</v>
      </c>
      <c r="JO2053" s="27"/>
      <c r="JP2053" s="27"/>
      <c r="JQ2053" s="27"/>
    </row>
    <row r="2054" spans="2:288" x14ac:dyDescent="0.2">
      <c r="B2054" s="16">
        <v>2017</v>
      </c>
      <c r="C2054" s="20">
        <v>42949</v>
      </c>
      <c r="D2054" s="20" t="str">
        <f>CONCATENATE(J2054,"-",C2054)</f>
        <v>1185-42949</v>
      </c>
      <c r="E2054" s="20" t="str">
        <f>CONCATENATE(T2054,"-",U2054,"-",C2054)</f>
        <v>HW2-C8-42949</v>
      </c>
      <c r="F2054" s="20" t="s">
        <v>106</v>
      </c>
      <c r="G2054" s="20" t="s">
        <v>278</v>
      </c>
      <c r="J2054" s="21">
        <v>1185</v>
      </c>
      <c r="T2054" s="16" t="s">
        <v>129</v>
      </c>
      <c r="U2054" s="16" t="s">
        <v>188</v>
      </c>
      <c r="AP2054" s="16">
        <f>SUM(AL2054:AN2054)</f>
        <v>0</v>
      </c>
      <c r="AT2054" s="16" t="s">
        <v>285</v>
      </c>
      <c r="AY2054" s="18"/>
      <c r="BG2054" s="23"/>
      <c r="BT2054" s="23"/>
      <c r="CD2054" s="23"/>
      <c r="DF2054" s="16" t="e">
        <f>VLOOKUP(K2054,'[3]RNA Seq summary tables'!$V$3:$V$99,1,FALSE)</f>
        <v>#N/A</v>
      </c>
      <c r="JO2054" s="27"/>
      <c r="JP2054" s="27"/>
      <c r="JQ2054" s="27"/>
    </row>
    <row r="2055" spans="2:288" x14ac:dyDescent="0.2">
      <c r="B2055" s="16">
        <v>2017</v>
      </c>
      <c r="C2055" s="20">
        <v>42950</v>
      </c>
      <c r="D2055" s="20" t="str">
        <f>CONCATENATE(J2055,"-",C2055)</f>
        <v>1185-42950</v>
      </c>
      <c r="E2055" s="20" t="str">
        <f>CONCATENATE(T2055,"-",U2055,"-",C2055)</f>
        <v>HW2-C6-42950</v>
      </c>
      <c r="F2055" s="20" t="s">
        <v>106</v>
      </c>
      <c r="G2055" s="20" t="s">
        <v>278</v>
      </c>
      <c r="J2055" s="21">
        <v>1185</v>
      </c>
      <c r="T2055" s="16" t="s">
        <v>129</v>
      </c>
      <c r="U2055" s="16" t="s">
        <v>213</v>
      </c>
      <c r="AP2055" s="16">
        <f>SUM(AL2055:AN2055)</f>
        <v>0</v>
      </c>
      <c r="AT2055" s="16" t="s">
        <v>285</v>
      </c>
      <c r="AY2055" s="18"/>
      <c r="BG2055" s="23"/>
      <c r="BT2055" s="23"/>
      <c r="CD2055" s="23"/>
      <c r="DF2055" s="16" t="e">
        <f>VLOOKUP(K2055,'[3]RNA Seq summary tables'!$V$3:$V$99,1,FALSE)</f>
        <v>#N/A</v>
      </c>
      <c r="JO2055" s="27"/>
      <c r="JP2055" s="27"/>
      <c r="JQ2055" s="27"/>
    </row>
    <row r="2056" spans="2:288" x14ac:dyDescent="0.2">
      <c r="B2056" s="16">
        <v>2017</v>
      </c>
      <c r="C2056" s="20">
        <v>42967</v>
      </c>
      <c r="D2056" s="20" t="str">
        <f>CONCATENATE(J2056,"-",C2056)</f>
        <v>1185-42967</v>
      </c>
      <c r="E2056" s="20" t="str">
        <f>CONCATENATE(T2056,"-",U2056,"-",C2056)</f>
        <v>HW2-C5-42967</v>
      </c>
      <c r="F2056" s="20" t="s">
        <v>106</v>
      </c>
      <c r="G2056" s="20" t="s">
        <v>278</v>
      </c>
      <c r="J2056" s="21">
        <v>1185</v>
      </c>
      <c r="T2056" s="16" t="s">
        <v>129</v>
      </c>
      <c r="U2056" s="16" t="s">
        <v>172</v>
      </c>
      <c r="AP2056" s="16">
        <f>SUM(AL2056:AN2056)</f>
        <v>0</v>
      </c>
      <c r="AT2056" s="16" t="s">
        <v>285</v>
      </c>
      <c r="AY2056" s="18"/>
      <c r="BG2056" s="23"/>
      <c r="BT2056" s="23"/>
      <c r="CD2056" s="23"/>
      <c r="DF2056" s="16" t="e">
        <f>VLOOKUP(K2056,'[3]RNA Seq summary tables'!$V$3:$V$99,1,FALSE)</f>
        <v>#N/A</v>
      </c>
      <c r="JO2056" s="27"/>
      <c r="JP2056" s="27"/>
      <c r="JQ2056" s="27"/>
    </row>
    <row r="2057" spans="2:288" x14ac:dyDescent="0.2">
      <c r="B2057" s="16">
        <v>2017</v>
      </c>
      <c r="C2057" s="43">
        <v>42968</v>
      </c>
      <c r="D2057" s="43" t="str">
        <f>CONCATENATE(J2057,"-",C2057)</f>
        <v>1185-42968</v>
      </c>
      <c r="E2057" s="20" t="str">
        <f>CONCATENATE(T2057,"-",U2057,"-",C2057)</f>
        <v>HW2-B4-42968</v>
      </c>
      <c r="F2057" s="20" t="s">
        <v>106</v>
      </c>
      <c r="G2057" s="43" t="s">
        <v>278</v>
      </c>
      <c r="H2057" s="23"/>
      <c r="I2057" s="23"/>
      <c r="J2057" s="15">
        <v>1185</v>
      </c>
      <c r="K2057" s="15"/>
      <c r="L2057" s="23"/>
      <c r="P2057" s="23"/>
      <c r="Q2057" s="23"/>
      <c r="R2057" s="23"/>
      <c r="S2057" s="23"/>
      <c r="T2057" s="23" t="s">
        <v>129</v>
      </c>
      <c r="U2057" s="23" t="s">
        <v>144</v>
      </c>
      <c r="V2057" s="23"/>
      <c r="W2057" s="23"/>
      <c r="X2057" s="23"/>
      <c r="Y2057" s="23"/>
      <c r="Z2057" s="23"/>
      <c r="AA2057" s="23"/>
      <c r="AB2057" s="23"/>
      <c r="AC2057" s="23"/>
      <c r="AD2057" s="23"/>
      <c r="AE2057" s="23"/>
      <c r="AF2057" s="23"/>
      <c r="AG2057" s="23"/>
      <c r="AH2057" s="23"/>
      <c r="AI2057" s="23"/>
      <c r="AJ2057" s="23"/>
      <c r="AK2057" s="23"/>
      <c r="AL2057" s="23"/>
      <c r="AM2057" s="23"/>
      <c r="AN2057" s="23"/>
      <c r="AO2057" s="23"/>
      <c r="AP2057" s="23">
        <f>SUM(AL2057:AN2057)</f>
        <v>0</v>
      </c>
      <c r="AQ2057" s="23"/>
      <c r="AR2057" s="23"/>
      <c r="AS2057" s="23"/>
      <c r="AT2057" s="16" t="s">
        <v>285</v>
      </c>
      <c r="AY2057" s="18"/>
      <c r="BG2057" s="23"/>
      <c r="BT2057" s="23"/>
      <c r="CD2057" s="23"/>
      <c r="DC2057" s="23"/>
      <c r="DD2057" s="23"/>
      <c r="DE2057" s="23"/>
      <c r="DF2057" s="16" t="e">
        <f>VLOOKUP(K2057,'[3]RNA Seq summary tables'!$V$3:$V$99,1,FALSE)</f>
        <v>#N/A</v>
      </c>
      <c r="DG2057" s="23"/>
      <c r="DH2057" s="23"/>
      <c r="DI2057" s="23"/>
      <c r="DJ2057" s="23"/>
      <c r="DK2057" s="23"/>
      <c r="DL2057" s="23"/>
      <c r="DM2057" s="23"/>
      <c r="DN2057" s="23"/>
      <c r="DO2057" s="23"/>
      <c r="DP2057" s="23"/>
      <c r="DQ2057" s="23"/>
      <c r="DR2057" s="23"/>
      <c r="DS2057" s="23"/>
      <c r="DT2057" s="25"/>
      <c r="DU2057" s="25"/>
      <c r="DV2057" s="25"/>
      <c r="DW2057" s="25"/>
      <c r="DX2057" s="25"/>
      <c r="DY2057" s="25"/>
      <c r="DZ2057" s="25"/>
      <c r="EA2057" s="25"/>
      <c r="EB2057" s="25"/>
      <c r="EC2057" s="25"/>
      <c r="ED2057" s="25"/>
      <c r="EE2057" s="25"/>
      <c r="JO2057" s="27"/>
      <c r="JP2057" s="27"/>
      <c r="JQ2057" s="27"/>
    </row>
    <row r="2058" spans="2:288" x14ac:dyDescent="0.2">
      <c r="B2058" s="16">
        <v>2017</v>
      </c>
      <c r="C2058" s="20">
        <v>42931</v>
      </c>
      <c r="D2058" s="20" t="str">
        <f>CONCATENATE(J2058,"-",C2058)</f>
        <v>1186-42931</v>
      </c>
      <c r="E2058" s="20" t="str">
        <f>CONCATENATE(T2058,"-",U2058,"-",C2058)</f>
        <v>HW2-D4-42931</v>
      </c>
      <c r="F2058" s="20" t="s">
        <v>106</v>
      </c>
      <c r="G2058" s="20" t="s">
        <v>278</v>
      </c>
      <c r="J2058" s="21">
        <v>1186</v>
      </c>
      <c r="T2058" s="16" t="s">
        <v>129</v>
      </c>
      <c r="U2058" s="16" t="s">
        <v>221</v>
      </c>
      <c r="AP2058" s="16">
        <f>SUM(AL2058:AN2058)</f>
        <v>0</v>
      </c>
      <c r="AQ2058" s="18"/>
      <c r="AT2058" s="16" t="s">
        <v>285</v>
      </c>
      <c r="AY2058" s="18"/>
      <c r="BG2058" s="23"/>
      <c r="BT2058" s="23"/>
      <c r="CD2058" s="23"/>
      <c r="DF2058" s="16" t="e">
        <f>VLOOKUP(K2058,'[3]RNA Seq summary tables'!$V$3:$V$99,1,FALSE)</f>
        <v>#N/A</v>
      </c>
      <c r="JO2058" s="27"/>
      <c r="JP2058" s="27"/>
      <c r="JQ2058" s="27"/>
      <c r="JR2058" s="18"/>
      <c r="JS2058" s="18"/>
      <c r="JT2058" s="18"/>
      <c r="JU2058" s="18"/>
      <c r="JV2058" s="18"/>
      <c r="JW2058" s="18"/>
      <c r="JX2058" s="18"/>
      <c r="JY2058" s="18"/>
      <c r="JZ2058" s="18"/>
      <c r="KA2058" s="18"/>
      <c r="KB2058" s="18"/>
    </row>
    <row r="2059" spans="2:288" x14ac:dyDescent="0.2">
      <c r="B2059" s="16">
        <v>2017</v>
      </c>
      <c r="C2059" s="20">
        <v>42932</v>
      </c>
      <c r="D2059" s="20" t="str">
        <f>CONCATENATE(J2059,"-",C2059)</f>
        <v>1186-42932</v>
      </c>
      <c r="E2059" s="20" t="str">
        <f>CONCATENATE(T2059,"-",U2059,"-",C2059)</f>
        <v>HW2-F5-42932</v>
      </c>
      <c r="F2059" s="20" t="s">
        <v>106</v>
      </c>
      <c r="G2059" s="20" t="s">
        <v>278</v>
      </c>
      <c r="J2059" s="21">
        <v>1186</v>
      </c>
      <c r="T2059" s="16" t="s">
        <v>129</v>
      </c>
      <c r="U2059" s="16" t="s">
        <v>185</v>
      </c>
      <c r="AP2059" s="16">
        <f>SUM(AL2059:AN2059)</f>
        <v>0</v>
      </c>
      <c r="AT2059" s="16" t="s">
        <v>285</v>
      </c>
      <c r="AY2059" s="18"/>
      <c r="BG2059" s="23"/>
      <c r="BT2059" s="23"/>
      <c r="CD2059" s="23"/>
      <c r="DF2059" s="16" t="e">
        <f>VLOOKUP(K2059,'[3]RNA Seq summary tables'!$V$3:$V$99,1,FALSE)</f>
        <v>#N/A</v>
      </c>
      <c r="JO2059" s="27"/>
      <c r="JP2059" s="27"/>
      <c r="JQ2059" s="27"/>
      <c r="JR2059" s="27"/>
      <c r="JS2059" s="27"/>
      <c r="JT2059" s="27"/>
      <c r="JU2059" s="27"/>
      <c r="JV2059" s="27"/>
      <c r="JW2059" s="27"/>
      <c r="JX2059" s="27"/>
      <c r="JY2059" s="27"/>
      <c r="JZ2059" s="27"/>
      <c r="KA2059" s="27"/>
      <c r="KB2059" s="27"/>
    </row>
    <row r="2060" spans="2:288" x14ac:dyDescent="0.2">
      <c r="B2060" s="16">
        <v>2017</v>
      </c>
      <c r="C2060" s="20">
        <v>42916</v>
      </c>
      <c r="D2060" s="20" t="str">
        <f>CONCATENATE(J2060,"-",C2060)</f>
        <v>1187-42916</v>
      </c>
      <c r="E2060" s="20" t="str">
        <f>CONCATENATE(T2060,"-",U2060,"-",C2060)</f>
        <v>HW2-D8-42916</v>
      </c>
      <c r="F2060" s="20" t="s">
        <v>106</v>
      </c>
      <c r="G2060" s="20" t="s">
        <v>278</v>
      </c>
      <c r="J2060" s="21">
        <v>1187</v>
      </c>
      <c r="T2060" s="16" t="s">
        <v>129</v>
      </c>
      <c r="U2060" s="16" t="s">
        <v>178</v>
      </c>
      <c r="AP2060" s="16">
        <f>SUM(AL2060:AN2060)</f>
        <v>0</v>
      </c>
      <c r="AT2060" s="16" t="s">
        <v>285</v>
      </c>
      <c r="AY2060" s="18"/>
      <c r="BG2060" s="23"/>
      <c r="BT2060" s="23"/>
      <c r="CD2060" s="23"/>
      <c r="DF2060" s="16" t="e">
        <f>VLOOKUP(K2060,'[3]RNA Seq summary tables'!$V$3:$V$99,1,FALSE)</f>
        <v>#N/A</v>
      </c>
      <c r="JP2060" s="27"/>
      <c r="JQ2060" s="27"/>
      <c r="JR2060" s="27"/>
      <c r="JS2060" s="27"/>
      <c r="JT2060" s="27"/>
      <c r="JU2060" s="27"/>
      <c r="JV2060" s="27"/>
      <c r="JW2060" s="27"/>
      <c r="JX2060" s="27"/>
      <c r="JY2060" s="27"/>
      <c r="JZ2060" s="27"/>
      <c r="KA2060" s="27"/>
      <c r="KB2060" s="27"/>
    </row>
    <row r="2061" spans="2:288" x14ac:dyDescent="0.2">
      <c r="B2061" s="16">
        <v>2017</v>
      </c>
      <c r="C2061" s="20">
        <v>42932</v>
      </c>
      <c r="D2061" s="20" t="str">
        <f>CONCATENATE(J2061,"-",C2061)</f>
        <v>1187-42932</v>
      </c>
      <c r="E2061" s="20" t="str">
        <f>CONCATENATE(T2061,"-",U2061,"-",C2061)</f>
        <v>HW2-C8-42932</v>
      </c>
      <c r="F2061" s="20" t="s">
        <v>106</v>
      </c>
      <c r="G2061" s="20" t="s">
        <v>278</v>
      </c>
      <c r="J2061" s="21">
        <v>1187</v>
      </c>
      <c r="T2061" s="16" t="s">
        <v>129</v>
      </c>
      <c r="U2061" s="16" t="s">
        <v>188</v>
      </c>
      <c r="AP2061" s="16">
        <f>SUM(AL2061:AN2061)</f>
        <v>0</v>
      </c>
      <c r="AT2061" s="16" t="s">
        <v>285</v>
      </c>
      <c r="AY2061" s="18"/>
      <c r="BG2061" s="23"/>
      <c r="BT2061" s="23"/>
      <c r="CD2061" s="23"/>
      <c r="DF2061" s="16" t="e">
        <f>VLOOKUP(K2061,'[3]RNA Seq summary tables'!$V$3:$V$99,1,FALSE)</f>
        <v>#N/A</v>
      </c>
      <c r="JO2061" s="27"/>
      <c r="JP2061" s="27"/>
      <c r="JQ2061" s="27"/>
      <c r="JR2061" s="27"/>
      <c r="JS2061" s="27"/>
      <c r="JT2061" s="27"/>
      <c r="JU2061" s="27"/>
      <c r="JV2061" s="27"/>
      <c r="JW2061" s="27"/>
      <c r="JX2061" s="27"/>
      <c r="JY2061" s="27"/>
      <c r="JZ2061" s="27"/>
      <c r="KA2061" s="27"/>
      <c r="KB2061" s="27"/>
    </row>
    <row r="2062" spans="2:288" x14ac:dyDescent="0.2">
      <c r="B2062" s="16">
        <v>2017</v>
      </c>
      <c r="C2062" s="20">
        <v>42916</v>
      </c>
      <c r="D2062" s="20" t="str">
        <f>CONCATENATE(J2062,"-",C2062)</f>
        <v>1188-42916</v>
      </c>
      <c r="E2062" s="20" t="str">
        <f>CONCATENATE(T2062,"-",U2062,"-",C2062)</f>
        <v>HW2-G1-42916</v>
      </c>
      <c r="F2062" s="20" t="s">
        <v>106</v>
      </c>
      <c r="G2062" s="20" t="s">
        <v>278</v>
      </c>
      <c r="J2062" s="21">
        <v>1188</v>
      </c>
      <c r="T2062" s="16" t="s">
        <v>129</v>
      </c>
      <c r="U2062" s="16" t="s">
        <v>155</v>
      </c>
      <c r="AP2062" s="16">
        <f>SUM(AL2062:AN2062)</f>
        <v>0</v>
      </c>
      <c r="AT2062" s="16" t="s">
        <v>285</v>
      </c>
      <c r="AY2062" s="18"/>
      <c r="BG2062" s="23"/>
      <c r="BT2062" s="23"/>
      <c r="CD2062" s="23"/>
      <c r="DF2062" s="16" t="e">
        <f>VLOOKUP(K2062,'[3]RNA Seq summary tables'!$V$3:$V$99,1,FALSE)</f>
        <v>#N/A</v>
      </c>
      <c r="JP2062" s="27"/>
      <c r="JQ2062" s="27"/>
      <c r="JR2062" s="18"/>
      <c r="JS2062" s="18"/>
      <c r="JT2062" s="18"/>
      <c r="JU2062" s="18"/>
      <c r="JV2062" s="18"/>
      <c r="JW2062" s="18"/>
      <c r="JX2062" s="18"/>
      <c r="JY2062" s="18"/>
      <c r="JZ2062" s="18"/>
      <c r="KA2062" s="18"/>
      <c r="KB2062" s="18"/>
    </row>
    <row r="2063" spans="2:288" x14ac:dyDescent="0.2">
      <c r="B2063" s="16">
        <v>2017</v>
      </c>
      <c r="C2063" s="20">
        <v>42950</v>
      </c>
      <c r="D2063" s="20" t="str">
        <f>CONCATENATE(J2063,"-",C2063)</f>
        <v>1188-42950</v>
      </c>
      <c r="E2063" s="20" t="str">
        <f>CONCATENATE(T2063,"-",U2063,"-",C2063)</f>
        <v>HW2-H1-42950</v>
      </c>
      <c r="F2063" s="20" t="s">
        <v>106</v>
      </c>
      <c r="G2063" s="20" t="s">
        <v>278</v>
      </c>
      <c r="J2063" s="21">
        <v>1188</v>
      </c>
      <c r="T2063" s="16" t="s">
        <v>129</v>
      </c>
      <c r="U2063" s="16" t="s">
        <v>191</v>
      </c>
      <c r="AP2063" s="16">
        <f>SUM(AL2063:AN2063)</f>
        <v>0</v>
      </c>
      <c r="AT2063" s="16" t="s">
        <v>285</v>
      </c>
      <c r="AY2063" s="18"/>
      <c r="BG2063" s="23"/>
      <c r="BT2063" s="23"/>
      <c r="CD2063" s="23"/>
      <c r="DF2063" s="16" t="e">
        <f>VLOOKUP(K2063,'[3]RNA Seq summary tables'!$V$3:$V$99,1,FALSE)</f>
        <v>#N/A</v>
      </c>
      <c r="JO2063" s="27"/>
      <c r="JP2063" s="27"/>
      <c r="JQ2063" s="27"/>
    </row>
    <row r="2064" spans="2:288" x14ac:dyDescent="0.2">
      <c r="B2064" s="16">
        <v>2017</v>
      </c>
      <c r="C2064" s="20">
        <v>42931</v>
      </c>
      <c r="D2064" s="20" t="str">
        <f>CONCATENATE(J2064,"-",C2064)</f>
        <v>1189-42931</v>
      </c>
      <c r="E2064" s="20" t="str">
        <f>CONCATENATE(T2064,"-",U2064,"-",C2064)</f>
        <v>HW2-H4-42931</v>
      </c>
      <c r="F2064" s="20" t="s">
        <v>106</v>
      </c>
      <c r="G2064" s="20" t="s">
        <v>278</v>
      </c>
      <c r="J2064" s="21">
        <v>1189</v>
      </c>
      <c r="T2064" s="16" t="s">
        <v>129</v>
      </c>
      <c r="U2064" s="16" t="s">
        <v>151</v>
      </c>
      <c r="AP2064" s="16">
        <f>SUM(AL2064:AN2064)</f>
        <v>0</v>
      </c>
      <c r="AQ2064" s="18"/>
      <c r="AT2064" s="16" t="s">
        <v>285</v>
      </c>
      <c r="AY2064" s="18"/>
      <c r="BG2064" s="23"/>
      <c r="BT2064" s="23"/>
      <c r="CD2064" s="23"/>
      <c r="DF2064" s="16" t="e">
        <f>VLOOKUP(K2064,'[3]RNA Seq summary tables'!$V$3:$V$99,1,FALSE)</f>
        <v>#N/A</v>
      </c>
      <c r="JO2064" s="27"/>
      <c r="JP2064" s="27"/>
      <c r="JQ2064" s="27"/>
      <c r="JR2064" s="18"/>
      <c r="JS2064" s="18"/>
      <c r="JT2064" s="18"/>
      <c r="JU2064" s="18"/>
      <c r="JV2064" s="18"/>
      <c r="JW2064" s="18"/>
      <c r="JX2064" s="18"/>
      <c r="JY2064" s="18"/>
      <c r="JZ2064" s="18"/>
      <c r="KA2064" s="18"/>
      <c r="KB2064" s="18"/>
    </row>
    <row r="2065" spans="2:288" x14ac:dyDescent="0.2">
      <c r="B2065" s="16">
        <v>2017</v>
      </c>
      <c r="C2065" s="20">
        <v>42949</v>
      </c>
      <c r="D2065" s="20" t="str">
        <f>CONCATENATE(J2065,"-",C2065)</f>
        <v>1189-42949</v>
      </c>
      <c r="E2065" s="20" t="str">
        <f>CONCATENATE(T2065,"-",U2065,"-",C2065)</f>
        <v>HW2-H3-42949</v>
      </c>
      <c r="F2065" s="20" t="s">
        <v>106</v>
      </c>
      <c r="G2065" s="20" t="s">
        <v>278</v>
      </c>
      <c r="J2065" s="21">
        <v>1189</v>
      </c>
      <c r="T2065" s="16" t="s">
        <v>129</v>
      </c>
      <c r="U2065" s="16" t="s">
        <v>174</v>
      </c>
      <c r="AP2065" s="16">
        <f>SUM(AL2065:AN2065)</f>
        <v>0</v>
      </c>
      <c r="AT2065" s="16" t="s">
        <v>285</v>
      </c>
      <c r="AY2065" s="18"/>
      <c r="BG2065" s="23"/>
      <c r="BT2065" s="23"/>
      <c r="CD2065" s="23"/>
      <c r="DF2065" s="16" t="e">
        <f>VLOOKUP(K2065,'[3]RNA Seq summary tables'!$V$3:$V$99,1,FALSE)</f>
        <v>#N/A</v>
      </c>
      <c r="JO2065" s="27"/>
      <c r="JP2065" s="27"/>
      <c r="JQ2065" s="27"/>
    </row>
    <row r="2066" spans="2:288" x14ac:dyDescent="0.2">
      <c r="B2066" s="16">
        <v>2017</v>
      </c>
      <c r="C2066" s="20">
        <v>42950</v>
      </c>
      <c r="D2066" s="20" t="str">
        <f>CONCATENATE(J2066,"-",C2066)</f>
        <v>1189-42950</v>
      </c>
      <c r="E2066" s="20" t="str">
        <f>CONCATENATE(T2066,"-",U2066,"-",C2066)</f>
        <v>HW2-H4-42950</v>
      </c>
      <c r="F2066" s="20" t="s">
        <v>106</v>
      </c>
      <c r="G2066" s="20" t="s">
        <v>278</v>
      </c>
      <c r="J2066" s="21">
        <v>1189</v>
      </c>
      <c r="T2066" s="16" t="s">
        <v>129</v>
      </c>
      <c r="U2066" s="16" t="s">
        <v>151</v>
      </c>
      <c r="AP2066" s="16">
        <f>SUM(AL2066:AN2066)</f>
        <v>0</v>
      </c>
      <c r="AT2066" s="16" t="s">
        <v>285</v>
      </c>
      <c r="AY2066" s="18"/>
      <c r="BG2066" s="23"/>
      <c r="BT2066" s="23"/>
      <c r="CD2066" s="23"/>
      <c r="DF2066" s="16" t="e">
        <f>VLOOKUP(K2066,'[3]RNA Seq summary tables'!$V$3:$V$99,1,FALSE)</f>
        <v>#N/A</v>
      </c>
      <c r="JO2066" s="18"/>
      <c r="JP2066" s="27"/>
      <c r="JQ2066" s="27"/>
    </row>
    <row r="2067" spans="2:288" x14ac:dyDescent="0.2">
      <c r="B2067" s="16">
        <v>2017</v>
      </c>
      <c r="C2067" s="20">
        <v>42968</v>
      </c>
      <c r="D2067" s="20" t="str">
        <f>CONCATENATE(J2067,"-",C2067)</f>
        <v>1189-42968</v>
      </c>
      <c r="E2067" s="20" t="str">
        <f>CONCATENATE(T2067,"-",U2067,"-",C2067)</f>
        <v>HW2-G3-42968</v>
      </c>
      <c r="F2067" s="20" t="s">
        <v>106</v>
      </c>
      <c r="G2067" s="20" t="s">
        <v>278</v>
      </c>
      <c r="J2067" s="21">
        <v>1189</v>
      </c>
      <c r="T2067" s="16" t="s">
        <v>129</v>
      </c>
      <c r="U2067" s="16" t="s">
        <v>179</v>
      </c>
      <c r="AP2067" s="16">
        <f>SUM(AL2067:AN2067)</f>
        <v>0</v>
      </c>
      <c r="AT2067" s="16" t="s">
        <v>285</v>
      </c>
      <c r="AY2067" s="18"/>
      <c r="BG2067" s="23"/>
      <c r="BT2067" s="23"/>
      <c r="CD2067" s="23"/>
      <c r="DF2067" s="16" t="e">
        <f>VLOOKUP(K2067,'[3]RNA Seq summary tables'!$V$3:$V$99,1,FALSE)</f>
        <v>#N/A</v>
      </c>
      <c r="JO2067" s="27"/>
      <c r="JP2067" s="27"/>
      <c r="JQ2067" s="27"/>
    </row>
    <row r="2068" spans="2:288" x14ac:dyDescent="0.2">
      <c r="B2068" s="16">
        <v>2017</v>
      </c>
      <c r="C2068" s="20">
        <v>42916</v>
      </c>
      <c r="D2068" s="20" t="str">
        <f>CONCATENATE(J2068,"-",C2068)</f>
        <v>1190-42916</v>
      </c>
      <c r="E2068" s="20" t="str">
        <f>CONCATENATE(T2068,"-",U2068,"-",C2068)</f>
        <v>HW1-A2-42916</v>
      </c>
      <c r="F2068" s="20" t="s">
        <v>106</v>
      </c>
      <c r="G2068" s="20" t="s">
        <v>278</v>
      </c>
      <c r="J2068" s="21">
        <v>1190</v>
      </c>
      <c r="T2068" s="16" t="s">
        <v>133</v>
      </c>
      <c r="U2068" s="16" t="s">
        <v>171</v>
      </c>
      <c r="AP2068" s="16">
        <f>SUM(AL2068:AN2068)</f>
        <v>0</v>
      </c>
      <c r="AT2068" s="16" t="s">
        <v>285</v>
      </c>
      <c r="AY2068" s="18"/>
      <c r="BG2068" s="23"/>
      <c r="BT2068" s="23"/>
      <c r="CD2068" s="23"/>
      <c r="DF2068" s="16" t="e">
        <f>VLOOKUP(K2068,'[3]RNA Seq summary tables'!$V$3:$V$99,1,FALSE)</f>
        <v>#N/A</v>
      </c>
      <c r="JP2068" s="27"/>
      <c r="JQ2068" s="27"/>
      <c r="JR2068" s="27"/>
      <c r="JS2068" s="27"/>
      <c r="JT2068" s="27"/>
      <c r="JU2068" s="27"/>
      <c r="JV2068" s="27"/>
      <c r="JW2068" s="27"/>
      <c r="JX2068" s="27"/>
      <c r="JY2068" s="27"/>
      <c r="JZ2068" s="27"/>
      <c r="KA2068" s="27"/>
      <c r="KB2068" s="27"/>
    </row>
    <row r="2069" spans="2:288" x14ac:dyDescent="0.2">
      <c r="B2069" s="18">
        <v>2017</v>
      </c>
      <c r="C2069" s="37">
        <v>42920</v>
      </c>
      <c r="D2069" s="37" t="str">
        <f>CONCATENATE(J2069,"-",C2069)</f>
        <v>1194-42920</v>
      </c>
      <c r="E2069" s="20" t="str">
        <f>CONCATENATE(T2069,"-",U2069,"-",C2069)</f>
        <v>BC2-B1-42920</v>
      </c>
      <c r="F2069" s="20" t="s">
        <v>106</v>
      </c>
      <c r="G2069" s="37" t="s">
        <v>278</v>
      </c>
      <c r="H2069" s="18"/>
      <c r="I2069" s="18"/>
      <c r="J2069" s="36">
        <v>1194</v>
      </c>
      <c r="K2069" s="36"/>
      <c r="L2069" s="18"/>
      <c r="M2069" s="36"/>
      <c r="N2069" s="36"/>
      <c r="O2069" s="36"/>
      <c r="P2069" s="18"/>
      <c r="Q2069" s="18"/>
      <c r="R2069" s="18"/>
      <c r="S2069" s="18"/>
      <c r="T2069" s="18" t="s">
        <v>154</v>
      </c>
      <c r="U2069" s="18" t="s">
        <v>113</v>
      </c>
      <c r="V2069" s="18" t="s">
        <v>142</v>
      </c>
      <c r="W2069" s="18"/>
      <c r="X2069" s="18"/>
      <c r="Y2069" s="18"/>
      <c r="Z2069" s="18"/>
      <c r="AA2069" s="18"/>
      <c r="AB2069" s="18"/>
      <c r="AC2069" s="18"/>
      <c r="AD2069" s="18"/>
      <c r="AE2069" s="18"/>
      <c r="AF2069" s="18"/>
      <c r="AG2069" s="18"/>
      <c r="AH2069" s="18"/>
      <c r="AI2069" s="18"/>
      <c r="AJ2069" s="18"/>
      <c r="AK2069" s="18"/>
      <c r="AL2069" s="18"/>
      <c r="AM2069" s="18"/>
      <c r="AN2069" s="18"/>
      <c r="AO2069" s="18"/>
      <c r="AP2069" s="18">
        <f>SUM(AL2069:AN2069)</f>
        <v>0</v>
      </c>
      <c r="AQ2069" s="18"/>
      <c r="AR2069" s="18"/>
      <c r="AS2069" s="18"/>
      <c r="AT2069" s="16" t="s">
        <v>285</v>
      </c>
      <c r="AW2069" s="18"/>
      <c r="AX2069" s="18"/>
      <c r="AY2069" s="18"/>
      <c r="AZ2069" s="18"/>
      <c r="BA2069" s="18"/>
      <c r="BB2069" s="18"/>
      <c r="BC2069" s="18"/>
      <c r="BD2069" s="18"/>
      <c r="BE2069" s="18"/>
      <c r="BF2069" s="18"/>
      <c r="BG2069" s="25"/>
      <c r="BH2069" s="18"/>
      <c r="BI2069" s="18"/>
      <c r="BJ2069" s="18"/>
      <c r="BK2069" s="18"/>
      <c r="BL2069" s="18"/>
      <c r="BM2069" s="18"/>
      <c r="BN2069" s="18"/>
      <c r="BO2069" s="18"/>
      <c r="BP2069" s="18"/>
      <c r="BQ2069" s="18"/>
      <c r="BR2069" s="18"/>
      <c r="BS2069" s="18"/>
      <c r="BT2069" s="25"/>
      <c r="BU2069" s="18"/>
      <c r="BV2069" s="18"/>
      <c r="BW2069" s="18"/>
      <c r="BX2069" s="18"/>
      <c r="BY2069" s="18"/>
      <c r="BZ2069" s="18"/>
      <c r="CA2069" s="18"/>
      <c r="CB2069" s="18"/>
      <c r="CC2069" s="18"/>
      <c r="CD2069" s="25"/>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6" t="e">
        <f>VLOOKUP(K2069,'[3]RNA Seq summary tables'!$V$3:$V$99,1,FALSE)</f>
        <v>#N/A</v>
      </c>
      <c r="DG2069" s="18"/>
      <c r="DH2069" s="18"/>
      <c r="DI2069" s="18"/>
      <c r="DJ2069" s="18"/>
      <c r="DK2069" s="18"/>
      <c r="DL2069" s="18"/>
      <c r="DM2069" s="18"/>
      <c r="DN2069" s="18"/>
      <c r="DO2069" s="18"/>
      <c r="DP2069" s="18"/>
      <c r="DQ2069" s="18"/>
      <c r="DR2069" s="18"/>
      <c r="DS2069" s="18"/>
      <c r="JO2069" s="27"/>
      <c r="JP2069" s="27"/>
      <c r="JQ2069" s="27"/>
      <c r="JR2069" s="27"/>
      <c r="JS2069" s="27"/>
      <c r="JT2069" s="27"/>
      <c r="JU2069" s="27"/>
      <c r="JV2069" s="27"/>
      <c r="JW2069" s="27"/>
      <c r="JX2069" s="27"/>
      <c r="JY2069" s="27"/>
      <c r="JZ2069" s="27"/>
      <c r="KA2069" s="27"/>
      <c r="KB2069" s="27"/>
    </row>
    <row r="2070" spans="2:288" x14ac:dyDescent="0.2">
      <c r="B2070" s="16">
        <v>2017</v>
      </c>
      <c r="C2070" s="20">
        <v>42937</v>
      </c>
      <c r="D2070" s="20" t="str">
        <f>CONCATENATE(J2070,"-",C2070)</f>
        <v>1195-42937</v>
      </c>
      <c r="E2070" s="20" t="str">
        <f>CONCATENATE(T2070,"-",U2070,"-",C2070)</f>
        <v>BC1-H1-42937</v>
      </c>
      <c r="F2070" s="20" t="s">
        <v>106</v>
      </c>
      <c r="G2070" s="20" t="s">
        <v>278</v>
      </c>
      <c r="J2070" s="21">
        <v>1195</v>
      </c>
      <c r="T2070" s="16" t="s">
        <v>159</v>
      </c>
      <c r="U2070" s="16" t="s">
        <v>191</v>
      </c>
      <c r="AP2070" s="16">
        <f>SUM(AL2070:AN2070)</f>
        <v>0</v>
      </c>
      <c r="AT2070" s="16" t="s">
        <v>285</v>
      </c>
      <c r="AY2070" s="18"/>
      <c r="BG2070" s="23"/>
      <c r="BT2070" s="23"/>
      <c r="CD2070" s="23"/>
      <c r="DF2070" s="16" t="e">
        <f>VLOOKUP(K2070,'[3]RNA Seq summary tables'!$V$3:$V$99,1,FALSE)</f>
        <v>#N/A</v>
      </c>
      <c r="JO2070" s="27"/>
      <c r="JP2070" s="27"/>
      <c r="JQ2070" s="27"/>
      <c r="JR2070" s="18"/>
      <c r="JS2070" s="18"/>
      <c r="JT2070" s="18"/>
      <c r="JU2070" s="18"/>
      <c r="JV2070" s="18"/>
      <c r="JW2070" s="18"/>
      <c r="JX2070" s="18"/>
      <c r="JY2070" s="18"/>
      <c r="JZ2070" s="18"/>
      <c r="KA2070" s="18"/>
      <c r="KB2070" s="18"/>
    </row>
    <row r="2071" spans="2:288" x14ac:dyDescent="0.2">
      <c r="B2071" s="18">
        <v>2017</v>
      </c>
      <c r="C2071" s="37">
        <v>42920</v>
      </c>
      <c r="D2071" s="37" t="str">
        <f>CONCATENATE(J2071,"-",C2071)</f>
        <v>1196-42920</v>
      </c>
      <c r="E2071" s="20" t="str">
        <f>CONCATENATE(T2071,"-",U2071,"-",C2071)</f>
        <v>BC2-C2-42920</v>
      </c>
      <c r="F2071" s="20" t="s">
        <v>106</v>
      </c>
      <c r="G2071" s="37" t="s">
        <v>278</v>
      </c>
      <c r="H2071" s="18"/>
      <c r="I2071" s="18"/>
      <c r="J2071" s="36">
        <v>1196</v>
      </c>
      <c r="K2071" s="36"/>
      <c r="L2071" s="18"/>
      <c r="M2071" s="36"/>
      <c r="N2071" s="36"/>
      <c r="O2071" s="36"/>
      <c r="P2071" s="18"/>
      <c r="Q2071" s="18"/>
      <c r="R2071" s="18"/>
      <c r="S2071" s="18"/>
      <c r="T2071" s="18" t="s">
        <v>154</v>
      </c>
      <c r="U2071" s="18" t="s">
        <v>162</v>
      </c>
      <c r="V2071" s="18" t="s">
        <v>114</v>
      </c>
      <c r="W2071" s="18"/>
      <c r="X2071" s="18"/>
      <c r="Y2071" s="18"/>
      <c r="Z2071" s="18"/>
      <c r="AA2071" s="18"/>
      <c r="AB2071" s="18"/>
      <c r="AC2071" s="18"/>
      <c r="AD2071" s="18"/>
      <c r="AE2071" s="18"/>
      <c r="AF2071" s="18"/>
      <c r="AG2071" s="18"/>
      <c r="AH2071" s="18"/>
      <c r="AI2071" s="18"/>
      <c r="AJ2071" s="18"/>
      <c r="AK2071" s="18"/>
      <c r="AL2071" s="18"/>
      <c r="AM2071" s="18"/>
      <c r="AN2071" s="18"/>
      <c r="AO2071" s="18"/>
      <c r="AP2071" s="18">
        <f>SUM(AL2071:AN2071)</f>
        <v>0</v>
      </c>
      <c r="AQ2071" s="18"/>
      <c r="AR2071" s="18"/>
      <c r="AS2071" s="18"/>
      <c r="AT2071" s="16" t="s">
        <v>285</v>
      </c>
      <c r="AW2071" s="18"/>
      <c r="AX2071" s="18"/>
      <c r="AY2071" s="18"/>
      <c r="AZ2071" s="18"/>
      <c r="BA2071" s="18"/>
      <c r="BB2071" s="18"/>
      <c r="BC2071" s="18"/>
      <c r="BD2071" s="18"/>
      <c r="BE2071" s="18"/>
      <c r="BF2071" s="18"/>
      <c r="BG2071" s="25"/>
      <c r="BH2071" s="18"/>
      <c r="BI2071" s="18"/>
      <c r="BJ2071" s="18"/>
      <c r="BK2071" s="18"/>
      <c r="BL2071" s="18"/>
      <c r="BM2071" s="18"/>
      <c r="BN2071" s="18"/>
      <c r="BO2071" s="18"/>
      <c r="BP2071" s="18"/>
      <c r="BQ2071" s="18"/>
      <c r="BR2071" s="18"/>
      <c r="BS2071" s="18"/>
      <c r="BT2071" s="25"/>
      <c r="BU2071" s="18"/>
      <c r="BV2071" s="18"/>
      <c r="BW2071" s="18"/>
      <c r="BX2071" s="18"/>
      <c r="BY2071" s="18"/>
      <c r="BZ2071" s="18"/>
      <c r="CA2071" s="18"/>
      <c r="CB2071" s="18"/>
      <c r="CC2071" s="18"/>
      <c r="CD2071" s="25"/>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6" t="e">
        <f>VLOOKUP(K2071,'[3]RNA Seq summary tables'!$V$3:$V$99,1,FALSE)</f>
        <v>#N/A</v>
      </c>
      <c r="DG2071" s="18"/>
      <c r="DH2071" s="18"/>
      <c r="DI2071" s="18"/>
      <c r="DJ2071" s="18"/>
      <c r="DK2071" s="18"/>
      <c r="DL2071" s="18"/>
      <c r="DM2071" s="18"/>
      <c r="DN2071" s="18"/>
      <c r="DO2071" s="18"/>
      <c r="DP2071" s="18"/>
      <c r="DQ2071" s="18"/>
      <c r="DR2071" s="18"/>
      <c r="DS2071" s="18"/>
      <c r="JP2071" s="18"/>
      <c r="JQ2071" s="18"/>
      <c r="JR2071" s="27"/>
      <c r="JS2071" s="27"/>
      <c r="JT2071" s="27"/>
      <c r="JU2071" s="27"/>
      <c r="JV2071" s="27"/>
      <c r="JW2071" s="27"/>
      <c r="JX2071" s="27"/>
      <c r="JY2071" s="27"/>
      <c r="JZ2071" s="27"/>
      <c r="KA2071" s="27"/>
      <c r="KB2071" s="27"/>
    </row>
    <row r="2072" spans="2:288" x14ac:dyDescent="0.2">
      <c r="B2072" s="16">
        <v>2017</v>
      </c>
      <c r="C2072" s="20">
        <v>42956</v>
      </c>
      <c r="D2072" s="20" t="str">
        <f>CONCATENATE(J2072,"-",C2072)</f>
        <v>1197-42956</v>
      </c>
      <c r="E2072" s="20" t="str">
        <f>CONCATENATE(T2072,"-",U2072,"-",C2072)</f>
        <v>BC2-C5-42956</v>
      </c>
      <c r="F2072" s="20" t="s">
        <v>106</v>
      </c>
      <c r="G2072" s="20" t="s">
        <v>278</v>
      </c>
      <c r="J2072" s="21">
        <v>1197</v>
      </c>
      <c r="T2072" s="16" t="s">
        <v>154</v>
      </c>
      <c r="U2072" s="16" t="s">
        <v>172</v>
      </c>
      <c r="AP2072" s="16">
        <f>SUM(AL2072:AN2072)</f>
        <v>0</v>
      </c>
      <c r="AT2072" s="16" t="s">
        <v>285</v>
      </c>
      <c r="AY2072" s="18"/>
      <c r="BG2072" s="23"/>
      <c r="BT2072" s="23"/>
      <c r="CD2072" s="23"/>
      <c r="DF2072" s="16" t="e">
        <f>VLOOKUP(K2072,'[3]RNA Seq summary tables'!$V$3:$V$99,1,FALSE)</f>
        <v>#N/A</v>
      </c>
      <c r="JO2072" s="27"/>
      <c r="JP2072" s="27"/>
      <c r="JQ2072" s="27"/>
    </row>
    <row r="2073" spans="2:288" x14ac:dyDescent="0.2">
      <c r="B2073" s="18">
        <v>2017</v>
      </c>
      <c r="C2073" s="37">
        <v>42920</v>
      </c>
      <c r="D2073" s="37" t="str">
        <f>CONCATENATE(J2073,"-",C2073)</f>
        <v>1200-42920</v>
      </c>
      <c r="E2073" s="20" t="str">
        <f>CONCATENATE(T2073,"-",U2073,"-",C2073)</f>
        <v>BC2-F1-42920</v>
      </c>
      <c r="F2073" s="20" t="s">
        <v>106</v>
      </c>
      <c r="G2073" s="37" t="s">
        <v>278</v>
      </c>
      <c r="H2073" s="18"/>
      <c r="I2073" s="18"/>
      <c r="J2073" s="36">
        <v>1200</v>
      </c>
      <c r="K2073" s="36"/>
      <c r="L2073" s="18"/>
      <c r="M2073" s="36"/>
      <c r="N2073" s="36"/>
      <c r="O2073" s="36"/>
      <c r="P2073" s="18"/>
      <c r="Q2073" s="18"/>
      <c r="R2073" s="18"/>
      <c r="S2073" s="18"/>
      <c r="T2073" s="18" t="s">
        <v>154</v>
      </c>
      <c r="U2073" s="18" t="s">
        <v>217</v>
      </c>
      <c r="V2073" s="18" t="s">
        <v>114</v>
      </c>
      <c r="W2073" s="18"/>
      <c r="X2073" s="18"/>
      <c r="Y2073" s="18"/>
      <c r="Z2073" s="18"/>
      <c r="AA2073" s="18"/>
      <c r="AB2073" s="18"/>
      <c r="AC2073" s="18"/>
      <c r="AD2073" s="18"/>
      <c r="AE2073" s="18"/>
      <c r="AF2073" s="18"/>
      <c r="AG2073" s="18"/>
      <c r="AH2073" s="18"/>
      <c r="AI2073" s="18"/>
      <c r="AJ2073" s="18"/>
      <c r="AK2073" s="18"/>
      <c r="AL2073" s="18"/>
      <c r="AM2073" s="18"/>
      <c r="AN2073" s="18"/>
      <c r="AO2073" s="18"/>
      <c r="AP2073" s="18">
        <f>SUM(AL2073:AN2073)</f>
        <v>0</v>
      </c>
      <c r="AQ2073" s="18"/>
      <c r="AR2073" s="18"/>
      <c r="AS2073" s="18"/>
      <c r="AT2073" s="16" t="s">
        <v>285</v>
      </c>
      <c r="AW2073" s="18"/>
      <c r="AX2073" s="18"/>
      <c r="AY2073" s="18"/>
      <c r="AZ2073" s="18"/>
      <c r="BA2073" s="18"/>
      <c r="BB2073" s="18"/>
      <c r="BC2073" s="18"/>
      <c r="BD2073" s="18"/>
      <c r="BE2073" s="18"/>
      <c r="BF2073" s="18"/>
      <c r="BG2073" s="25"/>
      <c r="BH2073" s="18"/>
      <c r="BI2073" s="18"/>
      <c r="BJ2073" s="18"/>
      <c r="BK2073" s="18"/>
      <c r="BL2073" s="18"/>
      <c r="BM2073" s="18"/>
      <c r="BN2073" s="18"/>
      <c r="BO2073" s="18"/>
      <c r="BP2073" s="18"/>
      <c r="BQ2073" s="18"/>
      <c r="BR2073" s="18"/>
      <c r="BS2073" s="18"/>
      <c r="BT2073" s="25"/>
      <c r="BU2073" s="18"/>
      <c r="BV2073" s="18"/>
      <c r="BW2073" s="18"/>
      <c r="BX2073" s="18"/>
      <c r="BY2073" s="18"/>
      <c r="BZ2073" s="18"/>
      <c r="CA2073" s="18"/>
      <c r="CB2073" s="18"/>
      <c r="CC2073" s="18"/>
      <c r="CD2073" s="25"/>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6" t="e">
        <f>VLOOKUP(K2073,'[3]RNA Seq summary tables'!$V$3:$V$99,1,FALSE)</f>
        <v>#N/A</v>
      </c>
      <c r="DG2073" s="18"/>
      <c r="DH2073" s="18"/>
      <c r="DI2073" s="18"/>
      <c r="DJ2073" s="18"/>
      <c r="DK2073" s="18"/>
      <c r="DL2073" s="18"/>
      <c r="DM2073" s="18"/>
      <c r="DN2073" s="18"/>
      <c r="DO2073" s="18"/>
      <c r="DP2073" s="18"/>
      <c r="DQ2073" s="18"/>
      <c r="DR2073" s="18"/>
      <c r="DS2073" s="18"/>
      <c r="JP2073" s="27"/>
      <c r="JQ2073" s="27"/>
      <c r="JR2073" s="27"/>
      <c r="JS2073" s="27"/>
      <c r="JT2073" s="27"/>
      <c r="JU2073" s="27"/>
      <c r="JV2073" s="27"/>
      <c r="JW2073" s="27"/>
      <c r="JX2073" s="27"/>
      <c r="JY2073" s="27"/>
      <c r="JZ2073" s="27"/>
      <c r="KA2073" s="27"/>
      <c r="KB2073" s="27"/>
    </row>
    <row r="2074" spans="2:288" x14ac:dyDescent="0.2">
      <c r="B2074" s="16">
        <v>2017</v>
      </c>
      <c r="C2074" s="20">
        <v>42938</v>
      </c>
      <c r="D2074" s="20" t="str">
        <f>CONCATENATE(J2074,"-",C2074)</f>
        <v>1200-42938</v>
      </c>
      <c r="E2074" s="20" t="str">
        <f>CONCATENATE(T2074,"-",U2074,"-",C2074)</f>
        <v>BC2-D1-42938</v>
      </c>
      <c r="F2074" s="20" t="s">
        <v>106</v>
      </c>
      <c r="G2074" s="20" t="s">
        <v>278</v>
      </c>
      <c r="J2074" s="21">
        <v>1200</v>
      </c>
      <c r="T2074" s="16" t="s">
        <v>154</v>
      </c>
      <c r="U2074" s="16" t="s">
        <v>157</v>
      </c>
      <c r="AP2074" s="16">
        <f>SUM(AL2074:AN2074)</f>
        <v>0</v>
      </c>
      <c r="AT2074" s="16" t="s">
        <v>285</v>
      </c>
      <c r="AY2074" s="18"/>
      <c r="BG2074" s="23"/>
      <c r="BT2074" s="23"/>
      <c r="CD2074" s="23"/>
      <c r="DF2074" s="16" t="e">
        <f>VLOOKUP(K2074,'[3]RNA Seq summary tables'!$V$3:$V$99,1,FALSE)</f>
        <v>#N/A</v>
      </c>
      <c r="JO2074" s="27"/>
      <c r="JP2074" s="27"/>
      <c r="JQ2074" s="27"/>
      <c r="JR2074" s="18"/>
      <c r="JS2074" s="18"/>
      <c r="JT2074" s="18"/>
      <c r="JU2074" s="18"/>
      <c r="JV2074" s="18"/>
      <c r="JW2074" s="18"/>
      <c r="JX2074" s="18"/>
      <c r="JY2074" s="18"/>
      <c r="JZ2074" s="18"/>
      <c r="KA2074" s="18"/>
      <c r="KB2074" s="18"/>
    </row>
    <row r="2075" spans="2:288" x14ac:dyDescent="0.2">
      <c r="B2075" s="16">
        <v>2017</v>
      </c>
      <c r="C2075" s="20">
        <v>42920</v>
      </c>
      <c r="D2075" s="20" t="str">
        <f>CONCATENATE(J2075,"-",C2075)</f>
        <v>1201-42920</v>
      </c>
      <c r="E2075" s="20" t="str">
        <f>CONCATENATE(T2075,"-",U2075,"-",C2075)</f>
        <v>BC1-A5-42920</v>
      </c>
      <c r="F2075" s="20" t="s">
        <v>106</v>
      </c>
      <c r="G2075" s="20" t="s">
        <v>278</v>
      </c>
      <c r="J2075" s="21">
        <v>1201</v>
      </c>
      <c r="T2075" s="16" t="s">
        <v>159</v>
      </c>
      <c r="U2075" s="16" t="s">
        <v>167</v>
      </c>
      <c r="AP2075" s="16">
        <f>SUM(AL2075:AN2075)</f>
        <v>0</v>
      </c>
      <c r="AT2075" s="16" t="s">
        <v>285</v>
      </c>
      <c r="AY2075" s="18"/>
      <c r="BG2075" s="23"/>
      <c r="BT2075" s="23"/>
      <c r="CD2075" s="23"/>
      <c r="DF2075" s="16" t="e">
        <f>VLOOKUP(K2075,'[3]RNA Seq summary tables'!$V$3:$V$99,1,FALSE)</f>
        <v>#N/A</v>
      </c>
      <c r="JP2075" s="27"/>
      <c r="JQ2075" s="27"/>
      <c r="JR2075" s="27"/>
      <c r="JS2075" s="27"/>
      <c r="JT2075" s="27"/>
      <c r="JU2075" s="27"/>
      <c r="JV2075" s="27"/>
      <c r="JW2075" s="27"/>
      <c r="JX2075" s="27"/>
      <c r="JY2075" s="27"/>
      <c r="JZ2075" s="27"/>
      <c r="KA2075" s="27"/>
      <c r="KB2075" s="27"/>
    </row>
    <row r="2076" spans="2:288" x14ac:dyDescent="0.2">
      <c r="B2076" s="16">
        <v>2017</v>
      </c>
      <c r="C2076" s="20">
        <v>42920</v>
      </c>
      <c r="D2076" s="20" t="str">
        <f>CONCATENATE(J2076,"-",C2076)</f>
        <v>1202-42920</v>
      </c>
      <c r="E2076" s="20" t="str">
        <f>CONCATENATE(T2076,"-",U2076,"-",C2076)</f>
        <v>BC1-A6-42920</v>
      </c>
      <c r="F2076" s="20" t="s">
        <v>106</v>
      </c>
      <c r="G2076" s="20" t="s">
        <v>278</v>
      </c>
      <c r="J2076" s="21">
        <v>1202</v>
      </c>
      <c r="T2076" s="16" t="s">
        <v>159</v>
      </c>
      <c r="U2076" s="16" t="s">
        <v>147</v>
      </c>
      <c r="AP2076" s="16">
        <f>SUM(AL2076:AN2076)</f>
        <v>0</v>
      </c>
      <c r="AT2076" s="16" t="s">
        <v>285</v>
      </c>
      <c r="AY2076" s="18"/>
      <c r="BG2076" s="23"/>
      <c r="BT2076" s="23"/>
      <c r="CD2076" s="23"/>
      <c r="DF2076" s="16" t="e">
        <f>VLOOKUP(K2076,'[3]RNA Seq summary tables'!$V$3:$V$99,1,FALSE)</f>
        <v>#N/A</v>
      </c>
      <c r="JP2076" s="27"/>
      <c r="JQ2076" s="27"/>
      <c r="JR2076" s="27"/>
      <c r="JS2076" s="27"/>
      <c r="JT2076" s="27"/>
      <c r="JU2076" s="27"/>
      <c r="JV2076" s="27"/>
      <c r="JW2076" s="27"/>
      <c r="JX2076" s="27"/>
      <c r="JY2076" s="27"/>
      <c r="JZ2076" s="27"/>
      <c r="KA2076" s="27"/>
      <c r="KB2076" s="27"/>
    </row>
    <row r="2077" spans="2:288" x14ac:dyDescent="0.2">
      <c r="B2077" s="16">
        <v>2017</v>
      </c>
      <c r="C2077" s="20">
        <v>42920</v>
      </c>
      <c r="D2077" s="20" t="str">
        <f>CONCATENATE(J2077,"-",C2077)</f>
        <v>1203-42920</v>
      </c>
      <c r="E2077" s="20" t="str">
        <f>CONCATENATE(T2077,"-",U2077,"-",C2077)</f>
        <v>BC1-A2-42920</v>
      </c>
      <c r="F2077" s="20" t="s">
        <v>106</v>
      </c>
      <c r="G2077" s="20" t="s">
        <v>278</v>
      </c>
      <c r="J2077" s="21">
        <v>1203</v>
      </c>
      <c r="T2077" s="16" t="s">
        <v>159</v>
      </c>
      <c r="U2077" s="16" t="s">
        <v>171</v>
      </c>
      <c r="AP2077" s="16">
        <f>SUM(AL2077:AN2077)</f>
        <v>0</v>
      </c>
      <c r="AT2077" s="16" t="s">
        <v>285</v>
      </c>
      <c r="AY2077" s="18"/>
      <c r="BG2077" s="23"/>
      <c r="BT2077" s="23"/>
      <c r="CD2077" s="23"/>
      <c r="DF2077" s="16" t="e">
        <f>VLOOKUP(K2077,'[3]RNA Seq summary tables'!$V$3:$V$99,1,FALSE)</f>
        <v>#N/A</v>
      </c>
      <c r="JP2077" s="27"/>
      <c r="JQ2077" s="27"/>
      <c r="JR2077" s="27"/>
      <c r="JS2077" s="27"/>
      <c r="JT2077" s="27"/>
      <c r="JU2077" s="27"/>
      <c r="JV2077" s="27"/>
      <c r="JW2077" s="27"/>
      <c r="JX2077" s="27"/>
      <c r="JY2077" s="27"/>
      <c r="JZ2077" s="27"/>
      <c r="KA2077" s="27"/>
      <c r="KB2077" s="27"/>
    </row>
    <row r="2078" spans="2:288" x14ac:dyDescent="0.2">
      <c r="B2078" s="16">
        <v>2017</v>
      </c>
      <c r="C2078" s="20">
        <v>42937</v>
      </c>
      <c r="D2078" s="20" t="str">
        <f>CONCATENATE(J2078,"-",C2078)</f>
        <v>1203-42937</v>
      </c>
      <c r="E2078" s="20" t="str">
        <f>CONCATENATE(T2078,"-",U2078,"-",C2078)</f>
        <v>BC1-E1-42937</v>
      </c>
      <c r="F2078" s="20" t="s">
        <v>106</v>
      </c>
      <c r="G2078" s="20" t="s">
        <v>278</v>
      </c>
      <c r="J2078" s="21">
        <v>1203</v>
      </c>
      <c r="T2078" s="16" t="s">
        <v>159</v>
      </c>
      <c r="U2078" s="16" t="s">
        <v>222</v>
      </c>
      <c r="AP2078" s="16">
        <f>SUM(AL2078:AN2078)</f>
        <v>0</v>
      </c>
      <c r="AT2078" s="16" t="s">
        <v>285</v>
      </c>
      <c r="AY2078" s="18"/>
      <c r="BG2078" s="23"/>
      <c r="BT2078" s="23"/>
      <c r="CD2078" s="23"/>
      <c r="DF2078" s="16" t="e">
        <f>VLOOKUP(K2078,'[3]RNA Seq summary tables'!$V$3:$V$99,1,FALSE)</f>
        <v>#N/A</v>
      </c>
      <c r="JO2078" s="27"/>
      <c r="JP2078" s="27"/>
      <c r="JQ2078" s="27"/>
      <c r="JR2078" s="27"/>
      <c r="JS2078" s="27"/>
      <c r="JT2078" s="27"/>
      <c r="JU2078" s="27"/>
      <c r="JV2078" s="27"/>
      <c r="JW2078" s="27"/>
      <c r="JX2078" s="27"/>
      <c r="JY2078" s="27"/>
      <c r="JZ2078" s="27"/>
      <c r="KA2078" s="27"/>
      <c r="KB2078" s="27"/>
    </row>
    <row r="2079" spans="2:288" x14ac:dyDescent="0.2">
      <c r="B2079" s="16">
        <v>2017</v>
      </c>
      <c r="C2079" s="20">
        <v>42938</v>
      </c>
      <c r="D2079" s="20" t="str">
        <f>CONCATENATE(J2079,"-",C2079)</f>
        <v>1203-42938</v>
      </c>
      <c r="E2079" s="20" t="str">
        <f>CONCATENATE(T2079,"-",U2079,"-",C2079)</f>
        <v>BC1-E1-42938</v>
      </c>
      <c r="F2079" s="20" t="s">
        <v>106</v>
      </c>
      <c r="G2079" s="20" t="s">
        <v>278</v>
      </c>
      <c r="J2079" s="21">
        <v>1203</v>
      </c>
      <c r="T2079" s="16" t="s">
        <v>159</v>
      </c>
      <c r="U2079" s="16" t="s">
        <v>222</v>
      </c>
      <c r="AP2079" s="16">
        <f>SUM(AL2079:AN2079)</f>
        <v>0</v>
      </c>
      <c r="AT2079" s="16" t="s">
        <v>285</v>
      </c>
      <c r="AY2079" s="18"/>
      <c r="BG2079" s="23"/>
      <c r="BT2079" s="23"/>
      <c r="CD2079" s="23"/>
      <c r="DF2079" s="16" t="e">
        <f>VLOOKUP(K2079,'[3]RNA Seq summary tables'!$V$3:$V$99,1,FALSE)</f>
        <v>#N/A</v>
      </c>
      <c r="JO2079" s="27"/>
      <c r="JP2079" s="27"/>
      <c r="JQ2079" s="27"/>
      <c r="JR2079" s="18"/>
      <c r="JS2079" s="18"/>
      <c r="JT2079" s="18"/>
      <c r="JU2079" s="18"/>
      <c r="JV2079" s="18"/>
      <c r="JW2079" s="18"/>
      <c r="JX2079" s="18"/>
      <c r="JY2079" s="18"/>
      <c r="JZ2079" s="18"/>
      <c r="KA2079" s="18"/>
      <c r="KB2079" s="18"/>
    </row>
    <row r="2080" spans="2:288" x14ac:dyDescent="0.2">
      <c r="B2080" s="16">
        <v>2017</v>
      </c>
      <c r="C2080" s="20">
        <v>42920</v>
      </c>
      <c r="D2080" s="20" t="str">
        <f>CONCATENATE(J2080,"-",C2080)</f>
        <v>1204-42920</v>
      </c>
      <c r="E2080" s="20" t="str">
        <f>CONCATENATE(T2080,"-",U2080,"-",C2080)</f>
        <v>BC1-D8-42920</v>
      </c>
      <c r="F2080" s="20" t="s">
        <v>106</v>
      </c>
      <c r="G2080" s="20" t="s">
        <v>278</v>
      </c>
      <c r="J2080" s="21">
        <v>1204</v>
      </c>
      <c r="T2080" s="16" t="s">
        <v>159</v>
      </c>
      <c r="U2080" s="16" t="s">
        <v>178</v>
      </c>
      <c r="AP2080" s="16">
        <f>SUM(AL2080:AN2080)</f>
        <v>0</v>
      </c>
      <c r="AT2080" s="16" t="s">
        <v>285</v>
      </c>
      <c r="AY2080" s="18"/>
      <c r="BG2080" s="23"/>
      <c r="BT2080" s="23"/>
      <c r="CD2080" s="23"/>
      <c r="DF2080" s="16" t="e">
        <f>VLOOKUP(K2080,'[3]RNA Seq summary tables'!$V$3:$V$99,1,FALSE)</f>
        <v>#N/A</v>
      </c>
      <c r="JP2080" s="27"/>
      <c r="JQ2080" s="27"/>
      <c r="JR2080" s="27"/>
      <c r="JS2080" s="27"/>
      <c r="JT2080" s="27"/>
      <c r="JU2080" s="27"/>
      <c r="JV2080" s="27"/>
      <c r="JW2080" s="27"/>
      <c r="JX2080" s="27"/>
      <c r="JY2080" s="27"/>
      <c r="JZ2080" s="27"/>
      <c r="KA2080" s="27"/>
      <c r="KB2080" s="27"/>
    </row>
    <row r="2081" spans="1:288" x14ac:dyDescent="0.2">
      <c r="B2081" s="16">
        <v>2017</v>
      </c>
      <c r="C2081" s="20">
        <v>42937</v>
      </c>
      <c r="D2081" s="20" t="str">
        <f>CONCATENATE(J2081,"-",C2081)</f>
        <v>1204-42937</v>
      </c>
      <c r="E2081" s="20" t="str">
        <f>CONCATENATE(T2081,"-",U2081,"-",C2081)</f>
        <v>BC1-F8-42937</v>
      </c>
      <c r="F2081" s="20" t="s">
        <v>106</v>
      </c>
      <c r="G2081" s="20" t="s">
        <v>278</v>
      </c>
      <c r="J2081" s="21">
        <v>1204</v>
      </c>
      <c r="T2081" s="16" t="s">
        <v>159</v>
      </c>
      <c r="U2081" s="16" t="s">
        <v>138</v>
      </c>
      <c r="AP2081" s="16">
        <f>SUM(AL2081:AN2081)</f>
        <v>0</v>
      </c>
      <c r="AT2081" s="16" t="s">
        <v>285</v>
      </c>
      <c r="AY2081" s="18"/>
      <c r="BG2081" s="23"/>
      <c r="BT2081" s="23"/>
      <c r="CD2081" s="23"/>
      <c r="DF2081" s="16" t="e">
        <f>VLOOKUP(K2081,'[3]RNA Seq summary tables'!$V$3:$V$99,1,FALSE)</f>
        <v>#N/A</v>
      </c>
      <c r="JO2081" s="27"/>
      <c r="JP2081" s="27"/>
      <c r="JQ2081" s="27"/>
      <c r="JR2081" s="18"/>
      <c r="JS2081" s="18"/>
      <c r="JT2081" s="18"/>
      <c r="JU2081" s="18"/>
      <c r="JV2081" s="18"/>
      <c r="JW2081" s="18"/>
      <c r="JX2081" s="18"/>
      <c r="JY2081" s="18"/>
      <c r="JZ2081" s="18"/>
      <c r="KA2081" s="18"/>
      <c r="KB2081" s="18"/>
    </row>
    <row r="2082" spans="1:288" x14ac:dyDescent="0.2">
      <c r="B2082" s="16">
        <v>2017</v>
      </c>
      <c r="C2082" s="20">
        <v>42938</v>
      </c>
      <c r="D2082" s="20" t="str">
        <f>CONCATENATE(J2082,"-",C2082)</f>
        <v>1204-42938</v>
      </c>
      <c r="E2082" s="20" t="str">
        <f>CONCATENATE(T2082,"-",U2082,"-",C2082)</f>
        <v>BC1-D8-42938</v>
      </c>
      <c r="F2082" s="20" t="s">
        <v>106</v>
      </c>
      <c r="G2082" s="20" t="s">
        <v>278</v>
      </c>
      <c r="J2082" s="21">
        <v>1204</v>
      </c>
      <c r="T2082" s="16" t="s">
        <v>159</v>
      </c>
      <c r="U2082" s="16" t="s">
        <v>178</v>
      </c>
      <c r="AP2082" s="16">
        <f>SUM(AL2082:AN2082)</f>
        <v>0</v>
      </c>
      <c r="AT2082" s="16" t="s">
        <v>285</v>
      </c>
      <c r="AY2082" s="18"/>
      <c r="BG2082" s="23"/>
      <c r="BT2082" s="23"/>
      <c r="CD2082" s="23"/>
      <c r="DF2082" s="16" t="e">
        <f>VLOOKUP(K2082,'[3]RNA Seq summary tables'!$V$3:$V$99,1,FALSE)</f>
        <v>#N/A</v>
      </c>
      <c r="JO2082" s="27"/>
      <c r="JP2082" s="27"/>
      <c r="JQ2082" s="27"/>
      <c r="JR2082" s="18"/>
      <c r="JS2082" s="18"/>
      <c r="JT2082" s="18"/>
      <c r="JU2082" s="18"/>
      <c r="JV2082" s="18"/>
      <c r="JW2082" s="18"/>
      <c r="JX2082" s="18"/>
      <c r="JY2082" s="18"/>
      <c r="JZ2082" s="18"/>
      <c r="KA2082" s="18"/>
      <c r="KB2082" s="18"/>
    </row>
    <row r="2083" spans="1:288" x14ac:dyDescent="0.2">
      <c r="B2083" s="16">
        <v>2017</v>
      </c>
      <c r="C2083" s="20">
        <v>42920</v>
      </c>
      <c r="D2083" s="20" t="str">
        <f>CONCATENATE(J2083,"-",C2083)</f>
        <v>1205-42920</v>
      </c>
      <c r="E2083" s="20" t="str">
        <f>CONCATENATE(T2083,"-",U2083,"-",C2083)</f>
        <v>BC1-G6-42920</v>
      </c>
      <c r="F2083" s="20" t="s">
        <v>106</v>
      </c>
      <c r="G2083" s="20" t="s">
        <v>278</v>
      </c>
      <c r="J2083" s="21">
        <v>1205</v>
      </c>
      <c r="T2083" s="16" t="s">
        <v>159</v>
      </c>
      <c r="U2083" s="16" t="s">
        <v>218</v>
      </c>
      <c r="AP2083" s="16">
        <f>SUM(AL2083:AN2083)</f>
        <v>0</v>
      </c>
      <c r="AT2083" s="16" t="s">
        <v>285</v>
      </c>
      <c r="AY2083" s="18"/>
      <c r="BG2083" s="23"/>
      <c r="BT2083" s="23"/>
      <c r="CD2083" s="23"/>
      <c r="DF2083" s="16" t="e">
        <f>VLOOKUP(K2083,'[3]RNA Seq summary tables'!$V$3:$V$99,1,FALSE)</f>
        <v>#N/A</v>
      </c>
      <c r="JP2083" s="27"/>
      <c r="JQ2083" s="27"/>
      <c r="JR2083" s="27"/>
      <c r="JS2083" s="27"/>
      <c r="JT2083" s="27"/>
      <c r="JU2083" s="27"/>
      <c r="JV2083" s="27"/>
      <c r="JW2083" s="27"/>
      <c r="JX2083" s="27"/>
      <c r="JY2083" s="27"/>
      <c r="JZ2083" s="27"/>
      <c r="KA2083" s="27"/>
      <c r="KB2083" s="27"/>
    </row>
    <row r="2084" spans="1:288" x14ac:dyDescent="0.2">
      <c r="B2084" s="16">
        <v>2017</v>
      </c>
      <c r="C2084" s="20">
        <v>42937</v>
      </c>
      <c r="D2084" s="20" t="str">
        <f>CONCATENATE(J2084,"-",C2084)</f>
        <v>1205-42937</v>
      </c>
      <c r="E2084" s="20" t="str">
        <f>CONCATENATE(T2084,"-",U2084,"-",C2084)</f>
        <v>BC1-G6-42937</v>
      </c>
      <c r="F2084" s="20" t="s">
        <v>106</v>
      </c>
      <c r="G2084" s="20" t="s">
        <v>278</v>
      </c>
      <c r="J2084" s="21">
        <v>1205</v>
      </c>
      <c r="T2084" s="16" t="s">
        <v>159</v>
      </c>
      <c r="U2084" s="16" t="s">
        <v>218</v>
      </c>
      <c r="AP2084" s="16">
        <f>SUM(AL2084:AN2084)</f>
        <v>0</v>
      </c>
      <c r="AT2084" s="16" t="s">
        <v>285</v>
      </c>
      <c r="AY2084" s="18"/>
      <c r="BG2084" s="23"/>
      <c r="BT2084" s="23"/>
      <c r="CD2084" s="23"/>
      <c r="DF2084" s="16" t="e">
        <f>VLOOKUP(K2084,'[3]RNA Seq summary tables'!$V$3:$V$99,1,FALSE)</f>
        <v>#N/A</v>
      </c>
      <c r="JO2084" s="27"/>
      <c r="JP2084" s="27"/>
      <c r="JQ2084" s="27"/>
      <c r="JR2084" s="18"/>
      <c r="JS2084" s="18"/>
      <c r="JT2084" s="18"/>
      <c r="JU2084" s="18"/>
      <c r="JV2084" s="18"/>
      <c r="JW2084" s="18"/>
      <c r="JX2084" s="18"/>
      <c r="JY2084" s="18"/>
      <c r="JZ2084" s="18"/>
      <c r="KA2084" s="18"/>
      <c r="KB2084" s="18"/>
    </row>
    <row r="2085" spans="1:288" x14ac:dyDescent="0.2">
      <c r="B2085" s="16">
        <v>2017</v>
      </c>
      <c r="C2085" s="20">
        <v>42938</v>
      </c>
      <c r="D2085" s="20" t="str">
        <f>CONCATENATE(J2085,"-",C2085)</f>
        <v>1205-42938</v>
      </c>
      <c r="E2085" s="20" t="str">
        <f>CONCATENATE(T2085,"-",U2085,"-",C2085)</f>
        <v>BC1-H7-42938</v>
      </c>
      <c r="F2085" s="20" t="s">
        <v>106</v>
      </c>
      <c r="G2085" s="20" t="s">
        <v>278</v>
      </c>
      <c r="J2085" s="21">
        <v>1205</v>
      </c>
      <c r="T2085" s="16" t="s">
        <v>159</v>
      </c>
      <c r="U2085" s="16" t="s">
        <v>202</v>
      </c>
      <c r="AP2085" s="16">
        <f>SUM(AL2085:AN2085)</f>
        <v>0</v>
      </c>
      <c r="AT2085" s="16" t="s">
        <v>285</v>
      </c>
      <c r="AY2085" s="18"/>
      <c r="BG2085" s="23"/>
      <c r="BT2085" s="23"/>
      <c r="CD2085" s="23"/>
      <c r="DF2085" s="16" t="e">
        <f>VLOOKUP(K2085,'[3]RNA Seq summary tables'!$V$3:$V$99,1,FALSE)</f>
        <v>#N/A</v>
      </c>
      <c r="JO2085" s="27"/>
      <c r="JP2085" s="27"/>
      <c r="JQ2085" s="27"/>
      <c r="JR2085" s="18"/>
      <c r="JS2085" s="18"/>
      <c r="JT2085" s="18"/>
      <c r="JU2085" s="18"/>
      <c r="JV2085" s="18"/>
      <c r="JW2085" s="18"/>
      <c r="JX2085" s="18"/>
      <c r="JY2085" s="18"/>
      <c r="JZ2085" s="18"/>
      <c r="KA2085" s="18"/>
      <c r="KB2085" s="18"/>
    </row>
    <row r="2086" spans="1:288" x14ac:dyDescent="0.2">
      <c r="B2086" s="16">
        <v>2017</v>
      </c>
      <c r="C2086" s="43">
        <v>42955</v>
      </c>
      <c r="D2086" s="20" t="str">
        <f>CONCATENATE(J2086,"-",C2086)</f>
        <v>1205-42955</v>
      </c>
      <c r="E2086" s="20" t="str">
        <f>CONCATENATE(T2086,"-",U2086,"-",C2086)</f>
        <v>BC1-F3-42955</v>
      </c>
      <c r="F2086" s="20" t="s">
        <v>106</v>
      </c>
      <c r="G2086" s="43" t="s">
        <v>278</v>
      </c>
      <c r="H2086" s="23"/>
      <c r="I2086" s="23"/>
      <c r="J2086" s="15">
        <v>1205</v>
      </c>
      <c r="K2086" s="15"/>
      <c r="L2086" s="23"/>
      <c r="P2086" s="23"/>
      <c r="Q2086" s="23"/>
      <c r="R2086" s="23"/>
      <c r="S2086" s="23"/>
      <c r="T2086" s="23" t="s">
        <v>159</v>
      </c>
      <c r="U2086" s="23" t="s">
        <v>182</v>
      </c>
      <c r="V2086" s="23"/>
      <c r="W2086" s="23"/>
      <c r="X2086" s="23"/>
      <c r="Y2086" s="23"/>
      <c r="Z2086" s="23"/>
      <c r="AA2086" s="23"/>
      <c r="AB2086" s="23"/>
      <c r="AC2086" s="23"/>
      <c r="AD2086" s="23"/>
      <c r="AE2086" s="23"/>
      <c r="AF2086" s="23"/>
      <c r="AG2086" s="23"/>
      <c r="AH2086" s="23"/>
      <c r="AI2086" s="23"/>
      <c r="AJ2086" s="23"/>
      <c r="AK2086" s="23"/>
      <c r="AL2086" s="23"/>
      <c r="AM2086" s="23"/>
      <c r="AN2086" s="23"/>
      <c r="AO2086" s="23"/>
      <c r="AP2086" s="23">
        <f>SUM(AL2086:AN2086)</f>
        <v>0</v>
      </c>
      <c r="AQ2086" s="23"/>
      <c r="AR2086" s="23"/>
      <c r="AS2086" s="23"/>
      <c r="AT2086" s="16" t="s">
        <v>285</v>
      </c>
      <c r="AY2086" s="18"/>
      <c r="BG2086" s="23"/>
      <c r="BT2086" s="23"/>
      <c r="CD2086" s="23"/>
      <c r="DC2086" s="23"/>
      <c r="DD2086" s="23"/>
      <c r="DE2086" s="23"/>
      <c r="DF2086" s="16" t="e">
        <f>VLOOKUP(K2086,'[3]RNA Seq summary tables'!$V$3:$V$99,1,FALSE)</f>
        <v>#N/A</v>
      </c>
      <c r="DG2086" s="23"/>
      <c r="DH2086" s="23"/>
      <c r="DI2086" s="23"/>
      <c r="DJ2086" s="23"/>
      <c r="DK2086" s="23"/>
      <c r="DL2086" s="23"/>
      <c r="DM2086" s="23"/>
      <c r="DN2086" s="23"/>
      <c r="DO2086" s="23"/>
      <c r="DP2086" s="23"/>
      <c r="DQ2086" s="23"/>
      <c r="DR2086" s="23"/>
      <c r="DS2086" s="23"/>
      <c r="DT2086" s="25"/>
      <c r="DU2086" s="25"/>
      <c r="DV2086" s="25"/>
      <c r="DW2086" s="25"/>
      <c r="DX2086" s="25"/>
      <c r="DY2086" s="25"/>
      <c r="DZ2086" s="25"/>
      <c r="EA2086" s="25"/>
      <c r="EB2086" s="25"/>
      <c r="EC2086" s="25"/>
      <c r="ED2086" s="25"/>
      <c r="EE2086" s="25"/>
      <c r="EF2086" s="25"/>
      <c r="EG2086" s="25"/>
      <c r="EH2086" s="25"/>
      <c r="EI2086" s="25"/>
      <c r="EJ2086" s="25"/>
      <c r="EK2086" s="25"/>
      <c r="EL2086" s="25"/>
      <c r="EM2086" s="25"/>
      <c r="EN2086" s="25"/>
      <c r="EO2086" s="25"/>
      <c r="EP2086" s="25"/>
      <c r="EQ2086" s="25"/>
      <c r="ER2086" s="25"/>
      <c r="ES2086" s="25"/>
      <c r="ET2086" s="25"/>
      <c r="EU2086" s="25"/>
      <c r="EV2086" s="25"/>
      <c r="EW2086" s="25"/>
      <c r="EX2086" s="25"/>
      <c r="EY2086" s="25"/>
      <c r="EZ2086" s="25"/>
      <c r="FA2086" s="25"/>
      <c r="FB2086" s="25"/>
      <c r="FC2086" s="25"/>
      <c r="FD2086" s="25"/>
      <c r="FE2086" s="25"/>
      <c r="FF2086" s="25"/>
      <c r="FG2086" s="25"/>
      <c r="FH2086" s="25"/>
      <c r="FI2086" s="25"/>
      <c r="FJ2086" s="25"/>
      <c r="FK2086" s="25"/>
      <c r="FL2086" s="25"/>
      <c r="FM2086" s="25"/>
      <c r="FN2086" s="25"/>
      <c r="FO2086" s="25"/>
      <c r="FP2086" s="25"/>
      <c r="FQ2086" s="25"/>
      <c r="FR2086" s="25"/>
      <c r="FS2086" s="25"/>
      <c r="FT2086" s="25"/>
      <c r="FU2086" s="25"/>
      <c r="FV2086" s="25"/>
      <c r="FW2086" s="25"/>
      <c r="FX2086" s="25"/>
      <c r="FY2086" s="25"/>
      <c r="FZ2086" s="25"/>
      <c r="GA2086" s="25"/>
      <c r="GB2086" s="25"/>
      <c r="GC2086" s="25"/>
      <c r="GD2086" s="25"/>
      <c r="GE2086" s="25"/>
      <c r="GF2086" s="25"/>
      <c r="GG2086" s="25"/>
      <c r="GH2086" s="25"/>
      <c r="GI2086" s="25"/>
      <c r="GJ2086" s="25"/>
      <c r="GK2086" s="25"/>
      <c r="GL2086" s="25"/>
      <c r="GM2086" s="25"/>
      <c r="GN2086" s="25"/>
      <c r="GO2086" s="25"/>
      <c r="GP2086" s="25"/>
      <c r="GQ2086" s="25"/>
      <c r="GR2086" s="25"/>
      <c r="GS2086" s="25"/>
      <c r="GT2086" s="25"/>
      <c r="GU2086" s="25"/>
      <c r="GV2086" s="25"/>
      <c r="GW2086" s="25"/>
      <c r="GX2086" s="25"/>
      <c r="GY2086" s="25"/>
      <c r="GZ2086" s="25"/>
      <c r="HA2086" s="25"/>
      <c r="HB2086" s="25"/>
      <c r="HC2086" s="25"/>
      <c r="HD2086" s="25"/>
      <c r="HE2086" s="25"/>
      <c r="HF2086" s="25"/>
      <c r="HG2086" s="25"/>
      <c r="HH2086" s="25"/>
      <c r="HI2086" s="25"/>
      <c r="HJ2086" s="25"/>
      <c r="HK2086" s="25"/>
      <c r="HL2086" s="25"/>
      <c r="HM2086" s="25"/>
      <c r="HN2086" s="25"/>
      <c r="HO2086" s="25"/>
      <c r="HP2086" s="25"/>
      <c r="HQ2086" s="25"/>
      <c r="HR2086" s="25"/>
      <c r="HS2086" s="25"/>
      <c r="HT2086" s="25"/>
      <c r="HU2086" s="25"/>
      <c r="HV2086" s="25"/>
      <c r="HW2086" s="25"/>
      <c r="HX2086" s="25"/>
      <c r="HY2086" s="25"/>
      <c r="HZ2086" s="25"/>
      <c r="IA2086" s="25"/>
      <c r="IB2086" s="25"/>
      <c r="IC2086" s="25"/>
      <c r="ID2086" s="25"/>
      <c r="IE2086" s="25"/>
      <c r="IF2086" s="25"/>
      <c r="IG2086" s="25"/>
      <c r="IH2086" s="25"/>
      <c r="II2086" s="25"/>
      <c r="IJ2086" s="25"/>
      <c r="IK2086" s="25"/>
      <c r="IL2086" s="25"/>
      <c r="IM2086" s="25"/>
      <c r="IN2086" s="25"/>
      <c r="IO2086" s="25"/>
      <c r="IP2086" s="25"/>
      <c r="IQ2086" s="25"/>
      <c r="IR2086" s="25"/>
      <c r="IS2086" s="25"/>
      <c r="IT2086" s="25"/>
      <c r="IU2086" s="25"/>
      <c r="IV2086" s="25"/>
      <c r="IW2086" s="25"/>
      <c r="IX2086" s="25"/>
      <c r="IY2086" s="25"/>
      <c r="IZ2086" s="25"/>
      <c r="JA2086" s="25"/>
      <c r="JB2086" s="25"/>
      <c r="JC2086" s="25"/>
      <c r="JD2086" s="25"/>
      <c r="JE2086" s="25"/>
      <c r="JF2086" s="25"/>
      <c r="JG2086" s="25"/>
      <c r="JH2086" s="25"/>
      <c r="JI2086" s="25"/>
      <c r="JJ2086" s="25"/>
      <c r="JK2086" s="25"/>
      <c r="JL2086" s="25"/>
      <c r="JM2086" s="25"/>
      <c r="JN2086" s="25"/>
      <c r="JO2086" s="27"/>
      <c r="JP2086" s="27"/>
      <c r="JQ2086" s="27"/>
    </row>
    <row r="2087" spans="1:288" x14ac:dyDescent="0.2">
      <c r="B2087" s="16">
        <v>2017</v>
      </c>
      <c r="C2087" s="20">
        <v>42956</v>
      </c>
      <c r="D2087" s="20" t="str">
        <f>CONCATENATE(J2087,"-",C2087)</f>
        <v>1205-42956</v>
      </c>
      <c r="E2087" s="20" t="str">
        <f>CONCATENATE(T2087,"-",U2087,"-",C2087)</f>
        <v>BC1-E4-42956</v>
      </c>
      <c r="F2087" s="20" t="s">
        <v>106</v>
      </c>
      <c r="G2087" s="20" t="s">
        <v>278</v>
      </c>
      <c r="J2087" s="21">
        <v>1205</v>
      </c>
      <c r="T2087" s="16" t="s">
        <v>159</v>
      </c>
      <c r="U2087" s="16" t="s">
        <v>206</v>
      </c>
      <c r="AP2087" s="16">
        <f>SUM(AL2087:AN2087)</f>
        <v>0</v>
      </c>
      <c r="AT2087" s="16" t="s">
        <v>285</v>
      </c>
      <c r="AY2087" s="18"/>
      <c r="BG2087" s="23"/>
      <c r="BT2087" s="23"/>
      <c r="CD2087" s="23"/>
      <c r="DF2087" s="16" t="e">
        <f>VLOOKUP(K2087,'[3]RNA Seq summary tables'!$V$3:$V$99,1,FALSE)</f>
        <v>#N/A</v>
      </c>
      <c r="JO2087" s="27"/>
      <c r="JP2087" s="27"/>
      <c r="JQ2087" s="27"/>
    </row>
    <row r="2088" spans="1:288" x14ac:dyDescent="0.2">
      <c r="B2088" s="16">
        <v>2017</v>
      </c>
      <c r="C2088" s="20">
        <v>42920</v>
      </c>
      <c r="D2088" s="20" t="str">
        <f>CONCATENATE(J2088,"-",C2088)</f>
        <v>1206-42920</v>
      </c>
      <c r="E2088" s="20" t="str">
        <f>CONCATENATE(T2088,"-",U2088,"-",C2088)</f>
        <v>BC1-H5-42920</v>
      </c>
      <c r="F2088" s="20" t="s">
        <v>106</v>
      </c>
      <c r="G2088" s="20" t="s">
        <v>278</v>
      </c>
      <c r="J2088" s="21">
        <v>1206</v>
      </c>
      <c r="T2088" s="16" t="s">
        <v>159</v>
      </c>
      <c r="U2088" s="16" t="s">
        <v>180</v>
      </c>
      <c r="AP2088" s="16">
        <f>SUM(AL2088:AN2088)</f>
        <v>0</v>
      </c>
      <c r="AT2088" s="16" t="s">
        <v>285</v>
      </c>
      <c r="AY2088" s="18"/>
      <c r="BG2088" s="23"/>
      <c r="BT2088" s="23"/>
      <c r="CD2088" s="23"/>
      <c r="DF2088" s="16" t="e">
        <f>VLOOKUP(K2088,'[3]RNA Seq summary tables'!$V$3:$V$99,1,FALSE)</f>
        <v>#N/A</v>
      </c>
      <c r="JP2088" s="27"/>
      <c r="JQ2088" s="27"/>
      <c r="JR2088" s="27"/>
      <c r="JS2088" s="27"/>
      <c r="JT2088" s="27"/>
      <c r="JU2088" s="27"/>
      <c r="JV2088" s="27"/>
      <c r="JW2088" s="27"/>
      <c r="JX2088" s="27"/>
      <c r="JY2088" s="27"/>
      <c r="JZ2088" s="27"/>
      <c r="KA2088" s="27"/>
      <c r="KB2088" s="27"/>
    </row>
    <row r="2089" spans="1:288" x14ac:dyDescent="0.2">
      <c r="B2089" s="16">
        <v>2017</v>
      </c>
      <c r="C2089" s="20">
        <v>42956</v>
      </c>
      <c r="D2089" s="20" t="str">
        <f>CONCATENATE(J2089,"-",C2089)</f>
        <v>1208-42956</v>
      </c>
      <c r="E2089" s="20" t="str">
        <f>CONCATENATE(T2089,"-",U2089,"-",C2089)</f>
        <v>BC1-A7-42956</v>
      </c>
      <c r="F2089" s="20" t="s">
        <v>106</v>
      </c>
      <c r="G2089" s="20" t="s">
        <v>278</v>
      </c>
      <c r="J2089" s="21">
        <v>1208</v>
      </c>
      <c r="T2089" s="16" t="s">
        <v>159</v>
      </c>
      <c r="U2089" s="16" t="s">
        <v>120</v>
      </c>
      <c r="AP2089" s="16">
        <f>SUM(AL2089:AN2089)</f>
        <v>0</v>
      </c>
      <c r="AT2089" s="16" t="s">
        <v>285</v>
      </c>
      <c r="AY2089" s="18"/>
      <c r="BG2089" s="23"/>
      <c r="BT2089" s="23"/>
      <c r="CD2089" s="23"/>
      <c r="DF2089" s="16" t="e">
        <f>VLOOKUP(K2089,'[3]RNA Seq summary tables'!$V$3:$V$99,1,FALSE)</f>
        <v>#N/A</v>
      </c>
      <c r="JO2089" s="27"/>
      <c r="JP2089" s="27"/>
      <c r="JQ2089" s="27"/>
    </row>
    <row r="2090" spans="1:288" x14ac:dyDescent="0.2">
      <c r="B2090" s="16">
        <v>2017</v>
      </c>
      <c r="C2090" s="20">
        <v>42923</v>
      </c>
      <c r="D2090" s="20" t="str">
        <f>CONCATENATE(J2090,"-",C2090)</f>
        <v>1211-42923</v>
      </c>
      <c r="E2090" s="20" t="str">
        <f>CONCATENATE(T2090,"-",U2090,"-",C2090)</f>
        <v>SP2-E2-42923</v>
      </c>
      <c r="F2090" s="20" t="s">
        <v>106</v>
      </c>
      <c r="G2090" s="20" t="s">
        <v>278</v>
      </c>
      <c r="J2090" s="21">
        <v>1211</v>
      </c>
      <c r="T2090" s="16" t="s">
        <v>137</v>
      </c>
      <c r="U2090" s="16" t="s">
        <v>136</v>
      </c>
      <c r="AP2090" s="16">
        <f>SUM(AL2090:AN2090)</f>
        <v>0</v>
      </c>
      <c r="AT2090" s="16" t="s">
        <v>285</v>
      </c>
      <c r="AY2090" s="18"/>
      <c r="BG2090" s="23"/>
      <c r="BT2090" s="23"/>
      <c r="CD2090" s="23"/>
      <c r="DF2090" s="16" t="e">
        <f>VLOOKUP(K2090,'[3]RNA Seq summary tables'!$V$3:$V$99,1,FALSE)</f>
        <v>#N/A</v>
      </c>
      <c r="JP2090" s="27"/>
      <c r="JQ2090" s="27"/>
      <c r="JR2090" s="27"/>
      <c r="JS2090" s="27"/>
      <c r="JT2090" s="27"/>
      <c r="JU2090" s="27"/>
      <c r="JV2090" s="27"/>
      <c r="JW2090" s="27"/>
      <c r="JX2090" s="27"/>
      <c r="JY2090" s="27"/>
      <c r="JZ2090" s="27"/>
      <c r="KA2090" s="27"/>
      <c r="KB2090" s="27"/>
    </row>
    <row r="2091" spans="1:288" x14ac:dyDescent="0.2">
      <c r="A2091" s="26"/>
      <c r="B2091" s="26">
        <v>2017</v>
      </c>
      <c r="C2091" s="44">
        <v>42923</v>
      </c>
      <c r="D2091" s="44" t="str">
        <f>CONCATENATE(J2091,"-",C2091)</f>
        <v>1212-42923</v>
      </c>
      <c r="E2091" s="20" t="str">
        <f>CONCATENATE(T2091,"-",U2091,"-",C2091)</f>
        <v>SP2-G6-42923</v>
      </c>
      <c r="F2091" s="20" t="s">
        <v>106</v>
      </c>
      <c r="G2091" s="44" t="s">
        <v>278</v>
      </c>
      <c r="H2091" s="26"/>
      <c r="I2091" s="26"/>
      <c r="J2091" s="45">
        <v>1212</v>
      </c>
      <c r="K2091" s="45"/>
      <c r="L2091" s="26"/>
      <c r="M2091" s="45"/>
      <c r="N2091" s="45"/>
      <c r="O2091" s="45"/>
      <c r="P2091" s="26"/>
      <c r="Q2091" s="26"/>
      <c r="R2091" s="26"/>
      <c r="S2091" s="26"/>
      <c r="T2091" s="26" t="s">
        <v>137</v>
      </c>
      <c r="U2091" s="26" t="s">
        <v>218</v>
      </c>
      <c r="V2091" s="26"/>
      <c r="W2091" s="26"/>
      <c r="X2091" s="26"/>
      <c r="Y2091" s="26"/>
      <c r="Z2091" s="26"/>
      <c r="AA2091" s="26"/>
      <c r="AB2091" s="26"/>
      <c r="AC2091" s="26"/>
      <c r="AD2091" s="26"/>
      <c r="AE2091" s="26"/>
      <c r="AF2091" s="26"/>
      <c r="AG2091" s="26"/>
      <c r="AH2091" s="26"/>
      <c r="AI2091" s="26"/>
      <c r="AJ2091" s="26"/>
      <c r="AK2091" s="26"/>
      <c r="AL2091" s="26"/>
      <c r="AM2091" s="26"/>
      <c r="AN2091" s="26"/>
      <c r="AO2091" s="26"/>
      <c r="AP2091" s="26">
        <f>SUM(AL2091:AN2091)</f>
        <v>0</v>
      </c>
      <c r="AQ2091" s="26">
        <v>2.5470000000000002</v>
      </c>
      <c r="AR2091" s="26">
        <f>AP2091-1.472</f>
        <v>-1.472</v>
      </c>
      <c r="AS2091" s="26">
        <f>AQ2091-1.472</f>
        <v>1.0750000000000002</v>
      </c>
      <c r="AT2091" s="26" t="s">
        <v>284</v>
      </c>
      <c r="AU2091" s="26"/>
      <c r="AV2091" s="26"/>
      <c r="AW2091" s="26"/>
      <c r="AX2091" s="26"/>
      <c r="AY2091" s="26"/>
      <c r="AZ2091" s="26"/>
      <c r="BA2091" s="26"/>
      <c r="BB2091" s="26"/>
      <c r="BC2091" s="26"/>
      <c r="BD2091" s="26"/>
      <c r="BE2091" s="26"/>
      <c r="BF2091" s="26"/>
      <c r="BG2091" s="48"/>
      <c r="BH2091" s="26"/>
      <c r="BI2091" s="26"/>
      <c r="BJ2091" s="26"/>
      <c r="BK2091" s="26"/>
      <c r="BL2091" s="26"/>
      <c r="BM2091" s="26"/>
      <c r="BN2091" s="26"/>
      <c r="BO2091" s="26"/>
      <c r="BP2091" s="26"/>
      <c r="BQ2091" s="26"/>
      <c r="BR2091" s="26"/>
      <c r="BS2091" s="26"/>
      <c r="BT2091" s="48"/>
      <c r="BU2091" s="26"/>
      <c r="BV2091" s="26"/>
      <c r="BW2091" s="26"/>
      <c r="BX2091" s="26"/>
      <c r="BY2091" s="26"/>
      <c r="BZ2091" s="26"/>
      <c r="CA2091" s="26"/>
      <c r="CB2091" s="26"/>
      <c r="CC2091" s="26"/>
      <c r="CD2091" s="48"/>
      <c r="CE2091" s="26"/>
      <c r="CF2091" s="26"/>
      <c r="CG2091" s="26"/>
      <c r="CH2091" s="26"/>
      <c r="CI2091" s="26"/>
      <c r="CJ2091" s="26"/>
      <c r="CK2091" s="26"/>
      <c r="CL2091" s="26"/>
      <c r="CM2091" s="26"/>
      <c r="CN2091" s="26"/>
      <c r="CO2091" s="26"/>
      <c r="CP2091" s="26"/>
      <c r="CQ2091" s="26"/>
      <c r="CR2091" s="26"/>
      <c r="CS2091" s="26"/>
      <c r="CT2091" s="26"/>
      <c r="CU2091" s="26"/>
      <c r="CV2091" s="26"/>
      <c r="CW2091" s="26"/>
      <c r="CX2091" s="26"/>
      <c r="CY2091" s="26"/>
      <c r="CZ2091" s="26"/>
      <c r="DA2091" s="26"/>
      <c r="DB2091" s="26"/>
      <c r="DC2091" s="26"/>
      <c r="DD2091" s="26"/>
      <c r="DE2091" s="26"/>
      <c r="DF2091" s="16" t="e">
        <f>VLOOKUP(K2091,'[3]RNA Seq summary tables'!$V$3:$V$99,1,FALSE)</f>
        <v>#N/A</v>
      </c>
      <c r="DG2091" s="26"/>
      <c r="DH2091" s="26"/>
      <c r="DI2091" s="26"/>
      <c r="DJ2091" s="26"/>
      <c r="DK2091" s="26"/>
      <c r="DL2091" s="26"/>
      <c r="DM2091" s="26"/>
      <c r="DN2091" s="26"/>
      <c r="DO2091" s="26"/>
      <c r="DP2091" s="26"/>
      <c r="DQ2091" s="26"/>
      <c r="DR2091" s="26"/>
      <c r="DS2091" s="26"/>
      <c r="JP2091" s="27"/>
      <c r="JQ2091" s="27"/>
      <c r="JR2091" s="27"/>
      <c r="JS2091" s="27"/>
      <c r="JT2091" s="27"/>
      <c r="JU2091" s="27"/>
      <c r="JV2091" s="27"/>
      <c r="JW2091" s="27"/>
      <c r="JX2091" s="27"/>
      <c r="JY2091" s="27"/>
      <c r="JZ2091" s="27"/>
      <c r="KA2091" s="27"/>
      <c r="KB2091" s="27"/>
    </row>
    <row r="2092" spans="1:288" x14ac:dyDescent="0.2">
      <c r="B2092" s="16">
        <v>2017</v>
      </c>
      <c r="C2092" s="20">
        <v>42940</v>
      </c>
      <c r="D2092" s="20" t="str">
        <f>CONCATENATE(J2092,"-",C2092)</f>
        <v>1212-42940</v>
      </c>
      <c r="E2092" s="20" t="str">
        <f>CONCATENATE(T2092,"-",U2092,"-",C2092)</f>
        <v>SP2-F6-42940</v>
      </c>
      <c r="F2092" s="20" t="s">
        <v>106</v>
      </c>
      <c r="G2092" s="20" t="s">
        <v>278</v>
      </c>
      <c r="J2092" s="21">
        <v>1212</v>
      </c>
      <c r="T2092" s="16" t="s">
        <v>137</v>
      </c>
      <c r="U2092" s="16" t="s">
        <v>170</v>
      </c>
      <c r="AP2092" s="16">
        <f>SUM(AL2092:AN2092)</f>
        <v>0</v>
      </c>
      <c r="AT2092" s="16" t="s">
        <v>285</v>
      </c>
      <c r="AY2092" s="18"/>
      <c r="BG2092" s="23"/>
      <c r="BT2092" s="23"/>
      <c r="CD2092" s="23"/>
      <c r="DF2092" s="16" t="e">
        <f>VLOOKUP(K2092,'[3]RNA Seq summary tables'!$V$3:$V$99,1,FALSE)</f>
        <v>#N/A</v>
      </c>
      <c r="JO2092" s="27"/>
      <c r="JP2092" s="27"/>
      <c r="JQ2092" s="27"/>
    </row>
    <row r="2093" spans="1:288" x14ac:dyDescent="0.2">
      <c r="B2093" s="16">
        <v>2017</v>
      </c>
      <c r="C2093" s="20">
        <v>42959</v>
      </c>
      <c r="D2093" s="20" t="str">
        <f>CONCATENATE(J2093,"-",C2093)</f>
        <v>1212-42959</v>
      </c>
      <c r="E2093" s="20" t="str">
        <f>CONCATENATE(T2093,"-",U2093,"-",C2093)</f>
        <v>SP2-H7-42959</v>
      </c>
      <c r="F2093" s="20" t="s">
        <v>106</v>
      </c>
      <c r="G2093" s="20" t="s">
        <v>278</v>
      </c>
      <c r="J2093" s="21">
        <v>1212</v>
      </c>
      <c r="T2093" s="16" t="s">
        <v>137</v>
      </c>
      <c r="U2093" s="16" t="s">
        <v>202</v>
      </c>
      <c r="AP2093" s="16">
        <f>SUM(AL2093:AN2093)</f>
        <v>0</v>
      </c>
      <c r="AT2093" s="16" t="s">
        <v>285</v>
      </c>
      <c r="AY2093" s="18"/>
      <c r="BG2093" s="23"/>
      <c r="BT2093" s="23"/>
      <c r="CD2093" s="23"/>
      <c r="DF2093" s="16" t="e">
        <f>VLOOKUP(K2093,'[3]RNA Seq summary tables'!$V$3:$V$99,1,FALSE)</f>
        <v>#N/A</v>
      </c>
      <c r="JO2093" s="27"/>
      <c r="JP2093" s="27"/>
      <c r="JQ2093" s="27"/>
    </row>
    <row r="2094" spans="1:288" x14ac:dyDescent="0.2">
      <c r="B2094" s="16">
        <v>2017</v>
      </c>
      <c r="C2094" s="20">
        <v>42973</v>
      </c>
      <c r="D2094" s="20" t="str">
        <f>CONCATENATE(J2094,"-",C2094)</f>
        <v>1212-42973</v>
      </c>
      <c r="E2094" s="20" t="str">
        <f>CONCATENATE(T2094,"-",U2094,"-",C2094)</f>
        <v>SP2-E7-42973</v>
      </c>
      <c r="F2094" s="20" t="s">
        <v>224</v>
      </c>
      <c r="G2094" s="20" t="s">
        <v>278</v>
      </c>
      <c r="J2094" s="21">
        <v>1212</v>
      </c>
      <c r="T2094" s="16" t="s">
        <v>137</v>
      </c>
      <c r="U2094" s="16" t="s">
        <v>135</v>
      </c>
      <c r="AP2094" s="16">
        <f>SUM(AL2094:AN2094)</f>
        <v>0</v>
      </c>
      <c r="AT2094" s="16" t="s">
        <v>285</v>
      </c>
      <c r="AY2094" s="18"/>
      <c r="BG2094" s="23"/>
      <c r="BT2094" s="23"/>
      <c r="CD2094" s="23"/>
      <c r="DF2094" s="16" t="e">
        <f>VLOOKUP(K2094,'[3]RNA Seq summary tables'!$V$3:$V$99,1,FALSE)</f>
        <v>#N/A</v>
      </c>
      <c r="JO2094" s="27"/>
      <c r="JP2094" s="27"/>
      <c r="JQ2094" s="27"/>
    </row>
    <row r="2095" spans="1:288" x14ac:dyDescent="0.2">
      <c r="B2095" s="16">
        <v>2017</v>
      </c>
      <c r="C2095" s="20">
        <v>42974</v>
      </c>
      <c r="D2095" s="20" t="str">
        <f>CONCATENATE(J2095,"-",C2095)</f>
        <v>1212-42974</v>
      </c>
      <c r="E2095" s="20" t="str">
        <f>CONCATENATE(T2095,"-",U2095,"-",C2095)</f>
        <v>SP2-F8-42974</v>
      </c>
      <c r="F2095" s="20" t="s">
        <v>224</v>
      </c>
      <c r="G2095" s="20" t="s">
        <v>278</v>
      </c>
      <c r="J2095" s="21">
        <v>1212</v>
      </c>
      <c r="T2095" s="16" t="s">
        <v>137</v>
      </c>
      <c r="U2095" s="16" t="s">
        <v>138</v>
      </c>
      <c r="AP2095" s="16">
        <f>SUM(AL2095:AN2095)</f>
        <v>0</v>
      </c>
      <c r="AT2095" s="16" t="s">
        <v>285</v>
      </c>
      <c r="AY2095" s="18"/>
      <c r="BG2095" s="23"/>
      <c r="BT2095" s="23"/>
      <c r="CD2095" s="23"/>
      <c r="DF2095" s="16" t="e">
        <f>VLOOKUP(K2095,'[3]RNA Seq summary tables'!$V$3:$V$99,1,FALSE)</f>
        <v>#N/A</v>
      </c>
      <c r="JO2095" s="18"/>
      <c r="JP2095" s="27"/>
      <c r="JQ2095" s="27"/>
    </row>
    <row r="2096" spans="1:288" ht="16" x14ac:dyDescent="0.2">
      <c r="B2096" s="16">
        <v>2018</v>
      </c>
      <c r="C2096" s="124">
        <v>43270</v>
      </c>
      <c r="D2096" t="s">
        <v>521</v>
      </c>
      <c r="E2096" s="20" t="str">
        <f>CONCATENATE(T2096,"-",U2096,"-",C2096)</f>
        <v>SP2-H6-43270</v>
      </c>
      <c r="F2096" s="16" t="s">
        <v>227</v>
      </c>
      <c r="G2096" s="126" t="s">
        <v>278</v>
      </c>
      <c r="H2096" s="126"/>
      <c r="J2096" s="126">
        <v>1212</v>
      </c>
      <c r="K2096" s="126"/>
      <c r="O2096" s="126"/>
      <c r="T2096" s="126" t="s">
        <v>137</v>
      </c>
      <c r="U2096" s="126" t="s">
        <v>141</v>
      </c>
      <c r="V2096" s="126"/>
      <c r="X2096" s="126"/>
      <c r="Y2096" s="126"/>
      <c r="Z2096" s="126"/>
      <c r="AA2096" s="126"/>
      <c r="AB2096" s="126"/>
      <c r="AC2096" s="126"/>
      <c r="AD2096" s="126"/>
      <c r="AE2096" s="126"/>
      <c r="AH2096" s="126"/>
      <c r="AI2096" s="126"/>
      <c r="AK2096" s="126"/>
      <c r="AL2096" s="126"/>
      <c r="AM2096" s="126"/>
      <c r="AN2096" s="126"/>
      <c r="BG2096" s="23"/>
      <c r="BN2096" s="126"/>
      <c r="BT2096" s="23"/>
      <c r="CD2096" s="23"/>
      <c r="DF2096" s="16" t="e">
        <f>VLOOKUP(K2096,'[3]RNA Seq summary tables'!$V$3:$V$99,1,FALSE)</f>
        <v>#N/A</v>
      </c>
      <c r="DG2096" s="126"/>
    </row>
    <row r="2097" spans="2:288" ht="16" x14ac:dyDescent="0.2">
      <c r="B2097" s="16">
        <v>2018</v>
      </c>
      <c r="C2097" s="124">
        <v>43271</v>
      </c>
      <c r="D2097" t="s">
        <v>527</v>
      </c>
      <c r="E2097" s="20" t="str">
        <f>CONCATENATE(T2097,"-",U2097,"-",C2097)</f>
        <v>SP2-G7-43271</v>
      </c>
      <c r="F2097" s="16" t="s">
        <v>227</v>
      </c>
      <c r="G2097" s="126" t="s">
        <v>278</v>
      </c>
      <c r="H2097" s="126"/>
      <c r="J2097" s="126">
        <v>1212</v>
      </c>
      <c r="K2097" s="126"/>
      <c r="O2097" s="126"/>
      <c r="T2097" s="126" t="s">
        <v>137</v>
      </c>
      <c r="U2097" s="126" t="s">
        <v>156</v>
      </c>
      <c r="V2097" s="126"/>
      <c r="X2097" s="126"/>
      <c r="Y2097" s="126"/>
      <c r="Z2097" s="126"/>
      <c r="AA2097" s="126"/>
      <c r="AB2097" s="126"/>
      <c r="AC2097" s="126"/>
      <c r="AD2097" s="126"/>
      <c r="AE2097" s="126"/>
      <c r="AH2097" s="126"/>
      <c r="AI2097" s="126"/>
      <c r="AK2097" s="126"/>
      <c r="AL2097" s="126"/>
      <c r="AM2097" s="126"/>
      <c r="AN2097" s="126"/>
      <c r="BG2097" s="23"/>
      <c r="BN2097" s="126"/>
      <c r="BT2097" s="23"/>
      <c r="CD2097" s="23"/>
      <c r="DF2097" s="16" t="e">
        <f>VLOOKUP(K2097,'[3]RNA Seq summary tables'!$V$3:$V$99,1,FALSE)</f>
        <v>#N/A</v>
      </c>
      <c r="DG2097" s="126"/>
    </row>
    <row r="2098" spans="2:288" x14ac:dyDescent="0.2">
      <c r="B2098" s="16">
        <v>2017</v>
      </c>
      <c r="C2098" s="20">
        <v>42958</v>
      </c>
      <c r="D2098" s="20" t="str">
        <f>CONCATENATE(J2098,"-",C2098)</f>
        <v>1213-42958</v>
      </c>
      <c r="E2098" s="20" t="str">
        <f>CONCATENATE(T2098,"-",U2098,"-",C2098)</f>
        <v>SP1-A8-42958</v>
      </c>
      <c r="F2098" s="20" t="s">
        <v>106</v>
      </c>
      <c r="G2098" s="20" t="s">
        <v>278</v>
      </c>
      <c r="J2098" s="21">
        <v>1213</v>
      </c>
      <c r="T2098" s="16" t="s">
        <v>140</v>
      </c>
      <c r="U2098" s="16" t="s">
        <v>194</v>
      </c>
      <c r="AP2098" s="16">
        <f>SUM(AL2098:AN2098)</f>
        <v>0</v>
      </c>
      <c r="AT2098" s="16" t="s">
        <v>285</v>
      </c>
      <c r="AY2098" s="18"/>
      <c r="BG2098" s="23"/>
      <c r="BT2098" s="23"/>
      <c r="CD2098" s="23"/>
      <c r="DF2098" s="16" t="e">
        <f>VLOOKUP(K2098,'[3]RNA Seq summary tables'!$V$3:$V$99,1,FALSE)</f>
        <v>#N/A</v>
      </c>
      <c r="JO2098" s="27"/>
      <c r="JP2098" s="27"/>
      <c r="JQ2098" s="27"/>
    </row>
    <row r="2099" spans="2:288" x14ac:dyDescent="0.2">
      <c r="B2099" s="16">
        <v>2017</v>
      </c>
      <c r="C2099" s="20">
        <v>42959</v>
      </c>
      <c r="D2099" s="20" t="str">
        <f>CONCATENATE(J2099,"-",C2099)</f>
        <v>1213-42959</v>
      </c>
      <c r="E2099" s="20" t="str">
        <f>CONCATENATE(T2099,"-",U2099,"-",C2099)</f>
        <v>SP1-B8-42959</v>
      </c>
      <c r="F2099" s="20" t="s">
        <v>106</v>
      </c>
      <c r="G2099" s="20" t="s">
        <v>278</v>
      </c>
      <c r="J2099" s="21">
        <v>1213</v>
      </c>
      <c r="T2099" s="16" t="s">
        <v>140</v>
      </c>
      <c r="U2099" s="16" t="s">
        <v>209</v>
      </c>
      <c r="AP2099" s="16">
        <f>SUM(AL2099:AN2099)</f>
        <v>0</v>
      </c>
      <c r="AT2099" s="16" t="s">
        <v>285</v>
      </c>
      <c r="AY2099" s="18"/>
      <c r="BG2099" s="23"/>
      <c r="BT2099" s="23"/>
      <c r="CD2099" s="23"/>
      <c r="DF2099" s="16" t="e">
        <f>VLOOKUP(K2099,'[3]RNA Seq summary tables'!$V$3:$V$99,1,FALSE)</f>
        <v>#N/A</v>
      </c>
      <c r="JO2099" s="27"/>
      <c r="JP2099" s="27"/>
      <c r="JQ2099" s="27"/>
    </row>
    <row r="2100" spans="2:288" x14ac:dyDescent="0.2">
      <c r="B2100" s="16">
        <v>2017</v>
      </c>
      <c r="C2100" s="20">
        <v>42940</v>
      </c>
      <c r="D2100" s="20" t="str">
        <f>CONCATENATE(J2100,"-",C2100)</f>
        <v>1216-42940</v>
      </c>
      <c r="E2100" s="20" t="str">
        <f>CONCATENATE(T2100,"-",U2100,"-",C2100)</f>
        <v>SP1-E3-42940</v>
      </c>
      <c r="F2100" s="20" t="s">
        <v>106</v>
      </c>
      <c r="G2100" s="20" t="s">
        <v>278</v>
      </c>
      <c r="J2100" s="21">
        <v>1216</v>
      </c>
      <c r="T2100" s="16" t="s">
        <v>140</v>
      </c>
      <c r="U2100" s="16" t="s">
        <v>225</v>
      </c>
      <c r="AP2100" s="16">
        <f>SUM(AL2100:AN2100)</f>
        <v>0</v>
      </c>
      <c r="AT2100" s="16" t="s">
        <v>285</v>
      </c>
      <c r="AY2100" s="18"/>
      <c r="BG2100" s="23"/>
      <c r="BT2100" s="23"/>
      <c r="CD2100" s="23"/>
      <c r="DF2100" s="16" t="e">
        <f>VLOOKUP(K2100,'[3]RNA Seq summary tables'!$V$3:$V$99,1,FALSE)</f>
        <v>#N/A</v>
      </c>
      <c r="JO2100" s="27"/>
      <c r="JP2100" s="27"/>
      <c r="JQ2100" s="27"/>
    </row>
    <row r="2101" spans="2:288" x14ac:dyDescent="0.2">
      <c r="B2101" s="16">
        <v>2017</v>
      </c>
      <c r="C2101" s="20">
        <v>42958</v>
      </c>
      <c r="D2101" s="20" t="str">
        <f>CONCATENATE(J2101,"-",C2101)</f>
        <v>1216-42958</v>
      </c>
      <c r="E2101" s="20" t="str">
        <f>CONCATENATE(T2101,"-",U2101,"-",C2101)</f>
        <v>SP1-C3-42958</v>
      </c>
      <c r="F2101" s="20" t="s">
        <v>106</v>
      </c>
      <c r="G2101" s="20" t="s">
        <v>278</v>
      </c>
      <c r="J2101" s="21">
        <v>1216</v>
      </c>
      <c r="T2101" s="16" t="s">
        <v>140</v>
      </c>
      <c r="U2101" s="16" t="s">
        <v>237</v>
      </c>
      <c r="AP2101" s="16">
        <f>SUM(AL2101:AN2101)</f>
        <v>0</v>
      </c>
      <c r="AT2101" s="16" t="s">
        <v>285</v>
      </c>
      <c r="AY2101" s="18"/>
      <c r="BG2101" s="23"/>
      <c r="BT2101" s="23"/>
      <c r="CD2101" s="23"/>
      <c r="DF2101" s="16" t="e">
        <f>VLOOKUP(K2101,'[3]RNA Seq summary tables'!$V$3:$V$99,1,FALSE)</f>
        <v>#N/A</v>
      </c>
      <c r="JO2101" s="27"/>
      <c r="JP2101" s="27"/>
      <c r="JQ2101" s="27"/>
    </row>
    <row r="2102" spans="2:288" x14ac:dyDescent="0.2">
      <c r="B2102" s="16">
        <v>2017</v>
      </c>
      <c r="C2102" s="20">
        <v>42959</v>
      </c>
      <c r="D2102" s="20" t="str">
        <f>CONCATENATE(J2102,"-",C2102)</f>
        <v>1216-42959</v>
      </c>
      <c r="E2102" s="20" t="str">
        <f>CONCATENATE(T2102,"-",U2102,"-",C2102)</f>
        <v>SP1-A5-42959</v>
      </c>
      <c r="F2102" s="20" t="s">
        <v>106</v>
      </c>
      <c r="G2102" s="20" t="s">
        <v>278</v>
      </c>
      <c r="J2102" s="21">
        <v>1216</v>
      </c>
      <c r="T2102" s="16" t="s">
        <v>140</v>
      </c>
      <c r="U2102" s="16" t="s">
        <v>167</v>
      </c>
      <c r="AP2102" s="16">
        <f>SUM(AL2102:AN2102)</f>
        <v>0</v>
      </c>
      <c r="AT2102" s="16" t="s">
        <v>285</v>
      </c>
      <c r="AY2102" s="18"/>
      <c r="BG2102" s="23"/>
      <c r="BT2102" s="23"/>
      <c r="CD2102" s="23"/>
      <c r="DF2102" s="16" t="e">
        <f>VLOOKUP(K2102,'[3]RNA Seq summary tables'!$V$3:$V$99,1,FALSE)</f>
        <v>#N/A</v>
      </c>
      <c r="JO2102" s="27"/>
      <c r="JP2102" s="27"/>
      <c r="JQ2102" s="27"/>
    </row>
    <row r="2103" spans="2:288" x14ac:dyDescent="0.2">
      <c r="B2103" s="16">
        <v>2017</v>
      </c>
      <c r="C2103" s="20">
        <v>42973</v>
      </c>
      <c r="D2103" s="20" t="str">
        <f>CONCATENATE(J2103,"-",C2103)</f>
        <v>1216-42973</v>
      </c>
      <c r="E2103" s="20" t="str">
        <f>CONCATENATE(T2103,"-",U2103,"-",C2103)</f>
        <v>SP1-G4-42973</v>
      </c>
      <c r="F2103" s="20" t="s">
        <v>224</v>
      </c>
      <c r="G2103" s="20" t="s">
        <v>278</v>
      </c>
      <c r="J2103" s="21">
        <v>1216</v>
      </c>
      <c r="T2103" s="16" t="s">
        <v>140</v>
      </c>
      <c r="U2103" s="16" t="s">
        <v>173</v>
      </c>
      <c r="AP2103" s="16">
        <f>SUM(AL2103:AN2103)</f>
        <v>0</v>
      </c>
      <c r="AT2103" s="16" t="s">
        <v>285</v>
      </c>
      <c r="AY2103" s="18"/>
      <c r="BG2103" s="23"/>
      <c r="BT2103" s="23"/>
      <c r="CD2103" s="23"/>
      <c r="DF2103" s="16" t="e">
        <f>VLOOKUP(K2103,'[3]RNA Seq summary tables'!$V$3:$V$99,1,FALSE)</f>
        <v>#N/A</v>
      </c>
      <c r="JO2103" s="27"/>
      <c r="JP2103" s="27"/>
      <c r="JQ2103" s="27"/>
    </row>
    <row r="2104" spans="2:288" x14ac:dyDescent="0.2">
      <c r="B2104" s="16">
        <v>2017</v>
      </c>
      <c r="C2104" s="20">
        <v>42974</v>
      </c>
      <c r="D2104" s="20" t="str">
        <f>CONCATENATE(J2104,"-",C2104)</f>
        <v>1216-42974</v>
      </c>
      <c r="E2104" s="20" t="str">
        <f>CONCATENATE(T2104,"-",U2104,"-",C2104)</f>
        <v>SP1-F5-42974</v>
      </c>
      <c r="F2104" s="20" t="s">
        <v>224</v>
      </c>
      <c r="G2104" s="20" t="s">
        <v>278</v>
      </c>
      <c r="J2104" s="21">
        <v>1216</v>
      </c>
      <c r="T2104" s="16" t="s">
        <v>140</v>
      </c>
      <c r="U2104" s="16" t="s">
        <v>185</v>
      </c>
      <c r="AP2104" s="16">
        <f>SUM(AL2104:AN2104)</f>
        <v>0</v>
      </c>
      <c r="AT2104" s="16" t="s">
        <v>285</v>
      </c>
      <c r="AY2104" s="18"/>
      <c r="BG2104" s="23"/>
      <c r="BT2104" s="23"/>
      <c r="CD2104" s="23"/>
      <c r="DF2104" s="16" t="e">
        <f>VLOOKUP(K2104,'[3]RNA Seq summary tables'!$V$3:$V$99,1,FALSE)</f>
        <v>#N/A</v>
      </c>
      <c r="JO2104" s="18"/>
      <c r="JP2104" s="27"/>
      <c r="JQ2104" s="27"/>
    </row>
    <row r="2105" spans="2:288" x14ac:dyDescent="0.2">
      <c r="B2105" s="16">
        <v>2017</v>
      </c>
      <c r="C2105" s="20">
        <v>42973</v>
      </c>
      <c r="D2105" s="20" t="str">
        <f>CONCATENATE(J2105,"-",C2105)</f>
        <v>1218-42973</v>
      </c>
      <c r="E2105" s="20" t="str">
        <f>CONCATENATE(T2105,"-",U2105,"-",C2105)</f>
        <v>SP2-B2-42973</v>
      </c>
      <c r="F2105" s="20" t="s">
        <v>224</v>
      </c>
      <c r="G2105" s="20" t="s">
        <v>278</v>
      </c>
      <c r="J2105" s="21">
        <v>1218</v>
      </c>
      <c r="T2105" s="16" t="s">
        <v>137</v>
      </c>
      <c r="U2105" s="16" t="s">
        <v>130</v>
      </c>
      <c r="AP2105" s="16">
        <f>SUM(AL2105:AN2105)</f>
        <v>0</v>
      </c>
      <c r="AT2105" s="16" t="s">
        <v>285</v>
      </c>
      <c r="AY2105" s="18"/>
      <c r="BG2105" s="23"/>
      <c r="BT2105" s="23"/>
      <c r="CD2105" s="23"/>
      <c r="DF2105" s="16" t="e">
        <f>VLOOKUP(K2105,'[3]RNA Seq summary tables'!$V$3:$V$99,1,FALSE)</f>
        <v>#N/A</v>
      </c>
      <c r="JO2105" s="27"/>
      <c r="JP2105" s="27"/>
      <c r="JQ2105" s="27"/>
    </row>
    <row r="2106" spans="2:288" x14ac:dyDescent="0.2">
      <c r="B2106" s="16">
        <v>2017</v>
      </c>
      <c r="C2106" s="20">
        <v>42974</v>
      </c>
      <c r="D2106" s="20" t="str">
        <f>CONCATENATE(J2106,"-",C2106)</f>
        <v>1218-42974</v>
      </c>
      <c r="E2106" s="20" t="str">
        <f>CONCATENATE(T2106,"-",U2106,"-",C2106)</f>
        <v>SP2-B2-42974</v>
      </c>
      <c r="F2106" s="20" t="s">
        <v>224</v>
      </c>
      <c r="G2106" s="20" t="s">
        <v>278</v>
      </c>
      <c r="J2106" s="21">
        <v>1218</v>
      </c>
      <c r="T2106" s="16" t="s">
        <v>137</v>
      </c>
      <c r="U2106" s="16" t="s">
        <v>130</v>
      </c>
      <c r="AP2106" s="16">
        <f>SUM(AL2106:AN2106)</f>
        <v>0</v>
      </c>
      <c r="AT2106" s="16" t="s">
        <v>285</v>
      </c>
      <c r="AY2106" s="18"/>
      <c r="BG2106" s="23"/>
      <c r="BT2106" s="23"/>
      <c r="CD2106" s="23"/>
      <c r="DF2106" s="16" t="e">
        <f>VLOOKUP(K2106,'[3]RNA Seq summary tables'!$V$3:$V$99,1,FALSE)</f>
        <v>#N/A</v>
      </c>
      <c r="JO2106" s="18"/>
      <c r="JP2106" s="27"/>
      <c r="JQ2106" s="27"/>
    </row>
    <row r="2107" spans="2:288" x14ac:dyDescent="0.2">
      <c r="B2107" s="16">
        <v>2017</v>
      </c>
      <c r="C2107" s="20">
        <v>42941</v>
      </c>
      <c r="D2107" s="20" t="str">
        <f>CONCATENATE(J2107,"-",C2107)</f>
        <v>1220-42941</v>
      </c>
      <c r="E2107" s="20" t="str">
        <f>CONCATENATE(T2107,"-",U2107,"-",C2107)</f>
        <v>SP2-G2-42941</v>
      </c>
      <c r="F2107" s="20" t="s">
        <v>106</v>
      </c>
      <c r="G2107" s="20" t="s">
        <v>278</v>
      </c>
      <c r="J2107" s="21">
        <v>1220</v>
      </c>
      <c r="T2107" s="16" t="s">
        <v>137</v>
      </c>
      <c r="U2107" s="16" t="s">
        <v>128</v>
      </c>
      <c r="AP2107" s="16">
        <f>SUM(AL2107:AN2107)</f>
        <v>0</v>
      </c>
      <c r="AT2107" s="16" t="s">
        <v>285</v>
      </c>
      <c r="AY2107" s="18"/>
      <c r="BG2107" s="23"/>
      <c r="BT2107" s="23"/>
      <c r="CD2107" s="23"/>
      <c r="DF2107" s="16" t="e">
        <f>VLOOKUP(K2107,'[3]RNA Seq summary tables'!$V$3:$V$99,1,FALSE)</f>
        <v>#N/A</v>
      </c>
      <c r="JO2107" s="27"/>
      <c r="JP2107" s="27"/>
      <c r="JQ2107" s="27"/>
    </row>
    <row r="2108" spans="2:288" x14ac:dyDescent="0.2">
      <c r="B2108" s="16">
        <v>2017</v>
      </c>
      <c r="C2108" s="20">
        <v>42958</v>
      </c>
      <c r="D2108" s="20" t="str">
        <f>CONCATENATE(J2108,"-",C2108)</f>
        <v>1220-42958</v>
      </c>
      <c r="E2108" s="20" t="str">
        <f>CONCATENATE(T2108,"-",U2108,"-",C2108)</f>
        <v>SP2-F1-42958</v>
      </c>
      <c r="F2108" s="20" t="s">
        <v>106</v>
      </c>
      <c r="G2108" s="20" t="s">
        <v>278</v>
      </c>
      <c r="J2108" s="21">
        <v>1220</v>
      </c>
      <c r="T2108" s="16" t="s">
        <v>137</v>
      </c>
      <c r="U2108" s="16" t="s">
        <v>217</v>
      </c>
      <c r="AP2108" s="16">
        <f>SUM(AL2108:AN2108)</f>
        <v>0</v>
      </c>
      <c r="AT2108" s="16" t="s">
        <v>285</v>
      </c>
      <c r="AY2108" s="18"/>
      <c r="BG2108" s="23"/>
      <c r="BT2108" s="23"/>
      <c r="CD2108" s="23"/>
      <c r="DF2108" s="16" t="e">
        <f>VLOOKUP(K2108,'[3]RNA Seq summary tables'!$V$3:$V$99,1,FALSE)</f>
        <v>#N/A</v>
      </c>
      <c r="JO2108" s="27"/>
      <c r="JP2108" s="27"/>
      <c r="JQ2108" s="27"/>
    </row>
    <row r="2109" spans="2:288" x14ac:dyDescent="0.2">
      <c r="B2109" s="16">
        <v>2017</v>
      </c>
      <c r="C2109" s="20">
        <v>42959</v>
      </c>
      <c r="D2109" s="20" t="str">
        <f>CONCATENATE(J2109,"-",C2109)</f>
        <v>1220-42959</v>
      </c>
      <c r="E2109" s="20" t="str">
        <f>CONCATENATE(T2109,"-",U2109,"-",C2109)</f>
        <v>SP2-G3-42959</v>
      </c>
      <c r="F2109" s="20" t="s">
        <v>106</v>
      </c>
      <c r="G2109" s="20" t="s">
        <v>278</v>
      </c>
      <c r="J2109" s="21">
        <v>1220</v>
      </c>
      <c r="T2109" s="16" t="s">
        <v>137</v>
      </c>
      <c r="U2109" s="16" t="s">
        <v>179</v>
      </c>
      <c r="AP2109" s="16">
        <f>SUM(AL2109:AN2109)</f>
        <v>0</v>
      </c>
      <c r="AT2109" s="16" t="s">
        <v>285</v>
      </c>
      <c r="AY2109" s="18"/>
      <c r="BG2109" s="23"/>
      <c r="BT2109" s="23"/>
      <c r="CD2109" s="23"/>
      <c r="DF2109" s="16" t="e">
        <f>VLOOKUP(K2109,'[3]RNA Seq summary tables'!$V$3:$V$99,1,FALSE)</f>
        <v>#N/A</v>
      </c>
      <c r="JO2109" s="27"/>
      <c r="JP2109" s="27"/>
      <c r="JQ2109" s="27"/>
    </row>
    <row r="2110" spans="2:288" x14ac:dyDescent="0.2">
      <c r="B2110" s="16">
        <v>2017</v>
      </c>
      <c r="C2110" s="20">
        <v>42928</v>
      </c>
      <c r="D2110" s="20" t="str">
        <f>CONCATENATE(J2110,"-",C2110)</f>
        <v>1221-42928</v>
      </c>
      <c r="E2110" s="20" t="str">
        <f>CONCATENATE(T2110,"-",U2110,"-",C2110)</f>
        <v>PO1-D8-42928</v>
      </c>
      <c r="F2110" s="20" t="s">
        <v>106</v>
      </c>
      <c r="G2110" s="20" t="s">
        <v>278</v>
      </c>
      <c r="J2110" s="21">
        <v>1221</v>
      </c>
      <c r="T2110" s="16" t="s">
        <v>112</v>
      </c>
      <c r="U2110" s="16" t="s">
        <v>178</v>
      </c>
      <c r="AP2110" s="16">
        <f>SUM(AL2110:AN2110)</f>
        <v>0</v>
      </c>
      <c r="AT2110" s="16" t="s">
        <v>285</v>
      </c>
      <c r="AY2110" s="18"/>
      <c r="BG2110" s="23"/>
      <c r="BT2110" s="23"/>
      <c r="CD2110" s="23"/>
      <c r="DF2110" s="16" t="e">
        <f>VLOOKUP(K2110,'[3]RNA Seq summary tables'!$V$3:$V$99,1,FALSE)</f>
        <v>#N/A</v>
      </c>
      <c r="JP2110" s="27"/>
      <c r="JQ2110" s="27"/>
      <c r="JR2110" s="27"/>
      <c r="JS2110" s="27"/>
      <c r="JT2110" s="27"/>
      <c r="JU2110" s="27"/>
      <c r="JV2110" s="27"/>
      <c r="JW2110" s="27"/>
      <c r="JX2110" s="27"/>
      <c r="JY2110" s="27"/>
      <c r="JZ2110" s="27"/>
      <c r="KA2110" s="27"/>
      <c r="KB2110" s="27"/>
    </row>
    <row r="2111" spans="2:288" x14ac:dyDescent="0.2">
      <c r="B2111" s="16">
        <v>2017</v>
      </c>
      <c r="C2111" s="20">
        <v>42929</v>
      </c>
      <c r="D2111" s="20" t="str">
        <f>CONCATENATE(J2111,"-",C2111)</f>
        <v>1221-42929</v>
      </c>
      <c r="E2111" s="20" t="str">
        <f>CONCATENATE(T2111,"-",U2111,"-",C2111)</f>
        <v>PO1-E8-42929</v>
      </c>
      <c r="F2111" s="20" t="s">
        <v>106</v>
      </c>
      <c r="G2111" s="20" t="s">
        <v>278</v>
      </c>
      <c r="J2111" s="21">
        <v>1221</v>
      </c>
      <c r="T2111" s="16" t="s">
        <v>112</v>
      </c>
      <c r="U2111" s="16" t="s">
        <v>181</v>
      </c>
      <c r="AP2111" s="16">
        <f>SUM(AL2111:AN2111)</f>
        <v>0</v>
      </c>
      <c r="AT2111" s="16" t="s">
        <v>285</v>
      </c>
      <c r="AY2111" s="18"/>
      <c r="BG2111" s="23"/>
      <c r="BT2111" s="23"/>
      <c r="CD2111" s="23"/>
      <c r="DF2111" s="16" t="e">
        <f>VLOOKUP(K2111,'[3]RNA Seq summary tables'!$V$3:$V$99,1,FALSE)</f>
        <v>#N/A</v>
      </c>
      <c r="JP2111" s="27"/>
      <c r="JQ2111" s="27"/>
      <c r="JR2111" s="18"/>
      <c r="JS2111" s="18"/>
      <c r="JT2111" s="18"/>
      <c r="JU2111" s="18"/>
      <c r="JV2111" s="18"/>
      <c r="JW2111" s="18"/>
      <c r="JX2111" s="18"/>
      <c r="JY2111" s="18"/>
      <c r="JZ2111" s="18"/>
      <c r="KA2111" s="18"/>
      <c r="KB2111" s="18"/>
    </row>
    <row r="2112" spans="2:288" x14ac:dyDescent="0.2">
      <c r="B2112" s="16">
        <v>2017</v>
      </c>
      <c r="C2112" s="20">
        <v>42928</v>
      </c>
      <c r="D2112" s="20" t="str">
        <f>CONCATENATE(J2112,"-",C2112)</f>
        <v>1222-42928</v>
      </c>
      <c r="E2112" s="20" t="str">
        <f>CONCATENATE(T2112,"-",U2112,"-",C2112)</f>
        <v>PO1-D5-42928</v>
      </c>
      <c r="F2112" s="20" t="s">
        <v>106</v>
      </c>
      <c r="G2112" s="20" t="s">
        <v>278</v>
      </c>
      <c r="J2112" s="21">
        <v>1222</v>
      </c>
      <c r="T2112" s="16" t="s">
        <v>112</v>
      </c>
      <c r="U2112" s="16" t="s">
        <v>183</v>
      </c>
      <c r="AP2112" s="16">
        <f>SUM(AL2112:AN2112)</f>
        <v>0</v>
      </c>
      <c r="AT2112" s="16" t="s">
        <v>285</v>
      </c>
      <c r="AY2112" s="18"/>
      <c r="BG2112" s="23"/>
      <c r="BT2112" s="23"/>
      <c r="CD2112" s="23"/>
      <c r="DF2112" s="16" t="e">
        <f>VLOOKUP(K2112,'[3]RNA Seq summary tables'!$V$3:$V$99,1,FALSE)</f>
        <v>#N/A</v>
      </c>
      <c r="JO2112" s="18"/>
      <c r="JP2112" s="27"/>
      <c r="JQ2112" s="27"/>
      <c r="JR2112" s="27"/>
      <c r="JS2112" s="27"/>
      <c r="JT2112" s="27"/>
      <c r="JU2112" s="27"/>
      <c r="JV2112" s="27"/>
      <c r="JW2112" s="27"/>
      <c r="JX2112" s="27"/>
      <c r="JY2112" s="27"/>
      <c r="JZ2112" s="27"/>
      <c r="KA2112" s="27"/>
      <c r="KB2112" s="27"/>
    </row>
    <row r="2113" spans="2:288" x14ac:dyDescent="0.2">
      <c r="B2113" s="16">
        <v>2017</v>
      </c>
      <c r="C2113" s="20">
        <v>42929</v>
      </c>
      <c r="D2113" s="20" t="str">
        <f>CONCATENATE(J2113,"-",C2113)</f>
        <v>1222-42929</v>
      </c>
      <c r="E2113" s="20" t="str">
        <f>CONCATENATE(T2113,"-",U2113,"-",C2113)</f>
        <v>PO1-D5-42929</v>
      </c>
      <c r="F2113" s="20" t="s">
        <v>106</v>
      </c>
      <c r="G2113" s="20" t="s">
        <v>278</v>
      </c>
      <c r="J2113" s="21">
        <v>1222</v>
      </c>
      <c r="T2113" s="16" t="s">
        <v>112</v>
      </c>
      <c r="U2113" s="16" t="s">
        <v>183</v>
      </c>
      <c r="AP2113" s="16">
        <f>SUM(AL2113:AN2113)</f>
        <v>0</v>
      </c>
      <c r="AT2113" s="16" t="s">
        <v>285</v>
      </c>
      <c r="AY2113" s="18"/>
      <c r="BG2113" s="23"/>
      <c r="BT2113" s="23"/>
      <c r="CD2113" s="23"/>
      <c r="DF2113" s="16" t="e">
        <f>VLOOKUP(K2113,'[3]RNA Seq summary tables'!$V$3:$V$99,1,FALSE)</f>
        <v>#N/A</v>
      </c>
      <c r="JP2113" s="27"/>
      <c r="JQ2113" s="27"/>
      <c r="JR2113" s="18"/>
      <c r="JS2113" s="18"/>
      <c r="JT2113" s="18"/>
      <c r="JU2113" s="18"/>
      <c r="JV2113" s="18"/>
      <c r="JW2113" s="18"/>
      <c r="JX2113" s="18"/>
      <c r="JY2113" s="18"/>
      <c r="JZ2113" s="18"/>
      <c r="KA2113" s="18"/>
      <c r="KB2113" s="18"/>
    </row>
    <row r="2114" spans="2:288" x14ac:dyDescent="0.2">
      <c r="B2114" s="16">
        <v>2017</v>
      </c>
      <c r="C2114" s="20">
        <v>42928</v>
      </c>
      <c r="D2114" s="20" t="str">
        <f>CONCATENATE(J2114,"-",C2114)</f>
        <v>1223-42928</v>
      </c>
      <c r="E2114" s="20" t="str">
        <f>CONCATENATE(T2114,"-",U2114,"-",C2114)</f>
        <v>PO1-G8-42928</v>
      </c>
      <c r="F2114" s="20" t="s">
        <v>106</v>
      </c>
      <c r="G2114" s="20" t="s">
        <v>278</v>
      </c>
      <c r="J2114" s="21">
        <v>1223</v>
      </c>
      <c r="T2114" s="16" t="s">
        <v>112</v>
      </c>
      <c r="U2114" s="16" t="s">
        <v>216</v>
      </c>
      <c r="AP2114" s="16">
        <f>SUM(AL2114:AN2114)</f>
        <v>0</v>
      </c>
      <c r="AT2114" s="16" t="s">
        <v>285</v>
      </c>
      <c r="AY2114" s="18"/>
      <c r="BG2114" s="23"/>
      <c r="BT2114" s="23"/>
      <c r="CD2114" s="23"/>
      <c r="DF2114" s="16" t="e">
        <f>VLOOKUP(K2114,'[3]RNA Seq summary tables'!$V$3:$V$99,1,FALSE)</f>
        <v>#N/A</v>
      </c>
      <c r="JP2114" s="27"/>
      <c r="JQ2114" s="27"/>
      <c r="JR2114" s="27"/>
      <c r="JS2114" s="27"/>
      <c r="JT2114" s="27"/>
      <c r="JU2114" s="27"/>
      <c r="JV2114" s="27"/>
      <c r="JW2114" s="27"/>
      <c r="JX2114" s="27"/>
      <c r="JY2114" s="27"/>
      <c r="JZ2114" s="27"/>
      <c r="KA2114" s="27"/>
      <c r="KB2114" s="27"/>
    </row>
    <row r="2115" spans="2:288" x14ac:dyDescent="0.2">
      <c r="B2115" s="16">
        <v>2017</v>
      </c>
      <c r="C2115" s="20">
        <v>42929</v>
      </c>
      <c r="D2115" s="20" t="str">
        <f>CONCATENATE(J2115,"-",C2115)</f>
        <v>1223-42929</v>
      </c>
      <c r="E2115" s="20" t="str">
        <f>CONCATENATE(T2115,"-",U2115,"-",C2115)</f>
        <v>PO1-G8-42929</v>
      </c>
      <c r="F2115" s="20" t="s">
        <v>106</v>
      </c>
      <c r="G2115" s="20" t="s">
        <v>278</v>
      </c>
      <c r="J2115" s="21">
        <v>1223</v>
      </c>
      <c r="T2115" s="16" t="s">
        <v>112</v>
      </c>
      <c r="U2115" s="16" t="s">
        <v>216</v>
      </c>
      <c r="AP2115" s="16">
        <f>SUM(AL2115:AN2115)</f>
        <v>0</v>
      </c>
      <c r="AT2115" s="16" t="s">
        <v>285</v>
      </c>
      <c r="AY2115" s="18"/>
      <c r="BG2115" s="23"/>
      <c r="BT2115" s="23"/>
      <c r="CD2115" s="23"/>
      <c r="DF2115" s="16" t="e">
        <f>VLOOKUP(K2115,'[3]RNA Seq summary tables'!$V$3:$V$99,1,FALSE)</f>
        <v>#N/A</v>
      </c>
      <c r="DT2115" s="25"/>
      <c r="DU2115" s="25"/>
      <c r="DV2115" s="25"/>
      <c r="DW2115" s="25"/>
      <c r="DX2115" s="25"/>
      <c r="DY2115" s="25"/>
      <c r="DZ2115" s="25"/>
      <c r="EA2115" s="25"/>
      <c r="EB2115" s="25"/>
      <c r="EC2115" s="25"/>
      <c r="ED2115" s="25"/>
      <c r="JP2115" s="27"/>
      <c r="JQ2115" s="27"/>
      <c r="JR2115" s="18"/>
      <c r="JS2115" s="18"/>
      <c r="JT2115" s="18"/>
      <c r="JU2115" s="18"/>
      <c r="JV2115" s="18"/>
      <c r="JW2115" s="18"/>
      <c r="JX2115" s="18"/>
      <c r="JY2115" s="18"/>
      <c r="JZ2115" s="18"/>
      <c r="KA2115" s="18"/>
      <c r="KB2115" s="18"/>
    </row>
    <row r="2116" spans="2:288" ht="16" x14ac:dyDescent="0.2">
      <c r="B2116" s="16">
        <v>2018</v>
      </c>
      <c r="C2116" s="124">
        <v>43285</v>
      </c>
      <c r="D2116" t="s">
        <v>602</v>
      </c>
      <c r="E2116" s="20" t="str">
        <f>CONCATENATE(T2116,"-",U2116,"-",C2116)</f>
        <v>PO1-G8-43285</v>
      </c>
      <c r="F2116" s="16" t="s">
        <v>227</v>
      </c>
      <c r="G2116" s="126" t="s">
        <v>278</v>
      </c>
      <c r="H2116" s="126"/>
      <c r="J2116" s="126">
        <v>1223</v>
      </c>
      <c r="K2116" s="126"/>
      <c r="O2116" s="126"/>
      <c r="T2116" s="126" t="s">
        <v>112</v>
      </c>
      <c r="U2116" s="126" t="s">
        <v>216</v>
      </c>
      <c r="V2116" s="126"/>
      <c r="X2116" s="126"/>
      <c r="Y2116" s="126"/>
      <c r="Z2116" s="126"/>
      <c r="AA2116" s="126"/>
      <c r="AB2116" s="126"/>
      <c r="AC2116" s="126"/>
      <c r="AD2116" s="126"/>
      <c r="AE2116" s="126"/>
      <c r="AH2116" s="126"/>
      <c r="AI2116" s="126"/>
      <c r="AK2116" s="126"/>
      <c r="AL2116" s="126"/>
      <c r="AM2116" s="126"/>
      <c r="AN2116" s="126"/>
      <c r="BG2116" s="23"/>
      <c r="BN2116" s="126"/>
      <c r="BT2116" s="23"/>
      <c r="CD2116" s="23"/>
      <c r="DF2116" s="16" t="e">
        <f>VLOOKUP(K2116,'[3]RNA Seq summary tables'!$V$3:$V$99,1,FALSE)</f>
        <v>#N/A</v>
      </c>
      <c r="DG2116" s="126"/>
    </row>
    <row r="2117" spans="2:288" ht="16" x14ac:dyDescent="0.2">
      <c r="B2117" s="16">
        <v>2018</v>
      </c>
      <c r="C2117" s="147">
        <v>43316</v>
      </c>
      <c r="D2117" t="s">
        <v>1266</v>
      </c>
      <c r="E2117" s="20" t="str">
        <f>CONCATENATE(T2117,"-",U2117,"-",C2117)</f>
        <v>PO1-D7-43316</v>
      </c>
      <c r="F2117" s="16" t="s">
        <v>227</v>
      </c>
      <c r="G2117" s="145" t="s">
        <v>278</v>
      </c>
      <c r="H2117" s="145"/>
      <c r="I2117" s="145"/>
      <c r="J2117" s="145">
        <v>1223</v>
      </c>
      <c r="K2117" s="145"/>
      <c r="M2117" s="16"/>
      <c r="N2117" s="16"/>
      <c r="O2117" s="145"/>
      <c r="P2117" s="145"/>
      <c r="Q2117" s="145"/>
      <c r="R2117" s="145"/>
      <c r="S2117" s="145"/>
      <c r="T2117" s="145" t="s">
        <v>112</v>
      </c>
      <c r="U2117" s="145" t="s">
        <v>177</v>
      </c>
      <c r="V2117" s="145"/>
      <c r="W2117" s="145"/>
      <c r="X2117" s="145"/>
      <c r="Y2117" s="145"/>
      <c r="Z2117" s="145"/>
      <c r="AA2117" s="145"/>
      <c r="AB2117" s="145"/>
      <c r="AC2117" s="145"/>
      <c r="AD2117" s="145"/>
      <c r="AE2117" s="145"/>
      <c r="AF2117" s="145"/>
      <c r="AG2117" s="145"/>
      <c r="AH2117" s="145"/>
      <c r="AI2117" s="145"/>
      <c r="AJ2117" s="145"/>
      <c r="AK2117" s="145"/>
      <c r="AL2117" s="145"/>
      <c r="AM2117" s="145"/>
      <c r="AN2117" s="145"/>
      <c r="AT2117" s="16" t="e">
        <f>VLOOKUP(E2117,[2]Current!$A$1:$W$435,7,FALSE)</f>
        <v>#N/A</v>
      </c>
      <c r="DG2117" s="145"/>
      <c r="DT2117"/>
      <c r="DU2117" s="145"/>
      <c r="DX2117" s="145"/>
      <c r="DY2117" s="145"/>
      <c r="DZ2117" s="16"/>
      <c r="EA2117" s="16"/>
      <c r="EB2117" s="16"/>
      <c r="EC2117" s="16"/>
      <c r="ED2117" s="16"/>
      <c r="EE2117" s="16"/>
      <c r="EF2117" s="16"/>
      <c r="JO2117" s="18"/>
      <c r="JP2117" s="18"/>
      <c r="JQ2117" s="18"/>
      <c r="JR2117" s="18"/>
      <c r="JS2117" s="18"/>
      <c r="JT2117" s="18"/>
      <c r="JU2117" s="18"/>
      <c r="JV2117" s="18"/>
      <c r="JW2117" s="18"/>
      <c r="JX2117" s="18"/>
      <c r="JY2117" s="18"/>
      <c r="JZ2117" s="18"/>
      <c r="KA2117" s="18"/>
    </row>
    <row r="2118" spans="2:288" x14ac:dyDescent="0.2">
      <c r="B2118" s="16">
        <v>2017</v>
      </c>
      <c r="C2118" s="20">
        <v>42928</v>
      </c>
      <c r="D2118" s="20" t="str">
        <f>CONCATENATE(J2118,"-",C2118)</f>
        <v>1225-42928</v>
      </c>
      <c r="E2118" s="20" t="str">
        <f>CONCATENATE(T2118,"-",U2118,"-",C2118)</f>
        <v>PO2-B2-42928</v>
      </c>
      <c r="F2118" s="20" t="s">
        <v>106</v>
      </c>
      <c r="G2118" s="20" t="s">
        <v>278</v>
      </c>
      <c r="J2118" s="21">
        <v>1225</v>
      </c>
      <c r="T2118" s="16" t="s">
        <v>127</v>
      </c>
      <c r="U2118" s="16" t="s">
        <v>130</v>
      </c>
      <c r="AP2118" s="16">
        <f>SUM(AL2118:AN2118)</f>
        <v>0</v>
      </c>
      <c r="AT2118" s="16" t="s">
        <v>285</v>
      </c>
      <c r="AY2118" s="18"/>
      <c r="BG2118" s="23"/>
      <c r="BT2118" s="23"/>
      <c r="CD2118" s="23"/>
      <c r="DF2118" s="16" t="e">
        <f>VLOOKUP(K2118,'[3]RNA Seq summary tables'!$V$3:$V$99,1,FALSE)</f>
        <v>#N/A</v>
      </c>
      <c r="JP2118" s="27"/>
      <c r="JQ2118" s="27"/>
      <c r="JR2118" s="27"/>
      <c r="JS2118" s="27"/>
      <c r="JT2118" s="27"/>
      <c r="JU2118" s="27"/>
      <c r="JV2118" s="27"/>
      <c r="JW2118" s="27"/>
      <c r="JX2118" s="27"/>
      <c r="JY2118" s="27"/>
      <c r="JZ2118" s="27"/>
      <c r="KA2118" s="27"/>
      <c r="KB2118" s="27"/>
    </row>
    <row r="2119" spans="2:288" x14ac:dyDescent="0.2">
      <c r="B2119" s="16">
        <v>2017</v>
      </c>
      <c r="C2119" s="20">
        <v>42976</v>
      </c>
      <c r="D2119" s="20" t="str">
        <f>CONCATENATE(J2119,"-",C2119)</f>
        <v>1225-42976</v>
      </c>
      <c r="E2119" s="20" t="str">
        <f>CONCATENATE(T2119,"-",U2119,"-",C2119)</f>
        <v>PO2-C2-42976</v>
      </c>
      <c r="F2119" s="20" t="s">
        <v>224</v>
      </c>
      <c r="G2119" s="20" t="s">
        <v>278</v>
      </c>
      <c r="J2119" s="21">
        <v>1225</v>
      </c>
      <c r="T2119" s="16" t="s">
        <v>127</v>
      </c>
      <c r="U2119" s="16" t="s">
        <v>162</v>
      </c>
      <c r="AP2119" s="16">
        <f>SUM(AL2119:AN2119)</f>
        <v>0</v>
      </c>
      <c r="AT2119" s="16" t="s">
        <v>285</v>
      </c>
      <c r="AY2119" s="18"/>
      <c r="BG2119" s="23"/>
      <c r="BT2119" s="23"/>
      <c r="CD2119" s="23"/>
      <c r="DF2119" s="16" t="e">
        <f>VLOOKUP(K2119,'[3]RNA Seq summary tables'!$V$3:$V$99,1,FALSE)</f>
        <v>#N/A</v>
      </c>
      <c r="JO2119" s="18"/>
      <c r="JP2119" s="27"/>
      <c r="JQ2119" s="27"/>
    </row>
    <row r="2120" spans="2:288" x14ac:dyDescent="0.2">
      <c r="B2120" s="16">
        <v>2017</v>
      </c>
      <c r="C2120" s="20">
        <v>42928</v>
      </c>
      <c r="D2120" s="20" t="str">
        <f>CONCATENATE(J2120,"-",C2120)</f>
        <v>1226-42928</v>
      </c>
      <c r="E2120" s="20" t="str">
        <f>CONCATENATE(T2120,"-",U2120,"-",C2120)</f>
        <v>PO2-A1-42928</v>
      </c>
      <c r="F2120" s="20" t="s">
        <v>106</v>
      </c>
      <c r="G2120" s="20" t="s">
        <v>278</v>
      </c>
      <c r="J2120" s="21">
        <v>1226</v>
      </c>
      <c r="T2120" s="16" t="s">
        <v>127</v>
      </c>
      <c r="U2120" s="16" t="s">
        <v>210</v>
      </c>
      <c r="AP2120" s="16">
        <f>SUM(AL2120:AN2120)</f>
        <v>0</v>
      </c>
      <c r="AT2120" s="16" t="s">
        <v>285</v>
      </c>
      <c r="AY2120" s="18"/>
      <c r="BG2120" s="23"/>
      <c r="BT2120" s="23"/>
      <c r="CD2120" s="23"/>
      <c r="DF2120" s="16" t="e">
        <f>VLOOKUP(K2120,'[3]RNA Seq summary tables'!$V$3:$V$99,1,FALSE)</f>
        <v>#N/A</v>
      </c>
      <c r="JO2120" s="18"/>
      <c r="JP2120" s="27"/>
      <c r="JQ2120" s="27"/>
      <c r="JR2120" s="27"/>
      <c r="JS2120" s="27"/>
      <c r="JT2120" s="27"/>
      <c r="JU2120" s="27"/>
      <c r="JV2120" s="27"/>
      <c r="JW2120" s="27"/>
      <c r="JX2120" s="27"/>
      <c r="JY2120" s="27"/>
      <c r="JZ2120" s="27"/>
      <c r="KA2120" s="27"/>
      <c r="KB2120" s="27"/>
    </row>
    <row r="2121" spans="2:288" x14ac:dyDescent="0.2">
      <c r="B2121" s="16">
        <v>2017</v>
      </c>
      <c r="C2121" s="20">
        <v>42929</v>
      </c>
      <c r="D2121" s="20" t="str">
        <f>CONCATENATE(J2121,"-",C2121)</f>
        <v>1226-42929</v>
      </c>
      <c r="E2121" s="20" t="str">
        <f>CONCATENATE(T2121,"-",U2121,"-",C2121)</f>
        <v>PO2-C1-42929</v>
      </c>
      <c r="F2121" s="20" t="s">
        <v>106</v>
      </c>
      <c r="G2121" s="20" t="s">
        <v>278</v>
      </c>
      <c r="J2121" s="21">
        <v>1226</v>
      </c>
      <c r="T2121" s="16" t="s">
        <v>127</v>
      </c>
      <c r="U2121" s="16" t="s">
        <v>150</v>
      </c>
      <c r="AP2121" s="16">
        <f>SUM(AL2121:AN2121)</f>
        <v>0</v>
      </c>
      <c r="AT2121" s="16" t="s">
        <v>285</v>
      </c>
      <c r="AY2121" s="18"/>
      <c r="BG2121" s="23"/>
      <c r="BT2121" s="23"/>
      <c r="CD2121" s="23"/>
      <c r="DF2121" s="16" t="e">
        <f>VLOOKUP(K2121,'[3]RNA Seq summary tables'!$V$3:$V$99,1,FALSE)</f>
        <v>#N/A</v>
      </c>
      <c r="JP2121" s="27"/>
      <c r="JQ2121" s="27"/>
      <c r="JR2121" s="18"/>
      <c r="JS2121" s="18"/>
      <c r="JT2121" s="18"/>
      <c r="JU2121" s="18"/>
      <c r="JV2121" s="18"/>
      <c r="JW2121" s="18"/>
      <c r="JX2121" s="18"/>
      <c r="JY2121" s="18"/>
      <c r="JZ2121" s="18"/>
      <c r="KA2121" s="18"/>
      <c r="KB2121" s="18"/>
    </row>
    <row r="2122" spans="2:288" x14ac:dyDescent="0.2">
      <c r="B2122" s="16">
        <v>2017</v>
      </c>
      <c r="C2122" s="20">
        <v>42928</v>
      </c>
      <c r="D2122" s="20" t="str">
        <f>CONCATENATE(J2122,"-",C2122)</f>
        <v>1227-42928</v>
      </c>
      <c r="E2122" s="20" t="str">
        <f>CONCATENATE(T2122,"-",U2122,"-",C2122)</f>
        <v>PO2-D4-42928</v>
      </c>
      <c r="F2122" s="20" t="s">
        <v>106</v>
      </c>
      <c r="G2122" s="20" t="s">
        <v>278</v>
      </c>
      <c r="J2122" s="21">
        <v>1227</v>
      </c>
      <c r="T2122" s="16" t="s">
        <v>127</v>
      </c>
      <c r="U2122" s="16" t="s">
        <v>221</v>
      </c>
      <c r="AP2122" s="16">
        <f>SUM(AL2122:AN2122)</f>
        <v>0</v>
      </c>
      <c r="AT2122" s="16" t="s">
        <v>285</v>
      </c>
      <c r="AY2122" s="18"/>
      <c r="BG2122" s="23"/>
      <c r="BT2122" s="23"/>
      <c r="CD2122" s="23"/>
      <c r="DF2122" s="16" t="e">
        <f>VLOOKUP(K2122,'[3]RNA Seq summary tables'!$V$3:$V$99,1,FALSE)</f>
        <v>#N/A</v>
      </c>
      <c r="JP2122" s="27"/>
      <c r="JQ2122" s="27"/>
      <c r="JR2122" s="27"/>
      <c r="JS2122" s="27"/>
      <c r="JT2122" s="27"/>
      <c r="JU2122" s="27"/>
      <c r="JV2122" s="27"/>
      <c r="JW2122" s="27"/>
      <c r="JX2122" s="27"/>
      <c r="JY2122" s="27"/>
      <c r="JZ2122" s="27"/>
      <c r="KA2122" s="27"/>
      <c r="KB2122" s="27"/>
    </row>
    <row r="2123" spans="2:288" x14ac:dyDescent="0.2">
      <c r="B2123" s="16">
        <v>2017</v>
      </c>
      <c r="C2123" s="20">
        <v>42976</v>
      </c>
      <c r="D2123" s="20" t="str">
        <f>CONCATENATE(J2123,"-",C2123)</f>
        <v>1227-42976</v>
      </c>
      <c r="E2123" s="20" t="str">
        <f>CONCATENATE(T2123,"-",U2123,"-",C2123)</f>
        <v>PO2-C5-42976</v>
      </c>
      <c r="F2123" s="20" t="s">
        <v>224</v>
      </c>
      <c r="G2123" s="20" t="s">
        <v>278</v>
      </c>
      <c r="J2123" s="21">
        <v>1227</v>
      </c>
      <c r="T2123" s="16" t="s">
        <v>127</v>
      </c>
      <c r="U2123" s="16" t="s">
        <v>172</v>
      </c>
      <c r="AP2123" s="16">
        <f>SUM(AL2123:AN2123)</f>
        <v>0</v>
      </c>
      <c r="AT2123" s="16" t="s">
        <v>285</v>
      </c>
      <c r="AY2123" s="18"/>
      <c r="BG2123" s="23"/>
      <c r="BT2123" s="23"/>
      <c r="CD2123" s="23"/>
      <c r="DF2123" s="16" t="e">
        <f>VLOOKUP(K2123,'[3]RNA Seq summary tables'!$V$3:$V$99,1,FALSE)</f>
        <v>#N/A</v>
      </c>
      <c r="JO2123" s="18"/>
      <c r="JP2123" s="27"/>
      <c r="JQ2123" s="27"/>
    </row>
    <row r="2124" spans="2:288" x14ac:dyDescent="0.2">
      <c r="B2124" s="16">
        <v>2017</v>
      </c>
      <c r="C2124" s="20">
        <v>42947</v>
      </c>
      <c r="D2124" s="20" t="str">
        <f>CONCATENATE(J2124,"-",C2124)</f>
        <v>1228-42947</v>
      </c>
      <c r="E2124" s="20" t="str">
        <f>CONCATENATE(T2124,"-",U2124,"-",C2124)</f>
        <v>PO2-C8-42947</v>
      </c>
      <c r="F2124" s="20" t="s">
        <v>106</v>
      </c>
      <c r="G2124" s="20" t="s">
        <v>278</v>
      </c>
      <c r="J2124" s="21">
        <v>1228</v>
      </c>
      <c r="T2124" s="16" t="s">
        <v>127</v>
      </c>
      <c r="U2124" s="16" t="s">
        <v>188</v>
      </c>
      <c r="AP2124" s="16">
        <f>SUM(AL2124:AN2124)</f>
        <v>0</v>
      </c>
      <c r="AT2124" s="16" t="s">
        <v>285</v>
      </c>
      <c r="AY2124" s="18"/>
      <c r="BG2124" s="23"/>
      <c r="BT2124" s="23"/>
      <c r="CD2124" s="23"/>
      <c r="DF2124" s="16" t="e">
        <f>VLOOKUP(K2124,'[3]RNA Seq summary tables'!$V$3:$V$99,1,FALSE)</f>
        <v>#N/A</v>
      </c>
      <c r="JO2124" s="27"/>
      <c r="JP2124" s="27"/>
      <c r="JQ2124" s="27"/>
    </row>
    <row r="2125" spans="2:288" x14ac:dyDescent="0.2">
      <c r="B2125" s="16">
        <v>2017</v>
      </c>
      <c r="C2125" s="20">
        <v>42976</v>
      </c>
      <c r="D2125" s="20" t="str">
        <f>CONCATENATE(J2125,"-",C2125)</f>
        <v>1228-42976</v>
      </c>
      <c r="E2125" s="20" t="str">
        <f>CONCATENATE(T2125,"-",U2125,"-",C2125)</f>
        <v>PO2-C7-42976</v>
      </c>
      <c r="F2125" s="20" t="s">
        <v>224</v>
      </c>
      <c r="G2125" s="20" t="s">
        <v>278</v>
      </c>
      <c r="J2125" s="21">
        <v>1228</v>
      </c>
      <c r="T2125" s="16" t="s">
        <v>127</v>
      </c>
      <c r="U2125" s="16" t="s">
        <v>207</v>
      </c>
      <c r="AP2125" s="16">
        <f>SUM(AL2125:AN2125)</f>
        <v>0</v>
      </c>
      <c r="AT2125" s="16" t="s">
        <v>285</v>
      </c>
      <c r="AY2125" s="18"/>
      <c r="BG2125" s="23"/>
      <c r="BT2125" s="23"/>
      <c r="CD2125" s="23"/>
      <c r="DF2125" s="16" t="e">
        <f>VLOOKUP(K2125,'[3]RNA Seq summary tables'!$V$3:$V$99,1,FALSE)</f>
        <v>#N/A</v>
      </c>
      <c r="JO2125" s="18"/>
      <c r="JP2125" s="27"/>
      <c r="JQ2125" s="27"/>
    </row>
    <row r="2126" spans="2:288" x14ac:dyDescent="0.2">
      <c r="B2126" s="16">
        <v>2017</v>
      </c>
      <c r="C2126" s="20">
        <v>42976</v>
      </c>
      <c r="D2126" s="20" t="str">
        <f>CONCATENATE(J2126,"-",C2126)</f>
        <v>1230-42976</v>
      </c>
      <c r="E2126" s="20" t="str">
        <f>CONCATENATE(T2126,"-",U2126,"-",C2126)</f>
        <v>PO1-A3-42976</v>
      </c>
      <c r="F2126" s="20" t="s">
        <v>224</v>
      </c>
      <c r="G2126" s="20" t="s">
        <v>278</v>
      </c>
      <c r="J2126" s="21">
        <v>1230</v>
      </c>
      <c r="T2126" s="16" t="s">
        <v>112</v>
      </c>
      <c r="U2126" s="16" t="s">
        <v>201</v>
      </c>
      <c r="AP2126" s="16">
        <f>SUM(AL2126:AN2126)</f>
        <v>0</v>
      </c>
      <c r="AT2126" s="16" t="s">
        <v>285</v>
      </c>
      <c r="AY2126" s="18"/>
      <c r="BG2126" s="23"/>
      <c r="BT2126" s="23"/>
      <c r="CD2126" s="23"/>
      <c r="DF2126" s="16" t="e">
        <f>VLOOKUP(K2126,'[3]RNA Seq summary tables'!$V$3:$V$99,1,FALSE)</f>
        <v>#N/A</v>
      </c>
      <c r="JO2126" s="18"/>
      <c r="JP2126" s="18"/>
      <c r="JQ2126" s="18"/>
    </row>
    <row r="2127" spans="2:288" x14ac:dyDescent="0.2">
      <c r="B2127" s="16">
        <v>2017</v>
      </c>
      <c r="C2127" s="20">
        <v>42977</v>
      </c>
      <c r="D2127" s="20" t="str">
        <f>CONCATENATE(J2127,"-",C2127)</f>
        <v>1230-42977</v>
      </c>
      <c r="E2127" s="20" t="str">
        <f>CONCATENATE(T2127,"-",U2127,"-",C2127)</f>
        <v>PO1-B2-42977</v>
      </c>
      <c r="F2127" s="20" t="s">
        <v>224</v>
      </c>
      <c r="G2127" s="20" t="s">
        <v>278</v>
      </c>
      <c r="J2127" s="21">
        <v>1230</v>
      </c>
      <c r="T2127" s="16" t="s">
        <v>112</v>
      </c>
      <c r="U2127" s="16" t="s">
        <v>130</v>
      </c>
      <c r="AP2127" s="16">
        <f>SUM(AL2127:AN2127)</f>
        <v>0</v>
      </c>
      <c r="AT2127" s="16" t="s">
        <v>285</v>
      </c>
      <c r="AY2127" s="18"/>
      <c r="BG2127" s="23"/>
      <c r="BT2127" s="23"/>
      <c r="CD2127" s="23"/>
      <c r="DF2127" s="16" t="e">
        <f>VLOOKUP(K2127,'[3]RNA Seq summary tables'!$V$3:$V$99,1,FALSE)</f>
        <v>#N/A</v>
      </c>
      <c r="JP2127" s="27"/>
      <c r="JQ2127" s="27"/>
    </row>
    <row r="2128" spans="2:288" x14ac:dyDescent="0.2">
      <c r="B2128" s="16">
        <v>2017</v>
      </c>
      <c r="C2128" s="20">
        <v>42929</v>
      </c>
      <c r="D2128" s="20" t="str">
        <f>CONCATENATE(J2128,"-",C2128)</f>
        <v>1232-42929</v>
      </c>
      <c r="E2128" s="20" t="str">
        <f>CONCATENATE(T2128,"-",U2128,"-",C2128)</f>
        <v>PO1-H7-42929</v>
      </c>
      <c r="F2128" s="20" t="s">
        <v>106</v>
      </c>
      <c r="G2128" s="20" t="s">
        <v>278</v>
      </c>
      <c r="J2128" s="21">
        <v>1232</v>
      </c>
      <c r="T2128" s="16" t="s">
        <v>112</v>
      </c>
      <c r="U2128" s="16" t="s">
        <v>202</v>
      </c>
      <c r="AP2128" s="16">
        <f>SUM(AL2128:AN2128)</f>
        <v>0</v>
      </c>
      <c r="AT2128" s="16" t="s">
        <v>285</v>
      </c>
      <c r="AY2128" s="18"/>
      <c r="BG2128" s="23"/>
      <c r="BT2128" s="23"/>
      <c r="CD2128" s="23"/>
      <c r="DF2128" s="16" t="e">
        <f>VLOOKUP(K2128,'[3]RNA Seq summary tables'!$V$3:$V$99,1,FALSE)</f>
        <v>#N/A</v>
      </c>
      <c r="JP2128" s="27"/>
      <c r="JQ2128" s="27"/>
      <c r="JR2128" s="18"/>
      <c r="JS2128" s="18"/>
      <c r="JT2128" s="18"/>
      <c r="JU2128" s="18"/>
      <c r="JV2128" s="18"/>
      <c r="JW2128" s="18"/>
      <c r="JX2128" s="18"/>
      <c r="JY2128" s="18"/>
      <c r="JZ2128" s="18"/>
      <c r="KA2128" s="18"/>
      <c r="KB2128" s="18"/>
    </row>
    <row r="2129" spans="2:288" x14ac:dyDescent="0.2">
      <c r="B2129" s="16">
        <v>2017</v>
      </c>
      <c r="C2129" s="20">
        <v>42929</v>
      </c>
      <c r="D2129" s="20" t="str">
        <f>CONCATENATE(J2129,"-",C2129)</f>
        <v>1233-42929</v>
      </c>
      <c r="E2129" s="20" t="str">
        <f>CONCATENATE(T2129,"-",U2129,"-",C2129)</f>
        <v>PO2-E3-42929</v>
      </c>
      <c r="F2129" s="20" t="s">
        <v>106</v>
      </c>
      <c r="G2129" s="20" t="s">
        <v>278</v>
      </c>
      <c r="J2129" s="21">
        <v>1233</v>
      </c>
      <c r="T2129" s="16" t="s">
        <v>127</v>
      </c>
      <c r="U2129" s="16" t="s">
        <v>225</v>
      </c>
      <c r="AP2129" s="16">
        <f>SUM(AL2129:AN2129)</f>
        <v>0</v>
      </c>
      <c r="AT2129" s="16" t="s">
        <v>285</v>
      </c>
      <c r="AY2129" s="18"/>
      <c r="BG2129" s="23"/>
      <c r="BT2129" s="23"/>
      <c r="CD2129" s="23"/>
      <c r="DF2129" s="16" t="e">
        <f>VLOOKUP(K2129,'[3]RNA Seq summary tables'!$V$3:$V$99,1,FALSE)</f>
        <v>#N/A</v>
      </c>
      <c r="JP2129" s="27"/>
      <c r="JQ2129" s="27"/>
      <c r="JR2129" s="27"/>
      <c r="JS2129" s="27"/>
      <c r="JT2129" s="27"/>
      <c r="JU2129" s="27"/>
      <c r="JV2129" s="27"/>
      <c r="JW2129" s="27"/>
      <c r="JX2129" s="27"/>
      <c r="JY2129" s="27"/>
      <c r="JZ2129" s="27"/>
      <c r="KA2129" s="27"/>
      <c r="KB2129" s="27"/>
    </row>
    <row r="2130" spans="2:288" x14ac:dyDescent="0.2">
      <c r="B2130" s="16">
        <v>2017</v>
      </c>
      <c r="C2130" s="20">
        <v>42976</v>
      </c>
      <c r="D2130" s="20" t="str">
        <f>CONCATENATE(J2130,"-",C2130)</f>
        <v>1233-42976</v>
      </c>
      <c r="E2130" s="20" t="str">
        <f>CONCATENATE(T2130,"-",U2130,"-",C2130)</f>
        <v>PO2-F3-42976</v>
      </c>
      <c r="F2130" s="20" t="s">
        <v>224</v>
      </c>
      <c r="G2130" s="20" t="s">
        <v>278</v>
      </c>
      <c r="J2130" s="21">
        <v>1233</v>
      </c>
      <c r="T2130" s="16" t="s">
        <v>127</v>
      </c>
      <c r="U2130" s="16" t="s">
        <v>182</v>
      </c>
      <c r="AP2130" s="16">
        <f>SUM(AL2130:AN2130)</f>
        <v>0</v>
      </c>
      <c r="AT2130" s="16" t="s">
        <v>285</v>
      </c>
      <c r="AY2130" s="18"/>
      <c r="BG2130" s="23"/>
      <c r="BT2130" s="23"/>
      <c r="CD2130" s="23"/>
      <c r="DF2130" s="16" t="e">
        <f>VLOOKUP(K2130,'[3]RNA Seq summary tables'!$V$3:$V$99,1,FALSE)</f>
        <v>#N/A</v>
      </c>
      <c r="JO2130" s="18"/>
      <c r="JP2130" s="27"/>
      <c r="JQ2130" s="27"/>
    </row>
    <row r="2131" spans="2:288" x14ac:dyDescent="0.2">
      <c r="B2131" s="16">
        <v>2017</v>
      </c>
      <c r="C2131" s="20">
        <v>42977</v>
      </c>
      <c r="D2131" s="20" t="str">
        <f>CONCATENATE(J2131,"-",C2131)</f>
        <v>1233-42977</v>
      </c>
      <c r="E2131" s="20" t="str">
        <f>CONCATENATE(T2131,"-",U2131,"-",C2131)</f>
        <v>PO2-E3-42977</v>
      </c>
      <c r="F2131" s="20" t="s">
        <v>224</v>
      </c>
      <c r="G2131" s="20" t="s">
        <v>278</v>
      </c>
      <c r="J2131" s="21">
        <v>1233</v>
      </c>
      <c r="T2131" s="16" t="s">
        <v>127</v>
      </c>
      <c r="U2131" s="16" t="s">
        <v>225</v>
      </c>
      <c r="AP2131" s="16">
        <f>SUM(AL2131:AN2131)</f>
        <v>0</v>
      </c>
      <c r="AT2131" s="16" t="s">
        <v>285</v>
      </c>
      <c r="AY2131" s="18"/>
      <c r="BG2131" s="23"/>
      <c r="BT2131" s="23"/>
      <c r="CD2131" s="23"/>
      <c r="DF2131" s="16" t="e">
        <f>VLOOKUP(K2131,'[3]RNA Seq summary tables'!$V$3:$V$99,1,FALSE)</f>
        <v>#N/A</v>
      </c>
      <c r="JP2131" s="27"/>
      <c r="JQ2131" s="27"/>
    </row>
    <row r="2132" spans="2:288" x14ac:dyDescent="0.2">
      <c r="B2132" s="16">
        <v>2017</v>
      </c>
      <c r="C2132" s="20">
        <v>42929</v>
      </c>
      <c r="D2132" s="20" t="str">
        <f>CONCATENATE(J2132,"-",C2132)</f>
        <v>1234-42929</v>
      </c>
      <c r="E2132" s="20" t="str">
        <f>CONCATENATE(T2132,"-",U2132,"-",C2132)</f>
        <v>PO2-E4-42929</v>
      </c>
      <c r="F2132" s="20" t="s">
        <v>106</v>
      </c>
      <c r="G2132" s="20" t="s">
        <v>278</v>
      </c>
      <c r="J2132" s="21">
        <v>1234</v>
      </c>
      <c r="T2132" s="16" t="s">
        <v>127</v>
      </c>
      <c r="U2132" s="16" t="s">
        <v>206</v>
      </c>
      <c r="AP2132" s="16">
        <f>SUM(AL2132:AN2132)</f>
        <v>0</v>
      </c>
      <c r="AT2132" s="16" t="s">
        <v>285</v>
      </c>
      <c r="AY2132" s="18"/>
      <c r="BG2132" s="23"/>
      <c r="BT2132" s="23"/>
      <c r="CD2132" s="23"/>
      <c r="DF2132" s="16" t="e">
        <f>VLOOKUP(K2132,'[3]RNA Seq summary tables'!$V$3:$V$99,1,FALSE)</f>
        <v>#N/A</v>
      </c>
      <c r="JP2132" s="27"/>
      <c r="JQ2132" s="27"/>
      <c r="JR2132" s="18"/>
      <c r="JS2132" s="18"/>
      <c r="JT2132" s="18"/>
      <c r="JU2132" s="18"/>
      <c r="JV2132" s="18"/>
      <c r="JW2132" s="18"/>
      <c r="JX2132" s="18"/>
      <c r="JY2132" s="18"/>
      <c r="JZ2132" s="18"/>
      <c r="KA2132" s="18"/>
      <c r="KB2132" s="18"/>
    </row>
    <row r="2133" spans="2:288" x14ac:dyDescent="0.2">
      <c r="B2133" s="16">
        <v>2017</v>
      </c>
      <c r="C2133" s="20">
        <v>42964</v>
      </c>
      <c r="D2133" s="20" t="str">
        <f>CONCATENATE(J2133,"-",C2133)</f>
        <v>1234-42964</v>
      </c>
      <c r="E2133" s="20" t="str">
        <f>CONCATENATE(T2133,"-",U2133,"-",C2133)</f>
        <v>PO2-H2-42964</v>
      </c>
      <c r="F2133" s="20" t="s">
        <v>106</v>
      </c>
      <c r="G2133" s="20" t="s">
        <v>278</v>
      </c>
      <c r="J2133" s="21">
        <v>1234</v>
      </c>
      <c r="T2133" s="16" t="s">
        <v>127</v>
      </c>
      <c r="U2133" s="16" t="s">
        <v>190</v>
      </c>
      <c r="AP2133" s="16">
        <f>SUM(AL2133:AN2133)</f>
        <v>0</v>
      </c>
      <c r="AT2133" s="16" t="s">
        <v>285</v>
      </c>
      <c r="AY2133" s="18"/>
      <c r="BG2133" s="23"/>
      <c r="BT2133" s="23"/>
      <c r="CD2133" s="23"/>
      <c r="DF2133" s="16" t="e">
        <f>VLOOKUP(K2133,'[3]RNA Seq summary tables'!$V$3:$V$99,1,FALSE)</f>
        <v>#N/A</v>
      </c>
      <c r="JO2133" s="27"/>
      <c r="JP2133" s="27"/>
      <c r="JQ2133" s="27"/>
    </row>
    <row r="2134" spans="2:288" x14ac:dyDescent="0.2">
      <c r="B2134" s="16">
        <v>2017</v>
      </c>
      <c r="C2134" s="20">
        <v>42976</v>
      </c>
      <c r="D2134" s="20" t="str">
        <f>CONCATENATE(J2134,"-",C2134)</f>
        <v>1234-42976</v>
      </c>
      <c r="E2134" s="20" t="str">
        <f>CONCATENATE(T2134,"-",U2134,"-",C2134)</f>
        <v>PO2-F1-42976</v>
      </c>
      <c r="F2134" s="20" t="s">
        <v>224</v>
      </c>
      <c r="G2134" s="20" t="s">
        <v>278</v>
      </c>
      <c r="J2134" s="21">
        <v>1234</v>
      </c>
      <c r="T2134" s="16" t="s">
        <v>127</v>
      </c>
      <c r="U2134" s="16" t="s">
        <v>217</v>
      </c>
      <c r="AP2134" s="16">
        <f>SUM(AL2134:AN2134)</f>
        <v>0</v>
      </c>
      <c r="AT2134" s="16" t="s">
        <v>285</v>
      </c>
      <c r="AY2134" s="18"/>
      <c r="BG2134" s="23"/>
      <c r="BT2134" s="23"/>
      <c r="CD2134" s="23"/>
      <c r="DF2134" s="16" t="e">
        <f>VLOOKUP(K2134,'[3]RNA Seq summary tables'!$V$3:$V$99,1,FALSE)</f>
        <v>#N/A</v>
      </c>
      <c r="JO2134" s="18"/>
      <c r="JP2134" s="27"/>
      <c r="JQ2134" s="27"/>
    </row>
    <row r="2135" spans="2:288" x14ac:dyDescent="0.2">
      <c r="B2135" s="16">
        <v>2017</v>
      </c>
      <c r="C2135" s="20">
        <v>42947</v>
      </c>
      <c r="D2135" s="20" t="str">
        <f>CONCATENATE(J2135,"-",C2135)</f>
        <v>1241-42947</v>
      </c>
      <c r="E2135" s="20" t="str">
        <f>CONCATENATE(T2135,"-",U2135,"-",C2135)</f>
        <v>PO2-H2-42947</v>
      </c>
      <c r="F2135" s="20" t="s">
        <v>106</v>
      </c>
      <c r="G2135" s="20" t="s">
        <v>278</v>
      </c>
      <c r="J2135" s="21">
        <v>1241</v>
      </c>
      <c r="T2135" s="16" t="s">
        <v>127</v>
      </c>
      <c r="U2135" s="16" t="s">
        <v>190</v>
      </c>
      <c r="AP2135" s="16">
        <f>SUM(AL2135:AN2135)</f>
        <v>0</v>
      </c>
      <c r="AT2135" s="16" t="s">
        <v>285</v>
      </c>
      <c r="AY2135" s="18"/>
      <c r="BG2135" s="23"/>
      <c r="BT2135" s="23"/>
      <c r="CD2135" s="23"/>
      <c r="DF2135" s="16" t="e">
        <f>VLOOKUP(K2135,'[3]RNA Seq summary tables'!$V$3:$V$99,1,FALSE)</f>
        <v>#N/A</v>
      </c>
      <c r="JO2135" s="27"/>
      <c r="JP2135" s="27"/>
      <c r="JQ2135" s="27"/>
    </row>
    <row r="2136" spans="2:288" x14ac:dyDescent="0.2">
      <c r="B2136" s="16">
        <v>2017</v>
      </c>
      <c r="C2136" s="20">
        <v>42967</v>
      </c>
      <c r="D2136" s="20" t="str">
        <f>CONCATENATE(J2136,"-",C2136)</f>
        <v>1243-42967</v>
      </c>
      <c r="E2136" s="20" t="str">
        <f>CONCATENATE(T2136,"-",U2136,"-",C2136)</f>
        <v>HW2-B1-42967</v>
      </c>
      <c r="F2136" s="20" t="s">
        <v>106</v>
      </c>
      <c r="G2136" s="20" t="s">
        <v>278</v>
      </c>
      <c r="J2136" s="21">
        <v>1243</v>
      </c>
      <c r="T2136" s="16" t="s">
        <v>129</v>
      </c>
      <c r="U2136" s="16" t="s">
        <v>113</v>
      </c>
      <c r="AP2136" s="16">
        <f>SUM(AL2136:AN2136)</f>
        <v>0</v>
      </c>
      <c r="AT2136" s="16" t="s">
        <v>285</v>
      </c>
      <c r="AY2136" s="18"/>
      <c r="BG2136" s="23"/>
      <c r="BT2136" s="23"/>
      <c r="CD2136" s="23"/>
      <c r="DF2136" s="16" t="e">
        <f>VLOOKUP(K2136,'[3]RNA Seq summary tables'!$V$3:$V$99,1,FALSE)</f>
        <v>#N/A</v>
      </c>
      <c r="JO2136" s="27"/>
      <c r="JP2136" s="27"/>
      <c r="JQ2136" s="27"/>
    </row>
    <row r="2137" spans="2:288" x14ac:dyDescent="0.2">
      <c r="B2137" s="16">
        <v>2017</v>
      </c>
      <c r="C2137" s="20">
        <v>42968</v>
      </c>
      <c r="D2137" s="20" t="str">
        <f>CONCATENATE(J2137,"-",C2137)</f>
        <v>1243-42968</v>
      </c>
      <c r="E2137" s="20" t="str">
        <f>CONCATENATE(T2137,"-",U2137,"-",C2137)</f>
        <v>HW2-C1-42968</v>
      </c>
      <c r="F2137" s="20" t="s">
        <v>106</v>
      </c>
      <c r="G2137" s="20" t="s">
        <v>278</v>
      </c>
      <c r="J2137" s="21">
        <v>1243</v>
      </c>
      <c r="T2137" s="16" t="s">
        <v>129</v>
      </c>
      <c r="U2137" s="16" t="s">
        <v>150</v>
      </c>
      <c r="AP2137" s="16">
        <f>SUM(AL2137:AN2137)</f>
        <v>0</v>
      </c>
      <c r="AT2137" s="16" t="s">
        <v>285</v>
      </c>
      <c r="AY2137" s="18"/>
      <c r="BG2137" s="23"/>
      <c r="BT2137" s="23"/>
      <c r="CD2137" s="23"/>
      <c r="DF2137" s="16" t="e">
        <f>VLOOKUP(K2137,'[3]RNA Seq summary tables'!$V$3:$V$99,1,FALSE)</f>
        <v>#N/A</v>
      </c>
      <c r="JO2137" s="27"/>
      <c r="JP2137" s="27"/>
      <c r="JQ2137" s="27"/>
    </row>
    <row r="2138" spans="2:288" x14ac:dyDescent="0.2">
      <c r="B2138" s="16">
        <v>2017</v>
      </c>
      <c r="C2138" s="20">
        <v>42931</v>
      </c>
      <c r="D2138" s="20" t="str">
        <f>CONCATENATE(J2138,"-",C2138)</f>
        <v>1244-42931</v>
      </c>
      <c r="E2138" s="20" t="str">
        <f>CONCATENATE(T2138,"-",U2138,"-",C2138)</f>
        <v>HW2-G1-42931</v>
      </c>
      <c r="F2138" s="20" t="s">
        <v>106</v>
      </c>
      <c r="G2138" s="20" t="s">
        <v>278</v>
      </c>
      <c r="J2138" s="21">
        <v>1244</v>
      </c>
      <c r="T2138" s="16" t="s">
        <v>129</v>
      </c>
      <c r="U2138" s="16" t="s">
        <v>155</v>
      </c>
      <c r="AP2138" s="16">
        <f>SUM(AL2138:AN2138)</f>
        <v>0</v>
      </c>
      <c r="AQ2138" s="18"/>
      <c r="AT2138" s="16" t="s">
        <v>285</v>
      </c>
      <c r="AY2138" s="18"/>
      <c r="BG2138" s="23"/>
      <c r="BT2138" s="23"/>
      <c r="CD2138" s="23"/>
      <c r="DF2138" s="16" t="e">
        <f>VLOOKUP(K2138,'[3]RNA Seq summary tables'!$V$3:$V$99,1,FALSE)</f>
        <v>#N/A</v>
      </c>
      <c r="JO2138" s="27"/>
      <c r="JP2138" s="27"/>
      <c r="JQ2138" s="27"/>
      <c r="JR2138" s="18"/>
      <c r="JS2138" s="18"/>
      <c r="JT2138" s="18"/>
      <c r="JU2138" s="18"/>
      <c r="JV2138" s="18"/>
      <c r="JW2138" s="18"/>
      <c r="JX2138" s="18"/>
      <c r="JY2138" s="18"/>
      <c r="JZ2138" s="18"/>
      <c r="KA2138" s="18"/>
      <c r="KB2138" s="18"/>
    </row>
    <row r="2139" spans="2:288" x14ac:dyDescent="0.2">
      <c r="B2139" s="16">
        <v>2017</v>
      </c>
      <c r="C2139" s="20">
        <v>42932</v>
      </c>
      <c r="D2139" s="20" t="str">
        <f>CONCATENATE(J2139,"-",C2139)</f>
        <v>1244-42932</v>
      </c>
      <c r="E2139" s="20" t="str">
        <f>CONCATENATE(T2139,"-",U2139,"-",C2139)</f>
        <v>HW2-H1-42932</v>
      </c>
      <c r="F2139" s="20" t="s">
        <v>106</v>
      </c>
      <c r="G2139" s="20" t="s">
        <v>278</v>
      </c>
      <c r="J2139" s="21">
        <v>1244</v>
      </c>
      <c r="T2139" s="16" t="s">
        <v>129</v>
      </c>
      <c r="U2139" s="16" t="s">
        <v>191</v>
      </c>
      <c r="AP2139" s="16">
        <f>SUM(AL2139:AN2139)</f>
        <v>0</v>
      </c>
      <c r="AT2139" s="16" t="s">
        <v>285</v>
      </c>
      <c r="AY2139" s="18"/>
      <c r="BG2139" s="23"/>
      <c r="BT2139" s="23"/>
      <c r="CD2139" s="23"/>
      <c r="DF2139" s="16" t="e">
        <f>VLOOKUP(K2139,'[3]RNA Seq summary tables'!$V$3:$V$99,1,FALSE)</f>
        <v>#N/A</v>
      </c>
      <c r="JO2139" s="27"/>
      <c r="JP2139" s="27"/>
      <c r="JQ2139" s="27"/>
      <c r="JR2139" s="27"/>
      <c r="JS2139" s="27"/>
      <c r="JT2139" s="27"/>
      <c r="JU2139" s="27"/>
      <c r="JV2139" s="27"/>
      <c r="JW2139" s="27"/>
      <c r="JX2139" s="27"/>
      <c r="JY2139" s="27"/>
      <c r="JZ2139" s="27"/>
      <c r="KA2139" s="27"/>
      <c r="KB2139" s="27"/>
    </row>
    <row r="2140" spans="2:288" x14ac:dyDescent="0.2">
      <c r="B2140" s="16">
        <v>2017</v>
      </c>
      <c r="C2140" s="20">
        <v>42949</v>
      </c>
      <c r="D2140" s="20" t="str">
        <f>CONCATENATE(J2140,"-",C2140)</f>
        <v>1244-42949</v>
      </c>
      <c r="E2140" s="20" t="str">
        <f>CONCATENATE(T2140,"-",U2140,"-",C2140)</f>
        <v>HW2-G2-42949</v>
      </c>
      <c r="F2140" s="20" t="s">
        <v>106</v>
      </c>
      <c r="G2140" s="20" t="s">
        <v>278</v>
      </c>
      <c r="J2140" s="21">
        <v>1244</v>
      </c>
      <c r="T2140" s="16" t="s">
        <v>129</v>
      </c>
      <c r="U2140" s="16" t="s">
        <v>128</v>
      </c>
      <c r="AP2140" s="16">
        <f>SUM(AL2140:AN2140)</f>
        <v>0</v>
      </c>
      <c r="AT2140" s="16" t="s">
        <v>285</v>
      </c>
      <c r="AY2140" s="18"/>
      <c r="BG2140" s="23"/>
      <c r="BT2140" s="23"/>
      <c r="CD2140" s="23"/>
      <c r="DF2140" s="16" t="e">
        <f>VLOOKUP(K2140,'[3]RNA Seq summary tables'!$V$3:$V$99,1,FALSE)</f>
        <v>#N/A</v>
      </c>
      <c r="JO2140" s="27"/>
      <c r="JP2140" s="27"/>
      <c r="JQ2140" s="27"/>
    </row>
    <row r="2141" spans="2:288" x14ac:dyDescent="0.2">
      <c r="B2141" s="16">
        <v>2017</v>
      </c>
      <c r="C2141" s="20">
        <v>42950</v>
      </c>
      <c r="D2141" s="20" t="str">
        <f>CONCATENATE(J2141,"-",C2141)</f>
        <v>1244-42950</v>
      </c>
      <c r="E2141" s="20" t="str">
        <f>CONCATENATE(T2141,"-",U2141,"-",C2141)</f>
        <v>HW2-G2-42950</v>
      </c>
      <c r="F2141" s="20" t="s">
        <v>106</v>
      </c>
      <c r="G2141" s="20" t="s">
        <v>278</v>
      </c>
      <c r="J2141" s="21">
        <v>1244</v>
      </c>
      <c r="T2141" s="16" t="s">
        <v>129</v>
      </c>
      <c r="U2141" s="16" t="s">
        <v>128</v>
      </c>
      <c r="AP2141" s="16">
        <f>SUM(AL2141:AN2141)</f>
        <v>0</v>
      </c>
      <c r="AT2141" s="16" t="s">
        <v>285</v>
      </c>
      <c r="AY2141" s="18"/>
      <c r="BG2141" s="23"/>
      <c r="BT2141" s="23"/>
      <c r="CD2141" s="23"/>
      <c r="DF2141" s="16" t="e">
        <f>VLOOKUP(K2141,'[3]RNA Seq summary tables'!$V$3:$V$99,1,FALSE)</f>
        <v>#N/A</v>
      </c>
      <c r="JO2141" s="27"/>
      <c r="JP2141" s="27"/>
      <c r="JQ2141" s="27"/>
    </row>
    <row r="2142" spans="2:288" x14ac:dyDescent="0.2">
      <c r="B2142" s="16">
        <v>2017</v>
      </c>
      <c r="C2142" s="20">
        <v>42967</v>
      </c>
      <c r="D2142" s="20" t="str">
        <f>CONCATENATE(J2142,"-",C2142)</f>
        <v>1244-42967</v>
      </c>
      <c r="E2142" s="20" t="str">
        <f>CONCATENATE(T2142,"-",U2142,"-",C2142)</f>
        <v>HW2-E2-42967</v>
      </c>
      <c r="F2142" s="20" t="s">
        <v>106</v>
      </c>
      <c r="G2142" s="20" t="s">
        <v>278</v>
      </c>
      <c r="J2142" s="21">
        <v>1244</v>
      </c>
      <c r="T2142" s="16" t="s">
        <v>129</v>
      </c>
      <c r="U2142" s="16" t="s">
        <v>136</v>
      </c>
      <c r="AP2142" s="16">
        <f>SUM(AL2142:AN2142)</f>
        <v>0</v>
      </c>
      <c r="AT2142" s="16" t="s">
        <v>285</v>
      </c>
      <c r="AY2142" s="18"/>
      <c r="BG2142" s="23"/>
      <c r="BT2142" s="23"/>
      <c r="CD2142" s="23"/>
      <c r="DF2142" s="16" t="e">
        <f>VLOOKUP(K2142,'[3]RNA Seq summary tables'!$V$3:$V$99,1,FALSE)</f>
        <v>#N/A</v>
      </c>
      <c r="JO2142" s="27"/>
      <c r="JP2142" s="27"/>
      <c r="JQ2142" s="27"/>
    </row>
    <row r="2143" spans="2:288" x14ac:dyDescent="0.2">
      <c r="B2143" s="16">
        <v>2017</v>
      </c>
      <c r="C2143" s="20">
        <v>42968</v>
      </c>
      <c r="D2143" s="20" t="str">
        <f>CONCATENATE(J2143,"-",C2143)</f>
        <v>1244-42968</v>
      </c>
      <c r="E2143" s="20" t="str">
        <f>CONCATENATE(T2143,"-",U2143,"-",C2143)</f>
        <v>HW2-G1-42968</v>
      </c>
      <c r="F2143" s="20" t="s">
        <v>106</v>
      </c>
      <c r="G2143" s="20" t="s">
        <v>278</v>
      </c>
      <c r="J2143" s="21">
        <v>1244</v>
      </c>
      <c r="T2143" s="16" t="s">
        <v>129</v>
      </c>
      <c r="U2143" s="16" t="s">
        <v>155</v>
      </c>
      <c r="AP2143" s="16">
        <f>SUM(AL2143:AN2143)</f>
        <v>0</v>
      </c>
      <c r="AT2143" s="16" t="s">
        <v>285</v>
      </c>
      <c r="AY2143" s="18"/>
      <c r="BG2143" s="23"/>
      <c r="BT2143" s="23"/>
      <c r="CD2143" s="23"/>
      <c r="DF2143" s="16" t="e">
        <f>VLOOKUP(K2143,'[3]RNA Seq summary tables'!$V$3:$V$99,1,FALSE)</f>
        <v>#N/A</v>
      </c>
      <c r="JO2143" s="27"/>
      <c r="JP2143" s="27"/>
      <c r="JQ2143" s="27"/>
    </row>
    <row r="2144" spans="2:288" x14ac:dyDescent="0.2">
      <c r="B2144" s="16">
        <v>2017</v>
      </c>
      <c r="C2144" s="20">
        <v>42949</v>
      </c>
      <c r="D2144" s="20" t="str">
        <f>CONCATENATE(J2144,"-",C2144)</f>
        <v>1246-42949</v>
      </c>
      <c r="E2144" s="20" t="str">
        <f>CONCATENATE(T2144,"-",U2144,"-",C2144)</f>
        <v>HW1-F7-42949</v>
      </c>
      <c r="F2144" s="20" t="s">
        <v>106</v>
      </c>
      <c r="G2144" s="20" t="s">
        <v>278</v>
      </c>
      <c r="J2144" s="21">
        <v>1246</v>
      </c>
      <c r="T2144" s="16" t="s">
        <v>133</v>
      </c>
      <c r="U2144" s="16" t="s">
        <v>189</v>
      </c>
      <c r="AP2144" s="16">
        <f>SUM(AL2144:AN2144)</f>
        <v>0</v>
      </c>
      <c r="AT2144" s="16" t="s">
        <v>285</v>
      </c>
      <c r="AY2144" s="18"/>
      <c r="BG2144" s="23"/>
      <c r="BT2144" s="23"/>
      <c r="CD2144" s="23"/>
      <c r="DF2144" s="16" t="e">
        <f>VLOOKUP(K2144,'[3]RNA Seq summary tables'!$V$3:$V$99,1,FALSE)</f>
        <v>#N/A</v>
      </c>
      <c r="JO2144" s="27"/>
      <c r="JP2144" s="27"/>
      <c r="JQ2144" s="27"/>
    </row>
    <row r="2145" spans="2:288" x14ac:dyDescent="0.2">
      <c r="B2145" s="16">
        <v>2017</v>
      </c>
      <c r="C2145" s="20">
        <v>42932</v>
      </c>
      <c r="D2145" s="20" t="str">
        <f>CONCATENATE(J2145,"-",C2145)</f>
        <v>1247-42932</v>
      </c>
      <c r="E2145" s="20" t="str">
        <f>CONCATENATE(T2145,"-",U2145,"-",C2145)</f>
        <v>HW1-H8-42932</v>
      </c>
      <c r="F2145" s="20" t="s">
        <v>106</v>
      </c>
      <c r="G2145" s="20" t="s">
        <v>278</v>
      </c>
      <c r="J2145" s="21">
        <v>1247</v>
      </c>
      <c r="T2145" s="16" t="s">
        <v>133</v>
      </c>
      <c r="U2145" s="16" t="s">
        <v>152</v>
      </c>
      <c r="AP2145" s="16">
        <f>SUM(AL2145:AN2145)</f>
        <v>0</v>
      </c>
      <c r="AT2145" s="16" t="s">
        <v>285</v>
      </c>
      <c r="AY2145" s="18"/>
      <c r="BG2145" s="23"/>
      <c r="BT2145" s="23"/>
      <c r="CD2145" s="23"/>
      <c r="DF2145" s="16" t="e">
        <f>VLOOKUP(K2145,'[3]RNA Seq summary tables'!$V$3:$V$99,1,FALSE)</f>
        <v>#N/A</v>
      </c>
      <c r="JO2145" s="27"/>
      <c r="JP2145" s="27"/>
      <c r="JQ2145" s="27"/>
      <c r="JR2145" s="27"/>
      <c r="JS2145" s="27"/>
      <c r="JT2145" s="27"/>
      <c r="JU2145" s="27"/>
      <c r="JV2145" s="27"/>
      <c r="JW2145" s="27"/>
      <c r="JX2145" s="27"/>
      <c r="JY2145" s="27"/>
      <c r="JZ2145" s="27"/>
      <c r="KA2145" s="27"/>
      <c r="KB2145" s="27"/>
    </row>
    <row r="2146" spans="2:288" x14ac:dyDescent="0.2">
      <c r="B2146" s="16">
        <v>2017</v>
      </c>
      <c r="C2146" s="20">
        <v>42967</v>
      </c>
      <c r="D2146" s="20" t="str">
        <f>CONCATENATE(J2146,"-",C2146)</f>
        <v>1247-42967</v>
      </c>
      <c r="E2146" s="20" t="str">
        <f>CONCATENATE(T2146,"-",U2146,"-",C2146)</f>
        <v>HW1-B3-42967</v>
      </c>
      <c r="F2146" s="20" t="s">
        <v>106</v>
      </c>
      <c r="G2146" s="20" t="s">
        <v>278</v>
      </c>
      <c r="J2146" s="21">
        <v>1247</v>
      </c>
      <c r="T2146" s="16" t="s">
        <v>133</v>
      </c>
      <c r="U2146" s="16" t="s">
        <v>131</v>
      </c>
      <c r="AP2146" s="16">
        <f>SUM(AL2146:AN2146)</f>
        <v>0</v>
      </c>
      <c r="AT2146" s="16" t="s">
        <v>285</v>
      </c>
      <c r="AY2146" s="18"/>
      <c r="BG2146" s="23"/>
      <c r="BT2146" s="23"/>
      <c r="CD2146" s="23"/>
      <c r="DF2146" s="16" t="e">
        <f>VLOOKUP(K2146,'[3]RNA Seq summary tables'!$V$3:$V$99,1,FALSE)</f>
        <v>#N/A</v>
      </c>
      <c r="JO2146" s="27"/>
      <c r="JP2146" s="27"/>
      <c r="JQ2146" s="27"/>
    </row>
    <row r="2147" spans="2:288" x14ac:dyDescent="0.2">
      <c r="B2147" s="16">
        <v>2017</v>
      </c>
      <c r="C2147" s="20">
        <v>42932</v>
      </c>
      <c r="D2147" s="20" t="str">
        <f>CONCATENATE(J2147,"-",C2147)</f>
        <v>1249-42932</v>
      </c>
      <c r="E2147" s="20" t="str">
        <f>CONCATENATE(T2147,"-",U2147,"-",C2147)</f>
        <v>HW2-A4-42932</v>
      </c>
      <c r="F2147" s="20" t="s">
        <v>106</v>
      </c>
      <c r="G2147" s="20" t="s">
        <v>278</v>
      </c>
      <c r="J2147" s="21">
        <v>1249</v>
      </c>
      <c r="T2147" s="16" t="s">
        <v>129</v>
      </c>
      <c r="U2147" s="16" t="s">
        <v>134</v>
      </c>
      <c r="AP2147" s="16">
        <f>SUM(AL2147:AN2147)</f>
        <v>0</v>
      </c>
      <c r="AT2147" s="16" t="s">
        <v>285</v>
      </c>
      <c r="AY2147" s="18"/>
      <c r="BG2147" s="23"/>
      <c r="BT2147" s="23"/>
      <c r="CD2147" s="23"/>
      <c r="DF2147" s="16" t="e">
        <f>VLOOKUP(K2147,'[3]RNA Seq summary tables'!$V$3:$V$99,1,FALSE)</f>
        <v>#N/A</v>
      </c>
      <c r="JO2147" s="18"/>
      <c r="JP2147" s="27"/>
      <c r="JQ2147" s="27"/>
      <c r="JR2147" s="27"/>
      <c r="JS2147" s="27"/>
      <c r="JT2147" s="27"/>
      <c r="JU2147" s="27"/>
      <c r="JV2147" s="27"/>
      <c r="JW2147" s="27"/>
      <c r="JX2147" s="27"/>
      <c r="JY2147" s="27"/>
      <c r="JZ2147" s="27"/>
      <c r="KA2147" s="27"/>
      <c r="KB2147" s="27"/>
    </row>
    <row r="2148" spans="2:288" x14ac:dyDescent="0.2">
      <c r="B2148" s="16">
        <v>2017</v>
      </c>
      <c r="C2148" s="20">
        <v>42932</v>
      </c>
      <c r="D2148" s="20" t="str">
        <f>CONCATENATE(J2148,"-",C2148)</f>
        <v>1250-42932</v>
      </c>
      <c r="E2148" s="20" t="str">
        <f>CONCATENATE(T2148,"-",U2148,"-",C2148)</f>
        <v>HW2-B7-42932</v>
      </c>
      <c r="F2148" s="20" t="s">
        <v>106</v>
      </c>
      <c r="G2148" s="20" t="s">
        <v>278</v>
      </c>
      <c r="J2148" s="21">
        <v>1250</v>
      </c>
      <c r="T2148" s="16" t="s">
        <v>129</v>
      </c>
      <c r="U2148" s="16" t="s">
        <v>168</v>
      </c>
      <c r="AP2148" s="16">
        <f>SUM(AL2148:AN2148)</f>
        <v>0</v>
      </c>
      <c r="AT2148" s="16" t="s">
        <v>285</v>
      </c>
      <c r="AY2148" s="18"/>
      <c r="BG2148" s="23"/>
      <c r="BT2148" s="23"/>
      <c r="CD2148" s="23"/>
      <c r="DF2148" s="16" t="e">
        <f>VLOOKUP(K2148,'[3]RNA Seq summary tables'!$V$3:$V$99,1,FALSE)</f>
        <v>#N/A</v>
      </c>
      <c r="JO2148" s="27"/>
      <c r="JP2148" s="27"/>
      <c r="JQ2148" s="27"/>
      <c r="JR2148" s="12"/>
      <c r="JS2148" s="12"/>
      <c r="JT2148" s="12"/>
      <c r="JU2148" s="12"/>
      <c r="JV2148" s="12"/>
      <c r="JW2148" s="12"/>
      <c r="JX2148" s="12"/>
      <c r="JY2148" s="12"/>
      <c r="JZ2148" s="12"/>
      <c r="KA2148" s="12"/>
      <c r="KB2148" s="12"/>
    </row>
    <row r="2149" spans="2:288" x14ac:dyDescent="0.2">
      <c r="B2149" s="16">
        <v>2017</v>
      </c>
      <c r="C2149" s="20">
        <v>42949</v>
      </c>
      <c r="D2149" s="20" t="str">
        <f>CONCATENATE(J2149,"-",C2149)</f>
        <v>1250-42949</v>
      </c>
      <c r="E2149" s="20" t="str">
        <f>CONCATENATE(T2149,"-",U2149,"-",C2149)</f>
        <v>HW2-D6-42949</v>
      </c>
      <c r="F2149" s="20" t="s">
        <v>106</v>
      </c>
      <c r="G2149" s="20" t="s">
        <v>278</v>
      </c>
      <c r="J2149" s="21">
        <v>1250</v>
      </c>
      <c r="T2149" s="16" t="s">
        <v>129</v>
      </c>
      <c r="U2149" s="16" t="s">
        <v>186</v>
      </c>
      <c r="AP2149" s="16">
        <f>SUM(AL2149:AN2149)</f>
        <v>0</v>
      </c>
      <c r="AT2149" s="16" t="s">
        <v>285</v>
      </c>
      <c r="AY2149" s="18"/>
      <c r="BG2149" s="23"/>
      <c r="BT2149" s="23"/>
      <c r="CD2149" s="23"/>
      <c r="DF2149" s="16" t="e">
        <f>VLOOKUP(K2149,'[3]RNA Seq summary tables'!$V$3:$V$99,1,FALSE)</f>
        <v>#N/A</v>
      </c>
      <c r="JO2149" s="27"/>
      <c r="JP2149" s="18"/>
      <c r="JQ2149" s="18"/>
    </row>
    <row r="2150" spans="2:288" x14ac:dyDescent="0.2">
      <c r="B2150" s="16">
        <v>2017</v>
      </c>
      <c r="C2150" s="20">
        <v>42937</v>
      </c>
      <c r="D2150" s="20" t="str">
        <f>CONCATENATE(J2150,"-",C2150)</f>
        <v>1254-42937</v>
      </c>
      <c r="E2150" s="20" t="str">
        <f>CONCATENATE(T2150,"-",U2150,"-",C2150)</f>
        <v>BC2-B2-42937</v>
      </c>
      <c r="F2150" s="20" t="s">
        <v>106</v>
      </c>
      <c r="G2150" s="20" t="s">
        <v>278</v>
      </c>
      <c r="J2150" s="21">
        <v>1254</v>
      </c>
      <c r="T2150" s="16" t="s">
        <v>154</v>
      </c>
      <c r="U2150" s="16" t="s">
        <v>130</v>
      </c>
      <c r="AP2150" s="16">
        <f>SUM(AL2150:AN2150)</f>
        <v>0</v>
      </c>
      <c r="AT2150" s="16" t="s">
        <v>285</v>
      </c>
      <c r="AY2150" s="18"/>
      <c r="BG2150" s="23"/>
      <c r="BT2150" s="23"/>
      <c r="CD2150" s="23"/>
      <c r="DF2150" s="16" t="e">
        <f>VLOOKUP(K2150,'[3]RNA Seq summary tables'!$V$3:$V$99,1,FALSE)</f>
        <v>#N/A</v>
      </c>
      <c r="JO2150" s="27"/>
      <c r="JP2150" s="27"/>
      <c r="JQ2150" s="27"/>
      <c r="JR2150" s="18"/>
      <c r="JS2150" s="18"/>
      <c r="JT2150" s="18"/>
      <c r="JU2150" s="18"/>
      <c r="JV2150" s="18"/>
      <c r="JW2150" s="18"/>
      <c r="JX2150" s="18"/>
      <c r="JY2150" s="18"/>
      <c r="JZ2150" s="18"/>
      <c r="KA2150" s="18"/>
      <c r="KB2150" s="18"/>
    </row>
    <row r="2151" spans="2:288" x14ac:dyDescent="0.2">
      <c r="B2151" s="16">
        <v>2017</v>
      </c>
      <c r="C2151" s="20">
        <v>42937</v>
      </c>
      <c r="D2151" s="20" t="str">
        <f>CONCATENATE(J2151,"-",C2151)</f>
        <v>1255-42937</v>
      </c>
      <c r="E2151" s="20" t="str">
        <f>CONCATENATE(T2151,"-",U2151,"-",C2151)</f>
        <v>BC1-B5-42937</v>
      </c>
      <c r="F2151" s="20" t="s">
        <v>106</v>
      </c>
      <c r="G2151" s="20" t="s">
        <v>278</v>
      </c>
      <c r="J2151" s="21">
        <v>1255</v>
      </c>
      <c r="T2151" s="16" t="s">
        <v>159</v>
      </c>
      <c r="U2151" s="16" t="s">
        <v>160</v>
      </c>
      <c r="AP2151" s="16">
        <f>SUM(AL2151:AN2151)</f>
        <v>0</v>
      </c>
      <c r="AT2151" s="16" t="s">
        <v>285</v>
      </c>
      <c r="AY2151" s="18"/>
      <c r="BG2151" s="23"/>
      <c r="BT2151" s="23"/>
      <c r="CD2151" s="23"/>
      <c r="DF2151" s="16" t="e">
        <f>VLOOKUP(K2151,'[3]RNA Seq summary tables'!$V$3:$V$99,1,FALSE)</f>
        <v>#N/A</v>
      </c>
      <c r="JO2151" s="27"/>
      <c r="JP2151" s="27"/>
      <c r="JQ2151" s="27"/>
      <c r="JR2151" s="27"/>
      <c r="JS2151" s="27"/>
      <c r="JT2151" s="27"/>
      <c r="JU2151" s="27"/>
      <c r="JV2151" s="27"/>
      <c r="JW2151" s="27"/>
      <c r="JX2151" s="27"/>
      <c r="JY2151" s="27"/>
      <c r="JZ2151" s="27"/>
      <c r="KA2151" s="27"/>
      <c r="KB2151" s="27"/>
    </row>
    <row r="2152" spans="2:288" x14ac:dyDescent="0.2">
      <c r="B2152" s="16">
        <v>2017</v>
      </c>
      <c r="C2152" s="20">
        <v>42938</v>
      </c>
      <c r="D2152" s="20" t="str">
        <f>CONCATENATE(J2152,"-",C2152)</f>
        <v>1255-42938</v>
      </c>
      <c r="E2152" s="20" t="str">
        <f>CONCATENATE(T2152,"-",U2152,"-",C2152)</f>
        <v>BC1-C5-42938</v>
      </c>
      <c r="F2152" s="20" t="s">
        <v>106</v>
      </c>
      <c r="G2152" s="20" t="s">
        <v>278</v>
      </c>
      <c r="J2152" s="21">
        <v>1255</v>
      </c>
      <c r="T2152" s="16" t="s">
        <v>159</v>
      </c>
      <c r="U2152" s="16" t="s">
        <v>172</v>
      </c>
      <c r="AP2152" s="16">
        <f>SUM(AL2152:AN2152)</f>
        <v>0</v>
      </c>
      <c r="AT2152" s="16" t="s">
        <v>285</v>
      </c>
      <c r="AY2152" s="18"/>
      <c r="BG2152" s="23"/>
      <c r="BT2152" s="23"/>
      <c r="CD2152" s="23"/>
      <c r="DF2152" s="16" t="e">
        <f>VLOOKUP(K2152,'[3]RNA Seq summary tables'!$V$3:$V$99,1,FALSE)</f>
        <v>#N/A</v>
      </c>
      <c r="JO2152" s="27"/>
      <c r="JP2152" s="18"/>
      <c r="JQ2152" s="18"/>
      <c r="JR2152" s="18"/>
      <c r="JS2152" s="18"/>
      <c r="JT2152" s="18"/>
      <c r="JU2152" s="18"/>
      <c r="JV2152" s="18"/>
      <c r="JW2152" s="18"/>
      <c r="JX2152" s="18"/>
      <c r="JY2152" s="18"/>
      <c r="JZ2152" s="18"/>
      <c r="KA2152" s="18"/>
      <c r="KB2152" s="18"/>
    </row>
    <row r="2153" spans="2:288" x14ac:dyDescent="0.2">
      <c r="B2153" s="16">
        <v>2017</v>
      </c>
      <c r="C2153" s="43">
        <v>42956</v>
      </c>
      <c r="D2153" s="20" t="str">
        <f>CONCATENATE(J2153,"-",C2153)</f>
        <v>1255-42956</v>
      </c>
      <c r="E2153" s="20" t="str">
        <f>CONCATENATE(T2153,"-",U2153,"-",C2153)</f>
        <v>BC1-C3-42956</v>
      </c>
      <c r="F2153" s="20" t="s">
        <v>106</v>
      </c>
      <c r="G2153" s="43" t="s">
        <v>278</v>
      </c>
      <c r="H2153" s="23"/>
      <c r="J2153" s="15">
        <v>1255</v>
      </c>
      <c r="K2153" s="15"/>
      <c r="P2153" s="23"/>
      <c r="R2153" s="23"/>
      <c r="S2153" s="23"/>
      <c r="T2153" s="23" t="s">
        <v>159</v>
      </c>
      <c r="U2153" s="23" t="s">
        <v>237</v>
      </c>
      <c r="V2153" s="23"/>
      <c r="X2153" s="23"/>
      <c r="Y2153" s="23"/>
      <c r="Z2153" s="23"/>
      <c r="AA2153" s="23"/>
      <c r="AB2153" s="23"/>
      <c r="AC2153" s="23"/>
      <c r="AD2153" s="23"/>
      <c r="AE2153" s="23"/>
      <c r="AF2153" s="23"/>
      <c r="AG2153" s="23"/>
      <c r="AH2153" s="23"/>
      <c r="AI2153" s="23"/>
      <c r="AJ2153" s="23"/>
      <c r="AK2153" s="23"/>
      <c r="AL2153" s="23"/>
      <c r="AM2153" s="23"/>
      <c r="AN2153" s="23"/>
      <c r="AO2153" s="23"/>
      <c r="AP2153" s="23">
        <f>SUM(AL2153:AN2153)</f>
        <v>0</v>
      </c>
      <c r="AQ2153" s="23"/>
      <c r="AR2153" s="23"/>
      <c r="AS2153" s="23"/>
      <c r="AT2153" s="23" t="s">
        <v>285</v>
      </c>
      <c r="AU2153" s="23"/>
      <c r="AV2153" s="23"/>
      <c r="AW2153" s="23"/>
      <c r="AX2153" s="23"/>
      <c r="AY2153" s="25"/>
      <c r="BA2153" s="23"/>
      <c r="BB2153" s="23"/>
      <c r="BD2153" s="23"/>
      <c r="BE2153" s="23"/>
      <c r="BG2153" s="23"/>
      <c r="BH2153" s="23"/>
      <c r="BJ2153" s="23"/>
      <c r="BK2153" s="23"/>
      <c r="BS2153" s="23"/>
      <c r="BT2153" s="23"/>
      <c r="BV2153" s="23"/>
      <c r="BY2153" s="23"/>
      <c r="CB2153" s="23"/>
      <c r="CC2153" s="23"/>
      <c r="CD2153" s="23"/>
      <c r="CE2153" s="23"/>
      <c r="CF2153" s="23"/>
      <c r="CG2153" s="23"/>
      <c r="CH2153" s="23"/>
      <c r="CI2153" s="23"/>
      <c r="CJ2153" s="23"/>
      <c r="CK2153" s="23"/>
      <c r="CL2153" s="23"/>
      <c r="CM2153" s="23"/>
      <c r="CN2153" s="23"/>
      <c r="CO2153" s="23"/>
      <c r="CP2153" s="23"/>
      <c r="CQ2153" s="23"/>
      <c r="CR2153" s="23"/>
      <c r="CV2153" s="23"/>
      <c r="CX2153" s="23"/>
      <c r="CY2153" s="23"/>
      <c r="CZ2153" s="23"/>
      <c r="DA2153" s="23"/>
      <c r="DB2153" s="23"/>
      <c r="DC2153" s="23"/>
      <c r="DD2153" s="23"/>
      <c r="DE2153" s="23"/>
      <c r="DF2153" s="16" t="e">
        <f>VLOOKUP(K2153,'[3]RNA Seq summary tables'!$V$3:$V$99,1,FALSE)</f>
        <v>#N/A</v>
      </c>
      <c r="DI2153" s="23"/>
      <c r="DJ2153" s="23"/>
      <c r="DK2153" s="23"/>
      <c r="DL2153" s="23"/>
      <c r="DM2153" s="23"/>
      <c r="DN2153" s="23"/>
      <c r="DO2153" s="23"/>
      <c r="DP2153" s="23"/>
      <c r="DQ2153" s="23"/>
      <c r="DR2153" s="23"/>
      <c r="DS2153" s="23"/>
      <c r="DT2153" s="25"/>
      <c r="DU2153" s="25"/>
      <c r="DV2153" s="25"/>
      <c r="DW2153" s="25"/>
      <c r="DX2153" s="25"/>
      <c r="DY2153" s="25"/>
      <c r="DZ2153" s="25"/>
      <c r="EA2153" s="25"/>
      <c r="EB2153" s="25"/>
      <c r="EC2153" s="25"/>
      <c r="ED2153" s="25"/>
      <c r="EE2153" s="25"/>
      <c r="EF2153" s="25"/>
      <c r="EG2153" s="25"/>
      <c r="EH2153" s="25"/>
      <c r="EI2153" s="25"/>
      <c r="EJ2153" s="25"/>
      <c r="EK2153" s="25"/>
      <c r="EL2153" s="25"/>
      <c r="EM2153" s="25"/>
      <c r="EN2153" s="25"/>
      <c r="EO2153" s="25"/>
      <c r="EP2153" s="25"/>
      <c r="EQ2153" s="25"/>
      <c r="ER2153" s="25"/>
      <c r="ES2153" s="25"/>
      <c r="ET2153" s="25"/>
      <c r="EU2153" s="25"/>
      <c r="EV2153" s="25"/>
      <c r="EW2153" s="25"/>
      <c r="EX2153" s="25"/>
      <c r="EY2153" s="25"/>
      <c r="EZ2153" s="25"/>
      <c r="FA2153" s="25"/>
      <c r="FB2153" s="25"/>
      <c r="FC2153" s="25"/>
      <c r="FD2153" s="25"/>
      <c r="FE2153" s="25"/>
      <c r="FF2153" s="25"/>
      <c r="FG2153" s="25"/>
      <c r="FH2153" s="25"/>
      <c r="FI2153" s="25"/>
      <c r="FJ2153" s="25"/>
      <c r="FK2153" s="25"/>
      <c r="FL2153" s="25"/>
      <c r="FM2153" s="25"/>
      <c r="FN2153" s="25"/>
      <c r="FO2153" s="25"/>
      <c r="FP2153" s="25"/>
      <c r="FQ2153" s="25"/>
      <c r="FR2153" s="25"/>
      <c r="FS2153" s="25"/>
      <c r="FT2153" s="25"/>
      <c r="FU2153" s="25"/>
      <c r="FV2153" s="25"/>
      <c r="FW2153" s="25"/>
      <c r="FX2153" s="25"/>
      <c r="FY2153" s="25"/>
      <c r="FZ2153" s="25"/>
      <c r="GA2153" s="25"/>
      <c r="GB2153" s="25"/>
      <c r="GC2153" s="25"/>
      <c r="GD2153" s="25"/>
      <c r="GE2153" s="25"/>
      <c r="GF2153" s="25"/>
      <c r="GG2153" s="25"/>
      <c r="GH2153" s="25"/>
      <c r="GI2153" s="25"/>
      <c r="GJ2153" s="25"/>
      <c r="GK2153" s="25"/>
      <c r="GL2153" s="25"/>
      <c r="GM2153" s="25"/>
      <c r="GN2153" s="25"/>
      <c r="GO2153" s="25"/>
      <c r="GP2153" s="25"/>
      <c r="GQ2153" s="25"/>
      <c r="GR2153" s="25"/>
      <c r="GS2153" s="25"/>
      <c r="GT2153" s="25"/>
      <c r="GU2153" s="25"/>
      <c r="GV2153" s="25"/>
      <c r="GW2153" s="25"/>
      <c r="GX2153" s="25"/>
      <c r="GY2153" s="25"/>
      <c r="GZ2153" s="25"/>
      <c r="HA2153" s="25"/>
      <c r="HB2153" s="25"/>
      <c r="HC2153" s="25"/>
      <c r="HD2153" s="25"/>
      <c r="HE2153" s="25"/>
      <c r="HF2153" s="25"/>
      <c r="HG2153" s="25"/>
      <c r="HH2153" s="25"/>
      <c r="HI2153" s="25"/>
      <c r="HJ2153" s="25"/>
      <c r="HK2153" s="25"/>
      <c r="HL2153" s="25"/>
      <c r="HM2153" s="25"/>
      <c r="HN2153" s="25"/>
      <c r="HO2153" s="25"/>
      <c r="HP2153" s="25"/>
      <c r="HQ2153" s="25"/>
      <c r="HR2153" s="25"/>
      <c r="HS2153" s="25"/>
      <c r="HT2153" s="25"/>
      <c r="HU2153" s="25"/>
      <c r="HV2153" s="25"/>
      <c r="HW2153" s="25"/>
      <c r="HX2153" s="25"/>
      <c r="HY2153" s="25"/>
      <c r="HZ2153" s="25"/>
      <c r="IA2153" s="25"/>
      <c r="IB2153" s="25"/>
      <c r="IC2153" s="25"/>
      <c r="ID2153" s="25"/>
      <c r="IE2153" s="25"/>
      <c r="IF2153" s="25"/>
      <c r="IG2153" s="25"/>
      <c r="IH2153" s="25"/>
      <c r="II2153" s="25"/>
      <c r="IJ2153" s="25"/>
      <c r="IK2153" s="25"/>
      <c r="IL2153" s="25"/>
      <c r="IM2153" s="25"/>
      <c r="IN2153" s="25"/>
      <c r="IO2153" s="25"/>
      <c r="IP2153" s="25"/>
      <c r="IQ2153" s="25"/>
      <c r="IR2153" s="25"/>
      <c r="IS2153" s="25"/>
      <c r="IT2153" s="25"/>
      <c r="IU2153" s="25"/>
      <c r="IV2153" s="25"/>
      <c r="IW2153" s="25"/>
      <c r="IX2153" s="25"/>
      <c r="IY2153" s="25"/>
      <c r="IZ2153" s="25"/>
      <c r="JA2153" s="25"/>
      <c r="JB2153" s="25"/>
      <c r="JC2153" s="25"/>
      <c r="JD2153" s="25"/>
      <c r="JE2153" s="25"/>
      <c r="JF2153" s="25"/>
      <c r="JG2153" s="25"/>
      <c r="JH2153" s="25"/>
      <c r="JI2153" s="25"/>
      <c r="JJ2153" s="25"/>
      <c r="JK2153" s="25"/>
      <c r="JL2153" s="25"/>
      <c r="JM2153" s="25"/>
      <c r="JN2153" s="25"/>
      <c r="JO2153" s="144"/>
      <c r="JP2153" s="144"/>
      <c r="JQ2153" s="144"/>
    </row>
    <row r="2154" spans="2:288" x14ac:dyDescent="0.2">
      <c r="B2154" s="16">
        <v>2017</v>
      </c>
      <c r="C2154" s="20">
        <v>42937</v>
      </c>
      <c r="D2154" s="20" t="str">
        <f>CONCATENATE(J2154,"-",C2154)</f>
        <v>1256-42937</v>
      </c>
      <c r="E2154" s="20" t="str">
        <f>CONCATENATE(T2154,"-",U2154,"-",C2154)</f>
        <v>BC1-E8-42937</v>
      </c>
      <c r="F2154" s="20" t="s">
        <v>106</v>
      </c>
      <c r="G2154" s="20" t="s">
        <v>278</v>
      </c>
      <c r="J2154" s="21">
        <v>1256</v>
      </c>
      <c r="T2154" s="16" t="s">
        <v>159</v>
      </c>
      <c r="U2154" s="16" t="s">
        <v>181</v>
      </c>
      <c r="AP2154" s="16">
        <f>SUM(AL2154:AN2154)</f>
        <v>0</v>
      </c>
      <c r="AT2154" s="16" t="s">
        <v>285</v>
      </c>
      <c r="AY2154" s="18"/>
      <c r="BG2154" s="23"/>
      <c r="BT2154" s="23"/>
      <c r="CD2154" s="23"/>
      <c r="DF2154" s="16" t="e">
        <f>VLOOKUP(K2154,'[3]RNA Seq summary tables'!$V$3:$V$99,1,FALSE)</f>
        <v>#N/A</v>
      </c>
      <c r="JO2154" s="27"/>
      <c r="JP2154" s="27"/>
      <c r="JQ2154" s="27"/>
      <c r="JR2154" s="18"/>
      <c r="JS2154" s="18"/>
      <c r="JT2154" s="18"/>
      <c r="JU2154" s="18"/>
      <c r="JV2154" s="18"/>
      <c r="JW2154" s="18"/>
      <c r="JX2154" s="18"/>
      <c r="JY2154" s="18"/>
      <c r="JZ2154" s="18"/>
      <c r="KA2154" s="18"/>
      <c r="KB2154" s="18"/>
    </row>
    <row r="2155" spans="2:288" x14ac:dyDescent="0.2">
      <c r="B2155" s="16">
        <v>2017</v>
      </c>
      <c r="C2155" s="43">
        <v>42938</v>
      </c>
      <c r="D2155" s="20" t="str">
        <f>CONCATENATE(J2155,"-",C2155)</f>
        <v>1256-42938</v>
      </c>
      <c r="E2155" s="20" t="str">
        <f>CONCATENATE(T2155,"-",U2155,"-",C2155)</f>
        <v>BC1-F8-42938</v>
      </c>
      <c r="F2155" s="20" t="s">
        <v>106</v>
      </c>
      <c r="G2155" s="43" t="s">
        <v>278</v>
      </c>
      <c r="H2155" s="23"/>
      <c r="I2155" s="23"/>
      <c r="J2155" s="15">
        <v>1256</v>
      </c>
      <c r="K2155" s="15"/>
      <c r="L2155" s="23"/>
      <c r="P2155" s="23"/>
      <c r="Q2155" s="23"/>
      <c r="R2155" s="23"/>
      <c r="S2155" s="23"/>
      <c r="T2155" s="23" t="s">
        <v>159</v>
      </c>
      <c r="U2155" s="23" t="s">
        <v>138</v>
      </c>
      <c r="V2155" s="23"/>
      <c r="W2155" s="23"/>
      <c r="X2155" s="23"/>
      <c r="Y2155" s="23"/>
      <c r="Z2155" s="23"/>
      <c r="AA2155" s="23"/>
      <c r="AB2155" s="23"/>
      <c r="AC2155" s="23"/>
      <c r="AD2155" s="23"/>
      <c r="AE2155" s="23"/>
      <c r="AF2155" s="23"/>
      <c r="AG2155" s="23"/>
      <c r="AH2155" s="23"/>
      <c r="AI2155" s="23"/>
      <c r="AJ2155" s="23"/>
      <c r="AK2155" s="23"/>
      <c r="AL2155" s="23"/>
      <c r="AM2155" s="23"/>
      <c r="AN2155" s="23"/>
      <c r="AO2155" s="23"/>
      <c r="AP2155" s="23">
        <f>SUM(AL2155:AN2155)</f>
        <v>0</v>
      </c>
      <c r="AQ2155" s="23"/>
      <c r="AR2155" s="23"/>
      <c r="AS2155" s="23"/>
      <c r="AT2155" s="16" t="s">
        <v>285</v>
      </c>
      <c r="AY2155" s="18"/>
      <c r="BG2155" s="23"/>
      <c r="BT2155" s="23"/>
      <c r="CD2155" s="23"/>
      <c r="DC2155" s="23"/>
      <c r="DD2155" s="23"/>
      <c r="DE2155" s="23"/>
      <c r="DF2155" s="16" t="e">
        <f>VLOOKUP(K2155,'[3]RNA Seq summary tables'!$V$3:$V$99,1,FALSE)</f>
        <v>#N/A</v>
      </c>
      <c r="DG2155" s="23"/>
      <c r="DH2155" s="23"/>
      <c r="DI2155" s="23"/>
      <c r="DJ2155" s="23"/>
      <c r="DK2155" s="23"/>
      <c r="DL2155" s="23"/>
      <c r="DM2155" s="23"/>
      <c r="DN2155" s="23"/>
      <c r="DO2155" s="23"/>
      <c r="DP2155" s="23"/>
      <c r="DQ2155" s="23"/>
      <c r="DR2155" s="23"/>
      <c r="DS2155" s="23"/>
      <c r="DT2155" s="25"/>
      <c r="DU2155" s="25"/>
      <c r="DV2155" s="25"/>
      <c r="DW2155" s="25"/>
      <c r="DX2155" s="25"/>
      <c r="DY2155" s="25"/>
      <c r="DZ2155" s="25"/>
      <c r="EA2155" s="25"/>
      <c r="EB2155" s="25"/>
      <c r="EC2155" s="25"/>
      <c r="ED2155" s="25"/>
      <c r="EE2155" s="25"/>
      <c r="EF2155" s="25"/>
      <c r="EG2155" s="25"/>
      <c r="EH2155" s="25"/>
      <c r="EI2155" s="25"/>
      <c r="EJ2155" s="25"/>
      <c r="EK2155" s="25"/>
      <c r="EL2155" s="25"/>
      <c r="EM2155" s="25"/>
      <c r="EN2155" s="25"/>
      <c r="EO2155" s="25"/>
      <c r="EP2155" s="25"/>
      <c r="EQ2155" s="25"/>
      <c r="ER2155" s="25"/>
      <c r="ES2155" s="25"/>
      <c r="ET2155" s="25"/>
      <c r="EU2155" s="25"/>
      <c r="EV2155" s="25"/>
      <c r="EW2155" s="25"/>
      <c r="EX2155" s="25"/>
      <c r="EY2155" s="25"/>
      <c r="EZ2155" s="25"/>
      <c r="FA2155" s="25"/>
      <c r="FB2155" s="25"/>
      <c r="FC2155" s="25"/>
      <c r="FD2155" s="25"/>
      <c r="FE2155" s="25"/>
      <c r="FF2155" s="25"/>
      <c r="FG2155" s="25"/>
      <c r="FH2155" s="25"/>
      <c r="FI2155" s="25"/>
      <c r="FJ2155" s="25"/>
      <c r="FK2155" s="25"/>
      <c r="FL2155" s="25"/>
      <c r="FM2155" s="25"/>
      <c r="FN2155" s="25"/>
      <c r="FO2155" s="25"/>
      <c r="FP2155" s="25"/>
      <c r="FQ2155" s="25"/>
      <c r="FR2155" s="25"/>
      <c r="FS2155" s="25"/>
      <c r="FT2155" s="25"/>
      <c r="FU2155" s="25"/>
      <c r="FV2155" s="25"/>
      <c r="FW2155" s="25"/>
      <c r="FX2155" s="25"/>
      <c r="FY2155" s="25"/>
      <c r="FZ2155" s="25"/>
      <c r="GA2155" s="25"/>
      <c r="GB2155" s="25"/>
      <c r="GC2155" s="25"/>
      <c r="GD2155" s="25"/>
      <c r="GE2155" s="25"/>
      <c r="GF2155" s="25"/>
      <c r="GG2155" s="25"/>
      <c r="GH2155" s="25"/>
      <c r="GI2155" s="25"/>
      <c r="GJ2155" s="25"/>
      <c r="GK2155" s="25"/>
      <c r="GL2155" s="25"/>
      <c r="GM2155" s="25"/>
      <c r="GN2155" s="25"/>
      <c r="GO2155" s="25"/>
      <c r="GP2155" s="25"/>
      <c r="GQ2155" s="25"/>
      <c r="GR2155" s="25"/>
      <c r="GS2155" s="25"/>
      <c r="GT2155" s="25"/>
      <c r="GU2155" s="25"/>
      <c r="GV2155" s="25"/>
      <c r="GW2155" s="25"/>
      <c r="GX2155" s="25"/>
      <c r="GY2155" s="25"/>
      <c r="GZ2155" s="25"/>
      <c r="HA2155" s="25"/>
      <c r="HB2155" s="25"/>
      <c r="HC2155" s="25"/>
      <c r="HD2155" s="25"/>
      <c r="HE2155" s="25"/>
      <c r="HF2155" s="25"/>
      <c r="HG2155" s="25"/>
      <c r="HH2155" s="25"/>
      <c r="HI2155" s="25"/>
      <c r="HJ2155" s="25"/>
      <c r="HK2155" s="25"/>
      <c r="HL2155" s="25"/>
      <c r="HM2155" s="25"/>
      <c r="HN2155" s="25"/>
      <c r="HO2155" s="25"/>
      <c r="HP2155" s="25"/>
      <c r="HQ2155" s="25"/>
      <c r="HR2155" s="25"/>
      <c r="HS2155" s="25"/>
      <c r="HT2155" s="25"/>
      <c r="HU2155" s="25"/>
      <c r="HV2155" s="25"/>
      <c r="HW2155" s="25"/>
      <c r="HX2155" s="25"/>
      <c r="HY2155" s="25"/>
      <c r="HZ2155" s="25"/>
      <c r="IA2155" s="25"/>
      <c r="IB2155" s="25"/>
      <c r="IC2155" s="25"/>
      <c r="ID2155" s="25"/>
      <c r="IE2155" s="25"/>
      <c r="IF2155" s="25"/>
      <c r="IG2155" s="25"/>
      <c r="IH2155" s="25"/>
      <c r="II2155" s="25"/>
      <c r="IJ2155" s="25"/>
      <c r="IK2155" s="25"/>
      <c r="IL2155" s="25"/>
      <c r="IM2155" s="25"/>
      <c r="IN2155" s="25"/>
      <c r="IO2155" s="25"/>
      <c r="IP2155" s="25"/>
      <c r="IQ2155" s="25"/>
      <c r="IR2155" s="25"/>
      <c r="IS2155" s="25"/>
      <c r="IT2155" s="25"/>
      <c r="IU2155" s="25"/>
      <c r="IV2155" s="25"/>
      <c r="IW2155" s="25"/>
      <c r="IX2155" s="25"/>
      <c r="IY2155" s="25"/>
      <c r="IZ2155" s="25"/>
      <c r="JA2155" s="25"/>
      <c r="JB2155" s="25"/>
      <c r="JC2155" s="25"/>
      <c r="JD2155" s="25"/>
      <c r="JE2155" s="25"/>
      <c r="JF2155" s="25"/>
      <c r="JG2155" s="25"/>
      <c r="JH2155" s="25"/>
      <c r="JI2155" s="25"/>
      <c r="JJ2155" s="25"/>
      <c r="JK2155" s="25"/>
      <c r="JL2155" s="25"/>
      <c r="JM2155" s="25"/>
      <c r="JN2155" s="25"/>
      <c r="JO2155" s="30"/>
      <c r="JP2155" s="27"/>
      <c r="JQ2155" s="27"/>
      <c r="JR2155" s="18"/>
      <c r="JS2155" s="18"/>
      <c r="JT2155" s="18"/>
      <c r="JU2155" s="18"/>
      <c r="JV2155" s="18"/>
      <c r="JW2155" s="18"/>
      <c r="JX2155" s="18"/>
      <c r="JY2155" s="18"/>
      <c r="JZ2155" s="18"/>
      <c r="KA2155" s="18"/>
      <c r="KB2155" s="18"/>
    </row>
    <row r="2156" spans="2:288" x14ac:dyDescent="0.2">
      <c r="B2156" s="16">
        <v>2017</v>
      </c>
      <c r="C2156" s="20">
        <v>42937</v>
      </c>
      <c r="D2156" s="20" t="str">
        <f>CONCATENATE(J2156,"-",C2156)</f>
        <v>1257-42937</v>
      </c>
      <c r="E2156" s="20" t="str">
        <f>CONCATENATE(T2156,"-",U2156,"-",C2156)</f>
        <v>BC1-G1-42937</v>
      </c>
      <c r="F2156" s="20" t="s">
        <v>106</v>
      </c>
      <c r="G2156" s="20" t="s">
        <v>278</v>
      </c>
      <c r="J2156" s="21">
        <v>1257</v>
      </c>
      <c r="T2156" s="16" t="s">
        <v>159</v>
      </c>
      <c r="U2156" s="16" t="s">
        <v>155</v>
      </c>
      <c r="AP2156" s="16">
        <f>SUM(AL2156:AN2156)</f>
        <v>0</v>
      </c>
      <c r="AT2156" s="16" t="s">
        <v>285</v>
      </c>
      <c r="AY2156" s="18"/>
      <c r="BG2156" s="23"/>
      <c r="BT2156" s="23"/>
      <c r="CD2156" s="23"/>
      <c r="DF2156" s="16" t="e">
        <f>VLOOKUP(K2156,'[3]RNA Seq summary tables'!$V$3:$V$99,1,FALSE)</f>
        <v>#N/A</v>
      </c>
      <c r="JO2156" s="27"/>
      <c r="JP2156" s="18"/>
      <c r="JQ2156" s="18"/>
      <c r="JR2156" s="18"/>
      <c r="JS2156" s="18"/>
      <c r="JT2156" s="18"/>
      <c r="JU2156" s="18"/>
      <c r="JV2156" s="18"/>
      <c r="JW2156" s="18"/>
      <c r="JX2156" s="18"/>
      <c r="JY2156" s="18"/>
      <c r="JZ2156" s="18"/>
      <c r="KA2156" s="18"/>
      <c r="KB2156" s="18"/>
    </row>
    <row r="2157" spans="2:288" x14ac:dyDescent="0.2">
      <c r="B2157" s="16">
        <v>2017</v>
      </c>
      <c r="C2157" s="20">
        <v>42938</v>
      </c>
      <c r="D2157" s="20" t="str">
        <f>CONCATENATE(J2157,"-",C2157)</f>
        <v>1257-42938</v>
      </c>
      <c r="E2157" s="20" t="str">
        <f>CONCATENATE(T2157,"-",U2157,"-",C2157)</f>
        <v>BC1-G1-42938</v>
      </c>
      <c r="F2157" s="20" t="s">
        <v>106</v>
      </c>
      <c r="G2157" s="20" t="s">
        <v>278</v>
      </c>
      <c r="J2157" s="21">
        <v>1257</v>
      </c>
      <c r="T2157" s="16" t="s">
        <v>159</v>
      </c>
      <c r="U2157" s="16" t="s">
        <v>155</v>
      </c>
      <c r="AP2157" s="16">
        <f>SUM(AL2157:AN2157)</f>
        <v>0</v>
      </c>
      <c r="AT2157" s="16" t="s">
        <v>285</v>
      </c>
      <c r="AY2157" s="18"/>
      <c r="BG2157" s="23"/>
      <c r="BT2157" s="23"/>
      <c r="CD2157" s="23"/>
      <c r="DF2157" s="16" t="e">
        <f>VLOOKUP(K2157,'[3]RNA Seq summary tables'!$V$3:$V$99,1,FALSE)</f>
        <v>#N/A</v>
      </c>
      <c r="JO2157" s="30"/>
      <c r="JP2157" s="27"/>
      <c r="JQ2157" s="27"/>
      <c r="JR2157" s="18"/>
      <c r="JS2157" s="18"/>
      <c r="JT2157" s="18"/>
      <c r="JU2157" s="18"/>
      <c r="JV2157" s="18"/>
      <c r="JW2157" s="18"/>
      <c r="JX2157" s="18"/>
      <c r="JY2157" s="18"/>
      <c r="JZ2157" s="18"/>
      <c r="KA2157" s="18"/>
      <c r="KB2157" s="18"/>
    </row>
    <row r="2158" spans="2:288" x14ac:dyDescent="0.2">
      <c r="B2158" s="16">
        <v>2017</v>
      </c>
      <c r="C2158" s="20">
        <v>42938</v>
      </c>
      <c r="D2158" s="20" t="str">
        <f>CONCATENATE(J2158,"-",C2158)</f>
        <v>1258-42938</v>
      </c>
      <c r="E2158" s="20" t="str">
        <f>CONCATENATE(T2158,"-",U2158,"-",C2158)</f>
        <v>BC1-F1-42938</v>
      </c>
      <c r="F2158" s="20" t="s">
        <v>106</v>
      </c>
      <c r="G2158" s="20" t="s">
        <v>278</v>
      </c>
      <c r="J2158" s="21">
        <v>1258</v>
      </c>
      <c r="T2158" s="16" t="s">
        <v>159</v>
      </c>
      <c r="U2158" s="16" t="s">
        <v>217</v>
      </c>
      <c r="AP2158" s="16">
        <f>SUM(AL2158:AN2158)</f>
        <v>0</v>
      </c>
      <c r="AT2158" s="16" t="s">
        <v>285</v>
      </c>
      <c r="AY2158" s="18"/>
      <c r="BG2158" s="23"/>
      <c r="BT2158" s="23"/>
      <c r="CD2158" s="23"/>
      <c r="DF2158" s="16" t="e">
        <f>VLOOKUP(K2158,'[3]RNA Seq summary tables'!$V$3:$V$99,1,FALSE)</f>
        <v>#N/A</v>
      </c>
      <c r="JO2158" s="27"/>
      <c r="JP2158" s="27"/>
      <c r="JQ2158" s="27"/>
      <c r="JR2158" s="18"/>
      <c r="JS2158" s="18"/>
      <c r="JT2158" s="18"/>
      <c r="JU2158" s="18"/>
      <c r="JV2158" s="18"/>
      <c r="JW2158" s="18"/>
      <c r="JX2158" s="18"/>
      <c r="JY2158" s="18"/>
      <c r="JZ2158" s="18"/>
      <c r="KA2158" s="18"/>
      <c r="KB2158" s="18"/>
    </row>
    <row r="2159" spans="2:288" x14ac:dyDescent="0.2">
      <c r="B2159" s="16">
        <v>2017</v>
      </c>
      <c r="C2159" s="20">
        <v>42955</v>
      </c>
      <c r="D2159" s="20" t="str">
        <f>CONCATENATE(J2159,"-",C2159)</f>
        <v>1261-42955</v>
      </c>
      <c r="E2159" s="20" t="str">
        <f>CONCATENATE(T2159,"-",U2159,"-",C2159)</f>
        <v>BC2-H8-42955</v>
      </c>
      <c r="F2159" s="20" t="s">
        <v>106</v>
      </c>
      <c r="G2159" s="20" t="s">
        <v>278</v>
      </c>
      <c r="J2159" s="21">
        <v>1261</v>
      </c>
      <c r="T2159" s="16" t="s">
        <v>154</v>
      </c>
      <c r="U2159" s="16" t="s">
        <v>152</v>
      </c>
      <c r="AP2159" s="16">
        <f>SUM(AL2159:AN2159)</f>
        <v>0</v>
      </c>
      <c r="AT2159" s="16" t="s">
        <v>285</v>
      </c>
      <c r="AY2159" s="18"/>
      <c r="BG2159" s="23"/>
      <c r="BT2159" s="23"/>
      <c r="CD2159" s="23"/>
      <c r="DF2159" s="16" t="e">
        <f>VLOOKUP(K2159,'[3]RNA Seq summary tables'!$V$3:$V$99,1,FALSE)</f>
        <v>#N/A</v>
      </c>
      <c r="JO2159" s="27"/>
      <c r="JP2159" s="27"/>
      <c r="JQ2159" s="27"/>
    </row>
    <row r="2160" spans="2:288" x14ac:dyDescent="0.2">
      <c r="B2160" s="16">
        <v>2017</v>
      </c>
      <c r="C2160" s="20">
        <v>42956</v>
      </c>
      <c r="D2160" s="20" t="str">
        <f>CONCATENATE(J2160,"-",C2160)</f>
        <v>1261-42956</v>
      </c>
      <c r="E2160" s="20" t="str">
        <f>CONCATENATE(T2160,"-",U2160,"-",C2160)</f>
        <v>BC2-H6-42956</v>
      </c>
      <c r="F2160" s="20" t="s">
        <v>106</v>
      </c>
      <c r="G2160" s="20" t="s">
        <v>278</v>
      </c>
      <c r="J2160" s="21">
        <v>1261</v>
      </c>
      <c r="T2160" s="16" t="s">
        <v>154</v>
      </c>
      <c r="U2160" s="16" t="s">
        <v>141</v>
      </c>
      <c r="AP2160" s="16">
        <f>SUM(AL2160:AN2160)</f>
        <v>0</v>
      </c>
      <c r="AT2160" s="16" t="s">
        <v>285</v>
      </c>
      <c r="AY2160" s="18"/>
      <c r="BG2160" s="23"/>
      <c r="BT2160" s="23"/>
      <c r="CD2160" s="23"/>
      <c r="DF2160" s="16" t="e">
        <f>VLOOKUP(K2160,'[3]RNA Seq summary tables'!$V$3:$V$99,1,FALSE)</f>
        <v>#N/A</v>
      </c>
      <c r="JO2160" s="27"/>
      <c r="JP2160" s="27"/>
      <c r="JQ2160" s="27"/>
    </row>
    <row r="2161" spans="2:277" x14ac:dyDescent="0.2">
      <c r="B2161" s="16">
        <v>2017</v>
      </c>
      <c r="C2161" s="20">
        <v>42956</v>
      </c>
      <c r="D2161" s="20" t="str">
        <f>CONCATENATE(J2161,"-",C2161)</f>
        <v>1262-42956</v>
      </c>
      <c r="E2161" s="20" t="str">
        <f>CONCATENATE(T2161,"-",U2161,"-",C2161)</f>
        <v>BC1-F7-42956</v>
      </c>
      <c r="F2161" s="20" t="s">
        <v>106</v>
      </c>
      <c r="G2161" s="20" t="s">
        <v>278</v>
      </c>
      <c r="J2161" s="21">
        <v>1262</v>
      </c>
      <c r="T2161" s="16" t="s">
        <v>159</v>
      </c>
      <c r="U2161" s="16" t="s">
        <v>189</v>
      </c>
      <c r="AP2161" s="16">
        <f>SUM(AL2161:AN2161)</f>
        <v>0</v>
      </c>
      <c r="AT2161" s="16" t="s">
        <v>285</v>
      </c>
      <c r="AY2161" s="18"/>
      <c r="BG2161" s="23"/>
      <c r="BT2161" s="23"/>
      <c r="CD2161" s="23"/>
      <c r="DF2161" s="16" t="e">
        <f>VLOOKUP(K2161,'[3]RNA Seq summary tables'!$V$3:$V$99,1,FALSE)</f>
        <v>#N/A</v>
      </c>
      <c r="JO2161" s="27"/>
      <c r="JP2161" s="27"/>
      <c r="JQ2161" s="27"/>
    </row>
    <row r="2162" spans="2:277" x14ac:dyDescent="0.2">
      <c r="B2162" s="16">
        <v>2017</v>
      </c>
      <c r="C2162" s="20">
        <v>42941</v>
      </c>
      <c r="D2162" s="20" t="str">
        <f>CONCATENATE(J2162,"-",C2162)</f>
        <v>1266-42941</v>
      </c>
      <c r="E2162" s="20" t="str">
        <f>CONCATENATE(T2162,"-",U2162,"-",C2162)</f>
        <v>SP1-E6-42941</v>
      </c>
      <c r="F2162" s="20" t="s">
        <v>106</v>
      </c>
      <c r="G2162" s="20" t="s">
        <v>278</v>
      </c>
      <c r="J2162" s="21">
        <v>1266</v>
      </c>
      <c r="T2162" s="16" t="s">
        <v>140</v>
      </c>
      <c r="U2162" s="16" t="s">
        <v>232</v>
      </c>
      <c r="AP2162" s="16">
        <f>SUM(AL2162:AN2162)</f>
        <v>0</v>
      </c>
      <c r="AT2162" s="16" t="s">
        <v>285</v>
      </c>
      <c r="AY2162" s="18"/>
      <c r="BG2162" s="23"/>
      <c r="BT2162" s="23"/>
      <c r="CD2162" s="23"/>
      <c r="DF2162" s="16" t="e">
        <f>VLOOKUP(K2162,'[3]RNA Seq summary tables'!$V$3:$V$99,1,FALSE)</f>
        <v>#N/A</v>
      </c>
      <c r="JO2162" s="27"/>
      <c r="JP2162" s="27"/>
      <c r="JQ2162" s="27"/>
    </row>
    <row r="2163" spans="2:277" x14ac:dyDescent="0.2">
      <c r="B2163" s="16">
        <v>2017</v>
      </c>
      <c r="C2163" s="20">
        <v>42940</v>
      </c>
      <c r="D2163" s="20" t="str">
        <f>CONCATENATE(J2163,"-",C2163)</f>
        <v>1267-42940</v>
      </c>
      <c r="E2163" s="20" t="str">
        <f>CONCATENATE(T2163,"-",U2163,"-",C2163)</f>
        <v>SP1-G1-42940</v>
      </c>
      <c r="F2163" s="20" t="s">
        <v>106</v>
      </c>
      <c r="G2163" s="20" t="s">
        <v>278</v>
      </c>
      <c r="J2163" s="21">
        <v>1267</v>
      </c>
      <c r="T2163" s="16" t="s">
        <v>140</v>
      </c>
      <c r="U2163" s="16" t="s">
        <v>155</v>
      </c>
      <c r="AP2163" s="16">
        <f>SUM(AL2163:AN2163)</f>
        <v>0</v>
      </c>
      <c r="AT2163" s="16" t="s">
        <v>285</v>
      </c>
      <c r="AY2163" s="18"/>
      <c r="BG2163" s="23"/>
      <c r="BT2163" s="23"/>
      <c r="CD2163" s="23"/>
      <c r="DF2163" s="16" t="e">
        <f>VLOOKUP(K2163,'[3]RNA Seq summary tables'!$V$3:$V$99,1,FALSE)</f>
        <v>#N/A</v>
      </c>
      <c r="JO2163" s="27"/>
      <c r="JP2163" s="27"/>
      <c r="JQ2163" s="27"/>
    </row>
    <row r="2164" spans="2:277" x14ac:dyDescent="0.2">
      <c r="B2164" s="16">
        <v>2017</v>
      </c>
      <c r="C2164" s="20">
        <v>42941</v>
      </c>
      <c r="D2164" s="20" t="str">
        <f>CONCATENATE(J2164,"-",C2164)</f>
        <v>1267-42941</v>
      </c>
      <c r="E2164" s="20" t="str">
        <f>CONCATENATE(T2164,"-",U2164,"-",C2164)</f>
        <v>SP1-H2-42941</v>
      </c>
      <c r="F2164" s="20" t="s">
        <v>106</v>
      </c>
      <c r="G2164" s="20" t="s">
        <v>278</v>
      </c>
      <c r="J2164" s="21">
        <v>1267</v>
      </c>
      <c r="T2164" s="16" t="s">
        <v>140</v>
      </c>
      <c r="U2164" s="16" t="s">
        <v>190</v>
      </c>
      <c r="AP2164" s="16">
        <f>SUM(AL2164:AN2164)</f>
        <v>0</v>
      </c>
      <c r="AT2164" s="16" t="s">
        <v>285</v>
      </c>
      <c r="AY2164" s="18"/>
      <c r="BG2164" s="23"/>
      <c r="BT2164" s="23"/>
      <c r="CD2164" s="23"/>
      <c r="DF2164" s="16" t="e">
        <f>VLOOKUP(K2164,'[3]RNA Seq summary tables'!$V$3:$V$99,1,FALSE)</f>
        <v>#N/A</v>
      </c>
      <c r="JO2164" s="27"/>
      <c r="JP2164" s="27"/>
      <c r="JQ2164" s="27"/>
    </row>
    <row r="2165" spans="2:277" x14ac:dyDescent="0.2">
      <c r="B2165" s="16">
        <v>2017</v>
      </c>
      <c r="C2165" s="20">
        <v>42958</v>
      </c>
      <c r="D2165" s="20" t="str">
        <f>CONCATENATE(J2165,"-",C2165)</f>
        <v>1268-42958</v>
      </c>
      <c r="E2165" s="20" t="str">
        <f>CONCATENATE(T2165,"-",U2165,"-",C2165)</f>
        <v>SP1-G2-42958</v>
      </c>
      <c r="F2165" s="20" t="s">
        <v>106</v>
      </c>
      <c r="G2165" s="20" t="s">
        <v>278</v>
      </c>
      <c r="J2165" s="21">
        <v>1268</v>
      </c>
      <c r="T2165" s="16" t="s">
        <v>140</v>
      </c>
      <c r="U2165" s="16" t="s">
        <v>128</v>
      </c>
      <c r="AP2165" s="16">
        <f>SUM(AL2165:AN2165)</f>
        <v>0</v>
      </c>
      <c r="AT2165" s="16" t="s">
        <v>285</v>
      </c>
      <c r="AY2165" s="18"/>
      <c r="BG2165" s="23"/>
      <c r="BT2165" s="23"/>
      <c r="CD2165" s="23"/>
      <c r="DF2165" s="16" t="e">
        <f>VLOOKUP(K2165,'[3]RNA Seq summary tables'!$V$3:$V$99,1,FALSE)</f>
        <v>#N/A</v>
      </c>
      <c r="JO2165" s="27"/>
      <c r="JP2165" s="27"/>
      <c r="JQ2165" s="27"/>
    </row>
    <row r="2166" spans="2:277" x14ac:dyDescent="0.2">
      <c r="B2166" s="16">
        <v>2017</v>
      </c>
      <c r="C2166" s="20">
        <v>42959</v>
      </c>
      <c r="D2166" s="20" t="str">
        <f>CONCATENATE(J2166,"-",C2166)</f>
        <v>1268-42959</v>
      </c>
      <c r="E2166" s="20" t="str">
        <f>CONCATENATE(T2166,"-",U2166,"-",C2166)</f>
        <v>SP1-G2-42959</v>
      </c>
      <c r="F2166" s="20" t="s">
        <v>106</v>
      </c>
      <c r="G2166" s="20" t="s">
        <v>278</v>
      </c>
      <c r="J2166" s="21">
        <v>1268</v>
      </c>
      <c r="T2166" s="16" t="s">
        <v>140</v>
      </c>
      <c r="U2166" s="16" t="s">
        <v>128</v>
      </c>
      <c r="AP2166" s="16">
        <f>SUM(AL2166:AN2166)</f>
        <v>0</v>
      </c>
      <c r="AT2166" s="16" t="s">
        <v>285</v>
      </c>
      <c r="AY2166" s="18"/>
      <c r="BG2166" s="23"/>
      <c r="BT2166" s="23"/>
      <c r="CD2166" s="23"/>
      <c r="DF2166" s="16" t="e">
        <f>VLOOKUP(K2166,'[3]RNA Seq summary tables'!$V$3:$V$99,1,FALSE)</f>
        <v>#N/A</v>
      </c>
      <c r="JO2166" s="27"/>
      <c r="JP2166" s="27"/>
      <c r="JQ2166" s="27"/>
    </row>
    <row r="2167" spans="2:277" x14ac:dyDescent="0.2">
      <c r="B2167" s="16">
        <v>2017</v>
      </c>
      <c r="C2167" s="20">
        <v>42940</v>
      </c>
      <c r="D2167" s="20" t="str">
        <f>CONCATENATE(J2167,"-",C2167)</f>
        <v>1269-42940</v>
      </c>
      <c r="E2167" s="20" t="str">
        <f>CONCATENATE(T2167,"-",U2167,"-",C2167)</f>
        <v>SP1-H3-42940</v>
      </c>
      <c r="F2167" s="20" t="s">
        <v>106</v>
      </c>
      <c r="G2167" s="20" t="s">
        <v>278</v>
      </c>
      <c r="J2167" s="21">
        <v>1269</v>
      </c>
      <c r="T2167" s="16" t="s">
        <v>140</v>
      </c>
      <c r="U2167" s="16" t="s">
        <v>174</v>
      </c>
      <c r="AP2167" s="16">
        <f>SUM(AL2167:AN2167)</f>
        <v>0</v>
      </c>
      <c r="AT2167" s="16" t="s">
        <v>285</v>
      </c>
      <c r="AY2167" s="18"/>
      <c r="BG2167" s="23"/>
      <c r="BT2167" s="23"/>
      <c r="CD2167" s="23"/>
      <c r="DF2167" s="16" t="e">
        <f>VLOOKUP(K2167,'[3]RNA Seq summary tables'!$V$3:$V$99,1,FALSE)</f>
        <v>#N/A</v>
      </c>
      <c r="JO2167" s="27"/>
      <c r="JP2167" s="27"/>
      <c r="JQ2167" s="27"/>
    </row>
    <row r="2168" spans="2:277" x14ac:dyDescent="0.2">
      <c r="B2168" s="16">
        <v>2017</v>
      </c>
      <c r="C2168" s="20">
        <v>42940</v>
      </c>
      <c r="D2168" s="20" t="str">
        <f>CONCATENATE(J2168,"-",C2168)</f>
        <v>1270-42940</v>
      </c>
      <c r="E2168" s="20" t="str">
        <f>CONCATENATE(T2168,"-",U2168,"-",C2168)</f>
        <v>SP1-H5-42940</v>
      </c>
      <c r="F2168" s="20" t="s">
        <v>106</v>
      </c>
      <c r="G2168" s="20" t="s">
        <v>278</v>
      </c>
      <c r="J2168" s="21">
        <v>1270</v>
      </c>
      <c r="T2168" s="16" t="s">
        <v>140</v>
      </c>
      <c r="U2168" s="16" t="s">
        <v>180</v>
      </c>
      <c r="AP2168" s="16">
        <f>SUM(AL2168:AN2168)</f>
        <v>0</v>
      </c>
      <c r="AT2168" s="16" t="s">
        <v>285</v>
      </c>
      <c r="AY2168" s="18"/>
      <c r="BG2168" s="23"/>
      <c r="BT2168" s="23"/>
      <c r="CD2168" s="23"/>
      <c r="DF2168" s="16" t="e">
        <f>VLOOKUP(K2168,'[3]RNA Seq summary tables'!$V$3:$V$99,1,FALSE)</f>
        <v>#N/A</v>
      </c>
      <c r="JO2168" s="27"/>
      <c r="JP2168" s="27"/>
      <c r="JQ2168" s="27"/>
    </row>
    <row r="2169" spans="2:277" x14ac:dyDescent="0.2">
      <c r="B2169" s="16">
        <v>2017</v>
      </c>
      <c r="C2169" s="20">
        <v>42941</v>
      </c>
      <c r="D2169" s="20" t="str">
        <f>CONCATENATE(J2169,"-",C2169)</f>
        <v>1270-42941</v>
      </c>
      <c r="E2169" s="20" t="str">
        <f>CONCATENATE(T2169,"-",U2169,"-",C2169)</f>
        <v>SP1-H5-42941</v>
      </c>
      <c r="F2169" s="20" t="s">
        <v>106</v>
      </c>
      <c r="G2169" s="20" t="s">
        <v>278</v>
      </c>
      <c r="J2169" s="21">
        <v>1270</v>
      </c>
      <c r="T2169" s="16" t="s">
        <v>140</v>
      </c>
      <c r="U2169" s="16" t="s">
        <v>180</v>
      </c>
      <c r="AP2169" s="16">
        <f>SUM(AL2169:AN2169)</f>
        <v>0</v>
      </c>
      <c r="AT2169" s="16" t="s">
        <v>285</v>
      </c>
      <c r="AY2169" s="18"/>
      <c r="BG2169" s="23"/>
      <c r="BT2169" s="23"/>
      <c r="CD2169" s="23"/>
      <c r="DF2169" s="16" t="e">
        <f>VLOOKUP(K2169,'[3]RNA Seq summary tables'!$V$3:$V$99,1,FALSE)</f>
        <v>#N/A</v>
      </c>
      <c r="JO2169" s="27"/>
      <c r="JP2169" s="27"/>
      <c r="JQ2169" s="27"/>
    </row>
    <row r="2170" spans="2:277" x14ac:dyDescent="0.2">
      <c r="B2170" s="16">
        <v>2017</v>
      </c>
      <c r="C2170" s="20">
        <v>42958</v>
      </c>
      <c r="D2170" s="20" t="str">
        <f>CONCATENATE(J2170,"-",C2170)</f>
        <v>1270-42958</v>
      </c>
      <c r="E2170" s="20" t="str">
        <f>CONCATENATE(T2170,"-",U2170,"-",C2170)</f>
        <v>SP1-H6-42958</v>
      </c>
      <c r="F2170" s="20" t="s">
        <v>106</v>
      </c>
      <c r="G2170" s="20" t="s">
        <v>278</v>
      </c>
      <c r="J2170" s="21">
        <v>1270</v>
      </c>
      <c r="T2170" s="16" t="s">
        <v>140</v>
      </c>
      <c r="U2170" s="16" t="s">
        <v>141</v>
      </c>
      <c r="AP2170" s="16">
        <f>SUM(AL2170:AN2170)</f>
        <v>0</v>
      </c>
      <c r="AT2170" s="16" t="s">
        <v>285</v>
      </c>
      <c r="AY2170" s="18"/>
      <c r="BG2170" s="23"/>
      <c r="BT2170" s="23"/>
      <c r="CD2170" s="23"/>
      <c r="DF2170" s="16" t="e">
        <f>VLOOKUP(K2170,'[3]RNA Seq summary tables'!$V$3:$V$99,1,FALSE)</f>
        <v>#N/A</v>
      </c>
      <c r="JO2170" s="27"/>
      <c r="JP2170" s="27"/>
      <c r="JQ2170" s="27"/>
    </row>
    <row r="2171" spans="2:277" x14ac:dyDescent="0.2">
      <c r="B2171" s="16">
        <v>2017</v>
      </c>
      <c r="C2171" s="20">
        <v>42959</v>
      </c>
      <c r="D2171" s="20" t="str">
        <f>CONCATENATE(J2171,"-",C2171)</f>
        <v>1270-42959</v>
      </c>
      <c r="E2171" s="20" t="str">
        <f>CONCATENATE(T2171,"-",U2171,"-",C2171)</f>
        <v>SP1-H5-42959</v>
      </c>
      <c r="F2171" s="20" t="s">
        <v>106</v>
      </c>
      <c r="G2171" s="20" t="s">
        <v>278</v>
      </c>
      <c r="J2171" s="21">
        <v>1270</v>
      </c>
      <c r="T2171" s="16" t="s">
        <v>140</v>
      </c>
      <c r="U2171" s="16" t="s">
        <v>180</v>
      </c>
      <c r="AP2171" s="16">
        <f>SUM(AL2171:AN2171)</f>
        <v>0</v>
      </c>
      <c r="AT2171" s="16" t="s">
        <v>285</v>
      </c>
      <c r="AY2171" s="18"/>
      <c r="BG2171" s="23"/>
      <c r="BT2171" s="23"/>
      <c r="CD2171" s="23"/>
      <c r="DF2171" s="16" t="e">
        <f>VLOOKUP(K2171,'[3]RNA Seq summary tables'!$V$3:$V$99,1,FALSE)</f>
        <v>#N/A</v>
      </c>
      <c r="JO2171" s="27"/>
      <c r="JP2171" s="27"/>
      <c r="JQ2171" s="27"/>
    </row>
    <row r="2172" spans="2:277" x14ac:dyDescent="0.2">
      <c r="B2172" s="16">
        <v>2017</v>
      </c>
      <c r="C2172" s="20">
        <v>42940</v>
      </c>
      <c r="D2172" s="20" t="str">
        <f>CONCATENATE(J2172,"-",C2172)</f>
        <v>1271-42940</v>
      </c>
      <c r="E2172" s="20" t="str">
        <f>CONCATENATE(T2172,"-",U2172,"-",C2172)</f>
        <v>SP1-G6-42940</v>
      </c>
      <c r="F2172" s="20" t="s">
        <v>106</v>
      </c>
      <c r="G2172" s="20" t="s">
        <v>278</v>
      </c>
      <c r="J2172" s="21">
        <v>1271</v>
      </c>
      <c r="T2172" s="16" t="s">
        <v>140</v>
      </c>
      <c r="U2172" s="16" t="s">
        <v>218</v>
      </c>
      <c r="AP2172" s="16">
        <f>SUM(AL2172:AN2172)</f>
        <v>0</v>
      </c>
      <c r="AT2172" s="16" t="s">
        <v>285</v>
      </c>
      <c r="AY2172" s="18"/>
      <c r="BG2172" s="23"/>
      <c r="BT2172" s="23"/>
      <c r="CD2172" s="23"/>
      <c r="DF2172" s="16" t="e">
        <f>VLOOKUP(K2172,'[3]RNA Seq summary tables'!$V$3:$V$99,1,FALSE)</f>
        <v>#N/A</v>
      </c>
      <c r="JO2172" s="27"/>
      <c r="JP2172" s="27"/>
      <c r="JQ2172" s="27"/>
    </row>
    <row r="2173" spans="2:277" x14ac:dyDescent="0.2">
      <c r="B2173" s="18">
        <v>2017</v>
      </c>
      <c r="C2173" s="37">
        <v>42973</v>
      </c>
      <c r="D2173" s="37" t="str">
        <f>CONCATENATE(J2173,"-",C2173)</f>
        <v>1271-42973</v>
      </c>
      <c r="E2173" s="20" t="str">
        <f>CONCATENATE(T2173,"-",U2173,"-",C2173)</f>
        <v>SP1-H5-42973</v>
      </c>
      <c r="F2173" s="20" t="s">
        <v>224</v>
      </c>
      <c r="G2173" s="37" t="s">
        <v>278</v>
      </c>
      <c r="H2173" s="18"/>
      <c r="I2173" s="18"/>
      <c r="J2173" s="36">
        <v>1271</v>
      </c>
      <c r="K2173" s="36"/>
      <c r="L2173" s="18"/>
      <c r="M2173" s="36"/>
      <c r="N2173" s="36"/>
      <c r="O2173" s="36"/>
      <c r="P2173" s="18"/>
      <c r="Q2173" s="18"/>
      <c r="R2173" s="18"/>
      <c r="S2173" s="18"/>
      <c r="T2173" s="18" t="s">
        <v>140</v>
      </c>
      <c r="U2173" s="18" t="s">
        <v>180</v>
      </c>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v>1.613</v>
      </c>
      <c r="AR2173" s="18">
        <f>AP2173-1.472</f>
        <v>-1.472</v>
      </c>
      <c r="AS2173" s="18">
        <f>AQ2173-1.472</f>
        <v>0.14100000000000001</v>
      </c>
      <c r="AT2173" s="18" t="s">
        <v>278</v>
      </c>
      <c r="AU2173" s="18"/>
      <c r="AV2173" s="18"/>
      <c r="AW2173" s="18"/>
      <c r="AX2173" s="18"/>
      <c r="AY2173" s="18"/>
      <c r="AZ2173" s="18"/>
      <c r="BA2173" s="18"/>
      <c r="BB2173" s="18"/>
      <c r="BC2173" s="18"/>
      <c r="BD2173" s="18"/>
      <c r="BE2173" s="18"/>
      <c r="BF2173" s="18"/>
      <c r="BG2173" s="25"/>
      <c r="BH2173" s="18"/>
      <c r="BI2173" s="18"/>
      <c r="BJ2173" s="18"/>
      <c r="BK2173" s="18"/>
      <c r="BL2173" s="18"/>
      <c r="BM2173" s="18"/>
      <c r="BN2173" s="18"/>
      <c r="BO2173" s="18"/>
      <c r="BP2173" s="18"/>
      <c r="BQ2173" s="18"/>
      <c r="BR2173" s="18"/>
      <c r="BS2173" s="18"/>
      <c r="BT2173" s="25"/>
      <c r="BU2173" s="18"/>
      <c r="BV2173" s="18"/>
      <c r="BW2173" s="18"/>
      <c r="BX2173" s="18"/>
      <c r="BY2173" s="18"/>
      <c r="BZ2173" s="18"/>
      <c r="CA2173" s="18"/>
      <c r="CB2173" s="18"/>
      <c r="CC2173" s="18"/>
      <c r="CD2173" s="25"/>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6" t="e">
        <f>VLOOKUP(K2173,'[3]RNA Seq summary tables'!$V$3:$V$99,1,FALSE)</f>
        <v>#N/A</v>
      </c>
      <c r="DG2173" s="18"/>
      <c r="DH2173" s="18"/>
      <c r="DI2173" s="18"/>
      <c r="DJ2173" s="18"/>
      <c r="DK2173" s="18"/>
      <c r="DL2173" s="18"/>
      <c r="DM2173" s="18"/>
      <c r="DN2173" s="18"/>
      <c r="DO2173" s="18"/>
      <c r="DP2173" s="18"/>
      <c r="DQ2173" s="18"/>
      <c r="DR2173" s="18"/>
      <c r="DS2173" s="18"/>
      <c r="JO2173" s="18"/>
      <c r="JP2173" s="27"/>
      <c r="JQ2173" s="27"/>
    </row>
    <row r="2174" spans="2:277" x14ac:dyDescent="0.2">
      <c r="B2174" s="16">
        <v>2017</v>
      </c>
      <c r="C2174" s="20">
        <v>42974</v>
      </c>
      <c r="D2174" s="20" t="str">
        <f>CONCATENATE(J2174,"-",C2174)</f>
        <v>1271-42974</v>
      </c>
      <c r="E2174" s="20" t="str">
        <f>CONCATENATE(T2174,"-",U2174,"-",C2174)</f>
        <v>SP1-H5-42974</v>
      </c>
      <c r="F2174" s="20" t="s">
        <v>224</v>
      </c>
      <c r="G2174" s="20" t="s">
        <v>278</v>
      </c>
      <c r="J2174" s="21">
        <v>1271</v>
      </c>
      <c r="T2174" s="16" t="s">
        <v>140</v>
      </c>
      <c r="U2174" s="16" t="s">
        <v>180</v>
      </c>
      <c r="AP2174" s="16">
        <f>SUM(AL2174:AN2174)</f>
        <v>0</v>
      </c>
      <c r="AT2174" s="16" t="s">
        <v>285</v>
      </c>
      <c r="AY2174" s="18"/>
      <c r="BG2174" s="23"/>
      <c r="BT2174" s="23"/>
      <c r="CD2174" s="23"/>
      <c r="DF2174" s="16" t="e">
        <f>VLOOKUP(K2174,'[3]RNA Seq summary tables'!$V$3:$V$99,1,FALSE)</f>
        <v>#N/A</v>
      </c>
      <c r="JO2174" s="18"/>
      <c r="JP2174" s="27"/>
      <c r="JQ2174" s="27"/>
    </row>
    <row r="2175" spans="2:277" x14ac:dyDescent="0.2">
      <c r="B2175" s="16">
        <v>2017</v>
      </c>
      <c r="C2175" s="20">
        <v>42973</v>
      </c>
      <c r="D2175" s="20" t="str">
        <f>CONCATENATE(J2175,"-",C2175)</f>
        <v>1272-42973</v>
      </c>
      <c r="E2175" s="20" t="str">
        <f>CONCATENATE(T2175,"-",U2175,"-",C2175)</f>
        <v>SP2-E1-42973</v>
      </c>
      <c r="F2175" s="20" t="s">
        <v>224</v>
      </c>
      <c r="G2175" s="20" t="s">
        <v>278</v>
      </c>
      <c r="J2175" s="21">
        <v>1272</v>
      </c>
      <c r="T2175" s="16" t="s">
        <v>137</v>
      </c>
      <c r="U2175" s="16" t="s">
        <v>222</v>
      </c>
      <c r="AP2175" s="16">
        <f>SUM(AL2175:AN2175)</f>
        <v>0</v>
      </c>
      <c r="AT2175" s="16" t="s">
        <v>285</v>
      </c>
      <c r="AY2175" s="18"/>
      <c r="BG2175" s="23"/>
      <c r="BT2175" s="23"/>
      <c r="CD2175" s="23"/>
      <c r="DF2175" s="16" t="e">
        <f>VLOOKUP(K2175,'[3]RNA Seq summary tables'!$V$3:$V$99,1,FALSE)</f>
        <v>#N/A</v>
      </c>
      <c r="JO2175" s="18"/>
      <c r="JP2175" s="27"/>
      <c r="JQ2175" s="27"/>
    </row>
    <row r="2176" spans="2:277" x14ac:dyDescent="0.2">
      <c r="B2176" s="16">
        <v>2017</v>
      </c>
      <c r="C2176" s="20">
        <v>42974</v>
      </c>
      <c r="D2176" s="20" t="str">
        <f>CONCATENATE(J2176,"-",C2176)</f>
        <v>1272-42974</v>
      </c>
      <c r="E2176" s="20" t="str">
        <f>CONCATENATE(T2176,"-",U2176,"-",C2176)</f>
        <v>SP2-D1-42974</v>
      </c>
      <c r="F2176" s="20" t="s">
        <v>224</v>
      </c>
      <c r="G2176" s="20" t="s">
        <v>278</v>
      </c>
      <c r="J2176" s="21">
        <v>1272</v>
      </c>
      <c r="T2176" s="16" t="s">
        <v>137</v>
      </c>
      <c r="U2176" s="16" t="s">
        <v>157</v>
      </c>
      <c r="AP2176" s="16">
        <f>SUM(AL2176:AN2176)</f>
        <v>0</v>
      </c>
      <c r="AT2176" s="16" t="s">
        <v>285</v>
      </c>
      <c r="AY2176" s="18"/>
      <c r="BG2176" s="23"/>
      <c r="BT2176" s="23"/>
      <c r="CD2176" s="23"/>
      <c r="DF2176" s="16" t="e">
        <f>VLOOKUP(K2176,'[3]RNA Seq summary tables'!$V$3:$V$99,1,FALSE)</f>
        <v>#N/A</v>
      </c>
      <c r="JO2176" s="18"/>
      <c r="JP2176" s="18"/>
      <c r="JQ2176" s="18"/>
    </row>
    <row r="2177" spans="2:277" x14ac:dyDescent="0.2">
      <c r="B2177" s="16">
        <v>2017</v>
      </c>
      <c r="C2177" s="20">
        <v>42958</v>
      </c>
      <c r="D2177" s="20" t="str">
        <f>CONCATENATE(J2177,"-",C2177)</f>
        <v>1273-42958</v>
      </c>
      <c r="E2177" s="20" t="str">
        <f>CONCATENATE(T2177,"-",U2177,"-",C2177)</f>
        <v>SP2-C5-42958</v>
      </c>
      <c r="F2177" s="20" t="s">
        <v>106</v>
      </c>
      <c r="G2177" s="20" t="s">
        <v>278</v>
      </c>
      <c r="J2177" s="21">
        <v>1273</v>
      </c>
      <c r="T2177" s="16" t="s">
        <v>137</v>
      </c>
      <c r="U2177" s="16" t="s">
        <v>172</v>
      </c>
      <c r="AP2177" s="16">
        <f>SUM(AL2177:AN2177)</f>
        <v>0</v>
      </c>
      <c r="AT2177" s="16" t="s">
        <v>285</v>
      </c>
      <c r="AY2177" s="18"/>
      <c r="BG2177" s="23"/>
      <c r="BT2177" s="23"/>
      <c r="CD2177" s="23"/>
      <c r="DF2177" s="16" t="e">
        <f>VLOOKUP(K2177,'[3]RNA Seq summary tables'!$V$3:$V$99,1,FALSE)</f>
        <v>#N/A</v>
      </c>
      <c r="JO2177" s="27"/>
      <c r="JP2177" s="18"/>
      <c r="JQ2177" s="18"/>
    </row>
    <row r="2178" spans="2:277" x14ac:dyDescent="0.2">
      <c r="B2178" s="16">
        <v>2017</v>
      </c>
      <c r="C2178" s="20">
        <v>42959</v>
      </c>
      <c r="D2178" s="20" t="str">
        <f>CONCATENATE(J2178,"-",C2178)</f>
        <v>1273-42959</v>
      </c>
      <c r="E2178" s="20" t="str">
        <f>CONCATENATE(T2178,"-",U2178,"-",C2178)</f>
        <v>SP2-C5-42959</v>
      </c>
      <c r="F2178" s="20" t="s">
        <v>106</v>
      </c>
      <c r="G2178" s="20" t="s">
        <v>278</v>
      </c>
      <c r="J2178" s="21">
        <v>1273</v>
      </c>
      <c r="T2178" s="16" t="s">
        <v>137</v>
      </c>
      <c r="U2178" s="16" t="s">
        <v>172</v>
      </c>
      <c r="AP2178" s="16">
        <f>SUM(AL2178:AN2178)</f>
        <v>0</v>
      </c>
      <c r="AT2178" s="16" t="s">
        <v>285</v>
      </c>
      <c r="AY2178" s="18"/>
      <c r="BG2178" s="23"/>
      <c r="BT2178" s="23"/>
      <c r="CD2178" s="23"/>
      <c r="DF2178" s="16" t="e">
        <f>VLOOKUP(K2178,'[3]RNA Seq summary tables'!$V$3:$V$99,1,FALSE)</f>
        <v>#N/A</v>
      </c>
      <c r="JO2178" s="27"/>
      <c r="JP2178" s="18"/>
      <c r="JQ2178" s="18"/>
    </row>
    <row r="2179" spans="2:277" x14ac:dyDescent="0.2">
      <c r="B2179" s="16">
        <v>2017</v>
      </c>
      <c r="C2179" s="20">
        <v>42959</v>
      </c>
      <c r="D2179" s="20" t="str">
        <f>CONCATENATE(J2179,"-",C2179)</f>
        <v>1274-42959</v>
      </c>
      <c r="E2179" s="20" t="str">
        <f>CONCATENATE(T2179,"-",U2179,"-",C2179)</f>
        <v>SP2-H3-42959</v>
      </c>
      <c r="F2179" s="20" t="s">
        <v>106</v>
      </c>
      <c r="G2179" s="20" t="s">
        <v>278</v>
      </c>
      <c r="J2179" s="21">
        <v>1274</v>
      </c>
      <c r="T2179" s="16" t="s">
        <v>137</v>
      </c>
      <c r="U2179" s="16" t="s">
        <v>174</v>
      </c>
      <c r="AP2179" s="16">
        <f>SUM(AL2179:AN2179)</f>
        <v>0</v>
      </c>
      <c r="AT2179" s="16" t="s">
        <v>285</v>
      </c>
      <c r="AY2179" s="18"/>
      <c r="BG2179" s="23"/>
      <c r="BT2179" s="23"/>
      <c r="CD2179" s="23"/>
      <c r="DF2179" s="16" t="e">
        <f>VLOOKUP(K2179,'[3]RNA Seq summary tables'!$V$3:$V$99,1,FALSE)</f>
        <v>#N/A</v>
      </c>
      <c r="JO2179" s="27"/>
      <c r="JP2179" s="27"/>
      <c r="JQ2179" s="27"/>
    </row>
    <row r="2180" spans="2:277" x14ac:dyDescent="0.2">
      <c r="B2180" s="16">
        <v>2017</v>
      </c>
      <c r="C2180" s="20">
        <v>42940</v>
      </c>
      <c r="D2180" s="20" t="str">
        <f>CONCATENATE(J2180,"-",C2180)</f>
        <v>1275-42940</v>
      </c>
      <c r="E2180" s="20" t="str">
        <f>CONCATENATE(T2180,"-",U2180,"-",C2180)</f>
        <v>SP2-G2-42940</v>
      </c>
      <c r="F2180" s="20" t="s">
        <v>106</v>
      </c>
      <c r="G2180" s="20" t="s">
        <v>278</v>
      </c>
      <c r="J2180" s="21">
        <v>1275</v>
      </c>
      <c r="T2180" s="16" t="s">
        <v>137</v>
      </c>
      <c r="U2180" s="16" t="s">
        <v>128</v>
      </c>
      <c r="AP2180" s="16">
        <f>SUM(AL2180:AN2180)</f>
        <v>0</v>
      </c>
      <c r="AT2180" s="16" t="s">
        <v>285</v>
      </c>
      <c r="AY2180" s="18"/>
      <c r="BG2180" s="23"/>
      <c r="BT2180" s="23"/>
      <c r="CD2180" s="23"/>
      <c r="DF2180" s="16" t="e">
        <f>VLOOKUP(K2180,'[3]RNA Seq summary tables'!$V$3:$V$99,1,FALSE)</f>
        <v>#N/A</v>
      </c>
      <c r="JO2180" s="27"/>
      <c r="JP2180" s="27"/>
      <c r="JQ2180" s="27"/>
    </row>
    <row r="2181" spans="2:277" x14ac:dyDescent="0.2">
      <c r="B2181" s="16">
        <v>2017</v>
      </c>
      <c r="C2181" s="20">
        <v>42941</v>
      </c>
      <c r="D2181" s="20" t="str">
        <f>CONCATENATE(J2181,"-",C2181)</f>
        <v>1275-42941</v>
      </c>
      <c r="E2181" s="20" t="str">
        <f>CONCATENATE(T2181,"-",U2181,"-",C2181)</f>
        <v>SP2-F1-42941</v>
      </c>
      <c r="F2181" s="20" t="s">
        <v>106</v>
      </c>
      <c r="G2181" s="20" t="s">
        <v>278</v>
      </c>
      <c r="J2181" s="21">
        <v>1275</v>
      </c>
      <c r="T2181" s="16" t="s">
        <v>137</v>
      </c>
      <c r="U2181" s="16" t="s">
        <v>217</v>
      </c>
      <c r="AP2181" s="16">
        <f>SUM(AL2181:AN2181)</f>
        <v>0</v>
      </c>
      <c r="AT2181" s="16" t="s">
        <v>285</v>
      </c>
      <c r="AY2181" s="18"/>
      <c r="BG2181" s="23"/>
      <c r="BT2181" s="23"/>
      <c r="CD2181" s="23"/>
      <c r="DF2181" s="16" t="e">
        <f>VLOOKUP(K2181,'[3]RNA Seq summary tables'!$V$3:$V$99,1,FALSE)</f>
        <v>#N/A</v>
      </c>
      <c r="JO2181" s="27"/>
      <c r="JP2181" s="27"/>
      <c r="JQ2181" s="27"/>
    </row>
    <row r="2182" spans="2:277" x14ac:dyDescent="0.2">
      <c r="B2182" s="16">
        <v>2017</v>
      </c>
      <c r="C2182" s="20">
        <v>42959</v>
      </c>
      <c r="D2182" s="20" t="str">
        <f>CONCATENATE(J2182,"-",C2182)</f>
        <v>1276-42959</v>
      </c>
      <c r="E2182" s="20" t="str">
        <f>CONCATENATE(T2182,"-",U2182,"-",C2182)</f>
        <v>SP1-B7-42959</v>
      </c>
      <c r="F2182" s="20" t="s">
        <v>106</v>
      </c>
      <c r="G2182" s="20" t="s">
        <v>278</v>
      </c>
      <c r="J2182" s="21">
        <v>1276</v>
      </c>
      <c r="T2182" s="16" t="s">
        <v>140</v>
      </c>
      <c r="U2182" s="16" t="s">
        <v>168</v>
      </c>
      <c r="AP2182" s="16">
        <f>SUM(AL2182:AN2182)</f>
        <v>0</v>
      </c>
      <c r="AT2182" s="16" t="s">
        <v>285</v>
      </c>
      <c r="AY2182" s="18"/>
      <c r="BG2182" s="23"/>
      <c r="BT2182" s="23"/>
      <c r="CD2182" s="23"/>
      <c r="DF2182" s="16" t="e">
        <f>VLOOKUP(K2182,'[3]RNA Seq summary tables'!$V$3:$V$99,1,FALSE)</f>
        <v>#N/A</v>
      </c>
      <c r="JO2182" s="18"/>
      <c r="JP2182" s="27"/>
      <c r="JQ2182" s="27"/>
    </row>
    <row r="2183" spans="2:277" x14ac:dyDescent="0.2">
      <c r="B2183" s="16">
        <v>2017</v>
      </c>
      <c r="C2183" s="20">
        <v>42974</v>
      </c>
      <c r="D2183" s="20" t="str">
        <f>CONCATENATE(J2183,"-",C2183)</f>
        <v>1276-42974</v>
      </c>
      <c r="E2183" s="20" t="str">
        <f>CONCATENATE(T2183,"-",U2183,"-",C2183)</f>
        <v>SP1-B7-42974</v>
      </c>
      <c r="F2183" s="20" t="s">
        <v>224</v>
      </c>
      <c r="G2183" s="20" t="s">
        <v>278</v>
      </c>
      <c r="J2183" s="21">
        <v>1276</v>
      </c>
      <c r="T2183" s="16" t="s">
        <v>140</v>
      </c>
      <c r="U2183" s="16" t="s">
        <v>168</v>
      </c>
      <c r="AP2183" s="16">
        <f>SUM(AL2183:AN2183)</f>
        <v>0</v>
      </c>
      <c r="AT2183" s="16" t="s">
        <v>285</v>
      </c>
      <c r="AY2183" s="18"/>
      <c r="BG2183" s="23"/>
      <c r="BT2183" s="23"/>
      <c r="CD2183" s="23"/>
      <c r="DF2183" s="16" t="e">
        <f>VLOOKUP(K2183,'[3]RNA Seq summary tables'!$V$3:$V$99,1,FALSE)</f>
        <v>#N/A</v>
      </c>
      <c r="JO2183" s="18"/>
      <c r="JP2183" s="27"/>
      <c r="JQ2183" s="27"/>
    </row>
    <row r="2184" spans="2:277" x14ac:dyDescent="0.2">
      <c r="B2184" s="18">
        <v>2017</v>
      </c>
      <c r="C2184" s="37">
        <v>42974</v>
      </c>
      <c r="D2184" s="37" t="str">
        <f>CONCATENATE(J2184,"-",C2184)</f>
        <v>1276-42974</v>
      </c>
      <c r="E2184" s="20" t="str">
        <f>CONCATENATE(T2184,"-",U2184,"-",C2184)</f>
        <v>SP2-F4-42974</v>
      </c>
      <c r="F2184" s="20" t="s">
        <v>224</v>
      </c>
      <c r="G2184" s="37" t="s">
        <v>278</v>
      </c>
      <c r="H2184" s="18"/>
      <c r="I2184" s="18"/>
      <c r="J2184" s="36">
        <v>1276</v>
      </c>
      <c r="K2184" s="36"/>
      <c r="L2184" s="18"/>
      <c r="M2184" s="36"/>
      <c r="N2184" s="36"/>
      <c r="O2184" s="36"/>
      <c r="P2184" s="18"/>
      <c r="Q2184" s="18"/>
      <c r="R2184" s="18"/>
      <c r="S2184" s="18"/>
      <c r="T2184" s="18" t="s">
        <v>137</v>
      </c>
      <c r="U2184" s="18" t="s">
        <v>184</v>
      </c>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f>SUM(AL2184:AN2184)</f>
        <v>0</v>
      </c>
      <c r="AQ2184" s="18"/>
      <c r="AR2184" s="18"/>
      <c r="AS2184" s="18"/>
      <c r="AT2184" s="18" t="s">
        <v>285</v>
      </c>
      <c r="AU2184" s="18"/>
      <c r="AV2184" s="18"/>
      <c r="AW2184" s="18"/>
      <c r="AX2184" s="18"/>
      <c r="AY2184" s="18"/>
      <c r="AZ2184" s="18"/>
      <c r="BA2184" s="18"/>
      <c r="BB2184" s="18"/>
      <c r="BC2184" s="18"/>
      <c r="BD2184" s="18"/>
      <c r="BE2184" s="18"/>
      <c r="BF2184" s="18"/>
      <c r="BG2184" s="25"/>
      <c r="BH2184" s="18"/>
      <c r="BI2184" s="18"/>
      <c r="BJ2184" s="18"/>
      <c r="BK2184" s="18"/>
      <c r="BL2184" s="18"/>
      <c r="BM2184" s="18"/>
      <c r="BN2184" s="18"/>
      <c r="BO2184" s="18"/>
      <c r="BP2184" s="18"/>
      <c r="BQ2184" s="18"/>
      <c r="BR2184" s="18"/>
      <c r="BS2184" s="18"/>
      <c r="BT2184" s="25"/>
      <c r="BU2184" s="18"/>
      <c r="BV2184" s="18"/>
      <c r="BW2184" s="18"/>
      <c r="BX2184" s="18"/>
      <c r="BY2184" s="18"/>
      <c r="BZ2184" s="18"/>
      <c r="CA2184" s="18"/>
      <c r="CB2184" s="18"/>
      <c r="CC2184" s="18"/>
      <c r="CD2184" s="25"/>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6" t="e">
        <f>VLOOKUP(K2184,'[3]RNA Seq summary tables'!$V$3:$V$99,1,FALSE)</f>
        <v>#N/A</v>
      </c>
      <c r="DG2184" s="18"/>
      <c r="DH2184" s="18"/>
      <c r="DI2184" s="18"/>
      <c r="DJ2184" s="18"/>
      <c r="DK2184" s="18"/>
      <c r="DL2184" s="18"/>
      <c r="DM2184" s="18"/>
      <c r="DN2184" s="18"/>
      <c r="DO2184" s="18"/>
      <c r="DP2184" s="18"/>
      <c r="DQ2184" s="18"/>
      <c r="DR2184" s="18"/>
      <c r="DS2184" s="18"/>
      <c r="JO2184" s="27"/>
      <c r="JP2184" s="27"/>
      <c r="JQ2184" s="27"/>
    </row>
    <row r="2185" spans="2:277" x14ac:dyDescent="0.2">
      <c r="B2185" s="16">
        <v>2017</v>
      </c>
      <c r="C2185" s="20">
        <v>42941</v>
      </c>
      <c r="D2185" s="20" t="str">
        <f>CONCATENATE(J2185,"-",C2185)</f>
        <v>1277-42941</v>
      </c>
      <c r="E2185" s="20" t="str">
        <f>CONCATENATE(T2185,"-",U2185,"-",C2185)</f>
        <v>SP2-A4-42941</v>
      </c>
      <c r="F2185" s="20" t="s">
        <v>106</v>
      </c>
      <c r="G2185" s="20" t="s">
        <v>278</v>
      </c>
      <c r="J2185" s="21">
        <v>1277</v>
      </c>
      <c r="T2185" s="16" t="s">
        <v>137</v>
      </c>
      <c r="U2185" s="16" t="s">
        <v>134</v>
      </c>
      <c r="AP2185" s="16">
        <f>SUM(AL2185:AN2185)</f>
        <v>0</v>
      </c>
      <c r="AT2185" s="16" t="s">
        <v>285</v>
      </c>
      <c r="AY2185" s="18"/>
      <c r="BG2185" s="23"/>
      <c r="BT2185" s="23"/>
      <c r="CD2185" s="23"/>
      <c r="DF2185" s="16" t="e">
        <f>VLOOKUP(K2185,'[3]RNA Seq summary tables'!$V$3:$V$99,1,FALSE)</f>
        <v>#N/A</v>
      </c>
      <c r="JO2185" s="27"/>
      <c r="JP2185" s="27"/>
      <c r="JQ2185" s="27"/>
    </row>
    <row r="2186" spans="2:277" x14ac:dyDescent="0.2">
      <c r="B2186" s="16">
        <v>2017</v>
      </c>
      <c r="C2186" s="20">
        <v>42941</v>
      </c>
      <c r="D2186" s="20" t="str">
        <f>CONCATENATE(J2186,"-",C2186)</f>
        <v>1278-42941</v>
      </c>
      <c r="E2186" s="20" t="str">
        <f>CONCATENATE(T2186,"-",U2186,"-",C2186)</f>
        <v>SP2-F3-42941</v>
      </c>
      <c r="F2186" s="20" t="s">
        <v>106</v>
      </c>
      <c r="G2186" s="20" t="s">
        <v>278</v>
      </c>
      <c r="J2186" s="21">
        <v>1278</v>
      </c>
      <c r="T2186" s="16" t="s">
        <v>137</v>
      </c>
      <c r="U2186" s="16" t="s">
        <v>182</v>
      </c>
      <c r="AP2186" s="16">
        <f>SUM(AL2186:AN2186)</f>
        <v>0</v>
      </c>
      <c r="AT2186" s="16" t="s">
        <v>285</v>
      </c>
      <c r="AY2186" s="18"/>
      <c r="BG2186" s="23"/>
      <c r="BT2186" s="23"/>
      <c r="CD2186" s="23"/>
      <c r="DF2186" s="16" t="e">
        <f>VLOOKUP(K2186,'[3]RNA Seq summary tables'!$V$3:$V$99,1,FALSE)</f>
        <v>#N/A</v>
      </c>
      <c r="JO2186" s="27"/>
      <c r="JP2186" s="27"/>
      <c r="JQ2186" s="27"/>
    </row>
    <row r="2187" spans="2:277" x14ac:dyDescent="0.2">
      <c r="B2187" s="16">
        <v>2017</v>
      </c>
      <c r="C2187" s="20">
        <v>42958</v>
      </c>
      <c r="D2187" s="20" t="str">
        <f>CONCATENATE(J2187,"-",C2187)</f>
        <v>1278-42958</v>
      </c>
      <c r="E2187" s="20" t="str">
        <f>CONCATENATE(T2187,"-",U2187,"-",C2187)</f>
        <v>SP2-E2-42958</v>
      </c>
      <c r="F2187" s="20" t="s">
        <v>106</v>
      </c>
      <c r="G2187" s="20" t="s">
        <v>278</v>
      </c>
      <c r="J2187" s="21">
        <v>1278</v>
      </c>
      <c r="T2187" s="16" t="s">
        <v>137</v>
      </c>
      <c r="U2187" s="16" t="s">
        <v>136</v>
      </c>
      <c r="AP2187" s="16">
        <f>SUM(AL2187:AN2187)</f>
        <v>0</v>
      </c>
      <c r="AT2187" s="16" t="s">
        <v>285</v>
      </c>
      <c r="AY2187" s="18"/>
      <c r="BG2187" s="23"/>
      <c r="BT2187" s="23"/>
      <c r="CD2187" s="23"/>
      <c r="DF2187" s="16" t="e">
        <f>VLOOKUP(K2187,'[3]RNA Seq summary tables'!$V$3:$V$99,1,FALSE)</f>
        <v>#N/A</v>
      </c>
      <c r="JO2187" s="27"/>
      <c r="JP2187" s="27"/>
      <c r="JQ2187" s="27"/>
    </row>
    <row r="2188" spans="2:277" x14ac:dyDescent="0.2">
      <c r="B2188" s="16">
        <v>2017</v>
      </c>
      <c r="C2188" s="20">
        <v>42958</v>
      </c>
      <c r="D2188" s="20" t="str">
        <f>CONCATENATE(J2188,"-",C2188)</f>
        <v>1279-42958</v>
      </c>
      <c r="E2188" s="20" t="str">
        <f>CONCATENATE(T2188,"-",U2188,"-",C2188)</f>
        <v>SP2-F4-42958</v>
      </c>
      <c r="F2188" s="20" t="s">
        <v>106</v>
      </c>
      <c r="G2188" s="20" t="s">
        <v>278</v>
      </c>
      <c r="J2188" s="21">
        <v>1279</v>
      </c>
      <c r="T2188" s="16" t="s">
        <v>137</v>
      </c>
      <c r="U2188" s="16" t="s">
        <v>184</v>
      </c>
      <c r="AP2188" s="16">
        <f>SUM(AL2188:AN2188)</f>
        <v>0</v>
      </c>
      <c r="AT2188" s="16" t="s">
        <v>285</v>
      </c>
      <c r="AY2188" s="18"/>
      <c r="BG2188" s="23"/>
      <c r="BT2188" s="23"/>
      <c r="CD2188" s="23"/>
      <c r="DF2188" s="16" t="e">
        <f>VLOOKUP(K2188,'[3]RNA Seq summary tables'!$V$3:$V$99,1,FALSE)</f>
        <v>#N/A</v>
      </c>
      <c r="JO2188" s="27"/>
      <c r="JP2188" s="27"/>
      <c r="JQ2188" s="27"/>
    </row>
    <row r="2189" spans="2:277" x14ac:dyDescent="0.2">
      <c r="B2189" s="16">
        <v>2017</v>
      </c>
      <c r="C2189" s="20">
        <v>42973</v>
      </c>
      <c r="D2189" s="20" t="str">
        <f>CONCATENATE(J2189,"-",C2189)</f>
        <v>1280-42973</v>
      </c>
      <c r="E2189" s="20" t="str">
        <f>CONCATENATE(T2189,"-",U2189,"-",C2189)</f>
        <v>SP2-F3-42973</v>
      </c>
      <c r="F2189" s="20" t="s">
        <v>224</v>
      </c>
      <c r="G2189" s="20" t="s">
        <v>278</v>
      </c>
      <c r="J2189" s="21">
        <v>1280</v>
      </c>
      <c r="T2189" s="16" t="s">
        <v>137</v>
      </c>
      <c r="U2189" s="16" t="s">
        <v>182</v>
      </c>
      <c r="AP2189" s="16">
        <f>SUM(AL2189:AN2189)</f>
        <v>0</v>
      </c>
      <c r="AT2189" s="16" t="s">
        <v>285</v>
      </c>
      <c r="AY2189" s="18"/>
      <c r="BG2189" s="23"/>
      <c r="BT2189" s="23"/>
      <c r="CD2189" s="23"/>
      <c r="DF2189" s="16" t="e">
        <f>VLOOKUP(K2189,'[3]RNA Seq summary tables'!$V$3:$V$99,1,FALSE)</f>
        <v>#N/A</v>
      </c>
      <c r="JO2189" s="27"/>
      <c r="JP2189" s="27"/>
      <c r="JQ2189" s="27"/>
    </row>
    <row r="2190" spans="2:277" x14ac:dyDescent="0.2">
      <c r="B2190" s="16">
        <v>2017</v>
      </c>
      <c r="C2190" s="20">
        <v>42974</v>
      </c>
      <c r="D2190" s="20" t="str">
        <f>CONCATENATE(J2190,"-",C2190)</f>
        <v>1280-42974</v>
      </c>
      <c r="E2190" s="20" t="str">
        <f>CONCATENATE(T2190,"-",U2190,"-",C2190)</f>
        <v>SP2-F3-42974</v>
      </c>
      <c r="F2190" s="20" t="s">
        <v>224</v>
      </c>
      <c r="G2190" s="20" t="s">
        <v>278</v>
      </c>
      <c r="J2190" s="21">
        <v>1280</v>
      </c>
      <c r="T2190" s="16" t="s">
        <v>137</v>
      </c>
      <c r="U2190" s="16" t="s">
        <v>182</v>
      </c>
      <c r="AP2190" s="16">
        <f>SUM(AL2190:AN2190)</f>
        <v>0</v>
      </c>
      <c r="AT2190" s="16" t="s">
        <v>285</v>
      </c>
      <c r="AY2190" s="18"/>
      <c r="BG2190" s="23"/>
      <c r="BT2190" s="23"/>
      <c r="CD2190" s="23"/>
      <c r="DF2190" s="16" t="e">
        <f>VLOOKUP(K2190,'[3]RNA Seq summary tables'!$V$3:$V$99,1,FALSE)</f>
        <v>#N/A</v>
      </c>
      <c r="JO2190" s="27"/>
      <c r="JP2190" s="27"/>
      <c r="JQ2190" s="27"/>
    </row>
    <row r="2191" spans="2:277" x14ac:dyDescent="0.2">
      <c r="B2191" s="16">
        <v>2017</v>
      </c>
      <c r="C2191" s="20">
        <v>42976</v>
      </c>
      <c r="D2191" s="20" t="str">
        <f>CONCATENATE(J2191,"-",C2191)</f>
        <v>1286-42976</v>
      </c>
      <c r="E2191" s="20" t="str">
        <f>CONCATENATE(T2191,"-",U2191,"-",C2191)</f>
        <v>PO1-D2-42976</v>
      </c>
      <c r="F2191" s="20" t="s">
        <v>224</v>
      </c>
      <c r="G2191" s="20" t="s">
        <v>278</v>
      </c>
      <c r="J2191" s="21">
        <v>1286</v>
      </c>
      <c r="T2191" s="16" t="s">
        <v>112</v>
      </c>
      <c r="U2191" s="16" t="s">
        <v>198</v>
      </c>
      <c r="AP2191" s="16">
        <f>SUM(AL2191:AN2191)</f>
        <v>0</v>
      </c>
      <c r="AT2191" s="16" t="s">
        <v>285</v>
      </c>
      <c r="AY2191" s="18"/>
      <c r="BG2191" s="23"/>
      <c r="BT2191" s="23"/>
      <c r="CD2191" s="23"/>
      <c r="DF2191" s="16" t="e">
        <f>VLOOKUP(K2191,'[3]RNA Seq summary tables'!$V$3:$V$99,1,FALSE)</f>
        <v>#N/A</v>
      </c>
      <c r="JO2191" s="18"/>
      <c r="JP2191" s="27"/>
      <c r="JQ2191" s="27"/>
    </row>
    <row r="2192" spans="2:277" x14ac:dyDescent="0.2">
      <c r="B2192" s="16">
        <v>2017</v>
      </c>
      <c r="C2192" s="20">
        <v>42977</v>
      </c>
      <c r="D2192" s="20" t="str">
        <f>CONCATENATE(J2192,"-",C2192)</f>
        <v>1286-42977</v>
      </c>
      <c r="E2192" s="20" t="str">
        <f>CONCATENATE(T2192,"-",U2192,"-",C2192)</f>
        <v>PO1-D2-42977</v>
      </c>
      <c r="F2192" s="20" t="s">
        <v>224</v>
      </c>
      <c r="G2192" s="20" t="s">
        <v>278</v>
      </c>
      <c r="J2192" s="21">
        <v>1286</v>
      </c>
      <c r="T2192" s="16" t="s">
        <v>112</v>
      </c>
      <c r="U2192" s="16" t="s">
        <v>198</v>
      </c>
      <c r="AP2192" s="16">
        <f>SUM(AL2192:AN2192)</f>
        <v>0</v>
      </c>
      <c r="AT2192" s="16" t="s">
        <v>285</v>
      </c>
      <c r="AY2192" s="18"/>
      <c r="BG2192" s="23"/>
      <c r="BT2192" s="23"/>
      <c r="CD2192" s="23"/>
      <c r="DF2192" s="16" t="e">
        <f>VLOOKUP(K2192,'[3]RNA Seq summary tables'!$V$3:$V$99,1,FALSE)</f>
        <v>#N/A</v>
      </c>
      <c r="JP2192" s="27"/>
      <c r="JQ2192" s="27"/>
    </row>
    <row r="2193" spans="2:277" x14ac:dyDescent="0.2">
      <c r="B2193" s="16">
        <v>2017</v>
      </c>
      <c r="C2193" s="20">
        <v>42947</v>
      </c>
      <c r="D2193" s="20" t="str">
        <f>CONCATENATE(J2193,"-",C2193)</f>
        <v>1289-42947</v>
      </c>
      <c r="E2193" s="20" t="str">
        <f>CONCATENATE(T2193,"-",U2193,"-",C2193)</f>
        <v>PO1-H8-42947</v>
      </c>
      <c r="F2193" s="20" t="s">
        <v>106</v>
      </c>
      <c r="G2193" s="20" t="s">
        <v>278</v>
      </c>
      <c r="J2193" s="21">
        <v>1289</v>
      </c>
      <c r="T2193" s="16" t="s">
        <v>112</v>
      </c>
      <c r="U2193" s="16" t="s">
        <v>152</v>
      </c>
      <c r="AP2193" s="16">
        <f>SUM(AL2193:AN2193)</f>
        <v>0</v>
      </c>
      <c r="AT2193" s="16" t="s">
        <v>285</v>
      </c>
      <c r="AY2193" s="18"/>
      <c r="BG2193" s="23"/>
      <c r="BT2193" s="23"/>
      <c r="CD2193" s="23"/>
      <c r="DF2193" s="16" t="e">
        <f>VLOOKUP(K2193,'[3]RNA Seq summary tables'!$V$3:$V$99,1,FALSE)</f>
        <v>#N/A</v>
      </c>
      <c r="JO2193" s="27"/>
      <c r="JP2193" s="27"/>
      <c r="JQ2193" s="27"/>
    </row>
    <row r="2194" spans="2:277" x14ac:dyDescent="0.2">
      <c r="B2194" s="16">
        <v>2017</v>
      </c>
      <c r="C2194" s="20">
        <v>42964</v>
      </c>
      <c r="D2194" s="20" t="str">
        <f>CONCATENATE(J2194,"-",C2194)</f>
        <v>1292-42964</v>
      </c>
      <c r="E2194" s="20" t="str">
        <f>CONCATENATE(T2194,"-",U2194,"-",C2194)</f>
        <v>PO1-C8-42964</v>
      </c>
      <c r="F2194" s="20" t="s">
        <v>106</v>
      </c>
      <c r="G2194" s="20" t="s">
        <v>278</v>
      </c>
      <c r="J2194" s="21">
        <v>1292</v>
      </c>
      <c r="T2194" s="16" t="s">
        <v>112</v>
      </c>
      <c r="U2194" s="16" t="s">
        <v>188</v>
      </c>
      <c r="AP2194" s="16">
        <f>SUM(AL2194:AN2194)</f>
        <v>0</v>
      </c>
      <c r="AT2194" s="16" t="s">
        <v>285</v>
      </c>
      <c r="AY2194" s="18"/>
      <c r="BG2194" s="23"/>
      <c r="BT2194" s="23"/>
      <c r="CD2194" s="23"/>
      <c r="DF2194" s="16" t="e">
        <f>VLOOKUP(K2194,'[3]RNA Seq summary tables'!$V$3:$V$99,1,FALSE)</f>
        <v>#N/A</v>
      </c>
      <c r="JO2194" s="27"/>
      <c r="JP2194" s="27"/>
      <c r="JQ2194" s="27"/>
    </row>
    <row r="2195" spans="2:277" x14ac:dyDescent="0.2">
      <c r="B2195" s="16">
        <v>2017</v>
      </c>
      <c r="C2195" s="20">
        <v>42976</v>
      </c>
      <c r="D2195" s="20" t="str">
        <f>CONCATENATE(J2195,"-",C2195)</f>
        <v>1292-42976</v>
      </c>
      <c r="E2195" s="20" t="str">
        <f>CONCATENATE(T2195,"-",U2195,"-",C2195)</f>
        <v>PO1-E6-42976</v>
      </c>
      <c r="F2195" s="20" t="s">
        <v>224</v>
      </c>
      <c r="G2195" s="20" t="s">
        <v>278</v>
      </c>
      <c r="J2195" s="21">
        <v>1292</v>
      </c>
      <c r="T2195" s="16" t="s">
        <v>112</v>
      </c>
      <c r="U2195" s="16" t="s">
        <v>232</v>
      </c>
      <c r="AP2195" s="16">
        <f>SUM(AL2195:AN2195)</f>
        <v>0</v>
      </c>
      <c r="AT2195" s="16" t="s">
        <v>285</v>
      </c>
      <c r="AY2195" s="18"/>
      <c r="BG2195" s="23"/>
      <c r="BT2195" s="23"/>
      <c r="CD2195" s="23"/>
      <c r="DF2195" s="16" t="e">
        <f>VLOOKUP(K2195,'[3]RNA Seq summary tables'!$V$3:$V$99,1,FALSE)</f>
        <v>#N/A</v>
      </c>
      <c r="JO2195" s="18"/>
      <c r="JP2195" s="27"/>
      <c r="JQ2195" s="27"/>
    </row>
    <row r="2196" spans="2:277" x14ac:dyDescent="0.2">
      <c r="B2196" s="16">
        <v>2017</v>
      </c>
      <c r="C2196" s="20">
        <v>42977</v>
      </c>
      <c r="D2196" s="20" t="str">
        <f>CONCATENATE(J2196,"-",C2196)</f>
        <v>1292-42977</v>
      </c>
      <c r="E2196" s="20" t="str">
        <f>CONCATENATE(T2196,"-",U2196,"-",C2196)</f>
        <v>PO1-C8-42977</v>
      </c>
      <c r="F2196" s="20" t="s">
        <v>224</v>
      </c>
      <c r="G2196" s="20" t="s">
        <v>278</v>
      </c>
      <c r="J2196" s="21">
        <v>1292</v>
      </c>
      <c r="T2196" s="16" t="s">
        <v>112</v>
      </c>
      <c r="U2196" s="16" t="s">
        <v>188</v>
      </c>
      <c r="AP2196" s="16">
        <f>SUM(AL2196:AN2196)</f>
        <v>0</v>
      </c>
      <c r="AT2196" s="16" t="s">
        <v>285</v>
      </c>
      <c r="AY2196" s="18"/>
      <c r="BG2196" s="23"/>
      <c r="BT2196" s="23"/>
      <c r="CD2196" s="23"/>
      <c r="DF2196" s="16" t="e">
        <f>VLOOKUP(K2196,'[3]RNA Seq summary tables'!$V$3:$V$99,1,FALSE)</f>
        <v>#N/A</v>
      </c>
      <c r="JP2196" s="27"/>
      <c r="JQ2196" s="27"/>
    </row>
    <row r="2197" spans="2:277" x14ac:dyDescent="0.2">
      <c r="B2197" s="16">
        <v>2017</v>
      </c>
      <c r="C2197" s="20">
        <v>42949</v>
      </c>
      <c r="D2197" s="20" t="str">
        <f>CONCATENATE(J2197,"-",C2197)</f>
        <v>1297-42949</v>
      </c>
      <c r="E2197" s="20" t="str">
        <f>CONCATENATE(T2197,"-",U2197,"-",C2197)</f>
        <v>HW2-A6-42949</v>
      </c>
      <c r="F2197" s="20" t="s">
        <v>106</v>
      </c>
      <c r="G2197" s="20" t="s">
        <v>278</v>
      </c>
      <c r="J2197" s="21">
        <v>1297</v>
      </c>
      <c r="T2197" s="16" t="s">
        <v>129</v>
      </c>
      <c r="U2197" s="16" t="s">
        <v>147</v>
      </c>
      <c r="AP2197" s="16">
        <f>SUM(AL2197:AN2197)</f>
        <v>0</v>
      </c>
      <c r="AT2197" s="16" t="s">
        <v>285</v>
      </c>
      <c r="AY2197" s="18"/>
      <c r="BG2197" s="23"/>
      <c r="BT2197" s="23"/>
      <c r="CD2197" s="23"/>
      <c r="DF2197" s="16" t="e">
        <f>VLOOKUP(K2197,'[3]RNA Seq summary tables'!$V$3:$V$99,1,FALSE)</f>
        <v>#N/A</v>
      </c>
      <c r="JO2197" s="27"/>
      <c r="JP2197" s="18"/>
      <c r="JQ2197" s="18"/>
    </row>
    <row r="2198" spans="2:277" x14ac:dyDescent="0.2">
      <c r="B2198" s="16">
        <v>2017</v>
      </c>
      <c r="C2198" s="20">
        <v>42950</v>
      </c>
      <c r="D2198" s="20" t="str">
        <f>CONCATENATE(J2198,"-",C2198)</f>
        <v>1297-42950</v>
      </c>
      <c r="E2198" s="20" t="str">
        <f>CONCATENATE(T2198,"-",U2198,"-",C2198)</f>
        <v>HW2-A7-42950</v>
      </c>
      <c r="F2198" s="20" t="s">
        <v>106</v>
      </c>
      <c r="G2198" s="20" t="s">
        <v>278</v>
      </c>
      <c r="J2198" s="21">
        <v>1297</v>
      </c>
      <c r="T2198" s="16" t="s">
        <v>129</v>
      </c>
      <c r="U2198" s="16" t="s">
        <v>120</v>
      </c>
      <c r="AP2198" s="16">
        <f>SUM(AL2198:AN2198)</f>
        <v>0</v>
      </c>
      <c r="AT2198" s="16" t="s">
        <v>285</v>
      </c>
      <c r="AY2198" s="18"/>
      <c r="BG2198" s="23"/>
      <c r="BT2198" s="23"/>
      <c r="CD2198" s="23"/>
      <c r="DF2198" s="16" t="e">
        <f>VLOOKUP(K2198,'[3]RNA Seq summary tables'!$V$3:$V$99,1,FALSE)</f>
        <v>#N/A</v>
      </c>
      <c r="JO2198" s="27"/>
      <c r="JP2198" s="18"/>
      <c r="JQ2198" s="18"/>
    </row>
    <row r="2199" spans="2:277" x14ac:dyDescent="0.2">
      <c r="B2199" s="16">
        <v>2017</v>
      </c>
      <c r="C2199" s="20">
        <v>42967</v>
      </c>
      <c r="D2199" s="20" t="str">
        <f>CONCATENATE(J2199,"-",C2199)</f>
        <v>1297-42967</v>
      </c>
      <c r="E2199" s="20" t="str">
        <f>CONCATENATE(T2199,"-",U2199,"-",C2199)</f>
        <v>HW2-B7-42967</v>
      </c>
      <c r="F2199" s="20" t="s">
        <v>106</v>
      </c>
      <c r="G2199" s="20" t="s">
        <v>278</v>
      </c>
      <c r="J2199" s="21">
        <v>1297</v>
      </c>
      <c r="T2199" s="16" t="s">
        <v>129</v>
      </c>
      <c r="U2199" s="16" t="s">
        <v>168</v>
      </c>
      <c r="AP2199" s="16">
        <f>SUM(AL2199:AN2199)</f>
        <v>0</v>
      </c>
      <c r="AT2199" s="16" t="s">
        <v>285</v>
      </c>
      <c r="AY2199" s="18"/>
      <c r="BG2199" s="23"/>
      <c r="BT2199" s="23"/>
      <c r="CD2199" s="23"/>
      <c r="DF2199" s="16" t="e">
        <f>VLOOKUP(K2199,'[3]RNA Seq summary tables'!$V$3:$V$99,1,FALSE)</f>
        <v>#N/A</v>
      </c>
      <c r="JO2199" s="27"/>
      <c r="JP2199" s="18"/>
      <c r="JQ2199" s="18"/>
    </row>
    <row r="2200" spans="2:277" x14ac:dyDescent="0.2">
      <c r="B2200" s="16">
        <v>2017</v>
      </c>
      <c r="C2200" s="20">
        <v>42968</v>
      </c>
      <c r="D2200" s="20" t="str">
        <f>CONCATENATE(J2200,"-",C2200)</f>
        <v>1297-42968</v>
      </c>
      <c r="E2200" s="20" t="str">
        <f>CONCATENATE(T2200,"-",U2200,"-",C2200)</f>
        <v>HW2-B7-42968</v>
      </c>
      <c r="F2200" s="20" t="s">
        <v>106</v>
      </c>
      <c r="G2200" s="20" t="s">
        <v>278</v>
      </c>
      <c r="J2200" s="21">
        <v>1297</v>
      </c>
      <c r="T2200" s="16" t="s">
        <v>129</v>
      </c>
      <c r="U2200" s="16" t="s">
        <v>168</v>
      </c>
      <c r="AP2200" s="16">
        <f>SUM(AL2200:AN2200)</f>
        <v>0</v>
      </c>
      <c r="AT2200" s="16" t="s">
        <v>285</v>
      </c>
      <c r="AY2200" s="18"/>
      <c r="BG2200" s="23"/>
      <c r="BT2200" s="23"/>
      <c r="CD2200" s="23"/>
      <c r="DF2200" s="16" t="e">
        <f>VLOOKUP(K2200,'[3]RNA Seq summary tables'!$V$3:$V$99,1,FALSE)</f>
        <v>#N/A</v>
      </c>
      <c r="JO2200" s="27"/>
      <c r="JP2200" s="18"/>
      <c r="JQ2200" s="18"/>
    </row>
    <row r="2201" spans="2:277" x14ac:dyDescent="0.2">
      <c r="B2201" s="16">
        <v>2017</v>
      </c>
      <c r="C2201" s="20">
        <v>42950</v>
      </c>
      <c r="D2201" s="20" t="str">
        <f>CONCATENATE(J2201,"-",C2201)</f>
        <v>1298-42950</v>
      </c>
      <c r="E2201" s="20" t="str">
        <f>CONCATENATE(T2201,"-",U2201,"-",C2201)</f>
        <v>HW2-E2-42950</v>
      </c>
      <c r="F2201" s="20" t="s">
        <v>106</v>
      </c>
      <c r="G2201" s="20" t="s">
        <v>278</v>
      </c>
      <c r="J2201" s="21">
        <v>1298</v>
      </c>
      <c r="T2201" s="16" t="s">
        <v>129</v>
      </c>
      <c r="U2201" s="16" t="s">
        <v>136</v>
      </c>
      <c r="AP2201" s="16">
        <f>SUM(AL2201:AN2201)</f>
        <v>0</v>
      </c>
      <c r="AT2201" s="16" t="s">
        <v>285</v>
      </c>
      <c r="AY2201" s="18"/>
      <c r="BG2201" s="23"/>
      <c r="BT2201" s="23"/>
      <c r="CD2201" s="23"/>
      <c r="DF2201" s="16" t="e">
        <f>VLOOKUP(K2201,'[3]RNA Seq summary tables'!$V$3:$V$99,1,FALSE)</f>
        <v>#N/A</v>
      </c>
      <c r="JO2201" s="27"/>
      <c r="JP2201" s="18"/>
      <c r="JQ2201" s="18"/>
    </row>
    <row r="2202" spans="2:277" x14ac:dyDescent="0.2">
      <c r="B2202" s="16">
        <v>2017</v>
      </c>
      <c r="C2202" s="20">
        <v>42967</v>
      </c>
      <c r="D2202" s="20" t="str">
        <f>CONCATENATE(J2202,"-",C2202)</f>
        <v>1298-42967</v>
      </c>
      <c r="E2202" s="20" t="str">
        <f>CONCATENATE(T2202,"-",U2202,"-",C2202)</f>
        <v>HW2-C1-42967</v>
      </c>
      <c r="F2202" s="20" t="s">
        <v>106</v>
      </c>
      <c r="G2202" s="20" t="s">
        <v>278</v>
      </c>
      <c r="J2202" s="21">
        <v>1298</v>
      </c>
      <c r="T2202" s="16" t="s">
        <v>129</v>
      </c>
      <c r="U2202" s="16" t="s">
        <v>150</v>
      </c>
      <c r="AP2202" s="16">
        <f>SUM(AL2202:AN2202)</f>
        <v>0</v>
      </c>
      <c r="AT2202" s="16" t="s">
        <v>285</v>
      </c>
      <c r="AY2202" s="18"/>
      <c r="BG2202" s="23"/>
      <c r="BT2202" s="23"/>
      <c r="CD2202" s="23"/>
      <c r="DF2202" s="16" t="e">
        <f>VLOOKUP(K2202,'[3]RNA Seq summary tables'!$V$3:$V$99,1,FALSE)</f>
        <v>#N/A</v>
      </c>
      <c r="JO2202" s="27"/>
      <c r="JP2202" s="18"/>
      <c r="JQ2202" s="18"/>
    </row>
    <row r="2203" spans="2:277" x14ac:dyDescent="0.2">
      <c r="B2203" s="16">
        <v>2017</v>
      </c>
      <c r="C2203" s="20">
        <v>42968</v>
      </c>
      <c r="D2203" s="20" t="str">
        <f>CONCATENATE(J2203,"-",C2203)</f>
        <v>1298-42968</v>
      </c>
      <c r="E2203" s="20" t="str">
        <f>CONCATENATE(T2203,"-",U2203,"-",C2203)</f>
        <v>HW2-B1-42968</v>
      </c>
      <c r="F2203" s="20" t="s">
        <v>106</v>
      </c>
      <c r="G2203" s="20" t="s">
        <v>278</v>
      </c>
      <c r="J2203" s="21">
        <v>1298</v>
      </c>
      <c r="T2203" s="16" t="s">
        <v>129</v>
      </c>
      <c r="U2203" s="16" t="s">
        <v>113</v>
      </c>
      <c r="AP2203" s="16">
        <f>SUM(AL2203:AN2203)</f>
        <v>0</v>
      </c>
      <c r="AT2203" s="16" t="s">
        <v>285</v>
      </c>
      <c r="AY2203" s="18"/>
      <c r="BG2203" s="23"/>
      <c r="BT2203" s="23"/>
      <c r="CD2203" s="23"/>
      <c r="DF2203" s="16" t="e">
        <f>VLOOKUP(K2203,'[3]RNA Seq summary tables'!$V$3:$V$99,1,FALSE)</f>
        <v>#N/A</v>
      </c>
      <c r="JO2203" s="27"/>
      <c r="JP2203" s="18"/>
      <c r="JQ2203" s="18"/>
    </row>
    <row r="2204" spans="2:277" x14ac:dyDescent="0.2">
      <c r="B2204" s="16">
        <v>2017</v>
      </c>
      <c r="C2204" s="20">
        <v>42949</v>
      </c>
      <c r="D2204" s="20" t="str">
        <f>CONCATENATE(J2204,"-",C2204)</f>
        <v>1299-42949</v>
      </c>
      <c r="E2204" s="20" t="str">
        <f>CONCATENATE(T2204,"-",U2204,"-",C2204)</f>
        <v>HW2-E8-42949</v>
      </c>
      <c r="F2204" s="20" t="s">
        <v>106</v>
      </c>
      <c r="G2204" s="20" t="s">
        <v>278</v>
      </c>
      <c r="J2204" s="21">
        <v>1299</v>
      </c>
      <c r="T2204" s="16" t="s">
        <v>129</v>
      </c>
      <c r="U2204" s="16" t="s">
        <v>181</v>
      </c>
      <c r="AP2204" s="16">
        <f>SUM(AL2204:AN2204)</f>
        <v>0</v>
      </c>
      <c r="AT2204" s="16" t="s">
        <v>285</v>
      </c>
      <c r="AY2204" s="18"/>
      <c r="BG2204" s="23"/>
      <c r="BT2204" s="23"/>
      <c r="CD2204" s="23"/>
      <c r="DF2204" s="16" t="e">
        <f>VLOOKUP(K2204,'[3]RNA Seq summary tables'!$V$3:$V$99,1,FALSE)</f>
        <v>#N/A</v>
      </c>
      <c r="JO2204" s="27"/>
      <c r="JP2204" s="18"/>
      <c r="JQ2204" s="18"/>
    </row>
    <row r="2205" spans="2:277" x14ac:dyDescent="0.2">
      <c r="B2205" s="16">
        <v>2017</v>
      </c>
      <c r="C2205" s="20">
        <v>42950</v>
      </c>
      <c r="D2205" s="20" t="str">
        <f>CONCATENATE(J2205,"-",C2205)</f>
        <v>1299-42950</v>
      </c>
      <c r="E2205" s="20" t="str">
        <f>CONCATENATE(T2205,"-",U2205,"-",C2205)</f>
        <v>HW2-F8-42950</v>
      </c>
      <c r="F2205" s="20" t="s">
        <v>106</v>
      </c>
      <c r="G2205" s="20" t="s">
        <v>278</v>
      </c>
      <c r="J2205" s="21">
        <v>1299</v>
      </c>
      <c r="T2205" s="16" t="s">
        <v>129</v>
      </c>
      <c r="U2205" s="16" t="s">
        <v>138</v>
      </c>
      <c r="AP2205" s="16">
        <f>SUM(AL2205:AN2205)</f>
        <v>0</v>
      </c>
      <c r="AT2205" s="16" t="s">
        <v>285</v>
      </c>
      <c r="AY2205" s="18"/>
      <c r="BG2205" s="23"/>
      <c r="BT2205" s="23"/>
      <c r="CD2205" s="23"/>
      <c r="DF2205" s="16" t="e">
        <f>VLOOKUP(K2205,'[3]RNA Seq summary tables'!$V$3:$V$99,1,FALSE)</f>
        <v>#N/A</v>
      </c>
      <c r="JO2205" s="27"/>
      <c r="JP2205" s="18"/>
      <c r="JQ2205" s="18"/>
    </row>
    <row r="2206" spans="2:277" x14ac:dyDescent="0.2">
      <c r="B2206" s="16">
        <v>2017</v>
      </c>
      <c r="C2206" s="20">
        <v>42967</v>
      </c>
      <c r="D2206" s="20" t="str">
        <f>CONCATENATE(J2206,"-",C2206)</f>
        <v>1299-42967</v>
      </c>
      <c r="E2206" s="20" t="str">
        <f>CONCATENATE(T2206,"-",U2206,"-",C2206)</f>
        <v>HW2-F7-42967</v>
      </c>
      <c r="F2206" s="20" t="s">
        <v>106</v>
      </c>
      <c r="G2206" s="20" t="s">
        <v>278</v>
      </c>
      <c r="J2206" s="21">
        <v>1299</v>
      </c>
      <c r="T2206" s="16" t="s">
        <v>129</v>
      </c>
      <c r="U2206" s="16" t="s">
        <v>189</v>
      </c>
      <c r="AP2206" s="16">
        <f>SUM(AL2206:AN2206)</f>
        <v>0</v>
      </c>
      <c r="AT2206" s="16" t="s">
        <v>285</v>
      </c>
      <c r="AY2206" s="18"/>
      <c r="BG2206" s="23"/>
      <c r="BT2206" s="23"/>
      <c r="CD2206" s="23"/>
      <c r="DF2206" s="16" t="e">
        <f>VLOOKUP(K2206,'[3]RNA Seq summary tables'!$V$3:$V$99,1,FALSE)</f>
        <v>#N/A</v>
      </c>
      <c r="JO2206" s="27"/>
      <c r="JP2206" s="18"/>
      <c r="JQ2206" s="18"/>
    </row>
    <row r="2207" spans="2:277" x14ac:dyDescent="0.2">
      <c r="B2207" s="16">
        <v>2017</v>
      </c>
      <c r="C2207" s="20">
        <v>42968</v>
      </c>
      <c r="D2207" s="20" t="str">
        <f>CONCATENATE(J2207,"-",C2207)</f>
        <v>1299-42968</v>
      </c>
      <c r="E2207" s="20" t="str">
        <f>CONCATENATE(T2207,"-",U2207,"-",C2207)</f>
        <v>HW2-D7-42968</v>
      </c>
      <c r="F2207" s="20" t="s">
        <v>106</v>
      </c>
      <c r="G2207" s="20" t="s">
        <v>278</v>
      </c>
      <c r="J2207" s="21">
        <v>1299</v>
      </c>
      <c r="T2207" s="16" t="s">
        <v>129</v>
      </c>
      <c r="U2207" s="16" t="s">
        <v>177</v>
      </c>
      <c r="AP2207" s="16">
        <f>SUM(AL2207:AN2207)</f>
        <v>0</v>
      </c>
      <c r="AT2207" s="16" t="s">
        <v>285</v>
      </c>
      <c r="AY2207" s="18"/>
      <c r="BG2207" s="23"/>
      <c r="BT2207" s="23"/>
      <c r="CD2207" s="23"/>
      <c r="DF2207" s="16" t="e">
        <f>VLOOKUP(K2207,'[3]RNA Seq summary tables'!$V$3:$V$99,1,FALSE)</f>
        <v>#N/A</v>
      </c>
      <c r="JO2207" s="27"/>
      <c r="JP2207" s="18"/>
      <c r="JQ2207" s="18"/>
    </row>
    <row r="2208" spans="2:277" x14ac:dyDescent="0.2">
      <c r="B2208" s="16">
        <v>2017</v>
      </c>
      <c r="C2208" s="20">
        <v>42968</v>
      </c>
      <c r="D2208" s="20" t="str">
        <f>CONCATENATE(J2208,"-",C2208)</f>
        <v>1300-42968</v>
      </c>
      <c r="E2208" s="20" t="str">
        <f>CONCATENATE(T2208,"-",U2208,"-",C2208)</f>
        <v>HW2-H3-42968</v>
      </c>
      <c r="F2208" s="20" t="s">
        <v>106</v>
      </c>
      <c r="G2208" s="20" t="s">
        <v>278</v>
      </c>
      <c r="J2208" s="21">
        <v>1300</v>
      </c>
      <c r="T2208" s="16" t="s">
        <v>129</v>
      </c>
      <c r="U2208" s="16" t="s">
        <v>174</v>
      </c>
      <c r="AP2208" s="16">
        <f>SUM(AL2208:AN2208)</f>
        <v>0</v>
      </c>
      <c r="AT2208" s="16" t="s">
        <v>285</v>
      </c>
      <c r="AY2208" s="18"/>
      <c r="BG2208" s="23"/>
      <c r="BT2208" s="23"/>
      <c r="CD2208" s="23"/>
      <c r="DF2208" s="16" t="e">
        <f>VLOOKUP(K2208,'[3]RNA Seq summary tables'!$V$3:$V$99,1,FALSE)</f>
        <v>#N/A</v>
      </c>
      <c r="JO2208" s="18"/>
      <c r="JP2208" s="18"/>
      <c r="JQ2208" s="18"/>
    </row>
    <row r="2209" spans="2:277" x14ac:dyDescent="0.2">
      <c r="B2209" s="16">
        <v>2017</v>
      </c>
      <c r="C2209" s="20">
        <v>42967</v>
      </c>
      <c r="D2209" s="20" t="str">
        <f>CONCATENATE(J2209,"-",C2209)</f>
        <v>1301-42967</v>
      </c>
      <c r="E2209" s="20" t="str">
        <f>CONCATENATE(T2209,"-",U2209,"-",C2209)</f>
        <v>HW2-G8-42967</v>
      </c>
      <c r="F2209" s="20" t="s">
        <v>106</v>
      </c>
      <c r="G2209" s="20" t="s">
        <v>278</v>
      </c>
      <c r="J2209" s="21">
        <v>1301</v>
      </c>
      <c r="T2209" s="16" t="s">
        <v>129</v>
      </c>
      <c r="U2209" s="16" t="s">
        <v>216</v>
      </c>
      <c r="AP2209" s="16">
        <f>SUM(AL2209:AN2209)</f>
        <v>0</v>
      </c>
      <c r="AT2209" s="16" t="s">
        <v>285</v>
      </c>
      <c r="AY2209" s="18"/>
      <c r="BG2209" s="23"/>
      <c r="BT2209" s="23"/>
      <c r="CD2209" s="23"/>
      <c r="DF2209" s="16" t="e">
        <f>VLOOKUP(K2209,'[3]RNA Seq summary tables'!$V$3:$V$99,1,FALSE)</f>
        <v>#N/A</v>
      </c>
      <c r="JO2209" s="27"/>
      <c r="JP2209" s="18"/>
      <c r="JQ2209" s="18"/>
    </row>
    <row r="2210" spans="2:277" x14ac:dyDescent="0.2">
      <c r="B2210" s="16">
        <v>2017</v>
      </c>
      <c r="C2210" s="20">
        <v>42968</v>
      </c>
      <c r="D2210" s="20" t="str">
        <f>CONCATENATE(J2210,"-",C2210)</f>
        <v>1301-42968</v>
      </c>
      <c r="E2210" s="20" t="str">
        <f>CONCATENATE(T2210,"-",U2210,"-",C2210)</f>
        <v>HW2-G8-42968</v>
      </c>
      <c r="F2210" s="20" t="s">
        <v>106</v>
      </c>
      <c r="G2210" s="20" t="s">
        <v>278</v>
      </c>
      <c r="J2210" s="21">
        <v>1301</v>
      </c>
      <c r="T2210" s="16" t="s">
        <v>129</v>
      </c>
      <c r="U2210" s="16" t="s">
        <v>216</v>
      </c>
      <c r="AP2210" s="16">
        <f>SUM(AL2210:AN2210)</f>
        <v>0</v>
      </c>
      <c r="AT2210" s="16" t="s">
        <v>285</v>
      </c>
      <c r="AY2210" s="18"/>
      <c r="BG2210" s="23"/>
      <c r="BT2210" s="23"/>
      <c r="CD2210" s="23"/>
      <c r="DF2210" s="16" t="e">
        <f>VLOOKUP(K2210,'[3]RNA Seq summary tables'!$V$3:$V$99,1,FALSE)</f>
        <v>#N/A</v>
      </c>
      <c r="JO2210" s="18"/>
      <c r="JP2210" s="27"/>
      <c r="JQ2210" s="27"/>
    </row>
    <row r="2211" spans="2:277" x14ac:dyDescent="0.2">
      <c r="B2211" s="16">
        <v>2017</v>
      </c>
      <c r="C2211" s="20">
        <v>42950</v>
      </c>
      <c r="D2211" s="20" t="str">
        <f>CONCATENATE(J2211,"-",C2211)</f>
        <v>1302-42950</v>
      </c>
      <c r="E2211" s="20" t="str">
        <f>CONCATENATE(T2211,"-",U2211,"-",C2211)</f>
        <v>HW1-A2-42950</v>
      </c>
      <c r="F2211" s="20" t="s">
        <v>106</v>
      </c>
      <c r="G2211" s="20" t="s">
        <v>278</v>
      </c>
      <c r="J2211" s="21">
        <v>1302</v>
      </c>
      <c r="T2211" s="16" t="s">
        <v>133</v>
      </c>
      <c r="U2211" s="16" t="s">
        <v>171</v>
      </c>
      <c r="AP2211" s="16">
        <f>SUM(AL2211:AN2211)</f>
        <v>0</v>
      </c>
      <c r="AT2211" s="16" t="s">
        <v>285</v>
      </c>
      <c r="AY2211" s="18"/>
      <c r="BG2211" s="23"/>
      <c r="BT2211" s="23"/>
      <c r="CD2211" s="23"/>
      <c r="DF2211" s="16" t="e">
        <f>VLOOKUP(K2211,'[3]RNA Seq summary tables'!$V$3:$V$99,1,FALSE)</f>
        <v>#N/A</v>
      </c>
      <c r="JO2211" s="27"/>
      <c r="JP2211" s="27"/>
      <c r="JQ2211" s="27"/>
    </row>
    <row r="2212" spans="2:277" ht="16" x14ac:dyDescent="0.2">
      <c r="B2212" s="16">
        <v>2018</v>
      </c>
      <c r="C2212" s="124">
        <v>43231</v>
      </c>
      <c r="D2212" t="s">
        <v>401</v>
      </c>
      <c r="E2212" s="20" t="str">
        <f>CONCATENATE(T2212,"-",U2212,"-",C2212)</f>
        <v>PO2-H6-43231</v>
      </c>
      <c r="F2212" s="16" t="s">
        <v>227</v>
      </c>
      <c r="G2212" s="126" t="s">
        <v>278</v>
      </c>
      <c r="H2212" s="126"/>
      <c r="J2212" s="126">
        <v>1302</v>
      </c>
      <c r="K2212" s="126"/>
      <c r="O2212" s="126"/>
      <c r="T2212" s="126" t="s">
        <v>127</v>
      </c>
      <c r="U2212" s="126" t="s">
        <v>141</v>
      </c>
      <c r="V2212" s="126"/>
      <c r="X2212" s="126"/>
      <c r="Y2212" s="126"/>
      <c r="Z2212" s="126"/>
      <c r="AA2212" s="126"/>
      <c r="AB2212" s="126"/>
      <c r="AC2212" s="126"/>
      <c r="AD2212" s="126"/>
      <c r="AE2212" s="126"/>
      <c r="AH2212" s="126"/>
      <c r="AI2212" s="126"/>
      <c r="AK2212" s="125"/>
      <c r="AL2212" s="126"/>
      <c r="AM2212" s="126"/>
      <c r="AN2212" s="126"/>
      <c r="BG2212" s="23"/>
      <c r="BN2212" s="126"/>
      <c r="BT2212" s="23"/>
      <c r="CD2212" s="23"/>
      <c r="DF2212" s="16" t="e">
        <f>VLOOKUP(K2212,'[3]RNA Seq summary tables'!$V$3:$V$99,1,FALSE)</f>
        <v>#N/A</v>
      </c>
      <c r="DG2212" s="126"/>
    </row>
    <row r="2213" spans="2:277" ht="16" x14ac:dyDescent="0.2">
      <c r="B2213" s="16">
        <v>2018</v>
      </c>
      <c r="C2213" s="124">
        <v>43250</v>
      </c>
      <c r="D2213" t="s">
        <v>453</v>
      </c>
      <c r="E2213" s="20" t="str">
        <f>CONCATENATE(T2213,"-",U2213,"-",C2213)</f>
        <v>PO2-G8-43250</v>
      </c>
      <c r="F2213" s="16" t="s">
        <v>227</v>
      </c>
      <c r="G2213" s="126" t="s">
        <v>278</v>
      </c>
      <c r="H2213" s="126"/>
      <c r="J2213" s="126">
        <v>1302</v>
      </c>
      <c r="K2213" s="126"/>
      <c r="O2213" s="126"/>
      <c r="T2213" s="126" t="s">
        <v>127</v>
      </c>
      <c r="U2213" s="126" t="s">
        <v>216</v>
      </c>
      <c r="V2213" s="126"/>
      <c r="X2213" s="126"/>
      <c r="Y2213" s="126"/>
      <c r="Z2213" s="126"/>
      <c r="AA2213" s="126"/>
      <c r="AB2213" s="126"/>
      <c r="AC2213" s="126"/>
      <c r="AD2213" s="126"/>
      <c r="AE2213" s="126"/>
      <c r="AH2213" s="126"/>
      <c r="AI2213" s="126"/>
      <c r="AK2213" s="126"/>
      <c r="AL2213" s="126"/>
      <c r="AM2213" s="126"/>
      <c r="AN2213" s="126"/>
      <c r="BG2213" s="23"/>
      <c r="BN2213" s="126"/>
      <c r="BT2213" s="23"/>
      <c r="CD2213" s="23"/>
      <c r="DF2213" s="16" t="e">
        <f>VLOOKUP(K2213,'[3]RNA Seq summary tables'!$V$3:$V$99,1,FALSE)</f>
        <v>#N/A</v>
      </c>
      <c r="DG2213" s="126"/>
    </row>
    <row r="2214" spans="2:277" ht="16" x14ac:dyDescent="0.2">
      <c r="B2214" s="16">
        <v>2018</v>
      </c>
      <c r="C2214" s="124">
        <v>43267</v>
      </c>
      <c r="D2214" t="s">
        <v>496</v>
      </c>
      <c r="E2214" s="20" t="str">
        <f>CONCATENATE(T2214,"-",U2214,"-",C2214)</f>
        <v>PO2-H5-43267</v>
      </c>
      <c r="F2214" s="16" t="s">
        <v>227</v>
      </c>
      <c r="G2214" s="126" t="s">
        <v>278</v>
      </c>
      <c r="H2214" s="126"/>
      <c r="J2214" s="126">
        <v>1302</v>
      </c>
      <c r="K2214" s="126"/>
      <c r="O2214" s="126"/>
      <c r="T2214" s="126" t="s">
        <v>127</v>
      </c>
      <c r="U2214" s="126" t="s">
        <v>180</v>
      </c>
      <c r="V2214" s="126"/>
      <c r="X2214" s="126"/>
      <c r="Y2214" s="126"/>
      <c r="Z2214" s="126"/>
      <c r="AA2214" s="126"/>
      <c r="AB2214" s="126"/>
      <c r="AC2214" s="126"/>
      <c r="AD2214" s="126"/>
      <c r="AE2214" s="126"/>
      <c r="AH2214" s="126"/>
      <c r="AI2214" s="126"/>
      <c r="AK2214" s="126"/>
      <c r="AL2214" s="126"/>
      <c r="AM2214" s="126"/>
      <c r="AN2214" s="126"/>
      <c r="BG2214" s="23"/>
      <c r="BN2214" s="126"/>
      <c r="BT2214" s="23"/>
      <c r="CD2214" s="23"/>
      <c r="DF2214" s="16" t="e">
        <f>VLOOKUP(K2214,'[3]RNA Seq summary tables'!$V$3:$V$99,1,FALSE)</f>
        <v>#N/A</v>
      </c>
      <c r="DG2214" s="126"/>
    </row>
    <row r="2215" spans="2:277" ht="16" x14ac:dyDescent="0.2">
      <c r="B2215" s="16">
        <v>2018</v>
      </c>
      <c r="C2215" s="124">
        <v>43268</v>
      </c>
      <c r="D2215" t="s">
        <v>502</v>
      </c>
      <c r="E2215" s="20" t="str">
        <f>CONCATENATE(T2215,"-",U2215,"-",C2215)</f>
        <v>PO2-H8-43268</v>
      </c>
      <c r="F2215" s="16" t="s">
        <v>227</v>
      </c>
      <c r="G2215" s="126" t="s">
        <v>278</v>
      </c>
      <c r="H2215" s="126"/>
      <c r="J2215" s="126">
        <v>1302</v>
      </c>
      <c r="K2215" s="126"/>
      <c r="O2215" s="126"/>
      <c r="T2215" s="126" t="s">
        <v>127</v>
      </c>
      <c r="U2215" s="126" t="s">
        <v>152</v>
      </c>
      <c r="V2215" s="126"/>
      <c r="X2215" s="126"/>
      <c r="Y2215" s="126"/>
      <c r="Z2215" s="126"/>
      <c r="AA2215" s="126"/>
      <c r="AB2215" s="126"/>
      <c r="AC2215" s="126"/>
      <c r="AD2215" s="126"/>
      <c r="AE2215" s="126"/>
      <c r="AH2215" s="126"/>
      <c r="AI2215" s="126"/>
      <c r="AK2215" s="126"/>
      <c r="AL2215" s="126"/>
      <c r="AM2215" s="126"/>
      <c r="AN2215" s="126"/>
      <c r="BG2215" s="23"/>
      <c r="BN2215" s="126"/>
      <c r="BT2215" s="23"/>
      <c r="CD2215" s="23"/>
      <c r="DF2215" s="16" t="e">
        <f>VLOOKUP(K2215,'[3]RNA Seq summary tables'!$V$3:$V$99,1,FALSE)</f>
        <v>#N/A</v>
      </c>
      <c r="DG2215" s="126"/>
    </row>
    <row r="2216" spans="2:277" ht="16" x14ac:dyDescent="0.2">
      <c r="B2216" s="16">
        <v>2018</v>
      </c>
      <c r="C2216" s="124">
        <v>43284</v>
      </c>
      <c r="D2216" t="s">
        <v>582</v>
      </c>
      <c r="E2216" s="20" t="str">
        <f>CONCATENATE(T2216,"-",U2216,"-",C2216)</f>
        <v>PO2-F7-43284</v>
      </c>
      <c r="F2216" s="16" t="s">
        <v>227</v>
      </c>
      <c r="G2216" s="126" t="s">
        <v>278</v>
      </c>
      <c r="H2216" s="126" t="s">
        <v>1084</v>
      </c>
      <c r="J2216" s="126">
        <v>1302</v>
      </c>
      <c r="K2216" s="126"/>
      <c r="O2216" s="126"/>
      <c r="T2216" s="126" t="s">
        <v>127</v>
      </c>
      <c r="U2216" s="126" t="s">
        <v>189</v>
      </c>
      <c r="V2216" s="126"/>
      <c r="X2216" s="126"/>
      <c r="Y2216" s="126"/>
      <c r="Z2216" s="126"/>
      <c r="AA2216" s="126"/>
      <c r="AB2216" s="126"/>
      <c r="AC2216" s="126"/>
      <c r="AD2216" s="126"/>
      <c r="AE2216" s="126"/>
      <c r="AH2216" s="126"/>
      <c r="AI2216" s="126"/>
      <c r="AK2216" s="126"/>
      <c r="AL2216" s="126"/>
      <c r="AM2216" s="126"/>
      <c r="AN2216" s="126"/>
      <c r="BG2216" s="23"/>
      <c r="BN2216" s="126"/>
      <c r="BT2216" s="23"/>
      <c r="CD2216" s="23"/>
      <c r="DF2216" s="16" t="e">
        <f>VLOOKUP(K2216,'[3]RNA Seq summary tables'!$V$3:$V$99,1,FALSE)</f>
        <v>#N/A</v>
      </c>
      <c r="DG2216" s="126"/>
    </row>
    <row r="2217" spans="2:277" ht="16" x14ac:dyDescent="0.2">
      <c r="B2217" s="16">
        <v>2018</v>
      </c>
      <c r="C2217" s="124">
        <v>43285</v>
      </c>
      <c r="D2217" t="s">
        <v>598</v>
      </c>
      <c r="E2217" s="20" t="str">
        <f>CONCATENATE(T2217,"-",U2217,"-",C2217)</f>
        <v>PO2-H5-43285</v>
      </c>
      <c r="F2217" s="16" t="s">
        <v>227</v>
      </c>
      <c r="G2217" s="126" t="s">
        <v>278</v>
      </c>
      <c r="H2217" s="126"/>
      <c r="J2217" s="126">
        <v>1302</v>
      </c>
      <c r="K2217" s="126"/>
      <c r="O2217" s="126"/>
      <c r="T2217" s="126" t="s">
        <v>127</v>
      </c>
      <c r="U2217" s="126" t="s">
        <v>180</v>
      </c>
      <c r="V2217" s="126"/>
      <c r="X2217" s="126"/>
      <c r="Y2217" s="126"/>
      <c r="Z2217" s="126"/>
      <c r="AA2217" s="126"/>
      <c r="AB2217" s="126"/>
      <c r="AC2217" s="126"/>
      <c r="AD2217" s="126"/>
      <c r="AE2217" s="126"/>
      <c r="AH2217" s="126"/>
      <c r="AI2217" s="126"/>
      <c r="AK2217" s="126"/>
      <c r="AL2217" s="126"/>
      <c r="AM2217" s="126"/>
      <c r="AN2217" s="126"/>
      <c r="BG2217" s="23"/>
      <c r="BN2217" s="126"/>
      <c r="BT2217" s="23"/>
      <c r="CD2217" s="23"/>
      <c r="DF2217" s="16" t="e">
        <f>VLOOKUP(K2217,'[3]RNA Seq summary tables'!$V$3:$V$99,1,FALSE)</f>
        <v>#N/A</v>
      </c>
      <c r="DG2217" s="126"/>
    </row>
    <row r="2218" spans="2:277" x14ac:dyDescent="0.2">
      <c r="B2218" s="16">
        <v>2017</v>
      </c>
      <c r="C2218" s="20">
        <v>42950</v>
      </c>
      <c r="D2218" s="20" t="str">
        <f>CONCATENATE(J2218,"-",C2218)</f>
        <v>1303-42950</v>
      </c>
      <c r="E2218" s="20" t="str">
        <f>CONCATENATE(T2218,"-",U2218,"-",C2218)</f>
        <v>HW1-C4-42950</v>
      </c>
      <c r="F2218" s="20" t="s">
        <v>106</v>
      </c>
      <c r="G2218" s="20" t="s">
        <v>278</v>
      </c>
      <c r="J2218" s="21">
        <v>1303</v>
      </c>
      <c r="T2218" s="16" t="s">
        <v>133</v>
      </c>
      <c r="U2218" s="16" t="s">
        <v>229</v>
      </c>
      <c r="AP2218" s="16">
        <f>SUM(AL2218:AN2218)</f>
        <v>0</v>
      </c>
      <c r="AT2218" s="16" t="s">
        <v>285</v>
      </c>
      <c r="AY2218" s="18"/>
      <c r="BG2218" s="23"/>
      <c r="BT2218" s="23"/>
      <c r="CD2218" s="23"/>
      <c r="DF2218" s="16" t="e">
        <f>VLOOKUP(K2218,'[3]RNA Seq summary tables'!$V$3:$V$99,1,FALSE)</f>
        <v>#N/A</v>
      </c>
      <c r="JO2218" s="27"/>
      <c r="JP2218" s="27"/>
      <c r="JQ2218" s="27"/>
    </row>
    <row r="2219" spans="2:277" x14ac:dyDescent="0.2">
      <c r="B2219" s="16">
        <v>2017</v>
      </c>
      <c r="C2219" s="20">
        <v>42949</v>
      </c>
      <c r="D2219" s="20" t="str">
        <f>CONCATENATE(J2219,"-",C2219)</f>
        <v>1304-42949</v>
      </c>
      <c r="E2219" s="20" t="str">
        <f>CONCATENATE(T2219,"-",U2219,"-",C2219)</f>
        <v>HW1-A6-42949</v>
      </c>
      <c r="F2219" s="20" t="s">
        <v>106</v>
      </c>
      <c r="G2219" s="20" t="s">
        <v>278</v>
      </c>
      <c r="J2219" s="21">
        <v>1304</v>
      </c>
      <c r="T2219" s="16" t="s">
        <v>133</v>
      </c>
      <c r="U2219" s="16" t="s">
        <v>147</v>
      </c>
      <c r="AP2219" s="16">
        <f>SUM(AL2219:AN2219)</f>
        <v>0</v>
      </c>
      <c r="AT2219" s="16" t="s">
        <v>285</v>
      </c>
      <c r="AY2219" s="18"/>
      <c r="BG2219" s="23"/>
      <c r="BT2219" s="23"/>
      <c r="CD2219" s="23"/>
      <c r="DF2219" s="16" t="e">
        <f>VLOOKUP(K2219,'[3]RNA Seq summary tables'!$V$3:$V$99,1,FALSE)</f>
        <v>#N/A</v>
      </c>
      <c r="JO2219" s="27"/>
      <c r="JP2219" s="27"/>
      <c r="JQ2219" s="27"/>
    </row>
    <row r="2220" spans="2:277" x14ac:dyDescent="0.2">
      <c r="B2220" s="16">
        <v>2017</v>
      </c>
      <c r="C2220" s="20">
        <v>42949</v>
      </c>
      <c r="D2220" s="20" t="str">
        <f>CONCATENATE(J2220,"-",C2220)</f>
        <v>1305-42949</v>
      </c>
      <c r="E2220" s="20" t="str">
        <f>CONCATENATE(T2220,"-",U2220,"-",C2220)</f>
        <v>HW1-A4-42949</v>
      </c>
      <c r="F2220" s="20" t="s">
        <v>106</v>
      </c>
      <c r="G2220" s="20" t="s">
        <v>278</v>
      </c>
      <c r="J2220" s="21">
        <v>1305</v>
      </c>
      <c r="T2220" s="16" t="s">
        <v>133</v>
      </c>
      <c r="U2220" s="16" t="s">
        <v>134</v>
      </c>
      <c r="AP2220" s="16">
        <f>SUM(AL2220:AN2220)</f>
        <v>0</v>
      </c>
      <c r="AT2220" s="16" t="s">
        <v>285</v>
      </c>
      <c r="AY2220" s="18"/>
      <c r="BG2220" s="23"/>
      <c r="BT2220" s="23"/>
      <c r="CD2220" s="23"/>
      <c r="DF2220" s="16" t="e">
        <f>VLOOKUP(K2220,'[3]RNA Seq summary tables'!$V$3:$V$99,1,FALSE)</f>
        <v>#N/A</v>
      </c>
      <c r="JO2220" s="27"/>
      <c r="JP2220" s="27"/>
      <c r="JQ2220" s="27"/>
    </row>
    <row r="2221" spans="2:277" x14ac:dyDescent="0.2">
      <c r="B2221" s="16">
        <v>2017</v>
      </c>
      <c r="C2221" s="20">
        <v>42949</v>
      </c>
      <c r="D2221" s="20" t="str">
        <f>CONCATENATE(J2221,"-",C2221)</f>
        <v>1306-42949</v>
      </c>
      <c r="E2221" s="20" t="str">
        <f>CONCATENATE(T2221,"-",U2221,"-",C2221)</f>
        <v>HW1-B5-42949</v>
      </c>
      <c r="F2221" s="20" t="s">
        <v>106</v>
      </c>
      <c r="G2221" s="20" t="s">
        <v>278</v>
      </c>
      <c r="J2221" s="21">
        <v>1306</v>
      </c>
      <c r="T2221" s="16" t="s">
        <v>133</v>
      </c>
      <c r="U2221" s="16" t="s">
        <v>160</v>
      </c>
      <c r="AP2221" s="16">
        <f>SUM(AL2221:AN2221)</f>
        <v>0</v>
      </c>
      <c r="AT2221" s="16" t="s">
        <v>285</v>
      </c>
      <c r="AY2221" s="18"/>
      <c r="BG2221" s="23"/>
      <c r="BT2221" s="23"/>
      <c r="CD2221" s="23"/>
      <c r="DF2221" s="16" t="e">
        <f>VLOOKUP(K2221,'[3]RNA Seq summary tables'!$V$3:$V$99,1,FALSE)</f>
        <v>#N/A</v>
      </c>
      <c r="JO2221" s="27"/>
      <c r="JP2221" s="18"/>
      <c r="JQ2221" s="18"/>
    </row>
    <row r="2222" spans="2:277" x14ac:dyDescent="0.2">
      <c r="B2222" s="16">
        <v>2017</v>
      </c>
      <c r="C2222" s="20">
        <v>42950</v>
      </c>
      <c r="D2222" s="20" t="str">
        <f>CONCATENATE(J2222,"-",C2222)</f>
        <v>1306-42950</v>
      </c>
      <c r="E2222" s="20" t="str">
        <f>CONCATENATE(T2222,"-",U2222,"-",C2222)</f>
        <v>HW1-C3-42950</v>
      </c>
      <c r="F2222" s="20" t="s">
        <v>106</v>
      </c>
      <c r="G2222" s="20" t="s">
        <v>278</v>
      </c>
      <c r="J2222" s="21">
        <v>1306</v>
      </c>
      <c r="T2222" s="16" t="s">
        <v>133</v>
      </c>
      <c r="U2222" s="16" t="s">
        <v>237</v>
      </c>
      <c r="AP2222" s="16">
        <f>SUM(AL2222:AN2222)</f>
        <v>0</v>
      </c>
      <c r="AT2222" s="16" t="s">
        <v>285</v>
      </c>
      <c r="AY2222" s="18"/>
      <c r="BG2222" s="23"/>
      <c r="BT2222" s="23"/>
      <c r="CD2222" s="23"/>
      <c r="DF2222" s="16" t="e">
        <f>VLOOKUP(K2222,'[3]RNA Seq summary tables'!$V$3:$V$99,1,FALSE)</f>
        <v>#N/A</v>
      </c>
      <c r="JO2222" s="27"/>
      <c r="JP2222" s="18"/>
      <c r="JQ2222" s="18"/>
    </row>
    <row r="2223" spans="2:277" x14ac:dyDescent="0.2">
      <c r="B2223" s="16">
        <v>2017</v>
      </c>
      <c r="C2223" s="20">
        <v>42950</v>
      </c>
      <c r="D2223" s="20" t="str">
        <f>CONCATENATE(J2223,"-",C2223)</f>
        <v>1307-42950</v>
      </c>
      <c r="E2223" s="20" t="str">
        <f>CONCATENATE(T2223,"-",U2223,"-",C2223)</f>
        <v>HW1-H1-42950</v>
      </c>
      <c r="F2223" s="20" t="s">
        <v>106</v>
      </c>
      <c r="G2223" s="20" t="s">
        <v>278</v>
      </c>
      <c r="J2223" s="21">
        <v>1307</v>
      </c>
      <c r="T2223" s="16" t="s">
        <v>133</v>
      </c>
      <c r="U2223" s="16" t="s">
        <v>191</v>
      </c>
      <c r="AP2223" s="16">
        <f>SUM(AL2223:AN2223)</f>
        <v>0</v>
      </c>
      <c r="AT2223" s="16" t="s">
        <v>285</v>
      </c>
      <c r="AY2223" s="18"/>
      <c r="BG2223" s="23"/>
      <c r="BT2223" s="23"/>
      <c r="CD2223" s="23"/>
      <c r="DF2223" s="16" t="e">
        <f>VLOOKUP(K2223,'[3]RNA Seq summary tables'!$V$3:$V$99,1,FALSE)</f>
        <v>#N/A</v>
      </c>
      <c r="JO2223" s="27"/>
      <c r="JP2223" s="27"/>
      <c r="JQ2223" s="27"/>
    </row>
    <row r="2224" spans="2:277" x14ac:dyDescent="0.2">
      <c r="B2224" s="16">
        <v>2017</v>
      </c>
      <c r="C2224" s="20">
        <v>42967</v>
      </c>
      <c r="D2224" s="20" t="str">
        <f>CONCATENATE(J2224,"-",C2224)</f>
        <v>1307-42967</v>
      </c>
      <c r="E2224" s="20" t="str">
        <f>CONCATENATE(T2224,"-",U2224,"-",C2224)</f>
        <v>HW1-E2-42967</v>
      </c>
      <c r="F2224" s="20" t="s">
        <v>106</v>
      </c>
      <c r="G2224" s="20" t="s">
        <v>278</v>
      </c>
      <c r="J2224" s="21">
        <v>1307</v>
      </c>
      <c r="T2224" s="16" t="s">
        <v>133</v>
      </c>
      <c r="U2224" s="16" t="s">
        <v>136</v>
      </c>
      <c r="AP2224" s="16">
        <f>SUM(AL2224:AN2224)</f>
        <v>0</v>
      </c>
      <c r="AT2224" s="16" t="s">
        <v>285</v>
      </c>
      <c r="AY2224" s="18"/>
      <c r="BG2224" s="23"/>
      <c r="BT2224" s="23"/>
      <c r="CD2224" s="23"/>
      <c r="DF2224" s="16" t="e">
        <f>VLOOKUP(K2224,'[3]RNA Seq summary tables'!$V$3:$V$99,1,FALSE)</f>
        <v>#N/A</v>
      </c>
      <c r="JO2224" s="27"/>
      <c r="JP2224" s="27"/>
      <c r="JQ2224" s="27"/>
    </row>
    <row r="2225" spans="2:277" x14ac:dyDescent="0.2">
      <c r="B2225" s="16">
        <v>2017</v>
      </c>
      <c r="C2225" s="20">
        <v>42968</v>
      </c>
      <c r="D2225" s="20" t="str">
        <f>CONCATENATE(J2225,"-",C2225)</f>
        <v>1307-42968</v>
      </c>
      <c r="E2225" s="20" t="str">
        <f>CONCATENATE(T2225,"-",U2225,"-",C2225)</f>
        <v>HW1-F2-42968</v>
      </c>
      <c r="F2225" s="20" t="s">
        <v>106</v>
      </c>
      <c r="G2225" s="20" t="s">
        <v>278</v>
      </c>
      <c r="J2225" s="21">
        <v>1307</v>
      </c>
      <c r="T2225" s="16" t="s">
        <v>133</v>
      </c>
      <c r="U2225" s="16" t="s">
        <v>187</v>
      </c>
      <c r="AP2225" s="16">
        <f>SUM(AL2225:AN2225)</f>
        <v>0</v>
      </c>
      <c r="AT2225" s="16" t="s">
        <v>285</v>
      </c>
      <c r="AY2225" s="18"/>
      <c r="BG2225" s="23"/>
      <c r="BT2225" s="23"/>
      <c r="CD2225" s="23"/>
      <c r="DF2225" s="16" t="e">
        <f>VLOOKUP(K2225,'[3]RNA Seq summary tables'!$V$3:$V$99,1,FALSE)</f>
        <v>#N/A</v>
      </c>
      <c r="JO2225" s="18"/>
      <c r="JP2225" s="27"/>
      <c r="JQ2225" s="27"/>
    </row>
    <row r="2226" spans="2:277" x14ac:dyDescent="0.2">
      <c r="B2226" s="16">
        <v>2017</v>
      </c>
      <c r="C2226" s="20">
        <v>42950</v>
      </c>
      <c r="D2226" s="20" t="str">
        <f>CONCATENATE(J2226,"-",C2226)</f>
        <v>1308-42950</v>
      </c>
      <c r="E2226" s="20" t="str">
        <f>CONCATENATE(T2226,"-",U2226,"-",C2226)</f>
        <v>HW2-A8-42950</v>
      </c>
      <c r="F2226" s="20" t="s">
        <v>106</v>
      </c>
      <c r="G2226" s="20" t="s">
        <v>278</v>
      </c>
      <c r="J2226" s="21">
        <v>1308</v>
      </c>
      <c r="T2226" s="16" t="s">
        <v>129</v>
      </c>
      <c r="U2226" s="16" t="s">
        <v>194</v>
      </c>
      <c r="AP2226" s="16">
        <f>SUM(AL2226:AN2226)</f>
        <v>0</v>
      </c>
      <c r="AT2226" s="16" t="s">
        <v>285</v>
      </c>
      <c r="AY2226" s="18"/>
      <c r="BG2226" s="23"/>
      <c r="BT2226" s="23"/>
      <c r="CD2226" s="23"/>
      <c r="DF2226" s="16" t="e">
        <f>VLOOKUP(K2226,'[3]RNA Seq summary tables'!$V$3:$V$99,1,FALSE)</f>
        <v>#N/A</v>
      </c>
      <c r="JO2226" s="27"/>
      <c r="JP2226" s="27"/>
      <c r="JQ2226" s="27"/>
    </row>
    <row r="2227" spans="2:277" ht="16" x14ac:dyDescent="0.2">
      <c r="B2227" s="16">
        <v>2018</v>
      </c>
      <c r="C2227" s="124">
        <v>43244</v>
      </c>
      <c r="D2227" t="s">
        <v>435</v>
      </c>
      <c r="E2227" s="20" t="str">
        <f>CONCATENATE(T2227,"-",U2227,"-",C2227)</f>
        <v>HW2-F5-43244</v>
      </c>
      <c r="F2227" s="16" t="s">
        <v>227</v>
      </c>
      <c r="G2227" s="126" t="s">
        <v>278</v>
      </c>
      <c r="H2227" s="126"/>
      <c r="J2227" s="126">
        <v>1308</v>
      </c>
      <c r="K2227" s="126"/>
      <c r="O2227" s="126"/>
      <c r="T2227" s="126" t="s">
        <v>129</v>
      </c>
      <c r="U2227" s="126" t="s">
        <v>185</v>
      </c>
      <c r="V2227" s="126"/>
      <c r="X2227" s="126"/>
      <c r="Y2227" s="126"/>
      <c r="Z2227" s="126"/>
      <c r="AA2227" s="126"/>
      <c r="AB2227" s="126"/>
      <c r="AC2227" s="126"/>
      <c r="AD2227" s="126"/>
      <c r="AE2227" s="126"/>
      <c r="AH2227" s="126"/>
      <c r="AI2227" s="126"/>
      <c r="AK2227" s="126"/>
      <c r="AL2227" s="126"/>
      <c r="AM2227" s="126"/>
      <c r="AN2227" s="126"/>
      <c r="BG2227" s="23"/>
      <c r="BN2227" s="126"/>
      <c r="BT2227" s="23"/>
      <c r="CD2227" s="23"/>
      <c r="DF2227" s="16" t="e">
        <f>VLOOKUP(K2227,'[3]RNA Seq summary tables'!$V$3:$V$99,1,FALSE)</f>
        <v>#N/A</v>
      </c>
      <c r="DG2227" s="126"/>
    </row>
    <row r="2228" spans="2:277" ht="16" x14ac:dyDescent="0.2">
      <c r="B2228" s="16">
        <v>2018</v>
      </c>
      <c r="C2228" s="124">
        <v>43278</v>
      </c>
      <c r="D2228" t="s">
        <v>560</v>
      </c>
      <c r="E2228" s="20" t="str">
        <f>CONCATENATE(T2228,"-",U2228,"-",C2228)</f>
        <v>HW2-D5-43278</v>
      </c>
      <c r="F2228" s="16" t="s">
        <v>227</v>
      </c>
      <c r="G2228" s="126" t="s">
        <v>278</v>
      </c>
      <c r="H2228" s="126"/>
      <c r="J2228" s="126">
        <v>1308</v>
      </c>
      <c r="K2228" s="126"/>
      <c r="O2228" s="126"/>
      <c r="T2228" s="126" t="s">
        <v>129</v>
      </c>
      <c r="U2228" s="126" t="s">
        <v>183</v>
      </c>
      <c r="V2228" s="126"/>
      <c r="X2228" s="126"/>
      <c r="Y2228" s="126"/>
      <c r="Z2228" s="126"/>
      <c r="AA2228" s="126"/>
      <c r="AB2228" s="126"/>
      <c r="AC2228" s="126"/>
      <c r="AD2228" s="126"/>
      <c r="AE2228" s="126"/>
      <c r="AH2228" s="126"/>
      <c r="AI2228" s="126"/>
      <c r="AK2228" s="126"/>
      <c r="AL2228" s="126"/>
      <c r="AM2228" s="126"/>
      <c r="AN2228" s="126"/>
      <c r="BG2228" s="23"/>
      <c r="BN2228" s="126"/>
      <c r="BT2228" s="23"/>
      <c r="CD2228" s="23"/>
      <c r="DF2228" s="16" t="e">
        <f>VLOOKUP(K2228,'[3]RNA Seq summary tables'!$V$3:$V$99,1,FALSE)</f>
        <v>#N/A</v>
      </c>
      <c r="DG2228" s="126"/>
    </row>
    <row r="2229" spans="2:277" ht="16" x14ac:dyDescent="0.2">
      <c r="B2229" s="16">
        <v>2018</v>
      </c>
      <c r="C2229" s="124">
        <v>43279</v>
      </c>
      <c r="D2229" t="s">
        <v>569</v>
      </c>
      <c r="E2229" s="20" t="str">
        <f>CONCATENATE(T2229,"-",U2229,"-",C2229)</f>
        <v>HW2-D4-43279</v>
      </c>
      <c r="F2229" s="16" t="s">
        <v>227</v>
      </c>
      <c r="G2229" s="126" t="s">
        <v>278</v>
      </c>
      <c r="H2229" s="126"/>
      <c r="J2229" s="126">
        <v>1308</v>
      </c>
      <c r="K2229" s="126"/>
      <c r="O2229" s="126"/>
      <c r="T2229" s="126" t="s">
        <v>129</v>
      </c>
      <c r="U2229" s="126" t="s">
        <v>221</v>
      </c>
      <c r="V2229" s="126"/>
      <c r="X2229" s="126"/>
      <c r="Y2229" s="126"/>
      <c r="Z2229" s="126"/>
      <c r="AA2229" s="126"/>
      <c r="AB2229" s="126"/>
      <c r="AC2229" s="126"/>
      <c r="AD2229" s="126"/>
      <c r="AE2229" s="126"/>
      <c r="AH2229" s="126"/>
      <c r="AI2229" s="126"/>
      <c r="AK2229" s="126"/>
      <c r="AL2229" s="126"/>
      <c r="AM2229" s="126"/>
      <c r="AN2229" s="126"/>
      <c r="BG2229" s="23"/>
      <c r="BN2229" s="126"/>
      <c r="BT2229" s="23"/>
      <c r="CD2229" s="23"/>
      <c r="DF2229" s="16" t="e">
        <f>VLOOKUP(K2229,'[3]RNA Seq summary tables'!$V$3:$V$99,1,FALSE)</f>
        <v>#N/A</v>
      </c>
      <c r="DG2229" s="126"/>
    </row>
    <row r="2230" spans="2:277" x14ac:dyDescent="0.2">
      <c r="B2230" s="16">
        <v>2017</v>
      </c>
      <c r="C2230" s="20">
        <v>42950</v>
      </c>
      <c r="D2230" s="20" t="str">
        <f>CONCATENATE(J2230,"-",C2230)</f>
        <v>1309-42950</v>
      </c>
      <c r="E2230" s="20" t="str">
        <f>CONCATENATE(T2230,"-",U2230,"-",C2230)</f>
        <v>HW2-A2-42950</v>
      </c>
      <c r="F2230" s="20" t="s">
        <v>106</v>
      </c>
      <c r="G2230" s="20" t="s">
        <v>278</v>
      </c>
      <c r="J2230" s="21">
        <v>1309</v>
      </c>
      <c r="T2230" s="16" t="s">
        <v>129</v>
      </c>
      <c r="U2230" s="16" t="s">
        <v>171</v>
      </c>
      <c r="AP2230" s="16">
        <f>SUM(AL2230:AN2230)</f>
        <v>0</v>
      </c>
      <c r="AT2230" s="16" t="s">
        <v>285</v>
      </c>
      <c r="AY2230" s="18"/>
      <c r="BG2230" s="23"/>
      <c r="BT2230" s="23"/>
      <c r="CD2230" s="23"/>
      <c r="DF2230" s="16" t="e">
        <f>VLOOKUP(K2230,'[3]RNA Seq summary tables'!$V$3:$V$99,1,FALSE)</f>
        <v>#N/A</v>
      </c>
      <c r="JO2230" s="27"/>
      <c r="JP2230" s="18"/>
      <c r="JQ2230" s="18"/>
    </row>
    <row r="2231" spans="2:277" x14ac:dyDescent="0.2">
      <c r="B2231" s="16">
        <v>2017</v>
      </c>
      <c r="C2231" s="20">
        <v>42950</v>
      </c>
      <c r="D2231" s="20" t="str">
        <f>CONCATENATE(J2231,"-",C2231)</f>
        <v>1310-42950</v>
      </c>
      <c r="E2231" s="20" t="str">
        <f>CONCATENATE(T2231,"-",U2231,"-",C2231)</f>
        <v>HW2-G1-42950</v>
      </c>
      <c r="F2231" s="20" t="s">
        <v>106</v>
      </c>
      <c r="G2231" s="20" t="s">
        <v>278</v>
      </c>
      <c r="J2231" s="21">
        <v>1310</v>
      </c>
      <c r="T2231" s="16" t="s">
        <v>129</v>
      </c>
      <c r="U2231" s="16" t="s">
        <v>155</v>
      </c>
      <c r="AP2231" s="16">
        <f>SUM(AL2231:AN2231)</f>
        <v>0</v>
      </c>
      <c r="AT2231" s="16" t="s">
        <v>285</v>
      </c>
      <c r="AY2231" s="18"/>
      <c r="BG2231" s="23"/>
      <c r="BT2231" s="23"/>
      <c r="CD2231" s="23"/>
      <c r="DF2231" s="16" t="e">
        <f>VLOOKUP(K2231,'[3]RNA Seq summary tables'!$V$3:$V$99,1,FALSE)</f>
        <v>#N/A</v>
      </c>
      <c r="JO2231" s="27"/>
      <c r="JP2231" s="18"/>
      <c r="JQ2231" s="18"/>
    </row>
    <row r="2232" spans="2:277" x14ac:dyDescent="0.2">
      <c r="B2232" s="16">
        <v>2017</v>
      </c>
      <c r="C2232" s="20">
        <v>42967</v>
      </c>
      <c r="D2232" s="20" t="str">
        <f>CONCATENATE(J2232,"-",C2232)</f>
        <v>1315-42967</v>
      </c>
      <c r="E2232" s="20" t="str">
        <f>CONCATENATE(T2232,"-",U2232,"-",C2232)</f>
        <v>HW2-D8-42967</v>
      </c>
      <c r="F2232" s="20" t="s">
        <v>106</v>
      </c>
      <c r="G2232" s="20" t="s">
        <v>278</v>
      </c>
      <c r="J2232" s="21">
        <v>1315</v>
      </c>
      <c r="T2232" s="16" t="s">
        <v>129</v>
      </c>
      <c r="U2232" s="16" t="s">
        <v>178</v>
      </c>
      <c r="AP2232" s="16">
        <f>SUM(AL2232:AN2232)</f>
        <v>0</v>
      </c>
      <c r="AT2232" s="16" t="s">
        <v>285</v>
      </c>
      <c r="AY2232" s="18"/>
      <c r="BG2232" s="23"/>
      <c r="BT2232" s="23"/>
      <c r="CD2232" s="23"/>
      <c r="DF2232" s="16" t="e">
        <f>VLOOKUP(K2232,'[3]RNA Seq summary tables'!$V$3:$V$99,1,FALSE)</f>
        <v>#N/A</v>
      </c>
      <c r="JO2232" s="27"/>
      <c r="JP2232" s="18"/>
      <c r="JQ2232" s="18"/>
    </row>
    <row r="2233" spans="2:277" x14ac:dyDescent="0.2">
      <c r="B2233" s="16">
        <v>2017</v>
      </c>
      <c r="C2233" s="20">
        <v>42968</v>
      </c>
      <c r="D2233" s="20" t="str">
        <f>CONCATENATE(J2233,"-",C2233)</f>
        <v>1316-42968</v>
      </c>
      <c r="E2233" s="20" t="str">
        <f>CONCATENATE(T2233,"-",U2233,"-",C2233)</f>
        <v>HW1-E2-42968</v>
      </c>
      <c r="F2233" s="20" t="s">
        <v>106</v>
      </c>
      <c r="G2233" s="20" t="s">
        <v>278</v>
      </c>
      <c r="J2233" s="21">
        <v>1316</v>
      </c>
      <c r="T2233" s="16" t="s">
        <v>133</v>
      </c>
      <c r="U2233" s="16" t="s">
        <v>136</v>
      </c>
      <c r="AP2233" s="16">
        <f>SUM(AL2233:AN2233)</f>
        <v>0</v>
      </c>
      <c r="AT2233" s="16" t="s">
        <v>285</v>
      </c>
      <c r="AY2233" s="18"/>
      <c r="BG2233" s="23"/>
      <c r="BT2233" s="23"/>
      <c r="CD2233" s="23"/>
      <c r="DF2233" s="16" t="e">
        <f>VLOOKUP(K2233,'[3]RNA Seq summary tables'!$V$3:$V$99,1,FALSE)</f>
        <v>#N/A</v>
      </c>
      <c r="JO2233" s="18"/>
      <c r="JP2233" s="18"/>
      <c r="JQ2233" s="18"/>
    </row>
    <row r="2234" spans="2:277" x14ac:dyDescent="0.2">
      <c r="B2234" s="16">
        <v>2017</v>
      </c>
      <c r="C2234" s="20">
        <v>42956</v>
      </c>
      <c r="D2234" s="20" t="str">
        <f>CONCATENATE(J2234,"-",C2234)</f>
        <v>1319-42956</v>
      </c>
      <c r="E2234" s="20" t="str">
        <f>CONCATENATE(T2234,"-",U2234,"-",C2234)</f>
        <v>BC2-H5-42956</v>
      </c>
      <c r="F2234" s="20" t="s">
        <v>106</v>
      </c>
      <c r="G2234" s="20" t="s">
        <v>278</v>
      </c>
      <c r="J2234" s="21">
        <v>1319</v>
      </c>
      <c r="T2234" s="16" t="s">
        <v>154</v>
      </c>
      <c r="U2234" s="16" t="s">
        <v>180</v>
      </c>
      <c r="AP2234" s="16">
        <f>SUM(AL2234:AN2234)</f>
        <v>0</v>
      </c>
      <c r="AT2234" s="16" t="s">
        <v>285</v>
      </c>
      <c r="AY2234" s="18"/>
      <c r="BG2234" s="23"/>
      <c r="BT2234" s="23"/>
      <c r="CD2234" s="23"/>
      <c r="DF2234" s="16" t="e">
        <f>VLOOKUP(K2234,'[3]RNA Seq summary tables'!$V$3:$V$99,1,FALSE)</f>
        <v>#N/A</v>
      </c>
      <c r="JO2234" s="27"/>
      <c r="JP2234" s="18"/>
      <c r="JQ2234" s="18"/>
    </row>
    <row r="2235" spans="2:277" x14ac:dyDescent="0.2">
      <c r="B2235" s="16">
        <v>2017</v>
      </c>
      <c r="C2235" s="20">
        <v>42956</v>
      </c>
      <c r="D2235" s="20" t="str">
        <f>CONCATENATE(J2235,"-",C2235)</f>
        <v>1320-42956</v>
      </c>
      <c r="E2235" s="20" t="str">
        <f>CONCATENATE(T2235,"-",U2235,"-",C2235)</f>
        <v>BC2-G5-42956</v>
      </c>
      <c r="F2235" s="20" t="s">
        <v>106</v>
      </c>
      <c r="G2235" s="20" t="s">
        <v>278</v>
      </c>
      <c r="J2235" s="21">
        <v>1320</v>
      </c>
      <c r="T2235" s="16" t="s">
        <v>154</v>
      </c>
      <c r="U2235" s="16" t="s">
        <v>200</v>
      </c>
      <c r="AP2235" s="16">
        <f>SUM(AL2235:AN2235)</f>
        <v>0</v>
      </c>
      <c r="AT2235" s="16" t="s">
        <v>285</v>
      </c>
      <c r="AY2235" s="18"/>
      <c r="BG2235" s="23"/>
      <c r="BT2235" s="23"/>
      <c r="CD2235" s="23"/>
      <c r="DF2235" s="16" t="e">
        <f>VLOOKUP(K2235,'[3]RNA Seq summary tables'!$V$3:$V$99,1,FALSE)</f>
        <v>#N/A</v>
      </c>
      <c r="JO2235" s="27"/>
      <c r="JP2235" s="18"/>
      <c r="JQ2235" s="18"/>
    </row>
    <row r="2236" spans="2:277" x14ac:dyDescent="0.2">
      <c r="B2236" s="16">
        <v>2017</v>
      </c>
      <c r="C2236" s="20">
        <v>42956</v>
      </c>
      <c r="D2236" s="20" t="str">
        <f>CONCATENATE(J2236,"-",C2236)</f>
        <v>1327-42956</v>
      </c>
      <c r="E2236" s="20" t="str">
        <f>CONCATENATE(T2236,"-",U2236,"-",C2236)</f>
        <v>BC2-F6-42956</v>
      </c>
      <c r="F2236" s="20" t="s">
        <v>106</v>
      </c>
      <c r="G2236" s="20" t="s">
        <v>278</v>
      </c>
      <c r="J2236" s="21">
        <v>1327</v>
      </c>
      <c r="T2236" s="16" t="s">
        <v>154</v>
      </c>
      <c r="U2236" s="16" t="s">
        <v>170</v>
      </c>
      <c r="AP2236" s="16">
        <f>SUM(AL2236:AN2236)</f>
        <v>0</v>
      </c>
      <c r="AT2236" s="16" t="s">
        <v>285</v>
      </c>
      <c r="AY2236" s="18"/>
      <c r="BG2236" s="23"/>
      <c r="BT2236" s="23"/>
      <c r="CD2236" s="23"/>
      <c r="DF2236" s="16" t="e">
        <f>VLOOKUP(K2236,'[3]RNA Seq summary tables'!$V$3:$V$99,1,FALSE)</f>
        <v>#N/A</v>
      </c>
      <c r="JO2236" s="27"/>
      <c r="JP2236" s="18"/>
      <c r="JQ2236" s="18"/>
    </row>
    <row r="2237" spans="2:277" x14ac:dyDescent="0.2">
      <c r="B2237" s="16">
        <v>2017</v>
      </c>
      <c r="C2237" s="20">
        <v>42958</v>
      </c>
      <c r="D2237" s="20" t="str">
        <f>CONCATENATE(J2237,"-",C2237)</f>
        <v>1333-42958</v>
      </c>
      <c r="E2237" s="20" t="str">
        <f>CONCATENATE(T2237,"-",U2237,"-",C2237)</f>
        <v>SP2-C8-42958</v>
      </c>
      <c r="F2237" s="20" t="s">
        <v>106</v>
      </c>
      <c r="G2237" s="20" t="s">
        <v>278</v>
      </c>
      <c r="J2237" s="21">
        <v>1333</v>
      </c>
      <c r="T2237" s="16" t="s">
        <v>137</v>
      </c>
      <c r="U2237" s="16" t="s">
        <v>188</v>
      </c>
      <c r="AP2237" s="16">
        <f>SUM(AL2237:AN2237)</f>
        <v>0</v>
      </c>
      <c r="AT2237" s="16" t="s">
        <v>285</v>
      </c>
      <c r="AY2237" s="18"/>
      <c r="BG2237" s="23"/>
      <c r="BT2237" s="23"/>
      <c r="CD2237" s="23"/>
      <c r="DF2237" s="16" t="e">
        <f>VLOOKUP(K2237,'[3]RNA Seq summary tables'!$V$3:$V$99,1,FALSE)</f>
        <v>#N/A</v>
      </c>
      <c r="JO2237" s="27"/>
      <c r="JP2237" s="18"/>
      <c r="JQ2237" s="18"/>
    </row>
    <row r="2238" spans="2:277" x14ac:dyDescent="0.2">
      <c r="B2238" s="16">
        <v>2017</v>
      </c>
      <c r="C2238" s="20">
        <v>42959</v>
      </c>
      <c r="D2238" s="20" t="str">
        <f>CONCATENATE(J2238,"-",C2238)</f>
        <v>1333-42959</v>
      </c>
      <c r="E2238" s="20" t="str">
        <f>CONCATENATE(T2238,"-",U2238,"-",C2238)</f>
        <v>SP2-B8-42959</v>
      </c>
      <c r="F2238" s="20" t="s">
        <v>106</v>
      </c>
      <c r="G2238" s="20" t="s">
        <v>278</v>
      </c>
      <c r="J2238" s="21">
        <v>1333</v>
      </c>
      <c r="T2238" s="16" t="s">
        <v>137</v>
      </c>
      <c r="U2238" s="16" t="s">
        <v>209</v>
      </c>
      <c r="AP2238" s="16">
        <f>SUM(AL2238:AN2238)</f>
        <v>0</v>
      </c>
      <c r="AT2238" s="16" t="s">
        <v>285</v>
      </c>
      <c r="AY2238" s="18"/>
      <c r="BG2238" s="23"/>
      <c r="BT2238" s="23"/>
      <c r="CD2238" s="23"/>
      <c r="DF2238" s="16" t="e">
        <f>VLOOKUP(K2238,'[3]RNA Seq summary tables'!$V$3:$V$99,1,FALSE)</f>
        <v>#N/A</v>
      </c>
      <c r="JO2238" s="27"/>
      <c r="JP2238" s="18"/>
      <c r="JQ2238" s="18"/>
    </row>
    <row r="2239" spans="2:277" x14ac:dyDescent="0.2">
      <c r="B2239" s="16">
        <v>2017</v>
      </c>
      <c r="C2239" s="20">
        <v>42958</v>
      </c>
      <c r="D2239" s="20" t="str">
        <f>CONCATENATE(J2239,"-",C2239)</f>
        <v>1335-42958</v>
      </c>
      <c r="E2239" s="20" t="str">
        <f>CONCATENATE(T2239,"-",U2239,"-",C2239)</f>
        <v>SP2-E5-42958</v>
      </c>
      <c r="F2239" s="20" t="s">
        <v>106</v>
      </c>
      <c r="G2239" s="20" t="s">
        <v>278</v>
      </c>
      <c r="J2239" s="21">
        <v>1335</v>
      </c>
      <c r="T2239" s="16" t="s">
        <v>137</v>
      </c>
      <c r="U2239" s="16" t="s">
        <v>158</v>
      </c>
      <c r="AP2239" s="16">
        <f>SUM(AL2239:AN2239)</f>
        <v>0</v>
      </c>
      <c r="AT2239" s="16" t="s">
        <v>285</v>
      </c>
      <c r="AY2239" s="18"/>
      <c r="BG2239" s="23"/>
      <c r="BT2239" s="23"/>
      <c r="CD2239" s="23"/>
      <c r="DF2239" s="16" t="e">
        <f>VLOOKUP(K2239,'[3]RNA Seq summary tables'!$V$3:$V$99,1,FALSE)</f>
        <v>#N/A</v>
      </c>
      <c r="JO2239" s="27"/>
      <c r="JP2239" s="18"/>
      <c r="JQ2239" s="18"/>
    </row>
    <row r="2240" spans="2:277" x14ac:dyDescent="0.2">
      <c r="B2240" s="16">
        <v>2017</v>
      </c>
      <c r="C2240" s="20">
        <v>42959</v>
      </c>
      <c r="D2240" s="20" t="str">
        <f>CONCATENATE(J2240,"-",C2240)</f>
        <v>1335-42959</v>
      </c>
      <c r="E2240" s="20" t="str">
        <f>CONCATENATE(T2240,"-",U2240,"-",C2240)</f>
        <v>SP2-H5-42959</v>
      </c>
      <c r="F2240" s="20" t="s">
        <v>106</v>
      </c>
      <c r="G2240" s="20" t="s">
        <v>278</v>
      </c>
      <c r="J2240" s="21">
        <v>1335</v>
      </c>
      <c r="T2240" s="16" t="s">
        <v>137</v>
      </c>
      <c r="U2240" s="16" t="s">
        <v>180</v>
      </c>
      <c r="AP2240" s="16">
        <f>SUM(AL2240:AN2240)</f>
        <v>0</v>
      </c>
      <c r="AT2240" s="16" t="s">
        <v>285</v>
      </c>
      <c r="AY2240" s="18"/>
      <c r="BG2240" s="23"/>
      <c r="BT2240" s="23"/>
      <c r="CD2240" s="23"/>
      <c r="DF2240" s="16" t="e">
        <f>VLOOKUP(K2240,'[3]RNA Seq summary tables'!$V$3:$V$99,1,FALSE)</f>
        <v>#N/A</v>
      </c>
      <c r="JO2240" s="27"/>
      <c r="JP2240" s="18"/>
      <c r="JQ2240" s="18"/>
    </row>
    <row r="2241" spans="2:277" x14ac:dyDescent="0.2">
      <c r="B2241" s="16">
        <v>2017</v>
      </c>
      <c r="C2241" s="20">
        <v>42974</v>
      </c>
      <c r="D2241" s="20" t="str">
        <f>CONCATENATE(J2241,"-",C2241)</f>
        <v>1335-42974</v>
      </c>
      <c r="E2241" s="20" t="str">
        <f>CONCATENATE(T2241,"-",U2241,"-",C2241)</f>
        <v>SP2-H4-42974</v>
      </c>
      <c r="F2241" s="20" t="s">
        <v>224</v>
      </c>
      <c r="G2241" s="20" t="s">
        <v>278</v>
      </c>
      <c r="J2241" s="21">
        <v>1335</v>
      </c>
      <c r="T2241" s="16" t="s">
        <v>137</v>
      </c>
      <c r="U2241" s="16" t="s">
        <v>151</v>
      </c>
      <c r="AP2241" s="16">
        <f>SUM(AL2241:AN2241)</f>
        <v>0</v>
      </c>
      <c r="AT2241" s="16" t="s">
        <v>285</v>
      </c>
      <c r="AY2241" s="18"/>
      <c r="BG2241" s="23"/>
      <c r="BT2241" s="23"/>
      <c r="CD2241" s="23"/>
      <c r="DF2241" s="16" t="e">
        <f>VLOOKUP(K2241,'[3]RNA Seq summary tables'!$V$3:$V$99,1,FALSE)</f>
        <v>#N/A</v>
      </c>
      <c r="JO2241" s="27"/>
      <c r="JP2241" s="18"/>
      <c r="JQ2241" s="18"/>
    </row>
    <row r="2242" spans="2:277" x14ac:dyDescent="0.2">
      <c r="B2242" s="16">
        <v>2017</v>
      </c>
      <c r="C2242" s="20">
        <v>42959</v>
      </c>
      <c r="D2242" s="20" t="str">
        <f>CONCATENATE(J2242,"-",C2242)</f>
        <v>1336-42959</v>
      </c>
      <c r="E2242" s="20" t="str">
        <f>CONCATENATE(T2242,"-",U2242,"-",C2242)</f>
        <v>SP2-H8-42959</v>
      </c>
      <c r="F2242" s="20" t="s">
        <v>106</v>
      </c>
      <c r="G2242" s="20" t="s">
        <v>278</v>
      </c>
      <c r="J2242" s="21">
        <v>1336</v>
      </c>
      <c r="T2242" s="16" t="s">
        <v>137</v>
      </c>
      <c r="U2242" s="16" t="s">
        <v>152</v>
      </c>
      <c r="AP2242" s="16">
        <f>SUM(AL2242:AN2242)</f>
        <v>0</v>
      </c>
      <c r="AT2242" s="16" t="s">
        <v>285</v>
      </c>
      <c r="AY2242" s="18"/>
      <c r="BG2242" s="23"/>
      <c r="BT2242" s="23"/>
      <c r="CD2242" s="23"/>
      <c r="DF2242" s="16" t="e">
        <f>VLOOKUP(K2242,'[3]RNA Seq summary tables'!$V$3:$V$99,1,FALSE)</f>
        <v>#N/A</v>
      </c>
      <c r="JO2242" s="27"/>
      <c r="JP2242" s="18"/>
      <c r="JQ2242" s="18"/>
    </row>
    <row r="2243" spans="2:277" x14ac:dyDescent="0.2">
      <c r="B2243" s="16">
        <v>2017</v>
      </c>
      <c r="C2243" s="20">
        <v>42959</v>
      </c>
      <c r="D2243" s="20" t="str">
        <f>CONCATENATE(J2243,"-",C2243)</f>
        <v>1339-42959</v>
      </c>
      <c r="E2243" s="20" t="str">
        <f>CONCATENATE(T2243,"-",U2243,"-",C2243)</f>
        <v>SP2-B1-42959</v>
      </c>
      <c r="F2243" s="20" t="s">
        <v>106</v>
      </c>
      <c r="G2243" s="20" t="s">
        <v>278</v>
      </c>
      <c r="J2243" s="21">
        <v>1339</v>
      </c>
      <c r="T2243" s="16" t="s">
        <v>137</v>
      </c>
      <c r="U2243" s="16" t="s">
        <v>113</v>
      </c>
      <c r="AP2243" s="16">
        <f>SUM(AL2243:AN2243)</f>
        <v>0</v>
      </c>
      <c r="AT2243" s="16" t="s">
        <v>285</v>
      </c>
      <c r="AY2243" s="18"/>
      <c r="BG2243" s="23"/>
      <c r="BT2243" s="23"/>
      <c r="CD2243" s="23"/>
      <c r="DF2243" s="16" t="e">
        <f>VLOOKUP(K2243,'[3]RNA Seq summary tables'!$V$3:$V$99,1,FALSE)</f>
        <v>#N/A</v>
      </c>
      <c r="JO2243" s="27"/>
      <c r="JP2243" s="18"/>
      <c r="JQ2243" s="18"/>
    </row>
    <row r="2244" spans="2:277" x14ac:dyDescent="0.2">
      <c r="B2244" s="16">
        <v>2017</v>
      </c>
      <c r="C2244" s="20">
        <v>42959</v>
      </c>
      <c r="D2244" s="20" t="str">
        <f>CONCATENATE(J2244,"-",C2244)</f>
        <v>1341-42959</v>
      </c>
      <c r="E2244" s="20" t="str">
        <f>CONCATENATE(T2244,"-",U2244,"-",C2244)</f>
        <v>SP2-H6-42959</v>
      </c>
      <c r="F2244" s="20" t="s">
        <v>106</v>
      </c>
      <c r="G2244" s="20" t="s">
        <v>278</v>
      </c>
      <c r="J2244" s="21">
        <v>1341</v>
      </c>
      <c r="T2244" s="16" t="s">
        <v>137</v>
      </c>
      <c r="U2244" s="16" t="s">
        <v>141</v>
      </c>
      <c r="AP2244" s="16">
        <f>SUM(AL2244:AN2244)</f>
        <v>0</v>
      </c>
      <c r="AT2244" s="16" t="s">
        <v>285</v>
      </c>
      <c r="AY2244" s="18"/>
      <c r="BG2244" s="23"/>
      <c r="BT2244" s="23"/>
      <c r="CD2244" s="23"/>
      <c r="DF2244" s="16" t="e">
        <f>VLOOKUP(K2244,'[3]RNA Seq summary tables'!$V$3:$V$99,1,FALSE)</f>
        <v>#N/A</v>
      </c>
      <c r="JO2244" s="27"/>
      <c r="JP2244" s="18"/>
      <c r="JQ2244" s="18"/>
    </row>
    <row r="2245" spans="2:277" x14ac:dyDescent="0.2">
      <c r="B2245" s="16">
        <v>2017</v>
      </c>
      <c r="C2245" s="20">
        <v>42964</v>
      </c>
      <c r="D2245" s="20" t="str">
        <f>CONCATENATE(J2245,"-",C2245)</f>
        <v>1347-42964</v>
      </c>
      <c r="E2245" s="20" t="str">
        <f>CONCATENATE(T2245,"-",U2245,"-",C2245)</f>
        <v>PO1-G4-42964</v>
      </c>
      <c r="F2245" s="20" t="s">
        <v>106</v>
      </c>
      <c r="G2245" s="20" t="s">
        <v>278</v>
      </c>
      <c r="J2245" s="21">
        <v>1347</v>
      </c>
      <c r="T2245" s="16" t="s">
        <v>112</v>
      </c>
      <c r="U2245" s="16" t="s">
        <v>173</v>
      </c>
      <c r="AP2245" s="16">
        <f>SUM(AL2245:AN2245)</f>
        <v>0</v>
      </c>
      <c r="AT2245" s="16" t="s">
        <v>285</v>
      </c>
      <c r="AY2245" s="18"/>
      <c r="BG2245" s="23"/>
      <c r="BT2245" s="23"/>
      <c r="CD2245" s="23"/>
      <c r="DF2245" s="16" t="e">
        <f>VLOOKUP(K2245,'[3]RNA Seq summary tables'!$V$3:$V$99,1,FALSE)</f>
        <v>#N/A</v>
      </c>
      <c r="JO2245" s="27"/>
      <c r="JP2245" s="18"/>
      <c r="JQ2245" s="18"/>
    </row>
    <row r="2246" spans="2:277" x14ac:dyDescent="0.2">
      <c r="B2246" s="16">
        <v>2017</v>
      </c>
      <c r="C2246" s="20">
        <v>42965</v>
      </c>
      <c r="D2246" s="20" t="str">
        <f>CONCATENATE(J2246,"-",C2246)</f>
        <v>1347-42965</v>
      </c>
      <c r="E2246" s="20" t="str">
        <f>CONCATENATE(T2246,"-",U2246,"-",C2246)</f>
        <v>PO1-H3-42965</v>
      </c>
      <c r="F2246" s="20" t="s">
        <v>106</v>
      </c>
      <c r="G2246" s="20" t="s">
        <v>278</v>
      </c>
      <c r="J2246" s="21">
        <v>1347</v>
      </c>
      <c r="T2246" s="16" t="s">
        <v>112</v>
      </c>
      <c r="U2246" s="16" t="s">
        <v>174</v>
      </c>
      <c r="AP2246" s="16">
        <f>SUM(AL2246:AN2246)</f>
        <v>0</v>
      </c>
      <c r="AT2246" s="16" t="s">
        <v>285</v>
      </c>
      <c r="AY2246" s="18"/>
      <c r="BG2246" s="23"/>
      <c r="BT2246" s="23"/>
      <c r="CD2246" s="23"/>
      <c r="DF2246" s="16" t="e">
        <f>VLOOKUP(K2246,'[3]RNA Seq summary tables'!$V$3:$V$99,1,FALSE)</f>
        <v>#N/A</v>
      </c>
      <c r="JO2246" s="18"/>
      <c r="JP2246" s="27"/>
      <c r="JQ2246" s="27"/>
    </row>
    <row r="2247" spans="2:277" ht="16" x14ac:dyDescent="0.2">
      <c r="B2247" s="16">
        <v>2018</v>
      </c>
      <c r="C2247" s="124">
        <v>43231</v>
      </c>
      <c r="D2247" t="s">
        <v>405</v>
      </c>
      <c r="E2247" s="20" t="str">
        <f>CONCATENATE(T2247,"-",U2247,"-",C2247)</f>
        <v>PO1-E2-43231</v>
      </c>
      <c r="F2247" s="16" t="s">
        <v>227</v>
      </c>
      <c r="G2247" s="126" t="s">
        <v>278</v>
      </c>
      <c r="H2247" s="126"/>
      <c r="J2247" s="126">
        <v>1347</v>
      </c>
      <c r="K2247" s="126"/>
      <c r="O2247" s="126"/>
      <c r="T2247" s="126" t="s">
        <v>112</v>
      </c>
      <c r="U2247" s="126" t="s">
        <v>136</v>
      </c>
      <c r="V2247" s="126"/>
      <c r="X2247" s="126"/>
      <c r="Y2247" s="126"/>
      <c r="Z2247" s="126"/>
      <c r="AA2247" s="126"/>
      <c r="AB2247" s="126"/>
      <c r="AC2247" s="126"/>
      <c r="AD2247" s="126"/>
      <c r="AE2247" s="126"/>
      <c r="AH2247" s="126"/>
      <c r="AI2247" s="126"/>
      <c r="AK2247" s="125"/>
      <c r="AL2247" s="126"/>
      <c r="AM2247" s="126"/>
      <c r="AN2247" s="126"/>
      <c r="BG2247" s="23"/>
      <c r="BN2247" s="126"/>
      <c r="BT2247" s="23"/>
      <c r="CD2247" s="23"/>
      <c r="DF2247" s="16" t="e">
        <f>VLOOKUP(K2247,'[3]RNA Seq summary tables'!$V$3:$V$99,1,FALSE)</f>
        <v>#N/A</v>
      </c>
      <c r="DG2247" s="126"/>
    </row>
    <row r="2248" spans="2:277" ht="16" x14ac:dyDescent="0.2">
      <c r="B2248" s="16">
        <v>2018</v>
      </c>
      <c r="C2248" s="124">
        <v>43249</v>
      </c>
      <c r="D2248" t="s">
        <v>446</v>
      </c>
      <c r="E2248" s="20" t="str">
        <f>CONCATENATE(T2248,"-",U2248,"-",C2248)</f>
        <v>PO1-H2-43249</v>
      </c>
      <c r="F2248" s="16" t="s">
        <v>227</v>
      </c>
      <c r="G2248" s="126" t="s">
        <v>278</v>
      </c>
      <c r="H2248" s="126"/>
      <c r="J2248" s="126">
        <v>1347</v>
      </c>
      <c r="K2248" s="126"/>
      <c r="O2248" s="126"/>
      <c r="T2248" s="126" t="s">
        <v>112</v>
      </c>
      <c r="U2248" s="126" t="s">
        <v>190</v>
      </c>
      <c r="V2248" s="126"/>
      <c r="X2248" s="126"/>
      <c r="Y2248" s="126"/>
      <c r="Z2248" s="126"/>
      <c r="AA2248" s="126"/>
      <c r="AB2248" s="126"/>
      <c r="AC2248" s="126"/>
      <c r="AD2248" s="126"/>
      <c r="AE2248" s="126"/>
      <c r="AH2248" s="126"/>
      <c r="AI2248" s="126"/>
      <c r="AK2248" s="126"/>
      <c r="AL2248" s="126"/>
      <c r="AM2248" s="126"/>
      <c r="AN2248" s="126"/>
      <c r="BG2248" s="23"/>
      <c r="BN2248" s="126"/>
      <c r="BT2248" s="23"/>
      <c r="CD2248" s="23"/>
      <c r="DF2248" s="16" t="e">
        <f>VLOOKUP(K2248,'[3]RNA Seq summary tables'!$V$3:$V$99,1,FALSE)</f>
        <v>#N/A</v>
      </c>
      <c r="DG2248" s="126"/>
    </row>
    <row r="2249" spans="2:277" ht="16" x14ac:dyDescent="0.2">
      <c r="B2249" s="16">
        <v>2018</v>
      </c>
      <c r="C2249" s="124">
        <v>43250</v>
      </c>
      <c r="D2249" t="s">
        <v>455</v>
      </c>
      <c r="E2249" s="20" t="str">
        <f>CONCATENATE(T2249,"-",U2249,"-",C2249)</f>
        <v>PO1-H1-43250</v>
      </c>
      <c r="F2249" s="16" t="s">
        <v>227</v>
      </c>
      <c r="G2249" s="126" t="s">
        <v>278</v>
      </c>
      <c r="H2249" s="126"/>
      <c r="J2249" s="126">
        <v>1347</v>
      </c>
      <c r="K2249" s="126"/>
      <c r="O2249" s="126"/>
      <c r="T2249" s="126" t="s">
        <v>112</v>
      </c>
      <c r="U2249" s="126" t="s">
        <v>191</v>
      </c>
      <c r="V2249" s="126"/>
      <c r="X2249" s="126"/>
      <c r="Y2249" s="126"/>
      <c r="Z2249" s="126"/>
      <c r="AA2249" s="126"/>
      <c r="AB2249" s="126"/>
      <c r="AC2249" s="126"/>
      <c r="AD2249" s="126"/>
      <c r="AE2249" s="126"/>
      <c r="AH2249" s="126"/>
      <c r="AI2249" s="126"/>
      <c r="AK2249" s="126"/>
      <c r="AL2249" s="126"/>
      <c r="AM2249" s="126"/>
      <c r="AN2249" s="126"/>
      <c r="BG2249" s="23"/>
      <c r="BN2249" s="126"/>
      <c r="BT2249" s="23"/>
      <c r="CD2249" s="23"/>
      <c r="DF2249" s="16" t="e">
        <f>VLOOKUP(K2249,'[3]RNA Seq summary tables'!$V$3:$V$99,1,FALSE)</f>
        <v>#N/A</v>
      </c>
      <c r="DG2249" s="126"/>
    </row>
    <row r="2250" spans="2:277" ht="16" x14ac:dyDescent="0.2">
      <c r="B2250" s="16">
        <v>2018</v>
      </c>
      <c r="C2250" s="124">
        <v>43267</v>
      </c>
      <c r="D2250" t="s">
        <v>500</v>
      </c>
      <c r="E2250" s="20" t="str">
        <f>CONCATENATE(T2250,"-",U2250,"-",C2250)</f>
        <v>PO1-H7-43267</v>
      </c>
      <c r="F2250" s="16" t="s">
        <v>227</v>
      </c>
      <c r="G2250" s="126" t="s">
        <v>278</v>
      </c>
      <c r="H2250" s="126"/>
      <c r="J2250" s="126">
        <v>1347</v>
      </c>
      <c r="K2250" s="126"/>
      <c r="O2250" s="126"/>
      <c r="T2250" s="126" t="s">
        <v>112</v>
      </c>
      <c r="U2250" s="126" t="s">
        <v>202</v>
      </c>
      <c r="V2250" s="126"/>
      <c r="X2250" s="126"/>
      <c r="Y2250" s="126"/>
      <c r="Z2250" s="126"/>
      <c r="AA2250" s="126"/>
      <c r="AB2250" s="126"/>
      <c r="AC2250" s="126"/>
      <c r="AD2250" s="126"/>
      <c r="AE2250" s="126"/>
      <c r="AH2250" s="126"/>
      <c r="AI2250" s="126"/>
      <c r="AK2250" s="126"/>
      <c r="AL2250" s="126"/>
      <c r="AM2250" s="126"/>
      <c r="AN2250" s="126"/>
      <c r="BG2250" s="23"/>
      <c r="BN2250" s="126"/>
      <c r="BT2250" s="23"/>
      <c r="CD2250" s="23"/>
      <c r="DF2250" s="16" t="e">
        <f>VLOOKUP(K2250,'[3]RNA Seq summary tables'!$V$3:$V$99,1,FALSE)</f>
        <v>#N/A</v>
      </c>
      <c r="DG2250" s="126"/>
    </row>
    <row r="2251" spans="2:277" ht="16" x14ac:dyDescent="0.2">
      <c r="B2251" s="16">
        <v>2018</v>
      </c>
      <c r="C2251" s="124">
        <v>43268</v>
      </c>
      <c r="D2251" t="s">
        <v>514</v>
      </c>
      <c r="E2251" s="20" t="str">
        <f>CONCATENATE(T2251,"-",U2251,"-",C2251)</f>
        <v>PO1-H3-43268</v>
      </c>
      <c r="F2251" s="16" t="s">
        <v>227</v>
      </c>
      <c r="G2251" s="126" t="s">
        <v>278</v>
      </c>
      <c r="H2251" s="126"/>
      <c r="J2251" s="126">
        <v>1347</v>
      </c>
      <c r="K2251" s="126"/>
      <c r="O2251" s="126"/>
      <c r="T2251" s="126" t="s">
        <v>112</v>
      </c>
      <c r="U2251" s="126" t="s">
        <v>174</v>
      </c>
      <c r="V2251" s="126"/>
      <c r="X2251" s="126"/>
      <c r="Y2251" s="126"/>
      <c r="Z2251" s="126"/>
      <c r="AA2251" s="126"/>
      <c r="AB2251" s="126"/>
      <c r="AC2251" s="126"/>
      <c r="AD2251" s="126"/>
      <c r="AE2251" s="126"/>
      <c r="AH2251" s="126"/>
      <c r="AI2251" s="126"/>
      <c r="AK2251" s="126"/>
      <c r="AL2251" s="126"/>
      <c r="AM2251" s="126"/>
      <c r="AN2251" s="126"/>
      <c r="BG2251" s="23"/>
      <c r="BN2251" s="126"/>
      <c r="BT2251" s="23"/>
      <c r="CD2251" s="23"/>
      <c r="DF2251" s="16" t="e">
        <f>VLOOKUP(K2251,'[3]RNA Seq summary tables'!$V$3:$V$99,1,FALSE)</f>
        <v>#N/A</v>
      </c>
      <c r="DG2251" s="126"/>
    </row>
    <row r="2252" spans="2:277" ht="16" x14ac:dyDescent="0.2">
      <c r="B2252" s="16">
        <v>2018</v>
      </c>
      <c r="C2252" s="124">
        <v>43284</v>
      </c>
      <c r="D2252" t="s">
        <v>586</v>
      </c>
      <c r="E2252" s="20" t="str">
        <f>CONCATENATE(T2252,"-",U2252,"-",C2252)</f>
        <v>PO1-G4-43284</v>
      </c>
      <c r="F2252" s="16" t="s">
        <v>227</v>
      </c>
      <c r="G2252" s="126" t="s">
        <v>278</v>
      </c>
      <c r="H2252" s="126"/>
      <c r="J2252" s="126">
        <v>1347</v>
      </c>
      <c r="K2252" s="126"/>
      <c r="O2252" s="126"/>
      <c r="T2252" s="126" t="s">
        <v>112</v>
      </c>
      <c r="U2252" s="126" t="s">
        <v>173</v>
      </c>
      <c r="V2252" s="126"/>
      <c r="X2252" s="126"/>
      <c r="Y2252" s="126"/>
      <c r="Z2252" s="126"/>
      <c r="AA2252" s="126"/>
      <c r="AB2252" s="126"/>
      <c r="AC2252" s="126"/>
      <c r="AD2252" s="126"/>
      <c r="AE2252" s="126"/>
      <c r="AH2252" s="126"/>
      <c r="AI2252" s="126"/>
      <c r="AK2252" s="126"/>
      <c r="AL2252" s="126"/>
      <c r="AM2252" s="126"/>
      <c r="AN2252" s="126"/>
      <c r="BG2252" s="23"/>
      <c r="BN2252" s="126"/>
      <c r="BT2252" s="23"/>
      <c r="CD2252" s="23"/>
      <c r="DF2252" s="16" t="e">
        <f>VLOOKUP(K2252,'[3]RNA Seq summary tables'!$V$3:$V$99,1,FALSE)</f>
        <v>#N/A</v>
      </c>
      <c r="DG2252" s="126"/>
    </row>
    <row r="2253" spans="2:277" ht="16" x14ac:dyDescent="0.2">
      <c r="B2253" s="16">
        <v>2018</v>
      </c>
      <c r="C2253" s="124">
        <v>43285</v>
      </c>
      <c r="D2253" t="s">
        <v>604</v>
      </c>
      <c r="E2253" s="20" t="str">
        <f>CONCATENATE(T2253,"-",U2253,"-",C2253)</f>
        <v>PO1-G4-43285</v>
      </c>
      <c r="F2253" s="16" t="s">
        <v>227</v>
      </c>
      <c r="G2253" s="126" t="s">
        <v>278</v>
      </c>
      <c r="H2253" s="126"/>
      <c r="J2253" s="126">
        <v>1347</v>
      </c>
      <c r="K2253" s="126"/>
      <c r="O2253" s="126"/>
      <c r="T2253" s="126" t="s">
        <v>112</v>
      </c>
      <c r="U2253" s="126" t="s">
        <v>173</v>
      </c>
      <c r="V2253" s="126"/>
      <c r="X2253" s="126"/>
      <c r="Y2253" s="126"/>
      <c r="Z2253" s="126"/>
      <c r="AA2253" s="126"/>
      <c r="AB2253" s="126"/>
      <c r="AC2253" s="126"/>
      <c r="AD2253" s="126"/>
      <c r="AE2253" s="126"/>
      <c r="AH2253" s="126"/>
      <c r="AI2253" s="126"/>
      <c r="AK2253" s="126"/>
      <c r="AL2253" s="126"/>
      <c r="AM2253" s="126"/>
      <c r="AN2253" s="126"/>
      <c r="BG2253" s="23"/>
      <c r="BN2253" s="126"/>
      <c r="BT2253" s="23"/>
      <c r="CD2253" s="23"/>
      <c r="DF2253" s="16" t="e">
        <f>VLOOKUP(K2253,'[3]RNA Seq summary tables'!$V$3:$V$99,1,FALSE)</f>
        <v>#N/A</v>
      </c>
      <c r="DG2253" s="126"/>
    </row>
    <row r="2254" spans="2:277" x14ac:dyDescent="0.2">
      <c r="B2254" s="16">
        <v>2017</v>
      </c>
      <c r="C2254" s="20">
        <v>42964</v>
      </c>
      <c r="D2254" s="20" t="str">
        <f>CONCATENATE(J2254,"-",C2254)</f>
        <v>1348-42964</v>
      </c>
      <c r="E2254" s="20" t="str">
        <f>CONCATENATE(T2254,"-",U2254,"-",C2254)</f>
        <v>PO2-A1-42964</v>
      </c>
      <c r="F2254" s="20" t="s">
        <v>106</v>
      </c>
      <c r="G2254" s="20" t="s">
        <v>278</v>
      </c>
      <c r="J2254" s="21">
        <v>1348</v>
      </c>
      <c r="T2254" s="16" t="s">
        <v>127</v>
      </c>
      <c r="U2254" s="16" t="s">
        <v>210</v>
      </c>
      <c r="AP2254" s="16">
        <f>SUM(AL2254:AN2254)</f>
        <v>0</v>
      </c>
      <c r="AT2254" s="16" t="s">
        <v>285</v>
      </c>
      <c r="AY2254" s="18"/>
      <c r="BG2254" s="23"/>
      <c r="BT2254" s="23"/>
      <c r="CD2254" s="23"/>
      <c r="DF2254" s="16" t="e">
        <f>VLOOKUP(K2254,'[3]RNA Seq summary tables'!$V$3:$V$99,1,FALSE)</f>
        <v>#N/A</v>
      </c>
      <c r="JO2254" s="27"/>
      <c r="JP2254" s="27"/>
      <c r="JQ2254" s="27"/>
    </row>
    <row r="2255" spans="2:277" x14ac:dyDescent="0.2">
      <c r="B2255" s="16">
        <v>2017</v>
      </c>
      <c r="C2255" s="20">
        <v>42977</v>
      </c>
      <c r="D2255" s="20" t="str">
        <f>CONCATENATE(J2255,"-",C2255)</f>
        <v>1348-42977</v>
      </c>
      <c r="E2255" s="20" t="str">
        <f>CONCATENATE(T2255,"-",U2255,"-",C2255)</f>
        <v>PO2-A1-42977</v>
      </c>
      <c r="F2255" s="20" t="s">
        <v>224</v>
      </c>
      <c r="G2255" s="20" t="s">
        <v>278</v>
      </c>
      <c r="J2255" s="21">
        <v>1348</v>
      </c>
      <c r="T2255" s="16" t="s">
        <v>127</v>
      </c>
      <c r="U2255" s="16" t="s">
        <v>210</v>
      </c>
      <c r="AP2255" s="16">
        <f>SUM(AL2255:AN2255)</f>
        <v>0</v>
      </c>
      <c r="AT2255" s="16" t="s">
        <v>285</v>
      </c>
      <c r="AY2255" s="18"/>
      <c r="BG2255" s="23"/>
      <c r="BT2255" s="23"/>
      <c r="CD2255" s="23"/>
      <c r="DF2255" s="16" t="e">
        <f>VLOOKUP(K2255,'[3]RNA Seq summary tables'!$V$3:$V$99,1,FALSE)</f>
        <v>#N/A</v>
      </c>
      <c r="JP2255" s="27"/>
      <c r="JQ2255" s="27"/>
    </row>
    <row r="2256" spans="2:277" x14ac:dyDescent="0.2">
      <c r="B2256" s="16">
        <v>2017</v>
      </c>
      <c r="C2256" s="20">
        <v>42964</v>
      </c>
      <c r="D2256" s="20" t="str">
        <f>CONCATENATE(J2256,"-",C2256)</f>
        <v>1350-42964</v>
      </c>
      <c r="E2256" s="20" t="str">
        <f>CONCATENATE(T2256,"-",U2256,"-",C2256)</f>
        <v>PO2-D2-42964</v>
      </c>
      <c r="F2256" s="20" t="s">
        <v>106</v>
      </c>
      <c r="G2256" s="20" t="s">
        <v>278</v>
      </c>
      <c r="J2256" s="21">
        <v>1350</v>
      </c>
      <c r="T2256" s="16" t="s">
        <v>127</v>
      </c>
      <c r="U2256" s="16" t="s">
        <v>198</v>
      </c>
      <c r="AP2256" s="16">
        <f>SUM(AL2256:AN2256)</f>
        <v>0</v>
      </c>
      <c r="AT2256" s="16" t="s">
        <v>285</v>
      </c>
      <c r="AY2256" s="18"/>
      <c r="BG2256" s="23"/>
      <c r="BT2256" s="23"/>
      <c r="CD2256" s="23"/>
      <c r="DF2256" s="16" t="e">
        <f>VLOOKUP(K2256,'[3]RNA Seq summary tables'!$V$3:$V$99,1,FALSE)</f>
        <v>#N/A</v>
      </c>
      <c r="JO2256" s="27"/>
      <c r="JP2256" s="12"/>
      <c r="JQ2256" s="12"/>
    </row>
    <row r="2257" spans="2:277" x14ac:dyDescent="0.2">
      <c r="B2257" s="16">
        <v>2017</v>
      </c>
      <c r="C2257" s="20">
        <v>42965</v>
      </c>
      <c r="D2257" s="20" t="str">
        <f>CONCATENATE(J2257,"-",C2257)</f>
        <v>1350-42965</v>
      </c>
      <c r="E2257" s="20" t="str">
        <f>CONCATENATE(T2257,"-",U2257,"-",C2257)</f>
        <v>PO2-C8-42965</v>
      </c>
      <c r="F2257" s="20" t="s">
        <v>106</v>
      </c>
      <c r="G2257" s="20" t="s">
        <v>278</v>
      </c>
      <c r="J2257" s="21">
        <v>1350</v>
      </c>
      <c r="T2257" s="16" t="s">
        <v>127</v>
      </c>
      <c r="U2257" s="16" t="s">
        <v>188</v>
      </c>
      <c r="AP2257" s="16">
        <f>SUM(AL2257:AN2257)</f>
        <v>0</v>
      </c>
      <c r="AT2257" s="16" t="s">
        <v>285</v>
      </c>
      <c r="AY2257" s="18"/>
      <c r="BG2257" s="23"/>
      <c r="BT2257" s="23"/>
      <c r="CD2257" s="23"/>
      <c r="DF2257" s="16" t="e">
        <f>VLOOKUP(K2257,'[3]RNA Seq summary tables'!$V$3:$V$99,1,FALSE)</f>
        <v>#N/A</v>
      </c>
      <c r="JO2257" s="27"/>
      <c r="JP2257" s="12"/>
      <c r="JQ2257" s="12"/>
    </row>
    <row r="2258" spans="2:277" x14ac:dyDescent="0.2">
      <c r="B2258" s="16">
        <v>2017</v>
      </c>
      <c r="C2258" s="20">
        <v>42976</v>
      </c>
      <c r="D2258" s="20" t="str">
        <f>CONCATENATE(J2258,"-",C2258)</f>
        <v>1350-42976</v>
      </c>
      <c r="E2258" s="20" t="str">
        <f>CONCATENATE(T2258,"-",U2258,"-",C2258)</f>
        <v>PO2-B8-42976</v>
      </c>
      <c r="F2258" s="20" t="s">
        <v>224</v>
      </c>
      <c r="G2258" s="20" t="s">
        <v>278</v>
      </c>
      <c r="J2258" s="21">
        <v>1350</v>
      </c>
      <c r="T2258" s="16" t="s">
        <v>127</v>
      </c>
      <c r="U2258" s="16" t="s">
        <v>209</v>
      </c>
      <c r="AP2258" s="16">
        <f>SUM(AL2258:AN2258)</f>
        <v>0</v>
      </c>
      <c r="AT2258" s="16" t="s">
        <v>285</v>
      </c>
      <c r="AY2258" s="18"/>
      <c r="BG2258" s="23"/>
      <c r="BT2258" s="23"/>
      <c r="CD2258" s="23"/>
      <c r="DF2258" s="16" t="e">
        <f>VLOOKUP(K2258,'[3]RNA Seq summary tables'!$V$3:$V$99,1,FALSE)</f>
        <v>#N/A</v>
      </c>
      <c r="JO2258" s="18"/>
      <c r="JP2258" s="27"/>
      <c r="JQ2258" s="27"/>
    </row>
    <row r="2259" spans="2:277" x14ac:dyDescent="0.2">
      <c r="B2259" s="16">
        <v>2017</v>
      </c>
      <c r="C2259" s="20">
        <v>42965</v>
      </c>
      <c r="D2259" s="20" t="str">
        <f>CONCATENATE(J2259,"-",C2259)</f>
        <v>1351-42965</v>
      </c>
      <c r="E2259" s="20" t="str">
        <f>CONCATENATE(T2259,"-",U2259,"-",C2259)</f>
        <v>PO2-G8-42965</v>
      </c>
      <c r="F2259" s="20" t="s">
        <v>106</v>
      </c>
      <c r="G2259" s="20" t="s">
        <v>278</v>
      </c>
      <c r="J2259" s="21">
        <v>1351</v>
      </c>
      <c r="T2259" s="16" t="s">
        <v>127</v>
      </c>
      <c r="U2259" s="16" t="s">
        <v>216</v>
      </c>
      <c r="AP2259" s="16">
        <f>SUM(AL2259:AN2259)</f>
        <v>0</v>
      </c>
      <c r="AT2259" s="16" t="s">
        <v>285</v>
      </c>
      <c r="AY2259" s="18"/>
      <c r="BG2259" s="23"/>
      <c r="BT2259" s="23"/>
      <c r="CD2259" s="23"/>
      <c r="DF2259" s="16" t="e">
        <f>VLOOKUP(K2259,'[3]RNA Seq summary tables'!$V$3:$V$99,1,FALSE)</f>
        <v>#N/A</v>
      </c>
      <c r="JO2259" s="27"/>
      <c r="JP2259" s="27"/>
      <c r="JQ2259" s="27"/>
    </row>
    <row r="2260" spans="2:277" x14ac:dyDescent="0.2">
      <c r="B2260" s="18">
        <v>2017</v>
      </c>
      <c r="C2260" s="37">
        <v>42965</v>
      </c>
      <c r="D2260" s="37" t="str">
        <f>CONCATENATE(J2260,"-",C2260)</f>
        <v>1353-42965</v>
      </c>
      <c r="E2260" s="20" t="str">
        <f>CONCATENATE(T2260,"-",U2260,"-",C2260)</f>
        <v>PO1-G8-42965</v>
      </c>
      <c r="F2260" s="20" t="s">
        <v>106</v>
      </c>
      <c r="G2260" s="37" t="s">
        <v>278</v>
      </c>
      <c r="H2260" s="18"/>
      <c r="I2260" s="18"/>
      <c r="J2260" s="36">
        <v>1353</v>
      </c>
      <c r="K2260" s="36"/>
      <c r="L2260" s="18"/>
      <c r="M2260" s="36"/>
      <c r="N2260" s="36"/>
      <c r="O2260" s="36"/>
      <c r="P2260" s="18"/>
      <c r="Q2260" s="18"/>
      <c r="R2260" s="18"/>
      <c r="S2260" s="18"/>
      <c r="T2260" s="18" t="s">
        <v>112</v>
      </c>
      <c r="U2260" s="18" t="s">
        <v>216</v>
      </c>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f>SUM(AL2260:AN2260)</f>
        <v>0</v>
      </c>
      <c r="AQ2260" s="18"/>
      <c r="AR2260" s="18"/>
      <c r="AS2260" s="18"/>
      <c r="AT2260" s="18" t="s">
        <v>285</v>
      </c>
      <c r="AU2260" s="18"/>
      <c r="AV2260" s="18"/>
      <c r="AW2260" s="18"/>
      <c r="AX2260" s="18"/>
      <c r="AY2260" s="18"/>
      <c r="AZ2260" s="18"/>
      <c r="BA2260" s="18"/>
      <c r="BB2260" s="18"/>
      <c r="BC2260" s="18"/>
      <c r="BD2260" s="18"/>
      <c r="BE2260" s="18"/>
      <c r="BF2260" s="18"/>
      <c r="BG2260" s="25"/>
      <c r="BH2260" s="18"/>
      <c r="BI2260" s="18"/>
      <c r="BJ2260" s="18"/>
      <c r="BK2260" s="18"/>
      <c r="BL2260" s="18"/>
      <c r="BM2260" s="18"/>
      <c r="BN2260" s="18"/>
      <c r="BO2260" s="18"/>
      <c r="BP2260" s="18"/>
      <c r="BQ2260" s="18"/>
      <c r="BR2260" s="18"/>
      <c r="BS2260" s="18"/>
      <c r="BT2260" s="25"/>
      <c r="BU2260" s="18"/>
      <c r="BV2260" s="18"/>
      <c r="BW2260" s="18"/>
      <c r="BX2260" s="18"/>
      <c r="BY2260" s="18"/>
      <c r="BZ2260" s="18"/>
      <c r="CA2260" s="18"/>
      <c r="CB2260" s="18"/>
      <c r="CC2260" s="18"/>
      <c r="CD2260" s="25"/>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6" t="e">
        <f>VLOOKUP(K2260,'[3]RNA Seq summary tables'!$V$3:$V$99,1,FALSE)</f>
        <v>#N/A</v>
      </c>
      <c r="DG2260" s="18"/>
      <c r="DH2260" s="18"/>
      <c r="DI2260" s="18"/>
      <c r="DJ2260" s="18"/>
      <c r="DK2260" s="18"/>
      <c r="DL2260" s="18"/>
      <c r="DM2260" s="18"/>
      <c r="DN2260" s="18"/>
      <c r="DO2260" s="18"/>
      <c r="DP2260" s="18"/>
      <c r="DQ2260" s="18"/>
      <c r="DR2260" s="18"/>
      <c r="DS2260" s="18"/>
      <c r="JO2260" s="18"/>
      <c r="JP2260" s="27"/>
      <c r="JQ2260" s="27"/>
    </row>
    <row r="2261" spans="2:277" x14ac:dyDescent="0.2">
      <c r="B2261" s="18">
        <v>2017</v>
      </c>
      <c r="C2261" s="37">
        <v>42976</v>
      </c>
      <c r="D2261" s="37" t="str">
        <f>CONCATENATE(J2261,"-",C2261)</f>
        <v>1353-42976</v>
      </c>
      <c r="E2261" s="20" t="str">
        <f>CONCATENATE(T2261,"-",U2261,"-",C2261)</f>
        <v>PO1-G7-42976</v>
      </c>
      <c r="F2261" s="20" t="s">
        <v>224</v>
      </c>
      <c r="G2261" s="37" t="s">
        <v>278</v>
      </c>
      <c r="H2261" s="18"/>
      <c r="I2261" s="18"/>
      <c r="J2261" s="36">
        <v>1353</v>
      </c>
      <c r="K2261" s="36"/>
      <c r="L2261" s="18"/>
      <c r="M2261" s="36"/>
      <c r="N2261" s="36"/>
      <c r="O2261" s="36"/>
      <c r="P2261" s="18"/>
      <c r="Q2261" s="18"/>
      <c r="R2261" s="18"/>
      <c r="S2261" s="18"/>
      <c r="T2261" s="18" t="s">
        <v>112</v>
      </c>
      <c r="U2261" s="18" t="s">
        <v>156</v>
      </c>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f>SUM(AL2261:AN2261)</f>
        <v>0</v>
      </c>
      <c r="AQ2261" s="18"/>
      <c r="AR2261" s="18"/>
      <c r="AS2261" s="18"/>
      <c r="AT2261" s="18" t="s">
        <v>285</v>
      </c>
      <c r="AU2261" s="18"/>
      <c r="AV2261" s="18"/>
      <c r="AW2261" s="18"/>
      <c r="AX2261" s="18"/>
      <c r="AY2261" s="18"/>
      <c r="AZ2261" s="18"/>
      <c r="BA2261" s="18"/>
      <c r="BB2261" s="18"/>
      <c r="BC2261" s="18"/>
      <c r="BD2261" s="18"/>
      <c r="BE2261" s="18"/>
      <c r="BF2261" s="18"/>
      <c r="BG2261" s="25"/>
      <c r="BH2261" s="18"/>
      <c r="BI2261" s="18"/>
      <c r="BJ2261" s="18"/>
      <c r="BK2261" s="18"/>
      <c r="BL2261" s="18"/>
      <c r="BM2261" s="18"/>
      <c r="BN2261" s="18"/>
      <c r="BO2261" s="18"/>
      <c r="BP2261" s="18"/>
      <c r="BQ2261" s="18"/>
      <c r="BR2261" s="18"/>
      <c r="BS2261" s="18"/>
      <c r="BT2261" s="25"/>
      <c r="BU2261" s="18"/>
      <c r="BV2261" s="18"/>
      <c r="BW2261" s="18"/>
      <c r="BX2261" s="18"/>
      <c r="BY2261" s="18"/>
      <c r="BZ2261" s="18"/>
      <c r="CA2261" s="18"/>
      <c r="CB2261" s="18"/>
      <c r="CC2261" s="18"/>
      <c r="CD2261" s="25"/>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6" t="e">
        <f>VLOOKUP(K2261,'[3]RNA Seq summary tables'!$V$3:$V$99,1,FALSE)</f>
        <v>#N/A</v>
      </c>
      <c r="DG2261" s="18"/>
      <c r="DH2261" s="18"/>
      <c r="DI2261" s="18"/>
      <c r="DJ2261" s="18"/>
      <c r="DK2261" s="18"/>
      <c r="DL2261" s="18"/>
      <c r="DM2261" s="18"/>
      <c r="DN2261" s="18"/>
      <c r="DO2261" s="18"/>
      <c r="DP2261" s="18"/>
      <c r="DQ2261" s="18"/>
      <c r="DR2261" s="18"/>
      <c r="DS2261" s="18"/>
      <c r="JO2261" s="18"/>
      <c r="JP2261" s="27"/>
      <c r="JQ2261" s="27"/>
    </row>
    <row r="2262" spans="2:277" x14ac:dyDescent="0.2">
      <c r="B2262" s="18">
        <v>2017</v>
      </c>
      <c r="C2262" s="37">
        <v>42965</v>
      </c>
      <c r="D2262" s="37" t="str">
        <f>CONCATENATE(J2262,"-",C2262)</f>
        <v>1354-42965</v>
      </c>
      <c r="E2262" s="20" t="str">
        <f>CONCATENATE(T2262,"-",U2262,"-",C2262)</f>
        <v>PO1-H8-42965</v>
      </c>
      <c r="F2262" s="20" t="s">
        <v>106</v>
      </c>
      <c r="G2262" s="37" t="s">
        <v>278</v>
      </c>
      <c r="H2262" s="18"/>
      <c r="I2262" s="18"/>
      <c r="J2262" s="36">
        <v>1354</v>
      </c>
      <c r="K2262" s="36"/>
      <c r="L2262" s="18"/>
      <c r="M2262" s="36"/>
      <c r="N2262" s="36"/>
      <c r="O2262" s="36"/>
      <c r="P2262" s="18"/>
      <c r="Q2262" s="18"/>
      <c r="R2262" s="18"/>
      <c r="S2262" s="18"/>
      <c r="T2262" s="18" t="s">
        <v>112</v>
      </c>
      <c r="U2262" s="18" t="s">
        <v>152</v>
      </c>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f>SUM(AL2262:AN2262)</f>
        <v>0</v>
      </c>
      <c r="AQ2262" s="18"/>
      <c r="AR2262" s="18"/>
      <c r="AS2262" s="18"/>
      <c r="AT2262" s="18" t="s">
        <v>285</v>
      </c>
      <c r="AU2262" s="18"/>
      <c r="AV2262" s="18"/>
      <c r="AW2262" s="18"/>
      <c r="AX2262" s="18"/>
      <c r="AY2262" s="18"/>
      <c r="AZ2262" s="18"/>
      <c r="BA2262" s="18"/>
      <c r="BB2262" s="18"/>
      <c r="BC2262" s="18"/>
      <c r="BD2262" s="18"/>
      <c r="BE2262" s="18"/>
      <c r="BF2262" s="18"/>
      <c r="BG2262" s="25"/>
      <c r="BH2262" s="18"/>
      <c r="BI2262" s="18"/>
      <c r="BJ2262" s="18"/>
      <c r="BK2262" s="18"/>
      <c r="BL2262" s="18"/>
      <c r="BM2262" s="18"/>
      <c r="BN2262" s="18"/>
      <c r="BO2262" s="18"/>
      <c r="BP2262" s="18"/>
      <c r="BQ2262" s="18"/>
      <c r="BR2262" s="18"/>
      <c r="BS2262" s="18"/>
      <c r="BT2262" s="25"/>
      <c r="BU2262" s="18"/>
      <c r="BV2262" s="18"/>
      <c r="BW2262" s="18"/>
      <c r="BX2262" s="18"/>
      <c r="BY2262" s="18"/>
      <c r="BZ2262" s="18"/>
      <c r="CA2262" s="18"/>
      <c r="CB2262" s="18"/>
      <c r="CC2262" s="18"/>
      <c r="CD2262" s="25"/>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6" t="e">
        <f>VLOOKUP(K2262,'[3]RNA Seq summary tables'!$V$3:$V$99,1,FALSE)</f>
        <v>#N/A</v>
      </c>
      <c r="DG2262" s="18"/>
      <c r="DH2262" s="18"/>
      <c r="DI2262" s="18"/>
      <c r="DJ2262" s="18"/>
      <c r="DK2262" s="18"/>
      <c r="DL2262" s="18"/>
      <c r="DM2262" s="18"/>
      <c r="DN2262" s="18"/>
      <c r="DO2262" s="18"/>
      <c r="DP2262" s="18"/>
      <c r="DQ2262" s="18"/>
      <c r="DR2262" s="18"/>
      <c r="DS2262" s="18"/>
      <c r="JO2262" s="27"/>
      <c r="JP2262" s="27"/>
      <c r="JQ2262" s="27"/>
    </row>
    <row r="2263" spans="2:277" x14ac:dyDescent="0.2">
      <c r="B2263" s="18">
        <v>2017</v>
      </c>
      <c r="C2263" s="37">
        <v>42976</v>
      </c>
      <c r="D2263" s="37" t="str">
        <f>CONCATENATE(J2263,"-",C2263)</f>
        <v>1354-42976</v>
      </c>
      <c r="E2263" s="20" t="str">
        <f>CONCATENATE(T2263,"-",U2263,"-",C2263)</f>
        <v>PO1-H7-42976</v>
      </c>
      <c r="F2263" s="20" t="s">
        <v>224</v>
      </c>
      <c r="G2263" s="37" t="s">
        <v>278</v>
      </c>
      <c r="H2263" s="18"/>
      <c r="I2263" s="18"/>
      <c r="J2263" s="36">
        <v>1354</v>
      </c>
      <c r="K2263" s="36"/>
      <c r="L2263" s="18"/>
      <c r="M2263" s="36"/>
      <c r="N2263" s="36"/>
      <c r="O2263" s="36"/>
      <c r="P2263" s="18"/>
      <c r="Q2263" s="18"/>
      <c r="R2263" s="18"/>
      <c r="S2263" s="18"/>
      <c r="T2263" s="18" t="s">
        <v>112</v>
      </c>
      <c r="U2263" s="18" t="s">
        <v>202</v>
      </c>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f>SUM(AL2263:AN2263)</f>
        <v>0</v>
      </c>
      <c r="AQ2263" s="18"/>
      <c r="AR2263" s="18"/>
      <c r="AS2263" s="18"/>
      <c r="AT2263" s="18" t="s">
        <v>285</v>
      </c>
      <c r="AU2263" s="18"/>
      <c r="AV2263" s="18"/>
      <c r="AW2263" s="18"/>
      <c r="AX2263" s="18"/>
      <c r="AY2263" s="18"/>
      <c r="AZ2263" s="18"/>
      <c r="BA2263" s="18"/>
      <c r="BB2263" s="18"/>
      <c r="BC2263" s="18"/>
      <c r="BD2263" s="18"/>
      <c r="BE2263" s="18"/>
      <c r="BF2263" s="18"/>
      <c r="BG2263" s="25"/>
      <c r="BH2263" s="18"/>
      <c r="BI2263" s="18"/>
      <c r="BJ2263" s="18"/>
      <c r="BK2263" s="18"/>
      <c r="BL2263" s="18"/>
      <c r="BM2263" s="18"/>
      <c r="BN2263" s="18"/>
      <c r="BO2263" s="18"/>
      <c r="BP2263" s="18"/>
      <c r="BQ2263" s="18"/>
      <c r="BR2263" s="18"/>
      <c r="BS2263" s="18"/>
      <c r="BT2263" s="25"/>
      <c r="BU2263" s="18"/>
      <c r="BV2263" s="18"/>
      <c r="BW2263" s="18"/>
      <c r="BX2263" s="18"/>
      <c r="BY2263" s="18"/>
      <c r="BZ2263" s="18"/>
      <c r="CA2263" s="18"/>
      <c r="CB2263" s="18"/>
      <c r="CC2263" s="18"/>
      <c r="CD2263" s="25"/>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6" t="e">
        <f>VLOOKUP(K2263,'[3]RNA Seq summary tables'!$V$3:$V$99,1,FALSE)</f>
        <v>#N/A</v>
      </c>
      <c r="DG2263" s="18"/>
      <c r="DH2263" s="18"/>
      <c r="DI2263" s="18"/>
      <c r="DJ2263" s="18"/>
      <c r="DK2263" s="18"/>
      <c r="DL2263" s="18"/>
      <c r="DM2263" s="18"/>
      <c r="DN2263" s="18"/>
      <c r="DO2263" s="18"/>
      <c r="DP2263" s="18"/>
      <c r="DQ2263" s="18"/>
      <c r="DR2263" s="18"/>
      <c r="DS2263" s="18"/>
      <c r="JO2263" s="18"/>
      <c r="JP2263" s="27"/>
      <c r="JQ2263" s="27"/>
    </row>
    <row r="2264" spans="2:277" x14ac:dyDescent="0.2">
      <c r="B2264" s="18">
        <v>2017</v>
      </c>
      <c r="C2264" s="65">
        <v>42965</v>
      </c>
      <c r="D2264" s="37" t="str">
        <f>CONCATENATE(J2264,"-",C2264)</f>
        <v>1355-42965</v>
      </c>
      <c r="E2264" s="20" t="str">
        <f>CONCATENATE(T2264,"-",U2264,"-",C2264)</f>
        <v>PO2-D1-42965</v>
      </c>
      <c r="F2264" s="20" t="s">
        <v>106</v>
      </c>
      <c r="G2264" s="65" t="s">
        <v>278</v>
      </c>
      <c r="H2264" s="25"/>
      <c r="I2264" s="25"/>
      <c r="J2264" s="42">
        <v>1355</v>
      </c>
      <c r="K2264" s="42"/>
      <c r="L2264" s="25"/>
      <c r="M2264" s="36"/>
      <c r="N2264" s="36"/>
      <c r="O2264" s="36"/>
      <c r="P2264" s="25"/>
      <c r="Q2264" s="25"/>
      <c r="R2264" s="25"/>
      <c r="S2264" s="25"/>
      <c r="T2264" s="25" t="s">
        <v>127</v>
      </c>
      <c r="U2264" s="25" t="s">
        <v>157</v>
      </c>
      <c r="V2264" s="25"/>
      <c r="W2264" s="25"/>
      <c r="X2264" s="25"/>
      <c r="Y2264" s="25"/>
      <c r="Z2264" s="25"/>
      <c r="AA2264" s="25"/>
      <c r="AB2264" s="25"/>
      <c r="AC2264" s="25"/>
      <c r="AD2264" s="25"/>
      <c r="AE2264" s="25"/>
      <c r="AF2264" s="25"/>
      <c r="AG2264" s="25"/>
      <c r="AH2264" s="25"/>
      <c r="AI2264" s="25"/>
      <c r="AJ2264" s="25"/>
      <c r="AK2264" s="25"/>
      <c r="AL2264" s="25"/>
      <c r="AM2264" s="25"/>
      <c r="AN2264" s="25"/>
      <c r="AO2264" s="25"/>
      <c r="AP2264" s="25">
        <f>SUM(AL2264:AN2264)</f>
        <v>0</v>
      </c>
      <c r="AQ2264" s="25"/>
      <c r="AR2264" s="25"/>
      <c r="AS2264" s="25"/>
      <c r="AT2264" s="18" t="s">
        <v>285</v>
      </c>
      <c r="AU2264" s="18"/>
      <c r="AV2264" s="18"/>
      <c r="AW2264" s="18"/>
      <c r="AX2264" s="18"/>
      <c r="AY2264" s="18"/>
      <c r="AZ2264" s="18"/>
      <c r="BA2264" s="18"/>
      <c r="BB2264" s="18"/>
      <c r="BC2264" s="18"/>
      <c r="BD2264" s="18"/>
      <c r="BE2264" s="18"/>
      <c r="BF2264" s="18"/>
      <c r="BG2264" s="25"/>
      <c r="BH2264" s="18"/>
      <c r="BI2264" s="18"/>
      <c r="BJ2264" s="18"/>
      <c r="BK2264" s="18"/>
      <c r="BL2264" s="18"/>
      <c r="BM2264" s="18"/>
      <c r="BN2264" s="18"/>
      <c r="BO2264" s="18"/>
      <c r="BP2264" s="18"/>
      <c r="BQ2264" s="18"/>
      <c r="BR2264" s="18"/>
      <c r="BS2264" s="18"/>
      <c r="BT2264" s="25"/>
      <c r="BU2264" s="18"/>
      <c r="BV2264" s="18"/>
      <c r="BW2264" s="18"/>
      <c r="BX2264" s="18"/>
      <c r="BY2264" s="18"/>
      <c r="BZ2264" s="18"/>
      <c r="CA2264" s="18"/>
      <c r="CB2264" s="18"/>
      <c r="CC2264" s="18"/>
      <c r="CD2264" s="25"/>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25"/>
      <c r="DD2264" s="25"/>
      <c r="DE2264" s="25"/>
      <c r="DF2264" s="16" t="e">
        <f>VLOOKUP(K2264,'[3]RNA Seq summary tables'!$V$3:$V$99,1,FALSE)</f>
        <v>#N/A</v>
      </c>
      <c r="DG2264" s="25"/>
      <c r="DH2264" s="25"/>
      <c r="DI2264" s="25"/>
      <c r="DJ2264" s="25"/>
      <c r="DK2264" s="25"/>
      <c r="DL2264" s="25"/>
      <c r="DM2264" s="25"/>
      <c r="DN2264" s="25"/>
      <c r="DO2264" s="25"/>
      <c r="DP2264" s="25"/>
      <c r="DQ2264" s="25"/>
      <c r="DR2264" s="25"/>
      <c r="DS2264" s="25"/>
      <c r="DT2264" s="25"/>
      <c r="DU2264" s="25"/>
      <c r="DV2264" s="25"/>
      <c r="DW2264" s="25"/>
      <c r="DX2264" s="25"/>
      <c r="DY2264" s="25"/>
      <c r="DZ2264" s="25"/>
      <c r="EA2264" s="25"/>
      <c r="EB2264" s="25"/>
      <c r="EC2264" s="25"/>
      <c r="ED2264" s="25"/>
      <c r="EE2264" s="25"/>
      <c r="EF2264" s="25"/>
      <c r="EG2264" s="25"/>
      <c r="EH2264" s="25"/>
      <c r="EI2264" s="25"/>
      <c r="EJ2264" s="25"/>
      <c r="EK2264" s="25"/>
      <c r="EL2264" s="25"/>
      <c r="EM2264" s="25"/>
      <c r="EN2264" s="25"/>
      <c r="EO2264" s="25"/>
      <c r="EP2264" s="25"/>
      <c r="EQ2264" s="25"/>
      <c r="ER2264" s="25"/>
      <c r="ES2264" s="25"/>
      <c r="ET2264" s="25"/>
      <c r="EU2264" s="25"/>
      <c r="EV2264" s="25"/>
      <c r="EW2264" s="25"/>
      <c r="EX2264" s="25"/>
      <c r="EY2264" s="25"/>
      <c r="EZ2264" s="25"/>
      <c r="FA2264" s="25"/>
      <c r="FB2264" s="25"/>
      <c r="FC2264" s="25"/>
      <c r="FD2264" s="25"/>
      <c r="FE2264" s="25"/>
      <c r="FF2264" s="25"/>
      <c r="FG2264" s="25"/>
      <c r="FH2264" s="25"/>
      <c r="FI2264" s="25"/>
      <c r="FJ2264" s="25"/>
      <c r="FK2264" s="25"/>
      <c r="FL2264" s="25"/>
      <c r="FM2264" s="25"/>
      <c r="FN2264" s="25"/>
      <c r="FO2264" s="25"/>
      <c r="FP2264" s="25"/>
      <c r="FQ2264" s="25"/>
      <c r="FR2264" s="25"/>
      <c r="FS2264" s="25"/>
      <c r="FT2264" s="25"/>
      <c r="FU2264" s="25"/>
      <c r="FV2264" s="25"/>
      <c r="FW2264" s="25"/>
      <c r="FX2264" s="25"/>
      <c r="FY2264" s="25"/>
      <c r="FZ2264" s="25"/>
      <c r="GA2264" s="25"/>
      <c r="GB2264" s="25"/>
      <c r="GC2264" s="25"/>
      <c r="GD2264" s="25"/>
      <c r="GE2264" s="25"/>
      <c r="GF2264" s="25"/>
      <c r="GG2264" s="25"/>
      <c r="GH2264" s="25"/>
      <c r="GI2264" s="25"/>
      <c r="GJ2264" s="25"/>
      <c r="GK2264" s="25"/>
      <c r="GL2264" s="25"/>
      <c r="GM2264" s="25"/>
      <c r="GN2264" s="25"/>
      <c r="GO2264" s="25"/>
      <c r="GP2264" s="25"/>
      <c r="GQ2264" s="25"/>
      <c r="GR2264" s="25"/>
      <c r="GS2264" s="25"/>
      <c r="GT2264" s="25"/>
      <c r="GU2264" s="25"/>
      <c r="GV2264" s="25"/>
      <c r="GW2264" s="25"/>
      <c r="GX2264" s="25"/>
      <c r="GY2264" s="25"/>
      <c r="GZ2264" s="25"/>
      <c r="HA2264" s="25"/>
      <c r="HB2264" s="25"/>
      <c r="HC2264" s="25"/>
      <c r="HD2264" s="25"/>
      <c r="HE2264" s="25"/>
      <c r="HF2264" s="25"/>
      <c r="HG2264" s="25"/>
      <c r="HH2264" s="25"/>
      <c r="HI2264" s="25"/>
      <c r="HJ2264" s="25"/>
      <c r="HK2264" s="25"/>
      <c r="HL2264" s="25"/>
      <c r="HM2264" s="25"/>
      <c r="HN2264" s="25"/>
      <c r="HO2264" s="25"/>
      <c r="HP2264" s="25"/>
      <c r="HQ2264" s="25"/>
      <c r="HR2264" s="25"/>
      <c r="HS2264" s="25"/>
      <c r="HT2264" s="25"/>
      <c r="HU2264" s="25"/>
      <c r="HV2264" s="25"/>
      <c r="HW2264" s="25"/>
      <c r="HX2264" s="25"/>
      <c r="HY2264" s="25"/>
      <c r="HZ2264" s="25"/>
      <c r="IA2264" s="25"/>
      <c r="IB2264" s="25"/>
      <c r="IC2264" s="25"/>
      <c r="ID2264" s="25"/>
      <c r="IE2264" s="25"/>
      <c r="IF2264" s="25"/>
      <c r="IG2264" s="25"/>
      <c r="IH2264" s="25"/>
      <c r="II2264" s="25"/>
      <c r="IJ2264" s="25"/>
      <c r="IK2264" s="25"/>
      <c r="IL2264" s="25"/>
      <c r="IM2264" s="25"/>
      <c r="IN2264" s="25"/>
      <c r="IO2264" s="25"/>
      <c r="IP2264" s="25"/>
      <c r="IQ2264" s="25"/>
      <c r="IR2264" s="25"/>
      <c r="IS2264" s="25"/>
      <c r="IT2264" s="25"/>
      <c r="IU2264" s="25"/>
      <c r="IV2264" s="25"/>
      <c r="IW2264" s="25"/>
      <c r="IX2264" s="25"/>
      <c r="IY2264" s="25"/>
      <c r="IZ2264" s="25"/>
      <c r="JA2264" s="25"/>
      <c r="JB2264" s="25"/>
      <c r="JC2264" s="25"/>
      <c r="JD2264" s="25"/>
      <c r="JE2264" s="25"/>
      <c r="JF2264" s="25"/>
      <c r="JG2264" s="25"/>
      <c r="JH2264" s="25"/>
      <c r="JI2264" s="25"/>
      <c r="JJ2264" s="25"/>
      <c r="JK2264" s="25"/>
      <c r="JL2264" s="25"/>
      <c r="JM2264" s="25"/>
      <c r="JN2264" s="25"/>
      <c r="JO2264" s="27"/>
      <c r="JP2264" s="27"/>
      <c r="JQ2264" s="27"/>
    </row>
    <row r="2265" spans="2:277" x14ac:dyDescent="0.2">
      <c r="B2265" s="16">
        <v>2017</v>
      </c>
      <c r="C2265" s="20">
        <v>42976</v>
      </c>
      <c r="D2265" s="20" t="str">
        <f>CONCATENATE(J2265,"-",C2265)</f>
        <v>1357-42976</v>
      </c>
      <c r="E2265" s="20" t="str">
        <f>CONCATENATE(T2265,"-",U2265,"-",C2265)</f>
        <v>PO2-H2-42976</v>
      </c>
      <c r="F2265" s="20" t="s">
        <v>224</v>
      </c>
      <c r="G2265" s="20" t="s">
        <v>278</v>
      </c>
      <c r="J2265" s="21">
        <v>1357</v>
      </c>
      <c r="T2265" s="16" t="s">
        <v>127</v>
      </c>
      <c r="U2265" s="16" t="s">
        <v>190</v>
      </c>
      <c r="AP2265" s="16">
        <f>SUM(AL2265:AN2265)</f>
        <v>0</v>
      </c>
      <c r="AT2265" s="16" t="s">
        <v>285</v>
      </c>
      <c r="AY2265" s="18"/>
      <c r="BG2265" s="23"/>
      <c r="BT2265" s="23"/>
      <c r="CD2265" s="23"/>
      <c r="DF2265" s="16" t="e">
        <f>VLOOKUP(K2265,'[3]RNA Seq summary tables'!$V$3:$V$99,1,FALSE)</f>
        <v>#N/A</v>
      </c>
      <c r="JO2265" s="18"/>
      <c r="JP2265" s="18"/>
      <c r="JQ2265" s="18"/>
    </row>
    <row r="2266" spans="2:277" x14ac:dyDescent="0.2">
      <c r="B2266" s="16">
        <v>2017</v>
      </c>
      <c r="C2266" s="20">
        <v>42977</v>
      </c>
      <c r="D2266" s="20" t="str">
        <f>CONCATENATE(J2266,"-",C2266)</f>
        <v>1357-42977</v>
      </c>
      <c r="E2266" s="20" t="str">
        <f>CONCATENATE(T2266,"-",U2266,"-",C2266)</f>
        <v>PO2-H3-42977</v>
      </c>
      <c r="F2266" s="20" t="s">
        <v>224</v>
      </c>
      <c r="G2266" s="20" t="s">
        <v>278</v>
      </c>
      <c r="J2266" s="21">
        <v>1357</v>
      </c>
      <c r="T2266" s="16" t="s">
        <v>127</v>
      </c>
      <c r="U2266" s="16" t="s">
        <v>174</v>
      </c>
      <c r="AP2266" s="16">
        <f>SUM(AL2266:AN2266)</f>
        <v>0</v>
      </c>
      <c r="AT2266" s="16" t="s">
        <v>285</v>
      </c>
      <c r="AY2266" s="18"/>
      <c r="BG2266" s="23"/>
      <c r="BT2266" s="23"/>
      <c r="CD2266" s="23"/>
      <c r="DF2266" s="16" t="e">
        <f>VLOOKUP(K2266,'[3]RNA Seq summary tables'!$V$3:$V$99,1,FALSE)</f>
        <v>#N/A</v>
      </c>
      <c r="JP2266" s="18"/>
      <c r="JQ2266" s="18"/>
    </row>
    <row r="2267" spans="2:277" x14ac:dyDescent="0.2">
      <c r="B2267" s="16">
        <v>2017</v>
      </c>
      <c r="C2267" s="20">
        <v>42967</v>
      </c>
      <c r="D2267" s="20" t="str">
        <f>CONCATENATE(J2267,"-",C2267)</f>
        <v>1358-42967</v>
      </c>
      <c r="E2267" s="20" t="str">
        <f>CONCATENATE(T2267,"-",U2267,"-",C2267)</f>
        <v>HW2-B8-42967</v>
      </c>
      <c r="F2267" s="20" t="s">
        <v>106</v>
      </c>
      <c r="G2267" s="20" t="s">
        <v>278</v>
      </c>
      <c r="J2267" s="21">
        <v>1358</v>
      </c>
      <c r="T2267" s="16" t="s">
        <v>129</v>
      </c>
      <c r="U2267" s="16" t="s">
        <v>209</v>
      </c>
      <c r="AP2267" s="16">
        <f>SUM(AL2267:AN2267)</f>
        <v>0</v>
      </c>
      <c r="AT2267" s="16" t="s">
        <v>285</v>
      </c>
      <c r="AY2267" s="18"/>
      <c r="BG2267" s="23"/>
      <c r="BT2267" s="23"/>
      <c r="CD2267" s="23"/>
      <c r="DF2267" s="16" t="e">
        <f>VLOOKUP(K2267,'[3]RNA Seq summary tables'!$V$3:$V$99,1,FALSE)</f>
        <v>#N/A</v>
      </c>
      <c r="JO2267" s="18"/>
      <c r="JP2267" s="18"/>
      <c r="JQ2267" s="18"/>
    </row>
    <row r="2268" spans="2:277" ht="16" x14ac:dyDescent="0.2">
      <c r="B2268" s="16">
        <v>2018</v>
      </c>
      <c r="C2268" s="124">
        <v>43244</v>
      </c>
      <c r="D2268" t="s">
        <v>436</v>
      </c>
      <c r="E2268" s="20" t="str">
        <f>CONCATENATE(T2268,"-",U2268,"-",C2268)</f>
        <v>HW2-F6-43244</v>
      </c>
      <c r="F2268" s="16" t="s">
        <v>227</v>
      </c>
      <c r="G2268" s="126" t="s">
        <v>278</v>
      </c>
      <c r="H2268" s="126"/>
      <c r="J2268" s="127">
        <v>1358</v>
      </c>
      <c r="K2268" s="126"/>
      <c r="O2268" s="126"/>
      <c r="T2268" s="126" t="s">
        <v>129</v>
      </c>
      <c r="U2268" s="126" t="s">
        <v>170</v>
      </c>
      <c r="V2268" s="126"/>
      <c r="X2268" s="126"/>
      <c r="Y2268" s="126"/>
      <c r="Z2268" s="126"/>
      <c r="AA2268" s="126"/>
      <c r="AB2268" s="126"/>
      <c r="AC2268" s="126"/>
      <c r="AD2268" s="126"/>
      <c r="AE2268" s="126"/>
      <c r="AH2268" s="126"/>
      <c r="AI2268" s="126"/>
      <c r="AK2268" s="126"/>
      <c r="AL2268" s="126"/>
      <c r="AM2268" s="126"/>
      <c r="AN2268" s="126"/>
      <c r="BG2268" s="23"/>
      <c r="BN2268" s="126"/>
      <c r="BT2268" s="23"/>
      <c r="CD2268" s="23"/>
      <c r="DF2268" s="16" t="e">
        <f>VLOOKUP(K2268,'[3]RNA Seq summary tables'!$V$3:$V$99,1,FALSE)</f>
        <v>#N/A</v>
      </c>
      <c r="DG2268" s="126" t="s">
        <v>116</v>
      </c>
    </row>
    <row r="2269" spans="2:277" ht="16" x14ac:dyDescent="0.2">
      <c r="B2269" s="16">
        <v>2018</v>
      </c>
      <c r="C2269" s="124">
        <v>43261</v>
      </c>
      <c r="D2269" t="s">
        <v>479</v>
      </c>
      <c r="E2269" s="20" t="str">
        <f>CONCATENATE(T2269,"-",U2269,"-",C2269)</f>
        <v>HW2-C8-43261</v>
      </c>
      <c r="F2269" s="16" t="s">
        <v>227</v>
      </c>
      <c r="G2269" s="126" t="s">
        <v>278</v>
      </c>
      <c r="H2269" s="126"/>
      <c r="J2269" s="127">
        <v>1358</v>
      </c>
      <c r="K2269" s="126"/>
      <c r="O2269" s="126"/>
      <c r="T2269" s="126" t="s">
        <v>129</v>
      </c>
      <c r="U2269" s="126" t="s">
        <v>188</v>
      </c>
      <c r="V2269" s="126"/>
      <c r="X2269" s="126"/>
      <c r="Y2269" s="126"/>
      <c r="Z2269" s="126"/>
      <c r="AA2269" s="126"/>
      <c r="AB2269" s="126"/>
      <c r="AC2269" s="126"/>
      <c r="AD2269" s="126"/>
      <c r="AE2269" s="126"/>
      <c r="AH2269" s="126"/>
      <c r="AI2269" s="126"/>
      <c r="AK2269" s="126"/>
      <c r="AL2269" s="126"/>
      <c r="AM2269" s="126"/>
      <c r="AN2269" s="126"/>
      <c r="BG2269" s="23"/>
      <c r="BN2269" s="126"/>
      <c r="BT2269" s="23"/>
      <c r="CD2269" s="23"/>
      <c r="DF2269" s="16" t="e">
        <f>VLOOKUP(K2269,'[3]RNA Seq summary tables'!$V$3:$V$99,1,FALSE)</f>
        <v>#N/A</v>
      </c>
      <c r="DG2269" s="126"/>
    </row>
    <row r="2270" spans="2:277" ht="16" x14ac:dyDescent="0.2">
      <c r="B2270" s="16">
        <v>2018</v>
      </c>
      <c r="C2270" s="124">
        <v>43262</v>
      </c>
      <c r="D2270" t="s">
        <v>486</v>
      </c>
      <c r="E2270" s="20" t="str">
        <f>CONCATENATE(T2270,"-",U2270,"-",C2270)</f>
        <v>HW2-A7-43262</v>
      </c>
      <c r="F2270" s="16" t="s">
        <v>227</v>
      </c>
      <c r="G2270" s="126" t="s">
        <v>278</v>
      </c>
      <c r="H2270" s="126"/>
      <c r="J2270" s="127">
        <v>1358</v>
      </c>
      <c r="K2270" s="126"/>
      <c r="O2270" s="126"/>
      <c r="T2270" s="126" t="s">
        <v>129</v>
      </c>
      <c r="U2270" s="126" t="s">
        <v>120</v>
      </c>
      <c r="V2270" s="126"/>
      <c r="X2270" s="126"/>
      <c r="Y2270" s="126"/>
      <c r="Z2270" s="126"/>
      <c r="AA2270" s="126"/>
      <c r="AB2270" s="126"/>
      <c r="AC2270" s="126"/>
      <c r="AD2270" s="126"/>
      <c r="AE2270" s="126"/>
      <c r="AH2270" s="126"/>
      <c r="AI2270" s="126"/>
      <c r="AK2270" s="126"/>
      <c r="AL2270" s="126"/>
      <c r="AM2270" s="126"/>
      <c r="AN2270" s="126"/>
      <c r="BG2270" s="23"/>
      <c r="BN2270" s="126"/>
      <c r="BT2270" s="23"/>
      <c r="CD2270" s="23"/>
      <c r="DF2270" s="16" t="e">
        <f>VLOOKUP(K2270,'[3]RNA Seq summary tables'!$V$3:$V$99,1,FALSE)</f>
        <v>#N/A</v>
      </c>
      <c r="DG2270" s="126"/>
    </row>
    <row r="2271" spans="2:277" x14ac:dyDescent="0.2">
      <c r="B2271" s="18">
        <v>2017</v>
      </c>
      <c r="C2271" s="37">
        <v>42967</v>
      </c>
      <c r="D2271" s="37" t="str">
        <f>CONCATENATE(J2271,"-",C2271)</f>
        <v>1359-42967</v>
      </c>
      <c r="E2271" s="20" t="str">
        <f>CONCATENATE(T2271,"-",U2271,"-",C2271)</f>
        <v>HW1-A6-42967</v>
      </c>
      <c r="F2271" s="20" t="s">
        <v>106</v>
      </c>
      <c r="G2271" s="37" t="s">
        <v>278</v>
      </c>
      <c r="H2271" s="18"/>
      <c r="I2271" s="18"/>
      <c r="J2271" s="36">
        <v>1359</v>
      </c>
      <c r="K2271" s="36"/>
      <c r="L2271" s="18"/>
      <c r="M2271" s="36"/>
      <c r="N2271" s="36"/>
      <c r="O2271" s="36"/>
      <c r="P2271" s="18"/>
      <c r="Q2271" s="18"/>
      <c r="R2271" s="18"/>
      <c r="S2271" s="18"/>
      <c r="T2271" s="18" t="s">
        <v>133</v>
      </c>
      <c r="U2271" s="18" t="s">
        <v>147</v>
      </c>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f>SUM(AL2271:AN2271)</f>
        <v>0</v>
      </c>
      <c r="AQ2271" s="18"/>
      <c r="AR2271" s="18"/>
      <c r="AS2271" s="18"/>
      <c r="AT2271" s="18" t="s">
        <v>285</v>
      </c>
      <c r="AU2271" s="18"/>
      <c r="AV2271" s="18"/>
      <c r="AW2271" s="18"/>
      <c r="AX2271" s="18"/>
      <c r="AY2271" s="18"/>
      <c r="AZ2271" s="18"/>
      <c r="BA2271" s="18"/>
      <c r="BB2271" s="18"/>
      <c r="BC2271" s="18"/>
      <c r="BD2271" s="18"/>
      <c r="BE2271" s="18"/>
      <c r="BF2271" s="18"/>
      <c r="BG2271" s="25"/>
      <c r="BH2271" s="18"/>
      <c r="BI2271" s="18"/>
      <c r="BJ2271" s="18"/>
      <c r="BK2271" s="18"/>
      <c r="BL2271" s="18"/>
      <c r="BM2271" s="18"/>
      <c r="BN2271" s="18"/>
      <c r="BO2271" s="18"/>
      <c r="BP2271" s="18"/>
      <c r="BQ2271" s="18"/>
      <c r="BR2271" s="18"/>
      <c r="BS2271" s="18"/>
      <c r="BT2271" s="25"/>
      <c r="BU2271" s="18"/>
      <c r="BV2271" s="18"/>
      <c r="BW2271" s="18"/>
      <c r="BX2271" s="18"/>
      <c r="BY2271" s="18"/>
      <c r="BZ2271" s="18"/>
      <c r="CA2271" s="18"/>
      <c r="CB2271" s="18"/>
      <c r="CC2271" s="18"/>
      <c r="CD2271" s="25"/>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6" t="e">
        <f>VLOOKUP(K2271,'[3]RNA Seq summary tables'!$V$3:$V$99,1,FALSE)</f>
        <v>#N/A</v>
      </c>
      <c r="DG2271" s="18"/>
      <c r="DH2271" s="18"/>
      <c r="DI2271" s="18"/>
      <c r="DJ2271" s="18"/>
      <c r="DK2271" s="18"/>
      <c r="DL2271" s="18"/>
      <c r="DM2271" s="18"/>
      <c r="DN2271" s="18"/>
      <c r="DO2271" s="18"/>
      <c r="DP2271" s="18"/>
      <c r="DQ2271" s="18"/>
      <c r="DR2271" s="18"/>
      <c r="DS2271" s="18"/>
      <c r="JO2271" s="18"/>
      <c r="JP2271" s="18"/>
      <c r="JQ2271" s="18"/>
    </row>
    <row r="2272" spans="2:277" x14ac:dyDescent="0.2">
      <c r="B2272" s="16">
        <v>2017</v>
      </c>
      <c r="C2272" s="20">
        <v>42968</v>
      </c>
      <c r="D2272" s="20" t="str">
        <f>CONCATENATE(J2272,"-",C2272)</f>
        <v>1359-42968</v>
      </c>
      <c r="E2272" s="20" t="str">
        <f>CONCATENATE(T2272,"-",U2272,"-",C2272)</f>
        <v>HW1-B5-42968</v>
      </c>
      <c r="F2272" s="20" t="s">
        <v>106</v>
      </c>
      <c r="G2272" s="20" t="s">
        <v>278</v>
      </c>
      <c r="J2272" s="21">
        <v>1359</v>
      </c>
      <c r="T2272" s="16" t="s">
        <v>133</v>
      </c>
      <c r="U2272" s="16" t="s">
        <v>160</v>
      </c>
      <c r="AP2272" s="16">
        <f>SUM(AL2272:AN2272)</f>
        <v>0</v>
      </c>
      <c r="AT2272" s="16" t="s">
        <v>285</v>
      </c>
      <c r="AY2272" s="18"/>
      <c r="BG2272" s="23"/>
      <c r="BT2272" s="23"/>
      <c r="CD2272" s="23"/>
      <c r="DF2272" s="16" t="e">
        <f>VLOOKUP(K2272,'[3]RNA Seq summary tables'!$V$3:$V$99,1,FALSE)</f>
        <v>#N/A</v>
      </c>
      <c r="JO2272" s="18"/>
      <c r="JP2272" s="18"/>
      <c r="JQ2272" s="18"/>
    </row>
    <row r="2273" spans="2:277" x14ac:dyDescent="0.2">
      <c r="B2273" s="16">
        <v>2017</v>
      </c>
      <c r="C2273" s="20">
        <v>42968</v>
      </c>
      <c r="D2273" s="20" t="str">
        <f>CONCATENATE(J2273,"-",C2273)</f>
        <v>1360-42968</v>
      </c>
      <c r="E2273" s="20" t="str">
        <f>CONCATENATE(T2273,"-",U2273,"-",C2273)</f>
        <v>HW1-A8-42968</v>
      </c>
      <c r="F2273" s="20" t="s">
        <v>106</v>
      </c>
      <c r="G2273" s="20" t="s">
        <v>278</v>
      </c>
      <c r="J2273" s="21">
        <v>1360</v>
      </c>
      <c r="T2273" s="16" t="s">
        <v>133</v>
      </c>
      <c r="U2273" s="16" t="s">
        <v>194</v>
      </c>
      <c r="AP2273" s="16">
        <f>SUM(AL2273:AN2273)</f>
        <v>0</v>
      </c>
      <c r="AT2273" s="16" t="s">
        <v>285</v>
      </c>
      <c r="AY2273" s="18"/>
      <c r="BG2273" s="23"/>
      <c r="BT2273" s="23"/>
      <c r="CD2273" s="23"/>
      <c r="DF2273" s="16" t="e">
        <f>VLOOKUP(K2273,'[3]RNA Seq summary tables'!$V$3:$V$99,1,FALSE)</f>
        <v>#N/A</v>
      </c>
      <c r="JO2273" s="18"/>
      <c r="JP2273" s="18"/>
      <c r="JQ2273" s="18"/>
    </row>
    <row r="2274" spans="2:277" x14ac:dyDescent="0.2">
      <c r="B2274" s="18">
        <v>2017</v>
      </c>
      <c r="C2274" s="37">
        <v>42973</v>
      </c>
      <c r="D2274" s="37" t="str">
        <f>CONCATENATE(J2274,"-",C2274)</f>
        <v>1369-42973</v>
      </c>
      <c r="E2274" s="20" t="str">
        <f>CONCATENATE(T2274,"-",U2274,"-",C2274)</f>
        <v>SP1-C3-42973</v>
      </c>
      <c r="F2274" s="20" t="s">
        <v>224</v>
      </c>
      <c r="G2274" s="37" t="s">
        <v>278</v>
      </c>
      <c r="H2274" s="18"/>
      <c r="I2274" s="18"/>
      <c r="J2274" s="36">
        <v>1369</v>
      </c>
      <c r="K2274" s="36"/>
      <c r="L2274" s="18"/>
      <c r="M2274" s="36"/>
      <c r="N2274" s="36"/>
      <c r="O2274" s="36"/>
      <c r="P2274" s="18"/>
      <c r="Q2274" s="18"/>
      <c r="R2274" s="18"/>
      <c r="S2274" s="18"/>
      <c r="T2274" s="18" t="s">
        <v>140</v>
      </c>
      <c r="U2274" s="18" t="s">
        <v>237</v>
      </c>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f>SUM(AL2274:AN2274)</f>
        <v>0</v>
      </c>
      <c r="AQ2274" s="18"/>
      <c r="AR2274" s="18"/>
      <c r="AS2274" s="18"/>
      <c r="AT2274" s="18" t="s">
        <v>285</v>
      </c>
      <c r="AU2274" s="18"/>
      <c r="AV2274" s="18"/>
      <c r="AW2274" s="18"/>
      <c r="AX2274" s="18"/>
      <c r="AY2274" s="18"/>
      <c r="AZ2274" s="18"/>
      <c r="BA2274" s="18"/>
      <c r="BB2274" s="18"/>
      <c r="BC2274" s="18"/>
      <c r="BD2274" s="18"/>
      <c r="BE2274" s="18"/>
      <c r="BF2274" s="18"/>
      <c r="BG2274" s="25"/>
      <c r="BH2274" s="18"/>
      <c r="BI2274" s="18"/>
      <c r="BJ2274" s="18"/>
      <c r="BK2274" s="18"/>
      <c r="BL2274" s="18"/>
      <c r="BM2274" s="18"/>
      <c r="BN2274" s="18"/>
      <c r="BO2274" s="18"/>
      <c r="BP2274" s="18"/>
      <c r="BQ2274" s="18"/>
      <c r="BR2274" s="18"/>
      <c r="BS2274" s="18"/>
      <c r="BT2274" s="25"/>
      <c r="BU2274" s="18"/>
      <c r="BV2274" s="18"/>
      <c r="BW2274" s="18"/>
      <c r="BX2274" s="18"/>
      <c r="BY2274" s="18"/>
      <c r="BZ2274" s="18"/>
      <c r="CA2274" s="18"/>
      <c r="CB2274" s="18"/>
      <c r="CC2274" s="18"/>
      <c r="CD2274" s="25"/>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6" t="e">
        <f>VLOOKUP(K2274,'[3]RNA Seq summary tables'!$V$3:$V$99,1,FALSE)</f>
        <v>#N/A</v>
      </c>
      <c r="DG2274" s="18"/>
      <c r="DH2274" s="18"/>
      <c r="DI2274" s="18"/>
      <c r="DJ2274" s="18"/>
      <c r="DK2274" s="18"/>
      <c r="DL2274" s="18"/>
      <c r="DM2274" s="18"/>
      <c r="DN2274" s="18"/>
      <c r="DO2274" s="18"/>
      <c r="DP2274" s="18"/>
      <c r="DQ2274" s="18"/>
      <c r="DR2274" s="18"/>
      <c r="DS2274" s="18"/>
      <c r="JO2274" s="27"/>
      <c r="JP2274" s="18"/>
      <c r="JQ2274" s="18"/>
    </row>
    <row r="2275" spans="2:277" x14ac:dyDescent="0.2">
      <c r="B2275" s="18">
        <v>2017</v>
      </c>
      <c r="C2275" s="37">
        <v>42974</v>
      </c>
      <c r="D2275" s="37" t="str">
        <f>CONCATENATE(J2275,"-",C2275)</f>
        <v>1369-42974</v>
      </c>
      <c r="E2275" s="20" t="str">
        <f>CONCATENATE(T2275,"-",U2275,"-",C2275)</f>
        <v>SP1-B2-42974</v>
      </c>
      <c r="F2275" s="20" t="s">
        <v>224</v>
      </c>
      <c r="G2275" s="37" t="s">
        <v>278</v>
      </c>
      <c r="H2275" s="18"/>
      <c r="I2275" s="18"/>
      <c r="J2275" s="36">
        <v>1369</v>
      </c>
      <c r="K2275" s="36"/>
      <c r="L2275" s="18"/>
      <c r="M2275" s="36"/>
      <c r="N2275" s="36"/>
      <c r="O2275" s="36"/>
      <c r="P2275" s="18"/>
      <c r="Q2275" s="18"/>
      <c r="R2275" s="18"/>
      <c r="S2275" s="18"/>
      <c r="T2275" s="18" t="s">
        <v>140</v>
      </c>
      <c r="U2275" s="18" t="s">
        <v>130</v>
      </c>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f>SUM(AL2275:AN2275)</f>
        <v>0</v>
      </c>
      <c r="AQ2275" s="18"/>
      <c r="AR2275" s="18"/>
      <c r="AS2275" s="18"/>
      <c r="AT2275" s="18" t="s">
        <v>285</v>
      </c>
      <c r="AU2275" s="18"/>
      <c r="AV2275" s="18"/>
      <c r="AW2275" s="18"/>
      <c r="AX2275" s="18"/>
      <c r="AY2275" s="18"/>
      <c r="AZ2275" s="18"/>
      <c r="BA2275" s="18"/>
      <c r="BB2275" s="18"/>
      <c r="BC2275" s="18"/>
      <c r="BD2275" s="18"/>
      <c r="BE2275" s="18"/>
      <c r="BF2275" s="18"/>
      <c r="BG2275" s="25"/>
      <c r="BH2275" s="18"/>
      <c r="BI2275" s="18"/>
      <c r="BJ2275" s="18"/>
      <c r="BK2275" s="18"/>
      <c r="BL2275" s="18"/>
      <c r="BM2275" s="18"/>
      <c r="BN2275" s="18"/>
      <c r="BO2275" s="18"/>
      <c r="BP2275" s="18"/>
      <c r="BQ2275" s="18"/>
      <c r="BR2275" s="18"/>
      <c r="BS2275" s="18"/>
      <c r="BT2275" s="25"/>
      <c r="BU2275" s="18"/>
      <c r="BV2275" s="18"/>
      <c r="BW2275" s="18"/>
      <c r="BX2275" s="18"/>
      <c r="BY2275" s="18"/>
      <c r="BZ2275" s="18"/>
      <c r="CA2275" s="18"/>
      <c r="CB2275" s="18"/>
      <c r="CC2275" s="18"/>
      <c r="CD2275" s="25"/>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6" t="e">
        <f>VLOOKUP(K2275,'[3]RNA Seq summary tables'!$V$3:$V$99,1,FALSE)</f>
        <v>#N/A</v>
      </c>
      <c r="DG2275" s="18"/>
      <c r="DH2275" s="18"/>
      <c r="DI2275" s="18"/>
      <c r="DJ2275" s="18"/>
      <c r="DK2275" s="18"/>
      <c r="DL2275" s="18"/>
      <c r="DM2275" s="18"/>
      <c r="DN2275" s="18"/>
      <c r="DO2275" s="18"/>
      <c r="DP2275" s="18"/>
      <c r="DQ2275" s="18"/>
      <c r="DR2275" s="18"/>
      <c r="DS2275" s="18"/>
      <c r="JO2275" s="12"/>
      <c r="JP2275" s="18"/>
      <c r="JQ2275" s="18"/>
    </row>
    <row r="2276" spans="2:277" x14ac:dyDescent="0.2">
      <c r="B2276" s="18">
        <v>2017</v>
      </c>
      <c r="C2276" s="37">
        <v>42973</v>
      </c>
      <c r="D2276" s="37" t="str">
        <f>CONCATENATE(J2276,"-",C2276)</f>
        <v>1371-42973</v>
      </c>
      <c r="E2276" s="20" t="str">
        <f>CONCATENATE(T2276,"-",U2276,"-",C2276)</f>
        <v>SP1-E1-42973</v>
      </c>
      <c r="F2276" s="20" t="s">
        <v>224</v>
      </c>
      <c r="G2276" s="37" t="s">
        <v>278</v>
      </c>
      <c r="H2276" s="18"/>
      <c r="I2276" s="18"/>
      <c r="J2276" s="36">
        <v>1371</v>
      </c>
      <c r="K2276" s="36"/>
      <c r="L2276" s="18"/>
      <c r="M2276" s="36"/>
      <c r="N2276" s="36"/>
      <c r="O2276" s="36"/>
      <c r="P2276" s="18"/>
      <c r="Q2276" s="18"/>
      <c r="R2276" s="18"/>
      <c r="S2276" s="18"/>
      <c r="T2276" s="18" t="s">
        <v>140</v>
      </c>
      <c r="U2276" s="18" t="s">
        <v>222</v>
      </c>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f>SUM(AL2276:AN2276)</f>
        <v>0</v>
      </c>
      <c r="AQ2276" s="18"/>
      <c r="AR2276" s="18"/>
      <c r="AS2276" s="18"/>
      <c r="AT2276" s="18" t="s">
        <v>285</v>
      </c>
      <c r="AU2276" s="18"/>
      <c r="AV2276" s="18"/>
      <c r="AW2276" s="18"/>
      <c r="AX2276" s="18"/>
      <c r="AY2276" s="18"/>
      <c r="AZ2276" s="18"/>
      <c r="BA2276" s="18"/>
      <c r="BB2276" s="18"/>
      <c r="BC2276" s="18"/>
      <c r="BD2276" s="18"/>
      <c r="BE2276" s="18"/>
      <c r="BF2276" s="18"/>
      <c r="BG2276" s="25"/>
      <c r="BH2276" s="18"/>
      <c r="BI2276" s="18"/>
      <c r="BJ2276" s="18"/>
      <c r="BK2276" s="18"/>
      <c r="BL2276" s="18"/>
      <c r="BM2276" s="18"/>
      <c r="BN2276" s="18"/>
      <c r="BO2276" s="18"/>
      <c r="BP2276" s="18"/>
      <c r="BQ2276" s="18"/>
      <c r="BR2276" s="18"/>
      <c r="BS2276" s="18"/>
      <c r="BT2276" s="25"/>
      <c r="BU2276" s="18"/>
      <c r="BV2276" s="18"/>
      <c r="BW2276" s="18"/>
      <c r="BX2276" s="18"/>
      <c r="BY2276" s="18"/>
      <c r="BZ2276" s="18"/>
      <c r="CA2276" s="18"/>
      <c r="CB2276" s="18"/>
      <c r="CC2276" s="18"/>
      <c r="CD2276" s="25"/>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6" t="e">
        <f>VLOOKUP(K2276,'[3]RNA Seq summary tables'!$V$3:$V$99,1,FALSE)</f>
        <v>#N/A</v>
      </c>
      <c r="DG2276" s="18"/>
      <c r="DH2276" s="18"/>
      <c r="DI2276" s="18"/>
      <c r="DJ2276" s="18"/>
      <c r="DK2276" s="18"/>
      <c r="DL2276" s="18"/>
      <c r="DM2276" s="18"/>
      <c r="DN2276" s="18"/>
      <c r="DO2276" s="18"/>
      <c r="DP2276" s="18"/>
      <c r="DQ2276" s="18"/>
      <c r="DR2276" s="18"/>
      <c r="DS2276" s="18"/>
      <c r="JO2276" s="27"/>
      <c r="JP2276" s="18"/>
      <c r="JQ2276" s="18"/>
    </row>
    <row r="2277" spans="2:277" x14ac:dyDescent="0.2">
      <c r="B2277" s="18">
        <v>2017</v>
      </c>
      <c r="C2277" s="37">
        <v>42973</v>
      </c>
      <c r="D2277" s="37" t="str">
        <f>CONCATENATE(J2277,"-",C2277)</f>
        <v>1373-42973</v>
      </c>
      <c r="E2277" s="20" t="str">
        <f>CONCATENATE(T2277,"-",U2277,"-",C2277)</f>
        <v>SP1-H8-42973</v>
      </c>
      <c r="F2277" s="20" t="s">
        <v>224</v>
      </c>
      <c r="G2277" s="37" t="s">
        <v>278</v>
      </c>
      <c r="H2277" s="18"/>
      <c r="I2277" s="18"/>
      <c r="J2277" s="36">
        <v>1373</v>
      </c>
      <c r="K2277" s="36"/>
      <c r="L2277" s="18"/>
      <c r="M2277" s="36"/>
      <c r="N2277" s="36"/>
      <c r="O2277" s="36"/>
      <c r="P2277" s="18"/>
      <c r="Q2277" s="18"/>
      <c r="R2277" s="18"/>
      <c r="S2277" s="18"/>
      <c r="T2277" s="18" t="s">
        <v>140</v>
      </c>
      <c r="U2277" s="18" t="s">
        <v>152</v>
      </c>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f>SUM(AL2277:AN2277)</f>
        <v>0</v>
      </c>
      <c r="AQ2277" s="18">
        <v>1.569</v>
      </c>
      <c r="AR2277" s="18">
        <f>AP2277-1.472</f>
        <v>-1.472</v>
      </c>
      <c r="AS2277" s="18">
        <f>AQ2277-1.472</f>
        <v>9.6999999999999975E-2</v>
      </c>
      <c r="AT2277" s="18"/>
      <c r="AU2277" s="18"/>
      <c r="AV2277" s="18"/>
      <c r="AW2277" s="18"/>
      <c r="AX2277" s="18"/>
      <c r="AY2277" s="18"/>
      <c r="AZ2277" s="18"/>
      <c r="BA2277" s="18"/>
      <c r="BB2277" s="18"/>
      <c r="BC2277" s="18"/>
      <c r="BD2277" s="18"/>
      <c r="BE2277" s="18"/>
      <c r="BF2277" s="18"/>
      <c r="BG2277" s="25"/>
      <c r="BH2277" s="18"/>
      <c r="BI2277" s="18"/>
      <c r="BJ2277" s="18"/>
      <c r="BK2277" s="18"/>
      <c r="BL2277" s="18"/>
      <c r="BM2277" s="18"/>
      <c r="BN2277" s="18"/>
      <c r="BO2277" s="18"/>
      <c r="BP2277" s="18"/>
      <c r="BQ2277" s="18"/>
      <c r="BR2277" s="18"/>
      <c r="BS2277" s="18"/>
      <c r="BT2277" s="25"/>
      <c r="BU2277" s="18"/>
      <c r="BV2277" s="18"/>
      <c r="BW2277" s="18"/>
      <c r="BX2277" s="18"/>
      <c r="BY2277" s="18"/>
      <c r="BZ2277" s="18"/>
      <c r="CA2277" s="18"/>
      <c r="CB2277" s="18"/>
      <c r="CC2277" s="18"/>
      <c r="CD2277" s="25"/>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6" t="e">
        <f>VLOOKUP(K2277,'[3]RNA Seq summary tables'!$V$3:$V$99,1,FALSE)</f>
        <v>#N/A</v>
      </c>
      <c r="DG2277" s="18"/>
      <c r="DH2277" s="18"/>
      <c r="DI2277" s="18"/>
      <c r="DJ2277" s="18"/>
      <c r="DK2277" s="18"/>
      <c r="DL2277" s="18"/>
      <c r="DM2277" s="18"/>
      <c r="DN2277" s="18"/>
      <c r="DO2277" s="18"/>
      <c r="DP2277" s="18"/>
      <c r="DQ2277" s="18"/>
      <c r="DR2277" s="18"/>
      <c r="DS2277" s="18"/>
      <c r="JO2277" s="27"/>
      <c r="JP2277" s="18"/>
      <c r="JQ2277" s="18"/>
    </row>
    <row r="2278" spans="2:277" x14ac:dyDescent="0.2">
      <c r="B2278" s="16">
        <v>2017</v>
      </c>
      <c r="C2278" s="20">
        <v>42974</v>
      </c>
      <c r="D2278" s="20" t="str">
        <f>CONCATENATE(J2278,"-",C2278)</f>
        <v>1373-42974</v>
      </c>
      <c r="E2278" s="20" t="str">
        <f>CONCATENATE(T2278,"-",U2278,"-",C2278)</f>
        <v>SP1-G8-42974</v>
      </c>
      <c r="F2278" s="20" t="s">
        <v>224</v>
      </c>
      <c r="G2278" s="20" t="s">
        <v>278</v>
      </c>
      <c r="J2278" s="21">
        <v>1373</v>
      </c>
      <c r="T2278" s="16" t="s">
        <v>140</v>
      </c>
      <c r="U2278" s="16" t="s">
        <v>216</v>
      </c>
      <c r="AP2278" s="16">
        <f>SUM(AL2278:AN2278)</f>
        <v>0</v>
      </c>
      <c r="AT2278" s="16" t="s">
        <v>285</v>
      </c>
      <c r="AY2278" s="18"/>
      <c r="BG2278" s="23"/>
      <c r="BT2278" s="23"/>
      <c r="CD2278" s="23"/>
      <c r="DF2278" s="16" t="e">
        <f>VLOOKUP(K2278,'[3]RNA Seq summary tables'!$V$3:$V$99,1,FALSE)</f>
        <v>#N/A</v>
      </c>
      <c r="JO2278" s="12"/>
      <c r="JP2278" s="18"/>
      <c r="JQ2278" s="18"/>
    </row>
    <row r="2279" spans="2:277" x14ac:dyDescent="0.2">
      <c r="B2279" s="16">
        <v>2017</v>
      </c>
      <c r="C2279" s="20">
        <v>42973</v>
      </c>
      <c r="D2279" s="20" t="str">
        <f>CONCATENATE(J2279,"-",C2279)</f>
        <v>1376-42973</v>
      </c>
      <c r="E2279" s="20" t="str">
        <f>CONCATENATE(T2279,"-",U2279,"-",C2279)</f>
        <v>SP2-C3-42973</v>
      </c>
      <c r="F2279" s="20" t="s">
        <v>224</v>
      </c>
      <c r="G2279" s="20" t="s">
        <v>278</v>
      </c>
      <c r="J2279" s="21">
        <v>1376</v>
      </c>
      <c r="T2279" s="16" t="s">
        <v>137</v>
      </c>
      <c r="U2279" s="16" t="s">
        <v>237</v>
      </c>
      <c r="AP2279" s="16">
        <f>SUM(AL2279:AN2279)</f>
        <v>0</v>
      </c>
      <c r="AT2279" s="16" t="s">
        <v>285</v>
      </c>
      <c r="AY2279" s="18"/>
      <c r="BG2279" s="23"/>
      <c r="BT2279" s="23"/>
      <c r="CD2279" s="23"/>
      <c r="DF2279" s="16" t="e">
        <f>VLOOKUP(K2279,'[3]RNA Seq summary tables'!$V$3:$V$99,1,FALSE)</f>
        <v>#N/A</v>
      </c>
      <c r="JO2279" s="18"/>
      <c r="JP2279" s="18"/>
      <c r="JQ2279" s="18"/>
    </row>
    <row r="2280" spans="2:277" x14ac:dyDescent="0.2">
      <c r="B2280" s="16">
        <v>2017</v>
      </c>
      <c r="C2280" s="20">
        <v>42973</v>
      </c>
      <c r="D2280" s="20" t="str">
        <f>CONCATENATE(J2280,"-",C2280)</f>
        <v>1378-42973</v>
      </c>
      <c r="E2280" s="20" t="str">
        <f>CONCATENATE(T2280,"-",U2280,"-",C2280)</f>
        <v>SP2-H5-42973</v>
      </c>
      <c r="F2280" s="20" t="s">
        <v>224</v>
      </c>
      <c r="G2280" s="20" t="s">
        <v>278</v>
      </c>
      <c r="J2280" s="21">
        <v>1378</v>
      </c>
      <c r="T2280" s="16" t="s">
        <v>137</v>
      </c>
      <c r="U2280" s="16" t="s">
        <v>180</v>
      </c>
      <c r="AP2280" s="16">
        <f>SUM(AL2280:AN2280)</f>
        <v>0</v>
      </c>
      <c r="AT2280" s="16" t="s">
        <v>285</v>
      </c>
      <c r="AY2280" s="18"/>
      <c r="BG2280" s="23"/>
      <c r="BT2280" s="23"/>
      <c r="CD2280" s="23"/>
      <c r="DF2280" s="16" t="e">
        <f>VLOOKUP(K2280,'[3]RNA Seq summary tables'!$V$3:$V$99,1,FALSE)</f>
        <v>#N/A</v>
      </c>
      <c r="JO2280" s="18"/>
      <c r="JP2280" s="18"/>
      <c r="JQ2280" s="18"/>
    </row>
    <row r="2281" spans="2:277" x14ac:dyDescent="0.2">
      <c r="B2281" s="16">
        <v>2017</v>
      </c>
      <c r="C2281" s="20">
        <v>42974</v>
      </c>
      <c r="D2281" s="20" t="str">
        <f>CONCATENATE(J2281,"-",C2281)</f>
        <v>1378-42974</v>
      </c>
      <c r="E2281" s="20" t="str">
        <f>CONCATENATE(T2281,"-",U2281,"-",C2281)</f>
        <v>SP2-H7-42974</v>
      </c>
      <c r="F2281" s="20" t="s">
        <v>224</v>
      </c>
      <c r="G2281" s="20" t="s">
        <v>278</v>
      </c>
      <c r="J2281" s="21">
        <v>1378</v>
      </c>
      <c r="T2281" s="16" t="s">
        <v>137</v>
      </c>
      <c r="U2281" s="16" t="s">
        <v>202</v>
      </c>
      <c r="AP2281" s="16">
        <f>SUM(AL2281:AN2281)</f>
        <v>0</v>
      </c>
      <c r="AT2281" s="16" t="s">
        <v>285</v>
      </c>
      <c r="AY2281" s="18"/>
      <c r="BG2281" s="23"/>
      <c r="BT2281" s="23"/>
      <c r="CD2281" s="23"/>
      <c r="DF2281" s="16" t="e">
        <f>VLOOKUP(K2281,'[3]RNA Seq summary tables'!$V$3:$V$99,1,FALSE)</f>
        <v>#N/A</v>
      </c>
      <c r="JO2281" s="27"/>
      <c r="JP2281" s="18"/>
      <c r="JQ2281" s="18"/>
    </row>
    <row r="2282" spans="2:277" x14ac:dyDescent="0.2">
      <c r="B2282" s="16">
        <v>2017</v>
      </c>
      <c r="C2282" s="20">
        <v>42974</v>
      </c>
      <c r="D2282" s="20" t="str">
        <f>CONCATENATE(J2282,"-",C2282)</f>
        <v>1379-42974</v>
      </c>
      <c r="E2282" s="20" t="str">
        <f>CONCATENATE(T2282,"-",U2282,"-",C2282)</f>
        <v>SP1-A2-42974</v>
      </c>
      <c r="F2282" s="20" t="s">
        <v>224</v>
      </c>
      <c r="G2282" s="20" t="s">
        <v>278</v>
      </c>
      <c r="J2282" s="21">
        <v>1379</v>
      </c>
      <c r="T2282" s="16" t="s">
        <v>140</v>
      </c>
      <c r="U2282" s="16" t="s">
        <v>171</v>
      </c>
      <c r="AP2282" s="16">
        <f>SUM(AL2282:AN2282)</f>
        <v>0</v>
      </c>
      <c r="AT2282" s="16" t="s">
        <v>285</v>
      </c>
      <c r="AY2282" s="18"/>
      <c r="BG2282" s="23"/>
      <c r="BT2282" s="23"/>
      <c r="CD2282" s="23"/>
      <c r="DF2282" s="16" t="e">
        <f>VLOOKUP(K2282,'[3]RNA Seq summary tables'!$V$3:$V$99,1,FALSE)</f>
        <v>#N/A</v>
      </c>
      <c r="JO2282" s="27"/>
      <c r="JP2282" s="18"/>
      <c r="JQ2282" s="18"/>
    </row>
    <row r="2283" spans="2:277" x14ac:dyDescent="0.2">
      <c r="B2283" s="18">
        <v>2017</v>
      </c>
      <c r="C2283" s="37">
        <v>42976</v>
      </c>
      <c r="D2283" s="37" t="str">
        <f>CONCATENATE(J2283,"-",C2283)</f>
        <v>1383-42976</v>
      </c>
      <c r="E2283" s="20" t="str">
        <f>CONCATENATE(T2283,"-",U2283,"-",C2283)</f>
        <v>PO1-B5-42976</v>
      </c>
      <c r="F2283" s="20" t="s">
        <v>224</v>
      </c>
      <c r="G2283" s="37" t="s">
        <v>278</v>
      </c>
      <c r="H2283" s="18"/>
      <c r="I2283" s="18"/>
      <c r="J2283" s="36">
        <v>1383</v>
      </c>
      <c r="K2283" s="36"/>
      <c r="L2283" s="18"/>
      <c r="M2283" s="36"/>
      <c r="N2283" s="36"/>
      <c r="O2283" s="36"/>
      <c r="P2283" s="18"/>
      <c r="Q2283" s="18"/>
      <c r="R2283" s="18"/>
      <c r="S2283" s="18"/>
      <c r="T2283" s="18" t="s">
        <v>112</v>
      </c>
      <c r="U2283" s="18" t="s">
        <v>160</v>
      </c>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f>SUM(AL2283:AN2283)</f>
        <v>0</v>
      </c>
      <c r="AQ2283" s="18"/>
      <c r="AR2283" s="18"/>
      <c r="AS2283" s="18"/>
      <c r="AT2283" s="18" t="s">
        <v>285</v>
      </c>
      <c r="AU2283" s="18"/>
      <c r="AV2283" s="18"/>
      <c r="AW2283" s="18"/>
      <c r="AX2283" s="18"/>
      <c r="AY2283" s="18"/>
      <c r="AZ2283" s="18"/>
      <c r="BA2283" s="18"/>
      <c r="BB2283" s="18"/>
      <c r="BC2283" s="18"/>
      <c r="BD2283" s="18"/>
      <c r="BE2283" s="18"/>
      <c r="BF2283" s="18"/>
      <c r="BG2283" s="25"/>
      <c r="BH2283" s="18"/>
      <c r="BI2283" s="18"/>
      <c r="BJ2283" s="18"/>
      <c r="BK2283" s="18"/>
      <c r="BL2283" s="18"/>
      <c r="BM2283" s="18"/>
      <c r="BN2283" s="18"/>
      <c r="BO2283" s="18"/>
      <c r="BP2283" s="18"/>
      <c r="BQ2283" s="18"/>
      <c r="BR2283" s="18"/>
      <c r="BS2283" s="18"/>
      <c r="BT2283" s="25"/>
      <c r="BU2283" s="18"/>
      <c r="BV2283" s="18"/>
      <c r="BW2283" s="18"/>
      <c r="BX2283" s="18"/>
      <c r="BY2283" s="18"/>
      <c r="BZ2283" s="18"/>
      <c r="CA2283" s="18"/>
      <c r="CB2283" s="18"/>
      <c r="CC2283" s="18"/>
      <c r="CD2283" s="25"/>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6" t="e">
        <f>VLOOKUP(K2283,'[3]RNA Seq summary tables'!$V$3:$V$99,1,FALSE)</f>
        <v>#N/A</v>
      </c>
      <c r="DG2283" s="18"/>
      <c r="DH2283" s="18"/>
      <c r="DI2283" s="18"/>
      <c r="DJ2283" s="18"/>
      <c r="DK2283" s="18"/>
      <c r="DL2283" s="18"/>
      <c r="DM2283" s="18"/>
      <c r="DN2283" s="18"/>
      <c r="DO2283" s="18"/>
      <c r="DP2283" s="18"/>
      <c r="DQ2283" s="18"/>
      <c r="DR2283" s="18"/>
      <c r="DS2283" s="18"/>
      <c r="JO2283" s="18"/>
      <c r="JP2283" s="18"/>
      <c r="JQ2283" s="18"/>
    </row>
    <row r="2284" spans="2:277" x14ac:dyDescent="0.2">
      <c r="B2284" s="18">
        <v>2017</v>
      </c>
      <c r="C2284" s="37">
        <v>42976</v>
      </c>
      <c r="D2284" s="37" t="str">
        <f>CONCATENATE(J2284,"-",C2284)</f>
        <v>1384-42976</v>
      </c>
      <c r="E2284" s="20" t="str">
        <f>CONCATENATE(T2284,"-",U2284,"-",C2284)</f>
        <v>PO1-E2-42976</v>
      </c>
      <c r="F2284" s="20" t="s">
        <v>224</v>
      </c>
      <c r="G2284" s="37" t="s">
        <v>278</v>
      </c>
      <c r="H2284" s="18"/>
      <c r="I2284" s="18"/>
      <c r="J2284" s="36">
        <v>1384</v>
      </c>
      <c r="K2284" s="36"/>
      <c r="L2284" s="18"/>
      <c r="M2284" s="36"/>
      <c r="N2284" s="36"/>
      <c r="O2284" s="36"/>
      <c r="P2284" s="18"/>
      <c r="Q2284" s="18"/>
      <c r="R2284" s="18"/>
      <c r="S2284" s="18"/>
      <c r="T2284" s="18" t="s">
        <v>112</v>
      </c>
      <c r="U2284" s="18" t="s">
        <v>136</v>
      </c>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f>SUM(AL2284:AN2284)</f>
        <v>0</v>
      </c>
      <c r="AQ2284" s="18"/>
      <c r="AR2284" s="18"/>
      <c r="AS2284" s="18"/>
      <c r="AT2284" s="18" t="s">
        <v>285</v>
      </c>
      <c r="AU2284" s="18"/>
      <c r="AV2284" s="18"/>
      <c r="AW2284" s="18"/>
      <c r="AX2284" s="18"/>
      <c r="AY2284" s="18"/>
      <c r="AZ2284" s="18"/>
      <c r="BA2284" s="18"/>
      <c r="BB2284" s="18"/>
      <c r="BC2284" s="18"/>
      <c r="BD2284" s="18"/>
      <c r="BE2284" s="18"/>
      <c r="BF2284" s="18"/>
      <c r="BG2284" s="25"/>
      <c r="BH2284" s="18"/>
      <c r="BI2284" s="18"/>
      <c r="BJ2284" s="18"/>
      <c r="BK2284" s="18"/>
      <c r="BL2284" s="18"/>
      <c r="BM2284" s="18"/>
      <c r="BN2284" s="18"/>
      <c r="BO2284" s="18"/>
      <c r="BP2284" s="18"/>
      <c r="BQ2284" s="18"/>
      <c r="BR2284" s="18"/>
      <c r="BS2284" s="18"/>
      <c r="BT2284" s="25"/>
      <c r="BU2284" s="18"/>
      <c r="BV2284" s="18"/>
      <c r="BW2284" s="18"/>
      <c r="BX2284" s="18"/>
      <c r="BY2284" s="18"/>
      <c r="BZ2284" s="18"/>
      <c r="CA2284" s="18"/>
      <c r="CB2284" s="18"/>
      <c r="CC2284" s="18"/>
      <c r="CD2284" s="25"/>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6" t="e">
        <f>VLOOKUP(K2284,'[3]RNA Seq summary tables'!$V$3:$V$99,1,FALSE)</f>
        <v>#N/A</v>
      </c>
      <c r="DG2284" s="18"/>
      <c r="DH2284" s="18"/>
      <c r="DI2284" s="18"/>
      <c r="DJ2284" s="18"/>
      <c r="DK2284" s="18"/>
      <c r="DL2284" s="18"/>
      <c r="DM2284" s="18"/>
      <c r="DN2284" s="18"/>
      <c r="DO2284" s="18"/>
      <c r="DP2284" s="18"/>
      <c r="DQ2284" s="18"/>
      <c r="DR2284" s="18"/>
      <c r="DS2284" s="18"/>
      <c r="EE2284" s="95"/>
      <c r="JO2284" s="18"/>
      <c r="JP2284" s="18"/>
      <c r="JQ2284" s="18"/>
    </row>
    <row r="2285" spans="2:277" x14ac:dyDescent="0.2">
      <c r="B2285" s="18">
        <v>2017</v>
      </c>
      <c r="C2285" s="37">
        <v>42977</v>
      </c>
      <c r="D2285" s="37" t="str">
        <f>CONCATENATE(J2285,"-",C2285)</f>
        <v>1384-42977</v>
      </c>
      <c r="E2285" s="20" t="str">
        <f>CONCATENATE(T2285,"-",U2285,"-",C2285)</f>
        <v>PO1-E4-42977</v>
      </c>
      <c r="F2285" s="20" t="s">
        <v>224</v>
      </c>
      <c r="G2285" s="37" t="s">
        <v>278</v>
      </c>
      <c r="H2285" s="18"/>
      <c r="I2285" s="18"/>
      <c r="J2285" s="36">
        <v>1384</v>
      </c>
      <c r="K2285" s="36"/>
      <c r="L2285" s="18"/>
      <c r="M2285" s="36"/>
      <c r="N2285" s="36"/>
      <c r="O2285" s="36"/>
      <c r="P2285" s="18"/>
      <c r="Q2285" s="18"/>
      <c r="R2285" s="18"/>
      <c r="S2285" s="18"/>
      <c r="T2285" s="18" t="s">
        <v>112</v>
      </c>
      <c r="U2285" s="18" t="s">
        <v>206</v>
      </c>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f>SUM(AL2285:AN2285)</f>
        <v>0</v>
      </c>
      <c r="AQ2285" s="18"/>
      <c r="AR2285" s="18"/>
      <c r="AS2285" s="18"/>
      <c r="AT2285" s="18" t="s">
        <v>285</v>
      </c>
      <c r="AU2285" s="18"/>
      <c r="AV2285" s="18"/>
      <c r="AW2285" s="18"/>
      <c r="AX2285" s="18"/>
      <c r="AY2285" s="18"/>
      <c r="AZ2285" s="18"/>
      <c r="BA2285" s="18"/>
      <c r="BB2285" s="18"/>
      <c r="BC2285" s="18"/>
      <c r="BD2285" s="18"/>
      <c r="BE2285" s="18"/>
      <c r="BF2285" s="18"/>
      <c r="BG2285" s="25"/>
      <c r="BH2285" s="18"/>
      <c r="BI2285" s="18"/>
      <c r="BJ2285" s="18"/>
      <c r="BK2285" s="18"/>
      <c r="BL2285" s="18"/>
      <c r="BM2285" s="18"/>
      <c r="BN2285" s="18"/>
      <c r="BO2285" s="18"/>
      <c r="BP2285" s="18"/>
      <c r="BQ2285" s="18"/>
      <c r="BR2285" s="18"/>
      <c r="BS2285" s="18"/>
      <c r="BT2285" s="25"/>
      <c r="BU2285" s="18"/>
      <c r="BV2285" s="18"/>
      <c r="BW2285" s="18"/>
      <c r="BX2285" s="18"/>
      <c r="BY2285" s="18"/>
      <c r="BZ2285" s="18"/>
      <c r="CA2285" s="18"/>
      <c r="CB2285" s="18"/>
      <c r="CC2285" s="18"/>
      <c r="CD2285" s="25"/>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6" t="e">
        <f>VLOOKUP(K2285,'[3]RNA Seq summary tables'!$V$3:$V$99,1,FALSE)</f>
        <v>#N/A</v>
      </c>
      <c r="DG2285" s="18"/>
      <c r="DH2285" s="18"/>
      <c r="DI2285" s="18"/>
      <c r="DJ2285" s="18"/>
      <c r="DK2285" s="18"/>
      <c r="DL2285" s="18"/>
      <c r="DM2285" s="18"/>
      <c r="DN2285" s="18"/>
      <c r="DO2285" s="18"/>
      <c r="DP2285" s="18"/>
      <c r="DQ2285" s="18"/>
      <c r="DR2285" s="18"/>
      <c r="DS2285" s="18"/>
    </row>
    <row r="2286" spans="2:277" x14ac:dyDescent="0.2">
      <c r="B2286" s="18">
        <v>2017</v>
      </c>
      <c r="C2286" s="37">
        <v>42977</v>
      </c>
      <c r="D2286" s="37" t="str">
        <f>CONCATENATE(J2286,"-",C2286)</f>
        <v>1385-42977</v>
      </c>
      <c r="E2286" s="20" t="str">
        <f>CONCATENATE(T2286,"-",U2286,"-",C2286)</f>
        <v>PO1-F1-42977</v>
      </c>
      <c r="F2286" s="20" t="s">
        <v>224</v>
      </c>
      <c r="G2286" s="37" t="s">
        <v>278</v>
      </c>
      <c r="H2286" s="18"/>
      <c r="I2286" s="18"/>
      <c r="J2286" s="36">
        <v>1385</v>
      </c>
      <c r="K2286" s="36"/>
      <c r="L2286" s="18"/>
      <c r="M2286" s="36"/>
      <c r="N2286" s="36"/>
      <c r="O2286" s="36"/>
      <c r="P2286" s="18"/>
      <c r="Q2286" s="18"/>
      <c r="R2286" s="18"/>
      <c r="S2286" s="18"/>
      <c r="T2286" s="18" t="s">
        <v>112</v>
      </c>
      <c r="U2286" s="18" t="s">
        <v>217</v>
      </c>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f>SUM(AL2286:AN2286)</f>
        <v>0</v>
      </c>
      <c r="AQ2286" s="18"/>
      <c r="AR2286" s="18"/>
      <c r="AS2286" s="18"/>
      <c r="AT2286" s="18" t="s">
        <v>285</v>
      </c>
      <c r="AU2286" s="18"/>
      <c r="AV2286" s="18"/>
      <c r="AW2286" s="18"/>
      <c r="AX2286" s="18"/>
      <c r="AY2286" s="18"/>
      <c r="AZ2286" s="18"/>
      <c r="BA2286" s="18"/>
      <c r="BB2286" s="18"/>
      <c r="BC2286" s="18"/>
      <c r="BD2286" s="18"/>
      <c r="BE2286" s="18"/>
      <c r="BF2286" s="18"/>
      <c r="BG2286" s="25"/>
      <c r="BH2286" s="18"/>
      <c r="BI2286" s="18"/>
      <c r="BJ2286" s="18"/>
      <c r="BK2286" s="18"/>
      <c r="BL2286" s="18"/>
      <c r="BM2286" s="18"/>
      <c r="BN2286" s="18"/>
      <c r="BO2286" s="18"/>
      <c r="BP2286" s="18"/>
      <c r="BQ2286" s="18"/>
      <c r="BR2286" s="18"/>
      <c r="BS2286" s="18"/>
      <c r="BT2286" s="25"/>
      <c r="BU2286" s="18"/>
      <c r="BV2286" s="18"/>
      <c r="BW2286" s="18"/>
      <c r="BX2286" s="18"/>
      <c r="BY2286" s="18"/>
      <c r="BZ2286" s="18"/>
      <c r="CA2286" s="18"/>
      <c r="CB2286" s="18"/>
      <c r="CC2286" s="18"/>
      <c r="CD2286" s="25"/>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6" t="e">
        <f>VLOOKUP(K2286,'[3]RNA Seq summary tables'!$V$3:$V$99,1,FALSE)</f>
        <v>#N/A</v>
      </c>
      <c r="DG2286" s="18"/>
      <c r="DH2286" s="18"/>
      <c r="DI2286" s="18"/>
      <c r="DJ2286" s="18"/>
      <c r="DK2286" s="18"/>
      <c r="DL2286" s="18"/>
      <c r="DM2286" s="18"/>
      <c r="DN2286" s="18"/>
      <c r="DO2286" s="18"/>
      <c r="DP2286" s="18"/>
      <c r="DQ2286" s="18"/>
      <c r="DR2286" s="18"/>
      <c r="DS2286" s="18"/>
    </row>
    <row r="2287" spans="2:277" x14ac:dyDescent="0.2">
      <c r="B2287" s="18">
        <v>2017</v>
      </c>
      <c r="C2287" s="37">
        <v>42977</v>
      </c>
      <c r="D2287" s="37" t="str">
        <f>CONCATENATE(J2287,"-",C2287)</f>
        <v>1386-42977</v>
      </c>
      <c r="E2287" s="20" t="str">
        <f>CONCATENATE(T2287,"-",U2287,"-",C2287)</f>
        <v>PO2-G1-42977</v>
      </c>
      <c r="F2287" s="20" t="s">
        <v>224</v>
      </c>
      <c r="G2287" s="37" t="s">
        <v>278</v>
      </c>
      <c r="H2287" s="18"/>
      <c r="I2287" s="18"/>
      <c r="J2287" s="36">
        <v>1386</v>
      </c>
      <c r="K2287" s="36"/>
      <c r="L2287" s="18"/>
      <c r="M2287" s="36"/>
      <c r="N2287" s="36"/>
      <c r="O2287" s="36"/>
      <c r="P2287" s="18"/>
      <c r="Q2287" s="18"/>
      <c r="R2287" s="18"/>
      <c r="S2287" s="18"/>
      <c r="T2287" s="18" t="s">
        <v>127</v>
      </c>
      <c r="U2287" s="18" t="s">
        <v>155</v>
      </c>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f>SUM(AL2287:AN2287)</f>
        <v>0</v>
      </c>
      <c r="AQ2287" s="18"/>
      <c r="AR2287" s="18"/>
      <c r="AS2287" s="18"/>
      <c r="AT2287" s="18" t="s">
        <v>285</v>
      </c>
      <c r="AU2287" s="18"/>
      <c r="AV2287" s="18"/>
      <c r="AW2287" s="18"/>
      <c r="AX2287" s="18"/>
      <c r="AY2287" s="18"/>
      <c r="AZ2287" s="18"/>
      <c r="BA2287" s="18"/>
      <c r="BB2287" s="18"/>
      <c r="BC2287" s="18"/>
      <c r="BD2287" s="18"/>
      <c r="BE2287" s="18"/>
      <c r="BF2287" s="18"/>
      <c r="BG2287" s="25"/>
      <c r="BH2287" s="18"/>
      <c r="BI2287" s="18"/>
      <c r="BJ2287" s="18"/>
      <c r="BK2287" s="18"/>
      <c r="BL2287" s="18"/>
      <c r="BM2287" s="18"/>
      <c r="BN2287" s="18"/>
      <c r="BO2287" s="18"/>
      <c r="BP2287" s="18"/>
      <c r="BQ2287" s="18"/>
      <c r="BR2287" s="18"/>
      <c r="BS2287" s="18"/>
      <c r="BT2287" s="25"/>
      <c r="BU2287" s="18"/>
      <c r="BV2287" s="18"/>
      <c r="BW2287" s="18"/>
      <c r="BX2287" s="18"/>
      <c r="BY2287" s="18"/>
      <c r="BZ2287" s="18"/>
      <c r="CA2287" s="18"/>
      <c r="CB2287" s="18"/>
      <c r="CC2287" s="18"/>
      <c r="CD2287" s="25"/>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6" t="e">
        <f>VLOOKUP(K2287,'[3]RNA Seq summary tables'!$V$3:$V$99,1,FALSE)</f>
        <v>#N/A</v>
      </c>
      <c r="DG2287" s="18"/>
      <c r="DH2287" s="18"/>
      <c r="DI2287" s="18"/>
      <c r="DJ2287" s="18"/>
      <c r="DK2287" s="18"/>
      <c r="DL2287" s="18"/>
      <c r="DM2287" s="18"/>
      <c r="DN2287" s="18"/>
      <c r="DO2287" s="18"/>
      <c r="DP2287" s="18"/>
      <c r="DQ2287" s="18"/>
      <c r="DR2287" s="18"/>
      <c r="DS2287" s="18"/>
      <c r="JO2287" s="26"/>
    </row>
    <row r="2288" spans="2:277" x14ac:dyDescent="0.2">
      <c r="B2288" s="18">
        <v>2017</v>
      </c>
      <c r="C2288" s="37">
        <v>42977</v>
      </c>
      <c r="D2288" s="37" t="str">
        <f>CONCATENATE(J2288,"-",C2288)</f>
        <v>1388-42977</v>
      </c>
      <c r="E2288" s="20" t="str">
        <f>CONCATENATE(T2288,"-",U2288,"-",C2288)</f>
        <v>PO1-B8-42977</v>
      </c>
      <c r="F2288" s="20" t="s">
        <v>224</v>
      </c>
      <c r="G2288" s="37" t="s">
        <v>278</v>
      </c>
      <c r="H2288" s="18"/>
      <c r="I2288" s="18"/>
      <c r="J2288" s="36">
        <v>1388</v>
      </c>
      <c r="K2288" s="36"/>
      <c r="L2288" s="18"/>
      <c r="M2288" s="36"/>
      <c r="N2288" s="36"/>
      <c r="O2288" s="36"/>
      <c r="P2288" s="18"/>
      <c r="Q2288" s="18"/>
      <c r="R2288" s="18"/>
      <c r="S2288" s="18"/>
      <c r="T2288" s="18" t="s">
        <v>112</v>
      </c>
      <c r="U2288" s="18" t="s">
        <v>209</v>
      </c>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f>SUM(AL2288:AN2288)</f>
        <v>0</v>
      </c>
      <c r="AQ2288" s="18"/>
      <c r="AR2288" s="18"/>
      <c r="AS2288" s="18"/>
      <c r="AT2288" s="18" t="s">
        <v>285</v>
      </c>
      <c r="AU2288" s="18"/>
      <c r="AV2288" s="18"/>
      <c r="AW2288" s="18"/>
      <c r="AX2288" s="18"/>
      <c r="AY2288" s="18"/>
      <c r="AZ2288" s="18"/>
      <c r="BA2288" s="18"/>
      <c r="BB2288" s="18"/>
      <c r="BC2288" s="18"/>
      <c r="BD2288" s="18"/>
      <c r="BE2288" s="18"/>
      <c r="BF2288" s="18"/>
      <c r="BG2288" s="25"/>
      <c r="BH2288" s="18"/>
      <c r="BI2288" s="18"/>
      <c r="BJ2288" s="18"/>
      <c r="BK2288" s="18"/>
      <c r="BL2288" s="18"/>
      <c r="BM2288" s="18"/>
      <c r="BN2288" s="18"/>
      <c r="BO2288" s="18"/>
      <c r="BP2288" s="18"/>
      <c r="BQ2288" s="18"/>
      <c r="BR2288" s="18"/>
      <c r="BS2288" s="18"/>
      <c r="BT2288" s="25"/>
      <c r="BU2288" s="18"/>
      <c r="BV2288" s="18"/>
      <c r="BW2288" s="18"/>
      <c r="BX2288" s="18"/>
      <c r="BY2288" s="18"/>
      <c r="BZ2288" s="18"/>
      <c r="CA2288" s="18"/>
      <c r="CB2288" s="18"/>
      <c r="CC2288" s="18"/>
      <c r="CD2288" s="25"/>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6" t="e">
        <f>VLOOKUP(K2288,'[3]RNA Seq summary tables'!$V$3:$V$99,1,FALSE)</f>
        <v>#N/A</v>
      </c>
      <c r="DG2288" s="18"/>
      <c r="DH2288" s="18"/>
      <c r="DI2288" s="18"/>
      <c r="DJ2288" s="18"/>
      <c r="DK2288" s="18"/>
      <c r="DL2288" s="18"/>
      <c r="DM2288" s="18"/>
      <c r="DN2288" s="18"/>
      <c r="DO2288" s="18"/>
      <c r="DP2288" s="18"/>
      <c r="DQ2288" s="18"/>
      <c r="DR2288" s="18"/>
      <c r="DS2288" s="18"/>
      <c r="JO2288" s="18"/>
    </row>
    <row r="2289" spans="2:111" ht="16" x14ac:dyDescent="0.2">
      <c r="B2289" s="16">
        <v>2018</v>
      </c>
      <c r="C2289" s="124">
        <v>43231</v>
      </c>
      <c r="D2289" t="s">
        <v>397</v>
      </c>
      <c r="E2289" s="20" t="str">
        <f>CONCATENATE(T2289,"-",U2289,"-",C2289)</f>
        <v>PO2-A8-43231</v>
      </c>
      <c r="F2289" s="16" t="s">
        <v>227</v>
      </c>
      <c r="G2289" s="126" t="s">
        <v>278</v>
      </c>
      <c r="H2289" s="126"/>
      <c r="J2289" s="126">
        <v>1394</v>
      </c>
      <c r="K2289" s="126"/>
      <c r="O2289" s="126"/>
      <c r="T2289" s="126" t="s">
        <v>127</v>
      </c>
      <c r="U2289" s="126" t="s">
        <v>194</v>
      </c>
      <c r="V2289" s="126"/>
      <c r="X2289" s="126"/>
      <c r="Y2289" s="126"/>
      <c r="Z2289" s="126"/>
      <c r="AA2289" s="126"/>
      <c r="AB2289" s="126"/>
      <c r="AC2289" s="126"/>
      <c r="AD2289" s="126"/>
      <c r="AE2289" s="126"/>
      <c r="AH2289" s="126"/>
      <c r="AI2289" s="126"/>
      <c r="AK2289" s="125"/>
      <c r="AL2289" s="126"/>
      <c r="AM2289" s="126"/>
      <c r="AN2289" s="126"/>
      <c r="BG2289" s="23"/>
      <c r="BN2289" s="126"/>
      <c r="BT2289" s="23"/>
      <c r="CD2289" s="23"/>
      <c r="DF2289" s="16" t="e">
        <f>VLOOKUP(K2289,'[3]RNA Seq summary tables'!$V$3:$V$99,1,FALSE)</f>
        <v>#N/A</v>
      </c>
      <c r="DG2289" s="125"/>
    </row>
    <row r="2290" spans="2:111" ht="16" x14ac:dyDescent="0.2">
      <c r="B2290" s="16">
        <v>2018</v>
      </c>
      <c r="C2290" s="124">
        <v>43230</v>
      </c>
      <c r="D2290" t="s">
        <v>392</v>
      </c>
      <c r="E2290" s="20" t="str">
        <f>CONCATENATE(T2290,"-",U2290,"-",C2290)</f>
        <v>PO2-B7-43230</v>
      </c>
      <c r="F2290" s="16" t="s">
        <v>227</v>
      </c>
      <c r="G2290" s="126" t="s">
        <v>278</v>
      </c>
      <c r="H2290" s="126"/>
      <c r="J2290" s="126">
        <v>1395</v>
      </c>
      <c r="K2290" s="126"/>
      <c r="O2290" s="126"/>
      <c r="T2290" s="126" t="s">
        <v>127</v>
      </c>
      <c r="U2290" s="126" t="s">
        <v>168</v>
      </c>
      <c r="V2290" s="126"/>
      <c r="X2290" s="126"/>
      <c r="Y2290" s="126"/>
      <c r="Z2290" s="126"/>
      <c r="AA2290" s="126"/>
      <c r="AB2290" s="126"/>
      <c r="AC2290" s="126"/>
      <c r="AD2290" s="126"/>
      <c r="AE2290" s="126"/>
      <c r="AH2290" s="126"/>
      <c r="AI2290" s="126"/>
      <c r="AK2290" s="126"/>
      <c r="AL2290" s="126"/>
      <c r="AM2290" s="126"/>
      <c r="AN2290" s="126"/>
      <c r="BG2290" s="23"/>
      <c r="BN2290" s="126"/>
      <c r="BT2290" s="23"/>
      <c r="CD2290" s="23"/>
      <c r="DF2290" s="16" t="e">
        <f>VLOOKUP(K2290,'[3]RNA Seq summary tables'!$V$3:$V$99,1,FALSE)</f>
        <v>#N/A</v>
      </c>
      <c r="DG2290" s="126"/>
    </row>
    <row r="2291" spans="2:111" ht="16" x14ac:dyDescent="0.2">
      <c r="B2291" s="16">
        <v>2018</v>
      </c>
      <c r="C2291" s="124">
        <v>43230</v>
      </c>
      <c r="D2291" t="s">
        <v>393</v>
      </c>
      <c r="E2291" s="20" t="str">
        <f>CONCATENATE(T2291,"-",U2291,"-",C2291)</f>
        <v>PO2-E2-43230</v>
      </c>
      <c r="F2291" s="16" t="s">
        <v>227</v>
      </c>
      <c r="G2291" s="126" t="s">
        <v>278</v>
      </c>
      <c r="H2291" s="126"/>
      <c r="J2291" s="126">
        <v>1396</v>
      </c>
      <c r="K2291" s="126"/>
      <c r="O2291" s="126"/>
      <c r="T2291" s="126" t="s">
        <v>127</v>
      </c>
      <c r="U2291" s="126" t="s">
        <v>136</v>
      </c>
      <c r="V2291" s="126"/>
      <c r="X2291" s="126"/>
      <c r="Y2291" s="126"/>
      <c r="Z2291" s="126"/>
      <c r="AA2291" s="126"/>
      <c r="AB2291" s="126"/>
      <c r="AC2291" s="126"/>
      <c r="AD2291" s="126"/>
      <c r="AE2291" s="126"/>
      <c r="AH2291" s="126"/>
      <c r="AI2291" s="126"/>
      <c r="AK2291" s="126"/>
      <c r="AL2291" s="126"/>
      <c r="AM2291" s="126"/>
      <c r="AN2291" s="126"/>
      <c r="BG2291" s="23"/>
      <c r="BN2291" s="126"/>
      <c r="BT2291" s="23"/>
      <c r="CD2291" s="23"/>
      <c r="DF2291" s="16" t="e">
        <f>VLOOKUP(K2291,'[3]RNA Seq summary tables'!$V$3:$V$99,1,FALSE)</f>
        <v>#N/A</v>
      </c>
      <c r="DG2291" s="126"/>
    </row>
    <row r="2292" spans="2:111" ht="16" x14ac:dyDescent="0.2">
      <c r="B2292" s="16">
        <v>2018</v>
      </c>
      <c r="C2292" s="124">
        <v>43231</v>
      </c>
      <c r="D2292" t="s">
        <v>398</v>
      </c>
      <c r="E2292" s="20" t="str">
        <f>CONCATENATE(T2292,"-",U2292,"-",C2292)</f>
        <v>PO2-F4-43231</v>
      </c>
      <c r="F2292" s="16" t="s">
        <v>227</v>
      </c>
      <c r="G2292" s="126" t="s">
        <v>278</v>
      </c>
      <c r="H2292" s="126"/>
      <c r="J2292" s="126">
        <v>1396</v>
      </c>
      <c r="K2292" s="126"/>
      <c r="O2292" s="126"/>
      <c r="T2292" s="126" t="s">
        <v>127</v>
      </c>
      <c r="U2292" s="126" t="s">
        <v>184</v>
      </c>
      <c r="V2292" s="126"/>
      <c r="X2292" s="126"/>
      <c r="Y2292" s="126"/>
      <c r="Z2292" s="126"/>
      <c r="AA2292" s="126"/>
      <c r="AB2292" s="126"/>
      <c r="AC2292" s="126"/>
      <c r="AD2292" s="126"/>
      <c r="AE2292" s="126"/>
      <c r="AH2292" s="126"/>
      <c r="AI2292" s="126"/>
      <c r="AK2292" s="125"/>
      <c r="AL2292" s="126"/>
      <c r="AM2292" s="126"/>
      <c r="AN2292" s="126"/>
      <c r="BG2292" s="23"/>
      <c r="BN2292" s="126"/>
      <c r="BT2292" s="23"/>
      <c r="CD2292" s="23"/>
      <c r="DF2292" s="16" t="e">
        <f>VLOOKUP(K2292,'[3]RNA Seq summary tables'!$V$3:$V$99,1,FALSE)</f>
        <v>#N/A</v>
      </c>
      <c r="DG2292" s="126"/>
    </row>
    <row r="2293" spans="2:111" ht="16" x14ac:dyDescent="0.2">
      <c r="B2293" s="16">
        <v>2018</v>
      </c>
      <c r="C2293" s="124">
        <v>43230</v>
      </c>
      <c r="D2293" t="s">
        <v>394</v>
      </c>
      <c r="E2293" s="20" t="str">
        <f>CONCATENATE(T2293,"-",U2293,"-",C2293)</f>
        <v>PO2-G6-43230</v>
      </c>
      <c r="F2293" s="16" t="s">
        <v>227</v>
      </c>
      <c r="G2293" s="126" t="s">
        <v>278</v>
      </c>
      <c r="H2293" s="126"/>
      <c r="J2293" s="126">
        <v>1398</v>
      </c>
      <c r="K2293" s="126"/>
      <c r="O2293" s="126"/>
      <c r="T2293" s="126" t="s">
        <v>127</v>
      </c>
      <c r="U2293" s="126" t="s">
        <v>218</v>
      </c>
      <c r="V2293" s="126"/>
      <c r="X2293" s="126"/>
      <c r="Y2293" s="126"/>
      <c r="Z2293" s="126"/>
      <c r="AA2293" s="126"/>
      <c r="AB2293" s="126"/>
      <c r="AC2293" s="126"/>
      <c r="AD2293" s="126"/>
      <c r="AE2293" s="126"/>
      <c r="AH2293" s="126"/>
      <c r="AI2293" s="126"/>
      <c r="AK2293" s="126"/>
      <c r="AL2293" s="126"/>
      <c r="AM2293" s="126"/>
      <c r="AN2293" s="126"/>
      <c r="BG2293" s="23"/>
      <c r="BN2293" s="126"/>
      <c r="BT2293" s="23"/>
      <c r="CD2293" s="23"/>
      <c r="DF2293" s="16" t="e">
        <f>VLOOKUP(K2293,'[3]RNA Seq summary tables'!$V$3:$V$99,1,FALSE)</f>
        <v>#N/A</v>
      </c>
      <c r="DG2293" s="126"/>
    </row>
    <row r="2294" spans="2:111" ht="16" x14ac:dyDescent="0.2">
      <c r="B2294" s="16">
        <v>2018</v>
      </c>
      <c r="C2294" s="124">
        <v>43231</v>
      </c>
      <c r="D2294" t="s">
        <v>402</v>
      </c>
      <c r="E2294" s="20" t="str">
        <f>CONCATENATE(T2294,"-",U2294,"-",C2294)</f>
        <v>PO2-H7-43231</v>
      </c>
      <c r="F2294" s="16" t="s">
        <v>227</v>
      </c>
      <c r="G2294" s="126" t="s">
        <v>278</v>
      </c>
      <c r="H2294" s="126"/>
      <c r="J2294" s="126">
        <v>1398</v>
      </c>
      <c r="K2294" s="126"/>
      <c r="O2294" s="126"/>
      <c r="T2294" s="126" t="s">
        <v>127</v>
      </c>
      <c r="U2294" s="126" t="s">
        <v>202</v>
      </c>
      <c r="V2294" s="126"/>
      <c r="X2294" s="126"/>
      <c r="Y2294" s="126"/>
      <c r="Z2294" s="126"/>
      <c r="AA2294" s="126"/>
      <c r="AB2294" s="126"/>
      <c r="AC2294" s="126"/>
      <c r="AD2294" s="126"/>
      <c r="AE2294" s="126"/>
      <c r="AH2294" s="126"/>
      <c r="AI2294" s="126"/>
      <c r="AK2294" s="125"/>
      <c r="AL2294" s="126"/>
      <c r="AM2294" s="126"/>
      <c r="AN2294" s="126"/>
      <c r="BG2294" s="23"/>
      <c r="BN2294" s="126"/>
      <c r="BT2294" s="23"/>
      <c r="CD2294" s="23"/>
      <c r="DF2294" s="16" t="e">
        <f>VLOOKUP(K2294,'[3]RNA Seq summary tables'!$V$3:$V$99,1,FALSE)</f>
        <v>#N/A</v>
      </c>
      <c r="DG2294" s="126"/>
    </row>
    <row r="2295" spans="2:111" ht="16" x14ac:dyDescent="0.2">
      <c r="B2295" s="16">
        <v>2018</v>
      </c>
      <c r="C2295" s="124">
        <v>43230</v>
      </c>
      <c r="D2295" t="s">
        <v>395</v>
      </c>
      <c r="E2295" s="20" t="str">
        <f>CONCATENATE(T2295,"-",U2295,"-",C2295)</f>
        <v>PO2-H4-43230</v>
      </c>
      <c r="F2295" s="16" t="s">
        <v>227</v>
      </c>
      <c r="G2295" s="126" t="s">
        <v>278</v>
      </c>
      <c r="H2295" s="126"/>
      <c r="J2295" s="126">
        <v>1399</v>
      </c>
      <c r="K2295" s="126"/>
      <c r="O2295" s="126"/>
      <c r="T2295" s="126" t="s">
        <v>127</v>
      </c>
      <c r="U2295" s="126" t="s">
        <v>151</v>
      </c>
      <c r="V2295" s="126"/>
      <c r="X2295" s="126"/>
      <c r="Y2295" s="126"/>
      <c r="Z2295" s="126"/>
      <c r="AA2295" s="126"/>
      <c r="AB2295" s="126"/>
      <c r="AC2295" s="126"/>
      <c r="AD2295" s="126"/>
      <c r="AE2295" s="126"/>
      <c r="AG2295" s="16">
        <f>AH2295-AI2295</f>
        <v>84</v>
      </c>
      <c r="AH2295" s="126">
        <v>158</v>
      </c>
      <c r="AI2295" s="126">
        <v>74</v>
      </c>
      <c r="AK2295" s="125"/>
      <c r="AL2295" s="126"/>
      <c r="AM2295" s="126"/>
      <c r="AN2295" s="126"/>
      <c r="BG2295" s="23"/>
      <c r="BN2295" s="126"/>
      <c r="BT2295" s="23"/>
      <c r="CD2295" s="23"/>
      <c r="DF2295" s="16" t="e">
        <f>VLOOKUP(K2295,'[3]RNA Seq summary tables'!$V$3:$V$99,1,FALSE)</f>
        <v>#N/A</v>
      </c>
      <c r="DG2295" s="126"/>
    </row>
    <row r="2296" spans="2:111" ht="16" x14ac:dyDescent="0.2">
      <c r="B2296" s="16">
        <v>2018</v>
      </c>
      <c r="C2296" s="124">
        <v>43231</v>
      </c>
      <c r="D2296" t="s">
        <v>400</v>
      </c>
      <c r="E2296" s="20" t="str">
        <f>CONCATENATE(T2296,"-",U2296,"-",C2296)</f>
        <v>PO2-G8-43231</v>
      </c>
      <c r="F2296" s="16" t="s">
        <v>227</v>
      </c>
      <c r="G2296" s="126" t="s">
        <v>278</v>
      </c>
      <c r="H2296" s="126"/>
      <c r="J2296" s="126">
        <v>1399</v>
      </c>
      <c r="K2296" s="126"/>
      <c r="O2296" s="126"/>
      <c r="T2296" s="126" t="s">
        <v>127</v>
      </c>
      <c r="U2296" s="126" t="s">
        <v>216</v>
      </c>
      <c r="V2296" s="126"/>
      <c r="X2296" s="126"/>
      <c r="Y2296" s="126"/>
      <c r="Z2296" s="126"/>
      <c r="AA2296" s="126"/>
      <c r="AB2296" s="126"/>
      <c r="AC2296" s="126"/>
      <c r="AD2296" s="126"/>
      <c r="AE2296" s="126"/>
      <c r="AH2296" s="126"/>
      <c r="AI2296" s="126"/>
      <c r="AK2296" s="125"/>
      <c r="AL2296" s="126"/>
      <c r="AM2296" s="126"/>
      <c r="AN2296" s="126"/>
      <c r="BG2296" s="23"/>
      <c r="BN2296" s="126"/>
      <c r="BT2296" s="23"/>
      <c r="CD2296" s="23"/>
      <c r="DF2296" s="16" t="e">
        <f>VLOOKUP(K2296,'[3]RNA Seq summary tables'!$V$3:$V$99,1,FALSE)</f>
        <v>#N/A</v>
      </c>
      <c r="DG2296" s="126"/>
    </row>
    <row r="2297" spans="2:111" ht="16" x14ac:dyDescent="0.2">
      <c r="B2297" s="16">
        <v>2018</v>
      </c>
      <c r="C2297" s="124">
        <v>43230</v>
      </c>
      <c r="D2297" t="s">
        <v>396</v>
      </c>
      <c r="E2297" s="20" t="str">
        <f>CONCATENATE(T2297,"-",U2297,"-",C2297)</f>
        <v>PO1-F1-43230</v>
      </c>
      <c r="F2297" s="16" t="s">
        <v>227</v>
      </c>
      <c r="G2297" s="126" t="s">
        <v>278</v>
      </c>
      <c r="H2297" s="126"/>
      <c r="J2297" s="126">
        <v>1401</v>
      </c>
      <c r="K2297" s="126"/>
      <c r="O2297" s="126"/>
      <c r="T2297" s="126" t="s">
        <v>112</v>
      </c>
      <c r="U2297" s="126" t="s">
        <v>217</v>
      </c>
      <c r="V2297" s="126"/>
      <c r="X2297" s="126"/>
      <c r="Y2297" s="126"/>
      <c r="Z2297" s="126"/>
      <c r="AA2297" s="126"/>
      <c r="AB2297" s="126"/>
      <c r="AC2297" s="126"/>
      <c r="AD2297" s="126"/>
      <c r="AE2297" s="126"/>
      <c r="AH2297" s="126"/>
      <c r="AI2297" s="126"/>
      <c r="AK2297" s="125"/>
      <c r="AL2297" s="126"/>
      <c r="AM2297" s="126"/>
      <c r="AN2297" s="126"/>
      <c r="BG2297" s="23"/>
      <c r="BN2297" s="126"/>
      <c r="BT2297" s="23"/>
      <c r="CD2297" s="23"/>
      <c r="DF2297" s="16" t="e">
        <f>VLOOKUP(K2297,'[3]RNA Seq summary tables'!$V$3:$V$99,1,FALSE)</f>
        <v>#N/A</v>
      </c>
      <c r="DG2297" s="126"/>
    </row>
    <row r="2298" spans="2:111" ht="16" x14ac:dyDescent="0.2">
      <c r="B2298" s="16">
        <v>2018</v>
      </c>
      <c r="C2298" s="124">
        <v>43231</v>
      </c>
      <c r="D2298" t="s">
        <v>407</v>
      </c>
      <c r="E2298" s="20" t="str">
        <f>CONCATENATE(T2298,"-",U2298,"-",C2298)</f>
        <v>PO1-G2-43231</v>
      </c>
      <c r="F2298" s="16" t="s">
        <v>227</v>
      </c>
      <c r="G2298" s="126" t="s">
        <v>278</v>
      </c>
      <c r="H2298" s="126"/>
      <c r="J2298" s="126">
        <v>1401</v>
      </c>
      <c r="K2298" s="126"/>
      <c r="O2298" s="126"/>
      <c r="T2298" s="126" t="s">
        <v>112</v>
      </c>
      <c r="U2298" s="126" t="s">
        <v>128</v>
      </c>
      <c r="V2298" s="126"/>
      <c r="X2298" s="126"/>
      <c r="Y2298" s="126"/>
      <c r="Z2298" s="126"/>
      <c r="AA2298" s="126"/>
      <c r="AB2298" s="126"/>
      <c r="AC2298" s="126"/>
      <c r="AD2298" s="126"/>
      <c r="AE2298" s="126"/>
      <c r="AH2298" s="126"/>
      <c r="AI2298" s="126"/>
      <c r="AK2298" s="125"/>
      <c r="AL2298" s="126"/>
      <c r="AM2298" s="126"/>
      <c r="AN2298" s="126"/>
      <c r="BG2298" s="23"/>
      <c r="BN2298" s="126"/>
      <c r="BT2298" s="23"/>
      <c r="CD2298" s="23"/>
      <c r="DF2298" s="16" t="e">
        <f>VLOOKUP(K2298,'[3]RNA Seq summary tables'!$V$3:$V$99,1,FALSE)</f>
        <v>#N/A</v>
      </c>
      <c r="DG2298" s="126"/>
    </row>
    <row r="2299" spans="2:111" ht="16" x14ac:dyDescent="0.2">
      <c r="B2299" s="16">
        <v>2018</v>
      </c>
      <c r="C2299" s="124">
        <v>43249</v>
      </c>
      <c r="D2299" t="s">
        <v>447</v>
      </c>
      <c r="E2299" s="20" t="str">
        <f>CONCATENATE(T2299,"-",U2299,"-",C2299)</f>
        <v>PO1-H4-43249</v>
      </c>
      <c r="F2299" s="16" t="s">
        <v>227</v>
      </c>
      <c r="G2299" s="126" t="s">
        <v>278</v>
      </c>
      <c r="H2299" s="126"/>
      <c r="J2299" s="126">
        <v>1401</v>
      </c>
      <c r="K2299" s="126"/>
      <c r="O2299" s="126"/>
      <c r="T2299" s="126" t="s">
        <v>112</v>
      </c>
      <c r="U2299" s="126" t="s">
        <v>151</v>
      </c>
      <c r="V2299" s="126"/>
      <c r="X2299" s="126"/>
      <c r="Y2299" s="126"/>
      <c r="Z2299" s="126"/>
      <c r="AA2299" s="126"/>
      <c r="AB2299" s="126"/>
      <c r="AC2299" s="126"/>
      <c r="AD2299" s="126"/>
      <c r="AE2299" s="126"/>
      <c r="AH2299" s="126"/>
      <c r="AI2299" s="126"/>
      <c r="AK2299" s="126"/>
      <c r="AL2299" s="126"/>
      <c r="AM2299" s="126"/>
      <c r="AN2299" s="126"/>
      <c r="BG2299" s="23"/>
      <c r="BN2299" s="126"/>
      <c r="BT2299" s="23"/>
      <c r="CD2299" s="23"/>
      <c r="DF2299" s="16" t="e">
        <f>VLOOKUP(K2299,'[3]RNA Seq summary tables'!$V$3:$V$99,1,FALSE)</f>
        <v>#N/A</v>
      </c>
      <c r="DG2299" s="126"/>
    </row>
    <row r="2300" spans="2:111" ht="16" x14ac:dyDescent="0.2">
      <c r="B2300" s="16">
        <v>2018</v>
      </c>
      <c r="C2300" s="124">
        <v>43250</v>
      </c>
      <c r="D2300" t="s">
        <v>456</v>
      </c>
      <c r="E2300" s="20" t="str">
        <f>CONCATENATE(T2300,"-",U2300,"-",C2300)</f>
        <v>PO1-H2-43250</v>
      </c>
      <c r="F2300" s="16" t="s">
        <v>227</v>
      </c>
      <c r="G2300" s="126" t="s">
        <v>278</v>
      </c>
      <c r="H2300" s="126"/>
      <c r="J2300" s="126">
        <v>1401</v>
      </c>
      <c r="K2300" s="126"/>
      <c r="O2300" s="126"/>
      <c r="T2300" s="126" t="s">
        <v>112</v>
      </c>
      <c r="U2300" s="126" t="s">
        <v>190</v>
      </c>
      <c r="V2300" s="126"/>
      <c r="X2300" s="126"/>
      <c r="Y2300" s="126"/>
      <c r="Z2300" s="126"/>
      <c r="AA2300" s="126"/>
      <c r="AB2300" s="126"/>
      <c r="AC2300" s="126"/>
      <c r="AD2300" s="126"/>
      <c r="AE2300" s="126"/>
      <c r="AH2300" s="126"/>
      <c r="AI2300" s="126"/>
      <c r="AK2300" s="126"/>
      <c r="AL2300" s="126"/>
      <c r="AM2300" s="126"/>
      <c r="AN2300" s="126"/>
      <c r="BG2300" s="23"/>
      <c r="BN2300" s="126"/>
      <c r="BT2300" s="23"/>
      <c r="CD2300" s="23"/>
      <c r="DF2300" s="16" t="e">
        <f>VLOOKUP(K2300,'[3]RNA Seq summary tables'!$V$3:$V$99,1,FALSE)</f>
        <v>#N/A</v>
      </c>
      <c r="DG2300" s="126"/>
    </row>
    <row r="2301" spans="2:111" ht="16" x14ac:dyDescent="0.2">
      <c r="B2301" s="16">
        <v>2018</v>
      </c>
      <c r="C2301" s="124">
        <v>43267</v>
      </c>
      <c r="D2301" t="s">
        <v>499</v>
      </c>
      <c r="E2301" s="20" t="str">
        <f>CONCATENATE(T2301,"-",U2301,"-",C2301)</f>
        <v>PO1-F3-43267</v>
      </c>
      <c r="F2301" s="16" t="s">
        <v>227</v>
      </c>
      <c r="G2301" s="126" t="s">
        <v>278</v>
      </c>
      <c r="H2301" s="126"/>
      <c r="J2301" s="126">
        <v>1401</v>
      </c>
      <c r="K2301" s="126"/>
      <c r="O2301" s="126"/>
      <c r="T2301" s="126" t="s">
        <v>112</v>
      </c>
      <c r="U2301" s="126" t="s">
        <v>182</v>
      </c>
      <c r="V2301" s="126"/>
      <c r="X2301" s="126"/>
      <c r="Y2301" s="126"/>
      <c r="Z2301" s="126"/>
      <c r="AA2301" s="126"/>
      <c r="AB2301" s="126"/>
      <c r="AC2301" s="126"/>
      <c r="AD2301" s="126"/>
      <c r="AE2301" s="126"/>
      <c r="AH2301" s="126"/>
      <c r="AI2301" s="126"/>
      <c r="AK2301" s="126"/>
      <c r="AL2301" s="126"/>
      <c r="AM2301" s="126"/>
      <c r="AN2301" s="126"/>
      <c r="BG2301" s="23"/>
      <c r="BN2301" s="126"/>
      <c r="BT2301" s="23"/>
      <c r="CD2301" s="23"/>
      <c r="DF2301" s="16" t="e">
        <f>VLOOKUP(K2301,'[3]RNA Seq summary tables'!$V$3:$V$99,1,FALSE)</f>
        <v>#N/A</v>
      </c>
      <c r="DG2301" s="126"/>
    </row>
    <row r="2302" spans="2:111" ht="16" x14ac:dyDescent="0.2">
      <c r="B2302" s="16">
        <v>2018</v>
      </c>
      <c r="C2302" s="124">
        <v>43268</v>
      </c>
      <c r="D2302" t="s">
        <v>513</v>
      </c>
      <c r="E2302" s="20" t="str">
        <f>CONCATENATE(T2302,"-",U2302,"-",C2302)</f>
        <v>PO1-F4-43268</v>
      </c>
      <c r="F2302" s="16" t="s">
        <v>227</v>
      </c>
      <c r="G2302" s="126" t="s">
        <v>278</v>
      </c>
      <c r="H2302" s="126"/>
      <c r="J2302" s="126">
        <v>1401</v>
      </c>
      <c r="K2302" s="126"/>
      <c r="O2302" s="126"/>
      <c r="T2302" s="126" t="s">
        <v>112</v>
      </c>
      <c r="U2302" s="126" t="s">
        <v>184</v>
      </c>
      <c r="V2302" s="126"/>
      <c r="X2302" s="126"/>
      <c r="Y2302" s="126"/>
      <c r="Z2302" s="126"/>
      <c r="AA2302" s="126"/>
      <c r="AB2302" s="126"/>
      <c r="AC2302" s="126"/>
      <c r="AD2302" s="126"/>
      <c r="AE2302" s="126"/>
      <c r="AH2302" s="126"/>
      <c r="AI2302" s="126"/>
      <c r="AK2302" s="126"/>
      <c r="AL2302" s="126"/>
      <c r="AM2302" s="126"/>
      <c r="AN2302" s="126"/>
      <c r="BG2302" s="23"/>
      <c r="BN2302" s="126"/>
      <c r="BT2302" s="23"/>
      <c r="CD2302" s="23"/>
      <c r="DF2302" s="16" t="e">
        <f>VLOOKUP(K2302,'[3]RNA Seq summary tables'!$V$3:$V$99,1,FALSE)</f>
        <v>#N/A</v>
      </c>
      <c r="DG2302" s="126"/>
    </row>
    <row r="2303" spans="2:111" ht="16" x14ac:dyDescent="0.2">
      <c r="B2303" s="16">
        <v>2018</v>
      </c>
      <c r="C2303" s="124">
        <v>43284</v>
      </c>
      <c r="D2303" t="s">
        <v>587</v>
      </c>
      <c r="E2303" s="20" t="str">
        <f>CONCATENATE(T2303,"-",U2303,"-",C2303)</f>
        <v>PO1-H4-43284</v>
      </c>
      <c r="F2303" s="16" t="s">
        <v>227</v>
      </c>
      <c r="G2303" s="126" t="s">
        <v>278</v>
      </c>
      <c r="H2303" s="126"/>
      <c r="J2303" s="126">
        <v>1401</v>
      </c>
      <c r="K2303" s="126"/>
      <c r="O2303" s="126"/>
      <c r="T2303" s="126" t="s">
        <v>112</v>
      </c>
      <c r="U2303" s="126" t="s">
        <v>151</v>
      </c>
      <c r="V2303" s="126"/>
      <c r="X2303" s="126"/>
      <c r="Y2303" s="126"/>
      <c r="Z2303" s="126"/>
      <c r="AA2303" s="126"/>
      <c r="AB2303" s="126"/>
      <c r="AC2303" s="126"/>
      <c r="AD2303" s="126"/>
      <c r="AE2303" s="126"/>
      <c r="AH2303" s="126"/>
      <c r="AI2303" s="126"/>
      <c r="AK2303" s="126"/>
      <c r="AL2303" s="126"/>
      <c r="AM2303" s="126"/>
      <c r="AN2303" s="126"/>
      <c r="BG2303" s="23"/>
      <c r="BN2303" s="126"/>
      <c r="BT2303" s="23"/>
      <c r="CD2303" s="23"/>
      <c r="DF2303" s="16" t="e">
        <f>VLOOKUP(K2303,'[3]RNA Seq summary tables'!$V$3:$V$99,1,FALSE)</f>
        <v>#N/A</v>
      </c>
      <c r="DG2303" s="126"/>
    </row>
    <row r="2304" spans="2:111" ht="16" x14ac:dyDescent="0.2">
      <c r="B2304" s="16">
        <v>2018</v>
      </c>
      <c r="C2304" s="124">
        <v>43285</v>
      </c>
      <c r="D2304" t="s">
        <v>601</v>
      </c>
      <c r="E2304" s="20" t="str">
        <f>CONCATENATE(T2304,"-",U2304,"-",C2304)</f>
        <v>PO1-G2-43285</v>
      </c>
      <c r="F2304" s="16" t="s">
        <v>227</v>
      </c>
      <c r="G2304" s="126" t="s">
        <v>278</v>
      </c>
      <c r="H2304" s="126"/>
      <c r="J2304" s="126">
        <v>1401</v>
      </c>
      <c r="K2304" s="126"/>
      <c r="O2304" s="126"/>
      <c r="T2304" s="126" t="s">
        <v>112</v>
      </c>
      <c r="U2304" s="126" t="s">
        <v>128</v>
      </c>
      <c r="V2304" s="126"/>
      <c r="X2304" s="126"/>
      <c r="Y2304" s="126"/>
      <c r="Z2304" s="126"/>
      <c r="AA2304" s="126"/>
      <c r="AB2304" s="126"/>
      <c r="AC2304" s="126"/>
      <c r="AD2304" s="126"/>
      <c r="AE2304" s="126"/>
      <c r="AH2304" s="126"/>
      <c r="AI2304" s="126"/>
      <c r="AK2304" s="126"/>
      <c r="AL2304" s="126"/>
      <c r="AM2304" s="126"/>
      <c r="AN2304" s="126"/>
      <c r="BG2304" s="23"/>
      <c r="BN2304" s="126"/>
      <c r="BT2304" s="23"/>
      <c r="CD2304" s="23"/>
      <c r="DF2304" s="16" t="e">
        <f>VLOOKUP(K2304,'[3]RNA Seq summary tables'!$V$3:$V$99,1,FALSE)</f>
        <v>#N/A</v>
      </c>
      <c r="DG2304" s="126"/>
    </row>
    <row r="2305" spans="2:287" ht="16" x14ac:dyDescent="0.2">
      <c r="B2305" s="16">
        <v>2018</v>
      </c>
      <c r="C2305" s="124">
        <v>43231</v>
      </c>
      <c r="D2305" t="s">
        <v>408</v>
      </c>
      <c r="E2305" s="20" t="str">
        <f>CONCATENATE(T2305,"-",U2305,"-",C2305)</f>
        <v>PO1-H3-43231</v>
      </c>
      <c r="F2305" s="16" t="s">
        <v>227</v>
      </c>
      <c r="G2305" s="126" t="s">
        <v>278</v>
      </c>
      <c r="H2305" s="126"/>
      <c r="J2305" s="126">
        <v>1402</v>
      </c>
      <c r="K2305" s="126"/>
      <c r="O2305" s="126"/>
      <c r="T2305" s="126" t="s">
        <v>112</v>
      </c>
      <c r="U2305" s="126" t="s">
        <v>174</v>
      </c>
      <c r="V2305" s="126"/>
      <c r="X2305" s="126"/>
      <c r="Y2305" s="126"/>
      <c r="Z2305" s="126"/>
      <c r="AA2305" s="126"/>
      <c r="AB2305" s="126"/>
      <c r="AC2305" s="126"/>
      <c r="AD2305" s="126"/>
      <c r="AE2305" s="126"/>
      <c r="AH2305" s="126"/>
      <c r="AI2305" s="126"/>
      <c r="AK2305" s="125"/>
      <c r="AL2305" s="126"/>
      <c r="AM2305" s="126"/>
      <c r="AN2305" s="126"/>
      <c r="BG2305" s="23"/>
      <c r="BN2305" s="126"/>
      <c r="BT2305" s="23"/>
      <c r="CD2305" s="23"/>
      <c r="DF2305" s="16" t="e">
        <f>VLOOKUP(K2305,'[3]RNA Seq summary tables'!$V$3:$V$99,1,FALSE)</f>
        <v>#N/A</v>
      </c>
      <c r="DG2305" s="126"/>
    </row>
    <row r="2306" spans="2:287" ht="16" x14ac:dyDescent="0.2">
      <c r="B2306" s="16">
        <v>2018</v>
      </c>
      <c r="C2306" s="124">
        <v>43231</v>
      </c>
      <c r="D2306" t="s">
        <v>399</v>
      </c>
      <c r="E2306" s="20" t="str">
        <f>CONCATENATE(T2306,"-",U2306,"-",C2306)</f>
        <v>PO2-G3-43231</v>
      </c>
      <c r="F2306" s="16" t="s">
        <v>227</v>
      </c>
      <c r="G2306" s="126" t="s">
        <v>278</v>
      </c>
      <c r="H2306" s="126"/>
      <c r="J2306" s="126">
        <v>1404</v>
      </c>
      <c r="K2306" s="126"/>
      <c r="O2306" s="126"/>
      <c r="T2306" s="126" t="s">
        <v>127</v>
      </c>
      <c r="U2306" s="126" t="s">
        <v>179</v>
      </c>
      <c r="V2306" s="126"/>
      <c r="X2306" s="126"/>
      <c r="Y2306" s="126"/>
      <c r="Z2306" s="126"/>
      <c r="AA2306" s="126"/>
      <c r="AB2306" s="126"/>
      <c r="AC2306" s="126"/>
      <c r="AD2306" s="126"/>
      <c r="AE2306" s="126"/>
      <c r="AH2306" s="126"/>
      <c r="AI2306" s="126"/>
      <c r="AK2306" s="125"/>
      <c r="AL2306" s="126"/>
      <c r="AM2306" s="126"/>
      <c r="AN2306" s="126"/>
      <c r="BG2306" s="23"/>
      <c r="BN2306" s="126"/>
      <c r="BT2306" s="23"/>
      <c r="CD2306" s="23"/>
      <c r="DF2306" s="16" t="e">
        <f>VLOOKUP(K2306,'[3]RNA Seq summary tables'!$V$3:$V$99,1,FALSE)</f>
        <v>#N/A</v>
      </c>
      <c r="DG2306" s="126"/>
    </row>
    <row r="2307" spans="2:287" ht="16" x14ac:dyDescent="0.2">
      <c r="B2307" s="16">
        <v>2018</v>
      </c>
      <c r="C2307" s="124">
        <v>43231</v>
      </c>
      <c r="D2307" t="s">
        <v>406</v>
      </c>
      <c r="E2307" s="20" t="str">
        <f>CONCATENATE(T2307,"-",U2307,"-",C2307)</f>
        <v>PO1-F7-43231</v>
      </c>
      <c r="F2307" s="16" t="s">
        <v>227</v>
      </c>
      <c r="G2307" s="126" t="s">
        <v>278</v>
      </c>
      <c r="H2307" s="126"/>
      <c r="J2307" s="127">
        <v>1406</v>
      </c>
      <c r="K2307" s="126"/>
      <c r="O2307" s="126"/>
      <c r="T2307" s="126" t="s">
        <v>112</v>
      </c>
      <c r="U2307" s="126" t="s">
        <v>189</v>
      </c>
      <c r="V2307" s="126"/>
      <c r="X2307" s="126"/>
      <c r="Y2307" s="126"/>
      <c r="Z2307" s="126"/>
      <c r="AA2307" s="126"/>
      <c r="AB2307" s="126"/>
      <c r="AC2307" s="126"/>
      <c r="AD2307" s="126"/>
      <c r="AE2307" s="126"/>
      <c r="AH2307" s="126"/>
      <c r="AI2307" s="126"/>
      <c r="AK2307" s="125"/>
      <c r="AL2307" s="126"/>
      <c r="AM2307" s="126"/>
      <c r="AN2307" s="126"/>
      <c r="BG2307" s="23"/>
      <c r="BN2307" s="126"/>
      <c r="BT2307" s="23"/>
      <c r="CD2307" s="23"/>
      <c r="DF2307" s="16" t="e">
        <f>VLOOKUP(K2307,'[3]RNA Seq summary tables'!$V$3:$V$99,1,FALSE)</f>
        <v>#N/A</v>
      </c>
      <c r="DG2307" s="126"/>
    </row>
    <row r="2308" spans="2:287" ht="16" x14ac:dyDescent="0.2">
      <c r="B2308" s="16">
        <v>2018</v>
      </c>
      <c r="C2308" s="124">
        <v>43267</v>
      </c>
      <c r="D2308" t="s">
        <v>497</v>
      </c>
      <c r="E2308" s="20" t="str">
        <f>CONCATENATE(T2308,"-",U2308,"-",C2308)</f>
        <v>PO1-C1-43267</v>
      </c>
      <c r="F2308" s="16" t="s">
        <v>227</v>
      </c>
      <c r="G2308" s="126" t="s">
        <v>278</v>
      </c>
      <c r="H2308" s="126"/>
      <c r="J2308" s="127">
        <v>1406</v>
      </c>
      <c r="K2308" s="126"/>
      <c r="O2308" s="126"/>
      <c r="T2308" s="126" t="s">
        <v>112</v>
      </c>
      <c r="U2308" s="126" t="s">
        <v>150</v>
      </c>
      <c r="V2308" s="126"/>
      <c r="X2308" s="126"/>
      <c r="Y2308" s="126"/>
      <c r="Z2308" s="126"/>
      <c r="AA2308" s="126"/>
      <c r="AB2308" s="126"/>
      <c r="AC2308" s="126"/>
      <c r="AD2308" s="126"/>
      <c r="AE2308" s="126"/>
      <c r="AH2308" s="126"/>
      <c r="AI2308" s="126"/>
      <c r="AK2308" s="126"/>
      <c r="AL2308" s="126"/>
      <c r="AM2308" s="126"/>
      <c r="AN2308" s="126"/>
      <c r="BG2308" s="23"/>
      <c r="BN2308" s="126"/>
      <c r="BT2308" s="23"/>
      <c r="CD2308" s="23"/>
      <c r="DF2308" s="16" t="e">
        <f>VLOOKUP(K2308,'[3]RNA Seq summary tables'!$V$3:$V$99,1,FALSE)</f>
        <v>#N/A</v>
      </c>
      <c r="DG2308" s="126"/>
    </row>
    <row r="2309" spans="2:287" ht="16" x14ac:dyDescent="0.2">
      <c r="B2309" s="16">
        <v>2018</v>
      </c>
      <c r="C2309" s="124">
        <v>43268</v>
      </c>
      <c r="D2309" t="s">
        <v>511</v>
      </c>
      <c r="E2309" s="20" t="str">
        <f>CONCATENATE(T2309,"-",U2309,"-",C2309)</f>
        <v>PO1-D3-43268</v>
      </c>
      <c r="F2309" s="16" t="s">
        <v>227</v>
      </c>
      <c r="G2309" s="126" t="s">
        <v>278</v>
      </c>
      <c r="H2309" s="126"/>
      <c r="J2309" s="127">
        <v>1406</v>
      </c>
      <c r="K2309" s="126"/>
      <c r="O2309" s="126"/>
      <c r="T2309" s="126" t="s">
        <v>112</v>
      </c>
      <c r="U2309" s="126" t="s">
        <v>149</v>
      </c>
      <c r="V2309" s="126"/>
      <c r="X2309" s="126"/>
      <c r="Y2309" s="126"/>
      <c r="Z2309" s="126"/>
      <c r="AA2309" s="126"/>
      <c r="AB2309" s="126"/>
      <c r="AC2309" s="126"/>
      <c r="AD2309" s="126"/>
      <c r="AE2309" s="126"/>
      <c r="AH2309" s="126"/>
      <c r="AI2309" s="126"/>
      <c r="AK2309" s="126"/>
      <c r="AL2309" s="126"/>
      <c r="AM2309" s="126"/>
      <c r="AN2309" s="126"/>
      <c r="BG2309" s="23"/>
      <c r="BN2309" s="126"/>
      <c r="BT2309" s="23"/>
      <c r="CD2309" s="23"/>
      <c r="DF2309" s="16" t="e">
        <f>VLOOKUP(K2309,'[3]RNA Seq summary tables'!$V$3:$V$99,1,FALSE)</f>
        <v>#N/A</v>
      </c>
      <c r="DG2309" s="126"/>
    </row>
    <row r="2310" spans="2:287" ht="16" x14ac:dyDescent="0.2">
      <c r="B2310" s="16">
        <v>2018</v>
      </c>
      <c r="C2310" s="124">
        <v>43284</v>
      </c>
      <c r="D2310" t="s">
        <v>588</v>
      </c>
      <c r="E2310" s="20" t="str">
        <f>CONCATENATE(T2310,"-",U2310,"-",C2310)</f>
        <v>PO1-H8-43284</v>
      </c>
      <c r="F2310" s="16" t="s">
        <v>227</v>
      </c>
      <c r="G2310" s="126" t="s">
        <v>278</v>
      </c>
      <c r="H2310" s="126"/>
      <c r="J2310" s="127">
        <v>1406</v>
      </c>
      <c r="K2310" s="126"/>
      <c r="O2310" s="126"/>
      <c r="T2310" s="126" t="s">
        <v>112</v>
      </c>
      <c r="U2310" s="126" t="s">
        <v>152</v>
      </c>
      <c r="V2310" s="126"/>
      <c r="X2310" s="126"/>
      <c r="Y2310" s="126"/>
      <c r="Z2310" s="126"/>
      <c r="AA2310" s="126"/>
      <c r="AB2310" s="126"/>
      <c r="AC2310" s="126"/>
      <c r="AD2310" s="126"/>
      <c r="AE2310" s="126"/>
      <c r="AH2310" s="126"/>
      <c r="AI2310" s="126"/>
      <c r="AK2310" s="126"/>
      <c r="AL2310" s="126"/>
      <c r="AM2310" s="126"/>
      <c r="AN2310" s="126"/>
      <c r="BG2310" s="23"/>
      <c r="BN2310" s="126"/>
      <c r="BT2310" s="23"/>
      <c r="CD2310" s="23"/>
      <c r="DF2310" s="16" t="e">
        <f>VLOOKUP(K2310,'[3]RNA Seq summary tables'!$V$3:$V$99,1,FALSE)</f>
        <v>#N/A</v>
      </c>
      <c r="DG2310" s="126"/>
    </row>
    <row r="2311" spans="2:287" ht="16" x14ac:dyDescent="0.2">
      <c r="B2311" s="16">
        <v>2018</v>
      </c>
      <c r="C2311" s="147">
        <v>43316</v>
      </c>
      <c r="D2311" t="s">
        <v>1258</v>
      </c>
      <c r="E2311" s="20" t="str">
        <f>CONCATENATE(T2311,"-",U2311,"-",C2311)</f>
        <v>PO1-A1-43316</v>
      </c>
      <c r="F2311" s="16" t="s">
        <v>227</v>
      </c>
      <c r="G2311" s="145" t="s">
        <v>278</v>
      </c>
      <c r="H2311" s="145"/>
      <c r="I2311" s="145"/>
      <c r="J2311" s="145">
        <v>1406</v>
      </c>
      <c r="K2311" s="145"/>
      <c r="M2311" s="16"/>
      <c r="N2311" s="16"/>
      <c r="O2311" s="145"/>
      <c r="P2311" s="145"/>
      <c r="Q2311" s="145"/>
      <c r="R2311" s="145"/>
      <c r="S2311" s="145"/>
      <c r="T2311" s="145" t="s">
        <v>112</v>
      </c>
      <c r="U2311" s="145" t="s">
        <v>210</v>
      </c>
      <c r="V2311" s="145"/>
      <c r="W2311" s="145"/>
      <c r="X2311" s="145"/>
      <c r="Y2311" s="145"/>
      <c r="Z2311" s="145"/>
      <c r="AA2311" s="145"/>
      <c r="AB2311" s="145"/>
      <c r="AC2311" s="145"/>
      <c r="AD2311" s="145"/>
      <c r="AE2311" s="145"/>
      <c r="AF2311" s="145"/>
      <c r="AG2311" s="145"/>
      <c r="AH2311" s="145"/>
      <c r="AI2311" s="145"/>
      <c r="AJ2311" s="145"/>
      <c r="AK2311" s="145"/>
      <c r="AL2311" s="145"/>
      <c r="AM2311" s="145"/>
      <c r="AN2311" s="145"/>
      <c r="AT2311" s="16" t="e">
        <f>VLOOKUP(E2311,[2]Current!$A$1:$W$435,7,FALSE)</f>
        <v>#N/A</v>
      </c>
      <c r="DG2311" s="145"/>
      <c r="DT2311"/>
      <c r="DU2311" s="145"/>
      <c r="DX2311" s="145"/>
      <c r="DY2311" s="145"/>
      <c r="DZ2311" s="16"/>
      <c r="EA2311" s="16"/>
      <c r="EB2311" s="16"/>
      <c r="EC2311" s="16"/>
      <c r="ED2311" s="16"/>
      <c r="EE2311" s="16"/>
      <c r="EF2311" s="16"/>
      <c r="JO2311" s="18"/>
      <c r="JP2311" s="18"/>
      <c r="JQ2311" s="18"/>
      <c r="JR2311" s="18"/>
      <c r="JS2311" s="18"/>
      <c r="JT2311" s="18"/>
      <c r="JU2311" s="18"/>
      <c r="JV2311" s="18"/>
      <c r="JW2311" s="18"/>
      <c r="JX2311" s="18"/>
      <c r="JY2311" s="18"/>
      <c r="JZ2311" s="18"/>
      <c r="KA2311" s="18"/>
    </row>
    <row r="2312" spans="2:287" ht="16" x14ac:dyDescent="0.2">
      <c r="B2312" s="16">
        <v>2018</v>
      </c>
      <c r="C2312" s="124">
        <v>43231</v>
      </c>
      <c r="D2312" t="s">
        <v>404</v>
      </c>
      <c r="E2312" s="20" t="str">
        <f>CONCATENATE(T2312,"-",U2312,"-",C2312)</f>
        <v>PO1-A5-43231</v>
      </c>
      <c r="F2312" s="16" t="s">
        <v>227</v>
      </c>
      <c r="G2312" s="126" t="s">
        <v>278</v>
      </c>
      <c r="H2312" s="126"/>
      <c r="J2312" s="126">
        <v>1407</v>
      </c>
      <c r="K2312" s="126"/>
      <c r="O2312" s="126"/>
      <c r="T2312" s="126" t="s">
        <v>112</v>
      </c>
      <c r="U2312" s="126" t="s">
        <v>167</v>
      </c>
      <c r="V2312" s="126"/>
      <c r="X2312" s="126"/>
      <c r="Y2312" s="126"/>
      <c r="Z2312" s="126"/>
      <c r="AA2312" s="126"/>
      <c r="AB2312" s="126"/>
      <c r="AC2312" s="126"/>
      <c r="AD2312" s="126"/>
      <c r="AE2312" s="126"/>
      <c r="AH2312" s="126"/>
      <c r="AI2312" s="126"/>
      <c r="AK2312" s="125"/>
      <c r="AL2312" s="126"/>
      <c r="AM2312" s="126"/>
      <c r="AN2312" s="126"/>
      <c r="BG2312" s="23"/>
      <c r="BN2312" s="126"/>
      <c r="BT2312" s="23"/>
      <c r="CD2312" s="23"/>
      <c r="DF2312" s="16" t="e">
        <f>VLOOKUP(K2312,'[3]RNA Seq summary tables'!$V$3:$V$99,1,FALSE)</f>
        <v>#N/A</v>
      </c>
      <c r="DG2312" s="126"/>
    </row>
    <row r="2313" spans="2:287" ht="16" x14ac:dyDescent="0.2">
      <c r="B2313" s="16">
        <v>2018</v>
      </c>
      <c r="C2313" s="147">
        <v>43316</v>
      </c>
      <c r="D2313" t="s">
        <v>1262</v>
      </c>
      <c r="E2313" s="20" t="str">
        <f>CONCATENATE(T2313,"-",U2313,"-",C2313)</f>
        <v>PO1-B6-43316</v>
      </c>
      <c r="F2313" s="16" t="s">
        <v>227</v>
      </c>
      <c r="G2313" s="145" t="s">
        <v>278</v>
      </c>
      <c r="H2313" s="145"/>
      <c r="I2313" s="145"/>
      <c r="J2313" s="145">
        <v>1407</v>
      </c>
      <c r="K2313" s="145"/>
      <c r="M2313" s="16"/>
      <c r="N2313" s="16"/>
      <c r="O2313" s="145"/>
      <c r="P2313" s="145"/>
      <c r="Q2313" s="145"/>
      <c r="R2313" s="145"/>
      <c r="S2313" s="145"/>
      <c r="T2313" s="145" t="s">
        <v>112</v>
      </c>
      <c r="U2313" s="145" t="s">
        <v>132</v>
      </c>
      <c r="V2313" s="145"/>
      <c r="W2313" s="145"/>
      <c r="X2313" s="145"/>
      <c r="Y2313" s="145"/>
      <c r="Z2313" s="145"/>
      <c r="AA2313" s="145"/>
      <c r="AB2313" s="145"/>
      <c r="AC2313" s="145"/>
      <c r="AD2313" s="145"/>
      <c r="AE2313" s="145"/>
      <c r="AF2313" s="145"/>
      <c r="AG2313" s="145"/>
      <c r="AH2313" s="145"/>
      <c r="AI2313" s="145"/>
      <c r="AJ2313" s="145"/>
      <c r="AK2313" s="145"/>
      <c r="AL2313" s="145"/>
      <c r="AM2313" s="145"/>
      <c r="AN2313" s="145"/>
      <c r="AT2313" s="16" t="e">
        <f>VLOOKUP(E2313,[2]Current!$A$1:$W$435,7,FALSE)</f>
        <v>#N/A</v>
      </c>
      <c r="DG2313" s="145"/>
      <c r="DT2313"/>
      <c r="DU2313" s="145"/>
      <c r="DX2313" s="145"/>
      <c r="DY2313" s="145"/>
      <c r="DZ2313" s="16"/>
      <c r="EA2313" s="16"/>
      <c r="EB2313" s="16"/>
      <c r="EC2313" s="16"/>
      <c r="ED2313" s="16"/>
      <c r="EE2313" s="16"/>
      <c r="EF2313" s="16"/>
      <c r="JO2313" s="18"/>
      <c r="JP2313" s="18"/>
      <c r="JQ2313" s="18"/>
      <c r="JR2313" s="18"/>
      <c r="JS2313" s="18"/>
      <c r="JT2313" s="18"/>
      <c r="JU2313" s="18"/>
      <c r="JV2313" s="18"/>
      <c r="JW2313" s="18"/>
      <c r="JX2313" s="18"/>
      <c r="JY2313" s="18"/>
      <c r="JZ2313" s="18"/>
      <c r="KA2313" s="18"/>
    </row>
    <row r="2314" spans="2:287" ht="16" x14ac:dyDescent="0.2">
      <c r="B2314" s="16">
        <v>2018</v>
      </c>
      <c r="C2314" s="124">
        <v>43231</v>
      </c>
      <c r="D2314" t="s">
        <v>403</v>
      </c>
      <c r="E2314" s="20" t="str">
        <f>CONCATENATE(T2314,"-",U2314,"-",C2314)</f>
        <v>PO1-A2-43231</v>
      </c>
      <c r="F2314" s="16" t="s">
        <v>227</v>
      </c>
      <c r="G2314" s="126" t="s">
        <v>278</v>
      </c>
      <c r="H2314" s="126"/>
      <c r="J2314" s="126">
        <v>1409</v>
      </c>
      <c r="K2314" s="126"/>
      <c r="O2314" s="126"/>
      <c r="T2314" s="126" t="s">
        <v>112</v>
      </c>
      <c r="U2314" s="126" t="s">
        <v>171</v>
      </c>
      <c r="V2314" s="126"/>
      <c r="X2314" s="126"/>
      <c r="Y2314" s="126"/>
      <c r="Z2314" s="126"/>
      <c r="AA2314" s="126"/>
      <c r="AB2314" s="126"/>
      <c r="AC2314" s="126"/>
      <c r="AD2314" s="126"/>
      <c r="AE2314" s="126"/>
      <c r="AH2314" s="126"/>
      <c r="AI2314" s="126"/>
      <c r="AK2314" s="125"/>
      <c r="AL2314" s="126"/>
      <c r="AM2314" s="126"/>
      <c r="AN2314" s="126"/>
      <c r="BG2314" s="23"/>
      <c r="BN2314" s="126"/>
      <c r="BT2314" s="23"/>
      <c r="CD2314" s="23"/>
      <c r="DF2314" s="16" t="e">
        <f>VLOOKUP(K2314,'[3]RNA Seq summary tables'!$V$3:$V$99,1,FALSE)</f>
        <v>#N/A</v>
      </c>
      <c r="DG2314" s="126"/>
    </row>
    <row r="2315" spans="2:287" ht="16" x14ac:dyDescent="0.2">
      <c r="B2315" s="16">
        <v>2018</v>
      </c>
      <c r="C2315" s="124">
        <v>43233</v>
      </c>
      <c r="D2315" t="s">
        <v>409</v>
      </c>
      <c r="E2315" s="20" t="str">
        <f>CONCATENATE(T2315,"-",U2315,"-",C2315)</f>
        <v>SP2-A2-43233</v>
      </c>
      <c r="F2315" s="16" t="s">
        <v>227</v>
      </c>
      <c r="G2315" s="126" t="s">
        <v>278</v>
      </c>
      <c r="H2315" s="126"/>
      <c r="J2315" s="126">
        <v>1412</v>
      </c>
      <c r="K2315" s="126"/>
      <c r="O2315" s="126"/>
      <c r="T2315" s="126" t="s">
        <v>137</v>
      </c>
      <c r="U2315" s="126" t="s">
        <v>171</v>
      </c>
      <c r="V2315" s="126"/>
      <c r="X2315" s="126"/>
      <c r="Y2315" s="126"/>
      <c r="Z2315" s="126"/>
      <c r="AA2315" s="126"/>
      <c r="AB2315" s="126"/>
      <c r="AC2315" s="126"/>
      <c r="AD2315" s="126"/>
      <c r="AE2315" s="126"/>
      <c r="AH2315" s="126"/>
      <c r="AI2315" s="126"/>
      <c r="AK2315" s="126"/>
      <c r="AL2315" s="126"/>
      <c r="AM2315" s="126"/>
      <c r="AN2315" s="126"/>
      <c r="BG2315" s="23"/>
      <c r="BN2315" s="126"/>
      <c r="BT2315" s="23"/>
      <c r="CD2315" s="23"/>
      <c r="DF2315" s="16" t="e">
        <f>VLOOKUP(K2315,'[3]RNA Seq summary tables'!$V$3:$V$99,1,FALSE)</f>
        <v>#N/A</v>
      </c>
      <c r="DG2315" s="126"/>
    </row>
    <row r="2316" spans="2:287" ht="16" x14ac:dyDescent="0.2">
      <c r="B2316" s="16">
        <v>2018</v>
      </c>
      <c r="C2316" s="124">
        <v>43270</v>
      </c>
      <c r="D2316" t="s">
        <v>522</v>
      </c>
      <c r="E2316" s="20" t="str">
        <f>CONCATENATE(T2316,"-",U2316,"-",C2316)</f>
        <v>SP1-C6-43270</v>
      </c>
      <c r="F2316" s="16" t="s">
        <v>227</v>
      </c>
      <c r="G2316" s="126" t="s">
        <v>278</v>
      </c>
      <c r="H2316" s="126"/>
      <c r="J2316" s="126">
        <v>1414</v>
      </c>
      <c r="K2316" s="126"/>
      <c r="O2316" s="126"/>
      <c r="T2316" s="126" t="s">
        <v>140</v>
      </c>
      <c r="U2316" s="126" t="s">
        <v>213</v>
      </c>
      <c r="V2316" s="126"/>
      <c r="X2316" s="126"/>
      <c r="Y2316" s="126"/>
      <c r="Z2316" s="126"/>
      <c r="AA2316" s="126"/>
      <c r="AB2316" s="126"/>
      <c r="AC2316" s="126"/>
      <c r="AD2316" s="126"/>
      <c r="AE2316" s="126"/>
      <c r="AH2316" s="126"/>
      <c r="AI2316" s="126"/>
      <c r="AK2316" s="126"/>
      <c r="AL2316" s="126"/>
      <c r="AM2316" s="126"/>
      <c r="AN2316" s="126"/>
      <c r="BG2316" s="23"/>
      <c r="BN2316" s="126"/>
      <c r="BT2316" s="23"/>
      <c r="CD2316" s="23"/>
      <c r="DF2316" s="16" t="e">
        <f>VLOOKUP(K2316,'[3]RNA Seq summary tables'!$V$3:$V$99,1,FALSE)</f>
        <v>#N/A</v>
      </c>
      <c r="DG2316" s="126"/>
    </row>
    <row r="2317" spans="2:287" ht="16" x14ac:dyDescent="0.2">
      <c r="B2317" s="16">
        <v>2018</v>
      </c>
      <c r="C2317" s="124">
        <v>43271</v>
      </c>
      <c r="D2317" t="s">
        <v>532</v>
      </c>
      <c r="E2317" s="20" t="str">
        <f>CONCATENATE(T2317,"-",U2317,"-",C2317)</f>
        <v>SP1-C6-43271</v>
      </c>
      <c r="F2317" s="16" t="s">
        <v>227</v>
      </c>
      <c r="G2317" s="126" t="s">
        <v>278</v>
      </c>
      <c r="H2317" s="126"/>
      <c r="J2317" s="126">
        <v>1414</v>
      </c>
      <c r="K2317" s="126"/>
      <c r="O2317" s="126"/>
      <c r="T2317" s="126" t="s">
        <v>140</v>
      </c>
      <c r="U2317" s="126" t="s">
        <v>213</v>
      </c>
      <c r="V2317" s="126"/>
      <c r="X2317" s="126"/>
      <c r="Y2317" s="126"/>
      <c r="Z2317" s="126"/>
      <c r="AA2317" s="126"/>
      <c r="AB2317" s="126"/>
      <c r="AC2317" s="126"/>
      <c r="AD2317" s="126"/>
      <c r="AE2317" s="126"/>
      <c r="AH2317" s="126"/>
      <c r="AI2317" s="126"/>
      <c r="AK2317" s="126"/>
      <c r="AL2317" s="126"/>
      <c r="AM2317" s="126"/>
      <c r="AN2317" s="126"/>
      <c r="BG2317" s="23"/>
      <c r="BN2317" s="126"/>
      <c r="BT2317" s="23"/>
      <c r="CD2317" s="23"/>
      <c r="DF2317" s="16" t="e">
        <f>VLOOKUP(K2317,'[3]RNA Seq summary tables'!$V$3:$V$99,1,FALSE)</f>
        <v>#N/A</v>
      </c>
      <c r="DG2317" s="126"/>
    </row>
    <row r="2318" spans="2:287" ht="16" x14ac:dyDescent="0.2">
      <c r="B2318" s="16">
        <v>2018</v>
      </c>
      <c r="C2318" s="147">
        <v>43314</v>
      </c>
      <c r="D2318" t="s">
        <v>1232</v>
      </c>
      <c r="E2318" s="20" t="str">
        <f>CONCATENATE(T2318,"-",U2318,"-",C2318)</f>
        <v>SP1-C8-43314</v>
      </c>
      <c r="F2318" s="16" t="s">
        <v>227</v>
      </c>
      <c r="G2318" s="145" t="s">
        <v>278</v>
      </c>
      <c r="H2318" s="145"/>
      <c r="I2318" s="145"/>
      <c r="J2318" s="145">
        <v>1414</v>
      </c>
      <c r="K2318" s="145"/>
      <c r="M2318" s="16"/>
      <c r="N2318" s="16"/>
      <c r="O2318" s="145"/>
      <c r="P2318" s="145"/>
      <c r="Q2318" s="145"/>
      <c r="R2318" s="145"/>
      <c r="S2318" s="145"/>
      <c r="T2318" s="145" t="s">
        <v>140</v>
      </c>
      <c r="U2318" s="145" t="s">
        <v>188</v>
      </c>
      <c r="V2318" s="145"/>
      <c r="W2318" s="145"/>
      <c r="X2318" s="145"/>
      <c r="Y2318" s="145"/>
      <c r="Z2318" s="145"/>
      <c r="AA2318" s="145"/>
      <c r="AB2318" s="145"/>
      <c r="AC2318" s="145"/>
      <c r="AD2318" s="145"/>
      <c r="AE2318" s="145"/>
      <c r="AF2318" s="145"/>
      <c r="AG2318" s="145"/>
      <c r="AH2318" s="145"/>
      <c r="AI2318" s="145"/>
      <c r="AJ2318" s="145"/>
      <c r="AK2318" s="145"/>
      <c r="AL2318" s="145"/>
      <c r="AM2318" s="145"/>
      <c r="AN2318" s="145"/>
      <c r="AT2318" s="16" t="e">
        <f>VLOOKUP(E2318,[2]Current!$A$1:$W$435,7,FALSE)</f>
        <v>#N/A</v>
      </c>
      <c r="DG2318" s="145"/>
      <c r="DT2318"/>
      <c r="DU2318" s="145"/>
      <c r="DX2318" s="145"/>
      <c r="DY2318" s="145"/>
      <c r="DZ2318" s="16"/>
      <c r="EA2318" s="16"/>
      <c r="EB2318" s="16"/>
      <c r="EC2318" s="16"/>
      <c r="ED2318" s="16"/>
      <c r="EE2318" s="16"/>
      <c r="EF2318" s="16"/>
      <c r="JO2318" s="18"/>
      <c r="JP2318" s="18"/>
      <c r="JQ2318" s="18"/>
      <c r="JR2318" s="18"/>
      <c r="JS2318" s="18"/>
      <c r="JT2318" s="18"/>
      <c r="JU2318" s="18"/>
      <c r="JV2318" s="18"/>
      <c r="JW2318" s="18"/>
      <c r="JX2318" s="18"/>
      <c r="JY2318" s="18"/>
      <c r="JZ2318" s="18"/>
      <c r="KA2318" s="18"/>
    </row>
    <row r="2319" spans="2:287" ht="16" x14ac:dyDescent="0.2">
      <c r="B2319" s="16">
        <v>2018</v>
      </c>
      <c r="C2319" s="124">
        <v>43233</v>
      </c>
      <c r="D2319" t="s">
        <v>411</v>
      </c>
      <c r="E2319" s="20" t="str">
        <f>CONCATENATE(T2319,"-",U2319,"-",C2319)</f>
        <v>SP1-A7-43233</v>
      </c>
      <c r="F2319" s="16" t="s">
        <v>227</v>
      </c>
      <c r="G2319" s="126" t="s">
        <v>278</v>
      </c>
      <c r="H2319" s="126"/>
      <c r="J2319" s="126">
        <v>1415</v>
      </c>
      <c r="K2319" s="126"/>
      <c r="O2319" s="126"/>
      <c r="T2319" s="126" t="s">
        <v>140</v>
      </c>
      <c r="U2319" s="126" t="s">
        <v>120</v>
      </c>
      <c r="V2319" s="126"/>
      <c r="X2319" s="126"/>
      <c r="Y2319" s="126"/>
      <c r="Z2319" s="126"/>
      <c r="AA2319" s="126"/>
      <c r="AB2319" s="126"/>
      <c r="AC2319" s="126"/>
      <c r="AD2319" s="126"/>
      <c r="AE2319" s="126"/>
      <c r="AH2319" s="126"/>
      <c r="AI2319" s="126"/>
      <c r="AK2319" s="126"/>
      <c r="AL2319" s="126"/>
      <c r="AM2319" s="126"/>
      <c r="AN2319" s="126"/>
      <c r="BG2319" s="23"/>
      <c r="BN2319" s="126"/>
      <c r="BT2319" s="23"/>
      <c r="CD2319" s="23"/>
      <c r="DF2319" s="16" t="e">
        <f>VLOOKUP(K2319,'[3]RNA Seq summary tables'!$V$3:$V$99,1,FALSE)</f>
        <v>#N/A</v>
      </c>
      <c r="DG2319" s="126"/>
    </row>
    <row r="2320" spans="2:287" ht="16" x14ac:dyDescent="0.2">
      <c r="B2320" s="16">
        <v>2018</v>
      </c>
      <c r="C2320" s="124">
        <v>43233</v>
      </c>
      <c r="D2320" t="s">
        <v>410</v>
      </c>
      <c r="E2320" s="20" t="str">
        <f>CONCATENATE(T2320,"-",U2320,"-",C2320)</f>
        <v>SP1-G6-43233</v>
      </c>
      <c r="F2320" s="16" t="s">
        <v>227</v>
      </c>
      <c r="G2320" s="126" t="s">
        <v>278</v>
      </c>
      <c r="H2320" s="126"/>
      <c r="J2320" s="126">
        <v>1416</v>
      </c>
      <c r="K2320" s="126"/>
      <c r="O2320" s="126"/>
      <c r="T2320" s="126" t="s">
        <v>140</v>
      </c>
      <c r="U2320" s="126" t="s">
        <v>218</v>
      </c>
      <c r="V2320" s="126"/>
      <c r="X2320" s="126"/>
      <c r="Y2320" s="126"/>
      <c r="Z2320" s="126"/>
      <c r="AA2320" s="126"/>
      <c r="AB2320" s="126"/>
      <c r="AC2320" s="126"/>
      <c r="AD2320" s="126"/>
      <c r="AE2320" s="126"/>
      <c r="AH2320" s="126"/>
      <c r="AI2320" s="126"/>
      <c r="AK2320" s="126"/>
      <c r="AL2320" s="126"/>
      <c r="AM2320" s="126"/>
      <c r="AN2320" s="126"/>
      <c r="BG2320" s="23"/>
      <c r="BN2320" s="126"/>
      <c r="BT2320" s="23"/>
      <c r="CD2320" s="23"/>
      <c r="DF2320" s="16" t="e">
        <f>VLOOKUP(K2320,'[3]RNA Seq summary tables'!$V$3:$V$99,1,FALSE)</f>
        <v>#N/A</v>
      </c>
      <c r="DG2320" s="126"/>
    </row>
    <row r="2321" spans="2:111" ht="16" x14ac:dyDescent="0.2">
      <c r="B2321" s="16">
        <v>2018</v>
      </c>
      <c r="C2321" s="124">
        <v>43270</v>
      </c>
      <c r="D2321" t="s">
        <v>523</v>
      </c>
      <c r="E2321" s="20" t="str">
        <f>CONCATENATE(T2321,"-",U2321,"-",C2321)</f>
        <v>SP1-G4-43270</v>
      </c>
      <c r="F2321" s="16" t="s">
        <v>227</v>
      </c>
      <c r="G2321" s="126" t="s">
        <v>278</v>
      </c>
      <c r="H2321" s="126"/>
      <c r="J2321" s="126">
        <v>1416</v>
      </c>
      <c r="K2321" s="126"/>
      <c r="O2321" s="126"/>
      <c r="T2321" s="126" t="s">
        <v>140</v>
      </c>
      <c r="U2321" s="126" t="s">
        <v>173</v>
      </c>
      <c r="V2321" s="126"/>
      <c r="X2321" s="126"/>
      <c r="Y2321" s="126"/>
      <c r="Z2321" s="126"/>
      <c r="AA2321" s="126"/>
      <c r="AB2321" s="126"/>
      <c r="AC2321" s="126"/>
      <c r="AD2321" s="126"/>
      <c r="AE2321" s="126"/>
      <c r="AH2321" s="126"/>
      <c r="AI2321" s="126"/>
      <c r="AK2321" s="126"/>
      <c r="AL2321" s="126"/>
      <c r="AM2321" s="126"/>
      <c r="AN2321" s="126"/>
      <c r="BG2321" s="23"/>
      <c r="BN2321" s="126"/>
      <c r="BT2321" s="23"/>
      <c r="CD2321" s="23"/>
      <c r="DF2321" s="16" t="e">
        <f>VLOOKUP(K2321,'[3]RNA Seq summary tables'!$V$3:$V$99,1,FALSE)</f>
        <v>#N/A</v>
      </c>
      <c r="DG2321" s="126"/>
    </row>
    <row r="2322" spans="2:111" ht="16" x14ac:dyDescent="0.2">
      <c r="B2322" s="16">
        <v>2018</v>
      </c>
      <c r="C2322" s="124">
        <v>43271</v>
      </c>
      <c r="D2322" t="s">
        <v>528</v>
      </c>
      <c r="E2322" s="20" t="str">
        <f>CONCATENATE(T2322,"-",U2322,"-",C2322)</f>
        <v>SP1-G4-43271</v>
      </c>
      <c r="F2322" s="16" t="s">
        <v>227</v>
      </c>
      <c r="G2322" s="126" t="s">
        <v>278</v>
      </c>
      <c r="H2322" s="126" t="s">
        <v>1082</v>
      </c>
      <c r="J2322" s="126">
        <v>1416</v>
      </c>
      <c r="K2322" s="126"/>
      <c r="O2322" s="126"/>
      <c r="T2322" s="126" t="s">
        <v>140</v>
      </c>
      <c r="U2322" s="126" t="s">
        <v>173</v>
      </c>
      <c r="V2322" s="126"/>
      <c r="X2322" s="126"/>
      <c r="Y2322" s="126"/>
      <c r="Z2322" s="126"/>
      <c r="AA2322" s="126"/>
      <c r="AB2322" s="126"/>
      <c r="AC2322" s="126"/>
      <c r="AD2322" s="126"/>
      <c r="AE2322" s="126"/>
      <c r="AH2322" s="126"/>
      <c r="AI2322" s="126"/>
      <c r="AK2322" s="126"/>
      <c r="AL2322" s="126"/>
      <c r="AM2322" s="126"/>
      <c r="AN2322" s="126"/>
      <c r="BG2322" s="23"/>
      <c r="BN2322" s="126"/>
      <c r="BT2322" s="23"/>
      <c r="CD2322" s="23"/>
      <c r="DF2322" s="16" t="e">
        <f>VLOOKUP(K2322,'[3]RNA Seq summary tables'!$V$3:$V$99,1,FALSE)</f>
        <v>#N/A</v>
      </c>
      <c r="DG2322" s="126"/>
    </row>
    <row r="2323" spans="2:111" ht="16" x14ac:dyDescent="0.2">
      <c r="B2323" s="16">
        <v>2018</v>
      </c>
      <c r="C2323" s="124">
        <v>43252</v>
      </c>
      <c r="D2323" t="s">
        <v>458</v>
      </c>
      <c r="E2323" s="20" t="str">
        <f>CONCATENATE(T2323,"-",U2323,"-",C2323)</f>
        <v>SP1-H2-43252</v>
      </c>
      <c r="F2323" s="16" t="s">
        <v>227</v>
      </c>
      <c r="G2323" s="126" t="s">
        <v>278</v>
      </c>
      <c r="H2323" s="126"/>
      <c r="J2323" s="126">
        <v>1417</v>
      </c>
      <c r="K2323" s="126"/>
      <c r="O2323" s="126"/>
      <c r="T2323" s="126" t="s">
        <v>140</v>
      </c>
      <c r="U2323" s="126" t="s">
        <v>190</v>
      </c>
      <c r="V2323" s="126"/>
      <c r="X2323" s="126"/>
      <c r="Y2323" s="126"/>
      <c r="Z2323" s="126"/>
      <c r="AA2323" s="126"/>
      <c r="AB2323" s="126"/>
      <c r="AC2323" s="126"/>
      <c r="AD2323" s="126"/>
      <c r="AE2323" s="126"/>
      <c r="AH2323" s="126"/>
      <c r="AI2323" s="126"/>
      <c r="AK2323" s="126"/>
      <c r="AL2323" s="126"/>
      <c r="AM2323" s="126"/>
      <c r="AN2323" s="126"/>
      <c r="BG2323" s="23"/>
      <c r="BN2323" s="126"/>
      <c r="BT2323" s="23"/>
      <c r="CD2323" s="23"/>
      <c r="DF2323" s="16" t="e">
        <f>VLOOKUP(K2323,'[3]RNA Seq summary tables'!$V$3:$V$99,1,FALSE)</f>
        <v>#N/A</v>
      </c>
      <c r="DG2323" s="126"/>
    </row>
    <row r="2324" spans="2:111" ht="16" x14ac:dyDescent="0.2">
      <c r="B2324" s="16">
        <v>2018</v>
      </c>
      <c r="C2324" s="124">
        <v>43253</v>
      </c>
      <c r="D2324" t="s">
        <v>462</v>
      </c>
      <c r="E2324" s="20" t="str">
        <f>CONCATENATE(T2324,"-",U2324,"-",C2324)</f>
        <v>SP1-G4-43253</v>
      </c>
      <c r="F2324" s="16" t="s">
        <v>227</v>
      </c>
      <c r="G2324" s="126" t="s">
        <v>278</v>
      </c>
      <c r="H2324" s="126"/>
      <c r="J2324" s="126">
        <v>1417</v>
      </c>
      <c r="K2324" s="126"/>
      <c r="O2324" s="126"/>
      <c r="T2324" s="126" t="s">
        <v>140</v>
      </c>
      <c r="U2324" s="126" t="s">
        <v>173</v>
      </c>
      <c r="V2324" s="126"/>
      <c r="X2324" s="126"/>
      <c r="Y2324" s="126"/>
      <c r="Z2324" s="126"/>
      <c r="AA2324" s="126"/>
      <c r="AB2324" s="126"/>
      <c r="AC2324" s="126"/>
      <c r="AD2324" s="126"/>
      <c r="AE2324" s="126"/>
      <c r="AH2324" s="126"/>
      <c r="AI2324" s="126"/>
      <c r="AK2324" s="126"/>
      <c r="AL2324" s="126"/>
      <c r="AM2324" s="126"/>
      <c r="AN2324" s="126"/>
      <c r="BG2324" s="23"/>
      <c r="BN2324" s="126"/>
      <c r="BT2324" s="23"/>
      <c r="CD2324" s="23"/>
      <c r="DF2324" s="16" t="e">
        <f>VLOOKUP(K2324,'[3]RNA Seq summary tables'!$V$3:$V$99,1,FALSE)</f>
        <v>#N/A</v>
      </c>
      <c r="DG2324" s="126"/>
    </row>
    <row r="2325" spans="2:111" ht="16" x14ac:dyDescent="0.2">
      <c r="B2325" s="16">
        <v>2018</v>
      </c>
      <c r="C2325" s="124">
        <v>43240</v>
      </c>
      <c r="D2325" t="s">
        <v>412</v>
      </c>
      <c r="E2325" s="20" t="str">
        <f>CONCATENATE(T2325,"-",U2325,"-",C2325)</f>
        <v>BC2-C2-43240</v>
      </c>
      <c r="F2325" s="16" t="s">
        <v>227</v>
      </c>
      <c r="G2325" s="126" t="s">
        <v>278</v>
      </c>
      <c r="H2325" s="126"/>
      <c r="J2325" s="126">
        <v>1421</v>
      </c>
      <c r="K2325" s="126"/>
      <c r="O2325" s="126"/>
      <c r="T2325" s="126" t="s">
        <v>154</v>
      </c>
      <c r="U2325" s="126" t="s">
        <v>162</v>
      </c>
      <c r="V2325" s="126"/>
      <c r="X2325" s="126"/>
      <c r="Y2325" s="126"/>
      <c r="Z2325" s="126"/>
      <c r="AA2325" s="126"/>
      <c r="AB2325" s="126"/>
      <c r="AC2325" s="126"/>
      <c r="AD2325" s="126"/>
      <c r="AE2325" s="126"/>
      <c r="AH2325" s="126"/>
      <c r="AI2325" s="126"/>
      <c r="AK2325" s="126"/>
      <c r="AL2325" s="126"/>
      <c r="AM2325" s="126"/>
      <c r="AN2325" s="126"/>
      <c r="AR2325" s="16">
        <v>0.47700000000000009</v>
      </c>
      <c r="AS2325" s="16">
        <v>0.47700000000000009</v>
      </c>
      <c r="BG2325" s="23"/>
      <c r="BN2325" s="126"/>
      <c r="BT2325" s="23"/>
      <c r="CD2325" s="23"/>
      <c r="DF2325" s="16" t="e">
        <f>VLOOKUP(K2325,'[3]RNA Seq summary tables'!$V$3:$V$99,1,FALSE)</f>
        <v>#N/A</v>
      </c>
      <c r="DG2325" s="126"/>
    </row>
    <row r="2326" spans="2:111" ht="16" x14ac:dyDescent="0.2">
      <c r="B2326" s="16">
        <v>2018</v>
      </c>
      <c r="C2326" s="124">
        <v>43241</v>
      </c>
      <c r="D2326" t="s">
        <v>415</v>
      </c>
      <c r="E2326" s="20" t="str">
        <f>CONCATENATE(T2326,"-",U2326,"-",C2326)</f>
        <v>BC2-A3-43241</v>
      </c>
      <c r="F2326" s="16" t="s">
        <v>227</v>
      </c>
      <c r="G2326" s="126" t="s">
        <v>278</v>
      </c>
      <c r="H2326" s="126"/>
      <c r="J2326" s="126">
        <v>1421</v>
      </c>
      <c r="K2326" s="126"/>
      <c r="O2326" s="126"/>
      <c r="T2326" s="126" t="s">
        <v>154</v>
      </c>
      <c r="U2326" s="126" t="s">
        <v>201</v>
      </c>
      <c r="V2326" s="126"/>
      <c r="X2326" s="126"/>
      <c r="Y2326" s="126"/>
      <c r="Z2326" s="126"/>
      <c r="AA2326" s="126"/>
      <c r="AB2326" s="126"/>
      <c r="AC2326" s="126"/>
      <c r="AD2326" s="126"/>
      <c r="AE2326" s="126"/>
      <c r="AH2326" s="126"/>
      <c r="AI2326" s="126"/>
      <c r="AK2326" s="126"/>
      <c r="AL2326" s="126"/>
      <c r="AM2326" s="126"/>
      <c r="AN2326" s="126"/>
      <c r="BG2326" s="23"/>
      <c r="BN2326" s="126"/>
      <c r="BT2326" s="23"/>
      <c r="CD2326" s="23"/>
      <c r="DF2326" s="16" t="e">
        <f>VLOOKUP(K2326,'[3]RNA Seq summary tables'!$V$3:$V$99,1,FALSE)</f>
        <v>#N/A</v>
      </c>
      <c r="DG2326" s="126"/>
    </row>
    <row r="2327" spans="2:111" ht="16" x14ac:dyDescent="0.2">
      <c r="B2327" s="16">
        <v>2018</v>
      </c>
      <c r="C2327" s="124">
        <v>43258</v>
      </c>
      <c r="D2327" t="s">
        <v>463</v>
      </c>
      <c r="E2327" s="20" t="str">
        <f>CONCATENATE(T2327,"-",U2327,"-",C2327)</f>
        <v>BC2-B1-43258</v>
      </c>
      <c r="F2327" s="16" t="s">
        <v>227</v>
      </c>
      <c r="G2327" s="126" t="s">
        <v>278</v>
      </c>
      <c r="H2327" s="126"/>
      <c r="J2327" s="126">
        <v>1421</v>
      </c>
      <c r="K2327" s="126"/>
      <c r="O2327" s="126"/>
      <c r="T2327" s="126" t="s">
        <v>154</v>
      </c>
      <c r="U2327" s="126" t="s">
        <v>113</v>
      </c>
      <c r="V2327" s="126"/>
      <c r="X2327" s="126"/>
      <c r="Y2327" s="126"/>
      <c r="Z2327" s="126"/>
      <c r="AA2327" s="126"/>
      <c r="AB2327" s="126"/>
      <c r="AC2327" s="126"/>
      <c r="AD2327" s="126"/>
      <c r="AE2327" s="126"/>
      <c r="AH2327" s="126"/>
      <c r="AI2327" s="126"/>
      <c r="AK2327" s="126"/>
      <c r="AL2327" s="126"/>
      <c r="AM2327" s="126"/>
      <c r="AN2327" s="126"/>
      <c r="BG2327" s="23"/>
      <c r="BN2327" s="126"/>
      <c r="BT2327" s="23"/>
      <c r="CD2327" s="23"/>
      <c r="DF2327" s="16" t="e">
        <f>VLOOKUP(K2327,'[3]RNA Seq summary tables'!$V$3:$V$99,1,FALSE)</f>
        <v>#N/A</v>
      </c>
      <c r="DG2327" s="126"/>
    </row>
    <row r="2328" spans="2:111" ht="16" x14ac:dyDescent="0.2">
      <c r="B2328" s="16">
        <v>2018</v>
      </c>
      <c r="C2328" s="124">
        <v>43241</v>
      </c>
      <c r="D2328" t="s">
        <v>421</v>
      </c>
      <c r="E2328" s="20" t="str">
        <f>CONCATENATE(T2328,"-",U2328,"-",C2328)</f>
        <v>BC1-B3-43241</v>
      </c>
      <c r="F2328" s="16" t="s">
        <v>227</v>
      </c>
      <c r="G2328" s="126" t="s">
        <v>278</v>
      </c>
      <c r="H2328" s="126"/>
      <c r="J2328" s="126">
        <v>1422</v>
      </c>
      <c r="K2328" s="126"/>
      <c r="O2328" s="126"/>
      <c r="T2328" s="126" t="s">
        <v>159</v>
      </c>
      <c r="U2328" s="126" t="s">
        <v>131</v>
      </c>
      <c r="V2328" s="126"/>
      <c r="X2328" s="126"/>
      <c r="Y2328" s="126"/>
      <c r="Z2328" s="126"/>
      <c r="AA2328" s="126"/>
      <c r="AB2328" s="126"/>
      <c r="AC2328" s="126"/>
      <c r="AD2328" s="126"/>
      <c r="AE2328" s="126"/>
      <c r="AH2328" s="126"/>
      <c r="AI2328" s="126"/>
      <c r="AK2328" s="126"/>
      <c r="AL2328" s="126"/>
      <c r="AM2328" s="126"/>
      <c r="AN2328" s="126"/>
      <c r="BG2328" s="23"/>
      <c r="BN2328" s="126"/>
      <c r="BT2328" s="23"/>
      <c r="CD2328" s="23"/>
      <c r="DF2328" s="16" t="e">
        <f>VLOOKUP(K2328,'[3]RNA Seq summary tables'!$V$3:$V$99,1,FALSE)</f>
        <v>#N/A</v>
      </c>
      <c r="DG2328" s="126"/>
    </row>
    <row r="2329" spans="2:111" ht="16" x14ac:dyDescent="0.2">
      <c r="B2329" s="16">
        <v>2018</v>
      </c>
      <c r="C2329" s="124">
        <v>43258</v>
      </c>
      <c r="D2329" t="s">
        <v>464</v>
      </c>
      <c r="E2329" s="20" t="str">
        <f>CONCATENATE(T2329,"-",U2329,"-",C2329)</f>
        <v>BC1-E2-43258</v>
      </c>
      <c r="F2329" s="16" t="s">
        <v>227</v>
      </c>
      <c r="G2329" s="126" t="s">
        <v>278</v>
      </c>
      <c r="H2329" s="126"/>
      <c r="J2329" s="126">
        <v>1422</v>
      </c>
      <c r="K2329" s="126"/>
      <c r="O2329" s="126"/>
      <c r="T2329" s="126" t="s">
        <v>159</v>
      </c>
      <c r="U2329" s="126" t="s">
        <v>136</v>
      </c>
      <c r="V2329" s="126"/>
      <c r="X2329" s="126"/>
      <c r="Y2329" s="126"/>
      <c r="Z2329" s="126"/>
      <c r="AA2329" s="126"/>
      <c r="AB2329" s="126"/>
      <c r="AC2329" s="126"/>
      <c r="AD2329" s="126"/>
      <c r="AE2329" s="126"/>
      <c r="AH2329" s="126"/>
      <c r="AI2329" s="126"/>
      <c r="AK2329" s="126"/>
      <c r="AL2329" s="126"/>
      <c r="AM2329" s="126"/>
      <c r="AN2329" s="126"/>
      <c r="BG2329" s="23"/>
      <c r="BN2329" s="126"/>
      <c r="BT2329" s="23"/>
      <c r="CD2329" s="23"/>
      <c r="DF2329" s="16" t="e">
        <f>VLOOKUP(K2329,'[3]RNA Seq summary tables'!$V$3:$V$99,1,FALSE)</f>
        <v>#N/A</v>
      </c>
      <c r="DG2329" s="126"/>
    </row>
    <row r="2330" spans="2:111" ht="16" x14ac:dyDescent="0.2">
      <c r="B2330" s="16">
        <v>2018</v>
      </c>
      <c r="C2330" s="124">
        <v>43259</v>
      </c>
      <c r="D2330" t="s">
        <v>469</v>
      </c>
      <c r="E2330" s="20" t="str">
        <f>CONCATENATE(T2330,"-",U2330,"-",C2330)</f>
        <v>BC1-E1-43259</v>
      </c>
      <c r="F2330" s="16" t="s">
        <v>227</v>
      </c>
      <c r="G2330" s="126" t="s">
        <v>278</v>
      </c>
      <c r="H2330" s="126"/>
      <c r="J2330" s="126">
        <v>1422</v>
      </c>
      <c r="K2330" s="126"/>
      <c r="O2330" s="126"/>
      <c r="T2330" s="126" t="s">
        <v>159</v>
      </c>
      <c r="U2330" s="126" t="s">
        <v>222</v>
      </c>
      <c r="V2330" s="126"/>
      <c r="X2330" s="126"/>
      <c r="Y2330" s="126"/>
      <c r="Z2330" s="126"/>
      <c r="AA2330" s="126"/>
      <c r="AB2330" s="126"/>
      <c r="AC2330" s="126"/>
      <c r="AD2330" s="126"/>
      <c r="AE2330" s="126"/>
      <c r="AH2330" s="126"/>
      <c r="AI2330" s="126"/>
      <c r="AK2330" s="126"/>
      <c r="AL2330" s="126"/>
      <c r="AM2330" s="126"/>
      <c r="AN2330" s="126"/>
      <c r="BG2330" s="23"/>
      <c r="BN2330" s="126"/>
      <c r="BT2330" s="23"/>
      <c r="CD2330" s="23"/>
      <c r="DF2330" s="16" t="e">
        <f>VLOOKUP(K2330,'[3]RNA Seq summary tables'!$V$3:$V$99,1,FALSE)</f>
        <v>#N/A</v>
      </c>
      <c r="DG2330" s="126"/>
    </row>
    <row r="2331" spans="2:111" ht="16" x14ac:dyDescent="0.2">
      <c r="B2331" s="16">
        <v>2018</v>
      </c>
      <c r="C2331" s="124">
        <v>43275</v>
      </c>
      <c r="D2331" t="s">
        <v>534</v>
      </c>
      <c r="E2331" s="20" t="str">
        <f>CONCATENATE(T2331,"-",U2331,"-",C2331)</f>
        <v>BC1-C3-43275</v>
      </c>
      <c r="F2331" s="16" t="s">
        <v>227</v>
      </c>
      <c r="G2331" s="126" t="s">
        <v>278</v>
      </c>
      <c r="H2331" s="126"/>
      <c r="J2331" s="126">
        <v>1422</v>
      </c>
      <c r="K2331" s="126"/>
      <c r="O2331" s="126"/>
      <c r="T2331" s="126" t="s">
        <v>159</v>
      </c>
      <c r="U2331" s="126" t="s">
        <v>237</v>
      </c>
      <c r="V2331" s="126"/>
      <c r="X2331" s="126"/>
      <c r="Y2331" s="126"/>
      <c r="Z2331" s="126"/>
      <c r="AA2331" s="126"/>
      <c r="AB2331" s="126"/>
      <c r="AC2331" s="126"/>
      <c r="AD2331" s="126"/>
      <c r="AE2331" s="126"/>
      <c r="AH2331" s="126"/>
      <c r="AI2331" s="126"/>
      <c r="AK2331" s="126"/>
      <c r="AL2331" s="126"/>
      <c r="AM2331" s="126"/>
      <c r="AN2331" s="126"/>
      <c r="BG2331" s="23"/>
      <c r="BN2331" s="126"/>
      <c r="BT2331" s="23"/>
      <c r="CD2331" s="23"/>
      <c r="DF2331" s="16" t="e">
        <f>VLOOKUP(K2331,'[3]RNA Seq summary tables'!$V$3:$V$99,1,FALSE)</f>
        <v>#N/A</v>
      </c>
      <c r="DG2331" s="126"/>
    </row>
    <row r="2332" spans="2:111" ht="16" x14ac:dyDescent="0.2">
      <c r="B2332" s="16">
        <v>2018</v>
      </c>
      <c r="C2332" s="124">
        <v>43276</v>
      </c>
      <c r="D2332" t="s">
        <v>547</v>
      </c>
      <c r="E2332" s="20" t="str">
        <f>CONCATENATE(T2332,"-",U2332,"-",C2332)</f>
        <v>BC1-C4-43276</v>
      </c>
      <c r="F2332" s="16" t="s">
        <v>227</v>
      </c>
      <c r="G2332" s="126" t="s">
        <v>278</v>
      </c>
      <c r="H2332" s="126"/>
      <c r="J2332" s="126">
        <v>1422</v>
      </c>
      <c r="K2332" s="126"/>
      <c r="O2332" s="126"/>
      <c r="T2332" s="126" t="s">
        <v>159</v>
      </c>
      <c r="U2332" s="126" t="s">
        <v>229</v>
      </c>
      <c r="V2332" s="126"/>
      <c r="X2332" s="126"/>
      <c r="Y2332" s="126"/>
      <c r="Z2332" s="126"/>
      <c r="AA2332" s="126"/>
      <c r="AB2332" s="126"/>
      <c r="AC2332" s="126"/>
      <c r="AD2332" s="126"/>
      <c r="AE2332" s="126"/>
      <c r="AH2332" s="126"/>
      <c r="AI2332" s="126"/>
      <c r="AK2332" s="126"/>
      <c r="AL2332" s="126"/>
      <c r="AM2332" s="126"/>
      <c r="AN2332" s="126"/>
      <c r="BG2332" s="23"/>
      <c r="BN2332" s="126"/>
      <c r="BT2332" s="23"/>
      <c r="CD2332" s="23"/>
      <c r="DF2332" s="16" t="e">
        <f>VLOOKUP(K2332,'[3]RNA Seq summary tables'!$V$3:$V$99,1,FALSE)</f>
        <v>#N/A</v>
      </c>
      <c r="DG2332" s="126"/>
    </row>
    <row r="2333" spans="2:111" ht="16" x14ac:dyDescent="0.2">
      <c r="B2333" s="16">
        <v>2018</v>
      </c>
      <c r="C2333" s="124">
        <v>43240</v>
      </c>
      <c r="D2333" t="s">
        <v>414</v>
      </c>
      <c r="E2333" s="20" t="str">
        <f>CONCATENATE(T2333,"-",U2333,"-",C2333)</f>
        <v>BC2-B3-43240</v>
      </c>
      <c r="F2333" s="16" t="s">
        <v>227</v>
      </c>
      <c r="G2333" s="126" t="s">
        <v>278</v>
      </c>
      <c r="H2333" s="126"/>
      <c r="J2333" s="126">
        <v>1423</v>
      </c>
      <c r="K2333" s="126"/>
      <c r="O2333" s="126"/>
      <c r="T2333" s="126" t="s">
        <v>154</v>
      </c>
      <c r="U2333" s="126" t="s">
        <v>131</v>
      </c>
      <c r="V2333" s="126"/>
      <c r="X2333" s="126"/>
      <c r="Y2333" s="126"/>
      <c r="Z2333" s="126"/>
      <c r="AA2333" s="126"/>
      <c r="AB2333" s="126"/>
      <c r="AC2333" s="126"/>
      <c r="AD2333" s="126"/>
      <c r="AE2333" s="126"/>
      <c r="AH2333" s="126"/>
      <c r="AI2333" s="126"/>
      <c r="AK2333" s="126"/>
      <c r="AL2333" s="126"/>
      <c r="AM2333" s="126"/>
      <c r="AN2333" s="126"/>
      <c r="AR2333" s="16">
        <v>0.70799999999999996</v>
      </c>
      <c r="AS2333" s="16">
        <v>0.70799999999999996</v>
      </c>
      <c r="BG2333" s="23"/>
      <c r="BN2333" s="126"/>
      <c r="BT2333" s="23"/>
      <c r="CD2333" s="23"/>
      <c r="DF2333" s="16" t="e">
        <f>VLOOKUP(K2333,'[3]RNA Seq summary tables'!$V$3:$V$99,1,FALSE)</f>
        <v>#N/A</v>
      </c>
      <c r="DG2333" s="126"/>
    </row>
    <row r="2334" spans="2:111" ht="16" x14ac:dyDescent="0.2">
      <c r="B2334" s="16">
        <v>2018</v>
      </c>
      <c r="C2334" s="124">
        <v>43241</v>
      </c>
      <c r="D2334" t="s">
        <v>417</v>
      </c>
      <c r="E2334" s="20" t="str">
        <f>CONCATENATE(T2334,"-",U2334,"-",C2334)</f>
        <v>BC2-B3-43241</v>
      </c>
      <c r="F2334" s="16" t="s">
        <v>227</v>
      </c>
      <c r="G2334" s="126" t="s">
        <v>278</v>
      </c>
      <c r="H2334" s="126"/>
      <c r="J2334" s="126">
        <v>1423</v>
      </c>
      <c r="K2334" s="126"/>
      <c r="O2334" s="126"/>
      <c r="T2334" s="126" t="s">
        <v>154</v>
      </c>
      <c r="U2334" s="126" t="s">
        <v>131</v>
      </c>
      <c r="V2334" s="126"/>
      <c r="X2334" s="126"/>
      <c r="Y2334" s="126"/>
      <c r="Z2334" s="126"/>
      <c r="AA2334" s="126"/>
      <c r="AB2334" s="126"/>
      <c r="AC2334" s="126"/>
      <c r="AD2334" s="126"/>
      <c r="AE2334" s="126"/>
      <c r="AH2334" s="126"/>
      <c r="AI2334" s="126"/>
      <c r="AK2334" s="126"/>
      <c r="AL2334" s="126"/>
      <c r="AM2334" s="126"/>
      <c r="AN2334" s="126"/>
      <c r="BG2334" s="23"/>
      <c r="BN2334" s="126"/>
      <c r="BT2334" s="23"/>
      <c r="CD2334" s="23"/>
      <c r="DF2334" s="16" t="e">
        <f>VLOOKUP(K2334,'[3]RNA Seq summary tables'!$V$3:$V$99,1,FALSE)</f>
        <v>#N/A</v>
      </c>
      <c r="DG2334" s="126"/>
    </row>
    <row r="2335" spans="2:111" ht="16" x14ac:dyDescent="0.2">
      <c r="B2335" s="16">
        <v>2018</v>
      </c>
      <c r="C2335" s="124">
        <v>43276</v>
      </c>
      <c r="D2335" t="s">
        <v>544</v>
      </c>
      <c r="E2335" s="20" t="str">
        <f>CONCATENATE(T2335,"-",U2335,"-",C2335)</f>
        <v>BC2-D7-43276</v>
      </c>
      <c r="F2335" s="16" t="s">
        <v>227</v>
      </c>
      <c r="G2335" s="126" t="s">
        <v>278</v>
      </c>
      <c r="H2335" s="126"/>
      <c r="J2335" s="126">
        <v>1424</v>
      </c>
      <c r="K2335" s="126"/>
      <c r="O2335" s="126"/>
      <c r="T2335" s="126" t="s">
        <v>154</v>
      </c>
      <c r="U2335" s="126" t="s">
        <v>177</v>
      </c>
      <c r="V2335" s="126"/>
      <c r="X2335" s="126"/>
      <c r="Y2335" s="126"/>
      <c r="Z2335" s="126"/>
      <c r="AA2335" s="126"/>
      <c r="AB2335" s="126"/>
      <c r="AC2335" s="126"/>
      <c r="AD2335" s="126"/>
      <c r="AE2335" s="126"/>
      <c r="AH2335" s="126"/>
      <c r="AI2335" s="126"/>
      <c r="AK2335" s="126"/>
      <c r="AL2335" s="126"/>
      <c r="AM2335" s="126"/>
      <c r="AN2335" s="126"/>
      <c r="BG2335" s="23"/>
      <c r="BN2335" s="126"/>
      <c r="BT2335" s="23"/>
      <c r="CD2335" s="23"/>
      <c r="DF2335" s="16" t="e">
        <f>VLOOKUP(K2335,'[3]RNA Seq summary tables'!$V$3:$V$99,1,FALSE)</f>
        <v>#N/A</v>
      </c>
      <c r="DG2335" s="126"/>
    </row>
    <row r="2336" spans="2:111" ht="16" x14ac:dyDescent="0.2">
      <c r="B2336" s="16">
        <v>2018</v>
      </c>
      <c r="C2336" s="124">
        <v>43293</v>
      </c>
      <c r="D2336" t="s">
        <v>626</v>
      </c>
      <c r="E2336" s="20" t="str">
        <f>CONCATENATE(T2336,"-",U2336,"-",C2336)</f>
        <v>BC2-B7-43293</v>
      </c>
      <c r="F2336" s="16" t="s">
        <v>227</v>
      </c>
      <c r="G2336" s="126" t="s">
        <v>278</v>
      </c>
      <c r="H2336" s="126"/>
      <c r="J2336" s="126">
        <v>1424</v>
      </c>
      <c r="K2336" s="126"/>
      <c r="O2336" s="126"/>
      <c r="T2336" s="126" t="s">
        <v>154</v>
      </c>
      <c r="U2336" s="126" t="s">
        <v>168</v>
      </c>
      <c r="V2336" s="126"/>
      <c r="X2336" s="126"/>
      <c r="Y2336" s="126"/>
      <c r="Z2336" s="126"/>
      <c r="AA2336" s="126"/>
      <c r="AB2336" s="126"/>
      <c r="AC2336" s="126"/>
      <c r="AD2336" s="126"/>
      <c r="AE2336" s="126"/>
      <c r="AH2336" s="126"/>
      <c r="AI2336" s="126"/>
      <c r="AK2336" s="126"/>
      <c r="AL2336" s="126"/>
      <c r="AM2336" s="126"/>
      <c r="AN2336" s="126"/>
      <c r="BG2336" s="23"/>
      <c r="BN2336" s="126"/>
      <c r="BT2336" s="23"/>
      <c r="CD2336" s="23"/>
      <c r="DF2336" s="16" t="e">
        <f>VLOOKUP(K2336,'[3]RNA Seq summary tables'!$V$3:$V$99,1,FALSE)</f>
        <v>#N/A</v>
      </c>
      <c r="DG2336" s="126"/>
    </row>
    <row r="2337" spans="2:111" ht="16" x14ac:dyDescent="0.2">
      <c r="B2337" s="16">
        <v>2018</v>
      </c>
      <c r="C2337" s="124">
        <v>43240</v>
      </c>
      <c r="D2337" t="s">
        <v>413</v>
      </c>
      <c r="E2337" s="20" t="str">
        <f>CONCATENATE(T2337,"-",U2337,"-",C2337)</f>
        <v>BC1-H5-43240</v>
      </c>
      <c r="F2337" s="16" t="s">
        <v>227</v>
      </c>
      <c r="G2337" s="126" t="s">
        <v>278</v>
      </c>
      <c r="H2337" s="126"/>
      <c r="J2337" s="127">
        <v>1425</v>
      </c>
      <c r="K2337" s="126"/>
      <c r="O2337" s="126"/>
      <c r="T2337" s="126" t="s">
        <v>159</v>
      </c>
      <c r="U2337" s="126" t="s">
        <v>180</v>
      </c>
      <c r="V2337" s="126"/>
      <c r="X2337" s="126"/>
      <c r="Y2337" s="126"/>
      <c r="Z2337" s="126"/>
      <c r="AA2337" s="126"/>
      <c r="AB2337" s="126"/>
      <c r="AC2337" s="126"/>
      <c r="AD2337" s="126"/>
      <c r="AE2337" s="126"/>
      <c r="AH2337" s="126"/>
      <c r="AI2337" s="126"/>
      <c r="AK2337" s="126"/>
      <c r="AL2337" s="126"/>
      <c r="AM2337" s="126"/>
      <c r="AN2337" s="126"/>
      <c r="AR2337" s="16">
        <v>0.50000000000000022</v>
      </c>
      <c r="AS2337" s="16">
        <v>0.50000000000000022</v>
      </c>
      <c r="BG2337" s="23"/>
      <c r="BN2337" s="126"/>
      <c r="BT2337" s="23"/>
      <c r="CD2337" s="23"/>
      <c r="DF2337" s="16" t="e">
        <f>VLOOKUP(K2337,'[3]RNA Seq summary tables'!$V$3:$V$99,1,FALSE)</f>
        <v>#N/A</v>
      </c>
      <c r="DG2337" s="126"/>
    </row>
    <row r="2338" spans="2:111" ht="16" x14ac:dyDescent="0.2">
      <c r="B2338" s="16">
        <v>2018</v>
      </c>
      <c r="C2338" s="124">
        <v>43241</v>
      </c>
      <c r="D2338" t="s">
        <v>416</v>
      </c>
      <c r="E2338" s="20" t="str">
        <f>CONCATENATE(T2338,"-",U2338,"-",C2338)</f>
        <v>BC2-A8-43241</v>
      </c>
      <c r="F2338" s="16" t="s">
        <v>227</v>
      </c>
      <c r="G2338" s="126" t="s">
        <v>278</v>
      </c>
      <c r="H2338" s="126"/>
      <c r="J2338" s="127">
        <v>1425</v>
      </c>
      <c r="K2338" s="126"/>
      <c r="O2338" s="126"/>
      <c r="T2338" s="126" t="s">
        <v>154</v>
      </c>
      <c r="U2338" s="126" t="s">
        <v>194</v>
      </c>
      <c r="V2338" s="126"/>
      <c r="X2338" s="126"/>
      <c r="Y2338" s="126"/>
      <c r="Z2338" s="126"/>
      <c r="AA2338" s="126"/>
      <c r="AB2338" s="126"/>
      <c r="AC2338" s="126"/>
      <c r="AD2338" s="126"/>
      <c r="AE2338" s="126"/>
      <c r="AH2338" s="126"/>
      <c r="AI2338" s="126"/>
      <c r="AK2338" s="126"/>
      <c r="AL2338" s="126"/>
      <c r="AM2338" s="126"/>
      <c r="AN2338" s="126"/>
      <c r="BG2338" s="23"/>
      <c r="BN2338" s="126"/>
      <c r="BT2338" s="23"/>
      <c r="CD2338" s="23"/>
      <c r="DF2338" s="16" t="e">
        <f>VLOOKUP(K2338,'[3]RNA Seq summary tables'!$V$3:$V$99,1,FALSE)</f>
        <v>#N/A</v>
      </c>
      <c r="DG2338" s="126"/>
    </row>
    <row r="2339" spans="2:111" ht="16" x14ac:dyDescent="0.2">
      <c r="B2339" s="16">
        <v>2018</v>
      </c>
      <c r="C2339" s="124">
        <v>43276</v>
      </c>
      <c r="D2339" t="s">
        <v>551</v>
      </c>
      <c r="E2339" s="20" t="str">
        <f>CONCATENATE(T2339,"-",U2339,"-",C2339)</f>
        <v>BC1-H7-43276</v>
      </c>
      <c r="F2339" s="16" t="s">
        <v>227</v>
      </c>
      <c r="G2339" s="126" t="s">
        <v>278</v>
      </c>
      <c r="H2339" s="126"/>
      <c r="J2339" s="127">
        <v>1425</v>
      </c>
      <c r="K2339" s="126"/>
      <c r="O2339" s="126"/>
      <c r="T2339" s="126" t="s">
        <v>159</v>
      </c>
      <c r="U2339" s="126" t="s">
        <v>202</v>
      </c>
      <c r="V2339" s="126"/>
      <c r="X2339" s="126"/>
      <c r="Y2339" s="126"/>
      <c r="Z2339" s="126"/>
      <c r="AA2339" s="126"/>
      <c r="AB2339" s="126"/>
      <c r="AC2339" s="126"/>
      <c r="AD2339" s="126"/>
      <c r="AE2339" s="126"/>
      <c r="AH2339" s="126"/>
      <c r="AI2339" s="126"/>
      <c r="AK2339" s="126"/>
      <c r="AL2339" s="126"/>
      <c r="AM2339" s="126"/>
      <c r="AN2339" s="126"/>
      <c r="BG2339" s="23"/>
      <c r="BN2339" s="126"/>
      <c r="BT2339" s="23"/>
      <c r="CD2339" s="23"/>
      <c r="DF2339" s="16" t="e">
        <f>VLOOKUP(K2339,'[3]RNA Seq summary tables'!$V$3:$V$99,1,FALSE)</f>
        <v>#N/A</v>
      </c>
      <c r="DG2339" s="126"/>
    </row>
    <row r="2340" spans="2:111" ht="16" x14ac:dyDescent="0.2">
      <c r="B2340" s="16">
        <v>2018</v>
      </c>
      <c r="C2340" s="124">
        <v>43293</v>
      </c>
      <c r="D2340" t="s">
        <v>623</v>
      </c>
      <c r="E2340" s="20" t="str">
        <f>CONCATENATE(T2340,"-",U2340,"-",C2340)</f>
        <v>BC1-H7-43293</v>
      </c>
      <c r="F2340" s="16" t="s">
        <v>227</v>
      </c>
      <c r="G2340" s="126" t="s">
        <v>278</v>
      </c>
      <c r="H2340" s="126"/>
      <c r="J2340" s="127">
        <v>1425</v>
      </c>
      <c r="K2340" s="126"/>
      <c r="O2340" s="126"/>
      <c r="T2340" s="126" t="s">
        <v>159</v>
      </c>
      <c r="U2340" s="126" t="s">
        <v>202</v>
      </c>
      <c r="V2340" s="126"/>
      <c r="X2340" s="126"/>
      <c r="Y2340" s="126"/>
      <c r="Z2340" s="126"/>
      <c r="AA2340" s="126"/>
      <c r="AB2340" s="126"/>
      <c r="AC2340" s="126"/>
      <c r="AD2340" s="126"/>
      <c r="AE2340" s="126"/>
      <c r="AH2340" s="126"/>
      <c r="AI2340" s="126"/>
      <c r="AK2340" s="126"/>
      <c r="AL2340" s="126"/>
      <c r="AM2340" s="126"/>
      <c r="AN2340" s="126"/>
      <c r="BG2340" s="23"/>
      <c r="BN2340" s="126"/>
      <c r="BT2340" s="23"/>
      <c r="CD2340" s="23"/>
      <c r="DF2340" s="16" t="e">
        <f>VLOOKUP(K2340,'[3]RNA Seq summary tables'!$V$3:$V$99,1,FALSE)</f>
        <v>#N/A</v>
      </c>
      <c r="DG2340" s="126"/>
    </row>
    <row r="2341" spans="2:111" ht="16" x14ac:dyDescent="0.2">
      <c r="B2341" s="16">
        <v>2018</v>
      </c>
      <c r="C2341" s="124">
        <v>43259</v>
      </c>
      <c r="D2341" t="s">
        <v>466</v>
      </c>
      <c r="E2341" s="20" t="str">
        <f>CONCATENATE(T2341,"-",U2341,"-",C2341)</f>
        <v>BC2-F5-43259</v>
      </c>
      <c r="F2341" s="16" t="s">
        <v>227</v>
      </c>
      <c r="G2341" s="126" t="s">
        <v>278</v>
      </c>
      <c r="H2341" s="126"/>
      <c r="J2341" s="127">
        <v>1426</v>
      </c>
      <c r="K2341" s="126"/>
      <c r="O2341" s="126"/>
      <c r="T2341" s="126" t="s">
        <v>154</v>
      </c>
      <c r="U2341" s="126" t="s">
        <v>185</v>
      </c>
      <c r="V2341" s="126"/>
      <c r="X2341" s="126"/>
      <c r="Y2341" s="126"/>
      <c r="Z2341" s="126"/>
      <c r="AA2341" s="126"/>
      <c r="AB2341" s="126"/>
      <c r="AC2341" s="126"/>
      <c r="AD2341" s="126"/>
      <c r="AE2341" s="126"/>
      <c r="AH2341" s="126"/>
      <c r="AI2341" s="126"/>
      <c r="AK2341" s="126"/>
      <c r="AL2341" s="126"/>
      <c r="AM2341" s="126"/>
      <c r="AN2341" s="126"/>
      <c r="BG2341" s="23"/>
      <c r="BN2341" s="126"/>
      <c r="BT2341" s="23"/>
      <c r="CD2341" s="23"/>
      <c r="DF2341" s="16" t="e">
        <f>VLOOKUP(K2341,'[3]RNA Seq summary tables'!$V$3:$V$99,1,FALSE)</f>
        <v>#N/A</v>
      </c>
      <c r="DG2341" s="126"/>
    </row>
    <row r="2342" spans="2:111" ht="16" x14ac:dyDescent="0.2">
      <c r="B2342" s="16">
        <v>2018</v>
      </c>
      <c r="C2342" s="124">
        <v>43241</v>
      </c>
      <c r="D2342" t="s">
        <v>419</v>
      </c>
      <c r="E2342" s="20" t="str">
        <f>CONCATENATE(T2342,"-",U2342,"-",C2342)</f>
        <v>BC2-G2-43241</v>
      </c>
      <c r="F2342" s="16" t="s">
        <v>227</v>
      </c>
      <c r="G2342" s="126" t="s">
        <v>278</v>
      </c>
      <c r="H2342" s="126"/>
      <c r="J2342" s="126">
        <v>1427</v>
      </c>
      <c r="K2342" s="126"/>
      <c r="O2342" s="126"/>
      <c r="T2342" s="126" t="s">
        <v>154</v>
      </c>
      <c r="U2342" s="126" t="s">
        <v>128</v>
      </c>
      <c r="V2342" s="126"/>
      <c r="X2342" s="126"/>
      <c r="Y2342" s="126"/>
      <c r="Z2342" s="126"/>
      <c r="AA2342" s="126"/>
      <c r="AB2342" s="126"/>
      <c r="AC2342" s="126"/>
      <c r="AD2342" s="126"/>
      <c r="AE2342" s="126"/>
      <c r="AH2342" s="126"/>
      <c r="AI2342" s="126"/>
      <c r="AK2342" s="126"/>
      <c r="AL2342" s="126"/>
      <c r="AM2342" s="126"/>
      <c r="AN2342" s="126"/>
      <c r="BG2342" s="23"/>
      <c r="BN2342" s="126"/>
      <c r="BT2342" s="23"/>
      <c r="CD2342" s="23"/>
      <c r="DF2342" s="16" t="e">
        <f>VLOOKUP(K2342,'[3]RNA Seq summary tables'!$V$3:$V$99,1,FALSE)</f>
        <v>#N/A</v>
      </c>
      <c r="DG2342" s="126"/>
    </row>
    <row r="2343" spans="2:111" ht="16" x14ac:dyDescent="0.2">
      <c r="B2343" s="16">
        <v>2018</v>
      </c>
      <c r="C2343" s="124">
        <v>43241</v>
      </c>
      <c r="D2343" t="s">
        <v>418</v>
      </c>
      <c r="E2343" s="20" t="str">
        <f>CONCATENATE(T2343,"-",U2343,"-",C2343)</f>
        <v>BC2-E1-43241</v>
      </c>
      <c r="F2343" s="16" t="s">
        <v>227</v>
      </c>
      <c r="G2343" s="126" t="s">
        <v>278</v>
      </c>
      <c r="H2343" s="126"/>
      <c r="J2343" s="126">
        <v>1428</v>
      </c>
      <c r="K2343" s="126"/>
      <c r="O2343" s="126"/>
      <c r="T2343" s="126" t="s">
        <v>154</v>
      </c>
      <c r="U2343" s="126" t="s">
        <v>222</v>
      </c>
      <c r="V2343" s="126"/>
      <c r="X2343" s="126"/>
      <c r="Y2343" s="126"/>
      <c r="Z2343" s="126"/>
      <c r="AA2343" s="126"/>
      <c r="AB2343" s="126"/>
      <c r="AC2343" s="126"/>
      <c r="AD2343" s="126"/>
      <c r="AE2343" s="126"/>
      <c r="AH2343" s="126"/>
      <c r="AI2343" s="126"/>
      <c r="AK2343" s="126"/>
      <c r="AL2343" s="126"/>
      <c r="AM2343" s="126"/>
      <c r="AN2343" s="126"/>
      <c r="BG2343" s="23"/>
      <c r="BN2343" s="126"/>
      <c r="BT2343" s="23"/>
      <c r="CD2343" s="23"/>
      <c r="DF2343" s="16" t="e">
        <f>VLOOKUP(K2343,'[3]RNA Seq summary tables'!$V$3:$V$99,1,FALSE)</f>
        <v>#N/A</v>
      </c>
      <c r="DG2343" s="126"/>
    </row>
    <row r="2344" spans="2:111" ht="16" x14ac:dyDescent="0.2">
      <c r="B2344" s="16">
        <v>2018</v>
      </c>
      <c r="C2344" s="124">
        <v>43241</v>
      </c>
      <c r="D2344" t="s">
        <v>420</v>
      </c>
      <c r="E2344" s="20" t="str">
        <f>CONCATENATE(T2344,"-",U2344,"-",C2344)</f>
        <v>BC2-H5-43241</v>
      </c>
      <c r="F2344" s="16" t="s">
        <v>227</v>
      </c>
      <c r="G2344" s="126" t="s">
        <v>278</v>
      </c>
      <c r="H2344" s="126"/>
      <c r="J2344" s="126">
        <v>1429</v>
      </c>
      <c r="K2344" s="126"/>
      <c r="O2344" s="126"/>
      <c r="T2344" s="126" t="s">
        <v>154</v>
      </c>
      <c r="U2344" s="126" t="s">
        <v>180</v>
      </c>
      <c r="V2344" s="126"/>
      <c r="X2344" s="126"/>
      <c r="Y2344" s="126"/>
      <c r="Z2344" s="126"/>
      <c r="AA2344" s="126"/>
      <c r="AB2344" s="126"/>
      <c r="AC2344" s="126"/>
      <c r="AD2344" s="126"/>
      <c r="AE2344" s="126"/>
      <c r="AH2344" s="126"/>
      <c r="AI2344" s="126"/>
      <c r="AK2344" s="126"/>
      <c r="AL2344" s="126"/>
      <c r="AM2344" s="126"/>
      <c r="AN2344" s="126"/>
      <c r="BG2344" s="23"/>
      <c r="BN2344" s="126"/>
      <c r="BT2344" s="23"/>
      <c r="CD2344" s="23"/>
      <c r="DF2344" s="16" t="e">
        <f>VLOOKUP(K2344,'[3]RNA Seq summary tables'!$V$3:$V$99,1,FALSE)</f>
        <v>#N/A</v>
      </c>
      <c r="DG2344" s="126"/>
    </row>
    <row r="2345" spans="2:111" ht="16" x14ac:dyDescent="0.2">
      <c r="B2345" s="16">
        <v>2018</v>
      </c>
      <c r="C2345" s="124">
        <v>43241</v>
      </c>
      <c r="D2345" t="s">
        <v>422</v>
      </c>
      <c r="E2345" s="20" t="str">
        <f>CONCATENATE(T2345,"-",U2345,"-",C2345)</f>
        <v>BC1-C8-43241</v>
      </c>
      <c r="F2345" s="16" t="s">
        <v>227</v>
      </c>
      <c r="G2345" s="126" t="s">
        <v>278</v>
      </c>
      <c r="H2345" s="126"/>
      <c r="J2345" s="127">
        <v>1431</v>
      </c>
      <c r="K2345" s="126"/>
      <c r="O2345" s="126"/>
      <c r="T2345" s="126" t="s">
        <v>159</v>
      </c>
      <c r="U2345" s="126" t="s">
        <v>188</v>
      </c>
      <c r="V2345" s="126"/>
      <c r="X2345" s="126"/>
      <c r="Y2345" s="126"/>
      <c r="Z2345" s="126"/>
      <c r="AA2345" s="126"/>
      <c r="AB2345" s="126"/>
      <c r="AC2345" s="126"/>
      <c r="AD2345" s="126"/>
      <c r="AE2345" s="126"/>
      <c r="AH2345" s="126"/>
      <c r="AI2345" s="126"/>
      <c r="AK2345" s="126"/>
      <c r="AL2345" s="126"/>
      <c r="AM2345" s="126"/>
      <c r="AN2345" s="126"/>
      <c r="BG2345" s="23"/>
      <c r="BN2345" s="126"/>
      <c r="BT2345" s="23"/>
      <c r="CD2345" s="23"/>
      <c r="DF2345" s="16" t="e">
        <f>VLOOKUP(K2345,'[3]RNA Seq summary tables'!$V$3:$V$99,1,FALSE)</f>
        <v>#N/A</v>
      </c>
      <c r="DG2345" s="126"/>
    </row>
    <row r="2346" spans="2:111" ht="16" x14ac:dyDescent="0.2">
      <c r="B2346" s="16">
        <v>2018</v>
      </c>
      <c r="C2346" s="124">
        <v>43243</v>
      </c>
      <c r="D2346" t="s">
        <v>425</v>
      </c>
      <c r="E2346" s="20" t="str">
        <f>CONCATENATE(T2346,"-",U2346,"-",C2346)</f>
        <v>HW2-G2-43243</v>
      </c>
      <c r="F2346" s="16" t="s">
        <v>227</v>
      </c>
      <c r="G2346" s="126" t="s">
        <v>278</v>
      </c>
      <c r="H2346" s="126"/>
      <c r="J2346" s="126">
        <v>1433</v>
      </c>
      <c r="K2346" s="126"/>
      <c r="O2346" s="126"/>
      <c r="T2346" s="126" t="s">
        <v>129</v>
      </c>
      <c r="U2346" s="126" t="s">
        <v>128</v>
      </c>
      <c r="V2346" s="126"/>
      <c r="X2346" s="126"/>
      <c r="Y2346" s="126"/>
      <c r="Z2346" s="126"/>
      <c r="AA2346" s="126"/>
      <c r="AB2346" s="126"/>
      <c r="AC2346" s="126"/>
      <c r="AD2346" s="126"/>
      <c r="AE2346" s="126"/>
      <c r="AH2346" s="126"/>
      <c r="AI2346" s="126"/>
      <c r="AK2346" s="126"/>
      <c r="AL2346" s="126"/>
      <c r="AM2346" s="126"/>
      <c r="AN2346" s="126"/>
      <c r="BG2346" s="23"/>
      <c r="BN2346" s="126"/>
      <c r="BT2346" s="23"/>
      <c r="CD2346" s="23"/>
      <c r="DF2346" s="16" t="e">
        <f>VLOOKUP(K2346,'[3]RNA Seq summary tables'!$V$3:$V$99,1,FALSE)</f>
        <v>#N/A</v>
      </c>
      <c r="DG2346" s="126"/>
    </row>
    <row r="2347" spans="2:111" ht="16" x14ac:dyDescent="0.2">
      <c r="B2347" s="16">
        <v>2018</v>
      </c>
      <c r="C2347" s="124">
        <v>43244</v>
      </c>
      <c r="D2347" t="s">
        <v>443</v>
      </c>
      <c r="E2347" s="20" t="str">
        <f>CONCATENATE(T2347,"-",U2347,"-",C2347)</f>
        <v>HW1-E1-43244</v>
      </c>
      <c r="F2347" s="16" t="s">
        <v>227</v>
      </c>
      <c r="G2347" s="126" t="s">
        <v>278</v>
      </c>
      <c r="H2347" s="126"/>
      <c r="J2347" s="126">
        <v>1433</v>
      </c>
      <c r="K2347" s="126"/>
      <c r="O2347" s="126"/>
      <c r="T2347" s="126" t="s">
        <v>133</v>
      </c>
      <c r="U2347" s="126" t="s">
        <v>222</v>
      </c>
      <c r="V2347" s="126"/>
      <c r="X2347" s="126"/>
      <c r="Y2347" s="126"/>
      <c r="Z2347" s="126"/>
      <c r="AA2347" s="126"/>
      <c r="AB2347" s="126"/>
      <c r="AC2347" s="126"/>
      <c r="AD2347" s="126"/>
      <c r="AE2347" s="126"/>
      <c r="AH2347" s="126"/>
      <c r="AI2347" s="126"/>
      <c r="AK2347" s="126"/>
      <c r="AL2347" s="126"/>
      <c r="AM2347" s="126"/>
      <c r="AN2347" s="126"/>
      <c r="BG2347" s="23"/>
      <c r="BN2347" s="126"/>
      <c r="BT2347" s="23"/>
      <c r="CD2347" s="23"/>
      <c r="DF2347" s="16" t="e">
        <f>VLOOKUP(K2347,'[3]RNA Seq summary tables'!$V$3:$V$99,1,FALSE)</f>
        <v>#N/A</v>
      </c>
      <c r="DG2347" s="126"/>
    </row>
    <row r="2348" spans="2:111" ht="16" x14ac:dyDescent="0.2">
      <c r="B2348" s="16">
        <v>2018</v>
      </c>
      <c r="C2348" s="124">
        <v>43243</v>
      </c>
      <c r="D2348" t="s">
        <v>424</v>
      </c>
      <c r="E2348" s="20" t="str">
        <f>CONCATENATE(T2348,"-",U2348,"-",C2348)</f>
        <v>HW1-D6-43243</v>
      </c>
      <c r="F2348" s="16" t="s">
        <v>227</v>
      </c>
      <c r="G2348" s="126" t="s">
        <v>278</v>
      </c>
      <c r="H2348" s="126"/>
      <c r="J2348" s="126">
        <v>1434</v>
      </c>
      <c r="K2348" s="126"/>
      <c r="O2348" s="126"/>
      <c r="T2348" s="126" t="s">
        <v>133</v>
      </c>
      <c r="U2348" s="126" t="s">
        <v>186</v>
      </c>
      <c r="V2348" s="126"/>
      <c r="X2348" s="126"/>
      <c r="Y2348" s="126"/>
      <c r="Z2348" s="126"/>
      <c r="AA2348" s="126"/>
      <c r="AB2348" s="126"/>
      <c r="AC2348" s="126"/>
      <c r="AD2348" s="126"/>
      <c r="AE2348" s="126"/>
      <c r="AH2348" s="126"/>
      <c r="AI2348" s="126"/>
      <c r="AK2348" s="126"/>
      <c r="AL2348" s="126"/>
      <c r="AM2348" s="126"/>
      <c r="AN2348" s="126"/>
      <c r="BG2348" s="23"/>
      <c r="BN2348" s="126"/>
      <c r="BT2348" s="23"/>
      <c r="CD2348" s="23"/>
      <c r="DF2348" s="16" t="e">
        <f>VLOOKUP(K2348,'[3]RNA Seq summary tables'!$V$3:$V$99,1,FALSE)</f>
        <v>#N/A</v>
      </c>
      <c r="DG2348" s="126"/>
    </row>
    <row r="2349" spans="2:111" ht="16" x14ac:dyDescent="0.2">
      <c r="B2349" s="16">
        <v>2018</v>
      </c>
      <c r="C2349" s="124">
        <v>43244</v>
      </c>
      <c r="D2349" t="s">
        <v>442</v>
      </c>
      <c r="E2349" s="20" t="str">
        <f>CONCATENATE(T2349,"-",U2349,"-",C2349)</f>
        <v>HW1-B6-43244</v>
      </c>
      <c r="F2349" s="16" t="s">
        <v>227</v>
      </c>
      <c r="G2349" s="126" t="s">
        <v>278</v>
      </c>
      <c r="H2349" s="126"/>
      <c r="J2349" s="126">
        <v>1434</v>
      </c>
      <c r="K2349" s="126"/>
      <c r="O2349" s="126"/>
      <c r="T2349" s="126" t="s">
        <v>133</v>
      </c>
      <c r="U2349" s="126" t="s">
        <v>132</v>
      </c>
      <c r="V2349" s="126"/>
      <c r="X2349" s="126"/>
      <c r="Y2349" s="126"/>
      <c r="Z2349" s="126"/>
      <c r="AA2349" s="126"/>
      <c r="AB2349" s="126"/>
      <c r="AC2349" s="126"/>
      <c r="AD2349" s="126"/>
      <c r="AE2349" s="126"/>
      <c r="AH2349" s="126"/>
      <c r="AI2349" s="126"/>
      <c r="AK2349" s="126"/>
      <c r="AL2349" s="126"/>
      <c r="AM2349" s="126"/>
      <c r="AN2349" s="126"/>
      <c r="BG2349" s="23"/>
      <c r="BN2349" s="126"/>
      <c r="BT2349" s="23"/>
      <c r="CD2349" s="23"/>
      <c r="DF2349" s="16" t="e">
        <f>VLOOKUP(K2349,'[3]RNA Seq summary tables'!$V$3:$V$99,1,FALSE)</f>
        <v>#N/A</v>
      </c>
      <c r="DG2349" s="126"/>
    </row>
    <row r="2350" spans="2:111" ht="16" x14ac:dyDescent="0.2">
      <c r="B2350" s="16">
        <v>2018</v>
      </c>
      <c r="C2350" s="124">
        <v>43261</v>
      </c>
      <c r="D2350" t="s">
        <v>475</v>
      </c>
      <c r="E2350" s="20" t="str">
        <f>CONCATENATE(T2350,"-",U2350,"-",C2350)</f>
        <v>HW1-D7-43261</v>
      </c>
      <c r="F2350" s="16" t="s">
        <v>227</v>
      </c>
      <c r="G2350" s="126" t="s">
        <v>278</v>
      </c>
      <c r="H2350" s="126"/>
      <c r="J2350" s="126">
        <v>1434</v>
      </c>
      <c r="K2350" s="126"/>
      <c r="O2350" s="126"/>
      <c r="T2350" s="126" t="s">
        <v>133</v>
      </c>
      <c r="U2350" s="126" t="s">
        <v>177</v>
      </c>
      <c r="V2350" s="126"/>
      <c r="X2350" s="126"/>
      <c r="Y2350" s="126"/>
      <c r="Z2350" s="126"/>
      <c r="AA2350" s="126"/>
      <c r="AB2350" s="126"/>
      <c r="AC2350" s="126"/>
      <c r="AD2350" s="126"/>
      <c r="AE2350" s="126"/>
      <c r="AH2350" s="126"/>
      <c r="AI2350" s="126"/>
      <c r="AK2350" s="126"/>
      <c r="AL2350" s="126"/>
      <c r="AM2350" s="126"/>
      <c r="AN2350" s="126"/>
      <c r="BG2350" s="23"/>
      <c r="BN2350" s="126"/>
      <c r="BT2350" s="23"/>
      <c r="CD2350" s="23"/>
      <c r="DF2350" s="16" t="e">
        <f>VLOOKUP(K2350,'[3]RNA Seq summary tables'!$V$3:$V$99,1,FALSE)</f>
        <v>#N/A</v>
      </c>
      <c r="DG2350" s="126"/>
    </row>
    <row r="2351" spans="2:111" ht="16" x14ac:dyDescent="0.2">
      <c r="B2351" s="16">
        <v>2018</v>
      </c>
      <c r="C2351" s="124">
        <v>43262</v>
      </c>
      <c r="D2351" t="s">
        <v>483</v>
      </c>
      <c r="E2351" s="20" t="str">
        <f>CONCATENATE(T2351,"-",U2351,"-",C2351)</f>
        <v>HW1-D8-43262</v>
      </c>
      <c r="F2351" s="16" t="s">
        <v>227</v>
      </c>
      <c r="G2351" s="126" t="s">
        <v>278</v>
      </c>
      <c r="H2351" s="126"/>
      <c r="J2351" s="126">
        <v>1434</v>
      </c>
      <c r="K2351" s="126"/>
      <c r="O2351" s="126"/>
      <c r="T2351" s="126" t="s">
        <v>133</v>
      </c>
      <c r="U2351" s="126" t="s">
        <v>178</v>
      </c>
      <c r="V2351" s="126"/>
      <c r="X2351" s="126"/>
      <c r="Y2351" s="126"/>
      <c r="Z2351" s="126"/>
      <c r="AA2351" s="126"/>
      <c r="AB2351" s="126"/>
      <c r="AC2351" s="126"/>
      <c r="AD2351" s="126"/>
      <c r="AE2351" s="126"/>
      <c r="AH2351" s="126"/>
      <c r="AI2351" s="126"/>
      <c r="AK2351" s="126"/>
      <c r="AL2351" s="126"/>
      <c r="AM2351" s="126"/>
      <c r="AN2351" s="126"/>
      <c r="BG2351" s="23"/>
      <c r="BN2351" s="126"/>
      <c r="BT2351" s="23"/>
      <c r="CD2351" s="23"/>
      <c r="DF2351" s="16" t="e">
        <f>VLOOKUP(K2351,'[3]RNA Seq summary tables'!$V$3:$V$99,1,FALSE)</f>
        <v>#N/A</v>
      </c>
      <c r="DG2351" s="126"/>
    </row>
    <row r="2352" spans="2:111" ht="16" x14ac:dyDescent="0.2">
      <c r="B2352" s="16">
        <v>2018</v>
      </c>
      <c r="C2352" s="124">
        <v>43244</v>
      </c>
      <c r="D2352" t="s">
        <v>441</v>
      </c>
      <c r="E2352" s="20" t="str">
        <f>CONCATENATE(T2352,"-",U2352,"-",C2352)</f>
        <v>HW1-B5-43244</v>
      </c>
      <c r="F2352" s="16" t="s">
        <v>227</v>
      </c>
      <c r="G2352" s="126" t="s">
        <v>278</v>
      </c>
      <c r="H2352" s="126"/>
      <c r="J2352" s="126">
        <v>1435</v>
      </c>
      <c r="K2352" s="126"/>
      <c r="O2352" s="126"/>
      <c r="T2352" s="126" t="s">
        <v>133</v>
      </c>
      <c r="U2352" s="126" t="s">
        <v>160</v>
      </c>
      <c r="V2352" s="126"/>
      <c r="X2352" s="126"/>
      <c r="Y2352" s="126"/>
      <c r="Z2352" s="126"/>
      <c r="AA2352" s="126"/>
      <c r="AB2352" s="126"/>
      <c r="AC2352" s="126"/>
      <c r="AD2352" s="126"/>
      <c r="AE2352" s="126"/>
      <c r="AH2352" s="126"/>
      <c r="AI2352" s="126"/>
      <c r="AK2352" s="126"/>
      <c r="AL2352" s="126"/>
      <c r="AM2352" s="126"/>
      <c r="AN2352" s="126"/>
      <c r="BG2352" s="23"/>
      <c r="BN2352" s="126"/>
      <c r="BT2352" s="23"/>
      <c r="CD2352" s="23"/>
      <c r="DF2352" s="16" t="e">
        <f>VLOOKUP(K2352,'[3]RNA Seq summary tables'!$V$3:$V$99,1,FALSE)</f>
        <v>#N/A</v>
      </c>
      <c r="DG2352" s="126"/>
    </row>
    <row r="2353" spans="2:287" ht="16" x14ac:dyDescent="0.2">
      <c r="B2353" s="16">
        <v>2018</v>
      </c>
      <c r="C2353" s="124">
        <v>43261</v>
      </c>
      <c r="D2353" t="s">
        <v>476</v>
      </c>
      <c r="E2353" s="20" t="str">
        <f>CONCATENATE(T2353,"-",U2353,"-",C2353)</f>
        <v>HW1-E6-43261</v>
      </c>
      <c r="F2353" s="16" t="s">
        <v>227</v>
      </c>
      <c r="G2353" s="126" t="s">
        <v>278</v>
      </c>
      <c r="H2353" s="126"/>
      <c r="J2353" s="126">
        <v>1435</v>
      </c>
      <c r="K2353" s="126"/>
      <c r="O2353" s="126"/>
      <c r="T2353" s="126" t="s">
        <v>133</v>
      </c>
      <c r="U2353" s="126" t="s">
        <v>232</v>
      </c>
      <c r="V2353" s="126"/>
      <c r="X2353" s="126"/>
      <c r="Y2353" s="126"/>
      <c r="Z2353" s="126"/>
      <c r="AA2353" s="126"/>
      <c r="AB2353" s="126"/>
      <c r="AC2353" s="126"/>
      <c r="AD2353" s="126"/>
      <c r="AE2353" s="126"/>
      <c r="AH2353" s="126"/>
      <c r="AI2353" s="126"/>
      <c r="AK2353" s="126"/>
      <c r="AL2353" s="126"/>
      <c r="AM2353" s="126"/>
      <c r="AN2353" s="126"/>
      <c r="BG2353" s="23"/>
      <c r="BN2353" s="126"/>
      <c r="BT2353" s="23"/>
      <c r="CD2353" s="23"/>
      <c r="DF2353" s="16" t="e">
        <f>VLOOKUP(K2353,'[3]RNA Seq summary tables'!$V$3:$V$99,1,FALSE)</f>
        <v>#N/A</v>
      </c>
      <c r="DG2353" s="126"/>
    </row>
    <row r="2354" spans="2:287" ht="16" x14ac:dyDescent="0.2">
      <c r="B2354" s="16">
        <v>2018</v>
      </c>
      <c r="C2354" s="124">
        <v>43262</v>
      </c>
      <c r="D2354" t="s">
        <v>484</v>
      </c>
      <c r="E2354" s="20" t="str">
        <f>CONCATENATE(T2354,"-",U2354,"-",C2354)</f>
        <v>HW1-E7-43262</v>
      </c>
      <c r="F2354" s="16" t="s">
        <v>227</v>
      </c>
      <c r="G2354" s="126" t="s">
        <v>278</v>
      </c>
      <c r="H2354" s="126"/>
      <c r="J2354" s="126">
        <v>1435</v>
      </c>
      <c r="K2354" s="126"/>
      <c r="O2354" s="126"/>
      <c r="T2354" s="126" t="s">
        <v>133</v>
      </c>
      <c r="U2354" s="126" t="s">
        <v>135</v>
      </c>
      <c r="V2354" s="126"/>
      <c r="X2354" s="126"/>
      <c r="Y2354" s="126"/>
      <c r="Z2354" s="126"/>
      <c r="AA2354" s="126"/>
      <c r="AB2354" s="126"/>
      <c r="AC2354" s="126"/>
      <c r="AD2354" s="126"/>
      <c r="AE2354" s="126"/>
      <c r="AH2354" s="126"/>
      <c r="AI2354" s="126"/>
      <c r="AK2354" s="126"/>
      <c r="AL2354" s="126"/>
      <c r="AM2354" s="126"/>
      <c r="AN2354" s="126"/>
      <c r="BG2354" s="23"/>
      <c r="BN2354" s="126"/>
      <c r="BT2354" s="23"/>
      <c r="CD2354" s="23"/>
      <c r="DF2354" s="16" t="e">
        <f>VLOOKUP(K2354,'[3]RNA Seq summary tables'!$V$3:$V$99,1,FALSE)</f>
        <v>#N/A</v>
      </c>
      <c r="DG2354" s="126"/>
    </row>
    <row r="2355" spans="2:287" ht="16" x14ac:dyDescent="0.2">
      <c r="B2355" s="16">
        <v>2018</v>
      </c>
      <c r="C2355" s="124">
        <v>43278</v>
      </c>
      <c r="D2355" t="s">
        <v>557</v>
      </c>
      <c r="E2355" s="20" t="str">
        <f>CONCATENATE(T2355,"-",U2355,"-",C2355)</f>
        <v>HW1-G4-43278</v>
      </c>
      <c r="F2355" s="16" t="s">
        <v>227</v>
      </c>
      <c r="G2355" s="126" t="s">
        <v>278</v>
      </c>
      <c r="H2355" s="126"/>
      <c r="J2355" s="126">
        <v>1435</v>
      </c>
      <c r="K2355" s="126"/>
      <c r="O2355" s="126"/>
      <c r="T2355" s="126" t="s">
        <v>133</v>
      </c>
      <c r="U2355" s="126" t="s">
        <v>173</v>
      </c>
      <c r="V2355" s="126"/>
      <c r="X2355" s="126"/>
      <c r="Y2355" s="126"/>
      <c r="Z2355" s="126"/>
      <c r="AA2355" s="126"/>
      <c r="AB2355" s="126"/>
      <c r="AC2355" s="126"/>
      <c r="AD2355" s="126"/>
      <c r="AE2355" s="126"/>
      <c r="AH2355" s="126"/>
      <c r="AI2355" s="126"/>
      <c r="AK2355" s="126"/>
      <c r="AL2355" s="126"/>
      <c r="AM2355" s="126"/>
      <c r="AN2355" s="126"/>
      <c r="BG2355" s="23"/>
      <c r="BN2355" s="126"/>
      <c r="BT2355" s="23"/>
      <c r="CD2355" s="23"/>
      <c r="DF2355" s="16" t="e">
        <f>VLOOKUP(K2355,'[3]RNA Seq summary tables'!$V$3:$V$99,1,FALSE)</f>
        <v>#N/A</v>
      </c>
      <c r="DG2355" s="126"/>
    </row>
    <row r="2356" spans="2:287" ht="16" x14ac:dyDescent="0.2">
      <c r="B2356" s="16">
        <v>2018</v>
      </c>
      <c r="C2356" s="124">
        <v>43279</v>
      </c>
      <c r="D2356" t="s">
        <v>577</v>
      </c>
      <c r="E2356" s="20" t="str">
        <f>CONCATENATE(T2356,"-",U2356,"-",C2356)</f>
        <v>HW1-F6-43279</v>
      </c>
      <c r="F2356" s="16" t="s">
        <v>227</v>
      </c>
      <c r="G2356" s="126" t="s">
        <v>278</v>
      </c>
      <c r="H2356" s="126"/>
      <c r="J2356" s="126">
        <v>1435</v>
      </c>
      <c r="K2356" s="126"/>
      <c r="O2356" s="126"/>
      <c r="T2356" s="126" t="s">
        <v>133</v>
      </c>
      <c r="U2356" s="126" t="s">
        <v>170</v>
      </c>
      <c r="V2356" s="126"/>
      <c r="X2356" s="126"/>
      <c r="Y2356" s="126"/>
      <c r="Z2356" s="126"/>
      <c r="AA2356" s="126"/>
      <c r="AB2356" s="126"/>
      <c r="AC2356" s="126"/>
      <c r="AD2356" s="126"/>
      <c r="AE2356" s="126"/>
      <c r="AH2356" s="126"/>
      <c r="AI2356" s="126"/>
      <c r="AK2356" s="126"/>
      <c r="AL2356" s="126"/>
      <c r="AM2356" s="126"/>
      <c r="AN2356" s="126"/>
      <c r="BG2356" s="23"/>
      <c r="BN2356" s="126"/>
      <c r="BT2356" s="23"/>
      <c r="CD2356" s="23"/>
      <c r="DF2356" s="16" t="e">
        <f>VLOOKUP(K2356,'[3]RNA Seq summary tables'!$V$3:$V$99,1,FALSE)</f>
        <v>#N/A</v>
      </c>
      <c r="DG2356" s="126"/>
    </row>
    <row r="2357" spans="2:287" ht="16" x14ac:dyDescent="0.2">
      <c r="B2357" s="16">
        <v>2018</v>
      </c>
      <c r="C2357" s="147">
        <v>43306</v>
      </c>
      <c r="D2357" t="s">
        <v>1196</v>
      </c>
      <c r="E2357" s="20" t="str">
        <f>CONCATENATE(T2357,"-",U2357,"-",C2357)</f>
        <v>HW1-G8-43306</v>
      </c>
      <c r="F2357" s="16" t="s">
        <v>227</v>
      </c>
      <c r="G2357" s="145" t="s">
        <v>278</v>
      </c>
      <c r="H2357" s="145"/>
      <c r="I2357" s="145"/>
      <c r="J2357" s="145">
        <v>1435</v>
      </c>
      <c r="K2357" s="145"/>
      <c r="M2357" s="16"/>
      <c r="N2357" s="16"/>
      <c r="O2357" s="145"/>
      <c r="P2357" s="145"/>
      <c r="Q2357" s="145"/>
      <c r="R2357" s="145"/>
      <c r="S2357" s="145"/>
      <c r="T2357" s="145" t="s">
        <v>133</v>
      </c>
      <c r="U2357" s="145" t="s">
        <v>216</v>
      </c>
      <c r="V2357" s="145"/>
      <c r="W2357" s="145"/>
      <c r="X2357" s="145"/>
      <c r="Y2357" s="145"/>
      <c r="Z2357" s="145"/>
      <c r="AA2357" s="145"/>
      <c r="AB2357" s="145"/>
      <c r="AC2357" s="145"/>
      <c r="AD2357" s="145"/>
      <c r="AE2357" s="145"/>
      <c r="AF2357" s="145"/>
      <c r="AG2357" s="145"/>
      <c r="AH2357" s="145"/>
      <c r="AI2357" s="145"/>
      <c r="AJ2357" s="145"/>
      <c r="AK2357" s="145"/>
      <c r="AL2357" s="145"/>
      <c r="AM2357" s="145"/>
      <c r="AN2357" s="145"/>
      <c r="AT2357" s="16" t="e">
        <f>VLOOKUP(E2357,[2]Current!$A$1:$W$435,7,FALSE)</f>
        <v>#N/A</v>
      </c>
      <c r="DG2357" s="145"/>
      <c r="DT2357"/>
      <c r="DU2357" s="145"/>
      <c r="DX2357" s="145"/>
      <c r="DY2357" s="145"/>
      <c r="DZ2357" s="16"/>
      <c r="EA2357" s="16"/>
      <c r="EB2357" s="16"/>
      <c r="EC2357" s="16"/>
      <c r="ED2357" s="16"/>
      <c r="EE2357" s="16"/>
      <c r="EF2357" s="16"/>
      <c r="JO2357" s="18"/>
      <c r="JP2357" s="18"/>
      <c r="JQ2357" s="18"/>
      <c r="JR2357" s="18"/>
      <c r="JS2357" s="18"/>
      <c r="JT2357" s="18"/>
      <c r="JU2357" s="18"/>
      <c r="JV2357" s="18"/>
      <c r="JW2357" s="18"/>
      <c r="JX2357" s="18"/>
      <c r="JY2357" s="18"/>
      <c r="JZ2357" s="18"/>
      <c r="KA2357" s="18"/>
    </row>
    <row r="2358" spans="2:287" ht="16" x14ac:dyDescent="0.2">
      <c r="B2358" s="16">
        <v>2018</v>
      </c>
      <c r="C2358" s="124">
        <v>43243</v>
      </c>
      <c r="D2358" t="s">
        <v>423</v>
      </c>
      <c r="E2358" s="20" t="str">
        <f>CONCATENATE(T2358,"-",U2358,"-",C2358)</f>
        <v>HW1-B6-43243</v>
      </c>
      <c r="F2358" s="16" t="s">
        <v>227</v>
      </c>
      <c r="G2358" s="126" t="s">
        <v>278</v>
      </c>
      <c r="H2358" s="126"/>
      <c r="J2358" s="126">
        <v>1436</v>
      </c>
      <c r="K2358" s="126"/>
      <c r="O2358" s="126"/>
      <c r="T2358" s="126" t="s">
        <v>133</v>
      </c>
      <c r="U2358" s="126" t="s">
        <v>132</v>
      </c>
      <c r="V2358" s="126"/>
      <c r="X2358" s="126"/>
      <c r="Y2358" s="126"/>
      <c r="Z2358" s="126"/>
      <c r="AA2358" s="126"/>
      <c r="AB2358" s="126"/>
      <c r="AC2358" s="126"/>
      <c r="AD2358" s="126"/>
      <c r="AE2358" s="126"/>
      <c r="AH2358" s="126"/>
      <c r="AI2358" s="126"/>
      <c r="AK2358" s="126"/>
      <c r="AL2358" s="126"/>
      <c r="AM2358" s="126"/>
      <c r="AN2358" s="126"/>
      <c r="BG2358" s="23"/>
      <c r="BN2358" s="126"/>
      <c r="BT2358" s="23"/>
      <c r="CD2358" s="23"/>
      <c r="DF2358" s="16" t="e">
        <f>VLOOKUP(K2358,'[3]RNA Seq summary tables'!$V$3:$V$99,1,FALSE)</f>
        <v>#N/A</v>
      </c>
      <c r="DG2358" s="126"/>
    </row>
    <row r="2359" spans="2:287" ht="16" x14ac:dyDescent="0.2">
      <c r="B2359" s="16">
        <v>2018</v>
      </c>
      <c r="C2359" s="124">
        <v>43261</v>
      </c>
      <c r="D2359" t="s">
        <v>473</v>
      </c>
      <c r="E2359" s="20" t="str">
        <f>CONCATENATE(T2359,"-",U2359,"-",C2359)</f>
        <v>HW1-B2-43261</v>
      </c>
      <c r="F2359" s="16" t="s">
        <v>227</v>
      </c>
      <c r="G2359" s="126" t="s">
        <v>278</v>
      </c>
      <c r="H2359" s="126"/>
      <c r="J2359" s="126">
        <v>1436</v>
      </c>
      <c r="K2359" s="126"/>
      <c r="O2359" s="126"/>
      <c r="T2359" s="126" t="s">
        <v>133</v>
      </c>
      <c r="U2359" s="126" t="s">
        <v>130</v>
      </c>
      <c r="V2359" s="126"/>
      <c r="X2359" s="126"/>
      <c r="Y2359" s="126"/>
      <c r="Z2359" s="126"/>
      <c r="AA2359" s="126"/>
      <c r="AB2359" s="126"/>
      <c r="AC2359" s="126"/>
      <c r="AD2359" s="126"/>
      <c r="AE2359" s="126"/>
      <c r="AH2359" s="126"/>
      <c r="AI2359" s="126"/>
      <c r="AK2359" s="126"/>
      <c r="AL2359" s="126"/>
      <c r="AM2359" s="126"/>
      <c r="AN2359" s="126"/>
      <c r="BG2359" s="23"/>
      <c r="BN2359" s="126"/>
      <c r="BT2359" s="23"/>
      <c r="CD2359" s="23"/>
      <c r="DF2359" s="16" t="e">
        <f>VLOOKUP(K2359,'[3]RNA Seq summary tables'!$V$3:$V$99,1,FALSE)</f>
        <v>#N/A</v>
      </c>
      <c r="DG2359" s="126"/>
    </row>
    <row r="2360" spans="2:287" ht="16" x14ac:dyDescent="0.2">
      <c r="B2360" s="16">
        <v>2018</v>
      </c>
      <c r="C2360" s="124">
        <v>43278</v>
      </c>
      <c r="D2360" t="s">
        <v>556</v>
      </c>
      <c r="E2360" s="20" t="str">
        <f>CONCATENATE(T2360,"-",U2360,"-",C2360)</f>
        <v>HW1-G1-43278</v>
      </c>
      <c r="F2360" s="16" t="s">
        <v>227</v>
      </c>
      <c r="G2360" s="126" t="s">
        <v>278</v>
      </c>
      <c r="H2360" s="126"/>
      <c r="J2360" s="126">
        <v>1436</v>
      </c>
      <c r="K2360" s="126"/>
      <c r="O2360" s="126"/>
      <c r="T2360" s="126" t="s">
        <v>133</v>
      </c>
      <c r="U2360" s="126" t="s">
        <v>155</v>
      </c>
      <c r="V2360" s="126"/>
      <c r="X2360" s="126"/>
      <c r="Y2360" s="126"/>
      <c r="Z2360" s="126"/>
      <c r="AA2360" s="126"/>
      <c r="AB2360" s="126"/>
      <c r="AC2360" s="126"/>
      <c r="AD2360" s="126"/>
      <c r="AE2360" s="126"/>
      <c r="AH2360" s="126"/>
      <c r="AI2360" s="126"/>
      <c r="AK2360" s="126"/>
      <c r="AL2360" s="126"/>
      <c r="AM2360" s="126"/>
      <c r="AN2360" s="126"/>
      <c r="BG2360" s="23"/>
      <c r="BN2360" s="126"/>
      <c r="BT2360" s="23"/>
      <c r="CD2360" s="23"/>
      <c r="DF2360" s="16" t="e">
        <f>VLOOKUP(K2360,'[3]RNA Seq summary tables'!$V$3:$V$99,1,FALSE)</f>
        <v>#N/A</v>
      </c>
      <c r="DG2360" s="126"/>
    </row>
    <row r="2361" spans="2:287" ht="16" x14ac:dyDescent="0.2">
      <c r="B2361" s="16">
        <v>2018</v>
      </c>
      <c r="C2361" s="124">
        <v>43279</v>
      </c>
      <c r="D2361" t="s">
        <v>578</v>
      </c>
      <c r="E2361" s="20" t="str">
        <f>CONCATENATE(T2361,"-",U2361,"-",C2361)</f>
        <v>HW1-G2-43279</v>
      </c>
      <c r="F2361" s="16" t="s">
        <v>227</v>
      </c>
      <c r="G2361" s="126" t="s">
        <v>278</v>
      </c>
      <c r="H2361" s="126"/>
      <c r="J2361" s="126">
        <v>1436</v>
      </c>
      <c r="K2361" s="126"/>
      <c r="O2361" s="126"/>
      <c r="T2361" s="126" t="s">
        <v>133</v>
      </c>
      <c r="U2361" s="126" t="s">
        <v>128</v>
      </c>
      <c r="V2361" s="126"/>
      <c r="X2361" s="126"/>
      <c r="Y2361" s="126"/>
      <c r="Z2361" s="126"/>
      <c r="AA2361" s="126"/>
      <c r="AB2361" s="126"/>
      <c r="AC2361" s="126"/>
      <c r="AD2361" s="126"/>
      <c r="AE2361" s="126"/>
      <c r="AH2361" s="126"/>
      <c r="AI2361" s="126"/>
      <c r="AK2361" s="126"/>
      <c r="AL2361" s="126"/>
      <c r="AM2361" s="126"/>
      <c r="AN2361" s="126"/>
      <c r="BG2361" s="23"/>
      <c r="BN2361" s="126"/>
      <c r="BT2361" s="23"/>
      <c r="CD2361" s="23"/>
      <c r="DF2361" s="16" t="e">
        <f>VLOOKUP(K2361,'[3]RNA Seq summary tables'!$V$3:$V$99,1,FALSE)</f>
        <v>#N/A</v>
      </c>
      <c r="DG2361" s="126"/>
    </row>
    <row r="2362" spans="2:287" ht="16" x14ac:dyDescent="0.2">
      <c r="B2362" s="16">
        <v>2018</v>
      </c>
      <c r="C2362" s="124">
        <v>43243</v>
      </c>
      <c r="D2362" t="s">
        <v>426</v>
      </c>
      <c r="E2362" s="20" t="str">
        <f>CONCATENATE(T2362,"-",U2362,"-",C2362)</f>
        <v>HW2-A3-43243</v>
      </c>
      <c r="F2362" s="16" t="s">
        <v>227</v>
      </c>
      <c r="G2362" s="126" t="s">
        <v>278</v>
      </c>
      <c r="H2362" s="126"/>
      <c r="J2362" s="126">
        <v>1437</v>
      </c>
      <c r="K2362" s="126"/>
      <c r="O2362" s="126"/>
      <c r="T2362" s="126" t="s">
        <v>129</v>
      </c>
      <c r="U2362" s="126" t="s">
        <v>201</v>
      </c>
      <c r="V2362" s="126"/>
      <c r="X2362" s="126"/>
      <c r="Y2362" s="126"/>
      <c r="Z2362" s="126"/>
      <c r="AA2362" s="126"/>
      <c r="AB2362" s="126"/>
      <c r="AC2362" s="126"/>
      <c r="AD2362" s="126"/>
      <c r="AE2362" s="126"/>
      <c r="AH2362" s="126"/>
      <c r="AI2362" s="126"/>
      <c r="AK2362" s="126"/>
      <c r="AL2362" s="126"/>
      <c r="AM2362" s="126"/>
      <c r="AN2362" s="126"/>
      <c r="BG2362" s="23"/>
      <c r="BN2362" s="126"/>
      <c r="BT2362" s="23"/>
      <c r="CD2362" s="23"/>
      <c r="DF2362" s="16" t="e">
        <f>VLOOKUP(K2362,'[3]RNA Seq summary tables'!$V$3:$V$99,1,FALSE)</f>
        <v>#N/A</v>
      </c>
      <c r="DG2362" s="126"/>
    </row>
    <row r="2363" spans="2:287" ht="16" x14ac:dyDescent="0.2">
      <c r="B2363" s="16">
        <v>2018</v>
      </c>
      <c r="C2363" s="124">
        <v>43244</v>
      </c>
      <c r="D2363" t="s">
        <v>432</v>
      </c>
      <c r="E2363" s="20" t="str">
        <f>CONCATENATE(T2363,"-",U2363,"-",C2363)</f>
        <v>HW2-B1-43244</v>
      </c>
      <c r="F2363" s="16" t="s">
        <v>227</v>
      </c>
      <c r="G2363" s="126" t="s">
        <v>278</v>
      </c>
      <c r="H2363" s="126"/>
      <c r="J2363" s="126">
        <v>1437</v>
      </c>
      <c r="K2363" s="126"/>
      <c r="O2363" s="126"/>
      <c r="T2363" s="126" t="s">
        <v>129</v>
      </c>
      <c r="U2363" s="126" t="s">
        <v>113</v>
      </c>
      <c r="V2363" s="126"/>
      <c r="X2363" s="126"/>
      <c r="Y2363" s="126"/>
      <c r="Z2363" s="126"/>
      <c r="AA2363" s="126"/>
      <c r="AB2363" s="126"/>
      <c r="AC2363" s="126"/>
      <c r="AD2363" s="126"/>
      <c r="AE2363" s="126"/>
      <c r="AH2363" s="126"/>
      <c r="AI2363" s="126"/>
      <c r="AK2363" s="126"/>
      <c r="AL2363" s="126"/>
      <c r="AM2363" s="126"/>
      <c r="AN2363" s="126"/>
      <c r="BG2363" s="23"/>
      <c r="BN2363" s="126"/>
      <c r="BT2363" s="23"/>
      <c r="CD2363" s="23"/>
      <c r="DF2363" s="16" t="e">
        <f>VLOOKUP(K2363,'[3]RNA Seq summary tables'!$V$3:$V$99,1,FALSE)</f>
        <v>#N/A</v>
      </c>
      <c r="DG2363" s="126"/>
    </row>
    <row r="2364" spans="2:287" ht="16" x14ac:dyDescent="0.2">
      <c r="B2364" s="16">
        <v>2018</v>
      </c>
      <c r="C2364" s="124">
        <v>43243</v>
      </c>
      <c r="D2364" t="s">
        <v>427</v>
      </c>
      <c r="E2364" s="20" t="str">
        <f>CONCATENATE(T2364,"-",U2364,"-",C2364)</f>
        <v>HW2-C2-43243</v>
      </c>
      <c r="F2364" s="16" t="s">
        <v>227</v>
      </c>
      <c r="G2364" s="126" t="s">
        <v>278</v>
      </c>
      <c r="H2364" s="126"/>
      <c r="J2364" s="126">
        <v>1438</v>
      </c>
      <c r="K2364" s="126"/>
      <c r="O2364" s="126"/>
      <c r="T2364" s="126" t="s">
        <v>129</v>
      </c>
      <c r="U2364" s="126" t="s">
        <v>162</v>
      </c>
      <c r="V2364" s="126"/>
      <c r="X2364" s="126"/>
      <c r="Y2364" s="126"/>
      <c r="Z2364" s="126"/>
      <c r="AA2364" s="126"/>
      <c r="AB2364" s="126"/>
      <c r="AC2364" s="126"/>
      <c r="AD2364" s="126"/>
      <c r="AE2364" s="126"/>
      <c r="AH2364" s="126"/>
      <c r="AI2364" s="126"/>
      <c r="AK2364" s="126"/>
      <c r="AL2364" s="126"/>
      <c r="AM2364" s="126"/>
      <c r="AN2364" s="126"/>
      <c r="BG2364" s="23"/>
      <c r="BN2364" s="126"/>
      <c r="BT2364" s="23"/>
      <c r="CD2364" s="23"/>
      <c r="DF2364" s="16" t="e">
        <f>VLOOKUP(K2364,'[3]RNA Seq summary tables'!$V$3:$V$99,1,FALSE)</f>
        <v>#N/A</v>
      </c>
      <c r="DG2364" s="126"/>
    </row>
    <row r="2365" spans="2:287" ht="16" x14ac:dyDescent="0.2">
      <c r="B2365" s="16">
        <v>2018</v>
      </c>
      <c r="C2365" s="124">
        <v>43244</v>
      </c>
      <c r="D2365" t="s">
        <v>433</v>
      </c>
      <c r="E2365" s="20" t="str">
        <f>CONCATENATE(T2365,"-",U2365,"-",C2365)</f>
        <v>HW2-B3-43244</v>
      </c>
      <c r="F2365" s="16" t="s">
        <v>227</v>
      </c>
      <c r="G2365" s="126" t="s">
        <v>278</v>
      </c>
      <c r="H2365" s="126"/>
      <c r="J2365" s="126">
        <v>1438</v>
      </c>
      <c r="K2365" s="126"/>
      <c r="O2365" s="126"/>
      <c r="T2365" s="126" t="s">
        <v>129</v>
      </c>
      <c r="U2365" s="126" t="s">
        <v>131</v>
      </c>
      <c r="V2365" s="126"/>
      <c r="X2365" s="126"/>
      <c r="Y2365" s="126"/>
      <c r="Z2365" s="126"/>
      <c r="AA2365" s="126"/>
      <c r="AB2365" s="126"/>
      <c r="AC2365" s="126"/>
      <c r="AD2365" s="126"/>
      <c r="AE2365" s="126"/>
      <c r="AH2365" s="126"/>
      <c r="AI2365" s="126"/>
      <c r="AK2365" s="126"/>
      <c r="AL2365" s="126"/>
      <c r="AM2365" s="126"/>
      <c r="AN2365" s="126"/>
      <c r="BG2365" s="23"/>
      <c r="BN2365" s="126"/>
      <c r="BT2365" s="23"/>
      <c r="CD2365" s="23"/>
      <c r="DF2365" s="16" t="e">
        <f>VLOOKUP(K2365,'[3]RNA Seq summary tables'!$V$3:$V$99,1,FALSE)</f>
        <v>#N/A</v>
      </c>
      <c r="DG2365" s="126"/>
    </row>
    <row r="2366" spans="2:287" ht="16" x14ac:dyDescent="0.2">
      <c r="B2366" s="16">
        <v>2018</v>
      </c>
      <c r="C2366" s="124">
        <v>43278</v>
      </c>
      <c r="D2366" t="s">
        <v>561</v>
      </c>
      <c r="E2366" s="20" t="str">
        <f>CONCATENATE(T2366,"-",U2366,"-",C2366)</f>
        <v>HW2-H1-43278</v>
      </c>
      <c r="F2366" s="16" t="s">
        <v>227</v>
      </c>
      <c r="G2366" s="126" t="s">
        <v>278</v>
      </c>
      <c r="H2366" s="126"/>
      <c r="J2366" s="126">
        <v>1438</v>
      </c>
      <c r="K2366" s="126"/>
      <c r="O2366" s="126"/>
      <c r="T2366" s="126" t="s">
        <v>129</v>
      </c>
      <c r="U2366" s="126" t="s">
        <v>191</v>
      </c>
      <c r="V2366" s="126"/>
      <c r="X2366" s="126"/>
      <c r="Y2366" s="126"/>
      <c r="Z2366" s="126"/>
      <c r="AA2366" s="126"/>
      <c r="AB2366" s="126"/>
      <c r="AC2366" s="126"/>
      <c r="AD2366" s="126"/>
      <c r="AE2366" s="126"/>
      <c r="AH2366" s="126"/>
      <c r="AI2366" s="126"/>
      <c r="AK2366" s="126"/>
      <c r="AL2366" s="126"/>
      <c r="AM2366" s="126"/>
      <c r="AN2366" s="126"/>
      <c r="BG2366" s="23"/>
      <c r="BN2366" s="126"/>
      <c r="BT2366" s="23"/>
      <c r="CD2366" s="23"/>
      <c r="DF2366" s="16" t="e">
        <f>VLOOKUP(K2366,'[3]RNA Seq summary tables'!$V$3:$V$99,1,FALSE)</f>
        <v>#N/A</v>
      </c>
      <c r="DG2366" s="126"/>
    </row>
    <row r="2367" spans="2:287" ht="16" x14ac:dyDescent="0.2">
      <c r="B2367" s="16">
        <v>2018</v>
      </c>
      <c r="C2367" s="124">
        <v>43279</v>
      </c>
      <c r="D2367" t="s">
        <v>567</v>
      </c>
      <c r="E2367" s="20" t="str">
        <f>CONCATENATE(T2367,"-",U2367,"-",C2367)</f>
        <v>HW2-C1-43279</v>
      </c>
      <c r="F2367" s="16" t="s">
        <v>227</v>
      </c>
      <c r="G2367" s="126" t="s">
        <v>278</v>
      </c>
      <c r="H2367" s="126"/>
      <c r="J2367" s="126">
        <v>1438</v>
      </c>
      <c r="K2367" s="126"/>
      <c r="O2367" s="126"/>
      <c r="T2367" s="126" t="s">
        <v>129</v>
      </c>
      <c r="U2367" s="126" t="s">
        <v>150</v>
      </c>
      <c r="V2367" s="126"/>
      <c r="X2367" s="126"/>
      <c r="Y2367" s="126"/>
      <c r="Z2367" s="126"/>
      <c r="AA2367" s="126"/>
      <c r="AB2367" s="126"/>
      <c r="AC2367" s="126"/>
      <c r="AD2367" s="126"/>
      <c r="AE2367" s="126"/>
      <c r="AH2367" s="126"/>
      <c r="AI2367" s="126"/>
      <c r="AK2367" s="126"/>
      <c r="AL2367" s="126"/>
      <c r="AM2367" s="126"/>
      <c r="AN2367" s="126"/>
      <c r="BG2367" s="23"/>
      <c r="BN2367" s="126"/>
      <c r="BT2367" s="23"/>
      <c r="CD2367" s="23"/>
      <c r="DF2367" s="16" t="e">
        <f>VLOOKUP(K2367,'[3]RNA Seq summary tables'!$V$3:$V$99,1,FALSE)</f>
        <v>#N/A</v>
      </c>
      <c r="DG2367" s="126"/>
    </row>
    <row r="2368" spans="2:287" ht="16" x14ac:dyDescent="0.2">
      <c r="B2368" s="16">
        <v>2018</v>
      </c>
      <c r="C2368" s="147">
        <v>43306</v>
      </c>
      <c r="D2368" t="s">
        <v>1182</v>
      </c>
      <c r="E2368" s="20" t="str">
        <f>CONCATENATE(T2368,"-",U2368,"-",C2368)</f>
        <v>HW2-G1-43306</v>
      </c>
      <c r="F2368" s="16" t="s">
        <v>227</v>
      </c>
      <c r="G2368" s="145" t="s">
        <v>278</v>
      </c>
      <c r="H2368" s="145"/>
      <c r="I2368" s="145"/>
      <c r="J2368" s="145">
        <v>1438</v>
      </c>
      <c r="K2368" s="145"/>
      <c r="M2368" s="16"/>
      <c r="N2368" s="16"/>
      <c r="O2368" s="145"/>
      <c r="P2368" s="145"/>
      <c r="Q2368" s="145"/>
      <c r="R2368" s="145"/>
      <c r="S2368" s="145"/>
      <c r="T2368" s="145" t="s">
        <v>129</v>
      </c>
      <c r="U2368" s="145" t="s">
        <v>155</v>
      </c>
      <c r="V2368" s="145"/>
      <c r="W2368" s="145"/>
      <c r="X2368" s="145"/>
      <c r="Y2368" s="145"/>
      <c r="Z2368" s="145"/>
      <c r="AA2368" s="145"/>
      <c r="AB2368" s="145"/>
      <c r="AC2368" s="145"/>
      <c r="AD2368" s="145"/>
      <c r="AE2368" s="145"/>
      <c r="AF2368" s="145"/>
      <c r="AG2368" s="145"/>
      <c r="AH2368" s="145"/>
      <c r="AI2368" s="145"/>
      <c r="AJ2368" s="145"/>
      <c r="AK2368" s="145"/>
      <c r="AL2368" s="145"/>
      <c r="AM2368" s="145"/>
      <c r="AN2368" s="145"/>
      <c r="AT2368" s="16" t="e">
        <f>VLOOKUP(E2368,[2]Current!$A$1:$W$435,7,FALSE)</f>
        <v>#N/A</v>
      </c>
      <c r="DG2368" s="145"/>
      <c r="DT2368"/>
      <c r="DU2368" s="145"/>
      <c r="DX2368" s="145"/>
      <c r="DY2368" s="145"/>
      <c r="DZ2368" s="16"/>
      <c r="EA2368" s="16"/>
      <c r="EB2368" s="16"/>
      <c r="EC2368" s="16"/>
      <c r="ED2368" s="16"/>
      <c r="EE2368" s="16"/>
      <c r="EF2368" s="16"/>
      <c r="JO2368" s="18"/>
      <c r="JP2368" s="18"/>
      <c r="JQ2368" s="18"/>
      <c r="JR2368" s="18"/>
      <c r="JS2368" s="18"/>
      <c r="JT2368" s="18"/>
      <c r="JU2368" s="18"/>
      <c r="JV2368" s="18"/>
      <c r="JW2368" s="18"/>
      <c r="JX2368" s="18"/>
      <c r="JY2368" s="18"/>
      <c r="JZ2368" s="18"/>
      <c r="KA2368" s="18"/>
    </row>
    <row r="2369" spans="2:111" ht="16" x14ac:dyDescent="0.2">
      <c r="B2369" s="16">
        <v>2018</v>
      </c>
      <c r="C2369" s="124">
        <v>43243</v>
      </c>
      <c r="D2369" t="s">
        <v>430</v>
      </c>
      <c r="E2369" s="20" t="str">
        <f>CONCATENATE(T2369,"-",U2369,"-",C2369)</f>
        <v>HW2-E4-43243</v>
      </c>
      <c r="F2369" s="16" t="s">
        <v>227</v>
      </c>
      <c r="G2369" s="126" t="s">
        <v>278</v>
      </c>
      <c r="H2369" s="126"/>
      <c r="J2369" s="126">
        <v>1439</v>
      </c>
      <c r="K2369" s="126"/>
      <c r="O2369" s="126"/>
      <c r="T2369" s="126" t="s">
        <v>129</v>
      </c>
      <c r="U2369" s="126" t="s">
        <v>206</v>
      </c>
      <c r="V2369" s="126"/>
      <c r="X2369" s="126"/>
      <c r="Y2369" s="126"/>
      <c r="Z2369" s="126"/>
      <c r="AA2369" s="126"/>
      <c r="AB2369" s="126"/>
      <c r="AC2369" s="126"/>
      <c r="AD2369" s="126"/>
      <c r="AE2369" s="126"/>
      <c r="AH2369" s="126"/>
      <c r="AI2369" s="126"/>
      <c r="AK2369" s="126"/>
      <c r="AL2369" s="126"/>
      <c r="AM2369" s="126"/>
      <c r="AN2369" s="126"/>
      <c r="BG2369" s="23"/>
      <c r="BN2369" s="126"/>
      <c r="BT2369" s="23"/>
      <c r="CD2369" s="23"/>
      <c r="DF2369" s="16" t="e">
        <f>VLOOKUP(K2369,'[3]RNA Seq summary tables'!$V$3:$V$99,1,FALSE)</f>
        <v>#N/A</v>
      </c>
      <c r="DG2369" s="126"/>
    </row>
    <row r="2370" spans="2:111" ht="16" x14ac:dyDescent="0.2">
      <c r="B2370" s="16">
        <v>2018</v>
      </c>
      <c r="C2370" s="124">
        <v>43244</v>
      </c>
      <c r="D2370" t="s">
        <v>434</v>
      </c>
      <c r="E2370" s="20" t="str">
        <f>CONCATENATE(T2370,"-",U2370,"-",C2370)</f>
        <v>HW2-F3-43244</v>
      </c>
      <c r="F2370" s="16" t="s">
        <v>227</v>
      </c>
      <c r="G2370" s="126" t="s">
        <v>278</v>
      </c>
      <c r="H2370" s="126"/>
      <c r="J2370" s="126">
        <v>1439</v>
      </c>
      <c r="K2370" s="126"/>
      <c r="O2370" s="126"/>
      <c r="T2370" s="126" t="s">
        <v>129</v>
      </c>
      <c r="U2370" s="126" t="s">
        <v>182</v>
      </c>
      <c r="V2370" s="126"/>
      <c r="X2370" s="126"/>
      <c r="Y2370" s="126"/>
      <c r="Z2370" s="126"/>
      <c r="AA2370" s="126"/>
      <c r="AB2370" s="126"/>
      <c r="AC2370" s="126"/>
      <c r="AD2370" s="126"/>
      <c r="AE2370" s="126"/>
      <c r="AH2370" s="126"/>
      <c r="AI2370" s="126"/>
      <c r="AK2370" s="126"/>
      <c r="AL2370" s="126"/>
      <c r="AM2370" s="126"/>
      <c r="AN2370" s="126"/>
      <c r="BG2370" s="23"/>
      <c r="BN2370" s="126"/>
      <c r="BT2370" s="23"/>
      <c r="CD2370" s="23"/>
      <c r="DF2370" s="16" t="e">
        <f>VLOOKUP(K2370,'[3]RNA Seq summary tables'!$V$3:$V$99,1,FALSE)</f>
        <v>#N/A</v>
      </c>
      <c r="DG2370" s="126"/>
    </row>
    <row r="2371" spans="2:111" ht="16" x14ac:dyDescent="0.2">
      <c r="B2371" s="16">
        <v>2018</v>
      </c>
      <c r="C2371" s="124">
        <v>43262</v>
      </c>
      <c r="D2371" t="s">
        <v>489</v>
      </c>
      <c r="E2371" s="20" t="str">
        <f>CONCATENATE(T2371,"-",U2371,"-",C2371)</f>
        <v>HW2-G2-43262</v>
      </c>
      <c r="F2371" s="16" t="s">
        <v>227</v>
      </c>
      <c r="G2371" s="126" t="s">
        <v>278</v>
      </c>
      <c r="H2371" s="126"/>
      <c r="J2371" s="126">
        <v>1439</v>
      </c>
      <c r="K2371" s="126"/>
      <c r="O2371" s="126"/>
      <c r="T2371" s="126" t="s">
        <v>129</v>
      </c>
      <c r="U2371" s="126" t="s">
        <v>128</v>
      </c>
      <c r="V2371" s="126"/>
      <c r="X2371" s="126"/>
      <c r="Y2371" s="126"/>
      <c r="Z2371" s="126"/>
      <c r="AA2371" s="126"/>
      <c r="AB2371" s="126"/>
      <c r="AC2371" s="126"/>
      <c r="AD2371" s="126"/>
      <c r="AE2371" s="126"/>
      <c r="AH2371" s="126"/>
      <c r="AI2371" s="126"/>
      <c r="AK2371" s="126"/>
      <c r="AL2371" s="126"/>
      <c r="AM2371" s="126"/>
      <c r="AN2371" s="126"/>
      <c r="BG2371" s="23"/>
      <c r="BN2371" s="126"/>
      <c r="BT2371" s="23"/>
      <c r="CD2371" s="23"/>
      <c r="DF2371" s="16" t="e">
        <f>VLOOKUP(K2371,'[3]RNA Seq summary tables'!$V$3:$V$99,1,FALSE)</f>
        <v>#N/A</v>
      </c>
      <c r="DG2371" s="126"/>
    </row>
    <row r="2372" spans="2:111" ht="16" x14ac:dyDescent="0.2">
      <c r="B2372" s="16">
        <v>2018</v>
      </c>
      <c r="C2372" s="124">
        <v>43279</v>
      </c>
      <c r="D2372" t="s">
        <v>566</v>
      </c>
      <c r="E2372" s="20" t="str">
        <f>CONCATENATE(T2372,"-",U2372,"-",C2372)</f>
        <v>HW2-B2-43279</v>
      </c>
      <c r="F2372" s="16" t="s">
        <v>227</v>
      </c>
      <c r="G2372" s="126" t="s">
        <v>278</v>
      </c>
      <c r="H2372" s="126"/>
      <c r="J2372" s="126">
        <v>1439</v>
      </c>
      <c r="K2372" s="126"/>
      <c r="O2372" s="126"/>
      <c r="T2372" s="126" t="s">
        <v>129</v>
      </c>
      <c r="U2372" s="126" t="s">
        <v>130</v>
      </c>
      <c r="V2372" s="126"/>
      <c r="X2372" s="126"/>
      <c r="Y2372" s="126"/>
      <c r="Z2372" s="126"/>
      <c r="AA2372" s="126"/>
      <c r="AB2372" s="126"/>
      <c r="AC2372" s="126"/>
      <c r="AD2372" s="126"/>
      <c r="AE2372" s="126"/>
      <c r="AH2372" s="126"/>
      <c r="AI2372" s="126"/>
      <c r="AK2372" s="126"/>
      <c r="AL2372" s="126"/>
      <c r="AM2372" s="126"/>
      <c r="AN2372" s="126"/>
      <c r="BG2372" s="23"/>
      <c r="BN2372" s="126"/>
      <c r="BT2372" s="23"/>
      <c r="CD2372" s="23"/>
      <c r="DF2372" s="16" t="e">
        <f>VLOOKUP(K2372,'[3]RNA Seq summary tables'!$V$3:$V$99,1,FALSE)</f>
        <v>#N/A</v>
      </c>
      <c r="DG2372" s="126"/>
    </row>
    <row r="2373" spans="2:111" ht="16" x14ac:dyDescent="0.2">
      <c r="B2373" s="16">
        <v>2018</v>
      </c>
      <c r="C2373" s="124">
        <v>43243</v>
      </c>
      <c r="D2373" t="s">
        <v>429</v>
      </c>
      <c r="E2373" s="20" t="str">
        <f>CONCATENATE(T2373,"-",U2373,"-",C2373)</f>
        <v>HW2-F8-43243</v>
      </c>
      <c r="F2373" s="16" t="s">
        <v>227</v>
      </c>
      <c r="G2373" s="126" t="s">
        <v>278</v>
      </c>
      <c r="H2373" s="126"/>
      <c r="J2373" s="126">
        <v>1440</v>
      </c>
      <c r="K2373" s="126"/>
      <c r="O2373" s="126"/>
      <c r="T2373" s="126" t="s">
        <v>129</v>
      </c>
      <c r="U2373" s="126" t="s">
        <v>138</v>
      </c>
      <c r="V2373" s="126"/>
      <c r="X2373" s="126"/>
      <c r="Y2373" s="126"/>
      <c r="Z2373" s="126"/>
      <c r="AA2373" s="126"/>
      <c r="AB2373" s="126"/>
      <c r="AC2373" s="126"/>
      <c r="AD2373" s="126"/>
      <c r="AE2373" s="126"/>
      <c r="AH2373" s="126"/>
      <c r="AI2373" s="126"/>
      <c r="AK2373" s="126"/>
      <c r="AL2373" s="126"/>
      <c r="AM2373" s="126"/>
      <c r="AN2373" s="126"/>
      <c r="BG2373" s="23"/>
      <c r="BN2373" s="126"/>
      <c r="BT2373" s="23"/>
      <c r="CD2373" s="23"/>
      <c r="DF2373" s="16" t="e">
        <f>VLOOKUP(K2373,'[3]RNA Seq summary tables'!$V$3:$V$99,1,FALSE)</f>
        <v>#N/A</v>
      </c>
      <c r="DG2373" s="126"/>
    </row>
    <row r="2374" spans="2:111" ht="16" x14ac:dyDescent="0.2">
      <c r="B2374" s="16">
        <v>2018</v>
      </c>
      <c r="C2374" s="124">
        <v>43244</v>
      </c>
      <c r="D2374" t="s">
        <v>439</v>
      </c>
      <c r="E2374" s="20" t="str">
        <f>CONCATENATE(T2374,"-",U2374,"-",C2374)</f>
        <v>HW2-H8-43244</v>
      </c>
      <c r="F2374" s="16" t="s">
        <v>227</v>
      </c>
      <c r="G2374" s="126" t="s">
        <v>278</v>
      </c>
      <c r="H2374" s="126"/>
      <c r="J2374" s="126">
        <v>1440</v>
      </c>
      <c r="K2374" s="126"/>
      <c r="O2374" s="126"/>
      <c r="T2374" s="126" t="s">
        <v>129</v>
      </c>
      <c r="U2374" s="126" t="s">
        <v>152</v>
      </c>
      <c r="V2374" s="126"/>
      <c r="X2374" s="126"/>
      <c r="Y2374" s="126"/>
      <c r="Z2374" s="126"/>
      <c r="AA2374" s="126"/>
      <c r="AB2374" s="126"/>
      <c r="AC2374" s="126"/>
      <c r="AD2374" s="126"/>
      <c r="AE2374" s="126"/>
      <c r="AH2374" s="126"/>
      <c r="AI2374" s="126"/>
      <c r="AK2374" s="126"/>
      <c r="AL2374" s="126"/>
      <c r="AM2374" s="126"/>
      <c r="AN2374" s="126"/>
      <c r="BG2374" s="23"/>
      <c r="BN2374" s="126"/>
      <c r="BT2374" s="23"/>
      <c r="CD2374" s="23"/>
      <c r="DF2374" s="16" t="e">
        <f>VLOOKUP(K2374,'[3]RNA Seq summary tables'!$V$3:$V$99,1,FALSE)</f>
        <v>#N/A</v>
      </c>
      <c r="DG2374" s="126"/>
    </row>
    <row r="2375" spans="2:111" ht="16" x14ac:dyDescent="0.2">
      <c r="B2375" s="16">
        <v>2018</v>
      </c>
      <c r="C2375" s="124">
        <v>43262</v>
      </c>
      <c r="D2375" t="s">
        <v>491</v>
      </c>
      <c r="E2375" s="20" t="str">
        <f>CONCATENATE(T2375,"-",U2375,"-",C2375)</f>
        <v>HW2-H6-43262</v>
      </c>
      <c r="F2375" s="16" t="s">
        <v>227</v>
      </c>
      <c r="G2375" s="126" t="s">
        <v>278</v>
      </c>
      <c r="H2375" s="126"/>
      <c r="J2375" s="126">
        <v>1440</v>
      </c>
      <c r="K2375" s="126"/>
      <c r="O2375" s="126"/>
      <c r="T2375" s="126" t="s">
        <v>129</v>
      </c>
      <c r="U2375" s="126" t="s">
        <v>141</v>
      </c>
      <c r="V2375" s="126"/>
      <c r="X2375" s="126"/>
      <c r="Y2375" s="126"/>
      <c r="Z2375" s="126"/>
      <c r="AA2375" s="126"/>
      <c r="AB2375" s="126"/>
      <c r="AC2375" s="126"/>
      <c r="AD2375" s="126"/>
      <c r="AE2375" s="126"/>
      <c r="AH2375" s="126"/>
      <c r="AI2375" s="126"/>
      <c r="AK2375" s="126"/>
      <c r="AL2375" s="126"/>
      <c r="AM2375" s="126"/>
      <c r="AN2375" s="126"/>
      <c r="BG2375" s="23"/>
      <c r="BN2375" s="126"/>
      <c r="BT2375" s="23"/>
      <c r="CD2375" s="23"/>
      <c r="DF2375" s="16" t="e">
        <f>VLOOKUP(K2375,'[3]RNA Seq summary tables'!$V$3:$V$99,1,FALSE)</f>
        <v>#N/A</v>
      </c>
      <c r="DG2375" s="126"/>
    </row>
    <row r="2376" spans="2:111" ht="16" x14ac:dyDescent="0.2">
      <c r="B2376" s="16">
        <v>2018</v>
      </c>
      <c r="C2376" s="124">
        <v>43278</v>
      </c>
      <c r="D2376" t="s">
        <v>564</v>
      </c>
      <c r="E2376" s="20" t="str">
        <f>CONCATENATE(T2376,"-",U2376,"-",C2376)</f>
        <v>HW2-H7-43278</v>
      </c>
      <c r="F2376" s="16" t="s">
        <v>227</v>
      </c>
      <c r="G2376" s="126" t="s">
        <v>278</v>
      </c>
      <c r="H2376" s="126"/>
      <c r="J2376" s="126">
        <v>1440</v>
      </c>
      <c r="K2376" s="126"/>
      <c r="O2376" s="126"/>
      <c r="T2376" s="126" t="s">
        <v>129</v>
      </c>
      <c r="U2376" s="126" t="s">
        <v>202</v>
      </c>
      <c r="V2376" s="126"/>
      <c r="X2376" s="126"/>
      <c r="Y2376" s="126"/>
      <c r="Z2376" s="126"/>
      <c r="AA2376" s="126"/>
      <c r="AB2376" s="126"/>
      <c r="AC2376" s="126"/>
      <c r="AD2376" s="126"/>
      <c r="AE2376" s="126"/>
      <c r="AH2376" s="126"/>
      <c r="AI2376" s="126"/>
      <c r="AK2376" s="126"/>
      <c r="AL2376" s="126"/>
      <c r="AM2376" s="126"/>
      <c r="AN2376" s="126"/>
      <c r="BG2376" s="23"/>
      <c r="BN2376" s="126"/>
      <c r="BT2376" s="23"/>
      <c r="CD2376" s="23"/>
      <c r="DF2376" s="16" t="e">
        <f>VLOOKUP(K2376,'[3]RNA Seq summary tables'!$V$3:$V$99,1,FALSE)</f>
        <v>#N/A</v>
      </c>
      <c r="DG2376" s="126"/>
    </row>
    <row r="2377" spans="2:111" ht="16" x14ac:dyDescent="0.2">
      <c r="B2377" s="16">
        <v>2018</v>
      </c>
      <c r="C2377" s="124">
        <v>43279</v>
      </c>
      <c r="D2377" t="s">
        <v>571</v>
      </c>
      <c r="E2377" s="20" t="str">
        <f>CONCATENATE(T2377,"-",U2377,"-",C2377)</f>
        <v>HW2-H7-43279</v>
      </c>
      <c r="F2377" s="16" t="s">
        <v>227</v>
      </c>
      <c r="G2377" s="126" t="s">
        <v>278</v>
      </c>
      <c r="H2377" s="126"/>
      <c r="J2377" s="126">
        <v>1440</v>
      </c>
      <c r="K2377" s="126"/>
      <c r="O2377" s="126"/>
      <c r="T2377" s="126" t="s">
        <v>129</v>
      </c>
      <c r="U2377" s="126" t="s">
        <v>202</v>
      </c>
      <c r="V2377" s="126"/>
      <c r="X2377" s="126"/>
      <c r="Y2377" s="126"/>
      <c r="Z2377" s="126"/>
      <c r="AA2377" s="126"/>
      <c r="AB2377" s="126"/>
      <c r="AC2377" s="126"/>
      <c r="AD2377" s="126"/>
      <c r="AE2377" s="126"/>
      <c r="AH2377" s="126"/>
      <c r="AI2377" s="126"/>
      <c r="AK2377" s="126"/>
      <c r="AL2377" s="126"/>
      <c r="AM2377" s="126"/>
      <c r="AN2377" s="126"/>
      <c r="BG2377" s="23"/>
      <c r="BN2377" s="126"/>
      <c r="BT2377" s="23"/>
      <c r="CD2377" s="23"/>
      <c r="DF2377" s="16" t="e">
        <f>VLOOKUP(K2377,'[3]RNA Seq summary tables'!$V$3:$V$99,1,FALSE)</f>
        <v>#N/A</v>
      </c>
      <c r="DG2377" s="126"/>
    </row>
    <row r="2378" spans="2:111" ht="16" x14ac:dyDescent="0.2">
      <c r="B2378" s="16">
        <v>2018</v>
      </c>
      <c r="C2378" s="124">
        <v>43243</v>
      </c>
      <c r="D2378" t="s">
        <v>431</v>
      </c>
      <c r="E2378" s="20" t="str">
        <f>CONCATENATE(T2378,"-",U2378,"-",C2378)</f>
        <v>HW2-H7-43243</v>
      </c>
      <c r="F2378" s="16" t="s">
        <v>227</v>
      </c>
      <c r="G2378" s="126" t="s">
        <v>278</v>
      </c>
      <c r="H2378" s="126"/>
      <c r="J2378" s="126">
        <v>1441</v>
      </c>
      <c r="K2378" s="126"/>
      <c r="O2378" s="126"/>
      <c r="T2378" s="126" t="s">
        <v>129</v>
      </c>
      <c r="U2378" s="126" t="s">
        <v>202</v>
      </c>
      <c r="V2378" s="126"/>
      <c r="X2378" s="126"/>
      <c r="Y2378" s="126"/>
      <c r="Z2378" s="126"/>
      <c r="AA2378" s="126"/>
      <c r="AB2378" s="126"/>
      <c r="AC2378" s="126"/>
      <c r="AD2378" s="126"/>
      <c r="AE2378" s="126"/>
      <c r="AH2378" s="126"/>
      <c r="AI2378" s="126"/>
      <c r="AK2378" s="126"/>
      <c r="AL2378" s="126"/>
      <c r="AM2378" s="126"/>
      <c r="AN2378" s="126"/>
      <c r="BG2378" s="23"/>
      <c r="BN2378" s="126"/>
      <c r="BT2378" s="23"/>
      <c r="CD2378" s="23"/>
      <c r="DF2378" s="16" t="e">
        <f>VLOOKUP(K2378,'[3]RNA Seq summary tables'!$V$3:$V$99,1,FALSE)</f>
        <v>#N/A</v>
      </c>
      <c r="DG2378" s="126"/>
    </row>
    <row r="2379" spans="2:111" ht="16" x14ac:dyDescent="0.2">
      <c r="B2379" s="16">
        <v>2018</v>
      </c>
      <c r="C2379" s="124">
        <v>43244</v>
      </c>
      <c r="D2379" t="s">
        <v>437</v>
      </c>
      <c r="E2379" s="20" t="str">
        <f>CONCATENATE(T2379,"-",U2379,"-",C2379)</f>
        <v>HW2-H4-43244</v>
      </c>
      <c r="F2379" s="16" t="s">
        <v>227</v>
      </c>
      <c r="G2379" s="126" t="s">
        <v>278</v>
      </c>
      <c r="H2379" s="126"/>
      <c r="J2379" s="126">
        <v>1441</v>
      </c>
      <c r="K2379" s="126"/>
      <c r="O2379" s="126"/>
      <c r="T2379" s="126" t="s">
        <v>129</v>
      </c>
      <c r="U2379" s="126" t="s">
        <v>151</v>
      </c>
      <c r="V2379" s="126"/>
      <c r="X2379" s="126"/>
      <c r="Y2379" s="126"/>
      <c r="Z2379" s="126"/>
      <c r="AA2379" s="126"/>
      <c r="AB2379" s="126"/>
      <c r="AC2379" s="126"/>
      <c r="AD2379" s="126"/>
      <c r="AE2379" s="126"/>
      <c r="AH2379" s="126"/>
      <c r="AI2379" s="126"/>
      <c r="AK2379" s="126"/>
      <c r="AL2379" s="126"/>
      <c r="AM2379" s="126"/>
      <c r="AN2379" s="126"/>
      <c r="BG2379" s="23"/>
      <c r="BN2379" s="126"/>
      <c r="BT2379" s="23"/>
      <c r="CD2379" s="23"/>
      <c r="DF2379" s="16" t="e">
        <f>VLOOKUP(K2379,'[3]RNA Seq summary tables'!$V$3:$V$99,1,FALSE)</f>
        <v>#N/A</v>
      </c>
      <c r="DG2379" s="126"/>
    </row>
    <row r="2380" spans="2:111" ht="16" x14ac:dyDescent="0.2">
      <c r="B2380" s="16">
        <v>2018</v>
      </c>
      <c r="C2380" s="124">
        <v>43244</v>
      </c>
      <c r="D2380" t="s">
        <v>444</v>
      </c>
      <c r="E2380" s="20" t="str">
        <f>CONCATENATE(T2380,"-",U2380,"-",C2380)</f>
        <v>HW1-G1-43244</v>
      </c>
      <c r="F2380" s="16" t="s">
        <v>227</v>
      </c>
      <c r="G2380" s="126" t="s">
        <v>278</v>
      </c>
      <c r="H2380" s="126"/>
      <c r="J2380" s="126">
        <v>1443</v>
      </c>
      <c r="K2380" s="126"/>
      <c r="O2380" s="126"/>
      <c r="T2380" s="126" t="s">
        <v>133</v>
      </c>
      <c r="U2380" s="126" t="s">
        <v>155</v>
      </c>
      <c r="V2380" s="126"/>
      <c r="X2380" s="126"/>
      <c r="Y2380" s="126"/>
      <c r="Z2380" s="126"/>
      <c r="AA2380" s="126"/>
      <c r="AB2380" s="126"/>
      <c r="AC2380" s="126"/>
      <c r="AD2380" s="126"/>
      <c r="AE2380" s="126"/>
      <c r="AH2380" s="126"/>
      <c r="AI2380" s="126"/>
      <c r="AK2380" s="126"/>
      <c r="AL2380" s="126"/>
      <c r="AM2380" s="126"/>
      <c r="AN2380" s="126"/>
      <c r="BG2380" s="23"/>
      <c r="BN2380" s="126"/>
      <c r="BT2380" s="23"/>
      <c r="CD2380" s="23"/>
      <c r="DF2380" s="16" t="e">
        <f>VLOOKUP(K2380,'[3]RNA Seq summary tables'!$V$3:$V$99,1,FALSE)</f>
        <v>#N/A</v>
      </c>
      <c r="DG2380" s="126"/>
    </row>
    <row r="2381" spans="2:111" ht="16" x14ac:dyDescent="0.2">
      <c r="B2381" s="16">
        <v>2018</v>
      </c>
      <c r="C2381" s="124">
        <v>43244</v>
      </c>
      <c r="D2381" t="s">
        <v>440</v>
      </c>
      <c r="E2381" s="20" t="str">
        <f>CONCATENATE(T2381,"-",U2381,"-",C2381)</f>
        <v>HW2-G2-43244</v>
      </c>
      <c r="F2381" s="16" t="s">
        <v>227</v>
      </c>
      <c r="G2381" s="126" t="s">
        <v>278</v>
      </c>
      <c r="H2381" s="126"/>
      <c r="J2381" s="127">
        <v>1444</v>
      </c>
      <c r="K2381" s="126"/>
      <c r="O2381" s="126"/>
      <c r="T2381" s="126" t="s">
        <v>129</v>
      </c>
      <c r="U2381" s="126" t="s">
        <v>128</v>
      </c>
      <c r="V2381" s="126"/>
      <c r="X2381" s="126"/>
      <c r="Y2381" s="126"/>
      <c r="Z2381" s="126"/>
      <c r="AA2381" s="126"/>
      <c r="AB2381" s="126"/>
      <c r="AC2381" s="126"/>
      <c r="AD2381" s="126"/>
      <c r="AE2381" s="126"/>
      <c r="AH2381" s="126"/>
      <c r="AI2381" s="126"/>
      <c r="AK2381" s="126"/>
      <c r="AL2381" s="126"/>
      <c r="AM2381" s="126"/>
      <c r="AN2381" s="126"/>
      <c r="BG2381" s="23"/>
      <c r="BN2381" s="126"/>
      <c r="BT2381" s="23"/>
      <c r="CD2381" s="23"/>
      <c r="DF2381" s="16" t="e">
        <f>VLOOKUP(K2381,'[3]RNA Seq summary tables'!$V$3:$V$99,1,FALSE)</f>
        <v>#N/A</v>
      </c>
      <c r="DG2381" s="126"/>
    </row>
    <row r="2382" spans="2:111" ht="16" x14ac:dyDescent="0.2">
      <c r="B2382" s="16">
        <v>2018</v>
      </c>
      <c r="C2382" s="124">
        <v>43278</v>
      </c>
      <c r="D2382" t="s">
        <v>562</v>
      </c>
      <c r="E2382" s="20" t="str">
        <f>CONCATENATE(T2382,"-",U2382,"-",C2382)</f>
        <v>HW2-H2-43278</v>
      </c>
      <c r="F2382" s="16" t="s">
        <v>227</v>
      </c>
      <c r="G2382" s="126" t="s">
        <v>278</v>
      </c>
      <c r="H2382" s="126"/>
      <c r="J2382" s="127">
        <v>1444</v>
      </c>
      <c r="K2382" s="126"/>
      <c r="O2382" s="126"/>
      <c r="T2382" s="126" t="s">
        <v>129</v>
      </c>
      <c r="U2382" s="126" t="s">
        <v>190</v>
      </c>
      <c r="V2382" s="126"/>
      <c r="X2382" s="126"/>
      <c r="Y2382" s="126"/>
      <c r="Z2382" s="126"/>
      <c r="AA2382" s="126"/>
      <c r="AB2382" s="126"/>
      <c r="AC2382" s="126"/>
      <c r="AD2382" s="126"/>
      <c r="AE2382" s="126"/>
      <c r="AH2382" s="126"/>
      <c r="AI2382" s="126"/>
      <c r="AK2382" s="126"/>
      <c r="AL2382" s="126"/>
      <c r="AM2382" s="126"/>
      <c r="AN2382" s="126"/>
      <c r="BG2382" s="23"/>
      <c r="BN2382" s="126"/>
      <c r="BT2382" s="23"/>
      <c r="CD2382" s="23"/>
      <c r="DF2382" s="16" t="e">
        <f>VLOOKUP(K2382,'[3]RNA Seq summary tables'!$V$3:$V$99,1,FALSE)</f>
        <v>#N/A</v>
      </c>
      <c r="DG2382" s="126"/>
    </row>
    <row r="2383" spans="2:111" ht="16" x14ac:dyDescent="0.2">
      <c r="B2383" s="16">
        <v>2018</v>
      </c>
      <c r="C2383" s="124">
        <v>43244</v>
      </c>
      <c r="D2383" t="s">
        <v>438</v>
      </c>
      <c r="E2383" s="20" t="str">
        <f>CONCATENATE(T2383,"-",U2383,"-",C2383)</f>
        <v>HW2-H7-43244</v>
      </c>
      <c r="F2383" s="16" t="s">
        <v>227</v>
      </c>
      <c r="G2383" s="126" t="s">
        <v>278</v>
      </c>
      <c r="H2383" s="126"/>
      <c r="J2383" s="127">
        <v>1445</v>
      </c>
      <c r="K2383" s="126"/>
      <c r="O2383" s="126"/>
      <c r="T2383" s="126" t="s">
        <v>129</v>
      </c>
      <c r="U2383" s="126" t="s">
        <v>202</v>
      </c>
      <c r="V2383" s="126"/>
      <c r="X2383" s="126"/>
      <c r="Y2383" s="126"/>
      <c r="Z2383" s="126"/>
      <c r="AA2383" s="126"/>
      <c r="AB2383" s="126"/>
      <c r="AC2383" s="126"/>
      <c r="AD2383" s="126"/>
      <c r="AE2383" s="126"/>
      <c r="AH2383" s="126"/>
      <c r="AI2383" s="126"/>
      <c r="AK2383" s="126"/>
      <c r="AL2383" s="126"/>
      <c r="AM2383" s="126"/>
      <c r="AN2383" s="126"/>
      <c r="BG2383" s="23"/>
      <c r="BN2383" s="126"/>
      <c r="BT2383" s="23"/>
      <c r="CD2383" s="23"/>
      <c r="DF2383" s="16" t="e">
        <f>VLOOKUP(K2383,'[3]RNA Seq summary tables'!$V$3:$V$99,1,FALSE)</f>
        <v>#N/A</v>
      </c>
      <c r="DG2383" s="126"/>
    </row>
    <row r="2384" spans="2:111" ht="16" x14ac:dyDescent="0.2">
      <c r="B2384" s="16">
        <v>2018</v>
      </c>
      <c r="C2384" s="124">
        <v>43262</v>
      </c>
      <c r="D2384" t="s">
        <v>492</v>
      </c>
      <c r="E2384" s="20" t="str">
        <f>CONCATENATE(T2384,"-",U2384,"-",C2384)</f>
        <v>HW2-H7-43262</v>
      </c>
      <c r="F2384" s="16" t="s">
        <v>227</v>
      </c>
      <c r="G2384" s="126" t="s">
        <v>278</v>
      </c>
      <c r="H2384" s="126"/>
      <c r="J2384" s="127">
        <v>1445</v>
      </c>
      <c r="K2384" s="126"/>
      <c r="O2384" s="126"/>
      <c r="T2384" s="126" t="s">
        <v>129</v>
      </c>
      <c r="U2384" s="126" t="s">
        <v>202</v>
      </c>
      <c r="V2384" s="126"/>
      <c r="X2384" s="126"/>
      <c r="Y2384" s="126"/>
      <c r="Z2384" s="126"/>
      <c r="AA2384" s="126"/>
      <c r="AB2384" s="126"/>
      <c r="AC2384" s="126"/>
      <c r="AD2384" s="126"/>
      <c r="AE2384" s="126"/>
      <c r="AH2384" s="126"/>
      <c r="AI2384" s="126"/>
      <c r="AK2384" s="126"/>
      <c r="AL2384" s="126"/>
      <c r="AM2384" s="126"/>
      <c r="AN2384" s="126"/>
      <c r="BG2384" s="23"/>
      <c r="BN2384" s="126"/>
      <c r="BT2384" s="23"/>
      <c r="CD2384" s="23"/>
      <c r="DF2384" s="16" t="e">
        <f>VLOOKUP(K2384,'[3]RNA Seq summary tables'!$V$3:$V$99,1,FALSE)</f>
        <v>#N/A</v>
      </c>
      <c r="DG2384" s="126"/>
    </row>
    <row r="2385" spans="2:111" ht="16" x14ac:dyDescent="0.2">
      <c r="B2385" s="16">
        <v>2018</v>
      </c>
      <c r="C2385" s="124">
        <v>43279</v>
      </c>
      <c r="D2385" t="s">
        <v>572</v>
      </c>
      <c r="E2385" s="20" t="str">
        <f>CONCATENATE(T2385,"-",U2385,"-",C2385)</f>
        <v>HW2-H8-43279</v>
      </c>
      <c r="F2385" s="16" t="s">
        <v>227</v>
      </c>
      <c r="G2385" s="126" t="s">
        <v>278</v>
      </c>
      <c r="H2385" s="126"/>
      <c r="J2385" s="127">
        <v>1445</v>
      </c>
      <c r="K2385" s="126"/>
      <c r="O2385" s="126"/>
      <c r="T2385" s="126" t="s">
        <v>129</v>
      </c>
      <c r="U2385" s="126" t="s">
        <v>152</v>
      </c>
      <c r="V2385" s="126"/>
      <c r="X2385" s="126"/>
      <c r="Y2385" s="126"/>
      <c r="Z2385" s="126"/>
      <c r="AA2385" s="126"/>
      <c r="AB2385" s="126"/>
      <c r="AC2385" s="126"/>
      <c r="AD2385" s="126"/>
      <c r="AE2385" s="126"/>
      <c r="AH2385" s="126"/>
      <c r="AI2385" s="126"/>
      <c r="AK2385" s="126"/>
      <c r="AL2385" s="126"/>
      <c r="AM2385" s="126"/>
      <c r="AN2385" s="126"/>
      <c r="BG2385" s="23"/>
      <c r="BN2385" s="126"/>
      <c r="BT2385" s="23"/>
      <c r="CD2385" s="23"/>
      <c r="DF2385" s="16" t="e">
        <f>VLOOKUP(K2385,'[3]RNA Seq summary tables'!$V$3:$V$99,1,FALSE)</f>
        <v>#N/A</v>
      </c>
      <c r="DG2385" s="126"/>
    </row>
    <row r="2386" spans="2:111" ht="16" x14ac:dyDescent="0.2">
      <c r="B2386" s="16">
        <v>2018</v>
      </c>
      <c r="C2386" s="124">
        <v>43261</v>
      </c>
      <c r="D2386" t="s">
        <v>477</v>
      </c>
      <c r="E2386" s="20" t="str">
        <f>CONCATENATE(T2386,"-",U2386,"-",C2386)</f>
        <v>HW2-A3-43261</v>
      </c>
      <c r="F2386" s="16" t="s">
        <v>227</v>
      </c>
      <c r="G2386" s="126" t="s">
        <v>278</v>
      </c>
      <c r="H2386" s="126"/>
      <c r="J2386" s="126">
        <v>1446</v>
      </c>
      <c r="K2386" s="126"/>
      <c r="O2386" s="126"/>
      <c r="T2386" s="126" t="s">
        <v>129</v>
      </c>
      <c r="U2386" s="126" t="s">
        <v>201</v>
      </c>
      <c r="V2386" s="126"/>
      <c r="X2386" s="126"/>
      <c r="Y2386" s="126"/>
      <c r="Z2386" s="126"/>
      <c r="AA2386" s="126"/>
      <c r="AB2386" s="126"/>
      <c r="AC2386" s="126"/>
      <c r="AD2386" s="126"/>
      <c r="AE2386" s="126"/>
      <c r="AH2386" s="126"/>
      <c r="AI2386" s="126"/>
      <c r="AK2386" s="126"/>
      <c r="AL2386" s="126"/>
      <c r="AM2386" s="126"/>
      <c r="AN2386" s="126"/>
      <c r="BG2386" s="23"/>
      <c r="BN2386" s="126"/>
      <c r="BT2386" s="23"/>
      <c r="CD2386" s="23"/>
      <c r="DF2386" s="16" t="e">
        <f>VLOOKUP(K2386,'[3]RNA Seq summary tables'!$V$3:$V$99,1,FALSE)</f>
        <v>#N/A</v>
      </c>
      <c r="DG2386" s="126"/>
    </row>
    <row r="2387" spans="2:111" ht="16" x14ac:dyDescent="0.2">
      <c r="B2387" s="16">
        <v>2018</v>
      </c>
      <c r="C2387" s="124">
        <v>43261</v>
      </c>
      <c r="D2387" t="s">
        <v>481</v>
      </c>
      <c r="E2387" s="20" t="str">
        <f>CONCATENATE(T2387,"-",U2387,"-",C2387)</f>
        <v>HW2-H5-43261</v>
      </c>
      <c r="F2387" s="16" t="s">
        <v>227</v>
      </c>
      <c r="G2387" s="126" t="s">
        <v>278</v>
      </c>
      <c r="H2387" s="126"/>
      <c r="J2387" s="126">
        <v>1448</v>
      </c>
      <c r="K2387" s="126"/>
      <c r="O2387" s="126"/>
      <c r="T2387" s="126" t="s">
        <v>129</v>
      </c>
      <c r="U2387" s="126" t="s">
        <v>180</v>
      </c>
      <c r="V2387" s="126"/>
      <c r="X2387" s="126"/>
      <c r="Y2387" s="126"/>
      <c r="Z2387" s="126"/>
      <c r="AA2387" s="126"/>
      <c r="AB2387" s="126"/>
      <c r="AC2387" s="126"/>
      <c r="AD2387" s="126"/>
      <c r="AE2387" s="126"/>
      <c r="AH2387" s="126"/>
      <c r="AI2387" s="126"/>
      <c r="AK2387" s="126"/>
      <c r="AL2387" s="126"/>
      <c r="AM2387" s="126"/>
      <c r="AN2387" s="126"/>
      <c r="BG2387" s="23"/>
      <c r="BN2387" s="126"/>
      <c r="BT2387" s="23"/>
      <c r="CD2387" s="23"/>
      <c r="DF2387" s="16" t="e">
        <f>VLOOKUP(K2387,'[3]RNA Seq summary tables'!$V$3:$V$99,1,FALSE)</f>
        <v>#N/A</v>
      </c>
      <c r="DG2387" s="126"/>
    </row>
    <row r="2388" spans="2:111" ht="16" x14ac:dyDescent="0.2">
      <c r="B2388" s="16">
        <v>2018</v>
      </c>
      <c r="C2388" s="124">
        <v>43262</v>
      </c>
      <c r="D2388" t="s">
        <v>490</v>
      </c>
      <c r="E2388" s="20" t="str">
        <f>CONCATENATE(T2388,"-",U2388,"-",C2388)</f>
        <v>HW2-H3-43262</v>
      </c>
      <c r="F2388" s="16" t="s">
        <v>227</v>
      </c>
      <c r="G2388" s="126" t="s">
        <v>278</v>
      </c>
      <c r="H2388" s="126"/>
      <c r="J2388" s="126">
        <v>1448</v>
      </c>
      <c r="K2388" s="126"/>
      <c r="O2388" s="126"/>
      <c r="T2388" s="126" t="s">
        <v>129</v>
      </c>
      <c r="U2388" s="126" t="s">
        <v>174</v>
      </c>
      <c r="V2388" s="126"/>
      <c r="X2388" s="126"/>
      <c r="Y2388" s="126"/>
      <c r="Z2388" s="126"/>
      <c r="AA2388" s="126"/>
      <c r="AB2388" s="126"/>
      <c r="AC2388" s="126"/>
      <c r="AD2388" s="126"/>
      <c r="AE2388" s="126"/>
      <c r="AH2388" s="126"/>
      <c r="AI2388" s="126"/>
      <c r="AK2388" s="126"/>
      <c r="AL2388" s="126"/>
      <c r="AM2388" s="126"/>
      <c r="AN2388" s="126"/>
      <c r="BG2388" s="23"/>
      <c r="BN2388" s="126"/>
      <c r="BT2388" s="23"/>
      <c r="CD2388" s="23"/>
      <c r="DF2388" s="16" t="e">
        <f>VLOOKUP(K2388,'[3]RNA Seq summary tables'!$V$3:$V$99,1,FALSE)</f>
        <v>#N/A</v>
      </c>
      <c r="DG2388" s="126"/>
    </row>
    <row r="2389" spans="2:111" ht="16" x14ac:dyDescent="0.2">
      <c r="B2389" s="16">
        <v>2018</v>
      </c>
      <c r="C2389" s="124">
        <v>43278</v>
      </c>
      <c r="D2389" t="s">
        <v>552</v>
      </c>
      <c r="E2389" s="20" t="str">
        <f>CONCATENATE(T2389,"-",U2389,"-",C2389)</f>
        <v>HW2-G4-43278</v>
      </c>
      <c r="F2389" s="16" t="s">
        <v>227</v>
      </c>
      <c r="G2389" s="126" t="s">
        <v>278</v>
      </c>
      <c r="H2389" s="126" t="s">
        <v>1083</v>
      </c>
      <c r="J2389" s="126">
        <v>1448</v>
      </c>
      <c r="K2389" s="126"/>
      <c r="O2389" s="126"/>
      <c r="T2389" s="126" t="s">
        <v>129</v>
      </c>
      <c r="U2389" s="126" t="s">
        <v>173</v>
      </c>
      <c r="V2389" s="126"/>
      <c r="X2389" s="126"/>
      <c r="Y2389" s="126"/>
      <c r="Z2389" s="126"/>
      <c r="AA2389" s="126"/>
      <c r="AB2389" s="126"/>
      <c r="AC2389" s="126"/>
      <c r="AD2389" s="126"/>
      <c r="AE2389" s="126"/>
      <c r="AH2389" s="126"/>
      <c r="AI2389" s="126"/>
      <c r="AK2389" s="126"/>
      <c r="AL2389" s="126"/>
      <c r="AM2389" s="126"/>
      <c r="AN2389" s="126"/>
      <c r="AR2389" s="16">
        <v>2.100000000000013E-2</v>
      </c>
      <c r="AS2389" s="16">
        <v>2.100000000000013E-2</v>
      </c>
      <c r="BG2389" s="23"/>
      <c r="BN2389" s="126"/>
      <c r="BT2389" s="23"/>
      <c r="CD2389" s="23"/>
      <c r="DF2389" s="16" t="e">
        <f>VLOOKUP(K2389,'[3]RNA Seq summary tables'!$V$3:$V$99,1,FALSE)</f>
        <v>#N/A</v>
      </c>
      <c r="DG2389" s="126"/>
    </row>
    <row r="2390" spans="2:111" ht="16" x14ac:dyDescent="0.2">
      <c r="B2390" s="16">
        <v>2018</v>
      </c>
      <c r="C2390" s="124">
        <v>43279</v>
      </c>
      <c r="D2390" t="s">
        <v>573</v>
      </c>
      <c r="E2390" s="20" t="str">
        <f>CONCATENATE(T2390,"-",U2390,"-",C2390)</f>
        <v>HW2-G4-43279</v>
      </c>
      <c r="F2390" s="16" t="s">
        <v>227</v>
      </c>
      <c r="G2390" s="126" t="s">
        <v>278</v>
      </c>
      <c r="H2390" s="126"/>
      <c r="J2390" s="126">
        <v>1448</v>
      </c>
      <c r="K2390" s="126"/>
      <c r="O2390" s="126"/>
      <c r="T2390" s="126" t="s">
        <v>129</v>
      </c>
      <c r="U2390" s="126" t="s">
        <v>173</v>
      </c>
      <c r="V2390" s="126"/>
      <c r="X2390" s="126"/>
      <c r="Y2390" s="126"/>
      <c r="Z2390" s="126"/>
      <c r="AA2390" s="126"/>
      <c r="AB2390" s="126"/>
      <c r="AC2390" s="126"/>
      <c r="AD2390" s="126"/>
      <c r="AE2390" s="126"/>
      <c r="AH2390" s="126"/>
      <c r="AI2390" s="126"/>
      <c r="AK2390" s="126"/>
      <c r="AL2390" s="126"/>
      <c r="AM2390" s="126"/>
      <c r="AN2390" s="126"/>
      <c r="BG2390" s="23"/>
      <c r="BN2390" s="126"/>
      <c r="BT2390" s="23"/>
      <c r="CD2390" s="23"/>
      <c r="DF2390" s="16" t="e">
        <f>VLOOKUP(K2390,'[3]RNA Seq summary tables'!$V$3:$V$99,1,FALSE)</f>
        <v>#N/A</v>
      </c>
      <c r="DG2390" s="126"/>
    </row>
    <row r="2391" spans="2:111" ht="16" x14ac:dyDescent="0.2">
      <c r="B2391" s="16">
        <v>2018</v>
      </c>
      <c r="C2391" s="124">
        <v>43249</v>
      </c>
      <c r="D2391" t="s">
        <v>445</v>
      </c>
      <c r="E2391" s="20" t="str">
        <f>CONCATENATE(T2391,"-",U2391,"-",C2391)</f>
        <v>PO2-A5-43249</v>
      </c>
      <c r="F2391" s="16" t="s">
        <v>227</v>
      </c>
      <c r="G2391" s="126" t="s">
        <v>278</v>
      </c>
      <c r="H2391" s="126"/>
      <c r="J2391" s="126">
        <v>1451</v>
      </c>
      <c r="K2391" s="126"/>
      <c r="O2391" s="126"/>
      <c r="T2391" s="126" t="s">
        <v>127</v>
      </c>
      <c r="U2391" s="126" t="s">
        <v>167</v>
      </c>
      <c r="V2391" s="126"/>
      <c r="X2391" s="126"/>
      <c r="Y2391" s="126"/>
      <c r="Z2391" s="126"/>
      <c r="AA2391" s="126"/>
      <c r="AB2391" s="126"/>
      <c r="AC2391" s="126"/>
      <c r="AD2391" s="126"/>
      <c r="AE2391" s="126"/>
      <c r="AH2391" s="126"/>
      <c r="AI2391" s="126"/>
      <c r="AK2391" s="126"/>
      <c r="AL2391" s="126"/>
      <c r="AM2391" s="126"/>
      <c r="AN2391" s="126"/>
      <c r="BG2391" s="23"/>
      <c r="BN2391" s="126"/>
      <c r="BT2391" s="23"/>
      <c r="CD2391" s="23"/>
      <c r="DF2391" s="16" t="e">
        <f>VLOOKUP(K2391,'[3]RNA Seq summary tables'!$V$3:$V$99,1,FALSE)</f>
        <v>#N/A</v>
      </c>
      <c r="DG2391" s="126"/>
    </row>
    <row r="2392" spans="2:111" ht="16" x14ac:dyDescent="0.2">
      <c r="B2392" s="16">
        <v>2018</v>
      </c>
      <c r="C2392" s="124">
        <v>43250</v>
      </c>
      <c r="D2392" t="s">
        <v>449</v>
      </c>
      <c r="E2392" s="20" t="str">
        <f>CONCATENATE(T2392,"-",U2392,"-",C2392)</f>
        <v>PO2-A5-43250</v>
      </c>
      <c r="F2392" s="16" t="s">
        <v>227</v>
      </c>
      <c r="G2392" s="126" t="s">
        <v>278</v>
      </c>
      <c r="H2392" s="126"/>
      <c r="J2392" s="126">
        <v>1451</v>
      </c>
      <c r="K2392" s="126"/>
      <c r="O2392" s="126"/>
      <c r="T2392" s="126" t="s">
        <v>127</v>
      </c>
      <c r="U2392" s="126" t="s">
        <v>167</v>
      </c>
      <c r="V2392" s="126"/>
      <c r="X2392" s="126"/>
      <c r="Y2392" s="126"/>
      <c r="Z2392" s="126"/>
      <c r="AA2392" s="126"/>
      <c r="AB2392" s="126"/>
      <c r="AC2392" s="126"/>
      <c r="AD2392" s="126"/>
      <c r="AE2392" s="126"/>
      <c r="AH2392" s="126"/>
      <c r="AI2392" s="126"/>
      <c r="AK2392" s="126"/>
      <c r="AL2392" s="126"/>
      <c r="AM2392" s="126"/>
      <c r="AN2392" s="126"/>
      <c r="BG2392" s="23"/>
      <c r="BN2392" s="126"/>
      <c r="BT2392" s="23"/>
      <c r="CD2392" s="23"/>
      <c r="DF2392" s="16" t="e">
        <f>VLOOKUP(K2392,'[3]RNA Seq summary tables'!$V$3:$V$99,1,FALSE)</f>
        <v>#N/A</v>
      </c>
      <c r="DG2392" s="126"/>
    </row>
    <row r="2393" spans="2:111" ht="16" x14ac:dyDescent="0.2">
      <c r="B2393" s="16">
        <v>2018</v>
      </c>
      <c r="C2393" s="124">
        <v>43267</v>
      </c>
      <c r="D2393" t="s">
        <v>493</v>
      </c>
      <c r="E2393" s="20" t="str">
        <f>CONCATENATE(T2393,"-",U2393,"-",C2393)</f>
        <v>PO2-E1-43267</v>
      </c>
      <c r="F2393" s="16" t="s">
        <v>227</v>
      </c>
      <c r="G2393" s="126" t="s">
        <v>278</v>
      </c>
      <c r="H2393" s="126"/>
      <c r="J2393" s="126">
        <v>1451</v>
      </c>
      <c r="K2393" s="126"/>
      <c r="O2393" s="126"/>
      <c r="T2393" s="126" t="s">
        <v>127</v>
      </c>
      <c r="U2393" s="126" t="s">
        <v>222</v>
      </c>
      <c r="V2393" s="126"/>
      <c r="X2393" s="126"/>
      <c r="Y2393" s="126"/>
      <c r="Z2393" s="126"/>
      <c r="AA2393" s="126"/>
      <c r="AB2393" s="126"/>
      <c r="AC2393" s="126"/>
      <c r="AD2393" s="126"/>
      <c r="AE2393" s="126"/>
      <c r="AH2393" s="126"/>
      <c r="AI2393" s="126"/>
      <c r="AK2393" s="126"/>
      <c r="AL2393" s="126"/>
      <c r="AM2393" s="126"/>
      <c r="AN2393" s="126"/>
      <c r="BG2393" s="23"/>
      <c r="BN2393" s="126"/>
      <c r="BT2393" s="23"/>
      <c r="CD2393" s="23"/>
      <c r="DF2393" s="16" t="e">
        <f>VLOOKUP(K2393,'[3]RNA Seq summary tables'!$V$3:$V$99,1,FALSE)</f>
        <v>#N/A</v>
      </c>
      <c r="DG2393" s="126"/>
    </row>
    <row r="2394" spans="2:111" ht="16" x14ac:dyDescent="0.2">
      <c r="B2394" s="16">
        <v>2018</v>
      </c>
      <c r="C2394" s="124">
        <v>43268</v>
      </c>
      <c r="D2394" t="s">
        <v>504</v>
      </c>
      <c r="E2394" s="20" t="str">
        <f>CONCATENATE(T2394,"-",U2394,"-",C2394)</f>
        <v>PO2-G2-43268</v>
      </c>
      <c r="F2394" s="16" t="s">
        <v>227</v>
      </c>
      <c r="G2394" s="126" t="s">
        <v>278</v>
      </c>
      <c r="H2394" s="126"/>
      <c r="J2394" s="126">
        <v>1451</v>
      </c>
      <c r="K2394" s="126"/>
      <c r="O2394" s="126"/>
      <c r="T2394" s="126" t="s">
        <v>127</v>
      </c>
      <c r="U2394" s="126" t="s">
        <v>128</v>
      </c>
      <c r="V2394" s="126"/>
      <c r="X2394" s="126"/>
      <c r="Y2394" s="126"/>
      <c r="Z2394" s="126"/>
      <c r="AA2394" s="126"/>
      <c r="AB2394" s="126"/>
      <c r="AC2394" s="126"/>
      <c r="AD2394" s="126"/>
      <c r="AE2394" s="126"/>
      <c r="AH2394" s="126"/>
      <c r="AI2394" s="126"/>
      <c r="AK2394" s="126"/>
      <c r="AL2394" s="126"/>
      <c r="AM2394" s="126"/>
      <c r="AN2394" s="126"/>
      <c r="BG2394" s="23"/>
      <c r="BN2394" s="126"/>
      <c r="BT2394" s="23"/>
      <c r="CD2394" s="23"/>
      <c r="DF2394" s="16" t="e">
        <f>VLOOKUP(K2394,'[3]RNA Seq summary tables'!$V$3:$V$99,1,FALSE)</f>
        <v>#N/A</v>
      </c>
      <c r="DG2394" s="126"/>
    </row>
    <row r="2395" spans="2:111" ht="16" x14ac:dyDescent="0.2">
      <c r="B2395" s="16">
        <v>2018</v>
      </c>
      <c r="C2395" s="124">
        <v>43249</v>
      </c>
      <c r="D2395" t="s">
        <v>448</v>
      </c>
      <c r="E2395" s="20" t="str">
        <f>CONCATENATE(T2395,"-",U2395,"-",C2395)</f>
        <v>PO1-H5-43249</v>
      </c>
      <c r="F2395" s="16" t="s">
        <v>227</v>
      </c>
      <c r="G2395" s="126" t="s">
        <v>278</v>
      </c>
      <c r="H2395" s="126"/>
      <c r="J2395" s="126">
        <v>1452</v>
      </c>
      <c r="K2395" s="126"/>
      <c r="O2395" s="126"/>
      <c r="T2395" s="126" t="s">
        <v>112</v>
      </c>
      <c r="U2395" s="126" t="s">
        <v>180</v>
      </c>
      <c r="V2395" s="126"/>
      <c r="X2395" s="126"/>
      <c r="Y2395" s="126"/>
      <c r="Z2395" s="126"/>
      <c r="AA2395" s="126"/>
      <c r="AB2395" s="126"/>
      <c r="AC2395" s="126"/>
      <c r="AD2395" s="126"/>
      <c r="AE2395" s="126"/>
      <c r="AH2395" s="126"/>
      <c r="AI2395" s="126"/>
      <c r="AK2395" s="126"/>
      <c r="AL2395" s="126"/>
      <c r="AM2395" s="126"/>
      <c r="AN2395" s="126"/>
      <c r="BG2395" s="23"/>
      <c r="BN2395" s="126"/>
      <c r="BT2395" s="23"/>
      <c r="CD2395" s="23"/>
      <c r="DF2395" s="16" t="e">
        <f>VLOOKUP(K2395,'[3]RNA Seq summary tables'!$V$3:$V$99,1,FALSE)</f>
        <v>#N/A</v>
      </c>
      <c r="DG2395" s="126"/>
    </row>
    <row r="2396" spans="2:111" ht="16" x14ac:dyDescent="0.2">
      <c r="B2396" s="16">
        <v>2018</v>
      </c>
      <c r="C2396" s="124">
        <v>43250</v>
      </c>
      <c r="D2396" t="s">
        <v>457</v>
      </c>
      <c r="E2396" s="20" t="str">
        <f>CONCATENATE(T2396,"-",U2396,"-",C2396)</f>
        <v>PO1-H6-43250</v>
      </c>
      <c r="F2396" s="16" t="s">
        <v>227</v>
      </c>
      <c r="G2396" s="126" t="s">
        <v>278</v>
      </c>
      <c r="H2396" s="126"/>
      <c r="J2396" s="126">
        <v>1452</v>
      </c>
      <c r="K2396" s="126"/>
      <c r="O2396" s="126"/>
      <c r="T2396" s="126" t="s">
        <v>112</v>
      </c>
      <c r="U2396" s="126" t="s">
        <v>141</v>
      </c>
      <c r="V2396" s="126"/>
      <c r="X2396" s="126"/>
      <c r="Y2396" s="126"/>
      <c r="Z2396" s="126"/>
      <c r="AA2396" s="126"/>
      <c r="AB2396" s="126"/>
      <c r="AC2396" s="126"/>
      <c r="AD2396" s="126"/>
      <c r="AE2396" s="126"/>
      <c r="AH2396" s="126"/>
      <c r="AI2396" s="126"/>
      <c r="AK2396" s="126"/>
      <c r="AL2396" s="126"/>
      <c r="AM2396" s="126"/>
      <c r="AN2396" s="126"/>
      <c r="BG2396" s="23"/>
      <c r="BN2396" s="126"/>
      <c r="BT2396" s="23"/>
      <c r="CD2396" s="23"/>
      <c r="DF2396" s="16" t="e">
        <f>VLOOKUP(K2396,'[3]RNA Seq summary tables'!$V$3:$V$99,1,FALSE)</f>
        <v>#N/A</v>
      </c>
      <c r="DG2396" s="126"/>
    </row>
    <row r="2397" spans="2:111" ht="16" x14ac:dyDescent="0.2">
      <c r="B2397" s="16">
        <v>2018</v>
      </c>
      <c r="C2397" s="124">
        <v>43250</v>
      </c>
      <c r="D2397" t="s">
        <v>452</v>
      </c>
      <c r="E2397" s="20" t="str">
        <f>CONCATENATE(T2397,"-",U2397,"-",C2397)</f>
        <v>PO2-G7-43250</v>
      </c>
      <c r="F2397" s="16" t="s">
        <v>227</v>
      </c>
      <c r="G2397" s="126" t="s">
        <v>278</v>
      </c>
      <c r="H2397" s="126"/>
      <c r="J2397" s="126">
        <v>1453</v>
      </c>
      <c r="K2397" s="126"/>
      <c r="O2397" s="126"/>
      <c r="T2397" s="126" t="s">
        <v>127</v>
      </c>
      <c r="U2397" s="126" t="s">
        <v>156</v>
      </c>
      <c r="V2397" s="126"/>
      <c r="X2397" s="126"/>
      <c r="Y2397" s="126"/>
      <c r="Z2397" s="126"/>
      <c r="AA2397" s="126"/>
      <c r="AB2397" s="126"/>
      <c r="AC2397" s="126"/>
      <c r="AD2397" s="126"/>
      <c r="AE2397" s="126"/>
      <c r="AH2397" s="126"/>
      <c r="AI2397" s="126"/>
      <c r="AK2397" s="126"/>
      <c r="AL2397" s="126"/>
      <c r="AM2397" s="126"/>
      <c r="AN2397" s="126"/>
      <c r="BG2397" s="23"/>
      <c r="BN2397" s="126"/>
      <c r="BT2397" s="23"/>
      <c r="CD2397" s="23"/>
      <c r="DF2397" s="16" t="e">
        <f>VLOOKUP(K2397,'[3]RNA Seq summary tables'!$V$3:$V$99,1,FALSE)</f>
        <v>#N/A</v>
      </c>
      <c r="DG2397" s="126"/>
    </row>
    <row r="2398" spans="2:111" ht="16" x14ac:dyDescent="0.2">
      <c r="B2398" s="16">
        <v>2018</v>
      </c>
      <c r="C2398" s="124">
        <v>43268</v>
      </c>
      <c r="D2398" t="s">
        <v>503</v>
      </c>
      <c r="E2398" s="20" t="str">
        <f>CONCATENATE(T2398,"-",U2398,"-",C2398)</f>
        <v>PO2-B6-43268</v>
      </c>
      <c r="F2398" s="16" t="s">
        <v>227</v>
      </c>
      <c r="G2398" s="126" t="s">
        <v>278</v>
      </c>
      <c r="H2398" s="126"/>
      <c r="J2398" s="126">
        <v>1454</v>
      </c>
      <c r="K2398" s="126"/>
      <c r="O2398" s="126"/>
      <c r="T2398" s="126" t="s">
        <v>127</v>
      </c>
      <c r="U2398" s="126" t="s">
        <v>132</v>
      </c>
      <c r="V2398" s="126"/>
      <c r="X2398" s="126"/>
      <c r="Y2398" s="126"/>
      <c r="Z2398" s="126"/>
      <c r="AA2398" s="126"/>
      <c r="AB2398" s="126"/>
      <c r="AC2398" s="126"/>
      <c r="AD2398" s="126"/>
      <c r="AE2398" s="126"/>
      <c r="AH2398" s="126"/>
      <c r="AI2398" s="126"/>
      <c r="AK2398" s="126"/>
      <c r="AL2398" s="126"/>
      <c r="AM2398" s="126"/>
      <c r="AN2398" s="126"/>
      <c r="BG2398" s="23"/>
      <c r="BN2398" s="126"/>
      <c r="BT2398" s="23"/>
      <c r="CD2398" s="23"/>
      <c r="DF2398" s="16" t="e">
        <f>VLOOKUP(K2398,'[3]RNA Seq summary tables'!$V$3:$V$99,1,FALSE)</f>
        <v>#N/A</v>
      </c>
      <c r="DG2398" s="126"/>
    </row>
    <row r="2399" spans="2:111" ht="16" x14ac:dyDescent="0.2">
      <c r="B2399" s="16">
        <v>2018</v>
      </c>
      <c r="C2399" s="124">
        <v>43285</v>
      </c>
      <c r="D2399" t="s">
        <v>589</v>
      </c>
      <c r="E2399" s="20" t="str">
        <f>CONCATENATE(T2399,"-",U2399,"-",C2399)</f>
        <v>PO2-A7-43285</v>
      </c>
      <c r="F2399" s="16" t="s">
        <v>227</v>
      </c>
      <c r="G2399" s="126" t="s">
        <v>278</v>
      </c>
      <c r="H2399" s="126"/>
      <c r="J2399" s="126">
        <v>1454</v>
      </c>
      <c r="K2399" s="126"/>
      <c r="O2399" s="126"/>
      <c r="T2399" s="126" t="s">
        <v>127</v>
      </c>
      <c r="U2399" s="126" t="s">
        <v>120</v>
      </c>
      <c r="V2399" s="126"/>
      <c r="X2399" s="126"/>
      <c r="Y2399" s="126"/>
      <c r="Z2399" s="126"/>
      <c r="AA2399" s="126"/>
      <c r="AB2399" s="126"/>
      <c r="AC2399" s="126"/>
      <c r="AD2399" s="126"/>
      <c r="AE2399" s="126"/>
      <c r="AH2399" s="126"/>
      <c r="AI2399" s="126"/>
      <c r="AK2399" s="126"/>
      <c r="AL2399" s="126"/>
      <c r="AM2399" s="126"/>
      <c r="AN2399" s="126"/>
      <c r="BG2399" s="23"/>
      <c r="BN2399" s="126"/>
      <c r="BT2399" s="23"/>
      <c r="CD2399" s="23"/>
      <c r="DF2399" s="16" t="e">
        <f>VLOOKUP(K2399,'[3]RNA Seq summary tables'!$V$3:$V$99,1,FALSE)</f>
        <v>#N/A</v>
      </c>
      <c r="DG2399" s="126"/>
    </row>
    <row r="2400" spans="2:111" ht="16" x14ac:dyDescent="0.2">
      <c r="B2400" s="16">
        <v>2018</v>
      </c>
      <c r="C2400" s="124">
        <v>43253</v>
      </c>
      <c r="D2400" t="s">
        <v>461</v>
      </c>
      <c r="E2400" s="20" t="str">
        <f>CONCATENATE(T2400,"-",U2400,"-",C2400)</f>
        <v>SP1-E7-43253</v>
      </c>
      <c r="F2400" s="16" t="s">
        <v>227</v>
      </c>
      <c r="G2400" s="126" t="s">
        <v>278</v>
      </c>
      <c r="H2400" s="126"/>
      <c r="J2400" s="126">
        <v>1456</v>
      </c>
      <c r="K2400" s="126"/>
      <c r="O2400" s="126"/>
      <c r="T2400" s="126" t="s">
        <v>140</v>
      </c>
      <c r="U2400" s="126" t="s">
        <v>135</v>
      </c>
      <c r="V2400" s="126"/>
      <c r="X2400" s="126"/>
      <c r="Y2400" s="126"/>
      <c r="Z2400" s="126"/>
      <c r="AA2400" s="126"/>
      <c r="AB2400" s="126"/>
      <c r="AC2400" s="126"/>
      <c r="AD2400" s="126"/>
      <c r="AE2400" s="126"/>
      <c r="AH2400" s="126"/>
      <c r="AI2400" s="126"/>
      <c r="AK2400" s="126"/>
      <c r="AL2400" s="126"/>
      <c r="AM2400" s="126"/>
      <c r="AN2400" s="126"/>
      <c r="BG2400" s="23"/>
      <c r="BN2400" s="126"/>
      <c r="BT2400" s="23"/>
      <c r="CD2400" s="23"/>
      <c r="DF2400" s="16" t="e">
        <f>VLOOKUP(K2400,'[3]RNA Seq summary tables'!$V$3:$V$99,1,FALSE)</f>
        <v>#N/A</v>
      </c>
      <c r="DG2400" s="126"/>
    </row>
    <row r="2401" spans="2:287" ht="16" x14ac:dyDescent="0.2">
      <c r="B2401" s="16">
        <v>2018</v>
      </c>
      <c r="C2401" s="124">
        <v>43253</v>
      </c>
      <c r="D2401" t="s">
        <v>459</v>
      </c>
      <c r="E2401" s="20" t="str">
        <f>CONCATENATE(T2401,"-",U2401,"-",C2401)</f>
        <v>SP2-E1-43253</v>
      </c>
      <c r="F2401" s="16" t="s">
        <v>227</v>
      </c>
      <c r="G2401" s="126" t="s">
        <v>278</v>
      </c>
      <c r="H2401" s="126"/>
      <c r="J2401" s="126">
        <v>1457</v>
      </c>
      <c r="K2401" s="126"/>
      <c r="O2401" s="126"/>
      <c r="T2401" s="126" t="s">
        <v>137</v>
      </c>
      <c r="U2401" s="126" t="s">
        <v>222</v>
      </c>
      <c r="V2401" s="126"/>
      <c r="X2401" s="126"/>
      <c r="Y2401" s="126"/>
      <c r="Z2401" s="126"/>
      <c r="AA2401" s="126"/>
      <c r="AB2401" s="126"/>
      <c r="AC2401" s="126"/>
      <c r="AD2401" s="126"/>
      <c r="AE2401" s="126"/>
      <c r="AH2401" s="126"/>
      <c r="AI2401" s="126"/>
      <c r="AK2401" s="126"/>
      <c r="AL2401" s="126"/>
      <c r="AM2401" s="126"/>
      <c r="AN2401" s="126"/>
      <c r="BG2401" s="23"/>
      <c r="BN2401" s="126"/>
      <c r="BT2401" s="23"/>
      <c r="CD2401" s="23"/>
      <c r="DF2401" s="16" t="e">
        <f>VLOOKUP(K2401,'[3]RNA Seq summary tables'!$V$3:$V$99,1,FALSE)</f>
        <v>#N/A</v>
      </c>
      <c r="DG2401" s="126"/>
    </row>
    <row r="2402" spans="2:287" ht="16" x14ac:dyDescent="0.2">
      <c r="B2402" s="16">
        <v>2018</v>
      </c>
      <c r="C2402" s="124">
        <v>43270</v>
      </c>
      <c r="D2402" t="s">
        <v>517</v>
      </c>
      <c r="E2402" s="20" t="str">
        <f>CONCATENATE(T2402,"-",U2402,"-",C2402)</f>
        <v>SP2-F2-43270</v>
      </c>
      <c r="F2402" s="16" t="s">
        <v>227</v>
      </c>
      <c r="G2402" s="126" t="s">
        <v>278</v>
      </c>
      <c r="H2402" s="126"/>
      <c r="J2402" s="126">
        <v>1458</v>
      </c>
      <c r="K2402" s="126"/>
      <c r="O2402" s="126"/>
      <c r="T2402" s="126" t="s">
        <v>137</v>
      </c>
      <c r="U2402" s="126" t="s">
        <v>187</v>
      </c>
      <c r="V2402" s="126"/>
      <c r="X2402" s="126"/>
      <c r="Y2402" s="126"/>
      <c r="Z2402" s="126"/>
      <c r="AA2402" s="126"/>
      <c r="AB2402" s="126"/>
      <c r="AC2402" s="126"/>
      <c r="AD2402" s="126"/>
      <c r="AE2402" s="126"/>
      <c r="AH2402" s="126"/>
      <c r="AI2402" s="126"/>
      <c r="AK2402" s="126"/>
      <c r="AL2402" s="126"/>
      <c r="AM2402" s="126"/>
      <c r="AN2402" s="126"/>
      <c r="BG2402" s="23"/>
      <c r="BN2402" s="126"/>
      <c r="BT2402" s="23"/>
      <c r="CD2402" s="23"/>
      <c r="DF2402" s="16" t="e">
        <f>VLOOKUP(K2402,'[3]RNA Seq summary tables'!$V$3:$V$99,1,FALSE)</f>
        <v>#N/A</v>
      </c>
      <c r="DG2402" s="126"/>
    </row>
    <row r="2403" spans="2:287" ht="16" x14ac:dyDescent="0.2">
      <c r="B2403" s="16">
        <v>2018</v>
      </c>
      <c r="C2403" s="147">
        <v>43314</v>
      </c>
      <c r="D2403" t="s">
        <v>1224</v>
      </c>
      <c r="E2403" s="20" t="str">
        <f>CONCATENATE(T2403,"-",U2403,"-",C2403)</f>
        <v>SP2-F6-43314</v>
      </c>
      <c r="F2403" s="16" t="s">
        <v>227</v>
      </c>
      <c r="G2403" s="145" t="s">
        <v>278</v>
      </c>
      <c r="H2403" s="145"/>
      <c r="I2403" s="145"/>
      <c r="J2403" s="145">
        <v>1458</v>
      </c>
      <c r="K2403" s="145"/>
      <c r="M2403" s="16"/>
      <c r="N2403" s="16"/>
      <c r="O2403" s="145"/>
      <c r="P2403" s="145"/>
      <c r="Q2403" s="145"/>
      <c r="R2403" s="145"/>
      <c r="S2403" s="145"/>
      <c r="T2403" s="145" t="s">
        <v>137</v>
      </c>
      <c r="U2403" s="145" t="s">
        <v>170</v>
      </c>
      <c r="V2403" s="145"/>
      <c r="W2403" s="145"/>
      <c r="X2403" s="145"/>
      <c r="Y2403" s="145"/>
      <c r="Z2403" s="145"/>
      <c r="AA2403" s="145"/>
      <c r="AB2403" s="145"/>
      <c r="AC2403" s="145"/>
      <c r="AD2403" s="145"/>
      <c r="AE2403" s="145"/>
      <c r="AF2403" s="145"/>
      <c r="AG2403" s="145"/>
      <c r="AH2403" s="145"/>
      <c r="AI2403" s="145"/>
      <c r="AJ2403" s="145"/>
      <c r="AK2403" s="145"/>
      <c r="AL2403" s="145"/>
      <c r="AM2403" s="145"/>
      <c r="AN2403" s="145"/>
      <c r="AT2403" s="16" t="e">
        <f>VLOOKUP(E2403,[2]Current!$A$1:$W$435,7,FALSE)</f>
        <v>#N/A</v>
      </c>
      <c r="DG2403" s="145"/>
      <c r="DT2403"/>
      <c r="DU2403" s="145"/>
      <c r="DX2403" s="145"/>
      <c r="DY2403" s="145"/>
      <c r="DZ2403" s="16"/>
      <c r="EA2403" s="16"/>
      <c r="EB2403" s="16"/>
      <c r="EC2403" s="16"/>
      <c r="ED2403" s="16"/>
      <c r="EE2403" s="16"/>
      <c r="EF2403" s="16"/>
      <c r="JO2403" s="18"/>
      <c r="JP2403" s="18"/>
      <c r="JQ2403" s="18"/>
      <c r="JR2403" s="18"/>
      <c r="JS2403" s="18"/>
      <c r="JT2403" s="18"/>
      <c r="JU2403" s="18"/>
      <c r="JV2403" s="18"/>
      <c r="JW2403" s="18"/>
      <c r="JX2403" s="18"/>
      <c r="JY2403" s="18"/>
      <c r="JZ2403" s="18"/>
      <c r="KA2403" s="18"/>
    </row>
    <row r="2404" spans="2:287" ht="16" x14ac:dyDescent="0.2">
      <c r="B2404" s="16">
        <v>2018</v>
      </c>
      <c r="C2404" s="124">
        <v>43253</v>
      </c>
      <c r="D2404" t="s">
        <v>460</v>
      </c>
      <c r="E2404" s="20" t="str">
        <f>CONCATENATE(T2404,"-",U2404,"-",C2404)</f>
        <v>SP2-G5-43253</v>
      </c>
      <c r="F2404" s="16" t="s">
        <v>227</v>
      </c>
      <c r="G2404" s="126" t="s">
        <v>278</v>
      </c>
      <c r="H2404" s="126"/>
      <c r="J2404" s="126">
        <v>1459</v>
      </c>
      <c r="K2404" s="126"/>
      <c r="O2404" s="126"/>
      <c r="T2404" s="126" t="s">
        <v>137</v>
      </c>
      <c r="U2404" s="126" t="s">
        <v>200</v>
      </c>
      <c r="V2404" s="126"/>
      <c r="X2404" s="126"/>
      <c r="Y2404" s="126"/>
      <c r="Z2404" s="126"/>
      <c r="AA2404" s="126"/>
      <c r="AB2404" s="126"/>
      <c r="AC2404" s="126"/>
      <c r="AD2404" s="126"/>
      <c r="AE2404" s="126"/>
      <c r="AH2404" s="126"/>
      <c r="AI2404" s="126"/>
      <c r="AK2404" s="126"/>
      <c r="AL2404" s="126"/>
      <c r="AM2404" s="126"/>
      <c r="AN2404" s="126"/>
      <c r="BG2404" s="23"/>
      <c r="BN2404" s="126"/>
      <c r="BT2404" s="23"/>
      <c r="CD2404" s="23"/>
      <c r="DF2404" s="16" t="e">
        <f>VLOOKUP(K2404,'[3]RNA Seq summary tables'!$V$3:$V$99,1,FALSE)</f>
        <v>#N/A</v>
      </c>
      <c r="DG2404" s="126"/>
    </row>
    <row r="2405" spans="2:287" ht="16" x14ac:dyDescent="0.2">
      <c r="B2405" s="16">
        <v>2018</v>
      </c>
      <c r="C2405" s="124">
        <v>43270</v>
      </c>
      <c r="D2405" t="s">
        <v>519</v>
      </c>
      <c r="E2405" s="20" t="str">
        <f>CONCATENATE(T2405,"-",U2405,"-",C2405)</f>
        <v>SP2-F5-43270</v>
      </c>
      <c r="F2405" s="16" t="s">
        <v>227</v>
      </c>
      <c r="G2405" s="126" t="s">
        <v>278</v>
      </c>
      <c r="H2405" s="126"/>
      <c r="J2405" s="126">
        <v>1459</v>
      </c>
      <c r="K2405" s="126"/>
      <c r="O2405" s="126"/>
      <c r="T2405" s="126" t="s">
        <v>137</v>
      </c>
      <c r="U2405" s="126" t="s">
        <v>185</v>
      </c>
      <c r="V2405" s="126"/>
      <c r="X2405" s="126"/>
      <c r="Y2405" s="126"/>
      <c r="Z2405" s="126"/>
      <c r="AA2405" s="126"/>
      <c r="AB2405" s="126"/>
      <c r="AC2405" s="126"/>
      <c r="AD2405" s="126"/>
      <c r="AE2405" s="126"/>
      <c r="AH2405" s="126"/>
      <c r="AI2405" s="126"/>
      <c r="AK2405" s="126"/>
      <c r="AL2405" s="126"/>
      <c r="AM2405" s="126"/>
      <c r="AN2405" s="126"/>
      <c r="BG2405" s="23"/>
      <c r="BN2405" s="126"/>
      <c r="BT2405" s="23"/>
      <c r="CD2405" s="23"/>
      <c r="DF2405" s="16" t="e">
        <f>VLOOKUP(K2405,'[3]RNA Seq summary tables'!$V$3:$V$99,1,FALSE)</f>
        <v>#N/A</v>
      </c>
      <c r="DG2405" s="126"/>
    </row>
    <row r="2406" spans="2:287" ht="16" x14ac:dyDescent="0.2">
      <c r="B2406" s="16">
        <v>2018</v>
      </c>
      <c r="C2406" s="124">
        <v>43271</v>
      </c>
      <c r="D2406" t="s">
        <v>526</v>
      </c>
      <c r="E2406" s="20" t="str">
        <f>CONCATENATE(T2406,"-",U2406,"-",C2406)</f>
        <v>SP2-G3-43271</v>
      </c>
      <c r="F2406" s="16" t="s">
        <v>227</v>
      </c>
      <c r="G2406" s="126" t="s">
        <v>278</v>
      </c>
      <c r="H2406" s="126"/>
      <c r="J2406" s="126">
        <v>1459</v>
      </c>
      <c r="K2406" s="126"/>
      <c r="O2406" s="126"/>
      <c r="T2406" s="126" t="s">
        <v>137</v>
      </c>
      <c r="U2406" s="126" t="s">
        <v>179</v>
      </c>
      <c r="V2406" s="126"/>
      <c r="X2406" s="126"/>
      <c r="Y2406" s="126"/>
      <c r="Z2406" s="126"/>
      <c r="AA2406" s="126"/>
      <c r="AB2406" s="126"/>
      <c r="AC2406" s="126"/>
      <c r="AD2406" s="126"/>
      <c r="AE2406" s="126"/>
      <c r="AH2406" s="126"/>
      <c r="AI2406" s="126"/>
      <c r="AK2406" s="126"/>
      <c r="AL2406" s="126"/>
      <c r="AM2406" s="126"/>
      <c r="AN2406" s="126"/>
      <c r="BG2406" s="23"/>
      <c r="BN2406" s="126"/>
      <c r="BT2406" s="23"/>
      <c r="CD2406" s="23"/>
      <c r="DF2406" s="16" t="e">
        <f>VLOOKUP(K2406,'[3]RNA Seq summary tables'!$V$3:$V$99,1,FALSE)</f>
        <v>#N/A</v>
      </c>
      <c r="DG2406" s="126"/>
    </row>
    <row r="2407" spans="2:287" ht="16" x14ac:dyDescent="0.2">
      <c r="B2407" s="16">
        <v>2018</v>
      </c>
      <c r="C2407" s="124">
        <v>43287</v>
      </c>
      <c r="D2407" t="s">
        <v>610</v>
      </c>
      <c r="E2407" s="20" t="str">
        <f>CONCATENATE(T2407,"-",U2407,"-",C2407)</f>
        <v>SP2-G5-43287</v>
      </c>
      <c r="F2407" s="16" t="s">
        <v>227</v>
      </c>
      <c r="G2407" s="126" t="s">
        <v>278</v>
      </c>
      <c r="H2407" s="126"/>
      <c r="J2407" s="126">
        <v>1459</v>
      </c>
      <c r="K2407" s="126"/>
      <c r="O2407" s="126"/>
      <c r="T2407" s="126" t="s">
        <v>137</v>
      </c>
      <c r="U2407" s="126" t="s">
        <v>200</v>
      </c>
      <c r="V2407" s="126"/>
      <c r="X2407" s="126"/>
      <c r="Y2407" s="126"/>
      <c r="Z2407" s="126"/>
      <c r="AA2407" s="126"/>
      <c r="AB2407" s="126"/>
      <c r="AC2407" s="126"/>
      <c r="AD2407" s="126"/>
      <c r="AE2407" s="126"/>
      <c r="AH2407" s="126"/>
      <c r="AI2407" s="126"/>
      <c r="AK2407" s="126"/>
      <c r="AL2407" s="126"/>
      <c r="AM2407" s="126"/>
      <c r="AN2407" s="126"/>
      <c r="BG2407" s="23"/>
      <c r="BN2407" s="126"/>
      <c r="BT2407" s="23"/>
      <c r="CD2407" s="23"/>
      <c r="DF2407" s="16" t="e">
        <f>VLOOKUP(K2407,'[3]RNA Seq summary tables'!$V$3:$V$99,1,FALSE)</f>
        <v>#N/A</v>
      </c>
      <c r="DG2407" s="126"/>
    </row>
    <row r="2408" spans="2:287" ht="16" x14ac:dyDescent="0.2">
      <c r="B2408" s="16">
        <v>2018</v>
      </c>
      <c r="C2408" s="124">
        <v>43288</v>
      </c>
      <c r="D2408" t="s">
        <v>614</v>
      </c>
      <c r="E2408" s="20" t="str">
        <f>CONCATENATE(T2408,"-",U2408,"-",C2408)</f>
        <v>SP2-F5-43288</v>
      </c>
      <c r="F2408" s="16" t="s">
        <v>227</v>
      </c>
      <c r="G2408" s="126" t="s">
        <v>278</v>
      </c>
      <c r="H2408" s="126"/>
      <c r="J2408" s="126">
        <v>1459</v>
      </c>
      <c r="K2408" s="126"/>
      <c r="O2408" s="126"/>
      <c r="T2408" s="126" t="s">
        <v>137</v>
      </c>
      <c r="U2408" s="126" t="s">
        <v>185</v>
      </c>
      <c r="V2408" s="126"/>
      <c r="X2408" s="126"/>
      <c r="Y2408" s="126"/>
      <c r="Z2408" s="126"/>
      <c r="AA2408" s="126"/>
      <c r="AB2408" s="126"/>
      <c r="AC2408" s="126"/>
      <c r="AD2408" s="126"/>
      <c r="AE2408" s="126"/>
      <c r="AH2408" s="126"/>
      <c r="AI2408" s="126"/>
      <c r="AK2408" s="126"/>
      <c r="AL2408" s="126"/>
      <c r="AM2408" s="126"/>
      <c r="AN2408" s="126"/>
      <c r="BG2408" s="23"/>
      <c r="BN2408" s="126"/>
      <c r="BT2408" s="23"/>
      <c r="CD2408" s="23"/>
      <c r="DF2408" s="16" t="e">
        <f>VLOOKUP(K2408,'[3]RNA Seq summary tables'!$V$3:$V$99,1,FALSE)</f>
        <v>#N/A</v>
      </c>
      <c r="DG2408" s="126"/>
    </row>
    <row r="2409" spans="2:287" ht="16" x14ac:dyDescent="0.2">
      <c r="B2409" s="16">
        <v>2018</v>
      </c>
      <c r="C2409" s="147">
        <v>43314</v>
      </c>
      <c r="D2409" t="s">
        <v>1225</v>
      </c>
      <c r="E2409" s="20" t="str">
        <f>CONCATENATE(T2409,"-",U2409,"-",C2409)</f>
        <v>SP2-G1-43314</v>
      </c>
      <c r="F2409" s="16" t="s">
        <v>227</v>
      </c>
      <c r="G2409" s="145" t="s">
        <v>278</v>
      </c>
      <c r="H2409" s="145"/>
      <c r="I2409" s="145"/>
      <c r="J2409" s="145">
        <v>1459</v>
      </c>
      <c r="K2409" s="145"/>
      <c r="M2409" s="16"/>
      <c r="N2409" s="16"/>
      <c r="O2409" s="145"/>
      <c r="P2409" s="145"/>
      <c r="Q2409" s="145"/>
      <c r="R2409" s="145"/>
      <c r="S2409" s="145"/>
      <c r="T2409" s="145" t="s">
        <v>137</v>
      </c>
      <c r="U2409" s="145" t="s">
        <v>155</v>
      </c>
      <c r="V2409" s="145"/>
      <c r="W2409" s="145"/>
      <c r="X2409" s="145"/>
      <c r="Y2409" s="145"/>
      <c r="Z2409" s="145"/>
      <c r="AA2409" s="145"/>
      <c r="AB2409" s="145"/>
      <c r="AC2409" s="145"/>
      <c r="AD2409" s="145"/>
      <c r="AE2409" s="145"/>
      <c r="AF2409" s="145"/>
      <c r="AG2409" s="145"/>
      <c r="AH2409" s="145"/>
      <c r="AI2409" s="145"/>
      <c r="AJ2409" s="145"/>
      <c r="AK2409" s="145"/>
      <c r="AL2409" s="145"/>
      <c r="AM2409" s="145"/>
      <c r="AN2409" s="145"/>
      <c r="AT2409" s="16" t="e">
        <f>VLOOKUP(E2409,[2]Current!$A$1:$W$435,7,FALSE)</f>
        <v>#N/A</v>
      </c>
      <c r="DG2409" s="145"/>
      <c r="DT2409"/>
      <c r="DU2409" s="145"/>
      <c r="DX2409" s="145"/>
      <c r="DY2409" s="145"/>
      <c r="DZ2409" s="16"/>
      <c r="EA2409" s="16"/>
      <c r="EB2409" s="16"/>
      <c r="EC2409" s="16"/>
      <c r="ED2409" s="16"/>
      <c r="EE2409" s="16"/>
      <c r="EF2409" s="16"/>
      <c r="JO2409" s="18"/>
      <c r="JP2409" s="18"/>
      <c r="JQ2409" s="18"/>
      <c r="JR2409" s="18"/>
      <c r="JS2409" s="18"/>
      <c r="JT2409" s="18"/>
      <c r="JU2409" s="18"/>
      <c r="JV2409" s="18"/>
      <c r="JW2409" s="18"/>
      <c r="JX2409" s="18"/>
      <c r="JY2409" s="18"/>
      <c r="JZ2409" s="18"/>
      <c r="KA2409" s="18"/>
    </row>
    <row r="2410" spans="2:287" ht="16" x14ac:dyDescent="0.2">
      <c r="B2410" s="16">
        <v>2018</v>
      </c>
      <c r="C2410" s="124">
        <v>43259</v>
      </c>
      <c r="D2410" t="s">
        <v>470</v>
      </c>
      <c r="E2410" s="20" t="str">
        <f>CONCATENATE(T2410,"-",U2410,"-",C2410)</f>
        <v>BC1-H2-43259</v>
      </c>
      <c r="F2410" s="16" t="s">
        <v>227</v>
      </c>
      <c r="G2410" s="126" t="s">
        <v>278</v>
      </c>
      <c r="H2410" s="126"/>
      <c r="J2410" s="126">
        <v>1460</v>
      </c>
      <c r="K2410" s="126"/>
      <c r="O2410" s="126"/>
      <c r="T2410" s="126" t="s">
        <v>159</v>
      </c>
      <c r="U2410" s="126" t="s">
        <v>190</v>
      </c>
      <c r="V2410" s="126"/>
      <c r="X2410" s="126"/>
      <c r="Y2410" s="126"/>
      <c r="Z2410" s="126"/>
      <c r="AA2410" s="126"/>
      <c r="AB2410" s="126"/>
      <c r="AC2410" s="126"/>
      <c r="AD2410" s="126"/>
      <c r="AE2410" s="126"/>
      <c r="AH2410" s="126"/>
      <c r="AI2410" s="126"/>
      <c r="AK2410" s="126"/>
      <c r="AL2410" s="126"/>
      <c r="AM2410" s="126"/>
      <c r="AN2410" s="126"/>
      <c r="BG2410" s="23"/>
      <c r="BN2410" s="126"/>
      <c r="BT2410" s="23"/>
      <c r="CD2410" s="23"/>
      <c r="DF2410" s="16" t="e">
        <f>VLOOKUP(K2410,'[3]RNA Seq summary tables'!$V$3:$V$99,1,FALSE)</f>
        <v>#N/A</v>
      </c>
      <c r="DG2410" s="126"/>
    </row>
    <row r="2411" spans="2:287" ht="16" x14ac:dyDescent="0.2">
      <c r="B2411" s="16">
        <v>2018</v>
      </c>
      <c r="C2411" s="124">
        <v>43275</v>
      </c>
      <c r="D2411" t="s">
        <v>540</v>
      </c>
      <c r="E2411" s="20" t="str">
        <f>CONCATENATE(T2411,"-",U2411,"-",C2411)</f>
        <v>BC2-A5-43275</v>
      </c>
      <c r="F2411" s="16" t="s">
        <v>227</v>
      </c>
      <c r="G2411" s="126" t="s">
        <v>278</v>
      </c>
      <c r="H2411" s="126"/>
      <c r="J2411" s="126">
        <v>1460</v>
      </c>
      <c r="K2411" s="126"/>
      <c r="O2411" s="126"/>
      <c r="T2411" s="126" t="s">
        <v>154</v>
      </c>
      <c r="U2411" s="126" t="s">
        <v>167</v>
      </c>
      <c r="V2411" s="126"/>
      <c r="X2411" s="126"/>
      <c r="Y2411" s="126"/>
      <c r="Z2411" s="126"/>
      <c r="AA2411" s="126"/>
      <c r="AB2411" s="126"/>
      <c r="AC2411" s="126"/>
      <c r="AD2411" s="126"/>
      <c r="AE2411" s="126"/>
      <c r="AH2411" s="126"/>
      <c r="AI2411" s="126"/>
      <c r="AK2411" s="126"/>
      <c r="AL2411" s="126"/>
      <c r="AM2411" s="126"/>
      <c r="AN2411" s="126"/>
      <c r="BG2411" s="23"/>
      <c r="BN2411" s="126"/>
      <c r="BT2411" s="23"/>
      <c r="CD2411" s="23"/>
      <c r="DF2411" s="16" t="e">
        <f>VLOOKUP(K2411,'[3]RNA Seq summary tables'!$V$3:$V$99,1,FALSE)</f>
        <v>#N/A</v>
      </c>
      <c r="DG2411" s="126"/>
    </row>
    <row r="2412" spans="2:287" ht="16" x14ac:dyDescent="0.2">
      <c r="B2412" s="16">
        <v>2018</v>
      </c>
      <c r="C2412" s="124">
        <v>43276</v>
      </c>
      <c r="D2412" t="s">
        <v>541</v>
      </c>
      <c r="E2412" s="20" t="str">
        <f>CONCATENATE(T2412,"-",U2412,"-",C2412)</f>
        <v>BC2-A4-43276</v>
      </c>
      <c r="F2412" s="16" t="s">
        <v>227</v>
      </c>
      <c r="G2412" s="126" t="s">
        <v>278</v>
      </c>
      <c r="H2412" s="126"/>
      <c r="J2412" s="126">
        <v>1460</v>
      </c>
      <c r="K2412" s="126"/>
      <c r="O2412" s="126"/>
      <c r="T2412" s="126" t="s">
        <v>154</v>
      </c>
      <c r="U2412" s="126" t="s">
        <v>134</v>
      </c>
      <c r="V2412" s="126"/>
      <c r="X2412" s="126"/>
      <c r="Y2412" s="126"/>
      <c r="Z2412" s="126"/>
      <c r="AA2412" s="126"/>
      <c r="AB2412" s="126"/>
      <c r="AC2412" s="126"/>
      <c r="AD2412" s="126"/>
      <c r="AE2412" s="126"/>
      <c r="AH2412" s="126"/>
      <c r="AI2412" s="126"/>
      <c r="AK2412" s="126"/>
      <c r="AL2412" s="126"/>
      <c r="AM2412" s="126"/>
      <c r="AN2412" s="126"/>
      <c r="BG2412" s="23"/>
      <c r="BN2412" s="126"/>
      <c r="BT2412" s="23"/>
      <c r="CD2412" s="23"/>
      <c r="DF2412" s="16" t="e">
        <f>VLOOKUP(K2412,'[3]RNA Seq summary tables'!$V$3:$V$99,1,FALSE)</f>
        <v>#N/A</v>
      </c>
      <c r="DG2412" s="126"/>
    </row>
    <row r="2413" spans="2:287" ht="16" x14ac:dyDescent="0.2">
      <c r="B2413" s="16">
        <v>2018</v>
      </c>
      <c r="C2413" s="124">
        <v>43293</v>
      </c>
      <c r="D2413" t="s">
        <v>624</v>
      </c>
      <c r="E2413" s="20" t="str">
        <f>CONCATENATE(T2413,"-",U2413,"-",C2413)</f>
        <v>BC2-A6-43293</v>
      </c>
      <c r="F2413" s="16" t="s">
        <v>227</v>
      </c>
      <c r="G2413" s="126" t="s">
        <v>278</v>
      </c>
      <c r="H2413" s="126"/>
      <c r="J2413" s="126">
        <v>1460</v>
      </c>
      <c r="K2413" s="126"/>
      <c r="O2413" s="126"/>
      <c r="T2413" s="126" t="s">
        <v>154</v>
      </c>
      <c r="U2413" s="126" t="s">
        <v>147</v>
      </c>
      <c r="V2413" s="126"/>
      <c r="X2413" s="126"/>
      <c r="Y2413" s="126"/>
      <c r="Z2413" s="126"/>
      <c r="AA2413" s="126"/>
      <c r="AB2413" s="126"/>
      <c r="AC2413" s="126"/>
      <c r="AD2413" s="126"/>
      <c r="AE2413" s="126"/>
      <c r="AH2413" s="126"/>
      <c r="AI2413" s="126"/>
      <c r="AK2413" s="126"/>
      <c r="AL2413" s="126"/>
      <c r="AM2413" s="126"/>
      <c r="AN2413" s="126"/>
      <c r="BG2413" s="23"/>
      <c r="BN2413" s="126"/>
      <c r="BT2413" s="23"/>
      <c r="CD2413" s="23"/>
      <c r="DF2413" s="16" t="e">
        <f>VLOOKUP(K2413,'[3]RNA Seq summary tables'!$V$3:$V$99,1,FALSE)</f>
        <v>#N/A</v>
      </c>
      <c r="DG2413" s="126"/>
    </row>
    <row r="2414" spans="2:287" ht="16" x14ac:dyDescent="0.2">
      <c r="B2414" s="16">
        <v>2018</v>
      </c>
      <c r="C2414" s="124">
        <v>43270</v>
      </c>
      <c r="D2414" t="s">
        <v>516</v>
      </c>
      <c r="E2414" s="20" t="str">
        <f>CONCATENATE(T2414,"-",U2414,"-",C2414)</f>
        <v>SP2-B7-43270</v>
      </c>
      <c r="F2414" s="16" t="s">
        <v>227</v>
      </c>
      <c r="G2414" s="126" t="s">
        <v>278</v>
      </c>
      <c r="H2414" s="126"/>
      <c r="J2414" s="126">
        <v>1461</v>
      </c>
      <c r="K2414" s="126"/>
      <c r="O2414" s="126"/>
      <c r="T2414" s="126" t="s">
        <v>137</v>
      </c>
      <c r="U2414" s="126" t="s">
        <v>168</v>
      </c>
      <c r="V2414" s="126"/>
      <c r="X2414" s="126"/>
      <c r="Y2414" s="126"/>
      <c r="Z2414" s="126"/>
      <c r="AA2414" s="126"/>
      <c r="AB2414" s="126"/>
      <c r="AC2414" s="126"/>
      <c r="AD2414" s="126"/>
      <c r="AE2414" s="126"/>
      <c r="AH2414" s="126"/>
      <c r="AI2414" s="126"/>
      <c r="AK2414" s="126"/>
      <c r="AL2414" s="126"/>
      <c r="AM2414" s="126"/>
      <c r="AN2414" s="126"/>
      <c r="BG2414" s="23"/>
      <c r="BN2414" s="126"/>
      <c r="BT2414" s="23"/>
      <c r="CD2414" s="23"/>
      <c r="DF2414" s="16" t="e">
        <f>VLOOKUP(K2414,'[3]RNA Seq summary tables'!$V$3:$V$99,1,FALSE)</f>
        <v>#N/A</v>
      </c>
      <c r="DG2414" s="126"/>
    </row>
    <row r="2415" spans="2:287" ht="16" x14ac:dyDescent="0.2">
      <c r="B2415" s="16">
        <v>2018</v>
      </c>
      <c r="C2415" s="124">
        <v>43271</v>
      </c>
      <c r="D2415" t="s">
        <v>525</v>
      </c>
      <c r="E2415" s="20" t="str">
        <f>CONCATENATE(T2415,"-",U2415,"-",C2415)</f>
        <v>SP2-B6-43271</v>
      </c>
      <c r="F2415" s="16" t="s">
        <v>227</v>
      </c>
      <c r="G2415" s="126" t="s">
        <v>278</v>
      </c>
      <c r="H2415" s="126"/>
      <c r="J2415" s="126">
        <v>1461</v>
      </c>
      <c r="K2415" s="126"/>
      <c r="O2415" s="126"/>
      <c r="T2415" s="126" t="s">
        <v>137</v>
      </c>
      <c r="U2415" s="126" t="s">
        <v>132</v>
      </c>
      <c r="V2415" s="126"/>
      <c r="X2415" s="126"/>
      <c r="Y2415" s="126"/>
      <c r="Z2415" s="126"/>
      <c r="AA2415" s="126"/>
      <c r="AB2415" s="126"/>
      <c r="AC2415" s="126"/>
      <c r="AD2415" s="126"/>
      <c r="AE2415" s="126"/>
      <c r="AH2415" s="126"/>
      <c r="AI2415" s="126"/>
      <c r="AK2415" s="126"/>
      <c r="AL2415" s="126"/>
      <c r="AM2415" s="126"/>
      <c r="AN2415" s="126"/>
      <c r="BG2415" s="23"/>
      <c r="BN2415" s="126"/>
      <c r="BT2415" s="23"/>
      <c r="CD2415" s="23"/>
      <c r="DF2415" s="16" t="e">
        <f>VLOOKUP(K2415,'[3]RNA Seq summary tables'!$V$3:$V$99,1,FALSE)</f>
        <v>#N/A</v>
      </c>
      <c r="DG2415" s="126"/>
    </row>
    <row r="2416" spans="2:287" ht="16" x14ac:dyDescent="0.2">
      <c r="B2416" s="16">
        <v>2018</v>
      </c>
      <c r="C2416" s="124">
        <v>43287</v>
      </c>
      <c r="D2416" t="s">
        <v>605</v>
      </c>
      <c r="E2416" s="20" t="str">
        <f>CONCATENATE(T2416,"-",U2416,"-",C2416)</f>
        <v>SP2-A2-43287</v>
      </c>
      <c r="F2416" s="16" t="s">
        <v>227</v>
      </c>
      <c r="G2416" s="126" t="s">
        <v>278</v>
      </c>
      <c r="H2416" s="126"/>
      <c r="J2416" s="126">
        <v>1461</v>
      </c>
      <c r="K2416" s="126"/>
      <c r="O2416" s="126"/>
      <c r="T2416" s="126" t="s">
        <v>137</v>
      </c>
      <c r="U2416" s="126" t="s">
        <v>171</v>
      </c>
      <c r="V2416" s="126"/>
      <c r="X2416" s="126"/>
      <c r="Y2416" s="126"/>
      <c r="Z2416" s="126"/>
      <c r="AA2416" s="126"/>
      <c r="AB2416" s="126"/>
      <c r="AC2416" s="126"/>
      <c r="AD2416" s="126"/>
      <c r="AE2416" s="126"/>
      <c r="AH2416" s="126"/>
      <c r="AI2416" s="126"/>
      <c r="AK2416" s="126"/>
      <c r="AL2416" s="126"/>
      <c r="AM2416" s="126"/>
      <c r="AN2416" s="126"/>
      <c r="BG2416" s="23"/>
      <c r="BN2416" s="126"/>
      <c r="BT2416" s="23"/>
      <c r="CD2416" s="23"/>
      <c r="DF2416" s="16" t="e">
        <f>VLOOKUP(K2416,'[3]RNA Seq summary tables'!$V$3:$V$99,1,FALSE)</f>
        <v>#N/A</v>
      </c>
      <c r="DG2416" s="126"/>
    </row>
    <row r="2417" spans="2:287" ht="16" x14ac:dyDescent="0.2">
      <c r="B2417" s="16">
        <v>2018</v>
      </c>
      <c r="C2417" s="147">
        <v>43316</v>
      </c>
      <c r="D2417" t="s">
        <v>1267</v>
      </c>
      <c r="E2417" s="20" t="str">
        <f>CONCATENATE(T2417,"-",U2417,"-",C2417)</f>
        <v>PO1-F1-43316</v>
      </c>
      <c r="F2417" s="16" t="s">
        <v>227</v>
      </c>
      <c r="G2417" s="145" t="s">
        <v>278</v>
      </c>
      <c r="H2417" s="145"/>
      <c r="I2417" s="145"/>
      <c r="J2417" s="145">
        <v>1462</v>
      </c>
      <c r="K2417" s="145"/>
      <c r="M2417" s="16"/>
      <c r="N2417" s="16"/>
      <c r="O2417" s="145"/>
      <c r="P2417" s="145"/>
      <c r="Q2417" s="145"/>
      <c r="R2417" s="145"/>
      <c r="S2417" s="145"/>
      <c r="T2417" s="145" t="s">
        <v>112</v>
      </c>
      <c r="U2417" s="145" t="s">
        <v>217</v>
      </c>
      <c r="V2417" s="145"/>
      <c r="W2417" s="145"/>
      <c r="X2417" s="145"/>
      <c r="Y2417" s="145"/>
      <c r="Z2417" s="145"/>
      <c r="AA2417" s="145"/>
      <c r="AB2417" s="145"/>
      <c r="AC2417" s="145"/>
      <c r="AD2417" s="145"/>
      <c r="AE2417" s="145"/>
      <c r="AF2417" s="145"/>
      <c r="AG2417" s="145"/>
      <c r="AH2417" s="145"/>
      <c r="AI2417" s="145"/>
      <c r="AJ2417" s="145"/>
      <c r="AK2417" s="145"/>
      <c r="AL2417" s="145"/>
      <c r="AM2417" s="145"/>
      <c r="AN2417" s="145"/>
      <c r="AT2417" s="16" t="e">
        <f>VLOOKUP(E2417,[2]Current!$A$1:$W$435,7,FALSE)</f>
        <v>#N/A</v>
      </c>
      <c r="DG2417" s="145"/>
      <c r="DT2417"/>
      <c r="DU2417" s="145"/>
      <c r="DX2417" s="145"/>
      <c r="DY2417" s="145"/>
      <c r="DZ2417" s="16"/>
      <c r="EA2417" s="16"/>
      <c r="EB2417" s="16"/>
      <c r="EC2417" s="16"/>
      <c r="ED2417" s="16"/>
      <c r="EE2417" s="16"/>
      <c r="EF2417" s="16"/>
      <c r="JO2417" s="18"/>
      <c r="JP2417" s="18"/>
      <c r="JQ2417" s="18"/>
      <c r="JR2417" s="18"/>
      <c r="JS2417" s="18"/>
      <c r="JT2417" s="18"/>
      <c r="JU2417" s="18"/>
      <c r="JV2417" s="18"/>
      <c r="JW2417" s="18"/>
      <c r="JX2417" s="18"/>
      <c r="JY2417" s="18"/>
      <c r="JZ2417" s="18"/>
      <c r="KA2417" s="18"/>
    </row>
    <row r="2418" spans="2:287" ht="16" x14ac:dyDescent="0.2">
      <c r="B2418" s="16">
        <v>2018</v>
      </c>
      <c r="C2418" s="124">
        <v>43275</v>
      </c>
      <c r="D2418" t="s">
        <v>537</v>
      </c>
      <c r="E2418" s="20" t="str">
        <f>CONCATENATE(T2418,"-",U2418,"-",C2418)</f>
        <v>BC1-G3-43275</v>
      </c>
      <c r="F2418" s="16" t="s">
        <v>227</v>
      </c>
      <c r="G2418" s="126" t="s">
        <v>278</v>
      </c>
      <c r="H2418" s="126"/>
      <c r="J2418" s="126">
        <v>1463</v>
      </c>
      <c r="K2418" s="126"/>
      <c r="O2418" s="126"/>
      <c r="T2418" s="126" t="s">
        <v>159</v>
      </c>
      <c r="U2418" s="126" t="s">
        <v>179</v>
      </c>
      <c r="V2418" s="126"/>
      <c r="X2418" s="126"/>
      <c r="Y2418" s="126"/>
      <c r="Z2418" s="126"/>
      <c r="AA2418" s="126"/>
      <c r="AB2418" s="126"/>
      <c r="AC2418" s="126"/>
      <c r="AD2418" s="126"/>
      <c r="AE2418" s="126"/>
      <c r="AH2418" s="126"/>
      <c r="AI2418" s="126"/>
      <c r="AK2418" s="126"/>
      <c r="AL2418" s="126"/>
      <c r="AM2418" s="126"/>
      <c r="AN2418" s="126"/>
      <c r="BG2418" s="23"/>
      <c r="BN2418" s="126"/>
      <c r="BT2418" s="23"/>
      <c r="CD2418" s="23"/>
      <c r="DF2418" s="16" t="e">
        <f>VLOOKUP(K2418,'[3]RNA Seq summary tables'!$V$3:$V$99,1,FALSE)</f>
        <v>#N/A</v>
      </c>
      <c r="DG2418" s="126"/>
    </row>
    <row r="2419" spans="2:287" ht="16" x14ac:dyDescent="0.2">
      <c r="B2419" s="16">
        <v>2018</v>
      </c>
      <c r="C2419" s="124">
        <v>43276</v>
      </c>
      <c r="D2419" t="s">
        <v>549</v>
      </c>
      <c r="E2419" s="20" t="str">
        <f>CONCATENATE(T2419,"-",U2419,"-",C2419)</f>
        <v>BC1-E1-43276</v>
      </c>
      <c r="F2419" s="16" t="s">
        <v>227</v>
      </c>
      <c r="G2419" s="126" t="s">
        <v>278</v>
      </c>
      <c r="H2419" s="126"/>
      <c r="J2419" s="126">
        <v>1463</v>
      </c>
      <c r="K2419" s="126"/>
      <c r="O2419" s="126"/>
      <c r="T2419" s="126" t="s">
        <v>159</v>
      </c>
      <c r="U2419" s="126" t="s">
        <v>222</v>
      </c>
      <c r="V2419" s="126"/>
      <c r="X2419" s="126"/>
      <c r="Y2419" s="126"/>
      <c r="Z2419" s="126"/>
      <c r="AA2419" s="126"/>
      <c r="AB2419" s="126"/>
      <c r="AC2419" s="126"/>
      <c r="AD2419" s="126"/>
      <c r="AE2419" s="126"/>
      <c r="AH2419" s="126"/>
      <c r="AI2419" s="126"/>
      <c r="AK2419" s="126"/>
      <c r="AL2419" s="126"/>
      <c r="AM2419" s="126"/>
      <c r="AN2419" s="126"/>
      <c r="BG2419" s="23"/>
      <c r="BN2419" s="126"/>
      <c r="BT2419" s="23"/>
      <c r="CD2419" s="23"/>
      <c r="DF2419" s="16" t="e">
        <f>VLOOKUP(K2419,'[3]RNA Seq summary tables'!$V$3:$V$99,1,FALSE)</f>
        <v>#N/A</v>
      </c>
      <c r="DG2419" s="126"/>
    </row>
    <row r="2420" spans="2:287" ht="16" x14ac:dyDescent="0.2">
      <c r="B2420" s="16">
        <v>2018</v>
      </c>
      <c r="C2420" s="124">
        <v>43258</v>
      </c>
      <c r="D2420" t="s">
        <v>465</v>
      </c>
      <c r="E2420" s="20" t="str">
        <f>CONCATENATE(T2420,"-",U2420,"-",C2420)</f>
        <v>BC1-H6-43258</v>
      </c>
      <c r="F2420" s="16" t="s">
        <v>227</v>
      </c>
      <c r="G2420" s="126" t="s">
        <v>278</v>
      </c>
      <c r="H2420" s="126"/>
      <c r="J2420" s="126">
        <v>1464</v>
      </c>
      <c r="K2420" s="126"/>
      <c r="O2420" s="126"/>
      <c r="T2420" s="126" t="s">
        <v>159</v>
      </c>
      <c r="U2420" s="126" t="s">
        <v>141</v>
      </c>
      <c r="V2420" s="126"/>
      <c r="X2420" s="126"/>
      <c r="Y2420" s="126"/>
      <c r="Z2420" s="126"/>
      <c r="AA2420" s="126"/>
      <c r="AB2420" s="126"/>
      <c r="AC2420" s="126"/>
      <c r="AD2420" s="126"/>
      <c r="AE2420" s="126"/>
      <c r="AH2420" s="126"/>
      <c r="AI2420" s="126"/>
      <c r="AK2420" s="126"/>
      <c r="AL2420" s="126"/>
      <c r="AM2420" s="126"/>
      <c r="AN2420" s="126"/>
      <c r="BG2420" s="23"/>
      <c r="BN2420" s="126"/>
      <c r="BT2420" s="23"/>
      <c r="CD2420" s="23"/>
      <c r="DF2420" s="16" t="e">
        <f>VLOOKUP(K2420,'[3]RNA Seq summary tables'!$V$3:$V$99,1,FALSE)</f>
        <v>#N/A</v>
      </c>
      <c r="DG2420" s="126"/>
    </row>
    <row r="2421" spans="2:287" ht="16" x14ac:dyDescent="0.2">
      <c r="B2421" s="16">
        <v>2018</v>
      </c>
      <c r="C2421" s="124">
        <v>43259</v>
      </c>
      <c r="D2421" t="s">
        <v>472</v>
      </c>
      <c r="E2421" s="20" t="str">
        <f>CONCATENATE(T2421,"-",U2421,"-",C2421)</f>
        <v>BC1-H8-43259</v>
      </c>
      <c r="F2421" s="16" t="s">
        <v>227</v>
      </c>
      <c r="G2421" s="126" t="s">
        <v>278</v>
      </c>
      <c r="H2421" s="126"/>
      <c r="J2421" s="126">
        <v>1464</v>
      </c>
      <c r="K2421" s="126"/>
      <c r="O2421" s="126"/>
      <c r="T2421" s="126" t="s">
        <v>159</v>
      </c>
      <c r="U2421" s="126" t="s">
        <v>152</v>
      </c>
      <c r="V2421" s="126"/>
      <c r="X2421" s="126"/>
      <c r="Y2421" s="126"/>
      <c r="Z2421" s="126"/>
      <c r="AA2421" s="126"/>
      <c r="AB2421" s="126"/>
      <c r="AC2421" s="126"/>
      <c r="AD2421" s="126"/>
      <c r="AE2421" s="126"/>
      <c r="AH2421" s="126"/>
      <c r="AI2421" s="126"/>
      <c r="AK2421" s="126"/>
      <c r="AL2421" s="126"/>
      <c r="AM2421" s="126"/>
      <c r="AN2421" s="126"/>
      <c r="BG2421" s="23"/>
      <c r="BN2421" s="126"/>
      <c r="BT2421" s="23"/>
      <c r="CD2421" s="23"/>
      <c r="DF2421" s="16" t="e">
        <f>VLOOKUP(K2421,'[3]RNA Seq summary tables'!$V$3:$V$99,1,FALSE)</f>
        <v>#N/A</v>
      </c>
      <c r="DG2421" s="126"/>
    </row>
    <row r="2422" spans="2:287" ht="16" x14ac:dyDescent="0.2">
      <c r="B2422" s="16">
        <v>2018</v>
      </c>
      <c r="C2422" s="124">
        <v>43259</v>
      </c>
      <c r="D2422" t="s">
        <v>467</v>
      </c>
      <c r="E2422" s="20" t="str">
        <f>CONCATENATE(T2422,"-",U2422,"-",C2422)</f>
        <v>BC2-B1-43259</v>
      </c>
      <c r="F2422" s="16" t="s">
        <v>227</v>
      </c>
      <c r="G2422" s="126" t="s">
        <v>278</v>
      </c>
      <c r="H2422" s="126"/>
      <c r="J2422" s="126">
        <v>1465</v>
      </c>
      <c r="K2422" s="126"/>
      <c r="O2422" s="126"/>
      <c r="T2422" s="126" t="s">
        <v>154</v>
      </c>
      <c r="U2422" s="126" t="s">
        <v>113</v>
      </c>
      <c r="V2422" s="126"/>
      <c r="X2422" s="126"/>
      <c r="Y2422" s="126"/>
      <c r="Z2422" s="126"/>
      <c r="AA2422" s="126"/>
      <c r="AB2422" s="126"/>
      <c r="AC2422" s="126"/>
      <c r="AD2422" s="126"/>
      <c r="AE2422" s="126"/>
      <c r="AH2422" s="126"/>
      <c r="AI2422" s="126"/>
      <c r="AK2422" s="126"/>
      <c r="AL2422" s="126"/>
      <c r="AM2422" s="126"/>
      <c r="AN2422" s="126"/>
      <c r="BG2422" s="23"/>
      <c r="BN2422" s="126"/>
      <c r="BT2422" s="23"/>
      <c r="CD2422" s="23"/>
      <c r="DF2422" s="16" t="e">
        <f>VLOOKUP(K2422,'[3]RNA Seq summary tables'!$V$3:$V$99,1,FALSE)</f>
        <v>#N/A</v>
      </c>
      <c r="DG2422" s="126"/>
    </row>
    <row r="2423" spans="2:287" ht="16" x14ac:dyDescent="0.2">
      <c r="B2423" s="16">
        <v>2018</v>
      </c>
      <c r="C2423" s="124">
        <v>43259</v>
      </c>
      <c r="D2423" t="s">
        <v>468</v>
      </c>
      <c r="E2423" s="20" t="str">
        <f>CONCATENATE(T2423,"-",U2423,"-",C2423)</f>
        <v>BC1-B2-43259</v>
      </c>
      <c r="F2423" s="16" t="s">
        <v>227</v>
      </c>
      <c r="G2423" s="126" t="s">
        <v>278</v>
      </c>
      <c r="H2423" s="126"/>
      <c r="J2423" s="126">
        <v>1466</v>
      </c>
      <c r="K2423" s="126"/>
      <c r="O2423" s="126"/>
      <c r="T2423" s="126" t="s">
        <v>159</v>
      </c>
      <c r="U2423" s="126" t="s">
        <v>130</v>
      </c>
      <c r="V2423" s="126"/>
      <c r="X2423" s="126"/>
      <c r="Y2423" s="126"/>
      <c r="Z2423" s="126"/>
      <c r="AA2423" s="126"/>
      <c r="AB2423" s="126"/>
      <c r="AC2423" s="126"/>
      <c r="AD2423" s="126"/>
      <c r="AE2423" s="126"/>
      <c r="AH2423" s="126"/>
      <c r="AI2423" s="126"/>
      <c r="AK2423" s="126"/>
      <c r="AL2423" s="126"/>
      <c r="AM2423" s="126"/>
      <c r="AN2423" s="126"/>
      <c r="BG2423" s="23"/>
      <c r="BN2423" s="126"/>
      <c r="BT2423" s="23"/>
      <c r="CD2423" s="23"/>
      <c r="DF2423" s="16" t="e">
        <f>VLOOKUP(K2423,'[3]RNA Seq summary tables'!$V$3:$V$99,1,FALSE)</f>
        <v>#N/A</v>
      </c>
      <c r="DG2423" s="126"/>
    </row>
    <row r="2424" spans="2:287" ht="16" x14ac:dyDescent="0.2">
      <c r="B2424" s="16">
        <v>2018</v>
      </c>
      <c r="C2424" s="124">
        <v>43275</v>
      </c>
      <c r="D2424" t="s">
        <v>535</v>
      </c>
      <c r="E2424" s="20" t="str">
        <f>CONCATENATE(T2424,"-",U2424,"-",C2424)</f>
        <v>BC1-D5-43275</v>
      </c>
      <c r="F2424" s="16" t="s">
        <v>227</v>
      </c>
      <c r="G2424" s="126" t="s">
        <v>278</v>
      </c>
      <c r="H2424" s="126"/>
      <c r="J2424" s="126">
        <v>1466</v>
      </c>
      <c r="K2424" s="126"/>
      <c r="O2424" s="126"/>
      <c r="T2424" s="126" t="s">
        <v>159</v>
      </c>
      <c r="U2424" s="126" t="s">
        <v>183</v>
      </c>
      <c r="V2424" s="126"/>
      <c r="X2424" s="126"/>
      <c r="Y2424" s="126"/>
      <c r="Z2424" s="126"/>
      <c r="AA2424" s="126"/>
      <c r="AB2424" s="126"/>
      <c r="AC2424" s="126"/>
      <c r="AD2424" s="126"/>
      <c r="AE2424" s="126"/>
      <c r="AH2424" s="126"/>
      <c r="AI2424" s="126"/>
      <c r="AK2424" s="126"/>
      <c r="AL2424" s="126"/>
      <c r="AM2424" s="126"/>
      <c r="AN2424" s="126"/>
      <c r="BG2424" s="23"/>
      <c r="BN2424" s="126"/>
      <c r="BT2424" s="23"/>
      <c r="CD2424" s="23"/>
      <c r="DF2424" s="16" t="e">
        <f>VLOOKUP(K2424,'[3]RNA Seq summary tables'!$V$3:$V$99,1,FALSE)</f>
        <v>#N/A</v>
      </c>
      <c r="DG2424" s="126"/>
    </row>
    <row r="2425" spans="2:287" ht="16" x14ac:dyDescent="0.2">
      <c r="B2425" s="16">
        <v>2018</v>
      </c>
      <c r="C2425" s="124">
        <v>43276</v>
      </c>
      <c r="D2425" t="s">
        <v>548</v>
      </c>
      <c r="E2425" s="20" t="str">
        <f>CONCATENATE(T2425,"-",U2425,"-",C2425)</f>
        <v>BC1-D3-43276</v>
      </c>
      <c r="F2425" s="16" t="s">
        <v>227</v>
      </c>
      <c r="G2425" s="126" t="s">
        <v>278</v>
      </c>
      <c r="H2425" s="126"/>
      <c r="J2425" s="126">
        <v>1466</v>
      </c>
      <c r="K2425" s="126"/>
      <c r="O2425" s="126"/>
      <c r="T2425" s="126" t="s">
        <v>159</v>
      </c>
      <c r="U2425" s="126" t="s">
        <v>149</v>
      </c>
      <c r="V2425" s="126"/>
      <c r="X2425" s="126"/>
      <c r="Y2425" s="126"/>
      <c r="Z2425" s="126"/>
      <c r="AA2425" s="126"/>
      <c r="AB2425" s="126"/>
      <c r="AC2425" s="126"/>
      <c r="AD2425" s="126"/>
      <c r="AE2425" s="126"/>
      <c r="AH2425" s="126"/>
      <c r="AI2425" s="126"/>
      <c r="AK2425" s="126"/>
      <c r="AL2425" s="126"/>
      <c r="AM2425" s="126"/>
      <c r="AN2425" s="126"/>
      <c r="BG2425" s="23"/>
      <c r="BN2425" s="126"/>
      <c r="BT2425" s="23"/>
      <c r="CD2425" s="23"/>
      <c r="DF2425" s="16" t="e">
        <f>VLOOKUP(K2425,'[3]RNA Seq summary tables'!$V$3:$V$99,1,FALSE)</f>
        <v>#N/A</v>
      </c>
      <c r="DG2425" s="126"/>
    </row>
    <row r="2426" spans="2:287" ht="16" x14ac:dyDescent="0.2">
      <c r="B2426" s="16">
        <v>2018</v>
      </c>
      <c r="C2426" s="124">
        <v>43293</v>
      </c>
      <c r="D2426" t="s">
        <v>622</v>
      </c>
      <c r="E2426" s="20" t="str">
        <f>CONCATENATE(T2426,"-",U2426,"-",C2426)</f>
        <v>BC1-C8-43293</v>
      </c>
      <c r="F2426" s="16" t="s">
        <v>227</v>
      </c>
      <c r="G2426" s="126" t="s">
        <v>278</v>
      </c>
      <c r="H2426" s="126"/>
      <c r="J2426" s="126">
        <v>1466</v>
      </c>
      <c r="K2426" s="126"/>
      <c r="O2426" s="126"/>
      <c r="T2426" s="126" t="s">
        <v>159</v>
      </c>
      <c r="U2426" s="126" t="s">
        <v>188</v>
      </c>
      <c r="V2426" s="126"/>
      <c r="X2426" s="126"/>
      <c r="Y2426" s="126"/>
      <c r="Z2426" s="126"/>
      <c r="AA2426" s="126"/>
      <c r="AB2426" s="126"/>
      <c r="AC2426" s="126"/>
      <c r="AD2426" s="126"/>
      <c r="AE2426" s="126"/>
      <c r="AH2426" s="126"/>
      <c r="AI2426" s="126"/>
      <c r="AK2426" s="126"/>
      <c r="AL2426" s="126"/>
      <c r="AM2426" s="126"/>
      <c r="AN2426" s="126"/>
      <c r="BG2426" s="23"/>
      <c r="BN2426" s="126"/>
      <c r="BT2426" s="23"/>
      <c r="CD2426" s="23"/>
      <c r="DF2426" s="16" t="e">
        <f>VLOOKUP(K2426,'[3]RNA Seq summary tables'!$V$3:$V$99,1,FALSE)</f>
        <v>#N/A</v>
      </c>
      <c r="DG2426" s="126"/>
    </row>
    <row r="2427" spans="2:287" ht="16" x14ac:dyDescent="0.2">
      <c r="B2427" s="16">
        <v>2018</v>
      </c>
      <c r="C2427" s="124">
        <v>43259</v>
      </c>
      <c r="D2427" t="s">
        <v>471</v>
      </c>
      <c r="E2427" s="20" t="str">
        <f>CONCATENATE(T2427,"-",U2427,"-",C2427)</f>
        <v>BC1-H6-43259</v>
      </c>
      <c r="F2427" s="16" t="s">
        <v>227</v>
      </c>
      <c r="G2427" s="126" t="s">
        <v>278</v>
      </c>
      <c r="H2427" s="126"/>
      <c r="J2427" s="126">
        <v>1467</v>
      </c>
      <c r="K2427" s="126"/>
      <c r="O2427" s="126"/>
      <c r="T2427" s="126" t="s">
        <v>159</v>
      </c>
      <c r="U2427" s="126" t="s">
        <v>141</v>
      </c>
      <c r="V2427" s="126"/>
      <c r="X2427" s="126"/>
      <c r="Y2427" s="126"/>
      <c r="Z2427" s="126"/>
      <c r="AA2427" s="126"/>
      <c r="AB2427" s="126"/>
      <c r="AC2427" s="126"/>
      <c r="AD2427" s="126"/>
      <c r="AE2427" s="126"/>
      <c r="AH2427" s="126"/>
      <c r="AI2427" s="126"/>
      <c r="AK2427" s="126"/>
      <c r="AL2427" s="126"/>
      <c r="AM2427" s="126"/>
      <c r="AN2427" s="126"/>
      <c r="BG2427" s="23"/>
      <c r="BN2427" s="126"/>
      <c r="BT2427" s="23"/>
      <c r="CD2427" s="23"/>
      <c r="DF2427" s="16" t="e">
        <f>VLOOKUP(K2427,'[3]RNA Seq summary tables'!$V$3:$V$99,1,FALSE)</f>
        <v>#N/A</v>
      </c>
      <c r="DG2427" s="126"/>
    </row>
    <row r="2428" spans="2:287" ht="16" x14ac:dyDescent="0.2">
      <c r="B2428" s="16">
        <v>2018</v>
      </c>
      <c r="C2428" s="124">
        <v>43261</v>
      </c>
      <c r="D2428" t="s">
        <v>474</v>
      </c>
      <c r="E2428" s="20" t="str">
        <f>CONCATENATE(T2428,"-",U2428,"-",C2428)</f>
        <v>HW1-A5-43261</v>
      </c>
      <c r="F2428" s="16" t="s">
        <v>227</v>
      </c>
      <c r="G2428" s="126" t="s">
        <v>278</v>
      </c>
      <c r="H2428" s="126"/>
      <c r="J2428" s="126">
        <v>1468</v>
      </c>
      <c r="K2428" s="126"/>
      <c r="O2428" s="126"/>
      <c r="T2428" s="126" t="s">
        <v>133</v>
      </c>
      <c r="U2428" s="126" t="s">
        <v>167</v>
      </c>
      <c r="V2428" s="126"/>
      <c r="X2428" s="126"/>
      <c r="Y2428" s="126"/>
      <c r="Z2428" s="126"/>
      <c r="AA2428" s="126"/>
      <c r="AB2428" s="126"/>
      <c r="AC2428" s="126"/>
      <c r="AD2428" s="126"/>
      <c r="AE2428" s="126"/>
      <c r="AH2428" s="126"/>
      <c r="AI2428" s="126"/>
      <c r="AK2428" s="126"/>
      <c r="AL2428" s="126"/>
      <c r="AM2428" s="126"/>
      <c r="AN2428" s="126"/>
      <c r="BG2428" s="23"/>
      <c r="BN2428" s="126"/>
      <c r="BT2428" s="23"/>
      <c r="CD2428" s="23"/>
      <c r="DF2428" s="16" t="e">
        <f>VLOOKUP(K2428,'[3]RNA Seq summary tables'!$V$3:$V$99,1,FALSE)</f>
        <v>#N/A</v>
      </c>
      <c r="DG2428" s="126"/>
    </row>
    <row r="2429" spans="2:287" ht="16" x14ac:dyDescent="0.2">
      <c r="B2429" s="16">
        <v>2018</v>
      </c>
      <c r="C2429" s="124">
        <v>43262</v>
      </c>
      <c r="D2429" t="s">
        <v>482</v>
      </c>
      <c r="E2429" s="20" t="str">
        <f>CONCATENATE(T2429,"-",U2429,"-",C2429)</f>
        <v>HW1-C3-43262</v>
      </c>
      <c r="F2429" s="16" t="s">
        <v>227</v>
      </c>
      <c r="G2429" s="126" t="s">
        <v>278</v>
      </c>
      <c r="H2429" s="126"/>
      <c r="J2429" s="126">
        <v>1468</v>
      </c>
      <c r="K2429" s="126"/>
      <c r="O2429" s="126"/>
      <c r="T2429" s="126" t="s">
        <v>133</v>
      </c>
      <c r="U2429" s="126" t="s">
        <v>237</v>
      </c>
      <c r="V2429" s="126"/>
      <c r="X2429" s="126"/>
      <c r="Y2429" s="126"/>
      <c r="Z2429" s="126"/>
      <c r="AA2429" s="126"/>
      <c r="AB2429" s="126"/>
      <c r="AC2429" s="126"/>
      <c r="AD2429" s="126"/>
      <c r="AE2429" s="126"/>
      <c r="AH2429" s="126"/>
      <c r="AI2429" s="126"/>
      <c r="AK2429" s="126"/>
      <c r="AL2429" s="126"/>
      <c r="AM2429" s="126"/>
      <c r="AN2429" s="126"/>
      <c r="BG2429" s="23"/>
      <c r="BN2429" s="126"/>
      <c r="BT2429" s="23"/>
      <c r="CD2429" s="23"/>
      <c r="DF2429" s="16" t="e">
        <f>VLOOKUP(K2429,'[3]RNA Seq summary tables'!$V$3:$V$99,1,FALSE)</f>
        <v>#N/A</v>
      </c>
      <c r="DG2429" s="126"/>
    </row>
    <row r="2430" spans="2:287" ht="16" x14ac:dyDescent="0.2">
      <c r="B2430" s="16">
        <v>2018</v>
      </c>
      <c r="C2430" s="124">
        <v>43262</v>
      </c>
      <c r="D2430" t="s">
        <v>487</v>
      </c>
      <c r="E2430" s="20" t="str">
        <f>CONCATENATE(T2430,"-",U2430,"-",C2430)</f>
        <v>HW2-E4-43262</v>
      </c>
      <c r="F2430" s="16" t="s">
        <v>227</v>
      </c>
      <c r="G2430" s="126" t="s">
        <v>278</v>
      </c>
      <c r="H2430" s="126"/>
      <c r="J2430" s="126">
        <v>1469</v>
      </c>
      <c r="K2430" s="126"/>
      <c r="O2430" s="126"/>
      <c r="T2430" s="126" t="s">
        <v>129</v>
      </c>
      <c r="U2430" s="126" t="s">
        <v>206</v>
      </c>
      <c r="V2430" s="126"/>
      <c r="X2430" s="126"/>
      <c r="Y2430" s="126"/>
      <c r="Z2430" s="126"/>
      <c r="AA2430" s="126"/>
      <c r="AB2430" s="126"/>
      <c r="AC2430" s="126"/>
      <c r="AD2430" s="126"/>
      <c r="AE2430" s="126"/>
      <c r="AH2430" s="126"/>
      <c r="AI2430" s="126"/>
      <c r="AK2430" s="126"/>
      <c r="AL2430" s="126"/>
      <c r="AM2430" s="126"/>
      <c r="AN2430" s="126"/>
      <c r="BG2430" s="23"/>
      <c r="BN2430" s="126"/>
      <c r="BT2430" s="23"/>
      <c r="CD2430" s="23"/>
      <c r="DF2430" s="16" t="e">
        <f>VLOOKUP(K2430,'[3]RNA Seq summary tables'!$V$3:$V$99,1,FALSE)</f>
        <v>#N/A</v>
      </c>
      <c r="DG2430" s="126"/>
    </row>
    <row r="2431" spans="2:287" ht="16" x14ac:dyDescent="0.2">
      <c r="B2431" s="16">
        <v>2018</v>
      </c>
      <c r="C2431" s="124">
        <v>43261</v>
      </c>
      <c r="D2431" t="s">
        <v>478</v>
      </c>
      <c r="E2431" s="20" t="str">
        <f>CONCATENATE(T2431,"-",U2431,"-",C2431)</f>
        <v>HW2-B3-43261</v>
      </c>
      <c r="F2431" s="16" t="s">
        <v>227</v>
      </c>
      <c r="G2431" s="126" t="s">
        <v>278</v>
      </c>
      <c r="H2431" s="126"/>
      <c r="J2431" s="126">
        <v>1470</v>
      </c>
      <c r="K2431" s="126"/>
      <c r="O2431" s="126"/>
      <c r="T2431" s="126" t="s">
        <v>129</v>
      </c>
      <c r="U2431" s="126" t="s">
        <v>131</v>
      </c>
      <c r="V2431" s="126"/>
      <c r="X2431" s="126"/>
      <c r="Y2431" s="126"/>
      <c r="Z2431" s="126"/>
      <c r="AA2431" s="126"/>
      <c r="AB2431" s="126"/>
      <c r="AC2431" s="126"/>
      <c r="AD2431" s="126"/>
      <c r="AE2431" s="126"/>
      <c r="AH2431" s="126"/>
      <c r="AI2431" s="126"/>
      <c r="AK2431" s="126"/>
      <c r="AL2431" s="126"/>
      <c r="AM2431" s="126"/>
      <c r="AN2431" s="126"/>
      <c r="BG2431" s="23"/>
      <c r="BN2431" s="126"/>
      <c r="BT2431" s="23"/>
      <c r="CD2431" s="23"/>
      <c r="DF2431" s="16" t="e">
        <f>VLOOKUP(K2431,'[3]RNA Seq summary tables'!$V$3:$V$99,1,FALSE)</f>
        <v>#N/A</v>
      </c>
      <c r="DG2431" s="126"/>
    </row>
    <row r="2432" spans="2:287" ht="16" x14ac:dyDescent="0.2">
      <c r="B2432" s="16">
        <v>2018</v>
      </c>
      <c r="C2432" s="124">
        <v>43262</v>
      </c>
      <c r="D2432" t="s">
        <v>485</v>
      </c>
      <c r="E2432" s="20" t="str">
        <f>CONCATENATE(T2432,"-",U2432,"-",C2432)</f>
        <v>HW2-A2-43262</v>
      </c>
      <c r="F2432" s="16" t="s">
        <v>227</v>
      </c>
      <c r="G2432" s="126" t="s">
        <v>278</v>
      </c>
      <c r="H2432" s="126"/>
      <c r="J2432" s="126">
        <v>1470</v>
      </c>
      <c r="K2432" s="126"/>
      <c r="O2432" s="126"/>
      <c r="T2432" s="126" t="s">
        <v>129</v>
      </c>
      <c r="U2432" s="126" t="s">
        <v>171</v>
      </c>
      <c r="V2432" s="126"/>
      <c r="X2432" s="126"/>
      <c r="Y2432" s="126"/>
      <c r="Z2432" s="126"/>
      <c r="AA2432" s="126"/>
      <c r="AB2432" s="126"/>
      <c r="AC2432" s="126"/>
      <c r="AD2432" s="126"/>
      <c r="AE2432" s="126"/>
      <c r="AH2432" s="126"/>
      <c r="AI2432" s="126"/>
      <c r="AK2432" s="126"/>
      <c r="AL2432" s="126"/>
      <c r="AM2432" s="126"/>
      <c r="AN2432" s="126"/>
      <c r="BG2432" s="23"/>
      <c r="BN2432" s="126"/>
      <c r="BT2432" s="23"/>
      <c r="CD2432" s="23"/>
      <c r="DF2432" s="16" t="e">
        <f>VLOOKUP(K2432,'[3]RNA Seq summary tables'!$V$3:$V$99,1,FALSE)</f>
        <v>#N/A</v>
      </c>
      <c r="DG2432" s="126"/>
    </row>
    <row r="2433" spans="2:287" ht="16" x14ac:dyDescent="0.2">
      <c r="B2433" s="16">
        <v>2018</v>
      </c>
      <c r="C2433" s="124">
        <v>43278</v>
      </c>
      <c r="D2433" t="s">
        <v>559</v>
      </c>
      <c r="E2433" s="20" t="str">
        <f>CONCATENATE(T2433,"-",U2433,"-",C2433)</f>
        <v>HW2-B3-43278</v>
      </c>
      <c r="F2433" s="16" t="s">
        <v>227</v>
      </c>
      <c r="G2433" s="126" t="s">
        <v>278</v>
      </c>
      <c r="H2433" s="126"/>
      <c r="J2433" s="126">
        <v>1470</v>
      </c>
      <c r="K2433" s="126"/>
      <c r="O2433" s="126"/>
      <c r="T2433" s="126" t="s">
        <v>129</v>
      </c>
      <c r="U2433" s="126" t="s">
        <v>131</v>
      </c>
      <c r="V2433" s="126"/>
      <c r="X2433" s="126"/>
      <c r="Y2433" s="126"/>
      <c r="Z2433" s="126"/>
      <c r="AA2433" s="126"/>
      <c r="AB2433" s="126"/>
      <c r="AC2433" s="126"/>
      <c r="AD2433" s="126"/>
      <c r="AE2433" s="126"/>
      <c r="AH2433" s="126"/>
      <c r="AI2433" s="126"/>
      <c r="AK2433" s="126"/>
      <c r="AL2433" s="126"/>
      <c r="AM2433" s="126"/>
      <c r="AN2433" s="126"/>
      <c r="BG2433" s="23"/>
      <c r="BN2433" s="126"/>
      <c r="BT2433" s="23"/>
      <c r="CD2433" s="23"/>
      <c r="DF2433" s="16" t="e">
        <f>VLOOKUP(K2433,'[3]RNA Seq summary tables'!$V$3:$V$99,1,FALSE)</f>
        <v>#N/A</v>
      </c>
      <c r="DG2433" s="126"/>
    </row>
    <row r="2434" spans="2:287" ht="16" x14ac:dyDescent="0.2">
      <c r="B2434" s="16">
        <v>2018</v>
      </c>
      <c r="C2434" s="124">
        <v>43295</v>
      </c>
      <c r="D2434" t="s">
        <v>629</v>
      </c>
      <c r="E2434" s="20" t="str">
        <f>CONCATENATE(T2434,"-",U2434,"-",C2434)</f>
        <v>HW2-A2-43295</v>
      </c>
      <c r="F2434" s="16" t="s">
        <v>227</v>
      </c>
      <c r="G2434" s="126" t="s">
        <v>278</v>
      </c>
      <c r="H2434" s="126"/>
      <c r="J2434" s="126">
        <v>1470</v>
      </c>
      <c r="K2434" s="126"/>
      <c r="O2434" s="126"/>
      <c r="T2434" s="126" t="s">
        <v>129</v>
      </c>
      <c r="U2434" s="126" t="s">
        <v>171</v>
      </c>
      <c r="V2434" s="126"/>
      <c r="X2434" s="126"/>
      <c r="Y2434" s="126"/>
      <c r="Z2434" s="126"/>
      <c r="AA2434" s="126"/>
      <c r="AB2434" s="126"/>
      <c r="AC2434" s="126"/>
      <c r="AD2434" s="126"/>
      <c r="AE2434" s="126"/>
      <c r="AH2434" s="126"/>
      <c r="AI2434" s="126"/>
      <c r="AK2434" s="126"/>
      <c r="AL2434" s="126"/>
      <c r="AM2434" s="126"/>
      <c r="AN2434" s="126"/>
      <c r="BG2434" s="23"/>
      <c r="BN2434" s="126"/>
      <c r="BT2434" s="23"/>
      <c r="CD2434" s="23"/>
      <c r="DF2434" s="16" t="e">
        <f>VLOOKUP(K2434,'[3]RNA Seq summary tables'!$V$3:$V$99,1,FALSE)</f>
        <v>#N/A</v>
      </c>
      <c r="DG2434" s="126"/>
    </row>
    <row r="2435" spans="2:287" ht="16" x14ac:dyDescent="0.2">
      <c r="B2435" s="16">
        <v>2018</v>
      </c>
      <c r="C2435" s="124">
        <v>43267</v>
      </c>
      <c r="D2435" t="s">
        <v>498</v>
      </c>
      <c r="E2435" s="20" t="str">
        <f>CONCATENATE(T2435,"-",U2435,"-",C2435)</f>
        <v>PO1-C6-43267</v>
      </c>
      <c r="F2435" s="16" t="s">
        <v>227</v>
      </c>
      <c r="G2435" s="126" t="s">
        <v>278</v>
      </c>
      <c r="H2435" s="126"/>
      <c r="J2435" s="126">
        <v>1471</v>
      </c>
      <c r="K2435" s="126"/>
      <c r="O2435" s="126"/>
      <c r="T2435" s="126" t="s">
        <v>112</v>
      </c>
      <c r="U2435" s="126" t="s">
        <v>213</v>
      </c>
      <c r="V2435" s="126"/>
      <c r="X2435" s="126"/>
      <c r="Y2435" s="126"/>
      <c r="Z2435" s="126"/>
      <c r="AA2435" s="126"/>
      <c r="AB2435" s="126"/>
      <c r="AC2435" s="126"/>
      <c r="AD2435" s="126"/>
      <c r="AE2435" s="126"/>
      <c r="AH2435" s="126"/>
      <c r="AI2435" s="126"/>
      <c r="AK2435" s="126"/>
      <c r="AL2435" s="126"/>
      <c r="AM2435" s="126"/>
      <c r="AN2435" s="126"/>
      <c r="BG2435" s="23"/>
      <c r="BN2435" s="126"/>
      <c r="BT2435" s="23"/>
      <c r="CD2435" s="23"/>
      <c r="DF2435" s="16" t="e">
        <f>VLOOKUP(K2435,'[3]RNA Seq summary tables'!$V$3:$V$99,1,FALSE)</f>
        <v>#N/A</v>
      </c>
      <c r="DG2435" s="126"/>
    </row>
    <row r="2436" spans="2:287" ht="16" x14ac:dyDescent="0.2">
      <c r="B2436" s="16">
        <v>2018</v>
      </c>
      <c r="C2436" s="124">
        <v>43268</v>
      </c>
      <c r="D2436" t="s">
        <v>512</v>
      </c>
      <c r="E2436" s="20" t="str">
        <f>CONCATENATE(T2436,"-",U2436,"-",C2436)</f>
        <v>PO1-E6-43268</v>
      </c>
      <c r="F2436" s="16" t="s">
        <v>227</v>
      </c>
      <c r="G2436" s="126" t="s">
        <v>278</v>
      </c>
      <c r="H2436" s="126"/>
      <c r="J2436" s="126">
        <v>1471</v>
      </c>
      <c r="K2436" s="126"/>
      <c r="O2436" s="126"/>
      <c r="T2436" s="126" t="s">
        <v>112</v>
      </c>
      <c r="U2436" s="126" t="s">
        <v>232</v>
      </c>
      <c r="V2436" s="126"/>
      <c r="X2436" s="126"/>
      <c r="Y2436" s="126"/>
      <c r="Z2436" s="126"/>
      <c r="AA2436" s="126"/>
      <c r="AB2436" s="126"/>
      <c r="AC2436" s="126"/>
      <c r="AD2436" s="126"/>
      <c r="AE2436" s="126"/>
      <c r="AH2436" s="126"/>
      <c r="AI2436" s="126"/>
      <c r="AK2436" s="126"/>
      <c r="AL2436" s="126"/>
      <c r="AM2436" s="126"/>
      <c r="AN2436" s="126"/>
      <c r="BG2436" s="23"/>
      <c r="BN2436" s="126"/>
      <c r="BT2436" s="23"/>
      <c r="CD2436" s="23"/>
      <c r="DF2436" s="16" t="e">
        <f>VLOOKUP(K2436,'[3]RNA Seq summary tables'!$V$3:$V$99,1,FALSE)</f>
        <v>#N/A</v>
      </c>
      <c r="DG2436" s="126"/>
    </row>
    <row r="2437" spans="2:287" ht="16" x14ac:dyDescent="0.2">
      <c r="B2437" s="16">
        <v>2018</v>
      </c>
      <c r="C2437" s="124">
        <v>43250</v>
      </c>
      <c r="D2437" t="s">
        <v>454</v>
      </c>
      <c r="E2437" s="20" t="str">
        <f>CONCATENATE(T2437,"-",U2437,"-",C2437)</f>
        <v>PO2-H6-43250</v>
      </c>
      <c r="F2437" s="16" t="s">
        <v>227</v>
      </c>
      <c r="G2437" s="126" t="s">
        <v>278</v>
      </c>
      <c r="H2437" s="126"/>
      <c r="J2437" s="126">
        <v>1472</v>
      </c>
      <c r="K2437" s="126"/>
      <c r="O2437" s="126"/>
      <c r="T2437" s="126" t="s">
        <v>127</v>
      </c>
      <c r="U2437" s="126" t="s">
        <v>141</v>
      </c>
      <c r="V2437" s="126"/>
      <c r="X2437" s="126"/>
      <c r="Y2437" s="126"/>
      <c r="Z2437" s="126"/>
      <c r="AA2437" s="126"/>
      <c r="AB2437" s="126"/>
      <c r="AC2437" s="126"/>
      <c r="AD2437" s="126"/>
      <c r="AE2437" s="126"/>
      <c r="AH2437" s="126"/>
      <c r="AI2437" s="126"/>
      <c r="AK2437" s="126"/>
      <c r="AL2437" s="126"/>
      <c r="AM2437" s="126"/>
      <c r="AN2437" s="126"/>
      <c r="BG2437" s="23"/>
      <c r="BN2437" s="126"/>
      <c r="BT2437" s="23"/>
      <c r="CD2437" s="23"/>
      <c r="DF2437" s="16" t="e">
        <f>VLOOKUP(K2437,'[3]RNA Seq summary tables'!$V$3:$V$99,1,FALSE)</f>
        <v>#N/A</v>
      </c>
      <c r="DG2437" s="126"/>
    </row>
    <row r="2438" spans="2:287" ht="16" x14ac:dyDescent="0.2">
      <c r="B2438" s="16">
        <v>2018</v>
      </c>
      <c r="C2438" s="124">
        <v>43285</v>
      </c>
      <c r="D2438" t="s">
        <v>594</v>
      </c>
      <c r="E2438" s="20" t="str">
        <f>CONCATENATE(T2438,"-",U2438,"-",C2438)</f>
        <v>PO2-F7-43285</v>
      </c>
      <c r="F2438" s="16" t="s">
        <v>227</v>
      </c>
      <c r="G2438" s="126" t="s">
        <v>278</v>
      </c>
      <c r="H2438" s="126"/>
      <c r="J2438" s="126">
        <v>1472</v>
      </c>
      <c r="K2438" s="126"/>
      <c r="O2438" s="126"/>
      <c r="T2438" s="126" t="s">
        <v>127</v>
      </c>
      <c r="U2438" s="126" t="s">
        <v>189</v>
      </c>
      <c r="V2438" s="126"/>
      <c r="X2438" s="126"/>
      <c r="Y2438" s="126"/>
      <c r="Z2438" s="126"/>
      <c r="AA2438" s="126"/>
      <c r="AB2438" s="126"/>
      <c r="AC2438" s="126"/>
      <c r="AD2438" s="126"/>
      <c r="AE2438" s="126"/>
      <c r="AH2438" s="126"/>
      <c r="AI2438" s="126"/>
      <c r="AK2438" s="126"/>
      <c r="AL2438" s="126"/>
      <c r="AM2438" s="126"/>
      <c r="AN2438" s="126"/>
      <c r="BG2438" s="23"/>
      <c r="BN2438" s="126"/>
      <c r="BT2438" s="23"/>
      <c r="CD2438" s="23"/>
      <c r="DF2438" s="16" t="e">
        <f>VLOOKUP(K2438,'[3]RNA Seq summary tables'!$V$3:$V$99,1,FALSE)</f>
        <v>#N/A</v>
      </c>
      <c r="DG2438" s="126"/>
    </row>
    <row r="2439" spans="2:287" ht="16" x14ac:dyDescent="0.2">
      <c r="B2439" s="16">
        <v>2018</v>
      </c>
      <c r="C2439" s="124">
        <v>43250</v>
      </c>
      <c r="D2439" t="s">
        <v>451</v>
      </c>
      <c r="E2439" s="20" t="str">
        <f>CONCATENATE(T2439,"-",U2439,"-",C2439)</f>
        <v>PO2-G6-43250</v>
      </c>
      <c r="F2439" s="16" t="s">
        <v>227</v>
      </c>
      <c r="G2439" s="126" t="s">
        <v>278</v>
      </c>
      <c r="H2439" s="126"/>
      <c r="J2439" s="126">
        <v>1473</v>
      </c>
      <c r="K2439" s="126"/>
      <c r="O2439" s="126"/>
      <c r="T2439" s="126" t="s">
        <v>127</v>
      </c>
      <c r="U2439" s="126" t="s">
        <v>218</v>
      </c>
      <c r="V2439" s="126"/>
      <c r="X2439" s="126"/>
      <c r="Y2439" s="126"/>
      <c r="Z2439" s="126"/>
      <c r="AA2439" s="126"/>
      <c r="AB2439" s="126"/>
      <c r="AC2439" s="126"/>
      <c r="AD2439" s="126"/>
      <c r="AE2439" s="126"/>
      <c r="AH2439" s="126"/>
      <c r="AI2439" s="126"/>
      <c r="AK2439" s="126"/>
      <c r="AL2439" s="126"/>
      <c r="AM2439" s="126"/>
      <c r="AN2439" s="126"/>
      <c r="BG2439" s="23"/>
      <c r="BN2439" s="126"/>
      <c r="BT2439" s="23"/>
      <c r="CD2439" s="23"/>
      <c r="DF2439" s="16" t="e">
        <f>VLOOKUP(K2439,'[3]RNA Seq summary tables'!$V$3:$V$99,1,FALSE)</f>
        <v>#N/A</v>
      </c>
      <c r="DG2439" s="126"/>
    </row>
    <row r="2440" spans="2:287" ht="16" x14ac:dyDescent="0.2">
      <c r="B2440" s="16">
        <v>2018</v>
      </c>
      <c r="C2440" s="124">
        <v>43267</v>
      </c>
      <c r="D2440" t="s">
        <v>495</v>
      </c>
      <c r="E2440" s="20" t="str">
        <f>CONCATENATE(T2440,"-",U2440,"-",C2440)</f>
        <v>PO2-G6-43267</v>
      </c>
      <c r="F2440" s="16" t="s">
        <v>227</v>
      </c>
      <c r="G2440" s="126" t="s">
        <v>278</v>
      </c>
      <c r="H2440" s="126"/>
      <c r="J2440" s="126">
        <v>1473</v>
      </c>
      <c r="K2440" s="126"/>
      <c r="O2440" s="126"/>
      <c r="T2440" s="126" t="s">
        <v>127</v>
      </c>
      <c r="U2440" s="126" t="s">
        <v>218</v>
      </c>
      <c r="V2440" s="126"/>
      <c r="X2440" s="126"/>
      <c r="Y2440" s="126"/>
      <c r="Z2440" s="126"/>
      <c r="AA2440" s="126"/>
      <c r="AB2440" s="126"/>
      <c r="AC2440" s="126"/>
      <c r="AD2440" s="126"/>
      <c r="AE2440" s="126"/>
      <c r="AH2440" s="126"/>
      <c r="AI2440" s="126"/>
      <c r="AK2440" s="126"/>
      <c r="AL2440" s="126"/>
      <c r="AM2440" s="126"/>
      <c r="AN2440" s="126"/>
      <c r="BG2440" s="23"/>
      <c r="BN2440" s="126"/>
      <c r="BT2440" s="23"/>
      <c r="CD2440" s="23"/>
      <c r="DF2440" s="16" t="e">
        <f>VLOOKUP(K2440,'[3]RNA Seq summary tables'!$V$3:$V$99,1,FALSE)</f>
        <v>#N/A</v>
      </c>
      <c r="DG2440" s="126"/>
    </row>
    <row r="2441" spans="2:287" ht="16" x14ac:dyDescent="0.2">
      <c r="B2441" s="16">
        <v>2018</v>
      </c>
      <c r="C2441" s="124">
        <v>43268</v>
      </c>
      <c r="D2441" t="s">
        <v>505</v>
      </c>
      <c r="E2441" s="20" t="str">
        <f>CONCATENATE(T2441,"-",U2441,"-",C2441)</f>
        <v>PO2-G5-43268</v>
      </c>
      <c r="F2441" s="16" t="s">
        <v>227</v>
      </c>
      <c r="G2441" s="126" t="s">
        <v>278</v>
      </c>
      <c r="H2441" s="126"/>
      <c r="J2441" s="126">
        <v>1473</v>
      </c>
      <c r="K2441" s="126"/>
      <c r="O2441" s="126"/>
      <c r="T2441" s="126" t="s">
        <v>127</v>
      </c>
      <c r="U2441" s="126" t="s">
        <v>200</v>
      </c>
      <c r="V2441" s="126"/>
      <c r="X2441" s="126"/>
      <c r="Y2441" s="126"/>
      <c r="Z2441" s="126"/>
      <c r="AA2441" s="126"/>
      <c r="AB2441" s="126"/>
      <c r="AC2441" s="126"/>
      <c r="AD2441" s="126"/>
      <c r="AE2441" s="126"/>
      <c r="AH2441" s="126"/>
      <c r="AI2441" s="126"/>
      <c r="AK2441" s="126"/>
      <c r="AL2441" s="126"/>
      <c r="AM2441" s="126"/>
      <c r="AN2441" s="126"/>
      <c r="BG2441" s="23"/>
      <c r="BN2441" s="126"/>
      <c r="BT2441" s="23"/>
      <c r="CD2441" s="23"/>
      <c r="DF2441" s="16" t="e">
        <f>VLOOKUP(K2441,'[3]RNA Seq summary tables'!$V$3:$V$99,1,FALSE)</f>
        <v>#N/A</v>
      </c>
      <c r="DG2441" s="126"/>
    </row>
    <row r="2442" spans="2:287" ht="16" x14ac:dyDescent="0.2">
      <c r="B2442" s="16">
        <v>2018</v>
      </c>
      <c r="C2442" s="124">
        <v>43284</v>
      </c>
      <c r="D2442" t="s">
        <v>584</v>
      </c>
      <c r="E2442" s="20" t="str">
        <f>CONCATENATE(T2442,"-",U2442,"-",C2442)</f>
        <v>PO2-G8-43284</v>
      </c>
      <c r="F2442" s="16" t="s">
        <v>227</v>
      </c>
      <c r="G2442" s="126" t="s">
        <v>278</v>
      </c>
      <c r="H2442" s="126"/>
      <c r="J2442" s="126">
        <v>1473</v>
      </c>
      <c r="K2442" s="126"/>
      <c r="O2442" s="126"/>
      <c r="T2442" s="126" t="s">
        <v>127</v>
      </c>
      <c r="U2442" s="126" t="s">
        <v>216</v>
      </c>
      <c r="V2442" s="126"/>
      <c r="X2442" s="126"/>
      <c r="Y2442" s="126"/>
      <c r="Z2442" s="126"/>
      <c r="AA2442" s="126"/>
      <c r="AB2442" s="126"/>
      <c r="AC2442" s="126"/>
      <c r="AD2442" s="126"/>
      <c r="AE2442" s="126"/>
      <c r="AH2442" s="126"/>
      <c r="AI2442" s="126"/>
      <c r="AK2442" s="126"/>
      <c r="AL2442" s="126"/>
      <c r="AM2442" s="126"/>
      <c r="AN2442" s="126"/>
      <c r="BG2442" s="23"/>
      <c r="BN2442" s="126"/>
      <c r="BT2442" s="23"/>
      <c r="CD2442" s="23"/>
      <c r="DF2442" s="16" t="e">
        <f>VLOOKUP(K2442,'[3]RNA Seq summary tables'!$V$3:$V$99,1,FALSE)</f>
        <v>#N/A</v>
      </c>
      <c r="DG2442" s="126"/>
    </row>
    <row r="2443" spans="2:287" ht="16" x14ac:dyDescent="0.2">
      <c r="B2443" s="16">
        <v>2018</v>
      </c>
      <c r="C2443" s="124">
        <v>43285</v>
      </c>
      <c r="D2443" t="s">
        <v>597</v>
      </c>
      <c r="E2443" s="20" t="str">
        <f>CONCATENATE(T2443,"-",U2443,"-",C2443)</f>
        <v>PO2-G8-43285</v>
      </c>
      <c r="F2443" s="16" t="s">
        <v>227</v>
      </c>
      <c r="G2443" s="126" t="s">
        <v>278</v>
      </c>
      <c r="H2443" s="126"/>
      <c r="J2443" s="126">
        <v>1473</v>
      </c>
      <c r="K2443" s="126"/>
      <c r="O2443" s="126"/>
      <c r="T2443" s="126" t="s">
        <v>127</v>
      </c>
      <c r="U2443" s="126" t="s">
        <v>216</v>
      </c>
      <c r="V2443" s="126"/>
      <c r="X2443" s="126"/>
      <c r="Y2443" s="126"/>
      <c r="Z2443" s="126"/>
      <c r="AA2443" s="126"/>
      <c r="AB2443" s="126"/>
      <c r="AC2443" s="126"/>
      <c r="AD2443" s="126"/>
      <c r="AE2443" s="126"/>
      <c r="AH2443" s="126"/>
      <c r="AI2443" s="126"/>
      <c r="AK2443" s="126"/>
      <c r="AL2443" s="126"/>
      <c r="AM2443" s="126"/>
      <c r="AN2443" s="126"/>
      <c r="BG2443" s="23"/>
      <c r="BN2443" s="126"/>
      <c r="BT2443" s="23"/>
      <c r="CD2443" s="23"/>
      <c r="DF2443" s="16" t="e">
        <f>VLOOKUP(K2443,'[3]RNA Seq summary tables'!$V$3:$V$99,1,FALSE)</f>
        <v>#N/A</v>
      </c>
      <c r="DG2443" s="126"/>
    </row>
    <row r="2444" spans="2:287" ht="16" x14ac:dyDescent="0.2">
      <c r="B2444" s="16">
        <v>2018</v>
      </c>
      <c r="C2444" s="147">
        <v>43316</v>
      </c>
      <c r="D2444" t="s">
        <v>1275</v>
      </c>
      <c r="E2444" s="20" t="str">
        <f>CONCATENATE(T2444,"-",U2444,"-",C2444)</f>
        <v>PO2-H3-43316</v>
      </c>
      <c r="F2444" s="16" t="s">
        <v>227</v>
      </c>
      <c r="G2444" s="145" t="s">
        <v>278</v>
      </c>
      <c r="H2444" s="145"/>
      <c r="I2444" s="145"/>
      <c r="J2444" s="145">
        <v>1473</v>
      </c>
      <c r="K2444" s="145"/>
      <c r="M2444" s="16"/>
      <c r="N2444" s="16"/>
      <c r="O2444" s="145"/>
      <c r="P2444" s="145"/>
      <c r="Q2444" s="145"/>
      <c r="R2444" s="145"/>
      <c r="S2444" s="145"/>
      <c r="T2444" s="145" t="s">
        <v>127</v>
      </c>
      <c r="U2444" s="145" t="s">
        <v>174</v>
      </c>
      <c r="V2444" s="145"/>
      <c r="W2444" s="145"/>
      <c r="X2444" s="145"/>
      <c r="Y2444" s="145"/>
      <c r="Z2444" s="145"/>
      <c r="AA2444" s="145"/>
      <c r="AB2444" s="145"/>
      <c r="AC2444" s="145"/>
      <c r="AD2444" s="145"/>
      <c r="AE2444" s="145"/>
      <c r="AF2444" s="145"/>
      <c r="AG2444" s="145"/>
      <c r="AH2444" s="145"/>
      <c r="AI2444" s="145"/>
      <c r="AJ2444" s="145"/>
      <c r="AK2444" s="145"/>
      <c r="AL2444" s="145"/>
      <c r="AM2444" s="145"/>
      <c r="AN2444" s="145"/>
      <c r="AT2444" s="16" t="e">
        <f>VLOOKUP(E2444,[2]Current!$A$1:$W$435,7,FALSE)</f>
        <v>#N/A</v>
      </c>
      <c r="DG2444" s="145"/>
      <c r="DT2444"/>
      <c r="DU2444" s="145"/>
      <c r="DX2444" s="145"/>
      <c r="DY2444" s="145"/>
      <c r="DZ2444" s="16"/>
      <c r="EA2444" s="16"/>
      <c r="EB2444" s="16"/>
      <c r="EC2444" s="16"/>
      <c r="ED2444" s="16"/>
      <c r="EE2444" s="16"/>
      <c r="EF2444" s="16"/>
      <c r="JO2444" s="18"/>
      <c r="JP2444" s="18"/>
      <c r="JQ2444" s="18"/>
      <c r="JR2444" s="18"/>
      <c r="JS2444" s="18"/>
      <c r="JT2444" s="18"/>
      <c r="JU2444" s="18"/>
      <c r="JV2444" s="18"/>
      <c r="JW2444" s="18"/>
      <c r="JX2444" s="18"/>
      <c r="JY2444" s="18"/>
      <c r="JZ2444" s="18"/>
      <c r="KA2444" s="18"/>
    </row>
    <row r="2445" spans="2:287" ht="16" x14ac:dyDescent="0.2">
      <c r="B2445" s="16">
        <v>2018</v>
      </c>
      <c r="C2445" s="124">
        <v>43250</v>
      </c>
      <c r="D2445" t="s">
        <v>450</v>
      </c>
      <c r="E2445" s="20" t="str">
        <f>CONCATENATE(T2445,"-",U2445,"-",C2445)</f>
        <v>PO2-F2-43250</v>
      </c>
      <c r="F2445" s="16" t="s">
        <v>227</v>
      </c>
      <c r="G2445" s="126" t="s">
        <v>278</v>
      </c>
      <c r="H2445" s="126"/>
      <c r="J2445" s="126">
        <v>1474</v>
      </c>
      <c r="K2445" s="126"/>
      <c r="O2445" s="126"/>
      <c r="T2445" s="126" t="s">
        <v>127</v>
      </c>
      <c r="U2445" s="126" t="s">
        <v>187</v>
      </c>
      <c r="V2445" s="126"/>
      <c r="X2445" s="126"/>
      <c r="Y2445" s="126"/>
      <c r="Z2445" s="126"/>
      <c r="AA2445" s="126"/>
      <c r="AB2445" s="126"/>
      <c r="AC2445" s="126"/>
      <c r="AD2445" s="126"/>
      <c r="AE2445" s="126"/>
      <c r="AH2445" s="126"/>
      <c r="AI2445" s="126"/>
      <c r="AK2445" s="126"/>
      <c r="AL2445" s="126"/>
      <c r="AM2445" s="126"/>
      <c r="AN2445" s="126"/>
      <c r="BG2445" s="23"/>
      <c r="BN2445" s="126"/>
      <c r="BT2445" s="23"/>
      <c r="CD2445" s="23"/>
      <c r="DF2445" s="16" t="e">
        <f>VLOOKUP(K2445,'[3]RNA Seq summary tables'!$V$3:$V$99,1,FALSE)</f>
        <v>#N/A</v>
      </c>
      <c r="DG2445" s="126"/>
    </row>
    <row r="2446" spans="2:287" ht="16" x14ac:dyDescent="0.2">
      <c r="B2446" s="16">
        <v>2018</v>
      </c>
      <c r="C2446" s="124">
        <v>43268</v>
      </c>
      <c r="D2446" t="s">
        <v>508</v>
      </c>
      <c r="E2446" s="20" t="str">
        <f>CONCATENATE(T2446,"-",U2446,"-",C2446)</f>
        <v>PO2-E5-43268</v>
      </c>
      <c r="F2446" s="16" t="s">
        <v>227</v>
      </c>
      <c r="G2446" s="126" t="s">
        <v>278</v>
      </c>
      <c r="H2446" s="126"/>
      <c r="J2446" s="126">
        <v>1474</v>
      </c>
      <c r="K2446" s="126"/>
      <c r="O2446" s="126"/>
      <c r="T2446" s="126" t="s">
        <v>127</v>
      </c>
      <c r="U2446" s="126" t="s">
        <v>158</v>
      </c>
      <c r="V2446" s="126"/>
      <c r="X2446" s="126"/>
      <c r="Y2446" s="126"/>
      <c r="Z2446" s="126"/>
      <c r="AA2446" s="126"/>
      <c r="AB2446" s="126"/>
      <c r="AC2446" s="126"/>
      <c r="AD2446" s="126"/>
      <c r="AE2446" s="126"/>
      <c r="AH2446" s="126"/>
      <c r="AI2446" s="126"/>
      <c r="AK2446" s="126"/>
      <c r="AL2446" s="126"/>
      <c r="AM2446" s="126"/>
      <c r="AN2446" s="126"/>
      <c r="BG2446" s="23"/>
      <c r="BN2446" s="126"/>
      <c r="BT2446" s="23"/>
      <c r="CD2446" s="23"/>
      <c r="DF2446" s="16" t="e">
        <f>VLOOKUP(K2446,'[3]RNA Seq summary tables'!$V$3:$V$99,1,FALSE)</f>
        <v>#N/A</v>
      </c>
      <c r="DG2446" s="126"/>
    </row>
    <row r="2447" spans="2:287" ht="16" x14ac:dyDescent="0.2">
      <c r="B2447" s="16">
        <v>2018</v>
      </c>
      <c r="C2447" s="124">
        <v>43285</v>
      </c>
      <c r="D2447" t="s">
        <v>592</v>
      </c>
      <c r="E2447" s="20" t="str">
        <f>CONCATENATE(T2447,"-",U2447,"-",C2447)</f>
        <v>PO2-F2-43285</v>
      </c>
      <c r="F2447" s="16" t="s">
        <v>227</v>
      </c>
      <c r="G2447" s="126" t="s">
        <v>278</v>
      </c>
      <c r="H2447" s="126"/>
      <c r="J2447" s="126">
        <v>1474</v>
      </c>
      <c r="K2447" s="126"/>
      <c r="O2447" s="126"/>
      <c r="T2447" s="126" t="s">
        <v>127</v>
      </c>
      <c r="U2447" s="126" t="s">
        <v>187</v>
      </c>
      <c r="V2447" s="126"/>
      <c r="X2447" s="126"/>
      <c r="Y2447" s="126"/>
      <c r="Z2447" s="126"/>
      <c r="AA2447" s="126"/>
      <c r="AB2447" s="126"/>
      <c r="AC2447" s="126"/>
      <c r="AD2447" s="126"/>
      <c r="AE2447" s="126"/>
      <c r="AH2447" s="126"/>
      <c r="AI2447" s="126"/>
      <c r="AK2447" s="126"/>
      <c r="AL2447" s="126"/>
      <c r="AM2447" s="126"/>
      <c r="AN2447" s="126"/>
      <c r="BG2447" s="23"/>
      <c r="BN2447" s="126"/>
      <c r="BT2447" s="23"/>
      <c r="CD2447" s="23"/>
      <c r="DF2447" s="16" t="e">
        <f>VLOOKUP(K2447,'[3]RNA Seq summary tables'!$V$3:$V$99,1,FALSE)</f>
        <v>#N/A</v>
      </c>
      <c r="DG2447" s="126"/>
    </row>
    <row r="2448" spans="2:287" ht="16" x14ac:dyDescent="0.2">
      <c r="B2448" s="16">
        <v>2018</v>
      </c>
      <c r="C2448" s="147">
        <v>43316</v>
      </c>
      <c r="D2448" t="s">
        <v>1273</v>
      </c>
      <c r="E2448" s="20" t="str">
        <f>CONCATENATE(T2448,"-",U2448,"-",C2448)</f>
        <v>PO2-E1-43316</v>
      </c>
      <c r="F2448" s="16" t="s">
        <v>227</v>
      </c>
      <c r="G2448" s="145" t="s">
        <v>278</v>
      </c>
      <c r="H2448" s="145"/>
      <c r="I2448" s="145"/>
      <c r="J2448" s="145">
        <v>1474</v>
      </c>
      <c r="K2448" s="145"/>
      <c r="M2448" s="16"/>
      <c r="N2448" s="16"/>
      <c r="O2448" s="145"/>
      <c r="P2448" s="145"/>
      <c r="Q2448" s="145"/>
      <c r="R2448" s="145"/>
      <c r="S2448" s="145"/>
      <c r="T2448" s="145" t="s">
        <v>127</v>
      </c>
      <c r="U2448" s="145" t="s">
        <v>222</v>
      </c>
      <c r="V2448" s="145"/>
      <c r="W2448" s="145"/>
      <c r="X2448" s="145"/>
      <c r="Y2448" s="145"/>
      <c r="Z2448" s="145"/>
      <c r="AA2448" s="145"/>
      <c r="AB2448" s="145"/>
      <c r="AC2448" s="145"/>
      <c r="AD2448" s="145"/>
      <c r="AE2448" s="145"/>
      <c r="AF2448" s="145"/>
      <c r="AG2448" s="145"/>
      <c r="AH2448" s="145"/>
      <c r="AI2448" s="145"/>
      <c r="AJ2448" s="145"/>
      <c r="AK2448" s="145"/>
      <c r="AL2448" s="145"/>
      <c r="AM2448" s="145"/>
      <c r="AN2448" s="145"/>
      <c r="AT2448" s="16" t="e">
        <f>VLOOKUP(E2448,[2]Current!$A$1:$W$435,7,FALSE)</f>
        <v>#N/A</v>
      </c>
      <c r="DG2448" s="145"/>
      <c r="DT2448"/>
      <c r="DU2448" s="145"/>
      <c r="DX2448" s="145"/>
      <c r="DY2448" s="145"/>
      <c r="DZ2448" s="16"/>
      <c r="EA2448" s="16"/>
      <c r="EB2448" s="16"/>
      <c r="EC2448" s="16"/>
      <c r="ED2448" s="16"/>
      <c r="EE2448" s="16"/>
      <c r="EF2448" s="16"/>
      <c r="JO2448" s="18"/>
      <c r="JP2448" s="18"/>
      <c r="JQ2448" s="18"/>
      <c r="JR2448" s="18"/>
      <c r="JS2448" s="18"/>
      <c r="JT2448" s="18"/>
      <c r="JU2448" s="18"/>
      <c r="JV2448" s="18"/>
      <c r="JW2448" s="18"/>
      <c r="JX2448" s="18"/>
      <c r="JY2448" s="18"/>
      <c r="JZ2448" s="18"/>
      <c r="KA2448" s="18"/>
    </row>
    <row r="2449" spans="2:288" ht="16" x14ac:dyDescent="0.2">
      <c r="B2449" s="16">
        <v>2018</v>
      </c>
      <c r="C2449" s="124">
        <v>43267</v>
      </c>
      <c r="D2449" t="s">
        <v>494</v>
      </c>
      <c r="E2449" s="20" t="str">
        <f>CONCATENATE(T2449,"-",U2449,"-",C2449)</f>
        <v>PO2-F5-43267</v>
      </c>
      <c r="F2449" s="16" t="s">
        <v>227</v>
      </c>
      <c r="G2449" s="126" t="s">
        <v>278</v>
      </c>
      <c r="H2449" s="126"/>
      <c r="J2449" s="126">
        <v>1475</v>
      </c>
      <c r="K2449" s="126"/>
      <c r="O2449" s="126"/>
      <c r="T2449" s="126" t="s">
        <v>127</v>
      </c>
      <c r="U2449" s="126" t="s">
        <v>185</v>
      </c>
      <c r="V2449" s="126"/>
      <c r="X2449" s="126"/>
      <c r="Y2449" s="126"/>
      <c r="Z2449" s="126"/>
      <c r="AA2449" s="126"/>
      <c r="AB2449" s="126"/>
      <c r="AC2449" s="126"/>
      <c r="AD2449" s="126"/>
      <c r="AE2449" s="126"/>
      <c r="AH2449" s="126"/>
      <c r="AI2449" s="126"/>
      <c r="AK2449" s="126"/>
      <c r="AL2449" s="126"/>
      <c r="AM2449" s="126"/>
      <c r="AN2449" s="126"/>
      <c r="BG2449" s="23"/>
      <c r="BN2449" s="126"/>
      <c r="BT2449" s="23"/>
      <c r="CD2449" s="23"/>
      <c r="DF2449" s="16" t="e">
        <f>VLOOKUP(K2449,'[3]RNA Seq summary tables'!$V$3:$V$99,1,FALSE)</f>
        <v>#N/A</v>
      </c>
      <c r="DG2449" s="126"/>
    </row>
    <row r="2450" spans="2:288" ht="16" x14ac:dyDescent="0.2">
      <c r="B2450" s="16">
        <v>2018</v>
      </c>
      <c r="C2450" s="124">
        <v>43268</v>
      </c>
      <c r="D2450" t="s">
        <v>507</v>
      </c>
      <c r="E2450" s="20" t="str">
        <f>CONCATENATE(T2450,"-",U2450,"-",C2450)</f>
        <v>PO2-E6-43268</v>
      </c>
      <c r="F2450" s="16" t="s">
        <v>227</v>
      </c>
      <c r="G2450" s="126" t="s">
        <v>278</v>
      </c>
      <c r="H2450" s="126"/>
      <c r="J2450" s="126">
        <v>1475</v>
      </c>
      <c r="K2450" s="126"/>
      <c r="O2450" s="126"/>
      <c r="T2450" s="126" t="s">
        <v>127</v>
      </c>
      <c r="U2450" s="126" t="s">
        <v>232</v>
      </c>
      <c r="V2450" s="126"/>
      <c r="X2450" s="126"/>
      <c r="Y2450" s="126"/>
      <c r="Z2450" s="126"/>
      <c r="AA2450" s="126"/>
      <c r="AB2450" s="126"/>
      <c r="AC2450" s="126"/>
      <c r="AD2450" s="126"/>
      <c r="AE2450" s="126"/>
      <c r="AH2450" s="126"/>
      <c r="AI2450" s="126"/>
      <c r="AK2450" s="126"/>
      <c r="AL2450" s="126"/>
      <c r="AM2450" s="126"/>
      <c r="AN2450" s="126"/>
      <c r="BG2450" s="23"/>
      <c r="BN2450" s="126"/>
      <c r="BT2450" s="23"/>
      <c r="CD2450" s="23"/>
      <c r="DF2450" s="16" t="e">
        <f>VLOOKUP(K2450,'[3]RNA Seq summary tables'!$V$3:$V$99,1,FALSE)</f>
        <v>#N/A</v>
      </c>
      <c r="DG2450" s="126"/>
    </row>
    <row r="2451" spans="2:288" ht="16" x14ac:dyDescent="0.2">
      <c r="B2451" s="16">
        <v>2018</v>
      </c>
      <c r="C2451" s="124">
        <v>43284</v>
      </c>
      <c r="D2451" t="s">
        <v>580</v>
      </c>
      <c r="E2451" s="20" t="str">
        <f>CONCATENATE(T2451,"-",U2451,"-",C2451)</f>
        <v>PO2-D8-43284</v>
      </c>
      <c r="F2451" s="16" t="s">
        <v>227</v>
      </c>
      <c r="G2451" s="126" t="s">
        <v>278</v>
      </c>
      <c r="H2451" s="126"/>
      <c r="J2451" s="126">
        <v>1475</v>
      </c>
      <c r="K2451" s="126"/>
      <c r="O2451" s="126"/>
      <c r="T2451" s="126" t="s">
        <v>127</v>
      </c>
      <c r="U2451" s="126" t="s">
        <v>178</v>
      </c>
      <c r="V2451" s="126"/>
      <c r="X2451" s="126"/>
      <c r="Y2451" s="126"/>
      <c r="Z2451" s="126"/>
      <c r="AA2451" s="126"/>
      <c r="AB2451" s="126"/>
      <c r="AC2451" s="126"/>
      <c r="AD2451" s="126"/>
      <c r="AE2451" s="126"/>
      <c r="AH2451" s="126"/>
      <c r="AI2451" s="126"/>
      <c r="AK2451" s="126"/>
      <c r="AL2451" s="126"/>
      <c r="AM2451" s="126"/>
      <c r="AN2451" s="126"/>
      <c r="BG2451" s="23"/>
      <c r="BN2451" s="126"/>
      <c r="BT2451" s="23"/>
      <c r="CD2451" s="23"/>
      <c r="DF2451" s="16" t="e">
        <f>VLOOKUP(K2451,'[3]RNA Seq summary tables'!$V$3:$V$99,1,FALSE)</f>
        <v>#N/A</v>
      </c>
      <c r="DG2451" s="126"/>
    </row>
    <row r="2452" spans="2:288" ht="16" x14ac:dyDescent="0.2">
      <c r="B2452" s="16">
        <v>2018</v>
      </c>
      <c r="C2452" s="124">
        <v>43285</v>
      </c>
      <c r="D2452" t="s">
        <v>591</v>
      </c>
      <c r="E2452" s="20" t="str">
        <f>CONCATENATE(T2452,"-",U2452,"-",C2452)</f>
        <v>PO2-E8-43285</v>
      </c>
      <c r="F2452" s="16" t="s">
        <v>227</v>
      </c>
      <c r="G2452" s="126" t="s">
        <v>278</v>
      </c>
      <c r="H2452" s="126"/>
      <c r="J2452" s="126">
        <v>1475</v>
      </c>
      <c r="K2452" s="126"/>
      <c r="O2452" s="126"/>
      <c r="T2452" s="126" t="s">
        <v>127</v>
      </c>
      <c r="U2452" s="126" t="s">
        <v>181</v>
      </c>
      <c r="V2452" s="126"/>
      <c r="X2452" s="126"/>
      <c r="Y2452" s="126"/>
      <c r="Z2452" s="126"/>
      <c r="AA2452" s="126"/>
      <c r="AB2452" s="126"/>
      <c r="AC2452" s="126"/>
      <c r="AD2452" s="126"/>
      <c r="AE2452" s="126"/>
      <c r="AH2452" s="126"/>
      <c r="AI2452" s="126"/>
      <c r="AK2452" s="126"/>
      <c r="AL2452" s="126"/>
      <c r="AM2452" s="126"/>
      <c r="AN2452" s="126"/>
      <c r="BG2452" s="23"/>
      <c r="BN2452" s="126"/>
      <c r="BT2452" s="23"/>
      <c r="CD2452" s="23"/>
      <c r="DF2452" s="16" t="e">
        <f>VLOOKUP(K2452,'[3]RNA Seq summary tables'!$V$3:$V$99,1,FALSE)</f>
        <v>#N/A</v>
      </c>
      <c r="DG2452" s="126"/>
    </row>
    <row r="2453" spans="2:288" ht="16" x14ac:dyDescent="0.2">
      <c r="B2453" s="16">
        <v>2018</v>
      </c>
      <c r="C2453" s="147">
        <v>43316</v>
      </c>
      <c r="D2453" t="s">
        <v>1272</v>
      </c>
      <c r="E2453" s="20" t="str">
        <f>CONCATENATE(T2453,"-",U2453,"-",C2453)</f>
        <v>PO2-C8-43316</v>
      </c>
      <c r="F2453" s="16" t="s">
        <v>227</v>
      </c>
      <c r="G2453" s="145" t="s">
        <v>278</v>
      </c>
      <c r="H2453" s="145"/>
      <c r="I2453" s="145"/>
      <c r="J2453" s="145">
        <v>1475</v>
      </c>
      <c r="K2453" s="145"/>
      <c r="M2453" s="16"/>
      <c r="N2453" s="16"/>
      <c r="O2453" s="145"/>
      <c r="P2453" s="145"/>
      <c r="Q2453" s="145"/>
      <c r="R2453" s="145"/>
      <c r="S2453" s="145"/>
      <c r="T2453" s="145" t="s">
        <v>127</v>
      </c>
      <c r="U2453" s="145" t="s">
        <v>188</v>
      </c>
      <c r="V2453" s="145"/>
      <c r="W2453" s="145"/>
      <c r="X2453" s="145"/>
      <c r="Y2453" s="145"/>
      <c r="Z2453" s="145"/>
      <c r="AA2453" s="145"/>
      <c r="AB2453" s="145"/>
      <c r="AC2453" s="145"/>
      <c r="AD2453" s="145"/>
      <c r="AE2453" s="145"/>
      <c r="AF2453" s="145"/>
      <c r="AG2453" s="145"/>
      <c r="AH2453" s="145"/>
      <c r="AI2453" s="145"/>
      <c r="AJ2453" s="145"/>
      <c r="AK2453" s="145"/>
      <c r="AL2453" s="145"/>
      <c r="AM2453" s="145"/>
      <c r="AN2453" s="145"/>
      <c r="AT2453" s="16" t="e">
        <f>VLOOKUP(E2453,[2]Current!$A$1:$W$435,7,FALSE)</f>
        <v>#N/A</v>
      </c>
      <c r="DG2453" s="145"/>
      <c r="DT2453"/>
      <c r="DU2453" s="145"/>
      <c r="DX2453" s="145"/>
      <c r="DY2453" s="145"/>
      <c r="DZ2453" s="16"/>
      <c r="EA2453" s="16"/>
      <c r="EB2453" s="16"/>
      <c r="EC2453" s="16"/>
      <c r="ED2453" s="16"/>
      <c r="EE2453" s="16"/>
      <c r="EF2453" s="16"/>
      <c r="JO2453" s="18"/>
      <c r="JP2453" s="18"/>
      <c r="JQ2453" s="18"/>
      <c r="JR2453" s="18"/>
      <c r="JS2453" s="18"/>
      <c r="JT2453" s="18"/>
      <c r="JU2453" s="18"/>
      <c r="JV2453" s="18"/>
      <c r="JW2453" s="18"/>
      <c r="JX2453" s="18"/>
      <c r="JY2453" s="18"/>
      <c r="JZ2453" s="18"/>
      <c r="KA2453" s="18"/>
    </row>
    <row r="2454" spans="2:288" ht="16" x14ac:dyDescent="0.2">
      <c r="B2454" s="16">
        <v>2018</v>
      </c>
      <c r="C2454" s="124">
        <v>43278</v>
      </c>
      <c r="D2454" t="s">
        <v>555</v>
      </c>
      <c r="E2454" s="20" t="str">
        <f>CONCATENATE(T2454,"-",U2454,"-",C2454)</f>
        <v>HW1-F7-43278</v>
      </c>
      <c r="F2454" s="16" t="s">
        <v>227</v>
      </c>
      <c r="G2454" s="126" t="s">
        <v>278</v>
      </c>
      <c r="H2454" s="126"/>
      <c r="J2454" s="126">
        <v>1478</v>
      </c>
      <c r="K2454" s="126"/>
      <c r="O2454" s="126"/>
      <c r="T2454" s="126" t="s">
        <v>133</v>
      </c>
      <c r="U2454" s="126" t="s">
        <v>189</v>
      </c>
      <c r="V2454" s="126"/>
      <c r="X2454" s="126"/>
      <c r="Y2454" s="126"/>
      <c r="Z2454" s="126"/>
      <c r="AA2454" s="126"/>
      <c r="AB2454" s="126"/>
      <c r="AC2454" s="126"/>
      <c r="AD2454" s="126"/>
      <c r="AE2454" s="126"/>
      <c r="AH2454" s="126"/>
      <c r="AI2454" s="126"/>
      <c r="AK2454" s="126"/>
      <c r="AL2454" s="126"/>
      <c r="AM2454" s="126"/>
      <c r="AN2454" s="126"/>
      <c r="BG2454" s="23"/>
      <c r="BN2454" s="126"/>
      <c r="BT2454" s="23"/>
      <c r="CD2454" s="23"/>
      <c r="DF2454" s="16" t="e">
        <f>VLOOKUP(K2454,'[3]RNA Seq summary tables'!$V$3:$V$99,1,FALSE)</f>
        <v>#N/A</v>
      </c>
      <c r="DG2454" s="126"/>
    </row>
    <row r="2455" spans="2:288" ht="16" x14ac:dyDescent="0.2">
      <c r="B2455" s="16">
        <v>2018</v>
      </c>
      <c r="C2455" s="147">
        <v>43306</v>
      </c>
      <c r="D2455" t="s">
        <v>1190</v>
      </c>
      <c r="E2455" s="20" t="str">
        <f>CONCATENATE(T2455,"-",U2455,"-",C2455)</f>
        <v>HW1-F7-43306</v>
      </c>
      <c r="F2455" s="16" t="s">
        <v>227</v>
      </c>
      <c r="G2455" s="145" t="s">
        <v>278</v>
      </c>
      <c r="H2455" s="145"/>
      <c r="I2455" s="145"/>
      <c r="J2455" s="145">
        <v>1478</v>
      </c>
      <c r="K2455" s="145"/>
      <c r="M2455" s="16"/>
      <c r="N2455" s="16"/>
      <c r="O2455" s="145"/>
      <c r="P2455" s="145"/>
      <c r="Q2455" s="145"/>
      <c r="R2455" s="145"/>
      <c r="S2455" s="145"/>
      <c r="T2455" s="145" t="s">
        <v>133</v>
      </c>
      <c r="U2455" s="145" t="s">
        <v>189</v>
      </c>
      <c r="V2455" s="145"/>
      <c r="W2455" s="145"/>
      <c r="X2455" s="145"/>
      <c r="Y2455" s="145"/>
      <c r="Z2455" s="145"/>
      <c r="AA2455" s="145"/>
      <c r="AB2455" s="145"/>
      <c r="AC2455" s="145"/>
      <c r="AD2455" s="145"/>
      <c r="AE2455" s="145"/>
      <c r="AF2455" s="145"/>
      <c r="AG2455" s="145"/>
      <c r="AH2455" s="145"/>
      <c r="AI2455" s="145"/>
      <c r="AJ2455" s="145"/>
      <c r="AK2455" s="145"/>
      <c r="AL2455" s="145"/>
      <c r="AM2455" s="145"/>
      <c r="AN2455" s="145"/>
      <c r="AT2455" s="16" t="e">
        <f>VLOOKUP(E2455,[2]Current!$A$1:$W$435,7,FALSE)</f>
        <v>#N/A</v>
      </c>
      <c r="DG2455" s="145"/>
      <c r="DT2455"/>
      <c r="DU2455" s="145"/>
      <c r="DX2455" s="145"/>
      <c r="DY2455" s="145"/>
      <c r="DZ2455" s="16"/>
      <c r="EA2455" s="16"/>
      <c r="EB2455" s="16"/>
      <c r="EC2455" s="16"/>
      <c r="ED2455" s="16"/>
      <c r="EE2455" s="16"/>
      <c r="EF2455" s="16"/>
      <c r="JO2455" s="18"/>
      <c r="JP2455" s="18"/>
      <c r="JQ2455" s="18"/>
      <c r="JR2455" s="18"/>
      <c r="JS2455" s="18"/>
      <c r="JT2455" s="18"/>
      <c r="JU2455" s="18"/>
      <c r="JV2455" s="18"/>
      <c r="JW2455" s="18"/>
      <c r="JX2455" s="18"/>
      <c r="JY2455" s="18"/>
      <c r="JZ2455" s="18"/>
      <c r="KA2455" s="18"/>
    </row>
    <row r="2456" spans="2:288" ht="16" x14ac:dyDescent="0.2">
      <c r="B2456" s="16">
        <v>2018</v>
      </c>
      <c r="C2456" s="147">
        <v>43306</v>
      </c>
      <c r="D2456" t="s">
        <v>1192</v>
      </c>
      <c r="E2456" s="20" t="str">
        <f>CONCATENATE(T2456,"-",U2456,"-",C2456)</f>
        <v>HW1-H1-43306</v>
      </c>
      <c r="F2456" s="16" t="s">
        <v>227</v>
      </c>
      <c r="G2456" s="145" t="s">
        <v>278</v>
      </c>
      <c r="H2456" s="145"/>
      <c r="I2456" s="145"/>
      <c r="J2456" s="145">
        <v>1479</v>
      </c>
      <c r="K2456" s="145"/>
      <c r="M2456" s="16"/>
      <c r="N2456" s="16"/>
      <c r="O2456" s="145"/>
      <c r="P2456" s="145"/>
      <c r="Q2456" s="145"/>
      <c r="R2456" s="145"/>
      <c r="S2456" s="145"/>
      <c r="T2456" s="145" t="s">
        <v>133</v>
      </c>
      <c r="U2456" s="145" t="s">
        <v>191</v>
      </c>
      <c r="V2456" s="145"/>
      <c r="W2456" s="145"/>
      <c r="X2456" s="145"/>
      <c r="Y2456" s="145"/>
      <c r="Z2456" s="145"/>
      <c r="AA2456" s="145"/>
      <c r="AB2456" s="145"/>
      <c r="AC2456" s="145"/>
      <c r="AD2456" s="145"/>
      <c r="AE2456" s="145"/>
      <c r="AF2456" s="145"/>
      <c r="AG2456" s="145"/>
      <c r="AH2456" s="145"/>
      <c r="AI2456" s="145"/>
      <c r="AJ2456" s="145"/>
      <c r="AK2456" s="145"/>
      <c r="AL2456" s="145"/>
      <c r="AM2456" s="145"/>
      <c r="AN2456" s="145"/>
      <c r="AT2456" s="16" t="e">
        <f>VLOOKUP(E2456,[2]Current!$A$1:$W$435,7,FALSE)</f>
        <v>#N/A</v>
      </c>
      <c r="DG2456" s="145"/>
      <c r="DT2456"/>
      <c r="DU2456" s="145"/>
      <c r="DX2456" s="145"/>
      <c r="DY2456" s="145"/>
      <c r="DZ2456" s="16"/>
      <c r="EA2456" s="16"/>
      <c r="EB2456" s="16"/>
      <c r="EC2456" s="16"/>
      <c r="ED2456" s="16"/>
      <c r="EE2456" s="16"/>
      <c r="EF2456" s="16"/>
      <c r="JO2456" s="18"/>
      <c r="JP2456" s="18"/>
      <c r="JQ2456" s="18"/>
      <c r="JR2456" s="18"/>
      <c r="JS2456" s="18"/>
      <c r="JT2456" s="18"/>
      <c r="JU2456" s="18"/>
      <c r="JV2456" s="18"/>
      <c r="JW2456" s="18"/>
      <c r="JX2456" s="18"/>
      <c r="JY2456" s="18"/>
      <c r="JZ2456" s="18"/>
      <c r="KA2456" s="18"/>
    </row>
    <row r="2457" spans="2:288" ht="16" x14ac:dyDescent="0.2">
      <c r="B2457" s="16">
        <v>2018</v>
      </c>
      <c r="C2457" s="124">
        <v>43267</v>
      </c>
      <c r="D2457" t="s">
        <v>501</v>
      </c>
      <c r="E2457" s="20" t="str">
        <f>CONCATENATE(T2457,"-",U2457,"-",C2457)</f>
        <v>PO1-H3-43267</v>
      </c>
      <c r="F2457" s="16" t="s">
        <v>227</v>
      </c>
      <c r="G2457" s="126" t="s">
        <v>278</v>
      </c>
      <c r="H2457" s="126"/>
      <c r="J2457" s="126">
        <v>1482</v>
      </c>
      <c r="K2457" s="126"/>
      <c r="O2457" s="126"/>
      <c r="T2457" s="126" t="s">
        <v>112</v>
      </c>
      <c r="U2457" s="126" t="s">
        <v>174</v>
      </c>
      <c r="V2457" s="126"/>
      <c r="X2457" s="126"/>
      <c r="Y2457" s="126"/>
      <c r="Z2457" s="126"/>
      <c r="AA2457" s="126"/>
      <c r="AB2457" s="126"/>
      <c r="AC2457" s="126"/>
      <c r="AD2457" s="126"/>
      <c r="AE2457" s="126"/>
      <c r="AH2457" s="126"/>
      <c r="AI2457" s="126"/>
      <c r="AK2457" s="126"/>
      <c r="AL2457" s="126"/>
      <c r="AM2457" s="126"/>
      <c r="AN2457" s="126"/>
      <c r="BG2457" s="23"/>
      <c r="BN2457" s="126"/>
      <c r="BT2457" s="23"/>
      <c r="CD2457" s="23"/>
      <c r="DF2457" s="16" t="e">
        <f>VLOOKUP(K2457,'[3]RNA Seq summary tables'!$V$3:$V$99,1,FALSE)</f>
        <v>#N/A</v>
      </c>
      <c r="DG2457" s="126"/>
    </row>
    <row r="2458" spans="2:288" ht="16" x14ac:dyDescent="0.2">
      <c r="B2458" s="16">
        <v>2018</v>
      </c>
      <c r="C2458" s="147">
        <v>43316</v>
      </c>
      <c r="D2458" t="s">
        <v>1274</v>
      </c>
      <c r="E2458" s="20" t="str">
        <f>CONCATENATE(T2458,"-",U2458,"-",C2458)</f>
        <v>PO2-H7-43316</v>
      </c>
      <c r="F2458" s="16" t="s">
        <v>227</v>
      </c>
      <c r="G2458" s="145" t="s">
        <v>278</v>
      </c>
      <c r="H2458" s="145"/>
      <c r="I2458" s="145"/>
      <c r="J2458" s="145">
        <v>1483</v>
      </c>
      <c r="K2458" s="145"/>
      <c r="M2458" s="16"/>
      <c r="N2458" s="16"/>
      <c r="O2458" s="145"/>
      <c r="P2458" s="145"/>
      <c r="Q2458" s="145"/>
      <c r="R2458" s="145"/>
      <c r="S2458" s="145"/>
      <c r="T2458" s="145" t="s">
        <v>127</v>
      </c>
      <c r="U2458" s="145" t="s">
        <v>202</v>
      </c>
      <c r="V2458" s="145"/>
      <c r="W2458" s="145"/>
      <c r="X2458" s="145"/>
      <c r="Y2458" s="145"/>
      <c r="Z2458" s="145"/>
      <c r="AA2458" s="145"/>
      <c r="AB2458" s="145"/>
      <c r="AC2458" s="145"/>
      <c r="AD2458" s="145"/>
      <c r="AE2458" s="145"/>
      <c r="AF2458" s="145"/>
      <c r="AG2458" s="145"/>
      <c r="AH2458" s="145"/>
      <c r="AI2458" s="145"/>
      <c r="AJ2458" s="145"/>
      <c r="AK2458" s="145"/>
      <c r="AL2458" s="145"/>
      <c r="AM2458" s="145"/>
      <c r="AN2458" s="145"/>
      <c r="AT2458" s="16" t="e">
        <f>VLOOKUP(E2458,[2]Current!$A$1:$W$435,7,FALSE)</f>
        <v>#N/A</v>
      </c>
      <c r="DG2458" s="145"/>
      <c r="DT2458"/>
      <c r="DU2458" s="145"/>
      <c r="DX2458" s="145"/>
      <c r="DY2458" s="145"/>
      <c r="DZ2458" s="16"/>
      <c r="EA2458" s="16"/>
      <c r="EB2458" s="16"/>
      <c r="EC2458" s="16"/>
      <c r="ED2458" s="16"/>
      <c r="EE2458" s="16"/>
      <c r="EF2458" s="16"/>
      <c r="JO2458" s="18"/>
      <c r="JP2458" s="18"/>
      <c r="JQ2458" s="18"/>
      <c r="JR2458" s="18"/>
      <c r="JS2458" s="18"/>
      <c r="JT2458" s="18"/>
      <c r="JU2458" s="18"/>
      <c r="JV2458" s="18"/>
      <c r="JW2458" s="18"/>
      <c r="JX2458" s="18"/>
      <c r="JY2458" s="18"/>
      <c r="JZ2458" s="18"/>
      <c r="KA2458" s="18"/>
    </row>
    <row r="2459" spans="2:288" ht="16" x14ac:dyDescent="0.2">
      <c r="B2459" s="16">
        <v>2018</v>
      </c>
      <c r="C2459" s="147">
        <v>43316</v>
      </c>
      <c r="D2459" t="s">
        <v>1271</v>
      </c>
      <c r="E2459" s="20" t="str">
        <f>CONCATENATE(T2459,"-",U2459,"-",C2459)</f>
        <v>PO2-B1-43316</v>
      </c>
      <c r="F2459" s="16" t="s">
        <v>227</v>
      </c>
      <c r="G2459" s="145" t="s">
        <v>278</v>
      </c>
      <c r="H2459" s="145"/>
      <c r="I2459" s="145"/>
      <c r="J2459" s="145">
        <v>1484</v>
      </c>
      <c r="K2459" s="145"/>
      <c r="M2459" s="16"/>
      <c r="N2459" s="16"/>
      <c r="O2459" s="145"/>
      <c r="P2459" s="145"/>
      <c r="Q2459" s="145"/>
      <c r="R2459" s="145"/>
      <c r="S2459" s="145"/>
      <c r="T2459" s="145" t="s">
        <v>127</v>
      </c>
      <c r="U2459" s="145" t="s">
        <v>113</v>
      </c>
      <c r="V2459" s="145"/>
      <c r="W2459" s="145"/>
      <c r="X2459" s="145"/>
      <c r="Y2459" s="145"/>
      <c r="Z2459" s="145"/>
      <c r="AA2459" s="145"/>
      <c r="AB2459" s="145"/>
      <c r="AC2459" s="145"/>
      <c r="AD2459" s="145"/>
      <c r="AE2459" s="145"/>
      <c r="AF2459" s="145"/>
      <c r="AG2459" s="145"/>
      <c r="AH2459" s="145"/>
      <c r="AI2459" s="145"/>
      <c r="AJ2459" s="145"/>
      <c r="AK2459" s="145"/>
      <c r="AL2459" s="145"/>
      <c r="AM2459" s="145"/>
      <c r="AN2459" s="145"/>
      <c r="AT2459" s="16" t="e">
        <f>VLOOKUP(E2459,[2]Current!$A$1:$W$435,7,FALSE)</f>
        <v>#N/A</v>
      </c>
      <c r="AV2459" s="145"/>
      <c r="DG2459" s="145"/>
      <c r="DT2459" s="145"/>
      <c r="DU2459"/>
      <c r="DX2459" s="145"/>
      <c r="DY2459" s="145"/>
      <c r="DZ2459" s="16"/>
      <c r="EA2459" s="16"/>
      <c r="EB2459" s="16"/>
      <c r="EC2459" s="16"/>
      <c r="ED2459" s="16"/>
      <c r="EE2459" s="16"/>
      <c r="EF2459" s="16"/>
      <c r="EG2459" s="16"/>
      <c r="JO2459" s="18"/>
      <c r="JP2459" s="18"/>
      <c r="JQ2459" s="18"/>
      <c r="JR2459" s="18"/>
      <c r="JS2459" s="18"/>
      <c r="JT2459" s="18"/>
      <c r="JU2459" s="18"/>
      <c r="JV2459" s="18"/>
      <c r="JW2459" s="18"/>
      <c r="JX2459" s="18"/>
      <c r="JY2459" s="18"/>
      <c r="JZ2459" s="18"/>
      <c r="KA2459" s="18"/>
      <c r="KB2459" s="18"/>
    </row>
    <row r="2460" spans="2:288" ht="16" x14ac:dyDescent="0.2">
      <c r="B2460" s="16">
        <v>2018</v>
      </c>
      <c r="C2460" s="124">
        <v>43284</v>
      </c>
      <c r="D2460" t="s">
        <v>579</v>
      </c>
      <c r="E2460" s="20" t="str">
        <f>CONCATENATE(T2460,"-",U2460,"-",C2460)</f>
        <v>PO2-A6-43284</v>
      </c>
      <c r="F2460" s="16" t="s">
        <v>227</v>
      </c>
      <c r="G2460" s="126" t="s">
        <v>278</v>
      </c>
      <c r="H2460" s="126"/>
      <c r="J2460" s="126">
        <v>1485</v>
      </c>
      <c r="K2460" s="126"/>
      <c r="O2460" s="126"/>
      <c r="T2460" s="126" t="s">
        <v>127</v>
      </c>
      <c r="U2460" s="126" t="s">
        <v>147</v>
      </c>
      <c r="V2460" s="126"/>
      <c r="X2460" s="126"/>
      <c r="Y2460" s="126"/>
      <c r="Z2460" s="126"/>
      <c r="AA2460" s="126"/>
      <c r="AB2460" s="126"/>
      <c r="AC2460" s="126"/>
      <c r="AD2460" s="126"/>
      <c r="AE2460" s="126"/>
      <c r="AH2460" s="126"/>
      <c r="AI2460" s="126"/>
      <c r="AK2460" s="126"/>
      <c r="AL2460" s="126"/>
      <c r="AM2460" s="126"/>
      <c r="AN2460" s="126"/>
      <c r="BG2460" s="23"/>
      <c r="BN2460" s="126"/>
      <c r="BT2460" s="23"/>
      <c r="CD2460" s="23"/>
      <c r="DF2460" s="16" t="e">
        <f>VLOOKUP(K2460,'[3]RNA Seq summary tables'!$V$3:$V$99,1,FALSE)</f>
        <v>#N/A</v>
      </c>
      <c r="DG2460" s="126"/>
    </row>
    <row r="2461" spans="2:288" ht="16" x14ac:dyDescent="0.2">
      <c r="B2461" s="16">
        <v>2018</v>
      </c>
      <c r="C2461" s="124">
        <v>43285</v>
      </c>
      <c r="D2461" t="s">
        <v>590</v>
      </c>
      <c r="E2461" s="20" t="str">
        <f>CONCATENATE(T2461,"-",U2461,"-",C2461)</f>
        <v>PO2-A8-43285</v>
      </c>
      <c r="F2461" s="16" t="s">
        <v>227</v>
      </c>
      <c r="G2461" s="126" t="s">
        <v>278</v>
      </c>
      <c r="H2461" s="126"/>
      <c r="J2461" s="126">
        <v>1485</v>
      </c>
      <c r="K2461" s="126"/>
      <c r="O2461" s="126"/>
      <c r="T2461" s="126" t="s">
        <v>127</v>
      </c>
      <c r="U2461" s="126" t="s">
        <v>194</v>
      </c>
      <c r="V2461" s="126"/>
      <c r="X2461" s="126"/>
      <c r="Y2461" s="126"/>
      <c r="Z2461" s="126"/>
      <c r="AA2461" s="126"/>
      <c r="AB2461" s="126"/>
      <c r="AC2461" s="126"/>
      <c r="AD2461" s="126"/>
      <c r="AE2461" s="126"/>
      <c r="AH2461" s="126"/>
      <c r="AI2461" s="126"/>
      <c r="AK2461" s="126"/>
      <c r="AL2461" s="126"/>
      <c r="AM2461" s="126"/>
      <c r="AN2461" s="126"/>
      <c r="BG2461" s="23"/>
      <c r="BN2461" s="126"/>
      <c r="BT2461" s="23"/>
      <c r="CD2461" s="23"/>
      <c r="DF2461" s="16" t="e">
        <f>VLOOKUP(K2461,'[3]RNA Seq summary tables'!$V$3:$V$99,1,FALSE)</f>
        <v>#N/A</v>
      </c>
      <c r="DG2461" s="126"/>
    </row>
    <row r="2462" spans="2:288" ht="16" x14ac:dyDescent="0.2">
      <c r="B2462" s="16">
        <v>2018</v>
      </c>
      <c r="C2462" s="147">
        <v>43316</v>
      </c>
      <c r="D2462" t="s">
        <v>1270</v>
      </c>
      <c r="E2462" s="20" t="str">
        <f>CONCATENATE(T2462,"-",U2462,"-",C2462)</f>
        <v>PO2-A7-43316</v>
      </c>
      <c r="F2462" s="16" t="s">
        <v>227</v>
      </c>
      <c r="G2462" s="145" t="s">
        <v>278</v>
      </c>
      <c r="H2462" s="145"/>
      <c r="I2462" s="145"/>
      <c r="J2462" s="145">
        <v>1485</v>
      </c>
      <c r="K2462" s="145"/>
      <c r="M2462" s="16"/>
      <c r="N2462" s="16"/>
      <c r="O2462" s="145"/>
      <c r="P2462" s="145"/>
      <c r="Q2462" s="145"/>
      <c r="R2462" s="145"/>
      <c r="S2462" s="145"/>
      <c r="T2462" s="145" t="s">
        <v>127</v>
      </c>
      <c r="U2462" s="145" t="s">
        <v>120</v>
      </c>
      <c r="V2462" s="145"/>
      <c r="W2462" s="145"/>
      <c r="X2462" s="145"/>
      <c r="Y2462" s="145"/>
      <c r="Z2462" s="145"/>
      <c r="AA2462" s="145"/>
      <c r="AB2462" s="145"/>
      <c r="AC2462" s="145"/>
      <c r="AD2462" s="145"/>
      <c r="AE2462" s="145"/>
      <c r="AF2462" s="145"/>
      <c r="AG2462" s="145"/>
      <c r="AH2462" s="145"/>
      <c r="AI2462" s="145"/>
      <c r="AJ2462" s="145"/>
      <c r="AK2462" s="145"/>
      <c r="AL2462" s="145"/>
      <c r="AM2462" s="145"/>
      <c r="AN2462" s="145"/>
      <c r="AT2462" s="16" t="e">
        <f>VLOOKUP(E2462,[2]Current!$A$1:$W$435,7,FALSE)</f>
        <v>#N/A</v>
      </c>
      <c r="DG2462" s="145"/>
      <c r="DT2462"/>
      <c r="DU2462" s="145"/>
      <c r="DX2462" s="145"/>
      <c r="DY2462" s="145"/>
      <c r="DZ2462" s="16"/>
      <c r="EA2462" s="16"/>
      <c r="EB2462" s="16"/>
      <c r="EC2462" s="16"/>
      <c r="ED2462" s="16"/>
      <c r="EE2462" s="16"/>
      <c r="EF2462" s="16"/>
      <c r="JO2462" s="18"/>
      <c r="JP2462" s="18"/>
      <c r="JQ2462" s="18"/>
      <c r="JR2462" s="18"/>
      <c r="JS2462" s="18"/>
      <c r="JT2462" s="18"/>
      <c r="JU2462" s="18"/>
      <c r="JV2462" s="18"/>
      <c r="JW2462" s="18"/>
      <c r="JX2462" s="18"/>
      <c r="JY2462" s="18"/>
      <c r="JZ2462" s="18"/>
      <c r="KA2462" s="18"/>
    </row>
    <row r="2463" spans="2:288" ht="16" x14ac:dyDescent="0.2">
      <c r="B2463" s="16">
        <v>2018</v>
      </c>
      <c r="C2463" s="124">
        <v>43268</v>
      </c>
      <c r="D2463" t="s">
        <v>506</v>
      </c>
      <c r="E2463" s="20" t="str">
        <f>CONCATENATE(T2463,"-",U2463,"-",C2463)</f>
        <v>PO2-F6-43268</v>
      </c>
      <c r="F2463" s="16" t="s">
        <v>227</v>
      </c>
      <c r="G2463" s="126" t="s">
        <v>278</v>
      </c>
      <c r="H2463" s="126"/>
      <c r="J2463" s="126">
        <v>1486</v>
      </c>
      <c r="K2463" s="126"/>
      <c r="O2463" s="126"/>
      <c r="T2463" s="126" t="s">
        <v>127</v>
      </c>
      <c r="U2463" s="126" t="s">
        <v>170</v>
      </c>
      <c r="V2463" s="126"/>
      <c r="X2463" s="126"/>
      <c r="Y2463" s="126"/>
      <c r="Z2463" s="126"/>
      <c r="AA2463" s="126"/>
      <c r="AB2463" s="126"/>
      <c r="AC2463" s="126"/>
      <c r="AD2463" s="126"/>
      <c r="AE2463" s="126"/>
      <c r="AH2463" s="126"/>
      <c r="AI2463" s="126"/>
      <c r="AK2463" s="126"/>
      <c r="AL2463" s="126"/>
      <c r="AM2463" s="126"/>
      <c r="AN2463" s="126"/>
      <c r="BG2463" s="23"/>
      <c r="BN2463" s="126"/>
      <c r="BT2463" s="23"/>
      <c r="CD2463" s="23"/>
      <c r="DF2463" s="16" t="e">
        <f>VLOOKUP(K2463,'[3]RNA Seq summary tables'!$V$3:$V$99,1,FALSE)</f>
        <v>#N/A</v>
      </c>
      <c r="DG2463" s="126"/>
    </row>
    <row r="2464" spans="2:288" ht="16" x14ac:dyDescent="0.2">
      <c r="B2464" s="16">
        <v>2018</v>
      </c>
      <c r="C2464" s="124">
        <v>43284</v>
      </c>
      <c r="D2464" t="s">
        <v>581</v>
      </c>
      <c r="E2464" s="20" t="str">
        <f>CONCATENATE(T2464,"-",U2464,"-",C2464)</f>
        <v>PO2-F5-43284</v>
      </c>
      <c r="F2464" s="16" t="s">
        <v>227</v>
      </c>
      <c r="G2464" s="126" t="s">
        <v>278</v>
      </c>
      <c r="H2464" s="126"/>
      <c r="J2464" s="126">
        <v>1486</v>
      </c>
      <c r="K2464" s="126"/>
      <c r="O2464" s="126"/>
      <c r="T2464" s="126" t="s">
        <v>127</v>
      </c>
      <c r="U2464" s="126" t="s">
        <v>185</v>
      </c>
      <c r="V2464" s="126"/>
      <c r="X2464" s="126"/>
      <c r="Y2464" s="126"/>
      <c r="Z2464" s="126"/>
      <c r="AA2464" s="126"/>
      <c r="AB2464" s="126"/>
      <c r="AC2464" s="126"/>
      <c r="AD2464" s="126"/>
      <c r="AE2464" s="126"/>
      <c r="AH2464" s="126"/>
      <c r="AI2464" s="126"/>
      <c r="AK2464" s="126"/>
      <c r="AL2464" s="126"/>
      <c r="AM2464" s="126"/>
      <c r="AN2464" s="126"/>
      <c r="BG2464" s="23"/>
      <c r="BN2464" s="126"/>
      <c r="BT2464" s="23"/>
      <c r="CD2464" s="23"/>
      <c r="DF2464" s="16" t="e">
        <f>VLOOKUP(K2464,'[3]RNA Seq summary tables'!$V$3:$V$99,1,FALSE)</f>
        <v>#N/A</v>
      </c>
      <c r="DG2464" s="126"/>
    </row>
    <row r="2465" spans="2:287" ht="16" x14ac:dyDescent="0.2">
      <c r="B2465" s="16">
        <v>2018</v>
      </c>
      <c r="C2465" s="124">
        <v>43285</v>
      </c>
      <c r="D2465" t="s">
        <v>593</v>
      </c>
      <c r="E2465" s="20" t="str">
        <f>CONCATENATE(T2465,"-",U2465,"-",C2465)</f>
        <v>PO2-F3-43285</v>
      </c>
      <c r="F2465" s="16" t="s">
        <v>227</v>
      </c>
      <c r="G2465" s="126" t="s">
        <v>278</v>
      </c>
      <c r="H2465" s="126"/>
      <c r="J2465" s="126">
        <v>1486</v>
      </c>
      <c r="K2465" s="126"/>
      <c r="O2465" s="126"/>
      <c r="T2465" s="126" t="s">
        <v>127</v>
      </c>
      <c r="U2465" s="126" t="s">
        <v>182</v>
      </c>
      <c r="V2465" s="126"/>
      <c r="X2465" s="126"/>
      <c r="Y2465" s="126"/>
      <c r="Z2465" s="126"/>
      <c r="AA2465" s="126"/>
      <c r="AB2465" s="126"/>
      <c r="AC2465" s="126"/>
      <c r="AD2465" s="126"/>
      <c r="AE2465" s="126"/>
      <c r="AH2465" s="126"/>
      <c r="AI2465" s="126"/>
      <c r="AK2465" s="126"/>
      <c r="AL2465" s="126"/>
      <c r="AM2465" s="126"/>
      <c r="AN2465" s="126"/>
      <c r="BG2465" s="23"/>
      <c r="BN2465" s="126"/>
      <c r="BT2465" s="23"/>
      <c r="CD2465" s="23"/>
      <c r="DF2465" s="16" t="e">
        <f>VLOOKUP(K2465,'[3]RNA Seq summary tables'!$V$3:$V$99,1,FALSE)</f>
        <v>#N/A</v>
      </c>
      <c r="DG2465" s="126"/>
    </row>
    <row r="2466" spans="2:287" ht="16" x14ac:dyDescent="0.2">
      <c r="B2466" s="16">
        <v>2018</v>
      </c>
      <c r="C2466" s="124">
        <v>43268</v>
      </c>
      <c r="D2466" t="s">
        <v>510</v>
      </c>
      <c r="E2466" s="20" t="str">
        <f>CONCATENATE(T2466,"-",U2466,"-",C2466)</f>
        <v>PO1-B4-43268</v>
      </c>
      <c r="F2466" s="16" t="s">
        <v>227</v>
      </c>
      <c r="G2466" s="126" t="s">
        <v>278</v>
      </c>
      <c r="H2466" s="126"/>
      <c r="J2466" s="126">
        <v>1487</v>
      </c>
      <c r="K2466" s="126"/>
      <c r="O2466" s="126"/>
      <c r="T2466" s="126" t="s">
        <v>112</v>
      </c>
      <c r="U2466" s="126" t="s">
        <v>144</v>
      </c>
      <c r="V2466" s="126"/>
      <c r="X2466" s="126"/>
      <c r="Y2466" s="126"/>
      <c r="Z2466" s="126"/>
      <c r="AA2466" s="126"/>
      <c r="AB2466" s="126"/>
      <c r="AC2466" s="126"/>
      <c r="AD2466" s="126"/>
      <c r="AE2466" s="126"/>
      <c r="AH2466" s="126"/>
      <c r="AI2466" s="126"/>
      <c r="AK2466" s="126"/>
      <c r="AL2466" s="126"/>
      <c r="AM2466" s="126"/>
      <c r="AN2466" s="126"/>
      <c r="BG2466" s="23"/>
      <c r="BN2466" s="126"/>
      <c r="BT2466" s="23"/>
      <c r="CD2466" s="23"/>
      <c r="DF2466" s="16" t="e">
        <f>VLOOKUP(K2466,'[3]RNA Seq summary tables'!$V$3:$V$99,1,FALSE)</f>
        <v>#N/A</v>
      </c>
      <c r="DG2466" s="126"/>
    </row>
    <row r="2467" spans="2:287" ht="16" x14ac:dyDescent="0.2">
      <c r="B2467" s="16">
        <v>2018</v>
      </c>
      <c r="C2467" s="124">
        <v>43284</v>
      </c>
      <c r="D2467" t="s">
        <v>585</v>
      </c>
      <c r="E2467" s="20" t="str">
        <f>CONCATENATE(T2467,"-",U2467,"-",C2467)</f>
        <v>PO1-A7-43284</v>
      </c>
      <c r="F2467" s="16" t="s">
        <v>227</v>
      </c>
      <c r="G2467" s="126" t="s">
        <v>278</v>
      </c>
      <c r="H2467" s="126"/>
      <c r="J2467" s="126">
        <v>1487</v>
      </c>
      <c r="K2467" s="126"/>
      <c r="O2467" s="126"/>
      <c r="T2467" s="126" t="s">
        <v>112</v>
      </c>
      <c r="U2467" s="126" t="s">
        <v>120</v>
      </c>
      <c r="V2467" s="126"/>
      <c r="X2467" s="126"/>
      <c r="Y2467" s="126"/>
      <c r="Z2467" s="126"/>
      <c r="AA2467" s="126"/>
      <c r="AB2467" s="126"/>
      <c r="AC2467" s="126"/>
      <c r="AD2467" s="126"/>
      <c r="AE2467" s="126"/>
      <c r="AH2467" s="126"/>
      <c r="AI2467" s="126"/>
      <c r="AK2467" s="126"/>
      <c r="AL2467" s="126"/>
      <c r="AM2467" s="126"/>
      <c r="AN2467" s="126"/>
      <c r="BG2467" s="23"/>
      <c r="BN2467" s="126"/>
      <c r="BT2467" s="23"/>
      <c r="CD2467" s="23"/>
      <c r="DF2467" s="16" t="e">
        <f>VLOOKUP(K2467,'[3]RNA Seq summary tables'!$V$3:$V$99,1,FALSE)</f>
        <v>#N/A</v>
      </c>
      <c r="DG2467" s="126"/>
    </row>
    <row r="2468" spans="2:287" ht="16" x14ac:dyDescent="0.2">
      <c r="B2468" s="16">
        <v>2018</v>
      </c>
      <c r="C2468" s="124">
        <v>43285</v>
      </c>
      <c r="D2468" t="s">
        <v>603</v>
      </c>
      <c r="E2468" s="20" t="str">
        <f>CONCATENATE(T2468,"-",U2468,"-",C2468)</f>
        <v>PO1-H2-43285</v>
      </c>
      <c r="F2468" s="16" t="s">
        <v>227</v>
      </c>
      <c r="G2468" s="126" t="s">
        <v>278</v>
      </c>
      <c r="H2468" s="126"/>
      <c r="J2468" s="126">
        <v>1487</v>
      </c>
      <c r="K2468" s="126"/>
      <c r="O2468" s="126"/>
      <c r="T2468" s="126" t="s">
        <v>112</v>
      </c>
      <c r="U2468" s="126" t="s">
        <v>190</v>
      </c>
      <c r="V2468" s="126"/>
      <c r="X2468" s="126"/>
      <c r="Y2468" s="126"/>
      <c r="Z2468" s="126"/>
      <c r="AA2468" s="126"/>
      <c r="AB2468" s="126"/>
      <c r="AC2468" s="126"/>
      <c r="AD2468" s="126"/>
      <c r="AE2468" s="126"/>
      <c r="AH2468" s="126"/>
      <c r="AI2468" s="126"/>
      <c r="AK2468" s="126"/>
      <c r="AL2468" s="126"/>
      <c r="AM2468" s="126"/>
      <c r="AN2468" s="126"/>
      <c r="BG2468" s="23"/>
      <c r="BN2468" s="126"/>
      <c r="BT2468" s="23"/>
      <c r="CD2468" s="23"/>
      <c r="DF2468" s="16" t="e">
        <f>VLOOKUP(K2468,'[3]RNA Seq summary tables'!$V$3:$V$99,1,FALSE)</f>
        <v>#N/A</v>
      </c>
      <c r="DG2468" s="126"/>
    </row>
    <row r="2469" spans="2:287" ht="16" x14ac:dyDescent="0.2">
      <c r="B2469" s="16">
        <v>2018</v>
      </c>
      <c r="C2469" s="124">
        <v>43268</v>
      </c>
      <c r="D2469" t="s">
        <v>509</v>
      </c>
      <c r="E2469" s="20" t="str">
        <f>CONCATENATE(T2469,"-",U2469,"-",C2469)</f>
        <v>PO1-A8-43268</v>
      </c>
      <c r="F2469" s="16" t="s">
        <v>227</v>
      </c>
      <c r="G2469" s="126" t="s">
        <v>278</v>
      </c>
      <c r="H2469" s="126"/>
      <c r="J2469" s="126">
        <v>1488</v>
      </c>
      <c r="K2469" s="126"/>
      <c r="O2469" s="126"/>
      <c r="T2469" s="126" t="s">
        <v>112</v>
      </c>
      <c r="U2469" s="126" t="s">
        <v>194</v>
      </c>
      <c r="V2469" s="126"/>
      <c r="X2469" s="126"/>
      <c r="Y2469" s="126"/>
      <c r="Z2469" s="126"/>
      <c r="AA2469" s="126"/>
      <c r="AB2469" s="126"/>
      <c r="AC2469" s="126"/>
      <c r="AD2469" s="126"/>
      <c r="AE2469" s="126"/>
      <c r="AH2469" s="126"/>
      <c r="AI2469" s="126"/>
      <c r="AK2469" s="126"/>
      <c r="AL2469" s="126"/>
      <c r="AM2469" s="126"/>
      <c r="AN2469" s="126"/>
      <c r="BG2469" s="23"/>
      <c r="BN2469" s="126"/>
      <c r="BT2469" s="23"/>
      <c r="CD2469" s="23"/>
      <c r="DF2469" s="16" t="e">
        <f>VLOOKUP(K2469,'[3]RNA Seq summary tables'!$V$3:$V$99,1,FALSE)</f>
        <v>#N/A</v>
      </c>
      <c r="DG2469" s="126"/>
    </row>
    <row r="2470" spans="2:287" ht="16" x14ac:dyDescent="0.2">
      <c r="B2470" s="16">
        <v>2018</v>
      </c>
      <c r="C2470" s="124">
        <v>43285</v>
      </c>
      <c r="D2470" t="s">
        <v>600</v>
      </c>
      <c r="E2470" s="20" t="str">
        <f>CONCATENATE(T2470,"-",U2470,"-",C2470)</f>
        <v>PO1-E8-43285</v>
      </c>
      <c r="F2470" s="16" t="s">
        <v>227</v>
      </c>
      <c r="G2470" s="126" t="s">
        <v>278</v>
      </c>
      <c r="H2470" s="126"/>
      <c r="J2470" s="126">
        <v>1488</v>
      </c>
      <c r="K2470" s="126"/>
      <c r="O2470" s="126"/>
      <c r="T2470" s="126" t="s">
        <v>112</v>
      </c>
      <c r="U2470" s="126" t="s">
        <v>181</v>
      </c>
      <c r="V2470" s="126"/>
      <c r="X2470" s="126"/>
      <c r="Y2470" s="126"/>
      <c r="Z2470" s="126"/>
      <c r="AA2470" s="126"/>
      <c r="AB2470" s="126"/>
      <c r="AC2470" s="126"/>
      <c r="AD2470" s="126"/>
      <c r="AE2470" s="126"/>
      <c r="AH2470" s="126"/>
      <c r="AI2470" s="126"/>
      <c r="AK2470" s="126"/>
      <c r="AL2470" s="126"/>
      <c r="AM2470" s="126"/>
      <c r="AN2470" s="126"/>
      <c r="BG2470" s="23"/>
      <c r="BN2470" s="126"/>
      <c r="BT2470" s="23"/>
      <c r="CD2470" s="23"/>
      <c r="DF2470" s="16" t="e">
        <f>VLOOKUP(K2470,'[3]RNA Seq summary tables'!$V$3:$V$99,1,FALSE)</f>
        <v>#N/A</v>
      </c>
      <c r="DG2470" s="126"/>
    </row>
    <row r="2471" spans="2:287" ht="16" x14ac:dyDescent="0.2">
      <c r="B2471" s="16">
        <v>2018</v>
      </c>
      <c r="C2471" s="124">
        <v>43285</v>
      </c>
      <c r="D2471" t="s">
        <v>599</v>
      </c>
      <c r="E2471" s="20" t="str">
        <f>CONCATENATE(T2471,"-",U2471,"-",C2471)</f>
        <v>PO1-A8-43285</v>
      </c>
      <c r="F2471" s="16" t="s">
        <v>227</v>
      </c>
      <c r="G2471" s="126" t="s">
        <v>278</v>
      </c>
      <c r="H2471" s="126"/>
      <c r="J2471" s="126">
        <v>1489</v>
      </c>
      <c r="K2471" s="126"/>
      <c r="O2471" s="126"/>
      <c r="T2471" s="126" t="s">
        <v>112</v>
      </c>
      <c r="U2471" s="126" t="s">
        <v>194</v>
      </c>
      <c r="V2471" s="126"/>
      <c r="X2471" s="126"/>
      <c r="Y2471" s="126"/>
      <c r="Z2471" s="126"/>
      <c r="AA2471" s="126"/>
      <c r="AB2471" s="126"/>
      <c r="AC2471" s="126"/>
      <c r="AD2471" s="126"/>
      <c r="AE2471" s="126"/>
      <c r="AH2471" s="126"/>
      <c r="AI2471" s="126"/>
      <c r="AK2471" s="126"/>
      <c r="AL2471" s="126"/>
      <c r="AM2471" s="126"/>
      <c r="AN2471" s="126"/>
      <c r="BG2471" s="23"/>
      <c r="BN2471" s="126"/>
      <c r="BT2471" s="23"/>
      <c r="CD2471" s="23"/>
      <c r="DF2471" s="16" t="e">
        <f>VLOOKUP(K2471,'[3]RNA Seq summary tables'!$V$3:$V$99,1,FALSE)</f>
        <v>#N/A</v>
      </c>
      <c r="DG2471" s="126"/>
    </row>
    <row r="2472" spans="2:287" ht="16" x14ac:dyDescent="0.2">
      <c r="B2472" s="16">
        <v>2018</v>
      </c>
      <c r="C2472" s="124">
        <v>43270</v>
      </c>
      <c r="D2472" t="s">
        <v>515</v>
      </c>
      <c r="E2472" s="20" t="str">
        <f>CONCATENATE(T2472,"-",U2472,"-",C2472)</f>
        <v>SP2-A7-43270</v>
      </c>
      <c r="F2472" s="16" t="s">
        <v>227</v>
      </c>
      <c r="G2472" s="126" t="s">
        <v>278</v>
      </c>
      <c r="H2472" s="126"/>
      <c r="J2472" s="126">
        <v>1492</v>
      </c>
      <c r="K2472" s="126"/>
      <c r="O2472" s="126"/>
      <c r="T2472" s="126" t="s">
        <v>137</v>
      </c>
      <c r="U2472" s="126" t="s">
        <v>120</v>
      </c>
      <c r="V2472" s="126"/>
      <c r="X2472" s="126"/>
      <c r="Y2472" s="126"/>
      <c r="Z2472" s="126"/>
      <c r="AA2472" s="126"/>
      <c r="AB2472" s="126"/>
      <c r="AC2472" s="126"/>
      <c r="AD2472" s="126"/>
      <c r="AE2472" s="126"/>
      <c r="AH2472" s="126"/>
      <c r="AI2472" s="126"/>
      <c r="AK2472" s="126"/>
      <c r="AL2472" s="126"/>
      <c r="AM2472" s="126"/>
      <c r="AN2472" s="126"/>
      <c r="BG2472" s="23"/>
      <c r="BN2472" s="126"/>
      <c r="BT2472" s="23"/>
      <c r="CD2472" s="23"/>
      <c r="DF2472" s="16" t="e">
        <f>VLOOKUP(K2472,'[3]RNA Seq summary tables'!$V$3:$V$99,1,FALSE)</f>
        <v>#N/A</v>
      </c>
      <c r="DG2472" s="126"/>
    </row>
    <row r="2473" spans="2:287" ht="16" x14ac:dyDescent="0.2">
      <c r="B2473" s="16">
        <v>2018</v>
      </c>
      <c r="C2473" s="124">
        <v>43270</v>
      </c>
      <c r="D2473" t="s">
        <v>518</v>
      </c>
      <c r="E2473" s="20" t="str">
        <f>CONCATENATE(T2473,"-",U2473,"-",C2473)</f>
        <v>SP2-F4-43270</v>
      </c>
      <c r="F2473" s="16" t="s">
        <v>227</v>
      </c>
      <c r="G2473" s="126" t="s">
        <v>278</v>
      </c>
      <c r="H2473" s="126"/>
      <c r="J2473" s="126">
        <v>1493</v>
      </c>
      <c r="K2473" s="126"/>
      <c r="O2473" s="126"/>
      <c r="T2473" s="126" t="s">
        <v>137</v>
      </c>
      <c r="U2473" s="126" t="s">
        <v>184</v>
      </c>
      <c r="V2473" s="126"/>
      <c r="X2473" s="126"/>
      <c r="Y2473" s="126"/>
      <c r="Z2473" s="126"/>
      <c r="AA2473" s="126"/>
      <c r="AB2473" s="126"/>
      <c r="AC2473" s="126"/>
      <c r="AD2473" s="126"/>
      <c r="AE2473" s="126"/>
      <c r="AH2473" s="126"/>
      <c r="AI2473" s="126"/>
      <c r="AK2473" s="126"/>
      <c r="AL2473" s="126"/>
      <c r="AM2473" s="126"/>
      <c r="AN2473" s="126"/>
      <c r="BG2473" s="23"/>
      <c r="BN2473" s="126"/>
      <c r="BT2473" s="23"/>
      <c r="CD2473" s="23"/>
      <c r="DF2473" s="16" t="e">
        <f>VLOOKUP(K2473,'[3]RNA Seq summary tables'!$V$3:$V$99,1,FALSE)</f>
        <v>#N/A</v>
      </c>
      <c r="DG2473" s="126"/>
    </row>
    <row r="2474" spans="2:287" ht="16" x14ac:dyDescent="0.2">
      <c r="B2474" s="16">
        <v>2018</v>
      </c>
      <c r="C2474" s="124">
        <v>43287</v>
      </c>
      <c r="D2474" t="s">
        <v>609</v>
      </c>
      <c r="E2474" s="20" t="str">
        <f>CONCATENATE(T2474,"-",U2474,"-",C2474)</f>
        <v>SP2-F7-43287</v>
      </c>
      <c r="F2474" s="16" t="s">
        <v>227</v>
      </c>
      <c r="G2474" s="126" t="s">
        <v>278</v>
      </c>
      <c r="H2474" s="126"/>
      <c r="J2474" s="126">
        <v>1493</v>
      </c>
      <c r="K2474" s="126"/>
      <c r="O2474" s="126"/>
      <c r="T2474" s="126" t="s">
        <v>137</v>
      </c>
      <c r="U2474" s="126" t="s">
        <v>189</v>
      </c>
      <c r="V2474" s="126"/>
      <c r="X2474" s="126"/>
      <c r="Y2474" s="126"/>
      <c r="Z2474" s="126"/>
      <c r="AA2474" s="126"/>
      <c r="AB2474" s="126"/>
      <c r="AC2474" s="126"/>
      <c r="AD2474" s="126"/>
      <c r="AE2474" s="126"/>
      <c r="AH2474" s="126"/>
      <c r="AI2474" s="126"/>
      <c r="AK2474" s="126"/>
      <c r="AL2474" s="126"/>
      <c r="AM2474" s="126"/>
      <c r="AN2474" s="126"/>
      <c r="BG2474" s="23"/>
      <c r="BN2474" s="126"/>
      <c r="BT2474" s="23"/>
      <c r="CD2474" s="23"/>
      <c r="DF2474" s="16" t="e">
        <f>VLOOKUP(K2474,'[3]RNA Seq summary tables'!$V$3:$V$99,1,FALSE)</f>
        <v>#N/A</v>
      </c>
      <c r="DG2474" s="126"/>
    </row>
    <row r="2475" spans="2:287" ht="16" x14ac:dyDescent="0.2">
      <c r="B2475" s="16">
        <v>2018</v>
      </c>
      <c r="C2475" s="124">
        <v>43270</v>
      </c>
      <c r="D2475" t="s">
        <v>520</v>
      </c>
      <c r="E2475" s="20" t="str">
        <f>CONCATENATE(T2475,"-",U2475,"-",C2475)</f>
        <v>SP2-F7-43270</v>
      </c>
      <c r="F2475" s="16" t="s">
        <v>227</v>
      </c>
      <c r="G2475" s="126" t="s">
        <v>278</v>
      </c>
      <c r="H2475" s="126"/>
      <c r="J2475" s="126">
        <v>1494</v>
      </c>
      <c r="K2475" s="126"/>
      <c r="O2475" s="126"/>
      <c r="T2475" s="126" t="s">
        <v>137</v>
      </c>
      <c r="U2475" s="126" t="s">
        <v>189</v>
      </c>
      <c r="V2475" s="126"/>
      <c r="X2475" s="126"/>
      <c r="Y2475" s="126"/>
      <c r="Z2475" s="126"/>
      <c r="AA2475" s="126"/>
      <c r="AB2475" s="126"/>
      <c r="AC2475" s="126"/>
      <c r="AD2475" s="126"/>
      <c r="AE2475" s="126"/>
      <c r="AH2475" s="126"/>
      <c r="AI2475" s="126"/>
      <c r="AK2475" s="126"/>
      <c r="AL2475" s="126"/>
      <c r="AM2475" s="126"/>
      <c r="AN2475" s="126"/>
      <c r="BG2475" s="23"/>
      <c r="BN2475" s="126"/>
      <c r="BT2475" s="23"/>
      <c r="CD2475" s="23"/>
      <c r="DF2475" s="16" t="e">
        <f>VLOOKUP(K2475,'[3]RNA Seq summary tables'!$V$3:$V$99,1,FALSE)</f>
        <v>#N/A</v>
      </c>
      <c r="DG2475" s="126"/>
    </row>
    <row r="2476" spans="2:287" ht="16" x14ac:dyDescent="0.2">
      <c r="B2476" s="16">
        <v>2018</v>
      </c>
      <c r="C2476" s="124">
        <v>43288</v>
      </c>
      <c r="D2476" t="s">
        <v>616</v>
      </c>
      <c r="E2476" s="20" t="str">
        <f>CONCATENATE(T2476,"-",U2476,"-",C2476)</f>
        <v>SP2-G8-43288</v>
      </c>
      <c r="F2476" s="16" t="s">
        <v>227</v>
      </c>
      <c r="G2476" s="126" t="s">
        <v>278</v>
      </c>
      <c r="H2476" s="126"/>
      <c r="J2476" s="126">
        <v>1494</v>
      </c>
      <c r="K2476" s="126"/>
      <c r="O2476" s="126"/>
      <c r="T2476" s="126" t="s">
        <v>137</v>
      </c>
      <c r="U2476" s="126" t="s">
        <v>216</v>
      </c>
      <c r="V2476" s="126"/>
      <c r="X2476" s="126"/>
      <c r="Y2476" s="126"/>
      <c r="Z2476" s="126"/>
      <c r="AA2476" s="126"/>
      <c r="AB2476" s="126"/>
      <c r="AC2476" s="126"/>
      <c r="AD2476" s="126"/>
      <c r="AE2476" s="126"/>
      <c r="AH2476" s="126"/>
      <c r="AI2476" s="126"/>
      <c r="AK2476" s="126"/>
      <c r="AL2476" s="126"/>
      <c r="AM2476" s="126"/>
      <c r="AN2476" s="126"/>
      <c r="BG2476" s="23"/>
      <c r="BN2476" s="126"/>
      <c r="BT2476" s="23"/>
      <c r="CD2476" s="23"/>
      <c r="DF2476" s="16" t="e">
        <f>VLOOKUP(K2476,'[3]RNA Seq summary tables'!$V$3:$V$99,1,FALSE)</f>
        <v>#N/A</v>
      </c>
      <c r="DG2476" s="126"/>
    </row>
    <row r="2477" spans="2:287" ht="16" x14ac:dyDescent="0.2">
      <c r="B2477" s="16">
        <v>2018</v>
      </c>
      <c r="C2477" s="124">
        <v>43270</v>
      </c>
      <c r="D2477" t="s">
        <v>524</v>
      </c>
      <c r="E2477" s="20" t="str">
        <f>CONCATENATE(T2477,"-",U2477,"-",C2477)</f>
        <v>SP1-H2-43270</v>
      </c>
      <c r="F2477" s="16" t="s">
        <v>227</v>
      </c>
      <c r="G2477" s="126" t="s">
        <v>278</v>
      </c>
      <c r="H2477" s="126"/>
      <c r="J2477" s="126">
        <v>1495</v>
      </c>
      <c r="K2477" s="126"/>
      <c r="O2477" s="126"/>
      <c r="T2477" s="126" t="s">
        <v>140</v>
      </c>
      <c r="U2477" s="126" t="s">
        <v>190</v>
      </c>
      <c r="V2477" s="126"/>
      <c r="X2477" s="126"/>
      <c r="Y2477" s="126"/>
      <c r="Z2477" s="126"/>
      <c r="AA2477" s="126"/>
      <c r="AB2477" s="126"/>
      <c r="AC2477" s="126"/>
      <c r="AD2477" s="126"/>
      <c r="AE2477" s="126"/>
      <c r="AH2477" s="126"/>
      <c r="AI2477" s="126"/>
      <c r="AK2477" s="126"/>
      <c r="AL2477" s="126"/>
      <c r="AM2477" s="126"/>
      <c r="AN2477" s="126"/>
      <c r="BG2477" s="23"/>
      <c r="BN2477" s="126"/>
      <c r="BT2477" s="23"/>
      <c r="CD2477" s="23"/>
      <c r="DF2477" s="16" t="e">
        <f>VLOOKUP(K2477,'[3]RNA Seq summary tables'!$V$3:$V$99,1,FALSE)</f>
        <v>#N/A</v>
      </c>
      <c r="DG2477" s="126"/>
    </row>
    <row r="2478" spans="2:287" ht="16" x14ac:dyDescent="0.2">
      <c r="B2478" s="16">
        <v>2018</v>
      </c>
      <c r="C2478" s="124">
        <v>43271</v>
      </c>
      <c r="D2478" t="s">
        <v>529</v>
      </c>
      <c r="E2478" s="20" t="str">
        <f>CONCATENATE(T2478,"-",U2478,"-",C2478)</f>
        <v>SP1-G7-43271</v>
      </c>
      <c r="F2478" s="16" t="s">
        <v>227</v>
      </c>
      <c r="G2478" s="126" t="s">
        <v>278</v>
      </c>
      <c r="H2478" s="126"/>
      <c r="J2478" s="126">
        <v>1496</v>
      </c>
      <c r="K2478" s="126"/>
      <c r="O2478" s="126"/>
      <c r="T2478" s="126" t="s">
        <v>140</v>
      </c>
      <c r="U2478" s="126" t="s">
        <v>156</v>
      </c>
      <c r="V2478" s="126"/>
      <c r="X2478" s="126"/>
      <c r="Y2478" s="126"/>
      <c r="Z2478" s="126"/>
      <c r="AA2478" s="126"/>
      <c r="AB2478" s="126"/>
      <c r="AC2478" s="126"/>
      <c r="AD2478" s="126"/>
      <c r="AE2478" s="126"/>
      <c r="AH2478" s="126"/>
      <c r="AI2478" s="126"/>
      <c r="AK2478" s="126"/>
      <c r="AL2478" s="126"/>
      <c r="AM2478" s="126"/>
      <c r="AN2478" s="126"/>
      <c r="BG2478" s="23"/>
      <c r="BN2478" s="126"/>
      <c r="BT2478" s="23"/>
      <c r="CD2478" s="23"/>
      <c r="DF2478" s="16" t="e">
        <f>VLOOKUP(K2478,'[3]RNA Seq summary tables'!$V$3:$V$99,1,FALSE)</f>
        <v>#N/A</v>
      </c>
      <c r="DG2478" s="126"/>
    </row>
    <row r="2479" spans="2:287" ht="16" x14ac:dyDescent="0.2">
      <c r="B2479" s="16">
        <v>2018</v>
      </c>
      <c r="C2479" s="124">
        <v>43287</v>
      </c>
      <c r="D2479" t="s">
        <v>611</v>
      </c>
      <c r="E2479" s="20" t="str">
        <f>CONCATENATE(T2479,"-",U2479,"-",C2479)</f>
        <v>SP1-A8-43287</v>
      </c>
      <c r="F2479" s="16" t="s">
        <v>227</v>
      </c>
      <c r="G2479" s="126" t="s">
        <v>278</v>
      </c>
      <c r="H2479" s="126"/>
      <c r="J2479" s="126">
        <v>1496</v>
      </c>
      <c r="K2479" s="126"/>
      <c r="O2479" s="126"/>
      <c r="T2479" s="126" t="s">
        <v>140</v>
      </c>
      <c r="U2479" s="126" t="s">
        <v>194</v>
      </c>
      <c r="V2479" s="126"/>
      <c r="X2479" s="126"/>
      <c r="Y2479" s="126"/>
      <c r="Z2479" s="126"/>
      <c r="AA2479" s="126"/>
      <c r="AB2479" s="126"/>
      <c r="AC2479" s="126"/>
      <c r="AD2479" s="126"/>
      <c r="AE2479" s="126"/>
      <c r="AH2479" s="126"/>
      <c r="AI2479" s="126"/>
      <c r="AK2479" s="126"/>
      <c r="AL2479" s="126"/>
      <c r="AM2479" s="126"/>
      <c r="AN2479" s="126"/>
      <c r="BG2479" s="23"/>
      <c r="BN2479" s="126"/>
      <c r="BT2479" s="23"/>
      <c r="CD2479" s="23"/>
      <c r="DF2479" s="16" t="e">
        <f>VLOOKUP(K2479,'[3]RNA Seq summary tables'!$V$3:$V$99,1,FALSE)</f>
        <v>#N/A</v>
      </c>
      <c r="DG2479" s="126"/>
    </row>
    <row r="2480" spans="2:287" ht="16" x14ac:dyDescent="0.2">
      <c r="B2480" s="16">
        <v>2018</v>
      </c>
      <c r="C2480" s="147">
        <v>43314</v>
      </c>
      <c r="D2480" t="s">
        <v>1234</v>
      </c>
      <c r="E2480" s="20" t="str">
        <f>CONCATENATE(T2480,"-",U2480,"-",C2480)</f>
        <v>SP1-D8-43314</v>
      </c>
      <c r="F2480" s="16" t="s">
        <v>227</v>
      </c>
      <c r="G2480" s="145" t="s">
        <v>278</v>
      </c>
      <c r="H2480" s="145"/>
      <c r="I2480" s="145"/>
      <c r="J2480" s="145">
        <v>1496</v>
      </c>
      <c r="K2480" s="145"/>
      <c r="M2480" s="16"/>
      <c r="N2480" s="16"/>
      <c r="O2480" s="145"/>
      <c r="P2480" s="145"/>
      <c r="Q2480" s="145"/>
      <c r="R2480" s="145"/>
      <c r="S2480" s="145"/>
      <c r="T2480" s="145" t="s">
        <v>140</v>
      </c>
      <c r="U2480" s="145" t="s">
        <v>178</v>
      </c>
      <c r="V2480" s="145"/>
      <c r="W2480" s="145"/>
      <c r="X2480" s="145"/>
      <c r="Y2480" s="145"/>
      <c r="Z2480" s="145"/>
      <c r="AA2480" s="145"/>
      <c r="AB2480" s="145"/>
      <c r="AC2480" s="145"/>
      <c r="AD2480" s="145"/>
      <c r="AE2480" s="145"/>
      <c r="AF2480" s="145"/>
      <c r="AG2480" s="145"/>
      <c r="AH2480" s="145"/>
      <c r="AI2480" s="145"/>
      <c r="AJ2480" s="145"/>
      <c r="AK2480" s="145"/>
      <c r="AL2480" s="145"/>
      <c r="AM2480" s="145"/>
      <c r="AN2480" s="145"/>
      <c r="AT2480" s="16" t="e">
        <f>VLOOKUP(E2480,[2]Current!$A$1:$W$435,7,FALSE)</f>
        <v>#N/A</v>
      </c>
      <c r="DG2480" s="145"/>
      <c r="DT2480"/>
      <c r="DU2480" s="145"/>
      <c r="DX2480" s="145"/>
      <c r="DY2480" s="145"/>
      <c r="DZ2480" s="16"/>
      <c r="EA2480" s="16"/>
      <c r="EB2480" s="16"/>
      <c r="EC2480" s="16"/>
      <c r="ED2480" s="16"/>
      <c r="EE2480" s="16"/>
      <c r="EF2480" s="16"/>
      <c r="JO2480" s="18"/>
      <c r="JP2480" s="18"/>
      <c r="JQ2480" s="18"/>
      <c r="JR2480" s="18"/>
      <c r="JS2480" s="18"/>
      <c r="JT2480" s="18"/>
      <c r="JU2480" s="18"/>
      <c r="JV2480" s="18"/>
      <c r="JW2480" s="18"/>
      <c r="JX2480" s="18"/>
      <c r="JY2480" s="18"/>
      <c r="JZ2480" s="18"/>
      <c r="KA2480" s="18"/>
    </row>
    <row r="2481" spans="2:287" ht="16" x14ac:dyDescent="0.2">
      <c r="B2481" s="16">
        <v>2018</v>
      </c>
      <c r="C2481" s="124">
        <v>43287</v>
      </c>
      <c r="D2481" t="s">
        <v>606</v>
      </c>
      <c r="E2481" s="20" t="str">
        <f>CONCATENATE(T2481,"-",U2481,"-",C2481)</f>
        <v>SP2-B3-43287</v>
      </c>
      <c r="F2481" s="16" t="s">
        <v>227</v>
      </c>
      <c r="G2481" s="126" t="s">
        <v>278</v>
      </c>
      <c r="H2481" s="126"/>
      <c r="J2481" s="126">
        <v>1500</v>
      </c>
      <c r="K2481" s="126"/>
      <c r="O2481" s="126"/>
      <c r="T2481" s="126" t="s">
        <v>137</v>
      </c>
      <c r="U2481" s="126" t="s">
        <v>131</v>
      </c>
      <c r="V2481" s="126"/>
      <c r="X2481" s="126"/>
      <c r="Y2481" s="126"/>
      <c r="Z2481" s="126"/>
      <c r="AA2481" s="126"/>
      <c r="AB2481" s="126"/>
      <c r="AC2481" s="126"/>
      <c r="AD2481" s="126"/>
      <c r="AE2481" s="126"/>
      <c r="AH2481" s="126"/>
      <c r="AI2481" s="126"/>
      <c r="AK2481" s="126"/>
      <c r="AL2481" s="126"/>
      <c r="AM2481" s="126"/>
      <c r="AN2481" s="126"/>
      <c r="BG2481" s="23"/>
      <c r="BN2481" s="126"/>
      <c r="BT2481" s="23"/>
      <c r="CD2481" s="23"/>
      <c r="DF2481" s="16" t="e">
        <f>VLOOKUP(K2481,'[3]RNA Seq summary tables'!$V$3:$V$99,1,FALSE)</f>
        <v>#N/A</v>
      </c>
      <c r="DG2481" s="126"/>
    </row>
    <row r="2482" spans="2:287" ht="16" x14ac:dyDescent="0.2">
      <c r="B2482" s="16">
        <v>2018</v>
      </c>
      <c r="C2482" s="147">
        <v>43314</v>
      </c>
      <c r="D2482" t="s">
        <v>1227</v>
      </c>
      <c r="E2482" s="20" t="str">
        <f>CONCATENATE(T2482,"-",U2482,"-",C2482)</f>
        <v>SP2-C2-43314</v>
      </c>
      <c r="F2482" s="16" t="s">
        <v>227</v>
      </c>
      <c r="G2482" s="145" t="s">
        <v>278</v>
      </c>
      <c r="H2482" s="145"/>
      <c r="I2482" s="145"/>
      <c r="J2482" s="145">
        <v>1500</v>
      </c>
      <c r="K2482" s="145"/>
      <c r="M2482" s="16"/>
      <c r="N2482" s="16"/>
      <c r="O2482" s="145"/>
      <c r="P2482" s="145"/>
      <c r="Q2482" s="145"/>
      <c r="R2482" s="145"/>
      <c r="S2482" s="145"/>
      <c r="T2482" s="145" t="s">
        <v>137</v>
      </c>
      <c r="U2482" s="145" t="s">
        <v>162</v>
      </c>
      <c r="V2482" s="145"/>
      <c r="W2482" s="145"/>
      <c r="X2482" s="145"/>
      <c r="Y2482" s="145"/>
      <c r="Z2482" s="145"/>
      <c r="AA2482" s="145"/>
      <c r="AB2482" s="145"/>
      <c r="AC2482" s="145"/>
      <c r="AD2482" s="145"/>
      <c r="AE2482" s="145"/>
      <c r="AF2482" s="145"/>
      <c r="AG2482" s="145"/>
      <c r="AH2482" s="145"/>
      <c r="AI2482" s="145"/>
      <c r="AJ2482" s="145"/>
      <c r="AK2482" s="145"/>
      <c r="AL2482" s="145"/>
      <c r="AM2482" s="145"/>
      <c r="AN2482" s="145"/>
      <c r="AT2482" s="16" t="e">
        <f>VLOOKUP(E2482,[2]Current!$A$1:$W$435,7,FALSE)</f>
        <v>#N/A</v>
      </c>
      <c r="DG2482" s="145"/>
      <c r="DT2482"/>
      <c r="DU2482" s="145"/>
      <c r="DX2482" s="145"/>
      <c r="DY2482" s="145"/>
      <c r="DZ2482" s="16"/>
      <c r="EA2482" s="16"/>
      <c r="EB2482" s="16"/>
      <c r="EC2482" s="16"/>
      <c r="ED2482" s="16"/>
      <c r="EE2482" s="16"/>
      <c r="EF2482" s="16"/>
      <c r="JO2482" s="18"/>
      <c r="JP2482" s="18"/>
      <c r="JQ2482" s="18"/>
      <c r="JR2482" s="18"/>
      <c r="JS2482" s="18"/>
      <c r="JT2482" s="18"/>
      <c r="JU2482" s="18"/>
      <c r="JV2482" s="18"/>
      <c r="JW2482" s="18"/>
      <c r="JX2482" s="18"/>
      <c r="JY2482" s="18"/>
      <c r="JZ2482" s="18"/>
      <c r="KA2482" s="18"/>
    </row>
    <row r="2483" spans="2:287" ht="16" x14ac:dyDescent="0.2">
      <c r="B2483" s="16">
        <v>2018</v>
      </c>
      <c r="C2483" s="124">
        <v>43271</v>
      </c>
      <c r="D2483" t="s">
        <v>531</v>
      </c>
      <c r="E2483" s="20" t="str">
        <f>CONCATENATE(T2483,"-",U2483,"-",C2483)</f>
        <v>SP1-B2-43271</v>
      </c>
      <c r="F2483" s="16" t="s">
        <v>227</v>
      </c>
      <c r="G2483" s="126" t="s">
        <v>278</v>
      </c>
      <c r="H2483" s="126"/>
      <c r="J2483" s="126">
        <v>1501</v>
      </c>
      <c r="K2483" s="126"/>
      <c r="O2483" s="126"/>
      <c r="T2483" s="126" t="s">
        <v>140</v>
      </c>
      <c r="U2483" s="126" t="s">
        <v>130</v>
      </c>
      <c r="V2483" s="126"/>
      <c r="X2483" s="126"/>
      <c r="Y2483" s="126"/>
      <c r="Z2483" s="126"/>
      <c r="AA2483" s="126"/>
      <c r="AB2483" s="126"/>
      <c r="AC2483" s="126"/>
      <c r="AD2483" s="126"/>
      <c r="AE2483" s="126"/>
      <c r="AH2483" s="126"/>
      <c r="AI2483" s="126"/>
      <c r="AK2483" s="126"/>
      <c r="AL2483" s="126"/>
      <c r="AM2483" s="126"/>
      <c r="AN2483" s="126"/>
      <c r="BG2483" s="23"/>
      <c r="BN2483" s="126"/>
      <c r="BT2483" s="23"/>
      <c r="CD2483" s="23"/>
      <c r="DF2483" s="16" t="e">
        <f>VLOOKUP(K2483,'[3]RNA Seq summary tables'!$V$3:$V$99,1,FALSE)</f>
        <v>#N/A</v>
      </c>
      <c r="DG2483" s="126"/>
    </row>
    <row r="2484" spans="2:287" ht="16" x14ac:dyDescent="0.2">
      <c r="B2484" s="16">
        <v>2018</v>
      </c>
      <c r="C2484" s="147">
        <v>43314</v>
      </c>
      <c r="D2484" t="s">
        <v>1231</v>
      </c>
      <c r="E2484" s="20" t="str">
        <f>CONCATENATE(T2484,"-",U2484,"-",C2484)</f>
        <v>SP1-B1-43314</v>
      </c>
      <c r="F2484" s="16" t="s">
        <v>227</v>
      </c>
      <c r="G2484" s="145" t="s">
        <v>278</v>
      </c>
      <c r="H2484" s="145"/>
      <c r="I2484" s="145"/>
      <c r="J2484" s="145">
        <v>1501</v>
      </c>
      <c r="K2484" s="145"/>
      <c r="M2484" s="16"/>
      <c r="N2484" s="16"/>
      <c r="O2484" s="145"/>
      <c r="P2484" s="145"/>
      <c r="Q2484" s="145"/>
      <c r="R2484" s="145"/>
      <c r="S2484" s="145"/>
      <c r="T2484" s="145" t="s">
        <v>140</v>
      </c>
      <c r="U2484" s="145" t="s">
        <v>113</v>
      </c>
      <c r="V2484" s="145"/>
      <c r="W2484" s="145"/>
      <c r="X2484" s="145"/>
      <c r="Y2484" s="145"/>
      <c r="Z2484" s="145"/>
      <c r="AA2484" s="145"/>
      <c r="AB2484" s="145"/>
      <c r="AC2484" s="145"/>
      <c r="AD2484" s="145"/>
      <c r="AE2484" s="145"/>
      <c r="AF2484" s="145"/>
      <c r="AG2484" s="145"/>
      <c r="AH2484" s="145"/>
      <c r="AI2484" s="145"/>
      <c r="AJ2484" s="145"/>
      <c r="AK2484" s="145"/>
      <c r="AL2484" s="145"/>
      <c r="AM2484" s="145"/>
      <c r="AN2484" s="145"/>
      <c r="AT2484" s="16" t="e">
        <f>VLOOKUP(E2484,[2]Current!$A$1:$W$435,7,FALSE)</f>
        <v>#N/A</v>
      </c>
      <c r="DG2484" s="145"/>
      <c r="DT2484"/>
      <c r="DU2484" s="145"/>
      <c r="DX2484" s="145"/>
      <c r="DY2484" s="145"/>
      <c r="DZ2484" s="16"/>
      <c r="EA2484" s="16"/>
      <c r="EB2484" s="16"/>
      <c r="EC2484" s="16"/>
      <c r="ED2484" s="16"/>
      <c r="EE2484" s="16"/>
      <c r="EF2484" s="16"/>
      <c r="JO2484" s="18"/>
      <c r="JP2484" s="18"/>
      <c r="JQ2484" s="18"/>
      <c r="JR2484" s="18"/>
      <c r="JS2484" s="18"/>
      <c r="JT2484" s="18"/>
      <c r="JU2484" s="18"/>
      <c r="JV2484" s="18"/>
      <c r="JW2484" s="18"/>
      <c r="JX2484" s="18"/>
      <c r="JY2484" s="18"/>
      <c r="JZ2484" s="18"/>
      <c r="KA2484" s="18"/>
    </row>
    <row r="2485" spans="2:287" ht="16" x14ac:dyDescent="0.2">
      <c r="B2485" s="16">
        <v>2018</v>
      </c>
      <c r="C2485" s="124">
        <v>43271</v>
      </c>
      <c r="D2485" t="s">
        <v>530</v>
      </c>
      <c r="E2485" s="20" t="str">
        <f>CONCATENATE(T2485,"-",U2485,"-",C2485)</f>
        <v>SP1-E3-43271</v>
      </c>
      <c r="F2485" s="16" t="s">
        <v>227</v>
      </c>
      <c r="G2485" s="126" t="s">
        <v>278</v>
      </c>
      <c r="H2485" s="126"/>
      <c r="J2485" s="126">
        <v>1503</v>
      </c>
      <c r="K2485" s="126"/>
      <c r="O2485" s="126"/>
      <c r="T2485" s="126" t="s">
        <v>140</v>
      </c>
      <c r="U2485" s="126" t="s">
        <v>225</v>
      </c>
      <c r="V2485" s="126"/>
      <c r="X2485" s="126"/>
      <c r="Y2485" s="126"/>
      <c r="Z2485" s="126"/>
      <c r="AA2485" s="126"/>
      <c r="AB2485" s="126"/>
      <c r="AC2485" s="126"/>
      <c r="AD2485" s="126"/>
      <c r="AE2485" s="126"/>
      <c r="AH2485" s="126"/>
      <c r="AI2485" s="126"/>
      <c r="AK2485" s="126"/>
      <c r="AL2485" s="126"/>
      <c r="AM2485" s="126"/>
      <c r="AN2485" s="126"/>
      <c r="BG2485" s="23"/>
      <c r="BN2485" s="126"/>
      <c r="BT2485" s="23"/>
      <c r="CD2485" s="23"/>
      <c r="DF2485" s="16" t="e">
        <f>VLOOKUP(K2485,'[3]RNA Seq summary tables'!$V$3:$V$99,1,FALSE)</f>
        <v>#N/A</v>
      </c>
      <c r="DG2485" s="126"/>
    </row>
    <row r="2486" spans="2:287" ht="16" x14ac:dyDescent="0.2">
      <c r="B2486" s="16">
        <v>2018</v>
      </c>
      <c r="C2486" s="124">
        <v>43275</v>
      </c>
      <c r="D2486" t="s">
        <v>533</v>
      </c>
      <c r="E2486" s="20" t="str">
        <f>CONCATENATE(T2486,"-",U2486,"-",C2486)</f>
        <v>BC1-B7-43275</v>
      </c>
      <c r="F2486" s="16" t="s">
        <v>227</v>
      </c>
      <c r="G2486" s="126" t="s">
        <v>278</v>
      </c>
      <c r="H2486" s="126"/>
      <c r="J2486" s="126">
        <v>1506</v>
      </c>
      <c r="K2486" s="126"/>
      <c r="O2486" s="126"/>
      <c r="T2486" s="126" t="s">
        <v>159</v>
      </c>
      <c r="U2486" s="126" t="s">
        <v>168</v>
      </c>
      <c r="V2486" s="126"/>
      <c r="X2486" s="126"/>
      <c r="Y2486" s="126"/>
      <c r="Z2486" s="126"/>
      <c r="AA2486" s="126"/>
      <c r="AB2486" s="126"/>
      <c r="AC2486" s="126"/>
      <c r="AD2486" s="126"/>
      <c r="AE2486" s="126"/>
      <c r="AH2486" s="126"/>
      <c r="AI2486" s="126"/>
      <c r="AK2486" s="126"/>
      <c r="AL2486" s="126"/>
      <c r="AM2486" s="126"/>
      <c r="AN2486" s="126"/>
      <c r="BG2486" s="23"/>
      <c r="BN2486" s="126"/>
      <c r="BT2486" s="23"/>
      <c r="CD2486" s="23"/>
      <c r="DF2486" s="16" t="e">
        <f>VLOOKUP(K2486,'[3]RNA Seq summary tables'!$V$3:$V$99,1,FALSE)</f>
        <v>#N/A</v>
      </c>
      <c r="DG2486" s="126"/>
    </row>
    <row r="2487" spans="2:287" ht="16" x14ac:dyDescent="0.2">
      <c r="B2487" s="16">
        <v>2018</v>
      </c>
      <c r="C2487" s="124">
        <v>43276</v>
      </c>
      <c r="D2487" t="s">
        <v>546</v>
      </c>
      <c r="E2487" s="20" t="str">
        <f>CONCATENATE(T2487,"-",U2487,"-",C2487)</f>
        <v>BC1-A7-43276</v>
      </c>
      <c r="F2487" s="16" t="s">
        <v>227</v>
      </c>
      <c r="G2487" s="126" t="s">
        <v>278</v>
      </c>
      <c r="H2487" s="126"/>
      <c r="J2487" s="126">
        <v>1506</v>
      </c>
      <c r="K2487" s="126"/>
      <c r="O2487" s="126"/>
      <c r="T2487" s="126" t="s">
        <v>159</v>
      </c>
      <c r="U2487" s="126" t="s">
        <v>120</v>
      </c>
      <c r="V2487" s="126"/>
      <c r="X2487" s="126"/>
      <c r="Y2487" s="126"/>
      <c r="Z2487" s="126"/>
      <c r="AA2487" s="126"/>
      <c r="AB2487" s="126"/>
      <c r="AC2487" s="126"/>
      <c r="AD2487" s="126"/>
      <c r="AE2487" s="126"/>
      <c r="AH2487" s="126"/>
      <c r="AI2487" s="126"/>
      <c r="AK2487" s="126"/>
      <c r="AL2487" s="126"/>
      <c r="AM2487" s="126"/>
      <c r="AN2487" s="126"/>
      <c r="BG2487" s="23"/>
      <c r="BN2487" s="126"/>
      <c r="BT2487" s="23"/>
      <c r="CD2487" s="23"/>
      <c r="DF2487" s="16" t="e">
        <f>VLOOKUP(K2487,'[3]RNA Seq summary tables'!$V$3:$V$99,1,FALSE)</f>
        <v>#N/A</v>
      </c>
      <c r="DG2487" s="126"/>
    </row>
    <row r="2488" spans="2:287" ht="16" x14ac:dyDescent="0.2">
      <c r="B2488" s="16">
        <v>2018</v>
      </c>
      <c r="C2488" s="124">
        <v>43275</v>
      </c>
      <c r="D2488" t="s">
        <v>536</v>
      </c>
      <c r="E2488" s="20" t="str">
        <f>CONCATENATE(T2488,"-",U2488,"-",C2488)</f>
        <v>BC1-E5-43275</v>
      </c>
      <c r="F2488" s="16" t="s">
        <v>227</v>
      </c>
      <c r="G2488" s="126" t="s">
        <v>278</v>
      </c>
      <c r="H2488" s="126"/>
      <c r="J2488" s="126">
        <v>1507</v>
      </c>
      <c r="K2488" s="126"/>
      <c r="O2488" s="126"/>
      <c r="T2488" s="126" t="s">
        <v>159</v>
      </c>
      <c r="U2488" s="126" t="s">
        <v>158</v>
      </c>
      <c r="V2488" s="126"/>
      <c r="X2488" s="126"/>
      <c r="Y2488" s="126"/>
      <c r="Z2488" s="126"/>
      <c r="AA2488" s="126"/>
      <c r="AB2488" s="126"/>
      <c r="AC2488" s="126"/>
      <c r="AD2488" s="126"/>
      <c r="AE2488" s="126"/>
      <c r="AH2488" s="126"/>
      <c r="AI2488" s="126"/>
      <c r="AK2488" s="126"/>
      <c r="AL2488" s="126"/>
      <c r="AM2488" s="126"/>
      <c r="AN2488" s="126"/>
      <c r="BG2488" s="23"/>
      <c r="BN2488" s="126"/>
      <c r="BT2488" s="23"/>
      <c r="CD2488" s="23"/>
      <c r="DF2488" s="16" t="e">
        <f>VLOOKUP(K2488,'[3]RNA Seq summary tables'!$V$3:$V$99,1,FALSE)</f>
        <v>#N/A</v>
      </c>
      <c r="DG2488" s="126"/>
    </row>
    <row r="2489" spans="2:287" ht="16" x14ac:dyDescent="0.2">
      <c r="B2489" s="16">
        <v>2018</v>
      </c>
      <c r="C2489" s="124">
        <v>43276</v>
      </c>
      <c r="D2489" t="s">
        <v>550</v>
      </c>
      <c r="E2489" s="20" t="str">
        <f>CONCATENATE(T2489,"-",U2489,"-",C2489)</f>
        <v>BC1-E5-43276</v>
      </c>
      <c r="F2489" s="16" t="s">
        <v>227</v>
      </c>
      <c r="G2489" s="126" t="s">
        <v>278</v>
      </c>
      <c r="H2489" s="126"/>
      <c r="J2489" s="126">
        <v>1507</v>
      </c>
      <c r="K2489" s="126"/>
      <c r="O2489" s="126"/>
      <c r="T2489" s="126" t="s">
        <v>159</v>
      </c>
      <c r="U2489" s="126" t="s">
        <v>158</v>
      </c>
      <c r="V2489" s="126"/>
      <c r="X2489" s="126"/>
      <c r="Y2489" s="126"/>
      <c r="Z2489" s="126"/>
      <c r="AA2489" s="126"/>
      <c r="AB2489" s="126"/>
      <c r="AC2489" s="126"/>
      <c r="AD2489" s="126"/>
      <c r="AE2489" s="126"/>
      <c r="AH2489" s="126"/>
      <c r="AI2489" s="126"/>
      <c r="AK2489" s="126"/>
      <c r="AL2489" s="126"/>
      <c r="AM2489" s="126"/>
      <c r="AN2489" s="126"/>
      <c r="BG2489" s="23"/>
      <c r="BN2489" s="126"/>
      <c r="BT2489" s="23"/>
      <c r="CD2489" s="23"/>
      <c r="DF2489" s="16" t="e">
        <f>VLOOKUP(K2489,'[3]RNA Seq summary tables'!$V$3:$V$99,1,FALSE)</f>
        <v>#N/A</v>
      </c>
      <c r="DG2489" s="126"/>
    </row>
    <row r="2490" spans="2:287" ht="16" x14ac:dyDescent="0.2">
      <c r="B2490" s="16">
        <v>2018</v>
      </c>
      <c r="C2490" s="124">
        <v>43275</v>
      </c>
      <c r="D2490" t="s">
        <v>538</v>
      </c>
      <c r="E2490" s="20" t="str">
        <f>CONCATENATE(T2490,"-",U2490,"-",C2490)</f>
        <v>BC2-D3-43275</v>
      </c>
      <c r="F2490" s="16" t="s">
        <v>227</v>
      </c>
      <c r="G2490" s="126" t="s">
        <v>278</v>
      </c>
      <c r="H2490" s="126"/>
      <c r="J2490" s="126">
        <v>1508</v>
      </c>
      <c r="K2490" s="126"/>
      <c r="O2490" s="126"/>
      <c r="T2490" s="126" t="s">
        <v>154</v>
      </c>
      <c r="U2490" s="126" t="s">
        <v>149</v>
      </c>
      <c r="V2490" s="126"/>
      <c r="X2490" s="126"/>
      <c r="Y2490" s="126"/>
      <c r="Z2490" s="126"/>
      <c r="AA2490" s="126"/>
      <c r="AB2490" s="126"/>
      <c r="AC2490" s="126"/>
      <c r="AD2490" s="126"/>
      <c r="AE2490" s="126"/>
      <c r="AH2490" s="126"/>
      <c r="AI2490" s="126"/>
      <c r="AK2490" s="126"/>
      <c r="AL2490" s="126"/>
      <c r="AM2490" s="126"/>
      <c r="AN2490" s="126"/>
      <c r="BG2490" s="23"/>
      <c r="BN2490" s="126"/>
      <c r="BT2490" s="23"/>
      <c r="CD2490" s="23"/>
      <c r="DF2490" s="16" t="e">
        <f>VLOOKUP(K2490,'[3]RNA Seq summary tables'!$V$3:$V$99,1,FALSE)</f>
        <v>#N/A</v>
      </c>
      <c r="DG2490" s="126"/>
    </row>
    <row r="2491" spans="2:287" ht="16" x14ac:dyDescent="0.2">
      <c r="B2491" s="16">
        <v>2018</v>
      </c>
      <c r="C2491" s="124">
        <v>43275</v>
      </c>
      <c r="D2491" t="s">
        <v>539</v>
      </c>
      <c r="E2491" s="20" t="str">
        <f>CONCATENATE(T2491,"-",U2491,"-",C2491)</f>
        <v>BC2-A2-43275</v>
      </c>
      <c r="F2491" s="16" t="s">
        <v>227</v>
      </c>
      <c r="G2491" s="126" t="s">
        <v>278</v>
      </c>
      <c r="H2491" s="126"/>
      <c r="J2491" s="126">
        <v>1509</v>
      </c>
      <c r="K2491" s="126"/>
      <c r="O2491" s="126"/>
      <c r="T2491" s="126" t="s">
        <v>154</v>
      </c>
      <c r="U2491" s="126" t="s">
        <v>171</v>
      </c>
      <c r="V2491" s="126"/>
      <c r="X2491" s="126"/>
      <c r="Y2491" s="126"/>
      <c r="Z2491" s="126"/>
      <c r="AA2491" s="126"/>
      <c r="AB2491" s="126"/>
      <c r="AC2491" s="126"/>
      <c r="AD2491" s="126"/>
      <c r="AE2491" s="126"/>
      <c r="AH2491" s="126"/>
      <c r="AI2491" s="126"/>
      <c r="AK2491" s="126"/>
      <c r="AL2491" s="126"/>
      <c r="AM2491" s="126"/>
      <c r="AN2491" s="126"/>
      <c r="BG2491" s="23"/>
      <c r="BN2491" s="126"/>
      <c r="BT2491" s="23"/>
      <c r="CD2491" s="23"/>
      <c r="DF2491" s="16" t="e">
        <f>VLOOKUP(K2491,'[3]RNA Seq summary tables'!$V$3:$V$99,1,FALSE)</f>
        <v>#N/A</v>
      </c>
      <c r="DG2491" s="126"/>
    </row>
    <row r="2492" spans="2:287" ht="16" x14ac:dyDescent="0.2">
      <c r="B2492" s="16">
        <v>2018</v>
      </c>
      <c r="C2492" s="124">
        <v>43293</v>
      </c>
      <c r="D2492" t="s">
        <v>627</v>
      </c>
      <c r="E2492" s="20" t="str">
        <f>CONCATENATE(T2492,"-",U2492,"-",C2492)</f>
        <v>BC2-C1-43293</v>
      </c>
      <c r="F2492" s="16" t="s">
        <v>227</v>
      </c>
      <c r="G2492" s="126" t="s">
        <v>278</v>
      </c>
      <c r="H2492" s="126"/>
      <c r="J2492" s="126">
        <v>1509</v>
      </c>
      <c r="K2492" s="126"/>
      <c r="O2492" s="126"/>
      <c r="T2492" s="126" t="s">
        <v>154</v>
      </c>
      <c r="U2492" s="126" t="s">
        <v>150</v>
      </c>
      <c r="V2492" s="126"/>
      <c r="X2492" s="126"/>
      <c r="Y2492" s="126"/>
      <c r="Z2492" s="126"/>
      <c r="AA2492" s="126"/>
      <c r="AB2492" s="126"/>
      <c r="AC2492" s="126"/>
      <c r="AD2492" s="126"/>
      <c r="AE2492" s="126"/>
      <c r="AH2492" s="126"/>
      <c r="AI2492" s="126"/>
      <c r="AK2492" s="126"/>
      <c r="AL2492" s="126"/>
      <c r="AM2492" s="126"/>
      <c r="AN2492" s="126"/>
      <c r="BG2492" s="23"/>
      <c r="BN2492" s="126"/>
      <c r="BT2492" s="23"/>
      <c r="CD2492" s="23"/>
      <c r="DF2492" s="16" t="e">
        <f>VLOOKUP(K2492,'[3]RNA Seq summary tables'!$V$3:$V$99,1,FALSE)</f>
        <v>#N/A</v>
      </c>
      <c r="DG2492" s="126"/>
    </row>
    <row r="2493" spans="2:287" ht="16" x14ac:dyDescent="0.2">
      <c r="B2493" s="16">
        <v>2018</v>
      </c>
      <c r="C2493" s="124">
        <v>43276</v>
      </c>
      <c r="D2493" t="s">
        <v>543</v>
      </c>
      <c r="E2493" s="20" t="str">
        <f>CONCATENATE(T2493,"-",U2493,"-",C2493)</f>
        <v>BC2-E4-43276</v>
      </c>
      <c r="F2493" s="16" t="s">
        <v>227</v>
      </c>
      <c r="G2493" s="126" t="s">
        <v>278</v>
      </c>
      <c r="H2493" s="126"/>
      <c r="J2493" s="126">
        <v>1510</v>
      </c>
      <c r="K2493" s="126"/>
      <c r="O2493" s="126"/>
      <c r="T2493" s="126" t="s">
        <v>154</v>
      </c>
      <c r="U2493" s="126" t="s">
        <v>206</v>
      </c>
      <c r="V2493" s="126"/>
      <c r="X2493" s="126"/>
      <c r="Y2493" s="126"/>
      <c r="Z2493" s="126"/>
      <c r="AA2493" s="126"/>
      <c r="AB2493" s="126"/>
      <c r="AC2493" s="126"/>
      <c r="AD2493" s="126"/>
      <c r="AE2493" s="126"/>
      <c r="AH2493" s="126"/>
      <c r="AI2493" s="126"/>
      <c r="AK2493" s="126"/>
      <c r="AL2493" s="126"/>
      <c r="AM2493" s="126"/>
      <c r="AN2493" s="126"/>
      <c r="BG2493" s="23"/>
      <c r="BN2493" s="126"/>
      <c r="BT2493" s="23"/>
      <c r="CD2493" s="23"/>
      <c r="DF2493" s="16" t="e">
        <f>VLOOKUP(K2493,'[3]RNA Seq summary tables'!$V$3:$V$99,1,FALSE)</f>
        <v>#N/A</v>
      </c>
      <c r="DG2493" s="126"/>
    </row>
    <row r="2494" spans="2:287" ht="16" x14ac:dyDescent="0.2">
      <c r="B2494" s="16">
        <v>2018</v>
      </c>
      <c r="C2494" s="124">
        <v>43276</v>
      </c>
      <c r="D2494" t="s">
        <v>545</v>
      </c>
      <c r="E2494" s="20" t="str">
        <f>CONCATENATE(T2494,"-",U2494,"-",C2494)</f>
        <v>BC2-H1-43276</v>
      </c>
      <c r="F2494" s="16" t="s">
        <v>227</v>
      </c>
      <c r="G2494" s="126" t="s">
        <v>278</v>
      </c>
      <c r="H2494" s="126"/>
      <c r="J2494" s="127">
        <v>1511</v>
      </c>
      <c r="K2494" s="126"/>
      <c r="O2494" s="126"/>
      <c r="T2494" s="126" t="s">
        <v>154</v>
      </c>
      <c r="U2494" s="126" t="s">
        <v>191</v>
      </c>
      <c r="V2494" s="126"/>
      <c r="X2494" s="126"/>
      <c r="Y2494" s="126"/>
      <c r="Z2494" s="126"/>
      <c r="AA2494" s="126"/>
      <c r="AB2494" s="126"/>
      <c r="AC2494" s="126"/>
      <c r="AD2494" s="126"/>
      <c r="AE2494" s="126"/>
      <c r="AH2494" s="126"/>
      <c r="AI2494" s="126"/>
      <c r="AK2494" s="126"/>
      <c r="AL2494" s="126"/>
      <c r="AM2494" s="126"/>
      <c r="AN2494" s="126"/>
      <c r="BG2494" s="23"/>
      <c r="BN2494" s="126"/>
      <c r="BT2494" s="23"/>
      <c r="CD2494" s="23"/>
      <c r="DF2494" s="16" t="e">
        <f>VLOOKUP(K2494,'[3]RNA Seq summary tables'!$V$3:$V$99,1,FALSE)</f>
        <v>#N/A</v>
      </c>
      <c r="DG2494" s="126"/>
    </row>
    <row r="2495" spans="2:287" ht="16" x14ac:dyDescent="0.2">
      <c r="B2495" s="16">
        <v>2018</v>
      </c>
      <c r="C2495" s="124">
        <v>43276</v>
      </c>
      <c r="D2495" t="s">
        <v>542</v>
      </c>
      <c r="E2495" s="20" t="str">
        <f>CONCATENATE(T2495,"-",U2495,"-",C2495)</f>
        <v>BC2-D4-43276</v>
      </c>
      <c r="F2495" s="16" t="s">
        <v>227</v>
      </c>
      <c r="G2495" s="126" t="s">
        <v>278</v>
      </c>
      <c r="H2495" s="126"/>
      <c r="J2495" s="126">
        <v>1512</v>
      </c>
      <c r="K2495" s="126"/>
      <c r="O2495" s="126"/>
      <c r="T2495" s="126" t="s">
        <v>154</v>
      </c>
      <c r="U2495" s="126" t="s">
        <v>221</v>
      </c>
      <c r="V2495" s="126"/>
      <c r="X2495" s="126"/>
      <c r="Y2495" s="126"/>
      <c r="Z2495" s="126"/>
      <c r="AA2495" s="126"/>
      <c r="AB2495" s="126"/>
      <c r="AC2495" s="126"/>
      <c r="AD2495" s="126"/>
      <c r="AE2495" s="126"/>
      <c r="AH2495" s="126"/>
      <c r="AI2495" s="126"/>
      <c r="AK2495" s="126"/>
      <c r="AL2495" s="126"/>
      <c r="AM2495" s="126"/>
      <c r="AN2495" s="126"/>
      <c r="BG2495" s="23"/>
      <c r="BN2495" s="126"/>
      <c r="BT2495" s="23"/>
      <c r="CD2495" s="23"/>
      <c r="DF2495" s="16" t="e">
        <f>VLOOKUP(K2495,'[3]RNA Seq summary tables'!$V$3:$V$99,1,FALSE)</f>
        <v>#N/A</v>
      </c>
      <c r="DG2495" s="126"/>
    </row>
    <row r="2496" spans="2:287" ht="16" x14ac:dyDescent="0.2">
      <c r="B2496" s="16">
        <v>2018</v>
      </c>
      <c r="C2496" s="124">
        <v>43278</v>
      </c>
      <c r="D2496" t="s">
        <v>553</v>
      </c>
      <c r="E2496" s="20" t="str">
        <f>CONCATENATE(T2496,"-",U2496,"-",C2496)</f>
        <v>HW1-A2-43278</v>
      </c>
      <c r="F2496" s="16" t="s">
        <v>227</v>
      </c>
      <c r="G2496" s="126" t="s">
        <v>278</v>
      </c>
      <c r="H2496" s="126"/>
      <c r="J2496" s="126">
        <v>1516</v>
      </c>
      <c r="K2496" s="126"/>
      <c r="O2496" s="126"/>
      <c r="T2496" s="126" t="s">
        <v>133</v>
      </c>
      <c r="U2496" s="126" t="s">
        <v>171</v>
      </c>
      <c r="V2496" s="126"/>
      <c r="X2496" s="126"/>
      <c r="Y2496" s="126"/>
      <c r="Z2496" s="126"/>
      <c r="AA2496" s="126"/>
      <c r="AB2496" s="126"/>
      <c r="AC2496" s="126"/>
      <c r="AD2496" s="126"/>
      <c r="AE2496" s="126"/>
      <c r="AH2496" s="126"/>
      <c r="AI2496" s="126"/>
      <c r="AK2496" s="126"/>
      <c r="AL2496" s="126"/>
      <c r="AM2496" s="126"/>
      <c r="AN2496" s="126"/>
      <c r="BG2496" s="23"/>
      <c r="BN2496" s="126"/>
      <c r="BT2496" s="23"/>
      <c r="CD2496" s="23"/>
      <c r="DF2496" s="16" t="e">
        <f>VLOOKUP(K2496,'[3]RNA Seq summary tables'!$V$3:$V$99,1,FALSE)</f>
        <v>#N/A</v>
      </c>
      <c r="DG2496" s="126"/>
    </row>
    <row r="2497" spans="2:287" ht="16" x14ac:dyDescent="0.2">
      <c r="B2497" s="16">
        <v>2018</v>
      </c>
      <c r="C2497" s="124">
        <v>43279</v>
      </c>
      <c r="D2497" t="s">
        <v>574</v>
      </c>
      <c r="E2497" s="20" t="str">
        <f>CONCATENATE(T2497,"-",U2497,"-",C2497)</f>
        <v>HW1-B4-43279</v>
      </c>
      <c r="F2497" s="16" t="s">
        <v>227</v>
      </c>
      <c r="G2497" s="126" t="s">
        <v>278</v>
      </c>
      <c r="H2497" s="126"/>
      <c r="J2497" s="126">
        <v>1516</v>
      </c>
      <c r="K2497" s="126"/>
      <c r="O2497" s="126"/>
      <c r="T2497" s="126" t="s">
        <v>133</v>
      </c>
      <c r="U2497" s="126" t="s">
        <v>144</v>
      </c>
      <c r="V2497" s="126"/>
      <c r="X2497" s="126"/>
      <c r="Y2497" s="126"/>
      <c r="Z2497" s="126"/>
      <c r="AA2497" s="126"/>
      <c r="AB2497" s="126"/>
      <c r="AC2497" s="126"/>
      <c r="AD2497" s="126"/>
      <c r="AE2497" s="126"/>
      <c r="AH2497" s="126"/>
      <c r="AI2497" s="126"/>
      <c r="AK2497" s="126"/>
      <c r="AL2497" s="126"/>
      <c r="AM2497" s="126"/>
      <c r="AN2497" s="126"/>
      <c r="BG2497" s="23"/>
      <c r="BN2497" s="126"/>
      <c r="BT2497" s="23"/>
      <c r="CD2497" s="23"/>
      <c r="DF2497" s="16" t="e">
        <f>VLOOKUP(K2497,'[3]RNA Seq summary tables'!$V$3:$V$99,1,FALSE)</f>
        <v>#N/A</v>
      </c>
      <c r="DG2497" s="126"/>
    </row>
    <row r="2498" spans="2:287" ht="16" x14ac:dyDescent="0.2">
      <c r="B2498" s="16">
        <v>2018</v>
      </c>
      <c r="C2498" s="124">
        <v>43278</v>
      </c>
      <c r="D2498" t="s">
        <v>558</v>
      </c>
      <c r="E2498" s="20" t="str">
        <f>CONCATENATE(T2498,"-",U2498,"-",C2498)</f>
        <v>HW1-D8-43278</v>
      </c>
      <c r="F2498" s="16" t="s">
        <v>227</v>
      </c>
      <c r="G2498" s="126" t="s">
        <v>278</v>
      </c>
      <c r="H2498" s="126"/>
      <c r="J2498" s="126">
        <v>1518</v>
      </c>
      <c r="K2498" s="126"/>
      <c r="O2498" s="126"/>
      <c r="T2498" s="126" t="s">
        <v>133</v>
      </c>
      <c r="U2498" s="126" t="s">
        <v>178</v>
      </c>
      <c r="V2498" s="126"/>
      <c r="X2498" s="126"/>
      <c r="Y2498" s="126"/>
      <c r="Z2498" s="126"/>
      <c r="AA2498" s="126"/>
      <c r="AB2498" s="126"/>
      <c r="AC2498" s="126"/>
      <c r="AD2498" s="126"/>
      <c r="AE2498" s="126"/>
      <c r="AH2498" s="126"/>
      <c r="AI2498" s="126"/>
      <c r="AK2498" s="126"/>
      <c r="AL2498" s="126"/>
      <c r="AM2498" s="126"/>
      <c r="AN2498" s="126"/>
      <c r="BG2498" s="23"/>
      <c r="BN2498" s="126"/>
      <c r="BT2498" s="23"/>
      <c r="CD2498" s="23"/>
      <c r="DF2498" s="16" t="e">
        <f>VLOOKUP(K2498,'[3]RNA Seq summary tables'!$V$3:$V$99,1,FALSE)</f>
        <v>#N/A</v>
      </c>
      <c r="DG2498" s="126"/>
    </row>
    <row r="2499" spans="2:287" ht="16" x14ac:dyDescent="0.2">
      <c r="B2499" s="16">
        <v>2018</v>
      </c>
      <c r="C2499" s="124">
        <v>43279</v>
      </c>
      <c r="D2499" t="s">
        <v>575</v>
      </c>
      <c r="E2499" s="20" t="str">
        <f>CONCATENATE(T2499,"-",U2499,"-",C2499)</f>
        <v>HW1-B5-43279</v>
      </c>
      <c r="F2499" s="16" t="s">
        <v>227</v>
      </c>
      <c r="G2499" s="126" t="s">
        <v>278</v>
      </c>
      <c r="H2499" s="126"/>
      <c r="J2499" s="126">
        <v>1518</v>
      </c>
      <c r="K2499" s="126"/>
      <c r="O2499" s="126"/>
      <c r="T2499" s="126" t="s">
        <v>133</v>
      </c>
      <c r="U2499" s="126" t="s">
        <v>160</v>
      </c>
      <c r="V2499" s="126"/>
      <c r="X2499" s="126"/>
      <c r="Y2499" s="126"/>
      <c r="Z2499" s="126"/>
      <c r="AA2499" s="126"/>
      <c r="AB2499" s="126"/>
      <c r="AC2499" s="126"/>
      <c r="AD2499" s="126"/>
      <c r="AE2499" s="126"/>
      <c r="AH2499" s="126"/>
      <c r="AI2499" s="126"/>
      <c r="AK2499" s="126"/>
      <c r="AL2499" s="126"/>
      <c r="AM2499" s="126"/>
      <c r="AN2499" s="126"/>
      <c r="BG2499" s="23"/>
      <c r="BN2499" s="126"/>
      <c r="BT2499" s="23"/>
      <c r="CD2499" s="23"/>
      <c r="DF2499" s="16" t="e">
        <f>VLOOKUP(K2499,'[3]RNA Seq summary tables'!$V$3:$V$99,1,FALSE)</f>
        <v>#N/A</v>
      </c>
      <c r="DG2499" s="126"/>
    </row>
    <row r="2500" spans="2:287" ht="16" x14ac:dyDescent="0.2">
      <c r="B2500" s="16">
        <v>2018</v>
      </c>
      <c r="C2500" s="124">
        <v>43278</v>
      </c>
      <c r="D2500" t="s">
        <v>554</v>
      </c>
      <c r="E2500" s="20" t="str">
        <f>CONCATENATE(T2500,"-",U2500,"-",C2500)</f>
        <v>HW1-A6-43278</v>
      </c>
      <c r="F2500" s="16" t="s">
        <v>227</v>
      </c>
      <c r="G2500" s="126" t="s">
        <v>278</v>
      </c>
      <c r="H2500" s="126"/>
      <c r="J2500" s="126">
        <v>1519</v>
      </c>
      <c r="K2500" s="126"/>
      <c r="O2500" s="126"/>
      <c r="T2500" s="126" t="s">
        <v>133</v>
      </c>
      <c r="U2500" s="126" t="s">
        <v>147</v>
      </c>
      <c r="V2500" s="126"/>
      <c r="X2500" s="126"/>
      <c r="Y2500" s="126"/>
      <c r="Z2500" s="126"/>
      <c r="AA2500" s="126"/>
      <c r="AB2500" s="126"/>
      <c r="AC2500" s="126"/>
      <c r="AD2500" s="126"/>
      <c r="AE2500" s="126"/>
      <c r="AH2500" s="126"/>
      <c r="AI2500" s="126"/>
      <c r="AK2500" s="126"/>
      <c r="AL2500" s="126"/>
      <c r="AM2500" s="126"/>
      <c r="AN2500" s="126"/>
      <c r="BG2500" s="23"/>
      <c r="BN2500" s="126"/>
      <c r="BT2500" s="23"/>
      <c r="CD2500" s="23"/>
      <c r="DF2500" s="16" t="e">
        <f>VLOOKUP(K2500,'[3]RNA Seq summary tables'!$V$3:$V$99,1,FALSE)</f>
        <v>#N/A</v>
      </c>
      <c r="DG2500" s="126"/>
    </row>
    <row r="2501" spans="2:287" ht="16" x14ac:dyDescent="0.2">
      <c r="B2501" s="16">
        <v>2018</v>
      </c>
      <c r="C2501" s="124">
        <v>43279</v>
      </c>
      <c r="D2501" t="s">
        <v>576</v>
      </c>
      <c r="E2501" s="20" t="str">
        <f>CONCATENATE(T2501,"-",U2501,"-",C2501)</f>
        <v>HW1-D7-43279</v>
      </c>
      <c r="F2501" s="16" t="s">
        <v>227</v>
      </c>
      <c r="G2501" s="126" t="s">
        <v>278</v>
      </c>
      <c r="H2501" s="126"/>
      <c r="J2501" s="126">
        <v>1519</v>
      </c>
      <c r="K2501" s="126"/>
      <c r="O2501" s="126"/>
      <c r="T2501" s="126" t="s">
        <v>133</v>
      </c>
      <c r="U2501" s="126" t="s">
        <v>177</v>
      </c>
      <c r="V2501" s="126"/>
      <c r="X2501" s="126"/>
      <c r="Y2501" s="126"/>
      <c r="Z2501" s="126"/>
      <c r="AA2501" s="126"/>
      <c r="AB2501" s="126"/>
      <c r="AC2501" s="126"/>
      <c r="AD2501" s="126"/>
      <c r="AE2501" s="126"/>
      <c r="AH2501" s="126"/>
      <c r="AI2501" s="126"/>
      <c r="AK2501" s="126"/>
      <c r="AL2501" s="126"/>
      <c r="AM2501" s="126"/>
      <c r="AN2501" s="126"/>
      <c r="BG2501" s="23"/>
      <c r="BN2501" s="126"/>
      <c r="BT2501" s="23"/>
      <c r="CD2501" s="23"/>
      <c r="DF2501" s="16" t="e">
        <f>VLOOKUP(K2501,'[3]RNA Seq summary tables'!$V$3:$V$99,1,FALSE)</f>
        <v>#N/A</v>
      </c>
      <c r="DG2501" s="126"/>
    </row>
    <row r="2502" spans="2:287" ht="16" x14ac:dyDescent="0.2">
      <c r="B2502" s="16">
        <v>2018</v>
      </c>
      <c r="C2502" s="147">
        <v>43306</v>
      </c>
      <c r="D2502" t="s">
        <v>1195</v>
      </c>
      <c r="E2502" s="20" t="str">
        <f>CONCATENATE(T2502,"-",U2502,"-",C2502)</f>
        <v>HW1-B4-43306</v>
      </c>
      <c r="F2502" s="16" t="s">
        <v>227</v>
      </c>
      <c r="G2502" s="145" t="s">
        <v>278</v>
      </c>
      <c r="H2502" s="145"/>
      <c r="I2502" s="145"/>
      <c r="J2502" s="145">
        <v>1519</v>
      </c>
      <c r="K2502" s="145"/>
      <c r="M2502" s="16"/>
      <c r="N2502" s="16"/>
      <c r="O2502" s="145"/>
      <c r="P2502" s="145"/>
      <c r="Q2502" s="145"/>
      <c r="R2502" s="145"/>
      <c r="S2502" s="145"/>
      <c r="T2502" s="145" t="s">
        <v>133</v>
      </c>
      <c r="U2502" s="145" t="s">
        <v>144</v>
      </c>
      <c r="V2502" s="145"/>
      <c r="W2502" s="145"/>
      <c r="X2502" s="145"/>
      <c r="Y2502" s="145"/>
      <c r="Z2502" s="145"/>
      <c r="AA2502" s="145"/>
      <c r="AB2502" s="145"/>
      <c r="AC2502" s="145"/>
      <c r="AD2502" s="145"/>
      <c r="AE2502" s="145"/>
      <c r="AF2502" s="145"/>
      <c r="AG2502" s="145"/>
      <c r="AH2502" s="145"/>
      <c r="AI2502" s="145"/>
      <c r="AJ2502" s="145"/>
      <c r="AK2502" s="145"/>
      <c r="AL2502" s="145"/>
      <c r="AM2502" s="145"/>
      <c r="AN2502" s="145"/>
      <c r="AT2502" s="16" t="e">
        <f>VLOOKUP(E2502,[2]Current!$A$1:$W$435,7,FALSE)</f>
        <v>#N/A</v>
      </c>
      <c r="DG2502" s="145"/>
      <c r="DT2502"/>
      <c r="DU2502" s="145"/>
      <c r="DX2502" s="145"/>
      <c r="DY2502" s="145"/>
      <c r="DZ2502" s="16"/>
      <c r="EA2502" s="16"/>
      <c r="EB2502" s="16"/>
      <c r="EC2502" s="16"/>
      <c r="ED2502" s="16"/>
      <c r="EE2502" s="16"/>
      <c r="EF2502" s="16"/>
      <c r="JO2502" s="18"/>
      <c r="JP2502" s="18"/>
      <c r="JQ2502" s="18"/>
      <c r="JR2502" s="18"/>
      <c r="JS2502" s="18"/>
      <c r="JT2502" s="18"/>
      <c r="JU2502" s="18"/>
      <c r="JV2502" s="18"/>
      <c r="JW2502" s="18"/>
      <c r="JX2502" s="18"/>
      <c r="JY2502" s="18"/>
      <c r="JZ2502" s="18"/>
      <c r="KA2502" s="18"/>
    </row>
    <row r="2503" spans="2:287" ht="16" x14ac:dyDescent="0.2">
      <c r="B2503" s="16">
        <v>2018</v>
      </c>
      <c r="C2503" s="124">
        <v>43279</v>
      </c>
      <c r="D2503" t="s">
        <v>565</v>
      </c>
      <c r="E2503" s="20" t="str">
        <f>CONCATENATE(T2503,"-",U2503,"-",C2503)</f>
        <v>HW2-B7-43279</v>
      </c>
      <c r="F2503" s="16" t="s">
        <v>227</v>
      </c>
      <c r="G2503" s="126" t="s">
        <v>278</v>
      </c>
      <c r="H2503" s="126"/>
      <c r="J2503" s="126">
        <v>1520</v>
      </c>
      <c r="K2503" s="126"/>
      <c r="O2503" s="126"/>
      <c r="T2503" s="126" t="s">
        <v>129</v>
      </c>
      <c r="U2503" s="126" t="s">
        <v>168</v>
      </c>
      <c r="V2503" s="126"/>
      <c r="X2503" s="126"/>
      <c r="Y2503" s="126"/>
      <c r="Z2503" s="126"/>
      <c r="AA2503" s="126"/>
      <c r="AB2503" s="126"/>
      <c r="AC2503" s="126"/>
      <c r="AD2503" s="126"/>
      <c r="AE2503" s="126"/>
      <c r="AH2503" s="126"/>
      <c r="AI2503" s="126"/>
      <c r="AK2503" s="126"/>
      <c r="AL2503" s="126"/>
      <c r="AM2503" s="126"/>
      <c r="AN2503" s="126"/>
      <c r="BG2503" s="23"/>
      <c r="BN2503" s="126"/>
      <c r="BT2503" s="23"/>
      <c r="CD2503" s="23"/>
      <c r="DF2503" s="16" t="e">
        <f>VLOOKUP(K2503,'[3]RNA Seq summary tables'!$V$3:$V$99,1,FALSE)</f>
        <v>#N/A</v>
      </c>
      <c r="DG2503" s="126"/>
    </row>
    <row r="2504" spans="2:287" ht="16" x14ac:dyDescent="0.2">
      <c r="B2504" s="16">
        <v>2018</v>
      </c>
      <c r="C2504" s="124">
        <v>43284</v>
      </c>
      <c r="D2504" t="s">
        <v>583</v>
      </c>
      <c r="E2504" s="20" t="str">
        <f>CONCATENATE(T2504,"-",U2504,"-",C2504)</f>
        <v>PO2-G7-43284</v>
      </c>
      <c r="F2504" s="16" t="s">
        <v>227</v>
      </c>
      <c r="G2504" s="126" t="s">
        <v>278</v>
      </c>
      <c r="H2504" s="126"/>
      <c r="J2504" s="126">
        <v>1523</v>
      </c>
      <c r="K2504" s="126"/>
      <c r="O2504" s="126"/>
      <c r="T2504" s="126" t="s">
        <v>127</v>
      </c>
      <c r="U2504" s="126" t="s">
        <v>156</v>
      </c>
      <c r="V2504" s="126"/>
      <c r="X2504" s="126"/>
      <c r="Y2504" s="126"/>
      <c r="Z2504" s="126"/>
      <c r="AA2504" s="126"/>
      <c r="AB2504" s="126"/>
      <c r="AC2504" s="126"/>
      <c r="AD2504" s="126"/>
      <c r="AE2504" s="126"/>
      <c r="AH2504" s="126"/>
      <c r="AI2504" s="126"/>
      <c r="AK2504" s="126"/>
      <c r="AL2504" s="126"/>
      <c r="AM2504" s="126"/>
      <c r="AN2504" s="126"/>
      <c r="BG2504" s="23"/>
      <c r="BN2504" s="126"/>
      <c r="BT2504" s="23"/>
      <c r="CD2504" s="23"/>
      <c r="DF2504" s="16" t="e">
        <f>VLOOKUP(K2504,'[3]RNA Seq summary tables'!$V$3:$V$99,1,FALSE)</f>
        <v>#N/A</v>
      </c>
      <c r="DG2504" s="126"/>
    </row>
    <row r="2505" spans="2:287" ht="16" x14ac:dyDescent="0.2">
      <c r="B2505" s="16">
        <v>2018</v>
      </c>
      <c r="C2505" s="124">
        <v>43285</v>
      </c>
      <c r="D2505" t="s">
        <v>596</v>
      </c>
      <c r="E2505" s="20" t="str">
        <f>CONCATENATE(T2505,"-",U2505,"-",C2505)</f>
        <v>PO2-G7-43285</v>
      </c>
      <c r="F2505" s="16" t="s">
        <v>227</v>
      </c>
      <c r="G2505" s="126" t="s">
        <v>278</v>
      </c>
      <c r="H2505" s="126"/>
      <c r="J2505" s="126">
        <v>1523</v>
      </c>
      <c r="K2505" s="126"/>
      <c r="O2505" s="126"/>
      <c r="T2505" s="126" t="s">
        <v>127</v>
      </c>
      <c r="U2505" s="126" t="s">
        <v>156</v>
      </c>
      <c r="V2505" s="126"/>
      <c r="X2505" s="126"/>
      <c r="Y2505" s="126"/>
      <c r="Z2505" s="126"/>
      <c r="AA2505" s="126"/>
      <c r="AB2505" s="126"/>
      <c r="AC2505" s="126"/>
      <c r="AD2505" s="126"/>
      <c r="AE2505" s="126"/>
      <c r="AH2505" s="126"/>
      <c r="AI2505" s="126"/>
      <c r="AK2505" s="126"/>
      <c r="AL2505" s="126"/>
      <c r="AM2505" s="126"/>
      <c r="AN2505" s="126"/>
      <c r="BG2505" s="23"/>
      <c r="BN2505" s="126"/>
      <c r="BT2505" s="23"/>
      <c r="CD2505" s="23"/>
      <c r="DF2505" s="16" t="e">
        <f>VLOOKUP(K2505,'[3]RNA Seq summary tables'!$V$3:$V$99,1,FALSE)</f>
        <v>#N/A</v>
      </c>
      <c r="DG2505" s="126"/>
    </row>
    <row r="2506" spans="2:287" ht="16" x14ac:dyDescent="0.2">
      <c r="B2506" s="16">
        <v>2018</v>
      </c>
      <c r="C2506" s="124">
        <v>43279</v>
      </c>
      <c r="D2506" t="s">
        <v>568</v>
      </c>
      <c r="E2506" s="20" t="str">
        <f>CONCATENATE(T2506,"-",U2506,"-",C2506)</f>
        <v>HW2-D5-43279</v>
      </c>
      <c r="F2506" s="16" t="s">
        <v>227</v>
      </c>
      <c r="G2506" s="126" t="s">
        <v>278</v>
      </c>
      <c r="H2506" s="126"/>
      <c r="J2506" s="126">
        <v>1524</v>
      </c>
      <c r="K2506" s="126"/>
      <c r="O2506" s="126"/>
      <c r="T2506" s="126" t="s">
        <v>129</v>
      </c>
      <c r="U2506" s="126" t="s">
        <v>183</v>
      </c>
      <c r="V2506" s="126"/>
      <c r="X2506" s="126"/>
      <c r="Y2506" s="126"/>
      <c r="Z2506" s="126"/>
      <c r="AA2506" s="126"/>
      <c r="AB2506" s="126"/>
      <c r="AC2506" s="126"/>
      <c r="AD2506" s="126"/>
      <c r="AE2506" s="126"/>
      <c r="AH2506" s="126"/>
      <c r="AI2506" s="126"/>
      <c r="AK2506" s="126"/>
      <c r="AL2506" s="126"/>
      <c r="AM2506" s="126"/>
      <c r="AN2506" s="126"/>
      <c r="BG2506" s="23"/>
      <c r="BN2506" s="126"/>
      <c r="BT2506" s="23"/>
      <c r="CD2506" s="23"/>
      <c r="DF2506" s="16" t="e">
        <f>VLOOKUP(K2506,'[3]RNA Seq summary tables'!$V$3:$V$99,1,FALSE)</f>
        <v>#N/A</v>
      </c>
      <c r="DG2506" s="126"/>
    </row>
    <row r="2507" spans="2:287" ht="16" x14ac:dyDescent="0.2">
      <c r="B2507" s="16">
        <v>2018</v>
      </c>
      <c r="C2507" s="147">
        <v>43306</v>
      </c>
      <c r="D2507" t="s">
        <v>1180</v>
      </c>
      <c r="E2507" s="20" t="str">
        <f>CONCATENATE(T2507,"-",U2507,"-",C2507)</f>
        <v>HW2-D6-43306</v>
      </c>
      <c r="F2507" s="16" t="s">
        <v>227</v>
      </c>
      <c r="G2507" s="145" t="s">
        <v>278</v>
      </c>
      <c r="H2507" s="145"/>
      <c r="I2507" s="145"/>
      <c r="J2507" s="145">
        <v>1524</v>
      </c>
      <c r="K2507" s="145"/>
      <c r="M2507" s="16"/>
      <c r="N2507" s="16"/>
      <c r="O2507" s="145"/>
      <c r="P2507" s="145"/>
      <c r="Q2507" s="145"/>
      <c r="R2507" s="145"/>
      <c r="S2507" s="145"/>
      <c r="T2507" s="145" t="s">
        <v>129</v>
      </c>
      <c r="U2507" s="145" t="s">
        <v>186</v>
      </c>
      <c r="V2507" s="145"/>
      <c r="W2507" s="145"/>
      <c r="X2507" s="145"/>
      <c r="Y2507" s="145"/>
      <c r="Z2507" s="145"/>
      <c r="AA2507" s="145"/>
      <c r="AB2507" s="145"/>
      <c r="AC2507" s="145"/>
      <c r="AD2507" s="145"/>
      <c r="AE2507" s="145"/>
      <c r="AF2507" s="145"/>
      <c r="AG2507" s="145"/>
      <c r="AH2507" s="145"/>
      <c r="AI2507" s="145"/>
      <c r="AJ2507" s="145"/>
      <c r="AK2507" s="145"/>
      <c r="AL2507" s="145"/>
      <c r="AM2507" s="145"/>
      <c r="AN2507" s="145"/>
      <c r="AT2507" s="16" t="e">
        <f>VLOOKUP(E2507,[2]Current!$A$1:$W$435,7,FALSE)</f>
        <v>#N/A</v>
      </c>
      <c r="DG2507" s="145"/>
      <c r="DT2507"/>
      <c r="DU2507" s="145"/>
      <c r="DX2507" s="145"/>
      <c r="DY2507" s="145"/>
      <c r="DZ2507" s="16"/>
      <c r="EA2507" s="16"/>
      <c r="EB2507" s="16"/>
      <c r="EC2507" s="16"/>
      <c r="ED2507" s="16"/>
      <c r="EE2507" s="16"/>
      <c r="EF2507" s="16"/>
      <c r="JO2507" s="18"/>
      <c r="JP2507" s="18"/>
      <c r="JQ2507" s="18"/>
      <c r="JR2507" s="18"/>
      <c r="JS2507" s="18"/>
      <c r="JT2507" s="18"/>
      <c r="JU2507" s="18"/>
      <c r="JV2507" s="18"/>
      <c r="JW2507" s="18"/>
      <c r="JX2507" s="18"/>
      <c r="JY2507" s="18"/>
      <c r="JZ2507" s="18"/>
      <c r="KA2507" s="18"/>
    </row>
    <row r="2508" spans="2:287" ht="16" x14ac:dyDescent="0.2">
      <c r="B2508" s="16">
        <v>2018</v>
      </c>
      <c r="C2508" s="124">
        <v>43285</v>
      </c>
      <c r="D2508" t="s">
        <v>595</v>
      </c>
      <c r="E2508" s="20" t="str">
        <f>CONCATENATE(T2508,"-",U2508,"-",C2508)</f>
        <v>PO2-G4-43285</v>
      </c>
      <c r="F2508" s="16" t="s">
        <v>227</v>
      </c>
      <c r="G2508" s="126" t="s">
        <v>278</v>
      </c>
      <c r="H2508" s="126"/>
      <c r="J2508" s="126">
        <v>1526</v>
      </c>
      <c r="K2508" s="126"/>
      <c r="O2508" s="126"/>
      <c r="T2508" s="126" t="s">
        <v>127</v>
      </c>
      <c r="U2508" s="126" t="s">
        <v>173</v>
      </c>
      <c r="V2508" s="126"/>
      <c r="X2508" s="126"/>
      <c r="Y2508" s="126"/>
      <c r="Z2508" s="126"/>
      <c r="AA2508" s="126"/>
      <c r="AB2508" s="126"/>
      <c r="AC2508" s="126"/>
      <c r="AD2508" s="126"/>
      <c r="AE2508" s="126"/>
      <c r="AH2508" s="126"/>
      <c r="AI2508" s="126"/>
      <c r="AK2508" s="126"/>
      <c r="AL2508" s="126"/>
      <c r="AM2508" s="126"/>
      <c r="AN2508" s="126"/>
      <c r="BG2508" s="23"/>
      <c r="BN2508" s="126"/>
      <c r="BT2508" s="23"/>
      <c r="CD2508" s="23"/>
      <c r="DF2508" s="16" t="e">
        <f>VLOOKUP(K2508,'[3]RNA Seq summary tables'!$V$3:$V$99,1,FALSE)</f>
        <v>#N/A</v>
      </c>
      <c r="DG2508" s="126"/>
    </row>
    <row r="2509" spans="2:287" ht="16" x14ac:dyDescent="0.2">
      <c r="B2509" s="16">
        <v>2018</v>
      </c>
      <c r="C2509" s="147">
        <v>43316</v>
      </c>
      <c r="D2509" t="s">
        <v>1264</v>
      </c>
      <c r="E2509" s="20" t="str">
        <f>CONCATENATE(T2509,"-",U2509,"-",C2509)</f>
        <v>PO1-C8-43316</v>
      </c>
      <c r="F2509" s="16" t="s">
        <v>227</v>
      </c>
      <c r="G2509" s="145" t="s">
        <v>278</v>
      </c>
      <c r="H2509" s="145"/>
      <c r="I2509" s="145"/>
      <c r="J2509" s="145">
        <v>1527</v>
      </c>
      <c r="K2509" s="145"/>
      <c r="M2509" s="16"/>
      <c r="N2509" s="16"/>
      <c r="O2509" s="145"/>
      <c r="P2509" s="145"/>
      <c r="Q2509" s="145"/>
      <c r="R2509" s="145"/>
      <c r="S2509" s="145"/>
      <c r="T2509" s="145" t="s">
        <v>112</v>
      </c>
      <c r="U2509" s="145" t="s">
        <v>188</v>
      </c>
      <c r="V2509" s="145"/>
      <c r="W2509" s="145"/>
      <c r="X2509" s="145"/>
      <c r="Y2509" s="145"/>
      <c r="Z2509" s="145"/>
      <c r="AA2509" s="145"/>
      <c r="AB2509" s="145"/>
      <c r="AC2509" s="145"/>
      <c r="AD2509" s="145"/>
      <c r="AE2509" s="145"/>
      <c r="AF2509" s="145"/>
      <c r="AG2509" s="145"/>
      <c r="AH2509" s="145"/>
      <c r="AI2509" s="145"/>
      <c r="AJ2509" s="145"/>
      <c r="AK2509" s="145"/>
      <c r="AL2509" s="145"/>
      <c r="AM2509" s="145"/>
      <c r="AN2509" s="145"/>
      <c r="AT2509" s="16" t="e">
        <f>VLOOKUP(E2509,[2]Current!$A$1:$W$435,7,FALSE)</f>
        <v>#N/A</v>
      </c>
      <c r="DG2509" s="145"/>
      <c r="DT2509"/>
      <c r="DU2509" s="145"/>
      <c r="DX2509" s="145"/>
      <c r="DY2509" s="145"/>
      <c r="DZ2509" s="16"/>
      <c r="EA2509" s="16"/>
      <c r="EB2509" s="16"/>
      <c r="EC2509" s="16"/>
      <c r="ED2509" s="16"/>
      <c r="EE2509" s="16"/>
      <c r="EF2509" s="16"/>
      <c r="JO2509" s="18"/>
      <c r="JP2509" s="18"/>
      <c r="JQ2509" s="18"/>
      <c r="JR2509" s="18"/>
      <c r="JS2509" s="18"/>
      <c r="JT2509" s="18"/>
      <c r="JU2509" s="18"/>
      <c r="JV2509" s="18"/>
      <c r="JW2509" s="18"/>
      <c r="JX2509" s="18"/>
      <c r="JY2509" s="18"/>
      <c r="JZ2509" s="18"/>
      <c r="KA2509" s="18"/>
    </row>
    <row r="2510" spans="2:287" ht="16" x14ac:dyDescent="0.2">
      <c r="B2510" s="16">
        <v>2018</v>
      </c>
      <c r="C2510" s="124">
        <v>43287</v>
      </c>
      <c r="D2510" t="s">
        <v>607</v>
      </c>
      <c r="E2510" s="20" t="str">
        <f>CONCATENATE(T2510,"-",U2510,"-",C2510)</f>
        <v>SP2-B5-43287</v>
      </c>
      <c r="F2510" s="16" t="s">
        <v>227</v>
      </c>
      <c r="G2510" s="126" t="s">
        <v>278</v>
      </c>
      <c r="H2510" s="126"/>
      <c r="J2510" s="126">
        <v>1530</v>
      </c>
      <c r="K2510" s="126"/>
      <c r="O2510" s="126"/>
      <c r="T2510" s="126" t="s">
        <v>137</v>
      </c>
      <c r="U2510" s="126" t="s">
        <v>160</v>
      </c>
      <c r="V2510" s="126"/>
      <c r="X2510" s="126"/>
      <c r="Y2510" s="126"/>
      <c r="Z2510" s="126"/>
      <c r="AA2510" s="126"/>
      <c r="AB2510" s="126"/>
      <c r="AC2510" s="126"/>
      <c r="AD2510" s="126"/>
      <c r="AE2510" s="126"/>
      <c r="AH2510" s="126"/>
      <c r="AI2510" s="126"/>
      <c r="AK2510" s="126"/>
      <c r="AL2510" s="126"/>
      <c r="AM2510" s="126"/>
      <c r="AN2510" s="126"/>
      <c r="BG2510" s="23"/>
      <c r="BN2510" s="126"/>
      <c r="BT2510" s="23"/>
      <c r="CD2510" s="23"/>
      <c r="DF2510" s="16" t="e">
        <f>VLOOKUP(K2510,'[3]RNA Seq summary tables'!$V$3:$V$99,1,FALSE)</f>
        <v>#N/A</v>
      </c>
      <c r="DG2510" s="126"/>
    </row>
    <row r="2511" spans="2:287" ht="16" x14ac:dyDescent="0.2">
      <c r="B2511" s="16">
        <v>2018</v>
      </c>
      <c r="C2511" s="124">
        <v>43288</v>
      </c>
      <c r="D2511" t="s">
        <v>612</v>
      </c>
      <c r="E2511" s="20" t="str">
        <f>CONCATENATE(T2511,"-",U2511,"-",C2511)</f>
        <v>SP2-A3-43288</v>
      </c>
      <c r="F2511" s="16" t="s">
        <v>227</v>
      </c>
      <c r="G2511" s="126" t="s">
        <v>278</v>
      </c>
      <c r="H2511" s="126"/>
      <c r="J2511" s="126">
        <v>1530</v>
      </c>
      <c r="K2511" s="126"/>
      <c r="O2511" s="126"/>
      <c r="T2511" s="126" t="s">
        <v>137</v>
      </c>
      <c r="U2511" s="126" t="s">
        <v>201</v>
      </c>
      <c r="V2511" s="126"/>
      <c r="X2511" s="126"/>
      <c r="Y2511" s="126"/>
      <c r="Z2511" s="126"/>
      <c r="AA2511" s="126"/>
      <c r="AB2511" s="126"/>
      <c r="AC2511" s="126"/>
      <c r="AD2511" s="126"/>
      <c r="AE2511" s="126"/>
      <c r="AH2511" s="126"/>
      <c r="AI2511" s="126"/>
      <c r="AK2511" s="126"/>
      <c r="AL2511" s="126"/>
      <c r="AM2511" s="126"/>
      <c r="AN2511" s="126"/>
      <c r="BG2511" s="23"/>
      <c r="BN2511" s="126"/>
      <c r="BT2511" s="23"/>
      <c r="CD2511" s="23"/>
      <c r="DF2511" s="16" t="e">
        <f>VLOOKUP(K2511,'[3]RNA Seq summary tables'!$V$3:$V$99,1,FALSE)</f>
        <v>#N/A</v>
      </c>
      <c r="DG2511" s="126"/>
    </row>
    <row r="2512" spans="2:287" ht="16" x14ac:dyDescent="0.2">
      <c r="B2512" s="16">
        <v>2018</v>
      </c>
      <c r="C2512" s="147">
        <v>43314</v>
      </c>
      <c r="D2512" t="s">
        <v>1218</v>
      </c>
      <c r="E2512" s="20" t="str">
        <f>CONCATENATE(T2512,"-",U2512,"-",C2512)</f>
        <v>SP2-A6-43314</v>
      </c>
      <c r="F2512" s="16" t="s">
        <v>227</v>
      </c>
      <c r="G2512" s="145" t="s">
        <v>278</v>
      </c>
      <c r="H2512" s="145"/>
      <c r="I2512" s="145"/>
      <c r="J2512" s="145">
        <v>1530</v>
      </c>
      <c r="K2512" s="145"/>
      <c r="M2512" s="16"/>
      <c r="N2512" s="16"/>
      <c r="O2512" s="145"/>
      <c r="P2512" s="145"/>
      <c r="Q2512" s="145"/>
      <c r="R2512" s="145"/>
      <c r="S2512" s="145"/>
      <c r="T2512" s="145" t="s">
        <v>137</v>
      </c>
      <c r="U2512" s="145" t="s">
        <v>147</v>
      </c>
      <c r="V2512" s="145"/>
      <c r="W2512" s="145"/>
      <c r="X2512" s="145"/>
      <c r="Y2512" s="145"/>
      <c r="Z2512" s="145"/>
      <c r="AA2512" s="145"/>
      <c r="AB2512" s="145"/>
      <c r="AC2512" s="145"/>
      <c r="AD2512" s="145"/>
      <c r="AE2512" s="145"/>
      <c r="AF2512" s="145"/>
      <c r="AG2512" s="145"/>
      <c r="AH2512" s="145"/>
      <c r="AI2512" s="145"/>
      <c r="AJ2512" s="145"/>
      <c r="AK2512" s="145"/>
      <c r="AL2512" s="145"/>
      <c r="AM2512" s="145"/>
      <c r="AN2512" s="145"/>
      <c r="AT2512" s="16" t="e">
        <f>VLOOKUP(E2512,[2]Current!$A$1:$W$435,7,FALSE)</f>
        <v>#N/A</v>
      </c>
      <c r="DG2512" s="145"/>
      <c r="DT2512"/>
      <c r="DU2512" s="145"/>
      <c r="DX2512" s="145"/>
      <c r="DY2512" s="145"/>
      <c r="DZ2512" s="16"/>
      <c r="EA2512" s="16"/>
      <c r="EB2512" s="16"/>
      <c r="EC2512" s="16"/>
      <c r="ED2512" s="16"/>
      <c r="EE2512" s="16"/>
      <c r="EF2512" s="16"/>
      <c r="JO2512" s="18"/>
      <c r="JP2512" s="18"/>
      <c r="JQ2512" s="18"/>
      <c r="JR2512" s="18"/>
      <c r="JS2512" s="18"/>
      <c r="JT2512" s="18"/>
      <c r="JU2512" s="18"/>
      <c r="JV2512" s="18"/>
      <c r="JW2512" s="18"/>
      <c r="JX2512" s="18"/>
      <c r="JY2512" s="18"/>
      <c r="JZ2512" s="18"/>
      <c r="KA2512" s="18"/>
    </row>
    <row r="2513" spans="2:287" ht="16" x14ac:dyDescent="0.2">
      <c r="B2513" s="16">
        <v>2018</v>
      </c>
      <c r="C2513" s="124">
        <v>43288</v>
      </c>
      <c r="D2513" t="s">
        <v>613</v>
      </c>
      <c r="E2513" s="20" t="str">
        <f>CONCATENATE(T2513,"-",U2513,"-",C2513)</f>
        <v>SP2-A8-43288</v>
      </c>
      <c r="F2513" s="16" t="s">
        <v>227</v>
      </c>
      <c r="G2513" s="126" t="s">
        <v>278</v>
      </c>
      <c r="H2513" s="126"/>
      <c r="J2513" s="126">
        <v>1531</v>
      </c>
      <c r="K2513" s="126"/>
      <c r="O2513" s="126"/>
      <c r="T2513" s="126" t="s">
        <v>137</v>
      </c>
      <c r="U2513" s="126" t="s">
        <v>194</v>
      </c>
      <c r="V2513" s="126"/>
      <c r="X2513" s="126"/>
      <c r="Y2513" s="126"/>
      <c r="Z2513" s="126"/>
      <c r="AA2513" s="126"/>
      <c r="AB2513" s="126"/>
      <c r="AC2513" s="126"/>
      <c r="AD2513" s="126"/>
      <c r="AE2513" s="126"/>
      <c r="AH2513" s="126"/>
      <c r="AI2513" s="126"/>
      <c r="AK2513" s="126"/>
      <c r="AL2513" s="126"/>
      <c r="AM2513" s="126"/>
      <c r="AN2513" s="126"/>
      <c r="BG2513" s="23"/>
      <c r="BN2513" s="126"/>
      <c r="BT2513" s="23"/>
      <c r="CD2513" s="23"/>
      <c r="DF2513" s="16" t="e">
        <f>VLOOKUP(K2513,'[3]RNA Seq summary tables'!$V$3:$V$99,1,FALSE)</f>
        <v>#N/A</v>
      </c>
      <c r="DG2513" s="126"/>
    </row>
    <row r="2514" spans="2:287" ht="16" x14ac:dyDescent="0.2">
      <c r="B2514" s="16">
        <v>2018</v>
      </c>
      <c r="C2514" s="124">
        <v>43287</v>
      </c>
      <c r="D2514" t="s">
        <v>608</v>
      </c>
      <c r="E2514" s="20" t="str">
        <f>CONCATENATE(T2514,"-",U2514,"-",C2514)</f>
        <v>SP2-C5-43287</v>
      </c>
      <c r="F2514" s="16" t="s">
        <v>227</v>
      </c>
      <c r="G2514" s="126" t="s">
        <v>278</v>
      </c>
      <c r="H2514" s="126"/>
      <c r="J2514" s="126">
        <v>1532</v>
      </c>
      <c r="K2514" s="126"/>
      <c r="O2514" s="126"/>
      <c r="T2514" s="126" t="s">
        <v>137</v>
      </c>
      <c r="U2514" s="126" t="s">
        <v>172</v>
      </c>
      <c r="V2514" s="126"/>
      <c r="X2514" s="126"/>
      <c r="Y2514" s="126"/>
      <c r="Z2514" s="126"/>
      <c r="AA2514" s="126"/>
      <c r="AB2514" s="126"/>
      <c r="AC2514" s="126"/>
      <c r="AD2514" s="126"/>
      <c r="AE2514" s="126"/>
      <c r="AH2514" s="126"/>
      <c r="AI2514" s="126"/>
      <c r="AK2514" s="126"/>
      <c r="AL2514" s="126"/>
      <c r="AM2514" s="126"/>
      <c r="AN2514" s="126"/>
      <c r="BG2514" s="23"/>
      <c r="BN2514" s="126"/>
      <c r="BT2514" s="23"/>
      <c r="CD2514" s="23"/>
      <c r="DF2514" s="16" t="e">
        <f>VLOOKUP(K2514,'[3]RNA Seq summary tables'!$V$3:$V$99,1,FALSE)</f>
        <v>#N/A</v>
      </c>
      <c r="DG2514" s="126"/>
    </row>
    <row r="2515" spans="2:287" ht="16" x14ac:dyDescent="0.2">
      <c r="B2515" s="16">
        <v>2018</v>
      </c>
      <c r="C2515" s="124">
        <v>43288</v>
      </c>
      <c r="D2515" t="s">
        <v>617</v>
      </c>
      <c r="E2515" s="20" t="str">
        <f>CONCATENATE(T2515,"-",U2515,"-",C2515)</f>
        <v>SP1-A5-43288</v>
      </c>
      <c r="F2515" s="16" t="s">
        <v>227</v>
      </c>
      <c r="G2515" s="126" t="s">
        <v>278</v>
      </c>
      <c r="H2515" s="126"/>
      <c r="J2515" s="126">
        <v>1536</v>
      </c>
      <c r="K2515" s="126"/>
      <c r="O2515" s="126"/>
      <c r="T2515" s="126" t="s">
        <v>140</v>
      </c>
      <c r="U2515" s="126" t="s">
        <v>167</v>
      </c>
      <c r="V2515" s="126"/>
      <c r="X2515" s="126"/>
      <c r="Y2515" s="126"/>
      <c r="Z2515" s="126"/>
      <c r="AA2515" s="126"/>
      <c r="AB2515" s="126"/>
      <c r="AC2515" s="126"/>
      <c r="AD2515" s="126"/>
      <c r="AE2515" s="126"/>
      <c r="AH2515" s="126"/>
      <c r="AI2515" s="126"/>
      <c r="AK2515" s="126"/>
      <c r="AL2515" s="126"/>
      <c r="AM2515" s="126"/>
      <c r="AN2515" s="126"/>
      <c r="BG2515" s="23"/>
      <c r="BN2515" s="126"/>
      <c r="BT2515" s="23"/>
      <c r="CD2515" s="23"/>
      <c r="DF2515" s="16" t="e">
        <f>VLOOKUP(K2515,'[3]RNA Seq summary tables'!$V$3:$V$99,1,FALSE)</f>
        <v>#N/A</v>
      </c>
      <c r="DG2515" s="126"/>
    </row>
    <row r="2516" spans="2:287" ht="16" x14ac:dyDescent="0.2">
      <c r="B2516" s="16">
        <v>2018</v>
      </c>
      <c r="C2516" s="124">
        <v>43288</v>
      </c>
      <c r="D2516" t="s">
        <v>619</v>
      </c>
      <c r="E2516" s="20" t="str">
        <f>CONCATENATE(T2516,"-",U2516,"-",C2516)</f>
        <v>SP1-F2-43288</v>
      </c>
      <c r="F2516" s="16" t="s">
        <v>227</v>
      </c>
      <c r="G2516" s="126" t="s">
        <v>278</v>
      </c>
      <c r="H2516" s="126"/>
      <c r="J2516" s="126">
        <v>1537</v>
      </c>
      <c r="K2516" s="126"/>
      <c r="O2516" s="126"/>
      <c r="T2516" s="126" t="s">
        <v>140</v>
      </c>
      <c r="U2516" s="126" t="s">
        <v>187</v>
      </c>
      <c r="V2516" s="126"/>
      <c r="X2516" s="126"/>
      <c r="Y2516" s="126"/>
      <c r="Z2516" s="126"/>
      <c r="AA2516" s="126"/>
      <c r="AB2516" s="126"/>
      <c r="AC2516" s="126"/>
      <c r="AD2516" s="126"/>
      <c r="AE2516" s="126"/>
      <c r="AH2516" s="126"/>
      <c r="AI2516" s="126"/>
      <c r="AK2516" s="126"/>
      <c r="AL2516" s="126"/>
      <c r="AM2516" s="126"/>
      <c r="AN2516" s="126"/>
      <c r="BG2516" s="23"/>
      <c r="BN2516" s="126"/>
      <c r="BT2516" s="23"/>
      <c r="CD2516" s="23"/>
      <c r="DF2516" s="16" t="e">
        <f>VLOOKUP(K2516,'[3]RNA Seq summary tables'!$V$3:$V$99,1,FALSE)</f>
        <v>#N/A</v>
      </c>
      <c r="DG2516" s="126"/>
    </row>
    <row r="2517" spans="2:287" ht="16" x14ac:dyDescent="0.2">
      <c r="B2517" s="16">
        <v>2018</v>
      </c>
      <c r="C2517" s="147">
        <v>43314</v>
      </c>
      <c r="D2517" t="s">
        <v>1235</v>
      </c>
      <c r="E2517" s="20" t="str">
        <f>CONCATENATE(T2517,"-",U2517,"-",C2517)</f>
        <v>SP1-F7-43314</v>
      </c>
      <c r="F2517" s="16" t="s">
        <v>227</v>
      </c>
      <c r="G2517" s="145" t="s">
        <v>278</v>
      </c>
      <c r="H2517" s="145"/>
      <c r="I2517" s="145"/>
      <c r="J2517" s="145">
        <v>1537</v>
      </c>
      <c r="K2517" s="145"/>
      <c r="M2517" s="16"/>
      <c r="N2517" s="16"/>
      <c r="O2517" s="145"/>
      <c r="P2517" s="145"/>
      <c r="Q2517" s="145"/>
      <c r="R2517" s="145"/>
      <c r="S2517" s="145"/>
      <c r="T2517" s="145" t="s">
        <v>140</v>
      </c>
      <c r="U2517" s="145" t="s">
        <v>189</v>
      </c>
      <c r="V2517" s="145"/>
      <c r="W2517" s="145"/>
      <c r="X2517" s="145"/>
      <c r="Y2517" s="145"/>
      <c r="Z2517" s="145"/>
      <c r="AA2517" s="145"/>
      <c r="AB2517" s="145"/>
      <c r="AC2517" s="145"/>
      <c r="AD2517" s="145"/>
      <c r="AE2517" s="145"/>
      <c r="AF2517" s="145"/>
      <c r="AG2517" s="145"/>
      <c r="AH2517" s="145"/>
      <c r="AI2517" s="145"/>
      <c r="AJ2517" s="145"/>
      <c r="AK2517" s="145"/>
      <c r="AL2517" s="145"/>
      <c r="AM2517" s="145"/>
      <c r="AN2517" s="145"/>
      <c r="AT2517" s="16" t="e">
        <f>VLOOKUP(E2517,[2]Current!$A$1:$W$435,7,FALSE)</f>
        <v>#N/A</v>
      </c>
      <c r="DG2517" s="145"/>
      <c r="DT2517"/>
      <c r="DU2517" s="145"/>
      <c r="DX2517" s="145"/>
      <c r="DY2517" s="145"/>
      <c r="DZ2517" s="16"/>
      <c r="EA2517" s="16"/>
      <c r="EB2517" s="16"/>
      <c r="EC2517" s="16"/>
      <c r="ED2517" s="16"/>
      <c r="EE2517" s="16"/>
      <c r="EF2517" s="16"/>
      <c r="JO2517" s="18"/>
      <c r="JP2517" s="18"/>
      <c r="JQ2517" s="18"/>
      <c r="JR2517" s="18"/>
      <c r="JS2517" s="18"/>
      <c r="JT2517" s="18"/>
      <c r="JU2517" s="18"/>
      <c r="JV2517" s="18"/>
      <c r="JW2517" s="18"/>
      <c r="JX2517" s="18"/>
      <c r="JY2517" s="18"/>
      <c r="JZ2517" s="18"/>
      <c r="KA2517" s="18"/>
    </row>
    <row r="2518" spans="2:287" ht="16" x14ac:dyDescent="0.2">
      <c r="B2518" s="16">
        <v>2018</v>
      </c>
      <c r="C2518" s="147">
        <v>43314</v>
      </c>
      <c r="D2518" t="s">
        <v>1229</v>
      </c>
      <c r="E2518" s="20" t="str">
        <f>CONCATENATE(T2518,"-",U2518,"-",C2518)</f>
        <v>SP1-A6-43314</v>
      </c>
      <c r="F2518" s="16" t="s">
        <v>227</v>
      </c>
      <c r="G2518" s="145" t="s">
        <v>278</v>
      </c>
      <c r="H2518" s="145"/>
      <c r="I2518" s="145"/>
      <c r="J2518" s="145">
        <v>1538</v>
      </c>
      <c r="K2518" s="145"/>
      <c r="M2518" s="16"/>
      <c r="N2518" s="16"/>
      <c r="O2518" s="145"/>
      <c r="P2518" s="145"/>
      <c r="Q2518" s="145"/>
      <c r="R2518" s="145"/>
      <c r="S2518" s="145"/>
      <c r="T2518" s="145" t="s">
        <v>140</v>
      </c>
      <c r="U2518" s="145" t="s">
        <v>147</v>
      </c>
      <c r="V2518" s="145"/>
      <c r="W2518" s="145"/>
      <c r="X2518" s="145"/>
      <c r="Y2518" s="145"/>
      <c r="Z2518" s="145"/>
      <c r="AA2518" s="145"/>
      <c r="AB2518" s="145"/>
      <c r="AC2518" s="145"/>
      <c r="AD2518" s="145"/>
      <c r="AE2518" s="145"/>
      <c r="AF2518" s="145"/>
      <c r="AG2518" s="145"/>
      <c r="AH2518" s="145"/>
      <c r="AI2518" s="145"/>
      <c r="AJ2518" s="145"/>
      <c r="AK2518" s="145"/>
      <c r="AL2518" s="145"/>
      <c r="AM2518" s="145"/>
      <c r="AN2518" s="145"/>
      <c r="AT2518" s="16" t="e">
        <f>VLOOKUP(E2518,[2]Current!$A$1:$W$435,7,FALSE)</f>
        <v>#N/A</v>
      </c>
      <c r="DG2518" s="145"/>
      <c r="DT2518"/>
      <c r="DU2518" s="145"/>
      <c r="DX2518" s="145"/>
      <c r="DY2518" s="145"/>
      <c r="DZ2518" s="16"/>
      <c r="EA2518" s="16"/>
      <c r="EB2518" s="16"/>
      <c r="EC2518" s="16"/>
      <c r="ED2518" s="16"/>
      <c r="EE2518" s="16"/>
      <c r="EF2518" s="16"/>
      <c r="JO2518" s="18"/>
      <c r="JP2518" s="18"/>
      <c r="JQ2518" s="18"/>
      <c r="JR2518" s="18"/>
      <c r="JS2518" s="18"/>
      <c r="JT2518" s="18"/>
      <c r="JU2518" s="18"/>
      <c r="JV2518" s="18"/>
      <c r="JW2518" s="18"/>
      <c r="JX2518" s="18"/>
      <c r="JY2518" s="18"/>
      <c r="JZ2518" s="18"/>
      <c r="KA2518" s="18"/>
    </row>
    <row r="2519" spans="2:287" ht="16" x14ac:dyDescent="0.2">
      <c r="B2519" s="16">
        <v>2018</v>
      </c>
      <c r="C2519" s="124">
        <v>43288</v>
      </c>
      <c r="D2519" t="s">
        <v>618</v>
      </c>
      <c r="E2519" s="20" t="str">
        <f>CONCATENATE(T2519,"-",U2519,"-",C2519)</f>
        <v>SP1-B1-43288</v>
      </c>
      <c r="F2519" s="16" t="s">
        <v>227</v>
      </c>
      <c r="G2519" s="126" t="s">
        <v>278</v>
      </c>
      <c r="H2519" s="126"/>
      <c r="J2519" s="126">
        <v>1539</v>
      </c>
      <c r="K2519" s="126"/>
      <c r="O2519" s="126"/>
      <c r="T2519" s="126" t="s">
        <v>140</v>
      </c>
      <c r="U2519" s="126" t="s">
        <v>113</v>
      </c>
      <c r="V2519" s="126"/>
      <c r="X2519" s="126"/>
      <c r="Y2519" s="126"/>
      <c r="Z2519" s="126"/>
      <c r="AA2519" s="126"/>
      <c r="AB2519" s="126"/>
      <c r="AC2519" s="126"/>
      <c r="AD2519" s="126"/>
      <c r="AE2519" s="126"/>
      <c r="AH2519" s="126"/>
      <c r="AI2519" s="126"/>
      <c r="AK2519" s="126"/>
      <c r="AL2519" s="126"/>
      <c r="AM2519" s="126"/>
      <c r="AN2519" s="126"/>
      <c r="BG2519" s="23"/>
      <c r="BN2519" s="126"/>
      <c r="BT2519" s="23"/>
      <c r="CD2519" s="23"/>
      <c r="DF2519" s="16" t="e">
        <f>VLOOKUP(K2519,'[3]RNA Seq summary tables'!$V$3:$V$99,1,FALSE)</f>
        <v>#N/A</v>
      </c>
      <c r="DG2519" s="126"/>
    </row>
    <row r="2520" spans="2:287" ht="16" x14ac:dyDescent="0.2">
      <c r="B2520" s="16">
        <v>2018</v>
      </c>
      <c r="C2520" s="147">
        <v>43314</v>
      </c>
      <c r="D2520" t="s">
        <v>1228</v>
      </c>
      <c r="E2520" s="20" t="str">
        <f>CONCATENATE(T2520,"-",U2520,"-",C2520)</f>
        <v>SP1-A1-43314</v>
      </c>
      <c r="F2520" s="16" t="s">
        <v>227</v>
      </c>
      <c r="G2520" s="145" t="s">
        <v>278</v>
      </c>
      <c r="H2520" s="145"/>
      <c r="I2520" s="145"/>
      <c r="J2520" s="145">
        <v>1542</v>
      </c>
      <c r="K2520" s="145"/>
      <c r="M2520" s="16"/>
      <c r="N2520" s="16"/>
      <c r="O2520" s="145"/>
      <c r="P2520" s="145"/>
      <c r="Q2520" s="145"/>
      <c r="R2520" s="145"/>
      <c r="S2520" s="145"/>
      <c r="T2520" s="145" t="s">
        <v>140</v>
      </c>
      <c r="U2520" s="145" t="s">
        <v>210</v>
      </c>
      <c r="V2520" s="145"/>
      <c r="W2520" s="145"/>
      <c r="X2520" s="145"/>
      <c r="Y2520" s="145"/>
      <c r="Z2520" s="145"/>
      <c r="AA2520" s="145"/>
      <c r="AB2520" s="145"/>
      <c r="AC2520" s="145"/>
      <c r="AD2520" s="145"/>
      <c r="AE2520" s="145"/>
      <c r="AF2520" s="145"/>
      <c r="AG2520" s="145"/>
      <c r="AH2520" s="145"/>
      <c r="AI2520" s="145"/>
      <c r="AJ2520" s="145"/>
      <c r="AK2520" s="145"/>
      <c r="AL2520" s="145"/>
      <c r="AM2520" s="145"/>
      <c r="AN2520" s="145"/>
      <c r="AT2520" s="16" t="e">
        <f>VLOOKUP(E2520,[2]Current!$A$1:$W$435,7,FALSE)</f>
        <v>#N/A</v>
      </c>
      <c r="DG2520" s="145"/>
      <c r="DT2520"/>
      <c r="DU2520" s="145"/>
      <c r="DX2520" s="145"/>
      <c r="DY2520" s="145"/>
      <c r="DZ2520" s="16"/>
      <c r="EA2520" s="16"/>
      <c r="EB2520" s="16"/>
      <c r="EC2520" s="16"/>
      <c r="ED2520" s="16"/>
      <c r="EE2520" s="16"/>
      <c r="EF2520" s="16"/>
      <c r="JO2520" s="18"/>
      <c r="JP2520" s="18"/>
      <c r="JQ2520" s="18"/>
      <c r="JR2520" s="18"/>
      <c r="JS2520" s="18"/>
      <c r="JT2520" s="18"/>
      <c r="JU2520" s="18"/>
      <c r="JV2520" s="18"/>
      <c r="JW2520" s="18"/>
      <c r="JX2520" s="18"/>
      <c r="JY2520" s="18"/>
      <c r="JZ2520" s="18"/>
      <c r="KA2520" s="18"/>
    </row>
    <row r="2521" spans="2:287" ht="16" x14ac:dyDescent="0.2">
      <c r="B2521" s="16">
        <v>2018</v>
      </c>
      <c r="C2521" s="124">
        <v>43293</v>
      </c>
      <c r="D2521" t="s">
        <v>621</v>
      </c>
      <c r="E2521" s="20" t="str">
        <f>CONCATENATE(T2521,"-",U2521,"-",C2521)</f>
        <v>BC1-C6-43293</v>
      </c>
      <c r="F2521" s="16" t="s">
        <v>227</v>
      </c>
      <c r="G2521" s="126" t="s">
        <v>278</v>
      </c>
      <c r="H2521" s="126"/>
      <c r="J2521" s="126">
        <v>1544</v>
      </c>
      <c r="K2521" s="126"/>
      <c r="O2521" s="126"/>
      <c r="T2521" s="126" t="s">
        <v>159</v>
      </c>
      <c r="U2521" s="126" t="s">
        <v>213</v>
      </c>
      <c r="V2521" s="126"/>
      <c r="X2521" s="126"/>
      <c r="Y2521" s="126"/>
      <c r="Z2521" s="126"/>
      <c r="AA2521" s="126"/>
      <c r="AB2521" s="126"/>
      <c r="AC2521" s="126"/>
      <c r="AD2521" s="126"/>
      <c r="AE2521" s="126"/>
      <c r="AH2521" s="126"/>
      <c r="AI2521" s="126"/>
      <c r="AK2521" s="126"/>
      <c r="AL2521" s="126"/>
      <c r="AM2521" s="126"/>
      <c r="AN2521" s="126"/>
      <c r="BG2521" s="23"/>
      <c r="BN2521" s="126"/>
      <c r="BT2521" s="23"/>
      <c r="CD2521" s="23"/>
      <c r="DF2521" s="16" t="e">
        <f>VLOOKUP(K2521,'[3]RNA Seq summary tables'!$V$3:$V$99,1,FALSE)</f>
        <v>#N/A</v>
      </c>
      <c r="DG2521" s="126"/>
    </row>
    <row r="2522" spans="2:287" ht="16" x14ac:dyDescent="0.2">
      <c r="B2522" s="16">
        <v>2018</v>
      </c>
      <c r="C2522" s="124">
        <v>43293</v>
      </c>
      <c r="D2522" t="s">
        <v>625</v>
      </c>
      <c r="E2522" s="20" t="str">
        <f>CONCATENATE(T2522,"-",U2522,"-",C2522)</f>
        <v>BC2-A8-43293</v>
      </c>
      <c r="F2522" s="16" t="s">
        <v>227</v>
      </c>
      <c r="G2522" s="126" t="s">
        <v>278</v>
      </c>
      <c r="H2522" s="126"/>
      <c r="J2522" s="126">
        <v>1547</v>
      </c>
      <c r="K2522" s="126"/>
      <c r="O2522" s="126"/>
      <c r="T2522" s="126" t="s">
        <v>154</v>
      </c>
      <c r="U2522" s="126" t="s">
        <v>194</v>
      </c>
      <c r="V2522" s="126"/>
      <c r="X2522" s="126"/>
      <c r="Y2522" s="126"/>
      <c r="Z2522" s="126"/>
      <c r="AA2522" s="126"/>
      <c r="AB2522" s="126"/>
      <c r="AC2522" s="126"/>
      <c r="AD2522" s="126"/>
      <c r="AE2522" s="126"/>
      <c r="AH2522" s="126"/>
      <c r="AI2522" s="126"/>
      <c r="AK2522" s="126"/>
      <c r="AL2522" s="126"/>
      <c r="AM2522" s="126"/>
      <c r="AN2522" s="126"/>
      <c r="BG2522" s="23"/>
      <c r="BN2522" s="126"/>
      <c r="BT2522" s="23"/>
      <c r="CD2522" s="23"/>
      <c r="DF2522" s="16" t="e">
        <f>VLOOKUP(K2522,'[3]RNA Seq summary tables'!$V$3:$V$99,1,FALSE)</f>
        <v>#N/A</v>
      </c>
      <c r="DG2522" s="126"/>
    </row>
    <row r="2523" spans="2:287" ht="16" x14ac:dyDescent="0.2">
      <c r="B2523" s="16">
        <v>2018</v>
      </c>
      <c r="C2523" s="124">
        <v>43293</v>
      </c>
      <c r="D2523" t="s">
        <v>628</v>
      </c>
      <c r="E2523" s="20" t="str">
        <f>CONCATENATE(T2523,"-",U2523,"-",C2523)</f>
        <v>BC2-G1-43293</v>
      </c>
      <c r="F2523" s="16" t="s">
        <v>227</v>
      </c>
      <c r="G2523" s="126" t="s">
        <v>278</v>
      </c>
      <c r="H2523" s="126"/>
      <c r="J2523" s="126">
        <v>1548</v>
      </c>
      <c r="K2523" s="126"/>
      <c r="O2523" s="126"/>
      <c r="T2523" s="126" t="s">
        <v>154</v>
      </c>
      <c r="U2523" s="126" t="s">
        <v>155</v>
      </c>
      <c r="V2523" s="126"/>
      <c r="X2523" s="126"/>
      <c r="Y2523" s="126"/>
      <c r="Z2523" s="126"/>
      <c r="AA2523" s="126"/>
      <c r="AB2523" s="126"/>
      <c r="AC2523" s="126"/>
      <c r="AD2523" s="126"/>
      <c r="AE2523" s="126"/>
      <c r="AH2523" s="126"/>
      <c r="AI2523" s="126"/>
      <c r="AK2523" s="126"/>
      <c r="AL2523" s="126"/>
      <c r="AM2523" s="126"/>
      <c r="AN2523" s="126"/>
      <c r="BG2523" s="23"/>
      <c r="BN2523" s="126"/>
      <c r="BT2523" s="23"/>
      <c r="CD2523" s="23"/>
      <c r="DF2523" s="16" t="e">
        <f>VLOOKUP(K2523,'[3]RNA Seq summary tables'!$V$3:$V$99,1,FALSE)</f>
        <v>#N/A</v>
      </c>
      <c r="DG2523" s="126"/>
    </row>
    <row r="2524" spans="2:287" ht="16" x14ac:dyDescent="0.2">
      <c r="B2524" s="16">
        <v>2018</v>
      </c>
      <c r="C2524" s="147">
        <v>43306</v>
      </c>
      <c r="D2524" t="s">
        <v>1194</v>
      </c>
      <c r="E2524" s="20" t="str">
        <f>CONCATENATE(T2524,"-",U2524,"-",C2524)</f>
        <v>HW1-B2-43306</v>
      </c>
      <c r="F2524" s="16" t="s">
        <v>227</v>
      </c>
      <c r="G2524" s="145" t="s">
        <v>278</v>
      </c>
      <c r="H2524" s="145"/>
      <c r="I2524" s="145"/>
      <c r="J2524" s="145">
        <v>1551</v>
      </c>
      <c r="K2524" s="145"/>
      <c r="M2524" s="16"/>
      <c r="N2524" s="16"/>
      <c r="O2524" s="145"/>
      <c r="P2524" s="145"/>
      <c r="Q2524" s="145"/>
      <c r="R2524" s="145"/>
      <c r="S2524" s="145"/>
      <c r="T2524" s="145" t="s">
        <v>133</v>
      </c>
      <c r="U2524" s="145" t="s">
        <v>130</v>
      </c>
      <c r="V2524" s="145"/>
      <c r="W2524" s="145"/>
      <c r="X2524" s="145"/>
      <c r="Y2524" s="145"/>
      <c r="Z2524" s="145"/>
      <c r="AA2524" s="145"/>
      <c r="AB2524" s="145"/>
      <c r="AC2524" s="145"/>
      <c r="AD2524" s="145"/>
      <c r="AE2524" s="145"/>
      <c r="AF2524" s="145"/>
      <c r="AG2524" s="145"/>
      <c r="AH2524" s="145"/>
      <c r="AI2524" s="145"/>
      <c r="AJ2524" s="145"/>
      <c r="AK2524" s="145"/>
      <c r="AL2524" s="145"/>
      <c r="AM2524" s="145"/>
      <c r="AN2524" s="145"/>
      <c r="AT2524" s="16" t="e">
        <f>VLOOKUP(E2524,[2]Current!$A$1:$W$435,7,FALSE)</f>
        <v>#N/A</v>
      </c>
      <c r="DG2524" s="145"/>
      <c r="DT2524"/>
      <c r="DU2524" s="145"/>
      <c r="DX2524" s="145"/>
      <c r="DY2524" s="145"/>
      <c r="DZ2524" s="16"/>
      <c r="EA2524" s="16"/>
      <c r="EB2524" s="16"/>
      <c r="EC2524" s="16"/>
      <c r="ED2524" s="16"/>
      <c r="EE2524" s="16"/>
      <c r="EF2524" s="16"/>
      <c r="JO2524" s="18"/>
      <c r="JP2524" s="18"/>
      <c r="JQ2524" s="18"/>
      <c r="JR2524" s="18"/>
      <c r="JS2524" s="18"/>
      <c r="JT2524" s="18"/>
      <c r="JU2524" s="18"/>
      <c r="JV2524" s="18"/>
      <c r="JW2524" s="18"/>
      <c r="JX2524" s="18"/>
      <c r="JY2524" s="18"/>
      <c r="JZ2524" s="18"/>
      <c r="KA2524" s="18"/>
    </row>
    <row r="2525" spans="2:287" ht="16" x14ac:dyDescent="0.2">
      <c r="B2525" s="16">
        <v>2018</v>
      </c>
      <c r="C2525" s="147">
        <v>43306</v>
      </c>
      <c r="D2525" t="s">
        <v>1191</v>
      </c>
      <c r="E2525" s="20" t="str">
        <f>CONCATENATE(T2525,"-",U2525,"-",C2525)</f>
        <v>HW1-G2-43306</v>
      </c>
      <c r="F2525" s="16" t="s">
        <v>227</v>
      </c>
      <c r="G2525" s="145" t="s">
        <v>278</v>
      </c>
      <c r="H2525" s="145"/>
      <c r="I2525" s="145"/>
      <c r="J2525" s="145">
        <v>1554</v>
      </c>
      <c r="K2525" s="145"/>
      <c r="M2525" s="16"/>
      <c r="N2525" s="16"/>
      <c r="O2525" s="145"/>
      <c r="P2525" s="145"/>
      <c r="Q2525" s="145"/>
      <c r="R2525" s="145"/>
      <c r="S2525" s="145"/>
      <c r="T2525" s="145" t="s">
        <v>133</v>
      </c>
      <c r="U2525" s="145" t="s">
        <v>128</v>
      </c>
      <c r="V2525" s="145"/>
      <c r="W2525" s="145"/>
      <c r="X2525" s="145"/>
      <c r="Y2525" s="145"/>
      <c r="Z2525" s="145"/>
      <c r="AA2525" s="145"/>
      <c r="AB2525" s="145"/>
      <c r="AC2525" s="145"/>
      <c r="AD2525" s="145"/>
      <c r="AE2525" s="145"/>
      <c r="AF2525" s="145"/>
      <c r="AG2525" s="145"/>
      <c r="AH2525" s="145"/>
      <c r="AI2525" s="145"/>
      <c r="AJ2525" s="145"/>
      <c r="AK2525" s="145"/>
      <c r="AL2525" s="145"/>
      <c r="AM2525" s="145"/>
      <c r="AN2525" s="145"/>
      <c r="AT2525" s="16" t="e">
        <f>VLOOKUP(E2525,[2]Current!$A$1:$W$435,7,FALSE)</f>
        <v>#N/A</v>
      </c>
      <c r="DG2525" s="145"/>
      <c r="DT2525"/>
      <c r="DU2525" s="145"/>
      <c r="DX2525" s="145"/>
      <c r="DY2525" s="145"/>
      <c r="DZ2525" s="16"/>
      <c r="EA2525" s="16"/>
      <c r="EB2525" s="16"/>
      <c r="EC2525" s="16"/>
      <c r="ED2525" s="16"/>
      <c r="EE2525" s="16"/>
      <c r="EF2525" s="16"/>
      <c r="JO2525" s="18"/>
      <c r="JP2525" s="18"/>
      <c r="JQ2525" s="18"/>
      <c r="JR2525" s="18"/>
      <c r="JS2525" s="18"/>
      <c r="JT2525" s="18"/>
      <c r="JU2525" s="18"/>
      <c r="JV2525" s="18"/>
      <c r="JW2525" s="18"/>
      <c r="JX2525" s="18"/>
      <c r="JY2525" s="18"/>
      <c r="JZ2525" s="18"/>
      <c r="KA2525" s="18"/>
    </row>
    <row r="2526" spans="2:287" ht="16" x14ac:dyDescent="0.2">
      <c r="B2526" s="16">
        <v>2018</v>
      </c>
      <c r="C2526" s="147">
        <v>43306</v>
      </c>
      <c r="D2526" t="s">
        <v>1189</v>
      </c>
      <c r="E2526" s="20" t="str">
        <f>CONCATENATE(T2526,"-",U2526,"-",C2526)</f>
        <v>HW1-C2-43306</v>
      </c>
      <c r="F2526" s="16" t="s">
        <v>227</v>
      </c>
      <c r="G2526" s="145" t="s">
        <v>278</v>
      </c>
      <c r="H2526" s="145"/>
      <c r="I2526" s="145"/>
      <c r="J2526" s="145">
        <v>1560</v>
      </c>
      <c r="K2526" s="145"/>
      <c r="M2526" s="16"/>
      <c r="N2526" s="16"/>
      <c r="O2526" s="145"/>
      <c r="P2526" s="145"/>
      <c r="Q2526" s="145"/>
      <c r="R2526" s="145"/>
      <c r="S2526" s="145"/>
      <c r="T2526" s="145" t="s">
        <v>133</v>
      </c>
      <c r="U2526" s="145" t="s">
        <v>162</v>
      </c>
      <c r="V2526" s="145"/>
      <c r="W2526" s="145"/>
      <c r="X2526" s="145"/>
      <c r="Y2526" s="145"/>
      <c r="Z2526" s="145"/>
      <c r="AA2526" s="145"/>
      <c r="AB2526" s="145"/>
      <c r="AC2526" s="145"/>
      <c r="AD2526" s="145"/>
      <c r="AE2526" s="145"/>
      <c r="AF2526" s="145"/>
      <c r="AG2526" s="145"/>
      <c r="AH2526" s="145"/>
      <c r="AI2526" s="145"/>
      <c r="AJ2526" s="145"/>
      <c r="AK2526" s="145"/>
      <c r="AL2526" s="145"/>
      <c r="AM2526" s="145"/>
      <c r="AN2526" s="145"/>
      <c r="AT2526" s="16" t="e">
        <f>VLOOKUP(E2526,[2]Current!$A$1:$W$435,7,FALSE)</f>
        <v>#N/A</v>
      </c>
      <c r="DG2526" s="145"/>
      <c r="DT2526"/>
      <c r="DU2526" s="145"/>
      <c r="DX2526" s="145"/>
      <c r="DY2526" s="145"/>
      <c r="DZ2526" s="16"/>
      <c r="EA2526" s="16"/>
      <c r="EB2526" s="16"/>
      <c r="EC2526" s="16"/>
      <c r="ED2526" s="16"/>
      <c r="EE2526" s="16"/>
      <c r="EF2526" s="16"/>
      <c r="JO2526" s="18"/>
      <c r="JP2526" s="18"/>
      <c r="JQ2526" s="18"/>
      <c r="JR2526" s="18"/>
      <c r="JS2526" s="18"/>
      <c r="JT2526" s="18"/>
      <c r="JU2526" s="18"/>
      <c r="JV2526" s="18"/>
      <c r="JW2526" s="18"/>
      <c r="JX2526" s="18"/>
      <c r="JY2526" s="18"/>
      <c r="JZ2526" s="18"/>
      <c r="KA2526" s="18"/>
    </row>
    <row r="2527" spans="2:287" ht="16" x14ac:dyDescent="0.2">
      <c r="B2527" s="16">
        <v>2018</v>
      </c>
      <c r="C2527" s="147">
        <v>43316</v>
      </c>
      <c r="D2527" t="s">
        <v>1268</v>
      </c>
      <c r="E2527" s="20" t="str">
        <f>CONCATENATE(T2527,"-",U2527,"-",C2527)</f>
        <v>PO1-F3-43316</v>
      </c>
      <c r="F2527" s="16" t="s">
        <v>227</v>
      </c>
      <c r="G2527" s="145" t="s">
        <v>278</v>
      </c>
      <c r="H2527" s="145"/>
      <c r="I2527" s="145"/>
      <c r="J2527" s="145">
        <v>1565</v>
      </c>
      <c r="K2527" s="145"/>
      <c r="M2527" s="16"/>
      <c r="N2527" s="16"/>
      <c r="O2527" s="145"/>
      <c r="P2527" s="145"/>
      <c r="Q2527" s="145"/>
      <c r="R2527" s="145"/>
      <c r="S2527" s="145"/>
      <c r="T2527" s="145" t="s">
        <v>112</v>
      </c>
      <c r="U2527" s="145" t="s">
        <v>182</v>
      </c>
      <c r="V2527" s="145"/>
      <c r="W2527" s="145"/>
      <c r="X2527" s="145"/>
      <c r="Y2527" s="145"/>
      <c r="Z2527" s="145"/>
      <c r="AA2527" s="145"/>
      <c r="AB2527" s="145"/>
      <c r="AC2527" s="145"/>
      <c r="AD2527" s="145"/>
      <c r="AE2527" s="145"/>
      <c r="AF2527" s="145"/>
      <c r="AG2527" s="145"/>
      <c r="AH2527" s="145"/>
      <c r="AI2527" s="145"/>
      <c r="AJ2527" s="145"/>
      <c r="AK2527" s="145"/>
      <c r="AL2527" s="145"/>
      <c r="AM2527" s="145"/>
      <c r="AN2527" s="145"/>
      <c r="AT2527" s="16" t="e">
        <f>VLOOKUP(E2527,[2]Current!$A$1:$W$435,7,FALSE)</f>
        <v>#N/A</v>
      </c>
      <c r="DG2527" s="145"/>
      <c r="DT2527"/>
      <c r="DU2527" s="145"/>
      <c r="DX2527" s="145"/>
      <c r="DY2527" s="145"/>
      <c r="DZ2527" s="16"/>
      <c r="EA2527" s="16"/>
      <c r="EB2527" s="16"/>
      <c r="EC2527" s="16"/>
      <c r="ED2527" s="16"/>
      <c r="EE2527" s="16"/>
      <c r="EF2527" s="16"/>
      <c r="JO2527" s="18"/>
      <c r="JP2527" s="18"/>
      <c r="JQ2527" s="18"/>
      <c r="JR2527" s="18"/>
      <c r="JS2527" s="18"/>
      <c r="JT2527" s="18"/>
      <c r="JU2527" s="18"/>
      <c r="JV2527" s="18"/>
      <c r="JW2527" s="18"/>
      <c r="JX2527" s="18"/>
      <c r="JY2527" s="18"/>
      <c r="JZ2527" s="18"/>
      <c r="KA2527" s="18"/>
    </row>
    <row r="2528" spans="2:287" ht="16" x14ac:dyDescent="0.2">
      <c r="B2528" s="16">
        <v>2018</v>
      </c>
      <c r="C2528" s="147">
        <v>43314</v>
      </c>
      <c r="D2528" t="s">
        <v>1238</v>
      </c>
      <c r="E2528" s="20" t="str">
        <f>CONCATENATE(T2528,"-",U2528,"-",C2528)</f>
        <v>SP1-H7-43314</v>
      </c>
      <c r="F2528" s="16" t="s">
        <v>227</v>
      </c>
      <c r="G2528" s="145" t="s">
        <v>278</v>
      </c>
      <c r="H2528" s="145"/>
      <c r="I2528" s="145"/>
      <c r="J2528" s="145">
        <v>1570</v>
      </c>
      <c r="K2528" s="145"/>
      <c r="M2528" s="16"/>
      <c r="N2528" s="16"/>
      <c r="O2528" s="145"/>
      <c r="P2528" s="145"/>
      <c r="Q2528" s="145"/>
      <c r="R2528" s="145"/>
      <c r="S2528" s="145"/>
      <c r="T2528" s="145" t="s">
        <v>140</v>
      </c>
      <c r="U2528" s="145" t="s">
        <v>202</v>
      </c>
      <c r="V2528" s="145"/>
      <c r="W2528" s="145"/>
      <c r="X2528" s="145"/>
      <c r="Y2528" s="145"/>
      <c r="Z2528" s="145"/>
      <c r="AA2528" s="145"/>
      <c r="AB2528" s="145"/>
      <c r="AC2528" s="145"/>
      <c r="AD2528" s="145"/>
      <c r="AE2528" s="145"/>
      <c r="AF2528" s="145"/>
      <c r="AG2528" s="145"/>
      <c r="AH2528" s="145"/>
      <c r="AI2528" s="145"/>
      <c r="AJ2528" s="145"/>
      <c r="AK2528" s="145"/>
      <c r="AL2528" s="145"/>
      <c r="AM2528" s="145"/>
      <c r="AN2528" s="145"/>
      <c r="AT2528" s="16" t="e">
        <f>VLOOKUP(E2528,[2]Current!$A$1:$W$435,7,FALSE)</f>
        <v>#N/A</v>
      </c>
      <c r="DG2528" s="145"/>
      <c r="DT2528"/>
      <c r="DU2528" s="145"/>
      <c r="DX2528" s="145"/>
      <c r="DY2528" s="145"/>
      <c r="DZ2528" s="16"/>
      <c r="EA2528" s="16"/>
      <c r="EB2528" s="16"/>
      <c r="EC2528" s="16"/>
      <c r="ED2528" s="16"/>
      <c r="EE2528" s="16"/>
      <c r="EF2528" s="16"/>
      <c r="JO2528" s="18"/>
      <c r="JP2528" s="18"/>
      <c r="JQ2528" s="18"/>
      <c r="JR2528" s="18"/>
      <c r="JS2528" s="18"/>
      <c r="JT2528" s="18"/>
      <c r="JU2528" s="18"/>
      <c r="JV2528" s="18"/>
      <c r="JW2528" s="18"/>
      <c r="JX2528" s="18"/>
      <c r="JY2528" s="18"/>
      <c r="JZ2528" s="18"/>
      <c r="KA2528" s="18"/>
    </row>
    <row r="2529" spans="2:287" ht="16" x14ac:dyDescent="0.2">
      <c r="B2529" s="16">
        <v>2018</v>
      </c>
      <c r="C2529" s="147">
        <v>43314</v>
      </c>
      <c r="D2529" t="s">
        <v>1219</v>
      </c>
      <c r="E2529" s="20" t="str">
        <f>CONCATENATE(T2529,"-",U2529,"-",C2529)</f>
        <v>SP2-A7-43314</v>
      </c>
      <c r="F2529" s="16" t="s">
        <v>227</v>
      </c>
      <c r="G2529" s="145" t="s">
        <v>278</v>
      </c>
      <c r="H2529" s="145"/>
      <c r="I2529" s="145"/>
      <c r="J2529" s="145">
        <v>1571</v>
      </c>
      <c r="K2529" s="145"/>
      <c r="M2529" s="16"/>
      <c r="N2529" s="16"/>
      <c r="O2529" s="145"/>
      <c r="P2529" s="145"/>
      <c r="Q2529" s="145"/>
      <c r="R2529" s="145"/>
      <c r="S2529" s="145"/>
      <c r="T2529" s="145" t="s">
        <v>137</v>
      </c>
      <c r="U2529" s="145" t="s">
        <v>120</v>
      </c>
      <c r="V2529" s="145"/>
      <c r="W2529" s="145"/>
      <c r="X2529" s="145"/>
      <c r="Y2529" s="145"/>
      <c r="Z2529" s="145"/>
      <c r="AA2529" s="145"/>
      <c r="AB2529" s="145"/>
      <c r="AC2529" s="145"/>
      <c r="AD2529" s="145"/>
      <c r="AE2529" s="145"/>
      <c r="AF2529" s="145"/>
      <c r="AG2529" s="145"/>
      <c r="AH2529" s="145"/>
      <c r="AI2529" s="145"/>
      <c r="AJ2529" s="145"/>
      <c r="AK2529" s="145"/>
      <c r="AL2529" s="145"/>
      <c r="AM2529" s="145"/>
      <c r="AN2529" s="145"/>
      <c r="AT2529" s="16" t="e">
        <f>VLOOKUP(E2529,[2]Current!$A$1:$W$435,7,FALSE)</f>
        <v>#N/A</v>
      </c>
      <c r="DG2529" s="145"/>
      <c r="DT2529"/>
      <c r="DU2529" s="145"/>
      <c r="DX2529" s="145"/>
      <c r="DY2529" s="145"/>
      <c r="DZ2529" s="16"/>
      <c r="EA2529" s="16"/>
      <c r="EB2529" s="16"/>
      <c r="EC2529" s="16"/>
      <c r="ED2529" s="16"/>
      <c r="EE2529" s="16"/>
      <c r="EF2529" s="16"/>
      <c r="JO2529" s="18"/>
      <c r="JP2529" s="18"/>
      <c r="JQ2529" s="18"/>
      <c r="JR2529" s="18"/>
      <c r="JS2529" s="18"/>
      <c r="JT2529" s="18"/>
      <c r="JU2529" s="18"/>
      <c r="JV2529" s="18"/>
      <c r="JW2529" s="18"/>
      <c r="JX2529" s="18"/>
      <c r="JY2529" s="18"/>
      <c r="JZ2529" s="18"/>
      <c r="KA2529" s="18"/>
    </row>
    <row r="2530" spans="2:287" ht="16" x14ac:dyDescent="0.2">
      <c r="B2530" s="16">
        <v>2018</v>
      </c>
      <c r="C2530" s="147">
        <v>43314</v>
      </c>
      <c r="D2530" t="s">
        <v>1220</v>
      </c>
      <c r="E2530" s="20" t="str">
        <f>CONCATENATE(T2530,"-",U2530,"-",C2530)</f>
        <v>SP2-B1-43314</v>
      </c>
      <c r="F2530" s="16" t="s">
        <v>227</v>
      </c>
      <c r="G2530" s="145" t="s">
        <v>278</v>
      </c>
      <c r="H2530" s="145"/>
      <c r="I2530" s="145"/>
      <c r="J2530" s="145">
        <v>1572</v>
      </c>
      <c r="K2530" s="145"/>
      <c r="M2530" s="16"/>
      <c r="N2530" s="16"/>
      <c r="O2530" s="145"/>
      <c r="P2530" s="145"/>
      <c r="Q2530" s="145"/>
      <c r="R2530" s="145"/>
      <c r="S2530" s="145"/>
      <c r="T2530" s="145" t="s">
        <v>137</v>
      </c>
      <c r="U2530" s="145" t="s">
        <v>113</v>
      </c>
      <c r="V2530" s="145"/>
      <c r="W2530" s="145"/>
      <c r="X2530" s="145"/>
      <c r="Y2530" s="145"/>
      <c r="Z2530" s="145"/>
      <c r="AA2530" s="145"/>
      <c r="AB2530" s="145"/>
      <c r="AC2530" s="145"/>
      <c r="AD2530" s="145"/>
      <c r="AE2530" s="145"/>
      <c r="AF2530" s="145"/>
      <c r="AG2530" s="145"/>
      <c r="AH2530" s="145"/>
      <c r="AI2530" s="145"/>
      <c r="AJ2530" s="145"/>
      <c r="AK2530" s="145"/>
      <c r="AL2530" s="145"/>
      <c r="AM2530" s="145"/>
      <c r="AN2530" s="145"/>
      <c r="AT2530" s="16" t="e">
        <f>VLOOKUP(E2530,[2]Current!$A$1:$W$435,7,FALSE)</f>
        <v>#N/A</v>
      </c>
      <c r="DG2530" s="145"/>
      <c r="DT2530"/>
      <c r="DU2530" s="145"/>
      <c r="DX2530" s="145"/>
      <c r="DY2530" s="145"/>
      <c r="DZ2530" s="16"/>
      <c r="EA2530" s="16"/>
      <c r="EB2530" s="16"/>
      <c r="EC2530" s="16"/>
      <c r="ED2530" s="16"/>
      <c r="EE2530" s="16"/>
      <c r="EF2530" s="16"/>
      <c r="JO2530" s="18"/>
      <c r="JP2530" s="18"/>
      <c r="JQ2530" s="18"/>
      <c r="JR2530" s="18"/>
      <c r="JS2530" s="18"/>
      <c r="JT2530" s="18"/>
      <c r="JU2530" s="18"/>
      <c r="JV2530" s="18"/>
      <c r="JW2530" s="18"/>
      <c r="JX2530" s="18"/>
      <c r="JY2530" s="18"/>
      <c r="JZ2530" s="18"/>
      <c r="KA2530" s="18"/>
    </row>
    <row r="2531" spans="2:287" ht="16" x14ac:dyDescent="0.2">
      <c r="B2531" s="16">
        <v>2018</v>
      </c>
      <c r="C2531" s="147">
        <v>43314</v>
      </c>
      <c r="D2531" t="s">
        <v>1226</v>
      </c>
      <c r="E2531" s="20" t="str">
        <f>CONCATENATE(T2531,"-",U2531,"-",C2531)</f>
        <v>SP2-G3-43314</v>
      </c>
      <c r="F2531" s="16" t="s">
        <v>227</v>
      </c>
      <c r="G2531" s="145" t="s">
        <v>278</v>
      </c>
      <c r="H2531" s="145"/>
      <c r="I2531" s="145"/>
      <c r="J2531" s="145">
        <v>1573</v>
      </c>
      <c r="K2531" s="145"/>
      <c r="M2531" s="16"/>
      <c r="N2531" s="16"/>
      <c r="O2531" s="145"/>
      <c r="P2531" s="145"/>
      <c r="Q2531" s="145"/>
      <c r="R2531" s="145"/>
      <c r="S2531" s="145"/>
      <c r="T2531" s="145" t="s">
        <v>137</v>
      </c>
      <c r="U2531" s="145" t="s">
        <v>179</v>
      </c>
      <c r="V2531" s="145"/>
      <c r="W2531" s="145"/>
      <c r="X2531" s="145"/>
      <c r="Y2531" s="145"/>
      <c r="Z2531" s="145"/>
      <c r="AA2531" s="145"/>
      <c r="AB2531" s="145"/>
      <c r="AC2531" s="145"/>
      <c r="AD2531" s="145"/>
      <c r="AE2531" s="145"/>
      <c r="AF2531" s="145"/>
      <c r="AG2531" s="145"/>
      <c r="AH2531" s="145"/>
      <c r="AI2531" s="145"/>
      <c r="AJ2531" s="145"/>
      <c r="AK2531" s="145"/>
      <c r="AL2531" s="145"/>
      <c r="AM2531" s="145"/>
      <c r="AN2531" s="145"/>
      <c r="AT2531" s="16" t="e">
        <f>VLOOKUP(E2531,[2]Current!$A$1:$W$435,7,FALSE)</f>
        <v>#N/A</v>
      </c>
      <c r="DG2531" s="145"/>
      <c r="DT2531"/>
      <c r="DU2531" s="145"/>
      <c r="DX2531" s="145"/>
      <c r="DY2531" s="145"/>
      <c r="DZ2531" s="16"/>
      <c r="EA2531" s="16"/>
      <c r="EB2531" s="16"/>
      <c r="EC2531" s="16"/>
      <c r="ED2531" s="16"/>
      <c r="EE2531" s="16"/>
      <c r="EF2531" s="16"/>
      <c r="JO2531" s="18"/>
      <c r="JP2531" s="18"/>
      <c r="JQ2531" s="18"/>
      <c r="JR2531" s="18"/>
      <c r="JS2531" s="18"/>
      <c r="JT2531" s="18"/>
      <c r="JU2531" s="18"/>
      <c r="JV2531" s="18"/>
      <c r="JW2531" s="18"/>
      <c r="JX2531" s="18"/>
      <c r="JY2531" s="18"/>
      <c r="JZ2531" s="18"/>
      <c r="KA2531" s="18"/>
    </row>
    <row r="2532" spans="2:287" ht="16" x14ac:dyDescent="0.2">
      <c r="B2532" s="16">
        <v>2018</v>
      </c>
      <c r="C2532" s="147">
        <v>43314</v>
      </c>
      <c r="D2532" t="s">
        <v>1221</v>
      </c>
      <c r="E2532" s="20" t="str">
        <f>CONCATENATE(T2532,"-",U2532,"-",C2532)</f>
        <v>SP2-B7-43314</v>
      </c>
      <c r="F2532" s="16" t="s">
        <v>227</v>
      </c>
      <c r="G2532" s="145" t="s">
        <v>278</v>
      </c>
      <c r="H2532" s="145"/>
      <c r="I2532" s="145"/>
      <c r="J2532" s="145">
        <v>1584</v>
      </c>
      <c r="K2532" s="145"/>
      <c r="M2532" s="16"/>
      <c r="N2532" s="16"/>
      <c r="O2532" s="145"/>
      <c r="P2532" s="145"/>
      <c r="Q2532" s="145"/>
      <c r="R2532" s="145"/>
      <c r="S2532" s="145"/>
      <c r="T2532" s="145" t="s">
        <v>137</v>
      </c>
      <c r="U2532" s="145" t="s">
        <v>168</v>
      </c>
      <c r="V2532" s="145"/>
      <c r="W2532" s="145"/>
      <c r="X2532" s="145"/>
      <c r="Y2532" s="145"/>
      <c r="Z2532" s="145"/>
      <c r="AA2532" s="145"/>
      <c r="AB2532" s="145"/>
      <c r="AC2532" s="145"/>
      <c r="AD2532" s="145"/>
      <c r="AE2532" s="145"/>
      <c r="AF2532" s="145"/>
      <c r="AG2532" s="145"/>
      <c r="AH2532" s="145"/>
      <c r="AI2532" s="145"/>
      <c r="AJ2532" s="145"/>
      <c r="AK2532" s="145"/>
      <c r="AL2532" s="145"/>
      <c r="AM2532" s="145"/>
      <c r="AN2532" s="145"/>
      <c r="AT2532" s="16" t="e">
        <f>VLOOKUP(E2532,[2]Current!$A$1:$W$435,7,FALSE)</f>
        <v>#N/A</v>
      </c>
      <c r="DG2532" s="145"/>
      <c r="DT2532"/>
      <c r="DU2532" s="145"/>
      <c r="DX2532" s="145"/>
      <c r="DY2532" s="145"/>
      <c r="DZ2532" s="16"/>
      <c r="EA2532" s="16"/>
      <c r="EB2532" s="16"/>
      <c r="EC2532" s="16"/>
      <c r="ED2532" s="16"/>
      <c r="EE2532" s="16"/>
      <c r="EF2532" s="16"/>
      <c r="JO2532" s="18"/>
      <c r="JP2532" s="18"/>
      <c r="JQ2532" s="18"/>
      <c r="JR2532" s="18"/>
      <c r="JS2532" s="18"/>
      <c r="JT2532" s="18"/>
      <c r="JU2532" s="18"/>
      <c r="JV2532" s="18"/>
      <c r="JW2532" s="18"/>
      <c r="JX2532" s="18"/>
      <c r="JY2532" s="18"/>
      <c r="JZ2532" s="18"/>
      <c r="KA2532" s="18"/>
    </row>
    <row r="2533" spans="2:287" ht="16" x14ac:dyDescent="0.2">
      <c r="B2533" s="16">
        <v>2018</v>
      </c>
      <c r="C2533" s="147">
        <v>43316</v>
      </c>
      <c r="D2533" t="s">
        <v>1261</v>
      </c>
      <c r="E2533" s="20" t="str">
        <f>CONCATENATE(T2533,"-",U2533,"-",C2533)</f>
        <v>PO1-B4-43316</v>
      </c>
      <c r="F2533" s="16" t="s">
        <v>227</v>
      </c>
      <c r="G2533" s="145" t="s">
        <v>278</v>
      </c>
      <c r="H2533" s="145"/>
      <c r="I2533" s="145"/>
      <c r="J2533" s="145">
        <v>1593</v>
      </c>
      <c r="K2533" s="145"/>
      <c r="M2533" s="16"/>
      <c r="N2533" s="16"/>
      <c r="O2533" s="145"/>
      <c r="P2533" s="145"/>
      <c r="Q2533" s="145"/>
      <c r="R2533" s="145"/>
      <c r="S2533" s="145"/>
      <c r="T2533" s="145" t="s">
        <v>112</v>
      </c>
      <c r="U2533" s="145" t="s">
        <v>144</v>
      </c>
      <c r="V2533" s="145"/>
      <c r="W2533" s="145"/>
      <c r="X2533" s="145"/>
      <c r="Y2533" s="145"/>
      <c r="Z2533" s="145"/>
      <c r="AA2533" s="145"/>
      <c r="AB2533" s="145"/>
      <c r="AC2533" s="145"/>
      <c r="AD2533" s="145"/>
      <c r="AE2533" s="145"/>
      <c r="AF2533" s="145"/>
      <c r="AG2533" s="145"/>
      <c r="AH2533" s="145"/>
      <c r="AI2533" s="145"/>
      <c r="AJ2533" s="145"/>
      <c r="AK2533" s="145"/>
      <c r="AL2533" s="145"/>
      <c r="AM2533" s="145"/>
      <c r="AN2533" s="145"/>
      <c r="AT2533" s="16" t="e">
        <f>VLOOKUP(E2533,[2]Current!$A$1:$W$435,7,FALSE)</f>
        <v>#N/A</v>
      </c>
      <c r="DG2533" s="145"/>
      <c r="DT2533"/>
      <c r="DU2533" s="145"/>
      <c r="DX2533" s="145"/>
      <c r="DY2533" s="145"/>
      <c r="DZ2533" s="16"/>
      <c r="EA2533" s="16"/>
      <c r="EB2533" s="16"/>
      <c r="EC2533" s="16"/>
      <c r="ED2533" s="16"/>
      <c r="EE2533" s="16"/>
      <c r="EF2533" s="16"/>
      <c r="JO2533" s="18"/>
      <c r="JP2533" s="18"/>
      <c r="JQ2533" s="18"/>
      <c r="JR2533" s="18"/>
      <c r="JS2533" s="18"/>
      <c r="JT2533" s="18"/>
      <c r="JU2533" s="18"/>
      <c r="JV2533" s="18"/>
      <c r="JW2533" s="18"/>
      <c r="JX2533" s="18"/>
      <c r="JY2533" s="18"/>
      <c r="JZ2533" s="18"/>
      <c r="KA2533" s="18"/>
    </row>
    <row r="2534" spans="2:287" ht="16" x14ac:dyDescent="0.2">
      <c r="B2534" s="16">
        <v>2018</v>
      </c>
      <c r="C2534" s="147">
        <v>43316</v>
      </c>
      <c r="D2534" t="s">
        <v>1269</v>
      </c>
      <c r="E2534" s="20" t="str">
        <f>CONCATENATE(T2534,"-",U2534,"-",C2534)</f>
        <v>PO1-G8-43316</v>
      </c>
      <c r="F2534" s="16" t="s">
        <v>227</v>
      </c>
      <c r="G2534" s="145" t="s">
        <v>278</v>
      </c>
      <c r="H2534" s="145"/>
      <c r="I2534" s="145"/>
      <c r="J2534" s="145">
        <v>1594</v>
      </c>
      <c r="K2534" s="145"/>
      <c r="M2534" s="16"/>
      <c r="N2534" s="16"/>
      <c r="O2534" s="145"/>
      <c r="P2534" s="145"/>
      <c r="Q2534" s="145"/>
      <c r="R2534" s="145"/>
      <c r="S2534" s="145"/>
      <c r="T2534" s="145" t="s">
        <v>112</v>
      </c>
      <c r="U2534" s="145" t="s">
        <v>216</v>
      </c>
      <c r="V2534" s="145"/>
      <c r="W2534" s="145"/>
      <c r="X2534" s="145"/>
      <c r="Y2534" s="145"/>
      <c r="Z2534" s="145"/>
      <c r="AA2534" s="145"/>
      <c r="AB2534" s="145"/>
      <c r="AC2534" s="145"/>
      <c r="AD2534" s="145"/>
      <c r="AE2534" s="145"/>
      <c r="AF2534" s="145"/>
      <c r="AG2534" s="145"/>
      <c r="AH2534" s="145"/>
      <c r="AI2534" s="145"/>
      <c r="AJ2534" s="145"/>
      <c r="AK2534" s="145"/>
      <c r="AL2534" s="145"/>
      <c r="AM2534" s="145"/>
      <c r="AN2534" s="145"/>
      <c r="AT2534" s="16" t="e">
        <f>VLOOKUP(E2534,[2]Current!$A$1:$W$435,7,FALSE)</f>
        <v>#N/A</v>
      </c>
      <c r="DG2534" s="145"/>
      <c r="DT2534"/>
      <c r="DU2534" s="145"/>
      <c r="DX2534" s="145"/>
      <c r="DY2534" s="145"/>
      <c r="DZ2534" s="16"/>
      <c r="EA2534" s="16"/>
      <c r="EB2534" s="16"/>
      <c r="EC2534" s="16"/>
      <c r="ED2534" s="16"/>
      <c r="EE2534" s="16"/>
      <c r="EF2534" s="16"/>
      <c r="JO2534" s="18"/>
      <c r="JP2534" s="18"/>
      <c r="JQ2534" s="18"/>
      <c r="JR2534" s="18"/>
      <c r="JS2534" s="18"/>
      <c r="JT2534" s="18"/>
      <c r="JU2534" s="18"/>
      <c r="JV2534" s="18"/>
      <c r="JW2534" s="18"/>
      <c r="JX2534" s="18"/>
      <c r="JY2534" s="18"/>
      <c r="JZ2534" s="18"/>
      <c r="KA2534" s="18"/>
    </row>
    <row r="2535" spans="2:287" ht="16" x14ac:dyDescent="0.2">
      <c r="B2535" s="16">
        <v>2018</v>
      </c>
      <c r="C2535" s="124">
        <v>43261</v>
      </c>
      <c r="D2535" t="s">
        <v>480</v>
      </c>
      <c r="E2535" s="20" t="str">
        <f>CONCATENATE(T2535,"-",U2535,"-",C2535)</f>
        <v>HW2-G8-43261</v>
      </c>
      <c r="F2535" s="16" t="s">
        <v>227</v>
      </c>
      <c r="G2535" s="126" t="s">
        <v>278</v>
      </c>
      <c r="H2535" s="126"/>
      <c r="J2535" s="126" t="s">
        <v>1068</v>
      </c>
      <c r="K2535" s="126"/>
      <c r="O2535" s="126"/>
      <c r="T2535" s="126" t="s">
        <v>129</v>
      </c>
      <c r="U2535" s="126" t="s">
        <v>216</v>
      </c>
      <c r="V2535" s="126"/>
      <c r="X2535" s="126"/>
      <c r="Y2535" s="126"/>
      <c r="Z2535" s="126"/>
      <c r="AA2535" s="126"/>
      <c r="AB2535" s="126"/>
      <c r="AC2535" s="126"/>
      <c r="AD2535" s="126"/>
      <c r="AE2535" s="126"/>
      <c r="AH2535" s="126"/>
      <c r="AI2535" s="126"/>
      <c r="AK2535" s="126"/>
      <c r="AL2535" s="126"/>
      <c r="AM2535" s="126"/>
      <c r="AN2535" s="126"/>
      <c r="BG2535" s="23"/>
      <c r="BN2535" s="126"/>
      <c r="BT2535" s="23"/>
      <c r="CD2535" s="23"/>
      <c r="DF2535" s="16" t="e">
        <f>VLOOKUP(K2535,'[3]RNA Seq summary tables'!$V$3:$V$99,1,FALSE)</f>
        <v>#N/A</v>
      </c>
      <c r="DG2535" s="126"/>
    </row>
    <row r="2536" spans="2:287" ht="16" x14ac:dyDescent="0.2">
      <c r="B2536" s="16">
        <v>2018</v>
      </c>
      <c r="C2536" s="124">
        <v>43262</v>
      </c>
      <c r="D2536" t="s">
        <v>488</v>
      </c>
      <c r="E2536" s="20" t="str">
        <f>CONCATENATE(T2536,"-",U2536,"-",C2536)</f>
        <v>HW2-F8-43262</v>
      </c>
      <c r="F2536" s="16" t="s">
        <v>227</v>
      </c>
      <c r="G2536" s="126" t="s">
        <v>278</v>
      </c>
      <c r="H2536" s="126"/>
      <c r="J2536" s="126" t="s">
        <v>1068</v>
      </c>
      <c r="K2536" s="126"/>
      <c r="O2536" s="126"/>
      <c r="T2536" s="126" t="s">
        <v>129</v>
      </c>
      <c r="U2536" s="126" t="s">
        <v>138</v>
      </c>
      <c r="V2536" s="126"/>
      <c r="X2536" s="126"/>
      <c r="Y2536" s="126"/>
      <c r="Z2536" s="126"/>
      <c r="AA2536" s="126"/>
      <c r="AB2536" s="126"/>
      <c r="AC2536" s="126"/>
      <c r="AD2536" s="126"/>
      <c r="AE2536" s="126"/>
      <c r="AH2536" s="126"/>
      <c r="AI2536" s="126"/>
      <c r="AK2536" s="126"/>
      <c r="AL2536" s="126"/>
      <c r="AM2536" s="126"/>
      <c r="AN2536" s="126"/>
      <c r="BG2536" s="23"/>
      <c r="BN2536" s="126"/>
      <c r="BT2536" s="23"/>
      <c r="CD2536" s="23"/>
      <c r="DF2536" s="16" t="e">
        <f>VLOOKUP(K2536,'[3]RNA Seq summary tables'!$V$3:$V$99,1,FALSE)</f>
        <v>#N/A</v>
      </c>
      <c r="DG2536" s="126"/>
    </row>
    <row r="2537" spans="2:287" ht="16" x14ac:dyDescent="0.2">
      <c r="B2537" s="16">
        <v>2018</v>
      </c>
      <c r="C2537" s="124">
        <v>43278</v>
      </c>
      <c r="D2537" t="s">
        <v>563</v>
      </c>
      <c r="E2537" s="20" t="str">
        <f>CONCATENATE(T2537,"-",U2537,"-",C2537)</f>
        <v>HW2-H5-43278</v>
      </c>
      <c r="F2537" s="16" t="s">
        <v>227</v>
      </c>
      <c r="G2537" s="126" t="s">
        <v>278</v>
      </c>
      <c r="H2537" s="126"/>
      <c r="J2537" s="126" t="s">
        <v>1068</v>
      </c>
      <c r="K2537" s="126"/>
      <c r="O2537" s="126"/>
      <c r="T2537" s="126" t="s">
        <v>129</v>
      </c>
      <c r="U2537" s="126" t="s">
        <v>180</v>
      </c>
      <c r="V2537" s="126"/>
      <c r="X2537" s="126"/>
      <c r="Y2537" s="126"/>
      <c r="Z2537" s="126"/>
      <c r="AA2537" s="126"/>
      <c r="AB2537" s="126"/>
      <c r="AC2537" s="126"/>
      <c r="AD2537" s="126"/>
      <c r="AE2537" s="126"/>
      <c r="AH2537" s="126"/>
      <c r="AI2537" s="126"/>
      <c r="AK2537" s="126"/>
      <c r="AL2537" s="126"/>
      <c r="AM2537" s="126"/>
      <c r="AN2537" s="126"/>
      <c r="BG2537" s="23"/>
      <c r="BN2537" s="126"/>
      <c r="BT2537" s="23"/>
      <c r="CD2537" s="23"/>
      <c r="DF2537" s="16" t="e">
        <f>VLOOKUP(K2537,'[3]RNA Seq summary tables'!$V$3:$V$99,1,FALSE)</f>
        <v>#N/A</v>
      </c>
      <c r="DG2537" s="126"/>
    </row>
    <row r="2538" spans="2:287" ht="16" x14ac:dyDescent="0.2">
      <c r="B2538" s="16">
        <v>2018</v>
      </c>
      <c r="C2538" s="124">
        <v>43279</v>
      </c>
      <c r="D2538" t="s">
        <v>570</v>
      </c>
      <c r="E2538" s="20" t="str">
        <f>CONCATENATE(T2538,"-",U2538,"-",C2538)</f>
        <v>HW2-H6-43279</v>
      </c>
      <c r="F2538" s="16" t="s">
        <v>227</v>
      </c>
      <c r="G2538" s="126" t="s">
        <v>278</v>
      </c>
      <c r="H2538" s="126"/>
      <c r="J2538" s="126" t="s">
        <v>1068</v>
      </c>
      <c r="K2538" s="126"/>
      <c r="O2538" s="126"/>
      <c r="T2538" s="126" t="s">
        <v>129</v>
      </c>
      <c r="U2538" s="126" t="s">
        <v>141</v>
      </c>
      <c r="V2538" s="126"/>
      <c r="X2538" s="126"/>
      <c r="Y2538" s="126"/>
      <c r="Z2538" s="126"/>
      <c r="AA2538" s="126"/>
      <c r="AB2538" s="126"/>
      <c r="AC2538" s="126"/>
      <c r="AD2538" s="126"/>
      <c r="AE2538" s="126"/>
      <c r="AH2538" s="126"/>
      <c r="AI2538" s="126"/>
      <c r="AK2538" s="126"/>
      <c r="AL2538" s="126"/>
      <c r="AM2538" s="126"/>
      <c r="AN2538" s="126"/>
      <c r="BG2538" s="23"/>
      <c r="BN2538" s="126"/>
      <c r="BT2538" s="23"/>
      <c r="CD2538" s="23"/>
      <c r="DF2538" s="16" t="e">
        <f>VLOOKUP(K2538,'[3]RNA Seq summary tables'!$V$3:$V$99,1,FALSE)</f>
        <v>#N/A</v>
      </c>
      <c r="DG2538" s="126"/>
    </row>
    <row r="2539" spans="2:287" ht="16" x14ac:dyDescent="0.2">
      <c r="B2539" s="16">
        <v>2018</v>
      </c>
      <c r="C2539" s="147">
        <v>43314</v>
      </c>
      <c r="D2539" t="s">
        <v>1236</v>
      </c>
      <c r="E2539" s="20" t="str">
        <f>CONCATENATE(T2539,"-",U2539,"-",C2539)</f>
        <v>SP1-G2-43314</v>
      </c>
      <c r="F2539" s="16" t="s">
        <v>227</v>
      </c>
      <c r="G2539" s="145" t="s">
        <v>278</v>
      </c>
      <c r="H2539" s="145"/>
      <c r="I2539" s="145"/>
      <c r="J2539" s="145" t="s">
        <v>1071</v>
      </c>
      <c r="K2539" s="145"/>
      <c r="M2539" s="16"/>
      <c r="N2539" s="16"/>
      <c r="O2539" s="145"/>
      <c r="P2539" s="145"/>
      <c r="Q2539" s="145"/>
      <c r="R2539" s="145"/>
      <c r="S2539" s="145"/>
      <c r="T2539" s="145" t="s">
        <v>140</v>
      </c>
      <c r="U2539" s="145" t="s">
        <v>128</v>
      </c>
      <c r="V2539" s="145"/>
      <c r="W2539" s="145"/>
      <c r="X2539" s="145"/>
      <c r="Y2539" s="145"/>
      <c r="Z2539" s="145"/>
      <c r="AA2539" s="145"/>
      <c r="AB2539" s="145"/>
      <c r="AC2539" s="145"/>
      <c r="AD2539" s="145"/>
      <c r="AE2539" s="145"/>
      <c r="AF2539" s="145"/>
      <c r="AG2539" s="145"/>
      <c r="AH2539" s="145"/>
      <c r="AI2539" s="145"/>
      <c r="AJ2539" s="145"/>
      <c r="AK2539" s="145"/>
      <c r="AL2539" s="145"/>
      <c r="AM2539" s="145"/>
      <c r="AN2539" s="145"/>
      <c r="AT2539" s="16" t="e">
        <f>VLOOKUP(E2539,[2]Current!$A$1:$W$435,7,FALSE)</f>
        <v>#N/A</v>
      </c>
      <c r="DG2539" s="145"/>
      <c r="DT2539"/>
      <c r="DU2539" s="145"/>
      <c r="DX2539" s="145"/>
      <c r="DY2539" s="145"/>
      <c r="DZ2539" s="16"/>
      <c r="EA2539" s="16"/>
      <c r="EB2539" s="16"/>
      <c r="EC2539" s="16"/>
      <c r="ED2539" s="16"/>
      <c r="EE2539" s="16"/>
      <c r="EF2539" s="16"/>
      <c r="JO2539" s="18"/>
      <c r="JP2539" s="18"/>
      <c r="JQ2539" s="18"/>
      <c r="JR2539" s="18"/>
      <c r="JS2539" s="18"/>
      <c r="JT2539" s="18"/>
      <c r="JU2539" s="18"/>
      <c r="JV2539" s="18"/>
      <c r="JW2539" s="18"/>
      <c r="JX2539" s="18"/>
      <c r="JY2539" s="18"/>
      <c r="JZ2539" s="18"/>
      <c r="KA2539" s="18"/>
    </row>
    <row r="2540" spans="2:287" ht="16" x14ac:dyDescent="0.2">
      <c r="B2540" s="16">
        <v>2018</v>
      </c>
      <c r="C2540" s="124">
        <v>43288</v>
      </c>
      <c r="D2540" t="s">
        <v>615</v>
      </c>
      <c r="E2540" s="20" t="str">
        <f>CONCATENATE(T2540,"-",U2540,"-",C2540)</f>
        <v>SP2-G6-43288</v>
      </c>
      <c r="F2540" s="16" t="s">
        <v>227</v>
      </c>
      <c r="G2540" s="126" t="s">
        <v>278</v>
      </c>
      <c r="H2540" s="126"/>
      <c r="J2540" s="126" t="s">
        <v>1069</v>
      </c>
      <c r="K2540" s="126"/>
      <c r="O2540" s="126"/>
      <c r="T2540" s="126" t="s">
        <v>137</v>
      </c>
      <c r="U2540" s="126" t="s">
        <v>218</v>
      </c>
      <c r="V2540" s="126"/>
      <c r="X2540" s="126"/>
      <c r="Y2540" s="126"/>
      <c r="Z2540" s="126"/>
      <c r="AA2540" s="126"/>
      <c r="AB2540" s="126"/>
      <c r="AC2540" s="126"/>
      <c r="AD2540" s="126"/>
      <c r="AE2540" s="126"/>
      <c r="AH2540" s="126"/>
      <c r="AI2540" s="126"/>
      <c r="AK2540" s="126"/>
      <c r="AL2540" s="126"/>
      <c r="AM2540" s="126"/>
      <c r="AN2540" s="126"/>
      <c r="BG2540" s="23"/>
      <c r="BN2540" s="126"/>
      <c r="BT2540" s="23"/>
      <c r="CD2540" s="23"/>
      <c r="DF2540" s="16" t="e">
        <f>VLOOKUP(K2540,'[3]RNA Seq summary tables'!$V$3:$V$99,1,FALSE)</f>
        <v>#N/A</v>
      </c>
      <c r="DG2540" s="126"/>
    </row>
    <row r="2541" spans="2:287" ht="16" x14ac:dyDescent="0.2">
      <c r="B2541" s="16">
        <v>2018</v>
      </c>
      <c r="C2541" s="124">
        <v>43293</v>
      </c>
      <c r="D2541" t="s">
        <v>620</v>
      </c>
      <c r="E2541" s="20" t="str">
        <f>CONCATENATE(T2541,"-",U2541,"-",C2541)</f>
        <v>BC1-E8-43293</v>
      </c>
      <c r="F2541" s="16" t="s">
        <v>227</v>
      </c>
      <c r="G2541" s="126" t="s">
        <v>278</v>
      </c>
      <c r="H2541" s="126"/>
      <c r="J2541" s="126" t="s">
        <v>1070</v>
      </c>
      <c r="K2541" s="126"/>
      <c r="O2541" s="126"/>
      <c r="T2541" s="126" t="s">
        <v>159</v>
      </c>
      <c r="U2541" s="126" t="s">
        <v>181</v>
      </c>
      <c r="V2541" s="126"/>
      <c r="X2541" s="126"/>
      <c r="Y2541" s="126"/>
      <c r="Z2541" s="126"/>
      <c r="AA2541" s="126"/>
      <c r="AB2541" s="126"/>
      <c r="AC2541" s="126"/>
      <c r="AD2541" s="126"/>
      <c r="AE2541" s="126"/>
      <c r="AH2541" s="126"/>
      <c r="AI2541" s="126"/>
      <c r="AK2541" s="126"/>
      <c r="AL2541" s="126"/>
      <c r="AM2541" s="126"/>
      <c r="AN2541" s="126"/>
      <c r="BG2541" s="23"/>
      <c r="BN2541" s="126"/>
      <c r="BT2541" s="23"/>
      <c r="CD2541" s="23"/>
      <c r="DF2541" s="16" t="e">
        <f>VLOOKUP(K2541,'[3]RNA Seq summary tables'!$V$3:$V$99,1,FALSE)</f>
        <v>#N/A</v>
      </c>
      <c r="DG2541" s="126"/>
    </row>
    <row r="2542" spans="2:287" ht="16" x14ac:dyDescent="0.2">
      <c r="B2542" s="16">
        <v>2018</v>
      </c>
      <c r="C2542" s="147">
        <v>43306</v>
      </c>
      <c r="D2542" t="s">
        <v>1186</v>
      </c>
      <c r="E2542" s="20" t="str">
        <f>CONCATENATE(T2542,"-",U2542,"-",C2542)</f>
        <v>HW2-G7-43306</v>
      </c>
      <c r="F2542" s="16" t="s">
        <v>227</v>
      </c>
      <c r="G2542" s="145" t="s">
        <v>278</v>
      </c>
      <c r="H2542" s="145"/>
      <c r="I2542" s="145"/>
      <c r="J2542" s="145" t="s">
        <v>1076</v>
      </c>
      <c r="K2542" s="145"/>
      <c r="M2542" s="16"/>
      <c r="N2542" s="16"/>
      <c r="O2542" s="145"/>
      <c r="P2542" s="145"/>
      <c r="Q2542" s="145"/>
      <c r="R2542" s="145"/>
      <c r="S2542" s="145"/>
      <c r="T2542" s="145" t="s">
        <v>129</v>
      </c>
      <c r="U2542" s="145" t="s">
        <v>156</v>
      </c>
      <c r="V2542" s="145"/>
      <c r="W2542" s="145"/>
      <c r="X2542" s="145"/>
      <c r="Y2542" s="145"/>
      <c r="Z2542" s="145"/>
      <c r="AA2542" s="145"/>
      <c r="AB2542" s="145"/>
      <c r="AC2542" s="145"/>
      <c r="AD2542" s="145"/>
      <c r="AE2542" s="145"/>
      <c r="AF2542" s="145"/>
      <c r="AG2542" s="145"/>
      <c r="AH2542" s="145"/>
      <c r="AI2542" s="145"/>
      <c r="AJ2542" s="145"/>
      <c r="AK2542" s="145"/>
      <c r="AL2542" s="145"/>
      <c r="AM2542" s="145"/>
      <c r="AN2542" s="145"/>
      <c r="AT2542" s="16" t="e">
        <f>VLOOKUP(E2542,[2]Current!$A$1:$W$435,7,FALSE)</f>
        <v>#N/A</v>
      </c>
      <c r="DG2542" s="145"/>
      <c r="DT2542"/>
      <c r="DU2542" s="145"/>
      <c r="DX2542" s="145"/>
      <c r="DY2542" s="145"/>
      <c r="DZ2542" s="16"/>
      <c r="EA2542" s="16"/>
      <c r="EB2542" s="16"/>
      <c r="EC2542" s="16"/>
      <c r="ED2542" s="16"/>
      <c r="EE2542" s="16"/>
      <c r="EF2542" s="16"/>
      <c r="JO2542" s="18"/>
      <c r="JP2542" s="18"/>
      <c r="JQ2542" s="18"/>
      <c r="JR2542" s="18"/>
      <c r="JS2542" s="18"/>
      <c r="JT2542" s="18"/>
      <c r="JU2542" s="18"/>
      <c r="JV2542" s="18"/>
      <c r="JW2542" s="18"/>
      <c r="JX2542" s="18"/>
      <c r="JY2542" s="18"/>
      <c r="JZ2542" s="18"/>
      <c r="KA2542" s="18"/>
    </row>
    <row r="2543" spans="2:287" x14ac:dyDescent="0.2">
      <c r="B2543" s="16">
        <v>2016</v>
      </c>
      <c r="C2543" s="20">
        <v>42529</v>
      </c>
      <c r="D2543" s="20" t="str">
        <f>CONCATENATE(J2543,"-",C2543)</f>
        <v>937-B-42529</v>
      </c>
      <c r="E2543" s="20" t="str">
        <f>CONCATENATE(T2543,"-",U2543,"-",C2543)</f>
        <v>BC2-B6-42529</v>
      </c>
      <c r="F2543" s="20" t="s">
        <v>106</v>
      </c>
      <c r="G2543" s="20" t="s">
        <v>278</v>
      </c>
      <c r="J2543" s="21" t="s">
        <v>163</v>
      </c>
      <c r="T2543" s="16" t="s">
        <v>154</v>
      </c>
      <c r="U2543" s="16" t="s">
        <v>132</v>
      </c>
      <c r="V2543" s="16" t="s">
        <v>114</v>
      </c>
      <c r="X2543" s="16" t="s">
        <v>115</v>
      </c>
      <c r="Y2543" s="16" t="s">
        <v>122</v>
      </c>
      <c r="Z2543" s="16">
        <v>2.6</v>
      </c>
      <c r="AE2543" s="16" t="s">
        <v>123</v>
      </c>
      <c r="AF2543" s="16" t="s">
        <v>123</v>
      </c>
      <c r="AK2543" s="16">
        <v>15.5</v>
      </c>
      <c r="AL2543" s="16">
        <v>0</v>
      </c>
      <c r="AM2543" s="16">
        <v>1</v>
      </c>
      <c r="AN2543" s="16">
        <v>0</v>
      </c>
      <c r="AO2543" s="16">
        <f>IF(SUM(AL2543:AN2543)&gt;0,1,0)</f>
        <v>1</v>
      </c>
      <c r="AP2543" s="16">
        <f>SUM(AL2543:AN2543)</f>
        <v>1</v>
      </c>
      <c r="BG2543" s="23"/>
      <c r="BT2543" s="23"/>
      <c r="CD2543" s="23"/>
      <c r="DF2543" s="16" t="e">
        <f>VLOOKUP(K2543,'[3]RNA Seq summary tables'!$V$3:$V$99,1,FALSE)</f>
        <v>#N/A</v>
      </c>
    </row>
    <row r="2544" spans="2:287" x14ac:dyDescent="0.2">
      <c r="B2544" s="16">
        <v>2016</v>
      </c>
      <c r="C2544" s="20">
        <v>42532</v>
      </c>
      <c r="D2544" s="20" t="str">
        <f>CONCATENATE(J2544,"-",C2544)</f>
        <v>938-P-42532</v>
      </c>
      <c r="E2544" s="20" t="str">
        <f>CONCATENATE(T2544,"-",U2544,"-",C2544)</f>
        <v>PO1-C3-42532</v>
      </c>
      <c r="F2544" s="20" t="s">
        <v>106</v>
      </c>
      <c r="G2544" s="20" t="s">
        <v>278</v>
      </c>
      <c r="J2544" s="21" t="s">
        <v>118</v>
      </c>
      <c r="T2544" s="16" t="s">
        <v>112</v>
      </c>
      <c r="U2544" s="16" t="s">
        <v>237</v>
      </c>
      <c r="V2544" s="16" t="s">
        <v>114</v>
      </c>
      <c r="X2544" s="16" t="s">
        <v>121</v>
      </c>
      <c r="Y2544" s="16" t="s">
        <v>110</v>
      </c>
      <c r="Z2544" s="16">
        <v>3</v>
      </c>
      <c r="AA2544" s="16" t="s">
        <v>119</v>
      </c>
      <c r="AB2544" s="16" t="s">
        <v>123</v>
      </c>
      <c r="AC2544" s="16" t="s">
        <v>123</v>
      </c>
      <c r="AD2544" s="16" t="s">
        <v>123</v>
      </c>
      <c r="AK2544" s="16">
        <v>18</v>
      </c>
      <c r="AL2544" s="16">
        <v>0</v>
      </c>
      <c r="AM2544" s="16">
        <v>0</v>
      </c>
      <c r="AN2544" s="16">
        <v>0</v>
      </c>
      <c r="AO2544" s="16">
        <f>IF(SUM(AL2544:AN2544)&gt;0,1,0)</f>
        <v>0</v>
      </c>
      <c r="AP2544" s="16">
        <f>SUM(AL2544:AN2544)</f>
        <v>0</v>
      </c>
      <c r="BG2544" s="23"/>
      <c r="BT2544" s="23"/>
      <c r="CD2544" s="23"/>
      <c r="DF2544" s="16" t="e">
        <f>VLOOKUP(K2544,'[3]RNA Seq summary tables'!$V$3:$V$99,1,FALSE)</f>
        <v>#N/A</v>
      </c>
    </row>
    <row r="2545" spans="2:288" x14ac:dyDescent="0.2">
      <c r="B2545" s="16">
        <v>2016</v>
      </c>
      <c r="C2545" s="20">
        <v>42531</v>
      </c>
      <c r="D2545" s="20" t="str">
        <f>CONCATENATE(J2545,"-",C2545)</f>
        <v>939-1-42531</v>
      </c>
      <c r="E2545" s="20" t="str">
        <f>CONCATENATE(T2545,"-",U2545,"-",C2545)</f>
        <v>PO1-A4-42531</v>
      </c>
      <c r="F2545" s="20" t="s">
        <v>106</v>
      </c>
      <c r="G2545" s="20" t="s">
        <v>278</v>
      </c>
      <c r="J2545" s="21" t="s">
        <v>176</v>
      </c>
      <c r="T2545" s="16" t="s">
        <v>112</v>
      </c>
      <c r="U2545" s="16" t="s">
        <v>134</v>
      </c>
      <c r="V2545" s="16" t="s">
        <v>114</v>
      </c>
      <c r="X2545" s="16" t="s">
        <v>115</v>
      </c>
      <c r="Y2545" s="16" t="s">
        <v>110</v>
      </c>
      <c r="Z2545" s="16">
        <v>3</v>
      </c>
      <c r="AE2545" s="16" t="s">
        <v>123</v>
      </c>
      <c r="AF2545" s="16" t="s">
        <v>123</v>
      </c>
      <c r="AK2545" s="16">
        <v>15.5</v>
      </c>
      <c r="AL2545" s="16">
        <v>0</v>
      </c>
      <c r="AM2545" s="16">
        <v>0</v>
      </c>
      <c r="AN2545" s="16">
        <v>0</v>
      </c>
      <c r="AO2545" s="16">
        <f>IF(SUM(AL2545:AN2545)&gt;0,1,0)</f>
        <v>0</v>
      </c>
      <c r="AP2545" s="16">
        <f>SUM(AL2545:AN2545)</f>
        <v>0</v>
      </c>
      <c r="BG2545" s="23"/>
      <c r="BT2545" s="23"/>
      <c r="CD2545" s="23"/>
      <c r="DF2545" s="16" t="e">
        <f>VLOOKUP(K2545,'[3]RNA Seq summary tables'!$V$3:$V$99,1,FALSE)</f>
        <v>#N/A</v>
      </c>
    </row>
    <row r="2546" spans="2:288" x14ac:dyDescent="0.2">
      <c r="B2546" s="16">
        <v>2016</v>
      </c>
      <c r="C2546" s="20">
        <v>42532</v>
      </c>
      <c r="D2546" s="20" t="str">
        <f>CONCATENATE(J2546,"-",C2546)</f>
        <v>939-1-42532</v>
      </c>
      <c r="E2546" s="20" t="str">
        <f>CONCATENATE(T2546,"-",U2546,"-",C2546)</f>
        <v>PO1-A6-42532</v>
      </c>
      <c r="F2546" s="20" t="s">
        <v>106</v>
      </c>
      <c r="G2546" s="20" t="s">
        <v>278</v>
      </c>
      <c r="J2546" s="21" t="s">
        <v>176</v>
      </c>
      <c r="T2546" s="16" t="s">
        <v>112</v>
      </c>
      <c r="U2546" s="16" t="s">
        <v>147</v>
      </c>
      <c r="V2546" s="16" t="s">
        <v>114</v>
      </c>
      <c r="X2546" s="16" t="s">
        <v>115</v>
      </c>
      <c r="Y2546" s="16" t="s">
        <v>110</v>
      </c>
      <c r="Z2546" s="16">
        <v>3</v>
      </c>
      <c r="AE2546" s="16" t="s">
        <v>123</v>
      </c>
      <c r="AF2546" s="16" t="s">
        <v>123</v>
      </c>
      <c r="AK2546" s="16">
        <v>14</v>
      </c>
      <c r="AL2546" s="16">
        <v>0</v>
      </c>
      <c r="AM2546" s="16">
        <v>0</v>
      </c>
      <c r="AN2546" s="16">
        <v>0</v>
      </c>
      <c r="AO2546" s="16">
        <f>IF(SUM(AL2546:AN2546)&gt;0,1,0)</f>
        <v>0</v>
      </c>
      <c r="AP2546" s="16">
        <f>SUM(AL2546:AN2546)</f>
        <v>0</v>
      </c>
      <c r="BG2546" s="23"/>
      <c r="BT2546" s="23"/>
      <c r="CD2546" s="23"/>
      <c r="DF2546" s="16" t="e">
        <f>VLOOKUP(K2546,'[3]RNA Seq summary tables'!$V$3:$V$99,1,FALSE)</f>
        <v>#N/A</v>
      </c>
    </row>
    <row r="2547" spans="2:288" x14ac:dyDescent="0.2">
      <c r="B2547" s="16">
        <v>2016</v>
      </c>
      <c r="C2547" s="20">
        <v>42573</v>
      </c>
      <c r="D2547" s="20" t="str">
        <f>CONCATENATE(J2547,"-",C2547)</f>
        <v>939-1-42573</v>
      </c>
      <c r="E2547" s="20" t="str">
        <f>CONCATENATE(T2547,"-",U2547,"-",C2547)</f>
        <v>PO1-B2-42573</v>
      </c>
      <c r="F2547" s="20" t="s">
        <v>106</v>
      </c>
      <c r="G2547" s="20" t="s">
        <v>278</v>
      </c>
      <c r="J2547" s="21" t="s">
        <v>176</v>
      </c>
      <c r="T2547" s="16" t="s">
        <v>112</v>
      </c>
      <c r="U2547" s="16" t="s">
        <v>130</v>
      </c>
      <c r="AK2547" s="16">
        <v>17.5</v>
      </c>
      <c r="BG2547" s="23"/>
      <c r="BT2547" s="23"/>
      <c r="CD2547" s="23"/>
      <c r="DF2547" s="16" t="e">
        <f>VLOOKUP(K2547,'[3]RNA Seq summary tables'!$V$3:$V$99,1,FALSE)</f>
        <v>#N/A</v>
      </c>
      <c r="DG2547" s="16">
        <v>1</v>
      </c>
      <c r="DH2547" s="16" t="str">
        <f>VLOOKUP(D2547,'[8]Data with duplicates'!$B$1:$J$70,9,FALSE)</f>
        <v>sample.28</v>
      </c>
      <c r="JR2547" s="26"/>
      <c r="JS2547" s="26"/>
      <c r="JT2547" s="26"/>
      <c r="JU2547" s="26"/>
      <c r="JV2547" s="26"/>
      <c r="JW2547" s="26"/>
      <c r="JX2547" s="26"/>
      <c r="JY2547" s="26"/>
      <c r="JZ2547" s="26"/>
      <c r="KA2547" s="26"/>
      <c r="KB2547" s="26"/>
    </row>
    <row r="2548" spans="2:288" x14ac:dyDescent="0.2">
      <c r="B2548" s="16">
        <v>2016</v>
      </c>
      <c r="C2548" s="20">
        <v>42574</v>
      </c>
      <c r="D2548" s="20" t="str">
        <f>CONCATENATE(J2548,"-",C2548)</f>
        <v>939-1-42574</v>
      </c>
      <c r="E2548" s="20" t="str">
        <f>CONCATENATE(T2548,"-",U2548,"-",C2548)</f>
        <v>PO1-B3-42574</v>
      </c>
      <c r="F2548" s="20" t="s">
        <v>106</v>
      </c>
      <c r="G2548" s="20" t="s">
        <v>278</v>
      </c>
      <c r="J2548" s="21" t="s">
        <v>176</v>
      </c>
      <c r="T2548" s="16" t="s">
        <v>112</v>
      </c>
      <c r="U2548" s="16" t="s">
        <v>131</v>
      </c>
      <c r="V2548" s="16" t="s">
        <v>114</v>
      </c>
      <c r="X2548" s="16" t="s">
        <v>115</v>
      </c>
      <c r="Y2548" s="16" t="s">
        <v>110</v>
      </c>
      <c r="Z2548" s="16">
        <v>3</v>
      </c>
      <c r="AK2548" s="16">
        <v>18</v>
      </c>
      <c r="BG2548" s="23"/>
      <c r="BT2548" s="23"/>
      <c r="CD2548" s="23"/>
      <c r="DF2548" s="16" t="e">
        <f>VLOOKUP(K2548,'[3]RNA Seq summary tables'!$V$3:$V$99,1,FALSE)</f>
        <v>#N/A</v>
      </c>
    </row>
    <row r="2549" spans="2:288" x14ac:dyDescent="0.2">
      <c r="B2549" s="16">
        <v>2016</v>
      </c>
      <c r="C2549" s="20">
        <v>42518</v>
      </c>
      <c r="D2549" s="20" t="str">
        <f>CONCATENATE(J2549,"-",C2549)</f>
        <v>939-2-42518</v>
      </c>
      <c r="E2549" s="20" t="str">
        <f>CONCATENATE(T2549,"-",U2549,"-",C2549)</f>
        <v>PO2-F2-42518</v>
      </c>
      <c r="F2549" s="20" t="s">
        <v>106</v>
      </c>
      <c r="G2549" s="20" t="s">
        <v>278</v>
      </c>
      <c r="J2549" s="21" t="s">
        <v>126</v>
      </c>
      <c r="T2549" s="16" t="s">
        <v>127</v>
      </c>
      <c r="U2549" s="16" t="s">
        <v>187</v>
      </c>
      <c r="V2549" s="16" t="s">
        <v>114</v>
      </c>
      <c r="X2549" s="16" t="s">
        <v>121</v>
      </c>
      <c r="Y2549" s="16" t="s">
        <v>122</v>
      </c>
      <c r="Z2549" s="16">
        <v>2.6</v>
      </c>
      <c r="AK2549" s="16">
        <v>14</v>
      </c>
      <c r="BG2549" s="23"/>
      <c r="BT2549" s="23"/>
      <c r="CD2549" s="23"/>
      <c r="DF2549" s="16" t="e">
        <f>VLOOKUP(K2549,'[3]RNA Seq summary tables'!$V$3:$V$99,1,FALSE)</f>
        <v>#N/A</v>
      </c>
    </row>
    <row r="2550" spans="2:288" x14ac:dyDescent="0.2">
      <c r="B2550" s="16">
        <v>2016</v>
      </c>
      <c r="C2550" s="20">
        <v>42531</v>
      </c>
      <c r="D2550" s="20" t="str">
        <f>CONCATENATE(J2550,"-",C2550)</f>
        <v>939-2-42531</v>
      </c>
      <c r="E2550" s="20" t="str">
        <f>CONCATENATE(T2550,"-",U2550,"-",C2550)</f>
        <v>PO2-A1-42531</v>
      </c>
      <c r="F2550" s="20" t="s">
        <v>106</v>
      </c>
      <c r="G2550" s="20" t="s">
        <v>278</v>
      </c>
      <c r="J2550" s="21" t="s">
        <v>126</v>
      </c>
      <c r="T2550" s="16" t="s">
        <v>127</v>
      </c>
      <c r="U2550" s="16" t="s">
        <v>210</v>
      </c>
      <c r="V2550" s="16" t="s">
        <v>114</v>
      </c>
      <c r="X2550" s="16" t="s">
        <v>121</v>
      </c>
      <c r="Y2550" s="16" t="s">
        <v>110</v>
      </c>
      <c r="Z2550" s="16">
        <v>3</v>
      </c>
      <c r="AA2550" s="16" t="s">
        <v>119</v>
      </c>
      <c r="AB2550" s="16" t="s">
        <v>123</v>
      </c>
      <c r="AC2550" s="16" t="s">
        <v>123</v>
      </c>
      <c r="AD2550" s="16" t="s">
        <v>123</v>
      </c>
      <c r="AK2550" s="16">
        <v>15.5</v>
      </c>
      <c r="AL2550" s="16">
        <v>0</v>
      </c>
      <c r="AM2550" s="16">
        <v>0</v>
      </c>
      <c r="AN2550" s="16">
        <v>0</v>
      </c>
      <c r="AO2550" s="16">
        <f>IF(SUM(AL2550:AN2550)&gt;0,1,0)</f>
        <v>0</v>
      </c>
      <c r="AP2550" s="16">
        <f>SUM(AL2550:AN2550)</f>
        <v>0</v>
      </c>
      <c r="BG2550" s="23"/>
      <c r="BT2550" s="23"/>
      <c r="CD2550" s="23"/>
      <c r="DF2550" s="16" t="e">
        <f>VLOOKUP(K2550,'[3]RNA Seq summary tables'!$V$3:$V$99,1,FALSE)</f>
        <v>#N/A</v>
      </c>
      <c r="JP2550" s="26"/>
      <c r="JQ2550" s="26"/>
    </row>
    <row r="2551" spans="2:288" x14ac:dyDescent="0.2">
      <c r="B2551" s="16">
        <v>2016</v>
      </c>
      <c r="C2551" s="20">
        <v>42532</v>
      </c>
      <c r="D2551" s="20" t="str">
        <f>CONCATENATE(J2551,"-",C2551)</f>
        <v>939-2-42532</v>
      </c>
      <c r="E2551" s="20" t="str">
        <f>CONCATENATE(T2551,"-",U2551,"-",C2551)</f>
        <v>PO2-D1-42532</v>
      </c>
      <c r="F2551" s="20" t="s">
        <v>106</v>
      </c>
      <c r="G2551" s="20" t="s">
        <v>278</v>
      </c>
      <c r="J2551" s="21" t="s">
        <v>126</v>
      </c>
      <c r="T2551" s="16" t="s">
        <v>127</v>
      </c>
      <c r="U2551" s="16" t="s">
        <v>157</v>
      </c>
      <c r="X2551" s="16" t="s">
        <v>121</v>
      </c>
      <c r="Y2551" s="16" t="s">
        <v>110</v>
      </c>
      <c r="Z2551" s="16">
        <v>3</v>
      </c>
      <c r="AA2551" s="16" t="s">
        <v>119</v>
      </c>
      <c r="AB2551" s="16" t="s">
        <v>123</v>
      </c>
      <c r="AC2551" s="16" t="s">
        <v>123</v>
      </c>
      <c r="AD2551" s="16" t="s">
        <v>123</v>
      </c>
      <c r="AK2551" s="16">
        <v>15.5</v>
      </c>
      <c r="AL2551" s="16">
        <v>0</v>
      </c>
      <c r="AM2551" s="16">
        <v>0</v>
      </c>
      <c r="AN2551" s="16">
        <v>0</v>
      </c>
      <c r="AO2551" s="16">
        <f>IF(SUM(AL2551:AN2551)&gt;0,1,0)</f>
        <v>0</v>
      </c>
      <c r="AP2551" s="16">
        <f>SUM(AL2551:AN2551)</f>
        <v>0</v>
      </c>
      <c r="BG2551" s="23"/>
      <c r="BT2551" s="23"/>
      <c r="CD2551" s="23"/>
      <c r="DF2551" s="16" t="e">
        <f>VLOOKUP(K2551,'[3]RNA Seq summary tables'!$V$3:$V$99,1,FALSE)</f>
        <v>#N/A</v>
      </c>
      <c r="JP2551" s="18"/>
      <c r="JQ2551" s="18"/>
    </row>
    <row r="2552" spans="2:288" ht="16" x14ac:dyDescent="0.2">
      <c r="B2552" s="16">
        <v>2018</v>
      </c>
      <c r="C2552" s="124">
        <v>43297</v>
      </c>
      <c r="D2552" t="s">
        <v>652</v>
      </c>
      <c r="E2552" s="20" t="str">
        <f>CONCATENATE(T2552,"-",U2552,"-",C2552)</f>
        <v>PO1-G1-43297</v>
      </c>
      <c r="F2552" s="16" t="s">
        <v>227</v>
      </c>
      <c r="G2552" s="126" t="s">
        <v>1067</v>
      </c>
      <c r="H2552" s="126"/>
      <c r="J2552" s="126">
        <v>1347</v>
      </c>
      <c r="K2552" s="126"/>
      <c r="O2552" s="126"/>
      <c r="T2552" s="126" t="s">
        <v>112</v>
      </c>
      <c r="U2552" s="126" t="s">
        <v>155</v>
      </c>
      <c r="V2552" s="126"/>
      <c r="X2552" s="126"/>
      <c r="Y2552" s="126"/>
      <c r="Z2552" s="126"/>
      <c r="AA2552" s="126"/>
      <c r="AB2552" s="126"/>
      <c r="AC2552" s="126"/>
      <c r="AD2552" s="126"/>
      <c r="AE2552" s="126"/>
      <c r="AH2552" s="126"/>
      <c r="AI2552" s="126"/>
      <c r="AK2552" s="126"/>
      <c r="AL2552" s="126"/>
      <c r="AM2552" s="126"/>
      <c r="AN2552" s="126"/>
      <c r="BG2552" s="23"/>
      <c r="BN2552" s="126"/>
      <c r="BT2552" s="23"/>
      <c r="CD2552" s="23"/>
      <c r="DF2552" s="16" t="e">
        <f>VLOOKUP(K2552,'[3]RNA Seq summary tables'!$V$3:$V$99,1,FALSE)</f>
        <v>#N/A</v>
      </c>
      <c r="DG2552" s="126"/>
    </row>
    <row r="2553" spans="2:288" ht="16" x14ac:dyDescent="0.2">
      <c r="B2553" s="16">
        <v>2018</v>
      </c>
      <c r="C2553" s="124">
        <v>43297</v>
      </c>
      <c r="D2553" t="s">
        <v>655</v>
      </c>
      <c r="E2553" s="20" t="str">
        <f>CONCATENATE(T2553,"-",U2553,"-",C2553)</f>
        <v>PO1-H7-43297</v>
      </c>
      <c r="F2553" s="16" t="s">
        <v>227</v>
      </c>
      <c r="G2553" s="126" t="s">
        <v>1067</v>
      </c>
      <c r="H2553" s="126"/>
      <c r="J2553" s="126">
        <v>1401</v>
      </c>
      <c r="K2553" s="126"/>
      <c r="O2553" s="126"/>
      <c r="T2553" s="126" t="s">
        <v>112</v>
      </c>
      <c r="U2553" s="126" t="s">
        <v>202</v>
      </c>
      <c r="V2553" s="126"/>
      <c r="X2553" s="126"/>
      <c r="Y2553" s="126"/>
      <c r="Z2553" s="126"/>
      <c r="AA2553" s="126"/>
      <c r="AB2553" s="126"/>
      <c r="AC2553" s="126"/>
      <c r="AD2553" s="126"/>
      <c r="AE2553" s="126"/>
      <c r="AH2553" s="126"/>
      <c r="AI2553" s="126"/>
      <c r="AK2553" s="126"/>
      <c r="AL2553" s="126"/>
      <c r="AM2553" s="126"/>
      <c r="AN2553" s="126"/>
      <c r="BG2553" s="23"/>
      <c r="BN2553" s="126"/>
      <c r="BT2553" s="23"/>
      <c r="CD2553" s="23"/>
      <c r="DF2553" s="16" t="e">
        <f>VLOOKUP(K2553,'[3]RNA Seq summary tables'!$V$3:$V$99,1,FALSE)</f>
        <v>#N/A</v>
      </c>
      <c r="DG2553" s="126"/>
    </row>
    <row r="2554" spans="2:288" ht="16" x14ac:dyDescent="0.2">
      <c r="B2554" s="16">
        <v>2018</v>
      </c>
      <c r="C2554" s="124">
        <v>43297</v>
      </c>
      <c r="D2554" t="s">
        <v>654</v>
      </c>
      <c r="E2554" s="20" t="str">
        <f>CONCATENATE(T2554,"-",U2554,"-",C2554)</f>
        <v>PO1-H2-43297</v>
      </c>
      <c r="F2554" s="16" t="s">
        <v>227</v>
      </c>
      <c r="G2554" s="126" t="s">
        <v>1067</v>
      </c>
      <c r="H2554" s="126"/>
      <c r="J2554" s="126">
        <v>1402</v>
      </c>
      <c r="K2554" s="126"/>
      <c r="O2554" s="126"/>
      <c r="T2554" s="126" t="s">
        <v>112</v>
      </c>
      <c r="U2554" s="126" t="s">
        <v>190</v>
      </c>
      <c r="V2554" s="126"/>
      <c r="X2554" s="126"/>
      <c r="Y2554" s="126"/>
      <c r="Z2554" s="126"/>
      <c r="AA2554" s="126"/>
      <c r="AB2554" s="126"/>
      <c r="AC2554" s="126"/>
      <c r="AD2554" s="126"/>
      <c r="AE2554" s="126"/>
      <c r="AH2554" s="126"/>
      <c r="AI2554" s="126"/>
      <c r="AK2554" s="126"/>
      <c r="AL2554" s="126"/>
      <c r="AM2554" s="126"/>
      <c r="AN2554" s="126"/>
      <c r="BG2554" s="23"/>
      <c r="BN2554" s="126"/>
      <c r="BT2554" s="23"/>
      <c r="CD2554" s="23"/>
      <c r="DF2554" s="16" t="e">
        <f>VLOOKUP(K2554,'[3]RNA Seq summary tables'!$V$3:$V$99,1,FALSE)</f>
        <v>#N/A</v>
      </c>
      <c r="DG2554" s="126"/>
    </row>
    <row r="2555" spans="2:288" ht="16" x14ac:dyDescent="0.2">
      <c r="B2555" s="16">
        <v>2018</v>
      </c>
      <c r="C2555" s="124">
        <v>43302</v>
      </c>
      <c r="D2555" t="s">
        <v>669</v>
      </c>
      <c r="E2555" s="20" t="str">
        <f>CONCATENATE(T2555,"-",U2555,"-",C2555)</f>
        <v>SP1-E8-43302</v>
      </c>
      <c r="F2555" s="16" t="s">
        <v>227</v>
      </c>
      <c r="G2555" s="126" t="s">
        <v>1067</v>
      </c>
      <c r="H2555" s="126" t="s">
        <v>1087</v>
      </c>
      <c r="J2555" s="126">
        <v>1414</v>
      </c>
      <c r="K2555" s="126"/>
      <c r="O2555" s="126"/>
      <c r="T2555" s="126" t="s">
        <v>140</v>
      </c>
      <c r="U2555" s="126" t="s">
        <v>181</v>
      </c>
      <c r="V2555" s="126" t="s">
        <v>114</v>
      </c>
      <c r="X2555" s="126"/>
      <c r="Y2555" s="126"/>
      <c r="Z2555" s="126"/>
      <c r="AA2555" s="126"/>
      <c r="AB2555" s="126"/>
      <c r="AC2555" s="126"/>
      <c r="AD2555" s="126"/>
      <c r="AE2555" s="126"/>
      <c r="AG2555" s="16">
        <f>AH2555-AI2555</f>
        <v>99</v>
      </c>
      <c r="AH2555" s="126">
        <v>190</v>
      </c>
      <c r="AI2555" s="126">
        <v>91</v>
      </c>
      <c r="AK2555" s="126"/>
      <c r="AL2555" s="126"/>
      <c r="AM2555" s="126"/>
      <c r="AN2555" s="126"/>
      <c r="BN2555" s="126"/>
      <c r="DF2555" s="16" t="e">
        <f>VLOOKUP(K2555,'[3]RNA Seq summary tables'!$V$3:$V$99,1,FALSE)</f>
        <v>#N/A</v>
      </c>
      <c r="DG2555" s="126"/>
    </row>
    <row r="2556" spans="2:288" ht="16" x14ac:dyDescent="0.2">
      <c r="B2556" s="16">
        <v>2018</v>
      </c>
      <c r="C2556" s="124">
        <v>43304</v>
      </c>
      <c r="D2556" t="s">
        <v>675</v>
      </c>
      <c r="E2556" s="20" t="str">
        <f>CONCATENATE(T2556,"-",U2556,"-",C2556)</f>
        <v>BC1-G8-43304</v>
      </c>
      <c r="F2556" s="16" t="s">
        <v>227</v>
      </c>
      <c r="G2556" s="126" t="s">
        <v>1067</v>
      </c>
      <c r="H2556" s="126"/>
      <c r="J2556" s="126">
        <v>1425</v>
      </c>
      <c r="K2556" s="126"/>
      <c r="O2556" s="126"/>
      <c r="T2556" s="126" t="s">
        <v>159</v>
      </c>
      <c r="U2556" s="126" t="s">
        <v>216</v>
      </c>
      <c r="V2556" s="126" t="s">
        <v>1077</v>
      </c>
      <c r="X2556" s="126"/>
      <c r="Y2556" s="126"/>
      <c r="Z2556" s="126"/>
      <c r="AA2556" s="126"/>
      <c r="AB2556" s="126"/>
      <c r="AC2556" s="126"/>
      <c r="AD2556" s="126"/>
      <c r="AE2556" s="126"/>
      <c r="AG2556" s="16">
        <f>AH2556-AI2556</f>
        <v>89</v>
      </c>
      <c r="AH2556" s="126">
        <v>170</v>
      </c>
      <c r="AI2556" s="126">
        <v>81</v>
      </c>
      <c r="AK2556" s="126"/>
      <c r="AL2556" s="126"/>
      <c r="AM2556" s="126"/>
      <c r="AN2556" s="126"/>
      <c r="BG2556" s="23"/>
      <c r="BN2556" s="126"/>
      <c r="BT2556" s="23"/>
      <c r="CD2556" s="23"/>
      <c r="DF2556" s="16" t="e">
        <f>VLOOKUP(K2556,'[3]RNA Seq summary tables'!$V$3:$V$99,1,FALSE)</f>
        <v>#N/A</v>
      </c>
      <c r="DG2556" s="126"/>
    </row>
    <row r="2557" spans="2:288" ht="16" x14ac:dyDescent="0.2">
      <c r="B2557" s="16">
        <v>2018</v>
      </c>
      <c r="C2557" s="124">
        <v>43295</v>
      </c>
      <c r="D2557" t="s">
        <v>640</v>
      </c>
      <c r="E2557" s="20" t="str">
        <f>CONCATENATE(T2557,"-",U2557,"-",C2557)</f>
        <v>HW1-H7-43295</v>
      </c>
      <c r="F2557" s="16" t="s">
        <v>227</v>
      </c>
      <c r="G2557" s="126" t="s">
        <v>1067</v>
      </c>
      <c r="H2557" s="126"/>
      <c r="J2557" s="126">
        <v>1435</v>
      </c>
      <c r="K2557" s="126"/>
      <c r="O2557" s="126"/>
      <c r="T2557" s="126" t="s">
        <v>133</v>
      </c>
      <c r="U2557" s="126" t="s">
        <v>202</v>
      </c>
      <c r="V2557" s="126"/>
      <c r="X2557" s="126"/>
      <c r="Y2557" s="126"/>
      <c r="Z2557" s="126"/>
      <c r="AA2557" s="126"/>
      <c r="AB2557" s="126"/>
      <c r="AC2557" s="126"/>
      <c r="AD2557" s="126"/>
      <c r="AE2557" s="126"/>
      <c r="AH2557" s="126"/>
      <c r="AI2557" s="126"/>
      <c r="AK2557" s="126"/>
      <c r="AL2557" s="126"/>
      <c r="AM2557" s="126"/>
      <c r="AN2557" s="126"/>
      <c r="BG2557" s="23"/>
      <c r="BN2557" s="126"/>
      <c r="BT2557" s="23"/>
      <c r="CD2557" s="23"/>
      <c r="DF2557" s="16" t="e">
        <f>VLOOKUP(K2557,'[3]RNA Seq summary tables'!$V$3:$V$99,1,FALSE)</f>
        <v>#N/A</v>
      </c>
      <c r="DG2557" s="126"/>
    </row>
    <row r="2558" spans="2:288" ht="16" x14ac:dyDescent="0.2">
      <c r="B2558" s="16">
        <v>2018</v>
      </c>
      <c r="C2558" s="124">
        <v>43295</v>
      </c>
      <c r="D2558" t="s">
        <v>639</v>
      </c>
      <c r="E2558" s="20" t="str">
        <f>CONCATENATE(T2558,"-",U2558,"-",C2558)</f>
        <v>HW1-F3-43295</v>
      </c>
      <c r="F2558" s="16" t="s">
        <v>227</v>
      </c>
      <c r="G2558" s="126" t="s">
        <v>1067</v>
      </c>
      <c r="H2558" s="126"/>
      <c r="J2558" s="126">
        <v>1436</v>
      </c>
      <c r="K2558" s="126"/>
      <c r="O2558" s="126"/>
      <c r="T2558" s="126" t="s">
        <v>133</v>
      </c>
      <c r="U2558" s="126" t="s">
        <v>182</v>
      </c>
      <c r="V2558" s="126"/>
      <c r="X2558" s="126"/>
      <c r="Y2558" s="126"/>
      <c r="Z2558" s="126"/>
      <c r="AA2558" s="126"/>
      <c r="AB2558" s="126"/>
      <c r="AC2558" s="126"/>
      <c r="AD2558" s="126"/>
      <c r="AE2558" s="126"/>
      <c r="AH2558" s="126"/>
      <c r="AI2558" s="126"/>
      <c r="AK2558" s="126"/>
      <c r="AL2558" s="126"/>
      <c r="AM2558" s="126"/>
      <c r="AN2558" s="126"/>
      <c r="BG2558" s="23"/>
      <c r="BN2558" s="126"/>
      <c r="BT2558" s="23"/>
      <c r="CD2558" s="23"/>
      <c r="DF2558" s="16" t="e">
        <f>VLOOKUP(K2558,'[3]RNA Seq summary tables'!$V$3:$V$99,1,FALSE)</f>
        <v>#N/A</v>
      </c>
      <c r="DG2558" s="126"/>
    </row>
    <row r="2559" spans="2:288" ht="16" x14ac:dyDescent="0.2">
      <c r="B2559" s="16">
        <v>2018</v>
      </c>
      <c r="C2559" s="124">
        <v>43295</v>
      </c>
      <c r="D2559" t="s">
        <v>635</v>
      </c>
      <c r="E2559" s="20" t="str">
        <f>CONCATENATE(T2559,"-",U2559,"-",C2559)</f>
        <v>HW2-G7-43295</v>
      </c>
      <c r="F2559" s="16" t="s">
        <v>227</v>
      </c>
      <c r="G2559" s="126" t="s">
        <v>1067</v>
      </c>
      <c r="H2559" s="126"/>
      <c r="J2559" s="126">
        <v>1440</v>
      </c>
      <c r="K2559" s="126"/>
      <c r="O2559" s="126"/>
      <c r="T2559" s="126" t="s">
        <v>129</v>
      </c>
      <c r="U2559" s="126" t="s">
        <v>156</v>
      </c>
      <c r="V2559" s="126"/>
      <c r="X2559" s="126"/>
      <c r="Y2559" s="126"/>
      <c r="Z2559" s="126"/>
      <c r="AA2559" s="126"/>
      <c r="AB2559" s="126"/>
      <c r="AC2559" s="126"/>
      <c r="AD2559" s="126"/>
      <c r="AE2559" s="126"/>
      <c r="AH2559" s="126"/>
      <c r="AI2559" s="126"/>
      <c r="AK2559" s="126"/>
      <c r="AL2559" s="126"/>
      <c r="AM2559" s="126"/>
      <c r="AN2559" s="126"/>
      <c r="BG2559" s="23"/>
      <c r="BN2559" s="126"/>
      <c r="BT2559" s="23"/>
      <c r="CD2559" s="23"/>
      <c r="DF2559" s="16" t="e">
        <f>VLOOKUP(K2559,'[3]RNA Seq summary tables'!$V$3:$V$99,1,FALSE)</f>
        <v>#N/A</v>
      </c>
      <c r="DG2559" s="126"/>
    </row>
    <row r="2560" spans="2:288" ht="16" x14ac:dyDescent="0.2">
      <c r="B2560" s="16">
        <v>2018</v>
      </c>
      <c r="C2560" s="124">
        <v>43295</v>
      </c>
      <c r="D2560" t="s">
        <v>634</v>
      </c>
      <c r="E2560" s="20" t="str">
        <f>CONCATENATE(T2560,"-",U2560,"-",C2560)</f>
        <v>HW2-F1-43295</v>
      </c>
      <c r="F2560" s="16" t="s">
        <v>227</v>
      </c>
      <c r="G2560" s="126" t="s">
        <v>1067</v>
      </c>
      <c r="H2560" s="126" t="s">
        <v>1085</v>
      </c>
      <c r="J2560" s="126">
        <v>1444</v>
      </c>
      <c r="K2560" s="126"/>
      <c r="O2560" s="126"/>
      <c r="T2560" s="126" t="s">
        <v>129</v>
      </c>
      <c r="U2560" s="126" t="s">
        <v>217</v>
      </c>
      <c r="V2560" s="126" t="s">
        <v>142</v>
      </c>
      <c r="X2560" s="126"/>
      <c r="Y2560" s="126"/>
      <c r="Z2560" s="126"/>
      <c r="AA2560" s="126"/>
      <c r="AB2560" s="126"/>
      <c r="AC2560" s="126"/>
      <c r="AD2560" s="126"/>
      <c r="AE2560" s="126"/>
      <c r="AG2560" s="16">
        <f>AH2560-AI2560</f>
        <v>89</v>
      </c>
      <c r="AH2560" s="126">
        <v>177</v>
      </c>
      <c r="AI2560" s="126">
        <v>88</v>
      </c>
      <c r="AK2560" s="126"/>
      <c r="AL2560" s="126"/>
      <c r="AM2560" s="126"/>
      <c r="AN2560" s="126"/>
      <c r="BG2560" s="23"/>
      <c r="BN2560" s="126"/>
      <c r="BT2560" s="23"/>
      <c r="CD2560" s="23"/>
      <c r="DF2560" s="16" t="e">
        <f>VLOOKUP(K2560,'[3]RNA Seq summary tables'!$V$3:$V$99,1,FALSE)</f>
        <v>#N/A</v>
      </c>
      <c r="DG2560" s="126"/>
    </row>
    <row r="2561" spans="2:111" ht="16" x14ac:dyDescent="0.2">
      <c r="B2561" s="16">
        <v>2018</v>
      </c>
      <c r="C2561" s="124">
        <v>43297</v>
      </c>
      <c r="D2561" t="s">
        <v>642</v>
      </c>
      <c r="E2561" s="20" t="str">
        <f>CONCATENATE(T2561,"-",U2561,"-",C2561)</f>
        <v>PO2-A7-43297</v>
      </c>
      <c r="F2561" s="16" t="s">
        <v>227</v>
      </c>
      <c r="G2561" s="126" t="s">
        <v>1067</v>
      </c>
      <c r="H2561" s="126"/>
      <c r="J2561" s="126">
        <v>1454</v>
      </c>
      <c r="K2561" s="126"/>
      <c r="O2561" s="126"/>
      <c r="T2561" s="126" t="s">
        <v>127</v>
      </c>
      <c r="U2561" s="126" t="s">
        <v>120</v>
      </c>
      <c r="V2561" s="126"/>
      <c r="X2561" s="126"/>
      <c r="Y2561" s="126"/>
      <c r="Z2561" s="126"/>
      <c r="AA2561" s="126"/>
      <c r="AB2561" s="126"/>
      <c r="AC2561" s="126"/>
      <c r="AD2561" s="126"/>
      <c r="AE2561" s="126"/>
      <c r="AH2561" s="126"/>
      <c r="AI2561" s="126"/>
      <c r="AK2561" s="126"/>
      <c r="AL2561" s="126"/>
      <c r="AM2561" s="126"/>
      <c r="AN2561" s="126"/>
      <c r="BG2561" s="23"/>
      <c r="BN2561" s="126"/>
      <c r="BT2561" s="23"/>
      <c r="CD2561" s="23"/>
      <c r="DF2561" s="16" t="e">
        <f>VLOOKUP(K2561,'[3]RNA Seq summary tables'!$V$3:$V$99,1,FALSE)</f>
        <v>#N/A</v>
      </c>
      <c r="DG2561" s="126"/>
    </row>
    <row r="2562" spans="2:111" ht="16" x14ac:dyDescent="0.2">
      <c r="B2562" s="16">
        <v>2018</v>
      </c>
      <c r="C2562" s="124">
        <v>43302</v>
      </c>
      <c r="D2562" t="s">
        <v>661</v>
      </c>
      <c r="E2562" s="20" t="str">
        <f>CONCATENATE(T2562,"-",U2562,"-",C2562)</f>
        <v>SP2-G2-43302</v>
      </c>
      <c r="F2562" s="16" t="s">
        <v>227</v>
      </c>
      <c r="G2562" s="126" t="s">
        <v>1067</v>
      </c>
      <c r="H2562" s="126"/>
      <c r="J2562" s="126">
        <v>1459</v>
      </c>
      <c r="K2562" s="126"/>
      <c r="O2562" s="126"/>
      <c r="T2562" s="126" t="s">
        <v>137</v>
      </c>
      <c r="U2562" s="126" t="s">
        <v>128</v>
      </c>
      <c r="V2562" s="126"/>
      <c r="X2562" s="126"/>
      <c r="Y2562" s="126"/>
      <c r="Z2562" s="126"/>
      <c r="AA2562" s="126"/>
      <c r="AB2562" s="126"/>
      <c r="AC2562" s="126"/>
      <c r="AD2562" s="126"/>
      <c r="AE2562" s="126"/>
      <c r="AH2562" s="126"/>
      <c r="AI2562" s="126"/>
      <c r="AK2562" s="126"/>
      <c r="AL2562" s="126"/>
      <c r="AM2562" s="126"/>
      <c r="AN2562" s="126"/>
      <c r="BN2562" s="126"/>
      <c r="DF2562" s="16" t="e">
        <f>VLOOKUP(K2562,'[3]RNA Seq summary tables'!$V$3:$V$99,1,FALSE)</f>
        <v>#N/A</v>
      </c>
      <c r="DG2562" s="126"/>
    </row>
    <row r="2563" spans="2:111" ht="16" x14ac:dyDescent="0.2">
      <c r="B2563" s="16">
        <v>2018</v>
      </c>
      <c r="C2563" s="124">
        <v>43304</v>
      </c>
      <c r="D2563" t="s">
        <v>677</v>
      </c>
      <c r="E2563" s="20" t="str">
        <f>CONCATENATE(T2563,"-",U2563,"-",C2563)</f>
        <v>BC2-A7-43304</v>
      </c>
      <c r="F2563" s="16" t="s">
        <v>227</v>
      </c>
      <c r="G2563" s="126" t="s">
        <v>1067</v>
      </c>
      <c r="H2563" s="126"/>
      <c r="J2563" s="126">
        <v>1460</v>
      </c>
      <c r="K2563" s="126"/>
      <c r="O2563" s="126"/>
      <c r="T2563" s="126" t="s">
        <v>154</v>
      </c>
      <c r="U2563" s="126" t="s">
        <v>120</v>
      </c>
      <c r="V2563" s="126"/>
      <c r="X2563" s="126"/>
      <c r="Y2563" s="126"/>
      <c r="Z2563" s="126"/>
      <c r="AA2563" s="126"/>
      <c r="AB2563" s="126"/>
      <c r="AC2563" s="126"/>
      <c r="AD2563" s="126"/>
      <c r="AE2563" s="126"/>
      <c r="AH2563" s="126"/>
      <c r="AI2563" s="126"/>
      <c r="AK2563" s="126"/>
      <c r="AL2563" s="126"/>
      <c r="AM2563" s="126"/>
      <c r="AN2563" s="126"/>
      <c r="BG2563" s="23"/>
      <c r="BN2563" s="126"/>
      <c r="BT2563" s="23"/>
      <c r="CD2563" s="23"/>
      <c r="DF2563" s="16" t="e">
        <f>VLOOKUP(K2563,'[3]RNA Seq summary tables'!$V$3:$V$99,1,FALSE)</f>
        <v>#N/A</v>
      </c>
      <c r="DG2563" s="126"/>
    </row>
    <row r="2564" spans="2:111" ht="16" x14ac:dyDescent="0.2">
      <c r="B2564" s="16">
        <v>2018</v>
      </c>
      <c r="C2564" s="124">
        <v>43304</v>
      </c>
      <c r="D2564" t="s">
        <v>676</v>
      </c>
      <c r="E2564" s="20" t="str">
        <f>CONCATENATE(T2564,"-",U2564,"-",C2564)</f>
        <v>BC2-A5-43304</v>
      </c>
      <c r="F2564" s="16" t="s">
        <v>227</v>
      </c>
      <c r="G2564" s="126" t="s">
        <v>1067</v>
      </c>
      <c r="H2564" s="126"/>
      <c r="J2564" s="126">
        <v>1465</v>
      </c>
      <c r="K2564" s="126"/>
      <c r="O2564" s="126"/>
      <c r="T2564" s="126" t="s">
        <v>154</v>
      </c>
      <c r="U2564" s="126" t="s">
        <v>167</v>
      </c>
      <c r="V2564" s="126"/>
      <c r="X2564" s="126"/>
      <c r="Y2564" s="126"/>
      <c r="Z2564" s="126"/>
      <c r="AA2564" s="126"/>
      <c r="AB2564" s="126"/>
      <c r="AC2564" s="126"/>
      <c r="AD2564" s="126"/>
      <c r="AE2564" s="126"/>
      <c r="AH2564" s="126"/>
      <c r="AI2564" s="126"/>
      <c r="AK2564" s="126"/>
      <c r="AL2564" s="126"/>
      <c r="AM2564" s="126"/>
      <c r="AN2564" s="126"/>
      <c r="BG2564" s="23"/>
      <c r="BN2564" s="126"/>
      <c r="BT2564" s="23"/>
      <c r="CD2564" s="23"/>
      <c r="DF2564" s="16" t="e">
        <f>VLOOKUP(K2564,'[3]RNA Seq summary tables'!$V$3:$V$99,1,FALSE)</f>
        <v>#N/A</v>
      </c>
      <c r="DG2564" s="126"/>
    </row>
    <row r="2565" spans="2:111" ht="16" x14ac:dyDescent="0.2">
      <c r="B2565" s="16">
        <v>2018</v>
      </c>
      <c r="C2565" s="124">
        <v>43297</v>
      </c>
      <c r="D2565" t="s">
        <v>644</v>
      </c>
      <c r="E2565" s="20" t="str">
        <f>CONCATENATE(T2565,"-",U2565,"-",C2565)</f>
        <v>PO2-C7-43297</v>
      </c>
      <c r="F2565" s="16" t="s">
        <v>227</v>
      </c>
      <c r="G2565" s="126" t="s">
        <v>1067</v>
      </c>
      <c r="H2565" s="126"/>
      <c r="J2565" s="126">
        <v>1472</v>
      </c>
      <c r="K2565" s="126"/>
      <c r="O2565" s="126"/>
      <c r="T2565" s="126" t="s">
        <v>127</v>
      </c>
      <c r="U2565" s="126" t="s">
        <v>207</v>
      </c>
      <c r="V2565" s="126"/>
      <c r="X2565" s="126"/>
      <c r="Y2565" s="126"/>
      <c r="Z2565" s="126"/>
      <c r="AA2565" s="126"/>
      <c r="AB2565" s="126"/>
      <c r="AC2565" s="126"/>
      <c r="AD2565" s="126"/>
      <c r="AE2565" s="126"/>
      <c r="AH2565" s="126"/>
      <c r="AI2565" s="126"/>
      <c r="AK2565" s="126"/>
      <c r="AL2565" s="126"/>
      <c r="AM2565" s="126"/>
      <c r="AN2565" s="126"/>
      <c r="BG2565" s="23"/>
      <c r="BN2565" s="126"/>
      <c r="BT2565" s="23"/>
      <c r="CD2565" s="23"/>
      <c r="DF2565" s="16" t="e">
        <f>VLOOKUP(K2565,'[3]RNA Seq summary tables'!$V$3:$V$99,1,FALSE)</f>
        <v>#N/A</v>
      </c>
      <c r="DG2565" s="126"/>
    </row>
    <row r="2566" spans="2:111" ht="16" x14ac:dyDescent="0.2">
      <c r="B2566" s="16">
        <v>2018</v>
      </c>
      <c r="C2566" s="124">
        <v>43297</v>
      </c>
      <c r="D2566" t="s">
        <v>650</v>
      </c>
      <c r="E2566" s="20" t="str">
        <f>CONCATENATE(T2566,"-",U2566,"-",C2566)</f>
        <v>PO2-G7-43297</v>
      </c>
      <c r="F2566" s="16" t="s">
        <v>227</v>
      </c>
      <c r="G2566" s="126" t="s">
        <v>1067</v>
      </c>
      <c r="H2566" s="126"/>
      <c r="J2566" s="126">
        <v>1473</v>
      </c>
      <c r="K2566" s="126"/>
      <c r="O2566" s="126"/>
      <c r="T2566" s="126" t="s">
        <v>127</v>
      </c>
      <c r="U2566" s="126" t="s">
        <v>156</v>
      </c>
      <c r="V2566" s="126"/>
      <c r="X2566" s="126"/>
      <c r="Y2566" s="126"/>
      <c r="Z2566" s="126"/>
      <c r="AA2566" s="126"/>
      <c r="AB2566" s="126"/>
      <c r="AC2566" s="126"/>
      <c r="AD2566" s="126"/>
      <c r="AE2566" s="126"/>
      <c r="AH2566" s="126"/>
      <c r="AI2566" s="126"/>
      <c r="AK2566" s="126"/>
      <c r="AL2566" s="126"/>
      <c r="AM2566" s="126"/>
      <c r="AN2566" s="126"/>
      <c r="BN2566" s="126"/>
      <c r="DF2566" s="16" t="e">
        <f>VLOOKUP(K2566,'[3]RNA Seq summary tables'!$V$3:$V$99,1,FALSE)</f>
        <v>#N/A</v>
      </c>
      <c r="DG2566" s="126"/>
    </row>
    <row r="2567" spans="2:111" ht="16" x14ac:dyDescent="0.2">
      <c r="B2567" s="16">
        <v>2018</v>
      </c>
      <c r="C2567" s="124">
        <v>43297</v>
      </c>
      <c r="D2567" t="s">
        <v>647</v>
      </c>
      <c r="E2567" s="20" t="str">
        <f>CONCATENATE(T2567,"-",U2567,"-",C2567)</f>
        <v>PO2-F2-43297</v>
      </c>
      <c r="F2567" s="16" t="s">
        <v>227</v>
      </c>
      <c r="G2567" s="126" t="s">
        <v>1067</v>
      </c>
      <c r="H2567" s="126"/>
      <c r="J2567" s="126">
        <v>1474</v>
      </c>
      <c r="K2567" s="126"/>
      <c r="O2567" s="126"/>
      <c r="T2567" s="126" t="s">
        <v>127</v>
      </c>
      <c r="U2567" s="126" t="s">
        <v>187</v>
      </c>
      <c r="V2567" s="126"/>
      <c r="X2567" s="126"/>
      <c r="Y2567" s="126"/>
      <c r="Z2567" s="126"/>
      <c r="AA2567" s="126"/>
      <c r="AB2567" s="126"/>
      <c r="AC2567" s="126"/>
      <c r="AD2567" s="126"/>
      <c r="AE2567" s="126"/>
      <c r="AH2567" s="126"/>
      <c r="AI2567" s="126"/>
      <c r="AK2567" s="126"/>
      <c r="AL2567" s="126"/>
      <c r="AM2567" s="126"/>
      <c r="AN2567" s="126"/>
      <c r="BN2567" s="126"/>
      <c r="DF2567" s="16" t="e">
        <f>VLOOKUP(K2567,'[3]RNA Seq summary tables'!$V$3:$V$99,1,FALSE)</f>
        <v>#N/A</v>
      </c>
      <c r="DG2567" s="126"/>
    </row>
    <row r="2568" spans="2:111" ht="16" x14ac:dyDescent="0.2">
      <c r="B2568" s="16">
        <v>2018</v>
      </c>
      <c r="C2568" s="124">
        <v>43295</v>
      </c>
      <c r="D2568" t="s">
        <v>641</v>
      </c>
      <c r="E2568" s="20" t="str">
        <f>CONCATENATE(T2568,"-",U2568,"-",C2568)</f>
        <v>PO2-H8-43295</v>
      </c>
      <c r="F2568" s="16" t="s">
        <v>227</v>
      </c>
      <c r="G2568" s="126" t="s">
        <v>1067</v>
      </c>
      <c r="H2568" s="126"/>
      <c r="J2568" s="126">
        <v>1478</v>
      </c>
      <c r="K2568" s="126"/>
      <c r="O2568" s="126"/>
      <c r="T2568" s="126" t="s">
        <v>127</v>
      </c>
      <c r="U2568" s="126" t="s">
        <v>152</v>
      </c>
      <c r="V2568" s="126"/>
      <c r="X2568" s="126"/>
      <c r="Y2568" s="126"/>
      <c r="Z2568" s="126"/>
      <c r="AA2568" s="126"/>
      <c r="AB2568" s="126"/>
      <c r="AC2568" s="126"/>
      <c r="AD2568" s="126"/>
      <c r="AE2568" s="126"/>
      <c r="AH2568" s="126"/>
      <c r="AI2568" s="126"/>
      <c r="AK2568" s="126"/>
      <c r="AL2568" s="126"/>
      <c r="AM2568" s="126"/>
      <c r="AN2568" s="126"/>
      <c r="BN2568" s="126"/>
      <c r="DF2568" s="16" t="e">
        <f>VLOOKUP(K2568,'[3]RNA Seq summary tables'!$V$3:$V$99,1,FALSE)</f>
        <v>#N/A</v>
      </c>
      <c r="DG2568" s="126"/>
    </row>
    <row r="2569" spans="2:111" ht="16" x14ac:dyDescent="0.2">
      <c r="B2569" s="16">
        <v>2018</v>
      </c>
      <c r="C2569" s="124">
        <v>43297</v>
      </c>
      <c r="D2569" t="s">
        <v>648</v>
      </c>
      <c r="E2569" s="20" t="str">
        <f>CONCATENATE(T2569,"-",U2569,"-",C2569)</f>
        <v>PO2-G2-43297</v>
      </c>
      <c r="F2569" s="16" t="s">
        <v>227</v>
      </c>
      <c r="G2569" s="126" t="s">
        <v>1067</v>
      </c>
      <c r="H2569" s="126"/>
      <c r="J2569" s="126">
        <v>1483</v>
      </c>
      <c r="K2569" s="126"/>
      <c r="O2569" s="126"/>
      <c r="T2569" s="126" t="s">
        <v>127</v>
      </c>
      <c r="U2569" s="126" t="s">
        <v>128</v>
      </c>
      <c r="V2569" s="126"/>
      <c r="X2569" s="126"/>
      <c r="Y2569" s="126"/>
      <c r="Z2569" s="126"/>
      <c r="AA2569" s="126"/>
      <c r="AB2569" s="126"/>
      <c r="AC2569" s="126"/>
      <c r="AD2569" s="126"/>
      <c r="AE2569" s="126"/>
      <c r="AH2569" s="126"/>
      <c r="AI2569" s="126"/>
      <c r="AK2569" s="126"/>
      <c r="AL2569" s="126"/>
      <c r="AM2569" s="126"/>
      <c r="AN2569" s="126"/>
      <c r="BN2569" s="126"/>
      <c r="DF2569" s="16" t="e">
        <f>VLOOKUP(K2569,'[3]RNA Seq summary tables'!$V$3:$V$99,1,FALSE)</f>
        <v>#N/A</v>
      </c>
      <c r="DG2569" s="126"/>
    </row>
    <row r="2570" spans="2:111" ht="16" x14ac:dyDescent="0.2">
      <c r="B2570" s="16">
        <v>2018</v>
      </c>
      <c r="C2570" s="124">
        <v>43297</v>
      </c>
      <c r="D2570" t="s">
        <v>643</v>
      </c>
      <c r="E2570" s="20" t="str">
        <f>CONCATENATE(T2570,"-",U2570,"-",C2570)</f>
        <v>PO2-A3-43297</v>
      </c>
      <c r="F2570" s="16" t="s">
        <v>227</v>
      </c>
      <c r="G2570" s="126" t="s">
        <v>1067</v>
      </c>
      <c r="H2570" s="126"/>
      <c r="J2570" s="126">
        <v>1484</v>
      </c>
      <c r="K2570" s="126"/>
      <c r="O2570" s="126"/>
      <c r="T2570" s="126" t="s">
        <v>127</v>
      </c>
      <c r="U2570" s="126" t="s">
        <v>201</v>
      </c>
      <c r="V2570" s="126"/>
      <c r="X2570" s="126"/>
      <c r="Y2570" s="126"/>
      <c r="Z2570" s="126"/>
      <c r="AA2570" s="126"/>
      <c r="AB2570" s="126"/>
      <c r="AC2570" s="126"/>
      <c r="AD2570" s="126"/>
      <c r="AE2570" s="126"/>
      <c r="AH2570" s="126"/>
      <c r="AI2570" s="126"/>
      <c r="AK2570" s="126"/>
      <c r="AL2570" s="126"/>
      <c r="AM2570" s="126"/>
      <c r="AN2570" s="126"/>
      <c r="BG2570" s="23"/>
      <c r="BN2570" s="126"/>
      <c r="BT2570" s="23"/>
      <c r="CD2570" s="23"/>
      <c r="DF2570" s="16" t="e">
        <f>VLOOKUP(K2570,'[3]RNA Seq summary tables'!$V$3:$V$99,1,FALSE)</f>
        <v>#N/A</v>
      </c>
      <c r="DG2570" s="126"/>
    </row>
    <row r="2571" spans="2:111" ht="16" x14ac:dyDescent="0.2">
      <c r="B2571" s="16">
        <v>2018</v>
      </c>
      <c r="C2571" s="124">
        <v>43297</v>
      </c>
      <c r="D2571" t="s">
        <v>649</v>
      </c>
      <c r="E2571" s="20" t="str">
        <f>CONCATENATE(T2571,"-",U2571,"-",C2571)</f>
        <v>PO2-G5-43297</v>
      </c>
      <c r="F2571" s="16" t="s">
        <v>227</v>
      </c>
      <c r="G2571" s="126" t="s">
        <v>1067</v>
      </c>
      <c r="H2571" s="126"/>
      <c r="J2571" s="126">
        <v>1486</v>
      </c>
      <c r="K2571" s="126"/>
      <c r="O2571" s="126"/>
      <c r="T2571" s="126" t="s">
        <v>127</v>
      </c>
      <c r="U2571" s="126" t="s">
        <v>200</v>
      </c>
      <c r="V2571" s="126"/>
      <c r="X2571" s="126"/>
      <c r="Y2571" s="126"/>
      <c r="Z2571" s="126"/>
      <c r="AA2571" s="126"/>
      <c r="AB2571" s="126"/>
      <c r="AC2571" s="126"/>
      <c r="AD2571" s="126"/>
      <c r="AE2571" s="126"/>
      <c r="AH2571" s="126"/>
      <c r="AI2571" s="126"/>
      <c r="AK2571" s="126"/>
      <c r="AL2571" s="126"/>
      <c r="AM2571" s="126"/>
      <c r="AN2571" s="126"/>
      <c r="BN2571" s="126"/>
      <c r="DF2571" s="16" t="e">
        <f>VLOOKUP(K2571,'[3]RNA Seq summary tables'!$V$3:$V$99,1,FALSE)</f>
        <v>#N/A</v>
      </c>
      <c r="DG2571" s="126"/>
    </row>
    <row r="2572" spans="2:111" ht="16" x14ac:dyDescent="0.2">
      <c r="B2572" s="16">
        <v>2018</v>
      </c>
      <c r="C2572" s="124">
        <v>43302</v>
      </c>
      <c r="D2572" t="s">
        <v>657</v>
      </c>
      <c r="E2572" s="20" t="str">
        <f>CONCATENATE(T2572,"-",U2572,"-",C2572)</f>
        <v>SP2-A7-43302</v>
      </c>
      <c r="F2572" s="16" t="s">
        <v>227</v>
      </c>
      <c r="G2572" s="126" t="s">
        <v>1067</v>
      </c>
      <c r="H2572" s="126"/>
      <c r="J2572" s="126">
        <v>1491</v>
      </c>
      <c r="K2572" s="126"/>
      <c r="O2572" s="126"/>
      <c r="T2572" s="126" t="s">
        <v>137</v>
      </c>
      <c r="U2572" s="126" t="s">
        <v>120</v>
      </c>
      <c r="V2572" s="126"/>
      <c r="X2572" s="126"/>
      <c r="Y2572" s="126"/>
      <c r="Z2572" s="126"/>
      <c r="AA2572" s="126"/>
      <c r="AB2572" s="126"/>
      <c r="AC2572" s="126"/>
      <c r="AD2572" s="126"/>
      <c r="AE2572" s="126"/>
      <c r="AH2572" s="126"/>
      <c r="AI2572" s="126"/>
      <c r="AK2572" s="126"/>
      <c r="AL2572" s="126"/>
      <c r="AM2572" s="126"/>
      <c r="AN2572" s="126"/>
      <c r="BN2572" s="126"/>
      <c r="DF2572" s="16" t="e">
        <f>VLOOKUP(K2572,'[3]RNA Seq summary tables'!$V$3:$V$99,1,FALSE)</f>
        <v>#N/A</v>
      </c>
      <c r="DG2572" s="126"/>
    </row>
    <row r="2573" spans="2:111" ht="16" x14ac:dyDescent="0.2">
      <c r="B2573" s="16">
        <v>2018</v>
      </c>
      <c r="C2573" s="124">
        <v>43302</v>
      </c>
      <c r="D2573" t="s">
        <v>660</v>
      </c>
      <c r="E2573" s="20" t="str">
        <f>CONCATENATE(T2573,"-",U2573,"-",C2573)</f>
        <v>SP2-E7-43302</v>
      </c>
      <c r="F2573" s="16" t="s">
        <v>227</v>
      </c>
      <c r="G2573" s="126" t="s">
        <v>1067</v>
      </c>
      <c r="H2573" s="126"/>
      <c r="J2573" s="126">
        <v>1493</v>
      </c>
      <c r="K2573" s="126"/>
      <c r="O2573" s="126"/>
      <c r="T2573" s="126" t="s">
        <v>137</v>
      </c>
      <c r="U2573" s="126" t="s">
        <v>135</v>
      </c>
      <c r="V2573" s="126"/>
      <c r="X2573" s="126"/>
      <c r="Y2573" s="126"/>
      <c r="Z2573" s="126"/>
      <c r="AA2573" s="126"/>
      <c r="AB2573" s="126"/>
      <c r="AC2573" s="126"/>
      <c r="AD2573" s="126"/>
      <c r="AE2573" s="126"/>
      <c r="AH2573" s="126"/>
      <c r="AI2573" s="126"/>
      <c r="AK2573" s="126"/>
      <c r="AL2573" s="126"/>
      <c r="AM2573" s="126"/>
      <c r="AN2573" s="126"/>
      <c r="BN2573" s="126"/>
      <c r="DF2573" s="16" t="e">
        <f>VLOOKUP(K2573,'[3]RNA Seq summary tables'!$V$3:$V$99,1,FALSE)</f>
        <v>#N/A</v>
      </c>
      <c r="DG2573" s="126"/>
    </row>
    <row r="2574" spans="2:111" ht="16" x14ac:dyDescent="0.2">
      <c r="B2574" s="16">
        <v>2018</v>
      </c>
      <c r="C2574" s="124">
        <v>43302</v>
      </c>
      <c r="D2574" t="s">
        <v>662</v>
      </c>
      <c r="E2574" s="20" t="str">
        <f>CONCATENATE(T2574,"-",U2574,"-",C2574)</f>
        <v>SP2-H8-43302</v>
      </c>
      <c r="F2574" s="16" t="s">
        <v>227</v>
      </c>
      <c r="G2574" s="126" t="s">
        <v>1067</v>
      </c>
      <c r="H2574" s="126"/>
      <c r="J2574" s="126">
        <v>1494</v>
      </c>
      <c r="K2574" s="126"/>
      <c r="O2574" s="126"/>
      <c r="T2574" s="126" t="s">
        <v>137</v>
      </c>
      <c r="U2574" s="126" t="s">
        <v>152</v>
      </c>
      <c r="V2574" s="126"/>
      <c r="X2574" s="126"/>
      <c r="Y2574" s="126"/>
      <c r="Z2574" s="126"/>
      <c r="AA2574" s="126"/>
      <c r="AB2574" s="126"/>
      <c r="AC2574" s="126"/>
      <c r="AD2574" s="126"/>
      <c r="AE2574" s="126"/>
      <c r="AH2574" s="126"/>
      <c r="AI2574" s="126"/>
      <c r="AK2574" s="126"/>
      <c r="AL2574" s="126"/>
      <c r="AM2574" s="126"/>
      <c r="AN2574" s="126"/>
      <c r="BN2574" s="126"/>
      <c r="DF2574" s="16" t="e">
        <f>VLOOKUP(K2574,'[3]RNA Seq summary tables'!$V$3:$V$99,1,FALSE)</f>
        <v>#N/A</v>
      </c>
      <c r="DG2574" s="126"/>
    </row>
    <row r="2575" spans="2:111" ht="16" x14ac:dyDescent="0.2">
      <c r="B2575" s="16">
        <v>2018</v>
      </c>
      <c r="C2575" s="124">
        <v>43302</v>
      </c>
      <c r="D2575" t="s">
        <v>671</v>
      </c>
      <c r="E2575" s="20" t="str">
        <f>CONCATENATE(T2575,"-",U2575,"-",C2575)</f>
        <v>SP1-H2-43302</v>
      </c>
      <c r="F2575" s="16" t="s">
        <v>227</v>
      </c>
      <c r="G2575" s="126" t="s">
        <v>1067</v>
      </c>
      <c r="H2575" s="126"/>
      <c r="J2575" s="126">
        <v>1499</v>
      </c>
      <c r="K2575" s="126"/>
      <c r="O2575" s="126"/>
      <c r="T2575" s="126" t="s">
        <v>140</v>
      </c>
      <c r="U2575" s="126" t="s">
        <v>190</v>
      </c>
      <c r="V2575" s="126"/>
      <c r="X2575" s="126"/>
      <c r="Y2575" s="126"/>
      <c r="Z2575" s="126"/>
      <c r="AA2575" s="126"/>
      <c r="AB2575" s="126"/>
      <c r="AC2575" s="126"/>
      <c r="AD2575" s="126"/>
      <c r="AE2575" s="126"/>
      <c r="AH2575" s="126"/>
      <c r="AI2575" s="126"/>
      <c r="AK2575" s="126"/>
      <c r="AL2575" s="126"/>
      <c r="AM2575" s="126"/>
      <c r="AN2575" s="126"/>
      <c r="BN2575" s="126"/>
      <c r="DF2575" s="16" t="e">
        <f>VLOOKUP(K2575,'[3]RNA Seq summary tables'!$V$3:$V$99,1,FALSE)</f>
        <v>#N/A</v>
      </c>
      <c r="DG2575" s="126"/>
    </row>
    <row r="2576" spans="2:111" ht="16" x14ac:dyDescent="0.2">
      <c r="B2576" s="16">
        <v>2018</v>
      </c>
      <c r="C2576" s="124">
        <v>43302</v>
      </c>
      <c r="D2576" t="s">
        <v>659</v>
      </c>
      <c r="E2576" s="20" t="str">
        <f>CONCATENATE(T2576,"-",U2576,"-",C2576)</f>
        <v>SP2-E1-43302</v>
      </c>
      <c r="F2576" s="16" t="s">
        <v>227</v>
      </c>
      <c r="G2576" s="126" t="s">
        <v>1067</v>
      </c>
      <c r="H2576" s="126"/>
      <c r="J2576" s="126">
        <v>1500</v>
      </c>
      <c r="K2576" s="126"/>
      <c r="O2576" s="126"/>
      <c r="T2576" s="126" t="s">
        <v>137</v>
      </c>
      <c r="U2576" s="126" t="s">
        <v>222</v>
      </c>
      <c r="V2576" s="126"/>
      <c r="X2576" s="126"/>
      <c r="Y2576" s="126"/>
      <c r="Z2576" s="126"/>
      <c r="AA2576" s="126"/>
      <c r="AB2576" s="126"/>
      <c r="AC2576" s="126"/>
      <c r="AD2576" s="126"/>
      <c r="AE2576" s="126"/>
      <c r="AH2576" s="126"/>
      <c r="AI2576" s="126"/>
      <c r="AK2576" s="126"/>
      <c r="AL2576" s="126"/>
      <c r="AM2576" s="126"/>
      <c r="AN2576" s="126"/>
      <c r="BN2576" s="126"/>
      <c r="DF2576" s="16" t="e">
        <f>VLOOKUP(K2576,'[3]RNA Seq summary tables'!$V$3:$V$99,1,FALSE)</f>
        <v>#N/A</v>
      </c>
      <c r="DG2576" s="126"/>
    </row>
    <row r="2577" spans="2:111" ht="16" x14ac:dyDescent="0.2">
      <c r="B2577" s="16">
        <v>2018</v>
      </c>
      <c r="C2577" s="124">
        <v>43302</v>
      </c>
      <c r="D2577" t="s">
        <v>663</v>
      </c>
      <c r="E2577" s="20" t="str">
        <f>CONCATENATE(T2577,"-",U2577,"-",C2577)</f>
        <v>SP1-A2-43302</v>
      </c>
      <c r="F2577" s="16" t="s">
        <v>227</v>
      </c>
      <c r="G2577" s="126" t="s">
        <v>1067</v>
      </c>
      <c r="H2577" s="126"/>
      <c r="J2577" s="126">
        <v>1501</v>
      </c>
      <c r="K2577" s="126"/>
      <c r="O2577" s="126"/>
      <c r="T2577" s="126" t="s">
        <v>140</v>
      </c>
      <c r="U2577" s="126" t="s">
        <v>171</v>
      </c>
      <c r="V2577" s="126"/>
      <c r="X2577" s="126"/>
      <c r="Y2577" s="126"/>
      <c r="Z2577" s="126"/>
      <c r="AA2577" s="126"/>
      <c r="AB2577" s="126"/>
      <c r="AC2577" s="126"/>
      <c r="AD2577" s="126"/>
      <c r="AE2577" s="126"/>
      <c r="AH2577" s="126"/>
      <c r="AI2577" s="126"/>
      <c r="AK2577" s="126"/>
      <c r="AL2577" s="126"/>
      <c r="AM2577" s="126"/>
      <c r="AN2577" s="126"/>
      <c r="BN2577" s="126"/>
      <c r="DF2577" s="16" t="e">
        <f>VLOOKUP(K2577,'[3]RNA Seq summary tables'!$V$3:$V$99,1,FALSE)</f>
        <v>#N/A</v>
      </c>
      <c r="DG2577" s="126"/>
    </row>
    <row r="2578" spans="2:111" ht="16" x14ac:dyDescent="0.2">
      <c r="B2578" s="16">
        <v>2018</v>
      </c>
      <c r="C2578" s="124">
        <v>43302</v>
      </c>
      <c r="D2578" t="s">
        <v>667</v>
      </c>
      <c r="E2578" s="20" t="str">
        <f>CONCATENATE(T2578,"-",U2578,"-",C2578)</f>
        <v>SP1-D1-43302</v>
      </c>
      <c r="F2578" s="16" t="s">
        <v>227</v>
      </c>
      <c r="G2578" s="126" t="s">
        <v>1067</v>
      </c>
      <c r="H2578" s="126"/>
      <c r="J2578" s="126">
        <v>1502</v>
      </c>
      <c r="K2578" s="126"/>
      <c r="O2578" s="126"/>
      <c r="T2578" s="126" t="s">
        <v>140</v>
      </c>
      <c r="U2578" s="126" t="s">
        <v>157</v>
      </c>
      <c r="V2578" s="125" t="s">
        <v>142</v>
      </c>
      <c r="X2578" s="126"/>
      <c r="Y2578" s="126"/>
      <c r="Z2578" s="126"/>
      <c r="AA2578" s="126"/>
      <c r="AB2578" s="126"/>
      <c r="AC2578" s="126"/>
      <c r="AD2578" s="126"/>
      <c r="AE2578" s="126"/>
      <c r="AG2578" s="16">
        <f>AH2578-AI2578</f>
        <v>83</v>
      </c>
      <c r="AH2578" s="126">
        <v>174</v>
      </c>
      <c r="AI2578" s="126">
        <v>91</v>
      </c>
      <c r="AK2578" s="126"/>
      <c r="AL2578" s="126"/>
      <c r="AM2578" s="126"/>
      <c r="AN2578" s="126"/>
      <c r="BN2578" s="126"/>
      <c r="DF2578" s="16" t="e">
        <f>VLOOKUP(K2578,'[3]RNA Seq summary tables'!$V$3:$V$99,1,FALSE)</f>
        <v>#N/A</v>
      </c>
      <c r="DG2578" s="126"/>
    </row>
    <row r="2579" spans="2:111" ht="16" x14ac:dyDescent="0.2">
      <c r="B2579" s="16">
        <v>2018</v>
      </c>
      <c r="C2579" s="124">
        <v>43295</v>
      </c>
      <c r="D2579" t="s">
        <v>632</v>
      </c>
      <c r="E2579" s="20" t="str">
        <f>CONCATENATE(T2579,"-",U2579,"-",C2579)</f>
        <v>HW2-D4-43295</v>
      </c>
      <c r="F2579" s="16" t="s">
        <v>227</v>
      </c>
      <c r="G2579" s="126" t="s">
        <v>1067</v>
      </c>
      <c r="H2579" s="126"/>
      <c r="J2579" s="126">
        <v>1524</v>
      </c>
      <c r="K2579" s="126"/>
      <c r="O2579" s="126"/>
      <c r="T2579" s="126" t="s">
        <v>129</v>
      </c>
      <c r="U2579" s="126" t="s">
        <v>221</v>
      </c>
      <c r="V2579" s="126"/>
      <c r="X2579" s="126"/>
      <c r="Y2579" s="126"/>
      <c r="Z2579" s="126"/>
      <c r="AA2579" s="126"/>
      <c r="AB2579" s="126"/>
      <c r="AC2579" s="126"/>
      <c r="AD2579" s="126"/>
      <c r="AE2579" s="126"/>
      <c r="AH2579" s="126"/>
      <c r="AI2579" s="126"/>
      <c r="AK2579" s="126"/>
      <c r="AL2579" s="126"/>
      <c r="AM2579" s="126"/>
      <c r="AN2579" s="126"/>
      <c r="BG2579" s="23"/>
      <c r="BN2579" s="126"/>
      <c r="BT2579" s="23"/>
      <c r="CD2579" s="23"/>
      <c r="DF2579" s="16" t="e">
        <f>VLOOKUP(K2579,'[3]RNA Seq summary tables'!$V$3:$V$99,1,FALSE)</f>
        <v>#N/A</v>
      </c>
      <c r="DG2579" s="126"/>
    </row>
    <row r="2580" spans="2:111" ht="16" x14ac:dyDescent="0.2">
      <c r="B2580" s="16">
        <v>2018</v>
      </c>
      <c r="C2580" s="124">
        <v>43297</v>
      </c>
      <c r="D2580" t="s">
        <v>653</v>
      </c>
      <c r="E2580" s="20" t="str">
        <f>CONCATENATE(T2580,"-",U2580,"-",C2580)</f>
        <v>PO1-H1-43297</v>
      </c>
      <c r="F2580" s="16" t="s">
        <v>227</v>
      </c>
      <c r="G2580" s="126" t="s">
        <v>1067</v>
      </c>
      <c r="H2580" s="126"/>
      <c r="J2580" s="126">
        <v>1525</v>
      </c>
      <c r="K2580" s="126"/>
      <c r="O2580" s="126"/>
      <c r="T2580" s="126" t="s">
        <v>112</v>
      </c>
      <c r="U2580" s="126" t="s">
        <v>191</v>
      </c>
      <c r="V2580" s="126"/>
      <c r="X2580" s="126"/>
      <c r="Y2580" s="126"/>
      <c r="Z2580" s="126"/>
      <c r="AA2580" s="126"/>
      <c r="AB2580" s="126"/>
      <c r="AC2580" s="126"/>
      <c r="AD2580" s="126"/>
      <c r="AE2580" s="126"/>
      <c r="AH2580" s="126"/>
      <c r="AI2580" s="126"/>
      <c r="AK2580" s="126"/>
      <c r="AL2580" s="126"/>
      <c r="AM2580" s="126"/>
      <c r="AN2580" s="126"/>
      <c r="BG2580" s="23"/>
      <c r="BN2580" s="126"/>
      <c r="BT2580" s="23"/>
      <c r="CD2580" s="23"/>
      <c r="DF2580" s="16" t="e">
        <f>VLOOKUP(K2580,'[3]RNA Seq summary tables'!$V$3:$V$99,1,FALSE)</f>
        <v>#N/A</v>
      </c>
      <c r="DG2580" s="126"/>
    </row>
    <row r="2581" spans="2:111" ht="16" x14ac:dyDescent="0.2">
      <c r="B2581" s="16">
        <v>2018</v>
      </c>
      <c r="C2581" s="124">
        <v>43297</v>
      </c>
      <c r="D2581" t="s">
        <v>646</v>
      </c>
      <c r="E2581" s="20" t="str">
        <f>CONCATENATE(T2581,"-",U2581,"-",C2581)</f>
        <v>PO2-D7-43297</v>
      </c>
      <c r="F2581" s="16" t="s">
        <v>227</v>
      </c>
      <c r="G2581" s="126" t="s">
        <v>1067</v>
      </c>
      <c r="H2581" s="126"/>
      <c r="J2581" s="126">
        <v>1529</v>
      </c>
      <c r="K2581" s="126"/>
      <c r="O2581" s="126"/>
      <c r="T2581" s="126" t="s">
        <v>127</v>
      </c>
      <c r="U2581" s="126" t="s">
        <v>177</v>
      </c>
      <c r="V2581" s="126"/>
      <c r="X2581" s="126"/>
      <c r="Y2581" s="126"/>
      <c r="Z2581" s="126"/>
      <c r="AA2581" s="126"/>
      <c r="AB2581" s="126"/>
      <c r="AC2581" s="126"/>
      <c r="AD2581" s="126"/>
      <c r="AE2581" s="126"/>
      <c r="AH2581" s="126"/>
      <c r="AI2581" s="126"/>
      <c r="AK2581" s="126"/>
      <c r="AL2581" s="126"/>
      <c r="AM2581" s="126"/>
      <c r="AN2581" s="126"/>
      <c r="BN2581" s="126"/>
      <c r="DF2581" s="16" t="e">
        <f>VLOOKUP(K2581,'[3]RNA Seq summary tables'!$V$3:$V$99,1,FALSE)</f>
        <v>#N/A</v>
      </c>
      <c r="DG2581" s="126"/>
    </row>
    <row r="2582" spans="2:111" ht="16" x14ac:dyDescent="0.2">
      <c r="B2582" s="16">
        <v>2018</v>
      </c>
      <c r="C2582" s="124">
        <v>43302</v>
      </c>
      <c r="D2582" t="s">
        <v>656</v>
      </c>
      <c r="E2582" s="20" t="str">
        <f>CONCATENATE(T2582,"-",U2582,"-",C2582)</f>
        <v>SP2-A4-43302</v>
      </c>
      <c r="F2582" s="16" t="s">
        <v>227</v>
      </c>
      <c r="G2582" s="126" t="s">
        <v>1067</v>
      </c>
      <c r="H2582" s="126"/>
      <c r="J2582" s="126">
        <v>1530</v>
      </c>
      <c r="K2582" s="126"/>
      <c r="O2582" s="126"/>
      <c r="T2582" s="126" t="s">
        <v>137</v>
      </c>
      <c r="U2582" s="126" t="s">
        <v>134</v>
      </c>
      <c r="V2582" s="126"/>
      <c r="X2582" s="126"/>
      <c r="Y2582" s="126"/>
      <c r="Z2582" s="126"/>
      <c r="AA2582" s="126"/>
      <c r="AB2582" s="126"/>
      <c r="AC2582" s="126"/>
      <c r="AD2582" s="126"/>
      <c r="AE2582" s="126"/>
      <c r="AH2582" s="126"/>
      <c r="AI2582" s="126"/>
      <c r="AK2582" s="126"/>
      <c r="AL2582" s="126"/>
      <c r="AM2582" s="126"/>
      <c r="AN2582" s="126"/>
      <c r="BN2582" s="126"/>
      <c r="DF2582" s="16" t="e">
        <f>VLOOKUP(K2582,'[3]RNA Seq summary tables'!$V$3:$V$99,1,FALSE)</f>
        <v>#N/A</v>
      </c>
      <c r="DG2582" s="126"/>
    </row>
    <row r="2583" spans="2:111" ht="16" x14ac:dyDescent="0.2">
      <c r="B2583" s="16">
        <v>2018</v>
      </c>
      <c r="C2583" s="124">
        <v>43302</v>
      </c>
      <c r="D2583" t="s">
        <v>658</v>
      </c>
      <c r="E2583" s="20" t="str">
        <f>CONCATENATE(T2583,"-",U2583,"-",C2583)</f>
        <v>SP2-B5-43302</v>
      </c>
      <c r="F2583" s="16" t="s">
        <v>227</v>
      </c>
      <c r="G2583" s="126" t="s">
        <v>1067</v>
      </c>
      <c r="H2583" s="126"/>
      <c r="J2583" s="126">
        <v>1532</v>
      </c>
      <c r="K2583" s="126"/>
      <c r="O2583" s="126"/>
      <c r="T2583" s="126" t="s">
        <v>137</v>
      </c>
      <c r="U2583" s="126" t="s">
        <v>160</v>
      </c>
      <c r="V2583" s="126"/>
      <c r="X2583" s="126"/>
      <c r="Y2583" s="126"/>
      <c r="Z2583" s="126"/>
      <c r="AA2583" s="126"/>
      <c r="AB2583" s="126"/>
      <c r="AC2583" s="126"/>
      <c r="AD2583" s="126"/>
      <c r="AE2583" s="126"/>
      <c r="AH2583" s="126"/>
      <c r="AI2583" s="126"/>
      <c r="AK2583" s="126"/>
      <c r="AL2583" s="126"/>
      <c r="AM2583" s="126"/>
      <c r="AN2583" s="126"/>
      <c r="BN2583" s="126"/>
      <c r="DF2583" s="16" t="e">
        <f>VLOOKUP(K2583,'[3]RNA Seq summary tables'!$V$3:$V$99,1,FALSE)</f>
        <v>#N/A</v>
      </c>
      <c r="DG2583" s="126"/>
    </row>
    <row r="2584" spans="2:111" ht="16" x14ac:dyDescent="0.2">
      <c r="B2584" s="16">
        <v>2018</v>
      </c>
      <c r="C2584" s="124">
        <v>43302</v>
      </c>
      <c r="D2584" t="s">
        <v>666</v>
      </c>
      <c r="E2584" s="20" t="str">
        <f>CONCATENATE(T2584,"-",U2584,"-",C2584)</f>
        <v>SP1-B7-43302</v>
      </c>
      <c r="F2584" s="16" t="s">
        <v>227</v>
      </c>
      <c r="G2584" s="126" t="s">
        <v>1067</v>
      </c>
      <c r="H2584" s="126"/>
      <c r="J2584" s="126">
        <v>1536</v>
      </c>
      <c r="K2584" s="126"/>
      <c r="O2584" s="126"/>
      <c r="T2584" s="126" t="s">
        <v>140</v>
      </c>
      <c r="U2584" s="126" t="s">
        <v>168</v>
      </c>
      <c r="V2584" s="125" t="s">
        <v>142</v>
      </c>
      <c r="X2584" s="126"/>
      <c r="Y2584" s="126"/>
      <c r="Z2584" s="126"/>
      <c r="AA2584" s="126"/>
      <c r="AB2584" s="126"/>
      <c r="AC2584" s="126"/>
      <c r="AD2584" s="126"/>
      <c r="AE2584" s="126"/>
      <c r="AG2584" s="16">
        <f>AH2584-AI2584</f>
        <v>80</v>
      </c>
      <c r="AH2584" s="126">
        <v>166</v>
      </c>
      <c r="AI2584" s="126">
        <v>86</v>
      </c>
      <c r="AK2584" s="126"/>
      <c r="AL2584" s="126"/>
      <c r="AM2584" s="126"/>
      <c r="AN2584" s="126"/>
      <c r="BN2584" s="126"/>
      <c r="DF2584" s="16" t="e">
        <f>VLOOKUP(K2584,'[3]RNA Seq summary tables'!$V$3:$V$99,1,FALSE)</f>
        <v>#N/A</v>
      </c>
      <c r="DG2584" s="126"/>
    </row>
    <row r="2585" spans="2:111" ht="16" x14ac:dyDescent="0.2">
      <c r="B2585" s="16">
        <v>2018</v>
      </c>
      <c r="C2585" s="124">
        <v>43302</v>
      </c>
      <c r="D2585" t="s">
        <v>668</v>
      </c>
      <c r="E2585" s="20" t="str">
        <f>CONCATENATE(T2585,"-",U2585,"-",C2585)</f>
        <v>SP1-D7-43302</v>
      </c>
      <c r="F2585" s="16" t="s">
        <v>227</v>
      </c>
      <c r="G2585" s="126" t="s">
        <v>1067</v>
      </c>
      <c r="H2585" s="126"/>
      <c r="J2585" s="126">
        <v>1537</v>
      </c>
      <c r="K2585" s="126"/>
      <c r="O2585" s="126"/>
      <c r="T2585" s="126" t="s">
        <v>140</v>
      </c>
      <c r="U2585" s="126" t="s">
        <v>177</v>
      </c>
      <c r="V2585" s="125"/>
      <c r="X2585" s="126"/>
      <c r="Y2585" s="126"/>
      <c r="Z2585" s="126"/>
      <c r="AA2585" s="126"/>
      <c r="AB2585" s="126"/>
      <c r="AC2585" s="126"/>
      <c r="AD2585" s="126"/>
      <c r="AE2585" s="126"/>
      <c r="AH2585" s="126"/>
      <c r="AI2585" s="126"/>
      <c r="AK2585" s="126"/>
      <c r="AL2585" s="126"/>
      <c r="AM2585" s="126"/>
      <c r="AN2585" s="126"/>
      <c r="BN2585" s="126"/>
      <c r="DF2585" s="16" t="e">
        <f>VLOOKUP(K2585,'[3]RNA Seq summary tables'!$V$3:$V$99,1,FALSE)</f>
        <v>#N/A</v>
      </c>
      <c r="DG2585" s="126"/>
    </row>
    <row r="2586" spans="2:111" ht="16" x14ac:dyDescent="0.2">
      <c r="B2586" s="16">
        <v>2018</v>
      </c>
      <c r="C2586" s="124">
        <v>43302</v>
      </c>
      <c r="D2586" t="s">
        <v>672</v>
      </c>
      <c r="E2586" s="20" t="str">
        <f>CONCATENATE(T2586,"-",U2586,"-",C2586)</f>
        <v>SP1-A6-43302</v>
      </c>
      <c r="F2586" s="16" t="s">
        <v>227</v>
      </c>
      <c r="G2586" s="126" t="s">
        <v>1067</v>
      </c>
      <c r="H2586" s="126"/>
      <c r="J2586" s="126">
        <v>1538</v>
      </c>
      <c r="K2586" s="126"/>
      <c r="O2586" s="126"/>
      <c r="T2586" s="126" t="s">
        <v>140</v>
      </c>
      <c r="U2586" s="126" t="s">
        <v>147</v>
      </c>
      <c r="V2586" s="126"/>
      <c r="X2586" s="126"/>
      <c r="Y2586" s="126"/>
      <c r="Z2586" s="126"/>
      <c r="AA2586" s="126"/>
      <c r="AB2586" s="126"/>
      <c r="AC2586" s="126"/>
      <c r="AD2586" s="126"/>
      <c r="AE2586" s="126"/>
      <c r="AH2586" s="126"/>
      <c r="AI2586" s="126"/>
      <c r="AK2586" s="126"/>
      <c r="AL2586" s="126"/>
      <c r="AM2586" s="126"/>
      <c r="AN2586" s="126"/>
      <c r="BN2586" s="126"/>
      <c r="DF2586" s="16" t="e">
        <f>VLOOKUP(K2586,'[3]RNA Seq summary tables'!$V$3:$V$99,1,FALSE)</f>
        <v>#N/A</v>
      </c>
      <c r="DG2586" s="126"/>
    </row>
    <row r="2587" spans="2:111" ht="16" x14ac:dyDescent="0.2">
      <c r="B2587" s="16">
        <v>2018</v>
      </c>
      <c r="C2587" s="124">
        <v>43302</v>
      </c>
      <c r="D2587" t="s">
        <v>670</v>
      </c>
      <c r="E2587" s="20" t="str">
        <f>CONCATENATE(T2587,"-",U2587,"-",C2587)</f>
        <v>SP1-F5-43302</v>
      </c>
      <c r="F2587" s="16" t="s">
        <v>227</v>
      </c>
      <c r="G2587" s="126" t="s">
        <v>1067</v>
      </c>
      <c r="H2587" s="126"/>
      <c r="J2587" s="126">
        <v>1539</v>
      </c>
      <c r="K2587" s="126"/>
      <c r="O2587" s="126"/>
      <c r="T2587" s="126" t="s">
        <v>140</v>
      </c>
      <c r="U2587" s="126" t="s">
        <v>185</v>
      </c>
      <c r="V2587" s="126"/>
      <c r="X2587" s="126"/>
      <c r="Y2587" s="126"/>
      <c r="Z2587" s="126"/>
      <c r="AA2587" s="126"/>
      <c r="AB2587" s="126"/>
      <c r="AC2587" s="126"/>
      <c r="AD2587" s="126"/>
      <c r="AE2587" s="126"/>
      <c r="AH2587" s="126"/>
      <c r="AI2587" s="126"/>
      <c r="AK2587" s="126"/>
      <c r="AL2587" s="126"/>
      <c r="AM2587" s="126"/>
      <c r="AN2587" s="126"/>
      <c r="BN2587" s="126"/>
      <c r="DF2587" s="16" t="e">
        <f>VLOOKUP(K2587,'[3]RNA Seq summary tables'!$V$3:$V$99,1,FALSE)</f>
        <v>#N/A</v>
      </c>
      <c r="DG2587" s="126"/>
    </row>
    <row r="2588" spans="2:111" ht="16" x14ac:dyDescent="0.2">
      <c r="B2588" s="16">
        <v>2018</v>
      </c>
      <c r="C2588" s="124">
        <v>43302</v>
      </c>
      <c r="D2588" t="s">
        <v>665</v>
      </c>
      <c r="E2588" s="20" t="str">
        <f>CONCATENATE(T2588,"-",U2588,"-",C2588)</f>
        <v>SP1-A8-43302</v>
      </c>
      <c r="F2588" s="16" t="s">
        <v>227</v>
      </c>
      <c r="G2588" s="126" t="s">
        <v>1067</v>
      </c>
      <c r="H2588" s="126"/>
      <c r="J2588" s="126">
        <v>1541</v>
      </c>
      <c r="K2588" s="126"/>
      <c r="O2588" s="126"/>
      <c r="T2588" s="126" t="s">
        <v>140</v>
      </c>
      <c r="U2588" s="126" t="s">
        <v>194</v>
      </c>
      <c r="V2588" s="125"/>
      <c r="X2588" s="126"/>
      <c r="Y2588" s="126"/>
      <c r="Z2588" s="126"/>
      <c r="AA2588" s="126"/>
      <c r="AB2588" s="126"/>
      <c r="AC2588" s="126"/>
      <c r="AD2588" s="126"/>
      <c r="AE2588" s="126"/>
      <c r="AH2588" s="126"/>
      <c r="AI2588" s="126"/>
      <c r="AK2588" s="126"/>
      <c r="AL2588" s="126"/>
      <c r="AM2588" s="126"/>
      <c r="AN2588" s="126"/>
      <c r="BN2588" s="126"/>
      <c r="DF2588" s="16" t="e">
        <f>VLOOKUP(K2588,'[3]RNA Seq summary tables'!$V$3:$V$99,1,FALSE)</f>
        <v>#N/A</v>
      </c>
      <c r="DG2588" s="126"/>
    </row>
    <row r="2589" spans="2:111" ht="16" x14ac:dyDescent="0.2">
      <c r="B2589" s="16">
        <v>2018</v>
      </c>
      <c r="C2589" s="124">
        <v>43304</v>
      </c>
      <c r="D2589" t="s">
        <v>674</v>
      </c>
      <c r="E2589" s="20" t="str">
        <f>CONCATENATE(T2589,"-",U2589,"-",C2589)</f>
        <v>BC1-A7-43304</v>
      </c>
      <c r="F2589" s="16" t="s">
        <v>227</v>
      </c>
      <c r="G2589" s="126" t="s">
        <v>1067</v>
      </c>
      <c r="H2589" s="126"/>
      <c r="J2589" s="126">
        <v>1543</v>
      </c>
      <c r="K2589" s="126"/>
      <c r="O2589" s="126"/>
      <c r="T2589" s="126" t="s">
        <v>159</v>
      </c>
      <c r="U2589" s="126" t="s">
        <v>120</v>
      </c>
      <c r="V2589" s="126"/>
      <c r="X2589" s="126"/>
      <c r="Y2589" s="126"/>
      <c r="Z2589" s="126"/>
      <c r="AA2589" s="126"/>
      <c r="AB2589" s="126"/>
      <c r="AC2589" s="126"/>
      <c r="AD2589" s="126"/>
      <c r="AE2589" s="126"/>
      <c r="AH2589" s="126"/>
      <c r="AI2589" s="126"/>
      <c r="AK2589" s="126"/>
      <c r="AL2589" s="126"/>
      <c r="AM2589" s="126"/>
      <c r="AN2589" s="126"/>
      <c r="BG2589" s="23"/>
      <c r="BN2589" s="126"/>
      <c r="BT2589" s="23"/>
      <c r="CD2589" s="23"/>
      <c r="DF2589" s="16" t="e">
        <f>VLOOKUP(K2589,'[3]RNA Seq summary tables'!$V$3:$V$99,1,FALSE)</f>
        <v>#N/A</v>
      </c>
      <c r="DG2589" s="126"/>
    </row>
    <row r="2590" spans="2:111" ht="16" x14ac:dyDescent="0.2">
      <c r="B2590" s="16">
        <v>2018</v>
      </c>
      <c r="C2590" s="124">
        <v>43304</v>
      </c>
      <c r="D2590" t="s">
        <v>678</v>
      </c>
      <c r="E2590" s="20" t="str">
        <f>CONCATENATE(T2590,"-",U2590,"-",C2590)</f>
        <v>BC2-C6-43304</v>
      </c>
      <c r="F2590" s="16" t="s">
        <v>227</v>
      </c>
      <c r="G2590" s="126" t="s">
        <v>1067</v>
      </c>
      <c r="H2590" s="126"/>
      <c r="J2590" s="126">
        <v>1548</v>
      </c>
      <c r="K2590" s="126"/>
      <c r="O2590" s="126"/>
      <c r="T2590" s="126" t="s">
        <v>154</v>
      </c>
      <c r="U2590" s="126" t="s">
        <v>213</v>
      </c>
      <c r="V2590" s="126"/>
      <c r="X2590" s="126"/>
      <c r="Y2590" s="126"/>
      <c r="Z2590" s="126"/>
      <c r="AA2590" s="126"/>
      <c r="AB2590" s="126"/>
      <c r="AC2590" s="126"/>
      <c r="AD2590" s="126"/>
      <c r="AE2590" s="126"/>
      <c r="AH2590" s="126"/>
      <c r="AI2590" s="126"/>
      <c r="AK2590" s="126"/>
      <c r="AL2590" s="126"/>
      <c r="AM2590" s="126"/>
      <c r="AN2590" s="126"/>
      <c r="BG2590" s="23"/>
      <c r="BN2590" s="126"/>
      <c r="BT2590" s="23"/>
      <c r="CD2590" s="23"/>
      <c r="DF2590" s="16" t="e">
        <f>VLOOKUP(K2590,'[3]RNA Seq summary tables'!$V$3:$V$99,1,FALSE)</f>
        <v>#N/A</v>
      </c>
      <c r="DG2590" s="126"/>
    </row>
    <row r="2591" spans="2:111" ht="16" x14ac:dyDescent="0.2">
      <c r="B2591" s="16">
        <v>2018</v>
      </c>
      <c r="C2591" s="124">
        <v>43295</v>
      </c>
      <c r="D2591" t="s">
        <v>637</v>
      </c>
      <c r="E2591" s="20" t="str">
        <f>CONCATENATE(T2591,"-",U2591,"-",C2591)</f>
        <v>HW1-B1-43295</v>
      </c>
      <c r="F2591" s="16" t="s">
        <v>227</v>
      </c>
      <c r="G2591" s="126" t="s">
        <v>1067</v>
      </c>
      <c r="H2591" s="126"/>
      <c r="J2591" s="126">
        <v>1551</v>
      </c>
      <c r="K2591" s="126"/>
      <c r="O2591" s="126"/>
      <c r="T2591" s="126" t="s">
        <v>133</v>
      </c>
      <c r="U2591" s="126" t="s">
        <v>113</v>
      </c>
      <c r="V2591" s="126"/>
      <c r="X2591" s="126"/>
      <c r="Y2591" s="126"/>
      <c r="Z2591" s="126"/>
      <c r="AA2591" s="126"/>
      <c r="AB2591" s="126"/>
      <c r="AC2591" s="126"/>
      <c r="AD2591" s="126"/>
      <c r="AE2591" s="126"/>
      <c r="AH2591" s="126"/>
      <c r="AI2591" s="126"/>
      <c r="AK2591" s="126"/>
      <c r="AL2591" s="126"/>
      <c r="AM2591" s="126"/>
      <c r="AN2591" s="126"/>
      <c r="BG2591" s="23"/>
      <c r="BN2591" s="126"/>
      <c r="BT2591" s="23"/>
      <c r="CD2591" s="23"/>
      <c r="DF2591" s="16" t="e">
        <f>VLOOKUP(K2591,'[3]RNA Seq summary tables'!$V$3:$V$99,1,FALSE)</f>
        <v>#N/A</v>
      </c>
      <c r="DG2591" s="126"/>
    </row>
    <row r="2592" spans="2:111" ht="16" x14ac:dyDescent="0.2">
      <c r="B2592" s="16">
        <v>2018</v>
      </c>
      <c r="C2592" s="124">
        <v>43295</v>
      </c>
      <c r="D2592" t="s">
        <v>638</v>
      </c>
      <c r="E2592" s="20" t="str">
        <f>CONCATENATE(T2592,"-",U2592,"-",C2592)</f>
        <v>HW1-C6-43295</v>
      </c>
      <c r="F2592" s="16" t="s">
        <v>227</v>
      </c>
      <c r="G2592" s="126" t="s">
        <v>1067</v>
      </c>
      <c r="H2592" s="126"/>
      <c r="J2592" s="126">
        <v>1552</v>
      </c>
      <c r="K2592" s="126"/>
      <c r="O2592" s="126"/>
      <c r="T2592" s="126" t="s">
        <v>133</v>
      </c>
      <c r="U2592" s="126" t="s">
        <v>213</v>
      </c>
      <c r="V2592" s="126"/>
      <c r="X2592" s="126"/>
      <c r="Y2592" s="126"/>
      <c r="Z2592" s="126"/>
      <c r="AA2592" s="126"/>
      <c r="AB2592" s="126"/>
      <c r="AC2592" s="126"/>
      <c r="AD2592" s="126"/>
      <c r="AE2592" s="126"/>
      <c r="AH2592" s="126"/>
      <c r="AI2592" s="126"/>
      <c r="AK2592" s="126"/>
      <c r="AL2592" s="126"/>
      <c r="AM2592" s="126"/>
      <c r="AN2592" s="126"/>
      <c r="BG2592" s="23"/>
      <c r="BN2592" s="126"/>
      <c r="BT2592" s="23"/>
      <c r="CD2592" s="23"/>
      <c r="DF2592" s="16" t="e">
        <f>VLOOKUP(K2592,'[3]RNA Seq summary tables'!$V$3:$V$99,1,FALSE)</f>
        <v>#N/A</v>
      </c>
      <c r="DG2592" s="126"/>
    </row>
    <row r="2593" spans="2:282" ht="16" x14ac:dyDescent="0.2">
      <c r="B2593" s="16">
        <v>2018</v>
      </c>
      <c r="C2593" s="124">
        <v>43295</v>
      </c>
      <c r="D2593" t="s">
        <v>636</v>
      </c>
      <c r="E2593" s="20" t="str">
        <f>CONCATENATE(T2593,"-",U2593,"-",C2593)</f>
        <v>HW1-A4-43295</v>
      </c>
      <c r="F2593" s="16" t="s">
        <v>227</v>
      </c>
      <c r="G2593" s="126" t="s">
        <v>1067</v>
      </c>
      <c r="H2593" s="126"/>
      <c r="J2593" s="126">
        <v>1554</v>
      </c>
      <c r="K2593" s="126"/>
      <c r="O2593" s="126"/>
      <c r="T2593" s="126" t="s">
        <v>133</v>
      </c>
      <c r="U2593" s="126" t="s">
        <v>134</v>
      </c>
      <c r="V2593" s="126"/>
      <c r="X2593" s="126"/>
      <c r="Y2593" s="126"/>
      <c r="Z2593" s="126"/>
      <c r="AA2593" s="126"/>
      <c r="AB2593" s="126"/>
      <c r="AC2593" s="126"/>
      <c r="AD2593" s="126"/>
      <c r="AE2593" s="126"/>
      <c r="AH2593" s="126"/>
      <c r="AI2593" s="126"/>
      <c r="AK2593" s="126"/>
      <c r="AL2593" s="126"/>
      <c r="AM2593" s="126"/>
      <c r="AN2593" s="126"/>
      <c r="BG2593" s="23"/>
      <c r="BN2593" s="126"/>
      <c r="BT2593" s="23"/>
      <c r="CD2593" s="23"/>
      <c r="DF2593" s="16" t="e">
        <f>VLOOKUP(K2593,'[3]RNA Seq summary tables'!$V$3:$V$99,1,FALSE)</f>
        <v>#N/A</v>
      </c>
      <c r="DG2593" s="126"/>
    </row>
    <row r="2594" spans="2:282" ht="16" x14ac:dyDescent="0.2">
      <c r="B2594" s="16">
        <v>2018</v>
      </c>
      <c r="C2594" s="124">
        <v>43295</v>
      </c>
      <c r="D2594" t="s">
        <v>631</v>
      </c>
      <c r="E2594" s="20" t="str">
        <f>CONCATENATE(T2594,"-",U2594,"-",C2594)</f>
        <v>HW2-C8-43295</v>
      </c>
      <c r="F2594" s="16" t="s">
        <v>227</v>
      </c>
      <c r="G2594" s="126" t="s">
        <v>1067</v>
      </c>
      <c r="H2594" s="126"/>
      <c r="J2594" s="126">
        <v>1556</v>
      </c>
      <c r="K2594" s="126"/>
      <c r="O2594" s="126"/>
      <c r="T2594" s="126" t="s">
        <v>129</v>
      </c>
      <c r="U2594" s="126" t="s">
        <v>188</v>
      </c>
      <c r="V2594" s="126"/>
      <c r="X2594" s="126"/>
      <c r="Y2594" s="126"/>
      <c r="Z2594" s="126"/>
      <c r="AA2594" s="126"/>
      <c r="AB2594" s="126"/>
      <c r="AC2594" s="126"/>
      <c r="AD2594" s="126"/>
      <c r="AE2594" s="126"/>
      <c r="AH2594" s="126"/>
      <c r="AI2594" s="126"/>
      <c r="AK2594" s="126"/>
      <c r="AL2594" s="126"/>
      <c r="AM2594" s="126"/>
      <c r="AN2594" s="126"/>
      <c r="BG2594" s="23"/>
      <c r="BN2594" s="126"/>
      <c r="BT2594" s="23"/>
      <c r="CD2594" s="23"/>
      <c r="DF2594" s="16" t="e">
        <f>VLOOKUP(K2594,'[3]RNA Seq summary tables'!$V$3:$V$99,1,FALSE)</f>
        <v>#N/A</v>
      </c>
      <c r="DG2594" s="126"/>
    </row>
    <row r="2595" spans="2:282" ht="16" x14ac:dyDescent="0.2">
      <c r="B2595" s="16">
        <v>2018</v>
      </c>
      <c r="C2595" s="124">
        <v>43295</v>
      </c>
      <c r="D2595" t="s">
        <v>630</v>
      </c>
      <c r="E2595" s="20" t="str">
        <f>CONCATENATE(T2595,"-",U2595,"-",C2595)</f>
        <v>HW2-C4-43295</v>
      </c>
      <c r="F2595" s="16" t="s">
        <v>227</v>
      </c>
      <c r="G2595" s="126" t="s">
        <v>1067</v>
      </c>
      <c r="H2595" s="126" t="s">
        <v>1085</v>
      </c>
      <c r="I2595" s="23"/>
      <c r="J2595" s="126">
        <v>1557</v>
      </c>
      <c r="K2595" s="126"/>
      <c r="L2595" s="23"/>
      <c r="O2595" s="126"/>
      <c r="P2595" s="23"/>
      <c r="Q2595" s="23"/>
      <c r="R2595" s="23"/>
      <c r="S2595" s="23"/>
      <c r="T2595" s="126" t="s">
        <v>129</v>
      </c>
      <c r="U2595" s="126" t="s">
        <v>229</v>
      </c>
      <c r="V2595" s="126" t="s">
        <v>142</v>
      </c>
      <c r="W2595" s="23"/>
      <c r="X2595" s="126"/>
      <c r="Y2595" s="126"/>
      <c r="Z2595" s="126"/>
      <c r="AA2595" s="126"/>
      <c r="AB2595" s="126"/>
      <c r="AC2595" s="126"/>
      <c r="AD2595" s="126"/>
      <c r="AE2595" s="126"/>
      <c r="AF2595" s="23"/>
      <c r="AG2595" s="23">
        <f>AH2595-AI2595</f>
        <v>73</v>
      </c>
      <c r="AH2595" s="126">
        <v>152</v>
      </c>
      <c r="AI2595" s="126">
        <v>79</v>
      </c>
      <c r="AJ2595" s="23"/>
      <c r="AK2595" s="126"/>
      <c r="AL2595" s="126"/>
      <c r="AM2595" s="126"/>
      <c r="AN2595" s="126"/>
      <c r="AO2595" s="23"/>
      <c r="AP2595" s="23"/>
      <c r="AQ2595" s="23"/>
      <c r="AR2595" s="23"/>
      <c r="AS2595" s="23"/>
      <c r="BG2595" s="23"/>
      <c r="BN2595" s="126"/>
      <c r="BT2595" s="23"/>
      <c r="CD2595" s="23"/>
      <c r="DC2595" s="23"/>
      <c r="DD2595" s="23"/>
      <c r="DE2595" s="23"/>
      <c r="DF2595" s="16" t="e">
        <f>VLOOKUP(K2595,'[3]RNA Seq summary tables'!$V$3:$V$99,1,FALSE)</f>
        <v>#N/A</v>
      </c>
      <c r="DG2595" s="126"/>
      <c r="DH2595" s="23"/>
      <c r="DI2595" s="23"/>
      <c r="DJ2595" s="23"/>
      <c r="DK2595" s="23"/>
      <c r="DL2595" s="23"/>
      <c r="DM2595" s="23"/>
      <c r="DN2595" s="23"/>
      <c r="DO2595" s="23"/>
      <c r="DP2595" s="23"/>
      <c r="DQ2595" s="23"/>
      <c r="DR2595" s="23"/>
      <c r="DS2595" s="23"/>
      <c r="DT2595" s="25"/>
      <c r="DU2595" s="25"/>
      <c r="DV2595" s="25"/>
      <c r="DW2595" s="25"/>
      <c r="DX2595" s="25"/>
      <c r="DY2595" s="25"/>
      <c r="DZ2595" s="25"/>
      <c r="EA2595" s="25"/>
      <c r="EB2595" s="25"/>
      <c r="EC2595" s="25"/>
      <c r="ED2595" s="25"/>
      <c r="EE2595" s="25"/>
      <c r="EF2595" s="25"/>
      <c r="EG2595" s="25"/>
      <c r="EH2595" s="25"/>
      <c r="EI2595" s="25"/>
      <c r="EJ2595" s="25"/>
      <c r="EK2595" s="25"/>
      <c r="EL2595" s="25"/>
      <c r="EM2595" s="25"/>
      <c r="EN2595" s="25"/>
      <c r="EO2595" s="25"/>
      <c r="EP2595" s="25"/>
      <c r="EQ2595" s="25"/>
      <c r="ER2595" s="25"/>
      <c r="ES2595" s="25"/>
      <c r="ET2595" s="25"/>
      <c r="EU2595" s="25"/>
      <c r="EV2595" s="25"/>
      <c r="EW2595" s="25"/>
      <c r="EX2595" s="25"/>
      <c r="EY2595" s="25"/>
      <c r="EZ2595" s="25"/>
      <c r="FA2595" s="25"/>
      <c r="FB2595" s="25"/>
      <c r="FC2595" s="25"/>
      <c r="FD2595" s="25"/>
      <c r="FE2595" s="25"/>
      <c r="FF2595" s="25"/>
      <c r="FG2595" s="25"/>
      <c r="FH2595" s="25"/>
      <c r="FI2595" s="25"/>
      <c r="FJ2595" s="25"/>
      <c r="FK2595" s="25"/>
      <c r="FL2595" s="25"/>
      <c r="FM2595" s="25"/>
      <c r="FN2595" s="25"/>
      <c r="FO2595" s="25"/>
      <c r="FP2595" s="25"/>
      <c r="FQ2595" s="25"/>
      <c r="FR2595" s="25"/>
      <c r="FS2595" s="25"/>
      <c r="FT2595" s="25"/>
      <c r="FU2595" s="25"/>
      <c r="FV2595" s="25"/>
      <c r="FW2595" s="25"/>
      <c r="FX2595" s="25"/>
      <c r="FY2595" s="25"/>
      <c r="FZ2595" s="25"/>
      <c r="GA2595" s="25"/>
      <c r="GB2595" s="25"/>
      <c r="GC2595" s="25"/>
      <c r="GD2595" s="25"/>
      <c r="GE2595" s="25"/>
      <c r="GF2595" s="25"/>
      <c r="GG2595" s="25"/>
      <c r="GH2595" s="25"/>
      <c r="GI2595" s="25"/>
      <c r="GJ2595" s="25"/>
      <c r="GK2595" s="25"/>
      <c r="GL2595" s="25"/>
      <c r="GM2595" s="25"/>
      <c r="GN2595" s="25"/>
      <c r="GO2595" s="25"/>
      <c r="GP2595" s="25"/>
      <c r="GQ2595" s="25"/>
      <c r="GR2595" s="25"/>
      <c r="GS2595" s="25"/>
      <c r="GT2595" s="25"/>
      <c r="GU2595" s="25"/>
      <c r="GV2595" s="25"/>
      <c r="GW2595" s="25"/>
      <c r="GX2595" s="25"/>
      <c r="GY2595" s="25"/>
      <c r="GZ2595" s="25"/>
      <c r="HA2595" s="25"/>
      <c r="HB2595" s="25"/>
      <c r="HC2595" s="25"/>
      <c r="HD2595" s="25"/>
      <c r="HE2595" s="25"/>
      <c r="HF2595" s="25"/>
      <c r="HG2595" s="25"/>
      <c r="HH2595" s="25"/>
      <c r="HI2595" s="25"/>
      <c r="HJ2595" s="25"/>
      <c r="HK2595" s="25"/>
      <c r="HL2595" s="25"/>
      <c r="HM2595" s="25"/>
      <c r="HN2595" s="25"/>
      <c r="HO2595" s="25"/>
      <c r="HP2595" s="25"/>
      <c r="HQ2595" s="25"/>
      <c r="HR2595" s="25"/>
      <c r="HS2595" s="25"/>
      <c r="HT2595" s="25"/>
      <c r="HU2595" s="25"/>
      <c r="HV2595" s="25"/>
      <c r="HW2595" s="25"/>
      <c r="HX2595" s="25"/>
      <c r="HY2595" s="25"/>
      <c r="HZ2595" s="25"/>
      <c r="IA2595" s="25"/>
      <c r="IB2595" s="25"/>
      <c r="IC2595" s="25"/>
      <c r="ID2595" s="25"/>
      <c r="IE2595" s="25"/>
      <c r="IF2595" s="25"/>
      <c r="IG2595" s="25"/>
      <c r="IH2595" s="25"/>
      <c r="II2595" s="25"/>
      <c r="IJ2595" s="25"/>
      <c r="IK2595" s="25"/>
      <c r="IL2595" s="25"/>
      <c r="IM2595" s="25"/>
      <c r="IN2595" s="25"/>
      <c r="IO2595" s="25"/>
      <c r="IP2595" s="25"/>
      <c r="IQ2595" s="25"/>
      <c r="IR2595" s="25"/>
      <c r="IS2595" s="25"/>
      <c r="IT2595" s="25"/>
      <c r="IU2595" s="25"/>
      <c r="IV2595" s="25"/>
      <c r="IW2595" s="25"/>
      <c r="IX2595" s="25"/>
      <c r="IY2595" s="25"/>
      <c r="IZ2595" s="25"/>
      <c r="JA2595" s="25"/>
      <c r="JB2595" s="25"/>
      <c r="JC2595" s="25"/>
      <c r="JD2595" s="25"/>
      <c r="JE2595" s="25"/>
      <c r="JF2595" s="25"/>
      <c r="JG2595" s="25"/>
      <c r="JH2595" s="25"/>
      <c r="JI2595" s="25"/>
      <c r="JJ2595" s="25"/>
      <c r="JK2595" s="25"/>
      <c r="JL2595" s="25"/>
      <c r="JM2595" s="25"/>
      <c r="JN2595" s="25"/>
      <c r="JO2595" s="23"/>
      <c r="JP2595" s="23"/>
      <c r="JQ2595" s="23"/>
    </row>
    <row r="2596" spans="2:282" ht="16" x14ac:dyDescent="0.2">
      <c r="B2596" s="16">
        <v>2018</v>
      </c>
      <c r="C2596" s="124">
        <v>43295</v>
      </c>
      <c r="D2596" t="s">
        <v>633</v>
      </c>
      <c r="E2596" s="20" t="str">
        <f>CONCATENATE(T2596,"-",U2596,"-",C2596)</f>
        <v>HW2-E7-43295</v>
      </c>
      <c r="F2596" s="16" t="s">
        <v>227</v>
      </c>
      <c r="G2596" s="126" t="s">
        <v>1067</v>
      </c>
      <c r="H2596" s="126"/>
      <c r="J2596" s="126">
        <v>1558</v>
      </c>
      <c r="K2596" s="126"/>
      <c r="O2596" s="126"/>
      <c r="T2596" s="126" t="s">
        <v>129</v>
      </c>
      <c r="U2596" s="126" t="s">
        <v>135</v>
      </c>
      <c r="V2596" s="126"/>
      <c r="X2596" s="126"/>
      <c r="Y2596" s="126"/>
      <c r="Z2596" s="126"/>
      <c r="AA2596" s="126"/>
      <c r="AB2596" s="126"/>
      <c r="AC2596" s="126"/>
      <c r="AD2596" s="126"/>
      <c r="AE2596" s="126"/>
      <c r="AH2596" s="126"/>
      <c r="AI2596" s="126"/>
      <c r="AK2596" s="126"/>
      <c r="AL2596" s="126"/>
      <c r="AM2596" s="126"/>
      <c r="AN2596" s="126"/>
      <c r="BG2596" s="23"/>
      <c r="BN2596" s="126"/>
      <c r="BT2596" s="23"/>
      <c r="CD2596" s="23"/>
      <c r="DF2596" s="16" t="e">
        <f>VLOOKUP(K2596,'[3]RNA Seq summary tables'!$V$3:$V$99,1,FALSE)</f>
        <v>#N/A</v>
      </c>
      <c r="DG2596" s="126"/>
    </row>
    <row r="2597" spans="2:282" ht="16" x14ac:dyDescent="0.2">
      <c r="B2597" s="16">
        <v>2018</v>
      </c>
      <c r="C2597" s="124">
        <v>43297</v>
      </c>
      <c r="D2597" t="s">
        <v>645</v>
      </c>
      <c r="E2597" s="20" t="str">
        <f>CONCATENATE(T2597,"-",U2597,"-",C2597)</f>
        <v>PO2-C8-43297</v>
      </c>
      <c r="F2597" s="16" t="s">
        <v>227</v>
      </c>
      <c r="G2597" s="126" t="s">
        <v>1067</v>
      </c>
      <c r="H2597" s="126"/>
      <c r="J2597" s="126">
        <v>1564</v>
      </c>
      <c r="K2597" s="126"/>
      <c r="O2597" s="126"/>
      <c r="T2597" s="126" t="s">
        <v>127</v>
      </c>
      <c r="U2597" s="126" t="s">
        <v>188</v>
      </c>
      <c r="V2597" s="126"/>
      <c r="X2597" s="126"/>
      <c r="Y2597" s="126"/>
      <c r="Z2597" s="126"/>
      <c r="AA2597" s="126"/>
      <c r="AB2597" s="126"/>
      <c r="AC2597" s="126"/>
      <c r="AD2597" s="126"/>
      <c r="AE2597" s="126"/>
      <c r="AH2597" s="126"/>
      <c r="AI2597" s="126"/>
      <c r="AK2597" s="126"/>
      <c r="AL2597" s="126"/>
      <c r="AM2597" s="126"/>
      <c r="AN2597" s="126"/>
      <c r="BG2597" s="23"/>
      <c r="BN2597" s="126"/>
      <c r="BT2597" s="23"/>
      <c r="CD2597" s="23"/>
      <c r="DF2597" s="16" t="e">
        <f>VLOOKUP(K2597,'[3]RNA Seq summary tables'!$V$3:$V$99,1,FALSE)</f>
        <v>#N/A</v>
      </c>
      <c r="DG2597" s="126"/>
    </row>
    <row r="2598" spans="2:282" ht="16" x14ac:dyDescent="0.2">
      <c r="B2598" s="16">
        <v>2018</v>
      </c>
      <c r="C2598" s="124">
        <v>43297</v>
      </c>
      <c r="D2598" t="s">
        <v>651</v>
      </c>
      <c r="E2598" s="20" t="str">
        <f>CONCATENATE(T2598,"-",U2598,"-",C2598)</f>
        <v>PO1-E3-43297</v>
      </c>
      <c r="F2598" s="16" t="s">
        <v>227</v>
      </c>
      <c r="G2598" s="126" t="s">
        <v>1067</v>
      </c>
      <c r="H2598" s="126" t="s">
        <v>1086</v>
      </c>
      <c r="J2598" s="126">
        <v>1565</v>
      </c>
      <c r="K2598" s="126"/>
      <c r="O2598" s="126"/>
      <c r="T2598" s="126" t="s">
        <v>112</v>
      </c>
      <c r="U2598" s="126" t="s">
        <v>225</v>
      </c>
      <c r="V2598" s="126" t="s">
        <v>142</v>
      </c>
      <c r="X2598" s="126"/>
      <c r="Y2598" s="126"/>
      <c r="Z2598" s="126"/>
      <c r="AA2598" s="126"/>
      <c r="AB2598" s="126"/>
      <c r="AC2598" s="126"/>
      <c r="AD2598" s="126"/>
      <c r="AE2598" s="126"/>
      <c r="AG2598" s="16">
        <f>AH2598-AI2598</f>
        <v>78</v>
      </c>
      <c r="AH2598" s="126">
        <v>159</v>
      </c>
      <c r="AI2598" s="126">
        <v>81</v>
      </c>
      <c r="AK2598" s="126"/>
      <c r="AL2598" s="126"/>
      <c r="AM2598" s="126"/>
      <c r="AN2598" s="126"/>
      <c r="BG2598" s="23"/>
      <c r="BN2598" s="126"/>
      <c r="BT2598" s="23"/>
      <c r="CD2598" s="23"/>
      <c r="DF2598" s="16" t="e">
        <f>VLOOKUP(K2598,'[3]RNA Seq summary tables'!$V$3:$V$99,1,FALSE)</f>
        <v>#N/A</v>
      </c>
      <c r="DG2598" s="126"/>
    </row>
    <row r="2599" spans="2:282" ht="16" x14ac:dyDescent="0.2">
      <c r="B2599" s="16">
        <v>2018</v>
      </c>
      <c r="C2599" s="124">
        <v>43302</v>
      </c>
      <c r="D2599" t="s">
        <v>664</v>
      </c>
      <c r="E2599" s="20" t="str">
        <f>CONCATENATE(T2599,"-",U2599,"-",C2599)</f>
        <v>SP1-A5-43302</v>
      </c>
      <c r="F2599" s="16" t="s">
        <v>227</v>
      </c>
      <c r="G2599" s="126" t="s">
        <v>1067</v>
      </c>
      <c r="H2599" s="126"/>
      <c r="J2599" s="126">
        <v>1570</v>
      </c>
      <c r="K2599" s="126"/>
      <c r="O2599" s="126"/>
      <c r="T2599" s="126" t="s">
        <v>140</v>
      </c>
      <c r="U2599" s="126" t="s">
        <v>167</v>
      </c>
      <c r="V2599" s="126"/>
      <c r="X2599" s="126"/>
      <c r="Y2599" s="126"/>
      <c r="Z2599" s="126"/>
      <c r="AA2599" s="126"/>
      <c r="AB2599" s="126"/>
      <c r="AC2599" s="126"/>
      <c r="AD2599" s="126"/>
      <c r="AE2599" s="126"/>
      <c r="AH2599" s="126"/>
      <c r="AI2599" s="126"/>
      <c r="AK2599" s="126"/>
      <c r="AL2599" s="126"/>
      <c r="AM2599" s="126"/>
      <c r="AN2599" s="126"/>
      <c r="BN2599" s="126"/>
      <c r="DF2599" s="16" t="e">
        <f>VLOOKUP(K2599,'[3]RNA Seq summary tables'!$V$3:$V$99,1,FALSE)</f>
        <v>#N/A</v>
      </c>
      <c r="DG2599" s="126"/>
    </row>
    <row r="2600" spans="2:282" ht="16" x14ac:dyDescent="0.2">
      <c r="B2600" s="16">
        <v>2018</v>
      </c>
      <c r="C2600" s="124">
        <v>43304</v>
      </c>
      <c r="D2600" t="s">
        <v>673</v>
      </c>
      <c r="E2600" s="20" t="str">
        <f>CONCATENATE(T2600,"-",U2600,"-",C2600)</f>
        <v>BC1-A1-43304</v>
      </c>
      <c r="F2600" s="16" t="s">
        <v>227</v>
      </c>
      <c r="G2600" s="126" t="s">
        <v>1067</v>
      </c>
      <c r="H2600" s="126"/>
      <c r="J2600" s="126">
        <v>1574</v>
      </c>
      <c r="K2600" s="126"/>
      <c r="O2600" s="126"/>
      <c r="T2600" s="126" t="s">
        <v>159</v>
      </c>
      <c r="U2600" s="126" t="s">
        <v>210</v>
      </c>
      <c r="V2600" s="126"/>
      <c r="X2600" s="126"/>
      <c r="Y2600" s="126"/>
      <c r="Z2600" s="126"/>
      <c r="AA2600" s="126"/>
      <c r="AB2600" s="126"/>
      <c r="AC2600" s="126"/>
      <c r="AD2600" s="126"/>
      <c r="AE2600" s="126"/>
      <c r="AH2600" s="126"/>
      <c r="AI2600" s="126"/>
      <c r="AK2600" s="126"/>
      <c r="AL2600" s="126"/>
      <c r="AM2600" s="126"/>
      <c r="AN2600" s="126"/>
      <c r="BG2600" s="23"/>
      <c r="BN2600" s="126"/>
      <c r="BT2600" s="23"/>
      <c r="CD2600" s="23"/>
      <c r="DF2600" s="16" t="e">
        <f>VLOOKUP(K2600,'[3]RNA Seq summary tables'!$V$3:$V$99,1,FALSE)</f>
        <v>#N/A</v>
      </c>
      <c r="DG2600" s="126"/>
    </row>
    <row r="2601" spans="2:282" x14ac:dyDescent="0.2">
      <c r="J2601" s="16"/>
      <c r="M2601" s="16"/>
      <c r="N2601" s="16"/>
      <c r="P2601" s="21"/>
      <c r="Q2601" s="21"/>
      <c r="R2601" s="21"/>
      <c r="S2601" s="21"/>
      <c r="T2601" s="21"/>
      <c r="U2601" s="21"/>
      <c r="DT2601" s="16"/>
      <c r="DU2601" s="16"/>
      <c r="DW2601" s="16"/>
      <c r="DX2601" s="16"/>
      <c r="DY2601" s="16"/>
      <c r="DZ2601" s="16"/>
      <c r="EA2601" s="16"/>
      <c r="JO2601" s="18"/>
      <c r="JP2601" s="18"/>
      <c r="JQ2601" s="18"/>
      <c r="JR2601" s="18"/>
      <c r="JS2601" s="18"/>
      <c r="JT2601" s="18"/>
      <c r="JU2601" s="18"/>
      <c r="JV2601" s="18"/>
    </row>
    <row r="2602" spans="2:282" x14ac:dyDescent="0.2">
      <c r="J2602" s="16"/>
      <c r="M2602" s="16"/>
      <c r="N2602" s="16"/>
      <c r="P2602" s="21"/>
      <c r="Q2602" s="21"/>
      <c r="R2602" s="21"/>
      <c r="S2602" s="21"/>
      <c r="T2602" s="21"/>
      <c r="U2602" s="21"/>
      <c r="DT2602" s="16"/>
      <c r="DU2602" s="16"/>
      <c r="DW2602" s="16"/>
      <c r="DX2602" s="16"/>
      <c r="DY2602" s="16"/>
      <c r="DZ2602" s="16"/>
      <c r="EA2602" s="16"/>
      <c r="JO2602" s="18"/>
      <c r="JP2602" s="18"/>
      <c r="JQ2602" s="18"/>
      <c r="JR2602" s="18"/>
      <c r="JS2602" s="18"/>
      <c r="JT2602" s="18"/>
      <c r="JU2602" s="18"/>
      <c r="JV2602" s="18"/>
    </row>
    <row r="2603" spans="2:282" x14ac:dyDescent="0.2">
      <c r="P2603" s="21"/>
      <c r="Q2603" s="21"/>
      <c r="R2603" s="21"/>
      <c r="S2603" s="21"/>
      <c r="DT2603" s="16"/>
      <c r="DU2603" s="16"/>
      <c r="DW2603" s="16"/>
      <c r="DX2603" s="16"/>
      <c r="DY2603" s="16"/>
      <c r="JO2603" s="18"/>
      <c r="JP2603" s="18"/>
      <c r="JQ2603" s="18"/>
      <c r="JR2603" s="18"/>
      <c r="JS2603" s="18"/>
      <c r="JT2603" s="18"/>
    </row>
    <row r="2604" spans="2:282" x14ac:dyDescent="0.2">
      <c r="P2604" s="21"/>
      <c r="Q2604" s="21"/>
      <c r="R2604" s="21"/>
      <c r="S2604" s="21"/>
      <c r="DT2604" s="16"/>
      <c r="DU2604" s="16"/>
      <c r="DW2604" s="16"/>
      <c r="DX2604" s="16"/>
      <c r="DY2604" s="16"/>
      <c r="JO2604" s="18"/>
      <c r="JP2604" s="18"/>
      <c r="JQ2604" s="18"/>
      <c r="JR2604" s="18"/>
      <c r="JS2604" s="18"/>
      <c r="JT2604" s="18"/>
    </row>
    <row r="2605" spans="2:282" x14ac:dyDescent="0.2">
      <c r="P2605" s="21"/>
      <c r="Q2605" s="21"/>
      <c r="R2605" s="21"/>
      <c r="S2605" s="21"/>
      <c r="DT2605" s="16"/>
      <c r="DU2605" s="16"/>
      <c r="DW2605" s="16"/>
      <c r="DX2605" s="16"/>
      <c r="JO2605" s="18"/>
      <c r="JP2605" s="18"/>
      <c r="JQ2605" s="18"/>
      <c r="JR2605" s="18"/>
      <c r="JS2605" s="18"/>
    </row>
    <row r="2606" spans="2:282" x14ac:dyDescent="0.2">
      <c r="P2606" s="21"/>
      <c r="Q2606" s="21"/>
      <c r="R2606" s="21"/>
      <c r="S2606" s="21"/>
      <c r="DT2606" s="16"/>
      <c r="DU2606" s="16"/>
      <c r="DW2606" s="16"/>
      <c r="DX2606" s="16"/>
      <c r="JO2606" s="18"/>
      <c r="JP2606" s="18"/>
      <c r="JQ2606" s="18"/>
      <c r="JR2606" s="18"/>
      <c r="JS2606" s="18"/>
    </row>
    <row r="2607" spans="2:282" x14ac:dyDescent="0.2">
      <c r="P2607" s="21"/>
      <c r="Q2607" s="21"/>
      <c r="R2607" s="21"/>
      <c r="S2607" s="21"/>
      <c r="DT2607" s="16"/>
      <c r="DU2607" s="16"/>
      <c r="DW2607" s="16"/>
      <c r="DX2607" s="16"/>
      <c r="JO2607" s="18"/>
      <c r="JP2607" s="18"/>
      <c r="JQ2607" s="18"/>
      <c r="JR2607" s="18"/>
      <c r="JS2607" s="18"/>
    </row>
    <row r="2608" spans="2:282" x14ac:dyDescent="0.2">
      <c r="P2608" s="21"/>
      <c r="Q2608" s="21"/>
      <c r="R2608" s="21"/>
      <c r="S2608" s="21"/>
      <c r="DT2608" s="16"/>
      <c r="DU2608" s="16"/>
      <c r="DW2608" s="16"/>
      <c r="DX2608" s="16"/>
      <c r="JO2608" s="18"/>
      <c r="JP2608" s="18"/>
      <c r="JQ2608" s="18"/>
      <c r="JR2608" s="18"/>
      <c r="JS2608" s="18"/>
    </row>
    <row r="2609" spans="16:279" x14ac:dyDescent="0.2">
      <c r="P2609" s="21"/>
      <c r="Q2609" s="21"/>
      <c r="R2609" s="21"/>
      <c r="S2609" s="21"/>
      <c r="DT2609" s="16"/>
      <c r="DU2609" s="16"/>
      <c r="DW2609" s="16"/>
      <c r="DX2609" s="16"/>
      <c r="JO2609" s="18"/>
      <c r="JP2609" s="18"/>
      <c r="JQ2609" s="18"/>
      <c r="JR2609" s="18"/>
      <c r="JS2609" s="18"/>
    </row>
    <row r="2610" spans="16:279" x14ac:dyDescent="0.2">
      <c r="P2610" s="21"/>
      <c r="Q2610" s="21"/>
      <c r="R2610" s="21"/>
      <c r="S2610" s="21"/>
      <c r="DT2610" s="16"/>
      <c r="DU2610" s="16"/>
      <c r="DW2610" s="16"/>
      <c r="DX2610" s="16"/>
      <c r="JO2610" s="18"/>
      <c r="JP2610" s="18"/>
      <c r="JQ2610" s="18"/>
      <c r="JR2610" s="18"/>
      <c r="JS2610" s="18"/>
    </row>
    <row r="2611" spans="16:279" x14ac:dyDescent="0.2">
      <c r="P2611" s="21"/>
      <c r="Q2611" s="21"/>
      <c r="R2611" s="21"/>
      <c r="S2611" s="21"/>
      <c r="DT2611" s="16"/>
      <c r="DU2611" s="16"/>
      <c r="DW2611" s="16"/>
      <c r="DX2611" s="16"/>
      <c r="JO2611" s="18"/>
      <c r="JP2611" s="18"/>
      <c r="JQ2611" s="18"/>
      <c r="JR2611" s="18"/>
      <c r="JS2611" s="18"/>
    </row>
    <row r="2612" spans="16:279" x14ac:dyDescent="0.2">
      <c r="P2612" s="21"/>
      <c r="Q2612" s="21"/>
      <c r="R2612" s="21"/>
      <c r="S2612" s="21"/>
      <c r="DT2612" s="16"/>
      <c r="DU2612" s="16"/>
      <c r="DW2612" s="16"/>
      <c r="DX2612" s="16"/>
      <c r="JO2612" s="18"/>
      <c r="JP2612" s="18"/>
      <c r="JQ2612" s="18"/>
      <c r="JR2612" s="18"/>
      <c r="JS2612" s="18"/>
    </row>
    <row r="2613" spans="16:279" x14ac:dyDescent="0.2">
      <c r="P2613" s="21"/>
      <c r="Q2613" s="21"/>
      <c r="R2613" s="21"/>
      <c r="S2613" s="21"/>
      <c r="DT2613" s="16"/>
      <c r="DU2613" s="16"/>
      <c r="DW2613" s="16"/>
      <c r="DX2613" s="16"/>
      <c r="JO2613" s="18"/>
      <c r="JP2613" s="18"/>
      <c r="JQ2613" s="18"/>
      <c r="JR2613" s="18"/>
      <c r="JS2613" s="18"/>
    </row>
    <row r="2614" spans="16:279" x14ac:dyDescent="0.2">
      <c r="P2614" s="21"/>
      <c r="Q2614" s="21"/>
      <c r="R2614" s="21"/>
      <c r="S2614" s="21"/>
      <c r="DT2614" s="16"/>
      <c r="DU2614" s="16"/>
      <c r="DW2614" s="16"/>
      <c r="DX2614" s="16"/>
      <c r="JO2614" s="18"/>
      <c r="JP2614" s="18"/>
      <c r="JQ2614" s="18"/>
      <c r="JR2614" s="18"/>
      <c r="JS2614" s="18"/>
    </row>
    <row r="2615" spans="16:279" x14ac:dyDescent="0.2">
      <c r="P2615" s="21"/>
      <c r="Q2615" s="21"/>
      <c r="R2615" s="21"/>
      <c r="S2615" s="21"/>
      <c r="DT2615" s="16"/>
      <c r="DU2615" s="16"/>
      <c r="DW2615" s="16"/>
      <c r="DX2615" s="16"/>
      <c r="JO2615" s="18"/>
      <c r="JP2615" s="18"/>
      <c r="JQ2615" s="18"/>
      <c r="JR2615" s="18"/>
      <c r="JS2615" s="18"/>
    </row>
    <row r="2616" spans="16:279" x14ac:dyDescent="0.2">
      <c r="P2616" s="21"/>
      <c r="Q2616" s="21"/>
      <c r="R2616" s="21"/>
      <c r="S2616" s="21"/>
      <c r="DT2616" s="16"/>
      <c r="DU2616" s="16"/>
      <c r="DV2616" s="16"/>
      <c r="DW2616" s="16"/>
      <c r="DX2616" s="16"/>
      <c r="JO2616" s="18"/>
      <c r="JP2616" s="18"/>
      <c r="JQ2616" s="18"/>
      <c r="JR2616" s="18"/>
      <c r="JS2616" s="18"/>
    </row>
    <row r="2617" spans="16:279" x14ac:dyDescent="0.2">
      <c r="P2617" s="21"/>
      <c r="Q2617" s="21"/>
      <c r="R2617" s="21"/>
      <c r="S2617" s="21"/>
      <c r="DT2617" s="16"/>
      <c r="DU2617" s="16"/>
      <c r="DV2617" s="16"/>
      <c r="DW2617" s="16"/>
      <c r="DX2617" s="16"/>
      <c r="JO2617" s="18"/>
      <c r="JP2617" s="18"/>
      <c r="JQ2617" s="18"/>
      <c r="JR2617" s="18"/>
      <c r="JS2617" s="18"/>
    </row>
    <row r="2618" spans="16:279" x14ac:dyDescent="0.2">
      <c r="P2618" s="21"/>
      <c r="Q2618" s="21"/>
      <c r="R2618" s="21"/>
      <c r="S2618" s="21"/>
      <c r="DT2618" s="16"/>
      <c r="DU2618" s="16"/>
      <c r="DV2618" s="16"/>
      <c r="DW2618" s="16"/>
      <c r="DX2618" s="16"/>
      <c r="JO2618" s="18"/>
      <c r="JP2618" s="18"/>
      <c r="JQ2618" s="18"/>
      <c r="JR2618" s="18"/>
      <c r="JS2618" s="18"/>
    </row>
    <row r="2619" spans="16:279" x14ac:dyDescent="0.2">
      <c r="P2619" s="21"/>
      <c r="Q2619" s="21"/>
      <c r="R2619" s="21"/>
      <c r="S2619" s="21"/>
      <c r="DT2619" s="16"/>
      <c r="DU2619" s="16"/>
      <c r="DV2619" s="16"/>
      <c r="DW2619" s="16"/>
      <c r="DX2619" s="16"/>
      <c r="JO2619" s="18"/>
      <c r="JP2619" s="18"/>
      <c r="JQ2619" s="18"/>
      <c r="JR2619" s="18"/>
      <c r="JS2619" s="18"/>
    </row>
    <row r="2620" spans="16:279" x14ac:dyDescent="0.2">
      <c r="P2620" s="21"/>
      <c r="Q2620" s="21"/>
      <c r="R2620" s="21"/>
      <c r="S2620" s="21"/>
      <c r="DT2620" s="16"/>
      <c r="DU2620" s="16"/>
      <c r="DV2620" s="16"/>
      <c r="DW2620" s="16"/>
      <c r="DX2620" s="16"/>
      <c r="JO2620" s="18"/>
      <c r="JP2620" s="18"/>
      <c r="JQ2620" s="18"/>
      <c r="JR2620" s="18"/>
      <c r="JS2620" s="18"/>
    </row>
    <row r="2621" spans="16:279" x14ac:dyDescent="0.2">
      <c r="P2621" s="21"/>
      <c r="Q2621" s="21"/>
      <c r="R2621" s="21"/>
      <c r="S2621" s="21"/>
      <c r="DT2621" s="16"/>
      <c r="DU2621" s="16"/>
      <c r="DV2621" s="16"/>
      <c r="DW2621" s="16"/>
      <c r="DX2621" s="16"/>
      <c r="JO2621" s="18"/>
      <c r="JP2621" s="18"/>
      <c r="JQ2621" s="18"/>
      <c r="JR2621" s="18"/>
      <c r="JS2621" s="18"/>
    </row>
    <row r="2622" spans="16:279" x14ac:dyDescent="0.2">
      <c r="P2622" s="21"/>
      <c r="Q2622" s="21"/>
      <c r="R2622" s="21"/>
      <c r="S2622" s="21"/>
      <c r="DT2622" s="16"/>
      <c r="DU2622" s="16"/>
      <c r="DV2622" s="16"/>
      <c r="DW2622" s="16"/>
      <c r="DX2622" s="16"/>
      <c r="JO2622" s="18"/>
      <c r="JP2622" s="18"/>
      <c r="JQ2622" s="18"/>
      <c r="JR2622" s="18"/>
      <c r="JS2622" s="18"/>
    </row>
    <row r="2623" spans="16:279" x14ac:dyDescent="0.2">
      <c r="P2623" s="21"/>
      <c r="Q2623" s="21"/>
      <c r="R2623" s="21"/>
      <c r="S2623" s="21"/>
      <c r="DT2623" s="16"/>
      <c r="DU2623" s="16"/>
      <c r="DV2623" s="16"/>
      <c r="DW2623" s="16"/>
      <c r="DX2623" s="16"/>
      <c r="JO2623" s="18"/>
      <c r="JP2623" s="18"/>
      <c r="JQ2623" s="18"/>
      <c r="JR2623" s="18"/>
      <c r="JS2623" s="18"/>
    </row>
    <row r="2624" spans="16:279" x14ac:dyDescent="0.2">
      <c r="P2624" s="21"/>
      <c r="Q2624" s="21"/>
      <c r="R2624" s="21"/>
      <c r="S2624" s="21"/>
      <c r="DT2624" s="16"/>
      <c r="DU2624" s="16"/>
      <c r="DV2624" s="16"/>
      <c r="DW2624" s="16"/>
      <c r="DX2624" s="16"/>
      <c r="JO2624" s="18"/>
      <c r="JP2624" s="18"/>
      <c r="JQ2624" s="18"/>
      <c r="JR2624" s="18"/>
      <c r="JS2624" s="18"/>
    </row>
    <row r="2625" spans="16:279" x14ac:dyDescent="0.2">
      <c r="P2625" s="21"/>
      <c r="Q2625" s="21"/>
      <c r="R2625" s="21"/>
      <c r="S2625" s="21"/>
      <c r="DT2625" s="16"/>
      <c r="DU2625" s="16"/>
      <c r="DV2625" s="16"/>
      <c r="DW2625" s="16"/>
      <c r="DX2625" s="16"/>
      <c r="JO2625" s="18"/>
      <c r="JP2625" s="18"/>
      <c r="JQ2625" s="18"/>
      <c r="JR2625" s="18"/>
      <c r="JS2625" s="18"/>
    </row>
    <row r="2626" spans="16:279" x14ac:dyDescent="0.2">
      <c r="P2626" s="21"/>
      <c r="Q2626" s="21"/>
      <c r="R2626" s="21"/>
      <c r="S2626" s="21"/>
      <c r="DT2626" s="16"/>
      <c r="DU2626" s="16"/>
      <c r="DV2626" s="16"/>
      <c r="DW2626" s="16"/>
      <c r="DX2626" s="16"/>
      <c r="JO2626" s="18"/>
      <c r="JP2626" s="18"/>
      <c r="JQ2626" s="18"/>
      <c r="JR2626" s="18"/>
      <c r="JS2626" s="18"/>
    </row>
    <row r="2627" spans="16:279" x14ac:dyDescent="0.2">
      <c r="P2627" s="21"/>
      <c r="Q2627" s="21"/>
      <c r="R2627" s="21"/>
      <c r="S2627" s="21"/>
      <c r="DT2627" s="16"/>
      <c r="DU2627" s="16"/>
      <c r="DV2627" s="16"/>
      <c r="DW2627" s="16"/>
      <c r="DX2627" s="16"/>
      <c r="JO2627" s="18"/>
      <c r="JP2627" s="18"/>
      <c r="JQ2627" s="18"/>
      <c r="JR2627" s="18"/>
      <c r="JS2627" s="18"/>
    </row>
    <row r="2628" spans="16:279" x14ac:dyDescent="0.2">
      <c r="P2628" s="21"/>
      <c r="Q2628" s="21"/>
      <c r="R2628" s="21"/>
      <c r="S2628" s="21"/>
      <c r="DT2628" s="16"/>
      <c r="DU2628" s="16"/>
      <c r="DV2628" s="16"/>
      <c r="DW2628" s="16"/>
      <c r="DX2628" s="16"/>
      <c r="JO2628" s="18"/>
      <c r="JP2628" s="18"/>
      <c r="JQ2628" s="18"/>
      <c r="JR2628" s="18"/>
      <c r="JS2628" s="18"/>
    </row>
    <row r="2629" spans="16:279" x14ac:dyDescent="0.2">
      <c r="P2629" s="21"/>
      <c r="Q2629" s="21"/>
      <c r="R2629" s="21"/>
      <c r="S2629" s="21"/>
      <c r="DT2629" s="16"/>
      <c r="DU2629" s="16"/>
      <c r="DV2629" s="16"/>
      <c r="DW2629" s="16"/>
      <c r="DX2629" s="16"/>
      <c r="JO2629" s="18"/>
      <c r="JP2629" s="18"/>
      <c r="JQ2629" s="18"/>
      <c r="JR2629" s="18"/>
      <c r="JS2629" s="18"/>
    </row>
    <row r="2630" spans="16:279" x14ac:dyDescent="0.2">
      <c r="P2630" s="21"/>
      <c r="Q2630" s="21"/>
      <c r="R2630" s="21"/>
      <c r="S2630" s="21"/>
      <c r="DT2630" s="16"/>
      <c r="DU2630" s="16"/>
      <c r="DV2630" s="16"/>
      <c r="DW2630" s="16"/>
      <c r="DX2630" s="16"/>
      <c r="JO2630" s="18"/>
      <c r="JP2630" s="18"/>
      <c r="JQ2630" s="18"/>
      <c r="JR2630" s="18"/>
      <c r="JS2630" s="18"/>
    </row>
    <row r="2631" spans="16:279" x14ac:dyDescent="0.2">
      <c r="P2631" s="21"/>
      <c r="Q2631" s="21"/>
      <c r="R2631" s="21"/>
      <c r="S2631" s="21"/>
      <c r="DT2631" s="16"/>
      <c r="DU2631" s="16"/>
      <c r="DV2631" s="16"/>
      <c r="DW2631" s="16"/>
      <c r="DX2631" s="16"/>
      <c r="JO2631" s="18"/>
      <c r="JP2631" s="18"/>
      <c r="JQ2631" s="18"/>
      <c r="JR2631" s="18"/>
      <c r="JS2631" s="18"/>
    </row>
    <row r="2632" spans="16:279" x14ac:dyDescent="0.2">
      <c r="P2632" s="21"/>
      <c r="Q2632" s="21"/>
      <c r="R2632" s="21"/>
      <c r="S2632" s="21"/>
      <c r="DT2632" s="16"/>
      <c r="DU2632" s="16"/>
      <c r="DV2632" s="16"/>
      <c r="DW2632" s="16"/>
      <c r="DX2632" s="16"/>
      <c r="JO2632" s="18"/>
      <c r="JP2632" s="18"/>
      <c r="JQ2632" s="18"/>
      <c r="JR2632" s="18"/>
      <c r="JS2632" s="18"/>
    </row>
    <row r="2633" spans="16:279" x14ac:dyDescent="0.2">
      <c r="P2633" s="21"/>
      <c r="Q2633" s="21"/>
      <c r="R2633" s="21"/>
      <c r="S2633" s="21"/>
      <c r="DT2633" s="16"/>
      <c r="DU2633" s="16"/>
      <c r="DV2633" s="16"/>
      <c r="DW2633" s="16"/>
      <c r="DX2633" s="16"/>
      <c r="JO2633" s="18"/>
      <c r="JP2633" s="18"/>
      <c r="JQ2633" s="18"/>
      <c r="JR2633" s="18"/>
      <c r="JS2633" s="18"/>
    </row>
    <row r="2634" spans="16:279" x14ac:dyDescent="0.2">
      <c r="P2634" s="21"/>
      <c r="Q2634" s="21"/>
      <c r="R2634" s="21"/>
      <c r="S2634" s="21"/>
      <c r="DT2634" s="16"/>
      <c r="DU2634" s="16"/>
      <c r="DV2634" s="16"/>
      <c r="DW2634" s="16"/>
      <c r="DX2634" s="16"/>
      <c r="JO2634" s="18"/>
      <c r="JP2634" s="18"/>
      <c r="JQ2634" s="18"/>
      <c r="JR2634" s="18"/>
      <c r="JS2634" s="18"/>
    </row>
    <row r="2635" spans="16:279" x14ac:dyDescent="0.2">
      <c r="P2635" s="21"/>
      <c r="Q2635" s="21"/>
      <c r="R2635" s="21"/>
      <c r="S2635" s="21"/>
      <c r="DT2635" s="16"/>
      <c r="DU2635" s="16"/>
      <c r="DV2635" s="16"/>
      <c r="DW2635" s="16"/>
      <c r="DX2635" s="16"/>
      <c r="JO2635" s="18"/>
      <c r="JP2635" s="18"/>
      <c r="JQ2635" s="18"/>
      <c r="JR2635" s="18"/>
      <c r="JS2635" s="18"/>
    </row>
    <row r="2636" spans="16:279" x14ac:dyDescent="0.2">
      <c r="P2636" s="21"/>
      <c r="Q2636" s="21"/>
      <c r="R2636" s="21"/>
      <c r="S2636" s="21"/>
      <c r="DT2636" s="16"/>
      <c r="DU2636" s="16"/>
      <c r="DV2636" s="16"/>
      <c r="DW2636" s="16"/>
      <c r="DX2636" s="16"/>
      <c r="JO2636" s="18"/>
      <c r="JP2636" s="18"/>
      <c r="JQ2636" s="18"/>
      <c r="JR2636" s="18"/>
      <c r="JS2636" s="18"/>
    </row>
    <row r="2637" spans="16:279" x14ac:dyDescent="0.2">
      <c r="P2637" s="21"/>
      <c r="Q2637" s="21"/>
      <c r="R2637" s="21"/>
      <c r="S2637" s="21"/>
      <c r="DT2637" s="16"/>
      <c r="DU2637" s="16"/>
      <c r="DV2637" s="16"/>
      <c r="DW2637" s="16"/>
      <c r="DX2637" s="16"/>
      <c r="JO2637" s="18"/>
      <c r="JP2637" s="18"/>
      <c r="JQ2637" s="18"/>
      <c r="JR2637" s="18"/>
      <c r="JS2637" s="18"/>
    </row>
    <row r="2638" spans="16:279" x14ac:dyDescent="0.2">
      <c r="P2638" s="21"/>
      <c r="Q2638" s="21"/>
      <c r="R2638" s="21"/>
      <c r="S2638" s="21"/>
      <c r="DT2638" s="16"/>
      <c r="DU2638" s="16"/>
      <c r="DV2638" s="16"/>
      <c r="DW2638" s="16"/>
      <c r="DX2638" s="16"/>
      <c r="JO2638" s="18"/>
      <c r="JP2638" s="18"/>
      <c r="JQ2638" s="18"/>
      <c r="JR2638" s="18"/>
      <c r="JS2638" s="18"/>
    </row>
    <row r="2639" spans="16:279" x14ac:dyDescent="0.2">
      <c r="P2639" s="21"/>
      <c r="Q2639" s="21"/>
      <c r="R2639" s="21"/>
      <c r="S2639" s="21"/>
      <c r="DT2639" s="16"/>
      <c r="DU2639" s="16"/>
      <c r="DV2639" s="16"/>
      <c r="DW2639" s="16"/>
      <c r="DX2639" s="16"/>
      <c r="JO2639" s="18"/>
      <c r="JP2639" s="18"/>
      <c r="JQ2639" s="18"/>
      <c r="JR2639" s="18"/>
      <c r="JS2639" s="18"/>
    </row>
    <row r="2640" spans="16:279" x14ac:dyDescent="0.2">
      <c r="P2640" s="21"/>
      <c r="Q2640" s="21"/>
      <c r="R2640" s="21"/>
      <c r="S2640" s="21"/>
      <c r="DT2640" s="16"/>
      <c r="DU2640" s="16"/>
      <c r="DV2640" s="16"/>
      <c r="DW2640" s="16"/>
      <c r="DX2640" s="16"/>
      <c r="JO2640" s="18"/>
      <c r="JP2640" s="18"/>
      <c r="JQ2640" s="18"/>
      <c r="JR2640" s="18"/>
      <c r="JS2640" s="18"/>
    </row>
    <row r="2641" spans="16:279" x14ac:dyDescent="0.2">
      <c r="P2641" s="21"/>
      <c r="Q2641" s="21"/>
      <c r="R2641" s="21"/>
      <c r="S2641" s="21"/>
      <c r="DT2641" s="16"/>
      <c r="DU2641" s="16"/>
      <c r="DV2641" s="16"/>
      <c r="DW2641" s="16"/>
      <c r="DX2641" s="16"/>
      <c r="JO2641" s="18"/>
      <c r="JP2641" s="18"/>
      <c r="JQ2641" s="18"/>
      <c r="JR2641" s="18"/>
      <c r="JS2641" s="18"/>
    </row>
    <row r="2642" spans="16:279" x14ac:dyDescent="0.2">
      <c r="P2642" s="21"/>
      <c r="Q2642" s="21"/>
      <c r="R2642" s="21"/>
      <c r="S2642" s="21"/>
      <c r="DT2642" s="16"/>
      <c r="DU2642" s="16"/>
      <c r="DV2642" s="16"/>
      <c r="DW2642" s="16"/>
      <c r="DX2642" s="16"/>
      <c r="JO2642" s="18"/>
      <c r="JP2642" s="18"/>
      <c r="JQ2642" s="18"/>
      <c r="JR2642" s="18"/>
      <c r="JS2642" s="18"/>
    </row>
    <row r="2643" spans="16:279" x14ac:dyDescent="0.2">
      <c r="P2643" s="21"/>
      <c r="Q2643" s="21"/>
      <c r="R2643" s="21"/>
      <c r="S2643" s="21"/>
      <c r="DT2643" s="16"/>
      <c r="DU2643" s="16"/>
      <c r="DV2643" s="16"/>
      <c r="DW2643" s="16"/>
      <c r="JO2643" s="18"/>
      <c r="JP2643" s="18"/>
      <c r="JQ2643" s="18"/>
      <c r="JR2643" s="18"/>
    </row>
    <row r="2644" spans="16:279" x14ac:dyDescent="0.2">
      <c r="P2644" s="21"/>
      <c r="Q2644" s="21"/>
      <c r="R2644" s="21"/>
      <c r="S2644" s="21"/>
      <c r="DT2644" s="16"/>
      <c r="DU2644" s="16"/>
      <c r="DV2644" s="16"/>
      <c r="DW2644" s="16"/>
      <c r="JO2644" s="18"/>
      <c r="JP2644" s="18"/>
      <c r="JQ2644" s="18"/>
      <c r="JR2644" s="18"/>
    </row>
    <row r="2645" spans="16:279" x14ac:dyDescent="0.2">
      <c r="P2645" s="21"/>
      <c r="Q2645" s="21"/>
      <c r="R2645" s="21"/>
      <c r="S2645" s="21"/>
      <c r="DT2645" s="16"/>
      <c r="DU2645" s="16"/>
      <c r="DV2645" s="16"/>
      <c r="DW2645" s="16"/>
      <c r="JO2645" s="18"/>
      <c r="JP2645" s="18"/>
      <c r="JQ2645" s="18"/>
      <c r="JR2645" s="18"/>
    </row>
    <row r="2646" spans="16:279" x14ac:dyDescent="0.2">
      <c r="P2646" s="21"/>
      <c r="Q2646" s="21"/>
      <c r="R2646" s="21"/>
      <c r="S2646" s="21"/>
      <c r="DT2646" s="16"/>
      <c r="DU2646" s="16"/>
      <c r="DV2646" s="16"/>
      <c r="DW2646" s="16"/>
      <c r="JO2646" s="18"/>
      <c r="JP2646" s="18"/>
      <c r="JQ2646" s="18"/>
      <c r="JR2646" s="18"/>
    </row>
    <row r="2647" spans="16:279" x14ac:dyDescent="0.2">
      <c r="P2647" s="21"/>
      <c r="Q2647" s="21"/>
      <c r="R2647" s="21"/>
      <c r="S2647" s="21"/>
      <c r="DT2647" s="16"/>
      <c r="DU2647" s="16"/>
      <c r="DV2647" s="16"/>
      <c r="DW2647" s="16"/>
      <c r="JO2647" s="18"/>
      <c r="JP2647" s="18"/>
      <c r="JQ2647" s="18"/>
      <c r="JR2647" s="18"/>
    </row>
    <row r="2648" spans="16:279" x14ac:dyDescent="0.2">
      <c r="P2648" s="21"/>
      <c r="Q2648" s="21"/>
      <c r="R2648" s="21"/>
      <c r="S2648" s="21"/>
      <c r="DT2648" s="16"/>
      <c r="DU2648" s="16"/>
      <c r="DV2648" s="16"/>
      <c r="JO2648" s="18"/>
      <c r="JP2648" s="18"/>
      <c r="JQ2648" s="18"/>
    </row>
    <row r="2649" spans="16:279" x14ac:dyDescent="0.2">
      <c r="P2649" s="21"/>
      <c r="Q2649" s="21"/>
      <c r="R2649" s="21"/>
      <c r="S2649" s="21"/>
      <c r="DT2649" s="16"/>
      <c r="DU2649" s="16"/>
      <c r="DV2649" s="16"/>
      <c r="JO2649" s="18"/>
      <c r="JP2649" s="18"/>
      <c r="JQ2649" s="18"/>
    </row>
    <row r="2650" spans="16:279" x14ac:dyDescent="0.2">
      <c r="P2650" s="21"/>
      <c r="Q2650" s="21"/>
      <c r="R2650" s="21"/>
      <c r="S2650" s="21"/>
      <c r="DT2650" s="16"/>
      <c r="DU2650" s="16"/>
      <c r="DV2650" s="16"/>
      <c r="JO2650" s="18"/>
      <c r="JP2650" s="18"/>
      <c r="JQ2650" s="18"/>
    </row>
    <row r="2651" spans="16:279" x14ac:dyDescent="0.2">
      <c r="P2651" s="21"/>
      <c r="Q2651" s="21"/>
      <c r="R2651" s="21"/>
      <c r="S2651" s="21"/>
      <c r="DT2651" s="16"/>
      <c r="DU2651" s="16"/>
      <c r="DV2651" s="16"/>
      <c r="JO2651" s="18"/>
      <c r="JP2651" s="18"/>
      <c r="JQ2651" s="18"/>
    </row>
    <row r="2652" spans="16:279" x14ac:dyDescent="0.2">
      <c r="P2652" s="21"/>
      <c r="Q2652" s="21"/>
      <c r="R2652" s="21"/>
      <c r="S2652" s="21"/>
      <c r="DT2652" s="16"/>
      <c r="DU2652" s="16"/>
      <c r="DV2652" s="16"/>
      <c r="JO2652" s="18"/>
      <c r="JP2652" s="18"/>
      <c r="JQ2652" s="18"/>
    </row>
    <row r="2653" spans="16:279" x14ac:dyDescent="0.2">
      <c r="P2653" s="21"/>
      <c r="Q2653" s="21"/>
      <c r="R2653" s="21"/>
      <c r="S2653" s="21"/>
      <c r="DT2653" s="16"/>
      <c r="DU2653" s="16"/>
      <c r="DV2653" s="16"/>
      <c r="JO2653" s="18"/>
      <c r="JP2653" s="18"/>
      <c r="JQ2653" s="18"/>
    </row>
    <row r="2654" spans="16:279" x14ac:dyDescent="0.2">
      <c r="P2654" s="21"/>
      <c r="Q2654" s="21"/>
      <c r="R2654" s="21"/>
      <c r="S2654" s="21"/>
      <c r="DT2654" s="16"/>
      <c r="DU2654" s="16"/>
      <c r="DV2654" s="16"/>
      <c r="JO2654" s="18"/>
      <c r="JP2654" s="18"/>
      <c r="JQ2654" s="18"/>
    </row>
    <row r="2655" spans="16:279" x14ac:dyDescent="0.2">
      <c r="P2655" s="21"/>
      <c r="Q2655" s="21"/>
      <c r="R2655" s="21"/>
      <c r="S2655" s="21"/>
      <c r="DT2655" s="16"/>
      <c r="DU2655" s="16"/>
      <c r="DV2655" s="16"/>
      <c r="JO2655" s="18"/>
      <c r="JP2655" s="18"/>
      <c r="JQ2655" s="18"/>
    </row>
    <row r="2656" spans="16:279" x14ac:dyDescent="0.2">
      <c r="P2656" s="21"/>
      <c r="Q2656" s="21"/>
      <c r="R2656" s="21"/>
      <c r="S2656" s="21"/>
      <c r="DT2656" s="16"/>
      <c r="DU2656" s="16"/>
      <c r="DV2656" s="16"/>
      <c r="JO2656" s="18"/>
      <c r="JP2656" s="18"/>
      <c r="JQ2656" s="18"/>
    </row>
    <row r="2657" spans="16:277" x14ac:dyDescent="0.2">
      <c r="P2657" s="21"/>
      <c r="Q2657" s="21"/>
      <c r="R2657" s="21"/>
      <c r="S2657" s="21"/>
      <c r="DT2657" s="16"/>
      <c r="DU2657" s="16"/>
      <c r="DV2657" s="16"/>
      <c r="JO2657" s="18"/>
      <c r="JP2657" s="18"/>
      <c r="JQ2657" s="18"/>
    </row>
    <row r="2658" spans="16:277" x14ac:dyDescent="0.2">
      <c r="P2658" s="21"/>
      <c r="Q2658" s="21"/>
      <c r="R2658" s="21"/>
      <c r="S2658" s="21"/>
      <c r="DT2658" s="16"/>
      <c r="DU2658" s="16"/>
      <c r="DV2658" s="16"/>
      <c r="JO2658" s="18"/>
      <c r="JP2658" s="18"/>
      <c r="JQ2658" s="18"/>
    </row>
    <row r="2659" spans="16:277" x14ac:dyDescent="0.2">
      <c r="P2659" s="21"/>
      <c r="Q2659" s="21"/>
      <c r="R2659" s="21"/>
      <c r="S2659" s="21"/>
      <c r="DT2659" s="16"/>
      <c r="DU2659" s="16"/>
      <c r="DV2659" s="16"/>
      <c r="JO2659" s="18"/>
      <c r="JP2659" s="18"/>
      <c r="JQ2659" s="18"/>
    </row>
    <row r="2660" spans="16:277" x14ac:dyDescent="0.2">
      <c r="P2660" s="21"/>
      <c r="Q2660" s="21"/>
      <c r="R2660" s="21"/>
      <c r="S2660" s="21"/>
      <c r="DT2660" s="16"/>
      <c r="DU2660" s="16"/>
      <c r="DV2660" s="16"/>
      <c r="JO2660" s="18"/>
      <c r="JP2660" s="18"/>
      <c r="JQ2660" s="18"/>
    </row>
  </sheetData>
  <sheetProtection sort="0"/>
  <sortState xmlns:xlrd2="http://schemas.microsoft.com/office/spreadsheetml/2017/richdata2" ref="A2:KB2673">
    <sortCondition ref="G2:G2673"/>
    <sortCondition ref="O2:O2673"/>
    <sortCondition ref="J2:J2673"/>
    <sortCondition ref="C2:C2673"/>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6387"/>
  <sheetViews>
    <sheetView workbookViewId="0">
      <selection activeCell="B19" sqref="B19"/>
    </sheetView>
  </sheetViews>
  <sheetFormatPr baseColWidth="10" defaultRowHeight="16" x14ac:dyDescent="0.2"/>
  <cols>
    <col min="1" max="1" width="22.5" style="99" customWidth="1"/>
    <col min="2" max="2" width="42.6640625" customWidth="1"/>
  </cols>
  <sheetData>
    <row r="1" spans="1:18" x14ac:dyDescent="0.2">
      <c r="A1" s="112" t="s">
        <v>291</v>
      </c>
      <c r="B1" s="111" t="s">
        <v>292</v>
      </c>
      <c r="R1" t="s">
        <v>366</v>
      </c>
    </row>
    <row r="2" spans="1:18" x14ac:dyDescent="0.2">
      <c r="A2" s="100" t="s">
        <v>322</v>
      </c>
      <c r="B2" t="s">
        <v>293</v>
      </c>
    </row>
    <row r="3" spans="1:18" x14ac:dyDescent="0.2">
      <c r="A3" s="101" t="s">
        <v>0</v>
      </c>
      <c r="B3" t="s">
        <v>294</v>
      </c>
    </row>
    <row r="4" spans="1:18" x14ac:dyDescent="0.2">
      <c r="A4" s="102" t="s">
        <v>1</v>
      </c>
      <c r="B4" t="s">
        <v>295</v>
      </c>
    </row>
    <row r="5" spans="1:18" x14ac:dyDescent="0.2">
      <c r="A5" s="102" t="s">
        <v>370</v>
      </c>
      <c r="B5" t="s">
        <v>372</v>
      </c>
    </row>
    <row r="6" spans="1:18" x14ac:dyDescent="0.2">
      <c r="A6" s="102" t="s">
        <v>2</v>
      </c>
      <c r="B6" t="s">
        <v>296</v>
      </c>
    </row>
    <row r="7" spans="1:18" x14ac:dyDescent="0.2">
      <c r="A7" s="102" t="s">
        <v>297</v>
      </c>
      <c r="B7" t="s">
        <v>298</v>
      </c>
    </row>
    <row r="8" spans="1:18" x14ac:dyDescent="0.2">
      <c r="A8" s="102" t="s">
        <v>3</v>
      </c>
      <c r="B8" t="s">
        <v>299</v>
      </c>
    </row>
    <row r="9" spans="1:18" x14ac:dyDescent="0.2">
      <c r="A9" s="102" t="s">
        <v>4</v>
      </c>
      <c r="B9" t="s">
        <v>302</v>
      </c>
    </row>
    <row r="10" spans="1:18" x14ac:dyDescent="0.2">
      <c r="A10" s="102" t="s">
        <v>5</v>
      </c>
      <c r="B10" t="s">
        <v>300</v>
      </c>
      <c r="I10" s="111" t="s">
        <v>354</v>
      </c>
      <c r="J10" s="111" t="s">
        <v>292</v>
      </c>
    </row>
    <row r="11" spans="1:18" x14ac:dyDescent="0.2">
      <c r="A11" s="102" t="s">
        <v>6</v>
      </c>
      <c r="B11" t="s">
        <v>365</v>
      </c>
      <c r="I11" s="106" t="s">
        <v>355</v>
      </c>
      <c r="J11" t="s">
        <v>356</v>
      </c>
    </row>
    <row r="12" spans="1:18" x14ac:dyDescent="0.2">
      <c r="A12" s="102" t="s">
        <v>7</v>
      </c>
      <c r="B12" t="s">
        <v>301</v>
      </c>
      <c r="I12" s="107" t="s">
        <v>357</v>
      </c>
      <c r="J12" t="s">
        <v>358</v>
      </c>
    </row>
    <row r="13" spans="1:18" x14ac:dyDescent="0.2">
      <c r="A13" s="102" t="s">
        <v>8</v>
      </c>
      <c r="B13" t="s">
        <v>8</v>
      </c>
      <c r="I13" s="108" t="s">
        <v>359</v>
      </c>
      <c r="J13" t="s">
        <v>360</v>
      </c>
    </row>
    <row r="14" spans="1:18" x14ac:dyDescent="0.2">
      <c r="A14" s="102" t="s">
        <v>303</v>
      </c>
      <c r="B14" t="s">
        <v>305</v>
      </c>
      <c r="I14" s="109" t="s">
        <v>361</v>
      </c>
      <c r="J14" t="s">
        <v>364</v>
      </c>
    </row>
    <row r="15" spans="1:18" x14ac:dyDescent="0.2">
      <c r="A15" s="102" t="s">
        <v>9</v>
      </c>
      <c r="B15" t="s">
        <v>304</v>
      </c>
      <c r="I15" s="110" t="s">
        <v>362</v>
      </c>
      <c r="J15" t="s">
        <v>363</v>
      </c>
    </row>
    <row r="16" spans="1:18" x14ac:dyDescent="0.2">
      <c r="A16" s="102" t="s">
        <v>10</v>
      </c>
      <c r="B16" t="s">
        <v>388</v>
      </c>
      <c r="I16" t="s">
        <v>367</v>
      </c>
      <c r="J16" t="s">
        <v>368</v>
      </c>
    </row>
    <row r="17" spans="1:2" ht="29" x14ac:dyDescent="0.2">
      <c r="A17" s="102" t="s">
        <v>11</v>
      </c>
      <c r="B17" t="s">
        <v>309</v>
      </c>
    </row>
    <row r="18" spans="1:2" x14ac:dyDescent="0.2">
      <c r="A18" s="103" t="s">
        <v>12</v>
      </c>
      <c r="B18" t="s">
        <v>310</v>
      </c>
    </row>
    <row r="19" spans="1:2" x14ac:dyDescent="0.2">
      <c r="A19" s="103" t="s">
        <v>13</v>
      </c>
      <c r="B19" t="s">
        <v>311</v>
      </c>
    </row>
    <row r="20" spans="1:2" x14ac:dyDescent="0.2">
      <c r="A20" s="102" t="s">
        <v>14</v>
      </c>
      <c r="B20" t="s">
        <v>312</v>
      </c>
    </row>
    <row r="21" spans="1:2" x14ac:dyDescent="0.2">
      <c r="A21" s="102" t="s">
        <v>15</v>
      </c>
      <c r="B21" t="s">
        <v>313</v>
      </c>
    </row>
    <row r="22" spans="1:2" x14ac:dyDescent="0.2">
      <c r="A22" s="102" t="s">
        <v>16</v>
      </c>
      <c r="B22" t="s">
        <v>314</v>
      </c>
    </row>
    <row r="23" spans="1:2" x14ac:dyDescent="0.2">
      <c r="A23" s="102" t="s">
        <v>17</v>
      </c>
      <c r="B23" t="s">
        <v>315</v>
      </c>
    </row>
    <row r="24" spans="1:2" x14ac:dyDescent="0.2">
      <c r="A24" s="102" t="s">
        <v>18</v>
      </c>
      <c r="B24" t="s">
        <v>316</v>
      </c>
    </row>
    <row r="25" spans="1:2" x14ac:dyDescent="0.2">
      <c r="A25" s="102" t="s">
        <v>19</v>
      </c>
      <c r="B25" t="s">
        <v>317</v>
      </c>
    </row>
    <row r="26" spans="1:2" x14ac:dyDescent="0.2">
      <c r="A26" s="102" t="s">
        <v>20</v>
      </c>
      <c r="B26" t="s">
        <v>318</v>
      </c>
    </row>
    <row r="27" spans="1:2" x14ac:dyDescent="0.2">
      <c r="A27" s="102" t="s">
        <v>21</v>
      </c>
      <c r="B27" t="s">
        <v>323</v>
      </c>
    </row>
    <row r="28" spans="1:2" x14ac:dyDescent="0.2">
      <c r="A28" s="102" t="s">
        <v>22</v>
      </c>
      <c r="B28" t="s">
        <v>324</v>
      </c>
    </row>
    <row r="29" spans="1:2" x14ac:dyDescent="0.2">
      <c r="A29" s="102" t="s">
        <v>23</v>
      </c>
      <c r="B29" t="s">
        <v>325</v>
      </c>
    </row>
    <row r="30" spans="1:2" x14ac:dyDescent="0.2">
      <c r="A30" s="102" t="s">
        <v>24</v>
      </c>
      <c r="B30" t="s">
        <v>326</v>
      </c>
    </row>
    <row r="31" spans="1:2" x14ac:dyDescent="0.2">
      <c r="A31" s="102" t="s">
        <v>25</v>
      </c>
      <c r="B31" t="s">
        <v>327</v>
      </c>
    </row>
    <row r="32" spans="1:2" x14ac:dyDescent="0.2">
      <c r="A32" s="102" t="s">
        <v>26</v>
      </c>
      <c r="B32" t="s">
        <v>328</v>
      </c>
    </row>
    <row r="33" spans="1:2" x14ac:dyDescent="0.2">
      <c r="A33" s="102" t="s">
        <v>27</v>
      </c>
      <c r="B33" t="s">
        <v>329</v>
      </c>
    </row>
    <row r="34" spans="1:2" x14ac:dyDescent="0.2">
      <c r="A34" s="102" t="s">
        <v>28</v>
      </c>
      <c r="B34" t="s">
        <v>330</v>
      </c>
    </row>
    <row r="35" spans="1:2" x14ac:dyDescent="0.2">
      <c r="A35" s="102" t="s">
        <v>29</v>
      </c>
      <c r="B35" t="s">
        <v>331</v>
      </c>
    </row>
    <row r="36" spans="1:2" x14ac:dyDescent="0.2">
      <c r="A36" s="102" t="s">
        <v>30</v>
      </c>
      <c r="B36" t="s">
        <v>331</v>
      </c>
    </row>
    <row r="37" spans="1:2" x14ac:dyDescent="0.2">
      <c r="A37" s="102" t="s">
        <v>31</v>
      </c>
      <c r="B37" t="s">
        <v>331</v>
      </c>
    </row>
    <row r="38" spans="1:2" x14ac:dyDescent="0.2">
      <c r="A38" s="102" t="s">
        <v>32</v>
      </c>
      <c r="B38" t="s">
        <v>332</v>
      </c>
    </row>
    <row r="39" spans="1:2" x14ac:dyDescent="0.2">
      <c r="A39" s="102" t="s">
        <v>33</v>
      </c>
      <c r="B39" t="s">
        <v>333</v>
      </c>
    </row>
    <row r="40" spans="1:2" x14ac:dyDescent="0.2">
      <c r="A40" s="102" t="s">
        <v>34</v>
      </c>
      <c r="B40" t="s">
        <v>335</v>
      </c>
    </row>
    <row r="41" spans="1:2" x14ac:dyDescent="0.2">
      <c r="A41" s="102" t="s">
        <v>35</v>
      </c>
      <c r="B41" t="s">
        <v>334</v>
      </c>
    </row>
    <row r="42" spans="1:2" x14ac:dyDescent="0.2">
      <c r="A42" s="102" t="s">
        <v>36</v>
      </c>
      <c r="B42" t="s">
        <v>369</v>
      </c>
    </row>
    <row r="43" spans="1:2" x14ac:dyDescent="0.2">
      <c r="A43" s="102" t="s">
        <v>37</v>
      </c>
      <c r="B43" t="s">
        <v>337</v>
      </c>
    </row>
    <row r="44" spans="1:2" x14ac:dyDescent="0.2">
      <c r="A44" s="102" t="s">
        <v>38</v>
      </c>
      <c r="B44" t="s">
        <v>336</v>
      </c>
    </row>
    <row r="45" spans="1:2" x14ac:dyDescent="0.2">
      <c r="A45" s="102" t="s">
        <v>39</v>
      </c>
      <c r="B45" t="s">
        <v>338</v>
      </c>
    </row>
    <row r="46" spans="1:2" x14ac:dyDescent="0.2">
      <c r="A46" s="104" t="s">
        <v>40</v>
      </c>
      <c r="B46" t="s">
        <v>339</v>
      </c>
    </row>
    <row r="47" spans="1:2" x14ac:dyDescent="0.2">
      <c r="A47" s="102" t="s">
        <v>41</v>
      </c>
      <c r="B47" t="s">
        <v>331</v>
      </c>
    </row>
    <row r="48" spans="1:2" x14ac:dyDescent="0.2">
      <c r="A48" s="102" t="s">
        <v>42</v>
      </c>
      <c r="B48" t="s">
        <v>340</v>
      </c>
    </row>
    <row r="49" spans="1:2" x14ac:dyDescent="0.2">
      <c r="A49" s="102" t="s">
        <v>43</v>
      </c>
      <c r="B49" t="s">
        <v>341</v>
      </c>
    </row>
    <row r="50" spans="1:2" x14ac:dyDescent="0.2">
      <c r="A50" s="102" t="s">
        <v>44</v>
      </c>
    </row>
    <row r="51" spans="1:2" x14ac:dyDescent="0.2">
      <c r="A51" s="102" t="s">
        <v>45</v>
      </c>
    </row>
    <row r="52" spans="1:2" x14ac:dyDescent="0.2">
      <c r="A52" s="102" t="s">
        <v>46</v>
      </c>
    </row>
    <row r="53" spans="1:2" x14ac:dyDescent="0.2">
      <c r="A53" s="102" t="s">
        <v>47</v>
      </c>
    </row>
    <row r="54" spans="1:2" x14ac:dyDescent="0.2">
      <c r="A54" s="102" t="s">
        <v>48</v>
      </c>
    </row>
    <row r="55" spans="1:2" x14ac:dyDescent="0.2">
      <c r="A55" s="102" t="s">
        <v>49</v>
      </c>
    </row>
    <row r="56" spans="1:2" x14ac:dyDescent="0.2">
      <c r="A56" s="102" t="s">
        <v>50</v>
      </c>
    </row>
    <row r="57" spans="1:2" x14ac:dyDescent="0.2">
      <c r="A57" s="102" t="s">
        <v>51</v>
      </c>
    </row>
    <row r="58" spans="1:2" x14ac:dyDescent="0.2">
      <c r="A58" s="102" t="s">
        <v>52</v>
      </c>
    </row>
    <row r="59" spans="1:2" x14ac:dyDescent="0.2">
      <c r="A59" s="102" t="s">
        <v>53</v>
      </c>
    </row>
    <row r="60" spans="1:2" x14ac:dyDescent="0.2">
      <c r="A60" s="102" t="s">
        <v>54</v>
      </c>
    </row>
    <row r="61" spans="1:2" x14ac:dyDescent="0.2">
      <c r="A61" s="102" t="s">
        <v>55</v>
      </c>
    </row>
    <row r="62" spans="1:2" x14ac:dyDescent="0.2">
      <c r="A62" s="102" t="s">
        <v>56</v>
      </c>
    </row>
    <row r="63" spans="1:2" x14ac:dyDescent="0.2">
      <c r="A63" s="102" t="s">
        <v>57</v>
      </c>
    </row>
    <row r="64" spans="1:2" x14ac:dyDescent="0.2">
      <c r="A64" s="102" t="s">
        <v>58</v>
      </c>
    </row>
    <row r="65" spans="1:2" x14ac:dyDescent="0.2">
      <c r="A65" s="102" t="s">
        <v>59</v>
      </c>
    </row>
    <row r="66" spans="1:2" x14ac:dyDescent="0.2">
      <c r="A66" s="102" t="s">
        <v>60</v>
      </c>
    </row>
    <row r="67" spans="1:2" x14ac:dyDescent="0.2">
      <c r="A67" s="102" t="s">
        <v>61</v>
      </c>
    </row>
    <row r="68" spans="1:2" x14ac:dyDescent="0.2">
      <c r="A68" s="102" t="s">
        <v>62</v>
      </c>
    </row>
    <row r="69" spans="1:2" x14ac:dyDescent="0.2">
      <c r="A69" s="102" t="s">
        <v>63</v>
      </c>
    </row>
    <row r="70" spans="1:2" x14ac:dyDescent="0.2">
      <c r="A70" s="102" t="s">
        <v>64</v>
      </c>
    </row>
    <row r="71" spans="1:2" x14ac:dyDescent="0.2">
      <c r="A71" s="102" t="s">
        <v>65</v>
      </c>
    </row>
    <row r="72" spans="1:2" x14ac:dyDescent="0.2">
      <c r="A72" s="102" t="s">
        <v>66</v>
      </c>
    </row>
    <row r="73" spans="1:2" x14ac:dyDescent="0.2">
      <c r="A73" s="102" t="s">
        <v>67</v>
      </c>
    </row>
    <row r="74" spans="1:2" x14ac:dyDescent="0.2">
      <c r="A74" s="102" t="s">
        <v>68</v>
      </c>
    </row>
    <row r="75" spans="1:2" x14ac:dyDescent="0.2">
      <c r="A75" s="102" t="s">
        <v>69</v>
      </c>
    </row>
    <row r="76" spans="1:2" x14ac:dyDescent="0.2">
      <c r="A76" s="102" t="s">
        <v>70</v>
      </c>
    </row>
    <row r="77" spans="1:2" x14ac:dyDescent="0.2">
      <c r="A77" s="102" t="s">
        <v>71</v>
      </c>
      <c r="B77" t="s">
        <v>342</v>
      </c>
    </row>
    <row r="78" spans="1:2" x14ac:dyDescent="0.2">
      <c r="A78" s="102" t="s">
        <v>72</v>
      </c>
      <c r="B78" t="s">
        <v>342</v>
      </c>
    </row>
    <row r="79" spans="1:2" x14ac:dyDescent="0.2">
      <c r="A79" s="102" t="s">
        <v>73</v>
      </c>
      <c r="B79" t="s">
        <v>342</v>
      </c>
    </row>
    <row r="80" spans="1:2" x14ac:dyDescent="0.2">
      <c r="A80" s="102" t="s">
        <v>74</v>
      </c>
    </row>
    <row r="81" spans="1:2" x14ac:dyDescent="0.2">
      <c r="A81" s="102" t="s">
        <v>75</v>
      </c>
    </row>
    <row r="82" spans="1:2" x14ac:dyDescent="0.2">
      <c r="A82" s="102" t="s">
        <v>76</v>
      </c>
    </row>
    <row r="83" spans="1:2" ht="17" x14ac:dyDescent="0.2">
      <c r="A83" s="105" t="s">
        <v>77</v>
      </c>
      <c r="B83" t="s">
        <v>342</v>
      </c>
    </row>
    <row r="84" spans="1:2" ht="17" x14ac:dyDescent="0.2">
      <c r="A84" s="105" t="s">
        <v>78</v>
      </c>
      <c r="B84" t="s">
        <v>342</v>
      </c>
    </row>
    <row r="85" spans="1:2" ht="17" x14ac:dyDescent="0.2">
      <c r="A85" s="105" t="s">
        <v>79</v>
      </c>
      <c r="B85" t="s">
        <v>342</v>
      </c>
    </row>
    <row r="86" spans="1:2" ht="17" x14ac:dyDescent="0.2">
      <c r="A86" s="105" t="s">
        <v>80</v>
      </c>
      <c r="B86" t="s">
        <v>342</v>
      </c>
    </row>
    <row r="87" spans="1:2" ht="17" x14ac:dyDescent="0.2">
      <c r="A87" s="105" t="s">
        <v>81</v>
      </c>
      <c r="B87" t="s">
        <v>342</v>
      </c>
    </row>
    <row r="88" spans="1:2" ht="17" x14ac:dyDescent="0.2">
      <c r="A88" s="105" t="s">
        <v>82</v>
      </c>
      <c r="B88" t="s">
        <v>342</v>
      </c>
    </row>
    <row r="89" spans="1:2" x14ac:dyDescent="0.2">
      <c r="A89" s="102" t="s">
        <v>83</v>
      </c>
    </row>
    <row r="90" spans="1:2" x14ac:dyDescent="0.2">
      <c r="A90" s="102" t="s">
        <v>84</v>
      </c>
    </row>
    <row r="91" spans="1:2" x14ac:dyDescent="0.2">
      <c r="A91" s="102" t="s">
        <v>85</v>
      </c>
    </row>
    <row r="92" spans="1:2" x14ac:dyDescent="0.2">
      <c r="A92" s="102" t="s">
        <v>86</v>
      </c>
    </row>
    <row r="93" spans="1:2" x14ac:dyDescent="0.2">
      <c r="A93" s="102" t="s">
        <v>87</v>
      </c>
    </row>
    <row r="94" spans="1:2" x14ac:dyDescent="0.2">
      <c r="A94" s="102" t="s">
        <v>88</v>
      </c>
    </row>
    <row r="95" spans="1:2" x14ac:dyDescent="0.2">
      <c r="A95" s="102" t="s">
        <v>89</v>
      </c>
    </row>
    <row r="96" spans="1:2" x14ac:dyDescent="0.2">
      <c r="A96" s="102" t="s">
        <v>90</v>
      </c>
    </row>
    <row r="97" spans="1:2" x14ac:dyDescent="0.2">
      <c r="A97" s="102" t="s">
        <v>91</v>
      </c>
    </row>
    <row r="98" spans="1:2" x14ac:dyDescent="0.2">
      <c r="A98" s="102" t="s">
        <v>92</v>
      </c>
      <c r="B98" t="s">
        <v>342</v>
      </c>
    </row>
    <row r="99" spans="1:2" x14ac:dyDescent="0.2">
      <c r="A99" s="102" t="s">
        <v>93</v>
      </c>
      <c r="B99" t="s">
        <v>342</v>
      </c>
    </row>
    <row r="100" spans="1:2" x14ac:dyDescent="0.2">
      <c r="A100" s="102" t="s">
        <v>94</v>
      </c>
      <c r="B100" t="s">
        <v>342</v>
      </c>
    </row>
    <row r="101" spans="1:2" x14ac:dyDescent="0.2">
      <c r="A101" t="s">
        <v>371</v>
      </c>
      <c r="B101" t="s">
        <v>374</v>
      </c>
    </row>
    <row r="102" spans="1:2" x14ac:dyDescent="0.2">
      <c r="A102" t="s">
        <v>373</v>
      </c>
      <c r="B102" t="s">
        <v>375</v>
      </c>
    </row>
    <row r="103" spans="1:2" x14ac:dyDescent="0.2">
      <c r="A103" s="102" t="s">
        <v>95</v>
      </c>
      <c r="B103" t="s">
        <v>345</v>
      </c>
    </row>
    <row r="104" spans="1:2" x14ac:dyDescent="0.2">
      <c r="A104" s="102" t="s">
        <v>96</v>
      </c>
      <c r="B104" t="s">
        <v>343</v>
      </c>
    </row>
    <row r="105" spans="1:2" x14ac:dyDescent="0.2">
      <c r="A105" s="102" t="s">
        <v>97</v>
      </c>
      <c r="B105" t="s">
        <v>344</v>
      </c>
    </row>
    <row r="106" spans="1:2" x14ac:dyDescent="0.2">
      <c r="A106" s="102" t="s">
        <v>98</v>
      </c>
      <c r="B106" t="s">
        <v>346</v>
      </c>
    </row>
    <row r="107" spans="1:2" x14ac:dyDescent="0.2">
      <c r="A107" s="102" t="s">
        <v>99</v>
      </c>
      <c r="B107" t="s">
        <v>347</v>
      </c>
    </row>
    <row r="108" spans="1:2" x14ac:dyDescent="0.2">
      <c r="A108" s="102" t="s">
        <v>100</v>
      </c>
      <c r="B108" t="s">
        <v>348</v>
      </c>
    </row>
    <row r="109" spans="1:2" x14ac:dyDescent="0.2">
      <c r="A109" s="102" t="s">
        <v>101</v>
      </c>
      <c r="B109" t="s">
        <v>349</v>
      </c>
    </row>
    <row r="110" spans="1:2" x14ac:dyDescent="0.2">
      <c r="A110" s="102" t="s">
        <v>102</v>
      </c>
      <c r="B110" t="s">
        <v>350</v>
      </c>
    </row>
    <row r="111" spans="1:2" x14ac:dyDescent="0.2">
      <c r="A111" s="102" t="s">
        <v>103</v>
      </c>
      <c r="B111" t="s">
        <v>351</v>
      </c>
    </row>
    <row r="112" spans="1:2" x14ac:dyDescent="0.2">
      <c r="A112" s="104" t="s">
        <v>104</v>
      </c>
      <c r="B112" t="s">
        <v>352</v>
      </c>
    </row>
    <row r="113" spans="1:2" x14ac:dyDescent="0.2">
      <c r="A113" s="104" t="s">
        <v>105</v>
      </c>
      <c r="B113" t="s">
        <v>353</v>
      </c>
    </row>
    <row r="114" spans="1:2" x14ac:dyDescent="0.2">
      <c r="A114" s="101"/>
    </row>
    <row r="115" spans="1:2" x14ac:dyDescent="0.2">
      <c r="A115" s="101"/>
    </row>
    <row r="116" spans="1:2" x14ac:dyDescent="0.2">
      <c r="A116" s="101"/>
    </row>
    <row r="117" spans="1:2" x14ac:dyDescent="0.2">
      <c r="A117" s="101"/>
    </row>
    <row r="118" spans="1:2" x14ac:dyDescent="0.2">
      <c r="A118" s="101"/>
    </row>
    <row r="119" spans="1:2" x14ac:dyDescent="0.2">
      <c r="A119" s="101"/>
    </row>
    <row r="120" spans="1:2" x14ac:dyDescent="0.2">
      <c r="A120" s="101"/>
    </row>
    <row r="121" spans="1:2" x14ac:dyDescent="0.2">
      <c r="A121" s="101"/>
    </row>
    <row r="122" spans="1:2" x14ac:dyDescent="0.2">
      <c r="A122" s="101"/>
    </row>
    <row r="123" spans="1:2" x14ac:dyDescent="0.2">
      <c r="A123" s="101"/>
    </row>
    <row r="124" spans="1:2" x14ac:dyDescent="0.2">
      <c r="A124" s="101"/>
    </row>
    <row r="125" spans="1:2" x14ac:dyDescent="0.2">
      <c r="A125" s="101"/>
    </row>
    <row r="126" spans="1:2" x14ac:dyDescent="0.2">
      <c r="A126" s="101"/>
    </row>
    <row r="127" spans="1:2" x14ac:dyDescent="0.2">
      <c r="A127" s="101"/>
    </row>
    <row r="128" spans="1:2" x14ac:dyDescent="0.2">
      <c r="A128" s="101"/>
    </row>
    <row r="129" spans="1:1" x14ac:dyDescent="0.2">
      <c r="A129" s="101"/>
    </row>
    <row r="130" spans="1:1" x14ac:dyDescent="0.2">
      <c r="A130" s="101"/>
    </row>
    <row r="131" spans="1:1" x14ac:dyDescent="0.2">
      <c r="A131" s="101"/>
    </row>
    <row r="132" spans="1:1" x14ac:dyDescent="0.2">
      <c r="A132" s="101"/>
    </row>
    <row r="133" spans="1:1" x14ac:dyDescent="0.2">
      <c r="A133" s="101"/>
    </row>
    <row r="134" spans="1:1" x14ac:dyDescent="0.2">
      <c r="A134" s="101"/>
    </row>
    <row r="135" spans="1:1" x14ac:dyDescent="0.2">
      <c r="A135" s="101"/>
    </row>
    <row r="136" spans="1:1" x14ac:dyDescent="0.2">
      <c r="A136" s="101"/>
    </row>
    <row r="137" spans="1:1" x14ac:dyDescent="0.2">
      <c r="A137" s="101"/>
    </row>
    <row r="138" spans="1:1" x14ac:dyDescent="0.2">
      <c r="A138" s="101"/>
    </row>
    <row r="139" spans="1:1" x14ac:dyDescent="0.2">
      <c r="A139" s="101"/>
    </row>
    <row r="140" spans="1:1" x14ac:dyDescent="0.2">
      <c r="A140" s="101"/>
    </row>
    <row r="141" spans="1:1" x14ac:dyDescent="0.2">
      <c r="A141" s="101"/>
    </row>
    <row r="142" spans="1:1" x14ac:dyDescent="0.2">
      <c r="A142" s="101"/>
    </row>
    <row r="143" spans="1:1" x14ac:dyDescent="0.2">
      <c r="A143" s="101"/>
    </row>
    <row r="144" spans="1:1" x14ac:dyDescent="0.2">
      <c r="A144" s="101"/>
    </row>
    <row r="145" spans="1:1" x14ac:dyDescent="0.2">
      <c r="A145" s="101"/>
    </row>
    <row r="146" spans="1:1" x14ac:dyDescent="0.2">
      <c r="A146" s="101"/>
    </row>
    <row r="147" spans="1:1" x14ac:dyDescent="0.2">
      <c r="A147" s="101"/>
    </row>
    <row r="148" spans="1:1" x14ac:dyDescent="0.2">
      <c r="A148" s="101"/>
    </row>
    <row r="149" spans="1:1" x14ac:dyDescent="0.2">
      <c r="A149" s="101"/>
    </row>
    <row r="150" spans="1:1" x14ac:dyDescent="0.2">
      <c r="A150" s="101"/>
    </row>
    <row r="151" spans="1:1" x14ac:dyDescent="0.2">
      <c r="A151" s="101"/>
    </row>
    <row r="152" spans="1:1" x14ac:dyDescent="0.2">
      <c r="A152" s="101"/>
    </row>
    <row r="153" spans="1:1" x14ac:dyDescent="0.2">
      <c r="A153" s="101"/>
    </row>
    <row r="154" spans="1:1" x14ac:dyDescent="0.2">
      <c r="A154" s="101"/>
    </row>
    <row r="155" spans="1:1" x14ac:dyDescent="0.2">
      <c r="A155" s="101"/>
    </row>
    <row r="156" spans="1:1" x14ac:dyDescent="0.2">
      <c r="A156" s="101"/>
    </row>
    <row r="157" spans="1:1" x14ac:dyDescent="0.2">
      <c r="A157" s="101"/>
    </row>
    <row r="158" spans="1:1" x14ac:dyDescent="0.2">
      <c r="A158" s="101"/>
    </row>
    <row r="159" spans="1:1" x14ac:dyDescent="0.2">
      <c r="A159" s="101"/>
    </row>
    <row r="160" spans="1:1" x14ac:dyDescent="0.2">
      <c r="A160" s="101"/>
    </row>
    <row r="161" spans="1:1" x14ac:dyDescent="0.2">
      <c r="A161" s="101"/>
    </row>
    <row r="162" spans="1:1" x14ac:dyDescent="0.2">
      <c r="A162" s="101"/>
    </row>
    <row r="163" spans="1:1" x14ac:dyDescent="0.2">
      <c r="A163" s="101"/>
    </row>
    <row r="164" spans="1:1" x14ac:dyDescent="0.2">
      <c r="A164" s="101"/>
    </row>
    <row r="165" spans="1:1" x14ac:dyDescent="0.2">
      <c r="A165" s="101"/>
    </row>
    <row r="166" spans="1:1" x14ac:dyDescent="0.2">
      <c r="A166" s="101"/>
    </row>
    <row r="167" spans="1:1" x14ac:dyDescent="0.2">
      <c r="A167" s="101"/>
    </row>
    <row r="168" spans="1:1" x14ac:dyDescent="0.2">
      <c r="A168" s="101"/>
    </row>
    <row r="169" spans="1:1" x14ac:dyDescent="0.2">
      <c r="A169" s="101"/>
    </row>
    <row r="170" spans="1:1" x14ac:dyDescent="0.2">
      <c r="A170" s="101"/>
    </row>
    <row r="171" spans="1:1" x14ac:dyDescent="0.2">
      <c r="A171" s="101"/>
    </row>
    <row r="172" spans="1:1" x14ac:dyDescent="0.2">
      <c r="A172" s="101"/>
    </row>
    <row r="173" spans="1:1" x14ac:dyDescent="0.2">
      <c r="A173" s="101"/>
    </row>
    <row r="174" spans="1:1" x14ac:dyDescent="0.2">
      <c r="A174" s="101"/>
    </row>
    <row r="175" spans="1:1" x14ac:dyDescent="0.2">
      <c r="A175" s="101"/>
    </row>
    <row r="176" spans="1:1" x14ac:dyDescent="0.2">
      <c r="A176" s="101"/>
    </row>
    <row r="177" spans="1:1" x14ac:dyDescent="0.2">
      <c r="A177" s="101"/>
    </row>
    <row r="178" spans="1:1" x14ac:dyDescent="0.2">
      <c r="A178" s="101"/>
    </row>
    <row r="179" spans="1:1" x14ac:dyDescent="0.2">
      <c r="A179" s="101"/>
    </row>
    <row r="180" spans="1:1" x14ac:dyDescent="0.2">
      <c r="A180" s="101"/>
    </row>
    <row r="181" spans="1:1" x14ac:dyDescent="0.2">
      <c r="A181" s="101"/>
    </row>
    <row r="182" spans="1:1" x14ac:dyDescent="0.2">
      <c r="A182" s="101"/>
    </row>
    <row r="183" spans="1:1" x14ac:dyDescent="0.2">
      <c r="A183" s="101"/>
    </row>
    <row r="184" spans="1:1" x14ac:dyDescent="0.2">
      <c r="A184" s="101"/>
    </row>
    <row r="185" spans="1:1" x14ac:dyDescent="0.2">
      <c r="A185" s="101"/>
    </row>
    <row r="186" spans="1:1" x14ac:dyDescent="0.2">
      <c r="A186" s="101"/>
    </row>
    <row r="187" spans="1:1" x14ac:dyDescent="0.2">
      <c r="A187" s="101"/>
    </row>
    <row r="188" spans="1:1" x14ac:dyDescent="0.2">
      <c r="A188" s="101"/>
    </row>
    <row r="189" spans="1:1" x14ac:dyDescent="0.2">
      <c r="A189" s="101"/>
    </row>
    <row r="190" spans="1:1" x14ac:dyDescent="0.2">
      <c r="A190" s="101"/>
    </row>
    <row r="191" spans="1:1" x14ac:dyDescent="0.2">
      <c r="A191" s="101"/>
    </row>
    <row r="192" spans="1:1" x14ac:dyDescent="0.2">
      <c r="A192" s="101"/>
    </row>
    <row r="193" spans="1:1" x14ac:dyDescent="0.2">
      <c r="A193" s="101"/>
    </row>
    <row r="194" spans="1:1" x14ac:dyDescent="0.2">
      <c r="A194" s="101"/>
    </row>
    <row r="195" spans="1:1" x14ac:dyDescent="0.2">
      <c r="A195" s="101"/>
    </row>
    <row r="196" spans="1:1" x14ac:dyDescent="0.2">
      <c r="A196" s="101"/>
    </row>
    <row r="197" spans="1:1" x14ac:dyDescent="0.2">
      <c r="A197" s="101"/>
    </row>
    <row r="198" spans="1:1" x14ac:dyDescent="0.2">
      <c r="A198" s="101"/>
    </row>
    <row r="199" spans="1:1" x14ac:dyDescent="0.2">
      <c r="A199" s="101"/>
    </row>
    <row r="200" spans="1:1" x14ac:dyDescent="0.2">
      <c r="A200" s="101"/>
    </row>
    <row r="201" spans="1:1" x14ac:dyDescent="0.2">
      <c r="A201" s="101"/>
    </row>
    <row r="202" spans="1:1" x14ac:dyDescent="0.2">
      <c r="A202" s="101"/>
    </row>
    <row r="203" spans="1:1" x14ac:dyDescent="0.2">
      <c r="A203" s="101"/>
    </row>
    <row r="204" spans="1:1" x14ac:dyDescent="0.2">
      <c r="A204" s="101"/>
    </row>
    <row r="205" spans="1:1" x14ac:dyDescent="0.2">
      <c r="A205" s="101"/>
    </row>
    <row r="206" spans="1:1" x14ac:dyDescent="0.2">
      <c r="A206" s="101"/>
    </row>
    <row r="207" spans="1:1" x14ac:dyDescent="0.2">
      <c r="A207" s="101"/>
    </row>
    <row r="208" spans="1:1" x14ac:dyDescent="0.2">
      <c r="A208" s="101"/>
    </row>
    <row r="209" spans="1:1" x14ac:dyDescent="0.2">
      <c r="A209" s="101"/>
    </row>
    <row r="210" spans="1:1" x14ac:dyDescent="0.2">
      <c r="A210" s="101"/>
    </row>
    <row r="211" spans="1:1" x14ac:dyDescent="0.2">
      <c r="A211" s="101"/>
    </row>
    <row r="212" spans="1:1" x14ac:dyDescent="0.2">
      <c r="A212" s="101"/>
    </row>
    <row r="213" spans="1:1" x14ac:dyDescent="0.2">
      <c r="A213" s="101"/>
    </row>
    <row r="214" spans="1:1" x14ac:dyDescent="0.2">
      <c r="A214" s="101"/>
    </row>
    <row r="215" spans="1:1" x14ac:dyDescent="0.2">
      <c r="A215" s="101"/>
    </row>
    <row r="216" spans="1:1" x14ac:dyDescent="0.2">
      <c r="A216" s="101"/>
    </row>
    <row r="217" spans="1:1" x14ac:dyDescent="0.2">
      <c r="A217" s="101"/>
    </row>
    <row r="218" spans="1:1" x14ac:dyDescent="0.2">
      <c r="A218" s="101"/>
    </row>
    <row r="219" spans="1:1" x14ac:dyDescent="0.2">
      <c r="A219" s="101"/>
    </row>
    <row r="220" spans="1:1" x14ac:dyDescent="0.2">
      <c r="A220" s="101"/>
    </row>
    <row r="221" spans="1:1" x14ac:dyDescent="0.2">
      <c r="A221" s="101"/>
    </row>
    <row r="222" spans="1:1" x14ac:dyDescent="0.2">
      <c r="A222" s="101"/>
    </row>
    <row r="223" spans="1:1" x14ac:dyDescent="0.2">
      <c r="A223" s="101"/>
    </row>
    <row r="224" spans="1:1" x14ac:dyDescent="0.2">
      <c r="A224" s="101"/>
    </row>
    <row r="225" spans="1:1" x14ac:dyDescent="0.2">
      <c r="A225" s="101"/>
    </row>
    <row r="226" spans="1:1" x14ac:dyDescent="0.2">
      <c r="A226" s="101"/>
    </row>
    <row r="227" spans="1:1" x14ac:dyDescent="0.2">
      <c r="A227" s="101"/>
    </row>
    <row r="228" spans="1:1" x14ac:dyDescent="0.2">
      <c r="A228" s="101"/>
    </row>
    <row r="229" spans="1:1" x14ac:dyDescent="0.2">
      <c r="A229" s="101"/>
    </row>
    <row r="230" spans="1:1" x14ac:dyDescent="0.2">
      <c r="A230" s="101"/>
    </row>
    <row r="231" spans="1:1" x14ac:dyDescent="0.2">
      <c r="A231" s="101"/>
    </row>
    <row r="232" spans="1:1" x14ac:dyDescent="0.2">
      <c r="A232" s="101"/>
    </row>
    <row r="233" spans="1:1" x14ac:dyDescent="0.2">
      <c r="A233" s="101"/>
    </row>
    <row r="234" spans="1:1" x14ac:dyDescent="0.2">
      <c r="A234" s="101"/>
    </row>
    <row r="235" spans="1:1" x14ac:dyDescent="0.2">
      <c r="A235" s="101"/>
    </row>
    <row r="236" spans="1:1" x14ac:dyDescent="0.2">
      <c r="A236" s="101"/>
    </row>
    <row r="237" spans="1:1" x14ac:dyDescent="0.2">
      <c r="A237" s="101"/>
    </row>
    <row r="238" spans="1:1" x14ac:dyDescent="0.2">
      <c r="A238" s="101"/>
    </row>
    <row r="239" spans="1:1" x14ac:dyDescent="0.2">
      <c r="A239" s="101"/>
    </row>
    <row r="240" spans="1:1" x14ac:dyDescent="0.2">
      <c r="A240" s="101"/>
    </row>
    <row r="241" spans="1:1" x14ac:dyDescent="0.2">
      <c r="A241" s="101"/>
    </row>
    <row r="242" spans="1:1" x14ac:dyDescent="0.2">
      <c r="A242" s="101"/>
    </row>
    <row r="243" spans="1:1" x14ac:dyDescent="0.2">
      <c r="A243" s="101"/>
    </row>
    <row r="244" spans="1:1" x14ac:dyDescent="0.2">
      <c r="A244" s="101"/>
    </row>
    <row r="245" spans="1:1" x14ac:dyDescent="0.2">
      <c r="A245" s="101"/>
    </row>
    <row r="246" spans="1:1" x14ac:dyDescent="0.2">
      <c r="A246" s="101"/>
    </row>
    <row r="247" spans="1:1" x14ac:dyDescent="0.2">
      <c r="A247" s="101"/>
    </row>
    <row r="248" spans="1:1" x14ac:dyDescent="0.2">
      <c r="A248" s="101"/>
    </row>
    <row r="249" spans="1:1" x14ac:dyDescent="0.2">
      <c r="A249" s="101"/>
    </row>
    <row r="250" spans="1:1" x14ac:dyDescent="0.2">
      <c r="A250" s="101"/>
    </row>
    <row r="251" spans="1:1" x14ac:dyDescent="0.2">
      <c r="A251" s="101"/>
    </row>
    <row r="252" spans="1:1" x14ac:dyDescent="0.2">
      <c r="A252" s="101"/>
    </row>
    <row r="253" spans="1:1" x14ac:dyDescent="0.2">
      <c r="A253" s="101"/>
    </row>
    <row r="254" spans="1:1" x14ac:dyDescent="0.2">
      <c r="A254" s="101"/>
    </row>
    <row r="255" spans="1:1" x14ac:dyDescent="0.2">
      <c r="A255" s="101"/>
    </row>
    <row r="256" spans="1:1" x14ac:dyDescent="0.2">
      <c r="A256" s="101"/>
    </row>
    <row r="257" spans="1:1" x14ac:dyDescent="0.2">
      <c r="A257" s="101"/>
    </row>
    <row r="258" spans="1:1" x14ac:dyDescent="0.2">
      <c r="A258" s="101"/>
    </row>
    <row r="259" spans="1:1" x14ac:dyDescent="0.2">
      <c r="A259" s="101"/>
    </row>
    <row r="260" spans="1:1" x14ac:dyDescent="0.2">
      <c r="A260" s="101"/>
    </row>
    <row r="261" spans="1:1" x14ac:dyDescent="0.2">
      <c r="A261" s="101"/>
    </row>
    <row r="262" spans="1:1" x14ac:dyDescent="0.2">
      <c r="A262" s="101"/>
    </row>
    <row r="263" spans="1:1" x14ac:dyDescent="0.2">
      <c r="A263" s="101"/>
    </row>
    <row r="264" spans="1:1" x14ac:dyDescent="0.2">
      <c r="A264" s="101"/>
    </row>
    <row r="265" spans="1:1" x14ac:dyDescent="0.2">
      <c r="A265" s="101"/>
    </row>
    <row r="266" spans="1:1" x14ac:dyDescent="0.2">
      <c r="A266" s="101"/>
    </row>
    <row r="267" spans="1:1" x14ac:dyDescent="0.2">
      <c r="A267" s="101"/>
    </row>
    <row r="268" spans="1:1" x14ac:dyDescent="0.2">
      <c r="A268" s="101"/>
    </row>
    <row r="269" spans="1:1" x14ac:dyDescent="0.2">
      <c r="A269" s="101"/>
    </row>
    <row r="270" spans="1:1" x14ac:dyDescent="0.2">
      <c r="A270" s="101"/>
    </row>
    <row r="271" spans="1:1" x14ac:dyDescent="0.2">
      <c r="A271" s="101"/>
    </row>
    <row r="272" spans="1:1" x14ac:dyDescent="0.2">
      <c r="A272" s="101"/>
    </row>
    <row r="273" spans="1:1" x14ac:dyDescent="0.2">
      <c r="A273" s="101"/>
    </row>
    <row r="274" spans="1:1" x14ac:dyDescent="0.2">
      <c r="A274" s="101"/>
    </row>
    <row r="275" spans="1:1" x14ac:dyDescent="0.2">
      <c r="A275" s="101"/>
    </row>
    <row r="276" spans="1:1" x14ac:dyDescent="0.2">
      <c r="A276" s="101"/>
    </row>
    <row r="277" spans="1:1" x14ac:dyDescent="0.2">
      <c r="A277" s="101"/>
    </row>
    <row r="278" spans="1:1" x14ac:dyDescent="0.2">
      <c r="A278" s="101"/>
    </row>
    <row r="279" spans="1:1" x14ac:dyDescent="0.2">
      <c r="A279" s="101"/>
    </row>
    <row r="280" spans="1:1" x14ac:dyDescent="0.2">
      <c r="A280" s="101"/>
    </row>
    <row r="281" spans="1:1" x14ac:dyDescent="0.2">
      <c r="A281" s="101"/>
    </row>
    <row r="282" spans="1:1" x14ac:dyDescent="0.2">
      <c r="A282" s="101"/>
    </row>
    <row r="283" spans="1:1" x14ac:dyDescent="0.2">
      <c r="A283" s="101"/>
    </row>
    <row r="284" spans="1:1" x14ac:dyDescent="0.2">
      <c r="A284" s="101"/>
    </row>
    <row r="285" spans="1:1" x14ac:dyDescent="0.2">
      <c r="A285" s="101"/>
    </row>
    <row r="286" spans="1:1" x14ac:dyDescent="0.2">
      <c r="A286" s="101"/>
    </row>
    <row r="287" spans="1:1" x14ac:dyDescent="0.2">
      <c r="A287" s="101"/>
    </row>
    <row r="288" spans="1:1" x14ac:dyDescent="0.2">
      <c r="A288" s="101"/>
    </row>
    <row r="289" spans="1:1" x14ac:dyDescent="0.2">
      <c r="A289" s="101"/>
    </row>
    <row r="290" spans="1:1" x14ac:dyDescent="0.2">
      <c r="A290" s="101"/>
    </row>
    <row r="291" spans="1:1" x14ac:dyDescent="0.2">
      <c r="A291" s="101"/>
    </row>
    <row r="292" spans="1:1" x14ac:dyDescent="0.2">
      <c r="A292" s="101"/>
    </row>
    <row r="293" spans="1:1" x14ac:dyDescent="0.2">
      <c r="A293" s="101"/>
    </row>
    <row r="294" spans="1:1" x14ac:dyDescent="0.2">
      <c r="A294" s="101"/>
    </row>
    <row r="295" spans="1:1" x14ac:dyDescent="0.2">
      <c r="A295" s="101"/>
    </row>
    <row r="296" spans="1:1" x14ac:dyDescent="0.2">
      <c r="A296" s="101"/>
    </row>
    <row r="297" spans="1:1" x14ac:dyDescent="0.2">
      <c r="A297" s="101"/>
    </row>
    <row r="298" spans="1:1" x14ac:dyDescent="0.2">
      <c r="A298" s="101"/>
    </row>
    <row r="299" spans="1:1" x14ac:dyDescent="0.2">
      <c r="A299" s="101"/>
    </row>
    <row r="300" spans="1:1" x14ac:dyDescent="0.2">
      <c r="A300" s="101"/>
    </row>
    <row r="301" spans="1:1" x14ac:dyDescent="0.2">
      <c r="A301" s="101"/>
    </row>
    <row r="302" spans="1:1" x14ac:dyDescent="0.2">
      <c r="A302" s="101"/>
    </row>
    <row r="303" spans="1:1" x14ac:dyDescent="0.2">
      <c r="A303" s="101"/>
    </row>
    <row r="304" spans="1:1" x14ac:dyDescent="0.2">
      <c r="A304" s="101"/>
    </row>
    <row r="305" spans="1:1" x14ac:dyDescent="0.2">
      <c r="A305" s="101"/>
    </row>
    <row r="306" spans="1:1" x14ac:dyDescent="0.2">
      <c r="A306" s="101"/>
    </row>
    <row r="307" spans="1:1" x14ac:dyDescent="0.2">
      <c r="A307" s="101"/>
    </row>
    <row r="308" spans="1:1" x14ac:dyDescent="0.2">
      <c r="A308" s="101"/>
    </row>
    <row r="309" spans="1:1" x14ac:dyDescent="0.2">
      <c r="A309" s="101"/>
    </row>
    <row r="310" spans="1:1" x14ac:dyDescent="0.2">
      <c r="A310" s="101"/>
    </row>
    <row r="311" spans="1:1" x14ac:dyDescent="0.2">
      <c r="A311" s="101"/>
    </row>
    <row r="312" spans="1:1" x14ac:dyDescent="0.2">
      <c r="A312" s="101"/>
    </row>
    <row r="313" spans="1:1" x14ac:dyDescent="0.2">
      <c r="A313" s="101"/>
    </row>
    <row r="314" spans="1:1" x14ac:dyDescent="0.2">
      <c r="A314" s="101"/>
    </row>
    <row r="315" spans="1:1" x14ac:dyDescent="0.2">
      <c r="A315" s="101"/>
    </row>
    <row r="316" spans="1:1" x14ac:dyDescent="0.2">
      <c r="A316" s="101"/>
    </row>
    <row r="317" spans="1:1" x14ac:dyDescent="0.2">
      <c r="A317" s="101"/>
    </row>
    <row r="318" spans="1:1" x14ac:dyDescent="0.2">
      <c r="A318" s="101"/>
    </row>
    <row r="319" spans="1:1" x14ac:dyDescent="0.2">
      <c r="A319" s="101"/>
    </row>
    <row r="320" spans="1:1" x14ac:dyDescent="0.2">
      <c r="A320" s="101"/>
    </row>
    <row r="321" spans="1:1" x14ac:dyDescent="0.2">
      <c r="A321" s="101"/>
    </row>
    <row r="322" spans="1:1" x14ac:dyDescent="0.2">
      <c r="A322" s="101"/>
    </row>
    <row r="323" spans="1:1" x14ac:dyDescent="0.2">
      <c r="A323" s="101"/>
    </row>
    <row r="324" spans="1:1" x14ac:dyDescent="0.2">
      <c r="A324" s="101"/>
    </row>
    <row r="325" spans="1:1" x14ac:dyDescent="0.2">
      <c r="A325" s="101"/>
    </row>
    <row r="326" spans="1:1" x14ac:dyDescent="0.2">
      <c r="A326" s="101"/>
    </row>
    <row r="327" spans="1:1" x14ac:dyDescent="0.2">
      <c r="A327" s="101"/>
    </row>
    <row r="328" spans="1:1" x14ac:dyDescent="0.2">
      <c r="A328" s="101"/>
    </row>
    <row r="329" spans="1:1" x14ac:dyDescent="0.2">
      <c r="A329" s="101"/>
    </row>
    <row r="330" spans="1:1" x14ac:dyDescent="0.2">
      <c r="A330" s="101"/>
    </row>
    <row r="331" spans="1:1" x14ac:dyDescent="0.2">
      <c r="A331" s="101"/>
    </row>
    <row r="332" spans="1:1" x14ac:dyDescent="0.2">
      <c r="A332" s="101"/>
    </row>
    <row r="333" spans="1:1" x14ac:dyDescent="0.2">
      <c r="A333" s="101"/>
    </row>
    <row r="334" spans="1:1" x14ac:dyDescent="0.2">
      <c r="A334" s="101"/>
    </row>
    <row r="335" spans="1:1" x14ac:dyDescent="0.2">
      <c r="A335" s="101"/>
    </row>
    <row r="336" spans="1:1" x14ac:dyDescent="0.2">
      <c r="A336" s="101"/>
    </row>
    <row r="337" spans="1:1" x14ac:dyDescent="0.2">
      <c r="A337" s="101"/>
    </row>
    <row r="338" spans="1:1" x14ac:dyDescent="0.2">
      <c r="A338" s="101"/>
    </row>
    <row r="339" spans="1:1" x14ac:dyDescent="0.2">
      <c r="A339" s="101"/>
    </row>
    <row r="340" spans="1:1" x14ac:dyDescent="0.2">
      <c r="A340" s="101"/>
    </row>
    <row r="341" spans="1:1" x14ac:dyDescent="0.2">
      <c r="A341" s="101"/>
    </row>
    <row r="342" spans="1:1" x14ac:dyDescent="0.2">
      <c r="A342" s="101"/>
    </row>
    <row r="343" spans="1:1" x14ac:dyDescent="0.2">
      <c r="A343" s="101"/>
    </row>
    <row r="344" spans="1:1" x14ac:dyDescent="0.2">
      <c r="A344" s="101"/>
    </row>
    <row r="345" spans="1:1" x14ac:dyDescent="0.2">
      <c r="A345" s="101"/>
    </row>
    <row r="346" spans="1:1" x14ac:dyDescent="0.2">
      <c r="A346" s="101"/>
    </row>
    <row r="347" spans="1:1" x14ac:dyDescent="0.2">
      <c r="A347" s="101"/>
    </row>
    <row r="348" spans="1:1" x14ac:dyDescent="0.2">
      <c r="A348" s="101"/>
    </row>
    <row r="349" spans="1:1" x14ac:dyDescent="0.2">
      <c r="A349" s="101"/>
    </row>
    <row r="350" spans="1:1" x14ac:dyDescent="0.2">
      <c r="A350" s="101"/>
    </row>
    <row r="351" spans="1:1" x14ac:dyDescent="0.2">
      <c r="A351" s="101"/>
    </row>
    <row r="352" spans="1:1" x14ac:dyDescent="0.2">
      <c r="A352" s="101"/>
    </row>
    <row r="353" spans="1:1" x14ac:dyDescent="0.2">
      <c r="A353" s="101"/>
    </row>
    <row r="354" spans="1:1" x14ac:dyDescent="0.2">
      <c r="A354" s="101"/>
    </row>
    <row r="355" spans="1:1" x14ac:dyDescent="0.2">
      <c r="A355" s="101"/>
    </row>
    <row r="356" spans="1:1" x14ac:dyDescent="0.2">
      <c r="A356" s="101"/>
    </row>
    <row r="357" spans="1:1" x14ac:dyDescent="0.2">
      <c r="A357" s="101"/>
    </row>
    <row r="358" spans="1:1" x14ac:dyDescent="0.2">
      <c r="A358" s="101"/>
    </row>
    <row r="359" spans="1:1" x14ac:dyDescent="0.2">
      <c r="A359" s="101"/>
    </row>
    <row r="360" spans="1:1" x14ac:dyDescent="0.2">
      <c r="A360" s="101"/>
    </row>
    <row r="361" spans="1:1" x14ac:dyDescent="0.2">
      <c r="A361" s="101"/>
    </row>
    <row r="362" spans="1:1" x14ac:dyDescent="0.2">
      <c r="A362" s="101"/>
    </row>
    <row r="363" spans="1:1" x14ac:dyDescent="0.2">
      <c r="A363" s="101"/>
    </row>
    <row r="364" spans="1:1" x14ac:dyDescent="0.2">
      <c r="A364" s="101"/>
    </row>
    <row r="365" spans="1:1" x14ac:dyDescent="0.2">
      <c r="A365" s="101"/>
    </row>
    <row r="366" spans="1:1" x14ac:dyDescent="0.2">
      <c r="A366" s="101"/>
    </row>
    <row r="367" spans="1:1" x14ac:dyDescent="0.2">
      <c r="A367" s="101"/>
    </row>
    <row r="368" spans="1:1" x14ac:dyDescent="0.2">
      <c r="A368" s="101"/>
    </row>
    <row r="369" spans="1:1" x14ac:dyDescent="0.2">
      <c r="A369" s="101"/>
    </row>
    <row r="370" spans="1:1" x14ac:dyDescent="0.2">
      <c r="A370" s="101"/>
    </row>
    <row r="371" spans="1:1" x14ac:dyDescent="0.2">
      <c r="A371" s="101"/>
    </row>
    <row r="372" spans="1:1" x14ac:dyDescent="0.2">
      <c r="A372" s="101"/>
    </row>
    <row r="373" spans="1:1" x14ac:dyDescent="0.2">
      <c r="A373" s="101"/>
    </row>
    <row r="374" spans="1:1" x14ac:dyDescent="0.2">
      <c r="A374" s="101"/>
    </row>
    <row r="375" spans="1:1" x14ac:dyDescent="0.2">
      <c r="A375" s="101"/>
    </row>
    <row r="376" spans="1:1" x14ac:dyDescent="0.2">
      <c r="A376" s="101"/>
    </row>
    <row r="377" spans="1:1" x14ac:dyDescent="0.2">
      <c r="A377" s="101"/>
    </row>
    <row r="378" spans="1:1" x14ac:dyDescent="0.2">
      <c r="A378" s="101"/>
    </row>
    <row r="379" spans="1:1" x14ac:dyDescent="0.2">
      <c r="A379" s="101"/>
    </row>
    <row r="380" spans="1:1" x14ac:dyDescent="0.2">
      <c r="A380" s="101"/>
    </row>
    <row r="381" spans="1:1" x14ac:dyDescent="0.2">
      <c r="A381" s="101"/>
    </row>
    <row r="382" spans="1:1" x14ac:dyDescent="0.2">
      <c r="A382" s="101"/>
    </row>
    <row r="383" spans="1:1" x14ac:dyDescent="0.2">
      <c r="A383" s="101"/>
    </row>
    <row r="384" spans="1:1" x14ac:dyDescent="0.2">
      <c r="A384" s="101"/>
    </row>
    <row r="385" spans="1:1" x14ac:dyDescent="0.2">
      <c r="A385" s="101"/>
    </row>
    <row r="386" spans="1:1" x14ac:dyDescent="0.2">
      <c r="A386" s="101"/>
    </row>
    <row r="387" spans="1:1" x14ac:dyDescent="0.2">
      <c r="A387" s="101"/>
    </row>
    <row r="388" spans="1:1" x14ac:dyDescent="0.2">
      <c r="A388" s="101"/>
    </row>
    <row r="389" spans="1:1" x14ac:dyDescent="0.2">
      <c r="A389" s="101"/>
    </row>
    <row r="390" spans="1:1" x14ac:dyDescent="0.2">
      <c r="A390" s="101"/>
    </row>
    <row r="391" spans="1:1" x14ac:dyDescent="0.2">
      <c r="A391" s="101"/>
    </row>
    <row r="392" spans="1:1" x14ac:dyDescent="0.2">
      <c r="A392" s="101"/>
    </row>
    <row r="393" spans="1:1" x14ac:dyDescent="0.2">
      <c r="A393" s="101"/>
    </row>
    <row r="394" spans="1:1" x14ac:dyDescent="0.2">
      <c r="A394" s="101"/>
    </row>
    <row r="395" spans="1:1" x14ac:dyDescent="0.2">
      <c r="A395" s="101"/>
    </row>
    <row r="396" spans="1:1" x14ac:dyDescent="0.2">
      <c r="A396" s="101"/>
    </row>
    <row r="397" spans="1:1" x14ac:dyDescent="0.2">
      <c r="A397" s="101"/>
    </row>
    <row r="398" spans="1:1" x14ac:dyDescent="0.2">
      <c r="A398" s="101"/>
    </row>
    <row r="399" spans="1:1" x14ac:dyDescent="0.2">
      <c r="A399" s="101"/>
    </row>
    <row r="400" spans="1:1" x14ac:dyDescent="0.2">
      <c r="A400" s="101"/>
    </row>
    <row r="401" spans="1:1" x14ac:dyDescent="0.2">
      <c r="A401" s="101"/>
    </row>
    <row r="402" spans="1:1" x14ac:dyDescent="0.2">
      <c r="A402" s="101"/>
    </row>
    <row r="403" spans="1:1" x14ac:dyDescent="0.2">
      <c r="A403" s="101"/>
    </row>
    <row r="404" spans="1:1" x14ac:dyDescent="0.2">
      <c r="A404" s="101"/>
    </row>
    <row r="405" spans="1:1" x14ac:dyDescent="0.2">
      <c r="A405" s="101"/>
    </row>
    <row r="406" spans="1:1" x14ac:dyDescent="0.2">
      <c r="A406" s="101"/>
    </row>
    <row r="407" spans="1:1" x14ac:dyDescent="0.2">
      <c r="A407" s="101"/>
    </row>
    <row r="408" spans="1:1" x14ac:dyDescent="0.2">
      <c r="A408" s="101"/>
    </row>
    <row r="409" spans="1:1" x14ac:dyDescent="0.2">
      <c r="A409" s="101"/>
    </row>
    <row r="410" spans="1:1" x14ac:dyDescent="0.2">
      <c r="A410" s="101"/>
    </row>
    <row r="411" spans="1:1" x14ac:dyDescent="0.2">
      <c r="A411" s="101"/>
    </row>
    <row r="412" spans="1:1" x14ac:dyDescent="0.2">
      <c r="A412" s="101"/>
    </row>
    <row r="413" spans="1:1" x14ac:dyDescent="0.2">
      <c r="A413" s="101"/>
    </row>
    <row r="414" spans="1:1" x14ac:dyDescent="0.2">
      <c r="A414" s="101"/>
    </row>
    <row r="415" spans="1:1" x14ac:dyDescent="0.2">
      <c r="A415" s="101"/>
    </row>
    <row r="416" spans="1:1" x14ac:dyDescent="0.2">
      <c r="A416" s="101"/>
    </row>
    <row r="417" spans="1:1" x14ac:dyDescent="0.2">
      <c r="A417" s="101"/>
    </row>
    <row r="418" spans="1:1" x14ac:dyDescent="0.2">
      <c r="A418" s="101"/>
    </row>
    <row r="419" spans="1:1" x14ac:dyDescent="0.2">
      <c r="A419" s="101"/>
    </row>
    <row r="420" spans="1:1" x14ac:dyDescent="0.2">
      <c r="A420" s="101"/>
    </row>
    <row r="421" spans="1:1" x14ac:dyDescent="0.2">
      <c r="A421" s="101"/>
    </row>
    <row r="422" spans="1:1" x14ac:dyDescent="0.2">
      <c r="A422" s="101"/>
    </row>
    <row r="423" spans="1:1" x14ac:dyDescent="0.2">
      <c r="A423" s="101"/>
    </row>
    <row r="424" spans="1:1" x14ac:dyDescent="0.2">
      <c r="A424" s="101"/>
    </row>
    <row r="425" spans="1:1" x14ac:dyDescent="0.2">
      <c r="A425" s="101"/>
    </row>
    <row r="426" spans="1:1" x14ac:dyDescent="0.2">
      <c r="A426" s="101"/>
    </row>
    <row r="427" spans="1:1" x14ac:dyDescent="0.2">
      <c r="A427" s="101"/>
    </row>
    <row r="428" spans="1:1" x14ac:dyDescent="0.2">
      <c r="A428" s="101"/>
    </row>
    <row r="429" spans="1:1" x14ac:dyDescent="0.2">
      <c r="A429" s="101"/>
    </row>
    <row r="430" spans="1:1" x14ac:dyDescent="0.2">
      <c r="A430" s="101"/>
    </row>
    <row r="431" spans="1:1" x14ac:dyDescent="0.2">
      <c r="A431" s="101"/>
    </row>
    <row r="432" spans="1:1" x14ac:dyDescent="0.2">
      <c r="A432" s="101"/>
    </row>
    <row r="433" spans="1:1" x14ac:dyDescent="0.2">
      <c r="A433" s="101"/>
    </row>
    <row r="434" spans="1:1" x14ac:dyDescent="0.2">
      <c r="A434" s="101"/>
    </row>
    <row r="435" spans="1:1" x14ac:dyDescent="0.2">
      <c r="A435" s="101"/>
    </row>
    <row r="436" spans="1:1" x14ac:dyDescent="0.2">
      <c r="A436" s="101"/>
    </row>
    <row r="437" spans="1:1" x14ac:dyDescent="0.2">
      <c r="A437" s="101"/>
    </row>
    <row r="438" spans="1:1" x14ac:dyDescent="0.2">
      <c r="A438" s="101"/>
    </row>
    <row r="439" spans="1:1" x14ac:dyDescent="0.2">
      <c r="A439" s="101"/>
    </row>
    <row r="440" spans="1:1" x14ac:dyDescent="0.2">
      <c r="A440" s="101"/>
    </row>
    <row r="441" spans="1:1" x14ac:dyDescent="0.2">
      <c r="A441" s="101"/>
    </row>
    <row r="442" spans="1:1" x14ac:dyDescent="0.2">
      <c r="A442" s="101"/>
    </row>
    <row r="443" spans="1:1" x14ac:dyDescent="0.2">
      <c r="A443" s="101"/>
    </row>
    <row r="444" spans="1:1" x14ac:dyDescent="0.2">
      <c r="A444" s="101"/>
    </row>
    <row r="445" spans="1:1" x14ac:dyDescent="0.2">
      <c r="A445" s="101"/>
    </row>
    <row r="446" spans="1:1" x14ac:dyDescent="0.2">
      <c r="A446" s="101"/>
    </row>
    <row r="447" spans="1:1" x14ac:dyDescent="0.2">
      <c r="A447" s="101"/>
    </row>
    <row r="448" spans="1:1" x14ac:dyDescent="0.2">
      <c r="A448" s="101"/>
    </row>
    <row r="449" spans="1:1" x14ac:dyDescent="0.2">
      <c r="A449" s="101"/>
    </row>
    <row r="450" spans="1:1" x14ac:dyDescent="0.2">
      <c r="A450" s="101"/>
    </row>
    <row r="451" spans="1:1" x14ac:dyDescent="0.2">
      <c r="A451" s="101"/>
    </row>
    <row r="452" spans="1:1" x14ac:dyDescent="0.2">
      <c r="A452" s="101"/>
    </row>
    <row r="453" spans="1:1" x14ac:dyDescent="0.2">
      <c r="A453" s="101"/>
    </row>
    <row r="454" spans="1:1" x14ac:dyDescent="0.2">
      <c r="A454" s="101"/>
    </row>
    <row r="455" spans="1:1" x14ac:dyDescent="0.2">
      <c r="A455" s="101"/>
    </row>
    <row r="456" spans="1:1" x14ac:dyDescent="0.2">
      <c r="A456" s="101"/>
    </row>
    <row r="457" spans="1:1" x14ac:dyDescent="0.2">
      <c r="A457" s="101"/>
    </row>
    <row r="458" spans="1:1" x14ac:dyDescent="0.2">
      <c r="A458" s="101"/>
    </row>
    <row r="459" spans="1:1" x14ac:dyDescent="0.2">
      <c r="A459" s="101"/>
    </row>
    <row r="460" spans="1:1" x14ac:dyDescent="0.2">
      <c r="A460" s="101"/>
    </row>
    <row r="461" spans="1:1" x14ac:dyDescent="0.2">
      <c r="A461" s="101"/>
    </row>
    <row r="462" spans="1:1" x14ac:dyDescent="0.2">
      <c r="A462" s="101"/>
    </row>
    <row r="463" spans="1:1" x14ac:dyDescent="0.2">
      <c r="A463" s="101"/>
    </row>
    <row r="464" spans="1:1" x14ac:dyDescent="0.2">
      <c r="A464" s="101"/>
    </row>
    <row r="465" spans="1:1" x14ac:dyDescent="0.2">
      <c r="A465" s="101"/>
    </row>
    <row r="466" spans="1:1" x14ac:dyDescent="0.2">
      <c r="A466" s="101"/>
    </row>
    <row r="467" spans="1:1" x14ac:dyDescent="0.2">
      <c r="A467" s="101"/>
    </row>
    <row r="468" spans="1:1" x14ac:dyDescent="0.2">
      <c r="A468" s="101"/>
    </row>
    <row r="469" spans="1:1" x14ac:dyDescent="0.2">
      <c r="A469" s="101"/>
    </row>
    <row r="470" spans="1:1" x14ac:dyDescent="0.2">
      <c r="A470" s="101"/>
    </row>
    <row r="471" spans="1:1" x14ac:dyDescent="0.2">
      <c r="A471" s="101"/>
    </row>
    <row r="472" spans="1:1" x14ac:dyDescent="0.2">
      <c r="A472" s="101"/>
    </row>
    <row r="473" spans="1:1" x14ac:dyDescent="0.2">
      <c r="A473" s="101"/>
    </row>
    <row r="474" spans="1:1" x14ac:dyDescent="0.2">
      <c r="A474" s="101"/>
    </row>
    <row r="475" spans="1:1" x14ac:dyDescent="0.2">
      <c r="A475" s="101"/>
    </row>
    <row r="476" spans="1:1" x14ac:dyDescent="0.2">
      <c r="A476" s="101"/>
    </row>
    <row r="477" spans="1:1" x14ac:dyDescent="0.2">
      <c r="A477" s="101"/>
    </row>
    <row r="478" spans="1:1" x14ac:dyDescent="0.2">
      <c r="A478" s="101"/>
    </row>
    <row r="479" spans="1:1" x14ac:dyDescent="0.2">
      <c r="A479" s="101"/>
    </row>
    <row r="480" spans="1:1" x14ac:dyDescent="0.2">
      <c r="A480" s="101"/>
    </row>
    <row r="481" spans="1:1" x14ac:dyDescent="0.2">
      <c r="A481" s="101"/>
    </row>
    <row r="482" spans="1:1" x14ac:dyDescent="0.2">
      <c r="A482" s="101"/>
    </row>
    <row r="483" spans="1:1" x14ac:dyDescent="0.2">
      <c r="A483" s="101"/>
    </row>
    <row r="484" spans="1:1" x14ac:dyDescent="0.2">
      <c r="A484" s="101"/>
    </row>
    <row r="485" spans="1:1" x14ac:dyDescent="0.2">
      <c r="A485" s="101"/>
    </row>
    <row r="486" spans="1:1" x14ac:dyDescent="0.2">
      <c r="A486" s="101"/>
    </row>
    <row r="487" spans="1:1" x14ac:dyDescent="0.2">
      <c r="A487" s="101"/>
    </row>
    <row r="488" spans="1:1" x14ac:dyDescent="0.2">
      <c r="A488" s="101"/>
    </row>
    <row r="489" spans="1:1" x14ac:dyDescent="0.2">
      <c r="A489" s="101"/>
    </row>
    <row r="490" spans="1:1" x14ac:dyDescent="0.2">
      <c r="A490" s="101"/>
    </row>
    <row r="491" spans="1:1" x14ac:dyDescent="0.2">
      <c r="A491" s="101"/>
    </row>
    <row r="492" spans="1:1" x14ac:dyDescent="0.2">
      <c r="A492" s="101"/>
    </row>
    <row r="493" spans="1:1" x14ac:dyDescent="0.2">
      <c r="A493" s="101"/>
    </row>
    <row r="494" spans="1:1" x14ac:dyDescent="0.2">
      <c r="A494" s="101"/>
    </row>
    <row r="495" spans="1:1" x14ac:dyDescent="0.2">
      <c r="A495" s="101"/>
    </row>
    <row r="496" spans="1:1" x14ac:dyDescent="0.2">
      <c r="A496" s="101"/>
    </row>
    <row r="497" spans="1:1" x14ac:dyDescent="0.2">
      <c r="A497" s="101"/>
    </row>
    <row r="498" spans="1:1" x14ac:dyDescent="0.2">
      <c r="A498" s="101"/>
    </row>
    <row r="499" spans="1:1" x14ac:dyDescent="0.2">
      <c r="A499" s="101"/>
    </row>
    <row r="500" spans="1:1" x14ac:dyDescent="0.2">
      <c r="A500" s="101"/>
    </row>
    <row r="501" spans="1:1" x14ac:dyDescent="0.2">
      <c r="A501" s="101"/>
    </row>
    <row r="502" spans="1:1" x14ac:dyDescent="0.2">
      <c r="A502" s="101"/>
    </row>
    <row r="503" spans="1:1" x14ac:dyDescent="0.2">
      <c r="A503" s="101"/>
    </row>
    <row r="504" spans="1:1" x14ac:dyDescent="0.2">
      <c r="A504" s="101"/>
    </row>
    <row r="505" spans="1:1" x14ac:dyDescent="0.2">
      <c r="A505" s="101"/>
    </row>
    <row r="506" spans="1:1" x14ac:dyDescent="0.2">
      <c r="A506" s="101"/>
    </row>
    <row r="507" spans="1:1" x14ac:dyDescent="0.2">
      <c r="A507" s="101"/>
    </row>
    <row r="508" spans="1:1" x14ac:dyDescent="0.2">
      <c r="A508" s="101"/>
    </row>
    <row r="509" spans="1:1" x14ac:dyDescent="0.2">
      <c r="A509" s="101"/>
    </row>
    <row r="510" spans="1:1" x14ac:dyDescent="0.2">
      <c r="A510" s="101"/>
    </row>
    <row r="511" spans="1:1" x14ac:dyDescent="0.2">
      <c r="A511" s="101"/>
    </row>
    <row r="512" spans="1:1" x14ac:dyDescent="0.2">
      <c r="A512" s="101"/>
    </row>
    <row r="513" spans="1:1" x14ac:dyDescent="0.2">
      <c r="A513" s="101"/>
    </row>
    <row r="514" spans="1:1" x14ac:dyDescent="0.2">
      <c r="A514" s="101"/>
    </row>
    <row r="515" spans="1:1" x14ac:dyDescent="0.2">
      <c r="A515" s="101"/>
    </row>
    <row r="516" spans="1:1" x14ac:dyDescent="0.2">
      <c r="A516" s="101"/>
    </row>
    <row r="517" spans="1:1" x14ac:dyDescent="0.2">
      <c r="A517" s="101"/>
    </row>
    <row r="518" spans="1:1" x14ac:dyDescent="0.2">
      <c r="A518" s="101"/>
    </row>
    <row r="519" spans="1:1" x14ac:dyDescent="0.2">
      <c r="A519" s="101"/>
    </row>
    <row r="520" spans="1:1" x14ac:dyDescent="0.2">
      <c r="A520" s="101"/>
    </row>
    <row r="521" spans="1:1" x14ac:dyDescent="0.2">
      <c r="A521" s="101"/>
    </row>
    <row r="522" spans="1:1" x14ac:dyDescent="0.2">
      <c r="A522" s="101"/>
    </row>
    <row r="523" spans="1:1" x14ac:dyDescent="0.2">
      <c r="A523" s="101"/>
    </row>
    <row r="524" spans="1:1" x14ac:dyDescent="0.2">
      <c r="A524" s="101"/>
    </row>
    <row r="525" spans="1:1" x14ac:dyDescent="0.2">
      <c r="A525" s="101"/>
    </row>
    <row r="526" spans="1:1" x14ac:dyDescent="0.2">
      <c r="A526" s="101"/>
    </row>
    <row r="527" spans="1:1" x14ac:dyDescent="0.2">
      <c r="A527" s="101"/>
    </row>
    <row r="528" spans="1:1" x14ac:dyDescent="0.2">
      <c r="A528" s="101"/>
    </row>
    <row r="529" spans="1:1" x14ac:dyDescent="0.2">
      <c r="A529" s="101"/>
    </row>
    <row r="530" spans="1:1" x14ac:dyDescent="0.2">
      <c r="A530" s="101"/>
    </row>
    <row r="531" spans="1:1" x14ac:dyDescent="0.2">
      <c r="A531" s="101"/>
    </row>
    <row r="532" spans="1:1" x14ac:dyDescent="0.2">
      <c r="A532" s="101"/>
    </row>
    <row r="533" spans="1:1" x14ac:dyDescent="0.2">
      <c r="A533" s="101"/>
    </row>
    <row r="534" spans="1:1" x14ac:dyDescent="0.2">
      <c r="A534" s="101"/>
    </row>
    <row r="535" spans="1:1" x14ac:dyDescent="0.2">
      <c r="A535" s="101"/>
    </row>
    <row r="536" spans="1:1" x14ac:dyDescent="0.2">
      <c r="A536" s="101"/>
    </row>
    <row r="537" spans="1:1" x14ac:dyDescent="0.2">
      <c r="A537" s="101"/>
    </row>
    <row r="538" spans="1:1" x14ac:dyDescent="0.2">
      <c r="A538" s="101"/>
    </row>
    <row r="539" spans="1:1" x14ac:dyDescent="0.2">
      <c r="A539" s="101"/>
    </row>
    <row r="540" spans="1:1" x14ac:dyDescent="0.2">
      <c r="A540" s="101"/>
    </row>
    <row r="541" spans="1:1" x14ac:dyDescent="0.2">
      <c r="A541" s="101"/>
    </row>
    <row r="542" spans="1:1" x14ac:dyDescent="0.2">
      <c r="A542" s="101"/>
    </row>
    <row r="543" spans="1:1" x14ac:dyDescent="0.2">
      <c r="A543" s="101"/>
    </row>
    <row r="544" spans="1:1" x14ac:dyDescent="0.2">
      <c r="A544" s="101"/>
    </row>
    <row r="545" spans="1:1" x14ac:dyDescent="0.2">
      <c r="A545" s="101"/>
    </row>
    <row r="546" spans="1:1" x14ac:dyDescent="0.2">
      <c r="A546" s="101"/>
    </row>
    <row r="547" spans="1:1" x14ac:dyDescent="0.2">
      <c r="A547" s="101"/>
    </row>
    <row r="548" spans="1:1" x14ac:dyDescent="0.2">
      <c r="A548" s="101"/>
    </row>
    <row r="549" spans="1:1" x14ac:dyDescent="0.2">
      <c r="A549" s="101"/>
    </row>
    <row r="550" spans="1:1" x14ac:dyDescent="0.2">
      <c r="A550" s="101"/>
    </row>
    <row r="551" spans="1:1" x14ac:dyDescent="0.2">
      <c r="A551" s="101"/>
    </row>
    <row r="552" spans="1:1" x14ac:dyDescent="0.2">
      <c r="A552" s="101"/>
    </row>
    <row r="553" spans="1:1" x14ac:dyDescent="0.2">
      <c r="A553" s="101"/>
    </row>
    <row r="554" spans="1:1" x14ac:dyDescent="0.2">
      <c r="A554" s="101"/>
    </row>
    <row r="555" spans="1:1" x14ac:dyDescent="0.2">
      <c r="A555" s="101"/>
    </row>
    <row r="556" spans="1:1" x14ac:dyDescent="0.2">
      <c r="A556" s="101"/>
    </row>
    <row r="557" spans="1:1" x14ac:dyDescent="0.2">
      <c r="A557" s="101"/>
    </row>
    <row r="558" spans="1:1" x14ac:dyDescent="0.2">
      <c r="A558" s="101"/>
    </row>
    <row r="559" spans="1:1" x14ac:dyDescent="0.2">
      <c r="A559" s="101"/>
    </row>
    <row r="560" spans="1:1" x14ac:dyDescent="0.2">
      <c r="A560" s="101"/>
    </row>
    <row r="561" spans="1:1" x14ac:dyDescent="0.2">
      <c r="A561" s="101"/>
    </row>
    <row r="562" spans="1:1" x14ac:dyDescent="0.2">
      <c r="A562" s="101"/>
    </row>
    <row r="563" spans="1:1" x14ac:dyDescent="0.2">
      <c r="A563" s="101"/>
    </row>
    <row r="564" spans="1:1" x14ac:dyDescent="0.2">
      <c r="A564" s="101"/>
    </row>
    <row r="565" spans="1:1" x14ac:dyDescent="0.2">
      <c r="A565" s="101"/>
    </row>
    <row r="566" spans="1:1" x14ac:dyDescent="0.2">
      <c r="A566" s="101"/>
    </row>
    <row r="567" spans="1:1" x14ac:dyDescent="0.2">
      <c r="A567" s="101"/>
    </row>
    <row r="568" spans="1:1" x14ac:dyDescent="0.2">
      <c r="A568" s="101"/>
    </row>
    <row r="569" spans="1:1" x14ac:dyDescent="0.2">
      <c r="A569" s="101"/>
    </row>
    <row r="570" spans="1:1" x14ac:dyDescent="0.2">
      <c r="A570" s="101"/>
    </row>
    <row r="571" spans="1:1" x14ac:dyDescent="0.2">
      <c r="A571" s="101"/>
    </row>
    <row r="572" spans="1:1" x14ac:dyDescent="0.2">
      <c r="A572" s="101"/>
    </row>
    <row r="573" spans="1:1" x14ac:dyDescent="0.2">
      <c r="A573" s="101"/>
    </row>
    <row r="574" spans="1:1" x14ac:dyDescent="0.2">
      <c r="A574" s="101"/>
    </row>
    <row r="575" spans="1:1" x14ac:dyDescent="0.2">
      <c r="A575" s="101"/>
    </row>
    <row r="576" spans="1:1" x14ac:dyDescent="0.2">
      <c r="A576" s="101"/>
    </row>
    <row r="577" spans="1:1" x14ac:dyDescent="0.2">
      <c r="A577" s="101"/>
    </row>
    <row r="578" spans="1:1" x14ac:dyDescent="0.2">
      <c r="A578" s="101"/>
    </row>
    <row r="579" spans="1:1" x14ac:dyDescent="0.2">
      <c r="A579" s="101"/>
    </row>
    <row r="580" spans="1:1" x14ac:dyDescent="0.2">
      <c r="A580" s="101"/>
    </row>
    <row r="581" spans="1:1" x14ac:dyDescent="0.2">
      <c r="A581" s="101"/>
    </row>
    <row r="582" spans="1:1" x14ac:dyDescent="0.2">
      <c r="A582" s="101"/>
    </row>
    <row r="583" spans="1:1" x14ac:dyDescent="0.2">
      <c r="A583" s="101"/>
    </row>
    <row r="584" spans="1:1" x14ac:dyDescent="0.2">
      <c r="A584" s="101"/>
    </row>
    <row r="585" spans="1:1" x14ac:dyDescent="0.2">
      <c r="A585" s="101"/>
    </row>
    <row r="586" spans="1:1" x14ac:dyDescent="0.2">
      <c r="A586" s="101"/>
    </row>
    <row r="587" spans="1:1" x14ac:dyDescent="0.2">
      <c r="A587" s="101"/>
    </row>
    <row r="588" spans="1:1" x14ac:dyDescent="0.2">
      <c r="A588" s="101"/>
    </row>
    <row r="589" spans="1:1" x14ac:dyDescent="0.2">
      <c r="A589" s="101"/>
    </row>
    <row r="590" spans="1:1" x14ac:dyDescent="0.2">
      <c r="A590" s="101"/>
    </row>
    <row r="591" spans="1:1" x14ac:dyDescent="0.2">
      <c r="A591" s="101"/>
    </row>
    <row r="592" spans="1:1" x14ac:dyDescent="0.2">
      <c r="A592" s="101"/>
    </row>
    <row r="593" spans="1:1" x14ac:dyDescent="0.2">
      <c r="A593" s="101"/>
    </row>
    <row r="594" spans="1:1" x14ac:dyDescent="0.2">
      <c r="A594" s="101"/>
    </row>
    <row r="595" spans="1:1" x14ac:dyDescent="0.2">
      <c r="A595" s="101"/>
    </row>
    <row r="596" spans="1:1" x14ac:dyDescent="0.2">
      <c r="A596" s="101"/>
    </row>
    <row r="597" spans="1:1" x14ac:dyDescent="0.2">
      <c r="A597" s="101"/>
    </row>
    <row r="598" spans="1:1" x14ac:dyDescent="0.2">
      <c r="A598" s="101"/>
    </row>
    <row r="599" spans="1:1" x14ac:dyDescent="0.2">
      <c r="A599" s="101"/>
    </row>
    <row r="600" spans="1:1" x14ac:dyDescent="0.2">
      <c r="A600" s="101"/>
    </row>
    <row r="601" spans="1:1" x14ac:dyDescent="0.2">
      <c r="A601" s="101"/>
    </row>
    <row r="602" spans="1:1" x14ac:dyDescent="0.2">
      <c r="A602" s="101"/>
    </row>
    <row r="603" spans="1:1" x14ac:dyDescent="0.2">
      <c r="A603" s="101"/>
    </row>
    <row r="604" spans="1:1" x14ac:dyDescent="0.2">
      <c r="A604" s="101"/>
    </row>
    <row r="605" spans="1:1" x14ac:dyDescent="0.2">
      <c r="A605" s="101"/>
    </row>
    <row r="606" spans="1:1" x14ac:dyDescent="0.2">
      <c r="A606" s="101"/>
    </row>
    <row r="607" spans="1:1" x14ac:dyDescent="0.2">
      <c r="A607" s="101"/>
    </row>
    <row r="608" spans="1:1" x14ac:dyDescent="0.2">
      <c r="A608" s="101"/>
    </row>
    <row r="609" spans="1:1" x14ac:dyDescent="0.2">
      <c r="A609" s="101"/>
    </row>
    <row r="610" spans="1:1" x14ac:dyDescent="0.2">
      <c r="A610" s="101"/>
    </row>
    <row r="611" spans="1:1" x14ac:dyDescent="0.2">
      <c r="A611" s="101"/>
    </row>
    <row r="612" spans="1:1" x14ac:dyDescent="0.2">
      <c r="A612" s="101"/>
    </row>
    <row r="613" spans="1:1" x14ac:dyDescent="0.2">
      <c r="A613" s="101"/>
    </row>
    <row r="614" spans="1:1" x14ac:dyDescent="0.2">
      <c r="A614" s="101"/>
    </row>
    <row r="615" spans="1:1" x14ac:dyDescent="0.2">
      <c r="A615" s="101"/>
    </row>
    <row r="616" spans="1:1" x14ac:dyDescent="0.2">
      <c r="A616" s="101"/>
    </row>
    <row r="617" spans="1:1" x14ac:dyDescent="0.2">
      <c r="A617" s="101"/>
    </row>
    <row r="618" spans="1:1" x14ac:dyDescent="0.2">
      <c r="A618" s="101"/>
    </row>
    <row r="619" spans="1:1" x14ac:dyDescent="0.2">
      <c r="A619" s="101"/>
    </row>
    <row r="620" spans="1:1" x14ac:dyDescent="0.2">
      <c r="A620" s="101"/>
    </row>
    <row r="621" spans="1:1" x14ac:dyDescent="0.2">
      <c r="A621" s="101"/>
    </row>
    <row r="622" spans="1:1" x14ac:dyDescent="0.2">
      <c r="A622" s="101"/>
    </row>
    <row r="623" spans="1:1" x14ac:dyDescent="0.2">
      <c r="A623" s="101"/>
    </row>
    <row r="624" spans="1:1" x14ac:dyDescent="0.2">
      <c r="A624" s="101"/>
    </row>
    <row r="625" spans="1:1" x14ac:dyDescent="0.2">
      <c r="A625" s="101"/>
    </row>
    <row r="626" spans="1:1" x14ac:dyDescent="0.2">
      <c r="A626" s="101"/>
    </row>
    <row r="627" spans="1:1" x14ac:dyDescent="0.2">
      <c r="A627" s="101"/>
    </row>
    <row r="628" spans="1:1" x14ac:dyDescent="0.2">
      <c r="A628" s="101"/>
    </row>
    <row r="629" spans="1:1" x14ac:dyDescent="0.2">
      <c r="A629" s="101"/>
    </row>
    <row r="630" spans="1:1" x14ac:dyDescent="0.2">
      <c r="A630" s="101"/>
    </row>
    <row r="631" spans="1:1" x14ac:dyDescent="0.2">
      <c r="A631" s="101"/>
    </row>
    <row r="632" spans="1:1" x14ac:dyDescent="0.2">
      <c r="A632" s="101"/>
    </row>
    <row r="633" spans="1:1" x14ac:dyDescent="0.2">
      <c r="A633" s="101"/>
    </row>
    <row r="634" spans="1:1" x14ac:dyDescent="0.2">
      <c r="A634" s="101"/>
    </row>
    <row r="635" spans="1:1" x14ac:dyDescent="0.2">
      <c r="A635" s="101"/>
    </row>
    <row r="636" spans="1:1" x14ac:dyDescent="0.2">
      <c r="A636" s="101"/>
    </row>
    <row r="637" spans="1:1" x14ac:dyDescent="0.2">
      <c r="A637" s="101"/>
    </row>
    <row r="638" spans="1:1" x14ac:dyDescent="0.2">
      <c r="A638" s="101"/>
    </row>
    <row r="639" spans="1:1" x14ac:dyDescent="0.2">
      <c r="A639" s="101"/>
    </row>
    <row r="640" spans="1:1" x14ac:dyDescent="0.2">
      <c r="A640" s="101"/>
    </row>
    <row r="641" spans="1:1" x14ac:dyDescent="0.2">
      <c r="A641" s="101"/>
    </row>
    <row r="642" spans="1:1" x14ac:dyDescent="0.2">
      <c r="A642" s="101"/>
    </row>
    <row r="643" spans="1:1" x14ac:dyDescent="0.2">
      <c r="A643" s="101"/>
    </row>
    <row r="644" spans="1:1" x14ac:dyDescent="0.2">
      <c r="A644" s="101"/>
    </row>
    <row r="645" spans="1:1" x14ac:dyDescent="0.2">
      <c r="A645" s="101"/>
    </row>
    <row r="646" spans="1:1" x14ac:dyDescent="0.2">
      <c r="A646" s="101"/>
    </row>
    <row r="647" spans="1:1" x14ac:dyDescent="0.2">
      <c r="A647" s="101"/>
    </row>
    <row r="648" spans="1:1" x14ac:dyDescent="0.2">
      <c r="A648" s="101"/>
    </row>
    <row r="649" spans="1:1" x14ac:dyDescent="0.2">
      <c r="A649" s="101"/>
    </row>
    <row r="650" spans="1:1" x14ac:dyDescent="0.2">
      <c r="A650" s="101"/>
    </row>
    <row r="651" spans="1:1" x14ac:dyDescent="0.2">
      <c r="A651" s="101"/>
    </row>
    <row r="652" spans="1:1" x14ac:dyDescent="0.2">
      <c r="A652" s="101"/>
    </row>
    <row r="653" spans="1:1" x14ac:dyDescent="0.2">
      <c r="A653" s="101"/>
    </row>
    <row r="654" spans="1:1" x14ac:dyDescent="0.2">
      <c r="A654" s="101"/>
    </row>
    <row r="655" spans="1:1" x14ac:dyDescent="0.2">
      <c r="A655" s="101"/>
    </row>
    <row r="656" spans="1:1" x14ac:dyDescent="0.2">
      <c r="A656" s="101"/>
    </row>
    <row r="657" spans="1:1" x14ac:dyDescent="0.2">
      <c r="A657" s="101"/>
    </row>
    <row r="658" spans="1:1" x14ac:dyDescent="0.2">
      <c r="A658" s="101"/>
    </row>
    <row r="659" spans="1:1" x14ac:dyDescent="0.2">
      <c r="A659" s="101"/>
    </row>
    <row r="660" spans="1:1" x14ac:dyDescent="0.2">
      <c r="A660" s="101"/>
    </row>
    <row r="661" spans="1:1" x14ac:dyDescent="0.2">
      <c r="A661" s="101"/>
    </row>
    <row r="662" spans="1:1" x14ac:dyDescent="0.2">
      <c r="A662" s="101"/>
    </row>
    <row r="663" spans="1:1" x14ac:dyDescent="0.2">
      <c r="A663" s="101"/>
    </row>
    <row r="664" spans="1:1" x14ac:dyDescent="0.2">
      <c r="A664" s="101"/>
    </row>
    <row r="665" spans="1:1" x14ac:dyDescent="0.2">
      <c r="A665" s="101"/>
    </row>
    <row r="666" spans="1:1" x14ac:dyDescent="0.2">
      <c r="A666" s="101"/>
    </row>
    <row r="667" spans="1:1" x14ac:dyDescent="0.2">
      <c r="A667" s="101"/>
    </row>
    <row r="668" spans="1:1" x14ac:dyDescent="0.2">
      <c r="A668" s="101"/>
    </row>
    <row r="669" spans="1:1" x14ac:dyDescent="0.2">
      <c r="A669" s="101"/>
    </row>
    <row r="670" spans="1:1" x14ac:dyDescent="0.2">
      <c r="A670" s="101"/>
    </row>
    <row r="671" spans="1:1" x14ac:dyDescent="0.2">
      <c r="A671" s="101"/>
    </row>
    <row r="672" spans="1:1" x14ac:dyDescent="0.2">
      <c r="A672" s="101"/>
    </row>
    <row r="673" spans="1:1" x14ac:dyDescent="0.2">
      <c r="A673" s="101"/>
    </row>
    <row r="674" spans="1:1" x14ac:dyDescent="0.2">
      <c r="A674" s="101"/>
    </row>
    <row r="675" spans="1:1" x14ac:dyDescent="0.2">
      <c r="A675" s="101"/>
    </row>
    <row r="676" spans="1:1" x14ac:dyDescent="0.2">
      <c r="A676" s="101"/>
    </row>
    <row r="677" spans="1:1" x14ac:dyDescent="0.2">
      <c r="A677" s="101"/>
    </row>
    <row r="678" spans="1:1" x14ac:dyDescent="0.2">
      <c r="A678" s="101"/>
    </row>
    <row r="679" spans="1:1" x14ac:dyDescent="0.2">
      <c r="A679" s="101"/>
    </row>
    <row r="680" spans="1:1" x14ac:dyDescent="0.2">
      <c r="A680" s="101"/>
    </row>
    <row r="681" spans="1:1" x14ac:dyDescent="0.2">
      <c r="A681" s="101"/>
    </row>
    <row r="682" spans="1:1" x14ac:dyDescent="0.2">
      <c r="A682" s="101"/>
    </row>
    <row r="683" spans="1:1" x14ac:dyDescent="0.2">
      <c r="A683" s="101"/>
    </row>
    <row r="684" spans="1:1" x14ac:dyDescent="0.2">
      <c r="A684" s="101"/>
    </row>
    <row r="685" spans="1:1" x14ac:dyDescent="0.2">
      <c r="A685" s="101"/>
    </row>
    <row r="686" spans="1:1" x14ac:dyDescent="0.2">
      <c r="A686" s="101"/>
    </row>
    <row r="687" spans="1:1" x14ac:dyDescent="0.2">
      <c r="A687" s="101"/>
    </row>
    <row r="688" spans="1:1" x14ac:dyDescent="0.2">
      <c r="A688" s="101"/>
    </row>
    <row r="689" spans="1:1" x14ac:dyDescent="0.2">
      <c r="A689" s="101"/>
    </row>
    <row r="690" spans="1:1" x14ac:dyDescent="0.2">
      <c r="A690" s="101"/>
    </row>
    <row r="691" spans="1:1" x14ac:dyDescent="0.2">
      <c r="A691" s="101"/>
    </row>
    <row r="692" spans="1:1" x14ac:dyDescent="0.2">
      <c r="A692" s="101"/>
    </row>
    <row r="693" spans="1:1" x14ac:dyDescent="0.2">
      <c r="A693" s="101"/>
    </row>
    <row r="694" spans="1:1" x14ac:dyDescent="0.2">
      <c r="A694" s="101"/>
    </row>
    <row r="695" spans="1:1" x14ac:dyDescent="0.2">
      <c r="A695" s="101"/>
    </row>
    <row r="696" spans="1:1" x14ac:dyDescent="0.2">
      <c r="A696" s="101"/>
    </row>
    <row r="697" spans="1:1" x14ac:dyDescent="0.2">
      <c r="A697" s="101"/>
    </row>
    <row r="698" spans="1:1" x14ac:dyDescent="0.2">
      <c r="A698" s="101"/>
    </row>
    <row r="699" spans="1:1" x14ac:dyDescent="0.2">
      <c r="A699" s="101"/>
    </row>
    <row r="700" spans="1:1" x14ac:dyDescent="0.2">
      <c r="A700" s="101"/>
    </row>
    <row r="701" spans="1:1" x14ac:dyDescent="0.2">
      <c r="A701" s="101"/>
    </row>
    <row r="702" spans="1:1" x14ac:dyDescent="0.2">
      <c r="A702" s="101"/>
    </row>
    <row r="703" spans="1:1" x14ac:dyDescent="0.2">
      <c r="A703" s="101"/>
    </row>
    <row r="704" spans="1:1" x14ac:dyDescent="0.2">
      <c r="A704" s="101"/>
    </row>
    <row r="705" spans="1:1" x14ac:dyDescent="0.2">
      <c r="A705" s="101"/>
    </row>
    <row r="706" spans="1:1" x14ac:dyDescent="0.2">
      <c r="A706" s="101"/>
    </row>
    <row r="707" spans="1:1" x14ac:dyDescent="0.2">
      <c r="A707" s="101"/>
    </row>
    <row r="708" spans="1:1" x14ac:dyDescent="0.2">
      <c r="A708" s="101"/>
    </row>
    <row r="709" spans="1:1" x14ac:dyDescent="0.2">
      <c r="A709" s="101"/>
    </row>
    <row r="710" spans="1:1" x14ac:dyDescent="0.2">
      <c r="A710" s="101"/>
    </row>
    <row r="711" spans="1:1" x14ac:dyDescent="0.2">
      <c r="A711" s="101"/>
    </row>
    <row r="712" spans="1:1" x14ac:dyDescent="0.2">
      <c r="A712" s="101"/>
    </row>
    <row r="713" spans="1:1" x14ac:dyDescent="0.2">
      <c r="A713" s="101"/>
    </row>
    <row r="714" spans="1:1" x14ac:dyDescent="0.2">
      <c r="A714" s="101"/>
    </row>
    <row r="715" spans="1:1" x14ac:dyDescent="0.2">
      <c r="A715" s="101"/>
    </row>
    <row r="716" spans="1:1" x14ac:dyDescent="0.2">
      <c r="A716" s="101"/>
    </row>
    <row r="717" spans="1:1" x14ac:dyDescent="0.2">
      <c r="A717" s="101"/>
    </row>
    <row r="718" spans="1:1" x14ac:dyDescent="0.2">
      <c r="A718" s="101"/>
    </row>
    <row r="719" spans="1:1" x14ac:dyDescent="0.2">
      <c r="A719" s="101"/>
    </row>
    <row r="720" spans="1:1" x14ac:dyDescent="0.2">
      <c r="A720" s="101"/>
    </row>
    <row r="721" spans="1:1" x14ac:dyDescent="0.2">
      <c r="A721" s="101"/>
    </row>
    <row r="722" spans="1:1" x14ac:dyDescent="0.2">
      <c r="A722" s="101"/>
    </row>
    <row r="723" spans="1:1" x14ac:dyDescent="0.2">
      <c r="A723" s="101"/>
    </row>
    <row r="724" spans="1:1" x14ac:dyDescent="0.2">
      <c r="A724" s="101"/>
    </row>
    <row r="725" spans="1:1" x14ac:dyDescent="0.2">
      <c r="A725" s="101"/>
    </row>
    <row r="726" spans="1:1" x14ac:dyDescent="0.2">
      <c r="A726" s="101"/>
    </row>
    <row r="727" spans="1:1" x14ac:dyDescent="0.2">
      <c r="A727" s="101"/>
    </row>
    <row r="728" spans="1:1" x14ac:dyDescent="0.2">
      <c r="A728" s="101"/>
    </row>
    <row r="729" spans="1:1" x14ac:dyDescent="0.2">
      <c r="A729" s="101"/>
    </row>
    <row r="730" spans="1:1" x14ac:dyDescent="0.2">
      <c r="A730" s="101"/>
    </row>
    <row r="731" spans="1:1" x14ac:dyDescent="0.2">
      <c r="A731" s="101"/>
    </row>
    <row r="732" spans="1:1" x14ac:dyDescent="0.2">
      <c r="A732" s="101"/>
    </row>
    <row r="733" spans="1:1" x14ac:dyDescent="0.2">
      <c r="A733" s="101"/>
    </row>
    <row r="734" spans="1:1" x14ac:dyDescent="0.2">
      <c r="A734" s="101"/>
    </row>
    <row r="735" spans="1:1" x14ac:dyDescent="0.2">
      <c r="A735" s="101"/>
    </row>
    <row r="736" spans="1:1" x14ac:dyDescent="0.2">
      <c r="A736" s="101"/>
    </row>
    <row r="737" spans="1:1" x14ac:dyDescent="0.2">
      <c r="A737" s="101"/>
    </row>
    <row r="738" spans="1:1" x14ac:dyDescent="0.2">
      <c r="A738" s="101"/>
    </row>
    <row r="739" spans="1:1" x14ac:dyDescent="0.2">
      <c r="A739" s="101"/>
    </row>
    <row r="740" spans="1:1" x14ac:dyDescent="0.2">
      <c r="A740" s="101"/>
    </row>
    <row r="741" spans="1:1" x14ac:dyDescent="0.2">
      <c r="A741" s="101"/>
    </row>
    <row r="742" spans="1:1" x14ac:dyDescent="0.2">
      <c r="A742" s="101"/>
    </row>
    <row r="743" spans="1:1" x14ac:dyDescent="0.2">
      <c r="A743" s="101"/>
    </row>
    <row r="744" spans="1:1" x14ac:dyDescent="0.2">
      <c r="A744" s="101"/>
    </row>
    <row r="745" spans="1:1" x14ac:dyDescent="0.2">
      <c r="A745" s="101"/>
    </row>
    <row r="746" spans="1:1" x14ac:dyDescent="0.2">
      <c r="A746" s="101"/>
    </row>
    <row r="747" spans="1:1" x14ac:dyDescent="0.2">
      <c r="A747" s="101"/>
    </row>
    <row r="748" spans="1:1" x14ac:dyDescent="0.2">
      <c r="A748" s="101"/>
    </row>
    <row r="749" spans="1:1" x14ac:dyDescent="0.2">
      <c r="A749" s="101"/>
    </row>
    <row r="750" spans="1:1" x14ac:dyDescent="0.2">
      <c r="A750" s="101"/>
    </row>
    <row r="751" spans="1:1" x14ac:dyDescent="0.2">
      <c r="A751" s="101"/>
    </row>
    <row r="752" spans="1:1" x14ac:dyDescent="0.2">
      <c r="A752" s="101"/>
    </row>
    <row r="753" spans="1:1" x14ac:dyDescent="0.2">
      <c r="A753" s="101"/>
    </row>
    <row r="754" spans="1:1" x14ac:dyDescent="0.2">
      <c r="A754" s="101"/>
    </row>
    <row r="755" spans="1:1" x14ac:dyDescent="0.2">
      <c r="A755" s="101"/>
    </row>
    <row r="756" spans="1:1" x14ac:dyDescent="0.2">
      <c r="A756" s="101"/>
    </row>
    <row r="757" spans="1:1" x14ac:dyDescent="0.2">
      <c r="A757" s="101"/>
    </row>
    <row r="758" spans="1:1" x14ac:dyDescent="0.2">
      <c r="A758" s="101"/>
    </row>
    <row r="759" spans="1:1" x14ac:dyDescent="0.2">
      <c r="A759" s="101"/>
    </row>
    <row r="760" spans="1:1" x14ac:dyDescent="0.2">
      <c r="A760" s="101"/>
    </row>
    <row r="761" spans="1:1" x14ac:dyDescent="0.2">
      <c r="A761" s="101"/>
    </row>
    <row r="762" spans="1:1" x14ac:dyDescent="0.2">
      <c r="A762" s="101"/>
    </row>
    <row r="763" spans="1:1" x14ac:dyDescent="0.2">
      <c r="A763" s="101"/>
    </row>
    <row r="764" spans="1:1" x14ac:dyDescent="0.2">
      <c r="A764" s="101"/>
    </row>
    <row r="765" spans="1:1" x14ac:dyDescent="0.2">
      <c r="A765" s="101"/>
    </row>
    <row r="766" spans="1:1" x14ac:dyDescent="0.2">
      <c r="A766" s="101"/>
    </row>
    <row r="767" spans="1:1" x14ac:dyDescent="0.2">
      <c r="A767" s="101"/>
    </row>
    <row r="768" spans="1:1" x14ac:dyDescent="0.2">
      <c r="A768" s="101"/>
    </row>
    <row r="769" spans="1:1" x14ac:dyDescent="0.2">
      <c r="A769" s="101"/>
    </row>
    <row r="770" spans="1:1" x14ac:dyDescent="0.2">
      <c r="A770" s="101"/>
    </row>
    <row r="771" spans="1:1" x14ac:dyDescent="0.2">
      <c r="A771" s="101"/>
    </row>
    <row r="772" spans="1:1" x14ac:dyDescent="0.2">
      <c r="A772" s="101"/>
    </row>
    <row r="773" spans="1:1" x14ac:dyDescent="0.2">
      <c r="A773" s="101"/>
    </row>
    <row r="774" spans="1:1" x14ac:dyDescent="0.2">
      <c r="A774" s="101"/>
    </row>
    <row r="775" spans="1:1" x14ac:dyDescent="0.2">
      <c r="A775" s="101"/>
    </row>
    <row r="776" spans="1:1" x14ac:dyDescent="0.2">
      <c r="A776" s="101"/>
    </row>
    <row r="777" spans="1:1" x14ac:dyDescent="0.2">
      <c r="A777" s="101"/>
    </row>
    <row r="778" spans="1:1" x14ac:dyDescent="0.2">
      <c r="A778" s="101"/>
    </row>
    <row r="779" spans="1:1" x14ac:dyDescent="0.2">
      <c r="A779" s="101"/>
    </row>
    <row r="780" spans="1:1" x14ac:dyDescent="0.2">
      <c r="A780" s="101"/>
    </row>
    <row r="781" spans="1:1" x14ac:dyDescent="0.2">
      <c r="A781" s="101"/>
    </row>
    <row r="782" spans="1:1" x14ac:dyDescent="0.2">
      <c r="A782" s="101"/>
    </row>
    <row r="783" spans="1:1" x14ac:dyDescent="0.2">
      <c r="A783" s="101"/>
    </row>
    <row r="784" spans="1:1" x14ac:dyDescent="0.2">
      <c r="A784" s="101"/>
    </row>
    <row r="785" spans="1:1" x14ac:dyDescent="0.2">
      <c r="A785" s="101"/>
    </row>
    <row r="786" spans="1:1" x14ac:dyDescent="0.2">
      <c r="A786" s="101"/>
    </row>
    <row r="787" spans="1:1" x14ac:dyDescent="0.2">
      <c r="A787" s="101"/>
    </row>
    <row r="788" spans="1:1" x14ac:dyDescent="0.2">
      <c r="A788" s="101"/>
    </row>
    <row r="789" spans="1:1" x14ac:dyDescent="0.2">
      <c r="A789" s="101"/>
    </row>
    <row r="790" spans="1:1" x14ac:dyDescent="0.2">
      <c r="A790" s="101"/>
    </row>
    <row r="791" spans="1:1" x14ac:dyDescent="0.2">
      <c r="A791" s="101"/>
    </row>
    <row r="792" spans="1:1" x14ac:dyDescent="0.2">
      <c r="A792" s="101"/>
    </row>
    <row r="793" spans="1:1" x14ac:dyDescent="0.2">
      <c r="A793" s="101"/>
    </row>
    <row r="794" spans="1:1" x14ac:dyDescent="0.2">
      <c r="A794" s="101"/>
    </row>
    <row r="795" spans="1:1" x14ac:dyDescent="0.2">
      <c r="A795" s="101"/>
    </row>
    <row r="796" spans="1:1" x14ac:dyDescent="0.2">
      <c r="A796" s="101"/>
    </row>
    <row r="797" spans="1:1" x14ac:dyDescent="0.2">
      <c r="A797" s="101"/>
    </row>
    <row r="798" spans="1:1" x14ac:dyDescent="0.2">
      <c r="A798" s="101"/>
    </row>
    <row r="799" spans="1:1" x14ac:dyDescent="0.2">
      <c r="A799" s="101"/>
    </row>
    <row r="800" spans="1:1" x14ac:dyDescent="0.2">
      <c r="A800" s="101"/>
    </row>
    <row r="801" spans="1:1" x14ac:dyDescent="0.2">
      <c r="A801" s="101"/>
    </row>
    <row r="802" spans="1:1" x14ac:dyDescent="0.2">
      <c r="A802" s="101"/>
    </row>
    <row r="803" spans="1:1" x14ac:dyDescent="0.2">
      <c r="A803" s="101"/>
    </row>
    <row r="804" spans="1:1" x14ac:dyDescent="0.2">
      <c r="A804" s="101"/>
    </row>
    <row r="805" spans="1:1" x14ac:dyDescent="0.2">
      <c r="A805" s="101"/>
    </row>
    <row r="806" spans="1:1" x14ac:dyDescent="0.2">
      <c r="A806" s="101"/>
    </row>
    <row r="807" spans="1:1" x14ac:dyDescent="0.2">
      <c r="A807" s="101"/>
    </row>
    <row r="808" spans="1:1" x14ac:dyDescent="0.2">
      <c r="A808" s="101"/>
    </row>
    <row r="809" spans="1:1" x14ac:dyDescent="0.2">
      <c r="A809" s="101"/>
    </row>
    <row r="810" spans="1:1" x14ac:dyDescent="0.2">
      <c r="A810" s="101"/>
    </row>
    <row r="811" spans="1:1" x14ac:dyDescent="0.2">
      <c r="A811" s="101"/>
    </row>
    <row r="812" spans="1:1" x14ac:dyDescent="0.2">
      <c r="A812" s="101"/>
    </row>
    <row r="813" spans="1:1" x14ac:dyDescent="0.2">
      <c r="A813" s="101"/>
    </row>
    <row r="814" spans="1:1" x14ac:dyDescent="0.2">
      <c r="A814" s="101"/>
    </row>
    <row r="815" spans="1:1" x14ac:dyDescent="0.2">
      <c r="A815" s="101"/>
    </row>
    <row r="816" spans="1:1" x14ac:dyDescent="0.2">
      <c r="A816" s="101"/>
    </row>
    <row r="817" spans="1:1" x14ac:dyDescent="0.2">
      <c r="A817" s="101"/>
    </row>
    <row r="818" spans="1:1" x14ac:dyDescent="0.2">
      <c r="A818" s="101"/>
    </row>
    <row r="819" spans="1:1" x14ac:dyDescent="0.2">
      <c r="A819" s="101"/>
    </row>
    <row r="820" spans="1:1" x14ac:dyDescent="0.2">
      <c r="A820" s="101"/>
    </row>
    <row r="821" spans="1:1" x14ac:dyDescent="0.2">
      <c r="A821" s="101"/>
    </row>
    <row r="822" spans="1:1" x14ac:dyDescent="0.2">
      <c r="A822" s="101"/>
    </row>
    <row r="823" spans="1:1" x14ac:dyDescent="0.2">
      <c r="A823" s="101"/>
    </row>
    <row r="824" spans="1:1" x14ac:dyDescent="0.2">
      <c r="A824" s="101"/>
    </row>
    <row r="825" spans="1:1" x14ac:dyDescent="0.2">
      <c r="A825" s="101"/>
    </row>
    <row r="826" spans="1:1" x14ac:dyDescent="0.2">
      <c r="A826" s="101"/>
    </row>
    <row r="827" spans="1:1" x14ac:dyDescent="0.2">
      <c r="A827" s="101"/>
    </row>
    <row r="828" spans="1:1" x14ac:dyDescent="0.2">
      <c r="A828" s="101"/>
    </row>
    <row r="829" spans="1:1" x14ac:dyDescent="0.2">
      <c r="A829" s="101"/>
    </row>
    <row r="830" spans="1:1" x14ac:dyDescent="0.2">
      <c r="A830" s="101"/>
    </row>
    <row r="831" spans="1:1" x14ac:dyDescent="0.2">
      <c r="A831" s="101"/>
    </row>
    <row r="832" spans="1:1" x14ac:dyDescent="0.2">
      <c r="A832" s="101"/>
    </row>
    <row r="833" spans="1:1" x14ac:dyDescent="0.2">
      <c r="A833" s="101"/>
    </row>
    <row r="834" spans="1:1" x14ac:dyDescent="0.2">
      <c r="A834" s="101"/>
    </row>
    <row r="835" spans="1:1" x14ac:dyDescent="0.2">
      <c r="A835" s="101"/>
    </row>
    <row r="836" spans="1:1" x14ac:dyDescent="0.2">
      <c r="A836" s="101"/>
    </row>
    <row r="837" spans="1:1" x14ac:dyDescent="0.2">
      <c r="A837" s="101"/>
    </row>
    <row r="838" spans="1:1" x14ac:dyDescent="0.2">
      <c r="A838" s="101"/>
    </row>
    <row r="839" spans="1:1" x14ac:dyDescent="0.2">
      <c r="A839" s="101"/>
    </row>
    <row r="840" spans="1:1" x14ac:dyDescent="0.2">
      <c r="A840" s="101"/>
    </row>
    <row r="841" spans="1:1" x14ac:dyDescent="0.2">
      <c r="A841" s="101"/>
    </row>
    <row r="842" spans="1:1" x14ac:dyDescent="0.2">
      <c r="A842" s="101"/>
    </row>
    <row r="843" spans="1:1" x14ac:dyDescent="0.2">
      <c r="A843" s="101"/>
    </row>
    <row r="844" spans="1:1" x14ac:dyDescent="0.2">
      <c r="A844" s="101"/>
    </row>
    <row r="845" spans="1:1" x14ac:dyDescent="0.2">
      <c r="A845" s="101"/>
    </row>
    <row r="846" spans="1:1" x14ac:dyDescent="0.2">
      <c r="A846" s="101"/>
    </row>
    <row r="847" spans="1:1" x14ac:dyDescent="0.2">
      <c r="A847" s="101"/>
    </row>
    <row r="848" spans="1:1" x14ac:dyDescent="0.2">
      <c r="A848" s="101"/>
    </row>
    <row r="849" spans="1:1" x14ac:dyDescent="0.2">
      <c r="A849" s="101"/>
    </row>
    <row r="850" spans="1:1" x14ac:dyDescent="0.2">
      <c r="A850" s="101"/>
    </row>
    <row r="851" spans="1:1" x14ac:dyDescent="0.2">
      <c r="A851" s="101"/>
    </row>
    <row r="852" spans="1:1" x14ac:dyDescent="0.2">
      <c r="A852" s="101"/>
    </row>
    <row r="853" spans="1:1" x14ac:dyDescent="0.2">
      <c r="A853" s="101"/>
    </row>
    <row r="854" spans="1:1" x14ac:dyDescent="0.2">
      <c r="A854" s="101"/>
    </row>
    <row r="855" spans="1:1" x14ac:dyDescent="0.2">
      <c r="A855" s="101"/>
    </row>
    <row r="856" spans="1:1" x14ac:dyDescent="0.2">
      <c r="A856" s="101"/>
    </row>
    <row r="857" spans="1:1" x14ac:dyDescent="0.2">
      <c r="A857" s="101"/>
    </row>
    <row r="858" spans="1:1" x14ac:dyDescent="0.2">
      <c r="A858" s="101"/>
    </row>
    <row r="859" spans="1:1" x14ac:dyDescent="0.2">
      <c r="A859" s="101"/>
    </row>
    <row r="860" spans="1:1" x14ac:dyDescent="0.2">
      <c r="A860" s="101"/>
    </row>
    <row r="861" spans="1:1" x14ac:dyDescent="0.2">
      <c r="A861" s="101"/>
    </row>
    <row r="862" spans="1:1" x14ac:dyDescent="0.2">
      <c r="A862" s="101"/>
    </row>
    <row r="863" spans="1:1" x14ac:dyDescent="0.2">
      <c r="A863" s="101"/>
    </row>
    <row r="864" spans="1:1" x14ac:dyDescent="0.2">
      <c r="A864" s="101"/>
    </row>
    <row r="865" spans="1:1" x14ac:dyDescent="0.2">
      <c r="A865" s="101"/>
    </row>
    <row r="866" spans="1:1" x14ac:dyDescent="0.2">
      <c r="A866" s="101"/>
    </row>
    <row r="867" spans="1:1" x14ac:dyDescent="0.2">
      <c r="A867" s="101"/>
    </row>
    <row r="868" spans="1:1" x14ac:dyDescent="0.2">
      <c r="A868" s="101"/>
    </row>
    <row r="869" spans="1:1" x14ac:dyDescent="0.2">
      <c r="A869" s="101"/>
    </row>
    <row r="870" spans="1:1" x14ac:dyDescent="0.2">
      <c r="A870" s="101"/>
    </row>
    <row r="871" spans="1:1" x14ac:dyDescent="0.2">
      <c r="A871" s="101"/>
    </row>
    <row r="872" spans="1:1" x14ac:dyDescent="0.2">
      <c r="A872" s="101"/>
    </row>
    <row r="873" spans="1:1" x14ac:dyDescent="0.2">
      <c r="A873" s="101"/>
    </row>
    <row r="874" spans="1:1" x14ac:dyDescent="0.2">
      <c r="A874" s="101"/>
    </row>
    <row r="875" spans="1:1" x14ac:dyDescent="0.2">
      <c r="A875" s="101"/>
    </row>
    <row r="876" spans="1:1" x14ac:dyDescent="0.2">
      <c r="A876" s="101"/>
    </row>
    <row r="877" spans="1:1" x14ac:dyDescent="0.2">
      <c r="A877" s="101"/>
    </row>
    <row r="878" spans="1:1" x14ac:dyDescent="0.2">
      <c r="A878" s="101"/>
    </row>
    <row r="879" spans="1:1" x14ac:dyDescent="0.2">
      <c r="A879" s="101"/>
    </row>
    <row r="880" spans="1:1" x14ac:dyDescent="0.2">
      <c r="A880" s="101"/>
    </row>
    <row r="881" spans="1:1" x14ac:dyDescent="0.2">
      <c r="A881" s="101"/>
    </row>
    <row r="882" spans="1:1" x14ac:dyDescent="0.2">
      <c r="A882" s="101"/>
    </row>
    <row r="883" spans="1:1" x14ac:dyDescent="0.2">
      <c r="A883" s="101"/>
    </row>
    <row r="884" spans="1:1" x14ac:dyDescent="0.2">
      <c r="A884" s="101"/>
    </row>
    <row r="885" spans="1:1" x14ac:dyDescent="0.2">
      <c r="A885" s="101"/>
    </row>
    <row r="886" spans="1:1" x14ac:dyDescent="0.2">
      <c r="A886" s="101"/>
    </row>
    <row r="887" spans="1:1" x14ac:dyDescent="0.2">
      <c r="A887" s="101"/>
    </row>
    <row r="888" spans="1:1" x14ac:dyDescent="0.2">
      <c r="A888" s="101"/>
    </row>
    <row r="889" spans="1:1" x14ac:dyDescent="0.2">
      <c r="A889" s="101"/>
    </row>
    <row r="890" spans="1:1" x14ac:dyDescent="0.2">
      <c r="A890" s="101"/>
    </row>
    <row r="891" spans="1:1" x14ac:dyDescent="0.2">
      <c r="A891" s="101"/>
    </row>
    <row r="892" spans="1:1" x14ac:dyDescent="0.2">
      <c r="A892" s="101"/>
    </row>
    <row r="893" spans="1:1" x14ac:dyDescent="0.2">
      <c r="A893" s="101"/>
    </row>
    <row r="894" spans="1:1" x14ac:dyDescent="0.2">
      <c r="A894" s="101"/>
    </row>
    <row r="895" spans="1:1" x14ac:dyDescent="0.2">
      <c r="A895" s="101"/>
    </row>
    <row r="896" spans="1:1" x14ac:dyDescent="0.2">
      <c r="A896" s="101"/>
    </row>
    <row r="897" spans="1:1" x14ac:dyDescent="0.2">
      <c r="A897" s="101"/>
    </row>
    <row r="898" spans="1:1" x14ac:dyDescent="0.2">
      <c r="A898" s="101"/>
    </row>
    <row r="899" spans="1:1" x14ac:dyDescent="0.2">
      <c r="A899" s="101"/>
    </row>
    <row r="900" spans="1:1" x14ac:dyDescent="0.2">
      <c r="A900" s="101"/>
    </row>
    <row r="901" spans="1:1" x14ac:dyDescent="0.2">
      <c r="A901" s="101"/>
    </row>
    <row r="902" spans="1:1" x14ac:dyDescent="0.2">
      <c r="A902" s="101"/>
    </row>
    <row r="903" spans="1:1" x14ac:dyDescent="0.2">
      <c r="A903" s="101"/>
    </row>
    <row r="904" spans="1:1" x14ac:dyDescent="0.2">
      <c r="A904" s="101"/>
    </row>
    <row r="905" spans="1:1" x14ac:dyDescent="0.2">
      <c r="A905" s="101"/>
    </row>
    <row r="906" spans="1:1" x14ac:dyDescent="0.2">
      <c r="A906" s="101"/>
    </row>
    <row r="907" spans="1:1" x14ac:dyDescent="0.2">
      <c r="A907" s="101"/>
    </row>
    <row r="908" spans="1:1" x14ac:dyDescent="0.2">
      <c r="A908" s="101"/>
    </row>
    <row r="909" spans="1:1" x14ac:dyDescent="0.2">
      <c r="A909" s="101"/>
    </row>
    <row r="910" spans="1:1" x14ac:dyDescent="0.2">
      <c r="A910" s="101"/>
    </row>
    <row r="911" spans="1:1" x14ac:dyDescent="0.2">
      <c r="A911" s="101"/>
    </row>
    <row r="912" spans="1:1" x14ac:dyDescent="0.2">
      <c r="A912" s="101"/>
    </row>
    <row r="913" spans="1:1" x14ac:dyDescent="0.2">
      <c r="A913" s="101"/>
    </row>
    <row r="914" spans="1:1" x14ac:dyDescent="0.2">
      <c r="A914" s="101"/>
    </row>
    <row r="915" spans="1:1" x14ac:dyDescent="0.2">
      <c r="A915" s="101"/>
    </row>
    <row r="916" spans="1:1" x14ac:dyDescent="0.2">
      <c r="A916" s="101"/>
    </row>
    <row r="917" spans="1:1" x14ac:dyDescent="0.2">
      <c r="A917" s="101"/>
    </row>
    <row r="918" spans="1:1" x14ac:dyDescent="0.2">
      <c r="A918" s="101"/>
    </row>
    <row r="919" spans="1:1" x14ac:dyDescent="0.2">
      <c r="A919" s="101"/>
    </row>
    <row r="920" spans="1:1" x14ac:dyDescent="0.2">
      <c r="A920" s="101"/>
    </row>
    <row r="921" spans="1:1" x14ac:dyDescent="0.2">
      <c r="A921" s="101"/>
    </row>
    <row r="922" spans="1:1" x14ac:dyDescent="0.2">
      <c r="A922" s="101"/>
    </row>
    <row r="923" spans="1:1" x14ac:dyDescent="0.2">
      <c r="A923" s="101"/>
    </row>
    <row r="924" spans="1:1" x14ac:dyDescent="0.2">
      <c r="A924" s="101"/>
    </row>
    <row r="925" spans="1:1" x14ac:dyDescent="0.2">
      <c r="A925" s="101"/>
    </row>
    <row r="926" spans="1:1" x14ac:dyDescent="0.2">
      <c r="A926" s="101"/>
    </row>
    <row r="927" spans="1:1" x14ac:dyDescent="0.2">
      <c r="A927" s="101"/>
    </row>
    <row r="928" spans="1:1" x14ac:dyDescent="0.2">
      <c r="A928" s="101"/>
    </row>
    <row r="929" spans="1:1" x14ac:dyDescent="0.2">
      <c r="A929" s="101"/>
    </row>
    <row r="930" spans="1:1" x14ac:dyDescent="0.2">
      <c r="A930" s="101"/>
    </row>
    <row r="931" spans="1:1" x14ac:dyDescent="0.2">
      <c r="A931" s="101"/>
    </row>
    <row r="932" spans="1:1" x14ac:dyDescent="0.2">
      <c r="A932" s="101"/>
    </row>
    <row r="933" spans="1:1" x14ac:dyDescent="0.2">
      <c r="A933" s="101"/>
    </row>
    <row r="934" spans="1:1" x14ac:dyDescent="0.2">
      <c r="A934" s="101"/>
    </row>
    <row r="935" spans="1:1" x14ac:dyDescent="0.2">
      <c r="A935" s="101"/>
    </row>
    <row r="936" spans="1:1" x14ac:dyDescent="0.2">
      <c r="A936" s="101"/>
    </row>
    <row r="937" spans="1:1" x14ac:dyDescent="0.2">
      <c r="A937" s="101"/>
    </row>
    <row r="938" spans="1:1" x14ac:dyDescent="0.2">
      <c r="A938" s="101"/>
    </row>
    <row r="939" spans="1:1" x14ac:dyDescent="0.2">
      <c r="A939" s="101"/>
    </row>
    <row r="940" spans="1:1" x14ac:dyDescent="0.2">
      <c r="A940" s="101"/>
    </row>
    <row r="941" spans="1:1" x14ac:dyDescent="0.2">
      <c r="A941" s="101"/>
    </row>
    <row r="942" spans="1:1" x14ac:dyDescent="0.2">
      <c r="A942" s="101"/>
    </row>
    <row r="943" spans="1:1" x14ac:dyDescent="0.2">
      <c r="A943" s="101"/>
    </row>
    <row r="944" spans="1:1" x14ac:dyDescent="0.2">
      <c r="A944" s="101"/>
    </row>
    <row r="945" spans="1:1" x14ac:dyDescent="0.2">
      <c r="A945" s="101"/>
    </row>
    <row r="946" spans="1:1" x14ac:dyDescent="0.2">
      <c r="A946" s="101"/>
    </row>
    <row r="947" spans="1:1" x14ac:dyDescent="0.2">
      <c r="A947" s="101"/>
    </row>
    <row r="948" spans="1:1" x14ac:dyDescent="0.2">
      <c r="A948" s="101"/>
    </row>
    <row r="949" spans="1:1" x14ac:dyDescent="0.2">
      <c r="A949" s="101"/>
    </row>
    <row r="950" spans="1:1" x14ac:dyDescent="0.2">
      <c r="A950" s="101"/>
    </row>
    <row r="951" spans="1:1" x14ac:dyDescent="0.2">
      <c r="A951" s="101"/>
    </row>
    <row r="952" spans="1:1" x14ac:dyDescent="0.2">
      <c r="A952" s="101"/>
    </row>
    <row r="953" spans="1:1" x14ac:dyDescent="0.2">
      <c r="A953" s="101"/>
    </row>
    <row r="954" spans="1:1" x14ac:dyDescent="0.2">
      <c r="A954" s="101"/>
    </row>
    <row r="955" spans="1:1" x14ac:dyDescent="0.2">
      <c r="A955" s="101"/>
    </row>
    <row r="956" spans="1:1" x14ac:dyDescent="0.2">
      <c r="A956" s="101"/>
    </row>
    <row r="957" spans="1:1" x14ac:dyDescent="0.2">
      <c r="A957" s="101"/>
    </row>
    <row r="958" spans="1:1" x14ac:dyDescent="0.2">
      <c r="A958" s="101"/>
    </row>
    <row r="959" spans="1:1" x14ac:dyDescent="0.2">
      <c r="A959" s="101"/>
    </row>
    <row r="960" spans="1:1" x14ac:dyDescent="0.2">
      <c r="A960" s="101"/>
    </row>
    <row r="961" spans="1:1" x14ac:dyDescent="0.2">
      <c r="A961" s="101"/>
    </row>
    <row r="962" spans="1:1" x14ac:dyDescent="0.2">
      <c r="A962" s="101"/>
    </row>
    <row r="963" spans="1:1" x14ac:dyDescent="0.2">
      <c r="A963" s="101"/>
    </row>
    <row r="964" spans="1:1" x14ac:dyDescent="0.2">
      <c r="A964" s="101"/>
    </row>
    <row r="965" spans="1:1" x14ac:dyDescent="0.2">
      <c r="A965" s="101"/>
    </row>
    <row r="966" spans="1:1" x14ac:dyDescent="0.2">
      <c r="A966" s="101"/>
    </row>
    <row r="967" spans="1:1" x14ac:dyDescent="0.2">
      <c r="A967" s="101"/>
    </row>
    <row r="968" spans="1:1" x14ac:dyDescent="0.2">
      <c r="A968" s="101"/>
    </row>
    <row r="969" spans="1:1" x14ac:dyDescent="0.2">
      <c r="A969" s="101"/>
    </row>
    <row r="970" spans="1:1" x14ac:dyDescent="0.2">
      <c r="A970" s="101"/>
    </row>
    <row r="971" spans="1:1" x14ac:dyDescent="0.2">
      <c r="A971" s="101"/>
    </row>
    <row r="972" spans="1:1" x14ac:dyDescent="0.2">
      <c r="A972" s="101"/>
    </row>
    <row r="973" spans="1:1" x14ac:dyDescent="0.2">
      <c r="A973" s="101"/>
    </row>
    <row r="974" spans="1:1" x14ac:dyDescent="0.2">
      <c r="A974" s="101"/>
    </row>
    <row r="975" spans="1:1" x14ac:dyDescent="0.2">
      <c r="A975" s="101"/>
    </row>
    <row r="976" spans="1:1" x14ac:dyDescent="0.2">
      <c r="A976" s="101"/>
    </row>
    <row r="977" spans="1:1" x14ac:dyDescent="0.2">
      <c r="A977" s="101"/>
    </row>
    <row r="978" spans="1:1" x14ac:dyDescent="0.2">
      <c r="A978" s="101"/>
    </row>
    <row r="979" spans="1:1" x14ac:dyDescent="0.2">
      <c r="A979" s="101"/>
    </row>
    <row r="980" spans="1:1" x14ac:dyDescent="0.2">
      <c r="A980" s="101"/>
    </row>
    <row r="981" spans="1:1" x14ac:dyDescent="0.2">
      <c r="A981" s="101"/>
    </row>
    <row r="982" spans="1:1" x14ac:dyDescent="0.2">
      <c r="A982" s="101"/>
    </row>
    <row r="983" spans="1:1" x14ac:dyDescent="0.2">
      <c r="A983" s="101"/>
    </row>
    <row r="984" spans="1:1" x14ac:dyDescent="0.2">
      <c r="A984" s="101"/>
    </row>
    <row r="985" spans="1:1" x14ac:dyDescent="0.2">
      <c r="A985" s="101"/>
    </row>
    <row r="986" spans="1:1" x14ac:dyDescent="0.2">
      <c r="A986" s="101"/>
    </row>
    <row r="987" spans="1:1" x14ac:dyDescent="0.2">
      <c r="A987" s="101"/>
    </row>
    <row r="988" spans="1:1" x14ac:dyDescent="0.2">
      <c r="A988" s="101"/>
    </row>
    <row r="989" spans="1:1" x14ac:dyDescent="0.2">
      <c r="A989" s="101"/>
    </row>
    <row r="990" spans="1:1" x14ac:dyDescent="0.2">
      <c r="A990" s="101"/>
    </row>
    <row r="991" spans="1:1" x14ac:dyDescent="0.2">
      <c r="A991" s="101"/>
    </row>
    <row r="992" spans="1:1" x14ac:dyDescent="0.2">
      <c r="A992" s="101"/>
    </row>
    <row r="993" spans="1:1" x14ac:dyDescent="0.2">
      <c r="A993" s="101"/>
    </row>
    <row r="994" spans="1:1" x14ac:dyDescent="0.2">
      <c r="A994" s="101"/>
    </row>
    <row r="995" spans="1:1" x14ac:dyDescent="0.2">
      <c r="A995" s="101"/>
    </row>
    <row r="996" spans="1:1" x14ac:dyDescent="0.2">
      <c r="A996" s="101"/>
    </row>
    <row r="997" spans="1:1" x14ac:dyDescent="0.2">
      <c r="A997" s="101"/>
    </row>
    <row r="998" spans="1:1" x14ac:dyDescent="0.2">
      <c r="A998" s="101"/>
    </row>
    <row r="999" spans="1:1" x14ac:dyDescent="0.2">
      <c r="A999" s="101"/>
    </row>
    <row r="1000" spans="1:1" x14ac:dyDescent="0.2">
      <c r="A1000" s="101"/>
    </row>
    <row r="1001" spans="1:1" x14ac:dyDescent="0.2">
      <c r="A1001" s="101"/>
    </row>
    <row r="1002" spans="1:1" x14ac:dyDescent="0.2">
      <c r="A1002" s="101"/>
    </row>
    <row r="1003" spans="1:1" x14ac:dyDescent="0.2">
      <c r="A1003" s="101"/>
    </row>
    <row r="1004" spans="1:1" x14ac:dyDescent="0.2">
      <c r="A1004" s="101"/>
    </row>
    <row r="1005" spans="1:1" x14ac:dyDescent="0.2">
      <c r="A1005" s="101"/>
    </row>
    <row r="1006" spans="1:1" x14ac:dyDescent="0.2">
      <c r="A1006" s="101"/>
    </row>
    <row r="1007" spans="1:1" x14ac:dyDescent="0.2">
      <c r="A1007" s="101"/>
    </row>
    <row r="1008" spans="1:1" x14ac:dyDescent="0.2">
      <c r="A1008" s="101"/>
    </row>
    <row r="1009" spans="1:1" x14ac:dyDescent="0.2">
      <c r="A1009" s="101"/>
    </row>
    <row r="1010" spans="1:1" x14ac:dyDescent="0.2">
      <c r="A1010" s="101"/>
    </row>
    <row r="1011" spans="1:1" x14ac:dyDescent="0.2">
      <c r="A1011" s="101"/>
    </row>
    <row r="1012" spans="1:1" x14ac:dyDescent="0.2">
      <c r="A1012" s="101"/>
    </row>
    <row r="1013" spans="1:1" x14ac:dyDescent="0.2">
      <c r="A1013" s="101"/>
    </row>
    <row r="1014" spans="1:1" x14ac:dyDescent="0.2">
      <c r="A1014" s="101"/>
    </row>
    <row r="1015" spans="1:1" x14ac:dyDescent="0.2">
      <c r="A1015" s="101"/>
    </row>
    <row r="1016" spans="1:1" x14ac:dyDescent="0.2">
      <c r="A1016" s="101"/>
    </row>
    <row r="1017" spans="1:1" x14ac:dyDescent="0.2">
      <c r="A1017" s="101"/>
    </row>
    <row r="1018" spans="1:1" x14ac:dyDescent="0.2">
      <c r="A1018" s="101"/>
    </row>
    <row r="1019" spans="1:1" x14ac:dyDescent="0.2">
      <c r="A1019" s="101"/>
    </row>
    <row r="1020" spans="1:1" x14ac:dyDescent="0.2">
      <c r="A1020" s="101"/>
    </row>
    <row r="1021" spans="1:1" x14ac:dyDescent="0.2">
      <c r="A1021" s="101"/>
    </row>
    <row r="1022" spans="1:1" x14ac:dyDescent="0.2">
      <c r="A1022" s="101"/>
    </row>
    <row r="1023" spans="1:1" x14ac:dyDescent="0.2">
      <c r="A1023" s="101"/>
    </row>
    <row r="1024" spans="1:1" x14ac:dyDescent="0.2">
      <c r="A1024" s="101"/>
    </row>
    <row r="1025" spans="1:1" x14ac:dyDescent="0.2">
      <c r="A1025" s="101"/>
    </row>
    <row r="1026" spans="1:1" x14ac:dyDescent="0.2">
      <c r="A1026" s="101"/>
    </row>
    <row r="1027" spans="1:1" x14ac:dyDescent="0.2">
      <c r="A1027" s="101"/>
    </row>
    <row r="1028" spans="1:1" x14ac:dyDescent="0.2">
      <c r="A1028" s="101"/>
    </row>
    <row r="1029" spans="1:1" x14ac:dyDescent="0.2">
      <c r="A1029" s="101"/>
    </row>
    <row r="1030" spans="1:1" x14ac:dyDescent="0.2">
      <c r="A1030" s="101"/>
    </row>
    <row r="1031" spans="1:1" x14ac:dyDescent="0.2">
      <c r="A1031" s="101"/>
    </row>
    <row r="1032" spans="1:1" x14ac:dyDescent="0.2">
      <c r="A1032" s="101"/>
    </row>
    <row r="1033" spans="1:1" x14ac:dyDescent="0.2">
      <c r="A1033" s="101"/>
    </row>
    <row r="1034" spans="1:1" x14ac:dyDescent="0.2">
      <c r="A1034" s="101"/>
    </row>
    <row r="1035" spans="1:1" x14ac:dyDescent="0.2">
      <c r="A1035" s="101"/>
    </row>
    <row r="1036" spans="1:1" x14ac:dyDescent="0.2">
      <c r="A1036" s="101"/>
    </row>
    <row r="1037" spans="1:1" x14ac:dyDescent="0.2">
      <c r="A1037" s="101"/>
    </row>
    <row r="1038" spans="1:1" x14ac:dyDescent="0.2">
      <c r="A1038" s="101"/>
    </row>
    <row r="1039" spans="1:1" x14ac:dyDescent="0.2">
      <c r="A1039" s="101"/>
    </row>
    <row r="1040" spans="1:1" x14ac:dyDescent="0.2">
      <c r="A1040" s="101"/>
    </row>
    <row r="1041" spans="1:1" x14ac:dyDescent="0.2">
      <c r="A1041" s="101"/>
    </row>
    <row r="1042" spans="1:1" x14ac:dyDescent="0.2">
      <c r="A1042" s="101"/>
    </row>
    <row r="1043" spans="1:1" x14ac:dyDescent="0.2">
      <c r="A1043" s="101"/>
    </row>
    <row r="1044" spans="1:1" x14ac:dyDescent="0.2">
      <c r="A1044" s="101"/>
    </row>
    <row r="1045" spans="1:1" x14ac:dyDescent="0.2">
      <c r="A1045" s="101"/>
    </row>
    <row r="1046" spans="1:1" x14ac:dyDescent="0.2">
      <c r="A1046" s="101"/>
    </row>
    <row r="1047" spans="1:1" x14ac:dyDescent="0.2">
      <c r="A1047" s="101"/>
    </row>
    <row r="1048" spans="1:1" x14ac:dyDescent="0.2">
      <c r="A1048" s="101"/>
    </row>
    <row r="1049" spans="1:1" x14ac:dyDescent="0.2">
      <c r="A1049" s="101"/>
    </row>
    <row r="1050" spans="1:1" x14ac:dyDescent="0.2">
      <c r="A1050" s="101"/>
    </row>
    <row r="1051" spans="1:1" x14ac:dyDescent="0.2">
      <c r="A1051" s="101"/>
    </row>
    <row r="1052" spans="1:1" x14ac:dyDescent="0.2">
      <c r="A1052" s="101"/>
    </row>
    <row r="1053" spans="1:1" x14ac:dyDescent="0.2">
      <c r="A1053" s="101"/>
    </row>
    <row r="1054" spans="1:1" x14ac:dyDescent="0.2">
      <c r="A1054" s="101"/>
    </row>
    <row r="1055" spans="1:1" x14ac:dyDescent="0.2">
      <c r="A1055" s="101"/>
    </row>
    <row r="1056" spans="1:1" x14ac:dyDescent="0.2">
      <c r="A1056" s="101"/>
    </row>
    <row r="1057" spans="1:1" x14ac:dyDescent="0.2">
      <c r="A1057" s="101"/>
    </row>
    <row r="1058" spans="1:1" x14ac:dyDescent="0.2">
      <c r="A1058" s="101"/>
    </row>
    <row r="1059" spans="1:1" x14ac:dyDescent="0.2">
      <c r="A1059" s="101"/>
    </row>
    <row r="1060" spans="1:1" x14ac:dyDescent="0.2">
      <c r="A1060" s="101"/>
    </row>
    <row r="1061" spans="1:1" x14ac:dyDescent="0.2">
      <c r="A1061" s="101"/>
    </row>
    <row r="1062" spans="1:1" x14ac:dyDescent="0.2">
      <c r="A1062" s="101"/>
    </row>
    <row r="1063" spans="1:1" x14ac:dyDescent="0.2">
      <c r="A1063" s="101"/>
    </row>
    <row r="1064" spans="1:1" x14ac:dyDescent="0.2">
      <c r="A1064" s="101"/>
    </row>
    <row r="1065" spans="1:1" x14ac:dyDescent="0.2">
      <c r="A1065" s="101"/>
    </row>
    <row r="1066" spans="1:1" x14ac:dyDescent="0.2">
      <c r="A1066" s="101"/>
    </row>
    <row r="1067" spans="1:1" x14ac:dyDescent="0.2">
      <c r="A1067" s="101"/>
    </row>
    <row r="1068" spans="1:1" x14ac:dyDescent="0.2">
      <c r="A1068" s="101"/>
    </row>
    <row r="1069" spans="1:1" x14ac:dyDescent="0.2">
      <c r="A1069" s="101"/>
    </row>
    <row r="1070" spans="1:1" x14ac:dyDescent="0.2">
      <c r="A1070" s="101"/>
    </row>
    <row r="1071" spans="1:1" x14ac:dyDescent="0.2">
      <c r="A1071" s="101"/>
    </row>
    <row r="1072" spans="1:1" x14ac:dyDescent="0.2">
      <c r="A1072" s="101"/>
    </row>
    <row r="1073" spans="1:1" x14ac:dyDescent="0.2">
      <c r="A1073" s="101"/>
    </row>
    <row r="1074" spans="1:1" x14ac:dyDescent="0.2">
      <c r="A1074" s="101"/>
    </row>
    <row r="1075" spans="1:1" x14ac:dyDescent="0.2">
      <c r="A1075" s="101"/>
    </row>
    <row r="1076" spans="1:1" x14ac:dyDescent="0.2">
      <c r="A1076" s="101"/>
    </row>
    <row r="1077" spans="1:1" x14ac:dyDescent="0.2">
      <c r="A1077" s="101"/>
    </row>
    <row r="1078" spans="1:1" x14ac:dyDescent="0.2">
      <c r="A1078" s="101"/>
    </row>
    <row r="1079" spans="1:1" x14ac:dyDescent="0.2">
      <c r="A1079" s="101"/>
    </row>
    <row r="1080" spans="1:1" x14ac:dyDescent="0.2">
      <c r="A1080" s="101"/>
    </row>
    <row r="1081" spans="1:1" x14ac:dyDescent="0.2">
      <c r="A1081" s="101"/>
    </row>
    <row r="1082" spans="1:1" x14ac:dyDescent="0.2">
      <c r="A1082" s="101"/>
    </row>
    <row r="1083" spans="1:1" x14ac:dyDescent="0.2">
      <c r="A1083" s="101"/>
    </row>
    <row r="1084" spans="1:1" x14ac:dyDescent="0.2">
      <c r="A1084" s="101"/>
    </row>
    <row r="1085" spans="1:1" x14ac:dyDescent="0.2">
      <c r="A1085" s="101"/>
    </row>
    <row r="1086" spans="1:1" x14ac:dyDescent="0.2">
      <c r="A1086" s="101"/>
    </row>
    <row r="1087" spans="1:1" x14ac:dyDescent="0.2">
      <c r="A1087" s="101"/>
    </row>
    <row r="1088" spans="1:1" x14ac:dyDescent="0.2">
      <c r="A1088" s="101"/>
    </row>
    <row r="1089" spans="1:1" x14ac:dyDescent="0.2">
      <c r="A1089" s="101"/>
    </row>
    <row r="1090" spans="1:1" x14ac:dyDescent="0.2">
      <c r="A1090" s="101"/>
    </row>
    <row r="1091" spans="1:1" x14ac:dyDescent="0.2">
      <c r="A1091" s="101"/>
    </row>
    <row r="1092" spans="1:1" x14ac:dyDescent="0.2">
      <c r="A1092" s="101"/>
    </row>
    <row r="1093" spans="1:1" x14ac:dyDescent="0.2">
      <c r="A1093" s="101"/>
    </row>
    <row r="1094" spans="1:1" x14ac:dyDescent="0.2">
      <c r="A1094" s="101"/>
    </row>
    <row r="1095" spans="1:1" x14ac:dyDescent="0.2">
      <c r="A1095" s="101"/>
    </row>
    <row r="1096" spans="1:1" x14ac:dyDescent="0.2">
      <c r="A1096" s="101"/>
    </row>
    <row r="1097" spans="1:1" x14ac:dyDescent="0.2">
      <c r="A1097" s="101"/>
    </row>
    <row r="1098" spans="1:1" x14ac:dyDescent="0.2">
      <c r="A1098" s="101"/>
    </row>
    <row r="1099" spans="1:1" x14ac:dyDescent="0.2">
      <c r="A1099" s="101"/>
    </row>
    <row r="1100" spans="1:1" x14ac:dyDescent="0.2">
      <c r="A1100" s="101"/>
    </row>
    <row r="1101" spans="1:1" x14ac:dyDescent="0.2">
      <c r="A1101" s="101"/>
    </row>
    <row r="1102" spans="1:1" x14ac:dyDescent="0.2">
      <c r="A1102" s="101"/>
    </row>
    <row r="1103" spans="1:1" x14ac:dyDescent="0.2">
      <c r="A1103" s="101"/>
    </row>
    <row r="1104" spans="1:1" x14ac:dyDescent="0.2">
      <c r="A1104" s="101"/>
    </row>
    <row r="1105" spans="1:1" x14ac:dyDescent="0.2">
      <c r="A1105" s="101"/>
    </row>
    <row r="1106" spans="1:1" x14ac:dyDescent="0.2">
      <c r="A1106" s="101"/>
    </row>
    <row r="1107" spans="1:1" x14ac:dyDescent="0.2">
      <c r="A1107" s="101"/>
    </row>
    <row r="1108" spans="1:1" x14ac:dyDescent="0.2">
      <c r="A1108" s="101"/>
    </row>
    <row r="1109" spans="1:1" x14ac:dyDescent="0.2">
      <c r="A1109" s="101"/>
    </row>
    <row r="1110" spans="1:1" x14ac:dyDescent="0.2">
      <c r="A1110" s="101"/>
    </row>
    <row r="1111" spans="1:1" x14ac:dyDescent="0.2">
      <c r="A1111" s="101"/>
    </row>
    <row r="1112" spans="1:1" x14ac:dyDescent="0.2">
      <c r="A1112" s="101"/>
    </row>
    <row r="1113" spans="1:1" x14ac:dyDescent="0.2">
      <c r="A1113" s="101"/>
    </row>
    <row r="1114" spans="1:1" x14ac:dyDescent="0.2">
      <c r="A1114" s="101"/>
    </row>
    <row r="1115" spans="1:1" x14ac:dyDescent="0.2">
      <c r="A1115" s="101"/>
    </row>
    <row r="1116" spans="1:1" x14ac:dyDescent="0.2">
      <c r="A1116" s="101"/>
    </row>
    <row r="1117" spans="1:1" x14ac:dyDescent="0.2">
      <c r="A1117" s="101"/>
    </row>
    <row r="1118" spans="1:1" x14ac:dyDescent="0.2">
      <c r="A1118" s="101"/>
    </row>
    <row r="1119" spans="1:1" x14ac:dyDescent="0.2">
      <c r="A1119" s="101"/>
    </row>
    <row r="1120" spans="1:1" x14ac:dyDescent="0.2">
      <c r="A1120" s="101"/>
    </row>
    <row r="1121" spans="1:1" x14ac:dyDescent="0.2">
      <c r="A1121" s="101"/>
    </row>
    <row r="1122" spans="1:1" x14ac:dyDescent="0.2">
      <c r="A1122" s="101"/>
    </row>
    <row r="1123" spans="1:1" x14ac:dyDescent="0.2">
      <c r="A1123" s="101"/>
    </row>
    <row r="1124" spans="1:1" x14ac:dyDescent="0.2">
      <c r="A1124" s="101"/>
    </row>
    <row r="1125" spans="1:1" x14ac:dyDescent="0.2">
      <c r="A1125" s="101"/>
    </row>
    <row r="1126" spans="1:1" x14ac:dyDescent="0.2">
      <c r="A1126" s="101"/>
    </row>
    <row r="1127" spans="1:1" x14ac:dyDescent="0.2">
      <c r="A1127" s="101"/>
    </row>
    <row r="1128" spans="1:1" x14ac:dyDescent="0.2">
      <c r="A1128" s="101"/>
    </row>
    <row r="1129" spans="1:1" x14ac:dyDescent="0.2">
      <c r="A1129" s="101"/>
    </row>
    <row r="1130" spans="1:1" x14ac:dyDescent="0.2">
      <c r="A1130" s="101"/>
    </row>
    <row r="1131" spans="1:1" x14ac:dyDescent="0.2">
      <c r="A1131" s="101"/>
    </row>
    <row r="1132" spans="1:1" x14ac:dyDescent="0.2">
      <c r="A1132" s="101"/>
    </row>
    <row r="1133" spans="1:1" x14ac:dyDescent="0.2">
      <c r="A1133" s="101"/>
    </row>
    <row r="1134" spans="1:1" x14ac:dyDescent="0.2">
      <c r="A1134" s="101"/>
    </row>
    <row r="1135" spans="1:1" x14ac:dyDescent="0.2">
      <c r="A1135" s="101"/>
    </row>
    <row r="1136" spans="1:1" x14ac:dyDescent="0.2">
      <c r="A1136" s="101"/>
    </row>
    <row r="1137" spans="1:1" x14ac:dyDescent="0.2">
      <c r="A1137" s="101"/>
    </row>
    <row r="1138" spans="1:1" x14ac:dyDescent="0.2">
      <c r="A1138" s="101"/>
    </row>
    <row r="1139" spans="1:1" x14ac:dyDescent="0.2">
      <c r="A1139" s="101"/>
    </row>
    <row r="1140" spans="1:1" x14ac:dyDescent="0.2">
      <c r="A1140" s="101"/>
    </row>
    <row r="1141" spans="1:1" x14ac:dyDescent="0.2">
      <c r="A1141" s="101"/>
    </row>
    <row r="1142" spans="1:1" x14ac:dyDescent="0.2">
      <c r="A1142" s="101"/>
    </row>
    <row r="1143" spans="1:1" x14ac:dyDescent="0.2">
      <c r="A1143" s="101"/>
    </row>
    <row r="1144" spans="1:1" x14ac:dyDescent="0.2">
      <c r="A1144" s="101"/>
    </row>
    <row r="1145" spans="1:1" x14ac:dyDescent="0.2">
      <c r="A1145" s="101"/>
    </row>
    <row r="1146" spans="1:1" x14ac:dyDescent="0.2">
      <c r="A1146" s="101"/>
    </row>
    <row r="1147" spans="1:1" x14ac:dyDescent="0.2">
      <c r="A1147" s="101"/>
    </row>
    <row r="1148" spans="1:1" x14ac:dyDescent="0.2">
      <c r="A1148" s="101"/>
    </row>
    <row r="1149" spans="1:1" x14ac:dyDescent="0.2">
      <c r="A1149" s="101"/>
    </row>
    <row r="1150" spans="1:1" x14ac:dyDescent="0.2">
      <c r="A1150" s="101"/>
    </row>
    <row r="1151" spans="1:1" x14ac:dyDescent="0.2">
      <c r="A1151" s="101"/>
    </row>
    <row r="1152" spans="1:1" x14ac:dyDescent="0.2">
      <c r="A1152" s="101"/>
    </row>
    <row r="1153" spans="1:1" x14ac:dyDescent="0.2">
      <c r="A1153" s="101"/>
    </row>
    <row r="1154" spans="1:1" x14ac:dyDescent="0.2">
      <c r="A1154" s="101"/>
    </row>
    <row r="1155" spans="1:1" x14ac:dyDescent="0.2">
      <c r="A1155" s="101"/>
    </row>
    <row r="1156" spans="1:1" x14ac:dyDescent="0.2">
      <c r="A1156" s="101"/>
    </row>
    <row r="1157" spans="1:1" x14ac:dyDescent="0.2">
      <c r="A1157" s="101"/>
    </row>
    <row r="1158" spans="1:1" x14ac:dyDescent="0.2">
      <c r="A1158" s="101"/>
    </row>
    <row r="1159" spans="1:1" x14ac:dyDescent="0.2">
      <c r="A1159" s="101"/>
    </row>
    <row r="1160" spans="1:1" x14ac:dyDescent="0.2">
      <c r="A1160" s="101"/>
    </row>
    <row r="1161" spans="1:1" x14ac:dyDescent="0.2">
      <c r="A1161" s="101"/>
    </row>
    <row r="1162" spans="1:1" x14ac:dyDescent="0.2">
      <c r="A1162" s="101"/>
    </row>
    <row r="1163" spans="1:1" x14ac:dyDescent="0.2">
      <c r="A1163" s="101"/>
    </row>
    <row r="1164" spans="1:1" x14ac:dyDescent="0.2">
      <c r="A1164" s="101"/>
    </row>
    <row r="1165" spans="1:1" x14ac:dyDescent="0.2">
      <c r="A1165" s="101"/>
    </row>
    <row r="1166" spans="1:1" x14ac:dyDescent="0.2">
      <c r="A1166" s="101"/>
    </row>
    <row r="1167" spans="1:1" x14ac:dyDescent="0.2">
      <c r="A1167" s="101"/>
    </row>
    <row r="1168" spans="1:1" x14ac:dyDescent="0.2">
      <c r="A1168" s="101"/>
    </row>
    <row r="1169" spans="1:1" x14ac:dyDescent="0.2">
      <c r="A1169" s="101"/>
    </row>
    <row r="1170" spans="1:1" x14ac:dyDescent="0.2">
      <c r="A1170" s="101"/>
    </row>
    <row r="1171" spans="1:1" x14ac:dyDescent="0.2">
      <c r="A1171" s="101"/>
    </row>
    <row r="1172" spans="1:1" x14ac:dyDescent="0.2">
      <c r="A1172" s="101"/>
    </row>
    <row r="1173" spans="1:1" x14ac:dyDescent="0.2">
      <c r="A1173" s="101"/>
    </row>
    <row r="1174" spans="1:1" x14ac:dyDescent="0.2">
      <c r="A1174" s="101"/>
    </row>
    <row r="1175" spans="1:1" x14ac:dyDescent="0.2">
      <c r="A1175" s="101"/>
    </row>
    <row r="1176" spans="1:1" x14ac:dyDescent="0.2">
      <c r="A1176" s="101"/>
    </row>
    <row r="1177" spans="1:1" x14ac:dyDescent="0.2">
      <c r="A1177" s="101"/>
    </row>
    <row r="1178" spans="1:1" x14ac:dyDescent="0.2">
      <c r="A1178" s="101"/>
    </row>
    <row r="1179" spans="1:1" x14ac:dyDescent="0.2">
      <c r="A1179" s="101"/>
    </row>
    <row r="1180" spans="1:1" x14ac:dyDescent="0.2">
      <c r="A1180" s="101"/>
    </row>
    <row r="1181" spans="1:1" x14ac:dyDescent="0.2">
      <c r="A1181" s="101"/>
    </row>
    <row r="1182" spans="1:1" x14ac:dyDescent="0.2">
      <c r="A1182" s="101"/>
    </row>
    <row r="1183" spans="1:1" x14ac:dyDescent="0.2">
      <c r="A1183" s="101"/>
    </row>
    <row r="1184" spans="1:1" x14ac:dyDescent="0.2">
      <c r="A1184" s="101"/>
    </row>
    <row r="1185" spans="1:1" x14ac:dyDescent="0.2">
      <c r="A1185" s="101"/>
    </row>
    <row r="1186" spans="1:1" x14ac:dyDescent="0.2">
      <c r="A1186" s="101"/>
    </row>
    <row r="1187" spans="1:1" x14ac:dyDescent="0.2">
      <c r="A1187" s="101"/>
    </row>
    <row r="1188" spans="1:1" x14ac:dyDescent="0.2">
      <c r="A1188" s="101"/>
    </row>
    <row r="1189" spans="1:1" x14ac:dyDescent="0.2">
      <c r="A1189" s="101"/>
    </row>
    <row r="1190" spans="1:1" x14ac:dyDescent="0.2">
      <c r="A1190" s="101"/>
    </row>
    <row r="1191" spans="1:1" x14ac:dyDescent="0.2">
      <c r="A1191" s="101"/>
    </row>
    <row r="1192" spans="1:1" x14ac:dyDescent="0.2">
      <c r="A1192" s="101"/>
    </row>
    <row r="1193" spans="1:1" x14ac:dyDescent="0.2">
      <c r="A1193" s="101"/>
    </row>
    <row r="1194" spans="1:1" x14ac:dyDescent="0.2">
      <c r="A1194" s="101"/>
    </row>
    <row r="1195" spans="1:1" x14ac:dyDescent="0.2">
      <c r="A1195" s="101"/>
    </row>
    <row r="1196" spans="1:1" x14ac:dyDescent="0.2">
      <c r="A1196" s="101"/>
    </row>
    <row r="1197" spans="1:1" x14ac:dyDescent="0.2">
      <c r="A1197" s="101"/>
    </row>
    <row r="1198" spans="1:1" x14ac:dyDescent="0.2">
      <c r="A1198" s="101"/>
    </row>
    <row r="1199" spans="1:1" x14ac:dyDescent="0.2">
      <c r="A1199" s="101"/>
    </row>
    <row r="1200" spans="1:1" x14ac:dyDescent="0.2">
      <c r="A1200" s="101"/>
    </row>
    <row r="1201" spans="1:1" x14ac:dyDescent="0.2">
      <c r="A1201" s="101"/>
    </row>
    <row r="1202" spans="1:1" x14ac:dyDescent="0.2">
      <c r="A1202" s="101"/>
    </row>
    <row r="1203" spans="1:1" x14ac:dyDescent="0.2">
      <c r="A1203" s="101"/>
    </row>
    <row r="1204" spans="1:1" x14ac:dyDescent="0.2">
      <c r="A1204" s="101"/>
    </row>
    <row r="1205" spans="1:1" x14ac:dyDescent="0.2">
      <c r="A1205" s="101"/>
    </row>
    <row r="1206" spans="1:1" x14ac:dyDescent="0.2">
      <c r="A1206" s="101"/>
    </row>
    <row r="1207" spans="1:1" x14ac:dyDescent="0.2">
      <c r="A1207" s="101"/>
    </row>
    <row r="1208" spans="1:1" x14ac:dyDescent="0.2">
      <c r="A1208" s="101"/>
    </row>
    <row r="1209" spans="1:1" x14ac:dyDescent="0.2">
      <c r="A1209" s="101"/>
    </row>
    <row r="1210" spans="1:1" x14ac:dyDescent="0.2">
      <c r="A1210" s="101"/>
    </row>
    <row r="1211" spans="1:1" x14ac:dyDescent="0.2">
      <c r="A1211" s="101"/>
    </row>
    <row r="1212" spans="1:1" x14ac:dyDescent="0.2">
      <c r="A1212" s="101"/>
    </row>
    <row r="1213" spans="1:1" x14ac:dyDescent="0.2">
      <c r="A1213" s="101"/>
    </row>
    <row r="1214" spans="1:1" x14ac:dyDescent="0.2">
      <c r="A1214" s="101"/>
    </row>
    <row r="1215" spans="1:1" x14ac:dyDescent="0.2">
      <c r="A1215" s="101"/>
    </row>
    <row r="1216" spans="1:1" x14ac:dyDescent="0.2">
      <c r="A1216" s="101"/>
    </row>
    <row r="1217" spans="1:1" x14ac:dyDescent="0.2">
      <c r="A1217" s="101"/>
    </row>
    <row r="1218" spans="1:1" x14ac:dyDescent="0.2">
      <c r="A1218" s="101"/>
    </row>
    <row r="1219" spans="1:1" x14ac:dyDescent="0.2">
      <c r="A1219" s="101"/>
    </row>
    <row r="1220" spans="1:1" x14ac:dyDescent="0.2">
      <c r="A1220" s="101"/>
    </row>
    <row r="1221" spans="1:1" x14ac:dyDescent="0.2">
      <c r="A1221" s="101"/>
    </row>
    <row r="1222" spans="1:1" x14ac:dyDescent="0.2">
      <c r="A1222" s="101"/>
    </row>
    <row r="1223" spans="1:1" x14ac:dyDescent="0.2">
      <c r="A1223" s="101"/>
    </row>
    <row r="1224" spans="1:1" x14ac:dyDescent="0.2">
      <c r="A1224" s="101"/>
    </row>
    <row r="1225" spans="1:1" x14ac:dyDescent="0.2">
      <c r="A1225" s="101"/>
    </row>
    <row r="1226" spans="1:1" x14ac:dyDescent="0.2">
      <c r="A1226" s="101"/>
    </row>
    <row r="1227" spans="1:1" x14ac:dyDescent="0.2">
      <c r="A1227" s="101"/>
    </row>
    <row r="1228" spans="1:1" x14ac:dyDescent="0.2">
      <c r="A1228" s="101"/>
    </row>
    <row r="1229" spans="1:1" x14ac:dyDescent="0.2">
      <c r="A1229" s="101"/>
    </row>
    <row r="1230" spans="1:1" x14ac:dyDescent="0.2">
      <c r="A1230" s="101"/>
    </row>
    <row r="1231" spans="1:1" x14ac:dyDescent="0.2">
      <c r="A1231" s="101"/>
    </row>
    <row r="1232" spans="1:1" x14ac:dyDescent="0.2">
      <c r="A1232" s="101"/>
    </row>
    <row r="1233" spans="1:1" x14ac:dyDescent="0.2">
      <c r="A1233" s="101"/>
    </row>
    <row r="1234" spans="1:1" x14ac:dyDescent="0.2">
      <c r="A1234" s="101"/>
    </row>
    <row r="1235" spans="1:1" x14ac:dyDescent="0.2">
      <c r="A1235" s="101"/>
    </row>
    <row r="1236" spans="1:1" x14ac:dyDescent="0.2">
      <c r="A1236" s="101"/>
    </row>
    <row r="1237" spans="1:1" x14ac:dyDescent="0.2">
      <c r="A1237" s="101"/>
    </row>
    <row r="1238" spans="1:1" x14ac:dyDescent="0.2">
      <c r="A1238" s="101"/>
    </row>
    <row r="1239" spans="1:1" x14ac:dyDescent="0.2">
      <c r="A1239" s="101"/>
    </row>
    <row r="1240" spans="1:1" x14ac:dyDescent="0.2">
      <c r="A1240" s="101"/>
    </row>
    <row r="1241" spans="1:1" x14ac:dyDescent="0.2">
      <c r="A1241" s="101"/>
    </row>
    <row r="1242" spans="1:1" x14ac:dyDescent="0.2">
      <c r="A1242" s="101"/>
    </row>
    <row r="1243" spans="1:1" x14ac:dyDescent="0.2">
      <c r="A1243" s="101"/>
    </row>
    <row r="1244" spans="1:1" x14ac:dyDescent="0.2">
      <c r="A1244" s="101"/>
    </row>
    <row r="1245" spans="1:1" x14ac:dyDescent="0.2">
      <c r="A1245" s="101"/>
    </row>
    <row r="1246" spans="1:1" x14ac:dyDescent="0.2">
      <c r="A1246" s="101"/>
    </row>
    <row r="1247" spans="1:1" x14ac:dyDescent="0.2">
      <c r="A1247" s="101"/>
    </row>
    <row r="1248" spans="1:1" x14ac:dyDescent="0.2">
      <c r="A1248" s="101"/>
    </row>
    <row r="1249" spans="1:1" x14ac:dyDescent="0.2">
      <c r="A1249" s="101"/>
    </row>
    <row r="1250" spans="1:1" x14ac:dyDescent="0.2">
      <c r="A1250" s="101"/>
    </row>
    <row r="1251" spans="1:1" x14ac:dyDescent="0.2">
      <c r="A1251" s="101"/>
    </row>
    <row r="1252" spans="1:1" x14ac:dyDescent="0.2">
      <c r="A1252" s="101"/>
    </row>
    <row r="1253" spans="1:1" x14ac:dyDescent="0.2">
      <c r="A1253" s="101"/>
    </row>
    <row r="1254" spans="1:1" x14ac:dyDescent="0.2">
      <c r="A1254" s="101"/>
    </row>
    <row r="1255" spans="1:1" x14ac:dyDescent="0.2">
      <c r="A1255" s="101"/>
    </row>
    <row r="1256" spans="1:1" x14ac:dyDescent="0.2">
      <c r="A1256" s="101"/>
    </row>
    <row r="1257" spans="1:1" x14ac:dyDescent="0.2">
      <c r="A1257" s="101"/>
    </row>
    <row r="1258" spans="1:1" x14ac:dyDescent="0.2">
      <c r="A1258" s="101"/>
    </row>
    <row r="1259" spans="1:1" x14ac:dyDescent="0.2">
      <c r="A1259" s="101"/>
    </row>
    <row r="1260" spans="1:1" x14ac:dyDescent="0.2">
      <c r="A1260" s="101"/>
    </row>
    <row r="1261" spans="1:1" x14ac:dyDescent="0.2">
      <c r="A1261" s="101"/>
    </row>
    <row r="1262" spans="1:1" x14ac:dyDescent="0.2">
      <c r="A1262" s="101"/>
    </row>
    <row r="1263" spans="1:1" x14ac:dyDescent="0.2">
      <c r="A1263" s="101"/>
    </row>
    <row r="1264" spans="1:1" x14ac:dyDescent="0.2">
      <c r="A1264" s="101"/>
    </row>
    <row r="1265" spans="1:1" x14ac:dyDescent="0.2">
      <c r="A1265" s="101"/>
    </row>
    <row r="1266" spans="1:1" x14ac:dyDescent="0.2">
      <c r="A1266" s="101"/>
    </row>
    <row r="1267" spans="1:1" x14ac:dyDescent="0.2">
      <c r="A1267" s="101"/>
    </row>
    <row r="1268" spans="1:1" x14ac:dyDescent="0.2">
      <c r="A1268" s="101"/>
    </row>
    <row r="1269" spans="1:1" x14ac:dyDescent="0.2">
      <c r="A1269" s="101"/>
    </row>
    <row r="1270" spans="1:1" x14ac:dyDescent="0.2">
      <c r="A1270" s="101"/>
    </row>
    <row r="1271" spans="1:1" x14ac:dyDescent="0.2">
      <c r="A1271" s="101"/>
    </row>
    <row r="1272" spans="1:1" x14ac:dyDescent="0.2">
      <c r="A1272" s="101"/>
    </row>
    <row r="1273" spans="1:1" x14ac:dyDescent="0.2">
      <c r="A1273" s="101"/>
    </row>
    <row r="1274" spans="1:1" x14ac:dyDescent="0.2">
      <c r="A1274" s="101"/>
    </row>
    <row r="1275" spans="1:1" x14ac:dyDescent="0.2">
      <c r="A1275" s="101"/>
    </row>
    <row r="1276" spans="1:1" x14ac:dyDescent="0.2">
      <c r="A1276" s="101"/>
    </row>
    <row r="1277" spans="1:1" x14ac:dyDescent="0.2">
      <c r="A1277" s="101"/>
    </row>
    <row r="1278" spans="1:1" x14ac:dyDescent="0.2">
      <c r="A1278" s="101"/>
    </row>
    <row r="1279" spans="1:1" x14ac:dyDescent="0.2">
      <c r="A1279" s="101"/>
    </row>
    <row r="1280" spans="1:1" x14ac:dyDescent="0.2">
      <c r="A1280" s="101"/>
    </row>
    <row r="1281" spans="1:1" x14ac:dyDescent="0.2">
      <c r="A1281" s="101"/>
    </row>
    <row r="1282" spans="1:1" x14ac:dyDescent="0.2">
      <c r="A1282" s="101"/>
    </row>
    <row r="1283" spans="1:1" x14ac:dyDescent="0.2">
      <c r="A1283" s="101"/>
    </row>
    <row r="1284" spans="1:1" x14ac:dyDescent="0.2">
      <c r="A1284" s="101"/>
    </row>
    <row r="1285" spans="1:1" x14ac:dyDescent="0.2">
      <c r="A1285" s="101"/>
    </row>
    <row r="1286" spans="1:1" x14ac:dyDescent="0.2">
      <c r="A1286" s="101"/>
    </row>
    <row r="1287" spans="1:1" x14ac:dyDescent="0.2">
      <c r="A1287" s="101"/>
    </row>
    <row r="1288" spans="1:1" x14ac:dyDescent="0.2">
      <c r="A1288" s="101"/>
    </row>
    <row r="1289" spans="1:1" x14ac:dyDescent="0.2">
      <c r="A1289" s="101"/>
    </row>
    <row r="1290" spans="1:1" x14ac:dyDescent="0.2">
      <c r="A1290" s="101"/>
    </row>
    <row r="1291" spans="1:1" x14ac:dyDescent="0.2">
      <c r="A1291" s="101"/>
    </row>
    <row r="1292" spans="1:1" x14ac:dyDescent="0.2">
      <c r="A1292" s="101"/>
    </row>
    <row r="1293" spans="1:1" x14ac:dyDescent="0.2">
      <c r="A1293" s="101"/>
    </row>
    <row r="1294" spans="1:1" x14ac:dyDescent="0.2">
      <c r="A1294" s="101"/>
    </row>
    <row r="1295" spans="1:1" x14ac:dyDescent="0.2">
      <c r="A1295" s="101"/>
    </row>
    <row r="1296" spans="1:1" x14ac:dyDescent="0.2">
      <c r="A1296" s="101"/>
    </row>
    <row r="1297" spans="1:1" x14ac:dyDescent="0.2">
      <c r="A1297" s="101"/>
    </row>
    <row r="1298" spans="1:1" x14ac:dyDescent="0.2">
      <c r="A1298" s="101"/>
    </row>
    <row r="1299" spans="1:1" x14ac:dyDescent="0.2">
      <c r="A1299" s="101"/>
    </row>
    <row r="1300" spans="1:1" x14ac:dyDescent="0.2">
      <c r="A1300" s="101"/>
    </row>
    <row r="1301" spans="1:1" x14ac:dyDescent="0.2">
      <c r="A1301" s="101"/>
    </row>
    <row r="1302" spans="1:1" x14ac:dyDescent="0.2">
      <c r="A1302" s="101"/>
    </row>
    <row r="1303" spans="1:1" x14ac:dyDescent="0.2">
      <c r="A1303" s="101"/>
    </row>
    <row r="1304" spans="1:1" x14ac:dyDescent="0.2">
      <c r="A1304" s="101"/>
    </row>
    <row r="1305" spans="1:1" x14ac:dyDescent="0.2">
      <c r="A1305" s="101"/>
    </row>
    <row r="1306" spans="1:1" x14ac:dyDescent="0.2">
      <c r="A1306" s="101"/>
    </row>
    <row r="1307" spans="1:1" x14ac:dyDescent="0.2">
      <c r="A1307" s="101"/>
    </row>
    <row r="1308" spans="1:1" x14ac:dyDescent="0.2">
      <c r="A1308" s="101"/>
    </row>
    <row r="1309" spans="1:1" x14ac:dyDescent="0.2">
      <c r="A1309" s="101"/>
    </row>
    <row r="1310" spans="1:1" x14ac:dyDescent="0.2">
      <c r="A1310" s="101"/>
    </row>
    <row r="1311" spans="1:1" x14ac:dyDescent="0.2">
      <c r="A1311" s="101"/>
    </row>
    <row r="1312" spans="1:1" x14ac:dyDescent="0.2">
      <c r="A1312" s="101"/>
    </row>
    <row r="1313" spans="1:1" x14ac:dyDescent="0.2">
      <c r="A1313" s="101"/>
    </row>
    <row r="1314" spans="1:1" x14ac:dyDescent="0.2">
      <c r="A1314" s="101"/>
    </row>
    <row r="1315" spans="1:1" x14ac:dyDescent="0.2">
      <c r="A1315" s="101"/>
    </row>
    <row r="1316" spans="1:1" x14ac:dyDescent="0.2">
      <c r="A1316" s="101"/>
    </row>
    <row r="1317" spans="1:1" x14ac:dyDescent="0.2">
      <c r="A1317" s="101"/>
    </row>
    <row r="1318" spans="1:1" x14ac:dyDescent="0.2">
      <c r="A1318" s="101"/>
    </row>
    <row r="1319" spans="1:1" x14ac:dyDescent="0.2">
      <c r="A1319" s="101"/>
    </row>
    <row r="1320" spans="1:1" x14ac:dyDescent="0.2">
      <c r="A1320" s="101"/>
    </row>
    <row r="1321" spans="1:1" x14ac:dyDescent="0.2">
      <c r="A1321" s="101"/>
    </row>
    <row r="1322" spans="1:1" x14ac:dyDescent="0.2">
      <c r="A1322" s="101"/>
    </row>
    <row r="1323" spans="1:1" x14ac:dyDescent="0.2">
      <c r="A1323" s="101"/>
    </row>
    <row r="1324" spans="1:1" x14ac:dyDescent="0.2">
      <c r="A1324" s="101"/>
    </row>
    <row r="1325" spans="1:1" x14ac:dyDescent="0.2">
      <c r="A1325" s="101"/>
    </row>
    <row r="1326" spans="1:1" x14ac:dyDescent="0.2">
      <c r="A1326" s="101"/>
    </row>
    <row r="1327" spans="1:1" x14ac:dyDescent="0.2">
      <c r="A1327" s="101"/>
    </row>
    <row r="1328" spans="1:1" x14ac:dyDescent="0.2">
      <c r="A1328" s="101"/>
    </row>
    <row r="1329" spans="1:1" x14ac:dyDescent="0.2">
      <c r="A1329" s="101"/>
    </row>
    <row r="1330" spans="1:1" x14ac:dyDescent="0.2">
      <c r="A1330" s="101"/>
    </row>
    <row r="1331" spans="1:1" x14ac:dyDescent="0.2">
      <c r="A1331" s="101"/>
    </row>
    <row r="1332" spans="1:1" x14ac:dyDescent="0.2">
      <c r="A1332" s="101"/>
    </row>
    <row r="1333" spans="1:1" x14ac:dyDescent="0.2">
      <c r="A1333" s="101"/>
    </row>
    <row r="1334" spans="1:1" x14ac:dyDescent="0.2">
      <c r="A1334" s="101"/>
    </row>
    <row r="1335" spans="1:1" x14ac:dyDescent="0.2">
      <c r="A1335" s="101"/>
    </row>
    <row r="1336" spans="1:1" x14ac:dyDescent="0.2">
      <c r="A1336" s="101"/>
    </row>
    <row r="1337" spans="1:1" x14ac:dyDescent="0.2">
      <c r="A1337" s="101"/>
    </row>
    <row r="1338" spans="1:1" x14ac:dyDescent="0.2">
      <c r="A1338" s="101"/>
    </row>
    <row r="1339" spans="1:1" x14ac:dyDescent="0.2">
      <c r="A1339" s="101"/>
    </row>
    <row r="1340" spans="1:1" x14ac:dyDescent="0.2">
      <c r="A1340" s="101"/>
    </row>
    <row r="1341" spans="1:1" x14ac:dyDescent="0.2">
      <c r="A1341" s="101"/>
    </row>
    <row r="1342" spans="1:1" x14ac:dyDescent="0.2">
      <c r="A1342" s="101"/>
    </row>
    <row r="1343" spans="1:1" x14ac:dyDescent="0.2">
      <c r="A1343" s="101"/>
    </row>
    <row r="1344" spans="1:1" x14ac:dyDescent="0.2">
      <c r="A1344" s="101"/>
    </row>
    <row r="1345" spans="1:1" x14ac:dyDescent="0.2">
      <c r="A1345" s="101"/>
    </row>
    <row r="1346" spans="1:1" x14ac:dyDescent="0.2">
      <c r="A1346" s="101"/>
    </row>
    <row r="1347" spans="1:1" x14ac:dyDescent="0.2">
      <c r="A1347" s="101"/>
    </row>
    <row r="1348" spans="1:1" x14ac:dyDescent="0.2">
      <c r="A1348" s="101"/>
    </row>
    <row r="1349" spans="1:1" x14ac:dyDescent="0.2">
      <c r="A1349" s="101"/>
    </row>
    <row r="1350" spans="1:1" x14ac:dyDescent="0.2">
      <c r="A1350" s="101"/>
    </row>
    <row r="1351" spans="1:1" x14ac:dyDescent="0.2">
      <c r="A1351" s="101"/>
    </row>
    <row r="1352" spans="1:1" x14ac:dyDescent="0.2">
      <c r="A1352" s="101"/>
    </row>
    <row r="1353" spans="1:1" x14ac:dyDescent="0.2">
      <c r="A1353" s="101"/>
    </row>
    <row r="1354" spans="1:1" x14ac:dyDescent="0.2">
      <c r="A1354" s="101"/>
    </row>
    <row r="1355" spans="1:1" x14ac:dyDescent="0.2">
      <c r="A1355" s="101"/>
    </row>
    <row r="1356" spans="1:1" x14ac:dyDescent="0.2">
      <c r="A1356" s="101"/>
    </row>
    <row r="1357" spans="1:1" x14ac:dyDescent="0.2">
      <c r="A1357" s="101"/>
    </row>
    <row r="1358" spans="1:1" x14ac:dyDescent="0.2">
      <c r="A1358" s="101"/>
    </row>
    <row r="1359" spans="1:1" x14ac:dyDescent="0.2">
      <c r="A1359" s="101"/>
    </row>
    <row r="1360" spans="1:1" x14ac:dyDescent="0.2">
      <c r="A1360" s="101"/>
    </row>
    <row r="1361" spans="1:1" x14ac:dyDescent="0.2">
      <c r="A1361" s="101"/>
    </row>
    <row r="1362" spans="1:1" x14ac:dyDescent="0.2">
      <c r="A1362" s="101"/>
    </row>
    <row r="1363" spans="1:1" x14ac:dyDescent="0.2">
      <c r="A1363" s="101"/>
    </row>
    <row r="1364" spans="1:1" x14ac:dyDescent="0.2">
      <c r="A1364" s="101"/>
    </row>
    <row r="1365" spans="1:1" x14ac:dyDescent="0.2">
      <c r="A1365" s="101"/>
    </row>
    <row r="1366" spans="1:1" x14ac:dyDescent="0.2">
      <c r="A1366" s="101"/>
    </row>
    <row r="1367" spans="1:1" x14ac:dyDescent="0.2">
      <c r="A1367" s="101"/>
    </row>
    <row r="1368" spans="1:1" x14ac:dyDescent="0.2">
      <c r="A1368" s="101"/>
    </row>
    <row r="1369" spans="1:1" x14ac:dyDescent="0.2">
      <c r="A1369" s="101"/>
    </row>
    <row r="1370" spans="1:1" x14ac:dyDescent="0.2">
      <c r="A1370" s="101"/>
    </row>
    <row r="1371" spans="1:1" x14ac:dyDescent="0.2">
      <c r="A1371" s="101"/>
    </row>
    <row r="1372" spans="1:1" x14ac:dyDescent="0.2">
      <c r="A1372" s="101"/>
    </row>
    <row r="1373" spans="1:1" x14ac:dyDescent="0.2">
      <c r="A1373" s="101"/>
    </row>
    <row r="1374" spans="1:1" x14ac:dyDescent="0.2">
      <c r="A1374" s="101"/>
    </row>
    <row r="1375" spans="1:1" x14ac:dyDescent="0.2">
      <c r="A1375" s="101"/>
    </row>
    <row r="1376" spans="1:1" x14ac:dyDescent="0.2">
      <c r="A1376" s="101"/>
    </row>
    <row r="1377" spans="1:1" x14ac:dyDescent="0.2">
      <c r="A1377" s="101"/>
    </row>
    <row r="1378" spans="1:1" x14ac:dyDescent="0.2">
      <c r="A1378" s="101"/>
    </row>
    <row r="1379" spans="1:1" x14ac:dyDescent="0.2">
      <c r="A1379" s="101"/>
    </row>
    <row r="1380" spans="1:1" x14ac:dyDescent="0.2">
      <c r="A1380" s="101"/>
    </row>
    <row r="1381" spans="1:1" x14ac:dyDescent="0.2">
      <c r="A1381" s="101"/>
    </row>
    <row r="1382" spans="1:1" x14ac:dyDescent="0.2">
      <c r="A1382" s="101"/>
    </row>
    <row r="1383" spans="1:1" x14ac:dyDescent="0.2">
      <c r="A1383" s="101"/>
    </row>
    <row r="1384" spans="1:1" x14ac:dyDescent="0.2">
      <c r="A1384" s="101"/>
    </row>
    <row r="1385" spans="1:1" x14ac:dyDescent="0.2">
      <c r="A1385" s="101"/>
    </row>
    <row r="1386" spans="1:1" x14ac:dyDescent="0.2">
      <c r="A1386" s="101"/>
    </row>
    <row r="1387" spans="1:1" x14ac:dyDescent="0.2">
      <c r="A1387" s="101"/>
    </row>
    <row r="1388" spans="1:1" x14ac:dyDescent="0.2">
      <c r="A1388" s="101"/>
    </row>
    <row r="1389" spans="1:1" x14ac:dyDescent="0.2">
      <c r="A1389" s="101"/>
    </row>
    <row r="1390" spans="1:1" x14ac:dyDescent="0.2">
      <c r="A1390" s="101"/>
    </row>
    <row r="1391" spans="1:1" x14ac:dyDescent="0.2">
      <c r="A1391" s="101"/>
    </row>
    <row r="1392" spans="1:1" x14ac:dyDescent="0.2">
      <c r="A1392" s="101"/>
    </row>
    <row r="1393" spans="1:1" x14ac:dyDescent="0.2">
      <c r="A1393" s="101"/>
    </row>
    <row r="1394" spans="1:1" x14ac:dyDescent="0.2">
      <c r="A1394" s="101"/>
    </row>
    <row r="1395" spans="1:1" x14ac:dyDescent="0.2">
      <c r="A1395" s="101"/>
    </row>
    <row r="1396" spans="1:1" x14ac:dyDescent="0.2">
      <c r="A1396" s="101"/>
    </row>
    <row r="1397" spans="1:1" x14ac:dyDescent="0.2">
      <c r="A1397" s="101"/>
    </row>
    <row r="1398" spans="1:1" x14ac:dyDescent="0.2">
      <c r="A1398" s="101"/>
    </row>
    <row r="1399" spans="1:1" x14ac:dyDescent="0.2">
      <c r="A1399" s="101"/>
    </row>
    <row r="1400" spans="1:1" x14ac:dyDescent="0.2">
      <c r="A1400" s="101"/>
    </row>
    <row r="1401" spans="1:1" x14ac:dyDescent="0.2">
      <c r="A1401" s="101"/>
    </row>
    <row r="1402" spans="1:1" x14ac:dyDescent="0.2">
      <c r="A1402" s="101"/>
    </row>
    <row r="1403" spans="1:1" x14ac:dyDescent="0.2">
      <c r="A1403" s="101"/>
    </row>
    <row r="1404" spans="1:1" x14ac:dyDescent="0.2">
      <c r="A1404" s="101"/>
    </row>
    <row r="1405" spans="1:1" x14ac:dyDescent="0.2">
      <c r="A1405" s="101"/>
    </row>
    <row r="1406" spans="1:1" x14ac:dyDescent="0.2">
      <c r="A1406" s="101"/>
    </row>
    <row r="1407" spans="1:1" x14ac:dyDescent="0.2">
      <c r="A1407" s="101"/>
    </row>
    <row r="1408" spans="1:1" x14ac:dyDescent="0.2">
      <c r="A1408" s="101"/>
    </row>
    <row r="1409" spans="1:1" x14ac:dyDescent="0.2">
      <c r="A1409" s="101"/>
    </row>
    <row r="1410" spans="1:1" x14ac:dyDescent="0.2">
      <c r="A1410" s="101"/>
    </row>
    <row r="1411" spans="1:1" x14ac:dyDescent="0.2">
      <c r="A1411" s="101"/>
    </row>
    <row r="1412" spans="1:1" x14ac:dyDescent="0.2">
      <c r="A1412" s="101"/>
    </row>
    <row r="1413" spans="1:1" x14ac:dyDescent="0.2">
      <c r="A1413" s="101"/>
    </row>
    <row r="1414" spans="1:1" x14ac:dyDescent="0.2">
      <c r="A1414" s="101"/>
    </row>
    <row r="1415" spans="1:1" x14ac:dyDescent="0.2">
      <c r="A1415" s="101"/>
    </row>
    <row r="1416" spans="1:1" x14ac:dyDescent="0.2">
      <c r="A1416" s="101"/>
    </row>
    <row r="1417" spans="1:1" x14ac:dyDescent="0.2">
      <c r="A1417" s="101"/>
    </row>
    <row r="1418" spans="1:1" x14ac:dyDescent="0.2">
      <c r="A1418" s="101"/>
    </row>
    <row r="1419" spans="1:1" x14ac:dyDescent="0.2">
      <c r="A1419" s="101"/>
    </row>
    <row r="1420" spans="1:1" x14ac:dyDescent="0.2">
      <c r="A1420" s="101"/>
    </row>
    <row r="1421" spans="1:1" x14ac:dyDescent="0.2">
      <c r="A1421" s="101"/>
    </row>
    <row r="1422" spans="1:1" x14ac:dyDescent="0.2">
      <c r="A1422" s="101"/>
    </row>
    <row r="1423" spans="1:1" x14ac:dyDescent="0.2">
      <c r="A1423" s="101"/>
    </row>
    <row r="1424" spans="1:1" x14ac:dyDescent="0.2">
      <c r="A1424" s="101"/>
    </row>
    <row r="1425" spans="1:1" x14ac:dyDescent="0.2">
      <c r="A1425" s="101"/>
    </row>
    <row r="1426" spans="1:1" x14ac:dyDescent="0.2">
      <c r="A1426" s="101"/>
    </row>
    <row r="1427" spans="1:1" x14ac:dyDescent="0.2">
      <c r="A1427" s="101"/>
    </row>
    <row r="1428" spans="1:1" x14ac:dyDescent="0.2">
      <c r="A1428" s="101"/>
    </row>
    <row r="1429" spans="1:1" x14ac:dyDescent="0.2">
      <c r="A1429" s="101"/>
    </row>
    <row r="1430" spans="1:1" x14ac:dyDescent="0.2">
      <c r="A1430" s="101"/>
    </row>
    <row r="1431" spans="1:1" x14ac:dyDescent="0.2">
      <c r="A1431" s="101"/>
    </row>
    <row r="1432" spans="1:1" x14ac:dyDescent="0.2">
      <c r="A1432" s="101"/>
    </row>
    <row r="1433" spans="1:1" x14ac:dyDescent="0.2">
      <c r="A1433" s="101"/>
    </row>
    <row r="1434" spans="1:1" x14ac:dyDescent="0.2">
      <c r="A1434" s="101"/>
    </row>
    <row r="1435" spans="1:1" x14ac:dyDescent="0.2">
      <c r="A1435" s="101"/>
    </row>
    <row r="1436" spans="1:1" x14ac:dyDescent="0.2">
      <c r="A1436" s="101"/>
    </row>
    <row r="1437" spans="1:1" x14ac:dyDescent="0.2">
      <c r="A1437" s="101"/>
    </row>
    <row r="1438" spans="1:1" x14ac:dyDescent="0.2">
      <c r="A1438" s="101"/>
    </row>
    <row r="1439" spans="1:1" x14ac:dyDescent="0.2">
      <c r="A1439" s="101"/>
    </row>
    <row r="1440" spans="1:1" x14ac:dyDescent="0.2">
      <c r="A1440" s="101"/>
    </row>
    <row r="1441" spans="1:1" x14ac:dyDescent="0.2">
      <c r="A1441" s="101"/>
    </row>
    <row r="1442" spans="1:1" x14ac:dyDescent="0.2">
      <c r="A1442" s="101"/>
    </row>
    <row r="1443" spans="1:1" x14ac:dyDescent="0.2">
      <c r="A1443" s="101"/>
    </row>
    <row r="1444" spans="1:1" x14ac:dyDescent="0.2">
      <c r="A1444" s="101"/>
    </row>
    <row r="1445" spans="1:1" x14ac:dyDescent="0.2">
      <c r="A1445" s="101"/>
    </row>
    <row r="1446" spans="1:1" x14ac:dyDescent="0.2">
      <c r="A1446" s="101"/>
    </row>
    <row r="1447" spans="1:1" x14ac:dyDescent="0.2">
      <c r="A1447" s="101"/>
    </row>
    <row r="1448" spans="1:1" x14ac:dyDescent="0.2">
      <c r="A1448" s="101"/>
    </row>
    <row r="1449" spans="1:1" x14ac:dyDescent="0.2">
      <c r="A1449" s="101"/>
    </row>
    <row r="1450" spans="1:1" x14ac:dyDescent="0.2">
      <c r="A1450" s="101"/>
    </row>
    <row r="1451" spans="1:1" x14ac:dyDescent="0.2">
      <c r="A1451" s="101"/>
    </row>
    <row r="1452" spans="1:1" x14ac:dyDescent="0.2">
      <c r="A1452" s="101"/>
    </row>
    <row r="1453" spans="1:1" x14ac:dyDescent="0.2">
      <c r="A1453" s="101"/>
    </row>
    <row r="1454" spans="1:1" x14ac:dyDescent="0.2">
      <c r="A1454" s="101"/>
    </row>
    <row r="1455" spans="1:1" x14ac:dyDescent="0.2">
      <c r="A1455" s="101"/>
    </row>
    <row r="1456" spans="1:1" x14ac:dyDescent="0.2">
      <c r="A1456" s="101"/>
    </row>
    <row r="1457" spans="1:1" x14ac:dyDescent="0.2">
      <c r="A1457" s="101"/>
    </row>
    <row r="1458" spans="1:1" x14ac:dyDescent="0.2">
      <c r="A1458" s="101"/>
    </row>
    <row r="1459" spans="1:1" x14ac:dyDescent="0.2">
      <c r="A1459" s="101"/>
    </row>
    <row r="1460" spans="1:1" x14ac:dyDescent="0.2">
      <c r="A1460" s="101"/>
    </row>
    <row r="1461" spans="1:1" x14ac:dyDescent="0.2">
      <c r="A1461" s="101"/>
    </row>
    <row r="1462" spans="1:1" x14ac:dyDescent="0.2">
      <c r="A1462" s="101"/>
    </row>
    <row r="1463" spans="1:1" x14ac:dyDescent="0.2">
      <c r="A1463" s="101"/>
    </row>
    <row r="1464" spans="1:1" x14ac:dyDescent="0.2">
      <c r="A1464" s="101"/>
    </row>
    <row r="1465" spans="1:1" x14ac:dyDescent="0.2">
      <c r="A1465" s="101"/>
    </row>
    <row r="1466" spans="1:1" x14ac:dyDescent="0.2">
      <c r="A1466" s="101"/>
    </row>
    <row r="1467" spans="1:1" x14ac:dyDescent="0.2">
      <c r="A1467" s="101"/>
    </row>
    <row r="1468" spans="1:1" x14ac:dyDescent="0.2">
      <c r="A1468" s="101"/>
    </row>
    <row r="1469" spans="1:1" x14ac:dyDescent="0.2">
      <c r="A1469" s="101"/>
    </row>
    <row r="1470" spans="1:1" x14ac:dyDescent="0.2">
      <c r="A1470" s="101"/>
    </row>
    <row r="1471" spans="1:1" x14ac:dyDescent="0.2">
      <c r="A1471" s="101"/>
    </row>
    <row r="1472" spans="1:1" x14ac:dyDescent="0.2">
      <c r="A1472" s="101"/>
    </row>
    <row r="1473" spans="1:1" x14ac:dyDescent="0.2">
      <c r="A1473" s="101"/>
    </row>
    <row r="1474" spans="1:1" x14ac:dyDescent="0.2">
      <c r="A1474" s="101"/>
    </row>
    <row r="1475" spans="1:1" x14ac:dyDescent="0.2">
      <c r="A1475" s="101"/>
    </row>
    <row r="1476" spans="1:1" x14ac:dyDescent="0.2">
      <c r="A1476" s="101"/>
    </row>
    <row r="1477" spans="1:1" x14ac:dyDescent="0.2">
      <c r="A1477" s="101"/>
    </row>
    <row r="1478" spans="1:1" x14ac:dyDescent="0.2">
      <c r="A1478" s="101"/>
    </row>
    <row r="1479" spans="1:1" x14ac:dyDescent="0.2">
      <c r="A1479" s="101"/>
    </row>
    <row r="1480" spans="1:1" x14ac:dyDescent="0.2">
      <c r="A1480" s="101"/>
    </row>
    <row r="1481" spans="1:1" x14ac:dyDescent="0.2">
      <c r="A1481" s="101"/>
    </row>
    <row r="1482" spans="1:1" x14ac:dyDescent="0.2">
      <c r="A1482" s="101"/>
    </row>
    <row r="1483" spans="1:1" x14ac:dyDescent="0.2">
      <c r="A1483" s="101"/>
    </row>
    <row r="1484" spans="1:1" x14ac:dyDescent="0.2">
      <c r="A1484" s="101"/>
    </row>
    <row r="1485" spans="1:1" x14ac:dyDescent="0.2">
      <c r="A1485" s="101"/>
    </row>
    <row r="1486" spans="1:1" x14ac:dyDescent="0.2">
      <c r="A1486" s="101"/>
    </row>
    <row r="1487" spans="1:1" x14ac:dyDescent="0.2">
      <c r="A1487" s="101"/>
    </row>
    <row r="1488" spans="1:1" x14ac:dyDescent="0.2">
      <c r="A1488" s="101"/>
    </row>
    <row r="1489" spans="1:1" x14ac:dyDescent="0.2">
      <c r="A1489" s="101"/>
    </row>
    <row r="1490" spans="1:1" x14ac:dyDescent="0.2">
      <c r="A1490" s="101"/>
    </row>
    <row r="1491" spans="1:1" x14ac:dyDescent="0.2">
      <c r="A1491" s="101"/>
    </row>
    <row r="1492" spans="1:1" x14ac:dyDescent="0.2">
      <c r="A1492" s="101"/>
    </row>
    <row r="1493" spans="1:1" x14ac:dyDescent="0.2">
      <c r="A1493" s="101"/>
    </row>
    <row r="1494" spans="1:1" x14ac:dyDescent="0.2">
      <c r="A1494" s="101"/>
    </row>
    <row r="1495" spans="1:1" x14ac:dyDescent="0.2">
      <c r="A1495" s="101"/>
    </row>
    <row r="1496" spans="1:1" x14ac:dyDescent="0.2">
      <c r="A1496" s="101"/>
    </row>
    <row r="1497" spans="1:1" x14ac:dyDescent="0.2">
      <c r="A1497" s="101"/>
    </row>
    <row r="1498" spans="1:1" x14ac:dyDescent="0.2">
      <c r="A1498" s="101"/>
    </row>
    <row r="1499" spans="1:1" x14ac:dyDescent="0.2">
      <c r="A1499" s="101"/>
    </row>
    <row r="1500" spans="1:1" x14ac:dyDescent="0.2">
      <c r="A1500" s="101"/>
    </row>
    <row r="1501" spans="1:1" x14ac:dyDescent="0.2">
      <c r="A1501" s="101"/>
    </row>
    <row r="1502" spans="1:1" x14ac:dyDescent="0.2">
      <c r="A1502" s="101"/>
    </row>
    <row r="1503" spans="1:1" x14ac:dyDescent="0.2">
      <c r="A1503" s="101"/>
    </row>
    <row r="1504" spans="1:1" x14ac:dyDescent="0.2">
      <c r="A1504" s="101"/>
    </row>
    <row r="1505" spans="1:1" x14ac:dyDescent="0.2">
      <c r="A1505" s="101"/>
    </row>
    <row r="1506" spans="1:1" x14ac:dyDescent="0.2">
      <c r="A1506" s="101"/>
    </row>
    <row r="1507" spans="1:1" x14ac:dyDescent="0.2">
      <c r="A1507" s="101"/>
    </row>
    <row r="1508" spans="1:1" x14ac:dyDescent="0.2">
      <c r="A1508" s="101"/>
    </row>
    <row r="1509" spans="1:1" x14ac:dyDescent="0.2">
      <c r="A1509" s="101"/>
    </row>
    <row r="1510" spans="1:1" x14ac:dyDescent="0.2">
      <c r="A1510" s="101"/>
    </row>
    <row r="1511" spans="1:1" x14ac:dyDescent="0.2">
      <c r="A1511" s="101"/>
    </row>
    <row r="1512" spans="1:1" x14ac:dyDescent="0.2">
      <c r="A1512" s="101"/>
    </row>
    <row r="1513" spans="1:1" x14ac:dyDescent="0.2">
      <c r="A1513" s="101"/>
    </row>
    <row r="1514" spans="1:1" x14ac:dyDescent="0.2">
      <c r="A1514" s="101"/>
    </row>
    <row r="1515" spans="1:1" x14ac:dyDescent="0.2">
      <c r="A1515" s="101"/>
    </row>
    <row r="1516" spans="1:1" x14ac:dyDescent="0.2">
      <c r="A1516" s="101"/>
    </row>
    <row r="1517" spans="1:1" x14ac:dyDescent="0.2">
      <c r="A1517" s="101"/>
    </row>
    <row r="1518" spans="1:1" x14ac:dyDescent="0.2">
      <c r="A1518" s="101"/>
    </row>
    <row r="1519" spans="1:1" x14ac:dyDescent="0.2">
      <c r="A1519" s="101"/>
    </row>
    <row r="1520" spans="1:1" x14ac:dyDescent="0.2">
      <c r="A1520" s="101"/>
    </row>
    <row r="1521" spans="1:1" x14ac:dyDescent="0.2">
      <c r="A1521" s="101"/>
    </row>
    <row r="1522" spans="1:1" x14ac:dyDescent="0.2">
      <c r="A1522" s="101"/>
    </row>
    <row r="1523" spans="1:1" x14ac:dyDescent="0.2">
      <c r="A1523" s="101"/>
    </row>
    <row r="1524" spans="1:1" x14ac:dyDescent="0.2">
      <c r="A1524" s="101"/>
    </row>
    <row r="1525" spans="1:1" x14ac:dyDescent="0.2">
      <c r="A1525" s="101"/>
    </row>
    <row r="1526" spans="1:1" x14ac:dyDescent="0.2">
      <c r="A1526" s="101"/>
    </row>
    <row r="1527" spans="1:1" x14ac:dyDescent="0.2">
      <c r="A1527" s="101"/>
    </row>
    <row r="1528" spans="1:1" x14ac:dyDescent="0.2">
      <c r="A1528" s="101"/>
    </row>
    <row r="1529" spans="1:1" x14ac:dyDescent="0.2">
      <c r="A1529" s="101"/>
    </row>
    <row r="1530" spans="1:1" x14ac:dyDescent="0.2">
      <c r="A1530" s="101"/>
    </row>
    <row r="1531" spans="1:1" x14ac:dyDescent="0.2">
      <c r="A1531" s="101"/>
    </row>
    <row r="1532" spans="1:1" x14ac:dyDescent="0.2">
      <c r="A1532" s="101"/>
    </row>
    <row r="1533" spans="1:1" x14ac:dyDescent="0.2">
      <c r="A1533" s="101"/>
    </row>
    <row r="1534" spans="1:1" x14ac:dyDescent="0.2">
      <c r="A1534" s="101"/>
    </row>
    <row r="1535" spans="1:1" x14ac:dyDescent="0.2">
      <c r="A1535" s="101"/>
    </row>
    <row r="1536" spans="1:1" x14ac:dyDescent="0.2">
      <c r="A1536" s="101"/>
    </row>
    <row r="1537" spans="1:1" x14ac:dyDescent="0.2">
      <c r="A1537" s="101"/>
    </row>
    <row r="1538" spans="1:1" x14ac:dyDescent="0.2">
      <c r="A1538" s="101"/>
    </row>
    <row r="1539" spans="1:1" x14ac:dyDescent="0.2">
      <c r="A1539" s="101"/>
    </row>
    <row r="1540" spans="1:1" x14ac:dyDescent="0.2">
      <c r="A1540" s="101"/>
    </row>
    <row r="1541" spans="1:1" x14ac:dyDescent="0.2">
      <c r="A1541" s="101"/>
    </row>
    <row r="1542" spans="1:1" x14ac:dyDescent="0.2">
      <c r="A1542" s="101"/>
    </row>
    <row r="1543" spans="1:1" x14ac:dyDescent="0.2">
      <c r="A1543" s="101"/>
    </row>
    <row r="1544" spans="1:1" x14ac:dyDescent="0.2">
      <c r="A1544" s="101"/>
    </row>
    <row r="1545" spans="1:1" x14ac:dyDescent="0.2">
      <c r="A1545" s="101"/>
    </row>
    <row r="1546" spans="1:1" x14ac:dyDescent="0.2">
      <c r="A1546" s="101"/>
    </row>
    <row r="1547" spans="1:1" x14ac:dyDescent="0.2">
      <c r="A1547" s="101"/>
    </row>
    <row r="1548" spans="1:1" x14ac:dyDescent="0.2">
      <c r="A1548" s="101"/>
    </row>
    <row r="1549" spans="1:1" x14ac:dyDescent="0.2">
      <c r="A1549" s="101"/>
    </row>
    <row r="1550" spans="1:1" x14ac:dyDescent="0.2">
      <c r="A1550" s="101"/>
    </row>
    <row r="1551" spans="1:1" x14ac:dyDescent="0.2">
      <c r="A1551" s="101"/>
    </row>
    <row r="1552" spans="1:1" x14ac:dyDescent="0.2">
      <c r="A1552" s="101"/>
    </row>
    <row r="1553" spans="1:1" x14ac:dyDescent="0.2">
      <c r="A1553" s="101"/>
    </row>
    <row r="1554" spans="1:1" x14ac:dyDescent="0.2">
      <c r="A1554" s="101"/>
    </row>
    <row r="1555" spans="1:1" x14ac:dyDescent="0.2">
      <c r="A1555" s="101"/>
    </row>
    <row r="1556" spans="1:1" x14ac:dyDescent="0.2">
      <c r="A1556" s="101"/>
    </row>
    <row r="1557" spans="1:1" x14ac:dyDescent="0.2">
      <c r="A1557" s="101"/>
    </row>
    <row r="1558" spans="1:1" x14ac:dyDescent="0.2">
      <c r="A1558" s="101"/>
    </row>
    <row r="1559" spans="1:1" x14ac:dyDescent="0.2">
      <c r="A1559" s="101"/>
    </row>
    <row r="1560" spans="1:1" x14ac:dyDescent="0.2">
      <c r="A1560" s="101"/>
    </row>
    <row r="1561" spans="1:1" x14ac:dyDescent="0.2">
      <c r="A1561" s="101"/>
    </row>
    <row r="1562" spans="1:1" x14ac:dyDescent="0.2">
      <c r="A1562" s="101"/>
    </row>
    <row r="1563" spans="1:1" x14ac:dyDescent="0.2">
      <c r="A1563" s="101"/>
    </row>
    <row r="1564" spans="1:1" x14ac:dyDescent="0.2">
      <c r="A1564" s="101"/>
    </row>
    <row r="1565" spans="1:1" x14ac:dyDescent="0.2">
      <c r="A1565" s="101"/>
    </row>
    <row r="1566" spans="1:1" x14ac:dyDescent="0.2">
      <c r="A1566" s="101"/>
    </row>
    <row r="1567" spans="1:1" x14ac:dyDescent="0.2">
      <c r="A1567" s="101"/>
    </row>
    <row r="1568" spans="1:1" x14ac:dyDescent="0.2">
      <c r="A1568" s="101"/>
    </row>
    <row r="1569" spans="1:1" x14ac:dyDescent="0.2">
      <c r="A1569" s="101"/>
    </row>
    <row r="1570" spans="1:1" x14ac:dyDescent="0.2">
      <c r="A1570" s="101"/>
    </row>
    <row r="1571" spans="1:1" x14ac:dyDescent="0.2">
      <c r="A1571" s="101"/>
    </row>
    <row r="1572" spans="1:1" x14ac:dyDescent="0.2">
      <c r="A1572" s="101"/>
    </row>
    <row r="1573" spans="1:1" x14ac:dyDescent="0.2">
      <c r="A1573" s="101"/>
    </row>
    <row r="1574" spans="1:1" x14ac:dyDescent="0.2">
      <c r="A1574" s="101"/>
    </row>
    <row r="1575" spans="1:1" x14ac:dyDescent="0.2">
      <c r="A1575" s="101"/>
    </row>
    <row r="1576" spans="1:1" x14ac:dyDescent="0.2">
      <c r="A1576" s="101"/>
    </row>
    <row r="1577" spans="1:1" x14ac:dyDescent="0.2">
      <c r="A1577" s="101"/>
    </row>
    <row r="1578" spans="1:1" x14ac:dyDescent="0.2">
      <c r="A1578" s="101"/>
    </row>
    <row r="1579" spans="1:1" x14ac:dyDescent="0.2">
      <c r="A1579" s="101"/>
    </row>
    <row r="1580" spans="1:1" x14ac:dyDescent="0.2">
      <c r="A1580" s="101"/>
    </row>
    <row r="1581" spans="1:1" x14ac:dyDescent="0.2">
      <c r="A1581" s="101"/>
    </row>
    <row r="1582" spans="1:1" x14ac:dyDescent="0.2">
      <c r="A1582" s="101"/>
    </row>
    <row r="1583" spans="1:1" x14ac:dyDescent="0.2">
      <c r="A1583" s="101"/>
    </row>
    <row r="1584" spans="1:1" x14ac:dyDescent="0.2">
      <c r="A1584" s="101"/>
    </row>
    <row r="1585" spans="1:1" x14ac:dyDescent="0.2">
      <c r="A1585" s="101"/>
    </row>
    <row r="1586" spans="1:1" x14ac:dyDescent="0.2">
      <c r="A1586" s="101"/>
    </row>
    <row r="1587" spans="1:1" x14ac:dyDescent="0.2">
      <c r="A1587" s="101"/>
    </row>
    <row r="1588" spans="1:1" x14ac:dyDescent="0.2">
      <c r="A1588" s="101"/>
    </row>
    <row r="1589" spans="1:1" x14ac:dyDescent="0.2">
      <c r="A1589" s="101"/>
    </row>
    <row r="1590" spans="1:1" x14ac:dyDescent="0.2">
      <c r="A1590" s="101"/>
    </row>
    <row r="1591" spans="1:1" x14ac:dyDescent="0.2">
      <c r="A1591" s="101"/>
    </row>
    <row r="1592" spans="1:1" x14ac:dyDescent="0.2">
      <c r="A1592" s="101"/>
    </row>
    <row r="1593" spans="1:1" x14ac:dyDescent="0.2">
      <c r="A1593" s="101"/>
    </row>
    <row r="1594" spans="1:1" x14ac:dyDescent="0.2">
      <c r="A1594" s="101"/>
    </row>
    <row r="1595" spans="1:1" x14ac:dyDescent="0.2">
      <c r="A1595" s="101"/>
    </row>
    <row r="1596" spans="1:1" x14ac:dyDescent="0.2">
      <c r="A1596" s="101"/>
    </row>
    <row r="1597" spans="1:1" x14ac:dyDescent="0.2">
      <c r="A1597" s="101"/>
    </row>
    <row r="1598" spans="1:1" x14ac:dyDescent="0.2">
      <c r="A1598" s="101"/>
    </row>
    <row r="1599" spans="1:1" x14ac:dyDescent="0.2">
      <c r="A1599" s="101"/>
    </row>
    <row r="1600" spans="1:1" x14ac:dyDescent="0.2">
      <c r="A1600" s="101"/>
    </row>
    <row r="1601" spans="1:1" x14ac:dyDescent="0.2">
      <c r="A1601" s="101"/>
    </row>
    <row r="1602" spans="1:1" x14ac:dyDescent="0.2">
      <c r="A1602" s="101"/>
    </row>
    <row r="1603" spans="1:1" x14ac:dyDescent="0.2">
      <c r="A1603" s="101"/>
    </row>
    <row r="1604" spans="1:1" x14ac:dyDescent="0.2">
      <c r="A1604" s="101"/>
    </row>
    <row r="1605" spans="1:1" x14ac:dyDescent="0.2">
      <c r="A1605" s="101"/>
    </row>
    <row r="1606" spans="1:1" x14ac:dyDescent="0.2">
      <c r="A1606" s="101"/>
    </row>
    <row r="1607" spans="1:1" x14ac:dyDescent="0.2">
      <c r="A1607" s="101"/>
    </row>
    <row r="1608" spans="1:1" x14ac:dyDescent="0.2">
      <c r="A1608" s="101"/>
    </row>
    <row r="1609" spans="1:1" x14ac:dyDescent="0.2">
      <c r="A1609" s="101"/>
    </row>
    <row r="1610" spans="1:1" x14ac:dyDescent="0.2">
      <c r="A1610" s="101"/>
    </row>
    <row r="1611" spans="1:1" x14ac:dyDescent="0.2">
      <c r="A1611" s="101"/>
    </row>
    <row r="1612" spans="1:1" x14ac:dyDescent="0.2">
      <c r="A1612" s="101"/>
    </row>
    <row r="1613" spans="1:1" x14ac:dyDescent="0.2">
      <c r="A1613" s="101"/>
    </row>
    <row r="1614" spans="1:1" x14ac:dyDescent="0.2">
      <c r="A1614" s="101"/>
    </row>
    <row r="1615" spans="1:1" x14ac:dyDescent="0.2">
      <c r="A1615" s="101"/>
    </row>
    <row r="1616" spans="1:1" x14ac:dyDescent="0.2">
      <c r="A1616" s="101"/>
    </row>
    <row r="1617" spans="1:1" x14ac:dyDescent="0.2">
      <c r="A1617" s="101"/>
    </row>
    <row r="1618" spans="1:1" x14ac:dyDescent="0.2">
      <c r="A1618" s="101"/>
    </row>
    <row r="1619" spans="1:1" x14ac:dyDescent="0.2">
      <c r="A1619" s="101"/>
    </row>
    <row r="1620" spans="1:1" x14ac:dyDescent="0.2">
      <c r="A1620" s="101"/>
    </row>
    <row r="1621" spans="1:1" x14ac:dyDescent="0.2">
      <c r="A1621" s="101"/>
    </row>
    <row r="1622" spans="1:1" x14ac:dyDescent="0.2">
      <c r="A1622" s="101"/>
    </row>
    <row r="1623" spans="1:1" x14ac:dyDescent="0.2">
      <c r="A1623" s="101"/>
    </row>
    <row r="1624" spans="1:1" x14ac:dyDescent="0.2">
      <c r="A1624" s="101"/>
    </row>
    <row r="1625" spans="1:1" x14ac:dyDescent="0.2">
      <c r="A1625" s="101"/>
    </row>
    <row r="1626" spans="1:1" x14ac:dyDescent="0.2">
      <c r="A1626" s="101"/>
    </row>
    <row r="1627" spans="1:1" x14ac:dyDescent="0.2">
      <c r="A1627" s="101"/>
    </row>
    <row r="1628" spans="1:1" x14ac:dyDescent="0.2">
      <c r="A1628" s="101"/>
    </row>
    <row r="1629" spans="1:1" x14ac:dyDescent="0.2">
      <c r="A1629" s="101"/>
    </row>
    <row r="1630" spans="1:1" x14ac:dyDescent="0.2">
      <c r="A1630" s="101"/>
    </row>
    <row r="1631" spans="1:1" x14ac:dyDescent="0.2">
      <c r="A1631" s="101"/>
    </row>
    <row r="1632" spans="1:1" x14ac:dyDescent="0.2">
      <c r="A1632" s="101"/>
    </row>
    <row r="1633" spans="1:1" x14ac:dyDescent="0.2">
      <c r="A1633" s="101"/>
    </row>
    <row r="1634" spans="1:1" x14ac:dyDescent="0.2">
      <c r="A1634" s="101"/>
    </row>
    <row r="1635" spans="1:1" x14ac:dyDescent="0.2">
      <c r="A1635" s="101"/>
    </row>
    <row r="1636" spans="1:1" x14ac:dyDescent="0.2">
      <c r="A1636" s="101"/>
    </row>
    <row r="1637" spans="1:1" x14ac:dyDescent="0.2">
      <c r="A1637" s="101"/>
    </row>
    <row r="1638" spans="1:1" x14ac:dyDescent="0.2">
      <c r="A1638" s="101"/>
    </row>
    <row r="1639" spans="1:1" x14ac:dyDescent="0.2">
      <c r="A1639" s="101"/>
    </row>
    <row r="1640" spans="1:1" x14ac:dyDescent="0.2">
      <c r="A1640" s="101"/>
    </row>
    <row r="1641" spans="1:1" x14ac:dyDescent="0.2">
      <c r="A1641" s="101"/>
    </row>
    <row r="1642" spans="1:1" x14ac:dyDescent="0.2">
      <c r="A1642" s="101"/>
    </row>
    <row r="1643" spans="1:1" x14ac:dyDescent="0.2">
      <c r="A1643" s="101"/>
    </row>
    <row r="1644" spans="1:1" x14ac:dyDescent="0.2">
      <c r="A1644" s="101"/>
    </row>
    <row r="1645" spans="1:1" x14ac:dyDescent="0.2">
      <c r="A1645" s="101"/>
    </row>
    <row r="1646" spans="1:1" x14ac:dyDescent="0.2">
      <c r="A1646" s="101"/>
    </row>
    <row r="1647" spans="1:1" x14ac:dyDescent="0.2">
      <c r="A1647" s="101"/>
    </row>
    <row r="1648" spans="1:1" x14ac:dyDescent="0.2">
      <c r="A1648" s="101"/>
    </row>
    <row r="1649" spans="1:1" x14ac:dyDescent="0.2">
      <c r="A1649" s="101"/>
    </row>
    <row r="1650" spans="1:1" x14ac:dyDescent="0.2">
      <c r="A1650" s="101"/>
    </row>
    <row r="1651" spans="1:1" x14ac:dyDescent="0.2">
      <c r="A1651" s="101"/>
    </row>
    <row r="1652" spans="1:1" x14ac:dyDescent="0.2">
      <c r="A1652" s="101"/>
    </row>
    <row r="1653" spans="1:1" x14ac:dyDescent="0.2">
      <c r="A1653" s="101"/>
    </row>
    <row r="1654" spans="1:1" x14ac:dyDescent="0.2">
      <c r="A1654" s="101"/>
    </row>
    <row r="1655" spans="1:1" x14ac:dyDescent="0.2">
      <c r="A1655" s="101"/>
    </row>
    <row r="1656" spans="1:1" x14ac:dyDescent="0.2">
      <c r="A1656" s="101"/>
    </row>
    <row r="1657" spans="1:1" x14ac:dyDescent="0.2">
      <c r="A1657" s="101"/>
    </row>
    <row r="1658" spans="1:1" x14ac:dyDescent="0.2">
      <c r="A1658" s="101"/>
    </row>
    <row r="1659" spans="1:1" x14ac:dyDescent="0.2">
      <c r="A1659" s="101"/>
    </row>
    <row r="1660" spans="1:1" x14ac:dyDescent="0.2">
      <c r="A1660" s="101"/>
    </row>
    <row r="1661" spans="1:1" x14ac:dyDescent="0.2">
      <c r="A1661" s="101"/>
    </row>
    <row r="1662" spans="1:1" x14ac:dyDescent="0.2">
      <c r="A1662" s="101"/>
    </row>
    <row r="1663" spans="1:1" x14ac:dyDescent="0.2">
      <c r="A1663" s="101"/>
    </row>
    <row r="1664" spans="1:1" x14ac:dyDescent="0.2">
      <c r="A1664" s="101"/>
    </row>
    <row r="1665" spans="1:1" x14ac:dyDescent="0.2">
      <c r="A1665" s="101"/>
    </row>
    <row r="1666" spans="1:1" x14ac:dyDescent="0.2">
      <c r="A1666" s="101"/>
    </row>
    <row r="1667" spans="1:1" x14ac:dyDescent="0.2">
      <c r="A1667" s="101"/>
    </row>
    <row r="1668" spans="1:1" x14ac:dyDescent="0.2">
      <c r="A1668" s="101"/>
    </row>
    <row r="1669" spans="1:1" x14ac:dyDescent="0.2">
      <c r="A1669" s="101"/>
    </row>
    <row r="1670" spans="1:1" x14ac:dyDescent="0.2">
      <c r="A1670" s="101"/>
    </row>
    <row r="1671" spans="1:1" x14ac:dyDescent="0.2">
      <c r="A1671" s="101"/>
    </row>
    <row r="1672" spans="1:1" x14ac:dyDescent="0.2">
      <c r="A1672" s="101"/>
    </row>
    <row r="1673" spans="1:1" x14ac:dyDescent="0.2">
      <c r="A1673" s="101"/>
    </row>
    <row r="1674" spans="1:1" x14ac:dyDescent="0.2">
      <c r="A1674" s="101"/>
    </row>
    <row r="1675" spans="1:1" x14ac:dyDescent="0.2">
      <c r="A1675" s="101"/>
    </row>
    <row r="1676" spans="1:1" x14ac:dyDescent="0.2">
      <c r="A1676" s="101"/>
    </row>
    <row r="1677" spans="1:1" x14ac:dyDescent="0.2">
      <c r="A1677" s="101"/>
    </row>
    <row r="1678" spans="1:1" x14ac:dyDescent="0.2">
      <c r="A1678" s="101"/>
    </row>
    <row r="1679" spans="1:1" x14ac:dyDescent="0.2">
      <c r="A1679" s="101"/>
    </row>
    <row r="1680" spans="1:1" x14ac:dyDescent="0.2">
      <c r="A1680" s="101"/>
    </row>
    <row r="1681" spans="1:1" x14ac:dyDescent="0.2">
      <c r="A1681" s="101"/>
    </row>
    <row r="1682" spans="1:1" x14ac:dyDescent="0.2">
      <c r="A1682" s="101"/>
    </row>
    <row r="1683" spans="1:1" x14ac:dyDescent="0.2">
      <c r="A1683" s="101"/>
    </row>
    <row r="1684" spans="1:1" x14ac:dyDescent="0.2">
      <c r="A1684" s="101"/>
    </row>
    <row r="1685" spans="1:1" x14ac:dyDescent="0.2">
      <c r="A1685" s="101"/>
    </row>
    <row r="1686" spans="1:1" x14ac:dyDescent="0.2">
      <c r="A1686" s="101"/>
    </row>
    <row r="1687" spans="1:1" x14ac:dyDescent="0.2">
      <c r="A1687" s="101"/>
    </row>
    <row r="1688" spans="1:1" x14ac:dyDescent="0.2">
      <c r="A1688" s="101"/>
    </row>
    <row r="1689" spans="1:1" x14ac:dyDescent="0.2">
      <c r="A1689" s="101"/>
    </row>
    <row r="1690" spans="1:1" x14ac:dyDescent="0.2">
      <c r="A1690" s="101"/>
    </row>
    <row r="1691" spans="1:1" x14ac:dyDescent="0.2">
      <c r="A1691" s="101"/>
    </row>
    <row r="1692" spans="1:1" x14ac:dyDescent="0.2">
      <c r="A1692" s="101"/>
    </row>
    <row r="1693" spans="1:1" x14ac:dyDescent="0.2">
      <c r="A1693" s="101"/>
    </row>
    <row r="1694" spans="1:1" x14ac:dyDescent="0.2">
      <c r="A1694" s="101"/>
    </row>
    <row r="1695" spans="1:1" x14ac:dyDescent="0.2">
      <c r="A1695" s="101"/>
    </row>
    <row r="1696" spans="1:1" x14ac:dyDescent="0.2">
      <c r="A1696" s="101"/>
    </row>
    <row r="1697" spans="1:1" x14ac:dyDescent="0.2">
      <c r="A1697" s="101"/>
    </row>
    <row r="1698" spans="1:1" x14ac:dyDescent="0.2">
      <c r="A1698" s="101"/>
    </row>
    <row r="1699" spans="1:1" x14ac:dyDescent="0.2">
      <c r="A1699" s="101"/>
    </row>
    <row r="1700" spans="1:1" x14ac:dyDescent="0.2">
      <c r="A1700" s="101"/>
    </row>
    <row r="1701" spans="1:1" x14ac:dyDescent="0.2">
      <c r="A1701" s="101"/>
    </row>
    <row r="1702" spans="1:1" x14ac:dyDescent="0.2">
      <c r="A1702" s="101"/>
    </row>
    <row r="1703" spans="1:1" x14ac:dyDescent="0.2">
      <c r="A1703" s="101"/>
    </row>
    <row r="1704" spans="1:1" x14ac:dyDescent="0.2">
      <c r="A1704" s="101"/>
    </row>
    <row r="1705" spans="1:1" x14ac:dyDescent="0.2">
      <c r="A1705" s="101"/>
    </row>
    <row r="1706" spans="1:1" x14ac:dyDescent="0.2">
      <c r="A1706" s="101"/>
    </row>
    <row r="1707" spans="1:1" x14ac:dyDescent="0.2">
      <c r="A1707" s="101"/>
    </row>
    <row r="1708" spans="1:1" x14ac:dyDescent="0.2">
      <c r="A1708" s="101"/>
    </row>
    <row r="1709" spans="1:1" x14ac:dyDescent="0.2">
      <c r="A1709" s="101"/>
    </row>
    <row r="1710" spans="1:1" x14ac:dyDescent="0.2">
      <c r="A1710" s="101"/>
    </row>
    <row r="1711" spans="1:1" x14ac:dyDescent="0.2">
      <c r="A1711" s="101"/>
    </row>
    <row r="1712" spans="1:1" x14ac:dyDescent="0.2">
      <c r="A1712" s="101"/>
    </row>
    <row r="1713" spans="1:1" x14ac:dyDescent="0.2">
      <c r="A1713" s="101"/>
    </row>
    <row r="1714" spans="1:1" x14ac:dyDescent="0.2">
      <c r="A1714" s="101"/>
    </row>
    <row r="1715" spans="1:1" x14ac:dyDescent="0.2">
      <c r="A1715" s="101"/>
    </row>
    <row r="1716" spans="1:1" x14ac:dyDescent="0.2">
      <c r="A1716" s="101"/>
    </row>
    <row r="1717" spans="1:1" x14ac:dyDescent="0.2">
      <c r="A1717" s="101"/>
    </row>
    <row r="1718" spans="1:1" x14ac:dyDescent="0.2">
      <c r="A1718" s="101"/>
    </row>
    <row r="1719" spans="1:1" x14ac:dyDescent="0.2">
      <c r="A1719" s="101"/>
    </row>
    <row r="1720" spans="1:1" x14ac:dyDescent="0.2">
      <c r="A1720" s="101"/>
    </row>
    <row r="1721" spans="1:1" x14ac:dyDescent="0.2">
      <c r="A1721" s="101"/>
    </row>
    <row r="1722" spans="1:1" x14ac:dyDescent="0.2">
      <c r="A1722" s="101"/>
    </row>
    <row r="1723" spans="1:1" x14ac:dyDescent="0.2">
      <c r="A1723" s="101"/>
    </row>
    <row r="1724" spans="1:1" x14ac:dyDescent="0.2">
      <c r="A1724" s="101"/>
    </row>
    <row r="1725" spans="1:1" x14ac:dyDescent="0.2">
      <c r="A1725" s="101"/>
    </row>
    <row r="1726" spans="1:1" x14ac:dyDescent="0.2">
      <c r="A1726" s="101"/>
    </row>
    <row r="1727" spans="1:1" x14ac:dyDescent="0.2">
      <c r="A1727" s="101"/>
    </row>
    <row r="1728" spans="1:1" x14ac:dyDescent="0.2">
      <c r="A1728" s="101"/>
    </row>
    <row r="1729" spans="1:1" x14ac:dyDescent="0.2">
      <c r="A1729" s="101"/>
    </row>
    <row r="1730" spans="1:1" x14ac:dyDescent="0.2">
      <c r="A1730" s="101"/>
    </row>
    <row r="1731" spans="1:1" x14ac:dyDescent="0.2">
      <c r="A1731" s="101"/>
    </row>
    <row r="1732" spans="1:1" x14ac:dyDescent="0.2">
      <c r="A1732" s="101"/>
    </row>
    <row r="1733" spans="1:1" x14ac:dyDescent="0.2">
      <c r="A1733" s="101"/>
    </row>
    <row r="1734" spans="1:1" x14ac:dyDescent="0.2">
      <c r="A1734" s="101"/>
    </row>
    <row r="1735" spans="1:1" x14ac:dyDescent="0.2">
      <c r="A1735" s="101"/>
    </row>
    <row r="1736" spans="1:1" x14ac:dyDescent="0.2">
      <c r="A1736" s="101"/>
    </row>
    <row r="1737" spans="1:1" x14ac:dyDescent="0.2">
      <c r="A1737" s="101"/>
    </row>
    <row r="1738" spans="1:1" x14ac:dyDescent="0.2">
      <c r="A1738" s="101"/>
    </row>
    <row r="1739" spans="1:1" x14ac:dyDescent="0.2">
      <c r="A1739" s="101"/>
    </row>
    <row r="1740" spans="1:1" x14ac:dyDescent="0.2">
      <c r="A1740" s="101"/>
    </row>
    <row r="1741" spans="1:1" x14ac:dyDescent="0.2">
      <c r="A1741" s="101"/>
    </row>
    <row r="1742" spans="1:1" x14ac:dyDescent="0.2">
      <c r="A1742" s="101"/>
    </row>
    <row r="1743" spans="1:1" x14ac:dyDescent="0.2">
      <c r="A1743" s="101"/>
    </row>
    <row r="1744" spans="1:1" x14ac:dyDescent="0.2">
      <c r="A1744" s="101"/>
    </row>
    <row r="1745" spans="1:1" x14ac:dyDescent="0.2">
      <c r="A1745" s="101"/>
    </row>
    <row r="1746" spans="1:1" x14ac:dyDescent="0.2">
      <c r="A1746" s="101"/>
    </row>
    <row r="1747" spans="1:1" x14ac:dyDescent="0.2">
      <c r="A1747" s="101"/>
    </row>
    <row r="1748" spans="1:1" x14ac:dyDescent="0.2">
      <c r="A1748" s="101"/>
    </row>
    <row r="1749" spans="1:1" x14ac:dyDescent="0.2">
      <c r="A1749" s="101"/>
    </row>
    <row r="1750" spans="1:1" x14ac:dyDescent="0.2">
      <c r="A1750" s="101"/>
    </row>
    <row r="1751" spans="1:1" x14ac:dyDescent="0.2">
      <c r="A1751" s="101"/>
    </row>
    <row r="1752" spans="1:1" x14ac:dyDescent="0.2">
      <c r="A1752" s="101"/>
    </row>
    <row r="1753" spans="1:1" x14ac:dyDescent="0.2">
      <c r="A1753" s="101"/>
    </row>
    <row r="1754" spans="1:1" x14ac:dyDescent="0.2">
      <c r="A1754" s="101"/>
    </row>
    <row r="1755" spans="1:1" x14ac:dyDescent="0.2">
      <c r="A1755" s="101"/>
    </row>
    <row r="1756" spans="1:1" x14ac:dyDescent="0.2">
      <c r="A1756" s="101"/>
    </row>
    <row r="1757" spans="1:1" x14ac:dyDescent="0.2">
      <c r="A1757" s="101"/>
    </row>
    <row r="1758" spans="1:1" x14ac:dyDescent="0.2">
      <c r="A1758" s="101"/>
    </row>
    <row r="1759" spans="1:1" x14ac:dyDescent="0.2">
      <c r="A1759" s="101"/>
    </row>
    <row r="1760" spans="1:1" x14ac:dyDescent="0.2">
      <c r="A1760" s="101"/>
    </row>
    <row r="1761" spans="1:1" x14ac:dyDescent="0.2">
      <c r="A1761" s="101"/>
    </row>
    <row r="1762" spans="1:1" x14ac:dyDescent="0.2">
      <c r="A1762" s="101"/>
    </row>
    <row r="1763" spans="1:1" x14ac:dyDescent="0.2">
      <c r="A1763" s="101"/>
    </row>
    <row r="1764" spans="1:1" x14ac:dyDescent="0.2">
      <c r="A1764" s="101"/>
    </row>
    <row r="1765" spans="1:1" x14ac:dyDescent="0.2">
      <c r="A1765" s="101"/>
    </row>
    <row r="1766" spans="1:1" x14ac:dyDescent="0.2">
      <c r="A1766" s="101"/>
    </row>
    <row r="1767" spans="1:1" x14ac:dyDescent="0.2">
      <c r="A1767" s="101"/>
    </row>
    <row r="1768" spans="1:1" x14ac:dyDescent="0.2">
      <c r="A1768" s="101"/>
    </row>
    <row r="1769" spans="1:1" x14ac:dyDescent="0.2">
      <c r="A1769" s="101"/>
    </row>
    <row r="1770" spans="1:1" x14ac:dyDescent="0.2">
      <c r="A1770" s="101"/>
    </row>
    <row r="1771" spans="1:1" x14ac:dyDescent="0.2">
      <c r="A1771" s="101"/>
    </row>
    <row r="1772" spans="1:1" x14ac:dyDescent="0.2">
      <c r="A1772" s="101"/>
    </row>
    <row r="1773" spans="1:1" x14ac:dyDescent="0.2">
      <c r="A1773" s="101"/>
    </row>
    <row r="1774" spans="1:1" x14ac:dyDescent="0.2">
      <c r="A1774" s="101"/>
    </row>
    <row r="1775" spans="1:1" x14ac:dyDescent="0.2">
      <c r="A1775" s="101"/>
    </row>
    <row r="1776" spans="1:1" x14ac:dyDescent="0.2">
      <c r="A1776" s="101"/>
    </row>
    <row r="1777" spans="1:1" x14ac:dyDescent="0.2">
      <c r="A1777" s="101"/>
    </row>
    <row r="1778" spans="1:1" x14ac:dyDescent="0.2">
      <c r="A1778" s="101"/>
    </row>
    <row r="1779" spans="1:1" x14ac:dyDescent="0.2">
      <c r="A1779" s="101"/>
    </row>
    <row r="1780" spans="1:1" x14ac:dyDescent="0.2">
      <c r="A1780" s="101"/>
    </row>
    <row r="1781" spans="1:1" x14ac:dyDescent="0.2">
      <c r="A1781" s="101"/>
    </row>
    <row r="1782" spans="1:1" x14ac:dyDescent="0.2">
      <c r="A1782" s="101"/>
    </row>
    <row r="1783" spans="1:1" x14ac:dyDescent="0.2">
      <c r="A1783" s="101"/>
    </row>
    <row r="1784" spans="1:1" x14ac:dyDescent="0.2">
      <c r="A1784" s="101"/>
    </row>
    <row r="1785" spans="1:1" x14ac:dyDescent="0.2">
      <c r="A1785" s="101"/>
    </row>
    <row r="1786" spans="1:1" x14ac:dyDescent="0.2">
      <c r="A1786" s="101"/>
    </row>
    <row r="1787" spans="1:1" x14ac:dyDescent="0.2">
      <c r="A1787" s="101"/>
    </row>
    <row r="1788" spans="1:1" x14ac:dyDescent="0.2">
      <c r="A1788" s="101"/>
    </row>
    <row r="1789" spans="1:1" x14ac:dyDescent="0.2">
      <c r="A1789" s="101"/>
    </row>
    <row r="1790" spans="1:1" x14ac:dyDescent="0.2">
      <c r="A1790" s="101"/>
    </row>
    <row r="1791" spans="1:1" x14ac:dyDescent="0.2">
      <c r="A1791" s="101"/>
    </row>
    <row r="1792" spans="1:1" x14ac:dyDescent="0.2">
      <c r="A1792" s="101"/>
    </row>
    <row r="1793" spans="1:1" x14ac:dyDescent="0.2">
      <c r="A1793" s="101"/>
    </row>
    <row r="1794" spans="1:1" x14ac:dyDescent="0.2">
      <c r="A1794" s="101"/>
    </row>
    <row r="1795" spans="1:1" x14ac:dyDescent="0.2">
      <c r="A1795" s="101"/>
    </row>
    <row r="1796" spans="1:1" x14ac:dyDescent="0.2">
      <c r="A1796" s="101"/>
    </row>
    <row r="1797" spans="1:1" x14ac:dyDescent="0.2">
      <c r="A1797" s="101"/>
    </row>
    <row r="1798" spans="1:1" x14ac:dyDescent="0.2">
      <c r="A1798" s="101"/>
    </row>
    <row r="1799" spans="1:1" x14ac:dyDescent="0.2">
      <c r="A1799" s="101"/>
    </row>
    <row r="1800" spans="1:1" x14ac:dyDescent="0.2">
      <c r="A1800" s="101"/>
    </row>
    <row r="1801" spans="1:1" x14ac:dyDescent="0.2">
      <c r="A1801" s="101"/>
    </row>
    <row r="1802" spans="1:1" x14ac:dyDescent="0.2">
      <c r="A1802" s="101"/>
    </row>
    <row r="1803" spans="1:1" x14ac:dyDescent="0.2">
      <c r="A1803" s="101"/>
    </row>
    <row r="1804" spans="1:1" x14ac:dyDescent="0.2">
      <c r="A1804" s="101"/>
    </row>
    <row r="1805" spans="1:1" x14ac:dyDescent="0.2">
      <c r="A1805" s="101"/>
    </row>
    <row r="1806" spans="1:1" x14ac:dyDescent="0.2">
      <c r="A1806" s="101"/>
    </row>
    <row r="1807" spans="1:1" x14ac:dyDescent="0.2">
      <c r="A1807" s="101"/>
    </row>
    <row r="1808" spans="1:1" x14ac:dyDescent="0.2">
      <c r="A1808" s="101"/>
    </row>
    <row r="1809" spans="1:1" x14ac:dyDescent="0.2">
      <c r="A1809" s="101"/>
    </row>
    <row r="1810" spans="1:1" x14ac:dyDescent="0.2">
      <c r="A1810" s="101"/>
    </row>
    <row r="1811" spans="1:1" x14ac:dyDescent="0.2">
      <c r="A1811" s="101"/>
    </row>
    <row r="1812" spans="1:1" x14ac:dyDescent="0.2">
      <c r="A1812" s="101"/>
    </row>
    <row r="1813" spans="1:1" x14ac:dyDescent="0.2">
      <c r="A1813" s="101"/>
    </row>
    <row r="1814" spans="1:1" x14ac:dyDescent="0.2">
      <c r="A1814" s="101"/>
    </row>
    <row r="1815" spans="1:1" x14ac:dyDescent="0.2">
      <c r="A1815" s="101"/>
    </row>
    <row r="1816" spans="1:1" x14ac:dyDescent="0.2">
      <c r="A1816" s="101"/>
    </row>
    <row r="1817" spans="1:1" x14ac:dyDescent="0.2">
      <c r="A1817" s="101"/>
    </row>
    <row r="1818" spans="1:1" x14ac:dyDescent="0.2">
      <c r="A1818" s="101"/>
    </row>
    <row r="1819" spans="1:1" x14ac:dyDescent="0.2">
      <c r="A1819" s="101"/>
    </row>
    <row r="1820" spans="1:1" x14ac:dyDescent="0.2">
      <c r="A1820" s="101"/>
    </row>
    <row r="1821" spans="1:1" x14ac:dyDescent="0.2">
      <c r="A1821" s="101"/>
    </row>
    <row r="1822" spans="1:1" x14ac:dyDescent="0.2">
      <c r="A1822" s="101"/>
    </row>
    <row r="1823" spans="1:1" x14ac:dyDescent="0.2">
      <c r="A1823" s="101"/>
    </row>
    <row r="1824" spans="1:1" x14ac:dyDescent="0.2">
      <c r="A1824" s="101"/>
    </row>
    <row r="1825" spans="1:1" x14ac:dyDescent="0.2">
      <c r="A1825" s="101"/>
    </row>
    <row r="1826" spans="1:1" x14ac:dyDescent="0.2">
      <c r="A1826" s="101"/>
    </row>
    <row r="1827" spans="1:1" x14ac:dyDescent="0.2">
      <c r="A1827" s="101"/>
    </row>
    <row r="1828" spans="1:1" x14ac:dyDescent="0.2">
      <c r="A1828" s="101"/>
    </row>
    <row r="1829" spans="1:1" x14ac:dyDescent="0.2">
      <c r="A1829" s="101"/>
    </row>
    <row r="1830" spans="1:1" x14ac:dyDescent="0.2">
      <c r="A1830" s="101"/>
    </row>
    <row r="1831" spans="1:1" x14ac:dyDescent="0.2">
      <c r="A1831" s="101"/>
    </row>
    <row r="1832" spans="1:1" x14ac:dyDescent="0.2">
      <c r="A1832" s="101"/>
    </row>
    <row r="1833" spans="1:1" x14ac:dyDescent="0.2">
      <c r="A1833" s="101"/>
    </row>
    <row r="1834" spans="1:1" x14ac:dyDescent="0.2">
      <c r="A1834" s="101"/>
    </row>
    <row r="1835" spans="1:1" x14ac:dyDescent="0.2">
      <c r="A1835" s="101"/>
    </row>
    <row r="1836" spans="1:1" x14ac:dyDescent="0.2">
      <c r="A1836" s="101"/>
    </row>
    <row r="1837" spans="1:1" x14ac:dyDescent="0.2">
      <c r="A1837" s="101"/>
    </row>
    <row r="1838" spans="1:1" x14ac:dyDescent="0.2">
      <c r="A1838" s="101"/>
    </row>
    <row r="1839" spans="1:1" x14ac:dyDescent="0.2">
      <c r="A1839" s="101"/>
    </row>
    <row r="1840" spans="1:1" x14ac:dyDescent="0.2">
      <c r="A1840" s="101"/>
    </row>
    <row r="1841" spans="1:1" x14ac:dyDescent="0.2">
      <c r="A1841" s="101"/>
    </row>
    <row r="1842" spans="1:1" x14ac:dyDescent="0.2">
      <c r="A1842" s="101"/>
    </row>
    <row r="1843" spans="1:1" x14ac:dyDescent="0.2">
      <c r="A1843" s="101"/>
    </row>
    <row r="1844" spans="1:1" x14ac:dyDescent="0.2">
      <c r="A1844" s="101"/>
    </row>
    <row r="1845" spans="1:1" x14ac:dyDescent="0.2">
      <c r="A1845" s="101"/>
    </row>
    <row r="1846" spans="1:1" x14ac:dyDescent="0.2">
      <c r="A1846" s="101"/>
    </row>
    <row r="1847" spans="1:1" x14ac:dyDescent="0.2">
      <c r="A1847" s="101"/>
    </row>
    <row r="1848" spans="1:1" x14ac:dyDescent="0.2">
      <c r="A1848" s="101"/>
    </row>
    <row r="1849" spans="1:1" x14ac:dyDescent="0.2">
      <c r="A1849" s="101"/>
    </row>
    <row r="1850" spans="1:1" x14ac:dyDescent="0.2">
      <c r="A1850" s="101"/>
    </row>
    <row r="1851" spans="1:1" x14ac:dyDescent="0.2">
      <c r="A1851" s="101"/>
    </row>
    <row r="1852" spans="1:1" x14ac:dyDescent="0.2">
      <c r="A1852" s="101"/>
    </row>
    <row r="1853" spans="1:1" x14ac:dyDescent="0.2">
      <c r="A1853" s="101"/>
    </row>
    <row r="1854" spans="1:1" x14ac:dyDescent="0.2">
      <c r="A1854" s="101"/>
    </row>
    <row r="1855" spans="1:1" x14ac:dyDescent="0.2">
      <c r="A1855" s="101"/>
    </row>
    <row r="1856" spans="1:1" x14ac:dyDescent="0.2">
      <c r="A1856" s="101"/>
    </row>
    <row r="1857" spans="1:1" x14ac:dyDescent="0.2">
      <c r="A1857" s="101"/>
    </row>
    <row r="1858" spans="1:1" x14ac:dyDescent="0.2">
      <c r="A1858" s="101"/>
    </row>
    <row r="1859" spans="1:1" x14ac:dyDescent="0.2">
      <c r="A1859" s="101"/>
    </row>
    <row r="1860" spans="1:1" x14ac:dyDescent="0.2">
      <c r="A1860" s="101"/>
    </row>
    <row r="1861" spans="1:1" x14ac:dyDescent="0.2">
      <c r="A1861" s="101"/>
    </row>
    <row r="1862" spans="1:1" x14ac:dyDescent="0.2">
      <c r="A1862" s="101"/>
    </row>
    <row r="1863" spans="1:1" x14ac:dyDescent="0.2">
      <c r="A1863" s="101"/>
    </row>
    <row r="1864" spans="1:1" x14ac:dyDescent="0.2">
      <c r="A1864" s="101"/>
    </row>
    <row r="1865" spans="1:1" x14ac:dyDescent="0.2">
      <c r="A1865" s="101"/>
    </row>
    <row r="1866" spans="1:1" x14ac:dyDescent="0.2">
      <c r="A1866" s="101"/>
    </row>
    <row r="1867" spans="1:1" x14ac:dyDescent="0.2">
      <c r="A1867" s="101"/>
    </row>
    <row r="1868" spans="1:1" x14ac:dyDescent="0.2">
      <c r="A1868" s="101"/>
    </row>
    <row r="1869" spans="1:1" x14ac:dyDescent="0.2">
      <c r="A1869" s="101"/>
    </row>
    <row r="1870" spans="1:1" x14ac:dyDescent="0.2">
      <c r="A1870" s="101"/>
    </row>
    <row r="1871" spans="1:1" x14ac:dyDescent="0.2">
      <c r="A1871" s="101"/>
    </row>
    <row r="1872" spans="1:1" x14ac:dyDescent="0.2">
      <c r="A1872" s="101"/>
    </row>
    <row r="1873" spans="1:1" x14ac:dyDescent="0.2">
      <c r="A1873" s="101"/>
    </row>
    <row r="1874" spans="1:1" x14ac:dyDescent="0.2">
      <c r="A1874" s="101"/>
    </row>
    <row r="1875" spans="1:1" x14ac:dyDescent="0.2">
      <c r="A1875" s="101"/>
    </row>
    <row r="1876" spans="1:1" x14ac:dyDescent="0.2">
      <c r="A1876" s="101"/>
    </row>
    <row r="1877" spans="1:1" x14ac:dyDescent="0.2">
      <c r="A1877" s="101"/>
    </row>
    <row r="1878" spans="1:1" x14ac:dyDescent="0.2">
      <c r="A1878" s="101"/>
    </row>
    <row r="1879" spans="1:1" x14ac:dyDescent="0.2">
      <c r="A1879" s="101"/>
    </row>
    <row r="1880" spans="1:1" x14ac:dyDescent="0.2">
      <c r="A1880" s="101"/>
    </row>
    <row r="1881" spans="1:1" x14ac:dyDescent="0.2">
      <c r="A1881" s="101"/>
    </row>
    <row r="1882" spans="1:1" x14ac:dyDescent="0.2">
      <c r="A1882" s="101"/>
    </row>
    <row r="1883" spans="1:1" x14ac:dyDescent="0.2">
      <c r="A1883" s="101"/>
    </row>
    <row r="1884" spans="1:1" x14ac:dyDescent="0.2">
      <c r="A1884" s="101"/>
    </row>
    <row r="1885" spans="1:1" x14ac:dyDescent="0.2">
      <c r="A1885" s="101"/>
    </row>
    <row r="1886" spans="1:1" x14ac:dyDescent="0.2">
      <c r="A1886" s="101"/>
    </row>
    <row r="1887" spans="1:1" x14ac:dyDescent="0.2">
      <c r="A1887" s="101"/>
    </row>
    <row r="1888" spans="1:1" x14ac:dyDescent="0.2">
      <c r="A1888" s="101"/>
    </row>
    <row r="1889" spans="1:1" x14ac:dyDescent="0.2">
      <c r="A1889" s="101"/>
    </row>
    <row r="1890" spans="1:1" x14ac:dyDescent="0.2">
      <c r="A1890" s="101"/>
    </row>
    <row r="1891" spans="1:1" x14ac:dyDescent="0.2">
      <c r="A1891" s="101"/>
    </row>
    <row r="1892" spans="1:1" x14ac:dyDescent="0.2">
      <c r="A1892" s="101"/>
    </row>
    <row r="1893" spans="1:1" x14ac:dyDescent="0.2">
      <c r="A1893" s="101"/>
    </row>
    <row r="1894" spans="1:1" x14ac:dyDescent="0.2">
      <c r="A1894" s="101"/>
    </row>
    <row r="1895" spans="1:1" x14ac:dyDescent="0.2">
      <c r="A1895" s="101"/>
    </row>
    <row r="1896" spans="1:1" x14ac:dyDescent="0.2">
      <c r="A1896" s="101"/>
    </row>
    <row r="1897" spans="1:1" x14ac:dyDescent="0.2">
      <c r="A1897" s="101"/>
    </row>
    <row r="1898" spans="1:1" x14ac:dyDescent="0.2">
      <c r="A1898" s="101"/>
    </row>
    <row r="1899" spans="1:1" x14ac:dyDescent="0.2">
      <c r="A1899" s="101"/>
    </row>
    <row r="1900" spans="1:1" x14ac:dyDescent="0.2">
      <c r="A1900" s="101"/>
    </row>
    <row r="1901" spans="1:1" x14ac:dyDescent="0.2">
      <c r="A1901" s="101"/>
    </row>
    <row r="1902" spans="1:1" x14ac:dyDescent="0.2">
      <c r="A1902" s="101"/>
    </row>
    <row r="1903" spans="1:1" x14ac:dyDescent="0.2">
      <c r="A1903" s="101"/>
    </row>
    <row r="1904" spans="1:1" x14ac:dyDescent="0.2">
      <c r="A1904" s="101"/>
    </row>
    <row r="1905" spans="1:1" x14ac:dyDescent="0.2">
      <c r="A1905" s="101"/>
    </row>
    <row r="1906" spans="1:1" x14ac:dyDescent="0.2">
      <c r="A1906" s="101"/>
    </row>
    <row r="1907" spans="1:1" x14ac:dyDescent="0.2">
      <c r="A1907" s="101"/>
    </row>
    <row r="1908" spans="1:1" x14ac:dyDescent="0.2">
      <c r="A1908" s="101"/>
    </row>
    <row r="1909" spans="1:1" x14ac:dyDescent="0.2">
      <c r="A1909" s="101"/>
    </row>
    <row r="1910" spans="1:1" x14ac:dyDescent="0.2">
      <c r="A1910" s="101"/>
    </row>
    <row r="1911" spans="1:1" x14ac:dyDescent="0.2">
      <c r="A1911" s="101"/>
    </row>
    <row r="1912" spans="1:1" x14ac:dyDescent="0.2">
      <c r="A1912" s="101"/>
    </row>
    <row r="1913" spans="1:1" x14ac:dyDescent="0.2">
      <c r="A1913" s="101"/>
    </row>
    <row r="1914" spans="1:1" x14ac:dyDescent="0.2">
      <c r="A1914" s="101"/>
    </row>
    <row r="1915" spans="1:1" x14ac:dyDescent="0.2">
      <c r="A1915" s="101"/>
    </row>
    <row r="1916" spans="1:1" x14ac:dyDescent="0.2">
      <c r="A1916" s="101"/>
    </row>
    <row r="1917" spans="1:1" x14ac:dyDescent="0.2">
      <c r="A1917" s="101"/>
    </row>
    <row r="1918" spans="1:1" x14ac:dyDescent="0.2">
      <c r="A1918" s="101"/>
    </row>
    <row r="1919" spans="1:1" x14ac:dyDescent="0.2">
      <c r="A1919" s="101"/>
    </row>
    <row r="1920" spans="1:1" x14ac:dyDescent="0.2">
      <c r="A1920" s="101"/>
    </row>
    <row r="1921" spans="1:1" x14ac:dyDescent="0.2">
      <c r="A1921" s="101"/>
    </row>
    <row r="1922" spans="1:1" x14ac:dyDescent="0.2">
      <c r="A1922" s="101"/>
    </row>
    <row r="1923" spans="1:1" x14ac:dyDescent="0.2">
      <c r="A1923" s="101"/>
    </row>
    <row r="1924" spans="1:1" x14ac:dyDescent="0.2">
      <c r="A1924" s="101"/>
    </row>
    <row r="1925" spans="1:1" x14ac:dyDescent="0.2">
      <c r="A1925" s="101"/>
    </row>
    <row r="1926" spans="1:1" x14ac:dyDescent="0.2">
      <c r="A1926" s="101"/>
    </row>
    <row r="1927" spans="1:1" x14ac:dyDescent="0.2">
      <c r="A1927" s="101"/>
    </row>
    <row r="1928" spans="1:1" x14ac:dyDescent="0.2">
      <c r="A1928" s="101"/>
    </row>
    <row r="1929" spans="1:1" x14ac:dyDescent="0.2">
      <c r="A1929" s="101"/>
    </row>
    <row r="1930" spans="1:1" x14ac:dyDescent="0.2">
      <c r="A1930" s="101"/>
    </row>
    <row r="1931" spans="1:1" x14ac:dyDescent="0.2">
      <c r="A1931" s="101"/>
    </row>
    <row r="1932" spans="1:1" x14ac:dyDescent="0.2">
      <c r="A1932" s="101"/>
    </row>
    <row r="1933" spans="1:1" x14ac:dyDescent="0.2">
      <c r="A1933" s="101"/>
    </row>
    <row r="1934" spans="1:1" x14ac:dyDescent="0.2">
      <c r="A1934" s="101"/>
    </row>
    <row r="1935" spans="1:1" x14ac:dyDescent="0.2">
      <c r="A1935" s="101"/>
    </row>
    <row r="1936" spans="1:1" x14ac:dyDescent="0.2">
      <c r="A1936" s="101"/>
    </row>
    <row r="1937" spans="1:1" x14ac:dyDescent="0.2">
      <c r="A1937" s="101"/>
    </row>
    <row r="1938" spans="1:1" x14ac:dyDescent="0.2">
      <c r="A1938" s="101"/>
    </row>
    <row r="1939" spans="1:1" x14ac:dyDescent="0.2">
      <c r="A1939" s="101"/>
    </row>
    <row r="1940" spans="1:1" x14ac:dyDescent="0.2">
      <c r="A1940" s="101"/>
    </row>
    <row r="1941" spans="1:1" x14ac:dyDescent="0.2">
      <c r="A1941" s="101"/>
    </row>
    <row r="1942" spans="1:1" x14ac:dyDescent="0.2">
      <c r="A1942" s="101"/>
    </row>
    <row r="1943" spans="1:1" x14ac:dyDescent="0.2">
      <c r="A1943" s="101"/>
    </row>
    <row r="1944" spans="1:1" x14ac:dyDescent="0.2">
      <c r="A1944" s="101"/>
    </row>
    <row r="1945" spans="1:1" x14ac:dyDescent="0.2">
      <c r="A1945" s="101"/>
    </row>
    <row r="1946" spans="1:1" x14ac:dyDescent="0.2">
      <c r="A1946" s="101"/>
    </row>
    <row r="1947" spans="1:1" x14ac:dyDescent="0.2">
      <c r="A1947" s="101"/>
    </row>
    <row r="1948" spans="1:1" x14ac:dyDescent="0.2">
      <c r="A1948" s="101"/>
    </row>
    <row r="1949" spans="1:1" x14ac:dyDescent="0.2">
      <c r="A1949" s="101"/>
    </row>
    <row r="1950" spans="1:1" x14ac:dyDescent="0.2">
      <c r="A1950" s="101"/>
    </row>
    <row r="1951" spans="1:1" x14ac:dyDescent="0.2">
      <c r="A1951" s="101"/>
    </row>
    <row r="1952" spans="1:1" x14ac:dyDescent="0.2">
      <c r="A1952" s="101"/>
    </row>
    <row r="1953" spans="1:1" x14ac:dyDescent="0.2">
      <c r="A1953" s="101"/>
    </row>
    <row r="1954" spans="1:1" x14ac:dyDescent="0.2">
      <c r="A1954" s="101"/>
    </row>
    <row r="1955" spans="1:1" x14ac:dyDescent="0.2">
      <c r="A1955" s="101"/>
    </row>
    <row r="1956" spans="1:1" x14ac:dyDescent="0.2">
      <c r="A1956" s="101"/>
    </row>
    <row r="1957" spans="1:1" x14ac:dyDescent="0.2">
      <c r="A1957" s="101"/>
    </row>
    <row r="1958" spans="1:1" x14ac:dyDescent="0.2">
      <c r="A1958" s="101"/>
    </row>
    <row r="1959" spans="1:1" x14ac:dyDescent="0.2">
      <c r="A1959" s="101"/>
    </row>
    <row r="1960" spans="1:1" x14ac:dyDescent="0.2">
      <c r="A1960" s="101"/>
    </row>
    <row r="1961" spans="1:1" x14ac:dyDescent="0.2">
      <c r="A1961" s="101"/>
    </row>
    <row r="1962" spans="1:1" x14ac:dyDescent="0.2">
      <c r="A1962" s="101"/>
    </row>
    <row r="1963" spans="1:1" x14ac:dyDescent="0.2">
      <c r="A1963" s="101"/>
    </row>
    <row r="1964" spans="1:1" x14ac:dyDescent="0.2">
      <c r="A1964" s="101"/>
    </row>
    <row r="1965" spans="1:1" x14ac:dyDescent="0.2">
      <c r="A1965" s="101"/>
    </row>
    <row r="1966" spans="1:1" x14ac:dyDescent="0.2">
      <c r="A1966" s="101"/>
    </row>
    <row r="1967" spans="1:1" x14ac:dyDescent="0.2">
      <c r="A1967" s="101"/>
    </row>
    <row r="1968" spans="1:1" x14ac:dyDescent="0.2">
      <c r="A1968" s="101"/>
    </row>
    <row r="1969" spans="1:1" x14ac:dyDescent="0.2">
      <c r="A1969" s="101"/>
    </row>
    <row r="1970" spans="1:1" x14ac:dyDescent="0.2">
      <c r="A1970" s="101"/>
    </row>
    <row r="1971" spans="1:1" x14ac:dyDescent="0.2">
      <c r="A1971" s="101"/>
    </row>
    <row r="1972" spans="1:1" x14ac:dyDescent="0.2">
      <c r="A1972" s="101"/>
    </row>
    <row r="1973" spans="1:1" x14ac:dyDescent="0.2">
      <c r="A1973" s="101"/>
    </row>
    <row r="1974" spans="1:1" x14ac:dyDescent="0.2">
      <c r="A1974" s="101"/>
    </row>
    <row r="1975" spans="1:1" x14ac:dyDescent="0.2">
      <c r="A1975" s="101"/>
    </row>
    <row r="1976" spans="1:1" x14ac:dyDescent="0.2">
      <c r="A1976" s="101"/>
    </row>
    <row r="1977" spans="1:1" x14ac:dyDescent="0.2">
      <c r="A1977" s="101"/>
    </row>
    <row r="1978" spans="1:1" x14ac:dyDescent="0.2">
      <c r="A1978" s="101"/>
    </row>
    <row r="1979" spans="1:1" x14ac:dyDescent="0.2">
      <c r="A1979" s="101"/>
    </row>
    <row r="1980" spans="1:1" x14ac:dyDescent="0.2">
      <c r="A1980" s="101"/>
    </row>
    <row r="1981" spans="1:1" x14ac:dyDescent="0.2">
      <c r="A1981" s="101"/>
    </row>
    <row r="1982" spans="1:1" x14ac:dyDescent="0.2">
      <c r="A1982" s="101"/>
    </row>
    <row r="1983" spans="1:1" x14ac:dyDescent="0.2">
      <c r="A1983" s="101"/>
    </row>
    <row r="1984" spans="1:1" x14ac:dyDescent="0.2">
      <c r="A1984" s="101"/>
    </row>
    <row r="1985" spans="1:1" x14ac:dyDescent="0.2">
      <c r="A1985" s="101"/>
    </row>
    <row r="1986" spans="1:1" x14ac:dyDescent="0.2">
      <c r="A1986" s="101"/>
    </row>
    <row r="1987" spans="1:1" x14ac:dyDescent="0.2">
      <c r="A1987" s="101"/>
    </row>
    <row r="1988" spans="1:1" x14ac:dyDescent="0.2">
      <c r="A1988" s="101"/>
    </row>
    <row r="1989" spans="1:1" x14ac:dyDescent="0.2">
      <c r="A1989" s="101"/>
    </row>
    <row r="1990" spans="1:1" x14ac:dyDescent="0.2">
      <c r="A1990" s="101"/>
    </row>
    <row r="1991" spans="1:1" x14ac:dyDescent="0.2">
      <c r="A1991" s="101"/>
    </row>
    <row r="1992" spans="1:1" x14ac:dyDescent="0.2">
      <c r="A1992" s="101"/>
    </row>
    <row r="1993" spans="1:1" x14ac:dyDescent="0.2">
      <c r="A1993" s="101"/>
    </row>
    <row r="1994" spans="1:1" x14ac:dyDescent="0.2">
      <c r="A1994" s="101"/>
    </row>
    <row r="1995" spans="1:1" x14ac:dyDescent="0.2">
      <c r="A1995" s="101"/>
    </row>
    <row r="1996" spans="1:1" x14ac:dyDescent="0.2">
      <c r="A1996" s="101"/>
    </row>
    <row r="1997" spans="1:1" x14ac:dyDescent="0.2">
      <c r="A1997" s="101"/>
    </row>
    <row r="1998" spans="1:1" x14ac:dyDescent="0.2">
      <c r="A1998" s="101"/>
    </row>
    <row r="1999" spans="1:1" x14ac:dyDescent="0.2">
      <c r="A1999" s="101"/>
    </row>
    <row r="2000" spans="1:1" x14ac:dyDescent="0.2">
      <c r="A2000" s="101"/>
    </row>
    <row r="2001" spans="1:1" x14ac:dyDescent="0.2">
      <c r="A2001" s="101"/>
    </row>
    <row r="2002" spans="1:1" x14ac:dyDescent="0.2">
      <c r="A2002" s="101"/>
    </row>
    <row r="2003" spans="1:1" x14ac:dyDescent="0.2">
      <c r="A2003" s="101"/>
    </row>
    <row r="2004" spans="1:1" x14ac:dyDescent="0.2">
      <c r="A2004" s="101"/>
    </row>
    <row r="2005" spans="1:1" x14ac:dyDescent="0.2">
      <c r="A2005" s="101"/>
    </row>
    <row r="2006" spans="1:1" x14ac:dyDescent="0.2">
      <c r="A2006" s="101"/>
    </row>
    <row r="2007" spans="1:1" x14ac:dyDescent="0.2">
      <c r="A2007" s="101"/>
    </row>
    <row r="2008" spans="1:1" x14ac:dyDescent="0.2">
      <c r="A2008" s="101"/>
    </row>
    <row r="2009" spans="1:1" x14ac:dyDescent="0.2">
      <c r="A2009" s="101"/>
    </row>
    <row r="2010" spans="1:1" x14ac:dyDescent="0.2">
      <c r="A2010" s="101"/>
    </row>
    <row r="2011" spans="1:1" x14ac:dyDescent="0.2">
      <c r="A2011" s="101"/>
    </row>
    <row r="2012" spans="1:1" x14ac:dyDescent="0.2">
      <c r="A2012" s="101"/>
    </row>
    <row r="2013" spans="1:1" x14ac:dyDescent="0.2">
      <c r="A2013" s="101"/>
    </row>
    <row r="2014" spans="1:1" x14ac:dyDescent="0.2">
      <c r="A2014" s="101"/>
    </row>
    <row r="2015" spans="1:1" x14ac:dyDescent="0.2">
      <c r="A2015" s="101"/>
    </row>
    <row r="2016" spans="1:1" x14ac:dyDescent="0.2">
      <c r="A2016" s="101"/>
    </row>
    <row r="2017" spans="1:1" x14ac:dyDescent="0.2">
      <c r="A2017" s="101"/>
    </row>
    <row r="2018" spans="1:1" x14ac:dyDescent="0.2">
      <c r="A2018" s="101"/>
    </row>
    <row r="2019" spans="1:1" x14ac:dyDescent="0.2">
      <c r="A2019" s="101"/>
    </row>
    <row r="2020" spans="1:1" x14ac:dyDescent="0.2">
      <c r="A2020" s="101"/>
    </row>
    <row r="2021" spans="1:1" x14ac:dyDescent="0.2">
      <c r="A2021" s="101"/>
    </row>
    <row r="2022" spans="1:1" x14ac:dyDescent="0.2">
      <c r="A2022" s="101"/>
    </row>
    <row r="2023" spans="1:1" x14ac:dyDescent="0.2">
      <c r="A2023" s="101"/>
    </row>
    <row r="2024" spans="1:1" x14ac:dyDescent="0.2">
      <c r="A2024" s="101"/>
    </row>
    <row r="2025" spans="1:1" x14ac:dyDescent="0.2">
      <c r="A2025" s="101"/>
    </row>
    <row r="2026" spans="1:1" x14ac:dyDescent="0.2">
      <c r="A2026" s="101"/>
    </row>
    <row r="2027" spans="1:1" x14ac:dyDescent="0.2">
      <c r="A2027" s="101"/>
    </row>
    <row r="2028" spans="1:1" x14ac:dyDescent="0.2">
      <c r="A2028" s="101"/>
    </row>
    <row r="2029" spans="1:1" x14ac:dyDescent="0.2">
      <c r="A2029" s="101"/>
    </row>
    <row r="2030" spans="1:1" x14ac:dyDescent="0.2">
      <c r="A2030" s="101"/>
    </row>
    <row r="2031" spans="1:1" x14ac:dyDescent="0.2">
      <c r="A2031" s="101"/>
    </row>
    <row r="2032" spans="1:1" x14ac:dyDescent="0.2">
      <c r="A2032" s="101"/>
    </row>
    <row r="2033" spans="1:1" x14ac:dyDescent="0.2">
      <c r="A2033" s="101"/>
    </row>
    <row r="2034" spans="1:1" x14ac:dyDescent="0.2">
      <c r="A2034" s="101"/>
    </row>
    <row r="2035" spans="1:1" x14ac:dyDescent="0.2">
      <c r="A2035" s="101"/>
    </row>
    <row r="2036" spans="1:1" x14ac:dyDescent="0.2">
      <c r="A2036" s="101"/>
    </row>
    <row r="2037" spans="1:1" x14ac:dyDescent="0.2">
      <c r="A2037" s="101"/>
    </row>
    <row r="2038" spans="1:1" x14ac:dyDescent="0.2">
      <c r="A2038" s="101"/>
    </row>
    <row r="2039" spans="1:1" x14ac:dyDescent="0.2">
      <c r="A2039" s="101"/>
    </row>
    <row r="2040" spans="1:1" x14ac:dyDescent="0.2">
      <c r="A2040" s="101"/>
    </row>
    <row r="2041" spans="1:1" x14ac:dyDescent="0.2">
      <c r="A2041" s="101"/>
    </row>
    <row r="2042" spans="1:1" x14ac:dyDescent="0.2">
      <c r="A2042" s="101"/>
    </row>
    <row r="2043" spans="1:1" x14ac:dyDescent="0.2">
      <c r="A2043" s="101"/>
    </row>
    <row r="2044" spans="1:1" x14ac:dyDescent="0.2">
      <c r="A2044" s="101"/>
    </row>
    <row r="2045" spans="1:1" x14ac:dyDescent="0.2">
      <c r="A2045" s="101"/>
    </row>
    <row r="2046" spans="1:1" x14ac:dyDescent="0.2">
      <c r="A2046" s="101"/>
    </row>
    <row r="2047" spans="1:1" x14ac:dyDescent="0.2">
      <c r="A2047" s="101"/>
    </row>
    <row r="2048" spans="1:1" x14ac:dyDescent="0.2">
      <c r="A2048" s="101"/>
    </row>
    <row r="2049" spans="1:1" x14ac:dyDescent="0.2">
      <c r="A2049" s="101"/>
    </row>
    <row r="2050" spans="1:1" x14ac:dyDescent="0.2">
      <c r="A2050" s="101"/>
    </row>
    <row r="2051" spans="1:1" x14ac:dyDescent="0.2">
      <c r="A2051" s="101"/>
    </row>
    <row r="2052" spans="1:1" x14ac:dyDescent="0.2">
      <c r="A2052" s="101"/>
    </row>
    <row r="2053" spans="1:1" x14ac:dyDescent="0.2">
      <c r="A2053" s="101"/>
    </row>
    <row r="2054" spans="1:1" x14ac:dyDescent="0.2">
      <c r="A2054" s="101"/>
    </row>
    <row r="2055" spans="1:1" x14ac:dyDescent="0.2">
      <c r="A2055" s="101"/>
    </row>
    <row r="2056" spans="1:1" x14ac:dyDescent="0.2">
      <c r="A2056" s="101"/>
    </row>
    <row r="2057" spans="1:1" x14ac:dyDescent="0.2">
      <c r="A2057" s="101"/>
    </row>
    <row r="2058" spans="1:1" x14ac:dyDescent="0.2">
      <c r="A2058" s="101"/>
    </row>
    <row r="2059" spans="1:1" x14ac:dyDescent="0.2">
      <c r="A2059" s="101"/>
    </row>
    <row r="2060" spans="1:1" x14ac:dyDescent="0.2">
      <c r="A2060" s="101"/>
    </row>
    <row r="2061" spans="1:1" x14ac:dyDescent="0.2">
      <c r="A2061" s="101"/>
    </row>
    <row r="2062" spans="1:1" x14ac:dyDescent="0.2">
      <c r="A2062" s="101"/>
    </row>
    <row r="2063" spans="1:1" x14ac:dyDescent="0.2">
      <c r="A2063" s="101"/>
    </row>
    <row r="2064" spans="1:1" x14ac:dyDescent="0.2">
      <c r="A2064" s="101"/>
    </row>
    <row r="2065" spans="1:1" x14ac:dyDescent="0.2">
      <c r="A2065" s="101"/>
    </row>
    <row r="2066" spans="1:1" x14ac:dyDescent="0.2">
      <c r="A2066" s="101"/>
    </row>
    <row r="2067" spans="1:1" x14ac:dyDescent="0.2">
      <c r="A2067" s="101"/>
    </row>
    <row r="2068" spans="1:1" x14ac:dyDescent="0.2">
      <c r="A2068" s="101"/>
    </row>
    <row r="2069" spans="1:1" x14ac:dyDescent="0.2">
      <c r="A2069" s="101"/>
    </row>
    <row r="2070" spans="1:1" x14ac:dyDescent="0.2">
      <c r="A2070" s="101"/>
    </row>
    <row r="2071" spans="1:1" x14ac:dyDescent="0.2">
      <c r="A2071" s="101"/>
    </row>
    <row r="2072" spans="1:1" x14ac:dyDescent="0.2">
      <c r="A2072" s="101"/>
    </row>
    <row r="2073" spans="1:1" x14ac:dyDescent="0.2">
      <c r="A2073" s="101"/>
    </row>
    <row r="2074" spans="1:1" x14ac:dyDescent="0.2">
      <c r="A2074" s="101"/>
    </row>
    <row r="2075" spans="1:1" x14ac:dyDescent="0.2">
      <c r="A2075" s="101"/>
    </row>
    <row r="2076" spans="1:1" x14ac:dyDescent="0.2">
      <c r="A2076" s="101"/>
    </row>
    <row r="2077" spans="1:1" x14ac:dyDescent="0.2">
      <c r="A2077" s="101"/>
    </row>
    <row r="2078" spans="1:1" x14ac:dyDescent="0.2">
      <c r="A2078" s="101"/>
    </row>
    <row r="2079" spans="1:1" x14ac:dyDescent="0.2">
      <c r="A2079" s="101"/>
    </row>
    <row r="2080" spans="1:1" x14ac:dyDescent="0.2">
      <c r="A2080" s="101"/>
    </row>
    <row r="2081" spans="1:1" x14ac:dyDescent="0.2">
      <c r="A2081" s="101"/>
    </row>
    <row r="2082" spans="1:1" x14ac:dyDescent="0.2">
      <c r="A2082" s="101"/>
    </row>
    <row r="2083" spans="1:1" x14ac:dyDescent="0.2">
      <c r="A2083" s="101"/>
    </row>
    <row r="2084" spans="1:1" x14ac:dyDescent="0.2">
      <c r="A2084" s="101"/>
    </row>
    <row r="2085" spans="1:1" x14ac:dyDescent="0.2">
      <c r="A2085" s="101"/>
    </row>
    <row r="2086" spans="1:1" x14ac:dyDescent="0.2">
      <c r="A2086" s="101"/>
    </row>
    <row r="2087" spans="1:1" x14ac:dyDescent="0.2">
      <c r="A2087" s="101"/>
    </row>
    <row r="2088" spans="1:1" x14ac:dyDescent="0.2">
      <c r="A2088" s="101"/>
    </row>
    <row r="2089" spans="1:1" x14ac:dyDescent="0.2">
      <c r="A2089" s="101"/>
    </row>
    <row r="2090" spans="1:1" x14ac:dyDescent="0.2">
      <c r="A2090" s="101"/>
    </row>
    <row r="2091" spans="1:1" x14ac:dyDescent="0.2">
      <c r="A2091" s="101"/>
    </row>
    <row r="2092" spans="1:1" x14ac:dyDescent="0.2">
      <c r="A2092" s="101"/>
    </row>
    <row r="2093" spans="1:1" x14ac:dyDescent="0.2">
      <c r="A2093" s="101"/>
    </row>
    <row r="2094" spans="1:1" x14ac:dyDescent="0.2">
      <c r="A2094" s="101"/>
    </row>
    <row r="2095" spans="1:1" x14ac:dyDescent="0.2">
      <c r="A2095" s="101"/>
    </row>
    <row r="2096" spans="1:1" x14ac:dyDescent="0.2">
      <c r="A2096" s="101"/>
    </row>
    <row r="2097" spans="1:1" x14ac:dyDescent="0.2">
      <c r="A2097" s="101"/>
    </row>
    <row r="2098" spans="1:1" x14ac:dyDescent="0.2">
      <c r="A2098" s="101"/>
    </row>
    <row r="2099" spans="1:1" x14ac:dyDescent="0.2">
      <c r="A2099" s="101"/>
    </row>
    <row r="2100" spans="1:1" x14ac:dyDescent="0.2">
      <c r="A2100" s="101"/>
    </row>
    <row r="2101" spans="1:1" x14ac:dyDescent="0.2">
      <c r="A2101" s="101"/>
    </row>
    <row r="2102" spans="1:1" x14ac:dyDescent="0.2">
      <c r="A2102" s="101"/>
    </row>
    <row r="2103" spans="1:1" x14ac:dyDescent="0.2">
      <c r="A2103" s="101"/>
    </row>
    <row r="2104" spans="1:1" x14ac:dyDescent="0.2">
      <c r="A2104" s="101"/>
    </row>
    <row r="2105" spans="1:1" x14ac:dyDescent="0.2">
      <c r="A2105" s="101"/>
    </row>
    <row r="2106" spans="1:1" x14ac:dyDescent="0.2">
      <c r="A2106" s="101"/>
    </row>
    <row r="2107" spans="1:1" x14ac:dyDescent="0.2">
      <c r="A2107" s="101"/>
    </row>
    <row r="2108" spans="1:1" x14ac:dyDescent="0.2">
      <c r="A2108" s="101"/>
    </row>
    <row r="2109" spans="1:1" x14ac:dyDescent="0.2">
      <c r="A2109" s="101"/>
    </row>
    <row r="2110" spans="1:1" x14ac:dyDescent="0.2">
      <c r="A2110" s="101"/>
    </row>
    <row r="2111" spans="1:1" x14ac:dyDescent="0.2">
      <c r="A2111" s="101"/>
    </row>
    <row r="2112" spans="1:1" x14ac:dyDescent="0.2">
      <c r="A2112" s="101"/>
    </row>
    <row r="2113" spans="1:1" x14ac:dyDescent="0.2">
      <c r="A2113" s="101"/>
    </row>
    <row r="2114" spans="1:1" x14ac:dyDescent="0.2">
      <c r="A2114" s="101"/>
    </row>
    <row r="2115" spans="1:1" x14ac:dyDescent="0.2">
      <c r="A2115" s="101"/>
    </row>
    <row r="2116" spans="1:1" x14ac:dyDescent="0.2">
      <c r="A2116" s="101"/>
    </row>
    <row r="2117" spans="1:1" x14ac:dyDescent="0.2">
      <c r="A2117" s="101"/>
    </row>
    <row r="2118" spans="1:1" x14ac:dyDescent="0.2">
      <c r="A2118" s="101"/>
    </row>
    <row r="2119" spans="1:1" x14ac:dyDescent="0.2">
      <c r="A2119" s="101"/>
    </row>
    <row r="2120" spans="1:1" x14ac:dyDescent="0.2">
      <c r="A2120" s="101"/>
    </row>
    <row r="2121" spans="1:1" x14ac:dyDescent="0.2">
      <c r="A2121" s="101"/>
    </row>
    <row r="2122" spans="1:1" x14ac:dyDescent="0.2">
      <c r="A2122" s="101"/>
    </row>
    <row r="2123" spans="1:1" x14ac:dyDescent="0.2">
      <c r="A2123" s="101"/>
    </row>
    <row r="2124" spans="1:1" x14ac:dyDescent="0.2">
      <c r="A2124" s="101"/>
    </row>
    <row r="2125" spans="1:1" x14ac:dyDescent="0.2">
      <c r="A2125" s="101"/>
    </row>
    <row r="2126" spans="1:1" x14ac:dyDescent="0.2">
      <c r="A2126" s="101"/>
    </row>
    <row r="2127" spans="1:1" x14ac:dyDescent="0.2">
      <c r="A2127" s="101"/>
    </row>
    <row r="2128" spans="1:1" x14ac:dyDescent="0.2">
      <c r="A2128" s="101"/>
    </row>
    <row r="2129" spans="1:1" x14ac:dyDescent="0.2">
      <c r="A2129" s="101"/>
    </row>
    <row r="2130" spans="1:1" x14ac:dyDescent="0.2">
      <c r="A2130" s="101"/>
    </row>
    <row r="2131" spans="1:1" x14ac:dyDescent="0.2">
      <c r="A2131" s="101"/>
    </row>
    <row r="2132" spans="1:1" x14ac:dyDescent="0.2">
      <c r="A2132" s="101"/>
    </row>
    <row r="2133" spans="1:1" x14ac:dyDescent="0.2">
      <c r="A2133" s="101"/>
    </row>
    <row r="2134" spans="1:1" x14ac:dyDescent="0.2">
      <c r="A2134" s="101"/>
    </row>
    <row r="2135" spans="1:1" x14ac:dyDescent="0.2">
      <c r="A2135" s="101"/>
    </row>
    <row r="2136" spans="1:1" x14ac:dyDescent="0.2">
      <c r="A2136" s="101"/>
    </row>
    <row r="2137" spans="1:1" x14ac:dyDescent="0.2">
      <c r="A2137" s="101"/>
    </row>
    <row r="2138" spans="1:1" x14ac:dyDescent="0.2">
      <c r="A2138" s="101"/>
    </row>
    <row r="2139" spans="1:1" x14ac:dyDescent="0.2">
      <c r="A2139" s="101"/>
    </row>
    <row r="2140" spans="1:1" x14ac:dyDescent="0.2">
      <c r="A2140" s="101"/>
    </row>
    <row r="2141" spans="1:1" x14ac:dyDescent="0.2">
      <c r="A2141" s="101"/>
    </row>
    <row r="2142" spans="1:1" x14ac:dyDescent="0.2">
      <c r="A2142" s="101"/>
    </row>
    <row r="2143" spans="1:1" x14ac:dyDescent="0.2">
      <c r="A2143" s="101"/>
    </row>
    <row r="2144" spans="1:1" x14ac:dyDescent="0.2">
      <c r="A2144" s="101"/>
    </row>
    <row r="2145" spans="1:1" x14ac:dyDescent="0.2">
      <c r="A2145" s="101"/>
    </row>
    <row r="2146" spans="1:1" x14ac:dyDescent="0.2">
      <c r="A2146" s="101"/>
    </row>
    <row r="2147" spans="1:1" x14ac:dyDescent="0.2">
      <c r="A2147" s="101"/>
    </row>
    <row r="2148" spans="1:1" x14ac:dyDescent="0.2">
      <c r="A2148" s="101"/>
    </row>
    <row r="2149" spans="1:1" x14ac:dyDescent="0.2">
      <c r="A2149" s="101"/>
    </row>
    <row r="2150" spans="1:1" x14ac:dyDescent="0.2">
      <c r="A2150" s="101"/>
    </row>
    <row r="2151" spans="1:1" x14ac:dyDescent="0.2">
      <c r="A2151" s="101"/>
    </row>
    <row r="2152" spans="1:1" x14ac:dyDescent="0.2">
      <c r="A2152" s="101"/>
    </row>
    <row r="2153" spans="1:1" x14ac:dyDescent="0.2">
      <c r="A2153" s="101"/>
    </row>
    <row r="2154" spans="1:1" x14ac:dyDescent="0.2">
      <c r="A2154" s="101"/>
    </row>
    <row r="2155" spans="1:1" x14ac:dyDescent="0.2">
      <c r="A2155" s="101"/>
    </row>
    <row r="2156" spans="1:1" x14ac:dyDescent="0.2">
      <c r="A2156" s="101"/>
    </row>
    <row r="2157" spans="1:1" x14ac:dyDescent="0.2">
      <c r="A2157" s="101"/>
    </row>
    <row r="2158" spans="1:1" x14ac:dyDescent="0.2">
      <c r="A2158" s="101"/>
    </row>
    <row r="2159" spans="1:1" x14ac:dyDescent="0.2">
      <c r="A2159" s="101"/>
    </row>
    <row r="2160" spans="1:1" x14ac:dyDescent="0.2">
      <c r="A2160" s="101"/>
    </row>
    <row r="2161" spans="1:1" x14ac:dyDescent="0.2">
      <c r="A2161" s="101"/>
    </row>
    <row r="2162" spans="1:1" x14ac:dyDescent="0.2">
      <c r="A2162" s="101"/>
    </row>
    <row r="2163" spans="1:1" x14ac:dyDescent="0.2">
      <c r="A2163" s="101"/>
    </row>
    <row r="2164" spans="1:1" x14ac:dyDescent="0.2">
      <c r="A2164" s="101"/>
    </row>
    <row r="2165" spans="1:1" x14ac:dyDescent="0.2">
      <c r="A2165" s="101"/>
    </row>
    <row r="2166" spans="1:1" x14ac:dyDescent="0.2">
      <c r="A2166" s="101"/>
    </row>
    <row r="2167" spans="1:1" x14ac:dyDescent="0.2">
      <c r="A2167" s="101"/>
    </row>
    <row r="2168" spans="1:1" x14ac:dyDescent="0.2">
      <c r="A2168" s="101"/>
    </row>
    <row r="2169" spans="1:1" x14ac:dyDescent="0.2">
      <c r="A2169" s="101"/>
    </row>
    <row r="2170" spans="1:1" x14ac:dyDescent="0.2">
      <c r="A2170" s="101"/>
    </row>
    <row r="2171" spans="1:1" x14ac:dyDescent="0.2">
      <c r="A2171" s="101"/>
    </row>
    <row r="2172" spans="1:1" x14ac:dyDescent="0.2">
      <c r="A2172" s="101"/>
    </row>
    <row r="2173" spans="1:1" x14ac:dyDescent="0.2">
      <c r="A2173" s="101"/>
    </row>
    <row r="2174" spans="1:1" x14ac:dyDescent="0.2">
      <c r="A2174" s="101"/>
    </row>
    <row r="2175" spans="1:1" x14ac:dyDescent="0.2">
      <c r="A2175" s="101"/>
    </row>
    <row r="2176" spans="1:1" x14ac:dyDescent="0.2">
      <c r="A2176" s="101"/>
    </row>
    <row r="2177" spans="1:1" x14ac:dyDescent="0.2">
      <c r="A2177" s="101"/>
    </row>
    <row r="2178" spans="1:1" x14ac:dyDescent="0.2">
      <c r="A2178" s="101"/>
    </row>
    <row r="2179" spans="1:1" x14ac:dyDescent="0.2">
      <c r="A2179" s="101"/>
    </row>
    <row r="2180" spans="1:1" x14ac:dyDescent="0.2">
      <c r="A2180" s="101"/>
    </row>
    <row r="2181" spans="1:1" x14ac:dyDescent="0.2">
      <c r="A2181" s="101"/>
    </row>
    <row r="2182" spans="1:1" x14ac:dyDescent="0.2">
      <c r="A2182" s="101"/>
    </row>
    <row r="2183" spans="1:1" x14ac:dyDescent="0.2">
      <c r="A2183" s="101"/>
    </row>
    <row r="2184" spans="1:1" x14ac:dyDescent="0.2">
      <c r="A2184" s="101"/>
    </row>
    <row r="2185" spans="1:1" x14ac:dyDescent="0.2">
      <c r="A2185" s="101"/>
    </row>
    <row r="2186" spans="1:1" x14ac:dyDescent="0.2">
      <c r="A2186" s="101"/>
    </row>
    <row r="2187" spans="1:1" x14ac:dyDescent="0.2">
      <c r="A2187" s="101"/>
    </row>
    <row r="2188" spans="1:1" x14ac:dyDescent="0.2">
      <c r="A2188" s="101"/>
    </row>
    <row r="2189" spans="1:1" x14ac:dyDescent="0.2">
      <c r="A2189" s="101"/>
    </row>
    <row r="2190" spans="1:1" x14ac:dyDescent="0.2">
      <c r="A2190" s="101"/>
    </row>
    <row r="2191" spans="1:1" x14ac:dyDescent="0.2">
      <c r="A2191" s="101"/>
    </row>
    <row r="2192" spans="1:1" x14ac:dyDescent="0.2">
      <c r="A2192" s="101"/>
    </row>
    <row r="2193" spans="1:1" x14ac:dyDescent="0.2">
      <c r="A2193" s="101"/>
    </row>
    <row r="2194" spans="1:1" x14ac:dyDescent="0.2">
      <c r="A2194" s="101"/>
    </row>
    <row r="2195" spans="1:1" x14ac:dyDescent="0.2">
      <c r="A2195" s="101"/>
    </row>
    <row r="2196" spans="1:1" x14ac:dyDescent="0.2">
      <c r="A2196" s="101"/>
    </row>
    <row r="2197" spans="1:1" x14ac:dyDescent="0.2">
      <c r="A2197" s="101"/>
    </row>
    <row r="2198" spans="1:1" x14ac:dyDescent="0.2">
      <c r="A2198" s="101"/>
    </row>
    <row r="2199" spans="1:1" x14ac:dyDescent="0.2">
      <c r="A2199" s="101"/>
    </row>
    <row r="2200" spans="1:1" x14ac:dyDescent="0.2">
      <c r="A2200" s="101"/>
    </row>
    <row r="2201" spans="1:1" x14ac:dyDescent="0.2">
      <c r="A2201" s="101"/>
    </row>
    <row r="2202" spans="1:1" x14ac:dyDescent="0.2">
      <c r="A2202" s="101"/>
    </row>
    <row r="2203" spans="1:1" x14ac:dyDescent="0.2">
      <c r="A2203" s="101"/>
    </row>
    <row r="2204" spans="1:1" x14ac:dyDescent="0.2">
      <c r="A2204" s="101"/>
    </row>
    <row r="2205" spans="1:1" x14ac:dyDescent="0.2">
      <c r="A2205" s="101"/>
    </row>
    <row r="2206" spans="1:1" x14ac:dyDescent="0.2">
      <c r="A2206" s="101"/>
    </row>
    <row r="2207" spans="1:1" x14ac:dyDescent="0.2">
      <c r="A2207" s="101"/>
    </row>
    <row r="2208" spans="1:1" x14ac:dyDescent="0.2">
      <c r="A2208" s="101"/>
    </row>
    <row r="2209" spans="1:1" x14ac:dyDescent="0.2">
      <c r="A2209" s="101"/>
    </row>
    <row r="2210" spans="1:1" x14ac:dyDescent="0.2">
      <c r="A2210" s="101"/>
    </row>
    <row r="2211" spans="1:1" x14ac:dyDescent="0.2">
      <c r="A2211" s="101"/>
    </row>
    <row r="2212" spans="1:1" x14ac:dyDescent="0.2">
      <c r="A2212" s="101"/>
    </row>
    <row r="2213" spans="1:1" x14ac:dyDescent="0.2">
      <c r="A2213" s="101"/>
    </row>
    <row r="2214" spans="1:1" x14ac:dyDescent="0.2">
      <c r="A2214" s="101"/>
    </row>
    <row r="2215" spans="1:1" x14ac:dyDescent="0.2">
      <c r="A2215" s="101"/>
    </row>
    <row r="2216" spans="1:1" x14ac:dyDescent="0.2">
      <c r="A2216" s="101"/>
    </row>
    <row r="2217" spans="1:1" x14ac:dyDescent="0.2">
      <c r="A2217" s="101"/>
    </row>
    <row r="2218" spans="1:1" x14ac:dyDescent="0.2">
      <c r="A2218" s="101"/>
    </row>
    <row r="2219" spans="1:1" x14ac:dyDescent="0.2">
      <c r="A2219" s="101"/>
    </row>
    <row r="2220" spans="1:1" x14ac:dyDescent="0.2">
      <c r="A2220" s="101"/>
    </row>
    <row r="2221" spans="1:1" x14ac:dyDescent="0.2">
      <c r="A2221" s="101"/>
    </row>
    <row r="2222" spans="1:1" x14ac:dyDescent="0.2">
      <c r="A2222" s="101"/>
    </row>
    <row r="2223" spans="1:1" x14ac:dyDescent="0.2">
      <c r="A2223" s="101"/>
    </row>
    <row r="2224" spans="1:1" x14ac:dyDescent="0.2">
      <c r="A2224" s="101"/>
    </row>
    <row r="2225" spans="1:1" x14ac:dyDescent="0.2">
      <c r="A2225" s="101"/>
    </row>
    <row r="2226" spans="1:1" x14ac:dyDescent="0.2">
      <c r="A2226" s="101"/>
    </row>
    <row r="2227" spans="1:1" x14ac:dyDescent="0.2">
      <c r="A2227" s="101"/>
    </row>
    <row r="2228" spans="1:1" x14ac:dyDescent="0.2">
      <c r="A2228" s="101"/>
    </row>
    <row r="2229" spans="1:1" x14ac:dyDescent="0.2">
      <c r="A2229" s="101"/>
    </row>
    <row r="2230" spans="1:1" x14ac:dyDescent="0.2">
      <c r="A2230" s="101"/>
    </row>
    <row r="2231" spans="1:1" x14ac:dyDescent="0.2">
      <c r="A2231" s="101"/>
    </row>
    <row r="2232" spans="1:1" x14ac:dyDescent="0.2">
      <c r="A2232" s="101"/>
    </row>
    <row r="2233" spans="1:1" x14ac:dyDescent="0.2">
      <c r="A2233" s="101"/>
    </row>
    <row r="2234" spans="1:1" x14ac:dyDescent="0.2">
      <c r="A2234" s="101"/>
    </row>
    <row r="2235" spans="1:1" x14ac:dyDescent="0.2">
      <c r="A2235" s="101"/>
    </row>
    <row r="2236" spans="1:1" x14ac:dyDescent="0.2">
      <c r="A2236" s="101"/>
    </row>
    <row r="2237" spans="1:1" x14ac:dyDescent="0.2">
      <c r="A2237" s="101"/>
    </row>
    <row r="2238" spans="1:1" x14ac:dyDescent="0.2">
      <c r="A2238" s="101"/>
    </row>
    <row r="2239" spans="1:1" x14ac:dyDescent="0.2">
      <c r="A2239" s="101"/>
    </row>
    <row r="2240" spans="1:1" x14ac:dyDescent="0.2">
      <c r="A2240" s="101"/>
    </row>
    <row r="2241" spans="1:1" x14ac:dyDescent="0.2">
      <c r="A2241" s="101"/>
    </row>
    <row r="2242" spans="1:1" x14ac:dyDescent="0.2">
      <c r="A2242" s="101"/>
    </row>
    <row r="2243" spans="1:1" x14ac:dyDescent="0.2">
      <c r="A2243" s="101"/>
    </row>
    <row r="2244" spans="1:1" x14ac:dyDescent="0.2">
      <c r="A2244" s="101"/>
    </row>
    <row r="2245" spans="1:1" x14ac:dyDescent="0.2">
      <c r="A2245" s="101"/>
    </row>
    <row r="2246" spans="1:1" x14ac:dyDescent="0.2">
      <c r="A2246" s="101"/>
    </row>
    <row r="2247" spans="1:1" x14ac:dyDescent="0.2">
      <c r="A2247" s="101"/>
    </row>
    <row r="2248" spans="1:1" x14ac:dyDescent="0.2">
      <c r="A2248" s="101"/>
    </row>
    <row r="2249" spans="1:1" x14ac:dyDescent="0.2">
      <c r="A2249" s="101"/>
    </row>
    <row r="2250" spans="1:1" x14ac:dyDescent="0.2">
      <c r="A2250" s="101"/>
    </row>
    <row r="2251" spans="1:1" x14ac:dyDescent="0.2">
      <c r="A2251" s="101"/>
    </row>
    <row r="2252" spans="1:1" x14ac:dyDescent="0.2">
      <c r="A2252" s="101"/>
    </row>
    <row r="2253" spans="1:1" x14ac:dyDescent="0.2">
      <c r="A2253" s="101"/>
    </row>
    <row r="2254" spans="1:1" x14ac:dyDescent="0.2">
      <c r="A2254" s="101"/>
    </row>
    <row r="2255" spans="1:1" x14ac:dyDescent="0.2">
      <c r="A2255" s="101"/>
    </row>
    <row r="2256" spans="1:1" x14ac:dyDescent="0.2">
      <c r="A2256" s="101"/>
    </row>
    <row r="2257" spans="1:1" x14ac:dyDescent="0.2">
      <c r="A2257" s="101"/>
    </row>
    <row r="2258" spans="1:1" x14ac:dyDescent="0.2">
      <c r="A2258" s="101"/>
    </row>
    <row r="2259" spans="1:1" x14ac:dyDescent="0.2">
      <c r="A2259" s="101"/>
    </row>
    <row r="2260" spans="1:1" x14ac:dyDescent="0.2">
      <c r="A2260" s="101"/>
    </row>
    <row r="2261" spans="1:1" x14ac:dyDescent="0.2">
      <c r="A2261" s="101"/>
    </row>
    <row r="2262" spans="1:1" x14ac:dyDescent="0.2">
      <c r="A2262" s="101"/>
    </row>
    <row r="2263" spans="1:1" x14ac:dyDescent="0.2">
      <c r="A2263" s="101"/>
    </row>
    <row r="2264" spans="1:1" x14ac:dyDescent="0.2">
      <c r="A2264" s="101"/>
    </row>
    <row r="2265" spans="1:1" x14ac:dyDescent="0.2">
      <c r="A2265" s="101"/>
    </row>
    <row r="2266" spans="1:1" x14ac:dyDescent="0.2">
      <c r="A2266" s="101"/>
    </row>
    <row r="2267" spans="1:1" x14ac:dyDescent="0.2">
      <c r="A2267" s="101"/>
    </row>
    <row r="2268" spans="1:1" x14ac:dyDescent="0.2">
      <c r="A2268" s="101"/>
    </row>
    <row r="2269" spans="1:1" x14ac:dyDescent="0.2">
      <c r="A2269" s="101"/>
    </row>
    <row r="2270" spans="1:1" x14ac:dyDescent="0.2">
      <c r="A2270" s="101"/>
    </row>
    <row r="2271" spans="1:1" x14ac:dyDescent="0.2">
      <c r="A2271" s="101"/>
    </row>
    <row r="2272" spans="1:1" x14ac:dyDescent="0.2">
      <c r="A2272" s="101"/>
    </row>
    <row r="2273" spans="1:1" x14ac:dyDescent="0.2">
      <c r="A2273" s="101"/>
    </row>
    <row r="2274" spans="1:1" x14ac:dyDescent="0.2">
      <c r="A2274" s="101"/>
    </row>
    <row r="2275" spans="1:1" x14ac:dyDescent="0.2">
      <c r="A2275" s="101"/>
    </row>
    <row r="2276" spans="1:1" x14ac:dyDescent="0.2">
      <c r="A2276" s="101"/>
    </row>
    <row r="2277" spans="1:1" x14ac:dyDescent="0.2">
      <c r="A2277" s="101"/>
    </row>
    <row r="2278" spans="1:1" x14ac:dyDescent="0.2">
      <c r="A2278" s="101"/>
    </row>
    <row r="2279" spans="1:1" x14ac:dyDescent="0.2">
      <c r="A2279" s="101"/>
    </row>
    <row r="2280" spans="1:1" x14ac:dyDescent="0.2">
      <c r="A2280" s="101"/>
    </row>
    <row r="2281" spans="1:1" x14ac:dyDescent="0.2">
      <c r="A2281" s="101"/>
    </row>
    <row r="2282" spans="1:1" x14ac:dyDescent="0.2">
      <c r="A2282" s="101"/>
    </row>
    <row r="2283" spans="1:1" x14ac:dyDescent="0.2">
      <c r="A2283" s="101"/>
    </row>
    <row r="2284" spans="1:1" x14ac:dyDescent="0.2">
      <c r="A2284" s="101"/>
    </row>
    <row r="2285" spans="1:1" x14ac:dyDescent="0.2">
      <c r="A2285" s="101"/>
    </row>
    <row r="2286" spans="1:1" x14ac:dyDescent="0.2">
      <c r="A2286" s="101"/>
    </row>
    <row r="2287" spans="1:1" x14ac:dyDescent="0.2">
      <c r="A2287" s="101"/>
    </row>
    <row r="2288" spans="1:1" x14ac:dyDescent="0.2">
      <c r="A2288" s="101"/>
    </row>
    <row r="2289" spans="1:1" x14ac:dyDescent="0.2">
      <c r="A2289" s="101"/>
    </row>
    <row r="2290" spans="1:1" x14ac:dyDescent="0.2">
      <c r="A2290" s="101"/>
    </row>
    <row r="2291" spans="1:1" x14ac:dyDescent="0.2">
      <c r="A2291" s="101"/>
    </row>
    <row r="2292" spans="1:1" x14ac:dyDescent="0.2">
      <c r="A2292" s="101"/>
    </row>
    <row r="2293" spans="1:1" x14ac:dyDescent="0.2">
      <c r="A2293" s="101"/>
    </row>
    <row r="2294" spans="1:1" x14ac:dyDescent="0.2">
      <c r="A2294" s="101"/>
    </row>
    <row r="2295" spans="1:1" x14ac:dyDescent="0.2">
      <c r="A2295" s="101"/>
    </row>
    <row r="2296" spans="1:1" x14ac:dyDescent="0.2">
      <c r="A2296" s="101"/>
    </row>
    <row r="2297" spans="1:1" x14ac:dyDescent="0.2">
      <c r="A2297" s="101"/>
    </row>
    <row r="2298" spans="1:1" x14ac:dyDescent="0.2">
      <c r="A2298" s="101"/>
    </row>
    <row r="2299" spans="1:1" x14ac:dyDescent="0.2">
      <c r="A2299" s="101"/>
    </row>
    <row r="2300" spans="1:1" x14ac:dyDescent="0.2">
      <c r="A2300" s="101"/>
    </row>
    <row r="2301" spans="1:1" x14ac:dyDescent="0.2">
      <c r="A2301" s="101"/>
    </row>
    <row r="2302" spans="1:1" x14ac:dyDescent="0.2">
      <c r="A2302" s="101"/>
    </row>
    <row r="2303" spans="1:1" x14ac:dyDescent="0.2">
      <c r="A2303" s="101"/>
    </row>
    <row r="2304" spans="1:1" x14ac:dyDescent="0.2">
      <c r="A2304" s="101"/>
    </row>
    <row r="2305" spans="1:1" x14ac:dyDescent="0.2">
      <c r="A2305" s="101"/>
    </row>
    <row r="2306" spans="1:1" x14ac:dyDescent="0.2">
      <c r="A2306" s="101"/>
    </row>
    <row r="2307" spans="1:1" x14ac:dyDescent="0.2">
      <c r="A2307" s="101"/>
    </row>
    <row r="2308" spans="1:1" x14ac:dyDescent="0.2">
      <c r="A2308" s="101"/>
    </row>
    <row r="2309" spans="1:1" x14ac:dyDescent="0.2">
      <c r="A2309" s="101"/>
    </row>
    <row r="2310" spans="1:1" x14ac:dyDescent="0.2">
      <c r="A2310" s="101"/>
    </row>
    <row r="2311" spans="1:1" x14ac:dyDescent="0.2">
      <c r="A2311" s="101"/>
    </row>
    <row r="2312" spans="1:1" x14ac:dyDescent="0.2">
      <c r="A2312" s="101"/>
    </row>
    <row r="2313" spans="1:1" x14ac:dyDescent="0.2">
      <c r="A2313" s="101"/>
    </row>
    <row r="2314" spans="1:1" x14ac:dyDescent="0.2">
      <c r="A2314" s="101"/>
    </row>
    <row r="2315" spans="1:1" x14ac:dyDescent="0.2">
      <c r="A2315" s="101"/>
    </row>
    <row r="2316" spans="1:1" x14ac:dyDescent="0.2">
      <c r="A2316" s="101"/>
    </row>
    <row r="2317" spans="1:1" x14ac:dyDescent="0.2">
      <c r="A2317" s="101"/>
    </row>
    <row r="2318" spans="1:1" x14ac:dyDescent="0.2">
      <c r="A2318" s="101"/>
    </row>
    <row r="2319" spans="1:1" x14ac:dyDescent="0.2">
      <c r="A2319" s="101"/>
    </row>
    <row r="2320" spans="1:1" x14ac:dyDescent="0.2">
      <c r="A2320" s="101"/>
    </row>
    <row r="2321" spans="1:1" x14ac:dyDescent="0.2">
      <c r="A2321" s="101"/>
    </row>
    <row r="2322" spans="1:1" x14ac:dyDescent="0.2">
      <c r="A2322" s="101"/>
    </row>
    <row r="2323" spans="1:1" x14ac:dyDescent="0.2">
      <c r="A2323" s="101"/>
    </row>
    <row r="2324" spans="1:1" x14ac:dyDescent="0.2">
      <c r="A2324" s="101"/>
    </row>
    <row r="2325" spans="1:1" x14ac:dyDescent="0.2">
      <c r="A2325" s="101"/>
    </row>
    <row r="2326" spans="1:1" x14ac:dyDescent="0.2">
      <c r="A2326" s="101"/>
    </row>
    <row r="2327" spans="1:1" x14ac:dyDescent="0.2">
      <c r="A2327" s="101"/>
    </row>
    <row r="2328" spans="1:1" x14ac:dyDescent="0.2">
      <c r="A2328" s="101"/>
    </row>
    <row r="2329" spans="1:1" x14ac:dyDescent="0.2">
      <c r="A2329" s="101"/>
    </row>
    <row r="2330" spans="1:1" x14ac:dyDescent="0.2">
      <c r="A2330" s="101"/>
    </row>
    <row r="2331" spans="1:1" x14ac:dyDescent="0.2">
      <c r="A2331" s="101"/>
    </row>
    <row r="2332" spans="1:1" x14ac:dyDescent="0.2">
      <c r="A2332" s="101"/>
    </row>
    <row r="2333" spans="1:1" x14ac:dyDescent="0.2">
      <c r="A2333" s="101"/>
    </row>
    <row r="2334" spans="1:1" x14ac:dyDescent="0.2">
      <c r="A2334" s="101"/>
    </row>
    <row r="2335" spans="1:1" x14ac:dyDescent="0.2">
      <c r="A2335" s="101"/>
    </row>
    <row r="2336" spans="1:1" x14ac:dyDescent="0.2">
      <c r="A2336" s="101"/>
    </row>
    <row r="2337" spans="1:1" x14ac:dyDescent="0.2">
      <c r="A2337" s="101"/>
    </row>
    <row r="2338" spans="1:1" x14ac:dyDescent="0.2">
      <c r="A2338" s="101"/>
    </row>
    <row r="2339" spans="1:1" x14ac:dyDescent="0.2">
      <c r="A2339" s="101"/>
    </row>
    <row r="2340" spans="1:1" x14ac:dyDescent="0.2">
      <c r="A2340" s="101"/>
    </row>
    <row r="2341" spans="1:1" x14ac:dyDescent="0.2">
      <c r="A2341" s="101"/>
    </row>
    <row r="2342" spans="1:1" x14ac:dyDescent="0.2">
      <c r="A2342" s="101"/>
    </row>
    <row r="2343" spans="1:1" x14ac:dyDescent="0.2">
      <c r="A2343" s="101"/>
    </row>
    <row r="2344" spans="1:1" x14ac:dyDescent="0.2">
      <c r="A2344" s="101"/>
    </row>
    <row r="2345" spans="1:1" x14ac:dyDescent="0.2">
      <c r="A2345" s="101"/>
    </row>
    <row r="2346" spans="1:1" x14ac:dyDescent="0.2">
      <c r="A2346" s="101"/>
    </row>
    <row r="2347" spans="1:1" x14ac:dyDescent="0.2">
      <c r="A2347" s="101"/>
    </row>
    <row r="2348" spans="1:1" x14ac:dyDescent="0.2">
      <c r="A2348" s="101"/>
    </row>
    <row r="2349" spans="1:1" x14ac:dyDescent="0.2">
      <c r="A2349" s="101"/>
    </row>
    <row r="2350" spans="1:1" x14ac:dyDescent="0.2">
      <c r="A2350" s="101"/>
    </row>
    <row r="2351" spans="1:1" x14ac:dyDescent="0.2">
      <c r="A2351" s="101"/>
    </row>
    <row r="2352" spans="1:1" x14ac:dyDescent="0.2">
      <c r="A2352" s="101"/>
    </row>
    <row r="2353" spans="1:1" x14ac:dyDescent="0.2">
      <c r="A2353" s="101"/>
    </row>
    <row r="2354" spans="1:1" x14ac:dyDescent="0.2">
      <c r="A2354" s="101"/>
    </row>
    <row r="2355" spans="1:1" x14ac:dyDescent="0.2">
      <c r="A2355" s="101"/>
    </row>
    <row r="2356" spans="1:1" x14ac:dyDescent="0.2">
      <c r="A2356" s="101"/>
    </row>
    <row r="2357" spans="1:1" x14ac:dyDescent="0.2">
      <c r="A2357" s="101"/>
    </row>
    <row r="2358" spans="1:1" x14ac:dyDescent="0.2">
      <c r="A2358" s="101"/>
    </row>
    <row r="2359" spans="1:1" x14ac:dyDescent="0.2">
      <c r="A2359" s="101"/>
    </row>
    <row r="2360" spans="1:1" x14ac:dyDescent="0.2">
      <c r="A2360" s="101"/>
    </row>
    <row r="2361" spans="1:1" x14ac:dyDescent="0.2">
      <c r="A2361" s="101"/>
    </row>
    <row r="2362" spans="1:1" x14ac:dyDescent="0.2">
      <c r="A2362" s="101"/>
    </row>
    <row r="2363" spans="1:1" x14ac:dyDescent="0.2">
      <c r="A2363" s="101"/>
    </row>
    <row r="2364" spans="1:1" x14ac:dyDescent="0.2">
      <c r="A2364" s="101"/>
    </row>
    <row r="2365" spans="1:1" x14ac:dyDescent="0.2">
      <c r="A2365" s="101"/>
    </row>
    <row r="2366" spans="1:1" x14ac:dyDescent="0.2">
      <c r="A2366" s="101"/>
    </row>
    <row r="2367" spans="1:1" x14ac:dyDescent="0.2">
      <c r="A2367" s="101"/>
    </row>
    <row r="2368" spans="1:1" x14ac:dyDescent="0.2">
      <c r="A2368" s="101"/>
    </row>
    <row r="2369" spans="1:1" x14ac:dyDescent="0.2">
      <c r="A2369" s="101"/>
    </row>
    <row r="2370" spans="1:1" x14ac:dyDescent="0.2">
      <c r="A2370" s="101"/>
    </row>
    <row r="2371" spans="1:1" x14ac:dyDescent="0.2">
      <c r="A2371" s="101"/>
    </row>
    <row r="2372" spans="1:1" x14ac:dyDescent="0.2">
      <c r="A2372" s="101"/>
    </row>
    <row r="2373" spans="1:1" x14ac:dyDescent="0.2">
      <c r="A2373" s="101"/>
    </row>
    <row r="2374" spans="1:1" x14ac:dyDescent="0.2">
      <c r="A2374" s="101"/>
    </row>
    <row r="2375" spans="1:1" x14ac:dyDescent="0.2">
      <c r="A2375" s="101"/>
    </row>
    <row r="2376" spans="1:1" x14ac:dyDescent="0.2">
      <c r="A2376" s="101"/>
    </row>
    <row r="2377" spans="1:1" x14ac:dyDescent="0.2">
      <c r="A2377" s="101"/>
    </row>
    <row r="2378" spans="1:1" x14ac:dyDescent="0.2">
      <c r="A2378" s="101"/>
    </row>
    <row r="2379" spans="1:1" x14ac:dyDescent="0.2">
      <c r="A2379" s="101"/>
    </row>
    <row r="2380" spans="1:1" x14ac:dyDescent="0.2">
      <c r="A2380" s="101"/>
    </row>
    <row r="2381" spans="1:1" x14ac:dyDescent="0.2">
      <c r="A2381" s="101"/>
    </row>
    <row r="2382" spans="1:1" x14ac:dyDescent="0.2">
      <c r="A2382" s="101"/>
    </row>
    <row r="2383" spans="1:1" x14ac:dyDescent="0.2">
      <c r="A2383" s="101"/>
    </row>
    <row r="2384" spans="1:1" x14ac:dyDescent="0.2">
      <c r="A2384" s="101"/>
    </row>
    <row r="2385" spans="1:1" x14ac:dyDescent="0.2">
      <c r="A2385" s="101"/>
    </row>
    <row r="2386" spans="1:1" x14ac:dyDescent="0.2">
      <c r="A2386" s="101"/>
    </row>
    <row r="2387" spans="1:1" x14ac:dyDescent="0.2">
      <c r="A2387" s="101"/>
    </row>
    <row r="2388" spans="1:1" x14ac:dyDescent="0.2">
      <c r="A2388" s="101"/>
    </row>
    <row r="2389" spans="1:1" x14ac:dyDescent="0.2">
      <c r="A2389" s="101"/>
    </row>
    <row r="2390" spans="1:1" x14ac:dyDescent="0.2">
      <c r="A2390" s="101"/>
    </row>
    <row r="2391" spans="1:1" x14ac:dyDescent="0.2">
      <c r="A2391" s="101"/>
    </row>
    <row r="2392" spans="1:1" x14ac:dyDescent="0.2">
      <c r="A2392" s="101"/>
    </row>
    <row r="2393" spans="1:1" x14ac:dyDescent="0.2">
      <c r="A2393" s="101"/>
    </row>
    <row r="2394" spans="1:1" x14ac:dyDescent="0.2">
      <c r="A2394" s="101"/>
    </row>
    <row r="2395" spans="1:1" x14ac:dyDescent="0.2">
      <c r="A2395" s="101"/>
    </row>
    <row r="2396" spans="1:1" x14ac:dyDescent="0.2">
      <c r="A2396" s="101"/>
    </row>
    <row r="2397" spans="1:1" x14ac:dyDescent="0.2">
      <c r="A2397" s="101"/>
    </row>
    <row r="2398" spans="1:1" x14ac:dyDescent="0.2">
      <c r="A2398" s="101"/>
    </row>
    <row r="2399" spans="1:1" x14ac:dyDescent="0.2">
      <c r="A2399" s="101"/>
    </row>
    <row r="2400" spans="1:1" x14ac:dyDescent="0.2">
      <c r="A2400" s="101"/>
    </row>
    <row r="2401" spans="1:1" x14ac:dyDescent="0.2">
      <c r="A2401" s="101"/>
    </row>
    <row r="2402" spans="1:1" x14ac:dyDescent="0.2">
      <c r="A2402" s="101"/>
    </row>
    <row r="2403" spans="1:1" x14ac:dyDescent="0.2">
      <c r="A2403" s="101"/>
    </row>
    <row r="2404" spans="1:1" x14ac:dyDescent="0.2">
      <c r="A2404" s="101"/>
    </row>
    <row r="2405" spans="1:1" x14ac:dyDescent="0.2">
      <c r="A2405" s="101"/>
    </row>
    <row r="2406" spans="1:1" x14ac:dyDescent="0.2">
      <c r="A2406" s="101"/>
    </row>
    <row r="2407" spans="1:1" x14ac:dyDescent="0.2">
      <c r="A2407" s="101"/>
    </row>
    <row r="2408" spans="1:1" x14ac:dyDescent="0.2">
      <c r="A2408" s="101"/>
    </row>
    <row r="2409" spans="1:1" x14ac:dyDescent="0.2">
      <c r="A2409" s="101"/>
    </row>
    <row r="2410" spans="1:1" x14ac:dyDescent="0.2">
      <c r="A2410" s="101"/>
    </row>
    <row r="2411" spans="1:1" x14ac:dyDescent="0.2">
      <c r="A2411" s="101"/>
    </row>
    <row r="2412" spans="1:1" x14ac:dyDescent="0.2">
      <c r="A2412" s="101"/>
    </row>
    <row r="2413" spans="1:1" x14ac:dyDescent="0.2">
      <c r="A2413" s="101"/>
    </row>
    <row r="2414" spans="1:1" x14ac:dyDescent="0.2">
      <c r="A2414" s="101"/>
    </row>
    <row r="2415" spans="1:1" x14ac:dyDescent="0.2">
      <c r="A2415" s="101"/>
    </row>
    <row r="2416" spans="1:1" x14ac:dyDescent="0.2">
      <c r="A2416" s="101"/>
    </row>
    <row r="2417" spans="1:1" x14ac:dyDescent="0.2">
      <c r="A2417" s="101"/>
    </row>
    <row r="2418" spans="1:1" x14ac:dyDescent="0.2">
      <c r="A2418" s="101"/>
    </row>
    <row r="2419" spans="1:1" x14ac:dyDescent="0.2">
      <c r="A2419" s="101"/>
    </row>
    <row r="2420" spans="1:1" x14ac:dyDescent="0.2">
      <c r="A2420" s="101"/>
    </row>
    <row r="2421" spans="1:1" x14ac:dyDescent="0.2">
      <c r="A2421" s="101"/>
    </row>
    <row r="2422" spans="1:1" x14ac:dyDescent="0.2">
      <c r="A2422" s="101"/>
    </row>
    <row r="2423" spans="1:1" x14ac:dyDescent="0.2">
      <c r="A2423" s="101"/>
    </row>
    <row r="2424" spans="1:1" x14ac:dyDescent="0.2">
      <c r="A2424" s="101"/>
    </row>
    <row r="2425" spans="1:1" x14ac:dyDescent="0.2">
      <c r="A2425" s="101"/>
    </row>
    <row r="2426" spans="1:1" x14ac:dyDescent="0.2">
      <c r="A2426" s="101"/>
    </row>
    <row r="2427" spans="1:1" x14ac:dyDescent="0.2">
      <c r="A2427" s="101"/>
    </row>
    <row r="2428" spans="1:1" x14ac:dyDescent="0.2">
      <c r="A2428" s="101"/>
    </row>
    <row r="2429" spans="1:1" x14ac:dyDescent="0.2">
      <c r="A2429" s="101"/>
    </row>
    <row r="2430" spans="1:1" x14ac:dyDescent="0.2">
      <c r="A2430" s="101"/>
    </row>
    <row r="2431" spans="1:1" x14ac:dyDescent="0.2">
      <c r="A2431" s="101"/>
    </row>
    <row r="2432" spans="1:1" x14ac:dyDescent="0.2">
      <c r="A2432" s="101"/>
    </row>
    <row r="2433" spans="1:1" x14ac:dyDescent="0.2">
      <c r="A2433" s="101"/>
    </row>
    <row r="2434" spans="1:1" x14ac:dyDescent="0.2">
      <c r="A2434" s="101"/>
    </row>
    <row r="2435" spans="1:1" x14ac:dyDescent="0.2">
      <c r="A2435" s="101"/>
    </row>
    <row r="2436" spans="1:1" x14ac:dyDescent="0.2">
      <c r="A2436" s="101"/>
    </row>
    <row r="2437" spans="1:1" x14ac:dyDescent="0.2">
      <c r="A2437" s="101"/>
    </row>
    <row r="2438" spans="1:1" x14ac:dyDescent="0.2">
      <c r="A2438" s="101"/>
    </row>
    <row r="2439" spans="1:1" x14ac:dyDescent="0.2">
      <c r="A2439" s="101"/>
    </row>
    <row r="2440" spans="1:1" x14ac:dyDescent="0.2">
      <c r="A2440" s="101"/>
    </row>
    <row r="2441" spans="1:1" x14ac:dyDescent="0.2">
      <c r="A2441" s="101"/>
    </row>
    <row r="2442" spans="1:1" x14ac:dyDescent="0.2">
      <c r="A2442" s="101"/>
    </row>
    <row r="2443" spans="1:1" x14ac:dyDescent="0.2">
      <c r="A2443" s="101"/>
    </row>
    <row r="2444" spans="1:1" x14ac:dyDescent="0.2">
      <c r="A2444" s="101"/>
    </row>
    <row r="2445" spans="1:1" x14ac:dyDescent="0.2">
      <c r="A2445" s="101"/>
    </row>
    <row r="2446" spans="1:1" x14ac:dyDescent="0.2">
      <c r="A2446" s="101"/>
    </row>
    <row r="2447" spans="1:1" x14ac:dyDescent="0.2">
      <c r="A2447" s="101"/>
    </row>
    <row r="2448" spans="1:1" x14ac:dyDescent="0.2">
      <c r="A2448" s="101"/>
    </row>
    <row r="2449" spans="1:1" x14ac:dyDescent="0.2">
      <c r="A2449" s="101"/>
    </row>
    <row r="2450" spans="1:1" x14ac:dyDescent="0.2">
      <c r="A2450" s="101"/>
    </row>
    <row r="2451" spans="1:1" x14ac:dyDescent="0.2">
      <c r="A2451" s="101"/>
    </row>
    <row r="2452" spans="1:1" x14ac:dyDescent="0.2">
      <c r="A2452" s="101"/>
    </row>
    <row r="2453" spans="1:1" x14ac:dyDescent="0.2">
      <c r="A2453" s="101"/>
    </row>
    <row r="2454" spans="1:1" x14ac:dyDescent="0.2">
      <c r="A2454" s="101"/>
    </row>
    <row r="2455" spans="1:1" x14ac:dyDescent="0.2">
      <c r="A2455" s="101"/>
    </row>
    <row r="2456" spans="1:1" x14ac:dyDescent="0.2">
      <c r="A2456" s="101"/>
    </row>
    <row r="2457" spans="1:1" x14ac:dyDescent="0.2">
      <c r="A2457" s="101"/>
    </row>
    <row r="2458" spans="1:1" x14ac:dyDescent="0.2">
      <c r="A2458" s="101"/>
    </row>
    <row r="2459" spans="1:1" x14ac:dyDescent="0.2">
      <c r="A2459" s="101"/>
    </row>
    <row r="2460" spans="1:1" x14ac:dyDescent="0.2">
      <c r="A2460" s="101"/>
    </row>
    <row r="2461" spans="1:1" x14ac:dyDescent="0.2">
      <c r="A2461" s="101"/>
    </row>
    <row r="2462" spans="1:1" x14ac:dyDescent="0.2">
      <c r="A2462" s="101"/>
    </row>
    <row r="2463" spans="1:1" x14ac:dyDescent="0.2">
      <c r="A2463" s="101"/>
    </row>
    <row r="2464" spans="1:1" x14ac:dyDescent="0.2">
      <c r="A2464" s="101"/>
    </row>
    <row r="2465" spans="1:1" x14ac:dyDescent="0.2">
      <c r="A2465" s="101"/>
    </row>
    <row r="2466" spans="1:1" x14ac:dyDescent="0.2">
      <c r="A2466" s="101"/>
    </row>
    <row r="2467" spans="1:1" x14ac:dyDescent="0.2">
      <c r="A2467" s="101"/>
    </row>
    <row r="2468" spans="1:1" x14ac:dyDescent="0.2">
      <c r="A2468" s="101"/>
    </row>
    <row r="2469" spans="1:1" x14ac:dyDescent="0.2">
      <c r="A2469" s="101"/>
    </row>
    <row r="2470" spans="1:1" x14ac:dyDescent="0.2">
      <c r="A2470" s="101"/>
    </row>
    <row r="2471" spans="1:1" x14ac:dyDescent="0.2">
      <c r="A2471" s="101"/>
    </row>
    <row r="2472" spans="1:1" x14ac:dyDescent="0.2">
      <c r="A2472" s="101"/>
    </row>
    <row r="2473" spans="1:1" x14ac:dyDescent="0.2">
      <c r="A2473" s="101"/>
    </row>
    <row r="2474" spans="1:1" x14ac:dyDescent="0.2">
      <c r="A2474" s="101"/>
    </row>
    <row r="2475" spans="1:1" x14ac:dyDescent="0.2">
      <c r="A2475" s="101"/>
    </row>
    <row r="2476" spans="1:1" x14ac:dyDescent="0.2">
      <c r="A2476" s="101"/>
    </row>
    <row r="2477" spans="1:1" x14ac:dyDescent="0.2">
      <c r="A2477" s="101"/>
    </row>
    <row r="2478" spans="1:1" x14ac:dyDescent="0.2">
      <c r="A2478" s="101"/>
    </row>
    <row r="2479" spans="1:1" x14ac:dyDescent="0.2">
      <c r="A2479" s="101"/>
    </row>
    <row r="2480" spans="1:1" x14ac:dyDescent="0.2">
      <c r="A2480" s="101"/>
    </row>
    <row r="2481" spans="1:1" x14ac:dyDescent="0.2">
      <c r="A2481" s="101"/>
    </row>
    <row r="2482" spans="1:1" x14ac:dyDescent="0.2">
      <c r="A2482" s="101"/>
    </row>
    <row r="2483" spans="1:1" x14ac:dyDescent="0.2">
      <c r="A2483" s="101"/>
    </row>
    <row r="2484" spans="1:1" x14ac:dyDescent="0.2">
      <c r="A2484" s="101"/>
    </row>
    <row r="2485" spans="1:1" x14ac:dyDescent="0.2">
      <c r="A2485" s="101"/>
    </row>
    <row r="2486" spans="1:1" x14ac:dyDescent="0.2">
      <c r="A2486" s="101"/>
    </row>
    <row r="2487" spans="1:1" x14ac:dyDescent="0.2">
      <c r="A2487" s="101"/>
    </row>
    <row r="2488" spans="1:1" x14ac:dyDescent="0.2">
      <c r="A2488" s="101"/>
    </row>
    <row r="2489" spans="1:1" x14ac:dyDescent="0.2">
      <c r="A2489" s="101"/>
    </row>
    <row r="2490" spans="1:1" x14ac:dyDescent="0.2">
      <c r="A2490" s="101"/>
    </row>
    <row r="2491" spans="1:1" x14ac:dyDescent="0.2">
      <c r="A2491" s="101"/>
    </row>
    <row r="2492" spans="1:1" x14ac:dyDescent="0.2">
      <c r="A2492" s="101"/>
    </row>
    <row r="2493" spans="1:1" x14ac:dyDescent="0.2">
      <c r="A2493" s="101"/>
    </row>
    <row r="2494" spans="1:1" x14ac:dyDescent="0.2">
      <c r="A2494" s="101"/>
    </row>
    <row r="2495" spans="1:1" x14ac:dyDescent="0.2">
      <c r="A2495" s="101"/>
    </row>
    <row r="2496" spans="1:1" x14ac:dyDescent="0.2">
      <c r="A2496" s="101"/>
    </row>
    <row r="2497" spans="1:1" x14ac:dyDescent="0.2">
      <c r="A2497" s="101"/>
    </row>
    <row r="2498" spans="1:1" x14ac:dyDescent="0.2">
      <c r="A2498" s="101"/>
    </row>
    <row r="2499" spans="1:1" x14ac:dyDescent="0.2">
      <c r="A2499" s="101"/>
    </row>
    <row r="2500" spans="1:1" x14ac:dyDescent="0.2">
      <c r="A2500" s="101"/>
    </row>
    <row r="2501" spans="1:1" x14ac:dyDescent="0.2">
      <c r="A2501" s="101"/>
    </row>
    <row r="2502" spans="1:1" x14ac:dyDescent="0.2">
      <c r="A2502" s="101"/>
    </row>
    <row r="2503" spans="1:1" x14ac:dyDescent="0.2">
      <c r="A2503" s="101"/>
    </row>
    <row r="2504" spans="1:1" x14ac:dyDescent="0.2">
      <c r="A2504" s="101"/>
    </row>
    <row r="2505" spans="1:1" x14ac:dyDescent="0.2">
      <c r="A2505" s="101"/>
    </row>
    <row r="2506" spans="1:1" x14ac:dyDescent="0.2">
      <c r="A2506" s="101"/>
    </row>
    <row r="2507" spans="1:1" x14ac:dyDescent="0.2">
      <c r="A2507" s="101"/>
    </row>
    <row r="2508" spans="1:1" x14ac:dyDescent="0.2">
      <c r="A2508" s="101"/>
    </row>
    <row r="2509" spans="1:1" x14ac:dyDescent="0.2">
      <c r="A2509" s="101"/>
    </row>
    <row r="2510" spans="1:1" x14ac:dyDescent="0.2">
      <c r="A2510" s="101"/>
    </row>
    <row r="2511" spans="1:1" x14ac:dyDescent="0.2">
      <c r="A2511" s="101"/>
    </row>
    <row r="2512" spans="1:1" x14ac:dyDescent="0.2">
      <c r="A2512" s="101"/>
    </row>
    <row r="2513" spans="1:1" x14ac:dyDescent="0.2">
      <c r="A2513" s="101"/>
    </row>
    <row r="2514" spans="1:1" x14ac:dyDescent="0.2">
      <c r="A2514" s="101"/>
    </row>
    <row r="2515" spans="1:1" x14ac:dyDescent="0.2">
      <c r="A2515" s="101"/>
    </row>
    <row r="2516" spans="1:1" x14ac:dyDescent="0.2">
      <c r="A2516" s="101"/>
    </row>
    <row r="2517" spans="1:1" x14ac:dyDescent="0.2">
      <c r="A2517" s="101"/>
    </row>
    <row r="2518" spans="1:1" x14ac:dyDescent="0.2">
      <c r="A2518" s="101"/>
    </row>
    <row r="2519" spans="1:1" x14ac:dyDescent="0.2">
      <c r="A2519" s="101"/>
    </row>
    <row r="2520" spans="1:1" x14ac:dyDescent="0.2">
      <c r="A2520" s="101"/>
    </row>
    <row r="2521" spans="1:1" x14ac:dyDescent="0.2">
      <c r="A2521" s="101"/>
    </row>
    <row r="2522" spans="1:1" x14ac:dyDescent="0.2">
      <c r="A2522" s="101"/>
    </row>
    <row r="2523" spans="1:1" x14ac:dyDescent="0.2">
      <c r="A2523" s="101"/>
    </row>
    <row r="2524" spans="1:1" x14ac:dyDescent="0.2">
      <c r="A2524" s="101"/>
    </row>
    <row r="2525" spans="1:1" x14ac:dyDescent="0.2">
      <c r="A2525" s="101"/>
    </row>
    <row r="2526" spans="1:1" x14ac:dyDescent="0.2">
      <c r="A2526" s="101"/>
    </row>
    <row r="2527" spans="1:1" x14ac:dyDescent="0.2">
      <c r="A2527" s="101"/>
    </row>
    <row r="2528" spans="1:1" x14ac:dyDescent="0.2">
      <c r="A2528" s="101"/>
    </row>
    <row r="2529" spans="1:1" x14ac:dyDescent="0.2">
      <c r="A2529" s="101"/>
    </row>
    <row r="2530" spans="1:1" x14ac:dyDescent="0.2">
      <c r="A2530" s="101"/>
    </row>
    <row r="2531" spans="1:1" x14ac:dyDescent="0.2">
      <c r="A2531" s="101"/>
    </row>
    <row r="2532" spans="1:1" x14ac:dyDescent="0.2">
      <c r="A2532" s="101"/>
    </row>
    <row r="2533" spans="1:1" x14ac:dyDescent="0.2">
      <c r="A2533" s="101"/>
    </row>
    <row r="2534" spans="1:1" x14ac:dyDescent="0.2">
      <c r="A2534" s="101"/>
    </row>
    <row r="2535" spans="1:1" x14ac:dyDescent="0.2">
      <c r="A2535" s="101"/>
    </row>
    <row r="2536" spans="1:1" x14ac:dyDescent="0.2">
      <c r="A2536" s="101"/>
    </row>
    <row r="2537" spans="1:1" x14ac:dyDescent="0.2">
      <c r="A2537" s="101"/>
    </row>
    <row r="2538" spans="1:1" x14ac:dyDescent="0.2">
      <c r="A2538" s="101"/>
    </row>
    <row r="2539" spans="1:1" x14ac:dyDescent="0.2">
      <c r="A2539" s="101"/>
    </row>
    <row r="2540" spans="1:1" x14ac:dyDescent="0.2">
      <c r="A2540" s="101"/>
    </row>
    <row r="2541" spans="1:1" x14ac:dyDescent="0.2">
      <c r="A2541" s="101"/>
    </row>
    <row r="2542" spans="1:1" x14ac:dyDescent="0.2">
      <c r="A2542" s="101"/>
    </row>
    <row r="2543" spans="1:1" x14ac:dyDescent="0.2">
      <c r="A2543" s="101"/>
    </row>
    <row r="2544" spans="1:1" x14ac:dyDescent="0.2">
      <c r="A2544" s="101"/>
    </row>
    <row r="2545" spans="1:1" x14ac:dyDescent="0.2">
      <c r="A2545" s="101"/>
    </row>
    <row r="2546" spans="1:1" x14ac:dyDescent="0.2">
      <c r="A2546" s="101"/>
    </row>
    <row r="2547" spans="1:1" x14ac:dyDescent="0.2">
      <c r="A2547" s="101"/>
    </row>
    <row r="2548" spans="1:1" x14ac:dyDescent="0.2">
      <c r="A2548" s="101"/>
    </row>
    <row r="2549" spans="1:1" x14ac:dyDescent="0.2">
      <c r="A2549" s="101"/>
    </row>
    <row r="2550" spans="1:1" x14ac:dyDescent="0.2">
      <c r="A2550" s="101"/>
    </row>
    <row r="2551" spans="1:1" x14ac:dyDescent="0.2">
      <c r="A2551" s="101"/>
    </row>
    <row r="2552" spans="1:1" x14ac:dyDescent="0.2">
      <c r="A2552" s="101"/>
    </row>
    <row r="2553" spans="1:1" x14ac:dyDescent="0.2">
      <c r="A2553" s="101"/>
    </row>
    <row r="2554" spans="1:1" x14ac:dyDescent="0.2">
      <c r="A2554" s="101"/>
    </row>
    <row r="2555" spans="1:1" x14ac:dyDescent="0.2">
      <c r="A2555" s="101"/>
    </row>
    <row r="2556" spans="1:1" x14ac:dyDescent="0.2">
      <c r="A2556" s="101"/>
    </row>
    <row r="2557" spans="1:1" x14ac:dyDescent="0.2">
      <c r="A2557" s="101"/>
    </row>
    <row r="2558" spans="1:1" x14ac:dyDescent="0.2">
      <c r="A2558" s="101"/>
    </row>
    <row r="2559" spans="1:1" x14ac:dyDescent="0.2">
      <c r="A2559" s="101"/>
    </row>
    <row r="2560" spans="1:1" x14ac:dyDescent="0.2">
      <c r="A2560" s="101"/>
    </row>
    <row r="2561" spans="1:1" x14ac:dyDescent="0.2">
      <c r="A2561" s="101"/>
    </row>
    <row r="2562" spans="1:1" x14ac:dyDescent="0.2">
      <c r="A2562" s="101"/>
    </row>
    <row r="2563" spans="1:1" x14ac:dyDescent="0.2">
      <c r="A2563" s="101"/>
    </row>
    <row r="2564" spans="1:1" x14ac:dyDescent="0.2">
      <c r="A2564" s="101"/>
    </row>
    <row r="2565" spans="1:1" x14ac:dyDescent="0.2">
      <c r="A2565" s="101"/>
    </row>
    <row r="2566" spans="1:1" x14ac:dyDescent="0.2">
      <c r="A2566" s="101"/>
    </row>
    <row r="2567" spans="1:1" x14ac:dyDescent="0.2">
      <c r="A2567" s="101"/>
    </row>
    <row r="2568" spans="1:1" x14ac:dyDescent="0.2">
      <c r="A2568" s="101"/>
    </row>
    <row r="2569" spans="1:1" x14ac:dyDescent="0.2">
      <c r="A2569" s="101"/>
    </row>
    <row r="2570" spans="1:1" x14ac:dyDescent="0.2">
      <c r="A2570" s="101"/>
    </row>
    <row r="2571" spans="1:1" x14ac:dyDescent="0.2">
      <c r="A2571" s="101"/>
    </row>
    <row r="2572" spans="1:1" x14ac:dyDescent="0.2">
      <c r="A2572" s="101"/>
    </row>
    <row r="2573" spans="1:1" x14ac:dyDescent="0.2">
      <c r="A2573" s="101"/>
    </row>
    <row r="2574" spans="1:1" x14ac:dyDescent="0.2">
      <c r="A2574" s="101"/>
    </row>
    <row r="2575" spans="1:1" x14ac:dyDescent="0.2">
      <c r="A2575" s="101"/>
    </row>
    <row r="2576" spans="1:1" x14ac:dyDescent="0.2">
      <c r="A2576" s="101"/>
    </row>
    <row r="2577" spans="1:1" x14ac:dyDescent="0.2">
      <c r="A2577" s="101"/>
    </row>
    <row r="2578" spans="1:1" x14ac:dyDescent="0.2">
      <c r="A2578" s="101"/>
    </row>
    <row r="2579" spans="1:1" x14ac:dyDescent="0.2">
      <c r="A2579" s="101"/>
    </row>
    <row r="2580" spans="1:1" x14ac:dyDescent="0.2">
      <c r="A2580" s="101"/>
    </row>
    <row r="2581" spans="1:1" x14ac:dyDescent="0.2">
      <c r="A2581" s="101"/>
    </row>
    <row r="2582" spans="1:1" x14ac:dyDescent="0.2">
      <c r="A2582" s="101"/>
    </row>
    <row r="2583" spans="1:1" x14ac:dyDescent="0.2">
      <c r="A2583" s="101"/>
    </row>
    <row r="2584" spans="1:1" x14ac:dyDescent="0.2">
      <c r="A2584" s="101"/>
    </row>
    <row r="2585" spans="1:1" x14ac:dyDescent="0.2">
      <c r="A2585" s="101"/>
    </row>
    <row r="2586" spans="1:1" x14ac:dyDescent="0.2">
      <c r="A2586" s="101"/>
    </row>
    <row r="2587" spans="1:1" x14ac:dyDescent="0.2">
      <c r="A2587" s="101"/>
    </row>
    <row r="2588" spans="1:1" x14ac:dyDescent="0.2">
      <c r="A2588" s="101"/>
    </row>
    <row r="2589" spans="1:1" x14ac:dyDescent="0.2">
      <c r="A2589" s="101"/>
    </row>
    <row r="2590" spans="1:1" x14ac:dyDescent="0.2">
      <c r="A2590" s="101"/>
    </row>
    <row r="2591" spans="1:1" x14ac:dyDescent="0.2">
      <c r="A2591" s="101"/>
    </row>
    <row r="2592" spans="1:1" x14ac:dyDescent="0.2">
      <c r="A2592" s="101"/>
    </row>
    <row r="2593" spans="1:1" x14ac:dyDescent="0.2">
      <c r="A2593" s="101"/>
    </row>
    <row r="2594" spans="1:1" x14ac:dyDescent="0.2">
      <c r="A2594" s="101"/>
    </row>
    <row r="2595" spans="1:1" x14ac:dyDescent="0.2">
      <c r="A2595" s="101"/>
    </row>
    <row r="2596" spans="1:1" x14ac:dyDescent="0.2">
      <c r="A2596" s="101"/>
    </row>
    <row r="2597" spans="1:1" x14ac:dyDescent="0.2">
      <c r="A2597" s="101"/>
    </row>
    <row r="2598" spans="1:1" x14ac:dyDescent="0.2">
      <c r="A2598" s="101"/>
    </row>
    <row r="2599" spans="1:1" x14ac:dyDescent="0.2">
      <c r="A2599" s="101"/>
    </row>
    <row r="2600" spans="1:1" x14ac:dyDescent="0.2">
      <c r="A2600" s="101"/>
    </row>
    <row r="2601" spans="1:1" x14ac:dyDescent="0.2">
      <c r="A2601" s="101"/>
    </row>
    <row r="2602" spans="1:1" x14ac:dyDescent="0.2">
      <c r="A2602" s="101"/>
    </row>
    <row r="2603" spans="1:1" x14ac:dyDescent="0.2">
      <c r="A2603" s="101"/>
    </row>
    <row r="2604" spans="1:1" x14ac:dyDescent="0.2">
      <c r="A2604" s="101"/>
    </row>
    <row r="2605" spans="1:1" x14ac:dyDescent="0.2">
      <c r="A2605" s="101"/>
    </row>
    <row r="2606" spans="1:1" x14ac:dyDescent="0.2">
      <c r="A2606" s="101"/>
    </row>
    <row r="2607" spans="1:1" x14ac:dyDescent="0.2">
      <c r="A2607" s="101"/>
    </row>
    <row r="2608" spans="1:1" x14ac:dyDescent="0.2">
      <c r="A2608" s="101"/>
    </row>
    <row r="2609" spans="1:1" x14ac:dyDescent="0.2">
      <c r="A2609" s="101"/>
    </row>
    <row r="2610" spans="1:1" x14ac:dyDescent="0.2">
      <c r="A2610" s="101"/>
    </row>
    <row r="2611" spans="1:1" x14ac:dyDescent="0.2">
      <c r="A2611" s="101"/>
    </row>
    <row r="2612" spans="1:1" x14ac:dyDescent="0.2">
      <c r="A2612" s="101"/>
    </row>
    <row r="2613" spans="1:1" x14ac:dyDescent="0.2">
      <c r="A2613" s="101"/>
    </row>
    <row r="2614" spans="1:1" x14ac:dyDescent="0.2">
      <c r="A2614" s="101"/>
    </row>
    <row r="2615" spans="1:1" x14ac:dyDescent="0.2">
      <c r="A2615" s="101"/>
    </row>
    <row r="2616" spans="1:1" x14ac:dyDescent="0.2">
      <c r="A2616" s="101"/>
    </row>
    <row r="2617" spans="1:1" x14ac:dyDescent="0.2">
      <c r="A2617" s="101"/>
    </row>
    <row r="2618" spans="1:1" x14ac:dyDescent="0.2">
      <c r="A2618" s="101"/>
    </row>
    <row r="2619" spans="1:1" x14ac:dyDescent="0.2">
      <c r="A2619" s="101"/>
    </row>
    <row r="2620" spans="1:1" x14ac:dyDescent="0.2">
      <c r="A2620" s="101"/>
    </row>
    <row r="2621" spans="1:1" x14ac:dyDescent="0.2">
      <c r="A2621" s="101"/>
    </row>
    <row r="2622" spans="1:1" x14ac:dyDescent="0.2">
      <c r="A2622" s="101"/>
    </row>
    <row r="2623" spans="1:1" x14ac:dyDescent="0.2">
      <c r="A2623" s="101"/>
    </row>
    <row r="2624" spans="1:1" x14ac:dyDescent="0.2">
      <c r="A2624" s="101"/>
    </row>
    <row r="2625" spans="1:1" x14ac:dyDescent="0.2">
      <c r="A2625" s="101"/>
    </row>
    <row r="2626" spans="1:1" x14ac:dyDescent="0.2">
      <c r="A2626" s="101"/>
    </row>
    <row r="2627" spans="1:1" x14ac:dyDescent="0.2">
      <c r="A2627" s="101"/>
    </row>
    <row r="2628" spans="1:1" x14ac:dyDescent="0.2">
      <c r="A2628" s="101"/>
    </row>
    <row r="2629" spans="1:1" x14ac:dyDescent="0.2">
      <c r="A2629" s="101"/>
    </row>
    <row r="2630" spans="1:1" x14ac:dyDescent="0.2">
      <c r="A2630" s="101"/>
    </row>
    <row r="2631" spans="1:1" x14ac:dyDescent="0.2">
      <c r="A2631" s="101"/>
    </row>
    <row r="2632" spans="1:1" x14ac:dyDescent="0.2">
      <c r="A2632" s="101"/>
    </row>
    <row r="2633" spans="1:1" x14ac:dyDescent="0.2">
      <c r="A2633" s="101"/>
    </row>
    <row r="2634" spans="1:1" x14ac:dyDescent="0.2">
      <c r="A2634" s="101"/>
    </row>
    <row r="2635" spans="1:1" x14ac:dyDescent="0.2">
      <c r="A2635" s="101"/>
    </row>
    <row r="2636" spans="1:1" x14ac:dyDescent="0.2">
      <c r="A2636" s="101"/>
    </row>
    <row r="2637" spans="1:1" x14ac:dyDescent="0.2">
      <c r="A2637" s="101"/>
    </row>
    <row r="2638" spans="1:1" x14ac:dyDescent="0.2">
      <c r="A2638" s="101"/>
    </row>
    <row r="2639" spans="1:1" x14ac:dyDescent="0.2">
      <c r="A2639" s="101"/>
    </row>
    <row r="2640" spans="1:1" x14ac:dyDescent="0.2">
      <c r="A2640" s="101"/>
    </row>
    <row r="2641" spans="1:1" x14ac:dyDescent="0.2">
      <c r="A2641" s="101"/>
    </row>
    <row r="2642" spans="1:1" x14ac:dyDescent="0.2">
      <c r="A2642" s="101"/>
    </row>
    <row r="2643" spans="1:1" x14ac:dyDescent="0.2">
      <c r="A2643" s="101"/>
    </row>
    <row r="2644" spans="1:1" x14ac:dyDescent="0.2">
      <c r="A2644" s="101"/>
    </row>
    <row r="2645" spans="1:1" x14ac:dyDescent="0.2">
      <c r="A2645" s="101"/>
    </row>
    <row r="2646" spans="1:1" x14ac:dyDescent="0.2">
      <c r="A2646" s="101"/>
    </row>
    <row r="2647" spans="1:1" x14ac:dyDescent="0.2">
      <c r="A2647" s="101"/>
    </row>
    <row r="2648" spans="1:1" x14ac:dyDescent="0.2">
      <c r="A2648" s="101"/>
    </row>
    <row r="2649" spans="1:1" x14ac:dyDescent="0.2">
      <c r="A2649" s="101"/>
    </row>
    <row r="2650" spans="1:1" x14ac:dyDescent="0.2">
      <c r="A2650" s="101"/>
    </row>
    <row r="2651" spans="1:1" x14ac:dyDescent="0.2">
      <c r="A2651" s="101"/>
    </row>
    <row r="2652" spans="1:1" x14ac:dyDescent="0.2">
      <c r="A2652" s="101"/>
    </row>
    <row r="2653" spans="1:1" x14ac:dyDescent="0.2">
      <c r="A2653" s="101"/>
    </row>
    <row r="2654" spans="1:1" x14ac:dyDescent="0.2">
      <c r="A2654" s="101"/>
    </row>
    <row r="2655" spans="1:1" x14ac:dyDescent="0.2">
      <c r="A2655" s="101"/>
    </row>
    <row r="2656" spans="1:1" x14ac:dyDescent="0.2">
      <c r="A2656" s="101"/>
    </row>
    <row r="2657" spans="1:1" x14ac:dyDescent="0.2">
      <c r="A2657" s="101"/>
    </row>
    <row r="2658" spans="1:1" x14ac:dyDescent="0.2">
      <c r="A2658" s="101"/>
    </row>
    <row r="2659" spans="1:1" x14ac:dyDescent="0.2">
      <c r="A2659" s="101"/>
    </row>
    <row r="2660" spans="1:1" x14ac:dyDescent="0.2">
      <c r="A2660" s="101"/>
    </row>
    <row r="2661" spans="1:1" x14ac:dyDescent="0.2">
      <c r="A2661" s="101"/>
    </row>
    <row r="2662" spans="1:1" x14ac:dyDescent="0.2">
      <c r="A2662" s="101"/>
    </row>
    <row r="2663" spans="1:1" x14ac:dyDescent="0.2">
      <c r="A2663" s="101"/>
    </row>
    <row r="2664" spans="1:1" x14ac:dyDescent="0.2">
      <c r="A2664" s="101"/>
    </row>
    <row r="2665" spans="1:1" x14ac:dyDescent="0.2">
      <c r="A2665" s="101"/>
    </row>
    <row r="2666" spans="1:1" x14ac:dyDescent="0.2">
      <c r="A2666" s="101"/>
    </row>
    <row r="2667" spans="1:1" x14ac:dyDescent="0.2">
      <c r="A2667" s="101"/>
    </row>
    <row r="2668" spans="1:1" x14ac:dyDescent="0.2">
      <c r="A2668" s="101"/>
    </row>
    <row r="2669" spans="1:1" x14ac:dyDescent="0.2">
      <c r="A2669" s="101"/>
    </row>
    <row r="2670" spans="1:1" x14ac:dyDescent="0.2">
      <c r="A2670" s="101"/>
    </row>
    <row r="2671" spans="1:1" x14ac:dyDescent="0.2">
      <c r="A2671" s="101"/>
    </row>
    <row r="2672" spans="1:1" x14ac:dyDescent="0.2">
      <c r="A2672" s="101"/>
    </row>
    <row r="2673" spans="1:1" x14ac:dyDescent="0.2">
      <c r="A2673" s="101"/>
    </row>
    <row r="2674" spans="1:1" x14ac:dyDescent="0.2">
      <c r="A2674" s="101"/>
    </row>
    <row r="2675" spans="1:1" x14ac:dyDescent="0.2">
      <c r="A2675" s="101"/>
    </row>
    <row r="2676" spans="1:1" x14ac:dyDescent="0.2">
      <c r="A2676" s="101"/>
    </row>
    <row r="2677" spans="1:1" x14ac:dyDescent="0.2">
      <c r="A2677" s="101"/>
    </row>
    <row r="2678" spans="1:1" x14ac:dyDescent="0.2">
      <c r="A2678" s="101"/>
    </row>
    <row r="2679" spans="1:1" x14ac:dyDescent="0.2">
      <c r="A2679" s="101"/>
    </row>
    <row r="2680" spans="1:1" x14ac:dyDescent="0.2">
      <c r="A2680" s="101"/>
    </row>
    <row r="2681" spans="1:1" x14ac:dyDescent="0.2">
      <c r="A2681" s="101"/>
    </row>
    <row r="2682" spans="1:1" x14ac:dyDescent="0.2">
      <c r="A2682" s="101"/>
    </row>
    <row r="2683" spans="1:1" x14ac:dyDescent="0.2">
      <c r="A2683" s="101"/>
    </row>
    <row r="2684" spans="1:1" x14ac:dyDescent="0.2">
      <c r="A2684" s="101"/>
    </row>
    <row r="2685" spans="1:1" x14ac:dyDescent="0.2">
      <c r="A2685" s="101"/>
    </row>
    <row r="2686" spans="1:1" x14ac:dyDescent="0.2">
      <c r="A2686" s="101"/>
    </row>
    <row r="2687" spans="1:1" x14ac:dyDescent="0.2">
      <c r="A2687" s="101"/>
    </row>
    <row r="2688" spans="1:1" x14ac:dyDescent="0.2">
      <c r="A2688" s="101"/>
    </row>
    <row r="2689" spans="1:1" x14ac:dyDescent="0.2">
      <c r="A2689" s="101"/>
    </row>
    <row r="2690" spans="1:1" x14ac:dyDescent="0.2">
      <c r="A2690" s="101"/>
    </row>
    <row r="2691" spans="1:1" x14ac:dyDescent="0.2">
      <c r="A2691" s="101"/>
    </row>
    <row r="2692" spans="1:1" x14ac:dyDescent="0.2">
      <c r="A2692" s="101"/>
    </row>
    <row r="2693" spans="1:1" x14ac:dyDescent="0.2">
      <c r="A2693" s="101"/>
    </row>
    <row r="2694" spans="1:1" x14ac:dyDescent="0.2">
      <c r="A2694" s="101"/>
    </row>
    <row r="2695" spans="1:1" x14ac:dyDescent="0.2">
      <c r="A2695" s="101"/>
    </row>
    <row r="2696" spans="1:1" x14ac:dyDescent="0.2">
      <c r="A2696" s="101"/>
    </row>
    <row r="2697" spans="1:1" x14ac:dyDescent="0.2">
      <c r="A2697" s="101"/>
    </row>
    <row r="2698" spans="1:1" x14ac:dyDescent="0.2">
      <c r="A2698" s="101"/>
    </row>
    <row r="2699" spans="1:1" x14ac:dyDescent="0.2">
      <c r="A2699" s="101"/>
    </row>
    <row r="2700" spans="1:1" x14ac:dyDescent="0.2">
      <c r="A2700" s="101"/>
    </row>
    <row r="2701" spans="1:1" x14ac:dyDescent="0.2">
      <c r="A2701" s="101"/>
    </row>
    <row r="2702" spans="1:1" x14ac:dyDescent="0.2">
      <c r="A2702" s="101"/>
    </row>
    <row r="2703" spans="1:1" x14ac:dyDescent="0.2">
      <c r="A2703" s="101"/>
    </row>
    <row r="2704" spans="1:1" x14ac:dyDescent="0.2">
      <c r="A2704" s="101"/>
    </row>
    <row r="2705" spans="1:1" x14ac:dyDescent="0.2">
      <c r="A2705" s="101"/>
    </row>
    <row r="2706" spans="1:1" x14ac:dyDescent="0.2">
      <c r="A2706" s="101"/>
    </row>
    <row r="2707" spans="1:1" x14ac:dyDescent="0.2">
      <c r="A2707" s="101"/>
    </row>
    <row r="2708" spans="1:1" x14ac:dyDescent="0.2">
      <c r="A2708" s="101"/>
    </row>
    <row r="2709" spans="1:1" x14ac:dyDescent="0.2">
      <c r="A2709" s="101"/>
    </row>
    <row r="2710" spans="1:1" x14ac:dyDescent="0.2">
      <c r="A2710" s="101"/>
    </row>
    <row r="2711" spans="1:1" x14ac:dyDescent="0.2">
      <c r="A2711" s="101"/>
    </row>
    <row r="2712" spans="1:1" x14ac:dyDescent="0.2">
      <c r="A2712" s="101"/>
    </row>
    <row r="2713" spans="1:1" x14ac:dyDescent="0.2">
      <c r="A2713" s="101"/>
    </row>
    <row r="2714" spans="1:1" x14ac:dyDescent="0.2">
      <c r="A2714" s="101"/>
    </row>
    <row r="2715" spans="1:1" x14ac:dyDescent="0.2">
      <c r="A2715" s="101"/>
    </row>
    <row r="2716" spans="1:1" x14ac:dyDescent="0.2">
      <c r="A2716" s="101"/>
    </row>
    <row r="2717" spans="1:1" x14ac:dyDescent="0.2">
      <c r="A2717" s="101"/>
    </row>
    <row r="2718" spans="1:1" x14ac:dyDescent="0.2">
      <c r="A2718" s="101"/>
    </row>
    <row r="2719" spans="1:1" x14ac:dyDescent="0.2">
      <c r="A2719" s="101"/>
    </row>
    <row r="2720" spans="1:1" x14ac:dyDescent="0.2">
      <c r="A2720" s="101"/>
    </row>
    <row r="2721" spans="1:1" x14ac:dyDescent="0.2">
      <c r="A2721" s="101"/>
    </row>
    <row r="2722" spans="1:1" x14ac:dyDescent="0.2">
      <c r="A2722" s="101"/>
    </row>
    <row r="2723" spans="1:1" x14ac:dyDescent="0.2">
      <c r="A2723" s="101"/>
    </row>
    <row r="2724" spans="1:1" x14ac:dyDescent="0.2">
      <c r="A2724" s="101"/>
    </row>
    <row r="2725" spans="1:1" x14ac:dyDescent="0.2">
      <c r="A2725" s="101"/>
    </row>
    <row r="2726" spans="1:1" x14ac:dyDescent="0.2">
      <c r="A2726" s="101"/>
    </row>
    <row r="2727" spans="1:1" x14ac:dyDescent="0.2">
      <c r="A2727" s="101"/>
    </row>
    <row r="2728" spans="1:1" x14ac:dyDescent="0.2">
      <c r="A2728" s="101"/>
    </row>
    <row r="2729" spans="1:1" x14ac:dyDescent="0.2">
      <c r="A2729" s="101"/>
    </row>
    <row r="2730" spans="1:1" x14ac:dyDescent="0.2">
      <c r="A2730" s="101"/>
    </row>
    <row r="2731" spans="1:1" x14ac:dyDescent="0.2">
      <c r="A2731" s="101"/>
    </row>
    <row r="2732" spans="1:1" x14ac:dyDescent="0.2">
      <c r="A2732" s="101"/>
    </row>
    <row r="2733" spans="1:1" x14ac:dyDescent="0.2">
      <c r="A2733" s="101"/>
    </row>
    <row r="2734" spans="1:1" x14ac:dyDescent="0.2">
      <c r="A2734" s="101"/>
    </row>
    <row r="2735" spans="1:1" x14ac:dyDescent="0.2">
      <c r="A2735" s="101"/>
    </row>
    <row r="2736" spans="1:1" x14ac:dyDescent="0.2">
      <c r="A2736" s="101"/>
    </row>
    <row r="2737" spans="1:1" x14ac:dyDescent="0.2">
      <c r="A2737" s="101"/>
    </row>
    <row r="2738" spans="1:1" x14ac:dyDescent="0.2">
      <c r="A2738" s="101"/>
    </row>
    <row r="2739" spans="1:1" x14ac:dyDescent="0.2">
      <c r="A2739" s="101"/>
    </row>
    <row r="2740" spans="1:1" x14ac:dyDescent="0.2">
      <c r="A2740" s="101"/>
    </row>
    <row r="2741" spans="1:1" x14ac:dyDescent="0.2">
      <c r="A2741" s="101"/>
    </row>
    <row r="2742" spans="1:1" x14ac:dyDescent="0.2">
      <c r="A2742" s="101"/>
    </row>
    <row r="2743" spans="1:1" x14ac:dyDescent="0.2">
      <c r="A2743" s="101"/>
    </row>
    <row r="2744" spans="1:1" x14ac:dyDescent="0.2">
      <c r="A2744" s="101"/>
    </row>
    <row r="2745" spans="1:1" x14ac:dyDescent="0.2">
      <c r="A2745" s="101"/>
    </row>
    <row r="2746" spans="1:1" x14ac:dyDescent="0.2">
      <c r="A2746" s="101"/>
    </row>
    <row r="2747" spans="1:1" x14ac:dyDescent="0.2">
      <c r="A2747" s="101"/>
    </row>
    <row r="2748" spans="1:1" x14ac:dyDescent="0.2">
      <c r="A2748" s="101"/>
    </row>
    <row r="2749" spans="1:1" x14ac:dyDescent="0.2">
      <c r="A2749" s="101"/>
    </row>
    <row r="2750" spans="1:1" x14ac:dyDescent="0.2">
      <c r="A2750" s="101"/>
    </row>
    <row r="2751" spans="1:1" x14ac:dyDescent="0.2">
      <c r="A2751" s="101"/>
    </row>
    <row r="2752" spans="1:1" x14ac:dyDescent="0.2">
      <c r="A2752" s="101"/>
    </row>
    <row r="2753" spans="1:1" x14ac:dyDescent="0.2">
      <c r="A2753" s="101"/>
    </row>
    <row r="2754" spans="1:1" x14ac:dyDescent="0.2">
      <c r="A2754" s="101"/>
    </row>
    <row r="2755" spans="1:1" x14ac:dyDescent="0.2">
      <c r="A2755" s="101"/>
    </row>
    <row r="2756" spans="1:1" x14ac:dyDescent="0.2">
      <c r="A2756" s="101"/>
    </row>
    <row r="2757" spans="1:1" x14ac:dyDescent="0.2">
      <c r="A2757" s="101"/>
    </row>
    <row r="2758" spans="1:1" x14ac:dyDescent="0.2">
      <c r="A2758" s="101"/>
    </row>
    <row r="2759" spans="1:1" x14ac:dyDescent="0.2">
      <c r="A2759" s="101"/>
    </row>
    <row r="2760" spans="1:1" x14ac:dyDescent="0.2">
      <c r="A2760" s="101"/>
    </row>
    <row r="2761" spans="1:1" x14ac:dyDescent="0.2">
      <c r="A2761" s="101"/>
    </row>
    <row r="2762" spans="1:1" x14ac:dyDescent="0.2">
      <c r="A2762" s="101"/>
    </row>
    <row r="2763" spans="1:1" x14ac:dyDescent="0.2">
      <c r="A2763" s="101"/>
    </row>
    <row r="2764" spans="1:1" x14ac:dyDescent="0.2">
      <c r="A2764" s="101"/>
    </row>
    <row r="2765" spans="1:1" x14ac:dyDescent="0.2">
      <c r="A2765" s="101"/>
    </row>
    <row r="2766" spans="1:1" x14ac:dyDescent="0.2">
      <c r="A2766" s="101"/>
    </row>
    <row r="2767" spans="1:1" x14ac:dyDescent="0.2">
      <c r="A2767" s="101"/>
    </row>
    <row r="2768" spans="1:1" x14ac:dyDescent="0.2">
      <c r="A2768" s="101"/>
    </row>
    <row r="2769" spans="1:1" x14ac:dyDescent="0.2">
      <c r="A2769" s="101"/>
    </row>
    <row r="2770" spans="1:1" x14ac:dyDescent="0.2">
      <c r="A2770" s="101"/>
    </row>
    <row r="2771" spans="1:1" x14ac:dyDescent="0.2">
      <c r="A2771" s="101"/>
    </row>
    <row r="2772" spans="1:1" x14ac:dyDescent="0.2">
      <c r="A2772" s="101"/>
    </row>
    <row r="2773" spans="1:1" x14ac:dyDescent="0.2">
      <c r="A2773" s="101"/>
    </row>
    <row r="2774" spans="1:1" x14ac:dyDescent="0.2">
      <c r="A2774" s="101"/>
    </row>
    <row r="2775" spans="1:1" x14ac:dyDescent="0.2">
      <c r="A2775" s="101"/>
    </row>
    <row r="2776" spans="1:1" x14ac:dyDescent="0.2">
      <c r="A2776" s="101"/>
    </row>
    <row r="2777" spans="1:1" x14ac:dyDescent="0.2">
      <c r="A2777" s="101"/>
    </row>
    <row r="2778" spans="1:1" x14ac:dyDescent="0.2">
      <c r="A2778" s="101"/>
    </row>
    <row r="2779" spans="1:1" x14ac:dyDescent="0.2">
      <c r="A2779" s="101"/>
    </row>
    <row r="2780" spans="1:1" x14ac:dyDescent="0.2">
      <c r="A2780" s="101"/>
    </row>
    <row r="2781" spans="1:1" x14ac:dyDescent="0.2">
      <c r="A2781" s="101"/>
    </row>
    <row r="2782" spans="1:1" x14ac:dyDescent="0.2">
      <c r="A2782" s="101"/>
    </row>
    <row r="2783" spans="1:1" x14ac:dyDescent="0.2">
      <c r="A2783" s="101"/>
    </row>
    <row r="2784" spans="1:1" x14ac:dyDescent="0.2">
      <c r="A2784" s="101"/>
    </row>
    <row r="2785" spans="1:1" x14ac:dyDescent="0.2">
      <c r="A2785" s="101"/>
    </row>
    <row r="2786" spans="1:1" x14ac:dyDescent="0.2">
      <c r="A2786" s="101"/>
    </row>
    <row r="2787" spans="1:1" x14ac:dyDescent="0.2">
      <c r="A2787" s="101"/>
    </row>
    <row r="2788" spans="1:1" x14ac:dyDescent="0.2">
      <c r="A2788" s="101"/>
    </row>
    <row r="2789" spans="1:1" x14ac:dyDescent="0.2">
      <c r="A2789" s="101"/>
    </row>
    <row r="2790" spans="1:1" x14ac:dyDescent="0.2">
      <c r="A2790" s="101"/>
    </row>
    <row r="2791" spans="1:1" x14ac:dyDescent="0.2">
      <c r="A2791" s="101"/>
    </row>
    <row r="2792" spans="1:1" x14ac:dyDescent="0.2">
      <c r="A2792" s="101"/>
    </row>
    <row r="2793" spans="1:1" x14ac:dyDescent="0.2">
      <c r="A2793" s="101"/>
    </row>
    <row r="2794" spans="1:1" x14ac:dyDescent="0.2">
      <c r="A2794" s="101"/>
    </row>
    <row r="2795" spans="1:1" x14ac:dyDescent="0.2">
      <c r="A2795" s="101"/>
    </row>
    <row r="2796" spans="1:1" x14ac:dyDescent="0.2">
      <c r="A2796" s="101"/>
    </row>
    <row r="2797" spans="1:1" x14ac:dyDescent="0.2">
      <c r="A2797" s="101"/>
    </row>
    <row r="2798" spans="1:1" x14ac:dyDescent="0.2">
      <c r="A2798" s="101"/>
    </row>
    <row r="2799" spans="1:1" x14ac:dyDescent="0.2">
      <c r="A2799" s="101"/>
    </row>
    <row r="2800" spans="1:1" x14ac:dyDescent="0.2">
      <c r="A2800" s="101"/>
    </row>
    <row r="2801" spans="1:1" x14ac:dyDescent="0.2">
      <c r="A2801" s="101"/>
    </row>
    <row r="2802" spans="1:1" x14ac:dyDescent="0.2">
      <c r="A2802" s="101"/>
    </row>
    <row r="2803" spans="1:1" x14ac:dyDescent="0.2">
      <c r="A2803" s="101"/>
    </row>
    <row r="2804" spans="1:1" x14ac:dyDescent="0.2">
      <c r="A2804" s="101"/>
    </row>
    <row r="2805" spans="1:1" x14ac:dyDescent="0.2">
      <c r="A2805" s="101"/>
    </row>
    <row r="2806" spans="1:1" x14ac:dyDescent="0.2">
      <c r="A2806" s="101"/>
    </row>
    <row r="2807" spans="1:1" x14ac:dyDescent="0.2">
      <c r="A2807" s="101"/>
    </row>
    <row r="2808" spans="1:1" x14ac:dyDescent="0.2">
      <c r="A2808" s="101"/>
    </row>
    <row r="2809" spans="1:1" x14ac:dyDescent="0.2">
      <c r="A2809" s="101"/>
    </row>
    <row r="2810" spans="1:1" x14ac:dyDescent="0.2">
      <c r="A2810" s="101"/>
    </row>
    <row r="2811" spans="1:1" x14ac:dyDescent="0.2">
      <c r="A2811" s="101"/>
    </row>
    <row r="2812" spans="1:1" x14ac:dyDescent="0.2">
      <c r="A2812" s="101"/>
    </row>
    <row r="2813" spans="1:1" x14ac:dyDescent="0.2">
      <c r="A2813" s="101"/>
    </row>
    <row r="2814" spans="1:1" x14ac:dyDescent="0.2">
      <c r="A2814" s="101"/>
    </row>
    <row r="2815" spans="1:1" x14ac:dyDescent="0.2">
      <c r="A2815" s="101"/>
    </row>
    <row r="2816" spans="1:1" x14ac:dyDescent="0.2">
      <c r="A2816" s="101"/>
    </row>
    <row r="2817" spans="1:1" x14ac:dyDescent="0.2">
      <c r="A2817" s="101"/>
    </row>
    <row r="2818" spans="1:1" x14ac:dyDescent="0.2">
      <c r="A2818" s="101"/>
    </row>
    <row r="2819" spans="1:1" x14ac:dyDescent="0.2">
      <c r="A2819" s="101"/>
    </row>
    <row r="2820" spans="1:1" x14ac:dyDescent="0.2">
      <c r="A2820" s="101"/>
    </row>
    <row r="2821" spans="1:1" x14ac:dyDescent="0.2">
      <c r="A2821" s="101"/>
    </row>
    <row r="2822" spans="1:1" x14ac:dyDescent="0.2">
      <c r="A2822" s="101"/>
    </row>
    <row r="2823" spans="1:1" x14ac:dyDescent="0.2">
      <c r="A2823" s="101"/>
    </row>
    <row r="2824" spans="1:1" x14ac:dyDescent="0.2">
      <c r="A2824" s="101"/>
    </row>
    <row r="2825" spans="1:1" x14ac:dyDescent="0.2">
      <c r="A2825" s="101"/>
    </row>
    <row r="2826" spans="1:1" x14ac:dyDescent="0.2">
      <c r="A2826" s="101"/>
    </row>
    <row r="2827" spans="1:1" x14ac:dyDescent="0.2">
      <c r="A2827" s="101"/>
    </row>
    <row r="2828" spans="1:1" x14ac:dyDescent="0.2">
      <c r="A2828" s="101"/>
    </row>
    <row r="2829" spans="1:1" x14ac:dyDescent="0.2">
      <c r="A2829" s="101"/>
    </row>
    <row r="2830" spans="1:1" x14ac:dyDescent="0.2">
      <c r="A2830" s="101"/>
    </row>
    <row r="2831" spans="1:1" x14ac:dyDescent="0.2">
      <c r="A2831" s="101"/>
    </row>
    <row r="2832" spans="1:1" x14ac:dyDescent="0.2">
      <c r="A2832" s="101"/>
    </row>
    <row r="2833" spans="1:1" x14ac:dyDescent="0.2">
      <c r="A2833" s="101"/>
    </row>
    <row r="2834" spans="1:1" x14ac:dyDescent="0.2">
      <c r="A2834" s="101"/>
    </row>
    <row r="2835" spans="1:1" x14ac:dyDescent="0.2">
      <c r="A2835" s="101"/>
    </row>
    <row r="2836" spans="1:1" x14ac:dyDescent="0.2">
      <c r="A2836" s="101"/>
    </row>
    <row r="2837" spans="1:1" x14ac:dyDescent="0.2">
      <c r="A2837" s="101"/>
    </row>
    <row r="2838" spans="1:1" x14ac:dyDescent="0.2">
      <c r="A2838" s="101"/>
    </row>
    <row r="2839" spans="1:1" x14ac:dyDescent="0.2">
      <c r="A2839" s="101"/>
    </row>
    <row r="2840" spans="1:1" x14ac:dyDescent="0.2">
      <c r="A2840" s="101"/>
    </row>
    <row r="2841" spans="1:1" x14ac:dyDescent="0.2">
      <c r="A2841" s="101"/>
    </row>
    <row r="2842" spans="1:1" x14ac:dyDescent="0.2">
      <c r="A2842" s="101"/>
    </row>
    <row r="2843" spans="1:1" x14ac:dyDescent="0.2">
      <c r="A2843" s="101"/>
    </row>
    <row r="2844" spans="1:1" x14ac:dyDescent="0.2">
      <c r="A2844" s="101"/>
    </row>
    <row r="2845" spans="1:1" x14ac:dyDescent="0.2">
      <c r="A2845" s="101"/>
    </row>
    <row r="2846" spans="1:1" x14ac:dyDescent="0.2">
      <c r="A2846" s="101"/>
    </row>
    <row r="2847" spans="1:1" x14ac:dyDescent="0.2">
      <c r="A2847" s="101"/>
    </row>
    <row r="2848" spans="1:1" x14ac:dyDescent="0.2">
      <c r="A2848" s="101"/>
    </row>
    <row r="2849" spans="1:1" x14ac:dyDescent="0.2">
      <c r="A2849" s="101"/>
    </row>
    <row r="2850" spans="1:1" x14ac:dyDescent="0.2">
      <c r="A2850" s="101"/>
    </row>
    <row r="2851" spans="1:1" x14ac:dyDescent="0.2">
      <c r="A2851" s="101"/>
    </row>
    <row r="2852" spans="1:1" x14ac:dyDescent="0.2">
      <c r="A2852" s="101"/>
    </row>
    <row r="2853" spans="1:1" x14ac:dyDescent="0.2">
      <c r="A2853" s="101"/>
    </row>
    <row r="2854" spans="1:1" x14ac:dyDescent="0.2">
      <c r="A2854" s="101"/>
    </row>
    <row r="2855" spans="1:1" x14ac:dyDescent="0.2">
      <c r="A2855" s="101"/>
    </row>
    <row r="2856" spans="1:1" x14ac:dyDescent="0.2">
      <c r="A2856" s="101"/>
    </row>
    <row r="2857" spans="1:1" x14ac:dyDescent="0.2">
      <c r="A2857" s="101"/>
    </row>
    <row r="2858" spans="1:1" x14ac:dyDescent="0.2">
      <c r="A2858" s="101"/>
    </row>
    <row r="2859" spans="1:1" x14ac:dyDescent="0.2">
      <c r="A2859" s="101"/>
    </row>
    <row r="2860" spans="1:1" x14ac:dyDescent="0.2">
      <c r="A2860" s="101"/>
    </row>
    <row r="2861" spans="1:1" x14ac:dyDescent="0.2">
      <c r="A2861" s="101"/>
    </row>
    <row r="2862" spans="1:1" x14ac:dyDescent="0.2">
      <c r="A2862" s="101"/>
    </row>
    <row r="2863" spans="1:1" x14ac:dyDescent="0.2">
      <c r="A2863" s="101"/>
    </row>
    <row r="2864" spans="1:1" x14ac:dyDescent="0.2">
      <c r="A2864" s="101"/>
    </row>
    <row r="2865" spans="1:1" x14ac:dyDescent="0.2">
      <c r="A2865" s="101"/>
    </row>
    <row r="2866" spans="1:1" x14ac:dyDescent="0.2">
      <c r="A2866" s="101"/>
    </row>
    <row r="2867" spans="1:1" x14ac:dyDescent="0.2">
      <c r="A2867" s="101"/>
    </row>
    <row r="2868" spans="1:1" x14ac:dyDescent="0.2">
      <c r="A2868" s="101"/>
    </row>
    <row r="2869" spans="1:1" x14ac:dyDescent="0.2">
      <c r="A2869" s="101"/>
    </row>
    <row r="2870" spans="1:1" x14ac:dyDescent="0.2">
      <c r="A2870" s="101"/>
    </row>
    <row r="2871" spans="1:1" x14ac:dyDescent="0.2">
      <c r="A2871" s="101"/>
    </row>
    <row r="2872" spans="1:1" x14ac:dyDescent="0.2">
      <c r="A2872" s="101"/>
    </row>
    <row r="2873" spans="1:1" x14ac:dyDescent="0.2">
      <c r="A2873" s="101"/>
    </row>
    <row r="2874" spans="1:1" x14ac:dyDescent="0.2">
      <c r="A2874" s="101"/>
    </row>
    <row r="2875" spans="1:1" x14ac:dyDescent="0.2">
      <c r="A2875" s="101"/>
    </row>
    <row r="2876" spans="1:1" x14ac:dyDescent="0.2">
      <c r="A2876" s="101"/>
    </row>
    <row r="2877" spans="1:1" x14ac:dyDescent="0.2">
      <c r="A2877" s="101"/>
    </row>
    <row r="2878" spans="1:1" x14ac:dyDescent="0.2">
      <c r="A2878" s="101"/>
    </row>
    <row r="2879" spans="1:1" x14ac:dyDescent="0.2">
      <c r="A2879" s="101"/>
    </row>
    <row r="2880" spans="1:1" x14ac:dyDescent="0.2">
      <c r="A2880" s="101"/>
    </row>
    <row r="2881" spans="1:1" x14ac:dyDescent="0.2">
      <c r="A2881" s="101"/>
    </row>
    <row r="2882" spans="1:1" x14ac:dyDescent="0.2">
      <c r="A2882" s="101"/>
    </row>
    <row r="2883" spans="1:1" x14ac:dyDescent="0.2">
      <c r="A2883" s="101"/>
    </row>
    <row r="2884" spans="1:1" x14ac:dyDescent="0.2">
      <c r="A2884" s="101"/>
    </row>
    <row r="2885" spans="1:1" x14ac:dyDescent="0.2">
      <c r="A2885" s="101"/>
    </row>
    <row r="2886" spans="1:1" x14ac:dyDescent="0.2">
      <c r="A2886" s="101"/>
    </row>
    <row r="2887" spans="1:1" x14ac:dyDescent="0.2">
      <c r="A2887" s="101"/>
    </row>
    <row r="2888" spans="1:1" x14ac:dyDescent="0.2">
      <c r="A2888" s="101"/>
    </row>
    <row r="2889" spans="1:1" x14ac:dyDescent="0.2">
      <c r="A2889" s="101"/>
    </row>
    <row r="2890" spans="1:1" x14ac:dyDescent="0.2">
      <c r="A2890" s="101"/>
    </row>
    <row r="2891" spans="1:1" x14ac:dyDescent="0.2">
      <c r="A2891" s="101"/>
    </row>
    <row r="2892" spans="1:1" x14ac:dyDescent="0.2">
      <c r="A2892" s="101"/>
    </row>
    <row r="2893" spans="1:1" x14ac:dyDescent="0.2">
      <c r="A2893" s="101"/>
    </row>
    <row r="2894" spans="1:1" x14ac:dyDescent="0.2">
      <c r="A2894" s="101"/>
    </row>
    <row r="2895" spans="1:1" x14ac:dyDescent="0.2">
      <c r="A2895" s="101"/>
    </row>
    <row r="2896" spans="1:1" x14ac:dyDescent="0.2">
      <c r="A2896" s="101"/>
    </row>
    <row r="2897" spans="1:1" x14ac:dyDescent="0.2">
      <c r="A2897" s="101"/>
    </row>
    <row r="2898" spans="1:1" x14ac:dyDescent="0.2">
      <c r="A2898" s="101"/>
    </row>
    <row r="2899" spans="1:1" x14ac:dyDescent="0.2">
      <c r="A2899" s="101"/>
    </row>
    <row r="2900" spans="1:1" x14ac:dyDescent="0.2">
      <c r="A2900" s="101"/>
    </row>
    <row r="2901" spans="1:1" x14ac:dyDescent="0.2">
      <c r="A2901" s="101"/>
    </row>
    <row r="2902" spans="1:1" x14ac:dyDescent="0.2">
      <c r="A2902" s="101"/>
    </row>
    <row r="2903" spans="1:1" x14ac:dyDescent="0.2">
      <c r="A2903" s="101"/>
    </row>
    <row r="2904" spans="1:1" x14ac:dyDescent="0.2">
      <c r="A2904" s="101"/>
    </row>
    <row r="2905" spans="1:1" x14ac:dyDescent="0.2">
      <c r="A2905" s="101"/>
    </row>
    <row r="2906" spans="1:1" x14ac:dyDescent="0.2">
      <c r="A2906" s="101"/>
    </row>
    <row r="2907" spans="1:1" x14ac:dyDescent="0.2">
      <c r="A2907" s="101"/>
    </row>
    <row r="2908" spans="1:1" x14ac:dyDescent="0.2">
      <c r="A2908" s="101"/>
    </row>
    <row r="2909" spans="1:1" x14ac:dyDescent="0.2">
      <c r="A2909" s="101"/>
    </row>
    <row r="2910" spans="1:1" x14ac:dyDescent="0.2">
      <c r="A2910" s="101"/>
    </row>
    <row r="2911" spans="1:1" x14ac:dyDescent="0.2">
      <c r="A2911" s="101"/>
    </row>
    <row r="2912" spans="1:1" x14ac:dyDescent="0.2">
      <c r="A2912" s="101"/>
    </row>
    <row r="2913" spans="1:1" x14ac:dyDescent="0.2">
      <c r="A2913" s="101"/>
    </row>
    <row r="2914" spans="1:1" x14ac:dyDescent="0.2">
      <c r="A2914" s="101"/>
    </row>
    <row r="2915" spans="1:1" x14ac:dyDescent="0.2">
      <c r="A2915" s="101"/>
    </row>
    <row r="2916" spans="1:1" x14ac:dyDescent="0.2">
      <c r="A2916" s="101"/>
    </row>
    <row r="2917" spans="1:1" x14ac:dyDescent="0.2">
      <c r="A2917" s="101"/>
    </row>
    <row r="2918" spans="1:1" x14ac:dyDescent="0.2">
      <c r="A2918" s="101"/>
    </row>
    <row r="2919" spans="1:1" x14ac:dyDescent="0.2">
      <c r="A2919" s="101"/>
    </row>
    <row r="2920" spans="1:1" x14ac:dyDescent="0.2">
      <c r="A2920" s="101"/>
    </row>
    <row r="2921" spans="1:1" x14ac:dyDescent="0.2">
      <c r="A2921" s="101"/>
    </row>
    <row r="2922" spans="1:1" x14ac:dyDescent="0.2">
      <c r="A2922" s="101"/>
    </row>
    <row r="2923" spans="1:1" x14ac:dyDescent="0.2">
      <c r="A2923" s="101"/>
    </row>
    <row r="2924" spans="1:1" x14ac:dyDescent="0.2">
      <c r="A2924" s="101"/>
    </row>
    <row r="2925" spans="1:1" x14ac:dyDescent="0.2">
      <c r="A2925" s="101"/>
    </row>
    <row r="2926" spans="1:1" x14ac:dyDescent="0.2">
      <c r="A2926" s="101"/>
    </row>
    <row r="2927" spans="1:1" x14ac:dyDescent="0.2">
      <c r="A2927" s="101"/>
    </row>
    <row r="2928" spans="1:1" x14ac:dyDescent="0.2">
      <c r="A2928" s="101"/>
    </row>
    <row r="2929" spans="1:1" x14ac:dyDescent="0.2">
      <c r="A2929" s="101"/>
    </row>
    <row r="2930" spans="1:1" x14ac:dyDescent="0.2">
      <c r="A2930" s="101"/>
    </row>
    <row r="2931" spans="1:1" x14ac:dyDescent="0.2">
      <c r="A2931" s="101"/>
    </row>
    <row r="2932" spans="1:1" x14ac:dyDescent="0.2">
      <c r="A2932" s="101"/>
    </row>
    <row r="2933" spans="1:1" x14ac:dyDescent="0.2">
      <c r="A2933" s="101"/>
    </row>
    <row r="2934" spans="1:1" x14ac:dyDescent="0.2">
      <c r="A2934" s="101"/>
    </row>
    <row r="2935" spans="1:1" x14ac:dyDescent="0.2">
      <c r="A2935" s="101"/>
    </row>
    <row r="2936" spans="1:1" x14ac:dyDescent="0.2">
      <c r="A2936" s="101"/>
    </row>
    <row r="2937" spans="1:1" x14ac:dyDescent="0.2">
      <c r="A2937" s="101"/>
    </row>
    <row r="2938" spans="1:1" x14ac:dyDescent="0.2">
      <c r="A2938" s="101"/>
    </row>
    <row r="2939" spans="1:1" x14ac:dyDescent="0.2">
      <c r="A2939" s="101"/>
    </row>
    <row r="2940" spans="1:1" x14ac:dyDescent="0.2">
      <c r="A2940" s="101"/>
    </row>
    <row r="2941" spans="1:1" x14ac:dyDescent="0.2">
      <c r="A2941" s="101"/>
    </row>
    <row r="2942" spans="1:1" x14ac:dyDescent="0.2">
      <c r="A2942" s="101"/>
    </row>
    <row r="2943" spans="1:1" x14ac:dyDescent="0.2">
      <c r="A2943" s="101"/>
    </row>
    <row r="2944" spans="1:1" x14ac:dyDescent="0.2">
      <c r="A2944" s="101"/>
    </row>
    <row r="2945" spans="1:1" x14ac:dyDescent="0.2">
      <c r="A2945" s="101"/>
    </row>
    <row r="2946" spans="1:1" x14ac:dyDescent="0.2">
      <c r="A2946" s="101"/>
    </row>
    <row r="2947" spans="1:1" x14ac:dyDescent="0.2">
      <c r="A2947" s="101"/>
    </row>
    <row r="2948" spans="1:1" x14ac:dyDescent="0.2">
      <c r="A2948" s="101"/>
    </row>
    <row r="2949" spans="1:1" x14ac:dyDescent="0.2">
      <c r="A2949" s="101"/>
    </row>
    <row r="2950" spans="1:1" x14ac:dyDescent="0.2">
      <c r="A2950" s="101"/>
    </row>
    <row r="2951" spans="1:1" x14ac:dyDescent="0.2">
      <c r="A2951" s="101"/>
    </row>
    <row r="2952" spans="1:1" x14ac:dyDescent="0.2">
      <c r="A2952" s="101"/>
    </row>
    <row r="2953" spans="1:1" x14ac:dyDescent="0.2">
      <c r="A2953" s="101"/>
    </row>
    <row r="2954" spans="1:1" x14ac:dyDescent="0.2">
      <c r="A2954" s="101"/>
    </row>
    <row r="2955" spans="1:1" x14ac:dyDescent="0.2">
      <c r="A2955" s="101"/>
    </row>
    <row r="2956" spans="1:1" x14ac:dyDescent="0.2">
      <c r="A2956" s="101"/>
    </row>
    <row r="2957" spans="1:1" x14ac:dyDescent="0.2">
      <c r="A2957" s="101"/>
    </row>
    <row r="2958" spans="1:1" x14ac:dyDescent="0.2">
      <c r="A2958" s="101"/>
    </row>
    <row r="2959" spans="1:1" x14ac:dyDescent="0.2">
      <c r="A2959" s="101"/>
    </row>
    <row r="2960" spans="1:1" x14ac:dyDescent="0.2">
      <c r="A2960" s="101"/>
    </row>
    <row r="2961" spans="1:1" x14ac:dyDescent="0.2">
      <c r="A2961" s="101"/>
    </row>
    <row r="2962" spans="1:1" x14ac:dyDescent="0.2">
      <c r="A2962" s="101"/>
    </row>
    <row r="2963" spans="1:1" x14ac:dyDescent="0.2">
      <c r="A2963" s="101"/>
    </row>
    <row r="2964" spans="1:1" x14ac:dyDescent="0.2">
      <c r="A2964" s="101"/>
    </row>
    <row r="2965" spans="1:1" x14ac:dyDescent="0.2">
      <c r="A2965" s="101"/>
    </row>
    <row r="2966" spans="1:1" x14ac:dyDescent="0.2">
      <c r="A2966" s="101"/>
    </row>
    <row r="2967" spans="1:1" x14ac:dyDescent="0.2">
      <c r="A2967" s="101"/>
    </row>
    <row r="2968" spans="1:1" x14ac:dyDescent="0.2">
      <c r="A2968" s="101"/>
    </row>
    <row r="2969" spans="1:1" x14ac:dyDescent="0.2">
      <c r="A2969" s="101"/>
    </row>
    <row r="2970" spans="1:1" x14ac:dyDescent="0.2">
      <c r="A2970" s="101"/>
    </row>
    <row r="2971" spans="1:1" x14ac:dyDescent="0.2">
      <c r="A2971" s="101"/>
    </row>
    <row r="2972" spans="1:1" x14ac:dyDescent="0.2">
      <c r="A2972" s="101"/>
    </row>
    <row r="2973" spans="1:1" x14ac:dyDescent="0.2">
      <c r="A2973" s="101"/>
    </row>
    <row r="2974" spans="1:1" x14ac:dyDescent="0.2">
      <c r="A2974" s="101"/>
    </row>
    <row r="2975" spans="1:1" x14ac:dyDescent="0.2">
      <c r="A2975" s="101"/>
    </row>
    <row r="2976" spans="1:1" x14ac:dyDescent="0.2">
      <c r="A2976" s="101"/>
    </row>
    <row r="2977" spans="1:1" x14ac:dyDescent="0.2">
      <c r="A2977" s="101"/>
    </row>
    <row r="2978" spans="1:1" x14ac:dyDescent="0.2">
      <c r="A2978" s="101"/>
    </row>
    <row r="2979" spans="1:1" x14ac:dyDescent="0.2">
      <c r="A2979" s="101"/>
    </row>
    <row r="2980" spans="1:1" x14ac:dyDescent="0.2">
      <c r="A2980" s="101"/>
    </row>
    <row r="2981" spans="1:1" x14ac:dyDescent="0.2">
      <c r="A2981" s="101"/>
    </row>
    <row r="2982" spans="1:1" x14ac:dyDescent="0.2">
      <c r="A2982" s="101"/>
    </row>
    <row r="2983" spans="1:1" x14ac:dyDescent="0.2">
      <c r="A2983" s="101"/>
    </row>
    <row r="2984" spans="1:1" x14ac:dyDescent="0.2">
      <c r="A2984" s="101"/>
    </row>
    <row r="2985" spans="1:1" x14ac:dyDescent="0.2">
      <c r="A2985" s="101"/>
    </row>
    <row r="2986" spans="1:1" x14ac:dyDescent="0.2">
      <c r="A2986" s="101"/>
    </row>
    <row r="2987" spans="1:1" x14ac:dyDescent="0.2">
      <c r="A2987" s="101"/>
    </row>
    <row r="2988" spans="1:1" x14ac:dyDescent="0.2">
      <c r="A2988" s="101"/>
    </row>
    <row r="2989" spans="1:1" x14ac:dyDescent="0.2">
      <c r="A2989" s="101"/>
    </row>
    <row r="2990" spans="1:1" x14ac:dyDescent="0.2">
      <c r="A2990" s="101"/>
    </row>
    <row r="2991" spans="1:1" x14ac:dyDescent="0.2">
      <c r="A2991" s="101"/>
    </row>
    <row r="2992" spans="1:1" x14ac:dyDescent="0.2">
      <c r="A2992" s="101"/>
    </row>
    <row r="2993" spans="1:1" x14ac:dyDescent="0.2">
      <c r="A2993" s="101"/>
    </row>
    <row r="2994" spans="1:1" x14ac:dyDescent="0.2">
      <c r="A2994" s="101"/>
    </row>
    <row r="2995" spans="1:1" x14ac:dyDescent="0.2">
      <c r="A2995" s="101"/>
    </row>
    <row r="2996" spans="1:1" x14ac:dyDescent="0.2">
      <c r="A2996" s="101"/>
    </row>
    <row r="2997" spans="1:1" x14ac:dyDescent="0.2">
      <c r="A2997" s="101"/>
    </row>
    <row r="2998" spans="1:1" x14ac:dyDescent="0.2">
      <c r="A2998" s="101"/>
    </row>
    <row r="2999" spans="1:1" x14ac:dyDescent="0.2">
      <c r="A2999" s="101"/>
    </row>
    <row r="3000" spans="1:1" x14ac:dyDescent="0.2">
      <c r="A3000" s="101"/>
    </row>
    <row r="3001" spans="1:1" x14ac:dyDescent="0.2">
      <c r="A3001" s="101"/>
    </row>
    <row r="3002" spans="1:1" x14ac:dyDescent="0.2">
      <c r="A3002" s="101"/>
    </row>
    <row r="3003" spans="1:1" x14ac:dyDescent="0.2">
      <c r="A3003" s="101"/>
    </row>
    <row r="3004" spans="1:1" x14ac:dyDescent="0.2">
      <c r="A3004" s="101"/>
    </row>
    <row r="3005" spans="1:1" x14ac:dyDescent="0.2">
      <c r="A3005" s="101"/>
    </row>
    <row r="3006" spans="1:1" x14ac:dyDescent="0.2">
      <c r="A3006" s="101"/>
    </row>
    <row r="3007" spans="1:1" x14ac:dyDescent="0.2">
      <c r="A3007" s="101"/>
    </row>
    <row r="3008" spans="1:1" x14ac:dyDescent="0.2">
      <c r="A3008" s="101"/>
    </row>
    <row r="3009" spans="1:1" x14ac:dyDescent="0.2">
      <c r="A3009" s="101"/>
    </row>
    <row r="3010" spans="1:1" x14ac:dyDescent="0.2">
      <c r="A3010" s="101"/>
    </row>
    <row r="3011" spans="1:1" x14ac:dyDescent="0.2">
      <c r="A3011" s="101"/>
    </row>
    <row r="3012" spans="1:1" x14ac:dyDescent="0.2">
      <c r="A3012" s="101"/>
    </row>
    <row r="3013" spans="1:1" x14ac:dyDescent="0.2">
      <c r="A3013" s="101"/>
    </row>
    <row r="3014" spans="1:1" x14ac:dyDescent="0.2">
      <c r="A3014" s="101"/>
    </row>
    <row r="3015" spans="1:1" x14ac:dyDescent="0.2">
      <c r="A3015" s="101"/>
    </row>
    <row r="3016" spans="1:1" x14ac:dyDescent="0.2">
      <c r="A3016" s="101"/>
    </row>
    <row r="3017" spans="1:1" x14ac:dyDescent="0.2">
      <c r="A3017" s="101"/>
    </row>
    <row r="3018" spans="1:1" x14ac:dyDescent="0.2">
      <c r="A3018" s="101"/>
    </row>
    <row r="3019" spans="1:1" x14ac:dyDescent="0.2">
      <c r="A3019" s="101"/>
    </row>
    <row r="3020" spans="1:1" x14ac:dyDescent="0.2">
      <c r="A3020" s="101"/>
    </row>
    <row r="3021" spans="1:1" x14ac:dyDescent="0.2">
      <c r="A3021" s="101"/>
    </row>
    <row r="3022" spans="1:1" x14ac:dyDescent="0.2">
      <c r="A3022" s="101"/>
    </row>
    <row r="3023" spans="1:1" x14ac:dyDescent="0.2">
      <c r="A3023" s="101"/>
    </row>
    <row r="3024" spans="1:1" x14ac:dyDescent="0.2">
      <c r="A3024" s="101"/>
    </row>
    <row r="3025" spans="1:1" x14ac:dyDescent="0.2">
      <c r="A3025" s="101"/>
    </row>
    <row r="3026" spans="1:1" x14ac:dyDescent="0.2">
      <c r="A3026" s="101"/>
    </row>
    <row r="3027" spans="1:1" x14ac:dyDescent="0.2">
      <c r="A3027" s="101"/>
    </row>
    <row r="3028" spans="1:1" x14ac:dyDescent="0.2">
      <c r="A3028" s="101"/>
    </row>
    <row r="3029" spans="1:1" x14ac:dyDescent="0.2">
      <c r="A3029" s="101"/>
    </row>
    <row r="3030" spans="1:1" x14ac:dyDescent="0.2">
      <c r="A3030" s="101"/>
    </row>
    <row r="3031" spans="1:1" x14ac:dyDescent="0.2">
      <c r="A3031" s="101"/>
    </row>
    <row r="3032" spans="1:1" x14ac:dyDescent="0.2">
      <c r="A3032" s="101"/>
    </row>
    <row r="3033" spans="1:1" x14ac:dyDescent="0.2">
      <c r="A3033" s="101"/>
    </row>
    <row r="3034" spans="1:1" x14ac:dyDescent="0.2">
      <c r="A3034" s="101"/>
    </row>
    <row r="3035" spans="1:1" x14ac:dyDescent="0.2">
      <c r="A3035" s="101"/>
    </row>
    <row r="3036" spans="1:1" x14ac:dyDescent="0.2">
      <c r="A3036" s="101"/>
    </row>
    <row r="3037" spans="1:1" x14ac:dyDescent="0.2">
      <c r="A3037" s="101"/>
    </row>
    <row r="3038" spans="1:1" x14ac:dyDescent="0.2">
      <c r="A3038" s="101"/>
    </row>
    <row r="3039" spans="1:1" x14ac:dyDescent="0.2">
      <c r="A3039" s="101"/>
    </row>
    <row r="3040" spans="1:1" x14ac:dyDescent="0.2">
      <c r="A3040" s="101"/>
    </row>
    <row r="3041" spans="1:1" x14ac:dyDescent="0.2">
      <c r="A3041" s="101"/>
    </row>
    <row r="3042" spans="1:1" x14ac:dyDescent="0.2">
      <c r="A3042" s="101"/>
    </row>
    <row r="3043" spans="1:1" x14ac:dyDescent="0.2">
      <c r="A3043" s="101"/>
    </row>
    <row r="3044" spans="1:1" x14ac:dyDescent="0.2">
      <c r="A3044" s="101"/>
    </row>
    <row r="3045" spans="1:1" x14ac:dyDescent="0.2">
      <c r="A3045" s="101"/>
    </row>
    <row r="3046" spans="1:1" x14ac:dyDescent="0.2">
      <c r="A3046" s="101"/>
    </row>
    <row r="3047" spans="1:1" x14ac:dyDescent="0.2">
      <c r="A3047" s="101"/>
    </row>
    <row r="3048" spans="1:1" x14ac:dyDescent="0.2">
      <c r="A3048" s="101"/>
    </row>
    <row r="3049" spans="1:1" x14ac:dyDescent="0.2">
      <c r="A3049" s="101"/>
    </row>
    <row r="3050" spans="1:1" x14ac:dyDescent="0.2">
      <c r="A3050" s="101"/>
    </row>
    <row r="3051" spans="1:1" x14ac:dyDescent="0.2">
      <c r="A3051" s="101"/>
    </row>
    <row r="3052" spans="1:1" x14ac:dyDescent="0.2">
      <c r="A3052" s="101"/>
    </row>
    <row r="3053" spans="1:1" x14ac:dyDescent="0.2">
      <c r="A3053" s="101"/>
    </row>
    <row r="3054" spans="1:1" x14ac:dyDescent="0.2">
      <c r="A3054" s="101"/>
    </row>
    <row r="3055" spans="1:1" x14ac:dyDescent="0.2">
      <c r="A3055" s="101"/>
    </row>
    <row r="3056" spans="1:1" x14ac:dyDescent="0.2">
      <c r="A3056" s="101"/>
    </row>
    <row r="3057" spans="1:1" x14ac:dyDescent="0.2">
      <c r="A3057" s="101"/>
    </row>
    <row r="3058" spans="1:1" x14ac:dyDescent="0.2">
      <c r="A3058" s="101"/>
    </row>
    <row r="3059" spans="1:1" x14ac:dyDescent="0.2">
      <c r="A3059" s="101"/>
    </row>
    <row r="3060" spans="1:1" x14ac:dyDescent="0.2">
      <c r="A3060" s="101"/>
    </row>
    <row r="3061" spans="1:1" x14ac:dyDescent="0.2">
      <c r="A3061" s="101"/>
    </row>
    <row r="3062" spans="1:1" x14ac:dyDescent="0.2">
      <c r="A3062" s="101"/>
    </row>
    <row r="3063" spans="1:1" x14ac:dyDescent="0.2">
      <c r="A3063" s="101"/>
    </row>
    <row r="3064" spans="1:1" x14ac:dyDescent="0.2">
      <c r="A3064" s="101"/>
    </row>
    <row r="3065" spans="1:1" x14ac:dyDescent="0.2">
      <c r="A3065" s="101"/>
    </row>
    <row r="3066" spans="1:1" x14ac:dyDescent="0.2">
      <c r="A3066" s="101"/>
    </row>
    <row r="3067" spans="1:1" x14ac:dyDescent="0.2">
      <c r="A3067" s="101"/>
    </row>
    <row r="3068" spans="1:1" x14ac:dyDescent="0.2">
      <c r="A3068" s="101"/>
    </row>
    <row r="3069" spans="1:1" x14ac:dyDescent="0.2">
      <c r="A3069" s="101"/>
    </row>
    <row r="3070" spans="1:1" x14ac:dyDescent="0.2">
      <c r="A3070" s="101"/>
    </row>
    <row r="3071" spans="1:1" x14ac:dyDescent="0.2">
      <c r="A3071" s="101"/>
    </row>
    <row r="3072" spans="1:1" x14ac:dyDescent="0.2">
      <c r="A3072" s="101"/>
    </row>
    <row r="3073" spans="1:1" x14ac:dyDescent="0.2">
      <c r="A3073" s="101"/>
    </row>
    <row r="3074" spans="1:1" x14ac:dyDescent="0.2">
      <c r="A3074" s="101"/>
    </row>
    <row r="3075" spans="1:1" x14ac:dyDescent="0.2">
      <c r="A3075" s="101"/>
    </row>
    <row r="3076" spans="1:1" x14ac:dyDescent="0.2">
      <c r="A3076" s="101"/>
    </row>
    <row r="3077" spans="1:1" x14ac:dyDescent="0.2">
      <c r="A3077" s="101"/>
    </row>
    <row r="3078" spans="1:1" x14ac:dyDescent="0.2">
      <c r="A3078" s="101"/>
    </row>
    <row r="3079" spans="1:1" x14ac:dyDescent="0.2">
      <c r="A3079" s="101"/>
    </row>
    <row r="3080" spans="1:1" x14ac:dyDescent="0.2">
      <c r="A3080" s="101"/>
    </row>
    <row r="3081" spans="1:1" x14ac:dyDescent="0.2">
      <c r="A3081" s="101"/>
    </row>
    <row r="3082" spans="1:1" x14ac:dyDescent="0.2">
      <c r="A3082" s="101"/>
    </row>
    <row r="3083" spans="1:1" x14ac:dyDescent="0.2">
      <c r="A3083" s="101"/>
    </row>
    <row r="3084" spans="1:1" x14ac:dyDescent="0.2">
      <c r="A3084" s="101"/>
    </row>
    <row r="3085" spans="1:1" x14ac:dyDescent="0.2">
      <c r="A3085" s="101"/>
    </row>
    <row r="3086" spans="1:1" x14ac:dyDescent="0.2">
      <c r="A3086" s="101"/>
    </row>
    <row r="3087" spans="1:1" x14ac:dyDescent="0.2">
      <c r="A3087" s="101"/>
    </row>
    <row r="3088" spans="1:1" x14ac:dyDescent="0.2">
      <c r="A3088" s="101"/>
    </row>
    <row r="3089" spans="1:1" x14ac:dyDescent="0.2">
      <c r="A3089" s="101"/>
    </row>
    <row r="3090" spans="1:1" x14ac:dyDescent="0.2">
      <c r="A3090" s="101"/>
    </row>
    <row r="3091" spans="1:1" x14ac:dyDescent="0.2">
      <c r="A3091" s="101"/>
    </row>
    <row r="3092" spans="1:1" x14ac:dyDescent="0.2">
      <c r="A3092" s="101"/>
    </row>
    <row r="3093" spans="1:1" x14ac:dyDescent="0.2">
      <c r="A3093" s="101"/>
    </row>
    <row r="3094" spans="1:1" x14ac:dyDescent="0.2">
      <c r="A3094" s="101"/>
    </row>
    <row r="3095" spans="1:1" x14ac:dyDescent="0.2">
      <c r="A3095" s="101"/>
    </row>
    <row r="3096" spans="1:1" x14ac:dyDescent="0.2">
      <c r="A3096" s="101"/>
    </row>
    <row r="3097" spans="1:1" x14ac:dyDescent="0.2">
      <c r="A3097" s="101"/>
    </row>
    <row r="3098" spans="1:1" x14ac:dyDescent="0.2">
      <c r="A3098" s="101"/>
    </row>
    <row r="3099" spans="1:1" x14ac:dyDescent="0.2">
      <c r="A3099" s="101"/>
    </row>
    <row r="3100" spans="1:1" x14ac:dyDescent="0.2">
      <c r="A3100" s="101"/>
    </row>
    <row r="3101" spans="1:1" x14ac:dyDescent="0.2">
      <c r="A3101" s="101"/>
    </row>
    <row r="3102" spans="1:1" x14ac:dyDescent="0.2">
      <c r="A3102" s="101"/>
    </row>
    <row r="3103" spans="1:1" x14ac:dyDescent="0.2">
      <c r="A3103" s="101"/>
    </row>
    <row r="3104" spans="1:1" x14ac:dyDescent="0.2">
      <c r="A3104" s="101"/>
    </row>
    <row r="3105" spans="1:1" x14ac:dyDescent="0.2">
      <c r="A3105" s="101"/>
    </row>
    <row r="3106" spans="1:1" x14ac:dyDescent="0.2">
      <c r="A3106" s="101"/>
    </row>
    <row r="3107" spans="1:1" x14ac:dyDescent="0.2">
      <c r="A3107" s="101"/>
    </row>
    <row r="3108" spans="1:1" x14ac:dyDescent="0.2">
      <c r="A3108" s="101"/>
    </row>
    <row r="3109" spans="1:1" x14ac:dyDescent="0.2">
      <c r="A3109" s="101"/>
    </row>
    <row r="3110" spans="1:1" x14ac:dyDescent="0.2">
      <c r="A3110" s="101"/>
    </row>
    <row r="3111" spans="1:1" x14ac:dyDescent="0.2">
      <c r="A3111" s="101"/>
    </row>
    <row r="3112" spans="1:1" x14ac:dyDescent="0.2">
      <c r="A3112" s="101"/>
    </row>
    <row r="3113" spans="1:1" x14ac:dyDescent="0.2">
      <c r="A3113" s="101"/>
    </row>
    <row r="3114" spans="1:1" x14ac:dyDescent="0.2">
      <c r="A3114" s="101"/>
    </row>
    <row r="3115" spans="1:1" x14ac:dyDescent="0.2">
      <c r="A3115" s="101"/>
    </row>
    <row r="3116" spans="1:1" x14ac:dyDescent="0.2">
      <c r="A3116" s="101"/>
    </row>
    <row r="3117" spans="1:1" x14ac:dyDescent="0.2">
      <c r="A3117" s="101"/>
    </row>
    <row r="3118" spans="1:1" x14ac:dyDescent="0.2">
      <c r="A3118" s="101"/>
    </row>
    <row r="3119" spans="1:1" x14ac:dyDescent="0.2">
      <c r="A3119" s="101"/>
    </row>
    <row r="3120" spans="1:1" x14ac:dyDescent="0.2">
      <c r="A3120" s="101"/>
    </row>
    <row r="3121" spans="1:1" x14ac:dyDescent="0.2">
      <c r="A3121" s="101"/>
    </row>
    <row r="3122" spans="1:1" x14ac:dyDescent="0.2">
      <c r="A3122" s="101"/>
    </row>
    <row r="3123" spans="1:1" x14ac:dyDescent="0.2">
      <c r="A3123" s="101"/>
    </row>
    <row r="3124" spans="1:1" x14ac:dyDescent="0.2">
      <c r="A3124" s="101"/>
    </row>
    <row r="3125" spans="1:1" x14ac:dyDescent="0.2">
      <c r="A3125" s="101"/>
    </row>
    <row r="3126" spans="1:1" x14ac:dyDescent="0.2">
      <c r="A3126" s="101"/>
    </row>
    <row r="3127" spans="1:1" x14ac:dyDescent="0.2">
      <c r="A3127" s="101"/>
    </row>
    <row r="3128" spans="1:1" x14ac:dyDescent="0.2">
      <c r="A3128" s="101"/>
    </row>
    <row r="3129" spans="1:1" x14ac:dyDescent="0.2">
      <c r="A3129" s="101"/>
    </row>
    <row r="3130" spans="1:1" x14ac:dyDescent="0.2">
      <c r="A3130" s="101"/>
    </row>
    <row r="3131" spans="1:1" x14ac:dyDescent="0.2">
      <c r="A3131" s="101"/>
    </row>
    <row r="3132" spans="1:1" x14ac:dyDescent="0.2">
      <c r="A3132" s="101"/>
    </row>
    <row r="3133" spans="1:1" x14ac:dyDescent="0.2">
      <c r="A3133" s="101"/>
    </row>
    <row r="3134" spans="1:1" x14ac:dyDescent="0.2">
      <c r="A3134" s="101"/>
    </row>
    <row r="3135" spans="1:1" x14ac:dyDescent="0.2">
      <c r="A3135" s="101"/>
    </row>
    <row r="3136" spans="1:1" x14ac:dyDescent="0.2">
      <c r="A3136" s="101"/>
    </row>
    <row r="3137" spans="1:1" x14ac:dyDescent="0.2">
      <c r="A3137" s="101"/>
    </row>
    <row r="3138" spans="1:1" x14ac:dyDescent="0.2">
      <c r="A3138" s="101"/>
    </row>
    <row r="3139" spans="1:1" x14ac:dyDescent="0.2">
      <c r="A3139" s="101"/>
    </row>
    <row r="3140" spans="1:1" x14ac:dyDescent="0.2">
      <c r="A3140" s="101"/>
    </row>
    <row r="3141" spans="1:1" x14ac:dyDescent="0.2">
      <c r="A3141" s="101"/>
    </row>
    <row r="3142" spans="1:1" x14ac:dyDescent="0.2">
      <c r="A3142" s="101"/>
    </row>
    <row r="3143" spans="1:1" x14ac:dyDescent="0.2">
      <c r="A3143" s="101"/>
    </row>
    <row r="3144" spans="1:1" x14ac:dyDescent="0.2">
      <c r="A3144" s="101"/>
    </row>
    <row r="3145" spans="1:1" x14ac:dyDescent="0.2">
      <c r="A3145" s="101"/>
    </row>
    <row r="3146" spans="1:1" x14ac:dyDescent="0.2">
      <c r="A3146" s="101"/>
    </row>
    <row r="3147" spans="1:1" x14ac:dyDescent="0.2">
      <c r="A3147" s="101"/>
    </row>
    <row r="3148" spans="1:1" x14ac:dyDescent="0.2">
      <c r="A3148" s="101"/>
    </row>
    <row r="3149" spans="1:1" x14ac:dyDescent="0.2">
      <c r="A3149" s="101"/>
    </row>
    <row r="3150" spans="1:1" x14ac:dyDescent="0.2">
      <c r="A3150" s="101"/>
    </row>
    <row r="3151" spans="1:1" x14ac:dyDescent="0.2">
      <c r="A3151" s="101"/>
    </row>
    <row r="3152" spans="1:1" x14ac:dyDescent="0.2">
      <c r="A3152" s="101"/>
    </row>
    <row r="3153" spans="1:1" x14ac:dyDescent="0.2">
      <c r="A3153" s="101"/>
    </row>
    <row r="3154" spans="1:1" x14ac:dyDescent="0.2">
      <c r="A3154" s="101"/>
    </row>
    <row r="3155" spans="1:1" x14ac:dyDescent="0.2">
      <c r="A3155" s="101"/>
    </row>
    <row r="3156" spans="1:1" x14ac:dyDescent="0.2">
      <c r="A3156" s="101"/>
    </row>
    <row r="3157" spans="1:1" x14ac:dyDescent="0.2">
      <c r="A3157" s="101"/>
    </row>
    <row r="3158" spans="1:1" x14ac:dyDescent="0.2">
      <c r="A3158" s="101"/>
    </row>
    <row r="3159" spans="1:1" x14ac:dyDescent="0.2">
      <c r="A3159" s="101"/>
    </row>
    <row r="3160" spans="1:1" x14ac:dyDescent="0.2">
      <c r="A3160" s="101"/>
    </row>
    <row r="3161" spans="1:1" x14ac:dyDescent="0.2">
      <c r="A3161" s="101"/>
    </row>
    <row r="3162" spans="1:1" x14ac:dyDescent="0.2">
      <c r="A3162" s="101"/>
    </row>
    <row r="3163" spans="1:1" x14ac:dyDescent="0.2">
      <c r="A3163" s="101"/>
    </row>
    <row r="3164" spans="1:1" x14ac:dyDescent="0.2">
      <c r="A3164" s="101"/>
    </row>
    <row r="3165" spans="1:1" x14ac:dyDescent="0.2">
      <c r="A3165" s="101"/>
    </row>
    <row r="3166" spans="1:1" x14ac:dyDescent="0.2">
      <c r="A3166" s="101"/>
    </row>
    <row r="3167" spans="1:1" x14ac:dyDescent="0.2">
      <c r="A3167" s="101"/>
    </row>
    <row r="3168" spans="1:1" x14ac:dyDescent="0.2">
      <c r="A3168" s="101"/>
    </row>
    <row r="3169" spans="1:1" x14ac:dyDescent="0.2">
      <c r="A3169" s="101"/>
    </row>
    <row r="3170" spans="1:1" x14ac:dyDescent="0.2">
      <c r="A3170" s="101"/>
    </row>
    <row r="3171" spans="1:1" x14ac:dyDescent="0.2">
      <c r="A3171" s="101"/>
    </row>
    <row r="3172" spans="1:1" x14ac:dyDescent="0.2">
      <c r="A3172" s="101"/>
    </row>
    <row r="3173" spans="1:1" x14ac:dyDescent="0.2">
      <c r="A3173" s="101"/>
    </row>
    <row r="3174" spans="1:1" x14ac:dyDescent="0.2">
      <c r="A3174" s="101"/>
    </row>
    <row r="3175" spans="1:1" x14ac:dyDescent="0.2">
      <c r="A3175" s="101"/>
    </row>
    <row r="3176" spans="1:1" x14ac:dyDescent="0.2">
      <c r="A3176" s="101"/>
    </row>
    <row r="3177" spans="1:1" x14ac:dyDescent="0.2">
      <c r="A3177" s="101"/>
    </row>
    <row r="3178" spans="1:1" x14ac:dyDescent="0.2">
      <c r="A3178" s="101"/>
    </row>
    <row r="3179" spans="1:1" x14ac:dyDescent="0.2">
      <c r="A3179" s="101"/>
    </row>
    <row r="3180" spans="1:1" x14ac:dyDescent="0.2">
      <c r="A3180" s="101"/>
    </row>
    <row r="3181" spans="1:1" x14ac:dyDescent="0.2">
      <c r="A3181" s="101"/>
    </row>
    <row r="3182" spans="1:1" x14ac:dyDescent="0.2">
      <c r="A3182" s="101"/>
    </row>
    <row r="3183" spans="1:1" x14ac:dyDescent="0.2">
      <c r="A3183" s="101"/>
    </row>
    <row r="3184" spans="1:1" x14ac:dyDescent="0.2">
      <c r="A3184" s="101"/>
    </row>
    <row r="3185" spans="1:1" x14ac:dyDescent="0.2">
      <c r="A3185" s="101"/>
    </row>
    <row r="3186" spans="1:1" x14ac:dyDescent="0.2">
      <c r="A3186" s="101"/>
    </row>
    <row r="3187" spans="1:1" x14ac:dyDescent="0.2">
      <c r="A3187" s="101"/>
    </row>
    <row r="3188" spans="1:1" x14ac:dyDescent="0.2">
      <c r="A3188" s="101"/>
    </row>
    <row r="3189" spans="1:1" x14ac:dyDescent="0.2">
      <c r="A3189" s="101"/>
    </row>
    <row r="3190" spans="1:1" x14ac:dyDescent="0.2">
      <c r="A3190" s="101"/>
    </row>
    <row r="3191" spans="1:1" x14ac:dyDescent="0.2">
      <c r="A3191" s="101"/>
    </row>
    <row r="3192" spans="1:1" x14ac:dyDescent="0.2">
      <c r="A3192" s="101"/>
    </row>
    <row r="3193" spans="1:1" x14ac:dyDescent="0.2">
      <c r="A3193" s="101"/>
    </row>
    <row r="3194" spans="1:1" x14ac:dyDescent="0.2">
      <c r="A3194" s="101"/>
    </row>
    <row r="3195" spans="1:1" x14ac:dyDescent="0.2">
      <c r="A3195" s="101"/>
    </row>
    <row r="3196" spans="1:1" x14ac:dyDescent="0.2">
      <c r="A3196" s="101"/>
    </row>
    <row r="3197" spans="1:1" x14ac:dyDescent="0.2">
      <c r="A3197" s="101"/>
    </row>
    <row r="3198" spans="1:1" x14ac:dyDescent="0.2">
      <c r="A3198" s="101"/>
    </row>
    <row r="3199" spans="1:1" x14ac:dyDescent="0.2">
      <c r="A3199" s="101"/>
    </row>
    <row r="3200" spans="1:1" x14ac:dyDescent="0.2">
      <c r="A3200" s="101"/>
    </row>
    <row r="3201" spans="1:1" x14ac:dyDescent="0.2">
      <c r="A3201" s="101"/>
    </row>
    <row r="3202" spans="1:1" x14ac:dyDescent="0.2">
      <c r="A3202" s="101"/>
    </row>
    <row r="3203" spans="1:1" x14ac:dyDescent="0.2">
      <c r="A3203" s="101"/>
    </row>
    <row r="3204" spans="1:1" x14ac:dyDescent="0.2">
      <c r="A3204" s="101"/>
    </row>
    <row r="3205" spans="1:1" x14ac:dyDescent="0.2">
      <c r="A3205" s="101"/>
    </row>
    <row r="3206" spans="1:1" x14ac:dyDescent="0.2">
      <c r="A3206" s="101"/>
    </row>
    <row r="3207" spans="1:1" x14ac:dyDescent="0.2">
      <c r="A3207" s="101"/>
    </row>
    <row r="3208" spans="1:1" x14ac:dyDescent="0.2">
      <c r="A3208" s="101"/>
    </row>
    <row r="3209" spans="1:1" x14ac:dyDescent="0.2">
      <c r="A3209" s="101"/>
    </row>
    <row r="3210" spans="1:1" x14ac:dyDescent="0.2">
      <c r="A3210" s="101"/>
    </row>
    <row r="3211" spans="1:1" x14ac:dyDescent="0.2">
      <c r="A3211" s="101"/>
    </row>
    <row r="3212" spans="1:1" x14ac:dyDescent="0.2">
      <c r="A3212" s="101"/>
    </row>
    <row r="3213" spans="1:1" x14ac:dyDescent="0.2">
      <c r="A3213" s="101"/>
    </row>
    <row r="3214" spans="1:1" x14ac:dyDescent="0.2">
      <c r="A3214" s="101"/>
    </row>
    <row r="3215" spans="1:1" x14ac:dyDescent="0.2">
      <c r="A3215" s="101"/>
    </row>
    <row r="3216" spans="1:1" x14ac:dyDescent="0.2">
      <c r="A3216" s="101"/>
    </row>
    <row r="3217" spans="1:1" x14ac:dyDescent="0.2">
      <c r="A3217" s="101"/>
    </row>
    <row r="3218" spans="1:1" x14ac:dyDescent="0.2">
      <c r="A3218" s="101"/>
    </row>
    <row r="3219" spans="1:1" x14ac:dyDescent="0.2">
      <c r="A3219" s="101"/>
    </row>
    <row r="3220" spans="1:1" x14ac:dyDescent="0.2">
      <c r="A3220" s="101"/>
    </row>
    <row r="3221" spans="1:1" x14ac:dyDescent="0.2">
      <c r="A3221" s="101"/>
    </row>
    <row r="3222" spans="1:1" x14ac:dyDescent="0.2">
      <c r="A3222" s="101"/>
    </row>
    <row r="3223" spans="1:1" x14ac:dyDescent="0.2">
      <c r="A3223" s="101"/>
    </row>
    <row r="3224" spans="1:1" x14ac:dyDescent="0.2">
      <c r="A3224" s="101"/>
    </row>
    <row r="3225" spans="1:1" x14ac:dyDescent="0.2">
      <c r="A3225" s="101"/>
    </row>
    <row r="3226" spans="1:1" x14ac:dyDescent="0.2">
      <c r="A3226" s="101"/>
    </row>
    <row r="3227" spans="1:1" x14ac:dyDescent="0.2">
      <c r="A3227" s="101"/>
    </row>
    <row r="3228" spans="1:1" x14ac:dyDescent="0.2">
      <c r="A3228" s="101"/>
    </row>
    <row r="3229" spans="1:1" x14ac:dyDescent="0.2">
      <c r="A3229" s="101"/>
    </row>
    <row r="3230" spans="1:1" x14ac:dyDescent="0.2">
      <c r="A3230" s="101"/>
    </row>
    <row r="3231" spans="1:1" x14ac:dyDescent="0.2">
      <c r="A3231" s="101"/>
    </row>
    <row r="3232" spans="1:1" x14ac:dyDescent="0.2">
      <c r="A3232" s="101"/>
    </row>
    <row r="3233" spans="1:1" x14ac:dyDescent="0.2">
      <c r="A3233" s="101"/>
    </row>
    <row r="3234" spans="1:1" x14ac:dyDescent="0.2">
      <c r="A3234" s="101"/>
    </row>
    <row r="3235" spans="1:1" x14ac:dyDescent="0.2">
      <c r="A3235" s="101"/>
    </row>
    <row r="3236" spans="1:1" x14ac:dyDescent="0.2">
      <c r="A3236" s="101"/>
    </row>
    <row r="3237" spans="1:1" x14ac:dyDescent="0.2">
      <c r="A3237" s="101"/>
    </row>
    <row r="3238" spans="1:1" x14ac:dyDescent="0.2">
      <c r="A3238" s="101"/>
    </row>
    <row r="3239" spans="1:1" x14ac:dyDescent="0.2">
      <c r="A3239" s="101"/>
    </row>
    <row r="3240" spans="1:1" x14ac:dyDescent="0.2">
      <c r="A3240" s="101"/>
    </row>
    <row r="3241" spans="1:1" x14ac:dyDescent="0.2">
      <c r="A3241" s="101"/>
    </row>
    <row r="3242" spans="1:1" x14ac:dyDescent="0.2">
      <c r="A3242" s="101"/>
    </row>
    <row r="3243" spans="1:1" x14ac:dyDescent="0.2">
      <c r="A3243" s="101"/>
    </row>
    <row r="3244" spans="1:1" x14ac:dyDescent="0.2">
      <c r="A3244" s="101"/>
    </row>
    <row r="3245" spans="1:1" x14ac:dyDescent="0.2">
      <c r="A3245" s="101"/>
    </row>
    <row r="3246" spans="1:1" x14ac:dyDescent="0.2">
      <c r="A3246" s="101"/>
    </row>
    <row r="3247" spans="1:1" x14ac:dyDescent="0.2">
      <c r="A3247" s="101"/>
    </row>
    <row r="3248" spans="1:1" x14ac:dyDescent="0.2">
      <c r="A3248" s="101"/>
    </row>
    <row r="3249" spans="1:1" x14ac:dyDescent="0.2">
      <c r="A3249" s="101"/>
    </row>
    <row r="3250" spans="1:1" x14ac:dyDescent="0.2">
      <c r="A3250" s="101"/>
    </row>
    <row r="3251" spans="1:1" x14ac:dyDescent="0.2">
      <c r="A3251" s="101"/>
    </row>
    <row r="3252" spans="1:1" x14ac:dyDescent="0.2">
      <c r="A3252" s="101"/>
    </row>
    <row r="3253" spans="1:1" x14ac:dyDescent="0.2">
      <c r="A3253" s="101"/>
    </row>
    <row r="3254" spans="1:1" x14ac:dyDescent="0.2">
      <c r="A3254" s="101"/>
    </row>
    <row r="3255" spans="1:1" x14ac:dyDescent="0.2">
      <c r="A3255" s="101"/>
    </row>
    <row r="3256" spans="1:1" x14ac:dyDescent="0.2">
      <c r="A3256" s="101"/>
    </row>
    <row r="3257" spans="1:1" x14ac:dyDescent="0.2">
      <c r="A3257" s="101"/>
    </row>
    <row r="3258" spans="1:1" x14ac:dyDescent="0.2">
      <c r="A3258" s="101"/>
    </row>
    <row r="3259" spans="1:1" x14ac:dyDescent="0.2">
      <c r="A3259" s="101"/>
    </row>
    <row r="3260" spans="1:1" x14ac:dyDescent="0.2">
      <c r="A3260" s="101"/>
    </row>
    <row r="3261" spans="1:1" x14ac:dyDescent="0.2">
      <c r="A3261" s="101"/>
    </row>
    <row r="3262" spans="1:1" x14ac:dyDescent="0.2">
      <c r="A3262" s="101"/>
    </row>
    <row r="3263" spans="1:1" x14ac:dyDescent="0.2">
      <c r="A3263" s="101"/>
    </row>
    <row r="3264" spans="1:1" x14ac:dyDescent="0.2">
      <c r="A3264" s="101"/>
    </row>
    <row r="3265" spans="1:1" x14ac:dyDescent="0.2">
      <c r="A3265" s="101"/>
    </row>
    <row r="3266" spans="1:1" x14ac:dyDescent="0.2">
      <c r="A3266" s="101"/>
    </row>
    <row r="3267" spans="1:1" x14ac:dyDescent="0.2">
      <c r="A3267" s="101"/>
    </row>
    <row r="3268" spans="1:1" x14ac:dyDescent="0.2">
      <c r="A3268" s="101"/>
    </row>
    <row r="3269" spans="1:1" x14ac:dyDescent="0.2">
      <c r="A3269" s="101"/>
    </row>
    <row r="3270" spans="1:1" x14ac:dyDescent="0.2">
      <c r="A3270" s="101"/>
    </row>
    <row r="3271" spans="1:1" x14ac:dyDescent="0.2">
      <c r="A3271" s="101"/>
    </row>
    <row r="3272" spans="1:1" x14ac:dyDescent="0.2">
      <c r="A3272" s="101"/>
    </row>
    <row r="3273" spans="1:1" x14ac:dyDescent="0.2">
      <c r="A3273" s="101"/>
    </row>
    <row r="3274" spans="1:1" x14ac:dyDescent="0.2">
      <c r="A3274" s="101"/>
    </row>
    <row r="3275" spans="1:1" x14ac:dyDescent="0.2">
      <c r="A3275" s="101"/>
    </row>
    <row r="3276" spans="1:1" x14ac:dyDescent="0.2">
      <c r="A3276" s="101"/>
    </row>
    <row r="3277" spans="1:1" x14ac:dyDescent="0.2">
      <c r="A3277" s="101"/>
    </row>
    <row r="3278" spans="1:1" x14ac:dyDescent="0.2">
      <c r="A3278" s="101"/>
    </row>
    <row r="3279" spans="1:1" x14ac:dyDescent="0.2">
      <c r="A3279" s="101"/>
    </row>
    <row r="3280" spans="1:1" x14ac:dyDescent="0.2">
      <c r="A3280" s="101"/>
    </row>
    <row r="3281" spans="1:1" x14ac:dyDescent="0.2">
      <c r="A3281" s="101"/>
    </row>
    <row r="3282" spans="1:1" x14ac:dyDescent="0.2">
      <c r="A3282" s="101"/>
    </row>
    <row r="3283" spans="1:1" x14ac:dyDescent="0.2">
      <c r="A3283" s="101"/>
    </row>
    <row r="3284" spans="1:1" x14ac:dyDescent="0.2">
      <c r="A3284" s="101"/>
    </row>
    <row r="3285" spans="1:1" x14ac:dyDescent="0.2">
      <c r="A3285" s="101"/>
    </row>
    <row r="3286" spans="1:1" x14ac:dyDescent="0.2">
      <c r="A3286" s="101"/>
    </row>
    <row r="3287" spans="1:1" x14ac:dyDescent="0.2">
      <c r="A3287" s="101"/>
    </row>
    <row r="3288" spans="1:1" x14ac:dyDescent="0.2">
      <c r="A3288" s="101"/>
    </row>
    <row r="3289" spans="1:1" x14ac:dyDescent="0.2">
      <c r="A3289" s="101"/>
    </row>
    <row r="3290" spans="1:1" x14ac:dyDescent="0.2">
      <c r="A3290" s="101"/>
    </row>
    <row r="3291" spans="1:1" x14ac:dyDescent="0.2">
      <c r="A3291" s="101"/>
    </row>
    <row r="3292" spans="1:1" x14ac:dyDescent="0.2">
      <c r="A3292" s="101"/>
    </row>
    <row r="3293" spans="1:1" x14ac:dyDescent="0.2">
      <c r="A3293" s="101"/>
    </row>
    <row r="3294" spans="1:1" x14ac:dyDescent="0.2">
      <c r="A3294" s="101"/>
    </row>
    <row r="3295" spans="1:1" x14ac:dyDescent="0.2">
      <c r="A3295" s="101"/>
    </row>
    <row r="3296" spans="1:1" x14ac:dyDescent="0.2">
      <c r="A3296" s="101"/>
    </row>
    <row r="3297" spans="1:1" x14ac:dyDescent="0.2">
      <c r="A3297" s="101"/>
    </row>
    <row r="3298" spans="1:1" x14ac:dyDescent="0.2">
      <c r="A3298" s="101"/>
    </row>
    <row r="3299" spans="1:1" x14ac:dyDescent="0.2">
      <c r="A3299" s="101"/>
    </row>
    <row r="3300" spans="1:1" x14ac:dyDescent="0.2">
      <c r="A3300" s="101"/>
    </row>
    <row r="3301" spans="1:1" x14ac:dyDescent="0.2">
      <c r="A3301" s="101"/>
    </row>
    <row r="3302" spans="1:1" x14ac:dyDescent="0.2">
      <c r="A3302" s="101"/>
    </row>
    <row r="3303" spans="1:1" x14ac:dyDescent="0.2">
      <c r="A3303" s="101"/>
    </row>
    <row r="3304" spans="1:1" x14ac:dyDescent="0.2">
      <c r="A3304" s="101"/>
    </row>
    <row r="3305" spans="1:1" x14ac:dyDescent="0.2">
      <c r="A3305" s="101"/>
    </row>
    <row r="3306" spans="1:1" x14ac:dyDescent="0.2">
      <c r="A3306" s="101"/>
    </row>
    <row r="3307" spans="1:1" x14ac:dyDescent="0.2">
      <c r="A3307" s="101"/>
    </row>
    <row r="3308" spans="1:1" x14ac:dyDescent="0.2">
      <c r="A3308" s="101"/>
    </row>
    <row r="3309" spans="1:1" x14ac:dyDescent="0.2">
      <c r="A3309" s="101"/>
    </row>
    <row r="3310" spans="1:1" x14ac:dyDescent="0.2">
      <c r="A3310" s="101"/>
    </row>
    <row r="3311" spans="1:1" x14ac:dyDescent="0.2">
      <c r="A3311" s="101"/>
    </row>
    <row r="3312" spans="1:1" x14ac:dyDescent="0.2">
      <c r="A3312" s="101"/>
    </row>
    <row r="3313" spans="1:1" x14ac:dyDescent="0.2">
      <c r="A3313" s="101"/>
    </row>
    <row r="3314" spans="1:1" x14ac:dyDescent="0.2">
      <c r="A3314" s="101"/>
    </row>
    <row r="3315" spans="1:1" x14ac:dyDescent="0.2">
      <c r="A3315" s="101"/>
    </row>
    <row r="3316" spans="1:1" x14ac:dyDescent="0.2">
      <c r="A3316" s="101"/>
    </row>
    <row r="3317" spans="1:1" x14ac:dyDescent="0.2">
      <c r="A3317" s="101"/>
    </row>
    <row r="3318" spans="1:1" x14ac:dyDescent="0.2">
      <c r="A3318" s="101"/>
    </row>
    <row r="3319" spans="1:1" x14ac:dyDescent="0.2">
      <c r="A3319" s="101"/>
    </row>
    <row r="3320" spans="1:1" x14ac:dyDescent="0.2">
      <c r="A3320" s="101"/>
    </row>
    <row r="3321" spans="1:1" x14ac:dyDescent="0.2">
      <c r="A3321" s="101"/>
    </row>
    <row r="3322" spans="1:1" x14ac:dyDescent="0.2">
      <c r="A3322" s="101"/>
    </row>
    <row r="3323" spans="1:1" x14ac:dyDescent="0.2">
      <c r="A3323" s="101"/>
    </row>
    <row r="3324" spans="1:1" x14ac:dyDescent="0.2">
      <c r="A3324" s="101"/>
    </row>
    <row r="3325" spans="1:1" x14ac:dyDescent="0.2">
      <c r="A3325" s="101"/>
    </row>
    <row r="3326" spans="1:1" x14ac:dyDescent="0.2">
      <c r="A3326" s="101"/>
    </row>
    <row r="3327" spans="1:1" x14ac:dyDescent="0.2">
      <c r="A3327" s="101"/>
    </row>
    <row r="3328" spans="1:1" x14ac:dyDescent="0.2">
      <c r="A3328" s="101"/>
    </row>
    <row r="3329" spans="1:1" x14ac:dyDescent="0.2">
      <c r="A3329" s="101"/>
    </row>
    <row r="3330" spans="1:1" x14ac:dyDescent="0.2">
      <c r="A3330" s="101"/>
    </row>
    <row r="3331" spans="1:1" x14ac:dyDescent="0.2">
      <c r="A3331" s="101"/>
    </row>
    <row r="3332" spans="1:1" x14ac:dyDescent="0.2">
      <c r="A3332" s="101"/>
    </row>
    <row r="3333" spans="1:1" x14ac:dyDescent="0.2">
      <c r="A3333" s="101"/>
    </row>
    <row r="3334" spans="1:1" x14ac:dyDescent="0.2">
      <c r="A3334" s="101"/>
    </row>
    <row r="3335" spans="1:1" x14ac:dyDescent="0.2">
      <c r="A3335" s="101"/>
    </row>
    <row r="3336" spans="1:1" x14ac:dyDescent="0.2">
      <c r="A3336" s="101"/>
    </row>
    <row r="3337" spans="1:1" x14ac:dyDescent="0.2">
      <c r="A3337" s="101"/>
    </row>
    <row r="3338" spans="1:1" x14ac:dyDescent="0.2">
      <c r="A3338" s="101"/>
    </row>
    <row r="3339" spans="1:1" x14ac:dyDescent="0.2">
      <c r="A3339" s="101"/>
    </row>
    <row r="3340" spans="1:1" x14ac:dyDescent="0.2">
      <c r="A3340" s="101"/>
    </row>
    <row r="3341" spans="1:1" x14ac:dyDescent="0.2">
      <c r="A3341" s="101"/>
    </row>
    <row r="3342" spans="1:1" x14ac:dyDescent="0.2">
      <c r="A3342" s="101"/>
    </row>
    <row r="3343" spans="1:1" x14ac:dyDescent="0.2">
      <c r="A3343" s="101"/>
    </row>
    <row r="3344" spans="1:1" x14ac:dyDescent="0.2">
      <c r="A3344" s="101"/>
    </row>
    <row r="3345" spans="1:1" x14ac:dyDescent="0.2">
      <c r="A3345" s="101"/>
    </row>
    <row r="3346" spans="1:1" x14ac:dyDescent="0.2">
      <c r="A3346" s="101"/>
    </row>
    <row r="3347" spans="1:1" x14ac:dyDescent="0.2">
      <c r="A3347" s="101"/>
    </row>
    <row r="3348" spans="1:1" x14ac:dyDescent="0.2">
      <c r="A3348" s="101"/>
    </row>
    <row r="3349" spans="1:1" x14ac:dyDescent="0.2">
      <c r="A3349" s="101"/>
    </row>
    <row r="3350" spans="1:1" x14ac:dyDescent="0.2">
      <c r="A3350" s="101"/>
    </row>
    <row r="3351" spans="1:1" x14ac:dyDescent="0.2">
      <c r="A3351" s="101"/>
    </row>
    <row r="3352" spans="1:1" x14ac:dyDescent="0.2">
      <c r="A3352" s="101"/>
    </row>
    <row r="3353" spans="1:1" x14ac:dyDescent="0.2">
      <c r="A3353" s="101"/>
    </row>
    <row r="3354" spans="1:1" x14ac:dyDescent="0.2">
      <c r="A3354" s="101"/>
    </row>
    <row r="3355" spans="1:1" x14ac:dyDescent="0.2">
      <c r="A3355" s="101"/>
    </row>
    <row r="3356" spans="1:1" x14ac:dyDescent="0.2">
      <c r="A3356" s="101"/>
    </row>
    <row r="3357" spans="1:1" x14ac:dyDescent="0.2">
      <c r="A3357" s="101"/>
    </row>
    <row r="3358" spans="1:1" x14ac:dyDescent="0.2">
      <c r="A3358" s="101"/>
    </row>
    <row r="3359" spans="1:1" x14ac:dyDescent="0.2">
      <c r="A3359" s="101"/>
    </row>
    <row r="3360" spans="1:1" x14ac:dyDescent="0.2">
      <c r="A3360" s="101"/>
    </row>
    <row r="3361" spans="1:1" x14ac:dyDescent="0.2">
      <c r="A3361" s="101"/>
    </row>
    <row r="3362" spans="1:1" x14ac:dyDescent="0.2">
      <c r="A3362" s="101"/>
    </row>
    <row r="3363" spans="1:1" x14ac:dyDescent="0.2">
      <c r="A3363" s="101"/>
    </row>
    <row r="3364" spans="1:1" x14ac:dyDescent="0.2">
      <c r="A3364" s="101"/>
    </row>
    <row r="3365" spans="1:1" x14ac:dyDescent="0.2">
      <c r="A3365" s="101"/>
    </row>
    <row r="3366" spans="1:1" x14ac:dyDescent="0.2">
      <c r="A3366" s="101"/>
    </row>
    <row r="3367" spans="1:1" x14ac:dyDescent="0.2">
      <c r="A3367" s="101"/>
    </row>
    <row r="3368" spans="1:1" x14ac:dyDescent="0.2">
      <c r="A3368" s="101"/>
    </row>
    <row r="3369" spans="1:1" x14ac:dyDescent="0.2">
      <c r="A3369" s="101"/>
    </row>
    <row r="3370" spans="1:1" x14ac:dyDescent="0.2">
      <c r="A3370" s="101"/>
    </row>
    <row r="3371" spans="1:1" x14ac:dyDescent="0.2">
      <c r="A3371" s="101"/>
    </row>
    <row r="3372" spans="1:1" x14ac:dyDescent="0.2">
      <c r="A3372" s="101"/>
    </row>
    <row r="3373" spans="1:1" x14ac:dyDescent="0.2">
      <c r="A3373" s="101"/>
    </row>
    <row r="3374" spans="1:1" x14ac:dyDescent="0.2">
      <c r="A3374" s="101"/>
    </row>
    <row r="3375" spans="1:1" x14ac:dyDescent="0.2">
      <c r="A3375" s="101"/>
    </row>
    <row r="3376" spans="1:1" x14ac:dyDescent="0.2">
      <c r="A3376" s="101"/>
    </row>
    <row r="3377" spans="1:1" x14ac:dyDescent="0.2">
      <c r="A3377" s="101"/>
    </row>
    <row r="3378" spans="1:1" x14ac:dyDescent="0.2">
      <c r="A3378" s="101"/>
    </row>
    <row r="3379" spans="1:1" x14ac:dyDescent="0.2">
      <c r="A3379" s="101"/>
    </row>
    <row r="3380" spans="1:1" x14ac:dyDescent="0.2">
      <c r="A3380" s="101"/>
    </row>
    <row r="3381" spans="1:1" x14ac:dyDescent="0.2">
      <c r="A3381" s="101"/>
    </row>
    <row r="3382" spans="1:1" x14ac:dyDescent="0.2">
      <c r="A3382" s="101"/>
    </row>
    <row r="3383" spans="1:1" x14ac:dyDescent="0.2">
      <c r="A3383" s="101"/>
    </row>
    <row r="3384" spans="1:1" x14ac:dyDescent="0.2">
      <c r="A3384" s="101"/>
    </row>
    <row r="3385" spans="1:1" x14ac:dyDescent="0.2">
      <c r="A3385" s="101"/>
    </row>
    <row r="3386" spans="1:1" x14ac:dyDescent="0.2">
      <c r="A3386" s="101"/>
    </row>
    <row r="3387" spans="1:1" x14ac:dyDescent="0.2">
      <c r="A3387" s="101"/>
    </row>
    <row r="3388" spans="1:1" x14ac:dyDescent="0.2">
      <c r="A3388" s="101"/>
    </row>
    <row r="3389" spans="1:1" x14ac:dyDescent="0.2">
      <c r="A3389" s="101"/>
    </row>
    <row r="3390" spans="1:1" x14ac:dyDescent="0.2">
      <c r="A3390" s="101"/>
    </row>
    <row r="3391" spans="1:1" x14ac:dyDescent="0.2">
      <c r="A3391" s="101"/>
    </row>
    <row r="3392" spans="1:1" x14ac:dyDescent="0.2">
      <c r="A3392" s="101"/>
    </row>
    <row r="3393" spans="1:1" x14ac:dyDescent="0.2">
      <c r="A3393" s="101"/>
    </row>
    <row r="3394" spans="1:1" x14ac:dyDescent="0.2">
      <c r="A3394" s="101"/>
    </row>
    <row r="3395" spans="1:1" x14ac:dyDescent="0.2">
      <c r="A3395" s="101"/>
    </row>
    <row r="3396" spans="1:1" x14ac:dyDescent="0.2">
      <c r="A3396" s="101"/>
    </row>
    <row r="3397" spans="1:1" x14ac:dyDescent="0.2">
      <c r="A3397" s="101"/>
    </row>
    <row r="3398" spans="1:1" x14ac:dyDescent="0.2">
      <c r="A3398" s="101"/>
    </row>
    <row r="3399" spans="1:1" x14ac:dyDescent="0.2">
      <c r="A3399" s="101"/>
    </row>
    <row r="3400" spans="1:1" x14ac:dyDescent="0.2">
      <c r="A3400" s="101"/>
    </row>
    <row r="3401" spans="1:1" x14ac:dyDescent="0.2">
      <c r="A3401" s="101"/>
    </row>
    <row r="3402" spans="1:1" x14ac:dyDescent="0.2">
      <c r="A3402" s="101"/>
    </row>
    <row r="3403" spans="1:1" x14ac:dyDescent="0.2">
      <c r="A3403" s="101"/>
    </row>
    <row r="3404" spans="1:1" x14ac:dyDescent="0.2">
      <c r="A3404" s="101"/>
    </row>
    <row r="3405" spans="1:1" x14ac:dyDescent="0.2">
      <c r="A3405" s="101"/>
    </row>
    <row r="3406" spans="1:1" x14ac:dyDescent="0.2">
      <c r="A3406" s="101"/>
    </row>
    <row r="3407" spans="1:1" x14ac:dyDescent="0.2">
      <c r="A3407" s="101"/>
    </row>
    <row r="3408" spans="1:1" x14ac:dyDescent="0.2">
      <c r="A3408" s="101"/>
    </row>
    <row r="3409" spans="1:1" x14ac:dyDescent="0.2">
      <c r="A3409" s="101"/>
    </row>
    <row r="3410" spans="1:1" x14ac:dyDescent="0.2">
      <c r="A3410" s="101"/>
    </row>
    <row r="3411" spans="1:1" x14ac:dyDescent="0.2">
      <c r="A3411" s="101"/>
    </row>
    <row r="3412" spans="1:1" x14ac:dyDescent="0.2">
      <c r="A3412" s="101"/>
    </row>
    <row r="3413" spans="1:1" x14ac:dyDescent="0.2">
      <c r="A3413" s="101"/>
    </row>
    <row r="3414" spans="1:1" x14ac:dyDescent="0.2">
      <c r="A3414" s="101"/>
    </row>
    <row r="3415" spans="1:1" x14ac:dyDescent="0.2">
      <c r="A3415" s="101"/>
    </row>
    <row r="3416" spans="1:1" x14ac:dyDescent="0.2">
      <c r="A3416" s="101"/>
    </row>
    <row r="3417" spans="1:1" x14ac:dyDescent="0.2">
      <c r="A3417" s="101"/>
    </row>
    <row r="3418" spans="1:1" x14ac:dyDescent="0.2">
      <c r="A3418" s="101"/>
    </row>
    <row r="3419" spans="1:1" x14ac:dyDescent="0.2">
      <c r="A3419" s="101"/>
    </row>
    <row r="3420" spans="1:1" x14ac:dyDescent="0.2">
      <c r="A3420" s="101"/>
    </row>
    <row r="3421" spans="1:1" x14ac:dyDescent="0.2">
      <c r="A3421" s="101"/>
    </row>
    <row r="3422" spans="1:1" x14ac:dyDescent="0.2">
      <c r="A3422" s="101"/>
    </row>
    <row r="3423" spans="1:1" x14ac:dyDescent="0.2">
      <c r="A3423" s="101"/>
    </row>
    <row r="3424" spans="1:1" x14ac:dyDescent="0.2">
      <c r="A3424" s="101"/>
    </row>
    <row r="3425" spans="1:1" x14ac:dyDescent="0.2">
      <c r="A3425" s="101"/>
    </row>
    <row r="3426" spans="1:1" x14ac:dyDescent="0.2">
      <c r="A3426" s="101"/>
    </row>
    <row r="3427" spans="1:1" x14ac:dyDescent="0.2">
      <c r="A3427" s="101"/>
    </row>
    <row r="3428" spans="1:1" x14ac:dyDescent="0.2">
      <c r="A3428" s="101"/>
    </row>
    <row r="3429" spans="1:1" x14ac:dyDescent="0.2">
      <c r="A3429" s="101"/>
    </row>
    <row r="3430" spans="1:1" x14ac:dyDescent="0.2">
      <c r="A3430" s="101"/>
    </row>
    <row r="3431" spans="1:1" x14ac:dyDescent="0.2">
      <c r="A3431" s="101"/>
    </row>
    <row r="3432" spans="1:1" x14ac:dyDescent="0.2">
      <c r="A3432" s="101"/>
    </row>
    <row r="3433" spans="1:1" x14ac:dyDescent="0.2">
      <c r="A3433" s="101"/>
    </row>
    <row r="3434" spans="1:1" x14ac:dyDescent="0.2">
      <c r="A3434" s="101"/>
    </row>
    <row r="3435" spans="1:1" x14ac:dyDescent="0.2">
      <c r="A3435" s="101"/>
    </row>
    <row r="3436" spans="1:1" x14ac:dyDescent="0.2">
      <c r="A3436" s="101"/>
    </row>
    <row r="3437" spans="1:1" x14ac:dyDescent="0.2">
      <c r="A3437" s="101"/>
    </row>
    <row r="3438" spans="1:1" x14ac:dyDescent="0.2">
      <c r="A3438" s="101"/>
    </row>
    <row r="3439" spans="1:1" x14ac:dyDescent="0.2">
      <c r="A3439" s="101"/>
    </row>
    <row r="3440" spans="1:1" x14ac:dyDescent="0.2">
      <c r="A3440" s="101"/>
    </row>
    <row r="3441" spans="1:1" x14ac:dyDescent="0.2">
      <c r="A3441" s="101"/>
    </row>
    <row r="3442" spans="1:1" x14ac:dyDescent="0.2">
      <c r="A3442" s="101"/>
    </row>
    <row r="3443" spans="1:1" x14ac:dyDescent="0.2">
      <c r="A3443" s="101"/>
    </row>
    <row r="3444" spans="1:1" x14ac:dyDescent="0.2">
      <c r="A3444" s="101"/>
    </row>
    <row r="3445" spans="1:1" x14ac:dyDescent="0.2">
      <c r="A3445" s="101"/>
    </row>
    <row r="3446" spans="1:1" x14ac:dyDescent="0.2">
      <c r="A3446" s="101"/>
    </row>
    <row r="3447" spans="1:1" x14ac:dyDescent="0.2">
      <c r="A3447" s="101"/>
    </row>
    <row r="3448" spans="1:1" x14ac:dyDescent="0.2">
      <c r="A3448" s="101"/>
    </row>
    <row r="3449" spans="1:1" x14ac:dyDescent="0.2">
      <c r="A3449" s="101"/>
    </row>
    <row r="3450" spans="1:1" x14ac:dyDescent="0.2">
      <c r="A3450" s="101"/>
    </row>
    <row r="3451" spans="1:1" x14ac:dyDescent="0.2">
      <c r="A3451" s="101"/>
    </row>
    <row r="3452" spans="1:1" x14ac:dyDescent="0.2">
      <c r="A3452" s="101"/>
    </row>
    <row r="3453" spans="1:1" x14ac:dyDescent="0.2">
      <c r="A3453" s="101"/>
    </row>
    <row r="3454" spans="1:1" x14ac:dyDescent="0.2">
      <c r="A3454" s="101"/>
    </row>
    <row r="3455" spans="1:1" x14ac:dyDescent="0.2">
      <c r="A3455" s="101"/>
    </row>
    <row r="3456" spans="1:1" x14ac:dyDescent="0.2">
      <c r="A3456" s="101"/>
    </row>
    <row r="3457" spans="1:1" x14ac:dyDescent="0.2">
      <c r="A3457" s="101"/>
    </row>
    <row r="3458" spans="1:1" x14ac:dyDescent="0.2">
      <c r="A3458" s="101"/>
    </row>
    <row r="3459" spans="1:1" x14ac:dyDescent="0.2">
      <c r="A3459" s="101"/>
    </row>
    <row r="3460" spans="1:1" x14ac:dyDescent="0.2">
      <c r="A3460" s="101"/>
    </row>
    <row r="3461" spans="1:1" x14ac:dyDescent="0.2">
      <c r="A3461" s="101"/>
    </row>
    <row r="3462" spans="1:1" x14ac:dyDescent="0.2">
      <c r="A3462" s="101"/>
    </row>
    <row r="3463" spans="1:1" x14ac:dyDescent="0.2">
      <c r="A3463" s="101"/>
    </row>
    <row r="3464" spans="1:1" x14ac:dyDescent="0.2">
      <c r="A3464" s="101"/>
    </row>
    <row r="3465" spans="1:1" x14ac:dyDescent="0.2">
      <c r="A3465" s="101"/>
    </row>
    <row r="3466" spans="1:1" x14ac:dyDescent="0.2">
      <c r="A3466" s="101"/>
    </row>
    <row r="3467" spans="1:1" x14ac:dyDescent="0.2">
      <c r="A3467" s="101"/>
    </row>
    <row r="3468" spans="1:1" x14ac:dyDescent="0.2">
      <c r="A3468" s="101"/>
    </row>
    <row r="3469" spans="1:1" x14ac:dyDescent="0.2">
      <c r="A3469" s="101"/>
    </row>
    <row r="3470" spans="1:1" x14ac:dyDescent="0.2">
      <c r="A3470" s="101"/>
    </row>
    <row r="3471" spans="1:1" x14ac:dyDescent="0.2">
      <c r="A3471" s="101"/>
    </row>
    <row r="3472" spans="1:1" x14ac:dyDescent="0.2">
      <c r="A3472" s="101"/>
    </row>
    <row r="3473" spans="1:1" x14ac:dyDescent="0.2">
      <c r="A3473" s="101"/>
    </row>
    <row r="3474" spans="1:1" x14ac:dyDescent="0.2">
      <c r="A3474" s="101"/>
    </row>
    <row r="3475" spans="1:1" x14ac:dyDescent="0.2">
      <c r="A3475" s="101"/>
    </row>
    <row r="3476" spans="1:1" x14ac:dyDescent="0.2">
      <c r="A3476" s="101"/>
    </row>
    <row r="3477" spans="1:1" x14ac:dyDescent="0.2">
      <c r="A3477" s="101"/>
    </row>
    <row r="3478" spans="1:1" x14ac:dyDescent="0.2">
      <c r="A3478" s="101"/>
    </row>
    <row r="3479" spans="1:1" x14ac:dyDescent="0.2">
      <c r="A3479" s="101"/>
    </row>
    <row r="3480" spans="1:1" x14ac:dyDescent="0.2">
      <c r="A3480" s="101"/>
    </row>
    <row r="3481" spans="1:1" x14ac:dyDescent="0.2">
      <c r="A3481" s="101"/>
    </row>
    <row r="3482" spans="1:1" x14ac:dyDescent="0.2">
      <c r="A3482" s="101"/>
    </row>
    <row r="3483" spans="1:1" x14ac:dyDescent="0.2">
      <c r="A3483" s="101"/>
    </row>
    <row r="3484" spans="1:1" x14ac:dyDescent="0.2">
      <c r="A3484" s="101"/>
    </row>
    <row r="3485" spans="1:1" x14ac:dyDescent="0.2">
      <c r="A3485" s="101"/>
    </row>
    <row r="3486" spans="1:1" x14ac:dyDescent="0.2">
      <c r="A3486" s="101"/>
    </row>
    <row r="3487" spans="1:1" x14ac:dyDescent="0.2">
      <c r="A3487" s="101"/>
    </row>
    <row r="3488" spans="1:1" x14ac:dyDescent="0.2">
      <c r="A3488" s="101"/>
    </row>
    <row r="3489" spans="1:1" x14ac:dyDescent="0.2">
      <c r="A3489" s="101"/>
    </row>
    <row r="3490" spans="1:1" x14ac:dyDescent="0.2">
      <c r="A3490" s="101"/>
    </row>
    <row r="3491" spans="1:1" x14ac:dyDescent="0.2">
      <c r="A3491" s="101"/>
    </row>
    <row r="3492" spans="1:1" x14ac:dyDescent="0.2">
      <c r="A3492" s="101"/>
    </row>
    <row r="3493" spans="1:1" x14ac:dyDescent="0.2">
      <c r="A3493" s="101"/>
    </row>
    <row r="3494" spans="1:1" x14ac:dyDescent="0.2">
      <c r="A3494" s="101"/>
    </row>
    <row r="3495" spans="1:1" x14ac:dyDescent="0.2">
      <c r="A3495" s="101"/>
    </row>
    <row r="3496" spans="1:1" x14ac:dyDescent="0.2">
      <c r="A3496" s="101"/>
    </row>
    <row r="3497" spans="1:1" x14ac:dyDescent="0.2">
      <c r="A3497" s="101"/>
    </row>
    <row r="3498" spans="1:1" x14ac:dyDescent="0.2">
      <c r="A3498" s="101"/>
    </row>
    <row r="3499" spans="1:1" x14ac:dyDescent="0.2">
      <c r="A3499" s="101"/>
    </row>
    <row r="3500" spans="1:1" x14ac:dyDescent="0.2">
      <c r="A3500" s="101"/>
    </row>
    <row r="3501" spans="1:1" x14ac:dyDescent="0.2">
      <c r="A3501" s="101"/>
    </row>
    <row r="3502" spans="1:1" x14ac:dyDescent="0.2">
      <c r="A3502" s="101"/>
    </row>
    <row r="3503" spans="1:1" x14ac:dyDescent="0.2">
      <c r="A3503" s="101"/>
    </row>
    <row r="3504" spans="1:1" x14ac:dyDescent="0.2">
      <c r="A3504" s="101"/>
    </row>
    <row r="3505" spans="1:1" x14ac:dyDescent="0.2">
      <c r="A3505" s="101"/>
    </row>
    <row r="3506" spans="1:1" x14ac:dyDescent="0.2">
      <c r="A3506" s="101"/>
    </row>
    <row r="3507" spans="1:1" x14ac:dyDescent="0.2">
      <c r="A3507" s="101"/>
    </row>
    <row r="3508" spans="1:1" x14ac:dyDescent="0.2">
      <c r="A3508" s="101"/>
    </row>
    <row r="3509" spans="1:1" x14ac:dyDescent="0.2">
      <c r="A3509" s="101"/>
    </row>
    <row r="3510" spans="1:1" x14ac:dyDescent="0.2">
      <c r="A3510" s="101"/>
    </row>
    <row r="3511" spans="1:1" x14ac:dyDescent="0.2">
      <c r="A3511" s="101"/>
    </row>
    <row r="3512" spans="1:1" x14ac:dyDescent="0.2">
      <c r="A3512" s="101"/>
    </row>
    <row r="3513" spans="1:1" x14ac:dyDescent="0.2">
      <c r="A3513" s="101"/>
    </row>
    <row r="3514" spans="1:1" x14ac:dyDescent="0.2">
      <c r="A3514" s="101"/>
    </row>
    <row r="3515" spans="1:1" x14ac:dyDescent="0.2">
      <c r="A3515" s="101"/>
    </row>
    <row r="3516" spans="1:1" x14ac:dyDescent="0.2">
      <c r="A3516" s="101"/>
    </row>
    <row r="3517" spans="1:1" x14ac:dyDescent="0.2">
      <c r="A3517" s="101"/>
    </row>
    <row r="3518" spans="1:1" x14ac:dyDescent="0.2">
      <c r="A3518" s="101"/>
    </row>
    <row r="3519" spans="1:1" x14ac:dyDescent="0.2">
      <c r="A3519" s="101"/>
    </row>
    <row r="3520" spans="1:1" x14ac:dyDescent="0.2">
      <c r="A3520" s="101"/>
    </row>
    <row r="3521" spans="1:1" x14ac:dyDescent="0.2">
      <c r="A3521" s="101"/>
    </row>
    <row r="3522" spans="1:1" x14ac:dyDescent="0.2">
      <c r="A3522" s="101"/>
    </row>
    <row r="3523" spans="1:1" x14ac:dyDescent="0.2">
      <c r="A3523" s="101"/>
    </row>
    <row r="3524" spans="1:1" x14ac:dyDescent="0.2">
      <c r="A3524" s="101"/>
    </row>
    <row r="3525" spans="1:1" x14ac:dyDescent="0.2">
      <c r="A3525" s="101"/>
    </row>
    <row r="3526" spans="1:1" x14ac:dyDescent="0.2">
      <c r="A3526" s="101"/>
    </row>
    <row r="3527" spans="1:1" x14ac:dyDescent="0.2">
      <c r="A3527" s="101"/>
    </row>
    <row r="3528" spans="1:1" x14ac:dyDescent="0.2">
      <c r="A3528" s="101"/>
    </row>
    <row r="3529" spans="1:1" x14ac:dyDescent="0.2">
      <c r="A3529" s="101"/>
    </row>
    <row r="3530" spans="1:1" x14ac:dyDescent="0.2">
      <c r="A3530" s="101"/>
    </row>
    <row r="3531" spans="1:1" x14ac:dyDescent="0.2">
      <c r="A3531" s="101"/>
    </row>
    <row r="3532" spans="1:1" x14ac:dyDescent="0.2">
      <c r="A3532" s="101"/>
    </row>
    <row r="3533" spans="1:1" x14ac:dyDescent="0.2">
      <c r="A3533" s="101"/>
    </row>
    <row r="3534" spans="1:1" x14ac:dyDescent="0.2">
      <c r="A3534" s="101"/>
    </row>
    <row r="3535" spans="1:1" x14ac:dyDescent="0.2">
      <c r="A3535" s="101"/>
    </row>
    <row r="3536" spans="1:1" x14ac:dyDescent="0.2">
      <c r="A3536" s="101"/>
    </row>
    <row r="3537" spans="1:1" x14ac:dyDescent="0.2">
      <c r="A3537" s="101"/>
    </row>
    <row r="3538" spans="1:1" x14ac:dyDescent="0.2">
      <c r="A3538" s="101"/>
    </row>
    <row r="3539" spans="1:1" x14ac:dyDescent="0.2">
      <c r="A3539" s="101"/>
    </row>
    <row r="3540" spans="1:1" x14ac:dyDescent="0.2">
      <c r="A3540" s="101"/>
    </row>
    <row r="3541" spans="1:1" x14ac:dyDescent="0.2">
      <c r="A3541" s="101"/>
    </row>
    <row r="3542" spans="1:1" x14ac:dyDescent="0.2">
      <c r="A3542" s="101"/>
    </row>
    <row r="3543" spans="1:1" x14ac:dyDescent="0.2">
      <c r="A3543" s="101"/>
    </row>
    <row r="3544" spans="1:1" x14ac:dyDescent="0.2">
      <c r="A3544" s="101"/>
    </row>
    <row r="3545" spans="1:1" x14ac:dyDescent="0.2">
      <c r="A3545" s="101"/>
    </row>
    <row r="3546" spans="1:1" x14ac:dyDescent="0.2">
      <c r="A3546" s="101"/>
    </row>
    <row r="3547" spans="1:1" x14ac:dyDescent="0.2">
      <c r="A3547" s="101"/>
    </row>
    <row r="3548" spans="1:1" x14ac:dyDescent="0.2">
      <c r="A3548" s="101"/>
    </row>
    <row r="3549" spans="1:1" x14ac:dyDescent="0.2">
      <c r="A3549" s="101"/>
    </row>
    <row r="3550" spans="1:1" x14ac:dyDescent="0.2">
      <c r="A3550" s="101"/>
    </row>
    <row r="3551" spans="1:1" x14ac:dyDescent="0.2">
      <c r="A3551" s="101"/>
    </row>
    <row r="3552" spans="1:1" x14ac:dyDescent="0.2">
      <c r="A3552" s="101"/>
    </row>
    <row r="3553" spans="1:1" x14ac:dyDescent="0.2">
      <c r="A3553" s="101"/>
    </row>
    <row r="3554" spans="1:1" x14ac:dyDescent="0.2">
      <c r="A3554" s="101"/>
    </row>
    <row r="3555" spans="1:1" x14ac:dyDescent="0.2">
      <c r="A3555" s="101"/>
    </row>
    <row r="3556" spans="1:1" x14ac:dyDescent="0.2">
      <c r="A3556" s="101"/>
    </row>
    <row r="3557" spans="1:1" x14ac:dyDescent="0.2">
      <c r="A3557" s="101"/>
    </row>
    <row r="3558" spans="1:1" x14ac:dyDescent="0.2">
      <c r="A3558" s="101"/>
    </row>
    <row r="3559" spans="1:1" x14ac:dyDescent="0.2">
      <c r="A3559" s="101"/>
    </row>
    <row r="3560" spans="1:1" x14ac:dyDescent="0.2">
      <c r="A3560" s="101"/>
    </row>
    <row r="3561" spans="1:1" x14ac:dyDescent="0.2">
      <c r="A3561" s="101"/>
    </row>
    <row r="3562" spans="1:1" x14ac:dyDescent="0.2">
      <c r="A3562" s="101"/>
    </row>
    <row r="3563" spans="1:1" x14ac:dyDescent="0.2">
      <c r="A3563" s="101"/>
    </row>
    <row r="3564" spans="1:1" x14ac:dyDescent="0.2">
      <c r="A3564" s="101"/>
    </row>
    <row r="3565" spans="1:1" x14ac:dyDescent="0.2">
      <c r="A3565" s="101"/>
    </row>
    <row r="3566" spans="1:1" x14ac:dyDescent="0.2">
      <c r="A3566" s="101"/>
    </row>
    <row r="3567" spans="1:1" x14ac:dyDescent="0.2">
      <c r="A3567" s="101"/>
    </row>
    <row r="3568" spans="1:1" x14ac:dyDescent="0.2">
      <c r="A3568" s="101"/>
    </row>
    <row r="3569" spans="1:1" x14ac:dyDescent="0.2">
      <c r="A3569" s="101"/>
    </row>
    <row r="3570" spans="1:1" x14ac:dyDescent="0.2">
      <c r="A3570" s="101"/>
    </row>
    <row r="3571" spans="1:1" x14ac:dyDescent="0.2">
      <c r="A3571" s="101"/>
    </row>
    <row r="3572" spans="1:1" x14ac:dyDescent="0.2">
      <c r="A3572" s="101"/>
    </row>
    <row r="3573" spans="1:1" x14ac:dyDescent="0.2">
      <c r="A3573" s="101"/>
    </row>
    <row r="3574" spans="1:1" x14ac:dyDescent="0.2">
      <c r="A3574" s="101"/>
    </row>
    <row r="3575" spans="1:1" x14ac:dyDescent="0.2">
      <c r="A3575" s="101"/>
    </row>
    <row r="3576" spans="1:1" x14ac:dyDescent="0.2">
      <c r="A3576" s="101"/>
    </row>
    <row r="3577" spans="1:1" x14ac:dyDescent="0.2">
      <c r="A3577" s="101"/>
    </row>
    <row r="3578" spans="1:1" x14ac:dyDescent="0.2">
      <c r="A3578" s="101"/>
    </row>
    <row r="3579" spans="1:1" x14ac:dyDescent="0.2">
      <c r="A3579" s="101"/>
    </row>
    <row r="3580" spans="1:1" x14ac:dyDescent="0.2">
      <c r="A3580" s="101"/>
    </row>
    <row r="3581" spans="1:1" x14ac:dyDescent="0.2">
      <c r="A3581" s="101"/>
    </row>
    <row r="3582" spans="1:1" x14ac:dyDescent="0.2">
      <c r="A3582" s="101"/>
    </row>
    <row r="3583" spans="1:1" x14ac:dyDescent="0.2">
      <c r="A3583" s="101"/>
    </row>
    <row r="3584" spans="1:1" x14ac:dyDescent="0.2">
      <c r="A3584" s="101"/>
    </row>
    <row r="3585" spans="1:1" x14ac:dyDescent="0.2">
      <c r="A3585" s="101"/>
    </row>
    <row r="3586" spans="1:1" x14ac:dyDescent="0.2">
      <c r="A3586" s="101"/>
    </row>
    <row r="3587" spans="1:1" x14ac:dyDescent="0.2">
      <c r="A3587" s="101"/>
    </row>
    <row r="3588" spans="1:1" x14ac:dyDescent="0.2">
      <c r="A3588" s="101"/>
    </row>
    <row r="3589" spans="1:1" x14ac:dyDescent="0.2">
      <c r="A3589" s="101"/>
    </row>
    <row r="3590" spans="1:1" x14ac:dyDescent="0.2">
      <c r="A3590" s="101"/>
    </row>
    <row r="3591" spans="1:1" x14ac:dyDescent="0.2">
      <c r="A3591" s="101"/>
    </row>
    <row r="3592" spans="1:1" x14ac:dyDescent="0.2">
      <c r="A3592" s="101"/>
    </row>
    <row r="3593" spans="1:1" x14ac:dyDescent="0.2">
      <c r="A3593" s="101"/>
    </row>
    <row r="3594" spans="1:1" x14ac:dyDescent="0.2">
      <c r="A3594" s="101"/>
    </row>
    <row r="3595" spans="1:1" x14ac:dyDescent="0.2">
      <c r="A3595" s="101"/>
    </row>
    <row r="3596" spans="1:1" x14ac:dyDescent="0.2">
      <c r="A3596" s="101"/>
    </row>
    <row r="3597" spans="1:1" x14ac:dyDescent="0.2">
      <c r="A3597" s="101"/>
    </row>
    <row r="3598" spans="1:1" x14ac:dyDescent="0.2">
      <c r="A3598" s="101"/>
    </row>
    <row r="3599" spans="1:1" x14ac:dyDescent="0.2">
      <c r="A3599" s="101"/>
    </row>
    <row r="3600" spans="1:1" x14ac:dyDescent="0.2">
      <c r="A3600" s="101"/>
    </row>
    <row r="3601" spans="1:1" x14ac:dyDescent="0.2">
      <c r="A3601" s="101"/>
    </row>
    <row r="3602" spans="1:1" x14ac:dyDescent="0.2">
      <c r="A3602" s="101"/>
    </row>
    <row r="3603" spans="1:1" x14ac:dyDescent="0.2">
      <c r="A3603" s="101"/>
    </row>
    <row r="3604" spans="1:1" x14ac:dyDescent="0.2">
      <c r="A3604" s="101"/>
    </row>
    <row r="3605" spans="1:1" x14ac:dyDescent="0.2">
      <c r="A3605" s="101"/>
    </row>
    <row r="3606" spans="1:1" x14ac:dyDescent="0.2">
      <c r="A3606" s="101"/>
    </row>
    <row r="3607" spans="1:1" x14ac:dyDescent="0.2">
      <c r="A3607" s="101"/>
    </row>
    <row r="3608" spans="1:1" x14ac:dyDescent="0.2">
      <c r="A3608" s="101"/>
    </row>
    <row r="3609" spans="1:1" x14ac:dyDescent="0.2">
      <c r="A3609" s="101"/>
    </row>
    <row r="3610" spans="1:1" x14ac:dyDescent="0.2">
      <c r="A3610" s="101"/>
    </row>
    <row r="3611" spans="1:1" x14ac:dyDescent="0.2">
      <c r="A3611" s="101"/>
    </row>
    <row r="3612" spans="1:1" x14ac:dyDescent="0.2">
      <c r="A3612" s="101"/>
    </row>
    <row r="3613" spans="1:1" x14ac:dyDescent="0.2">
      <c r="A3613" s="101"/>
    </row>
    <row r="3614" spans="1:1" x14ac:dyDescent="0.2">
      <c r="A3614" s="101"/>
    </row>
    <row r="3615" spans="1:1" x14ac:dyDescent="0.2">
      <c r="A3615" s="101"/>
    </row>
    <row r="3616" spans="1:1" x14ac:dyDescent="0.2">
      <c r="A3616" s="101"/>
    </row>
    <row r="3617" spans="1:1" x14ac:dyDescent="0.2">
      <c r="A3617" s="101"/>
    </row>
    <row r="3618" spans="1:1" x14ac:dyDescent="0.2">
      <c r="A3618" s="101"/>
    </row>
    <row r="3619" spans="1:1" x14ac:dyDescent="0.2">
      <c r="A3619" s="101"/>
    </row>
    <row r="3620" spans="1:1" x14ac:dyDescent="0.2">
      <c r="A3620" s="101"/>
    </row>
    <row r="3621" spans="1:1" x14ac:dyDescent="0.2">
      <c r="A3621" s="101"/>
    </row>
    <row r="3622" spans="1:1" x14ac:dyDescent="0.2">
      <c r="A3622" s="101"/>
    </row>
    <row r="3623" spans="1:1" x14ac:dyDescent="0.2">
      <c r="A3623" s="101"/>
    </row>
    <row r="3624" spans="1:1" x14ac:dyDescent="0.2">
      <c r="A3624" s="101"/>
    </row>
    <row r="3625" spans="1:1" x14ac:dyDescent="0.2">
      <c r="A3625" s="101"/>
    </row>
    <row r="3626" spans="1:1" x14ac:dyDescent="0.2">
      <c r="A3626" s="101"/>
    </row>
    <row r="3627" spans="1:1" x14ac:dyDescent="0.2">
      <c r="A3627" s="101"/>
    </row>
    <row r="3628" spans="1:1" x14ac:dyDescent="0.2">
      <c r="A3628" s="101"/>
    </row>
    <row r="3629" spans="1:1" x14ac:dyDescent="0.2">
      <c r="A3629" s="101"/>
    </row>
    <row r="3630" spans="1:1" x14ac:dyDescent="0.2">
      <c r="A3630" s="101"/>
    </row>
    <row r="3631" spans="1:1" x14ac:dyDescent="0.2">
      <c r="A3631" s="101"/>
    </row>
    <row r="3632" spans="1:1" x14ac:dyDescent="0.2">
      <c r="A3632" s="101"/>
    </row>
    <row r="3633" spans="1:1" x14ac:dyDescent="0.2">
      <c r="A3633" s="101"/>
    </row>
    <row r="3634" spans="1:1" x14ac:dyDescent="0.2">
      <c r="A3634" s="101"/>
    </row>
    <row r="3635" spans="1:1" x14ac:dyDescent="0.2">
      <c r="A3635" s="101"/>
    </row>
    <row r="3636" spans="1:1" x14ac:dyDescent="0.2">
      <c r="A3636" s="101"/>
    </row>
    <row r="3637" spans="1:1" x14ac:dyDescent="0.2">
      <c r="A3637" s="101"/>
    </row>
    <row r="3638" spans="1:1" x14ac:dyDescent="0.2">
      <c r="A3638" s="101"/>
    </row>
    <row r="3639" spans="1:1" x14ac:dyDescent="0.2">
      <c r="A3639" s="101"/>
    </row>
    <row r="3640" spans="1:1" x14ac:dyDescent="0.2">
      <c r="A3640" s="101"/>
    </row>
    <row r="3641" spans="1:1" x14ac:dyDescent="0.2">
      <c r="A3641" s="101"/>
    </row>
    <row r="3642" spans="1:1" x14ac:dyDescent="0.2">
      <c r="A3642" s="101"/>
    </row>
    <row r="3643" spans="1:1" x14ac:dyDescent="0.2">
      <c r="A3643" s="101"/>
    </row>
    <row r="3644" spans="1:1" x14ac:dyDescent="0.2">
      <c r="A3644" s="101"/>
    </row>
    <row r="3645" spans="1:1" x14ac:dyDescent="0.2">
      <c r="A3645" s="101"/>
    </row>
    <row r="3646" spans="1:1" x14ac:dyDescent="0.2">
      <c r="A3646" s="101"/>
    </row>
    <row r="3647" spans="1:1" x14ac:dyDescent="0.2">
      <c r="A3647" s="101"/>
    </row>
    <row r="3648" spans="1:1" x14ac:dyDescent="0.2">
      <c r="A3648" s="101"/>
    </row>
    <row r="3649" spans="1:1" x14ac:dyDescent="0.2">
      <c r="A3649" s="101"/>
    </row>
    <row r="3650" spans="1:1" x14ac:dyDescent="0.2">
      <c r="A3650" s="101"/>
    </row>
    <row r="3651" spans="1:1" x14ac:dyDescent="0.2">
      <c r="A3651" s="101"/>
    </row>
    <row r="3652" spans="1:1" x14ac:dyDescent="0.2">
      <c r="A3652" s="101"/>
    </row>
    <row r="3653" spans="1:1" x14ac:dyDescent="0.2">
      <c r="A3653" s="101"/>
    </row>
    <row r="3654" spans="1:1" x14ac:dyDescent="0.2">
      <c r="A3654" s="101"/>
    </row>
    <row r="3655" spans="1:1" x14ac:dyDescent="0.2">
      <c r="A3655" s="101"/>
    </row>
    <row r="3656" spans="1:1" x14ac:dyDescent="0.2">
      <c r="A3656" s="101"/>
    </row>
    <row r="3657" spans="1:1" x14ac:dyDescent="0.2">
      <c r="A3657" s="101"/>
    </row>
    <row r="3658" spans="1:1" x14ac:dyDescent="0.2">
      <c r="A3658" s="101"/>
    </row>
    <row r="3659" spans="1:1" x14ac:dyDescent="0.2">
      <c r="A3659" s="101"/>
    </row>
    <row r="3660" spans="1:1" x14ac:dyDescent="0.2">
      <c r="A3660" s="101"/>
    </row>
    <row r="3661" spans="1:1" x14ac:dyDescent="0.2">
      <c r="A3661" s="101"/>
    </row>
    <row r="3662" spans="1:1" x14ac:dyDescent="0.2">
      <c r="A3662" s="101"/>
    </row>
    <row r="3663" spans="1:1" x14ac:dyDescent="0.2">
      <c r="A3663" s="101"/>
    </row>
    <row r="3664" spans="1:1" x14ac:dyDescent="0.2">
      <c r="A3664" s="101"/>
    </row>
    <row r="3665" spans="1:1" x14ac:dyDescent="0.2">
      <c r="A3665" s="101"/>
    </row>
    <row r="3666" spans="1:1" x14ac:dyDescent="0.2">
      <c r="A3666" s="101"/>
    </row>
    <row r="3667" spans="1:1" x14ac:dyDescent="0.2">
      <c r="A3667" s="101"/>
    </row>
    <row r="3668" spans="1:1" x14ac:dyDescent="0.2">
      <c r="A3668" s="101"/>
    </row>
    <row r="3669" spans="1:1" x14ac:dyDescent="0.2">
      <c r="A3669" s="101"/>
    </row>
    <row r="3670" spans="1:1" x14ac:dyDescent="0.2">
      <c r="A3670" s="101"/>
    </row>
    <row r="3671" spans="1:1" x14ac:dyDescent="0.2">
      <c r="A3671" s="101"/>
    </row>
    <row r="3672" spans="1:1" x14ac:dyDescent="0.2">
      <c r="A3672" s="101"/>
    </row>
    <row r="3673" spans="1:1" x14ac:dyDescent="0.2">
      <c r="A3673" s="101"/>
    </row>
    <row r="3674" spans="1:1" x14ac:dyDescent="0.2">
      <c r="A3674" s="101"/>
    </row>
    <row r="3675" spans="1:1" x14ac:dyDescent="0.2">
      <c r="A3675" s="101"/>
    </row>
    <row r="3676" spans="1:1" x14ac:dyDescent="0.2">
      <c r="A3676" s="101"/>
    </row>
    <row r="3677" spans="1:1" x14ac:dyDescent="0.2">
      <c r="A3677" s="101"/>
    </row>
    <row r="3678" spans="1:1" x14ac:dyDescent="0.2">
      <c r="A3678" s="101"/>
    </row>
    <row r="3679" spans="1:1" x14ac:dyDescent="0.2">
      <c r="A3679" s="101"/>
    </row>
    <row r="3680" spans="1:1" x14ac:dyDescent="0.2">
      <c r="A3680" s="101"/>
    </row>
    <row r="3681" spans="1:1" x14ac:dyDescent="0.2">
      <c r="A3681" s="101"/>
    </row>
    <row r="3682" spans="1:1" x14ac:dyDescent="0.2">
      <c r="A3682" s="101"/>
    </row>
    <row r="3683" spans="1:1" x14ac:dyDescent="0.2">
      <c r="A3683" s="101"/>
    </row>
    <row r="3684" spans="1:1" x14ac:dyDescent="0.2">
      <c r="A3684" s="101"/>
    </row>
    <row r="3685" spans="1:1" x14ac:dyDescent="0.2">
      <c r="A3685" s="101"/>
    </row>
    <row r="3686" spans="1:1" x14ac:dyDescent="0.2">
      <c r="A3686" s="101"/>
    </row>
    <row r="3687" spans="1:1" x14ac:dyDescent="0.2">
      <c r="A3687" s="101"/>
    </row>
    <row r="3688" spans="1:1" x14ac:dyDescent="0.2">
      <c r="A3688" s="101"/>
    </row>
    <row r="3689" spans="1:1" x14ac:dyDescent="0.2">
      <c r="A3689" s="101"/>
    </row>
    <row r="3690" spans="1:1" x14ac:dyDescent="0.2">
      <c r="A3690" s="101"/>
    </row>
    <row r="3691" spans="1:1" x14ac:dyDescent="0.2">
      <c r="A3691" s="101"/>
    </row>
    <row r="3692" spans="1:1" x14ac:dyDescent="0.2">
      <c r="A3692" s="101"/>
    </row>
    <row r="3693" spans="1:1" x14ac:dyDescent="0.2">
      <c r="A3693" s="101"/>
    </row>
    <row r="3694" spans="1:1" x14ac:dyDescent="0.2">
      <c r="A3694" s="101"/>
    </row>
    <row r="3695" spans="1:1" x14ac:dyDescent="0.2">
      <c r="A3695" s="101"/>
    </row>
    <row r="3696" spans="1:1" x14ac:dyDescent="0.2">
      <c r="A3696" s="101"/>
    </row>
    <row r="3697" spans="1:1" x14ac:dyDescent="0.2">
      <c r="A3697" s="101"/>
    </row>
    <row r="3698" spans="1:1" x14ac:dyDescent="0.2">
      <c r="A3698" s="101"/>
    </row>
    <row r="3699" spans="1:1" x14ac:dyDescent="0.2">
      <c r="A3699" s="101"/>
    </row>
    <row r="3700" spans="1:1" x14ac:dyDescent="0.2">
      <c r="A3700" s="101"/>
    </row>
    <row r="3701" spans="1:1" x14ac:dyDescent="0.2">
      <c r="A3701" s="101"/>
    </row>
    <row r="3702" spans="1:1" x14ac:dyDescent="0.2">
      <c r="A3702" s="101"/>
    </row>
    <row r="3703" spans="1:1" x14ac:dyDescent="0.2">
      <c r="A3703" s="101"/>
    </row>
    <row r="3704" spans="1:1" x14ac:dyDescent="0.2">
      <c r="A3704" s="101"/>
    </row>
    <row r="3705" spans="1:1" x14ac:dyDescent="0.2">
      <c r="A3705" s="101"/>
    </row>
    <row r="3706" spans="1:1" x14ac:dyDescent="0.2">
      <c r="A3706" s="101"/>
    </row>
    <row r="3707" spans="1:1" x14ac:dyDescent="0.2">
      <c r="A3707" s="101"/>
    </row>
    <row r="3708" spans="1:1" x14ac:dyDescent="0.2">
      <c r="A3708" s="101"/>
    </row>
    <row r="3709" spans="1:1" x14ac:dyDescent="0.2">
      <c r="A3709" s="101"/>
    </row>
    <row r="3710" spans="1:1" x14ac:dyDescent="0.2">
      <c r="A3710" s="101"/>
    </row>
    <row r="3711" spans="1:1" x14ac:dyDescent="0.2">
      <c r="A3711" s="101"/>
    </row>
    <row r="3712" spans="1:1" x14ac:dyDescent="0.2">
      <c r="A3712" s="101"/>
    </row>
    <row r="3713" spans="1:1" x14ac:dyDescent="0.2">
      <c r="A3713" s="101"/>
    </row>
    <row r="3714" spans="1:1" x14ac:dyDescent="0.2">
      <c r="A3714" s="101"/>
    </row>
    <row r="3715" spans="1:1" x14ac:dyDescent="0.2">
      <c r="A3715" s="101"/>
    </row>
    <row r="3716" spans="1:1" x14ac:dyDescent="0.2">
      <c r="A3716" s="101"/>
    </row>
    <row r="3717" spans="1:1" x14ac:dyDescent="0.2">
      <c r="A3717" s="101"/>
    </row>
    <row r="3718" spans="1:1" x14ac:dyDescent="0.2">
      <c r="A3718" s="101"/>
    </row>
    <row r="3719" spans="1:1" x14ac:dyDescent="0.2">
      <c r="A3719" s="101"/>
    </row>
    <row r="3720" spans="1:1" x14ac:dyDescent="0.2">
      <c r="A3720" s="101"/>
    </row>
    <row r="3721" spans="1:1" x14ac:dyDescent="0.2">
      <c r="A3721" s="101"/>
    </row>
    <row r="3722" spans="1:1" x14ac:dyDescent="0.2">
      <c r="A3722" s="101"/>
    </row>
    <row r="3723" spans="1:1" x14ac:dyDescent="0.2">
      <c r="A3723" s="101"/>
    </row>
    <row r="3724" spans="1:1" x14ac:dyDescent="0.2">
      <c r="A3724" s="101"/>
    </row>
    <row r="3725" spans="1:1" x14ac:dyDescent="0.2">
      <c r="A3725" s="101"/>
    </row>
    <row r="3726" spans="1:1" x14ac:dyDescent="0.2">
      <c r="A3726" s="101"/>
    </row>
    <row r="3727" spans="1:1" x14ac:dyDescent="0.2">
      <c r="A3727" s="101"/>
    </row>
    <row r="3728" spans="1:1" x14ac:dyDescent="0.2">
      <c r="A3728" s="101"/>
    </row>
    <row r="3729" spans="1:1" x14ac:dyDescent="0.2">
      <c r="A3729" s="101"/>
    </row>
    <row r="3730" spans="1:1" x14ac:dyDescent="0.2">
      <c r="A3730" s="101"/>
    </row>
    <row r="3731" spans="1:1" x14ac:dyDescent="0.2">
      <c r="A3731" s="101"/>
    </row>
    <row r="3732" spans="1:1" x14ac:dyDescent="0.2">
      <c r="A3732" s="101"/>
    </row>
    <row r="3733" spans="1:1" x14ac:dyDescent="0.2">
      <c r="A3733" s="101"/>
    </row>
    <row r="3734" spans="1:1" x14ac:dyDescent="0.2">
      <c r="A3734" s="101"/>
    </row>
    <row r="3735" spans="1:1" x14ac:dyDescent="0.2">
      <c r="A3735" s="101"/>
    </row>
    <row r="3736" spans="1:1" x14ac:dyDescent="0.2">
      <c r="A3736" s="101"/>
    </row>
    <row r="3737" spans="1:1" x14ac:dyDescent="0.2">
      <c r="A3737" s="101"/>
    </row>
    <row r="3738" spans="1:1" x14ac:dyDescent="0.2">
      <c r="A3738" s="101"/>
    </row>
    <row r="3739" spans="1:1" x14ac:dyDescent="0.2">
      <c r="A3739" s="101"/>
    </row>
    <row r="3740" spans="1:1" x14ac:dyDescent="0.2">
      <c r="A3740" s="101"/>
    </row>
    <row r="3741" spans="1:1" x14ac:dyDescent="0.2">
      <c r="A3741" s="101"/>
    </row>
    <row r="3742" spans="1:1" x14ac:dyDescent="0.2">
      <c r="A3742" s="101"/>
    </row>
    <row r="3743" spans="1:1" x14ac:dyDescent="0.2">
      <c r="A3743" s="101"/>
    </row>
    <row r="3744" spans="1:1" x14ac:dyDescent="0.2">
      <c r="A3744" s="101"/>
    </row>
    <row r="3745" spans="1:1" x14ac:dyDescent="0.2">
      <c r="A3745" s="101"/>
    </row>
    <row r="3746" spans="1:1" x14ac:dyDescent="0.2">
      <c r="A3746" s="101"/>
    </row>
    <row r="3747" spans="1:1" x14ac:dyDescent="0.2">
      <c r="A3747" s="101"/>
    </row>
    <row r="3748" spans="1:1" x14ac:dyDescent="0.2">
      <c r="A3748" s="101"/>
    </row>
    <row r="3749" spans="1:1" x14ac:dyDescent="0.2">
      <c r="A3749" s="101"/>
    </row>
    <row r="3750" spans="1:1" x14ac:dyDescent="0.2">
      <c r="A3750" s="101"/>
    </row>
    <row r="3751" spans="1:1" x14ac:dyDescent="0.2">
      <c r="A3751" s="101"/>
    </row>
    <row r="3752" spans="1:1" x14ac:dyDescent="0.2">
      <c r="A3752" s="101"/>
    </row>
    <row r="3753" spans="1:1" x14ac:dyDescent="0.2">
      <c r="A3753" s="101"/>
    </row>
    <row r="3754" spans="1:1" x14ac:dyDescent="0.2">
      <c r="A3754" s="101"/>
    </row>
    <row r="3755" spans="1:1" x14ac:dyDescent="0.2">
      <c r="A3755" s="101"/>
    </row>
    <row r="3756" spans="1:1" x14ac:dyDescent="0.2">
      <c r="A3756" s="101"/>
    </row>
    <row r="3757" spans="1:1" x14ac:dyDescent="0.2">
      <c r="A3757" s="101"/>
    </row>
    <row r="3758" spans="1:1" x14ac:dyDescent="0.2">
      <c r="A3758" s="101"/>
    </row>
    <row r="3759" spans="1:1" x14ac:dyDescent="0.2">
      <c r="A3759" s="101"/>
    </row>
    <row r="3760" spans="1:1" x14ac:dyDescent="0.2">
      <c r="A3760" s="101"/>
    </row>
    <row r="3761" spans="1:1" x14ac:dyDescent="0.2">
      <c r="A3761" s="101"/>
    </row>
    <row r="3762" spans="1:1" x14ac:dyDescent="0.2">
      <c r="A3762" s="101"/>
    </row>
    <row r="3763" spans="1:1" x14ac:dyDescent="0.2">
      <c r="A3763" s="101"/>
    </row>
    <row r="3764" spans="1:1" x14ac:dyDescent="0.2">
      <c r="A3764" s="101"/>
    </row>
    <row r="3765" spans="1:1" x14ac:dyDescent="0.2">
      <c r="A3765" s="101"/>
    </row>
    <row r="3766" spans="1:1" x14ac:dyDescent="0.2">
      <c r="A3766" s="101"/>
    </row>
    <row r="3767" spans="1:1" x14ac:dyDescent="0.2">
      <c r="A3767" s="101"/>
    </row>
    <row r="3768" spans="1:1" x14ac:dyDescent="0.2">
      <c r="A3768" s="101"/>
    </row>
    <row r="3769" spans="1:1" x14ac:dyDescent="0.2">
      <c r="A3769" s="101"/>
    </row>
    <row r="3770" spans="1:1" x14ac:dyDescent="0.2">
      <c r="A3770" s="101"/>
    </row>
    <row r="3771" spans="1:1" x14ac:dyDescent="0.2">
      <c r="A3771" s="101"/>
    </row>
    <row r="3772" spans="1:1" x14ac:dyDescent="0.2">
      <c r="A3772" s="101"/>
    </row>
    <row r="3773" spans="1:1" x14ac:dyDescent="0.2">
      <c r="A3773" s="101"/>
    </row>
    <row r="3774" spans="1:1" x14ac:dyDescent="0.2">
      <c r="A3774" s="101"/>
    </row>
    <row r="3775" spans="1:1" x14ac:dyDescent="0.2">
      <c r="A3775" s="101"/>
    </row>
    <row r="3776" spans="1:1" x14ac:dyDescent="0.2">
      <c r="A3776" s="101"/>
    </row>
    <row r="3777" spans="1:1" x14ac:dyDescent="0.2">
      <c r="A3777" s="101"/>
    </row>
    <row r="3778" spans="1:1" x14ac:dyDescent="0.2">
      <c r="A3778" s="101"/>
    </row>
    <row r="3779" spans="1:1" x14ac:dyDescent="0.2">
      <c r="A3779" s="101"/>
    </row>
    <row r="3780" spans="1:1" x14ac:dyDescent="0.2">
      <c r="A3780" s="101"/>
    </row>
    <row r="3781" spans="1:1" x14ac:dyDescent="0.2">
      <c r="A3781" s="101"/>
    </row>
    <row r="3782" spans="1:1" x14ac:dyDescent="0.2">
      <c r="A3782" s="101"/>
    </row>
    <row r="3783" spans="1:1" x14ac:dyDescent="0.2">
      <c r="A3783" s="101"/>
    </row>
    <row r="3784" spans="1:1" x14ac:dyDescent="0.2">
      <c r="A3784" s="101"/>
    </row>
    <row r="3785" spans="1:1" x14ac:dyDescent="0.2">
      <c r="A3785" s="101"/>
    </row>
    <row r="3786" spans="1:1" x14ac:dyDescent="0.2">
      <c r="A3786" s="101"/>
    </row>
    <row r="3787" spans="1:1" x14ac:dyDescent="0.2">
      <c r="A3787" s="101"/>
    </row>
    <row r="3788" spans="1:1" x14ac:dyDescent="0.2">
      <c r="A3788" s="101"/>
    </row>
    <row r="3789" spans="1:1" x14ac:dyDescent="0.2">
      <c r="A3789" s="101"/>
    </row>
    <row r="3790" spans="1:1" x14ac:dyDescent="0.2">
      <c r="A3790" s="101"/>
    </row>
    <row r="3791" spans="1:1" x14ac:dyDescent="0.2">
      <c r="A3791" s="101"/>
    </row>
    <row r="3792" spans="1:1" x14ac:dyDescent="0.2">
      <c r="A3792" s="101"/>
    </row>
    <row r="3793" spans="1:1" x14ac:dyDescent="0.2">
      <c r="A3793" s="101"/>
    </row>
    <row r="3794" spans="1:1" x14ac:dyDescent="0.2">
      <c r="A3794" s="101"/>
    </row>
    <row r="3795" spans="1:1" x14ac:dyDescent="0.2">
      <c r="A3795" s="101"/>
    </row>
    <row r="3796" spans="1:1" x14ac:dyDescent="0.2">
      <c r="A3796" s="101"/>
    </row>
    <row r="3797" spans="1:1" x14ac:dyDescent="0.2">
      <c r="A3797" s="101"/>
    </row>
    <row r="3798" spans="1:1" x14ac:dyDescent="0.2">
      <c r="A3798" s="101"/>
    </row>
    <row r="3799" spans="1:1" x14ac:dyDescent="0.2">
      <c r="A3799" s="101"/>
    </row>
    <row r="3800" spans="1:1" x14ac:dyDescent="0.2">
      <c r="A3800" s="101"/>
    </row>
    <row r="3801" spans="1:1" x14ac:dyDescent="0.2">
      <c r="A3801" s="101"/>
    </row>
    <row r="3802" spans="1:1" x14ac:dyDescent="0.2">
      <c r="A3802" s="101"/>
    </row>
    <row r="3803" spans="1:1" x14ac:dyDescent="0.2">
      <c r="A3803" s="101"/>
    </row>
    <row r="3804" spans="1:1" x14ac:dyDescent="0.2">
      <c r="A3804" s="101"/>
    </row>
    <row r="3805" spans="1:1" x14ac:dyDescent="0.2">
      <c r="A3805" s="101"/>
    </row>
    <row r="3806" spans="1:1" x14ac:dyDescent="0.2">
      <c r="A3806" s="101"/>
    </row>
    <row r="3807" spans="1:1" x14ac:dyDescent="0.2">
      <c r="A3807" s="101"/>
    </row>
    <row r="3808" spans="1:1" x14ac:dyDescent="0.2">
      <c r="A3808" s="101"/>
    </row>
    <row r="3809" spans="1:1" x14ac:dyDescent="0.2">
      <c r="A3809" s="101"/>
    </row>
    <row r="3810" spans="1:1" x14ac:dyDescent="0.2">
      <c r="A3810" s="101"/>
    </row>
    <row r="3811" spans="1:1" x14ac:dyDescent="0.2">
      <c r="A3811" s="101"/>
    </row>
    <row r="3812" spans="1:1" x14ac:dyDescent="0.2">
      <c r="A3812" s="101"/>
    </row>
    <row r="3813" spans="1:1" x14ac:dyDescent="0.2">
      <c r="A3813" s="101"/>
    </row>
    <row r="3814" spans="1:1" x14ac:dyDescent="0.2">
      <c r="A3814" s="101"/>
    </row>
    <row r="3815" spans="1:1" x14ac:dyDescent="0.2">
      <c r="A3815" s="101"/>
    </row>
    <row r="3816" spans="1:1" x14ac:dyDescent="0.2">
      <c r="A3816" s="101"/>
    </row>
    <row r="3817" spans="1:1" x14ac:dyDescent="0.2">
      <c r="A3817" s="101"/>
    </row>
    <row r="3818" spans="1:1" x14ac:dyDescent="0.2">
      <c r="A3818" s="101"/>
    </row>
    <row r="3819" spans="1:1" x14ac:dyDescent="0.2">
      <c r="A3819" s="101"/>
    </row>
    <row r="3820" spans="1:1" x14ac:dyDescent="0.2">
      <c r="A3820" s="101"/>
    </row>
    <row r="3821" spans="1:1" x14ac:dyDescent="0.2">
      <c r="A3821" s="101"/>
    </row>
    <row r="3822" spans="1:1" x14ac:dyDescent="0.2">
      <c r="A3822" s="101"/>
    </row>
    <row r="3823" spans="1:1" x14ac:dyDescent="0.2">
      <c r="A3823" s="101"/>
    </row>
    <row r="3824" spans="1:1" x14ac:dyDescent="0.2">
      <c r="A3824" s="101"/>
    </row>
    <row r="3825" spans="1:1" x14ac:dyDescent="0.2">
      <c r="A3825" s="101"/>
    </row>
    <row r="3826" spans="1:1" x14ac:dyDescent="0.2">
      <c r="A3826" s="101"/>
    </row>
    <row r="3827" spans="1:1" x14ac:dyDescent="0.2">
      <c r="A3827" s="101"/>
    </row>
    <row r="3828" spans="1:1" x14ac:dyDescent="0.2">
      <c r="A3828" s="101"/>
    </row>
    <row r="3829" spans="1:1" x14ac:dyDescent="0.2">
      <c r="A3829" s="101"/>
    </row>
    <row r="3830" spans="1:1" x14ac:dyDescent="0.2">
      <c r="A3830" s="101"/>
    </row>
    <row r="3831" spans="1:1" x14ac:dyDescent="0.2">
      <c r="A3831" s="101"/>
    </row>
    <row r="3832" spans="1:1" x14ac:dyDescent="0.2">
      <c r="A3832" s="101"/>
    </row>
    <row r="3833" spans="1:1" x14ac:dyDescent="0.2">
      <c r="A3833" s="101"/>
    </row>
    <row r="3834" spans="1:1" x14ac:dyDescent="0.2">
      <c r="A3834" s="101"/>
    </row>
    <row r="3835" spans="1:1" x14ac:dyDescent="0.2">
      <c r="A3835" s="101"/>
    </row>
    <row r="3836" spans="1:1" x14ac:dyDescent="0.2">
      <c r="A3836" s="101"/>
    </row>
    <row r="3837" spans="1:1" x14ac:dyDescent="0.2">
      <c r="A3837" s="101"/>
    </row>
    <row r="3838" spans="1:1" x14ac:dyDescent="0.2">
      <c r="A3838" s="101"/>
    </row>
    <row r="3839" spans="1:1" x14ac:dyDescent="0.2">
      <c r="A3839" s="101"/>
    </row>
    <row r="3840" spans="1:1" x14ac:dyDescent="0.2">
      <c r="A3840" s="101"/>
    </row>
    <row r="3841" spans="1:1" x14ac:dyDescent="0.2">
      <c r="A3841" s="101"/>
    </row>
    <row r="3842" spans="1:1" x14ac:dyDescent="0.2">
      <c r="A3842" s="101"/>
    </row>
    <row r="3843" spans="1:1" x14ac:dyDescent="0.2">
      <c r="A3843" s="101"/>
    </row>
    <row r="3844" spans="1:1" x14ac:dyDescent="0.2">
      <c r="A3844" s="101"/>
    </row>
    <row r="3845" spans="1:1" x14ac:dyDescent="0.2">
      <c r="A3845" s="101"/>
    </row>
    <row r="3846" spans="1:1" x14ac:dyDescent="0.2">
      <c r="A3846" s="101"/>
    </row>
    <row r="3847" spans="1:1" x14ac:dyDescent="0.2">
      <c r="A3847" s="101"/>
    </row>
    <row r="3848" spans="1:1" x14ac:dyDescent="0.2">
      <c r="A3848" s="101"/>
    </row>
    <row r="3849" spans="1:1" x14ac:dyDescent="0.2">
      <c r="A3849" s="101"/>
    </row>
    <row r="3850" spans="1:1" x14ac:dyDescent="0.2">
      <c r="A3850" s="101"/>
    </row>
    <row r="3851" spans="1:1" x14ac:dyDescent="0.2">
      <c r="A3851" s="101"/>
    </row>
    <row r="3852" spans="1:1" x14ac:dyDescent="0.2">
      <c r="A3852" s="101"/>
    </row>
    <row r="3853" spans="1:1" x14ac:dyDescent="0.2">
      <c r="A3853" s="101"/>
    </row>
    <row r="3854" spans="1:1" x14ac:dyDescent="0.2">
      <c r="A3854" s="101"/>
    </row>
    <row r="3855" spans="1:1" x14ac:dyDescent="0.2">
      <c r="A3855" s="101"/>
    </row>
    <row r="3856" spans="1:1" x14ac:dyDescent="0.2">
      <c r="A3856" s="101"/>
    </row>
    <row r="3857" spans="1:1" x14ac:dyDescent="0.2">
      <c r="A3857" s="101"/>
    </row>
    <row r="3858" spans="1:1" x14ac:dyDescent="0.2">
      <c r="A3858" s="101"/>
    </row>
    <row r="3859" spans="1:1" x14ac:dyDescent="0.2">
      <c r="A3859" s="101"/>
    </row>
    <row r="3860" spans="1:1" x14ac:dyDescent="0.2">
      <c r="A3860" s="101"/>
    </row>
    <row r="3861" spans="1:1" x14ac:dyDescent="0.2">
      <c r="A3861" s="101"/>
    </row>
    <row r="3862" spans="1:1" x14ac:dyDescent="0.2">
      <c r="A3862" s="101"/>
    </row>
    <row r="3863" spans="1:1" x14ac:dyDescent="0.2">
      <c r="A3863" s="101"/>
    </row>
    <row r="3864" spans="1:1" x14ac:dyDescent="0.2">
      <c r="A3864" s="101"/>
    </row>
    <row r="3865" spans="1:1" x14ac:dyDescent="0.2">
      <c r="A3865" s="101"/>
    </row>
    <row r="3866" spans="1:1" x14ac:dyDescent="0.2">
      <c r="A3866" s="101"/>
    </row>
    <row r="3867" spans="1:1" x14ac:dyDescent="0.2">
      <c r="A3867" s="101"/>
    </row>
    <row r="3868" spans="1:1" x14ac:dyDescent="0.2">
      <c r="A3868" s="101"/>
    </row>
    <row r="3869" spans="1:1" x14ac:dyDescent="0.2">
      <c r="A3869" s="101"/>
    </row>
    <row r="3870" spans="1:1" x14ac:dyDescent="0.2">
      <c r="A3870" s="101"/>
    </row>
    <row r="3871" spans="1:1" x14ac:dyDescent="0.2">
      <c r="A3871" s="101"/>
    </row>
    <row r="3872" spans="1:1" x14ac:dyDescent="0.2">
      <c r="A3872" s="101"/>
    </row>
    <row r="3873" spans="1:1" x14ac:dyDescent="0.2">
      <c r="A3873" s="101"/>
    </row>
    <row r="3874" spans="1:1" x14ac:dyDescent="0.2">
      <c r="A3874" s="101"/>
    </row>
    <row r="3875" spans="1:1" x14ac:dyDescent="0.2">
      <c r="A3875" s="101"/>
    </row>
    <row r="3876" spans="1:1" x14ac:dyDescent="0.2">
      <c r="A3876" s="101"/>
    </row>
    <row r="3877" spans="1:1" x14ac:dyDescent="0.2">
      <c r="A3877" s="101"/>
    </row>
    <row r="3878" spans="1:1" x14ac:dyDescent="0.2">
      <c r="A3878" s="101"/>
    </row>
    <row r="3879" spans="1:1" x14ac:dyDescent="0.2">
      <c r="A3879" s="101"/>
    </row>
    <row r="3880" spans="1:1" x14ac:dyDescent="0.2">
      <c r="A3880" s="101"/>
    </row>
    <row r="3881" spans="1:1" x14ac:dyDescent="0.2">
      <c r="A3881" s="101"/>
    </row>
    <row r="3882" spans="1:1" x14ac:dyDescent="0.2">
      <c r="A3882" s="101"/>
    </row>
    <row r="3883" spans="1:1" x14ac:dyDescent="0.2">
      <c r="A3883" s="101"/>
    </row>
    <row r="3884" spans="1:1" x14ac:dyDescent="0.2">
      <c r="A3884" s="101"/>
    </row>
    <row r="3885" spans="1:1" x14ac:dyDescent="0.2">
      <c r="A3885" s="101"/>
    </row>
    <row r="3886" spans="1:1" x14ac:dyDescent="0.2">
      <c r="A3886" s="101"/>
    </row>
    <row r="3887" spans="1:1" x14ac:dyDescent="0.2">
      <c r="A3887" s="101"/>
    </row>
    <row r="3888" spans="1:1" x14ac:dyDescent="0.2">
      <c r="A3888" s="101"/>
    </row>
    <row r="3889" spans="1:1" x14ac:dyDescent="0.2">
      <c r="A3889" s="101"/>
    </row>
    <row r="3890" spans="1:1" x14ac:dyDescent="0.2">
      <c r="A3890" s="101"/>
    </row>
    <row r="3891" spans="1:1" x14ac:dyDescent="0.2">
      <c r="A3891" s="101"/>
    </row>
    <row r="3892" spans="1:1" x14ac:dyDescent="0.2">
      <c r="A3892" s="101"/>
    </row>
    <row r="3893" spans="1:1" x14ac:dyDescent="0.2">
      <c r="A3893" s="101"/>
    </row>
    <row r="3894" spans="1:1" x14ac:dyDescent="0.2">
      <c r="A3894" s="101"/>
    </row>
    <row r="3895" spans="1:1" x14ac:dyDescent="0.2">
      <c r="A3895" s="101"/>
    </row>
    <row r="3896" spans="1:1" x14ac:dyDescent="0.2">
      <c r="A3896" s="101"/>
    </row>
    <row r="3897" spans="1:1" x14ac:dyDescent="0.2">
      <c r="A3897" s="101"/>
    </row>
    <row r="3898" spans="1:1" x14ac:dyDescent="0.2">
      <c r="A3898" s="101"/>
    </row>
    <row r="3899" spans="1:1" x14ac:dyDescent="0.2">
      <c r="A3899" s="101"/>
    </row>
    <row r="3900" spans="1:1" x14ac:dyDescent="0.2">
      <c r="A3900" s="101"/>
    </row>
    <row r="3901" spans="1:1" x14ac:dyDescent="0.2">
      <c r="A3901" s="101"/>
    </row>
    <row r="3902" spans="1:1" x14ac:dyDescent="0.2">
      <c r="A3902" s="101"/>
    </row>
    <row r="3903" spans="1:1" x14ac:dyDescent="0.2">
      <c r="A3903" s="101"/>
    </row>
    <row r="3904" spans="1:1" x14ac:dyDescent="0.2">
      <c r="A3904" s="101"/>
    </row>
    <row r="3905" spans="1:1" x14ac:dyDescent="0.2">
      <c r="A3905" s="101"/>
    </row>
    <row r="3906" spans="1:1" x14ac:dyDescent="0.2">
      <c r="A3906" s="101"/>
    </row>
    <row r="3907" spans="1:1" x14ac:dyDescent="0.2">
      <c r="A3907" s="101"/>
    </row>
    <row r="3908" spans="1:1" x14ac:dyDescent="0.2">
      <c r="A3908" s="101"/>
    </row>
    <row r="3909" spans="1:1" x14ac:dyDescent="0.2">
      <c r="A3909" s="101"/>
    </row>
    <row r="3910" spans="1:1" x14ac:dyDescent="0.2">
      <c r="A3910" s="101"/>
    </row>
    <row r="3911" spans="1:1" x14ac:dyDescent="0.2">
      <c r="A3911" s="101"/>
    </row>
    <row r="3912" spans="1:1" x14ac:dyDescent="0.2">
      <c r="A3912" s="101"/>
    </row>
    <row r="3913" spans="1:1" x14ac:dyDescent="0.2">
      <c r="A3913" s="101"/>
    </row>
    <row r="3914" spans="1:1" x14ac:dyDescent="0.2">
      <c r="A3914" s="101"/>
    </row>
    <row r="3915" spans="1:1" x14ac:dyDescent="0.2">
      <c r="A3915" s="101"/>
    </row>
    <row r="3916" spans="1:1" x14ac:dyDescent="0.2">
      <c r="A3916" s="101"/>
    </row>
    <row r="3917" spans="1:1" x14ac:dyDescent="0.2">
      <c r="A3917" s="101"/>
    </row>
    <row r="3918" spans="1:1" x14ac:dyDescent="0.2">
      <c r="A3918" s="101"/>
    </row>
    <row r="3919" spans="1:1" x14ac:dyDescent="0.2">
      <c r="A3919" s="101"/>
    </row>
    <row r="3920" spans="1:1" x14ac:dyDescent="0.2">
      <c r="A3920" s="101"/>
    </row>
    <row r="3921" spans="1:1" x14ac:dyDescent="0.2">
      <c r="A3921" s="101"/>
    </row>
    <row r="3922" spans="1:1" x14ac:dyDescent="0.2">
      <c r="A3922" s="101"/>
    </row>
    <row r="3923" spans="1:1" x14ac:dyDescent="0.2">
      <c r="A3923" s="101"/>
    </row>
    <row r="3924" spans="1:1" x14ac:dyDescent="0.2">
      <c r="A3924" s="101"/>
    </row>
    <row r="3925" spans="1:1" x14ac:dyDescent="0.2">
      <c r="A3925" s="101"/>
    </row>
    <row r="3926" spans="1:1" x14ac:dyDescent="0.2">
      <c r="A3926" s="101"/>
    </row>
    <row r="3927" spans="1:1" x14ac:dyDescent="0.2">
      <c r="A3927" s="101"/>
    </row>
    <row r="3928" spans="1:1" x14ac:dyDescent="0.2">
      <c r="A3928" s="101"/>
    </row>
    <row r="3929" spans="1:1" x14ac:dyDescent="0.2">
      <c r="A3929" s="101"/>
    </row>
    <row r="3930" spans="1:1" x14ac:dyDescent="0.2">
      <c r="A3930" s="101"/>
    </row>
    <row r="3931" spans="1:1" x14ac:dyDescent="0.2">
      <c r="A3931" s="101"/>
    </row>
    <row r="3932" spans="1:1" x14ac:dyDescent="0.2">
      <c r="A3932" s="101"/>
    </row>
    <row r="3933" spans="1:1" x14ac:dyDescent="0.2">
      <c r="A3933" s="101"/>
    </row>
    <row r="3934" spans="1:1" x14ac:dyDescent="0.2">
      <c r="A3934" s="101"/>
    </row>
    <row r="3935" spans="1:1" x14ac:dyDescent="0.2">
      <c r="A3935" s="101"/>
    </row>
    <row r="3936" spans="1:1" x14ac:dyDescent="0.2">
      <c r="A3936" s="101"/>
    </row>
    <row r="3937" spans="1:1" x14ac:dyDescent="0.2">
      <c r="A3937" s="101"/>
    </row>
    <row r="3938" spans="1:1" x14ac:dyDescent="0.2">
      <c r="A3938" s="101"/>
    </row>
    <row r="3939" spans="1:1" x14ac:dyDescent="0.2">
      <c r="A3939" s="101"/>
    </row>
    <row r="3940" spans="1:1" x14ac:dyDescent="0.2">
      <c r="A3940" s="101"/>
    </row>
    <row r="3941" spans="1:1" x14ac:dyDescent="0.2">
      <c r="A3941" s="101"/>
    </row>
    <row r="3942" spans="1:1" x14ac:dyDescent="0.2">
      <c r="A3942" s="101"/>
    </row>
    <row r="3943" spans="1:1" x14ac:dyDescent="0.2">
      <c r="A3943" s="101"/>
    </row>
    <row r="3944" spans="1:1" x14ac:dyDescent="0.2">
      <c r="A3944" s="101"/>
    </row>
    <row r="3945" spans="1:1" x14ac:dyDescent="0.2">
      <c r="A3945" s="101"/>
    </row>
    <row r="3946" spans="1:1" x14ac:dyDescent="0.2">
      <c r="A3946" s="101"/>
    </row>
    <row r="3947" spans="1:1" x14ac:dyDescent="0.2">
      <c r="A3947" s="101"/>
    </row>
    <row r="3948" spans="1:1" x14ac:dyDescent="0.2">
      <c r="A3948" s="101"/>
    </row>
    <row r="3949" spans="1:1" x14ac:dyDescent="0.2">
      <c r="A3949" s="101"/>
    </row>
    <row r="3950" spans="1:1" x14ac:dyDescent="0.2">
      <c r="A3950" s="101"/>
    </row>
    <row r="3951" spans="1:1" x14ac:dyDescent="0.2">
      <c r="A3951" s="101"/>
    </row>
    <row r="3952" spans="1:1" x14ac:dyDescent="0.2">
      <c r="A3952" s="101"/>
    </row>
    <row r="3953" spans="1:1" x14ac:dyDescent="0.2">
      <c r="A3953" s="101"/>
    </row>
    <row r="3954" spans="1:1" x14ac:dyDescent="0.2">
      <c r="A3954" s="101"/>
    </row>
    <row r="3955" spans="1:1" x14ac:dyDescent="0.2">
      <c r="A3955" s="101"/>
    </row>
    <row r="3956" spans="1:1" x14ac:dyDescent="0.2">
      <c r="A3956" s="101"/>
    </row>
    <row r="3957" spans="1:1" x14ac:dyDescent="0.2">
      <c r="A3957" s="101"/>
    </row>
    <row r="3958" spans="1:1" x14ac:dyDescent="0.2">
      <c r="A3958" s="101"/>
    </row>
    <row r="3959" spans="1:1" x14ac:dyDescent="0.2">
      <c r="A3959" s="101"/>
    </row>
    <row r="3960" spans="1:1" x14ac:dyDescent="0.2">
      <c r="A3960" s="101"/>
    </row>
    <row r="3961" spans="1:1" x14ac:dyDescent="0.2">
      <c r="A3961" s="101"/>
    </row>
    <row r="3962" spans="1:1" x14ac:dyDescent="0.2">
      <c r="A3962" s="101"/>
    </row>
    <row r="3963" spans="1:1" x14ac:dyDescent="0.2">
      <c r="A3963" s="101"/>
    </row>
    <row r="3964" spans="1:1" x14ac:dyDescent="0.2">
      <c r="A3964" s="101"/>
    </row>
    <row r="3965" spans="1:1" x14ac:dyDescent="0.2">
      <c r="A3965" s="101"/>
    </row>
    <row r="3966" spans="1:1" x14ac:dyDescent="0.2">
      <c r="A3966" s="101"/>
    </row>
    <row r="3967" spans="1:1" x14ac:dyDescent="0.2">
      <c r="A3967" s="101"/>
    </row>
    <row r="3968" spans="1:1" x14ac:dyDescent="0.2">
      <c r="A3968" s="101"/>
    </row>
    <row r="3969" spans="1:1" x14ac:dyDescent="0.2">
      <c r="A3969" s="101"/>
    </row>
    <row r="3970" spans="1:1" x14ac:dyDescent="0.2">
      <c r="A3970" s="101"/>
    </row>
    <row r="3971" spans="1:1" x14ac:dyDescent="0.2">
      <c r="A3971" s="101"/>
    </row>
    <row r="3972" spans="1:1" x14ac:dyDescent="0.2">
      <c r="A3972" s="101"/>
    </row>
    <row r="3973" spans="1:1" x14ac:dyDescent="0.2">
      <c r="A3973" s="101"/>
    </row>
    <row r="3974" spans="1:1" x14ac:dyDescent="0.2">
      <c r="A3974" s="101"/>
    </row>
    <row r="3975" spans="1:1" x14ac:dyDescent="0.2">
      <c r="A3975" s="101"/>
    </row>
    <row r="3976" spans="1:1" x14ac:dyDescent="0.2">
      <c r="A3976" s="101"/>
    </row>
    <row r="3977" spans="1:1" x14ac:dyDescent="0.2">
      <c r="A3977" s="101"/>
    </row>
    <row r="3978" spans="1:1" x14ac:dyDescent="0.2">
      <c r="A3978" s="101"/>
    </row>
    <row r="3979" spans="1:1" x14ac:dyDescent="0.2">
      <c r="A3979" s="101"/>
    </row>
    <row r="3980" spans="1:1" x14ac:dyDescent="0.2">
      <c r="A3980" s="101"/>
    </row>
    <row r="3981" spans="1:1" x14ac:dyDescent="0.2">
      <c r="A3981" s="101"/>
    </row>
    <row r="3982" spans="1:1" x14ac:dyDescent="0.2">
      <c r="A3982" s="101"/>
    </row>
    <row r="3983" spans="1:1" x14ac:dyDescent="0.2">
      <c r="A3983" s="101"/>
    </row>
    <row r="3984" spans="1:1" x14ac:dyDescent="0.2">
      <c r="A3984" s="101"/>
    </row>
    <row r="3985" spans="1:1" x14ac:dyDescent="0.2">
      <c r="A3985" s="101"/>
    </row>
    <row r="3986" spans="1:1" x14ac:dyDescent="0.2">
      <c r="A3986" s="101"/>
    </row>
    <row r="3987" spans="1:1" x14ac:dyDescent="0.2">
      <c r="A3987" s="101"/>
    </row>
    <row r="3988" spans="1:1" x14ac:dyDescent="0.2">
      <c r="A3988" s="101"/>
    </row>
    <row r="3989" spans="1:1" x14ac:dyDescent="0.2">
      <c r="A3989" s="101"/>
    </row>
    <row r="3990" spans="1:1" x14ac:dyDescent="0.2">
      <c r="A3990" s="101"/>
    </row>
    <row r="3991" spans="1:1" x14ac:dyDescent="0.2">
      <c r="A3991" s="101"/>
    </row>
    <row r="3992" spans="1:1" x14ac:dyDescent="0.2">
      <c r="A3992" s="101"/>
    </row>
    <row r="3993" spans="1:1" x14ac:dyDescent="0.2">
      <c r="A3993" s="101"/>
    </row>
    <row r="3994" spans="1:1" x14ac:dyDescent="0.2">
      <c r="A3994" s="101"/>
    </row>
    <row r="3995" spans="1:1" x14ac:dyDescent="0.2">
      <c r="A3995" s="101"/>
    </row>
    <row r="3996" spans="1:1" x14ac:dyDescent="0.2">
      <c r="A3996" s="101"/>
    </row>
    <row r="3997" spans="1:1" x14ac:dyDescent="0.2">
      <c r="A3997" s="101"/>
    </row>
    <row r="3998" spans="1:1" x14ac:dyDescent="0.2">
      <c r="A3998" s="101"/>
    </row>
    <row r="3999" spans="1:1" x14ac:dyDescent="0.2">
      <c r="A3999" s="101"/>
    </row>
    <row r="4000" spans="1:1" x14ac:dyDescent="0.2">
      <c r="A4000" s="101"/>
    </row>
    <row r="4001" spans="1:1" x14ac:dyDescent="0.2">
      <c r="A4001" s="101"/>
    </row>
    <row r="4002" spans="1:1" x14ac:dyDescent="0.2">
      <c r="A4002" s="101"/>
    </row>
    <row r="4003" spans="1:1" x14ac:dyDescent="0.2">
      <c r="A4003" s="101"/>
    </row>
    <row r="4004" spans="1:1" x14ac:dyDescent="0.2">
      <c r="A4004" s="101"/>
    </row>
    <row r="4005" spans="1:1" x14ac:dyDescent="0.2">
      <c r="A4005" s="101"/>
    </row>
    <row r="4006" spans="1:1" x14ac:dyDescent="0.2">
      <c r="A4006" s="101"/>
    </row>
    <row r="4007" spans="1:1" x14ac:dyDescent="0.2">
      <c r="A4007" s="101"/>
    </row>
    <row r="4008" spans="1:1" x14ac:dyDescent="0.2">
      <c r="A4008" s="101"/>
    </row>
    <row r="4009" spans="1:1" x14ac:dyDescent="0.2">
      <c r="A4009" s="101"/>
    </row>
    <row r="4010" spans="1:1" x14ac:dyDescent="0.2">
      <c r="A4010" s="101"/>
    </row>
    <row r="4011" spans="1:1" x14ac:dyDescent="0.2">
      <c r="A4011" s="101"/>
    </row>
    <row r="4012" spans="1:1" x14ac:dyDescent="0.2">
      <c r="A4012" s="101"/>
    </row>
    <row r="4013" spans="1:1" x14ac:dyDescent="0.2">
      <c r="A4013" s="101"/>
    </row>
    <row r="4014" spans="1:1" x14ac:dyDescent="0.2">
      <c r="A4014" s="101"/>
    </row>
    <row r="4015" spans="1:1" x14ac:dyDescent="0.2">
      <c r="A4015" s="101"/>
    </row>
    <row r="4016" spans="1:1" x14ac:dyDescent="0.2">
      <c r="A4016" s="101"/>
    </row>
    <row r="4017" spans="1:1" x14ac:dyDescent="0.2">
      <c r="A4017" s="101"/>
    </row>
    <row r="4018" spans="1:1" x14ac:dyDescent="0.2">
      <c r="A4018" s="101"/>
    </row>
    <row r="4019" spans="1:1" x14ac:dyDescent="0.2">
      <c r="A4019" s="101"/>
    </row>
    <row r="4020" spans="1:1" x14ac:dyDescent="0.2">
      <c r="A4020" s="101"/>
    </row>
    <row r="4021" spans="1:1" x14ac:dyDescent="0.2">
      <c r="A4021" s="101"/>
    </row>
    <row r="4022" spans="1:1" x14ac:dyDescent="0.2">
      <c r="A4022" s="101"/>
    </row>
    <row r="4023" spans="1:1" x14ac:dyDescent="0.2">
      <c r="A4023" s="101"/>
    </row>
    <row r="4024" spans="1:1" x14ac:dyDescent="0.2">
      <c r="A4024" s="101"/>
    </row>
    <row r="4025" spans="1:1" x14ac:dyDescent="0.2">
      <c r="A4025" s="101"/>
    </row>
    <row r="4026" spans="1:1" x14ac:dyDescent="0.2">
      <c r="A4026" s="101"/>
    </row>
    <row r="4027" spans="1:1" x14ac:dyDescent="0.2">
      <c r="A4027" s="101"/>
    </row>
    <row r="4028" spans="1:1" x14ac:dyDescent="0.2">
      <c r="A4028" s="101"/>
    </row>
    <row r="4029" spans="1:1" x14ac:dyDescent="0.2">
      <c r="A4029" s="101"/>
    </row>
    <row r="4030" spans="1:1" x14ac:dyDescent="0.2">
      <c r="A4030" s="101"/>
    </row>
    <row r="4031" spans="1:1" x14ac:dyDescent="0.2">
      <c r="A4031" s="101"/>
    </row>
    <row r="4032" spans="1:1" x14ac:dyDescent="0.2">
      <c r="A4032" s="101"/>
    </row>
    <row r="4033" spans="1:1" x14ac:dyDescent="0.2">
      <c r="A4033" s="101"/>
    </row>
    <row r="4034" spans="1:1" x14ac:dyDescent="0.2">
      <c r="A4034" s="101"/>
    </row>
    <row r="4035" spans="1:1" x14ac:dyDescent="0.2">
      <c r="A4035" s="101"/>
    </row>
    <row r="4036" spans="1:1" x14ac:dyDescent="0.2">
      <c r="A4036" s="101"/>
    </row>
    <row r="4037" spans="1:1" x14ac:dyDescent="0.2">
      <c r="A4037" s="101"/>
    </row>
    <row r="4038" spans="1:1" x14ac:dyDescent="0.2">
      <c r="A4038" s="101"/>
    </row>
    <row r="4039" spans="1:1" x14ac:dyDescent="0.2">
      <c r="A4039" s="101"/>
    </row>
    <row r="4040" spans="1:1" x14ac:dyDescent="0.2">
      <c r="A4040" s="101"/>
    </row>
    <row r="4041" spans="1:1" x14ac:dyDescent="0.2">
      <c r="A4041" s="101"/>
    </row>
    <row r="4042" spans="1:1" x14ac:dyDescent="0.2">
      <c r="A4042" s="101"/>
    </row>
    <row r="4043" spans="1:1" x14ac:dyDescent="0.2">
      <c r="A4043" s="101"/>
    </row>
    <row r="4044" spans="1:1" x14ac:dyDescent="0.2">
      <c r="A4044" s="101"/>
    </row>
    <row r="4045" spans="1:1" x14ac:dyDescent="0.2">
      <c r="A4045" s="101"/>
    </row>
    <row r="4046" spans="1:1" x14ac:dyDescent="0.2">
      <c r="A4046" s="101"/>
    </row>
    <row r="4047" spans="1:1" x14ac:dyDescent="0.2">
      <c r="A4047" s="101"/>
    </row>
    <row r="4048" spans="1:1" x14ac:dyDescent="0.2">
      <c r="A4048" s="101"/>
    </row>
    <row r="4049" spans="1:1" x14ac:dyDescent="0.2">
      <c r="A4049" s="101"/>
    </row>
    <row r="4050" spans="1:1" x14ac:dyDescent="0.2">
      <c r="A4050" s="101"/>
    </row>
    <row r="4051" spans="1:1" x14ac:dyDescent="0.2">
      <c r="A4051" s="101"/>
    </row>
    <row r="4052" spans="1:1" x14ac:dyDescent="0.2">
      <c r="A4052" s="101"/>
    </row>
    <row r="4053" spans="1:1" x14ac:dyDescent="0.2">
      <c r="A4053" s="101"/>
    </row>
    <row r="4054" spans="1:1" x14ac:dyDescent="0.2">
      <c r="A4054" s="101"/>
    </row>
    <row r="4055" spans="1:1" x14ac:dyDescent="0.2">
      <c r="A4055" s="101"/>
    </row>
    <row r="4056" spans="1:1" x14ac:dyDescent="0.2">
      <c r="A4056" s="101"/>
    </row>
    <row r="4057" spans="1:1" x14ac:dyDescent="0.2">
      <c r="A4057" s="101"/>
    </row>
    <row r="4058" spans="1:1" x14ac:dyDescent="0.2">
      <c r="A4058" s="101"/>
    </row>
    <row r="4059" spans="1:1" x14ac:dyDescent="0.2">
      <c r="A4059" s="101"/>
    </row>
    <row r="4060" spans="1:1" x14ac:dyDescent="0.2">
      <c r="A4060" s="101"/>
    </row>
    <row r="4061" spans="1:1" x14ac:dyDescent="0.2">
      <c r="A4061" s="101"/>
    </row>
    <row r="4062" spans="1:1" x14ac:dyDescent="0.2">
      <c r="A4062" s="101"/>
    </row>
    <row r="4063" spans="1:1" x14ac:dyDescent="0.2">
      <c r="A4063" s="101"/>
    </row>
    <row r="4064" spans="1:1" x14ac:dyDescent="0.2">
      <c r="A4064" s="101"/>
    </row>
    <row r="4065" spans="1:1" x14ac:dyDescent="0.2">
      <c r="A4065" s="101"/>
    </row>
    <row r="4066" spans="1:1" x14ac:dyDescent="0.2">
      <c r="A4066" s="101"/>
    </row>
    <row r="4067" spans="1:1" x14ac:dyDescent="0.2">
      <c r="A4067" s="101"/>
    </row>
    <row r="4068" spans="1:1" x14ac:dyDescent="0.2">
      <c r="A4068" s="101"/>
    </row>
    <row r="4069" spans="1:1" x14ac:dyDescent="0.2">
      <c r="A4069" s="101"/>
    </row>
    <row r="4070" spans="1:1" x14ac:dyDescent="0.2">
      <c r="A4070" s="101"/>
    </row>
    <row r="4071" spans="1:1" x14ac:dyDescent="0.2">
      <c r="A4071" s="101"/>
    </row>
    <row r="4072" spans="1:1" x14ac:dyDescent="0.2">
      <c r="A4072" s="101"/>
    </row>
    <row r="4073" spans="1:1" x14ac:dyDescent="0.2">
      <c r="A4073" s="101"/>
    </row>
    <row r="4074" spans="1:1" x14ac:dyDescent="0.2">
      <c r="A4074" s="101"/>
    </row>
    <row r="4075" spans="1:1" x14ac:dyDescent="0.2">
      <c r="A4075" s="101"/>
    </row>
    <row r="4076" spans="1:1" x14ac:dyDescent="0.2">
      <c r="A4076" s="101"/>
    </row>
    <row r="4077" spans="1:1" x14ac:dyDescent="0.2">
      <c r="A4077" s="101"/>
    </row>
    <row r="4078" spans="1:1" x14ac:dyDescent="0.2">
      <c r="A4078" s="101"/>
    </row>
    <row r="4079" spans="1:1" x14ac:dyDescent="0.2">
      <c r="A4079" s="101"/>
    </row>
    <row r="4080" spans="1:1" x14ac:dyDescent="0.2">
      <c r="A4080" s="101"/>
    </row>
    <row r="4081" spans="1:1" x14ac:dyDescent="0.2">
      <c r="A4081" s="101"/>
    </row>
    <row r="4082" spans="1:1" x14ac:dyDescent="0.2">
      <c r="A4082" s="101"/>
    </row>
    <row r="4083" spans="1:1" x14ac:dyDescent="0.2">
      <c r="A4083" s="101"/>
    </row>
    <row r="4084" spans="1:1" x14ac:dyDescent="0.2">
      <c r="A4084" s="101"/>
    </row>
    <row r="4085" spans="1:1" x14ac:dyDescent="0.2">
      <c r="A4085" s="101"/>
    </row>
    <row r="4086" spans="1:1" x14ac:dyDescent="0.2">
      <c r="A4086" s="101"/>
    </row>
    <row r="4087" spans="1:1" x14ac:dyDescent="0.2">
      <c r="A4087" s="101"/>
    </row>
    <row r="4088" spans="1:1" x14ac:dyDescent="0.2">
      <c r="A4088" s="101"/>
    </row>
    <row r="4089" spans="1:1" x14ac:dyDescent="0.2">
      <c r="A4089" s="101"/>
    </row>
    <row r="4090" spans="1:1" x14ac:dyDescent="0.2">
      <c r="A4090" s="101"/>
    </row>
    <row r="4091" spans="1:1" x14ac:dyDescent="0.2">
      <c r="A4091" s="101"/>
    </row>
    <row r="4092" spans="1:1" x14ac:dyDescent="0.2">
      <c r="A4092" s="101"/>
    </row>
    <row r="4093" spans="1:1" x14ac:dyDescent="0.2">
      <c r="A4093" s="101"/>
    </row>
    <row r="4094" spans="1:1" x14ac:dyDescent="0.2">
      <c r="A4094" s="101"/>
    </row>
    <row r="4095" spans="1:1" x14ac:dyDescent="0.2">
      <c r="A4095" s="101"/>
    </row>
    <row r="4096" spans="1:1" x14ac:dyDescent="0.2">
      <c r="A4096" s="101"/>
    </row>
    <row r="4097" spans="1:1" x14ac:dyDescent="0.2">
      <c r="A4097" s="101"/>
    </row>
    <row r="4098" spans="1:1" x14ac:dyDescent="0.2">
      <c r="A4098" s="101"/>
    </row>
    <row r="4099" spans="1:1" x14ac:dyDescent="0.2">
      <c r="A4099" s="101"/>
    </row>
    <row r="4100" spans="1:1" x14ac:dyDescent="0.2">
      <c r="A4100" s="101"/>
    </row>
    <row r="4101" spans="1:1" x14ac:dyDescent="0.2">
      <c r="A4101" s="101"/>
    </row>
    <row r="4102" spans="1:1" x14ac:dyDescent="0.2">
      <c r="A4102" s="101"/>
    </row>
    <row r="4103" spans="1:1" x14ac:dyDescent="0.2">
      <c r="A4103" s="101"/>
    </row>
    <row r="4104" spans="1:1" x14ac:dyDescent="0.2">
      <c r="A4104" s="101"/>
    </row>
    <row r="4105" spans="1:1" x14ac:dyDescent="0.2">
      <c r="A4105" s="101"/>
    </row>
    <row r="4106" spans="1:1" x14ac:dyDescent="0.2">
      <c r="A4106" s="101"/>
    </row>
    <row r="4107" spans="1:1" x14ac:dyDescent="0.2">
      <c r="A4107" s="101"/>
    </row>
    <row r="4108" spans="1:1" x14ac:dyDescent="0.2">
      <c r="A4108" s="101"/>
    </row>
    <row r="4109" spans="1:1" x14ac:dyDescent="0.2">
      <c r="A4109" s="101"/>
    </row>
    <row r="4110" spans="1:1" x14ac:dyDescent="0.2">
      <c r="A4110" s="101"/>
    </row>
    <row r="4111" spans="1:1" x14ac:dyDescent="0.2">
      <c r="A4111" s="101"/>
    </row>
    <row r="4112" spans="1:1" x14ac:dyDescent="0.2">
      <c r="A4112" s="101"/>
    </row>
    <row r="4113" spans="1:1" x14ac:dyDescent="0.2">
      <c r="A4113" s="101"/>
    </row>
    <row r="4114" spans="1:1" x14ac:dyDescent="0.2">
      <c r="A4114" s="101"/>
    </row>
    <row r="4115" spans="1:1" x14ac:dyDescent="0.2">
      <c r="A4115" s="101"/>
    </row>
    <row r="4116" spans="1:1" x14ac:dyDescent="0.2">
      <c r="A4116" s="101"/>
    </row>
    <row r="4117" spans="1:1" x14ac:dyDescent="0.2">
      <c r="A4117" s="101"/>
    </row>
    <row r="4118" spans="1:1" x14ac:dyDescent="0.2">
      <c r="A4118" s="101"/>
    </row>
    <row r="4119" spans="1:1" x14ac:dyDescent="0.2">
      <c r="A4119" s="101"/>
    </row>
    <row r="4120" spans="1:1" x14ac:dyDescent="0.2">
      <c r="A4120" s="101"/>
    </row>
    <row r="4121" spans="1:1" x14ac:dyDescent="0.2">
      <c r="A4121" s="101"/>
    </row>
    <row r="4122" spans="1:1" x14ac:dyDescent="0.2">
      <c r="A4122" s="101"/>
    </row>
    <row r="4123" spans="1:1" x14ac:dyDescent="0.2">
      <c r="A4123" s="101"/>
    </row>
    <row r="4124" spans="1:1" x14ac:dyDescent="0.2">
      <c r="A4124" s="101"/>
    </row>
    <row r="4125" spans="1:1" x14ac:dyDescent="0.2">
      <c r="A4125" s="101"/>
    </row>
    <row r="4126" spans="1:1" x14ac:dyDescent="0.2">
      <c r="A4126" s="101"/>
    </row>
    <row r="4127" spans="1:1" x14ac:dyDescent="0.2">
      <c r="A4127" s="101"/>
    </row>
    <row r="4128" spans="1:1" x14ac:dyDescent="0.2">
      <c r="A4128" s="101"/>
    </row>
    <row r="4129" spans="1:1" x14ac:dyDescent="0.2">
      <c r="A4129" s="101"/>
    </row>
    <row r="4130" spans="1:1" x14ac:dyDescent="0.2">
      <c r="A4130" s="101"/>
    </row>
    <row r="4131" spans="1:1" x14ac:dyDescent="0.2">
      <c r="A4131" s="101"/>
    </row>
    <row r="4132" spans="1:1" x14ac:dyDescent="0.2">
      <c r="A4132" s="101"/>
    </row>
    <row r="4133" spans="1:1" x14ac:dyDescent="0.2">
      <c r="A4133" s="101"/>
    </row>
    <row r="4134" spans="1:1" x14ac:dyDescent="0.2">
      <c r="A4134" s="101"/>
    </row>
    <row r="4135" spans="1:1" x14ac:dyDescent="0.2">
      <c r="A4135" s="101"/>
    </row>
    <row r="4136" spans="1:1" x14ac:dyDescent="0.2">
      <c r="A4136" s="101"/>
    </row>
    <row r="4137" spans="1:1" x14ac:dyDescent="0.2">
      <c r="A4137" s="101"/>
    </row>
    <row r="4138" spans="1:1" x14ac:dyDescent="0.2">
      <c r="A4138" s="101"/>
    </row>
    <row r="4139" spans="1:1" x14ac:dyDescent="0.2">
      <c r="A4139" s="101"/>
    </row>
    <row r="4140" spans="1:1" x14ac:dyDescent="0.2">
      <c r="A4140" s="101"/>
    </row>
    <row r="4141" spans="1:1" x14ac:dyDescent="0.2">
      <c r="A4141" s="101"/>
    </row>
    <row r="4142" spans="1:1" x14ac:dyDescent="0.2">
      <c r="A4142" s="101"/>
    </row>
    <row r="4143" spans="1:1" x14ac:dyDescent="0.2">
      <c r="A4143" s="101"/>
    </row>
    <row r="4144" spans="1:1" x14ac:dyDescent="0.2">
      <c r="A4144" s="101"/>
    </row>
    <row r="4145" spans="1:1" x14ac:dyDescent="0.2">
      <c r="A4145" s="101"/>
    </row>
    <row r="4146" spans="1:1" x14ac:dyDescent="0.2">
      <c r="A4146" s="101"/>
    </row>
    <row r="4147" spans="1:1" x14ac:dyDescent="0.2">
      <c r="A4147" s="101"/>
    </row>
    <row r="4148" spans="1:1" x14ac:dyDescent="0.2">
      <c r="A4148" s="101"/>
    </row>
    <row r="4149" spans="1:1" x14ac:dyDescent="0.2">
      <c r="A4149" s="101"/>
    </row>
    <row r="4150" spans="1:1" x14ac:dyDescent="0.2">
      <c r="A4150" s="101"/>
    </row>
    <row r="4151" spans="1:1" x14ac:dyDescent="0.2">
      <c r="A4151" s="101"/>
    </row>
    <row r="4152" spans="1:1" x14ac:dyDescent="0.2">
      <c r="A4152" s="101"/>
    </row>
    <row r="4153" spans="1:1" x14ac:dyDescent="0.2">
      <c r="A4153" s="101"/>
    </row>
    <row r="4154" spans="1:1" x14ac:dyDescent="0.2">
      <c r="A4154" s="101"/>
    </row>
    <row r="4155" spans="1:1" x14ac:dyDescent="0.2">
      <c r="A4155" s="101"/>
    </row>
    <row r="4156" spans="1:1" x14ac:dyDescent="0.2">
      <c r="A4156" s="101"/>
    </row>
    <row r="4157" spans="1:1" x14ac:dyDescent="0.2">
      <c r="A4157" s="101"/>
    </row>
    <row r="4158" spans="1:1" x14ac:dyDescent="0.2">
      <c r="A4158" s="101"/>
    </row>
    <row r="4159" spans="1:1" x14ac:dyDescent="0.2">
      <c r="A4159" s="101"/>
    </row>
    <row r="4160" spans="1:1" x14ac:dyDescent="0.2">
      <c r="A4160" s="101"/>
    </row>
    <row r="4161" spans="1:1" x14ac:dyDescent="0.2">
      <c r="A4161" s="101"/>
    </row>
    <row r="4162" spans="1:1" x14ac:dyDescent="0.2">
      <c r="A4162" s="101"/>
    </row>
    <row r="4163" spans="1:1" x14ac:dyDescent="0.2">
      <c r="A4163" s="101"/>
    </row>
    <row r="4164" spans="1:1" x14ac:dyDescent="0.2">
      <c r="A4164" s="101"/>
    </row>
    <row r="4165" spans="1:1" x14ac:dyDescent="0.2">
      <c r="A4165" s="101"/>
    </row>
    <row r="4166" spans="1:1" x14ac:dyDescent="0.2">
      <c r="A4166" s="101"/>
    </row>
    <row r="4167" spans="1:1" x14ac:dyDescent="0.2">
      <c r="A4167" s="101"/>
    </row>
    <row r="4168" spans="1:1" x14ac:dyDescent="0.2">
      <c r="A4168" s="101"/>
    </row>
    <row r="4169" spans="1:1" x14ac:dyDescent="0.2">
      <c r="A4169" s="101"/>
    </row>
    <row r="4170" spans="1:1" x14ac:dyDescent="0.2">
      <c r="A4170" s="101"/>
    </row>
    <row r="4171" spans="1:1" x14ac:dyDescent="0.2">
      <c r="A4171" s="101"/>
    </row>
    <row r="4172" spans="1:1" x14ac:dyDescent="0.2">
      <c r="A4172" s="101"/>
    </row>
    <row r="4173" spans="1:1" x14ac:dyDescent="0.2">
      <c r="A4173" s="101"/>
    </row>
    <row r="4174" spans="1:1" x14ac:dyDescent="0.2">
      <c r="A4174" s="101"/>
    </row>
    <row r="4175" spans="1:1" x14ac:dyDescent="0.2">
      <c r="A4175" s="101"/>
    </row>
    <row r="4176" spans="1:1" x14ac:dyDescent="0.2">
      <c r="A4176" s="101"/>
    </row>
    <row r="4177" spans="1:1" x14ac:dyDescent="0.2">
      <c r="A4177" s="101"/>
    </row>
    <row r="4178" spans="1:1" x14ac:dyDescent="0.2">
      <c r="A4178" s="101"/>
    </row>
    <row r="4179" spans="1:1" x14ac:dyDescent="0.2">
      <c r="A4179" s="101"/>
    </row>
    <row r="4180" spans="1:1" x14ac:dyDescent="0.2">
      <c r="A4180" s="101"/>
    </row>
    <row r="4181" spans="1:1" x14ac:dyDescent="0.2">
      <c r="A4181" s="101"/>
    </row>
    <row r="4182" spans="1:1" x14ac:dyDescent="0.2">
      <c r="A4182" s="101"/>
    </row>
    <row r="4183" spans="1:1" x14ac:dyDescent="0.2">
      <c r="A4183" s="101"/>
    </row>
    <row r="4184" spans="1:1" x14ac:dyDescent="0.2">
      <c r="A4184" s="101"/>
    </row>
    <row r="4185" spans="1:1" x14ac:dyDescent="0.2">
      <c r="A4185" s="101"/>
    </row>
    <row r="4186" spans="1:1" x14ac:dyDescent="0.2">
      <c r="A4186" s="101"/>
    </row>
    <row r="4187" spans="1:1" x14ac:dyDescent="0.2">
      <c r="A4187" s="101"/>
    </row>
    <row r="4188" spans="1:1" x14ac:dyDescent="0.2">
      <c r="A4188" s="101"/>
    </row>
    <row r="4189" spans="1:1" x14ac:dyDescent="0.2">
      <c r="A4189" s="101"/>
    </row>
    <row r="4190" spans="1:1" x14ac:dyDescent="0.2">
      <c r="A4190" s="101"/>
    </row>
    <row r="4191" spans="1:1" x14ac:dyDescent="0.2">
      <c r="A4191" s="101"/>
    </row>
    <row r="4192" spans="1:1" x14ac:dyDescent="0.2">
      <c r="A4192" s="101"/>
    </row>
    <row r="4193" spans="1:1" x14ac:dyDescent="0.2">
      <c r="A4193" s="101"/>
    </row>
    <row r="4194" spans="1:1" x14ac:dyDescent="0.2">
      <c r="A4194" s="101"/>
    </row>
    <row r="4195" spans="1:1" x14ac:dyDescent="0.2">
      <c r="A4195" s="101"/>
    </row>
    <row r="4196" spans="1:1" x14ac:dyDescent="0.2">
      <c r="A4196" s="101"/>
    </row>
    <row r="4197" spans="1:1" x14ac:dyDescent="0.2">
      <c r="A4197" s="101"/>
    </row>
    <row r="4198" spans="1:1" x14ac:dyDescent="0.2">
      <c r="A4198" s="101"/>
    </row>
    <row r="4199" spans="1:1" x14ac:dyDescent="0.2">
      <c r="A4199" s="101"/>
    </row>
    <row r="4200" spans="1:1" x14ac:dyDescent="0.2">
      <c r="A4200" s="101"/>
    </row>
    <row r="4201" spans="1:1" x14ac:dyDescent="0.2">
      <c r="A4201" s="101"/>
    </row>
    <row r="4202" spans="1:1" x14ac:dyDescent="0.2">
      <c r="A4202" s="101"/>
    </row>
    <row r="4203" spans="1:1" x14ac:dyDescent="0.2">
      <c r="A4203" s="101"/>
    </row>
    <row r="4204" spans="1:1" x14ac:dyDescent="0.2">
      <c r="A4204" s="101"/>
    </row>
    <row r="4205" spans="1:1" x14ac:dyDescent="0.2">
      <c r="A4205" s="101"/>
    </row>
    <row r="4206" spans="1:1" x14ac:dyDescent="0.2">
      <c r="A4206" s="101"/>
    </row>
    <row r="4207" spans="1:1" x14ac:dyDescent="0.2">
      <c r="A4207" s="101"/>
    </row>
    <row r="4208" spans="1:1" x14ac:dyDescent="0.2">
      <c r="A4208" s="101"/>
    </row>
    <row r="4209" spans="1:1" x14ac:dyDescent="0.2">
      <c r="A4209" s="101"/>
    </row>
    <row r="4210" spans="1:1" x14ac:dyDescent="0.2">
      <c r="A4210" s="101"/>
    </row>
    <row r="4211" spans="1:1" x14ac:dyDescent="0.2">
      <c r="A4211" s="101"/>
    </row>
    <row r="4212" spans="1:1" x14ac:dyDescent="0.2">
      <c r="A4212" s="101"/>
    </row>
    <row r="4213" spans="1:1" x14ac:dyDescent="0.2">
      <c r="A4213" s="101"/>
    </row>
    <row r="4214" spans="1:1" x14ac:dyDescent="0.2">
      <c r="A4214" s="101"/>
    </row>
    <row r="4215" spans="1:1" x14ac:dyDescent="0.2">
      <c r="A4215" s="101"/>
    </row>
    <row r="4216" spans="1:1" x14ac:dyDescent="0.2">
      <c r="A4216" s="101"/>
    </row>
    <row r="4217" spans="1:1" x14ac:dyDescent="0.2">
      <c r="A4217" s="101"/>
    </row>
    <row r="4218" spans="1:1" x14ac:dyDescent="0.2">
      <c r="A4218" s="101"/>
    </row>
    <row r="4219" spans="1:1" x14ac:dyDescent="0.2">
      <c r="A4219" s="101"/>
    </row>
    <row r="4220" spans="1:1" x14ac:dyDescent="0.2">
      <c r="A4220" s="101"/>
    </row>
    <row r="4221" spans="1:1" x14ac:dyDescent="0.2">
      <c r="A4221" s="101"/>
    </row>
    <row r="4222" spans="1:1" x14ac:dyDescent="0.2">
      <c r="A4222" s="101"/>
    </row>
    <row r="4223" spans="1:1" x14ac:dyDescent="0.2">
      <c r="A4223" s="101"/>
    </row>
    <row r="4224" spans="1:1" x14ac:dyDescent="0.2">
      <c r="A4224" s="101"/>
    </row>
    <row r="4225" spans="1:1" x14ac:dyDescent="0.2">
      <c r="A4225" s="101"/>
    </row>
    <row r="4226" spans="1:1" x14ac:dyDescent="0.2">
      <c r="A4226" s="101"/>
    </row>
    <row r="4227" spans="1:1" x14ac:dyDescent="0.2">
      <c r="A4227" s="101"/>
    </row>
    <row r="4228" spans="1:1" x14ac:dyDescent="0.2">
      <c r="A4228" s="101"/>
    </row>
    <row r="4229" spans="1:1" x14ac:dyDescent="0.2">
      <c r="A4229" s="101"/>
    </row>
    <row r="4230" spans="1:1" x14ac:dyDescent="0.2">
      <c r="A4230" s="101"/>
    </row>
    <row r="4231" spans="1:1" x14ac:dyDescent="0.2">
      <c r="A4231" s="101"/>
    </row>
    <row r="4232" spans="1:1" x14ac:dyDescent="0.2">
      <c r="A4232" s="101"/>
    </row>
    <row r="4233" spans="1:1" x14ac:dyDescent="0.2">
      <c r="A4233" s="101"/>
    </row>
    <row r="4234" spans="1:1" x14ac:dyDescent="0.2">
      <c r="A4234" s="101"/>
    </row>
    <row r="4235" spans="1:1" x14ac:dyDescent="0.2">
      <c r="A4235" s="101"/>
    </row>
    <row r="4236" spans="1:1" x14ac:dyDescent="0.2">
      <c r="A4236" s="101"/>
    </row>
    <row r="4237" spans="1:1" x14ac:dyDescent="0.2">
      <c r="A4237" s="101"/>
    </row>
    <row r="4238" spans="1:1" x14ac:dyDescent="0.2">
      <c r="A4238" s="101"/>
    </row>
    <row r="4239" spans="1:1" x14ac:dyDescent="0.2">
      <c r="A4239" s="101"/>
    </row>
    <row r="4240" spans="1:1" x14ac:dyDescent="0.2">
      <c r="A4240" s="101"/>
    </row>
    <row r="4241" spans="1:1" x14ac:dyDescent="0.2">
      <c r="A4241" s="101"/>
    </row>
    <row r="4242" spans="1:1" x14ac:dyDescent="0.2">
      <c r="A4242" s="101"/>
    </row>
    <row r="4243" spans="1:1" x14ac:dyDescent="0.2">
      <c r="A4243" s="101"/>
    </row>
    <row r="4244" spans="1:1" x14ac:dyDescent="0.2">
      <c r="A4244" s="101"/>
    </row>
    <row r="4245" spans="1:1" x14ac:dyDescent="0.2">
      <c r="A4245" s="101"/>
    </row>
    <row r="4246" spans="1:1" x14ac:dyDescent="0.2">
      <c r="A4246" s="101"/>
    </row>
    <row r="4247" spans="1:1" x14ac:dyDescent="0.2">
      <c r="A4247" s="101"/>
    </row>
    <row r="4248" spans="1:1" x14ac:dyDescent="0.2">
      <c r="A4248" s="101"/>
    </row>
    <row r="4249" spans="1:1" x14ac:dyDescent="0.2">
      <c r="A4249" s="101"/>
    </row>
    <row r="4250" spans="1:1" x14ac:dyDescent="0.2">
      <c r="A4250" s="101"/>
    </row>
    <row r="4251" spans="1:1" x14ac:dyDescent="0.2">
      <c r="A4251" s="101"/>
    </row>
    <row r="4252" spans="1:1" x14ac:dyDescent="0.2">
      <c r="A4252" s="101"/>
    </row>
    <row r="4253" spans="1:1" x14ac:dyDescent="0.2">
      <c r="A4253" s="101"/>
    </row>
    <row r="4254" spans="1:1" x14ac:dyDescent="0.2">
      <c r="A4254" s="101"/>
    </row>
    <row r="4255" spans="1:1" x14ac:dyDescent="0.2">
      <c r="A4255" s="101"/>
    </row>
    <row r="4256" spans="1:1" x14ac:dyDescent="0.2">
      <c r="A4256" s="101"/>
    </row>
    <row r="4257" spans="1:1" x14ac:dyDescent="0.2">
      <c r="A4257" s="101"/>
    </row>
    <row r="4258" spans="1:1" x14ac:dyDescent="0.2">
      <c r="A4258" s="101"/>
    </row>
    <row r="4259" spans="1:1" x14ac:dyDescent="0.2">
      <c r="A4259" s="101"/>
    </row>
    <row r="4260" spans="1:1" x14ac:dyDescent="0.2">
      <c r="A4260" s="101"/>
    </row>
    <row r="4261" spans="1:1" x14ac:dyDescent="0.2">
      <c r="A4261" s="101"/>
    </row>
    <row r="4262" spans="1:1" x14ac:dyDescent="0.2">
      <c r="A4262" s="101"/>
    </row>
    <row r="4263" spans="1:1" x14ac:dyDescent="0.2">
      <c r="A4263" s="101"/>
    </row>
    <row r="4264" spans="1:1" x14ac:dyDescent="0.2">
      <c r="A4264" s="101"/>
    </row>
    <row r="4265" spans="1:1" x14ac:dyDescent="0.2">
      <c r="A4265" s="101"/>
    </row>
    <row r="4266" spans="1:1" x14ac:dyDescent="0.2">
      <c r="A4266" s="101"/>
    </row>
    <row r="4267" spans="1:1" x14ac:dyDescent="0.2">
      <c r="A4267" s="101"/>
    </row>
    <row r="4268" spans="1:1" x14ac:dyDescent="0.2">
      <c r="A4268" s="101"/>
    </row>
    <row r="4269" spans="1:1" x14ac:dyDescent="0.2">
      <c r="A4269" s="101"/>
    </row>
    <row r="4270" spans="1:1" x14ac:dyDescent="0.2">
      <c r="A4270" s="101"/>
    </row>
    <row r="4271" spans="1:1" x14ac:dyDescent="0.2">
      <c r="A4271" s="101"/>
    </row>
    <row r="4272" spans="1:1" x14ac:dyDescent="0.2">
      <c r="A4272" s="101"/>
    </row>
    <row r="4273" spans="1:1" x14ac:dyDescent="0.2">
      <c r="A4273" s="101"/>
    </row>
    <row r="4274" spans="1:1" x14ac:dyDescent="0.2">
      <c r="A4274" s="101"/>
    </row>
    <row r="4275" spans="1:1" x14ac:dyDescent="0.2">
      <c r="A4275" s="101"/>
    </row>
    <row r="4276" spans="1:1" x14ac:dyDescent="0.2">
      <c r="A4276" s="101"/>
    </row>
    <row r="4277" spans="1:1" x14ac:dyDescent="0.2">
      <c r="A4277" s="101"/>
    </row>
    <row r="4278" spans="1:1" x14ac:dyDescent="0.2">
      <c r="A4278" s="101"/>
    </row>
    <row r="4279" spans="1:1" x14ac:dyDescent="0.2">
      <c r="A4279" s="101"/>
    </row>
    <row r="4280" spans="1:1" x14ac:dyDescent="0.2">
      <c r="A4280" s="101"/>
    </row>
    <row r="4281" spans="1:1" x14ac:dyDescent="0.2">
      <c r="A4281" s="101"/>
    </row>
    <row r="4282" spans="1:1" x14ac:dyDescent="0.2">
      <c r="A4282" s="101"/>
    </row>
    <row r="4283" spans="1:1" x14ac:dyDescent="0.2">
      <c r="A4283" s="101"/>
    </row>
    <row r="4284" spans="1:1" x14ac:dyDescent="0.2">
      <c r="A4284" s="101"/>
    </row>
    <row r="4285" spans="1:1" x14ac:dyDescent="0.2">
      <c r="A4285" s="101"/>
    </row>
    <row r="4286" spans="1:1" x14ac:dyDescent="0.2">
      <c r="A4286" s="101"/>
    </row>
    <row r="4287" spans="1:1" x14ac:dyDescent="0.2">
      <c r="A4287" s="101"/>
    </row>
    <row r="4288" spans="1:1" x14ac:dyDescent="0.2">
      <c r="A4288" s="101"/>
    </row>
    <row r="4289" spans="1:1" x14ac:dyDescent="0.2">
      <c r="A4289" s="101"/>
    </row>
    <row r="4290" spans="1:1" x14ac:dyDescent="0.2">
      <c r="A4290" s="101"/>
    </row>
    <row r="4291" spans="1:1" x14ac:dyDescent="0.2">
      <c r="A4291" s="101"/>
    </row>
    <row r="4292" spans="1:1" x14ac:dyDescent="0.2">
      <c r="A4292" s="101"/>
    </row>
    <row r="4293" spans="1:1" x14ac:dyDescent="0.2">
      <c r="A4293" s="101"/>
    </row>
    <row r="4294" spans="1:1" x14ac:dyDescent="0.2">
      <c r="A4294" s="101"/>
    </row>
    <row r="4295" spans="1:1" x14ac:dyDescent="0.2">
      <c r="A4295" s="101"/>
    </row>
    <row r="4296" spans="1:1" x14ac:dyDescent="0.2">
      <c r="A4296" s="101"/>
    </row>
    <row r="4297" spans="1:1" x14ac:dyDescent="0.2">
      <c r="A4297" s="101"/>
    </row>
    <row r="4298" spans="1:1" x14ac:dyDescent="0.2">
      <c r="A4298" s="101"/>
    </row>
    <row r="4299" spans="1:1" x14ac:dyDescent="0.2">
      <c r="A4299" s="101"/>
    </row>
    <row r="4300" spans="1:1" x14ac:dyDescent="0.2">
      <c r="A4300" s="101"/>
    </row>
    <row r="4301" spans="1:1" x14ac:dyDescent="0.2">
      <c r="A4301" s="101"/>
    </row>
    <row r="4302" spans="1:1" x14ac:dyDescent="0.2">
      <c r="A4302" s="101"/>
    </row>
    <row r="4303" spans="1:1" x14ac:dyDescent="0.2">
      <c r="A4303" s="101"/>
    </row>
    <row r="4304" spans="1:1" x14ac:dyDescent="0.2">
      <c r="A4304" s="101"/>
    </row>
    <row r="4305" spans="1:1" x14ac:dyDescent="0.2">
      <c r="A4305" s="101"/>
    </row>
    <row r="4306" spans="1:1" x14ac:dyDescent="0.2">
      <c r="A4306" s="101"/>
    </row>
    <row r="4307" spans="1:1" x14ac:dyDescent="0.2">
      <c r="A4307" s="101"/>
    </row>
    <row r="4308" spans="1:1" x14ac:dyDescent="0.2">
      <c r="A4308" s="101"/>
    </row>
    <row r="4309" spans="1:1" x14ac:dyDescent="0.2">
      <c r="A4309" s="101"/>
    </row>
    <row r="4310" spans="1:1" x14ac:dyDescent="0.2">
      <c r="A4310" s="101"/>
    </row>
    <row r="4311" spans="1:1" x14ac:dyDescent="0.2">
      <c r="A4311" s="101"/>
    </row>
    <row r="4312" spans="1:1" x14ac:dyDescent="0.2">
      <c r="A4312" s="101"/>
    </row>
    <row r="4313" spans="1:1" x14ac:dyDescent="0.2">
      <c r="A4313" s="101"/>
    </row>
    <row r="4314" spans="1:1" x14ac:dyDescent="0.2">
      <c r="A4314" s="101"/>
    </row>
    <row r="4315" spans="1:1" x14ac:dyDescent="0.2">
      <c r="A4315" s="101"/>
    </row>
    <row r="4316" spans="1:1" x14ac:dyDescent="0.2">
      <c r="A4316" s="101"/>
    </row>
    <row r="4317" spans="1:1" x14ac:dyDescent="0.2">
      <c r="A4317" s="101"/>
    </row>
    <row r="4318" spans="1:1" x14ac:dyDescent="0.2">
      <c r="A4318" s="101"/>
    </row>
    <row r="4319" spans="1:1" x14ac:dyDescent="0.2">
      <c r="A4319" s="101"/>
    </row>
    <row r="4320" spans="1:1" x14ac:dyDescent="0.2">
      <c r="A4320" s="101"/>
    </row>
    <row r="4321" spans="1:1" x14ac:dyDescent="0.2">
      <c r="A4321" s="101"/>
    </row>
    <row r="4322" spans="1:1" x14ac:dyDescent="0.2">
      <c r="A4322" s="101"/>
    </row>
    <row r="4323" spans="1:1" x14ac:dyDescent="0.2">
      <c r="A4323" s="101"/>
    </row>
    <row r="4324" spans="1:1" x14ac:dyDescent="0.2">
      <c r="A4324" s="101"/>
    </row>
    <row r="4325" spans="1:1" x14ac:dyDescent="0.2">
      <c r="A4325" s="101"/>
    </row>
    <row r="4326" spans="1:1" x14ac:dyDescent="0.2">
      <c r="A4326" s="101"/>
    </row>
    <row r="4327" spans="1:1" x14ac:dyDescent="0.2">
      <c r="A4327" s="101"/>
    </row>
    <row r="4328" spans="1:1" x14ac:dyDescent="0.2">
      <c r="A4328" s="101"/>
    </row>
    <row r="4329" spans="1:1" x14ac:dyDescent="0.2">
      <c r="A4329" s="101"/>
    </row>
    <row r="4330" spans="1:1" x14ac:dyDescent="0.2">
      <c r="A4330" s="101"/>
    </row>
    <row r="4331" spans="1:1" x14ac:dyDescent="0.2">
      <c r="A4331" s="101"/>
    </row>
    <row r="4332" spans="1:1" x14ac:dyDescent="0.2">
      <c r="A4332" s="101"/>
    </row>
    <row r="4333" spans="1:1" x14ac:dyDescent="0.2">
      <c r="A4333" s="101"/>
    </row>
    <row r="4334" spans="1:1" x14ac:dyDescent="0.2">
      <c r="A4334" s="101"/>
    </row>
    <row r="4335" spans="1:1" x14ac:dyDescent="0.2">
      <c r="A4335" s="101"/>
    </row>
    <row r="4336" spans="1:1" x14ac:dyDescent="0.2">
      <c r="A4336" s="101"/>
    </row>
    <row r="4337" spans="1:1" x14ac:dyDescent="0.2">
      <c r="A4337" s="101"/>
    </row>
    <row r="4338" spans="1:1" x14ac:dyDescent="0.2">
      <c r="A4338" s="101"/>
    </row>
    <row r="4339" spans="1:1" x14ac:dyDescent="0.2">
      <c r="A4339" s="101"/>
    </row>
    <row r="4340" spans="1:1" x14ac:dyDescent="0.2">
      <c r="A4340" s="101"/>
    </row>
    <row r="4341" spans="1:1" x14ac:dyDescent="0.2">
      <c r="A4341" s="101"/>
    </row>
    <row r="4342" spans="1:1" x14ac:dyDescent="0.2">
      <c r="A4342" s="101"/>
    </row>
    <row r="4343" spans="1:1" x14ac:dyDescent="0.2">
      <c r="A4343" s="101"/>
    </row>
    <row r="4344" spans="1:1" x14ac:dyDescent="0.2">
      <c r="A4344" s="101"/>
    </row>
    <row r="4345" spans="1:1" x14ac:dyDescent="0.2">
      <c r="A4345" s="101"/>
    </row>
    <row r="4346" spans="1:1" x14ac:dyDescent="0.2">
      <c r="A4346" s="101"/>
    </row>
    <row r="4347" spans="1:1" x14ac:dyDescent="0.2">
      <c r="A4347" s="101"/>
    </row>
    <row r="4348" spans="1:1" x14ac:dyDescent="0.2">
      <c r="A4348" s="101"/>
    </row>
    <row r="4349" spans="1:1" x14ac:dyDescent="0.2">
      <c r="A4349" s="101"/>
    </row>
    <row r="4350" spans="1:1" x14ac:dyDescent="0.2">
      <c r="A4350" s="101"/>
    </row>
    <row r="4351" spans="1:1" x14ac:dyDescent="0.2">
      <c r="A4351" s="101"/>
    </row>
    <row r="4352" spans="1:1" x14ac:dyDescent="0.2">
      <c r="A4352" s="101"/>
    </row>
    <row r="4353" spans="1:1" x14ac:dyDescent="0.2">
      <c r="A4353" s="101"/>
    </row>
    <row r="4354" spans="1:1" x14ac:dyDescent="0.2">
      <c r="A4354" s="101"/>
    </row>
    <row r="4355" spans="1:1" x14ac:dyDescent="0.2">
      <c r="A4355" s="101"/>
    </row>
    <row r="4356" spans="1:1" x14ac:dyDescent="0.2">
      <c r="A4356" s="101"/>
    </row>
    <row r="4357" spans="1:1" x14ac:dyDescent="0.2">
      <c r="A4357" s="101"/>
    </row>
    <row r="4358" spans="1:1" x14ac:dyDescent="0.2">
      <c r="A4358" s="101"/>
    </row>
    <row r="4359" spans="1:1" x14ac:dyDescent="0.2">
      <c r="A4359" s="101"/>
    </row>
    <row r="4360" spans="1:1" x14ac:dyDescent="0.2">
      <c r="A4360" s="101"/>
    </row>
    <row r="4361" spans="1:1" x14ac:dyDescent="0.2">
      <c r="A4361" s="101"/>
    </row>
    <row r="4362" spans="1:1" x14ac:dyDescent="0.2">
      <c r="A4362" s="101"/>
    </row>
    <row r="4363" spans="1:1" x14ac:dyDescent="0.2">
      <c r="A4363" s="101"/>
    </row>
    <row r="4364" spans="1:1" x14ac:dyDescent="0.2">
      <c r="A4364" s="101"/>
    </row>
    <row r="4365" spans="1:1" x14ac:dyDescent="0.2">
      <c r="A4365" s="101"/>
    </row>
    <row r="4366" spans="1:1" x14ac:dyDescent="0.2">
      <c r="A4366" s="101"/>
    </row>
    <row r="4367" spans="1:1" x14ac:dyDescent="0.2">
      <c r="A4367" s="101"/>
    </row>
    <row r="4368" spans="1:1" x14ac:dyDescent="0.2">
      <c r="A4368" s="101"/>
    </row>
    <row r="4369" spans="1:1" x14ac:dyDescent="0.2">
      <c r="A4369" s="101"/>
    </row>
    <row r="4370" spans="1:1" x14ac:dyDescent="0.2">
      <c r="A4370" s="101"/>
    </row>
    <row r="4371" spans="1:1" x14ac:dyDescent="0.2">
      <c r="A4371" s="101"/>
    </row>
    <row r="4372" spans="1:1" x14ac:dyDescent="0.2">
      <c r="A4372" s="101"/>
    </row>
    <row r="4373" spans="1:1" x14ac:dyDescent="0.2">
      <c r="A4373" s="101"/>
    </row>
    <row r="4374" spans="1:1" x14ac:dyDescent="0.2">
      <c r="A4374" s="101"/>
    </row>
    <row r="4375" spans="1:1" x14ac:dyDescent="0.2">
      <c r="A4375" s="101"/>
    </row>
    <row r="4376" spans="1:1" x14ac:dyDescent="0.2">
      <c r="A4376" s="101"/>
    </row>
    <row r="4377" spans="1:1" x14ac:dyDescent="0.2">
      <c r="A4377" s="101"/>
    </row>
    <row r="4378" spans="1:1" x14ac:dyDescent="0.2">
      <c r="A4378" s="101"/>
    </row>
    <row r="4379" spans="1:1" x14ac:dyDescent="0.2">
      <c r="A4379" s="101"/>
    </row>
    <row r="4380" spans="1:1" x14ac:dyDescent="0.2">
      <c r="A4380" s="101"/>
    </row>
    <row r="4381" spans="1:1" x14ac:dyDescent="0.2">
      <c r="A4381" s="101"/>
    </row>
    <row r="4382" spans="1:1" x14ac:dyDescent="0.2">
      <c r="A4382" s="101"/>
    </row>
    <row r="4383" spans="1:1" x14ac:dyDescent="0.2">
      <c r="A4383" s="101"/>
    </row>
    <row r="4384" spans="1:1" x14ac:dyDescent="0.2">
      <c r="A4384" s="101"/>
    </row>
    <row r="4385" spans="1:1" x14ac:dyDescent="0.2">
      <c r="A4385" s="101"/>
    </row>
    <row r="4386" spans="1:1" x14ac:dyDescent="0.2">
      <c r="A4386" s="101"/>
    </row>
    <row r="4387" spans="1:1" x14ac:dyDescent="0.2">
      <c r="A4387" s="101"/>
    </row>
    <row r="4388" spans="1:1" x14ac:dyDescent="0.2">
      <c r="A4388" s="101"/>
    </row>
    <row r="4389" spans="1:1" x14ac:dyDescent="0.2">
      <c r="A4389" s="101"/>
    </row>
    <row r="4390" spans="1:1" x14ac:dyDescent="0.2">
      <c r="A4390" s="101"/>
    </row>
    <row r="4391" spans="1:1" x14ac:dyDescent="0.2">
      <c r="A4391" s="101"/>
    </row>
    <row r="4392" spans="1:1" x14ac:dyDescent="0.2">
      <c r="A4392" s="101"/>
    </row>
    <row r="4393" spans="1:1" x14ac:dyDescent="0.2">
      <c r="A4393" s="101"/>
    </row>
    <row r="4394" spans="1:1" x14ac:dyDescent="0.2">
      <c r="A4394" s="101"/>
    </row>
    <row r="4395" spans="1:1" x14ac:dyDescent="0.2">
      <c r="A4395" s="101"/>
    </row>
    <row r="4396" spans="1:1" x14ac:dyDescent="0.2">
      <c r="A4396" s="101"/>
    </row>
    <row r="4397" spans="1:1" x14ac:dyDescent="0.2">
      <c r="A4397" s="101"/>
    </row>
    <row r="4398" spans="1:1" x14ac:dyDescent="0.2">
      <c r="A4398" s="101"/>
    </row>
    <row r="4399" spans="1:1" x14ac:dyDescent="0.2">
      <c r="A4399" s="101"/>
    </row>
    <row r="4400" spans="1:1" x14ac:dyDescent="0.2">
      <c r="A4400" s="101"/>
    </row>
    <row r="4401" spans="1:1" x14ac:dyDescent="0.2">
      <c r="A4401" s="101"/>
    </row>
    <row r="4402" spans="1:1" x14ac:dyDescent="0.2">
      <c r="A4402" s="101"/>
    </row>
    <row r="4403" spans="1:1" x14ac:dyDescent="0.2">
      <c r="A4403" s="101"/>
    </row>
    <row r="4404" spans="1:1" x14ac:dyDescent="0.2">
      <c r="A4404" s="101"/>
    </row>
    <row r="4405" spans="1:1" x14ac:dyDescent="0.2">
      <c r="A4405" s="101"/>
    </row>
    <row r="4406" spans="1:1" x14ac:dyDescent="0.2">
      <c r="A4406" s="101"/>
    </row>
    <row r="4407" spans="1:1" x14ac:dyDescent="0.2">
      <c r="A4407" s="101"/>
    </row>
    <row r="4408" spans="1:1" x14ac:dyDescent="0.2">
      <c r="A4408" s="101"/>
    </row>
    <row r="4409" spans="1:1" x14ac:dyDescent="0.2">
      <c r="A4409" s="101"/>
    </row>
    <row r="4410" spans="1:1" x14ac:dyDescent="0.2">
      <c r="A4410" s="101"/>
    </row>
    <row r="4411" spans="1:1" x14ac:dyDescent="0.2">
      <c r="A4411" s="101"/>
    </row>
    <row r="4412" spans="1:1" x14ac:dyDescent="0.2">
      <c r="A4412" s="101"/>
    </row>
    <row r="4413" spans="1:1" x14ac:dyDescent="0.2">
      <c r="A4413" s="101"/>
    </row>
    <row r="4414" spans="1:1" x14ac:dyDescent="0.2">
      <c r="A4414" s="101"/>
    </row>
    <row r="4415" spans="1:1" x14ac:dyDescent="0.2">
      <c r="A4415" s="101"/>
    </row>
    <row r="4416" spans="1:1" x14ac:dyDescent="0.2">
      <c r="A4416" s="101"/>
    </row>
    <row r="4417" spans="1:1" x14ac:dyDescent="0.2">
      <c r="A4417" s="101"/>
    </row>
    <row r="4418" spans="1:1" x14ac:dyDescent="0.2">
      <c r="A4418" s="101"/>
    </row>
    <row r="4419" spans="1:1" x14ac:dyDescent="0.2">
      <c r="A4419" s="101"/>
    </row>
    <row r="4420" spans="1:1" x14ac:dyDescent="0.2">
      <c r="A4420" s="101"/>
    </row>
    <row r="4421" spans="1:1" x14ac:dyDescent="0.2">
      <c r="A4421" s="101"/>
    </row>
    <row r="4422" spans="1:1" x14ac:dyDescent="0.2">
      <c r="A4422" s="101"/>
    </row>
    <row r="4423" spans="1:1" x14ac:dyDescent="0.2">
      <c r="A4423" s="101"/>
    </row>
    <row r="4424" spans="1:1" x14ac:dyDescent="0.2">
      <c r="A4424" s="101"/>
    </row>
    <row r="4425" spans="1:1" x14ac:dyDescent="0.2">
      <c r="A4425" s="101"/>
    </row>
    <row r="4426" spans="1:1" x14ac:dyDescent="0.2">
      <c r="A4426" s="101"/>
    </row>
    <row r="4427" spans="1:1" x14ac:dyDescent="0.2">
      <c r="A4427" s="101"/>
    </row>
    <row r="4428" spans="1:1" x14ac:dyDescent="0.2">
      <c r="A4428" s="101"/>
    </row>
    <row r="4429" spans="1:1" x14ac:dyDescent="0.2">
      <c r="A4429" s="101"/>
    </row>
    <row r="4430" spans="1:1" x14ac:dyDescent="0.2">
      <c r="A4430" s="101"/>
    </row>
    <row r="4431" spans="1:1" x14ac:dyDescent="0.2">
      <c r="A4431" s="101"/>
    </row>
    <row r="4432" spans="1:1" x14ac:dyDescent="0.2">
      <c r="A4432" s="101"/>
    </row>
    <row r="4433" spans="1:1" x14ac:dyDescent="0.2">
      <c r="A4433" s="101"/>
    </row>
    <row r="4434" spans="1:1" x14ac:dyDescent="0.2">
      <c r="A4434" s="101"/>
    </row>
    <row r="4435" spans="1:1" x14ac:dyDescent="0.2">
      <c r="A4435" s="101"/>
    </row>
    <row r="4436" spans="1:1" x14ac:dyDescent="0.2">
      <c r="A4436" s="101"/>
    </row>
    <row r="4437" spans="1:1" x14ac:dyDescent="0.2">
      <c r="A4437" s="101"/>
    </row>
    <row r="4438" spans="1:1" x14ac:dyDescent="0.2">
      <c r="A4438" s="101"/>
    </row>
    <row r="4439" spans="1:1" x14ac:dyDescent="0.2">
      <c r="A4439" s="101"/>
    </row>
    <row r="4440" spans="1:1" x14ac:dyDescent="0.2">
      <c r="A4440" s="101"/>
    </row>
    <row r="4441" spans="1:1" x14ac:dyDescent="0.2">
      <c r="A4441" s="101"/>
    </row>
    <row r="4442" spans="1:1" x14ac:dyDescent="0.2">
      <c r="A4442" s="101"/>
    </row>
    <row r="4443" spans="1:1" x14ac:dyDescent="0.2">
      <c r="A4443" s="101"/>
    </row>
    <row r="4444" spans="1:1" x14ac:dyDescent="0.2">
      <c r="A4444" s="101"/>
    </row>
    <row r="4445" spans="1:1" x14ac:dyDescent="0.2">
      <c r="A4445" s="101"/>
    </row>
    <row r="4446" spans="1:1" x14ac:dyDescent="0.2">
      <c r="A4446" s="101"/>
    </row>
    <row r="4447" spans="1:1" x14ac:dyDescent="0.2">
      <c r="A4447" s="101"/>
    </row>
    <row r="4448" spans="1:1" x14ac:dyDescent="0.2">
      <c r="A4448" s="101"/>
    </row>
    <row r="4449" spans="1:1" x14ac:dyDescent="0.2">
      <c r="A4449" s="101"/>
    </row>
    <row r="4450" spans="1:1" x14ac:dyDescent="0.2">
      <c r="A4450" s="101"/>
    </row>
    <row r="4451" spans="1:1" x14ac:dyDescent="0.2">
      <c r="A4451" s="101"/>
    </row>
    <row r="4452" spans="1:1" x14ac:dyDescent="0.2">
      <c r="A4452" s="101"/>
    </row>
    <row r="4453" spans="1:1" x14ac:dyDescent="0.2">
      <c r="A4453" s="101"/>
    </row>
    <row r="4454" spans="1:1" x14ac:dyDescent="0.2">
      <c r="A4454" s="101"/>
    </row>
    <row r="4455" spans="1:1" x14ac:dyDescent="0.2">
      <c r="A4455" s="101"/>
    </row>
    <row r="4456" spans="1:1" x14ac:dyDescent="0.2">
      <c r="A4456" s="101"/>
    </row>
    <row r="4457" spans="1:1" x14ac:dyDescent="0.2">
      <c r="A4457" s="101"/>
    </row>
    <row r="4458" spans="1:1" x14ac:dyDescent="0.2">
      <c r="A4458" s="101"/>
    </row>
    <row r="4459" spans="1:1" x14ac:dyDescent="0.2">
      <c r="A4459" s="101"/>
    </row>
    <row r="4460" spans="1:1" x14ac:dyDescent="0.2">
      <c r="A4460" s="101"/>
    </row>
    <row r="4461" spans="1:1" x14ac:dyDescent="0.2">
      <c r="A4461" s="101"/>
    </row>
    <row r="4462" spans="1:1" x14ac:dyDescent="0.2">
      <c r="A4462" s="101"/>
    </row>
    <row r="4463" spans="1:1" x14ac:dyDescent="0.2">
      <c r="A4463" s="101"/>
    </row>
    <row r="4464" spans="1:1" x14ac:dyDescent="0.2">
      <c r="A4464" s="101"/>
    </row>
    <row r="4465" spans="1:1" x14ac:dyDescent="0.2">
      <c r="A4465" s="101"/>
    </row>
    <row r="4466" spans="1:1" x14ac:dyDescent="0.2">
      <c r="A4466" s="101"/>
    </row>
    <row r="4467" spans="1:1" x14ac:dyDescent="0.2">
      <c r="A4467" s="101"/>
    </row>
    <row r="4468" spans="1:1" x14ac:dyDescent="0.2">
      <c r="A4468" s="101"/>
    </row>
    <row r="4469" spans="1:1" x14ac:dyDescent="0.2">
      <c r="A4469" s="101"/>
    </row>
    <row r="4470" spans="1:1" x14ac:dyDescent="0.2">
      <c r="A4470" s="101"/>
    </row>
    <row r="4471" spans="1:1" x14ac:dyDescent="0.2">
      <c r="A4471" s="101"/>
    </row>
    <row r="4472" spans="1:1" x14ac:dyDescent="0.2">
      <c r="A4472" s="101"/>
    </row>
    <row r="4473" spans="1:1" x14ac:dyDescent="0.2">
      <c r="A4473" s="101"/>
    </row>
    <row r="4474" spans="1:1" x14ac:dyDescent="0.2">
      <c r="A4474" s="101"/>
    </row>
    <row r="4475" spans="1:1" x14ac:dyDescent="0.2">
      <c r="A4475" s="101"/>
    </row>
    <row r="4476" spans="1:1" x14ac:dyDescent="0.2">
      <c r="A4476" s="101"/>
    </row>
    <row r="4477" spans="1:1" x14ac:dyDescent="0.2">
      <c r="A4477" s="101"/>
    </row>
    <row r="4478" spans="1:1" x14ac:dyDescent="0.2">
      <c r="A4478" s="101"/>
    </row>
    <row r="4479" spans="1:1" x14ac:dyDescent="0.2">
      <c r="A4479" s="101"/>
    </row>
    <row r="4480" spans="1:1" x14ac:dyDescent="0.2">
      <c r="A4480" s="101"/>
    </row>
    <row r="4481" spans="1:1" x14ac:dyDescent="0.2">
      <c r="A4481" s="101"/>
    </row>
    <row r="4482" spans="1:1" x14ac:dyDescent="0.2">
      <c r="A4482" s="101"/>
    </row>
    <row r="4483" spans="1:1" x14ac:dyDescent="0.2">
      <c r="A4483" s="101"/>
    </row>
    <row r="4484" spans="1:1" x14ac:dyDescent="0.2">
      <c r="A4484" s="101"/>
    </row>
    <row r="4485" spans="1:1" x14ac:dyDescent="0.2">
      <c r="A4485" s="101"/>
    </row>
    <row r="4486" spans="1:1" x14ac:dyDescent="0.2">
      <c r="A4486" s="101"/>
    </row>
    <row r="4487" spans="1:1" x14ac:dyDescent="0.2">
      <c r="A4487" s="101"/>
    </row>
    <row r="4488" spans="1:1" x14ac:dyDescent="0.2">
      <c r="A4488" s="101"/>
    </row>
    <row r="4489" spans="1:1" x14ac:dyDescent="0.2">
      <c r="A4489" s="101"/>
    </row>
    <row r="4490" spans="1:1" x14ac:dyDescent="0.2">
      <c r="A4490" s="101"/>
    </row>
    <row r="4491" spans="1:1" x14ac:dyDescent="0.2">
      <c r="A4491" s="101"/>
    </row>
    <row r="4492" spans="1:1" x14ac:dyDescent="0.2">
      <c r="A4492" s="101"/>
    </row>
    <row r="4493" spans="1:1" x14ac:dyDescent="0.2">
      <c r="A4493" s="101"/>
    </row>
    <row r="4494" spans="1:1" x14ac:dyDescent="0.2">
      <c r="A4494" s="101"/>
    </row>
    <row r="4495" spans="1:1" x14ac:dyDescent="0.2">
      <c r="A4495" s="101"/>
    </row>
    <row r="4496" spans="1:1" x14ac:dyDescent="0.2">
      <c r="A4496" s="101"/>
    </row>
    <row r="4497" spans="1:1" x14ac:dyDescent="0.2">
      <c r="A4497" s="101"/>
    </row>
    <row r="4498" spans="1:1" x14ac:dyDescent="0.2">
      <c r="A4498" s="101"/>
    </row>
    <row r="4499" spans="1:1" x14ac:dyDescent="0.2">
      <c r="A4499" s="101"/>
    </row>
    <row r="4500" spans="1:1" x14ac:dyDescent="0.2">
      <c r="A4500" s="101"/>
    </row>
    <row r="4501" spans="1:1" x14ac:dyDescent="0.2">
      <c r="A4501" s="101"/>
    </row>
    <row r="4502" spans="1:1" x14ac:dyDescent="0.2">
      <c r="A4502" s="101"/>
    </row>
    <row r="4503" spans="1:1" x14ac:dyDescent="0.2">
      <c r="A4503" s="101"/>
    </row>
    <row r="4504" spans="1:1" x14ac:dyDescent="0.2">
      <c r="A4504" s="101"/>
    </row>
    <row r="4505" spans="1:1" x14ac:dyDescent="0.2">
      <c r="A4505" s="101"/>
    </row>
    <row r="4506" spans="1:1" x14ac:dyDescent="0.2">
      <c r="A4506" s="101"/>
    </row>
    <row r="4507" spans="1:1" x14ac:dyDescent="0.2">
      <c r="A4507" s="101"/>
    </row>
    <row r="4508" spans="1:1" x14ac:dyDescent="0.2">
      <c r="A4508" s="101"/>
    </row>
    <row r="4509" spans="1:1" x14ac:dyDescent="0.2">
      <c r="A4509" s="101"/>
    </row>
    <row r="4510" spans="1:1" x14ac:dyDescent="0.2">
      <c r="A4510" s="101"/>
    </row>
    <row r="4511" spans="1:1" x14ac:dyDescent="0.2">
      <c r="A4511" s="101"/>
    </row>
    <row r="4512" spans="1:1" x14ac:dyDescent="0.2">
      <c r="A4512" s="101"/>
    </row>
    <row r="4513" spans="1:1" x14ac:dyDescent="0.2">
      <c r="A4513" s="101"/>
    </row>
    <row r="4514" spans="1:1" x14ac:dyDescent="0.2">
      <c r="A4514" s="101"/>
    </row>
    <row r="4515" spans="1:1" x14ac:dyDescent="0.2">
      <c r="A4515" s="101"/>
    </row>
    <row r="4516" spans="1:1" x14ac:dyDescent="0.2">
      <c r="A4516" s="101"/>
    </row>
    <row r="4517" spans="1:1" x14ac:dyDescent="0.2">
      <c r="A4517" s="101"/>
    </row>
    <row r="4518" spans="1:1" x14ac:dyDescent="0.2">
      <c r="A4518" s="101"/>
    </row>
    <row r="4519" spans="1:1" x14ac:dyDescent="0.2">
      <c r="A4519" s="101"/>
    </row>
    <row r="4520" spans="1:1" x14ac:dyDescent="0.2">
      <c r="A4520" s="101"/>
    </row>
    <row r="4521" spans="1:1" x14ac:dyDescent="0.2">
      <c r="A4521" s="101"/>
    </row>
    <row r="4522" spans="1:1" x14ac:dyDescent="0.2">
      <c r="A4522" s="101"/>
    </row>
    <row r="4523" spans="1:1" x14ac:dyDescent="0.2">
      <c r="A4523" s="101"/>
    </row>
    <row r="4524" spans="1:1" x14ac:dyDescent="0.2">
      <c r="A4524" s="101"/>
    </row>
    <row r="4525" spans="1:1" x14ac:dyDescent="0.2">
      <c r="A4525" s="101"/>
    </row>
    <row r="4526" spans="1:1" x14ac:dyDescent="0.2">
      <c r="A4526" s="101"/>
    </row>
    <row r="4527" spans="1:1" x14ac:dyDescent="0.2">
      <c r="A4527" s="101"/>
    </row>
    <row r="4528" spans="1:1" x14ac:dyDescent="0.2">
      <c r="A4528" s="101"/>
    </row>
    <row r="4529" spans="1:1" x14ac:dyDescent="0.2">
      <c r="A4529" s="101"/>
    </row>
    <row r="4530" spans="1:1" x14ac:dyDescent="0.2">
      <c r="A4530" s="101"/>
    </row>
    <row r="4531" spans="1:1" x14ac:dyDescent="0.2">
      <c r="A4531" s="101"/>
    </row>
    <row r="4532" spans="1:1" x14ac:dyDescent="0.2">
      <c r="A4532" s="101"/>
    </row>
    <row r="4533" spans="1:1" x14ac:dyDescent="0.2">
      <c r="A4533" s="101"/>
    </row>
    <row r="4534" spans="1:1" x14ac:dyDescent="0.2">
      <c r="A4534" s="101"/>
    </row>
    <row r="4535" spans="1:1" x14ac:dyDescent="0.2">
      <c r="A4535" s="101"/>
    </row>
    <row r="4536" spans="1:1" x14ac:dyDescent="0.2">
      <c r="A4536" s="101"/>
    </row>
    <row r="4537" spans="1:1" x14ac:dyDescent="0.2">
      <c r="A4537" s="101"/>
    </row>
    <row r="4538" spans="1:1" x14ac:dyDescent="0.2">
      <c r="A4538" s="101"/>
    </row>
    <row r="4539" spans="1:1" x14ac:dyDescent="0.2">
      <c r="A4539" s="101"/>
    </row>
    <row r="4540" spans="1:1" x14ac:dyDescent="0.2">
      <c r="A4540" s="101"/>
    </row>
    <row r="4541" spans="1:1" x14ac:dyDescent="0.2">
      <c r="A4541" s="101"/>
    </row>
    <row r="4542" spans="1:1" x14ac:dyDescent="0.2">
      <c r="A4542" s="101"/>
    </row>
    <row r="4543" spans="1:1" x14ac:dyDescent="0.2">
      <c r="A4543" s="101"/>
    </row>
    <row r="4544" spans="1:1" x14ac:dyDescent="0.2">
      <c r="A4544" s="101"/>
    </row>
    <row r="4545" spans="1:1" x14ac:dyDescent="0.2">
      <c r="A4545" s="101"/>
    </row>
    <row r="4546" spans="1:1" x14ac:dyDescent="0.2">
      <c r="A4546" s="101"/>
    </row>
    <row r="4547" spans="1:1" x14ac:dyDescent="0.2">
      <c r="A4547" s="101"/>
    </row>
    <row r="4548" spans="1:1" x14ac:dyDescent="0.2">
      <c r="A4548" s="101"/>
    </row>
    <row r="4549" spans="1:1" x14ac:dyDescent="0.2">
      <c r="A4549" s="101"/>
    </row>
    <row r="4550" spans="1:1" x14ac:dyDescent="0.2">
      <c r="A4550" s="101"/>
    </row>
    <row r="4551" spans="1:1" x14ac:dyDescent="0.2">
      <c r="A4551" s="101"/>
    </row>
    <row r="4552" spans="1:1" x14ac:dyDescent="0.2">
      <c r="A4552" s="101"/>
    </row>
    <row r="4553" spans="1:1" x14ac:dyDescent="0.2">
      <c r="A4553" s="101"/>
    </row>
    <row r="4554" spans="1:1" x14ac:dyDescent="0.2">
      <c r="A4554" s="101"/>
    </row>
    <row r="4555" spans="1:1" x14ac:dyDescent="0.2">
      <c r="A4555" s="101"/>
    </row>
    <row r="4556" spans="1:1" x14ac:dyDescent="0.2">
      <c r="A4556" s="101"/>
    </row>
    <row r="4557" spans="1:1" x14ac:dyDescent="0.2">
      <c r="A4557" s="101"/>
    </row>
    <row r="4558" spans="1:1" x14ac:dyDescent="0.2">
      <c r="A4558" s="101"/>
    </row>
    <row r="4559" spans="1:1" x14ac:dyDescent="0.2">
      <c r="A4559" s="101"/>
    </row>
    <row r="4560" spans="1:1" x14ac:dyDescent="0.2">
      <c r="A4560" s="101"/>
    </row>
    <row r="4561" spans="1:1" x14ac:dyDescent="0.2">
      <c r="A4561" s="101"/>
    </row>
    <row r="4562" spans="1:1" x14ac:dyDescent="0.2">
      <c r="A4562" s="101"/>
    </row>
    <row r="4563" spans="1:1" x14ac:dyDescent="0.2">
      <c r="A4563" s="101"/>
    </row>
    <row r="4564" spans="1:1" x14ac:dyDescent="0.2">
      <c r="A4564" s="101"/>
    </row>
    <row r="4565" spans="1:1" x14ac:dyDescent="0.2">
      <c r="A4565" s="101"/>
    </row>
    <row r="4566" spans="1:1" x14ac:dyDescent="0.2">
      <c r="A4566" s="101"/>
    </row>
    <row r="4567" spans="1:1" x14ac:dyDescent="0.2">
      <c r="A4567" s="101"/>
    </row>
    <row r="4568" spans="1:1" x14ac:dyDescent="0.2">
      <c r="A4568" s="101"/>
    </row>
    <row r="4569" spans="1:1" x14ac:dyDescent="0.2">
      <c r="A4569" s="101"/>
    </row>
    <row r="4570" spans="1:1" x14ac:dyDescent="0.2">
      <c r="A4570" s="101"/>
    </row>
    <row r="4571" spans="1:1" x14ac:dyDescent="0.2">
      <c r="A4571" s="101"/>
    </row>
    <row r="4572" spans="1:1" x14ac:dyDescent="0.2">
      <c r="A4572" s="101"/>
    </row>
    <row r="4573" spans="1:1" x14ac:dyDescent="0.2">
      <c r="A4573" s="101"/>
    </row>
    <row r="4574" spans="1:1" x14ac:dyDescent="0.2">
      <c r="A4574" s="101"/>
    </row>
    <row r="4575" spans="1:1" x14ac:dyDescent="0.2">
      <c r="A4575" s="101"/>
    </row>
    <row r="4576" spans="1:1" x14ac:dyDescent="0.2">
      <c r="A4576" s="101"/>
    </row>
    <row r="4577" spans="1:1" x14ac:dyDescent="0.2">
      <c r="A4577" s="101"/>
    </row>
    <row r="4578" spans="1:1" x14ac:dyDescent="0.2">
      <c r="A4578" s="101"/>
    </row>
    <row r="4579" spans="1:1" x14ac:dyDescent="0.2">
      <c r="A4579" s="101"/>
    </row>
    <row r="4580" spans="1:1" x14ac:dyDescent="0.2">
      <c r="A4580" s="101"/>
    </row>
    <row r="4581" spans="1:1" x14ac:dyDescent="0.2">
      <c r="A4581" s="101"/>
    </row>
    <row r="4582" spans="1:1" x14ac:dyDescent="0.2">
      <c r="A4582" s="101"/>
    </row>
    <row r="4583" spans="1:1" x14ac:dyDescent="0.2">
      <c r="A4583" s="101"/>
    </row>
    <row r="4584" spans="1:1" x14ac:dyDescent="0.2">
      <c r="A4584" s="101"/>
    </row>
    <row r="4585" spans="1:1" x14ac:dyDescent="0.2">
      <c r="A4585" s="101"/>
    </row>
    <row r="4586" spans="1:1" x14ac:dyDescent="0.2">
      <c r="A4586" s="101"/>
    </row>
    <row r="4587" spans="1:1" x14ac:dyDescent="0.2">
      <c r="A4587" s="101"/>
    </row>
    <row r="4588" spans="1:1" x14ac:dyDescent="0.2">
      <c r="A4588" s="101"/>
    </row>
    <row r="4589" spans="1:1" x14ac:dyDescent="0.2">
      <c r="A4589" s="101"/>
    </row>
    <row r="4590" spans="1:1" x14ac:dyDescent="0.2">
      <c r="A4590" s="101"/>
    </row>
    <row r="4591" spans="1:1" x14ac:dyDescent="0.2">
      <c r="A4591" s="101"/>
    </row>
    <row r="4592" spans="1:1" x14ac:dyDescent="0.2">
      <c r="A4592" s="101"/>
    </row>
    <row r="4593" spans="1:1" x14ac:dyDescent="0.2">
      <c r="A4593" s="101"/>
    </row>
    <row r="4594" spans="1:1" x14ac:dyDescent="0.2">
      <c r="A4594" s="101"/>
    </row>
    <row r="4595" spans="1:1" x14ac:dyDescent="0.2">
      <c r="A4595" s="101"/>
    </row>
    <row r="4596" spans="1:1" x14ac:dyDescent="0.2">
      <c r="A4596" s="101"/>
    </row>
    <row r="4597" spans="1:1" x14ac:dyDescent="0.2">
      <c r="A4597" s="101"/>
    </row>
    <row r="4598" spans="1:1" x14ac:dyDescent="0.2">
      <c r="A4598" s="101"/>
    </row>
    <row r="4599" spans="1:1" x14ac:dyDescent="0.2">
      <c r="A4599" s="101"/>
    </row>
    <row r="4600" spans="1:1" x14ac:dyDescent="0.2">
      <c r="A4600" s="101"/>
    </row>
    <row r="4601" spans="1:1" x14ac:dyDescent="0.2">
      <c r="A4601" s="101"/>
    </row>
    <row r="4602" spans="1:1" x14ac:dyDescent="0.2">
      <c r="A4602" s="101"/>
    </row>
    <row r="4603" spans="1:1" x14ac:dyDescent="0.2">
      <c r="A4603" s="101"/>
    </row>
    <row r="4604" spans="1:1" x14ac:dyDescent="0.2">
      <c r="A4604" s="101"/>
    </row>
    <row r="4605" spans="1:1" x14ac:dyDescent="0.2">
      <c r="A4605" s="101"/>
    </row>
    <row r="4606" spans="1:1" x14ac:dyDescent="0.2">
      <c r="A4606" s="101"/>
    </row>
    <row r="4607" spans="1:1" x14ac:dyDescent="0.2">
      <c r="A4607" s="101"/>
    </row>
    <row r="4608" spans="1:1" x14ac:dyDescent="0.2">
      <c r="A4608" s="101"/>
    </row>
    <row r="4609" spans="1:1" x14ac:dyDescent="0.2">
      <c r="A4609" s="101"/>
    </row>
    <row r="4610" spans="1:1" x14ac:dyDescent="0.2">
      <c r="A4610" s="101"/>
    </row>
    <row r="4611" spans="1:1" x14ac:dyDescent="0.2">
      <c r="A4611" s="101"/>
    </row>
    <row r="4612" spans="1:1" x14ac:dyDescent="0.2">
      <c r="A4612" s="101"/>
    </row>
    <row r="4613" spans="1:1" x14ac:dyDescent="0.2">
      <c r="A4613" s="101"/>
    </row>
    <row r="4614" spans="1:1" x14ac:dyDescent="0.2">
      <c r="A4614" s="101"/>
    </row>
    <row r="4615" spans="1:1" x14ac:dyDescent="0.2">
      <c r="A4615" s="101"/>
    </row>
    <row r="4616" spans="1:1" x14ac:dyDescent="0.2">
      <c r="A4616" s="101"/>
    </row>
    <row r="4617" spans="1:1" x14ac:dyDescent="0.2">
      <c r="A4617" s="101"/>
    </row>
    <row r="4618" spans="1:1" x14ac:dyDescent="0.2">
      <c r="A4618" s="101"/>
    </row>
    <row r="4619" spans="1:1" x14ac:dyDescent="0.2">
      <c r="A4619" s="101"/>
    </row>
    <row r="4620" spans="1:1" x14ac:dyDescent="0.2">
      <c r="A4620" s="101"/>
    </row>
    <row r="4621" spans="1:1" x14ac:dyDescent="0.2">
      <c r="A4621" s="101"/>
    </row>
    <row r="4622" spans="1:1" x14ac:dyDescent="0.2">
      <c r="A4622" s="101"/>
    </row>
    <row r="4623" spans="1:1" x14ac:dyDescent="0.2">
      <c r="A4623" s="101"/>
    </row>
    <row r="4624" spans="1:1" x14ac:dyDescent="0.2">
      <c r="A4624" s="101"/>
    </row>
    <row r="4625" spans="1:1" x14ac:dyDescent="0.2">
      <c r="A4625" s="101"/>
    </row>
    <row r="4626" spans="1:1" x14ac:dyDescent="0.2">
      <c r="A4626" s="101"/>
    </row>
    <row r="4627" spans="1:1" x14ac:dyDescent="0.2">
      <c r="A4627" s="101"/>
    </row>
    <row r="4628" spans="1:1" x14ac:dyDescent="0.2">
      <c r="A4628" s="101"/>
    </row>
    <row r="4629" spans="1:1" x14ac:dyDescent="0.2">
      <c r="A4629" s="101"/>
    </row>
    <row r="4630" spans="1:1" x14ac:dyDescent="0.2">
      <c r="A4630" s="101"/>
    </row>
    <row r="4631" spans="1:1" x14ac:dyDescent="0.2">
      <c r="A4631" s="101"/>
    </row>
    <row r="4632" spans="1:1" x14ac:dyDescent="0.2">
      <c r="A4632" s="101"/>
    </row>
    <row r="4633" spans="1:1" x14ac:dyDescent="0.2">
      <c r="A4633" s="101"/>
    </row>
    <row r="4634" spans="1:1" x14ac:dyDescent="0.2">
      <c r="A4634" s="101"/>
    </row>
    <row r="4635" spans="1:1" x14ac:dyDescent="0.2">
      <c r="A4635" s="101"/>
    </row>
    <row r="4636" spans="1:1" x14ac:dyDescent="0.2">
      <c r="A4636" s="101"/>
    </row>
    <row r="4637" spans="1:1" x14ac:dyDescent="0.2">
      <c r="A4637" s="101"/>
    </row>
    <row r="4638" spans="1:1" x14ac:dyDescent="0.2">
      <c r="A4638" s="101"/>
    </row>
    <row r="4639" spans="1:1" x14ac:dyDescent="0.2">
      <c r="A4639" s="101"/>
    </row>
    <row r="4640" spans="1:1" x14ac:dyDescent="0.2">
      <c r="A4640" s="101"/>
    </row>
    <row r="4641" spans="1:1" x14ac:dyDescent="0.2">
      <c r="A4641" s="101"/>
    </row>
    <row r="4642" spans="1:1" x14ac:dyDescent="0.2">
      <c r="A4642" s="101"/>
    </row>
    <row r="4643" spans="1:1" x14ac:dyDescent="0.2">
      <c r="A4643" s="101"/>
    </row>
    <row r="4644" spans="1:1" x14ac:dyDescent="0.2">
      <c r="A4644" s="101"/>
    </row>
    <row r="4645" spans="1:1" x14ac:dyDescent="0.2">
      <c r="A4645" s="101"/>
    </row>
    <row r="4646" spans="1:1" x14ac:dyDescent="0.2">
      <c r="A4646" s="101"/>
    </row>
    <row r="4647" spans="1:1" x14ac:dyDescent="0.2">
      <c r="A4647" s="101"/>
    </row>
    <row r="4648" spans="1:1" x14ac:dyDescent="0.2">
      <c r="A4648" s="101"/>
    </row>
    <row r="4649" spans="1:1" x14ac:dyDescent="0.2">
      <c r="A4649" s="101"/>
    </row>
    <row r="4650" spans="1:1" x14ac:dyDescent="0.2">
      <c r="A4650" s="101"/>
    </row>
    <row r="4651" spans="1:1" x14ac:dyDescent="0.2">
      <c r="A4651" s="101"/>
    </row>
    <row r="4652" spans="1:1" x14ac:dyDescent="0.2">
      <c r="A4652" s="101"/>
    </row>
    <row r="4653" spans="1:1" x14ac:dyDescent="0.2">
      <c r="A4653" s="101"/>
    </row>
    <row r="4654" spans="1:1" x14ac:dyDescent="0.2">
      <c r="A4654" s="101"/>
    </row>
    <row r="4655" spans="1:1" x14ac:dyDescent="0.2">
      <c r="A4655" s="101"/>
    </row>
    <row r="4656" spans="1:1" x14ac:dyDescent="0.2">
      <c r="A4656" s="101"/>
    </row>
    <row r="4657" spans="1:1" x14ac:dyDescent="0.2">
      <c r="A4657" s="101"/>
    </row>
    <row r="4658" spans="1:1" x14ac:dyDescent="0.2">
      <c r="A4658" s="101"/>
    </row>
    <row r="4659" spans="1:1" x14ac:dyDescent="0.2">
      <c r="A4659" s="101"/>
    </row>
    <row r="4660" spans="1:1" x14ac:dyDescent="0.2">
      <c r="A4660" s="101"/>
    </row>
    <row r="4661" spans="1:1" x14ac:dyDescent="0.2">
      <c r="A4661" s="101"/>
    </row>
    <row r="4662" spans="1:1" x14ac:dyDescent="0.2">
      <c r="A4662" s="101"/>
    </row>
    <row r="4663" spans="1:1" x14ac:dyDescent="0.2">
      <c r="A4663" s="101"/>
    </row>
    <row r="4664" spans="1:1" x14ac:dyDescent="0.2">
      <c r="A4664" s="101"/>
    </row>
    <row r="4665" spans="1:1" x14ac:dyDescent="0.2">
      <c r="A4665" s="101"/>
    </row>
    <row r="4666" spans="1:1" x14ac:dyDescent="0.2">
      <c r="A4666" s="101"/>
    </row>
    <row r="4667" spans="1:1" x14ac:dyDescent="0.2">
      <c r="A4667" s="101"/>
    </row>
    <row r="4668" spans="1:1" x14ac:dyDescent="0.2">
      <c r="A4668" s="101"/>
    </row>
    <row r="4669" spans="1:1" x14ac:dyDescent="0.2">
      <c r="A4669" s="101"/>
    </row>
    <row r="4670" spans="1:1" x14ac:dyDescent="0.2">
      <c r="A4670" s="101"/>
    </row>
    <row r="4671" spans="1:1" x14ac:dyDescent="0.2">
      <c r="A4671" s="101"/>
    </row>
    <row r="4672" spans="1:1" x14ac:dyDescent="0.2">
      <c r="A4672" s="101"/>
    </row>
    <row r="4673" spans="1:1" x14ac:dyDescent="0.2">
      <c r="A4673" s="101"/>
    </row>
    <row r="4674" spans="1:1" x14ac:dyDescent="0.2">
      <c r="A4674" s="101"/>
    </row>
    <row r="4675" spans="1:1" x14ac:dyDescent="0.2">
      <c r="A4675" s="101"/>
    </row>
    <row r="4676" spans="1:1" x14ac:dyDescent="0.2">
      <c r="A4676" s="101"/>
    </row>
    <row r="4677" spans="1:1" x14ac:dyDescent="0.2">
      <c r="A4677" s="101"/>
    </row>
    <row r="4678" spans="1:1" x14ac:dyDescent="0.2">
      <c r="A4678" s="101"/>
    </row>
    <row r="4679" spans="1:1" x14ac:dyDescent="0.2">
      <c r="A4679" s="101"/>
    </row>
    <row r="4680" spans="1:1" x14ac:dyDescent="0.2">
      <c r="A4680" s="101"/>
    </row>
    <row r="4681" spans="1:1" x14ac:dyDescent="0.2">
      <c r="A4681" s="101"/>
    </row>
    <row r="4682" spans="1:1" x14ac:dyDescent="0.2">
      <c r="A4682" s="101"/>
    </row>
    <row r="4683" spans="1:1" x14ac:dyDescent="0.2">
      <c r="A4683" s="101"/>
    </row>
    <row r="4684" spans="1:1" x14ac:dyDescent="0.2">
      <c r="A4684" s="101"/>
    </row>
    <row r="4685" spans="1:1" x14ac:dyDescent="0.2">
      <c r="A4685" s="101"/>
    </row>
    <row r="4686" spans="1:1" x14ac:dyDescent="0.2">
      <c r="A4686" s="101"/>
    </row>
    <row r="4687" spans="1:1" x14ac:dyDescent="0.2">
      <c r="A4687" s="101"/>
    </row>
    <row r="4688" spans="1:1" x14ac:dyDescent="0.2">
      <c r="A4688" s="101"/>
    </row>
    <row r="4689" spans="1:1" x14ac:dyDescent="0.2">
      <c r="A4689" s="101"/>
    </row>
    <row r="4690" spans="1:1" x14ac:dyDescent="0.2">
      <c r="A4690" s="101"/>
    </row>
    <row r="4691" spans="1:1" x14ac:dyDescent="0.2">
      <c r="A4691" s="101"/>
    </row>
    <row r="4692" spans="1:1" x14ac:dyDescent="0.2">
      <c r="A4692" s="101"/>
    </row>
    <row r="4693" spans="1:1" x14ac:dyDescent="0.2">
      <c r="A4693" s="101"/>
    </row>
    <row r="4694" spans="1:1" x14ac:dyDescent="0.2">
      <c r="A4694" s="101"/>
    </row>
    <row r="4695" spans="1:1" x14ac:dyDescent="0.2">
      <c r="A4695" s="101"/>
    </row>
    <row r="4696" spans="1:1" x14ac:dyDescent="0.2">
      <c r="A4696" s="101"/>
    </row>
    <row r="4697" spans="1:1" x14ac:dyDescent="0.2">
      <c r="A4697" s="101"/>
    </row>
    <row r="4698" spans="1:1" x14ac:dyDescent="0.2">
      <c r="A4698" s="101"/>
    </row>
    <row r="4699" spans="1:1" x14ac:dyDescent="0.2">
      <c r="A4699" s="101"/>
    </row>
    <row r="4700" spans="1:1" x14ac:dyDescent="0.2">
      <c r="A4700" s="101"/>
    </row>
    <row r="4701" spans="1:1" x14ac:dyDescent="0.2">
      <c r="A4701" s="101"/>
    </row>
    <row r="4702" spans="1:1" x14ac:dyDescent="0.2">
      <c r="A4702" s="101"/>
    </row>
    <row r="4703" spans="1:1" x14ac:dyDescent="0.2">
      <c r="A4703" s="101"/>
    </row>
    <row r="4704" spans="1:1" x14ac:dyDescent="0.2">
      <c r="A4704" s="101"/>
    </row>
    <row r="4705" spans="1:1" x14ac:dyDescent="0.2">
      <c r="A4705" s="101"/>
    </row>
    <row r="4706" spans="1:1" x14ac:dyDescent="0.2">
      <c r="A4706" s="101"/>
    </row>
    <row r="4707" spans="1:1" x14ac:dyDescent="0.2">
      <c r="A4707" s="101"/>
    </row>
    <row r="4708" spans="1:1" x14ac:dyDescent="0.2">
      <c r="A4708" s="101"/>
    </row>
    <row r="4709" spans="1:1" x14ac:dyDescent="0.2">
      <c r="A4709" s="101"/>
    </row>
    <row r="4710" spans="1:1" x14ac:dyDescent="0.2">
      <c r="A4710" s="101"/>
    </row>
    <row r="4711" spans="1:1" x14ac:dyDescent="0.2">
      <c r="A4711" s="101"/>
    </row>
    <row r="4712" spans="1:1" x14ac:dyDescent="0.2">
      <c r="A4712" s="101"/>
    </row>
    <row r="4713" spans="1:1" x14ac:dyDescent="0.2">
      <c r="A4713" s="101"/>
    </row>
    <row r="4714" spans="1:1" x14ac:dyDescent="0.2">
      <c r="A4714" s="101"/>
    </row>
    <row r="4715" spans="1:1" x14ac:dyDescent="0.2">
      <c r="A4715" s="101"/>
    </row>
    <row r="4716" spans="1:1" x14ac:dyDescent="0.2">
      <c r="A4716" s="101"/>
    </row>
    <row r="4717" spans="1:1" x14ac:dyDescent="0.2">
      <c r="A4717" s="101"/>
    </row>
    <row r="4718" spans="1:1" x14ac:dyDescent="0.2">
      <c r="A4718" s="101"/>
    </row>
    <row r="4719" spans="1:1" x14ac:dyDescent="0.2">
      <c r="A4719" s="101"/>
    </row>
    <row r="4720" spans="1:1" x14ac:dyDescent="0.2">
      <c r="A4720" s="101"/>
    </row>
    <row r="4721" spans="1:1" x14ac:dyDescent="0.2">
      <c r="A4721" s="101"/>
    </row>
    <row r="4722" spans="1:1" x14ac:dyDescent="0.2">
      <c r="A4722" s="101"/>
    </row>
    <row r="4723" spans="1:1" x14ac:dyDescent="0.2">
      <c r="A4723" s="101"/>
    </row>
    <row r="4724" spans="1:1" x14ac:dyDescent="0.2">
      <c r="A4724" s="101"/>
    </row>
    <row r="4725" spans="1:1" x14ac:dyDescent="0.2">
      <c r="A4725" s="101"/>
    </row>
    <row r="4726" spans="1:1" x14ac:dyDescent="0.2">
      <c r="A4726" s="101"/>
    </row>
    <row r="4727" spans="1:1" x14ac:dyDescent="0.2">
      <c r="A4727" s="101"/>
    </row>
    <row r="4728" spans="1:1" x14ac:dyDescent="0.2">
      <c r="A4728" s="101"/>
    </row>
    <row r="4729" spans="1:1" x14ac:dyDescent="0.2">
      <c r="A4729" s="101"/>
    </row>
    <row r="4730" spans="1:1" x14ac:dyDescent="0.2">
      <c r="A4730" s="101"/>
    </row>
    <row r="4731" spans="1:1" x14ac:dyDescent="0.2">
      <c r="A4731" s="101"/>
    </row>
    <row r="4732" spans="1:1" x14ac:dyDescent="0.2">
      <c r="A4732" s="101"/>
    </row>
    <row r="4733" spans="1:1" x14ac:dyDescent="0.2">
      <c r="A4733" s="101"/>
    </row>
    <row r="4734" spans="1:1" x14ac:dyDescent="0.2">
      <c r="A4734" s="101"/>
    </row>
    <row r="4735" spans="1:1" x14ac:dyDescent="0.2">
      <c r="A4735" s="101"/>
    </row>
    <row r="4736" spans="1:1" x14ac:dyDescent="0.2">
      <c r="A4736" s="101"/>
    </row>
    <row r="4737" spans="1:1" x14ac:dyDescent="0.2">
      <c r="A4737" s="101"/>
    </row>
    <row r="4738" spans="1:1" x14ac:dyDescent="0.2">
      <c r="A4738" s="101"/>
    </row>
    <row r="4739" spans="1:1" x14ac:dyDescent="0.2">
      <c r="A4739" s="101"/>
    </row>
    <row r="4740" spans="1:1" x14ac:dyDescent="0.2">
      <c r="A4740" s="101"/>
    </row>
    <row r="4741" spans="1:1" x14ac:dyDescent="0.2">
      <c r="A4741" s="101"/>
    </row>
    <row r="4742" spans="1:1" x14ac:dyDescent="0.2">
      <c r="A4742" s="101"/>
    </row>
    <row r="4743" spans="1:1" x14ac:dyDescent="0.2">
      <c r="A4743" s="101"/>
    </row>
    <row r="4744" spans="1:1" x14ac:dyDescent="0.2">
      <c r="A4744" s="101"/>
    </row>
    <row r="4745" spans="1:1" x14ac:dyDescent="0.2">
      <c r="A4745" s="101"/>
    </row>
    <row r="4746" spans="1:1" x14ac:dyDescent="0.2">
      <c r="A4746" s="101"/>
    </row>
    <row r="4747" spans="1:1" x14ac:dyDescent="0.2">
      <c r="A4747" s="101"/>
    </row>
    <row r="4748" spans="1:1" x14ac:dyDescent="0.2">
      <c r="A4748" s="101"/>
    </row>
    <row r="4749" spans="1:1" x14ac:dyDescent="0.2">
      <c r="A4749" s="101"/>
    </row>
    <row r="4750" spans="1:1" x14ac:dyDescent="0.2">
      <c r="A4750" s="101"/>
    </row>
    <row r="4751" spans="1:1" x14ac:dyDescent="0.2">
      <c r="A4751" s="101"/>
    </row>
    <row r="4752" spans="1:1" x14ac:dyDescent="0.2">
      <c r="A4752" s="101"/>
    </row>
    <row r="4753" spans="1:1" x14ac:dyDescent="0.2">
      <c r="A4753" s="101"/>
    </row>
    <row r="4754" spans="1:1" x14ac:dyDescent="0.2">
      <c r="A4754" s="101"/>
    </row>
    <row r="4755" spans="1:1" x14ac:dyDescent="0.2">
      <c r="A4755" s="101"/>
    </row>
    <row r="4756" spans="1:1" x14ac:dyDescent="0.2">
      <c r="A4756" s="101"/>
    </row>
    <row r="4757" spans="1:1" x14ac:dyDescent="0.2">
      <c r="A4757" s="101"/>
    </row>
    <row r="4758" spans="1:1" x14ac:dyDescent="0.2">
      <c r="A4758" s="101"/>
    </row>
    <row r="4759" spans="1:1" x14ac:dyDescent="0.2">
      <c r="A4759" s="101"/>
    </row>
    <row r="4760" spans="1:1" x14ac:dyDescent="0.2">
      <c r="A4760" s="101"/>
    </row>
    <row r="4761" spans="1:1" x14ac:dyDescent="0.2">
      <c r="A4761" s="101"/>
    </row>
    <row r="4762" spans="1:1" x14ac:dyDescent="0.2">
      <c r="A4762" s="101"/>
    </row>
    <row r="4763" spans="1:1" x14ac:dyDescent="0.2">
      <c r="A4763" s="101"/>
    </row>
    <row r="4764" spans="1:1" x14ac:dyDescent="0.2">
      <c r="A4764" s="101"/>
    </row>
    <row r="4765" spans="1:1" x14ac:dyDescent="0.2">
      <c r="A4765" s="101"/>
    </row>
    <row r="4766" spans="1:1" x14ac:dyDescent="0.2">
      <c r="A4766" s="101"/>
    </row>
    <row r="4767" spans="1:1" x14ac:dyDescent="0.2">
      <c r="A4767" s="101"/>
    </row>
    <row r="4768" spans="1:1" x14ac:dyDescent="0.2">
      <c r="A4768" s="101"/>
    </row>
    <row r="4769" spans="1:1" x14ac:dyDescent="0.2">
      <c r="A4769" s="101"/>
    </row>
    <row r="4770" spans="1:1" x14ac:dyDescent="0.2">
      <c r="A4770" s="101"/>
    </row>
    <row r="4771" spans="1:1" x14ac:dyDescent="0.2">
      <c r="A4771" s="101"/>
    </row>
    <row r="4772" spans="1:1" x14ac:dyDescent="0.2">
      <c r="A4772" s="101"/>
    </row>
    <row r="4773" spans="1:1" x14ac:dyDescent="0.2">
      <c r="A4773" s="101"/>
    </row>
    <row r="4774" spans="1:1" x14ac:dyDescent="0.2">
      <c r="A4774" s="101"/>
    </row>
    <row r="4775" spans="1:1" x14ac:dyDescent="0.2">
      <c r="A4775" s="101"/>
    </row>
    <row r="4776" spans="1:1" x14ac:dyDescent="0.2">
      <c r="A4776" s="101"/>
    </row>
    <row r="4777" spans="1:1" x14ac:dyDescent="0.2">
      <c r="A4777" s="101"/>
    </row>
    <row r="4778" spans="1:1" x14ac:dyDescent="0.2">
      <c r="A4778" s="101"/>
    </row>
    <row r="4779" spans="1:1" x14ac:dyDescent="0.2">
      <c r="A4779" s="101"/>
    </row>
    <row r="4780" spans="1:1" x14ac:dyDescent="0.2">
      <c r="A4780" s="101"/>
    </row>
    <row r="4781" spans="1:1" x14ac:dyDescent="0.2">
      <c r="A4781" s="101"/>
    </row>
    <row r="4782" spans="1:1" x14ac:dyDescent="0.2">
      <c r="A4782" s="101"/>
    </row>
    <row r="4783" spans="1:1" x14ac:dyDescent="0.2">
      <c r="A4783" s="101"/>
    </row>
    <row r="4784" spans="1:1" x14ac:dyDescent="0.2">
      <c r="A4784" s="101"/>
    </row>
    <row r="4785" spans="1:1" x14ac:dyDescent="0.2">
      <c r="A4785" s="101"/>
    </row>
    <row r="4786" spans="1:1" x14ac:dyDescent="0.2">
      <c r="A4786" s="101"/>
    </row>
    <row r="4787" spans="1:1" x14ac:dyDescent="0.2">
      <c r="A4787" s="101"/>
    </row>
    <row r="4788" spans="1:1" x14ac:dyDescent="0.2">
      <c r="A4788" s="101"/>
    </row>
    <row r="4789" spans="1:1" x14ac:dyDescent="0.2">
      <c r="A4789" s="101"/>
    </row>
    <row r="4790" spans="1:1" x14ac:dyDescent="0.2">
      <c r="A4790" s="101"/>
    </row>
    <row r="4791" spans="1:1" x14ac:dyDescent="0.2">
      <c r="A4791" s="101"/>
    </row>
    <row r="4792" spans="1:1" x14ac:dyDescent="0.2">
      <c r="A4792" s="101"/>
    </row>
    <row r="4793" spans="1:1" x14ac:dyDescent="0.2">
      <c r="A4793" s="101"/>
    </row>
    <row r="4794" spans="1:1" x14ac:dyDescent="0.2">
      <c r="A4794" s="101"/>
    </row>
    <row r="4795" spans="1:1" x14ac:dyDescent="0.2">
      <c r="A4795" s="101"/>
    </row>
    <row r="4796" spans="1:1" x14ac:dyDescent="0.2">
      <c r="A4796" s="101"/>
    </row>
    <row r="4797" spans="1:1" x14ac:dyDescent="0.2">
      <c r="A4797" s="101"/>
    </row>
    <row r="4798" spans="1:1" x14ac:dyDescent="0.2">
      <c r="A4798" s="101"/>
    </row>
    <row r="4799" spans="1:1" x14ac:dyDescent="0.2">
      <c r="A4799" s="101"/>
    </row>
    <row r="4800" spans="1:1" x14ac:dyDescent="0.2">
      <c r="A4800" s="101"/>
    </row>
    <row r="4801" spans="1:1" x14ac:dyDescent="0.2">
      <c r="A4801" s="101"/>
    </row>
    <row r="4802" spans="1:1" x14ac:dyDescent="0.2">
      <c r="A4802" s="101"/>
    </row>
    <row r="4803" spans="1:1" x14ac:dyDescent="0.2">
      <c r="A4803" s="101"/>
    </row>
    <row r="4804" spans="1:1" x14ac:dyDescent="0.2">
      <c r="A4804" s="101"/>
    </row>
    <row r="4805" spans="1:1" x14ac:dyDescent="0.2">
      <c r="A4805" s="101"/>
    </row>
    <row r="4806" spans="1:1" x14ac:dyDescent="0.2">
      <c r="A4806" s="101"/>
    </row>
    <row r="4807" spans="1:1" x14ac:dyDescent="0.2">
      <c r="A4807" s="101"/>
    </row>
    <row r="4808" spans="1:1" x14ac:dyDescent="0.2">
      <c r="A4808" s="101"/>
    </row>
    <row r="4809" spans="1:1" x14ac:dyDescent="0.2">
      <c r="A4809" s="101"/>
    </row>
    <row r="4810" spans="1:1" x14ac:dyDescent="0.2">
      <c r="A4810" s="101"/>
    </row>
    <row r="4811" spans="1:1" x14ac:dyDescent="0.2">
      <c r="A4811" s="101"/>
    </row>
    <row r="4812" spans="1:1" x14ac:dyDescent="0.2">
      <c r="A4812" s="101"/>
    </row>
    <row r="4813" spans="1:1" x14ac:dyDescent="0.2">
      <c r="A4813" s="101"/>
    </row>
    <row r="4814" spans="1:1" x14ac:dyDescent="0.2">
      <c r="A4814" s="101"/>
    </row>
    <row r="4815" spans="1:1" x14ac:dyDescent="0.2">
      <c r="A4815" s="101"/>
    </row>
    <row r="4816" spans="1:1" x14ac:dyDescent="0.2">
      <c r="A4816" s="101"/>
    </row>
    <row r="4817" spans="1:1" x14ac:dyDescent="0.2">
      <c r="A4817" s="101"/>
    </row>
    <row r="4818" spans="1:1" x14ac:dyDescent="0.2">
      <c r="A4818" s="101"/>
    </row>
    <row r="4819" spans="1:1" x14ac:dyDescent="0.2">
      <c r="A4819" s="101"/>
    </row>
    <row r="4820" spans="1:1" x14ac:dyDescent="0.2">
      <c r="A4820" s="101"/>
    </row>
    <row r="4821" spans="1:1" x14ac:dyDescent="0.2">
      <c r="A4821" s="101"/>
    </row>
    <row r="4822" spans="1:1" x14ac:dyDescent="0.2">
      <c r="A4822" s="101"/>
    </row>
    <row r="4823" spans="1:1" x14ac:dyDescent="0.2">
      <c r="A4823" s="101"/>
    </row>
    <row r="4824" spans="1:1" x14ac:dyDescent="0.2">
      <c r="A4824" s="101"/>
    </row>
    <row r="4825" spans="1:1" x14ac:dyDescent="0.2">
      <c r="A4825" s="101"/>
    </row>
    <row r="4826" spans="1:1" x14ac:dyDescent="0.2">
      <c r="A4826" s="101"/>
    </row>
    <row r="4827" spans="1:1" x14ac:dyDescent="0.2">
      <c r="A4827" s="101"/>
    </row>
    <row r="4828" spans="1:1" x14ac:dyDescent="0.2">
      <c r="A4828" s="101"/>
    </row>
    <row r="4829" spans="1:1" x14ac:dyDescent="0.2">
      <c r="A4829" s="101"/>
    </row>
    <row r="4830" spans="1:1" x14ac:dyDescent="0.2">
      <c r="A4830" s="101"/>
    </row>
    <row r="4831" spans="1:1" x14ac:dyDescent="0.2">
      <c r="A4831" s="101"/>
    </row>
    <row r="4832" spans="1:1" x14ac:dyDescent="0.2">
      <c r="A4832" s="101"/>
    </row>
    <row r="4833" spans="1:1" x14ac:dyDescent="0.2">
      <c r="A4833" s="101"/>
    </row>
    <row r="4834" spans="1:1" x14ac:dyDescent="0.2">
      <c r="A4834" s="101"/>
    </row>
    <row r="4835" spans="1:1" x14ac:dyDescent="0.2">
      <c r="A4835" s="101"/>
    </row>
    <row r="4836" spans="1:1" x14ac:dyDescent="0.2">
      <c r="A4836" s="101"/>
    </row>
    <row r="4837" spans="1:1" x14ac:dyDescent="0.2">
      <c r="A4837" s="101"/>
    </row>
    <row r="4838" spans="1:1" x14ac:dyDescent="0.2">
      <c r="A4838" s="101"/>
    </row>
    <row r="4839" spans="1:1" x14ac:dyDescent="0.2">
      <c r="A4839" s="101"/>
    </row>
    <row r="4840" spans="1:1" x14ac:dyDescent="0.2">
      <c r="A4840" s="101"/>
    </row>
    <row r="4841" spans="1:1" x14ac:dyDescent="0.2">
      <c r="A4841" s="101"/>
    </row>
    <row r="4842" spans="1:1" x14ac:dyDescent="0.2">
      <c r="A4842" s="101"/>
    </row>
    <row r="4843" spans="1:1" x14ac:dyDescent="0.2">
      <c r="A4843" s="101"/>
    </row>
    <row r="4844" spans="1:1" x14ac:dyDescent="0.2">
      <c r="A4844" s="101"/>
    </row>
    <row r="4845" spans="1:1" x14ac:dyDescent="0.2">
      <c r="A4845" s="101"/>
    </row>
    <row r="4846" spans="1:1" x14ac:dyDescent="0.2">
      <c r="A4846" s="101"/>
    </row>
    <row r="4847" spans="1:1" x14ac:dyDescent="0.2">
      <c r="A4847" s="101"/>
    </row>
    <row r="4848" spans="1:1" x14ac:dyDescent="0.2">
      <c r="A4848" s="101"/>
    </row>
    <row r="4849" spans="1:1" x14ac:dyDescent="0.2">
      <c r="A4849" s="101"/>
    </row>
    <row r="4850" spans="1:1" x14ac:dyDescent="0.2">
      <c r="A4850" s="101"/>
    </row>
    <row r="4851" spans="1:1" x14ac:dyDescent="0.2">
      <c r="A4851" s="101"/>
    </row>
    <row r="4852" spans="1:1" x14ac:dyDescent="0.2">
      <c r="A4852" s="101"/>
    </row>
    <row r="4853" spans="1:1" x14ac:dyDescent="0.2">
      <c r="A4853" s="101"/>
    </row>
    <row r="4854" spans="1:1" x14ac:dyDescent="0.2">
      <c r="A4854" s="101"/>
    </row>
    <row r="4855" spans="1:1" x14ac:dyDescent="0.2">
      <c r="A4855" s="101"/>
    </row>
    <row r="4856" spans="1:1" x14ac:dyDescent="0.2">
      <c r="A4856" s="101"/>
    </row>
    <row r="4857" spans="1:1" x14ac:dyDescent="0.2">
      <c r="A4857" s="101"/>
    </row>
    <row r="4858" spans="1:1" x14ac:dyDescent="0.2">
      <c r="A4858" s="101"/>
    </row>
    <row r="4859" spans="1:1" x14ac:dyDescent="0.2">
      <c r="A4859" s="101"/>
    </row>
    <row r="4860" spans="1:1" x14ac:dyDescent="0.2">
      <c r="A4860" s="101"/>
    </row>
    <row r="4861" spans="1:1" x14ac:dyDescent="0.2">
      <c r="A4861" s="101"/>
    </row>
    <row r="4862" spans="1:1" x14ac:dyDescent="0.2">
      <c r="A4862" s="101"/>
    </row>
    <row r="4863" spans="1:1" x14ac:dyDescent="0.2">
      <c r="A4863" s="101"/>
    </row>
    <row r="4864" spans="1:1" x14ac:dyDescent="0.2">
      <c r="A4864" s="101"/>
    </row>
    <row r="4865" spans="1:1" x14ac:dyDescent="0.2">
      <c r="A4865" s="101"/>
    </row>
    <row r="4866" spans="1:1" x14ac:dyDescent="0.2">
      <c r="A4866" s="101"/>
    </row>
    <row r="4867" spans="1:1" x14ac:dyDescent="0.2">
      <c r="A4867" s="101"/>
    </row>
    <row r="4868" spans="1:1" x14ac:dyDescent="0.2">
      <c r="A4868" s="101"/>
    </row>
    <row r="4869" spans="1:1" x14ac:dyDescent="0.2">
      <c r="A4869" s="101"/>
    </row>
    <row r="4870" spans="1:1" x14ac:dyDescent="0.2">
      <c r="A4870" s="101"/>
    </row>
    <row r="4871" spans="1:1" x14ac:dyDescent="0.2">
      <c r="A4871" s="101"/>
    </row>
    <row r="4872" spans="1:1" x14ac:dyDescent="0.2">
      <c r="A4872" s="101"/>
    </row>
    <row r="4873" spans="1:1" x14ac:dyDescent="0.2">
      <c r="A4873" s="101"/>
    </row>
    <row r="4874" spans="1:1" x14ac:dyDescent="0.2">
      <c r="A4874" s="101"/>
    </row>
    <row r="4875" spans="1:1" x14ac:dyDescent="0.2">
      <c r="A4875" s="101"/>
    </row>
    <row r="4876" spans="1:1" x14ac:dyDescent="0.2">
      <c r="A4876" s="101"/>
    </row>
    <row r="4877" spans="1:1" x14ac:dyDescent="0.2">
      <c r="A4877" s="101"/>
    </row>
    <row r="4878" spans="1:1" x14ac:dyDescent="0.2">
      <c r="A4878" s="101"/>
    </row>
    <row r="4879" spans="1:1" x14ac:dyDescent="0.2">
      <c r="A4879" s="101"/>
    </row>
    <row r="4880" spans="1:1" x14ac:dyDescent="0.2">
      <c r="A4880" s="101"/>
    </row>
    <row r="4881" spans="1:1" x14ac:dyDescent="0.2">
      <c r="A4881" s="101"/>
    </row>
    <row r="4882" spans="1:1" x14ac:dyDescent="0.2">
      <c r="A4882" s="101"/>
    </row>
    <row r="4883" spans="1:1" x14ac:dyDescent="0.2">
      <c r="A4883" s="101"/>
    </row>
    <row r="4884" spans="1:1" x14ac:dyDescent="0.2">
      <c r="A4884" s="101"/>
    </row>
    <row r="4885" spans="1:1" x14ac:dyDescent="0.2">
      <c r="A4885" s="101"/>
    </row>
    <row r="4886" spans="1:1" x14ac:dyDescent="0.2">
      <c r="A4886" s="101"/>
    </row>
    <row r="4887" spans="1:1" x14ac:dyDescent="0.2">
      <c r="A4887" s="101"/>
    </row>
    <row r="4888" spans="1:1" x14ac:dyDescent="0.2">
      <c r="A4888" s="101"/>
    </row>
    <row r="4889" spans="1:1" x14ac:dyDescent="0.2">
      <c r="A4889" s="101"/>
    </row>
    <row r="4890" spans="1:1" x14ac:dyDescent="0.2">
      <c r="A4890" s="101"/>
    </row>
    <row r="4891" spans="1:1" x14ac:dyDescent="0.2">
      <c r="A4891" s="101"/>
    </row>
    <row r="4892" spans="1:1" x14ac:dyDescent="0.2">
      <c r="A4892" s="101"/>
    </row>
    <row r="4893" spans="1:1" x14ac:dyDescent="0.2">
      <c r="A4893" s="101"/>
    </row>
    <row r="4894" spans="1:1" x14ac:dyDescent="0.2">
      <c r="A4894" s="101"/>
    </row>
    <row r="4895" spans="1:1" x14ac:dyDescent="0.2">
      <c r="A4895" s="101"/>
    </row>
    <row r="4896" spans="1:1" x14ac:dyDescent="0.2">
      <c r="A4896" s="101"/>
    </row>
    <row r="4897" spans="1:1" x14ac:dyDescent="0.2">
      <c r="A4897" s="101"/>
    </row>
    <row r="4898" spans="1:1" x14ac:dyDescent="0.2">
      <c r="A4898" s="101"/>
    </row>
    <row r="4899" spans="1:1" x14ac:dyDescent="0.2">
      <c r="A4899" s="101"/>
    </row>
    <row r="4900" spans="1:1" x14ac:dyDescent="0.2">
      <c r="A4900" s="101"/>
    </row>
    <row r="4901" spans="1:1" x14ac:dyDescent="0.2">
      <c r="A4901" s="101"/>
    </row>
    <row r="4902" spans="1:1" x14ac:dyDescent="0.2">
      <c r="A4902" s="101"/>
    </row>
    <row r="4903" spans="1:1" x14ac:dyDescent="0.2">
      <c r="A4903" s="101"/>
    </row>
    <row r="4904" spans="1:1" x14ac:dyDescent="0.2">
      <c r="A4904" s="101"/>
    </row>
    <row r="4905" spans="1:1" x14ac:dyDescent="0.2">
      <c r="A4905" s="101"/>
    </row>
    <row r="4906" spans="1:1" x14ac:dyDescent="0.2">
      <c r="A4906" s="101"/>
    </row>
    <row r="4907" spans="1:1" x14ac:dyDescent="0.2">
      <c r="A4907" s="101"/>
    </row>
    <row r="4908" spans="1:1" x14ac:dyDescent="0.2">
      <c r="A4908" s="101"/>
    </row>
    <row r="4909" spans="1:1" x14ac:dyDescent="0.2">
      <c r="A4909" s="101"/>
    </row>
    <row r="4910" spans="1:1" x14ac:dyDescent="0.2">
      <c r="A4910" s="101"/>
    </row>
    <row r="4911" spans="1:1" x14ac:dyDescent="0.2">
      <c r="A4911" s="101"/>
    </row>
    <row r="4912" spans="1:1" x14ac:dyDescent="0.2">
      <c r="A4912" s="101"/>
    </row>
    <row r="4913" spans="1:1" x14ac:dyDescent="0.2">
      <c r="A4913" s="101"/>
    </row>
    <row r="4914" spans="1:1" x14ac:dyDescent="0.2">
      <c r="A4914" s="101"/>
    </row>
    <row r="4915" spans="1:1" x14ac:dyDescent="0.2">
      <c r="A4915" s="101"/>
    </row>
    <row r="4916" spans="1:1" x14ac:dyDescent="0.2">
      <c r="A4916" s="101"/>
    </row>
    <row r="4917" spans="1:1" x14ac:dyDescent="0.2">
      <c r="A4917" s="101"/>
    </row>
    <row r="4918" spans="1:1" x14ac:dyDescent="0.2">
      <c r="A4918" s="101"/>
    </row>
    <row r="4919" spans="1:1" x14ac:dyDescent="0.2">
      <c r="A4919" s="101"/>
    </row>
    <row r="4920" spans="1:1" x14ac:dyDescent="0.2">
      <c r="A4920" s="101"/>
    </row>
    <row r="4921" spans="1:1" x14ac:dyDescent="0.2">
      <c r="A4921" s="101"/>
    </row>
    <row r="4922" spans="1:1" x14ac:dyDescent="0.2">
      <c r="A4922" s="101"/>
    </row>
    <row r="4923" spans="1:1" x14ac:dyDescent="0.2">
      <c r="A4923" s="101"/>
    </row>
    <row r="4924" spans="1:1" x14ac:dyDescent="0.2">
      <c r="A4924" s="101"/>
    </row>
    <row r="4925" spans="1:1" x14ac:dyDescent="0.2">
      <c r="A4925" s="101"/>
    </row>
    <row r="4926" spans="1:1" x14ac:dyDescent="0.2">
      <c r="A4926" s="101"/>
    </row>
    <row r="4927" spans="1:1" x14ac:dyDescent="0.2">
      <c r="A4927" s="101"/>
    </row>
    <row r="4928" spans="1:1" x14ac:dyDescent="0.2">
      <c r="A4928" s="101"/>
    </row>
    <row r="4929" spans="1:1" x14ac:dyDescent="0.2">
      <c r="A4929" s="101"/>
    </row>
    <row r="4930" spans="1:1" x14ac:dyDescent="0.2">
      <c r="A4930" s="101"/>
    </row>
    <row r="4931" spans="1:1" x14ac:dyDescent="0.2">
      <c r="A4931" s="101"/>
    </row>
    <row r="4932" spans="1:1" x14ac:dyDescent="0.2">
      <c r="A4932" s="101"/>
    </row>
    <row r="4933" spans="1:1" x14ac:dyDescent="0.2">
      <c r="A4933" s="101"/>
    </row>
    <row r="4934" spans="1:1" x14ac:dyDescent="0.2">
      <c r="A4934" s="101"/>
    </row>
    <row r="4935" spans="1:1" x14ac:dyDescent="0.2">
      <c r="A4935" s="101"/>
    </row>
    <row r="4936" spans="1:1" x14ac:dyDescent="0.2">
      <c r="A4936" s="101"/>
    </row>
    <row r="4937" spans="1:1" x14ac:dyDescent="0.2">
      <c r="A4937" s="101"/>
    </row>
    <row r="4938" spans="1:1" x14ac:dyDescent="0.2">
      <c r="A4938" s="101"/>
    </row>
    <row r="4939" spans="1:1" x14ac:dyDescent="0.2">
      <c r="A4939" s="101"/>
    </row>
    <row r="4940" spans="1:1" x14ac:dyDescent="0.2">
      <c r="A4940" s="101"/>
    </row>
    <row r="4941" spans="1:1" x14ac:dyDescent="0.2">
      <c r="A4941" s="101"/>
    </row>
    <row r="4942" spans="1:1" x14ac:dyDescent="0.2">
      <c r="A4942" s="101"/>
    </row>
    <row r="4943" spans="1:1" x14ac:dyDescent="0.2">
      <c r="A4943" s="101"/>
    </row>
    <row r="4944" spans="1:1" x14ac:dyDescent="0.2">
      <c r="A4944" s="101"/>
    </row>
    <row r="4945" spans="1:1" x14ac:dyDescent="0.2">
      <c r="A4945" s="101"/>
    </row>
    <row r="4946" spans="1:1" x14ac:dyDescent="0.2">
      <c r="A4946" s="101"/>
    </row>
    <row r="4947" spans="1:1" x14ac:dyDescent="0.2">
      <c r="A4947" s="101"/>
    </row>
    <row r="4948" spans="1:1" x14ac:dyDescent="0.2">
      <c r="A4948" s="101"/>
    </row>
    <row r="4949" spans="1:1" x14ac:dyDescent="0.2">
      <c r="A4949" s="101"/>
    </row>
    <row r="4950" spans="1:1" x14ac:dyDescent="0.2">
      <c r="A4950" s="101"/>
    </row>
    <row r="4951" spans="1:1" x14ac:dyDescent="0.2">
      <c r="A4951" s="101"/>
    </row>
    <row r="4952" spans="1:1" x14ac:dyDescent="0.2">
      <c r="A4952" s="101"/>
    </row>
    <row r="4953" spans="1:1" x14ac:dyDescent="0.2">
      <c r="A4953" s="101"/>
    </row>
    <row r="4954" spans="1:1" x14ac:dyDescent="0.2">
      <c r="A4954" s="101"/>
    </row>
    <row r="4955" spans="1:1" x14ac:dyDescent="0.2">
      <c r="A4955" s="101"/>
    </row>
    <row r="4956" spans="1:1" x14ac:dyDescent="0.2">
      <c r="A4956" s="101"/>
    </row>
    <row r="4957" spans="1:1" x14ac:dyDescent="0.2">
      <c r="A4957" s="101"/>
    </row>
    <row r="4958" spans="1:1" x14ac:dyDescent="0.2">
      <c r="A4958" s="101"/>
    </row>
    <row r="4959" spans="1:1" x14ac:dyDescent="0.2">
      <c r="A4959" s="101"/>
    </row>
    <row r="4960" spans="1:1" x14ac:dyDescent="0.2">
      <c r="A4960" s="101"/>
    </row>
    <row r="4961" spans="1:1" x14ac:dyDescent="0.2">
      <c r="A4961" s="101"/>
    </row>
    <row r="4962" spans="1:1" x14ac:dyDescent="0.2">
      <c r="A4962" s="101"/>
    </row>
    <row r="4963" spans="1:1" x14ac:dyDescent="0.2">
      <c r="A4963" s="101"/>
    </row>
    <row r="4964" spans="1:1" x14ac:dyDescent="0.2">
      <c r="A4964" s="101"/>
    </row>
    <row r="4965" spans="1:1" x14ac:dyDescent="0.2">
      <c r="A4965" s="101"/>
    </row>
    <row r="4966" spans="1:1" x14ac:dyDescent="0.2">
      <c r="A4966" s="101"/>
    </row>
    <row r="4967" spans="1:1" x14ac:dyDescent="0.2">
      <c r="A4967" s="101"/>
    </row>
    <row r="4968" spans="1:1" x14ac:dyDescent="0.2">
      <c r="A4968" s="101"/>
    </row>
    <row r="4969" spans="1:1" x14ac:dyDescent="0.2">
      <c r="A4969" s="101"/>
    </row>
    <row r="4970" spans="1:1" x14ac:dyDescent="0.2">
      <c r="A4970" s="101"/>
    </row>
    <row r="4971" spans="1:1" x14ac:dyDescent="0.2">
      <c r="A4971" s="101"/>
    </row>
    <row r="4972" spans="1:1" x14ac:dyDescent="0.2">
      <c r="A4972" s="101"/>
    </row>
    <row r="4973" spans="1:1" x14ac:dyDescent="0.2">
      <c r="A4973" s="101"/>
    </row>
    <row r="4974" spans="1:1" x14ac:dyDescent="0.2">
      <c r="A4974" s="101"/>
    </row>
    <row r="4975" spans="1:1" x14ac:dyDescent="0.2">
      <c r="A4975" s="101"/>
    </row>
    <row r="4976" spans="1:1" x14ac:dyDescent="0.2">
      <c r="A4976" s="101"/>
    </row>
    <row r="4977" spans="1:1" x14ac:dyDescent="0.2">
      <c r="A4977" s="101"/>
    </row>
    <row r="4978" spans="1:1" x14ac:dyDescent="0.2">
      <c r="A4978" s="101"/>
    </row>
    <row r="4979" spans="1:1" x14ac:dyDescent="0.2">
      <c r="A4979" s="101"/>
    </row>
    <row r="4980" spans="1:1" x14ac:dyDescent="0.2">
      <c r="A4980" s="101"/>
    </row>
    <row r="4981" spans="1:1" x14ac:dyDescent="0.2">
      <c r="A4981" s="101"/>
    </row>
    <row r="4982" spans="1:1" x14ac:dyDescent="0.2">
      <c r="A4982" s="101"/>
    </row>
    <row r="4983" spans="1:1" x14ac:dyDescent="0.2">
      <c r="A4983" s="101"/>
    </row>
    <row r="4984" spans="1:1" x14ac:dyDescent="0.2">
      <c r="A4984" s="101"/>
    </row>
    <row r="4985" spans="1:1" x14ac:dyDescent="0.2">
      <c r="A4985" s="101"/>
    </row>
    <row r="4986" spans="1:1" x14ac:dyDescent="0.2">
      <c r="A4986" s="101"/>
    </row>
    <row r="4987" spans="1:1" x14ac:dyDescent="0.2">
      <c r="A4987" s="101"/>
    </row>
    <row r="4988" spans="1:1" x14ac:dyDescent="0.2">
      <c r="A4988" s="101"/>
    </row>
    <row r="4989" spans="1:1" x14ac:dyDescent="0.2">
      <c r="A4989" s="101"/>
    </row>
    <row r="4990" spans="1:1" x14ac:dyDescent="0.2">
      <c r="A4990" s="101"/>
    </row>
    <row r="4991" spans="1:1" x14ac:dyDescent="0.2">
      <c r="A4991" s="101"/>
    </row>
    <row r="4992" spans="1:1" x14ac:dyDescent="0.2">
      <c r="A4992" s="101"/>
    </row>
    <row r="4993" spans="1:1" x14ac:dyDescent="0.2">
      <c r="A4993" s="101"/>
    </row>
    <row r="4994" spans="1:1" x14ac:dyDescent="0.2">
      <c r="A4994" s="101"/>
    </row>
    <row r="4995" spans="1:1" x14ac:dyDescent="0.2">
      <c r="A4995" s="101"/>
    </row>
    <row r="4996" spans="1:1" x14ac:dyDescent="0.2">
      <c r="A4996" s="101"/>
    </row>
    <row r="4997" spans="1:1" x14ac:dyDescent="0.2">
      <c r="A4997" s="101"/>
    </row>
    <row r="4998" spans="1:1" x14ac:dyDescent="0.2">
      <c r="A4998" s="101"/>
    </row>
    <row r="4999" spans="1:1" x14ac:dyDescent="0.2">
      <c r="A4999" s="101"/>
    </row>
    <row r="5000" spans="1:1" x14ac:dyDescent="0.2">
      <c r="A5000" s="101"/>
    </row>
    <row r="5001" spans="1:1" x14ac:dyDescent="0.2">
      <c r="A5001" s="101"/>
    </row>
    <row r="5002" spans="1:1" x14ac:dyDescent="0.2">
      <c r="A5002" s="101"/>
    </row>
    <row r="5003" spans="1:1" x14ac:dyDescent="0.2">
      <c r="A5003" s="101"/>
    </row>
    <row r="5004" spans="1:1" x14ac:dyDescent="0.2">
      <c r="A5004" s="101"/>
    </row>
    <row r="5005" spans="1:1" x14ac:dyDescent="0.2">
      <c r="A5005" s="101"/>
    </row>
    <row r="5006" spans="1:1" x14ac:dyDescent="0.2">
      <c r="A5006" s="101"/>
    </row>
    <row r="5007" spans="1:1" x14ac:dyDescent="0.2">
      <c r="A5007" s="101"/>
    </row>
    <row r="5008" spans="1:1" x14ac:dyDescent="0.2">
      <c r="A5008" s="101"/>
    </row>
    <row r="5009" spans="1:1" x14ac:dyDescent="0.2">
      <c r="A5009" s="101"/>
    </row>
    <row r="5010" spans="1:1" x14ac:dyDescent="0.2">
      <c r="A5010" s="101"/>
    </row>
    <row r="5011" spans="1:1" x14ac:dyDescent="0.2">
      <c r="A5011" s="101"/>
    </row>
    <row r="5012" spans="1:1" x14ac:dyDescent="0.2">
      <c r="A5012" s="101"/>
    </row>
    <row r="5013" spans="1:1" x14ac:dyDescent="0.2">
      <c r="A5013" s="101"/>
    </row>
    <row r="5014" spans="1:1" x14ac:dyDescent="0.2">
      <c r="A5014" s="101"/>
    </row>
    <row r="5015" spans="1:1" x14ac:dyDescent="0.2">
      <c r="A5015" s="101"/>
    </row>
    <row r="5016" spans="1:1" x14ac:dyDescent="0.2">
      <c r="A5016" s="101"/>
    </row>
    <row r="5017" spans="1:1" x14ac:dyDescent="0.2">
      <c r="A5017" s="101"/>
    </row>
    <row r="5018" spans="1:1" x14ac:dyDescent="0.2">
      <c r="A5018" s="101"/>
    </row>
    <row r="5019" spans="1:1" x14ac:dyDescent="0.2">
      <c r="A5019" s="101"/>
    </row>
    <row r="5020" spans="1:1" x14ac:dyDescent="0.2">
      <c r="A5020" s="101"/>
    </row>
    <row r="5021" spans="1:1" x14ac:dyDescent="0.2">
      <c r="A5021" s="101"/>
    </row>
    <row r="5022" spans="1:1" x14ac:dyDescent="0.2">
      <c r="A5022" s="101"/>
    </row>
    <row r="5023" spans="1:1" x14ac:dyDescent="0.2">
      <c r="A5023" s="101"/>
    </row>
    <row r="5024" spans="1:1" x14ac:dyDescent="0.2">
      <c r="A5024" s="101"/>
    </row>
    <row r="5025" spans="1:1" x14ac:dyDescent="0.2">
      <c r="A5025" s="101"/>
    </row>
    <row r="5026" spans="1:1" x14ac:dyDescent="0.2">
      <c r="A5026" s="101"/>
    </row>
    <row r="5027" spans="1:1" x14ac:dyDescent="0.2">
      <c r="A5027" s="101"/>
    </row>
    <row r="5028" spans="1:1" x14ac:dyDescent="0.2">
      <c r="A5028" s="101"/>
    </row>
    <row r="5029" spans="1:1" x14ac:dyDescent="0.2">
      <c r="A5029" s="101"/>
    </row>
    <row r="5030" spans="1:1" x14ac:dyDescent="0.2">
      <c r="A5030" s="101"/>
    </row>
    <row r="5031" spans="1:1" x14ac:dyDescent="0.2">
      <c r="A5031" s="101"/>
    </row>
    <row r="5032" spans="1:1" x14ac:dyDescent="0.2">
      <c r="A5032" s="101"/>
    </row>
    <row r="5033" spans="1:1" x14ac:dyDescent="0.2">
      <c r="A5033" s="101"/>
    </row>
    <row r="5034" spans="1:1" x14ac:dyDescent="0.2">
      <c r="A5034" s="101"/>
    </row>
    <row r="5035" spans="1:1" x14ac:dyDescent="0.2">
      <c r="A5035" s="101"/>
    </row>
    <row r="5036" spans="1:1" x14ac:dyDescent="0.2">
      <c r="A5036" s="101"/>
    </row>
    <row r="5037" spans="1:1" x14ac:dyDescent="0.2">
      <c r="A5037" s="101"/>
    </row>
    <row r="5038" spans="1:1" x14ac:dyDescent="0.2">
      <c r="A5038" s="101"/>
    </row>
    <row r="5039" spans="1:1" x14ac:dyDescent="0.2">
      <c r="A5039" s="101"/>
    </row>
    <row r="5040" spans="1:1" x14ac:dyDescent="0.2">
      <c r="A5040" s="101"/>
    </row>
    <row r="5041" spans="1:1" x14ac:dyDescent="0.2">
      <c r="A5041" s="101"/>
    </row>
    <row r="5042" spans="1:1" x14ac:dyDescent="0.2">
      <c r="A5042" s="101"/>
    </row>
    <row r="5043" spans="1:1" x14ac:dyDescent="0.2">
      <c r="A5043" s="101"/>
    </row>
    <row r="5044" spans="1:1" x14ac:dyDescent="0.2">
      <c r="A5044" s="101"/>
    </row>
    <row r="5045" spans="1:1" x14ac:dyDescent="0.2">
      <c r="A5045" s="101"/>
    </row>
    <row r="5046" spans="1:1" x14ac:dyDescent="0.2">
      <c r="A5046" s="101"/>
    </row>
    <row r="5047" spans="1:1" x14ac:dyDescent="0.2">
      <c r="A5047" s="101"/>
    </row>
    <row r="5048" spans="1:1" x14ac:dyDescent="0.2">
      <c r="A5048" s="101"/>
    </row>
    <row r="5049" spans="1:1" x14ac:dyDescent="0.2">
      <c r="A5049" s="101"/>
    </row>
    <row r="5050" spans="1:1" x14ac:dyDescent="0.2">
      <c r="A5050" s="101"/>
    </row>
    <row r="5051" spans="1:1" x14ac:dyDescent="0.2">
      <c r="A5051" s="101"/>
    </row>
    <row r="5052" spans="1:1" x14ac:dyDescent="0.2">
      <c r="A5052" s="101"/>
    </row>
    <row r="5053" spans="1:1" x14ac:dyDescent="0.2">
      <c r="A5053" s="101"/>
    </row>
    <row r="5054" spans="1:1" x14ac:dyDescent="0.2">
      <c r="A5054" s="101"/>
    </row>
    <row r="5055" spans="1:1" x14ac:dyDescent="0.2">
      <c r="A5055" s="101"/>
    </row>
    <row r="5056" spans="1:1" x14ac:dyDescent="0.2">
      <c r="A5056" s="101"/>
    </row>
    <row r="5057" spans="1:1" x14ac:dyDescent="0.2">
      <c r="A5057" s="101"/>
    </row>
    <row r="5058" spans="1:1" x14ac:dyDescent="0.2">
      <c r="A5058" s="101"/>
    </row>
    <row r="5059" spans="1:1" x14ac:dyDescent="0.2">
      <c r="A5059" s="101"/>
    </row>
    <row r="5060" spans="1:1" x14ac:dyDescent="0.2">
      <c r="A5060" s="101"/>
    </row>
    <row r="5061" spans="1:1" x14ac:dyDescent="0.2">
      <c r="A5061" s="101"/>
    </row>
    <row r="5062" spans="1:1" x14ac:dyDescent="0.2">
      <c r="A5062" s="101"/>
    </row>
    <row r="5063" spans="1:1" x14ac:dyDescent="0.2">
      <c r="A5063" s="101"/>
    </row>
    <row r="5064" spans="1:1" x14ac:dyDescent="0.2">
      <c r="A5064" s="101"/>
    </row>
    <row r="5065" spans="1:1" x14ac:dyDescent="0.2">
      <c r="A5065" s="101"/>
    </row>
    <row r="5066" spans="1:1" x14ac:dyDescent="0.2">
      <c r="A5066" s="101"/>
    </row>
    <row r="5067" spans="1:1" x14ac:dyDescent="0.2">
      <c r="A5067" s="101"/>
    </row>
    <row r="5068" spans="1:1" x14ac:dyDescent="0.2">
      <c r="A5068" s="101"/>
    </row>
    <row r="5069" spans="1:1" x14ac:dyDescent="0.2">
      <c r="A5069" s="101"/>
    </row>
    <row r="5070" spans="1:1" x14ac:dyDescent="0.2">
      <c r="A5070" s="101"/>
    </row>
    <row r="5071" spans="1:1" x14ac:dyDescent="0.2">
      <c r="A5071" s="101"/>
    </row>
    <row r="5072" spans="1:1" x14ac:dyDescent="0.2">
      <c r="A5072" s="101"/>
    </row>
    <row r="5073" spans="1:1" x14ac:dyDescent="0.2">
      <c r="A5073" s="101"/>
    </row>
    <row r="5074" spans="1:1" x14ac:dyDescent="0.2">
      <c r="A5074" s="101"/>
    </row>
    <row r="5075" spans="1:1" x14ac:dyDescent="0.2">
      <c r="A5075" s="101"/>
    </row>
    <row r="5076" spans="1:1" x14ac:dyDescent="0.2">
      <c r="A5076" s="101"/>
    </row>
    <row r="5077" spans="1:1" x14ac:dyDescent="0.2">
      <c r="A5077" s="101"/>
    </row>
    <row r="5078" spans="1:1" x14ac:dyDescent="0.2">
      <c r="A5078" s="101"/>
    </row>
    <row r="5079" spans="1:1" x14ac:dyDescent="0.2">
      <c r="A5079" s="101"/>
    </row>
    <row r="5080" spans="1:1" x14ac:dyDescent="0.2">
      <c r="A5080" s="101"/>
    </row>
    <row r="5081" spans="1:1" x14ac:dyDescent="0.2">
      <c r="A5081" s="101"/>
    </row>
    <row r="5082" spans="1:1" x14ac:dyDescent="0.2">
      <c r="A5082" s="101"/>
    </row>
    <row r="5083" spans="1:1" x14ac:dyDescent="0.2">
      <c r="A5083" s="101"/>
    </row>
    <row r="5084" spans="1:1" x14ac:dyDescent="0.2">
      <c r="A5084" s="101"/>
    </row>
    <row r="5085" spans="1:1" x14ac:dyDescent="0.2">
      <c r="A5085" s="101"/>
    </row>
    <row r="5086" spans="1:1" x14ac:dyDescent="0.2">
      <c r="A5086" s="101"/>
    </row>
    <row r="5087" spans="1:1" x14ac:dyDescent="0.2">
      <c r="A5087" s="101"/>
    </row>
    <row r="5088" spans="1:1" x14ac:dyDescent="0.2">
      <c r="A5088" s="101"/>
    </row>
    <row r="5089" spans="1:1" x14ac:dyDescent="0.2">
      <c r="A5089" s="101"/>
    </row>
    <row r="5090" spans="1:1" x14ac:dyDescent="0.2">
      <c r="A5090" s="101"/>
    </row>
    <row r="5091" spans="1:1" x14ac:dyDescent="0.2">
      <c r="A5091" s="101"/>
    </row>
    <row r="5092" spans="1:1" x14ac:dyDescent="0.2">
      <c r="A5092" s="101"/>
    </row>
    <row r="5093" spans="1:1" x14ac:dyDescent="0.2">
      <c r="A5093" s="101"/>
    </row>
    <row r="5094" spans="1:1" x14ac:dyDescent="0.2">
      <c r="A5094" s="101"/>
    </row>
    <row r="5095" spans="1:1" x14ac:dyDescent="0.2">
      <c r="A5095" s="101"/>
    </row>
    <row r="5096" spans="1:1" x14ac:dyDescent="0.2">
      <c r="A5096" s="101"/>
    </row>
    <row r="5097" spans="1:1" x14ac:dyDescent="0.2">
      <c r="A5097" s="101"/>
    </row>
    <row r="5098" spans="1:1" x14ac:dyDescent="0.2">
      <c r="A5098" s="101"/>
    </row>
    <row r="5099" spans="1:1" x14ac:dyDescent="0.2">
      <c r="A5099" s="101"/>
    </row>
    <row r="5100" spans="1:1" x14ac:dyDescent="0.2">
      <c r="A5100" s="101"/>
    </row>
    <row r="5101" spans="1:1" x14ac:dyDescent="0.2">
      <c r="A5101" s="101"/>
    </row>
    <row r="5102" spans="1:1" x14ac:dyDescent="0.2">
      <c r="A5102" s="101"/>
    </row>
    <row r="5103" spans="1:1" x14ac:dyDescent="0.2">
      <c r="A5103" s="101"/>
    </row>
    <row r="5104" spans="1:1" x14ac:dyDescent="0.2">
      <c r="A5104" s="101"/>
    </row>
    <row r="5105" spans="1:1" x14ac:dyDescent="0.2">
      <c r="A5105" s="101"/>
    </row>
    <row r="5106" spans="1:1" x14ac:dyDescent="0.2">
      <c r="A5106" s="101"/>
    </row>
    <row r="5107" spans="1:1" x14ac:dyDescent="0.2">
      <c r="A5107" s="101"/>
    </row>
    <row r="5108" spans="1:1" x14ac:dyDescent="0.2">
      <c r="A5108" s="101"/>
    </row>
    <row r="5109" spans="1:1" x14ac:dyDescent="0.2">
      <c r="A5109" s="101"/>
    </row>
    <row r="5110" spans="1:1" x14ac:dyDescent="0.2">
      <c r="A5110" s="101"/>
    </row>
    <row r="5111" spans="1:1" x14ac:dyDescent="0.2">
      <c r="A5111" s="101"/>
    </row>
    <row r="5112" spans="1:1" x14ac:dyDescent="0.2">
      <c r="A5112" s="101"/>
    </row>
    <row r="5113" spans="1:1" x14ac:dyDescent="0.2">
      <c r="A5113" s="101"/>
    </row>
    <row r="5114" spans="1:1" x14ac:dyDescent="0.2">
      <c r="A5114" s="101"/>
    </row>
    <row r="5115" spans="1:1" x14ac:dyDescent="0.2">
      <c r="A5115" s="101"/>
    </row>
    <row r="5116" spans="1:1" x14ac:dyDescent="0.2">
      <c r="A5116" s="101"/>
    </row>
    <row r="5117" spans="1:1" x14ac:dyDescent="0.2">
      <c r="A5117" s="101"/>
    </row>
    <row r="5118" spans="1:1" x14ac:dyDescent="0.2">
      <c r="A5118" s="101"/>
    </row>
    <row r="5119" spans="1:1" x14ac:dyDescent="0.2">
      <c r="A5119" s="101"/>
    </row>
    <row r="5120" spans="1:1" x14ac:dyDescent="0.2">
      <c r="A5120" s="101"/>
    </row>
    <row r="5121" spans="1:1" x14ac:dyDescent="0.2">
      <c r="A5121" s="101"/>
    </row>
    <row r="5122" spans="1:1" x14ac:dyDescent="0.2">
      <c r="A5122" s="101"/>
    </row>
    <row r="5123" spans="1:1" x14ac:dyDescent="0.2">
      <c r="A5123" s="101"/>
    </row>
    <row r="5124" spans="1:1" x14ac:dyDescent="0.2">
      <c r="A5124" s="101"/>
    </row>
    <row r="5125" spans="1:1" x14ac:dyDescent="0.2">
      <c r="A5125" s="101"/>
    </row>
    <row r="5126" spans="1:1" x14ac:dyDescent="0.2">
      <c r="A5126" s="101"/>
    </row>
    <row r="5127" spans="1:1" x14ac:dyDescent="0.2">
      <c r="A5127" s="101"/>
    </row>
    <row r="5128" spans="1:1" x14ac:dyDescent="0.2">
      <c r="A5128" s="101"/>
    </row>
    <row r="5129" spans="1:1" x14ac:dyDescent="0.2">
      <c r="A5129" s="101"/>
    </row>
    <row r="5130" spans="1:1" x14ac:dyDescent="0.2">
      <c r="A5130" s="101"/>
    </row>
    <row r="5131" spans="1:1" x14ac:dyDescent="0.2">
      <c r="A5131" s="101"/>
    </row>
    <row r="5132" spans="1:1" x14ac:dyDescent="0.2">
      <c r="A5132" s="101"/>
    </row>
    <row r="5133" spans="1:1" x14ac:dyDescent="0.2">
      <c r="A5133" s="101"/>
    </row>
    <row r="5134" spans="1:1" x14ac:dyDescent="0.2">
      <c r="A5134" s="101"/>
    </row>
    <row r="5135" spans="1:1" x14ac:dyDescent="0.2">
      <c r="A5135" s="101"/>
    </row>
    <row r="5136" spans="1:1" x14ac:dyDescent="0.2">
      <c r="A5136" s="101"/>
    </row>
    <row r="5137" spans="1:1" x14ac:dyDescent="0.2">
      <c r="A5137" s="101"/>
    </row>
    <row r="5138" spans="1:1" x14ac:dyDescent="0.2">
      <c r="A5138" s="101"/>
    </row>
    <row r="5139" spans="1:1" x14ac:dyDescent="0.2">
      <c r="A5139" s="101"/>
    </row>
    <row r="5140" spans="1:1" x14ac:dyDescent="0.2">
      <c r="A5140" s="101"/>
    </row>
    <row r="5141" spans="1:1" x14ac:dyDescent="0.2">
      <c r="A5141" s="101"/>
    </row>
    <row r="5142" spans="1:1" x14ac:dyDescent="0.2">
      <c r="A5142" s="101"/>
    </row>
    <row r="5143" spans="1:1" x14ac:dyDescent="0.2">
      <c r="A5143" s="101"/>
    </row>
    <row r="5144" spans="1:1" x14ac:dyDescent="0.2">
      <c r="A5144" s="101"/>
    </row>
    <row r="5145" spans="1:1" x14ac:dyDescent="0.2">
      <c r="A5145" s="101"/>
    </row>
    <row r="5146" spans="1:1" x14ac:dyDescent="0.2">
      <c r="A5146" s="101"/>
    </row>
    <row r="5147" spans="1:1" x14ac:dyDescent="0.2">
      <c r="A5147" s="101"/>
    </row>
    <row r="5148" spans="1:1" x14ac:dyDescent="0.2">
      <c r="A5148" s="101"/>
    </row>
    <row r="5149" spans="1:1" x14ac:dyDescent="0.2">
      <c r="A5149" s="101"/>
    </row>
    <row r="5150" spans="1:1" x14ac:dyDescent="0.2">
      <c r="A5150" s="101"/>
    </row>
    <row r="5151" spans="1:1" x14ac:dyDescent="0.2">
      <c r="A5151" s="101"/>
    </row>
    <row r="5152" spans="1:1" x14ac:dyDescent="0.2">
      <c r="A5152" s="101"/>
    </row>
    <row r="5153" spans="1:1" x14ac:dyDescent="0.2">
      <c r="A5153" s="101"/>
    </row>
    <row r="5154" spans="1:1" x14ac:dyDescent="0.2">
      <c r="A5154" s="101"/>
    </row>
    <row r="5155" spans="1:1" x14ac:dyDescent="0.2">
      <c r="A5155" s="101"/>
    </row>
    <row r="5156" spans="1:1" x14ac:dyDescent="0.2">
      <c r="A5156" s="101"/>
    </row>
    <row r="5157" spans="1:1" x14ac:dyDescent="0.2">
      <c r="A5157" s="101"/>
    </row>
    <row r="5158" spans="1:1" x14ac:dyDescent="0.2">
      <c r="A5158" s="101"/>
    </row>
    <row r="5159" spans="1:1" x14ac:dyDescent="0.2">
      <c r="A5159" s="101"/>
    </row>
    <row r="5160" spans="1:1" x14ac:dyDescent="0.2">
      <c r="A5160" s="101"/>
    </row>
    <row r="5161" spans="1:1" x14ac:dyDescent="0.2">
      <c r="A5161" s="101"/>
    </row>
    <row r="5162" spans="1:1" x14ac:dyDescent="0.2">
      <c r="A5162" s="101"/>
    </row>
    <row r="5163" spans="1:1" x14ac:dyDescent="0.2">
      <c r="A5163" s="101"/>
    </row>
    <row r="5164" spans="1:1" x14ac:dyDescent="0.2">
      <c r="A5164" s="101"/>
    </row>
    <row r="5165" spans="1:1" x14ac:dyDescent="0.2">
      <c r="A5165" s="101"/>
    </row>
    <row r="5166" spans="1:1" x14ac:dyDescent="0.2">
      <c r="A5166" s="101"/>
    </row>
    <row r="5167" spans="1:1" x14ac:dyDescent="0.2">
      <c r="A5167" s="101"/>
    </row>
    <row r="5168" spans="1:1" x14ac:dyDescent="0.2">
      <c r="A5168" s="101"/>
    </row>
    <row r="5169" spans="1:1" x14ac:dyDescent="0.2">
      <c r="A5169" s="101"/>
    </row>
    <row r="5170" spans="1:1" x14ac:dyDescent="0.2">
      <c r="A5170" s="101"/>
    </row>
    <row r="5171" spans="1:1" x14ac:dyDescent="0.2">
      <c r="A5171" s="101"/>
    </row>
    <row r="5172" spans="1:1" x14ac:dyDescent="0.2">
      <c r="A5172" s="101"/>
    </row>
    <row r="5173" spans="1:1" x14ac:dyDescent="0.2">
      <c r="A5173" s="101"/>
    </row>
    <row r="5174" spans="1:1" x14ac:dyDescent="0.2">
      <c r="A5174" s="101"/>
    </row>
    <row r="5175" spans="1:1" x14ac:dyDescent="0.2">
      <c r="A5175" s="101"/>
    </row>
    <row r="5176" spans="1:1" x14ac:dyDescent="0.2">
      <c r="A5176" s="101"/>
    </row>
    <row r="5177" spans="1:1" x14ac:dyDescent="0.2">
      <c r="A5177" s="101"/>
    </row>
    <row r="5178" spans="1:1" x14ac:dyDescent="0.2">
      <c r="A5178" s="101"/>
    </row>
    <row r="5179" spans="1:1" x14ac:dyDescent="0.2">
      <c r="A5179" s="101"/>
    </row>
    <row r="5180" spans="1:1" x14ac:dyDescent="0.2">
      <c r="A5180" s="101"/>
    </row>
    <row r="5181" spans="1:1" x14ac:dyDescent="0.2">
      <c r="A5181" s="101"/>
    </row>
    <row r="5182" spans="1:1" x14ac:dyDescent="0.2">
      <c r="A5182" s="101"/>
    </row>
    <row r="5183" spans="1:1" x14ac:dyDescent="0.2">
      <c r="A5183" s="101"/>
    </row>
    <row r="5184" spans="1:1" x14ac:dyDescent="0.2">
      <c r="A5184" s="101"/>
    </row>
    <row r="5185" spans="1:1" x14ac:dyDescent="0.2">
      <c r="A5185" s="101"/>
    </row>
    <row r="5186" spans="1:1" x14ac:dyDescent="0.2">
      <c r="A5186" s="101"/>
    </row>
    <row r="5187" spans="1:1" x14ac:dyDescent="0.2">
      <c r="A5187" s="101"/>
    </row>
    <row r="5188" spans="1:1" x14ac:dyDescent="0.2">
      <c r="A5188" s="101"/>
    </row>
    <row r="5189" spans="1:1" x14ac:dyDescent="0.2">
      <c r="A5189" s="101"/>
    </row>
    <row r="5190" spans="1:1" x14ac:dyDescent="0.2">
      <c r="A5190" s="101"/>
    </row>
    <row r="5191" spans="1:1" x14ac:dyDescent="0.2">
      <c r="A5191" s="101"/>
    </row>
    <row r="5192" spans="1:1" x14ac:dyDescent="0.2">
      <c r="A5192" s="101"/>
    </row>
    <row r="5193" spans="1:1" x14ac:dyDescent="0.2">
      <c r="A5193" s="101"/>
    </row>
    <row r="5194" spans="1:1" x14ac:dyDescent="0.2">
      <c r="A5194" s="101"/>
    </row>
    <row r="5195" spans="1:1" x14ac:dyDescent="0.2">
      <c r="A5195" s="101"/>
    </row>
    <row r="5196" spans="1:1" x14ac:dyDescent="0.2">
      <c r="A5196" s="101"/>
    </row>
    <row r="5197" spans="1:1" x14ac:dyDescent="0.2">
      <c r="A5197" s="101"/>
    </row>
    <row r="5198" spans="1:1" x14ac:dyDescent="0.2">
      <c r="A5198" s="101"/>
    </row>
    <row r="5199" spans="1:1" x14ac:dyDescent="0.2">
      <c r="A5199" s="101"/>
    </row>
    <row r="5200" spans="1:1" x14ac:dyDescent="0.2">
      <c r="A5200" s="101"/>
    </row>
    <row r="5201" spans="1:1" x14ac:dyDescent="0.2">
      <c r="A5201" s="101"/>
    </row>
    <row r="5202" spans="1:1" x14ac:dyDescent="0.2">
      <c r="A5202" s="101"/>
    </row>
    <row r="5203" spans="1:1" x14ac:dyDescent="0.2">
      <c r="A5203" s="101"/>
    </row>
    <row r="5204" spans="1:1" x14ac:dyDescent="0.2">
      <c r="A5204" s="101"/>
    </row>
    <row r="5205" spans="1:1" x14ac:dyDescent="0.2">
      <c r="A5205" s="101"/>
    </row>
    <row r="5206" spans="1:1" x14ac:dyDescent="0.2">
      <c r="A5206" s="101"/>
    </row>
    <row r="5207" spans="1:1" x14ac:dyDescent="0.2">
      <c r="A5207" s="101"/>
    </row>
    <row r="5208" spans="1:1" x14ac:dyDescent="0.2">
      <c r="A5208" s="101"/>
    </row>
    <row r="5209" spans="1:1" x14ac:dyDescent="0.2">
      <c r="A5209" s="101"/>
    </row>
    <row r="5210" spans="1:1" x14ac:dyDescent="0.2">
      <c r="A5210" s="101"/>
    </row>
    <row r="5211" spans="1:1" x14ac:dyDescent="0.2">
      <c r="A5211" s="101"/>
    </row>
    <row r="5212" spans="1:1" x14ac:dyDescent="0.2">
      <c r="A5212" s="101"/>
    </row>
    <row r="5213" spans="1:1" x14ac:dyDescent="0.2">
      <c r="A5213" s="101"/>
    </row>
    <row r="5214" spans="1:1" x14ac:dyDescent="0.2">
      <c r="A5214" s="101"/>
    </row>
    <row r="5215" spans="1:1" x14ac:dyDescent="0.2">
      <c r="A5215" s="101"/>
    </row>
    <row r="5216" spans="1:1" x14ac:dyDescent="0.2">
      <c r="A5216" s="101"/>
    </row>
    <row r="5217" spans="1:1" x14ac:dyDescent="0.2">
      <c r="A5217" s="101"/>
    </row>
    <row r="5218" spans="1:1" x14ac:dyDescent="0.2">
      <c r="A5218" s="101"/>
    </row>
    <row r="5219" spans="1:1" x14ac:dyDescent="0.2">
      <c r="A5219" s="101"/>
    </row>
    <row r="5220" spans="1:1" x14ac:dyDescent="0.2">
      <c r="A5220" s="101"/>
    </row>
    <row r="5221" spans="1:1" x14ac:dyDescent="0.2">
      <c r="A5221" s="101"/>
    </row>
    <row r="5222" spans="1:1" x14ac:dyDescent="0.2">
      <c r="A5222" s="101"/>
    </row>
    <row r="5223" spans="1:1" x14ac:dyDescent="0.2">
      <c r="A5223" s="101"/>
    </row>
    <row r="5224" spans="1:1" x14ac:dyDescent="0.2">
      <c r="A5224" s="101"/>
    </row>
    <row r="5225" spans="1:1" x14ac:dyDescent="0.2">
      <c r="A5225" s="101"/>
    </row>
    <row r="5226" spans="1:1" x14ac:dyDescent="0.2">
      <c r="A5226" s="101"/>
    </row>
    <row r="5227" spans="1:1" x14ac:dyDescent="0.2">
      <c r="A5227" s="101"/>
    </row>
    <row r="5228" spans="1:1" x14ac:dyDescent="0.2">
      <c r="A5228" s="101"/>
    </row>
    <row r="5229" spans="1:1" x14ac:dyDescent="0.2">
      <c r="A5229" s="101"/>
    </row>
    <row r="5230" spans="1:1" x14ac:dyDescent="0.2">
      <c r="A5230" s="101"/>
    </row>
    <row r="5231" spans="1:1" x14ac:dyDescent="0.2">
      <c r="A5231" s="101"/>
    </row>
    <row r="5232" spans="1:1" x14ac:dyDescent="0.2">
      <c r="A5232" s="101"/>
    </row>
    <row r="5233" spans="1:1" x14ac:dyDescent="0.2">
      <c r="A5233" s="101"/>
    </row>
    <row r="5234" spans="1:1" x14ac:dyDescent="0.2">
      <c r="A5234" s="101"/>
    </row>
    <row r="5235" spans="1:1" x14ac:dyDescent="0.2">
      <c r="A5235" s="101"/>
    </row>
    <row r="5236" spans="1:1" x14ac:dyDescent="0.2">
      <c r="A5236" s="101"/>
    </row>
    <row r="5237" spans="1:1" x14ac:dyDescent="0.2">
      <c r="A5237" s="101"/>
    </row>
    <row r="5238" spans="1:1" x14ac:dyDescent="0.2">
      <c r="A5238" s="101"/>
    </row>
    <row r="5239" spans="1:1" x14ac:dyDescent="0.2">
      <c r="A5239" s="101"/>
    </row>
    <row r="5240" spans="1:1" x14ac:dyDescent="0.2">
      <c r="A5240" s="101"/>
    </row>
    <row r="5241" spans="1:1" x14ac:dyDescent="0.2">
      <c r="A5241" s="101"/>
    </row>
    <row r="5242" spans="1:1" x14ac:dyDescent="0.2">
      <c r="A5242" s="101"/>
    </row>
    <row r="5243" spans="1:1" x14ac:dyDescent="0.2">
      <c r="A5243" s="101"/>
    </row>
    <row r="5244" spans="1:1" x14ac:dyDescent="0.2">
      <c r="A5244" s="101"/>
    </row>
    <row r="5245" spans="1:1" x14ac:dyDescent="0.2">
      <c r="A5245" s="101"/>
    </row>
    <row r="5246" spans="1:1" x14ac:dyDescent="0.2">
      <c r="A5246" s="101"/>
    </row>
    <row r="5247" spans="1:1" x14ac:dyDescent="0.2">
      <c r="A5247" s="101"/>
    </row>
    <row r="5248" spans="1:1" x14ac:dyDescent="0.2">
      <c r="A5248" s="101"/>
    </row>
    <row r="5249" spans="1:1" x14ac:dyDescent="0.2">
      <c r="A5249" s="101"/>
    </row>
    <row r="5250" spans="1:1" x14ac:dyDescent="0.2">
      <c r="A5250" s="101"/>
    </row>
    <row r="5251" spans="1:1" x14ac:dyDescent="0.2">
      <c r="A5251" s="101"/>
    </row>
    <row r="5252" spans="1:1" x14ac:dyDescent="0.2">
      <c r="A5252" s="101"/>
    </row>
    <row r="5253" spans="1:1" x14ac:dyDescent="0.2">
      <c r="A5253" s="101"/>
    </row>
    <row r="5254" spans="1:1" x14ac:dyDescent="0.2">
      <c r="A5254" s="101"/>
    </row>
    <row r="5255" spans="1:1" x14ac:dyDescent="0.2">
      <c r="A5255" s="101"/>
    </row>
    <row r="5256" spans="1:1" x14ac:dyDescent="0.2">
      <c r="A5256" s="101"/>
    </row>
    <row r="5257" spans="1:1" x14ac:dyDescent="0.2">
      <c r="A5257" s="101"/>
    </row>
    <row r="5258" spans="1:1" x14ac:dyDescent="0.2">
      <c r="A5258" s="101"/>
    </row>
    <row r="5259" spans="1:1" x14ac:dyDescent="0.2">
      <c r="A5259" s="101"/>
    </row>
    <row r="5260" spans="1:1" x14ac:dyDescent="0.2">
      <c r="A5260" s="101"/>
    </row>
    <row r="5261" spans="1:1" x14ac:dyDescent="0.2">
      <c r="A5261" s="101"/>
    </row>
    <row r="5262" spans="1:1" x14ac:dyDescent="0.2">
      <c r="A5262" s="101"/>
    </row>
    <row r="5263" spans="1:1" x14ac:dyDescent="0.2">
      <c r="A5263" s="101"/>
    </row>
    <row r="5264" spans="1:1" x14ac:dyDescent="0.2">
      <c r="A5264" s="101"/>
    </row>
    <row r="5265" spans="1:1" x14ac:dyDescent="0.2">
      <c r="A5265" s="101"/>
    </row>
    <row r="5266" spans="1:1" x14ac:dyDescent="0.2">
      <c r="A5266" s="101"/>
    </row>
    <row r="5267" spans="1:1" x14ac:dyDescent="0.2">
      <c r="A5267" s="101"/>
    </row>
    <row r="5268" spans="1:1" x14ac:dyDescent="0.2">
      <c r="A5268" s="101"/>
    </row>
    <row r="5269" spans="1:1" x14ac:dyDescent="0.2">
      <c r="A5269" s="101"/>
    </row>
    <row r="5270" spans="1:1" x14ac:dyDescent="0.2">
      <c r="A5270" s="101"/>
    </row>
    <row r="5271" spans="1:1" x14ac:dyDescent="0.2">
      <c r="A5271" s="101"/>
    </row>
    <row r="5272" spans="1:1" x14ac:dyDescent="0.2">
      <c r="A5272" s="101"/>
    </row>
    <row r="5273" spans="1:1" x14ac:dyDescent="0.2">
      <c r="A5273" s="101"/>
    </row>
    <row r="5274" spans="1:1" x14ac:dyDescent="0.2">
      <c r="A5274" s="101"/>
    </row>
    <row r="5275" spans="1:1" x14ac:dyDescent="0.2">
      <c r="A5275" s="101"/>
    </row>
    <row r="5276" spans="1:1" x14ac:dyDescent="0.2">
      <c r="A5276" s="101"/>
    </row>
    <row r="5277" spans="1:1" x14ac:dyDescent="0.2">
      <c r="A5277" s="101"/>
    </row>
    <row r="5278" spans="1:1" x14ac:dyDescent="0.2">
      <c r="A5278" s="101"/>
    </row>
    <row r="5279" spans="1:1" x14ac:dyDescent="0.2">
      <c r="A5279" s="101"/>
    </row>
    <row r="5280" spans="1:1" x14ac:dyDescent="0.2">
      <c r="A5280" s="101"/>
    </row>
    <row r="5281" spans="1:1" x14ac:dyDescent="0.2">
      <c r="A5281" s="101"/>
    </row>
    <row r="5282" spans="1:1" x14ac:dyDescent="0.2">
      <c r="A5282" s="101"/>
    </row>
    <row r="5283" spans="1:1" x14ac:dyDescent="0.2">
      <c r="A5283" s="101"/>
    </row>
    <row r="5284" spans="1:1" x14ac:dyDescent="0.2">
      <c r="A5284" s="101"/>
    </row>
    <row r="5285" spans="1:1" x14ac:dyDescent="0.2">
      <c r="A5285" s="101"/>
    </row>
    <row r="5286" spans="1:1" x14ac:dyDescent="0.2">
      <c r="A5286" s="101"/>
    </row>
    <row r="5287" spans="1:1" x14ac:dyDescent="0.2">
      <c r="A5287" s="101"/>
    </row>
    <row r="5288" spans="1:1" x14ac:dyDescent="0.2">
      <c r="A5288" s="101"/>
    </row>
    <row r="5289" spans="1:1" x14ac:dyDescent="0.2">
      <c r="A5289" s="101"/>
    </row>
    <row r="5290" spans="1:1" x14ac:dyDescent="0.2">
      <c r="A5290" s="101"/>
    </row>
    <row r="5291" spans="1:1" x14ac:dyDescent="0.2">
      <c r="A5291" s="101"/>
    </row>
    <row r="5292" spans="1:1" x14ac:dyDescent="0.2">
      <c r="A5292" s="101"/>
    </row>
    <row r="5293" spans="1:1" x14ac:dyDescent="0.2">
      <c r="A5293" s="101"/>
    </row>
    <row r="5294" spans="1:1" x14ac:dyDescent="0.2">
      <c r="A5294" s="101"/>
    </row>
    <row r="5295" spans="1:1" x14ac:dyDescent="0.2">
      <c r="A5295" s="101"/>
    </row>
    <row r="5296" spans="1:1" x14ac:dyDescent="0.2">
      <c r="A5296" s="101"/>
    </row>
    <row r="5297" spans="1:1" x14ac:dyDescent="0.2">
      <c r="A5297" s="101"/>
    </row>
    <row r="5298" spans="1:1" x14ac:dyDescent="0.2">
      <c r="A5298" s="101"/>
    </row>
    <row r="5299" spans="1:1" x14ac:dyDescent="0.2">
      <c r="A5299" s="101"/>
    </row>
    <row r="5300" spans="1:1" x14ac:dyDescent="0.2">
      <c r="A5300" s="101"/>
    </row>
    <row r="5301" spans="1:1" x14ac:dyDescent="0.2">
      <c r="A5301" s="101"/>
    </row>
    <row r="5302" spans="1:1" x14ac:dyDescent="0.2">
      <c r="A5302" s="101"/>
    </row>
    <row r="5303" spans="1:1" x14ac:dyDescent="0.2">
      <c r="A5303" s="101"/>
    </row>
    <row r="5304" spans="1:1" x14ac:dyDescent="0.2">
      <c r="A5304" s="101"/>
    </row>
    <row r="5305" spans="1:1" x14ac:dyDescent="0.2">
      <c r="A5305" s="101"/>
    </row>
    <row r="5306" spans="1:1" x14ac:dyDescent="0.2">
      <c r="A5306" s="101"/>
    </row>
    <row r="5307" spans="1:1" x14ac:dyDescent="0.2">
      <c r="A5307" s="101"/>
    </row>
    <row r="5308" spans="1:1" x14ac:dyDescent="0.2">
      <c r="A5308" s="101"/>
    </row>
    <row r="5309" spans="1:1" x14ac:dyDescent="0.2">
      <c r="A5309" s="101"/>
    </row>
    <row r="5310" spans="1:1" x14ac:dyDescent="0.2">
      <c r="A5310" s="101"/>
    </row>
    <row r="5311" spans="1:1" x14ac:dyDescent="0.2">
      <c r="A5311" s="101"/>
    </row>
    <row r="5312" spans="1:1" x14ac:dyDescent="0.2">
      <c r="A5312" s="101"/>
    </row>
    <row r="5313" spans="1:1" x14ac:dyDescent="0.2">
      <c r="A5313" s="101"/>
    </row>
    <row r="5314" spans="1:1" x14ac:dyDescent="0.2">
      <c r="A5314" s="101"/>
    </row>
    <row r="5315" spans="1:1" x14ac:dyDescent="0.2">
      <c r="A5315" s="101"/>
    </row>
    <row r="5316" spans="1:1" x14ac:dyDescent="0.2">
      <c r="A5316" s="101"/>
    </row>
    <row r="5317" spans="1:1" x14ac:dyDescent="0.2">
      <c r="A5317" s="101"/>
    </row>
    <row r="5318" spans="1:1" x14ac:dyDescent="0.2">
      <c r="A5318" s="101"/>
    </row>
    <row r="5319" spans="1:1" x14ac:dyDescent="0.2">
      <c r="A5319" s="101"/>
    </row>
    <row r="5320" spans="1:1" x14ac:dyDescent="0.2">
      <c r="A5320" s="101"/>
    </row>
    <row r="5321" spans="1:1" x14ac:dyDescent="0.2">
      <c r="A5321" s="101"/>
    </row>
    <row r="5322" spans="1:1" x14ac:dyDescent="0.2">
      <c r="A5322" s="101"/>
    </row>
    <row r="5323" spans="1:1" x14ac:dyDescent="0.2">
      <c r="A5323" s="101"/>
    </row>
    <row r="5324" spans="1:1" x14ac:dyDescent="0.2">
      <c r="A5324" s="101"/>
    </row>
    <row r="5325" spans="1:1" x14ac:dyDescent="0.2">
      <c r="A5325" s="101"/>
    </row>
    <row r="5326" spans="1:1" x14ac:dyDescent="0.2">
      <c r="A5326" s="101"/>
    </row>
    <row r="5327" spans="1:1" x14ac:dyDescent="0.2">
      <c r="A5327" s="101"/>
    </row>
    <row r="5328" spans="1:1" x14ac:dyDescent="0.2">
      <c r="A5328" s="101"/>
    </row>
    <row r="5329" spans="1:1" x14ac:dyDescent="0.2">
      <c r="A5329" s="101"/>
    </row>
    <row r="5330" spans="1:1" x14ac:dyDescent="0.2">
      <c r="A5330" s="101"/>
    </row>
    <row r="5331" spans="1:1" x14ac:dyDescent="0.2">
      <c r="A5331" s="101"/>
    </row>
    <row r="5332" spans="1:1" x14ac:dyDescent="0.2">
      <c r="A5332" s="101"/>
    </row>
    <row r="5333" spans="1:1" x14ac:dyDescent="0.2">
      <c r="A5333" s="101"/>
    </row>
    <row r="5334" spans="1:1" x14ac:dyDescent="0.2">
      <c r="A5334" s="101"/>
    </row>
    <row r="5335" spans="1:1" x14ac:dyDescent="0.2">
      <c r="A5335" s="101"/>
    </row>
    <row r="5336" spans="1:1" x14ac:dyDescent="0.2">
      <c r="A5336" s="101"/>
    </row>
    <row r="5337" spans="1:1" x14ac:dyDescent="0.2">
      <c r="A5337" s="101"/>
    </row>
    <row r="5338" spans="1:1" x14ac:dyDescent="0.2">
      <c r="A5338" s="101"/>
    </row>
    <row r="5339" spans="1:1" x14ac:dyDescent="0.2">
      <c r="A5339" s="101"/>
    </row>
    <row r="5340" spans="1:1" x14ac:dyDescent="0.2">
      <c r="A5340" s="101"/>
    </row>
    <row r="5341" spans="1:1" x14ac:dyDescent="0.2">
      <c r="A5341" s="101"/>
    </row>
    <row r="5342" spans="1:1" x14ac:dyDescent="0.2">
      <c r="A5342" s="101"/>
    </row>
    <row r="5343" spans="1:1" x14ac:dyDescent="0.2">
      <c r="A5343" s="101"/>
    </row>
    <row r="5344" spans="1:1" x14ac:dyDescent="0.2">
      <c r="A5344" s="101"/>
    </row>
    <row r="5345" spans="1:1" x14ac:dyDescent="0.2">
      <c r="A5345" s="101"/>
    </row>
    <row r="5346" spans="1:1" x14ac:dyDescent="0.2">
      <c r="A5346" s="101"/>
    </row>
    <row r="5347" spans="1:1" x14ac:dyDescent="0.2">
      <c r="A5347" s="101"/>
    </row>
    <row r="5348" spans="1:1" x14ac:dyDescent="0.2">
      <c r="A5348" s="101"/>
    </row>
    <row r="5349" spans="1:1" x14ac:dyDescent="0.2">
      <c r="A5349" s="101"/>
    </row>
    <row r="5350" spans="1:1" x14ac:dyDescent="0.2">
      <c r="A5350" s="101"/>
    </row>
    <row r="5351" spans="1:1" x14ac:dyDescent="0.2">
      <c r="A5351" s="101"/>
    </row>
    <row r="5352" spans="1:1" x14ac:dyDescent="0.2">
      <c r="A5352" s="101"/>
    </row>
    <row r="5353" spans="1:1" x14ac:dyDescent="0.2">
      <c r="A5353" s="101"/>
    </row>
    <row r="5354" spans="1:1" x14ac:dyDescent="0.2">
      <c r="A5354" s="101"/>
    </row>
    <row r="5355" spans="1:1" x14ac:dyDescent="0.2">
      <c r="A5355" s="101"/>
    </row>
    <row r="5356" spans="1:1" x14ac:dyDescent="0.2">
      <c r="A5356" s="101"/>
    </row>
    <row r="5357" spans="1:1" x14ac:dyDescent="0.2">
      <c r="A5357" s="101"/>
    </row>
    <row r="5358" spans="1:1" x14ac:dyDescent="0.2">
      <c r="A5358" s="101"/>
    </row>
    <row r="5359" spans="1:1" x14ac:dyDescent="0.2">
      <c r="A5359" s="101"/>
    </row>
    <row r="5360" spans="1:1" x14ac:dyDescent="0.2">
      <c r="A5360" s="101"/>
    </row>
    <row r="5361" spans="1:1" x14ac:dyDescent="0.2">
      <c r="A5361" s="101"/>
    </row>
    <row r="5362" spans="1:1" x14ac:dyDescent="0.2">
      <c r="A5362" s="101"/>
    </row>
    <row r="5363" spans="1:1" x14ac:dyDescent="0.2">
      <c r="A5363" s="101"/>
    </row>
    <row r="5364" spans="1:1" x14ac:dyDescent="0.2">
      <c r="A5364" s="101"/>
    </row>
    <row r="5365" spans="1:1" x14ac:dyDescent="0.2">
      <c r="A5365" s="101"/>
    </row>
    <row r="5366" spans="1:1" x14ac:dyDescent="0.2">
      <c r="A5366" s="101"/>
    </row>
    <row r="5367" spans="1:1" x14ac:dyDescent="0.2">
      <c r="A5367" s="101"/>
    </row>
    <row r="5368" spans="1:1" x14ac:dyDescent="0.2">
      <c r="A5368" s="101"/>
    </row>
    <row r="5369" spans="1:1" x14ac:dyDescent="0.2">
      <c r="A5369" s="101"/>
    </row>
    <row r="5370" spans="1:1" x14ac:dyDescent="0.2">
      <c r="A5370" s="101"/>
    </row>
    <row r="5371" spans="1:1" x14ac:dyDescent="0.2">
      <c r="A5371" s="101"/>
    </row>
    <row r="5372" spans="1:1" x14ac:dyDescent="0.2">
      <c r="A5372" s="101"/>
    </row>
    <row r="5373" spans="1:1" x14ac:dyDescent="0.2">
      <c r="A5373" s="101"/>
    </row>
    <row r="5374" spans="1:1" x14ac:dyDescent="0.2">
      <c r="A5374" s="101"/>
    </row>
    <row r="5375" spans="1:1" x14ac:dyDescent="0.2">
      <c r="A5375" s="101"/>
    </row>
    <row r="5376" spans="1:1" x14ac:dyDescent="0.2">
      <c r="A5376" s="101"/>
    </row>
    <row r="5377" spans="1:1" x14ac:dyDescent="0.2">
      <c r="A5377" s="101"/>
    </row>
    <row r="5378" spans="1:1" x14ac:dyDescent="0.2">
      <c r="A5378" s="101"/>
    </row>
    <row r="5379" spans="1:1" x14ac:dyDescent="0.2">
      <c r="A5379" s="101"/>
    </row>
    <row r="5380" spans="1:1" x14ac:dyDescent="0.2">
      <c r="A5380" s="101"/>
    </row>
    <row r="5381" spans="1:1" x14ac:dyDescent="0.2">
      <c r="A5381" s="101"/>
    </row>
    <row r="5382" spans="1:1" x14ac:dyDescent="0.2">
      <c r="A5382" s="101"/>
    </row>
    <row r="5383" spans="1:1" x14ac:dyDescent="0.2">
      <c r="A5383" s="101"/>
    </row>
    <row r="5384" spans="1:1" x14ac:dyDescent="0.2">
      <c r="A5384" s="101"/>
    </row>
    <row r="5385" spans="1:1" x14ac:dyDescent="0.2">
      <c r="A5385" s="101"/>
    </row>
    <row r="5386" spans="1:1" x14ac:dyDescent="0.2">
      <c r="A5386" s="101"/>
    </row>
    <row r="5387" spans="1:1" x14ac:dyDescent="0.2">
      <c r="A5387" s="101"/>
    </row>
    <row r="5388" spans="1:1" x14ac:dyDescent="0.2">
      <c r="A5388" s="101"/>
    </row>
    <row r="5389" spans="1:1" x14ac:dyDescent="0.2">
      <c r="A5389" s="101"/>
    </row>
    <row r="5390" spans="1:1" x14ac:dyDescent="0.2">
      <c r="A5390" s="101"/>
    </row>
    <row r="5391" spans="1:1" x14ac:dyDescent="0.2">
      <c r="A5391" s="101"/>
    </row>
    <row r="5392" spans="1:1" x14ac:dyDescent="0.2">
      <c r="A5392" s="101"/>
    </row>
    <row r="5393" spans="1:1" x14ac:dyDescent="0.2">
      <c r="A5393" s="101"/>
    </row>
    <row r="5394" spans="1:1" x14ac:dyDescent="0.2">
      <c r="A5394" s="101"/>
    </row>
    <row r="5395" spans="1:1" x14ac:dyDescent="0.2">
      <c r="A5395" s="101"/>
    </row>
    <row r="5396" spans="1:1" x14ac:dyDescent="0.2">
      <c r="A5396" s="101"/>
    </row>
    <row r="5397" spans="1:1" x14ac:dyDescent="0.2">
      <c r="A5397" s="101"/>
    </row>
    <row r="5398" spans="1:1" x14ac:dyDescent="0.2">
      <c r="A5398" s="101"/>
    </row>
    <row r="5399" spans="1:1" x14ac:dyDescent="0.2">
      <c r="A5399" s="101"/>
    </row>
    <row r="5400" spans="1:1" x14ac:dyDescent="0.2">
      <c r="A5400" s="101"/>
    </row>
    <row r="5401" spans="1:1" x14ac:dyDescent="0.2">
      <c r="A5401" s="101"/>
    </row>
    <row r="5402" spans="1:1" x14ac:dyDescent="0.2">
      <c r="A5402" s="101"/>
    </row>
    <row r="5403" spans="1:1" x14ac:dyDescent="0.2">
      <c r="A5403" s="101"/>
    </row>
    <row r="5404" spans="1:1" x14ac:dyDescent="0.2">
      <c r="A5404" s="101"/>
    </row>
    <row r="5405" spans="1:1" x14ac:dyDescent="0.2">
      <c r="A5405" s="101"/>
    </row>
    <row r="5406" spans="1:1" x14ac:dyDescent="0.2">
      <c r="A5406" s="101"/>
    </row>
    <row r="5407" spans="1:1" x14ac:dyDescent="0.2">
      <c r="A5407" s="101"/>
    </row>
    <row r="5408" spans="1:1" x14ac:dyDescent="0.2">
      <c r="A5408" s="101"/>
    </row>
    <row r="5409" spans="1:1" x14ac:dyDescent="0.2">
      <c r="A5409" s="101"/>
    </row>
    <row r="5410" spans="1:1" x14ac:dyDescent="0.2">
      <c r="A5410" s="101"/>
    </row>
    <row r="5411" spans="1:1" x14ac:dyDescent="0.2">
      <c r="A5411" s="101"/>
    </row>
    <row r="5412" spans="1:1" x14ac:dyDescent="0.2">
      <c r="A5412" s="101"/>
    </row>
    <row r="5413" spans="1:1" x14ac:dyDescent="0.2">
      <c r="A5413" s="101"/>
    </row>
    <row r="5414" spans="1:1" x14ac:dyDescent="0.2">
      <c r="A5414" s="101"/>
    </row>
    <row r="5415" spans="1:1" x14ac:dyDescent="0.2">
      <c r="A5415" s="101"/>
    </row>
    <row r="5416" spans="1:1" x14ac:dyDescent="0.2">
      <c r="A5416" s="101"/>
    </row>
    <row r="5417" spans="1:1" x14ac:dyDescent="0.2">
      <c r="A5417" s="101"/>
    </row>
    <row r="5418" spans="1:1" x14ac:dyDescent="0.2">
      <c r="A5418" s="101"/>
    </row>
    <row r="5419" spans="1:1" x14ac:dyDescent="0.2">
      <c r="A5419" s="101"/>
    </row>
    <row r="5420" spans="1:1" x14ac:dyDescent="0.2">
      <c r="A5420" s="101"/>
    </row>
    <row r="5421" spans="1:1" x14ac:dyDescent="0.2">
      <c r="A5421" s="101"/>
    </row>
    <row r="5422" spans="1:1" x14ac:dyDescent="0.2">
      <c r="A5422" s="101"/>
    </row>
    <row r="5423" spans="1:1" x14ac:dyDescent="0.2">
      <c r="A5423" s="101"/>
    </row>
    <row r="5424" spans="1:1" x14ac:dyDescent="0.2">
      <c r="A5424" s="101"/>
    </row>
    <row r="5425" spans="1:1" x14ac:dyDescent="0.2">
      <c r="A5425" s="101"/>
    </row>
    <row r="5426" spans="1:1" x14ac:dyDescent="0.2">
      <c r="A5426" s="101"/>
    </row>
    <row r="5427" spans="1:1" x14ac:dyDescent="0.2">
      <c r="A5427" s="101"/>
    </row>
    <row r="5428" spans="1:1" x14ac:dyDescent="0.2">
      <c r="A5428" s="101"/>
    </row>
    <row r="5429" spans="1:1" x14ac:dyDescent="0.2">
      <c r="A5429" s="101"/>
    </row>
    <row r="5430" spans="1:1" x14ac:dyDescent="0.2">
      <c r="A5430" s="101"/>
    </row>
    <row r="5431" spans="1:1" x14ac:dyDescent="0.2">
      <c r="A5431" s="101"/>
    </row>
    <row r="5432" spans="1:1" x14ac:dyDescent="0.2">
      <c r="A5432" s="101"/>
    </row>
    <row r="5433" spans="1:1" x14ac:dyDescent="0.2">
      <c r="A5433" s="101"/>
    </row>
    <row r="5434" spans="1:1" x14ac:dyDescent="0.2">
      <c r="A5434" s="101"/>
    </row>
    <row r="5435" spans="1:1" x14ac:dyDescent="0.2">
      <c r="A5435" s="101"/>
    </row>
    <row r="5436" spans="1:1" x14ac:dyDescent="0.2">
      <c r="A5436" s="101"/>
    </row>
    <row r="5437" spans="1:1" x14ac:dyDescent="0.2">
      <c r="A5437" s="101"/>
    </row>
    <row r="5438" spans="1:1" x14ac:dyDescent="0.2">
      <c r="A5438" s="101"/>
    </row>
    <row r="5439" spans="1:1" x14ac:dyDescent="0.2">
      <c r="A5439" s="101"/>
    </row>
    <row r="5440" spans="1:1" x14ac:dyDescent="0.2">
      <c r="A5440" s="101"/>
    </row>
    <row r="5441" spans="1:1" x14ac:dyDescent="0.2">
      <c r="A5441" s="101"/>
    </row>
    <row r="5442" spans="1:1" x14ac:dyDescent="0.2">
      <c r="A5442" s="101"/>
    </row>
    <row r="5443" spans="1:1" x14ac:dyDescent="0.2">
      <c r="A5443" s="101"/>
    </row>
    <row r="5444" spans="1:1" x14ac:dyDescent="0.2">
      <c r="A5444" s="101"/>
    </row>
    <row r="5445" spans="1:1" x14ac:dyDescent="0.2">
      <c r="A5445" s="101"/>
    </row>
    <row r="5446" spans="1:1" x14ac:dyDescent="0.2">
      <c r="A5446" s="101"/>
    </row>
    <row r="5447" spans="1:1" x14ac:dyDescent="0.2">
      <c r="A5447" s="101"/>
    </row>
    <row r="5448" spans="1:1" x14ac:dyDescent="0.2">
      <c r="A5448" s="101"/>
    </row>
    <row r="5449" spans="1:1" x14ac:dyDescent="0.2">
      <c r="A5449" s="101"/>
    </row>
    <row r="5450" spans="1:1" x14ac:dyDescent="0.2">
      <c r="A5450" s="101"/>
    </row>
    <row r="5451" spans="1:1" x14ac:dyDescent="0.2">
      <c r="A5451" s="101"/>
    </row>
    <row r="5452" spans="1:1" x14ac:dyDescent="0.2">
      <c r="A5452" s="101"/>
    </row>
    <row r="5453" spans="1:1" x14ac:dyDescent="0.2">
      <c r="A5453" s="101"/>
    </row>
    <row r="5454" spans="1:1" x14ac:dyDescent="0.2">
      <c r="A5454" s="101"/>
    </row>
    <row r="5455" spans="1:1" x14ac:dyDescent="0.2">
      <c r="A5455" s="101"/>
    </row>
    <row r="5456" spans="1:1" x14ac:dyDescent="0.2">
      <c r="A5456" s="101"/>
    </row>
    <row r="5457" spans="1:1" x14ac:dyDescent="0.2">
      <c r="A5457" s="101"/>
    </row>
    <row r="5458" spans="1:1" x14ac:dyDescent="0.2">
      <c r="A5458" s="101"/>
    </row>
    <row r="5459" spans="1:1" x14ac:dyDescent="0.2">
      <c r="A5459" s="101"/>
    </row>
    <row r="5460" spans="1:1" x14ac:dyDescent="0.2">
      <c r="A5460" s="101"/>
    </row>
    <row r="5461" spans="1:1" x14ac:dyDescent="0.2">
      <c r="A5461" s="101"/>
    </row>
    <row r="5462" spans="1:1" x14ac:dyDescent="0.2">
      <c r="A5462" s="101"/>
    </row>
    <row r="5463" spans="1:1" x14ac:dyDescent="0.2">
      <c r="A5463" s="101"/>
    </row>
    <row r="5464" spans="1:1" x14ac:dyDescent="0.2">
      <c r="A5464" s="101"/>
    </row>
    <row r="5465" spans="1:1" x14ac:dyDescent="0.2">
      <c r="A5465" s="101"/>
    </row>
    <row r="5466" spans="1:1" x14ac:dyDescent="0.2">
      <c r="A5466" s="101"/>
    </row>
    <row r="5467" spans="1:1" x14ac:dyDescent="0.2">
      <c r="A5467" s="101"/>
    </row>
    <row r="5468" spans="1:1" x14ac:dyDescent="0.2">
      <c r="A5468" s="101"/>
    </row>
    <row r="5469" spans="1:1" x14ac:dyDescent="0.2">
      <c r="A5469" s="101"/>
    </row>
    <row r="5470" spans="1:1" x14ac:dyDescent="0.2">
      <c r="A5470" s="101"/>
    </row>
    <row r="5471" spans="1:1" x14ac:dyDescent="0.2">
      <c r="A5471" s="101"/>
    </row>
    <row r="5472" spans="1:1" x14ac:dyDescent="0.2">
      <c r="A5472" s="101"/>
    </row>
    <row r="5473" spans="1:1" x14ac:dyDescent="0.2">
      <c r="A5473" s="101"/>
    </row>
    <row r="5474" spans="1:1" x14ac:dyDescent="0.2">
      <c r="A5474" s="101"/>
    </row>
    <row r="5475" spans="1:1" x14ac:dyDescent="0.2">
      <c r="A5475" s="101"/>
    </row>
    <row r="5476" spans="1:1" x14ac:dyDescent="0.2">
      <c r="A5476" s="101"/>
    </row>
    <row r="5477" spans="1:1" x14ac:dyDescent="0.2">
      <c r="A5477" s="101"/>
    </row>
    <row r="5478" spans="1:1" x14ac:dyDescent="0.2">
      <c r="A5478" s="101"/>
    </row>
    <row r="5479" spans="1:1" x14ac:dyDescent="0.2">
      <c r="A5479" s="101"/>
    </row>
    <row r="5480" spans="1:1" x14ac:dyDescent="0.2">
      <c r="A5480" s="101"/>
    </row>
    <row r="5481" spans="1:1" x14ac:dyDescent="0.2">
      <c r="A5481" s="101"/>
    </row>
    <row r="5482" spans="1:1" x14ac:dyDescent="0.2">
      <c r="A5482" s="101"/>
    </row>
    <row r="5483" spans="1:1" x14ac:dyDescent="0.2">
      <c r="A5483" s="101"/>
    </row>
    <row r="5484" spans="1:1" x14ac:dyDescent="0.2">
      <c r="A5484" s="101"/>
    </row>
    <row r="5485" spans="1:1" x14ac:dyDescent="0.2">
      <c r="A5485" s="101"/>
    </row>
    <row r="5486" spans="1:1" x14ac:dyDescent="0.2">
      <c r="A5486" s="101"/>
    </row>
    <row r="5487" spans="1:1" x14ac:dyDescent="0.2">
      <c r="A5487" s="101"/>
    </row>
    <row r="5488" spans="1:1" x14ac:dyDescent="0.2">
      <c r="A5488" s="101"/>
    </row>
    <row r="5489" spans="1:1" x14ac:dyDescent="0.2">
      <c r="A5489" s="101"/>
    </row>
    <row r="5490" spans="1:1" x14ac:dyDescent="0.2">
      <c r="A5490" s="101"/>
    </row>
    <row r="5491" spans="1:1" x14ac:dyDescent="0.2">
      <c r="A5491" s="101"/>
    </row>
    <row r="5492" spans="1:1" x14ac:dyDescent="0.2">
      <c r="A5492" s="101"/>
    </row>
    <row r="5493" spans="1:1" x14ac:dyDescent="0.2">
      <c r="A5493" s="101"/>
    </row>
    <row r="5494" spans="1:1" x14ac:dyDescent="0.2">
      <c r="A5494" s="101"/>
    </row>
    <row r="5495" spans="1:1" x14ac:dyDescent="0.2">
      <c r="A5495" s="101"/>
    </row>
    <row r="5496" spans="1:1" x14ac:dyDescent="0.2">
      <c r="A5496" s="101"/>
    </row>
    <row r="5497" spans="1:1" x14ac:dyDescent="0.2">
      <c r="A5497" s="101"/>
    </row>
    <row r="5498" spans="1:1" x14ac:dyDescent="0.2">
      <c r="A5498" s="101"/>
    </row>
    <row r="5499" spans="1:1" x14ac:dyDescent="0.2">
      <c r="A5499" s="101"/>
    </row>
    <row r="5500" spans="1:1" x14ac:dyDescent="0.2">
      <c r="A5500" s="101"/>
    </row>
    <row r="5501" spans="1:1" x14ac:dyDescent="0.2">
      <c r="A5501" s="101"/>
    </row>
    <row r="5502" spans="1:1" x14ac:dyDescent="0.2">
      <c r="A5502" s="101"/>
    </row>
    <row r="5503" spans="1:1" x14ac:dyDescent="0.2">
      <c r="A5503" s="101"/>
    </row>
    <row r="5504" spans="1:1" x14ac:dyDescent="0.2">
      <c r="A5504" s="101"/>
    </row>
    <row r="5505" spans="1:1" x14ac:dyDescent="0.2">
      <c r="A5505" s="101"/>
    </row>
    <row r="5506" spans="1:1" x14ac:dyDescent="0.2">
      <c r="A5506" s="101"/>
    </row>
    <row r="5507" spans="1:1" x14ac:dyDescent="0.2">
      <c r="A5507" s="101"/>
    </row>
    <row r="5508" spans="1:1" x14ac:dyDescent="0.2">
      <c r="A5508" s="101"/>
    </row>
    <row r="5509" spans="1:1" x14ac:dyDescent="0.2">
      <c r="A5509" s="101"/>
    </row>
    <row r="5510" spans="1:1" x14ac:dyDescent="0.2">
      <c r="A5510" s="101"/>
    </row>
    <row r="5511" spans="1:1" x14ac:dyDescent="0.2">
      <c r="A5511" s="101"/>
    </row>
    <row r="5512" spans="1:1" x14ac:dyDescent="0.2">
      <c r="A5512" s="101"/>
    </row>
    <row r="5513" spans="1:1" x14ac:dyDescent="0.2">
      <c r="A5513" s="101"/>
    </row>
    <row r="5514" spans="1:1" x14ac:dyDescent="0.2">
      <c r="A5514" s="101"/>
    </row>
    <row r="5515" spans="1:1" x14ac:dyDescent="0.2">
      <c r="A5515" s="101"/>
    </row>
    <row r="5516" spans="1:1" x14ac:dyDescent="0.2">
      <c r="A5516" s="101"/>
    </row>
    <row r="5517" spans="1:1" x14ac:dyDescent="0.2">
      <c r="A5517" s="101"/>
    </row>
    <row r="5518" spans="1:1" x14ac:dyDescent="0.2">
      <c r="A5518" s="101"/>
    </row>
    <row r="5519" spans="1:1" x14ac:dyDescent="0.2">
      <c r="A5519" s="101"/>
    </row>
    <row r="5520" spans="1:1" x14ac:dyDescent="0.2">
      <c r="A5520" s="101"/>
    </row>
    <row r="5521" spans="1:1" x14ac:dyDescent="0.2">
      <c r="A5521" s="101"/>
    </row>
    <row r="5522" spans="1:1" x14ac:dyDescent="0.2">
      <c r="A5522" s="101"/>
    </row>
    <row r="5523" spans="1:1" x14ac:dyDescent="0.2">
      <c r="A5523" s="101"/>
    </row>
    <row r="5524" spans="1:1" x14ac:dyDescent="0.2">
      <c r="A5524" s="101"/>
    </row>
    <row r="5525" spans="1:1" x14ac:dyDescent="0.2">
      <c r="A5525" s="101"/>
    </row>
    <row r="5526" spans="1:1" x14ac:dyDescent="0.2">
      <c r="A5526" s="101"/>
    </row>
    <row r="5527" spans="1:1" x14ac:dyDescent="0.2">
      <c r="A5527" s="101"/>
    </row>
    <row r="5528" spans="1:1" x14ac:dyDescent="0.2">
      <c r="A5528" s="101"/>
    </row>
    <row r="5529" spans="1:1" x14ac:dyDescent="0.2">
      <c r="A5529" s="101"/>
    </row>
    <row r="5530" spans="1:1" x14ac:dyDescent="0.2">
      <c r="A5530" s="101"/>
    </row>
    <row r="5531" spans="1:1" x14ac:dyDescent="0.2">
      <c r="A5531" s="101"/>
    </row>
    <row r="5532" spans="1:1" x14ac:dyDescent="0.2">
      <c r="A5532" s="101"/>
    </row>
    <row r="5533" spans="1:1" x14ac:dyDescent="0.2">
      <c r="A5533" s="101"/>
    </row>
    <row r="5534" spans="1:1" x14ac:dyDescent="0.2">
      <c r="A5534" s="101"/>
    </row>
    <row r="5535" spans="1:1" x14ac:dyDescent="0.2">
      <c r="A5535" s="101"/>
    </row>
    <row r="5536" spans="1:1" x14ac:dyDescent="0.2">
      <c r="A5536" s="101"/>
    </row>
    <row r="5537" spans="1:1" x14ac:dyDescent="0.2">
      <c r="A5537" s="101"/>
    </row>
    <row r="5538" spans="1:1" x14ac:dyDescent="0.2">
      <c r="A5538" s="101"/>
    </row>
    <row r="5539" spans="1:1" x14ac:dyDescent="0.2">
      <c r="A5539" s="101"/>
    </row>
    <row r="5540" spans="1:1" x14ac:dyDescent="0.2">
      <c r="A5540" s="101"/>
    </row>
    <row r="5541" spans="1:1" x14ac:dyDescent="0.2">
      <c r="A5541" s="101"/>
    </row>
    <row r="5542" spans="1:1" x14ac:dyDescent="0.2">
      <c r="A5542" s="101"/>
    </row>
    <row r="5543" spans="1:1" x14ac:dyDescent="0.2">
      <c r="A5543" s="101"/>
    </row>
    <row r="5544" spans="1:1" x14ac:dyDescent="0.2">
      <c r="A5544" s="101"/>
    </row>
    <row r="5545" spans="1:1" x14ac:dyDescent="0.2">
      <c r="A5545" s="101"/>
    </row>
    <row r="5546" spans="1:1" x14ac:dyDescent="0.2">
      <c r="A5546" s="101"/>
    </row>
    <row r="5547" spans="1:1" x14ac:dyDescent="0.2">
      <c r="A5547" s="101"/>
    </row>
    <row r="5548" spans="1:1" x14ac:dyDescent="0.2">
      <c r="A5548" s="101"/>
    </row>
    <row r="5549" spans="1:1" x14ac:dyDescent="0.2">
      <c r="A5549" s="101"/>
    </row>
    <row r="5550" spans="1:1" x14ac:dyDescent="0.2">
      <c r="A5550" s="101"/>
    </row>
    <row r="5551" spans="1:1" x14ac:dyDescent="0.2">
      <c r="A5551" s="101"/>
    </row>
    <row r="5552" spans="1:1" x14ac:dyDescent="0.2">
      <c r="A5552" s="101"/>
    </row>
    <row r="5553" spans="1:1" x14ac:dyDescent="0.2">
      <c r="A5553" s="101"/>
    </row>
    <row r="5554" spans="1:1" x14ac:dyDescent="0.2">
      <c r="A5554" s="101"/>
    </row>
    <row r="5555" spans="1:1" x14ac:dyDescent="0.2">
      <c r="A5555" s="101"/>
    </row>
    <row r="5556" spans="1:1" x14ac:dyDescent="0.2">
      <c r="A5556" s="101"/>
    </row>
    <row r="5557" spans="1:1" x14ac:dyDescent="0.2">
      <c r="A5557" s="101"/>
    </row>
    <row r="5558" spans="1:1" x14ac:dyDescent="0.2">
      <c r="A5558" s="101"/>
    </row>
    <row r="5559" spans="1:1" x14ac:dyDescent="0.2">
      <c r="A5559" s="101"/>
    </row>
    <row r="5560" spans="1:1" x14ac:dyDescent="0.2">
      <c r="A5560" s="101"/>
    </row>
    <row r="5561" spans="1:1" x14ac:dyDescent="0.2">
      <c r="A5561" s="101"/>
    </row>
    <row r="5562" spans="1:1" x14ac:dyDescent="0.2">
      <c r="A5562" s="101"/>
    </row>
    <row r="5563" spans="1:1" x14ac:dyDescent="0.2">
      <c r="A5563" s="101"/>
    </row>
    <row r="5564" spans="1:1" x14ac:dyDescent="0.2">
      <c r="A5564" s="101"/>
    </row>
    <row r="5565" spans="1:1" x14ac:dyDescent="0.2">
      <c r="A5565" s="101"/>
    </row>
    <row r="5566" spans="1:1" x14ac:dyDescent="0.2">
      <c r="A5566" s="101"/>
    </row>
    <row r="5567" spans="1:1" x14ac:dyDescent="0.2">
      <c r="A5567" s="101"/>
    </row>
    <row r="5568" spans="1:1" x14ac:dyDescent="0.2">
      <c r="A5568" s="101"/>
    </row>
    <row r="5569" spans="1:1" x14ac:dyDescent="0.2">
      <c r="A5569" s="101"/>
    </row>
    <row r="5570" spans="1:1" x14ac:dyDescent="0.2">
      <c r="A5570" s="101"/>
    </row>
    <row r="5571" spans="1:1" x14ac:dyDescent="0.2">
      <c r="A5571" s="101"/>
    </row>
    <row r="5572" spans="1:1" x14ac:dyDescent="0.2">
      <c r="A5572" s="101"/>
    </row>
    <row r="5573" spans="1:1" x14ac:dyDescent="0.2">
      <c r="A5573" s="101"/>
    </row>
    <row r="5574" spans="1:1" x14ac:dyDescent="0.2">
      <c r="A5574" s="101"/>
    </row>
    <row r="5575" spans="1:1" x14ac:dyDescent="0.2">
      <c r="A5575" s="101"/>
    </row>
    <row r="5576" spans="1:1" x14ac:dyDescent="0.2">
      <c r="A5576" s="101"/>
    </row>
    <row r="5577" spans="1:1" x14ac:dyDescent="0.2">
      <c r="A5577" s="101"/>
    </row>
    <row r="5578" spans="1:1" x14ac:dyDescent="0.2">
      <c r="A5578" s="101"/>
    </row>
    <row r="5579" spans="1:1" x14ac:dyDescent="0.2">
      <c r="A5579" s="101"/>
    </row>
    <row r="5580" spans="1:1" x14ac:dyDescent="0.2">
      <c r="A5580" s="101"/>
    </row>
    <row r="5581" spans="1:1" x14ac:dyDescent="0.2">
      <c r="A5581" s="101"/>
    </row>
    <row r="5582" spans="1:1" x14ac:dyDescent="0.2">
      <c r="A5582" s="101"/>
    </row>
    <row r="5583" spans="1:1" x14ac:dyDescent="0.2">
      <c r="A5583" s="101"/>
    </row>
    <row r="5584" spans="1:1" x14ac:dyDescent="0.2">
      <c r="A5584" s="101"/>
    </row>
    <row r="5585" spans="1:1" x14ac:dyDescent="0.2">
      <c r="A5585" s="101"/>
    </row>
    <row r="5586" spans="1:1" x14ac:dyDescent="0.2">
      <c r="A5586" s="101"/>
    </row>
    <row r="5587" spans="1:1" x14ac:dyDescent="0.2">
      <c r="A5587" s="101"/>
    </row>
    <row r="5588" spans="1:1" x14ac:dyDescent="0.2">
      <c r="A5588" s="101"/>
    </row>
    <row r="5589" spans="1:1" x14ac:dyDescent="0.2">
      <c r="A5589" s="101"/>
    </row>
    <row r="5590" spans="1:1" x14ac:dyDescent="0.2">
      <c r="A5590" s="101"/>
    </row>
    <row r="5591" spans="1:1" x14ac:dyDescent="0.2">
      <c r="A5591" s="101"/>
    </row>
    <row r="5592" spans="1:1" x14ac:dyDescent="0.2">
      <c r="A5592" s="101"/>
    </row>
    <row r="5593" spans="1:1" x14ac:dyDescent="0.2">
      <c r="A5593" s="101"/>
    </row>
    <row r="5594" spans="1:1" x14ac:dyDescent="0.2">
      <c r="A5594" s="101"/>
    </row>
    <row r="5595" spans="1:1" x14ac:dyDescent="0.2">
      <c r="A5595" s="101"/>
    </row>
    <row r="5596" spans="1:1" x14ac:dyDescent="0.2">
      <c r="A5596" s="101"/>
    </row>
    <row r="5597" spans="1:1" x14ac:dyDescent="0.2">
      <c r="A5597" s="101"/>
    </row>
    <row r="5598" spans="1:1" x14ac:dyDescent="0.2">
      <c r="A5598" s="101"/>
    </row>
    <row r="5599" spans="1:1" x14ac:dyDescent="0.2">
      <c r="A5599" s="101"/>
    </row>
    <row r="5600" spans="1:1" x14ac:dyDescent="0.2">
      <c r="A5600" s="101"/>
    </row>
    <row r="5601" spans="1:1" x14ac:dyDescent="0.2">
      <c r="A5601" s="101"/>
    </row>
    <row r="5602" spans="1:1" x14ac:dyDescent="0.2">
      <c r="A5602" s="101"/>
    </row>
    <row r="5603" spans="1:1" x14ac:dyDescent="0.2">
      <c r="A5603" s="101"/>
    </row>
    <row r="5604" spans="1:1" x14ac:dyDescent="0.2">
      <c r="A5604" s="101"/>
    </row>
    <row r="5605" spans="1:1" x14ac:dyDescent="0.2">
      <c r="A5605" s="101"/>
    </row>
    <row r="5606" spans="1:1" x14ac:dyDescent="0.2">
      <c r="A5606" s="101"/>
    </row>
    <row r="5607" spans="1:1" x14ac:dyDescent="0.2">
      <c r="A5607" s="101"/>
    </row>
    <row r="5608" spans="1:1" x14ac:dyDescent="0.2">
      <c r="A5608" s="101"/>
    </row>
    <row r="5609" spans="1:1" x14ac:dyDescent="0.2">
      <c r="A5609" s="101"/>
    </row>
    <row r="5610" spans="1:1" x14ac:dyDescent="0.2">
      <c r="A5610" s="101"/>
    </row>
    <row r="5611" spans="1:1" x14ac:dyDescent="0.2">
      <c r="A5611" s="101"/>
    </row>
    <row r="5612" spans="1:1" x14ac:dyDescent="0.2">
      <c r="A5612" s="101"/>
    </row>
    <row r="5613" spans="1:1" x14ac:dyDescent="0.2">
      <c r="A5613" s="101"/>
    </row>
    <row r="5614" spans="1:1" x14ac:dyDescent="0.2">
      <c r="A5614" s="101"/>
    </row>
    <row r="5615" spans="1:1" x14ac:dyDescent="0.2">
      <c r="A5615" s="101"/>
    </row>
    <row r="5616" spans="1:1" x14ac:dyDescent="0.2">
      <c r="A5616" s="101"/>
    </row>
    <row r="5617" spans="1:1" x14ac:dyDescent="0.2">
      <c r="A5617" s="101"/>
    </row>
    <row r="5618" spans="1:1" x14ac:dyDescent="0.2">
      <c r="A5618" s="101"/>
    </row>
    <row r="5619" spans="1:1" x14ac:dyDescent="0.2">
      <c r="A5619" s="101"/>
    </row>
    <row r="5620" spans="1:1" x14ac:dyDescent="0.2">
      <c r="A5620" s="101"/>
    </row>
    <row r="5621" spans="1:1" x14ac:dyDescent="0.2">
      <c r="A5621" s="101"/>
    </row>
    <row r="5622" spans="1:1" x14ac:dyDescent="0.2">
      <c r="A5622" s="101"/>
    </row>
    <row r="5623" spans="1:1" x14ac:dyDescent="0.2">
      <c r="A5623" s="101"/>
    </row>
    <row r="5624" spans="1:1" x14ac:dyDescent="0.2">
      <c r="A5624" s="101"/>
    </row>
    <row r="5625" spans="1:1" x14ac:dyDescent="0.2">
      <c r="A5625" s="101"/>
    </row>
    <row r="5626" spans="1:1" x14ac:dyDescent="0.2">
      <c r="A5626" s="101"/>
    </row>
    <row r="5627" spans="1:1" x14ac:dyDescent="0.2">
      <c r="A5627" s="101"/>
    </row>
    <row r="5628" spans="1:1" x14ac:dyDescent="0.2">
      <c r="A5628" s="101"/>
    </row>
    <row r="5629" spans="1:1" x14ac:dyDescent="0.2">
      <c r="A5629" s="101"/>
    </row>
    <row r="5630" spans="1:1" x14ac:dyDescent="0.2">
      <c r="A5630" s="101"/>
    </row>
    <row r="5631" spans="1:1" x14ac:dyDescent="0.2">
      <c r="A5631" s="101"/>
    </row>
    <row r="5632" spans="1:1" x14ac:dyDescent="0.2">
      <c r="A5632" s="101"/>
    </row>
    <row r="5633" spans="1:1" x14ac:dyDescent="0.2">
      <c r="A5633" s="101"/>
    </row>
    <row r="5634" spans="1:1" x14ac:dyDescent="0.2">
      <c r="A5634" s="101"/>
    </row>
    <row r="5635" spans="1:1" x14ac:dyDescent="0.2">
      <c r="A5635" s="101"/>
    </row>
    <row r="5636" spans="1:1" x14ac:dyDescent="0.2">
      <c r="A5636" s="101"/>
    </row>
    <row r="5637" spans="1:1" x14ac:dyDescent="0.2">
      <c r="A5637" s="101"/>
    </row>
    <row r="5638" spans="1:1" x14ac:dyDescent="0.2">
      <c r="A5638" s="101"/>
    </row>
    <row r="5639" spans="1:1" x14ac:dyDescent="0.2">
      <c r="A5639" s="101"/>
    </row>
    <row r="5640" spans="1:1" x14ac:dyDescent="0.2">
      <c r="A5640" s="101"/>
    </row>
    <row r="5641" spans="1:1" x14ac:dyDescent="0.2">
      <c r="A5641" s="101"/>
    </row>
    <row r="5642" spans="1:1" x14ac:dyDescent="0.2">
      <c r="A5642" s="101"/>
    </row>
    <row r="5643" spans="1:1" x14ac:dyDescent="0.2">
      <c r="A5643" s="101"/>
    </row>
    <row r="5644" spans="1:1" x14ac:dyDescent="0.2">
      <c r="A5644" s="101"/>
    </row>
    <row r="5645" spans="1:1" x14ac:dyDescent="0.2">
      <c r="A5645" s="101"/>
    </row>
    <row r="5646" spans="1:1" x14ac:dyDescent="0.2">
      <c r="A5646" s="101"/>
    </row>
    <row r="5647" spans="1:1" x14ac:dyDescent="0.2">
      <c r="A5647" s="101"/>
    </row>
    <row r="5648" spans="1:1" x14ac:dyDescent="0.2">
      <c r="A5648" s="101"/>
    </row>
    <row r="5649" spans="1:1" x14ac:dyDescent="0.2">
      <c r="A5649" s="101"/>
    </row>
    <row r="5650" spans="1:1" x14ac:dyDescent="0.2">
      <c r="A5650" s="101"/>
    </row>
    <row r="5651" spans="1:1" x14ac:dyDescent="0.2">
      <c r="A5651" s="101"/>
    </row>
    <row r="5652" spans="1:1" x14ac:dyDescent="0.2">
      <c r="A5652" s="101"/>
    </row>
    <row r="5653" spans="1:1" x14ac:dyDescent="0.2">
      <c r="A5653" s="101"/>
    </row>
    <row r="5654" spans="1:1" x14ac:dyDescent="0.2">
      <c r="A5654" s="101"/>
    </row>
    <row r="5655" spans="1:1" x14ac:dyDescent="0.2">
      <c r="A5655" s="101"/>
    </row>
    <row r="5656" spans="1:1" x14ac:dyDescent="0.2">
      <c r="A5656" s="101"/>
    </row>
    <row r="5657" spans="1:1" x14ac:dyDescent="0.2">
      <c r="A5657" s="101"/>
    </row>
    <row r="5658" spans="1:1" x14ac:dyDescent="0.2">
      <c r="A5658" s="101"/>
    </row>
    <row r="5659" spans="1:1" x14ac:dyDescent="0.2">
      <c r="A5659" s="101"/>
    </row>
    <row r="5660" spans="1:1" x14ac:dyDescent="0.2">
      <c r="A5660" s="101"/>
    </row>
    <row r="5661" spans="1:1" x14ac:dyDescent="0.2">
      <c r="A5661" s="101"/>
    </row>
    <row r="5662" spans="1:1" x14ac:dyDescent="0.2">
      <c r="A5662" s="101"/>
    </row>
    <row r="5663" spans="1:1" x14ac:dyDescent="0.2">
      <c r="A5663" s="101"/>
    </row>
    <row r="5664" spans="1:1" x14ac:dyDescent="0.2">
      <c r="A5664" s="101"/>
    </row>
    <row r="5665" spans="1:1" x14ac:dyDescent="0.2">
      <c r="A5665" s="101"/>
    </row>
    <row r="5666" spans="1:1" x14ac:dyDescent="0.2">
      <c r="A5666" s="101"/>
    </row>
    <row r="5667" spans="1:1" x14ac:dyDescent="0.2">
      <c r="A5667" s="101"/>
    </row>
    <row r="5668" spans="1:1" x14ac:dyDescent="0.2">
      <c r="A5668" s="101"/>
    </row>
    <row r="5669" spans="1:1" x14ac:dyDescent="0.2">
      <c r="A5669" s="101"/>
    </row>
    <row r="5670" spans="1:1" x14ac:dyDescent="0.2">
      <c r="A5670" s="101"/>
    </row>
    <row r="5671" spans="1:1" x14ac:dyDescent="0.2">
      <c r="A5671" s="101"/>
    </row>
    <row r="5672" spans="1:1" x14ac:dyDescent="0.2">
      <c r="A5672" s="101"/>
    </row>
    <row r="5673" spans="1:1" x14ac:dyDescent="0.2">
      <c r="A5673" s="101"/>
    </row>
    <row r="5674" spans="1:1" x14ac:dyDescent="0.2">
      <c r="A5674" s="101"/>
    </row>
    <row r="5675" spans="1:1" x14ac:dyDescent="0.2">
      <c r="A5675" s="101"/>
    </row>
    <row r="5676" spans="1:1" x14ac:dyDescent="0.2">
      <c r="A5676" s="101"/>
    </row>
    <row r="5677" spans="1:1" x14ac:dyDescent="0.2">
      <c r="A5677" s="101"/>
    </row>
    <row r="5678" spans="1:1" x14ac:dyDescent="0.2">
      <c r="A5678" s="101"/>
    </row>
    <row r="5679" spans="1:1" x14ac:dyDescent="0.2">
      <c r="A5679" s="101"/>
    </row>
    <row r="5680" spans="1:1" x14ac:dyDescent="0.2">
      <c r="A5680" s="101"/>
    </row>
    <row r="5681" spans="1:1" x14ac:dyDescent="0.2">
      <c r="A5681" s="101"/>
    </row>
    <row r="5682" spans="1:1" x14ac:dyDescent="0.2">
      <c r="A5682" s="101"/>
    </row>
    <row r="5683" spans="1:1" x14ac:dyDescent="0.2">
      <c r="A5683" s="101"/>
    </row>
    <row r="5684" spans="1:1" x14ac:dyDescent="0.2">
      <c r="A5684" s="101"/>
    </row>
    <row r="5685" spans="1:1" x14ac:dyDescent="0.2">
      <c r="A5685" s="101"/>
    </row>
    <row r="5686" spans="1:1" x14ac:dyDescent="0.2">
      <c r="A5686" s="101"/>
    </row>
    <row r="5687" spans="1:1" x14ac:dyDescent="0.2">
      <c r="A5687" s="101"/>
    </row>
    <row r="5688" spans="1:1" x14ac:dyDescent="0.2">
      <c r="A5688" s="101"/>
    </row>
    <row r="5689" spans="1:1" x14ac:dyDescent="0.2">
      <c r="A5689" s="101"/>
    </row>
    <row r="5690" spans="1:1" x14ac:dyDescent="0.2">
      <c r="A5690" s="101"/>
    </row>
    <row r="5691" spans="1:1" x14ac:dyDescent="0.2">
      <c r="A5691" s="101"/>
    </row>
    <row r="5692" spans="1:1" x14ac:dyDescent="0.2">
      <c r="A5692" s="101"/>
    </row>
    <row r="5693" spans="1:1" x14ac:dyDescent="0.2">
      <c r="A5693" s="101"/>
    </row>
    <row r="5694" spans="1:1" x14ac:dyDescent="0.2">
      <c r="A5694" s="101"/>
    </row>
    <row r="5695" spans="1:1" x14ac:dyDescent="0.2">
      <c r="A5695" s="101"/>
    </row>
    <row r="5696" spans="1:1" x14ac:dyDescent="0.2">
      <c r="A5696" s="101"/>
    </row>
    <row r="5697" spans="1:1" x14ac:dyDescent="0.2">
      <c r="A5697" s="101"/>
    </row>
    <row r="5698" spans="1:1" x14ac:dyDescent="0.2">
      <c r="A5698" s="101"/>
    </row>
    <row r="5699" spans="1:1" x14ac:dyDescent="0.2">
      <c r="A5699" s="101"/>
    </row>
    <row r="5700" spans="1:1" x14ac:dyDescent="0.2">
      <c r="A5700" s="101"/>
    </row>
    <row r="5701" spans="1:1" x14ac:dyDescent="0.2">
      <c r="A5701" s="101"/>
    </row>
    <row r="5702" spans="1:1" x14ac:dyDescent="0.2">
      <c r="A5702" s="101"/>
    </row>
    <row r="5703" spans="1:1" x14ac:dyDescent="0.2">
      <c r="A5703" s="101"/>
    </row>
    <row r="5704" spans="1:1" x14ac:dyDescent="0.2">
      <c r="A5704" s="101"/>
    </row>
    <row r="5705" spans="1:1" x14ac:dyDescent="0.2">
      <c r="A5705" s="101"/>
    </row>
    <row r="5706" spans="1:1" x14ac:dyDescent="0.2">
      <c r="A5706" s="101"/>
    </row>
    <row r="5707" spans="1:1" x14ac:dyDescent="0.2">
      <c r="A5707" s="101"/>
    </row>
    <row r="5708" spans="1:1" x14ac:dyDescent="0.2">
      <c r="A5708" s="101"/>
    </row>
    <row r="5709" spans="1:1" x14ac:dyDescent="0.2">
      <c r="A5709" s="101"/>
    </row>
    <row r="5710" spans="1:1" x14ac:dyDescent="0.2">
      <c r="A5710" s="101"/>
    </row>
    <row r="5711" spans="1:1" x14ac:dyDescent="0.2">
      <c r="A5711" s="101"/>
    </row>
    <row r="5712" spans="1:1" x14ac:dyDescent="0.2">
      <c r="A5712" s="101"/>
    </row>
    <row r="5713" spans="1:1" x14ac:dyDescent="0.2">
      <c r="A5713" s="101"/>
    </row>
    <row r="5714" spans="1:1" x14ac:dyDescent="0.2">
      <c r="A5714" s="101"/>
    </row>
    <row r="5715" spans="1:1" x14ac:dyDescent="0.2">
      <c r="A5715" s="101"/>
    </row>
    <row r="5716" spans="1:1" x14ac:dyDescent="0.2">
      <c r="A5716" s="101"/>
    </row>
    <row r="5717" spans="1:1" x14ac:dyDescent="0.2">
      <c r="A5717" s="101"/>
    </row>
    <row r="5718" spans="1:1" x14ac:dyDescent="0.2">
      <c r="A5718" s="101"/>
    </row>
    <row r="5719" spans="1:1" x14ac:dyDescent="0.2">
      <c r="A5719" s="101"/>
    </row>
    <row r="5720" spans="1:1" x14ac:dyDescent="0.2">
      <c r="A5720" s="101"/>
    </row>
    <row r="5721" spans="1:1" x14ac:dyDescent="0.2">
      <c r="A5721" s="101"/>
    </row>
    <row r="5722" spans="1:1" x14ac:dyDescent="0.2">
      <c r="A5722" s="101"/>
    </row>
    <row r="5723" spans="1:1" x14ac:dyDescent="0.2">
      <c r="A5723" s="101"/>
    </row>
    <row r="5724" spans="1:1" x14ac:dyDescent="0.2">
      <c r="A5724" s="101"/>
    </row>
    <row r="5725" spans="1:1" x14ac:dyDescent="0.2">
      <c r="A5725" s="101"/>
    </row>
    <row r="5726" spans="1:1" x14ac:dyDescent="0.2">
      <c r="A5726" s="101"/>
    </row>
    <row r="5727" spans="1:1" x14ac:dyDescent="0.2">
      <c r="A5727" s="101"/>
    </row>
    <row r="5728" spans="1:1" x14ac:dyDescent="0.2">
      <c r="A5728" s="101"/>
    </row>
    <row r="5729" spans="1:1" x14ac:dyDescent="0.2">
      <c r="A5729" s="101"/>
    </row>
    <row r="5730" spans="1:1" x14ac:dyDescent="0.2">
      <c r="A5730" s="101"/>
    </row>
    <row r="5731" spans="1:1" x14ac:dyDescent="0.2">
      <c r="A5731" s="101"/>
    </row>
    <row r="5732" spans="1:1" x14ac:dyDescent="0.2">
      <c r="A5732" s="101"/>
    </row>
    <row r="5733" spans="1:1" x14ac:dyDescent="0.2">
      <c r="A5733" s="101"/>
    </row>
    <row r="5734" spans="1:1" x14ac:dyDescent="0.2">
      <c r="A5734" s="101"/>
    </row>
    <row r="5735" spans="1:1" x14ac:dyDescent="0.2">
      <c r="A5735" s="101"/>
    </row>
    <row r="5736" spans="1:1" x14ac:dyDescent="0.2">
      <c r="A5736" s="101"/>
    </row>
    <row r="5737" spans="1:1" x14ac:dyDescent="0.2">
      <c r="A5737" s="101"/>
    </row>
    <row r="5738" spans="1:1" x14ac:dyDescent="0.2">
      <c r="A5738" s="101"/>
    </row>
    <row r="5739" spans="1:1" x14ac:dyDescent="0.2">
      <c r="A5739" s="101"/>
    </row>
    <row r="5740" spans="1:1" x14ac:dyDescent="0.2">
      <c r="A5740" s="101"/>
    </row>
    <row r="5741" spans="1:1" x14ac:dyDescent="0.2">
      <c r="A5741" s="101"/>
    </row>
    <row r="5742" spans="1:1" x14ac:dyDescent="0.2">
      <c r="A5742" s="101"/>
    </row>
    <row r="5743" spans="1:1" x14ac:dyDescent="0.2">
      <c r="A5743" s="101"/>
    </row>
    <row r="5744" spans="1:1" x14ac:dyDescent="0.2">
      <c r="A5744" s="101"/>
    </row>
    <row r="5745" spans="1:1" x14ac:dyDescent="0.2">
      <c r="A5745" s="101"/>
    </row>
    <row r="5746" spans="1:1" x14ac:dyDescent="0.2">
      <c r="A5746" s="101"/>
    </row>
    <row r="5747" spans="1:1" x14ac:dyDescent="0.2">
      <c r="A5747" s="101"/>
    </row>
    <row r="5748" spans="1:1" x14ac:dyDescent="0.2">
      <c r="A5748" s="101"/>
    </row>
    <row r="5749" spans="1:1" x14ac:dyDescent="0.2">
      <c r="A5749" s="101"/>
    </row>
    <row r="5750" spans="1:1" x14ac:dyDescent="0.2">
      <c r="A5750" s="101"/>
    </row>
    <row r="5751" spans="1:1" x14ac:dyDescent="0.2">
      <c r="A5751" s="101"/>
    </row>
    <row r="5752" spans="1:1" x14ac:dyDescent="0.2">
      <c r="A5752" s="101"/>
    </row>
    <row r="5753" spans="1:1" x14ac:dyDescent="0.2">
      <c r="A5753" s="101"/>
    </row>
    <row r="5754" spans="1:1" x14ac:dyDescent="0.2">
      <c r="A5754" s="101"/>
    </row>
    <row r="5755" spans="1:1" x14ac:dyDescent="0.2">
      <c r="A5755" s="101"/>
    </row>
    <row r="5756" spans="1:1" x14ac:dyDescent="0.2">
      <c r="A5756" s="101"/>
    </row>
    <row r="5757" spans="1:1" x14ac:dyDescent="0.2">
      <c r="A5757" s="101"/>
    </row>
    <row r="5758" spans="1:1" x14ac:dyDescent="0.2">
      <c r="A5758" s="101"/>
    </row>
    <row r="5759" spans="1:1" x14ac:dyDescent="0.2">
      <c r="A5759" s="101"/>
    </row>
    <row r="5760" spans="1:1" x14ac:dyDescent="0.2">
      <c r="A5760" s="101"/>
    </row>
    <row r="5761" spans="1:1" x14ac:dyDescent="0.2">
      <c r="A5761" s="101"/>
    </row>
    <row r="5762" spans="1:1" x14ac:dyDescent="0.2">
      <c r="A5762" s="101"/>
    </row>
    <row r="5763" spans="1:1" x14ac:dyDescent="0.2">
      <c r="A5763" s="101"/>
    </row>
    <row r="5764" spans="1:1" x14ac:dyDescent="0.2">
      <c r="A5764" s="101"/>
    </row>
    <row r="5765" spans="1:1" x14ac:dyDescent="0.2">
      <c r="A5765" s="101"/>
    </row>
    <row r="5766" spans="1:1" x14ac:dyDescent="0.2">
      <c r="A5766" s="101"/>
    </row>
    <row r="5767" spans="1:1" x14ac:dyDescent="0.2">
      <c r="A5767" s="101"/>
    </row>
    <row r="5768" spans="1:1" x14ac:dyDescent="0.2">
      <c r="A5768" s="101"/>
    </row>
    <row r="5769" spans="1:1" x14ac:dyDescent="0.2">
      <c r="A5769" s="101"/>
    </row>
    <row r="5770" spans="1:1" x14ac:dyDescent="0.2">
      <c r="A5770" s="101"/>
    </row>
    <row r="5771" spans="1:1" x14ac:dyDescent="0.2">
      <c r="A5771" s="101"/>
    </row>
    <row r="5772" spans="1:1" x14ac:dyDescent="0.2">
      <c r="A5772" s="101"/>
    </row>
    <row r="5773" spans="1:1" x14ac:dyDescent="0.2">
      <c r="A5773" s="101"/>
    </row>
    <row r="5774" spans="1:1" x14ac:dyDescent="0.2">
      <c r="A5774" s="101"/>
    </row>
    <row r="5775" spans="1:1" x14ac:dyDescent="0.2">
      <c r="A5775" s="101"/>
    </row>
    <row r="5776" spans="1:1" x14ac:dyDescent="0.2">
      <c r="A5776" s="101"/>
    </row>
    <row r="5777" spans="1:1" x14ac:dyDescent="0.2">
      <c r="A5777" s="101"/>
    </row>
    <row r="5778" spans="1:1" x14ac:dyDescent="0.2">
      <c r="A5778" s="101"/>
    </row>
    <row r="5779" spans="1:1" x14ac:dyDescent="0.2">
      <c r="A5779" s="101"/>
    </row>
    <row r="5780" spans="1:1" x14ac:dyDescent="0.2">
      <c r="A5780" s="101"/>
    </row>
    <row r="5781" spans="1:1" x14ac:dyDescent="0.2">
      <c r="A5781" s="101"/>
    </row>
    <row r="5782" spans="1:1" x14ac:dyDescent="0.2">
      <c r="A5782" s="101"/>
    </row>
    <row r="5783" spans="1:1" x14ac:dyDescent="0.2">
      <c r="A5783" s="101"/>
    </row>
    <row r="5784" spans="1:1" x14ac:dyDescent="0.2">
      <c r="A5784" s="101"/>
    </row>
    <row r="5785" spans="1:1" x14ac:dyDescent="0.2">
      <c r="A5785" s="101"/>
    </row>
    <row r="5786" spans="1:1" x14ac:dyDescent="0.2">
      <c r="A5786" s="101"/>
    </row>
    <row r="5787" spans="1:1" x14ac:dyDescent="0.2">
      <c r="A5787" s="101"/>
    </row>
    <row r="5788" spans="1:1" x14ac:dyDescent="0.2">
      <c r="A5788" s="101"/>
    </row>
    <row r="5789" spans="1:1" x14ac:dyDescent="0.2">
      <c r="A5789" s="101"/>
    </row>
    <row r="5790" spans="1:1" x14ac:dyDescent="0.2">
      <c r="A5790" s="101"/>
    </row>
    <row r="5791" spans="1:1" x14ac:dyDescent="0.2">
      <c r="A5791" s="101"/>
    </row>
    <row r="5792" spans="1:1" x14ac:dyDescent="0.2">
      <c r="A5792" s="101"/>
    </row>
    <row r="5793" spans="1:1" x14ac:dyDescent="0.2">
      <c r="A5793" s="101"/>
    </row>
    <row r="5794" spans="1:1" x14ac:dyDescent="0.2">
      <c r="A5794" s="101"/>
    </row>
    <row r="5795" spans="1:1" x14ac:dyDescent="0.2">
      <c r="A5795" s="101"/>
    </row>
    <row r="5796" spans="1:1" x14ac:dyDescent="0.2">
      <c r="A5796" s="101"/>
    </row>
    <row r="5797" spans="1:1" x14ac:dyDescent="0.2">
      <c r="A5797" s="101"/>
    </row>
    <row r="5798" spans="1:1" x14ac:dyDescent="0.2">
      <c r="A5798" s="101"/>
    </row>
    <row r="5799" spans="1:1" x14ac:dyDescent="0.2">
      <c r="A5799" s="101"/>
    </row>
    <row r="5800" spans="1:1" x14ac:dyDescent="0.2">
      <c r="A5800" s="101"/>
    </row>
    <row r="5801" spans="1:1" x14ac:dyDescent="0.2">
      <c r="A5801" s="101"/>
    </row>
    <row r="5802" spans="1:1" x14ac:dyDescent="0.2">
      <c r="A5802" s="101"/>
    </row>
    <row r="5803" spans="1:1" x14ac:dyDescent="0.2">
      <c r="A5803" s="101"/>
    </row>
    <row r="5804" spans="1:1" x14ac:dyDescent="0.2">
      <c r="A5804" s="101"/>
    </row>
    <row r="5805" spans="1:1" x14ac:dyDescent="0.2">
      <c r="A5805" s="101"/>
    </row>
    <row r="5806" spans="1:1" x14ac:dyDescent="0.2">
      <c r="A5806" s="101"/>
    </row>
    <row r="5807" spans="1:1" x14ac:dyDescent="0.2">
      <c r="A5807" s="101"/>
    </row>
    <row r="5808" spans="1:1" x14ac:dyDescent="0.2">
      <c r="A5808" s="101"/>
    </row>
    <row r="5809" spans="1:1" x14ac:dyDescent="0.2">
      <c r="A5809" s="101"/>
    </row>
    <row r="5810" spans="1:1" x14ac:dyDescent="0.2">
      <c r="A5810" s="101"/>
    </row>
    <row r="5811" spans="1:1" x14ac:dyDescent="0.2">
      <c r="A5811" s="101"/>
    </row>
    <row r="5812" spans="1:1" x14ac:dyDescent="0.2">
      <c r="A5812" s="101"/>
    </row>
    <row r="5813" spans="1:1" x14ac:dyDescent="0.2">
      <c r="A5813" s="101"/>
    </row>
    <row r="5814" spans="1:1" x14ac:dyDescent="0.2">
      <c r="A5814" s="101"/>
    </row>
    <row r="5815" spans="1:1" x14ac:dyDescent="0.2">
      <c r="A5815" s="101"/>
    </row>
    <row r="5816" spans="1:1" x14ac:dyDescent="0.2">
      <c r="A5816" s="101"/>
    </row>
    <row r="5817" spans="1:1" x14ac:dyDescent="0.2">
      <c r="A5817" s="101"/>
    </row>
    <row r="5818" spans="1:1" x14ac:dyDescent="0.2">
      <c r="A5818" s="101"/>
    </row>
    <row r="5819" spans="1:1" x14ac:dyDescent="0.2">
      <c r="A5819" s="101"/>
    </row>
    <row r="5820" spans="1:1" x14ac:dyDescent="0.2">
      <c r="A5820" s="101"/>
    </row>
    <row r="5821" spans="1:1" x14ac:dyDescent="0.2">
      <c r="A5821" s="101"/>
    </row>
    <row r="5822" spans="1:1" x14ac:dyDescent="0.2">
      <c r="A5822" s="101"/>
    </row>
    <row r="5823" spans="1:1" x14ac:dyDescent="0.2">
      <c r="A5823" s="101"/>
    </row>
    <row r="5824" spans="1:1" x14ac:dyDescent="0.2">
      <c r="A5824" s="101"/>
    </row>
    <row r="5825" spans="1:1" x14ac:dyDescent="0.2">
      <c r="A5825" s="101"/>
    </row>
    <row r="5826" spans="1:1" x14ac:dyDescent="0.2">
      <c r="A5826" s="101"/>
    </row>
    <row r="5827" spans="1:1" x14ac:dyDescent="0.2">
      <c r="A5827" s="101"/>
    </row>
    <row r="5828" spans="1:1" x14ac:dyDescent="0.2">
      <c r="A5828" s="101"/>
    </row>
    <row r="5829" spans="1:1" x14ac:dyDescent="0.2">
      <c r="A5829" s="101"/>
    </row>
    <row r="5830" spans="1:1" x14ac:dyDescent="0.2">
      <c r="A5830" s="101"/>
    </row>
    <row r="5831" spans="1:1" x14ac:dyDescent="0.2">
      <c r="A5831" s="101"/>
    </row>
    <row r="5832" spans="1:1" x14ac:dyDescent="0.2">
      <c r="A5832" s="101"/>
    </row>
    <row r="5833" spans="1:1" x14ac:dyDescent="0.2">
      <c r="A5833" s="101"/>
    </row>
    <row r="5834" spans="1:1" x14ac:dyDescent="0.2">
      <c r="A5834" s="101"/>
    </row>
    <row r="5835" spans="1:1" x14ac:dyDescent="0.2">
      <c r="A5835" s="101"/>
    </row>
    <row r="5836" spans="1:1" x14ac:dyDescent="0.2">
      <c r="A5836" s="101"/>
    </row>
    <row r="5837" spans="1:1" x14ac:dyDescent="0.2">
      <c r="A5837" s="101"/>
    </row>
    <row r="5838" spans="1:1" x14ac:dyDescent="0.2">
      <c r="A5838" s="101"/>
    </row>
    <row r="5839" spans="1:1" x14ac:dyDescent="0.2">
      <c r="A5839" s="101"/>
    </row>
    <row r="5840" spans="1:1" x14ac:dyDescent="0.2">
      <c r="A5840" s="101"/>
    </row>
    <row r="5841" spans="1:1" x14ac:dyDescent="0.2">
      <c r="A5841" s="101"/>
    </row>
    <row r="5842" spans="1:1" x14ac:dyDescent="0.2">
      <c r="A5842" s="101"/>
    </row>
    <row r="5843" spans="1:1" x14ac:dyDescent="0.2">
      <c r="A5843" s="101"/>
    </row>
    <row r="5844" spans="1:1" x14ac:dyDescent="0.2">
      <c r="A5844" s="101"/>
    </row>
    <row r="5845" spans="1:1" x14ac:dyDescent="0.2">
      <c r="A5845" s="101"/>
    </row>
    <row r="5846" spans="1:1" x14ac:dyDescent="0.2">
      <c r="A5846" s="101"/>
    </row>
    <row r="5847" spans="1:1" x14ac:dyDescent="0.2">
      <c r="A5847" s="101"/>
    </row>
    <row r="5848" spans="1:1" x14ac:dyDescent="0.2">
      <c r="A5848" s="101"/>
    </row>
    <row r="5849" spans="1:1" x14ac:dyDescent="0.2">
      <c r="A5849" s="101"/>
    </row>
    <row r="5850" spans="1:1" x14ac:dyDescent="0.2">
      <c r="A5850" s="101"/>
    </row>
    <row r="5851" spans="1:1" x14ac:dyDescent="0.2">
      <c r="A5851" s="101"/>
    </row>
    <row r="5852" spans="1:1" x14ac:dyDescent="0.2">
      <c r="A5852" s="101"/>
    </row>
    <row r="5853" spans="1:1" x14ac:dyDescent="0.2">
      <c r="A5853" s="101"/>
    </row>
    <row r="5854" spans="1:1" x14ac:dyDescent="0.2">
      <c r="A5854" s="101"/>
    </row>
    <row r="5855" spans="1:1" x14ac:dyDescent="0.2">
      <c r="A5855" s="101"/>
    </row>
    <row r="5856" spans="1:1" x14ac:dyDescent="0.2">
      <c r="A5856" s="101"/>
    </row>
    <row r="5857" spans="1:1" x14ac:dyDescent="0.2">
      <c r="A5857" s="101"/>
    </row>
    <row r="5858" spans="1:1" x14ac:dyDescent="0.2">
      <c r="A5858" s="101"/>
    </row>
    <row r="5859" spans="1:1" x14ac:dyDescent="0.2">
      <c r="A5859" s="101"/>
    </row>
    <row r="5860" spans="1:1" x14ac:dyDescent="0.2">
      <c r="A5860" s="101"/>
    </row>
    <row r="5861" spans="1:1" x14ac:dyDescent="0.2">
      <c r="A5861" s="101"/>
    </row>
    <row r="5862" spans="1:1" x14ac:dyDescent="0.2">
      <c r="A5862" s="101"/>
    </row>
    <row r="5863" spans="1:1" x14ac:dyDescent="0.2">
      <c r="A5863" s="101"/>
    </row>
    <row r="5864" spans="1:1" x14ac:dyDescent="0.2">
      <c r="A5864" s="101"/>
    </row>
    <row r="5865" spans="1:1" x14ac:dyDescent="0.2">
      <c r="A5865" s="101"/>
    </row>
    <row r="5866" spans="1:1" x14ac:dyDescent="0.2">
      <c r="A5866" s="101"/>
    </row>
    <row r="5867" spans="1:1" x14ac:dyDescent="0.2">
      <c r="A5867" s="101"/>
    </row>
    <row r="5868" spans="1:1" x14ac:dyDescent="0.2">
      <c r="A5868" s="101"/>
    </row>
    <row r="5869" spans="1:1" x14ac:dyDescent="0.2">
      <c r="A5869" s="101"/>
    </row>
    <row r="5870" spans="1:1" x14ac:dyDescent="0.2">
      <c r="A5870" s="101"/>
    </row>
    <row r="5871" spans="1:1" x14ac:dyDescent="0.2">
      <c r="A5871" s="101"/>
    </row>
    <row r="5872" spans="1:1" x14ac:dyDescent="0.2">
      <c r="A5872" s="101"/>
    </row>
    <row r="5873" spans="1:1" x14ac:dyDescent="0.2">
      <c r="A5873" s="101"/>
    </row>
    <row r="5874" spans="1:1" x14ac:dyDescent="0.2">
      <c r="A5874" s="101"/>
    </row>
    <row r="5875" spans="1:1" x14ac:dyDescent="0.2">
      <c r="A5875" s="101"/>
    </row>
    <row r="5876" spans="1:1" x14ac:dyDescent="0.2">
      <c r="A5876" s="101"/>
    </row>
    <row r="5877" spans="1:1" x14ac:dyDescent="0.2">
      <c r="A5877" s="101"/>
    </row>
    <row r="5878" spans="1:1" x14ac:dyDescent="0.2">
      <c r="A5878" s="101"/>
    </row>
    <row r="5879" spans="1:1" x14ac:dyDescent="0.2">
      <c r="A5879" s="101"/>
    </row>
    <row r="5880" spans="1:1" x14ac:dyDescent="0.2">
      <c r="A5880" s="101"/>
    </row>
    <row r="5881" spans="1:1" x14ac:dyDescent="0.2">
      <c r="A5881" s="101"/>
    </row>
    <row r="5882" spans="1:1" x14ac:dyDescent="0.2">
      <c r="A5882" s="101"/>
    </row>
    <row r="5883" spans="1:1" x14ac:dyDescent="0.2">
      <c r="A5883" s="101"/>
    </row>
    <row r="5884" spans="1:1" x14ac:dyDescent="0.2">
      <c r="A5884" s="101"/>
    </row>
    <row r="5885" spans="1:1" x14ac:dyDescent="0.2">
      <c r="A5885" s="101"/>
    </row>
    <row r="5886" spans="1:1" x14ac:dyDescent="0.2">
      <c r="A5886" s="101"/>
    </row>
    <row r="5887" spans="1:1" x14ac:dyDescent="0.2">
      <c r="A5887" s="101"/>
    </row>
    <row r="5888" spans="1:1" x14ac:dyDescent="0.2">
      <c r="A5888" s="101"/>
    </row>
    <row r="5889" spans="1:1" x14ac:dyDescent="0.2">
      <c r="A5889" s="101"/>
    </row>
    <row r="5890" spans="1:1" x14ac:dyDescent="0.2">
      <c r="A5890" s="101"/>
    </row>
    <row r="5891" spans="1:1" x14ac:dyDescent="0.2">
      <c r="A5891" s="101"/>
    </row>
    <row r="5892" spans="1:1" x14ac:dyDescent="0.2">
      <c r="A5892" s="101"/>
    </row>
    <row r="5893" spans="1:1" x14ac:dyDescent="0.2">
      <c r="A5893" s="101"/>
    </row>
    <row r="5894" spans="1:1" x14ac:dyDescent="0.2">
      <c r="A5894" s="101"/>
    </row>
    <row r="5895" spans="1:1" x14ac:dyDescent="0.2">
      <c r="A5895" s="101"/>
    </row>
    <row r="5896" spans="1:1" x14ac:dyDescent="0.2">
      <c r="A5896" s="101"/>
    </row>
    <row r="5897" spans="1:1" x14ac:dyDescent="0.2">
      <c r="A5897" s="101"/>
    </row>
    <row r="5898" spans="1:1" x14ac:dyDescent="0.2">
      <c r="A5898" s="101"/>
    </row>
    <row r="5899" spans="1:1" x14ac:dyDescent="0.2">
      <c r="A5899" s="101"/>
    </row>
    <row r="5900" spans="1:1" x14ac:dyDescent="0.2">
      <c r="A5900" s="101"/>
    </row>
    <row r="5901" spans="1:1" x14ac:dyDescent="0.2">
      <c r="A5901" s="101"/>
    </row>
    <row r="5902" spans="1:1" x14ac:dyDescent="0.2">
      <c r="A5902" s="101"/>
    </row>
    <row r="5903" spans="1:1" x14ac:dyDescent="0.2">
      <c r="A5903" s="101"/>
    </row>
    <row r="5904" spans="1:1" x14ac:dyDescent="0.2">
      <c r="A5904" s="101"/>
    </row>
    <row r="5905" spans="1:1" x14ac:dyDescent="0.2">
      <c r="A5905" s="101"/>
    </row>
    <row r="5906" spans="1:1" x14ac:dyDescent="0.2">
      <c r="A5906" s="101"/>
    </row>
    <row r="5907" spans="1:1" x14ac:dyDescent="0.2">
      <c r="A5907" s="101"/>
    </row>
    <row r="5908" spans="1:1" x14ac:dyDescent="0.2">
      <c r="A5908" s="101"/>
    </row>
    <row r="5909" spans="1:1" x14ac:dyDescent="0.2">
      <c r="A5909" s="101"/>
    </row>
    <row r="5910" spans="1:1" x14ac:dyDescent="0.2">
      <c r="A5910" s="101"/>
    </row>
    <row r="5911" spans="1:1" x14ac:dyDescent="0.2">
      <c r="A5911" s="101"/>
    </row>
    <row r="5912" spans="1:1" x14ac:dyDescent="0.2">
      <c r="A5912" s="101"/>
    </row>
    <row r="5913" spans="1:1" x14ac:dyDescent="0.2">
      <c r="A5913" s="101"/>
    </row>
    <row r="5914" spans="1:1" x14ac:dyDescent="0.2">
      <c r="A5914" s="101"/>
    </row>
    <row r="5915" spans="1:1" x14ac:dyDescent="0.2">
      <c r="A5915" s="101"/>
    </row>
    <row r="5916" spans="1:1" x14ac:dyDescent="0.2">
      <c r="A5916" s="101"/>
    </row>
    <row r="5917" spans="1:1" x14ac:dyDescent="0.2">
      <c r="A5917" s="101"/>
    </row>
    <row r="5918" spans="1:1" x14ac:dyDescent="0.2">
      <c r="A5918" s="101"/>
    </row>
    <row r="5919" spans="1:1" x14ac:dyDescent="0.2">
      <c r="A5919" s="101"/>
    </row>
    <row r="5920" spans="1:1" x14ac:dyDescent="0.2">
      <c r="A5920" s="101"/>
    </row>
    <row r="5921" spans="1:1" x14ac:dyDescent="0.2">
      <c r="A5921" s="101"/>
    </row>
    <row r="5922" spans="1:1" x14ac:dyDescent="0.2">
      <c r="A5922" s="101"/>
    </row>
    <row r="5923" spans="1:1" x14ac:dyDescent="0.2">
      <c r="A5923" s="101"/>
    </row>
    <row r="5924" spans="1:1" x14ac:dyDescent="0.2">
      <c r="A5924" s="101"/>
    </row>
    <row r="5925" spans="1:1" x14ac:dyDescent="0.2">
      <c r="A5925" s="101"/>
    </row>
    <row r="5926" spans="1:1" x14ac:dyDescent="0.2">
      <c r="A5926" s="101"/>
    </row>
    <row r="5927" spans="1:1" x14ac:dyDescent="0.2">
      <c r="A5927" s="101"/>
    </row>
    <row r="5928" spans="1:1" x14ac:dyDescent="0.2">
      <c r="A5928" s="101"/>
    </row>
    <row r="5929" spans="1:1" x14ac:dyDescent="0.2">
      <c r="A5929" s="101"/>
    </row>
    <row r="5930" spans="1:1" x14ac:dyDescent="0.2">
      <c r="A5930" s="101"/>
    </row>
    <row r="5931" spans="1:1" x14ac:dyDescent="0.2">
      <c r="A5931" s="101"/>
    </row>
    <row r="5932" spans="1:1" x14ac:dyDescent="0.2">
      <c r="A5932" s="101"/>
    </row>
    <row r="5933" spans="1:1" x14ac:dyDescent="0.2">
      <c r="A5933" s="101"/>
    </row>
    <row r="5934" spans="1:1" x14ac:dyDescent="0.2">
      <c r="A5934" s="101"/>
    </row>
    <row r="5935" spans="1:1" x14ac:dyDescent="0.2">
      <c r="A5935" s="101"/>
    </row>
    <row r="5936" spans="1:1" x14ac:dyDescent="0.2">
      <c r="A5936" s="101"/>
    </row>
    <row r="5937" spans="1:1" x14ac:dyDescent="0.2">
      <c r="A5937" s="101"/>
    </row>
    <row r="5938" spans="1:1" x14ac:dyDescent="0.2">
      <c r="A5938" s="101"/>
    </row>
    <row r="5939" spans="1:1" x14ac:dyDescent="0.2">
      <c r="A5939" s="101"/>
    </row>
    <row r="5940" spans="1:1" x14ac:dyDescent="0.2">
      <c r="A5940" s="101"/>
    </row>
    <row r="5941" spans="1:1" x14ac:dyDescent="0.2">
      <c r="A5941" s="101"/>
    </row>
    <row r="5942" spans="1:1" x14ac:dyDescent="0.2">
      <c r="A5942" s="101"/>
    </row>
    <row r="5943" spans="1:1" x14ac:dyDescent="0.2">
      <c r="A5943" s="101"/>
    </row>
    <row r="5944" spans="1:1" x14ac:dyDescent="0.2">
      <c r="A5944" s="101"/>
    </row>
    <row r="5945" spans="1:1" x14ac:dyDescent="0.2">
      <c r="A5945" s="101"/>
    </row>
    <row r="5946" spans="1:1" x14ac:dyDescent="0.2">
      <c r="A5946" s="101"/>
    </row>
    <row r="5947" spans="1:1" x14ac:dyDescent="0.2">
      <c r="A5947" s="101"/>
    </row>
    <row r="5948" spans="1:1" x14ac:dyDescent="0.2">
      <c r="A5948" s="101"/>
    </row>
    <row r="5949" spans="1:1" x14ac:dyDescent="0.2">
      <c r="A5949" s="101"/>
    </row>
    <row r="5950" spans="1:1" x14ac:dyDescent="0.2">
      <c r="A5950" s="101"/>
    </row>
    <row r="5951" spans="1:1" x14ac:dyDescent="0.2">
      <c r="A5951" s="101"/>
    </row>
    <row r="5952" spans="1:1" x14ac:dyDescent="0.2">
      <c r="A5952" s="101"/>
    </row>
    <row r="5953" spans="1:1" x14ac:dyDescent="0.2">
      <c r="A5953" s="101"/>
    </row>
    <row r="5954" spans="1:1" x14ac:dyDescent="0.2">
      <c r="A5954" s="101"/>
    </row>
    <row r="5955" spans="1:1" x14ac:dyDescent="0.2">
      <c r="A5955" s="101"/>
    </row>
    <row r="5956" spans="1:1" x14ac:dyDescent="0.2">
      <c r="A5956" s="101"/>
    </row>
    <row r="5957" spans="1:1" x14ac:dyDescent="0.2">
      <c r="A5957" s="101"/>
    </row>
    <row r="5958" spans="1:1" x14ac:dyDescent="0.2">
      <c r="A5958" s="101"/>
    </row>
    <row r="5959" spans="1:1" x14ac:dyDescent="0.2">
      <c r="A5959" s="101"/>
    </row>
    <row r="5960" spans="1:1" x14ac:dyDescent="0.2">
      <c r="A5960" s="101"/>
    </row>
    <row r="5961" spans="1:1" x14ac:dyDescent="0.2">
      <c r="A5961" s="101"/>
    </row>
    <row r="5962" spans="1:1" x14ac:dyDescent="0.2">
      <c r="A5962" s="101"/>
    </row>
    <row r="5963" spans="1:1" x14ac:dyDescent="0.2">
      <c r="A5963" s="101"/>
    </row>
    <row r="5964" spans="1:1" x14ac:dyDescent="0.2">
      <c r="A5964" s="101"/>
    </row>
    <row r="5965" spans="1:1" x14ac:dyDescent="0.2">
      <c r="A5965" s="101"/>
    </row>
    <row r="5966" spans="1:1" x14ac:dyDescent="0.2">
      <c r="A5966" s="101"/>
    </row>
    <row r="5967" spans="1:1" x14ac:dyDescent="0.2">
      <c r="A5967" s="101"/>
    </row>
    <row r="5968" spans="1:1" x14ac:dyDescent="0.2">
      <c r="A5968" s="101"/>
    </row>
    <row r="5969" spans="1:1" x14ac:dyDescent="0.2">
      <c r="A5969" s="101"/>
    </row>
    <row r="5970" spans="1:1" x14ac:dyDescent="0.2">
      <c r="A5970" s="101"/>
    </row>
    <row r="5971" spans="1:1" x14ac:dyDescent="0.2">
      <c r="A5971" s="101"/>
    </row>
    <row r="5972" spans="1:1" x14ac:dyDescent="0.2">
      <c r="A5972" s="101"/>
    </row>
    <row r="5973" spans="1:1" x14ac:dyDescent="0.2">
      <c r="A5973" s="101"/>
    </row>
    <row r="5974" spans="1:1" x14ac:dyDescent="0.2">
      <c r="A5974" s="101"/>
    </row>
    <row r="5975" spans="1:1" x14ac:dyDescent="0.2">
      <c r="A5975" s="101"/>
    </row>
    <row r="5976" spans="1:1" x14ac:dyDescent="0.2">
      <c r="A5976" s="101"/>
    </row>
    <row r="5977" spans="1:1" x14ac:dyDescent="0.2">
      <c r="A5977" s="101"/>
    </row>
    <row r="5978" spans="1:1" x14ac:dyDescent="0.2">
      <c r="A5978" s="101"/>
    </row>
    <row r="5979" spans="1:1" x14ac:dyDescent="0.2">
      <c r="A5979" s="101"/>
    </row>
    <row r="5980" spans="1:1" x14ac:dyDescent="0.2">
      <c r="A5980" s="101"/>
    </row>
    <row r="5981" spans="1:1" x14ac:dyDescent="0.2">
      <c r="A5981" s="101"/>
    </row>
    <row r="5982" spans="1:1" x14ac:dyDescent="0.2">
      <c r="A5982" s="101"/>
    </row>
    <row r="5983" spans="1:1" x14ac:dyDescent="0.2">
      <c r="A5983" s="101"/>
    </row>
    <row r="5984" spans="1:1" x14ac:dyDescent="0.2">
      <c r="A5984" s="101"/>
    </row>
    <row r="5985" spans="1:1" x14ac:dyDescent="0.2">
      <c r="A5985" s="101"/>
    </row>
    <row r="5986" spans="1:1" x14ac:dyDescent="0.2">
      <c r="A5986" s="101"/>
    </row>
    <row r="5987" spans="1:1" x14ac:dyDescent="0.2">
      <c r="A5987" s="101"/>
    </row>
    <row r="5988" spans="1:1" x14ac:dyDescent="0.2">
      <c r="A5988" s="101"/>
    </row>
    <row r="5989" spans="1:1" x14ac:dyDescent="0.2">
      <c r="A5989" s="101"/>
    </row>
    <row r="5990" spans="1:1" x14ac:dyDescent="0.2">
      <c r="A5990" s="101"/>
    </row>
    <row r="5991" spans="1:1" x14ac:dyDescent="0.2">
      <c r="A5991" s="101"/>
    </row>
    <row r="5992" spans="1:1" x14ac:dyDescent="0.2">
      <c r="A5992" s="101"/>
    </row>
    <row r="5993" spans="1:1" x14ac:dyDescent="0.2">
      <c r="A5993" s="101"/>
    </row>
    <row r="5994" spans="1:1" x14ac:dyDescent="0.2">
      <c r="A5994" s="101"/>
    </row>
    <row r="5995" spans="1:1" x14ac:dyDescent="0.2">
      <c r="A5995" s="101"/>
    </row>
    <row r="5996" spans="1:1" x14ac:dyDescent="0.2">
      <c r="A5996" s="101"/>
    </row>
    <row r="5997" spans="1:1" x14ac:dyDescent="0.2">
      <c r="A5997" s="101"/>
    </row>
    <row r="5998" spans="1:1" x14ac:dyDescent="0.2">
      <c r="A5998" s="101"/>
    </row>
    <row r="5999" spans="1:1" x14ac:dyDescent="0.2">
      <c r="A5999" s="101"/>
    </row>
    <row r="6000" spans="1:1" x14ac:dyDescent="0.2">
      <c r="A6000" s="101"/>
    </row>
    <row r="6001" spans="1:1" x14ac:dyDescent="0.2">
      <c r="A6001" s="101"/>
    </row>
    <row r="6002" spans="1:1" x14ac:dyDescent="0.2">
      <c r="A6002" s="101"/>
    </row>
    <row r="6003" spans="1:1" x14ac:dyDescent="0.2">
      <c r="A6003" s="101"/>
    </row>
    <row r="6004" spans="1:1" x14ac:dyDescent="0.2">
      <c r="A6004" s="101"/>
    </row>
    <row r="6005" spans="1:1" x14ac:dyDescent="0.2">
      <c r="A6005" s="101"/>
    </row>
    <row r="6006" spans="1:1" x14ac:dyDescent="0.2">
      <c r="A6006" s="101"/>
    </row>
    <row r="6007" spans="1:1" x14ac:dyDescent="0.2">
      <c r="A6007" s="101"/>
    </row>
    <row r="6008" spans="1:1" x14ac:dyDescent="0.2">
      <c r="A6008" s="101"/>
    </row>
    <row r="6009" spans="1:1" x14ac:dyDescent="0.2">
      <c r="A6009" s="101"/>
    </row>
    <row r="6010" spans="1:1" x14ac:dyDescent="0.2">
      <c r="A6010" s="101"/>
    </row>
    <row r="6011" spans="1:1" x14ac:dyDescent="0.2">
      <c r="A6011" s="101"/>
    </row>
    <row r="6012" spans="1:1" x14ac:dyDescent="0.2">
      <c r="A6012" s="101"/>
    </row>
    <row r="6013" spans="1:1" x14ac:dyDescent="0.2">
      <c r="A6013" s="101"/>
    </row>
    <row r="6014" spans="1:1" x14ac:dyDescent="0.2">
      <c r="A6014" s="101"/>
    </row>
    <row r="6015" spans="1:1" x14ac:dyDescent="0.2">
      <c r="A6015" s="101"/>
    </row>
    <row r="6016" spans="1:1" x14ac:dyDescent="0.2">
      <c r="A6016" s="101"/>
    </row>
    <row r="6017" spans="1:1" x14ac:dyDescent="0.2">
      <c r="A6017" s="101"/>
    </row>
    <row r="6018" spans="1:1" x14ac:dyDescent="0.2">
      <c r="A6018" s="101"/>
    </row>
    <row r="6019" spans="1:1" x14ac:dyDescent="0.2">
      <c r="A6019" s="101"/>
    </row>
    <row r="6020" spans="1:1" x14ac:dyDescent="0.2">
      <c r="A6020" s="101"/>
    </row>
    <row r="6021" spans="1:1" x14ac:dyDescent="0.2">
      <c r="A6021" s="101"/>
    </row>
    <row r="6022" spans="1:1" x14ac:dyDescent="0.2">
      <c r="A6022" s="101"/>
    </row>
    <row r="6023" spans="1:1" x14ac:dyDescent="0.2">
      <c r="A6023" s="101"/>
    </row>
    <row r="6024" spans="1:1" x14ac:dyDescent="0.2">
      <c r="A6024" s="101"/>
    </row>
    <row r="6025" spans="1:1" x14ac:dyDescent="0.2">
      <c r="A6025" s="101"/>
    </row>
    <row r="6026" spans="1:1" x14ac:dyDescent="0.2">
      <c r="A6026" s="101"/>
    </row>
    <row r="6027" spans="1:1" x14ac:dyDescent="0.2">
      <c r="A6027" s="101"/>
    </row>
    <row r="6028" spans="1:1" x14ac:dyDescent="0.2">
      <c r="A6028" s="101"/>
    </row>
    <row r="6029" spans="1:1" x14ac:dyDescent="0.2">
      <c r="A6029" s="101"/>
    </row>
    <row r="6030" spans="1:1" x14ac:dyDescent="0.2">
      <c r="A6030" s="101"/>
    </row>
    <row r="6031" spans="1:1" x14ac:dyDescent="0.2">
      <c r="A6031" s="101"/>
    </row>
    <row r="6032" spans="1:1" x14ac:dyDescent="0.2">
      <c r="A6032" s="101"/>
    </row>
    <row r="6033" spans="1:1" x14ac:dyDescent="0.2">
      <c r="A6033" s="101"/>
    </row>
    <row r="6034" spans="1:1" x14ac:dyDescent="0.2">
      <c r="A6034" s="101"/>
    </row>
    <row r="6035" spans="1:1" x14ac:dyDescent="0.2">
      <c r="A6035" s="101"/>
    </row>
    <row r="6036" spans="1:1" x14ac:dyDescent="0.2">
      <c r="A6036" s="101"/>
    </row>
    <row r="6037" spans="1:1" x14ac:dyDescent="0.2">
      <c r="A6037" s="101"/>
    </row>
    <row r="6038" spans="1:1" x14ac:dyDescent="0.2">
      <c r="A6038" s="101"/>
    </row>
    <row r="6039" spans="1:1" x14ac:dyDescent="0.2">
      <c r="A6039" s="101"/>
    </row>
    <row r="6040" spans="1:1" x14ac:dyDescent="0.2">
      <c r="A6040" s="101"/>
    </row>
    <row r="6041" spans="1:1" x14ac:dyDescent="0.2">
      <c r="A6041" s="101"/>
    </row>
    <row r="6042" spans="1:1" x14ac:dyDescent="0.2">
      <c r="A6042" s="101"/>
    </row>
    <row r="6043" spans="1:1" x14ac:dyDescent="0.2">
      <c r="A6043" s="101"/>
    </row>
    <row r="6044" spans="1:1" x14ac:dyDescent="0.2">
      <c r="A6044" s="101"/>
    </row>
    <row r="6045" spans="1:1" x14ac:dyDescent="0.2">
      <c r="A6045" s="101"/>
    </row>
    <row r="6046" spans="1:1" x14ac:dyDescent="0.2">
      <c r="A6046" s="101"/>
    </row>
    <row r="6047" spans="1:1" x14ac:dyDescent="0.2">
      <c r="A6047" s="101"/>
    </row>
    <row r="6048" spans="1:1" x14ac:dyDescent="0.2">
      <c r="A6048" s="101"/>
    </row>
    <row r="6049" spans="1:1" x14ac:dyDescent="0.2">
      <c r="A6049" s="101"/>
    </row>
    <row r="6050" spans="1:1" x14ac:dyDescent="0.2">
      <c r="A6050" s="101"/>
    </row>
    <row r="6051" spans="1:1" x14ac:dyDescent="0.2">
      <c r="A6051" s="101"/>
    </row>
    <row r="6052" spans="1:1" x14ac:dyDescent="0.2">
      <c r="A6052" s="101"/>
    </row>
    <row r="6053" spans="1:1" x14ac:dyDescent="0.2">
      <c r="A6053" s="101"/>
    </row>
    <row r="6054" spans="1:1" x14ac:dyDescent="0.2">
      <c r="A6054" s="101"/>
    </row>
    <row r="6055" spans="1:1" x14ac:dyDescent="0.2">
      <c r="A6055" s="101"/>
    </row>
    <row r="6056" spans="1:1" x14ac:dyDescent="0.2">
      <c r="A6056" s="101"/>
    </row>
    <row r="6057" spans="1:1" x14ac:dyDescent="0.2">
      <c r="A6057" s="101"/>
    </row>
    <row r="6058" spans="1:1" x14ac:dyDescent="0.2">
      <c r="A6058" s="101"/>
    </row>
    <row r="6059" spans="1:1" x14ac:dyDescent="0.2">
      <c r="A6059" s="101"/>
    </row>
    <row r="6060" spans="1:1" x14ac:dyDescent="0.2">
      <c r="A6060" s="101"/>
    </row>
    <row r="6061" spans="1:1" x14ac:dyDescent="0.2">
      <c r="A6061" s="101"/>
    </row>
    <row r="6062" spans="1:1" x14ac:dyDescent="0.2">
      <c r="A6062" s="101"/>
    </row>
    <row r="6063" spans="1:1" x14ac:dyDescent="0.2">
      <c r="A6063" s="101"/>
    </row>
    <row r="6064" spans="1:1" x14ac:dyDescent="0.2">
      <c r="A6064" s="101"/>
    </row>
    <row r="6065" spans="1:1" x14ac:dyDescent="0.2">
      <c r="A6065" s="101"/>
    </row>
    <row r="6066" spans="1:1" x14ac:dyDescent="0.2">
      <c r="A6066" s="101"/>
    </row>
    <row r="6067" spans="1:1" x14ac:dyDescent="0.2">
      <c r="A6067" s="101"/>
    </row>
    <row r="6068" spans="1:1" x14ac:dyDescent="0.2">
      <c r="A6068" s="101"/>
    </row>
    <row r="6069" spans="1:1" x14ac:dyDescent="0.2">
      <c r="A6069" s="101"/>
    </row>
    <row r="6070" spans="1:1" x14ac:dyDescent="0.2">
      <c r="A6070" s="101"/>
    </row>
    <row r="6071" spans="1:1" x14ac:dyDescent="0.2">
      <c r="A6071" s="101"/>
    </row>
    <row r="6072" spans="1:1" x14ac:dyDescent="0.2">
      <c r="A6072" s="101"/>
    </row>
    <row r="6073" spans="1:1" x14ac:dyDescent="0.2">
      <c r="A6073" s="101"/>
    </row>
    <row r="6074" spans="1:1" x14ac:dyDescent="0.2">
      <c r="A6074" s="101"/>
    </row>
    <row r="6075" spans="1:1" x14ac:dyDescent="0.2">
      <c r="A6075" s="101"/>
    </row>
    <row r="6076" spans="1:1" x14ac:dyDescent="0.2">
      <c r="A6076" s="101"/>
    </row>
    <row r="6077" spans="1:1" x14ac:dyDescent="0.2">
      <c r="A6077" s="101"/>
    </row>
    <row r="6078" spans="1:1" x14ac:dyDescent="0.2">
      <c r="A6078" s="101"/>
    </row>
    <row r="6079" spans="1:1" x14ac:dyDescent="0.2">
      <c r="A6079" s="101"/>
    </row>
    <row r="6080" spans="1:1" x14ac:dyDescent="0.2">
      <c r="A6080" s="101"/>
    </row>
    <row r="6081" spans="1:1" x14ac:dyDescent="0.2">
      <c r="A6081" s="101"/>
    </row>
    <row r="6082" spans="1:1" x14ac:dyDescent="0.2">
      <c r="A6082" s="101"/>
    </row>
    <row r="6083" spans="1:1" x14ac:dyDescent="0.2">
      <c r="A6083" s="101"/>
    </row>
    <row r="6084" spans="1:1" x14ac:dyDescent="0.2">
      <c r="A6084" s="101"/>
    </row>
    <row r="6085" spans="1:1" x14ac:dyDescent="0.2">
      <c r="A6085" s="101"/>
    </row>
    <row r="6086" spans="1:1" x14ac:dyDescent="0.2">
      <c r="A6086" s="101"/>
    </row>
    <row r="6087" spans="1:1" x14ac:dyDescent="0.2">
      <c r="A6087" s="101"/>
    </row>
    <row r="6088" spans="1:1" x14ac:dyDescent="0.2">
      <c r="A6088" s="101"/>
    </row>
    <row r="6089" spans="1:1" x14ac:dyDescent="0.2">
      <c r="A6089" s="101"/>
    </row>
    <row r="6090" spans="1:1" x14ac:dyDescent="0.2">
      <c r="A6090" s="101"/>
    </row>
    <row r="6091" spans="1:1" x14ac:dyDescent="0.2">
      <c r="A6091" s="101"/>
    </row>
    <row r="6092" spans="1:1" x14ac:dyDescent="0.2">
      <c r="A6092" s="101"/>
    </row>
    <row r="6093" spans="1:1" x14ac:dyDescent="0.2">
      <c r="A6093" s="101"/>
    </row>
    <row r="6094" spans="1:1" x14ac:dyDescent="0.2">
      <c r="A6094" s="101"/>
    </row>
    <row r="6095" spans="1:1" x14ac:dyDescent="0.2">
      <c r="A6095" s="101"/>
    </row>
    <row r="6096" spans="1:1" x14ac:dyDescent="0.2">
      <c r="A6096" s="101"/>
    </row>
    <row r="6097" spans="1:1" x14ac:dyDescent="0.2">
      <c r="A6097" s="101"/>
    </row>
    <row r="6098" spans="1:1" x14ac:dyDescent="0.2">
      <c r="A6098" s="101"/>
    </row>
    <row r="6099" spans="1:1" x14ac:dyDescent="0.2">
      <c r="A6099" s="101"/>
    </row>
    <row r="6100" spans="1:1" x14ac:dyDescent="0.2">
      <c r="A6100" s="101"/>
    </row>
    <row r="6101" spans="1:1" x14ac:dyDescent="0.2">
      <c r="A6101" s="101"/>
    </row>
    <row r="6102" spans="1:1" x14ac:dyDescent="0.2">
      <c r="A6102" s="101"/>
    </row>
    <row r="6103" spans="1:1" x14ac:dyDescent="0.2">
      <c r="A6103" s="101"/>
    </row>
    <row r="6104" spans="1:1" x14ac:dyDescent="0.2">
      <c r="A6104" s="101"/>
    </row>
    <row r="6105" spans="1:1" x14ac:dyDescent="0.2">
      <c r="A6105" s="101"/>
    </row>
    <row r="6106" spans="1:1" x14ac:dyDescent="0.2">
      <c r="A6106" s="101"/>
    </row>
    <row r="6107" spans="1:1" x14ac:dyDescent="0.2">
      <c r="A6107" s="101"/>
    </row>
    <row r="6108" spans="1:1" x14ac:dyDescent="0.2">
      <c r="A6108" s="101"/>
    </row>
    <row r="6109" spans="1:1" x14ac:dyDescent="0.2">
      <c r="A6109" s="101"/>
    </row>
    <row r="6110" spans="1:1" x14ac:dyDescent="0.2">
      <c r="A6110" s="101"/>
    </row>
    <row r="6111" spans="1:1" x14ac:dyDescent="0.2">
      <c r="A6111" s="101"/>
    </row>
    <row r="6112" spans="1:1" x14ac:dyDescent="0.2">
      <c r="A6112" s="101"/>
    </row>
    <row r="6113" spans="1:1" x14ac:dyDescent="0.2">
      <c r="A6113" s="101"/>
    </row>
    <row r="6114" spans="1:1" x14ac:dyDescent="0.2">
      <c r="A6114" s="101"/>
    </row>
    <row r="6115" spans="1:1" x14ac:dyDescent="0.2">
      <c r="A6115" s="101"/>
    </row>
    <row r="6116" spans="1:1" x14ac:dyDescent="0.2">
      <c r="A6116" s="101"/>
    </row>
    <row r="6117" spans="1:1" x14ac:dyDescent="0.2">
      <c r="A6117" s="101"/>
    </row>
    <row r="6118" spans="1:1" x14ac:dyDescent="0.2">
      <c r="A6118" s="101"/>
    </row>
    <row r="6119" spans="1:1" x14ac:dyDescent="0.2">
      <c r="A6119" s="101"/>
    </row>
    <row r="6120" spans="1:1" x14ac:dyDescent="0.2">
      <c r="A6120" s="101"/>
    </row>
    <row r="6121" spans="1:1" x14ac:dyDescent="0.2">
      <c r="A6121" s="101"/>
    </row>
    <row r="6122" spans="1:1" x14ac:dyDescent="0.2">
      <c r="A6122" s="101"/>
    </row>
    <row r="6123" spans="1:1" x14ac:dyDescent="0.2">
      <c r="A6123" s="101"/>
    </row>
    <row r="6124" spans="1:1" x14ac:dyDescent="0.2">
      <c r="A6124" s="101"/>
    </row>
    <row r="6125" spans="1:1" x14ac:dyDescent="0.2">
      <c r="A6125" s="101"/>
    </row>
    <row r="6126" spans="1:1" x14ac:dyDescent="0.2">
      <c r="A6126" s="101"/>
    </row>
    <row r="6127" spans="1:1" x14ac:dyDescent="0.2">
      <c r="A6127" s="101"/>
    </row>
    <row r="6128" spans="1:1" x14ac:dyDescent="0.2">
      <c r="A6128" s="101"/>
    </row>
    <row r="6129" spans="1:1" x14ac:dyDescent="0.2">
      <c r="A6129" s="101"/>
    </row>
    <row r="6130" spans="1:1" x14ac:dyDescent="0.2">
      <c r="A6130" s="101"/>
    </row>
    <row r="6131" spans="1:1" x14ac:dyDescent="0.2">
      <c r="A6131" s="101"/>
    </row>
    <row r="6132" spans="1:1" x14ac:dyDescent="0.2">
      <c r="A6132" s="101"/>
    </row>
    <row r="6133" spans="1:1" x14ac:dyDescent="0.2">
      <c r="A6133" s="101"/>
    </row>
    <row r="6134" spans="1:1" x14ac:dyDescent="0.2">
      <c r="A6134" s="101"/>
    </row>
    <row r="6135" spans="1:1" x14ac:dyDescent="0.2">
      <c r="A6135" s="101"/>
    </row>
    <row r="6136" spans="1:1" x14ac:dyDescent="0.2">
      <c r="A6136" s="101"/>
    </row>
    <row r="6137" spans="1:1" x14ac:dyDescent="0.2">
      <c r="A6137" s="101"/>
    </row>
    <row r="6138" spans="1:1" x14ac:dyDescent="0.2">
      <c r="A6138" s="101"/>
    </row>
    <row r="6139" spans="1:1" x14ac:dyDescent="0.2">
      <c r="A6139" s="101"/>
    </row>
    <row r="6140" spans="1:1" x14ac:dyDescent="0.2">
      <c r="A6140" s="101"/>
    </row>
    <row r="6141" spans="1:1" x14ac:dyDescent="0.2">
      <c r="A6141" s="101"/>
    </row>
    <row r="6142" spans="1:1" x14ac:dyDescent="0.2">
      <c r="A6142" s="101"/>
    </row>
    <row r="6143" spans="1:1" x14ac:dyDescent="0.2">
      <c r="A6143" s="101"/>
    </row>
    <row r="6144" spans="1:1" x14ac:dyDescent="0.2">
      <c r="A6144" s="101"/>
    </row>
    <row r="6145" spans="1:1" x14ac:dyDescent="0.2">
      <c r="A6145" s="101"/>
    </row>
    <row r="6146" spans="1:1" x14ac:dyDescent="0.2">
      <c r="A6146" s="101"/>
    </row>
    <row r="6147" spans="1:1" x14ac:dyDescent="0.2">
      <c r="A6147" s="101"/>
    </row>
    <row r="6148" spans="1:1" x14ac:dyDescent="0.2">
      <c r="A6148" s="101"/>
    </row>
    <row r="6149" spans="1:1" x14ac:dyDescent="0.2">
      <c r="A6149" s="101"/>
    </row>
    <row r="6150" spans="1:1" x14ac:dyDescent="0.2">
      <c r="A6150" s="101"/>
    </row>
    <row r="6151" spans="1:1" x14ac:dyDescent="0.2">
      <c r="A6151" s="101"/>
    </row>
    <row r="6152" spans="1:1" x14ac:dyDescent="0.2">
      <c r="A6152" s="101"/>
    </row>
    <row r="6153" spans="1:1" x14ac:dyDescent="0.2">
      <c r="A6153" s="101"/>
    </row>
    <row r="6154" spans="1:1" x14ac:dyDescent="0.2">
      <c r="A6154" s="101"/>
    </row>
    <row r="6155" spans="1:1" x14ac:dyDescent="0.2">
      <c r="A6155" s="101"/>
    </row>
    <row r="6156" spans="1:1" x14ac:dyDescent="0.2">
      <c r="A6156" s="101"/>
    </row>
    <row r="6157" spans="1:1" x14ac:dyDescent="0.2">
      <c r="A6157" s="101"/>
    </row>
    <row r="6158" spans="1:1" x14ac:dyDescent="0.2">
      <c r="A6158" s="101"/>
    </row>
    <row r="6159" spans="1:1" x14ac:dyDescent="0.2">
      <c r="A6159" s="101"/>
    </row>
    <row r="6160" spans="1:1" x14ac:dyDescent="0.2">
      <c r="A6160" s="101"/>
    </row>
    <row r="6161" spans="1:1" x14ac:dyDescent="0.2">
      <c r="A6161" s="101"/>
    </row>
    <row r="6162" spans="1:1" x14ac:dyDescent="0.2">
      <c r="A6162" s="101"/>
    </row>
    <row r="6163" spans="1:1" x14ac:dyDescent="0.2">
      <c r="A6163" s="101"/>
    </row>
    <row r="6164" spans="1:1" x14ac:dyDescent="0.2">
      <c r="A6164" s="101"/>
    </row>
    <row r="6165" spans="1:1" x14ac:dyDescent="0.2">
      <c r="A6165" s="101"/>
    </row>
    <row r="6166" spans="1:1" x14ac:dyDescent="0.2">
      <c r="A6166" s="101"/>
    </row>
    <row r="6167" spans="1:1" x14ac:dyDescent="0.2">
      <c r="A6167" s="101"/>
    </row>
    <row r="6168" spans="1:1" x14ac:dyDescent="0.2">
      <c r="A6168" s="101"/>
    </row>
    <row r="6169" spans="1:1" x14ac:dyDescent="0.2">
      <c r="A6169" s="101"/>
    </row>
    <row r="6170" spans="1:1" x14ac:dyDescent="0.2">
      <c r="A6170" s="101"/>
    </row>
    <row r="6171" spans="1:1" x14ac:dyDescent="0.2">
      <c r="A6171" s="101"/>
    </row>
    <row r="6172" spans="1:1" x14ac:dyDescent="0.2">
      <c r="A6172" s="101"/>
    </row>
    <row r="6173" spans="1:1" x14ac:dyDescent="0.2">
      <c r="A6173" s="101"/>
    </row>
    <row r="6174" spans="1:1" x14ac:dyDescent="0.2">
      <c r="A6174" s="101"/>
    </row>
    <row r="6175" spans="1:1" x14ac:dyDescent="0.2">
      <c r="A6175" s="101"/>
    </row>
    <row r="6176" spans="1:1" x14ac:dyDescent="0.2">
      <c r="A6176" s="101"/>
    </row>
    <row r="6177" spans="1:1" x14ac:dyDescent="0.2">
      <c r="A6177" s="101"/>
    </row>
    <row r="6178" spans="1:1" x14ac:dyDescent="0.2">
      <c r="A6178" s="101"/>
    </row>
    <row r="6179" spans="1:1" x14ac:dyDescent="0.2">
      <c r="A6179" s="101"/>
    </row>
    <row r="6180" spans="1:1" x14ac:dyDescent="0.2">
      <c r="A6180" s="101"/>
    </row>
    <row r="6181" spans="1:1" x14ac:dyDescent="0.2">
      <c r="A6181" s="101"/>
    </row>
    <row r="6182" spans="1:1" x14ac:dyDescent="0.2">
      <c r="A6182" s="101"/>
    </row>
    <row r="6183" spans="1:1" x14ac:dyDescent="0.2">
      <c r="A6183" s="101"/>
    </row>
    <row r="6184" spans="1:1" x14ac:dyDescent="0.2">
      <c r="A6184" s="101"/>
    </row>
    <row r="6185" spans="1:1" x14ac:dyDescent="0.2">
      <c r="A6185" s="101"/>
    </row>
    <row r="6186" spans="1:1" x14ac:dyDescent="0.2">
      <c r="A6186" s="101"/>
    </row>
    <row r="6187" spans="1:1" x14ac:dyDescent="0.2">
      <c r="A6187" s="101"/>
    </row>
    <row r="6188" spans="1:1" x14ac:dyDescent="0.2">
      <c r="A6188" s="101"/>
    </row>
    <row r="6189" spans="1:1" x14ac:dyDescent="0.2">
      <c r="A6189" s="101"/>
    </row>
    <row r="6190" spans="1:1" x14ac:dyDescent="0.2">
      <c r="A6190" s="101"/>
    </row>
    <row r="6191" spans="1:1" x14ac:dyDescent="0.2">
      <c r="A6191" s="101"/>
    </row>
    <row r="6192" spans="1:1" x14ac:dyDescent="0.2">
      <c r="A6192" s="101"/>
    </row>
    <row r="6193" spans="1:1" x14ac:dyDescent="0.2">
      <c r="A6193" s="101"/>
    </row>
    <row r="6194" spans="1:1" x14ac:dyDescent="0.2">
      <c r="A6194" s="101"/>
    </row>
    <row r="6195" spans="1:1" x14ac:dyDescent="0.2">
      <c r="A6195" s="101"/>
    </row>
    <row r="6196" spans="1:1" x14ac:dyDescent="0.2">
      <c r="A6196" s="101"/>
    </row>
    <row r="6197" spans="1:1" x14ac:dyDescent="0.2">
      <c r="A6197" s="101"/>
    </row>
    <row r="6198" spans="1:1" x14ac:dyDescent="0.2">
      <c r="A6198" s="101"/>
    </row>
    <row r="6199" spans="1:1" x14ac:dyDescent="0.2">
      <c r="A6199" s="101"/>
    </row>
    <row r="6200" spans="1:1" x14ac:dyDescent="0.2">
      <c r="A6200" s="101"/>
    </row>
    <row r="6201" spans="1:1" x14ac:dyDescent="0.2">
      <c r="A6201" s="101"/>
    </row>
    <row r="6202" spans="1:1" x14ac:dyDescent="0.2">
      <c r="A6202" s="101"/>
    </row>
    <row r="6203" spans="1:1" x14ac:dyDescent="0.2">
      <c r="A6203" s="101"/>
    </row>
    <row r="6204" spans="1:1" x14ac:dyDescent="0.2">
      <c r="A6204" s="101"/>
    </row>
    <row r="6205" spans="1:1" x14ac:dyDescent="0.2">
      <c r="A6205" s="101"/>
    </row>
    <row r="6206" spans="1:1" x14ac:dyDescent="0.2">
      <c r="A6206" s="101"/>
    </row>
    <row r="6207" spans="1:1" x14ac:dyDescent="0.2">
      <c r="A6207" s="101"/>
    </row>
    <row r="6208" spans="1:1" x14ac:dyDescent="0.2">
      <c r="A6208" s="101"/>
    </row>
    <row r="6209" spans="1:1" x14ac:dyDescent="0.2">
      <c r="A6209" s="101"/>
    </row>
    <row r="6210" spans="1:1" x14ac:dyDescent="0.2">
      <c r="A6210" s="101"/>
    </row>
    <row r="6211" spans="1:1" x14ac:dyDescent="0.2">
      <c r="A6211" s="101"/>
    </row>
    <row r="6212" spans="1:1" x14ac:dyDescent="0.2">
      <c r="A6212" s="101"/>
    </row>
    <row r="6213" spans="1:1" x14ac:dyDescent="0.2">
      <c r="A6213" s="101"/>
    </row>
    <row r="6214" spans="1:1" x14ac:dyDescent="0.2">
      <c r="A6214" s="101"/>
    </row>
    <row r="6215" spans="1:1" x14ac:dyDescent="0.2">
      <c r="A6215" s="101"/>
    </row>
    <row r="6216" spans="1:1" x14ac:dyDescent="0.2">
      <c r="A6216" s="101"/>
    </row>
    <row r="6217" spans="1:1" x14ac:dyDescent="0.2">
      <c r="A6217" s="101"/>
    </row>
    <row r="6218" spans="1:1" x14ac:dyDescent="0.2">
      <c r="A6218" s="101"/>
    </row>
    <row r="6219" spans="1:1" x14ac:dyDescent="0.2">
      <c r="A6219" s="101"/>
    </row>
    <row r="6220" spans="1:1" x14ac:dyDescent="0.2">
      <c r="A6220" s="101"/>
    </row>
    <row r="6221" spans="1:1" x14ac:dyDescent="0.2">
      <c r="A6221" s="101"/>
    </row>
    <row r="6222" spans="1:1" x14ac:dyDescent="0.2">
      <c r="A6222" s="101"/>
    </row>
    <row r="6223" spans="1:1" x14ac:dyDescent="0.2">
      <c r="A6223" s="101"/>
    </row>
    <row r="6224" spans="1:1" x14ac:dyDescent="0.2">
      <c r="A6224" s="101"/>
    </row>
    <row r="6225" spans="1:1" x14ac:dyDescent="0.2">
      <c r="A6225" s="101"/>
    </row>
    <row r="6226" spans="1:1" x14ac:dyDescent="0.2">
      <c r="A6226" s="101"/>
    </row>
    <row r="6227" spans="1:1" x14ac:dyDescent="0.2">
      <c r="A6227" s="101"/>
    </row>
    <row r="6228" spans="1:1" x14ac:dyDescent="0.2">
      <c r="A6228" s="101"/>
    </row>
    <row r="6229" spans="1:1" x14ac:dyDescent="0.2">
      <c r="A6229" s="101"/>
    </row>
    <row r="6230" spans="1:1" x14ac:dyDescent="0.2">
      <c r="A6230" s="101"/>
    </row>
    <row r="6231" spans="1:1" x14ac:dyDescent="0.2">
      <c r="A6231" s="101"/>
    </row>
    <row r="6232" spans="1:1" x14ac:dyDescent="0.2">
      <c r="A6232" s="101"/>
    </row>
    <row r="6233" spans="1:1" x14ac:dyDescent="0.2">
      <c r="A6233" s="101"/>
    </row>
    <row r="6234" spans="1:1" x14ac:dyDescent="0.2">
      <c r="A6234" s="101"/>
    </row>
    <row r="6235" spans="1:1" x14ac:dyDescent="0.2">
      <c r="A6235" s="101"/>
    </row>
    <row r="6236" spans="1:1" x14ac:dyDescent="0.2">
      <c r="A6236" s="101"/>
    </row>
    <row r="6237" spans="1:1" x14ac:dyDescent="0.2">
      <c r="A6237" s="101"/>
    </row>
    <row r="6238" spans="1:1" x14ac:dyDescent="0.2">
      <c r="A6238" s="101"/>
    </row>
    <row r="6239" spans="1:1" x14ac:dyDescent="0.2">
      <c r="A6239" s="101"/>
    </row>
    <row r="6240" spans="1:1" x14ac:dyDescent="0.2">
      <c r="A6240" s="101"/>
    </row>
    <row r="6241" spans="1:1" x14ac:dyDescent="0.2">
      <c r="A6241" s="101"/>
    </row>
    <row r="6242" spans="1:1" x14ac:dyDescent="0.2">
      <c r="A6242" s="101"/>
    </row>
    <row r="6243" spans="1:1" x14ac:dyDescent="0.2">
      <c r="A6243" s="101"/>
    </row>
    <row r="6244" spans="1:1" x14ac:dyDescent="0.2">
      <c r="A6244" s="101"/>
    </row>
    <row r="6245" spans="1:1" x14ac:dyDescent="0.2">
      <c r="A6245" s="101"/>
    </row>
    <row r="6246" spans="1:1" x14ac:dyDescent="0.2">
      <c r="A6246" s="101"/>
    </row>
    <row r="6247" spans="1:1" x14ac:dyDescent="0.2">
      <c r="A6247" s="101"/>
    </row>
    <row r="6248" spans="1:1" x14ac:dyDescent="0.2">
      <c r="A6248" s="101"/>
    </row>
    <row r="6249" spans="1:1" x14ac:dyDescent="0.2">
      <c r="A6249" s="101"/>
    </row>
    <row r="6250" spans="1:1" x14ac:dyDescent="0.2">
      <c r="A6250" s="101"/>
    </row>
    <row r="6251" spans="1:1" x14ac:dyDescent="0.2">
      <c r="A6251" s="101"/>
    </row>
    <row r="6252" spans="1:1" x14ac:dyDescent="0.2">
      <c r="A6252" s="101"/>
    </row>
    <row r="6253" spans="1:1" x14ac:dyDescent="0.2">
      <c r="A6253" s="101"/>
    </row>
    <row r="6254" spans="1:1" x14ac:dyDescent="0.2">
      <c r="A6254" s="101"/>
    </row>
    <row r="6255" spans="1:1" x14ac:dyDescent="0.2">
      <c r="A6255" s="101"/>
    </row>
    <row r="6256" spans="1:1" x14ac:dyDescent="0.2">
      <c r="A6256" s="101"/>
    </row>
    <row r="6257" spans="1:1" x14ac:dyDescent="0.2">
      <c r="A6257" s="101"/>
    </row>
    <row r="6258" spans="1:1" x14ac:dyDescent="0.2">
      <c r="A6258" s="101"/>
    </row>
    <row r="6259" spans="1:1" x14ac:dyDescent="0.2">
      <c r="A6259" s="101"/>
    </row>
    <row r="6260" spans="1:1" x14ac:dyDescent="0.2">
      <c r="A6260" s="101"/>
    </row>
    <row r="6261" spans="1:1" x14ac:dyDescent="0.2">
      <c r="A6261" s="101"/>
    </row>
    <row r="6262" spans="1:1" x14ac:dyDescent="0.2">
      <c r="A6262" s="101"/>
    </row>
    <row r="6263" spans="1:1" x14ac:dyDescent="0.2">
      <c r="A6263" s="101"/>
    </row>
    <row r="6264" spans="1:1" x14ac:dyDescent="0.2">
      <c r="A6264" s="101"/>
    </row>
    <row r="6265" spans="1:1" x14ac:dyDescent="0.2">
      <c r="A6265" s="101"/>
    </row>
    <row r="6266" spans="1:1" x14ac:dyDescent="0.2">
      <c r="A6266" s="101"/>
    </row>
    <row r="6267" spans="1:1" x14ac:dyDescent="0.2">
      <c r="A6267" s="101"/>
    </row>
    <row r="6268" spans="1:1" x14ac:dyDescent="0.2">
      <c r="A6268" s="101"/>
    </row>
    <row r="6269" spans="1:1" x14ac:dyDescent="0.2">
      <c r="A6269" s="101"/>
    </row>
    <row r="6270" spans="1:1" x14ac:dyDescent="0.2">
      <c r="A6270" s="101"/>
    </row>
    <row r="6271" spans="1:1" x14ac:dyDescent="0.2">
      <c r="A6271" s="101"/>
    </row>
    <row r="6272" spans="1:1" x14ac:dyDescent="0.2">
      <c r="A6272" s="101"/>
    </row>
    <row r="6273" spans="1:1" x14ac:dyDescent="0.2">
      <c r="A6273" s="101"/>
    </row>
    <row r="6274" spans="1:1" x14ac:dyDescent="0.2">
      <c r="A6274" s="101"/>
    </row>
    <row r="6275" spans="1:1" x14ac:dyDescent="0.2">
      <c r="A6275" s="101"/>
    </row>
    <row r="6276" spans="1:1" x14ac:dyDescent="0.2">
      <c r="A6276" s="101"/>
    </row>
    <row r="6277" spans="1:1" x14ac:dyDescent="0.2">
      <c r="A6277" s="101"/>
    </row>
    <row r="6278" spans="1:1" x14ac:dyDescent="0.2">
      <c r="A6278" s="101"/>
    </row>
    <row r="6279" spans="1:1" x14ac:dyDescent="0.2">
      <c r="A6279" s="101"/>
    </row>
    <row r="6280" spans="1:1" x14ac:dyDescent="0.2">
      <c r="A6280" s="101"/>
    </row>
    <row r="6281" spans="1:1" x14ac:dyDescent="0.2">
      <c r="A6281" s="101"/>
    </row>
    <row r="6282" spans="1:1" x14ac:dyDescent="0.2">
      <c r="A6282" s="101"/>
    </row>
    <row r="6283" spans="1:1" x14ac:dyDescent="0.2">
      <c r="A6283" s="101"/>
    </row>
    <row r="6284" spans="1:1" x14ac:dyDescent="0.2">
      <c r="A6284" s="101"/>
    </row>
    <row r="6285" spans="1:1" x14ac:dyDescent="0.2">
      <c r="A6285" s="101"/>
    </row>
    <row r="6286" spans="1:1" x14ac:dyDescent="0.2">
      <c r="A6286" s="101"/>
    </row>
    <row r="6287" spans="1:1" x14ac:dyDescent="0.2">
      <c r="A6287" s="101"/>
    </row>
    <row r="6288" spans="1:1" x14ac:dyDescent="0.2">
      <c r="A6288" s="101"/>
    </row>
    <row r="6289" spans="1:1" x14ac:dyDescent="0.2">
      <c r="A6289" s="101"/>
    </row>
    <row r="6290" spans="1:1" x14ac:dyDescent="0.2">
      <c r="A6290" s="101"/>
    </row>
    <row r="6291" spans="1:1" x14ac:dyDescent="0.2">
      <c r="A6291" s="101"/>
    </row>
    <row r="6292" spans="1:1" x14ac:dyDescent="0.2">
      <c r="A6292" s="101"/>
    </row>
    <row r="6293" spans="1:1" x14ac:dyDescent="0.2">
      <c r="A6293" s="101"/>
    </row>
    <row r="6294" spans="1:1" x14ac:dyDescent="0.2">
      <c r="A6294" s="101"/>
    </row>
    <row r="6295" spans="1:1" x14ac:dyDescent="0.2">
      <c r="A6295" s="101"/>
    </row>
    <row r="6296" spans="1:1" x14ac:dyDescent="0.2">
      <c r="A6296" s="101"/>
    </row>
    <row r="6297" spans="1:1" x14ac:dyDescent="0.2">
      <c r="A6297" s="101"/>
    </row>
    <row r="6298" spans="1:1" x14ac:dyDescent="0.2">
      <c r="A6298" s="101"/>
    </row>
    <row r="6299" spans="1:1" x14ac:dyDescent="0.2">
      <c r="A6299" s="101"/>
    </row>
    <row r="6300" spans="1:1" x14ac:dyDescent="0.2">
      <c r="A6300" s="101"/>
    </row>
    <row r="6301" spans="1:1" x14ac:dyDescent="0.2">
      <c r="A6301" s="101"/>
    </row>
    <row r="6302" spans="1:1" x14ac:dyDescent="0.2">
      <c r="A6302" s="101"/>
    </row>
    <row r="6303" spans="1:1" x14ac:dyDescent="0.2">
      <c r="A6303" s="101"/>
    </row>
    <row r="6304" spans="1:1" x14ac:dyDescent="0.2">
      <c r="A6304" s="101"/>
    </row>
    <row r="6305" spans="1:1" x14ac:dyDescent="0.2">
      <c r="A6305" s="101"/>
    </row>
    <row r="6306" spans="1:1" x14ac:dyDescent="0.2">
      <c r="A6306" s="101"/>
    </row>
    <row r="6307" spans="1:1" x14ac:dyDescent="0.2">
      <c r="A6307" s="101"/>
    </row>
    <row r="6308" spans="1:1" x14ac:dyDescent="0.2">
      <c r="A6308" s="101"/>
    </row>
    <row r="6309" spans="1:1" x14ac:dyDescent="0.2">
      <c r="A6309" s="101"/>
    </row>
    <row r="6310" spans="1:1" x14ac:dyDescent="0.2">
      <c r="A6310" s="101"/>
    </row>
    <row r="6311" spans="1:1" x14ac:dyDescent="0.2">
      <c r="A6311" s="101"/>
    </row>
    <row r="6312" spans="1:1" x14ac:dyDescent="0.2">
      <c r="A6312" s="101"/>
    </row>
    <row r="6313" spans="1:1" x14ac:dyDescent="0.2">
      <c r="A6313" s="101"/>
    </row>
    <row r="6314" spans="1:1" x14ac:dyDescent="0.2">
      <c r="A6314" s="101"/>
    </row>
    <row r="6315" spans="1:1" x14ac:dyDescent="0.2">
      <c r="A6315" s="101"/>
    </row>
    <row r="6316" spans="1:1" x14ac:dyDescent="0.2">
      <c r="A6316" s="101"/>
    </row>
    <row r="6317" spans="1:1" x14ac:dyDescent="0.2">
      <c r="A6317" s="101"/>
    </row>
    <row r="6318" spans="1:1" x14ac:dyDescent="0.2">
      <c r="A6318" s="101"/>
    </row>
    <row r="6319" spans="1:1" x14ac:dyDescent="0.2">
      <c r="A6319" s="101"/>
    </row>
    <row r="6320" spans="1:1" x14ac:dyDescent="0.2">
      <c r="A6320" s="101"/>
    </row>
    <row r="6321" spans="1:1" x14ac:dyDescent="0.2">
      <c r="A6321" s="101"/>
    </row>
    <row r="6322" spans="1:1" x14ac:dyDescent="0.2">
      <c r="A6322" s="101"/>
    </row>
    <row r="6323" spans="1:1" x14ac:dyDescent="0.2">
      <c r="A6323" s="101"/>
    </row>
    <row r="6324" spans="1:1" x14ac:dyDescent="0.2">
      <c r="A6324" s="101"/>
    </row>
    <row r="6325" spans="1:1" x14ac:dyDescent="0.2">
      <c r="A6325" s="101"/>
    </row>
    <row r="6326" spans="1:1" x14ac:dyDescent="0.2">
      <c r="A6326" s="101"/>
    </row>
    <row r="6327" spans="1:1" x14ac:dyDescent="0.2">
      <c r="A6327" s="101"/>
    </row>
    <row r="6328" spans="1:1" x14ac:dyDescent="0.2">
      <c r="A6328" s="101"/>
    </row>
    <row r="6329" spans="1:1" x14ac:dyDescent="0.2">
      <c r="A6329" s="101"/>
    </row>
    <row r="6330" spans="1:1" x14ac:dyDescent="0.2">
      <c r="A6330" s="101"/>
    </row>
    <row r="6331" spans="1:1" x14ac:dyDescent="0.2">
      <c r="A6331" s="101"/>
    </row>
    <row r="6332" spans="1:1" x14ac:dyDescent="0.2">
      <c r="A6332" s="101"/>
    </row>
    <row r="6333" spans="1:1" x14ac:dyDescent="0.2">
      <c r="A6333" s="101"/>
    </row>
    <row r="6334" spans="1:1" x14ac:dyDescent="0.2">
      <c r="A6334" s="101"/>
    </row>
    <row r="6335" spans="1:1" x14ac:dyDescent="0.2">
      <c r="A6335" s="101"/>
    </row>
    <row r="6336" spans="1:1" x14ac:dyDescent="0.2">
      <c r="A6336" s="101"/>
    </row>
    <row r="6337" spans="1:1" x14ac:dyDescent="0.2">
      <c r="A6337" s="101"/>
    </row>
    <row r="6338" spans="1:1" x14ac:dyDescent="0.2">
      <c r="A6338" s="101"/>
    </row>
    <row r="6339" spans="1:1" x14ac:dyDescent="0.2">
      <c r="A6339" s="101"/>
    </row>
    <row r="6340" spans="1:1" x14ac:dyDescent="0.2">
      <c r="A6340" s="101"/>
    </row>
    <row r="6341" spans="1:1" x14ac:dyDescent="0.2">
      <c r="A6341" s="101"/>
    </row>
    <row r="6342" spans="1:1" x14ac:dyDescent="0.2">
      <c r="A6342" s="101"/>
    </row>
    <row r="6343" spans="1:1" x14ac:dyDescent="0.2">
      <c r="A6343" s="101"/>
    </row>
    <row r="6344" spans="1:1" x14ac:dyDescent="0.2">
      <c r="A6344" s="101"/>
    </row>
    <row r="6345" spans="1:1" x14ac:dyDescent="0.2">
      <c r="A6345" s="101"/>
    </row>
    <row r="6346" spans="1:1" x14ac:dyDescent="0.2">
      <c r="A6346" s="101"/>
    </row>
    <row r="6347" spans="1:1" x14ac:dyDescent="0.2">
      <c r="A6347" s="101"/>
    </row>
    <row r="6348" spans="1:1" x14ac:dyDescent="0.2">
      <c r="A6348" s="101"/>
    </row>
    <row r="6349" spans="1:1" x14ac:dyDescent="0.2">
      <c r="A6349" s="101"/>
    </row>
    <row r="6350" spans="1:1" x14ac:dyDescent="0.2">
      <c r="A6350" s="101"/>
    </row>
    <row r="6351" spans="1:1" x14ac:dyDescent="0.2">
      <c r="A6351" s="101"/>
    </row>
    <row r="6352" spans="1:1" x14ac:dyDescent="0.2">
      <c r="A6352" s="101"/>
    </row>
    <row r="6353" spans="1:1" x14ac:dyDescent="0.2">
      <c r="A6353" s="101"/>
    </row>
    <row r="6354" spans="1:1" x14ac:dyDescent="0.2">
      <c r="A6354" s="101"/>
    </row>
    <row r="6355" spans="1:1" x14ac:dyDescent="0.2">
      <c r="A6355" s="101"/>
    </row>
    <row r="6356" spans="1:1" x14ac:dyDescent="0.2">
      <c r="A6356" s="101"/>
    </row>
    <row r="6357" spans="1:1" x14ac:dyDescent="0.2">
      <c r="A6357" s="101"/>
    </row>
    <row r="6358" spans="1:1" x14ac:dyDescent="0.2">
      <c r="A6358" s="101"/>
    </row>
    <row r="6359" spans="1:1" x14ac:dyDescent="0.2">
      <c r="A6359" s="101"/>
    </row>
    <row r="6360" spans="1:1" x14ac:dyDescent="0.2">
      <c r="A6360" s="101"/>
    </row>
    <row r="6361" spans="1:1" x14ac:dyDescent="0.2">
      <c r="A6361" s="101"/>
    </row>
    <row r="6362" spans="1:1" x14ac:dyDescent="0.2">
      <c r="A6362" s="101"/>
    </row>
    <row r="6363" spans="1:1" x14ac:dyDescent="0.2">
      <c r="A6363" s="101"/>
    </row>
    <row r="6364" spans="1:1" x14ac:dyDescent="0.2">
      <c r="A6364" s="101"/>
    </row>
    <row r="6365" spans="1:1" x14ac:dyDescent="0.2">
      <c r="A6365" s="101"/>
    </row>
    <row r="6366" spans="1:1" x14ac:dyDescent="0.2">
      <c r="A6366" s="101"/>
    </row>
    <row r="6367" spans="1:1" x14ac:dyDescent="0.2">
      <c r="A6367" s="101"/>
    </row>
    <row r="6368" spans="1:1" x14ac:dyDescent="0.2">
      <c r="A6368" s="101"/>
    </row>
    <row r="6369" spans="1:1" x14ac:dyDescent="0.2">
      <c r="A6369" s="101"/>
    </row>
    <row r="6370" spans="1:1" x14ac:dyDescent="0.2">
      <c r="A6370" s="101"/>
    </row>
    <row r="6371" spans="1:1" x14ac:dyDescent="0.2">
      <c r="A6371" s="101"/>
    </row>
    <row r="6372" spans="1:1" x14ac:dyDescent="0.2">
      <c r="A6372" s="101"/>
    </row>
    <row r="6373" spans="1:1" x14ac:dyDescent="0.2">
      <c r="A6373" s="101"/>
    </row>
    <row r="6374" spans="1:1" x14ac:dyDescent="0.2">
      <c r="A6374" s="101"/>
    </row>
    <row r="6375" spans="1:1" x14ac:dyDescent="0.2">
      <c r="A6375" s="101"/>
    </row>
    <row r="6376" spans="1:1" x14ac:dyDescent="0.2">
      <c r="A6376" s="101"/>
    </row>
    <row r="6377" spans="1:1" x14ac:dyDescent="0.2">
      <c r="A6377" s="101"/>
    </row>
    <row r="6378" spans="1:1" x14ac:dyDescent="0.2">
      <c r="A6378" s="101"/>
    </row>
    <row r="6379" spans="1:1" x14ac:dyDescent="0.2">
      <c r="A6379" s="101"/>
    </row>
    <row r="6380" spans="1:1" x14ac:dyDescent="0.2">
      <c r="A6380" s="101"/>
    </row>
    <row r="6381" spans="1:1" x14ac:dyDescent="0.2">
      <c r="A6381" s="101"/>
    </row>
    <row r="6382" spans="1:1" x14ac:dyDescent="0.2">
      <c r="A6382" s="101"/>
    </row>
    <row r="6383" spans="1:1" x14ac:dyDescent="0.2">
      <c r="A6383" s="101"/>
    </row>
    <row r="6384" spans="1:1" x14ac:dyDescent="0.2">
      <c r="A6384" s="101"/>
    </row>
    <row r="6385" spans="1:1" x14ac:dyDescent="0.2">
      <c r="A6385" s="101"/>
    </row>
    <row r="6386" spans="1:1" x14ac:dyDescent="0.2">
      <c r="A6386" s="101"/>
    </row>
    <row r="6387" spans="1:1" x14ac:dyDescent="0.2">
      <c r="A6387" s="101"/>
    </row>
    <row r="6388" spans="1:1" x14ac:dyDescent="0.2">
      <c r="A6388" s="101"/>
    </row>
    <row r="6389" spans="1:1" x14ac:dyDescent="0.2">
      <c r="A6389" s="101"/>
    </row>
    <row r="6390" spans="1:1" x14ac:dyDescent="0.2">
      <c r="A6390" s="101"/>
    </row>
    <row r="6391" spans="1:1" x14ac:dyDescent="0.2">
      <c r="A6391" s="101"/>
    </row>
    <row r="6392" spans="1:1" x14ac:dyDescent="0.2">
      <c r="A6392" s="101"/>
    </row>
    <row r="6393" spans="1:1" x14ac:dyDescent="0.2">
      <c r="A6393" s="101"/>
    </row>
    <row r="6394" spans="1:1" x14ac:dyDescent="0.2">
      <c r="A6394" s="101"/>
    </row>
    <row r="6395" spans="1:1" x14ac:dyDescent="0.2">
      <c r="A6395" s="101"/>
    </row>
    <row r="6396" spans="1:1" x14ac:dyDescent="0.2">
      <c r="A6396" s="101"/>
    </row>
    <row r="6397" spans="1:1" x14ac:dyDescent="0.2">
      <c r="A6397" s="101"/>
    </row>
    <row r="6398" spans="1:1" x14ac:dyDescent="0.2">
      <c r="A6398" s="101"/>
    </row>
    <row r="6399" spans="1:1" x14ac:dyDescent="0.2">
      <c r="A6399" s="101"/>
    </row>
    <row r="6400" spans="1:1" x14ac:dyDescent="0.2">
      <c r="A6400" s="101"/>
    </row>
    <row r="6401" spans="1:1" x14ac:dyDescent="0.2">
      <c r="A6401" s="101"/>
    </row>
    <row r="6402" spans="1:1" x14ac:dyDescent="0.2">
      <c r="A6402" s="101"/>
    </row>
    <row r="6403" spans="1:1" x14ac:dyDescent="0.2">
      <c r="A6403" s="101"/>
    </row>
    <row r="6404" spans="1:1" x14ac:dyDescent="0.2">
      <c r="A6404" s="101"/>
    </row>
    <row r="6405" spans="1:1" x14ac:dyDescent="0.2">
      <c r="A6405" s="101"/>
    </row>
    <row r="6406" spans="1:1" x14ac:dyDescent="0.2">
      <c r="A6406" s="101"/>
    </row>
    <row r="6407" spans="1:1" x14ac:dyDescent="0.2">
      <c r="A6407" s="101"/>
    </row>
    <row r="6408" spans="1:1" x14ac:dyDescent="0.2">
      <c r="A6408" s="101"/>
    </row>
    <row r="6409" spans="1:1" x14ac:dyDescent="0.2">
      <c r="A6409" s="101"/>
    </row>
    <row r="6410" spans="1:1" x14ac:dyDescent="0.2">
      <c r="A6410" s="101"/>
    </row>
    <row r="6411" spans="1:1" x14ac:dyDescent="0.2">
      <c r="A6411" s="101"/>
    </row>
    <row r="6412" spans="1:1" x14ac:dyDescent="0.2">
      <c r="A6412" s="101"/>
    </row>
    <row r="6413" spans="1:1" x14ac:dyDescent="0.2">
      <c r="A6413" s="101"/>
    </row>
    <row r="6414" spans="1:1" x14ac:dyDescent="0.2">
      <c r="A6414" s="101"/>
    </row>
    <row r="6415" spans="1:1" x14ac:dyDescent="0.2">
      <c r="A6415" s="101"/>
    </row>
    <row r="6416" spans="1:1" x14ac:dyDescent="0.2">
      <c r="A6416" s="101"/>
    </row>
    <row r="6417" spans="1:1" x14ac:dyDescent="0.2">
      <c r="A6417" s="101"/>
    </row>
    <row r="6418" spans="1:1" x14ac:dyDescent="0.2">
      <c r="A6418" s="101"/>
    </row>
    <row r="6419" spans="1:1" x14ac:dyDescent="0.2">
      <c r="A6419" s="101"/>
    </row>
    <row r="6420" spans="1:1" x14ac:dyDescent="0.2">
      <c r="A6420" s="101"/>
    </row>
    <row r="6421" spans="1:1" x14ac:dyDescent="0.2">
      <c r="A6421" s="101"/>
    </row>
    <row r="6422" spans="1:1" x14ac:dyDescent="0.2">
      <c r="A6422" s="101"/>
    </row>
    <row r="6423" spans="1:1" x14ac:dyDescent="0.2">
      <c r="A6423" s="101"/>
    </row>
    <row r="6424" spans="1:1" x14ac:dyDescent="0.2">
      <c r="A6424" s="101"/>
    </row>
    <row r="6425" spans="1:1" x14ac:dyDescent="0.2">
      <c r="A6425" s="101"/>
    </row>
    <row r="6426" spans="1:1" x14ac:dyDescent="0.2">
      <c r="A6426" s="101"/>
    </row>
    <row r="6427" spans="1:1" x14ac:dyDescent="0.2">
      <c r="A6427" s="101"/>
    </row>
    <row r="6428" spans="1:1" x14ac:dyDescent="0.2">
      <c r="A6428" s="101"/>
    </row>
    <row r="6429" spans="1:1" x14ac:dyDescent="0.2">
      <c r="A6429" s="101"/>
    </row>
    <row r="6430" spans="1:1" x14ac:dyDescent="0.2">
      <c r="A6430" s="101"/>
    </row>
    <row r="6431" spans="1:1" x14ac:dyDescent="0.2">
      <c r="A6431" s="101"/>
    </row>
    <row r="6432" spans="1:1" x14ac:dyDescent="0.2">
      <c r="A6432" s="101"/>
    </row>
    <row r="6433" spans="1:1" x14ac:dyDescent="0.2">
      <c r="A6433" s="101"/>
    </row>
    <row r="6434" spans="1:1" x14ac:dyDescent="0.2">
      <c r="A6434" s="101"/>
    </row>
    <row r="6435" spans="1:1" x14ac:dyDescent="0.2">
      <c r="A6435" s="101"/>
    </row>
    <row r="6436" spans="1:1" x14ac:dyDescent="0.2">
      <c r="A6436" s="101"/>
    </row>
    <row r="6437" spans="1:1" x14ac:dyDescent="0.2">
      <c r="A6437" s="101"/>
    </row>
    <row r="6438" spans="1:1" x14ac:dyDescent="0.2">
      <c r="A6438" s="101"/>
    </row>
    <row r="6439" spans="1:1" x14ac:dyDescent="0.2">
      <c r="A6439" s="101"/>
    </row>
    <row r="6440" spans="1:1" x14ac:dyDescent="0.2">
      <c r="A6440" s="101"/>
    </row>
    <row r="6441" spans="1:1" x14ac:dyDescent="0.2">
      <c r="A6441" s="101"/>
    </row>
    <row r="6442" spans="1:1" x14ac:dyDescent="0.2">
      <c r="A6442" s="101"/>
    </row>
    <row r="6443" spans="1:1" x14ac:dyDescent="0.2">
      <c r="A6443" s="101"/>
    </row>
    <row r="6444" spans="1:1" x14ac:dyDescent="0.2">
      <c r="A6444" s="101"/>
    </row>
    <row r="6445" spans="1:1" x14ac:dyDescent="0.2">
      <c r="A6445" s="101"/>
    </row>
    <row r="6446" spans="1:1" x14ac:dyDescent="0.2">
      <c r="A6446" s="101"/>
    </row>
    <row r="6447" spans="1:1" x14ac:dyDescent="0.2">
      <c r="A6447" s="101"/>
    </row>
    <row r="6448" spans="1:1" x14ac:dyDescent="0.2">
      <c r="A6448" s="101"/>
    </row>
    <row r="6449" spans="1:1" x14ac:dyDescent="0.2">
      <c r="A6449" s="101"/>
    </row>
    <row r="6450" spans="1:1" x14ac:dyDescent="0.2">
      <c r="A6450" s="101"/>
    </row>
    <row r="6451" spans="1:1" x14ac:dyDescent="0.2">
      <c r="A6451" s="101"/>
    </row>
    <row r="6452" spans="1:1" x14ac:dyDescent="0.2">
      <c r="A6452" s="101"/>
    </row>
    <row r="6453" spans="1:1" x14ac:dyDescent="0.2">
      <c r="A6453" s="101"/>
    </row>
    <row r="6454" spans="1:1" x14ac:dyDescent="0.2">
      <c r="A6454" s="101"/>
    </row>
    <row r="6455" spans="1:1" x14ac:dyDescent="0.2">
      <c r="A6455" s="101"/>
    </row>
    <row r="6456" spans="1:1" x14ac:dyDescent="0.2">
      <c r="A6456" s="101"/>
    </row>
    <row r="6457" spans="1:1" x14ac:dyDescent="0.2">
      <c r="A6457" s="101"/>
    </row>
    <row r="6458" spans="1:1" x14ac:dyDescent="0.2">
      <c r="A6458" s="101"/>
    </row>
    <row r="6459" spans="1:1" x14ac:dyDescent="0.2">
      <c r="A6459" s="101"/>
    </row>
    <row r="6460" spans="1:1" x14ac:dyDescent="0.2">
      <c r="A6460" s="101"/>
    </row>
    <row r="6461" spans="1:1" x14ac:dyDescent="0.2">
      <c r="A6461" s="101"/>
    </row>
    <row r="6462" spans="1:1" x14ac:dyDescent="0.2">
      <c r="A6462" s="101"/>
    </row>
    <row r="6463" spans="1:1" x14ac:dyDescent="0.2">
      <c r="A6463" s="101"/>
    </row>
    <row r="6464" spans="1:1" x14ac:dyDescent="0.2">
      <c r="A6464" s="101"/>
    </row>
    <row r="6465" spans="1:1" x14ac:dyDescent="0.2">
      <c r="A6465" s="101"/>
    </row>
    <row r="6466" spans="1:1" x14ac:dyDescent="0.2">
      <c r="A6466" s="101"/>
    </row>
    <row r="6467" spans="1:1" x14ac:dyDescent="0.2">
      <c r="A6467" s="101"/>
    </row>
    <row r="6468" spans="1:1" x14ac:dyDescent="0.2">
      <c r="A6468" s="101"/>
    </row>
    <row r="6469" spans="1:1" x14ac:dyDescent="0.2">
      <c r="A6469" s="101"/>
    </row>
    <row r="6470" spans="1:1" x14ac:dyDescent="0.2">
      <c r="A6470" s="101"/>
    </row>
    <row r="6471" spans="1:1" x14ac:dyDescent="0.2">
      <c r="A6471" s="101"/>
    </row>
    <row r="6472" spans="1:1" x14ac:dyDescent="0.2">
      <c r="A6472" s="101"/>
    </row>
    <row r="6473" spans="1:1" x14ac:dyDescent="0.2">
      <c r="A6473" s="101"/>
    </row>
    <row r="6474" spans="1:1" x14ac:dyDescent="0.2">
      <c r="A6474" s="101"/>
    </row>
    <row r="6475" spans="1:1" x14ac:dyDescent="0.2">
      <c r="A6475" s="101"/>
    </row>
    <row r="6476" spans="1:1" x14ac:dyDescent="0.2">
      <c r="A6476" s="101"/>
    </row>
    <row r="6477" spans="1:1" x14ac:dyDescent="0.2">
      <c r="A6477" s="101"/>
    </row>
    <row r="6478" spans="1:1" x14ac:dyDescent="0.2">
      <c r="A6478" s="101"/>
    </row>
    <row r="6479" spans="1:1" x14ac:dyDescent="0.2">
      <c r="A6479" s="101"/>
    </row>
    <row r="6480" spans="1:1" x14ac:dyDescent="0.2">
      <c r="A6480" s="101"/>
    </row>
    <row r="6481" spans="1:1" x14ac:dyDescent="0.2">
      <c r="A6481" s="101"/>
    </row>
    <row r="6482" spans="1:1" x14ac:dyDescent="0.2">
      <c r="A6482" s="101"/>
    </row>
    <row r="6483" spans="1:1" x14ac:dyDescent="0.2">
      <c r="A6483" s="101"/>
    </row>
    <row r="6484" spans="1:1" x14ac:dyDescent="0.2">
      <c r="A6484" s="101"/>
    </row>
    <row r="6485" spans="1:1" x14ac:dyDescent="0.2">
      <c r="A6485" s="101"/>
    </row>
    <row r="6486" spans="1:1" x14ac:dyDescent="0.2">
      <c r="A6486" s="101"/>
    </row>
    <row r="6487" spans="1:1" x14ac:dyDescent="0.2">
      <c r="A6487" s="101"/>
    </row>
    <row r="6488" spans="1:1" x14ac:dyDescent="0.2">
      <c r="A6488" s="101"/>
    </row>
    <row r="6489" spans="1:1" x14ac:dyDescent="0.2">
      <c r="A6489" s="101"/>
    </row>
    <row r="6490" spans="1:1" x14ac:dyDescent="0.2">
      <c r="A6490" s="101"/>
    </row>
    <row r="6491" spans="1:1" x14ac:dyDescent="0.2">
      <c r="A6491" s="101"/>
    </row>
    <row r="6492" spans="1:1" x14ac:dyDescent="0.2">
      <c r="A6492" s="101"/>
    </row>
    <row r="6493" spans="1:1" x14ac:dyDescent="0.2">
      <c r="A6493" s="101"/>
    </row>
    <row r="6494" spans="1:1" x14ac:dyDescent="0.2">
      <c r="A6494" s="101"/>
    </row>
    <row r="6495" spans="1:1" x14ac:dyDescent="0.2">
      <c r="A6495" s="101"/>
    </row>
    <row r="6496" spans="1:1" x14ac:dyDescent="0.2">
      <c r="A6496" s="101"/>
    </row>
    <row r="6497" spans="1:1" x14ac:dyDescent="0.2">
      <c r="A6497" s="101"/>
    </row>
    <row r="6498" spans="1:1" x14ac:dyDescent="0.2">
      <c r="A6498" s="101"/>
    </row>
    <row r="6499" spans="1:1" x14ac:dyDescent="0.2">
      <c r="A6499" s="101"/>
    </row>
    <row r="6500" spans="1:1" x14ac:dyDescent="0.2">
      <c r="A6500" s="101"/>
    </row>
    <row r="6501" spans="1:1" x14ac:dyDescent="0.2">
      <c r="A6501" s="101"/>
    </row>
    <row r="6502" spans="1:1" x14ac:dyDescent="0.2">
      <c r="A6502" s="101"/>
    </row>
    <row r="6503" spans="1:1" x14ac:dyDescent="0.2">
      <c r="A6503" s="101"/>
    </row>
    <row r="6504" spans="1:1" x14ac:dyDescent="0.2">
      <c r="A6504" s="101"/>
    </row>
    <row r="6505" spans="1:1" x14ac:dyDescent="0.2">
      <c r="A6505" s="101"/>
    </row>
    <row r="6506" spans="1:1" x14ac:dyDescent="0.2">
      <c r="A6506" s="101"/>
    </row>
    <row r="6507" spans="1:1" x14ac:dyDescent="0.2">
      <c r="A6507" s="101"/>
    </row>
    <row r="6508" spans="1:1" x14ac:dyDescent="0.2">
      <c r="A6508" s="101"/>
    </row>
    <row r="6509" spans="1:1" x14ac:dyDescent="0.2">
      <c r="A6509" s="101"/>
    </row>
    <row r="6510" spans="1:1" x14ac:dyDescent="0.2">
      <c r="A6510" s="101"/>
    </row>
    <row r="6511" spans="1:1" x14ac:dyDescent="0.2">
      <c r="A6511" s="101"/>
    </row>
    <row r="6512" spans="1:1" x14ac:dyDescent="0.2">
      <c r="A6512" s="101"/>
    </row>
    <row r="6513" spans="1:1" x14ac:dyDescent="0.2">
      <c r="A6513" s="101"/>
    </row>
    <row r="6514" spans="1:1" x14ac:dyDescent="0.2">
      <c r="A6514" s="101"/>
    </row>
    <row r="6515" spans="1:1" x14ac:dyDescent="0.2">
      <c r="A6515" s="101"/>
    </row>
    <row r="6516" spans="1:1" x14ac:dyDescent="0.2">
      <c r="A6516" s="101"/>
    </row>
    <row r="6517" spans="1:1" x14ac:dyDescent="0.2">
      <c r="A6517" s="101"/>
    </row>
    <row r="6518" spans="1:1" x14ac:dyDescent="0.2">
      <c r="A6518" s="101"/>
    </row>
    <row r="6519" spans="1:1" x14ac:dyDescent="0.2">
      <c r="A6519" s="101"/>
    </row>
    <row r="6520" spans="1:1" x14ac:dyDescent="0.2">
      <c r="A6520" s="101"/>
    </row>
    <row r="6521" spans="1:1" x14ac:dyDescent="0.2">
      <c r="A6521" s="101"/>
    </row>
    <row r="6522" spans="1:1" x14ac:dyDescent="0.2">
      <c r="A6522" s="101"/>
    </row>
    <row r="6523" spans="1:1" x14ac:dyDescent="0.2">
      <c r="A6523" s="101"/>
    </row>
    <row r="6524" spans="1:1" x14ac:dyDescent="0.2">
      <c r="A6524" s="101"/>
    </row>
    <row r="6525" spans="1:1" x14ac:dyDescent="0.2">
      <c r="A6525" s="101"/>
    </row>
    <row r="6526" spans="1:1" x14ac:dyDescent="0.2">
      <c r="A6526" s="101"/>
    </row>
    <row r="6527" spans="1:1" x14ac:dyDescent="0.2">
      <c r="A6527" s="101"/>
    </row>
    <row r="6528" spans="1:1" x14ac:dyDescent="0.2">
      <c r="A6528" s="101"/>
    </row>
    <row r="6529" spans="1:1" x14ac:dyDescent="0.2">
      <c r="A6529" s="101"/>
    </row>
    <row r="6530" spans="1:1" x14ac:dyDescent="0.2">
      <c r="A6530" s="101"/>
    </row>
    <row r="6531" spans="1:1" x14ac:dyDescent="0.2">
      <c r="A6531" s="101"/>
    </row>
    <row r="6532" spans="1:1" x14ac:dyDescent="0.2">
      <c r="A6532" s="101"/>
    </row>
    <row r="6533" spans="1:1" x14ac:dyDescent="0.2">
      <c r="A6533" s="101"/>
    </row>
    <row r="6534" spans="1:1" x14ac:dyDescent="0.2">
      <c r="A6534" s="101"/>
    </row>
    <row r="6535" spans="1:1" x14ac:dyDescent="0.2">
      <c r="A6535" s="101"/>
    </row>
    <row r="6536" spans="1:1" x14ac:dyDescent="0.2">
      <c r="A6536" s="101"/>
    </row>
    <row r="6537" spans="1:1" x14ac:dyDescent="0.2">
      <c r="A6537" s="101"/>
    </row>
    <row r="6538" spans="1:1" x14ac:dyDescent="0.2">
      <c r="A6538" s="101"/>
    </row>
    <row r="6539" spans="1:1" x14ac:dyDescent="0.2">
      <c r="A6539" s="101"/>
    </row>
    <row r="6540" spans="1:1" x14ac:dyDescent="0.2">
      <c r="A6540" s="101"/>
    </row>
    <row r="6541" spans="1:1" x14ac:dyDescent="0.2">
      <c r="A6541" s="101"/>
    </row>
    <row r="6542" spans="1:1" x14ac:dyDescent="0.2">
      <c r="A6542" s="101"/>
    </row>
    <row r="6543" spans="1:1" x14ac:dyDescent="0.2">
      <c r="A6543" s="101"/>
    </row>
    <row r="6544" spans="1:1" x14ac:dyDescent="0.2">
      <c r="A6544" s="101"/>
    </row>
    <row r="6545" spans="1:1" x14ac:dyDescent="0.2">
      <c r="A6545" s="101"/>
    </row>
    <row r="6546" spans="1:1" x14ac:dyDescent="0.2">
      <c r="A6546" s="101"/>
    </row>
    <row r="6547" spans="1:1" x14ac:dyDescent="0.2">
      <c r="A6547" s="101"/>
    </row>
    <row r="6548" spans="1:1" x14ac:dyDescent="0.2">
      <c r="A6548" s="101"/>
    </row>
    <row r="6549" spans="1:1" x14ac:dyDescent="0.2">
      <c r="A6549" s="101"/>
    </row>
    <row r="6550" spans="1:1" x14ac:dyDescent="0.2">
      <c r="A6550" s="101"/>
    </row>
    <row r="6551" spans="1:1" x14ac:dyDescent="0.2">
      <c r="A6551" s="101"/>
    </row>
    <row r="6552" spans="1:1" x14ac:dyDescent="0.2">
      <c r="A6552" s="101"/>
    </row>
    <row r="6553" spans="1:1" x14ac:dyDescent="0.2">
      <c r="A6553" s="101"/>
    </row>
    <row r="6554" spans="1:1" x14ac:dyDescent="0.2">
      <c r="A6554" s="101"/>
    </row>
    <row r="6555" spans="1:1" x14ac:dyDescent="0.2">
      <c r="A6555" s="101"/>
    </row>
    <row r="6556" spans="1:1" x14ac:dyDescent="0.2">
      <c r="A6556" s="101"/>
    </row>
    <row r="6557" spans="1:1" x14ac:dyDescent="0.2">
      <c r="A6557" s="101"/>
    </row>
    <row r="6558" spans="1:1" x14ac:dyDescent="0.2">
      <c r="A6558" s="101"/>
    </row>
    <row r="6559" spans="1:1" x14ac:dyDescent="0.2">
      <c r="A6559" s="101"/>
    </row>
    <row r="6560" spans="1:1" x14ac:dyDescent="0.2">
      <c r="A6560" s="101"/>
    </row>
    <row r="6561" spans="1:1" x14ac:dyDescent="0.2">
      <c r="A6561" s="101"/>
    </row>
    <row r="6562" spans="1:1" x14ac:dyDescent="0.2">
      <c r="A6562" s="101"/>
    </row>
    <row r="6563" spans="1:1" x14ac:dyDescent="0.2">
      <c r="A6563" s="101"/>
    </row>
    <row r="6564" spans="1:1" x14ac:dyDescent="0.2">
      <c r="A6564" s="101"/>
    </row>
    <row r="6565" spans="1:1" x14ac:dyDescent="0.2">
      <c r="A6565" s="101"/>
    </row>
    <row r="6566" spans="1:1" x14ac:dyDescent="0.2">
      <c r="A6566" s="101"/>
    </row>
    <row r="6567" spans="1:1" x14ac:dyDescent="0.2">
      <c r="A6567" s="101"/>
    </row>
    <row r="6568" spans="1:1" x14ac:dyDescent="0.2">
      <c r="A6568" s="101"/>
    </row>
    <row r="6569" spans="1:1" x14ac:dyDescent="0.2">
      <c r="A6569" s="101"/>
    </row>
    <row r="6570" spans="1:1" x14ac:dyDescent="0.2">
      <c r="A6570" s="101"/>
    </row>
    <row r="6571" spans="1:1" x14ac:dyDescent="0.2">
      <c r="A6571" s="101"/>
    </row>
    <row r="6572" spans="1:1" x14ac:dyDescent="0.2">
      <c r="A6572" s="101"/>
    </row>
    <row r="6573" spans="1:1" x14ac:dyDescent="0.2">
      <c r="A6573" s="101"/>
    </row>
    <row r="6574" spans="1:1" x14ac:dyDescent="0.2">
      <c r="A6574" s="101"/>
    </row>
    <row r="6575" spans="1:1" x14ac:dyDescent="0.2">
      <c r="A6575" s="101"/>
    </row>
    <row r="6576" spans="1:1" x14ac:dyDescent="0.2">
      <c r="A6576" s="101"/>
    </row>
    <row r="6577" spans="1:1" x14ac:dyDescent="0.2">
      <c r="A6577" s="101"/>
    </row>
    <row r="6578" spans="1:1" x14ac:dyDescent="0.2">
      <c r="A6578" s="101"/>
    </row>
    <row r="6579" spans="1:1" x14ac:dyDescent="0.2">
      <c r="A6579" s="101"/>
    </row>
    <row r="6580" spans="1:1" x14ac:dyDescent="0.2">
      <c r="A6580" s="101"/>
    </row>
    <row r="6581" spans="1:1" x14ac:dyDescent="0.2">
      <c r="A6581" s="101"/>
    </row>
    <row r="6582" spans="1:1" x14ac:dyDescent="0.2">
      <c r="A6582" s="101"/>
    </row>
    <row r="6583" spans="1:1" x14ac:dyDescent="0.2">
      <c r="A6583" s="101"/>
    </row>
    <row r="6584" spans="1:1" x14ac:dyDescent="0.2">
      <c r="A6584" s="101"/>
    </row>
    <row r="6585" spans="1:1" x14ac:dyDescent="0.2">
      <c r="A6585" s="101"/>
    </row>
    <row r="6586" spans="1:1" x14ac:dyDescent="0.2">
      <c r="A6586" s="101"/>
    </row>
    <row r="6587" spans="1:1" x14ac:dyDescent="0.2">
      <c r="A6587" s="101"/>
    </row>
    <row r="6588" spans="1:1" x14ac:dyDescent="0.2">
      <c r="A6588" s="101"/>
    </row>
    <row r="6589" spans="1:1" x14ac:dyDescent="0.2">
      <c r="A6589" s="101"/>
    </row>
    <row r="6590" spans="1:1" x14ac:dyDescent="0.2">
      <c r="A6590" s="101"/>
    </row>
    <row r="6591" spans="1:1" x14ac:dyDescent="0.2">
      <c r="A6591" s="101"/>
    </row>
    <row r="6592" spans="1:1" x14ac:dyDescent="0.2">
      <c r="A6592" s="101"/>
    </row>
    <row r="6593" spans="1:1" x14ac:dyDescent="0.2">
      <c r="A6593" s="101"/>
    </row>
    <row r="6594" spans="1:1" x14ac:dyDescent="0.2">
      <c r="A6594" s="101"/>
    </row>
    <row r="6595" spans="1:1" x14ac:dyDescent="0.2">
      <c r="A6595" s="101"/>
    </row>
    <row r="6596" spans="1:1" x14ac:dyDescent="0.2">
      <c r="A6596" s="101"/>
    </row>
    <row r="6597" spans="1:1" x14ac:dyDescent="0.2">
      <c r="A6597" s="101"/>
    </row>
    <row r="6598" spans="1:1" x14ac:dyDescent="0.2">
      <c r="A6598" s="101"/>
    </row>
    <row r="6599" spans="1:1" x14ac:dyDescent="0.2">
      <c r="A6599" s="101"/>
    </row>
    <row r="6600" spans="1:1" x14ac:dyDescent="0.2">
      <c r="A6600" s="101"/>
    </row>
    <row r="6601" spans="1:1" x14ac:dyDescent="0.2">
      <c r="A6601" s="101"/>
    </row>
    <row r="6602" spans="1:1" x14ac:dyDescent="0.2">
      <c r="A6602" s="101"/>
    </row>
    <row r="6603" spans="1:1" x14ac:dyDescent="0.2">
      <c r="A6603" s="101"/>
    </row>
    <row r="6604" spans="1:1" x14ac:dyDescent="0.2">
      <c r="A6604" s="101"/>
    </row>
    <row r="6605" spans="1:1" x14ac:dyDescent="0.2">
      <c r="A6605" s="101"/>
    </row>
    <row r="6606" spans="1:1" x14ac:dyDescent="0.2">
      <c r="A6606" s="101"/>
    </row>
    <row r="6607" spans="1:1" x14ac:dyDescent="0.2">
      <c r="A6607" s="101"/>
    </row>
    <row r="6608" spans="1:1" x14ac:dyDescent="0.2">
      <c r="A6608" s="101"/>
    </row>
    <row r="6609" spans="1:1" x14ac:dyDescent="0.2">
      <c r="A6609" s="101"/>
    </row>
    <row r="6610" spans="1:1" x14ac:dyDescent="0.2">
      <c r="A6610" s="101"/>
    </row>
    <row r="6611" spans="1:1" x14ac:dyDescent="0.2">
      <c r="A6611" s="101"/>
    </row>
    <row r="6612" spans="1:1" x14ac:dyDescent="0.2">
      <c r="A6612" s="101"/>
    </row>
    <row r="6613" spans="1:1" x14ac:dyDescent="0.2">
      <c r="A6613" s="101"/>
    </row>
    <row r="6614" spans="1:1" x14ac:dyDescent="0.2">
      <c r="A6614" s="101"/>
    </row>
    <row r="6615" spans="1:1" x14ac:dyDescent="0.2">
      <c r="A6615" s="101"/>
    </row>
    <row r="6616" spans="1:1" x14ac:dyDescent="0.2">
      <c r="A6616" s="101"/>
    </row>
    <row r="6617" spans="1:1" x14ac:dyDescent="0.2">
      <c r="A6617" s="101"/>
    </row>
    <row r="6618" spans="1:1" x14ac:dyDescent="0.2">
      <c r="A6618" s="101"/>
    </row>
    <row r="6619" spans="1:1" x14ac:dyDescent="0.2">
      <c r="A6619" s="101"/>
    </row>
    <row r="6620" spans="1:1" x14ac:dyDescent="0.2">
      <c r="A6620" s="101"/>
    </row>
    <row r="6621" spans="1:1" x14ac:dyDescent="0.2">
      <c r="A6621" s="101"/>
    </row>
    <row r="6622" spans="1:1" x14ac:dyDescent="0.2">
      <c r="A6622" s="101"/>
    </row>
    <row r="6623" spans="1:1" x14ac:dyDescent="0.2">
      <c r="A6623" s="101"/>
    </row>
    <row r="6624" spans="1:1" x14ac:dyDescent="0.2">
      <c r="A6624" s="101"/>
    </row>
    <row r="6625" spans="1:1" x14ac:dyDescent="0.2">
      <c r="A6625" s="101"/>
    </row>
    <row r="6626" spans="1:1" x14ac:dyDescent="0.2">
      <c r="A6626" s="101"/>
    </row>
    <row r="6627" spans="1:1" x14ac:dyDescent="0.2">
      <c r="A6627" s="101"/>
    </row>
    <row r="6628" spans="1:1" x14ac:dyDescent="0.2">
      <c r="A6628" s="101"/>
    </row>
    <row r="6629" spans="1:1" x14ac:dyDescent="0.2">
      <c r="A6629" s="101"/>
    </row>
    <row r="6630" spans="1:1" x14ac:dyDescent="0.2">
      <c r="A6630" s="101"/>
    </row>
    <row r="6631" spans="1:1" x14ac:dyDescent="0.2">
      <c r="A6631" s="101"/>
    </row>
    <row r="6632" spans="1:1" x14ac:dyDescent="0.2">
      <c r="A6632" s="101"/>
    </row>
    <row r="6633" spans="1:1" x14ac:dyDescent="0.2">
      <c r="A6633" s="101"/>
    </row>
    <row r="6634" spans="1:1" x14ac:dyDescent="0.2">
      <c r="A6634" s="101"/>
    </row>
    <row r="6635" spans="1:1" x14ac:dyDescent="0.2">
      <c r="A6635" s="101"/>
    </row>
    <row r="6636" spans="1:1" x14ac:dyDescent="0.2">
      <c r="A6636" s="101"/>
    </row>
    <row r="6637" spans="1:1" x14ac:dyDescent="0.2">
      <c r="A6637" s="101"/>
    </row>
    <row r="6638" spans="1:1" x14ac:dyDescent="0.2">
      <c r="A6638" s="101"/>
    </row>
    <row r="6639" spans="1:1" x14ac:dyDescent="0.2">
      <c r="A6639" s="101"/>
    </row>
    <row r="6640" spans="1:1" x14ac:dyDescent="0.2">
      <c r="A6640" s="101"/>
    </row>
    <row r="6641" spans="1:1" x14ac:dyDescent="0.2">
      <c r="A6641" s="101"/>
    </row>
    <row r="6642" spans="1:1" x14ac:dyDescent="0.2">
      <c r="A6642" s="101"/>
    </row>
    <row r="6643" spans="1:1" x14ac:dyDescent="0.2">
      <c r="A6643" s="101"/>
    </row>
    <row r="6644" spans="1:1" x14ac:dyDescent="0.2">
      <c r="A6644" s="101"/>
    </row>
    <row r="6645" spans="1:1" x14ac:dyDescent="0.2">
      <c r="A6645" s="101"/>
    </row>
    <row r="6646" spans="1:1" x14ac:dyDescent="0.2">
      <c r="A6646" s="101"/>
    </row>
    <row r="6647" spans="1:1" x14ac:dyDescent="0.2">
      <c r="A6647" s="101"/>
    </row>
    <row r="6648" spans="1:1" x14ac:dyDescent="0.2">
      <c r="A6648" s="101"/>
    </row>
    <row r="6649" spans="1:1" x14ac:dyDescent="0.2">
      <c r="A6649" s="101"/>
    </row>
    <row r="6650" spans="1:1" x14ac:dyDescent="0.2">
      <c r="A6650" s="101"/>
    </row>
    <row r="6651" spans="1:1" x14ac:dyDescent="0.2">
      <c r="A6651" s="101"/>
    </row>
    <row r="6652" spans="1:1" x14ac:dyDescent="0.2">
      <c r="A6652" s="101"/>
    </row>
    <row r="6653" spans="1:1" x14ac:dyDescent="0.2">
      <c r="A6653" s="101"/>
    </row>
    <row r="6654" spans="1:1" x14ac:dyDescent="0.2">
      <c r="A6654" s="101"/>
    </row>
    <row r="6655" spans="1:1" x14ac:dyDescent="0.2">
      <c r="A6655" s="101"/>
    </row>
    <row r="6656" spans="1:1" x14ac:dyDescent="0.2">
      <c r="A6656" s="101"/>
    </row>
    <row r="6657" spans="1:1" x14ac:dyDescent="0.2">
      <c r="A6657" s="101"/>
    </row>
    <row r="6658" spans="1:1" x14ac:dyDescent="0.2">
      <c r="A6658" s="101"/>
    </row>
    <row r="6659" spans="1:1" x14ac:dyDescent="0.2">
      <c r="A6659" s="101"/>
    </row>
    <row r="6660" spans="1:1" x14ac:dyDescent="0.2">
      <c r="A6660" s="101"/>
    </row>
    <row r="6661" spans="1:1" x14ac:dyDescent="0.2">
      <c r="A6661" s="101"/>
    </row>
    <row r="6662" spans="1:1" x14ac:dyDescent="0.2">
      <c r="A6662" s="101"/>
    </row>
    <row r="6663" spans="1:1" x14ac:dyDescent="0.2">
      <c r="A6663" s="101"/>
    </row>
    <row r="6664" spans="1:1" x14ac:dyDescent="0.2">
      <c r="A6664" s="101"/>
    </row>
    <row r="6665" spans="1:1" x14ac:dyDescent="0.2">
      <c r="A6665" s="101"/>
    </row>
    <row r="6666" spans="1:1" x14ac:dyDescent="0.2">
      <c r="A6666" s="101"/>
    </row>
    <row r="6667" spans="1:1" x14ac:dyDescent="0.2">
      <c r="A6667" s="101"/>
    </row>
    <row r="6668" spans="1:1" x14ac:dyDescent="0.2">
      <c r="A6668" s="101"/>
    </row>
    <row r="6669" spans="1:1" x14ac:dyDescent="0.2">
      <c r="A6669" s="101"/>
    </row>
    <row r="6670" spans="1:1" x14ac:dyDescent="0.2">
      <c r="A6670" s="101"/>
    </row>
    <row r="6671" spans="1:1" x14ac:dyDescent="0.2">
      <c r="A6671" s="101"/>
    </row>
    <row r="6672" spans="1:1" x14ac:dyDescent="0.2">
      <c r="A6672" s="101"/>
    </row>
    <row r="6673" spans="1:1" x14ac:dyDescent="0.2">
      <c r="A6673" s="101"/>
    </row>
    <row r="6674" spans="1:1" x14ac:dyDescent="0.2">
      <c r="A6674" s="101"/>
    </row>
    <row r="6675" spans="1:1" x14ac:dyDescent="0.2">
      <c r="A6675" s="101"/>
    </row>
    <row r="6676" spans="1:1" x14ac:dyDescent="0.2">
      <c r="A6676" s="101"/>
    </row>
    <row r="6677" spans="1:1" x14ac:dyDescent="0.2">
      <c r="A6677" s="101"/>
    </row>
    <row r="6678" spans="1:1" x14ac:dyDescent="0.2">
      <c r="A6678" s="101"/>
    </row>
    <row r="6679" spans="1:1" x14ac:dyDescent="0.2">
      <c r="A6679" s="101"/>
    </row>
    <row r="6680" spans="1:1" x14ac:dyDescent="0.2">
      <c r="A6680" s="101"/>
    </row>
    <row r="6681" spans="1:1" x14ac:dyDescent="0.2">
      <c r="A6681" s="101"/>
    </row>
    <row r="6682" spans="1:1" x14ac:dyDescent="0.2">
      <c r="A6682" s="101"/>
    </row>
    <row r="6683" spans="1:1" x14ac:dyDescent="0.2">
      <c r="A6683" s="101"/>
    </row>
    <row r="6684" spans="1:1" x14ac:dyDescent="0.2">
      <c r="A6684" s="101"/>
    </row>
    <row r="6685" spans="1:1" x14ac:dyDescent="0.2">
      <c r="A6685" s="101"/>
    </row>
    <row r="6686" spans="1:1" x14ac:dyDescent="0.2">
      <c r="A6686" s="101"/>
    </row>
    <row r="6687" spans="1:1" x14ac:dyDescent="0.2">
      <c r="A6687" s="101"/>
    </row>
    <row r="6688" spans="1:1" x14ac:dyDescent="0.2">
      <c r="A6688" s="101"/>
    </row>
    <row r="6689" spans="1:1" x14ac:dyDescent="0.2">
      <c r="A6689" s="101"/>
    </row>
    <row r="6690" spans="1:1" x14ac:dyDescent="0.2">
      <c r="A6690" s="101"/>
    </row>
    <row r="6691" spans="1:1" x14ac:dyDescent="0.2">
      <c r="A6691" s="101"/>
    </row>
    <row r="6692" spans="1:1" x14ac:dyDescent="0.2">
      <c r="A6692" s="101"/>
    </row>
    <row r="6693" spans="1:1" x14ac:dyDescent="0.2">
      <c r="A6693" s="101"/>
    </row>
    <row r="6694" spans="1:1" x14ac:dyDescent="0.2">
      <c r="A6694" s="101"/>
    </row>
    <row r="6695" spans="1:1" x14ac:dyDescent="0.2">
      <c r="A6695" s="101"/>
    </row>
    <row r="6696" spans="1:1" x14ac:dyDescent="0.2">
      <c r="A6696" s="101"/>
    </row>
    <row r="6697" spans="1:1" x14ac:dyDescent="0.2">
      <c r="A6697" s="101"/>
    </row>
    <row r="6698" spans="1:1" x14ac:dyDescent="0.2">
      <c r="A6698" s="101"/>
    </row>
    <row r="6699" spans="1:1" x14ac:dyDescent="0.2">
      <c r="A6699" s="101"/>
    </row>
    <row r="6700" spans="1:1" x14ac:dyDescent="0.2">
      <c r="A6700" s="101"/>
    </row>
    <row r="6701" spans="1:1" x14ac:dyDescent="0.2">
      <c r="A6701" s="101"/>
    </row>
    <row r="6702" spans="1:1" x14ac:dyDescent="0.2">
      <c r="A6702" s="101"/>
    </row>
    <row r="6703" spans="1:1" x14ac:dyDescent="0.2">
      <c r="A6703" s="101"/>
    </row>
    <row r="6704" spans="1:1" x14ac:dyDescent="0.2">
      <c r="A6704" s="101"/>
    </row>
    <row r="6705" spans="1:1" x14ac:dyDescent="0.2">
      <c r="A6705" s="101"/>
    </row>
    <row r="6706" spans="1:1" x14ac:dyDescent="0.2">
      <c r="A6706" s="101"/>
    </row>
    <row r="6707" spans="1:1" x14ac:dyDescent="0.2">
      <c r="A6707" s="101"/>
    </row>
    <row r="6708" spans="1:1" x14ac:dyDescent="0.2">
      <c r="A6708" s="101"/>
    </row>
    <row r="6709" spans="1:1" x14ac:dyDescent="0.2">
      <c r="A6709" s="101"/>
    </row>
    <row r="6710" spans="1:1" x14ac:dyDescent="0.2">
      <c r="A6710" s="101"/>
    </row>
    <row r="6711" spans="1:1" x14ac:dyDescent="0.2">
      <c r="A6711" s="101"/>
    </row>
    <row r="6712" spans="1:1" x14ac:dyDescent="0.2">
      <c r="A6712" s="101"/>
    </row>
    <row r="6713" spans="1:1" x14ac:dyDescent="0.2">
      <c r="A6713" s="101"/>
    </row>
    <row r="6714" spans="1:1" x14ac:dyDescent="0.2">
      <c r="A6714" s="101"/>
    </row>
    <row r="6715" spans="1:1" x14ac:dyDescent="0.2">
      <c r="A6715" s="101"/>
    </row>
    <row r="6716" spans="1:1" x14ac:dyDescent="0.2">
      <c r="A6716" s="101"/>
    </row>
    <row r="6717" spans="1:1" x14ac:dyDescent="0.2">
      <c r="A6717" s="101"/>
    </row>
    <row r="6718" spans="1:1" x14ac:dyDescent="0.2">
      <c r="A6718" s="101"/>
    </row>
    <row r="6719" spans="1:1" x14ac:dyDescent="0.2">
      <c r="A6719" s="101"/>
    </row>
    <row r="6720" spans="1:1" x14ac:dyDescent="0.2">
      <c r="A6720" s="101"/>
    </row>
    <row r="6721" spans="1:1" x14ac:dyDescent="0.2">
      <c r="A6721" s="101"/>
    </row>
    <row r="6722" spans="1:1" x14ac:dyDescent="0.2">
      <c r="A6722" s="101"/>
    </row>
    <row r="6723" spans="1:1" x14ac:dyDescent="0.2">
      <c r="A6723" s="101"/>
    </row>
    <row r="6724" spans="1:1" x14ac:dyDescent="0.2">
      <c r="A6724" s="101"/>
    </row>
    <row r="6725" spans="1:1" x14ac:dyDescent="0.2">
      <c r="A6725" s="101"/>
    </row>
    <row r="6726" spans="1:1" x14ac:dyDescent="0.2">
      <c r="A6726" s="101"/>
    </row>
    <row r="6727" spans="1:1" x14ac:dyDescent="0.2">
      <c r="A6727" s="101"/>
    </row>
    <row r="6728" spans="1:1" x14ac:dyDescent="0.2">
      <c r="A6728" s="101"/>
    </row>
    <row r="6729" spans="1:1" x14ac:dyDescent="0.2">
      <c r="A6729" s="101"/>
    </row>
    <row r="6730" spans="1:1" x14ac:dyDescent="0.2">
      <c r="A6730" s="101"/>
    </row>
    <row r="6731" spans="1:1" x14ac:dyDescent="0.2">
      <c r="A6731" s="101"/>
    </row>
    <row r="6732" spans="1:1" x14ac:dyDescent="0.2">
      <c r="A6732" s="101"/>
    </row>
    <row r="6733" spans="1:1" x14ac:dyDescent="0.2">
      <c r="A6733" s="101"/>
    </row>
    <row r="6734" spans="1:1" x14ac:dyDescent="0.2">
      <c r="A6734" s="101"/>
    </row>
    <row r="6735" spans="1:1" x14ac:dyDescent="0.2">
      <c r="A6735" s="101"/>
    </row>
    <row r="6736" spans="1:1" x14ac:dyDescent="0.2">
      <c r="A6736" s="101"/>
    </row>
    <row r="6737" spans="1:1" x14ac:dyDescent="0.2">
      <c r="A6737" s="101"/>
    </row>
    <row r="6738" spans="1:1" x14ac:dyDescent="0.2">
      <c r="A6738" s="101"/>
    </row>
    <row r="6739" spans="1:1" x14ac:dyDescent="0.2">
      <c r="A6739" s="101"/>
    </row>
    <row r="6740" spans="1:1" x14ac:dyDescent="0.2">
      <c r="A6740" s="101"/>
    </row>
    <row r="6741" spans="1:1" x14ac:dyDescent="0.2">
      <c r="A6741" s="101"/>
    </row>
    <row r="6742" spans="1:1" x14ac:dyDescent="0.2">
      <c r="A6742" s="101"/>
    </row>
    <row r="6743" spans="1:1" x14ac:dyDescent="0.2">
      <c r="A6743" s="101"/>
    </row>
    <row r="6744" spans="1:1" x14ac:dyDescent="0.2">
      <c r="A6744" s="101"/>
    </row>
    <row r="6745" spans="1:1" x14ac:dyDescent="0.2">
      <c r="A6745" s="101"/>
    </row>
    <row r="6746" spans="1:1" x14ac:dyDescent="0.2">
      <c r="A6746" s="101"/>
    </row>
    <row r="6747" spans="1:1" x14ac:dyDescent="0.2">
      <c r="A6747" s="101"/>
    </row>
    <row r="6748" spans="1:1" x14ac:dyDescent="0.2">
      <c r="A6748" s="101"/>
    </row>
    <row r="6749" spans="1:1" x14ac:dyDescent="0.2">
      <c r="A6749" s="101"/>
    </row>
    <row r="6750" spans="1:1" x14ac:dyDescent="0.2">
      <c r="A6750" s="101"/>
    </row>
    <row r="6751" spans="1:1" x14ac:dyDescent="0.2">
      <c r="A6751" s="101"/>
    </row>
    <row r="6752" spans="1:1" x14ac:dyDescent="0.2">
      <c r="A6752" s="101"/>
    </row>
    <row r="6753" spans="1:1" x14ac:dyDescent="0.2">
      <c r="A6753" s="101"/>
    </row>
    <row r="6754" spans="1:1" x14ac:dyDescent="0.2">
      <c r="A6754" s="101"/>
    </row>
    <row r="6755" spans="1:1" x14ac:dyDescent="0.2">
      <c r="A6755" s="101"/>
    </row>
    <row r="6756" spans="1:1" x14ac:dyDescent="0.2">
      <c r="A6756" s="101"/>
    </row>
    <row r="6757" spans="1:1" x14ac:dyDescent="0.2">
      <c r="A6757" s="101"/>
    </row>
    <row r="6758" spans="1:1" x14ac:dyDescent="0.2">
      <c r="A6758" s="101"/>
    </row>
    <row r="6759" spans="1:1" x14ac:dyDescent="0.2">
      <c r="A6759" s="101"/>
    </row>
    <row r="6760" spans="1:1" x14ac:dyDescent="0.2">
      <c r="A6760" s="101"/>
    </row>
    <row r="6761" spans="1:1" x14ac:dyDescent="0.2">
      <c r="A6761" s="101"/>
    </row>
    <row r="6762" spans="1:1" x14ac:dyDescent="0.2">
      <c r="A6762" s="101"/>
    </row>
    <row r="6763" spans="1:1" x14ac:dyDescent="0.2">
      <c r="A6763" s="101"/>
    </row>
    <row r="6764" spans="1:1" x14ac:dyDescent="0.2">
      <c r="A6764" s="101"/>
    </row>
    <row r="6765" spans="1:1" x14ac:dyDescent="0.2">
      <c r="A6765" s="101"/>
    </row>
    <row r="6766" spans="1:1" x14ac:dyDescent="0.2">
      <c r="A6766" s="101"/>
    </row>
    <row r="6767" spans="1:1" x14ac:dyDescent="0.2">
      <c r="A6767" s="101"/>
    </row>
    <row r="6768" spans="1:1" x14ac:dyDescent="0.2">
      <c r="A6768" s="101"/>
    </row>
    <row r="6769" spans="1:1" x14ac:dyDescent="0.2">
      <c r="A6769" s="101"/>
    </row>
    <row r="6770" spans="1:1" x14ac:dyDescent="0.2">
      <c r="A6770" s="101"/>
    </row>
    <row r="6771" spans="1:1" x14ac:dyDescent="0.2">
      <c r="A6771" s="101"/>
    </row>
    <row r="6772" spans="1:1" x14ac:dyDescent="0.2">
      <c r="A6772" s="101"/>
    </row>
    <row r="6773" spans="1:1" x14ac:dyDescent="0.2">
      <c r="A6773" s="101"/>
    </row>
    <row r="6774" spans="1:1" x14ac:dyDescent="0.2">
      <c r="A6774" s="101"/>
    </row>
    <row r="6775" spans="1:1" x14ac:dyDescent="0.2">
      <c r="A6775" s="101"/>
    </row>
    <row r="6776" spans="1:1" x14ac:dyDescent="0.2">
      <c r="A6776" s="101"/>
    </row>
    <row r="6777" spans="1:1" x14ac:dyDescent="0.2">
      <c r="A6777" s="101"/>
    </row>
    <row r="6778" spans="1:1" x14ac:dyDescent="0.2">
      <c r="A6778" s="101"/>
    </row>
    <row r="6779" spans="1:1" x14ac:dyDescent="0.2">
      <c r="A6779" s="101"/>
    </row>
    <row r="6780" spans="1:1" x14ac:dyDescent="0.2">
      <c r="A6780" s="101"/>
    </row>
    <row r="6781" spans="1:1" x14ac:dyDescent="0.2">
      <c r="A6781" s="101"/>
    </row>
    <row r="6782" spans="1:1" x14ac:dyDescent="0.2">
      <c r="A6782" s="101"/>
    </row>
    <row r="6783" spans="1:1" x14ac:dyDescent="0.2">
      <c r="A6783" s="101"/>
    </row>
    <row r="6784" spans="1:1" x14ac:dyDescent="0.2">
      <c r="A6784" s="101"/>
    </row>
    <row r="6785" spans="1:1" x14ac:dyDescent="0.2">
      <c r="A6785" s="101"/>
    </row>
    <row r="6786" spans="1:1" x14ac:dyDescent="0.2">
      <c r="A6786" s="101"/>
    </row>
    <row r="6787" spans="1:1" x14ac:dyDescent="0.2">
      <c r="A6787" s="101"/>
    </row>
    <row r="6788" spans="1:1" x14ac:dyDescent="0.2">
      <c r="A6788" s="101"/>
    </row>
    <row r="6789" spans="1:1" x14ac:dyDescent="0.2">
      <c r="A6789" s="101"/>
    </row>
    <row r="6790" spans="1:1" x14ac:dyDescent="0.2">
      <c r="A6790" s="101"/>
    </row>
    <row r="6791" spans="1:1" x14ac:dyDescent="0.2">
      <c r="A6791" s="101"/>
    </row>
    <row r="6792" spans="1:1" x14ac:dyDescent="0.2">
      <c r="A6792" s="101"/>
    </row>
    <row r="6793" spans="1:1" x14ac:dyDescent="0.2">
      <c r="A6793" s="101"/>
    </row>
    <row r="6794" spans="1:1" x14ac:dyDescent="0.2">
      <c r="A6794" s="101"/>
    </row>
    <row r="6795" spans="1:1" x14ac:dyDescent="0.2">
      <c r="A6795" s="101"/>
    </row>
    <row r="6796" spans="1:1" x14ac:dyDescent="0.2">
      <c r="A6796" s="101"/>
    </row>
    <row r="6797" spans="1:1" x14ac:dyDescent="0.2">
      <c r="A6797" s="101"/>
    </row>
    <row r="6798" spans="1:1" x14ac:dyDescent="0.2">
      <c r="A6798" s="101"/>
    </row>
    <row r="6799" spans="1:1" x14ac:dyDescent="0.2">
      <c r="A6799" s="101"/>
    </row>
    <row r="6800" spans="1:1" x14ac:dyDescent="0.2">
      <c r="A6800" s="101"/>
    </row>
    <row r="6801" spans="1:1" x14ac:dyDescent="0.2">
      <c r="A6801" s="101"/>
    </row>
    <row r="6802" spans="1:1" x14ac:dyDescent="0.2">
      <c r="A6802" s="101"/>
    </row>
    <row r="6803" spans="1:1" x14ac:dyDescent="0.2">
      <c r="A6803" s="101"/>
    </row>
    <row r="6804" spans="1:1" x14ac:dyDescent="0.2">
      <c r="A6804" s="101"/>
    </row>
    <row r="6805" spans="1:1" x14ac:dyDescent="0.2">
      <c r="A6805" s="101"/>
    </row>
    <row r="6806" spans="1:1" x14ac:dyDescent="0.2">
      <c r="A6806" s="101"/>
    </row>
    <row r="6807" spans="1:1" x14ac:dyDescent="0.2">
      <c r="A6807" s="101"/>
    </row>
    <row r="6808" spans="1:1" x14ac:dyDescent="0.2">
      <c r="A6808" s="101"/>
    </row>
    <row r="6809" spans="1:1" x14ac:dyDescent="0.2">
      <c r="A6809" s="101"/>
    </row>
    <row r="6810" spans="1:1" x14ac:dyDescent="0.2">
      <c r="A6810" s="101"/>
    </row>
    <row r="6811" spans="1:1" x14ac:dyDescent="0.2">
      <c r="A6811" s="101"/>
    </row>
    <row r="6812" spans="1:1" x14ac:dyDescent="0.2">
      <c r="A6812" s="101"/>
    </row>
    <row r="6813" spans="1:1" x14ac:dyDescent="0.2">
      <c r="A6813" s="101"/>
    </row>
    <row r="6814" spans="1:1" x14ac:dyDescent="0.2">
      <c r="A6814" s="101"/>
    </row>
    <row r="6815" spans="1:1" x14ac:dyDescent="0.2">
      <c r="A6815" s="101"/>
    </row>
    <row r="6816" spans="1:1" x14ac:dyDescent="0.2">
      <c r="A6816" s="101"/>
    </row>
    <row r="6817" spans="1:1" x14ac:dyDescent="0.2">
      <c r="A6817" s="101"/>
    </row>
    <row r="6818" spans="1:1" x14ac:dyDescent="0.2">
      <c r="A6818" s="101"/>
    </row>
    <row r="6819" spans="1:1" x14ac:dyDescent="0.2">
      <c r="A6819" s="101"/>
    </row>
    <row r="6820" spans="1:1" x14ac:dyDescent="0.2">
      <c r="A6820" s="101"/>
    </row>
    <row r="6821" spans="1:1" x14ac:dyDescent="0.2">
      <c r="A6821" s="101"/>
    </row>
    <row r="6822" spans="1:1" x14ac:dyDescent="0.2">
      <c r="A6822" s="101"/>
    </row>
    <row r="6823" spans="1:1" x14ac:dyDescent="0.2">
      <c r="A6823" s="101"/>
    </row>
    <row r="6824" spans="1:1" x14ac:dyDescent="0.2">
      <c r="A6824" s="101"/>
    </row>
    <row r="6825" spans="1:1" x14ac:dyDescent="0.2">
      <c r="A6825" s="101"/>
    </row>
    <row r="6826" spans="1:1" x14ac:dyDescent="0.2">
      <c r="A6826" s="101"/>
    </row>
    <row r="6827" spans="1:1" x14ac:dyDescent="0.2">
      <c r="A6827" s="101"/>
    </row>
    <row r="6828" spans="1:1" x14ac:dyDescent="0.2">
      <c r="A6828" s="101"/>
    </row>
    <row r="6829" spans="1:1" x14ac:dyDescent="0.2">
      <c r="A6829" s="101"/>
    </row>
    <row r="6830" spans="1:1" x14ac:dyDescent="0.2">
      <c r="A6830" s="101"/>
    </row>
    <row r="6831" spans="1:1" x14ac:dyDescent="0.2">
      <c r="A6831" s="101"/>
    </row>
    <row r="6832" spans="1:1" x14ac:dyDescent="0.2">
      <c r="A6832" s="101"/>
    </row>
    <row r="6833" spans="1:1" x14ac:dyDescent="0.2">
      <c r="A6833" s="101"/>
    </row>
    <row r="6834" spans="1:1" x14ac:dyDescent="0.2">
      <c r="A6834" s="101"/>
    </row>
    <row r="6835" spans="1:1" x14ac:dyDescent="0.2">
      <c r="A6835" s="101"/>
    </row>
    <row r="6836" spans="1:1" x14ac:dyDescent="0.2">
      <c r="A6836" s="101"/>
    </row>
    <row r="6837" spans="1:1" x14ac:dyDescent="0.2">
      <c r="A6837" s="101"/>
    </row>
    <row r="6838" spans="1:1" x14ac:dyDescent="0.2">
      <c r="A6838" s="101"/>
    </row>
    <row r="6839" spans="1:1" x14ac:dyDescent="0.2">
      <c r="A6839" s="101"/>
    </row>
    <row r="6840" spans="1:1" x14ac:dyDescent="0.2">
      <c r="A6840" s="101"/>
    </row>
    <row r="6841" spans="1:1" x14ac:dyDescent="0.2">
      <c r="A6841" s="101"/>
    </row>
    <row r="6842" spans="1:1" x14ac:dyDescent="0.2">
      <c r="A6842" s="101"/>
    </row>
    <row r="6843" spans="1:1" x14ac:dyDescent="0.2">
      <c r="A6843" s="101"/>
    </row>
    <row r="6844" spans="1:1" x14ac:dyDescent="0.2">
      <c r="A6844" s="101"/>
    </row>
    <row r="6845" spans="1:1" x14ac:dyDescent="0.2">
      <c r="A6845" s="101"/>
    </row>
    <row r="6846" spans="1:1" x14ac:dyDescent="0.2">
      <c r="A6846" s="101"/>
    </row>
    <row r="6847" spans="1:1" x14ac:dyDescent="0.2">
      <c r="A6847" s="101"/>
    </row>
    <row r="6848" spans="1:1" x14ac:dyDescent="0.2">
      <c r="A6848" s="101"/>
    </row>
    <row r="6849" spans="1:1" x14ac:dyDescent="0.2">
      <c r="A6849" s="101"/>
    </row>
    <row r="6850" spans="1:1" x14ac:dyDescent="0.2">
      <c r="A6850" s="101"/>
    </row>
    <row r="6851" spans="1:1" x14ac:dyDescent="0.2">
      <c r="A6851" s="101"/>
    </row>
    <row r="6852" spans="1:1" x14ac:dyDescent="0.2">
      <c r="A6852" s="101"/>
    </row>
    <row r="6853" spans="1:1" x14ac:dyDescent="0.2">
      <c r="A6853" s="101"/>
    </row>
    <row r="6854" spans="1:1" x14ac:dyDescent="0.2">
      <c r="A6854" s="101"/>
    </row>
    <row r="6855" spans="1:1" x14ac:dyDescent="0.2">
      <c r="A6855" s="101"/>
    </row>
    <row r="6856" spans="1:1" x14ac:dyDescent="0.2">
      <c r="A6856" s="101"/>
    </row>
    <row r="6857" spans="1:1" x14ac:dyDescent="0.2">
      <c r="A6857" s="101"/>
    </row>
    <row r="6858" spans="1:1" x14ac:dyDescent="0.2">
      <c r="A6858" s="101"/>
    </row>
    <row r="6859" spans="1:1" x14ac:dyDescent="0.2">
      <c r="A6859" s="101"/>
    </row>
    <row r="6860" spans="1:1" x14ac:dyDescent="0.2">
      <c r="A6860" s="101"/>
    </row>
    <row r="6861" spans="1:1" x14ac:dyDescent="0.2">
      <c r="A6861" s="101"/>
    </row>
    <row r="6862" spans="1:1" x14ac:dyDescent="0.2">
      <c r="A6862" s="101"/>
    </row>
    <row r="6863" spans="1:1" x14ac:dyDescent="0.2">
      <c r="A6863" s="101"/>
    </row>
    <row r="6864" spans="1:1" x14ac:dyDescent="0.2">
      <c r="A6864" s="101"/>
    </row>
    <row r="6865" spans="1:1" x14ac:dyDescent="0.2">
      <c r="A6865" s="101"/>
    </row>
    <row r="6866" spans="1:1" x14ac:dyDescent="0.2">
      <c r="A6866" s="101"/>
    </row>
    <row r="6867" spans="1:1" x14ac:dyDescent="0.2">
      <c r="A6867" s="101"/>
    </row>
    <row r="6868" spans="1:1" x14ac:dyDescent="0.2">
      <c r="A6868" s="101"/>
    </row>
    <row r="6869" spans="1:1" x14ac:dyDescent="0.2">
      <c r="A6869" s="101"/>
    </row>
    <row r="6870" spans="1:1" x14ac:dyDescent="0.2">
      <c r="A6870" s="101"/>
    </row>
    <row r="6871" spans="1:1" x14ac:dyDescent="0.2">
      <c r="A6871" s="101"/>
    </row>
    <row r="6872" spans="1:1" x14ac:dyDescent="0.2">
      <c r="A6872" s="101"/>
    </row>
    <row r="6873" spans="1:1" x14ac:dyDescent="0.2">
      <c r="A6873" s="101"/>
    </row>
    <row r="6874" spans="1:1" x14ac:dyDescent="0.2">
      <c r="A6874" s="101"/>
    </row>
    <row r="6875" spans="1:1" x14ac:dyDescent="0.2">
      <c r="A6875" s="101"/>
    </row>
    <row r="6876" spans="1:1" x14ac:dyDescent="0.2">
      <c r="A6876" s="101"/>
    </row>
    <row r="6877" spans="1:1" x14ac:dyDescent="0.2">
      <c r="A6877" s="101"/>
    </row>
    <row r="6878" spans="1:1" x14ac:dyDescent="0.2">
      <c r="A6878" s="101"/>
    </row>
    <row r="6879" spans="1:1" x14ac:dyDescent="0.2">
      <c r="A6879" s="101"/>
    </row>
    <row r="6880" spans="1:1" x14ac:dyDescent="0.2">
      <c r="A6880" s="101"/>
    </row>
    <row r="6881" spans="1:1" x14ac:dyDescent="0.2">
      <c r="A6881" s="101"/>
    </row>
    <row r="6882" spans="1:1" x14ac:dyDescent="0.2">
      <c r="A6882" s="101"/>
    </row>
    <row r="6883" spans="1:1" x14ac:dyDescent="0.2">
      <c r="A6883" s="101"/>
    </row>
    <row r="6884" spans="1:1" x14ac:dyDescent="0.2">
      <c r="A6884" s="101"/>
    </row>
    <row r="6885" spans="1:1" x14ac:dyDescent="0.2">
      <c r="A6885" s="101"/>
    </row>
    <row r="6886" spans="1:1" x14ac:dyDescent="0.2">
      <c r="A6886" s="101"/>
    </row>
    <row r="6887" spans="1:1" x14ac:dyDescent="0.2">
      <c r="A6887" s="101"/>
    </row>
    <row r="6888" spans="1:1" x14ac:dyDescent="0.2">
      <c r="A6888" s="101"/>
    </row>
    <row r="6889" spans="1:1" x14ac:dyDescent="0.2">
      <c r="A6889" s="101"/>
    </row>
    <row r="6890" spans="1:1" x14ac:dyDescent="0.2">
      <c r="A6890" s="101"/>
    </row>
    <row r="6891" spans="1:1" x14ac:dyDescent="0.2">
      <c r="A6891" s="101"/>
    </row>
    <row r="6892" spans="1:1" x14ac:dyDescent="0.2">
      <c r="A6892" s="101"/>
    </row>
    <row r="6893" spans="1:1" x14ac:dyDescent="0.2">
      <c r="A6893" s="101"/>
    </row>
    <row r="6894" spans="1:1" x14ac:dyDescent="0.2">
      <c r="A6894" s="101"/>
    </row>
    <row r="6895" spans="1:1" x14ac:dyDescent="0.2">
      <c r="A6895" s="101"/>
    </row>
    <row r="6896" spans="1:1" x14ac:dyDescent="0.2">
      <c r="A6896" s="101"/>
    </row>
    <row r="6897" spans="1:1" x14ac:dyDescent="0.2">
      <c r="A6897" s="101"/>
    </row>
    <row r="6898" spans="1:1" x14ac:dyDescent="0.2">
      <c r="A6898" s="101"/>
    </row>
    <row r="6899" spans="1:1" x14ac:dyDescent="0.2">
      <c r="A6899" s="101"/>
    </row>
    <row r="6900" spans="1:1" x14ac:dyDescent="0.2">
      <c r="A6900" s="101"/>
    </row>
    <row r="6901" spans="1:1" x14ac:dyDescent="0.2">
      <c r="A6901" s="101"/>
    </row>
    <row r="6902" spans="1:1" x14ac:dyDescent="0.2">
      <c r="A6902" s="101"/>
    </row>
    <row r="6903" spans="1:1" x14ac:dyDescent="0.2">
      <c r="A6903" s="101"/>
    </row>
    <row r="6904" spans="1:1" x14ac:dyDescent="0.2">
      <c r="A6904" s="101"/>
    </row>
    <row r="6905" spans="1:1" x14ac:dyDescent="0.2">
      <c r="A6905" s="101"/>
    </row>
    <row r="6906" spans="1:1" x14ac:dyDescent="0.2">
      <c r="A6906" s="101"/>
    </row>
    <row r="6907" spans="1:1" x14ac:dyDescent="0.2">
      <c r="A6907" s="101"/>
    </row>
    <row r="6908" spans="1:1" x14ac:dyDescent="0.2">
      <c r="A6908" s="101"/>
    </row>
    <row r="6909" spans="1:1" x14ac:dyDescent="0.2">
      <c r="A6909" s="101"/>
    </row>
    <row r="6910" spans="1:1" x14ac:dyDescent="0.2">
      <c r="A6910" s="101"/>
    </row>
    <row r="6911" spans="1:1" x14ac:dyDescent="0.2">
      <c r="A6911" s="101"/>
    </row>
    <row r="6912" spans="1:1" x14ac:dyDescent="0.2">
      <c r="A6912" s="101"/>
    </row>
    <row r="6913" spans="1:1" x14ac:dyDescent="0.2">
      <c r="A6913" s="101"/>
    </row>
    <row r="6914" spans="1:1" x14ac:dyDescent="0.2">
      <c r="A6914" s="101"/>
    </row>
    <row r="6915" spans="1:1" x14ac:dyDescent="0.2">
      <c r="A6915" s="101"/>
    </row>
    <row r="6916" spans="1:1" x14ac:dyDescent="0.2">
      <c r="A6916" s="101"/>
    </row>
    <row r="6917" spans="1:1" x14ac:dyDescent="0.2">
      <c r="A6917" s="101"/>
    </row>
    <row r="6918" spans="1:1" x14ac:dyDescent="0.2">
      <c r="A6918" s="101"/>
    </row>
    <row r="6919" spans="1:1" x14ac:dyDescent="0.2">
      <c r="A6919" s="101"/>
    </row>
    <row r="6920" spans="1:1" x14ac:dyDescent="0.2">
      <c r="A6920" s="101"/>
    </row>
    <row r="6921" spans="1:1" x14ac:dyDescent="0.2">
      <c r="A6921" s="101"/>
    </row>
    <row r="6922" spans="1:1" x14ac:dyDescent="0.2">
      <c r="A6922" s="101"/>
    </row>
    <row r="6923" spans="1:1" x14ac:dyDescent="0.2">
      <c r="A6923" s="101"/>
    </row>
    <row r="6924" spans="1:1" x14ac:dyDescent="0.2">
      <c r="A6924" s="101"/>
    </row>
    <row r="6925" spans="1:1" x14ac:dyDescent="0.2">
      <c r="A6925" s="101"/>
    </row>
    <row r="6926" spans="1:1" x14ac:dyDescent="0.2">
      <c r="A6926" s="101"/>
    </row>
    <row r="6927" spans="1:1" x14ac:dyDescent="0.2">
      <c r="A6927" s="101"/>
    </row>
    <row r="6928" spans="1:1" x14ac:dyDescent="0.2">
      <c r="A6928" s="101"/>
    </row>
    <row r="6929" spans="1:1" x14ac:dyDescent="0.2">
      <c r="A6929" s="101"/>
    </row>
    <row r="6930" spans="1:1" x14ac:dyDescent="0.2">
      <c r="A6930" s="101"/>
    </row>
    <row r="6931" spans="1:1" x14ac:dyDescent="0.2">
      <c r="A6931" s="101"/>
    </row>
    <row r="6932" spans="1:1" x14ac:dyDescent="0.2">
      <c r="A6932" s="101"/>
    </row>
    <row r="6933" spans="1:1" x14ac:dyDescent="0.2">
      <c r="A6933" s="101"/>
    </row>
    <row r="6934" spans="1:1" x14ac:dyDescent="0.2">
      <c r="A6934" s="101"/>
    </row>
    <row r="6935" spans="1:1" x14ac:dyDescent="0.2">
      <c r="A6935" s="101"/>
    </row>
    <row r="6936" spans="1:1" x14ac:dyDescent="0.2">
      <c r="A6936" s="101"/>
    </row>
    <row r="6937" spans="1:1" x14ac:dyDescent="0.2">
      <c r="A6937" s="101"/>
    </row>
    <row r="6938" spans="1:1" x14ac:dyDescent="0.2">
      <c r="A6938" s="101"/>
    </row>
    <row r="6939" spans="1:1" x14ac:dyDescent="0.2">
      <c r="A6939" s="101"/>
    </row>
    <row r="6940" spans="1:1" x14ac:dyDescent="0.2">
      <c r="A6940" s="101"/>
    </row>
    <row r="6941" spans="1:1" x14ac:dyDescent="0.2">
      <c r="A6941" s="101"/>
    </row>
    <row r="6942" spans="1:1" x14ac:dyDescent="0.2">
      <c r="A6942" s="101"/>
    </row>
    <row r="6943" spans="1:1" x14ac:dyDescent="0.2">
      <c r="A6943" s="101"/>
    </row>
    <row r="6944" spans="1:1" x14ac:dyDescent="0.2">
      <c r="A6944" s="101"/>
    </row>
    <row r="6945" spans="1:1" x14ac:dyDescent="0.2">
      <c r="A6945" s="101"/>
    </row>
    <row r="6946" spans="1:1" x14ac:dyDescent="0.2">
      <c r="A6946" s="101"/>
    </row>
    <row r="6947" spans="1:1" x14ac:dyDescent="0.2">
      <c r="A6947" s="101"/>
    </row>
    <row r="6948" spans="1:1" x14ac:dyDescent="0.2">
      <c r="A6948" s="101"/>
    </row>
    <row r="6949" spans="1:1" x14ac:dyDescent="0.2">
      <c r="A6949" s="101"/>
    </row>
    <row r="6950" spans="1:1" x14ac:dyDescent="0.2">
      <c r="A6950" s="101"/>
    </row>
    <row r="6951" spans="1:1" x14ac:dyDescent="0.2">
      <c r="A6951" s="101"/>
    </row>
    <row r="6952" spans="1:1" x14ac:dyDescent="0.2">
      <c r="A6952" s="101"/>
    </row>
    <row r="6953" spans="1:1" x14ac:dyDescent="0.2">
      <c r="A6953" s="101"/>
    </row>
    <row r="6954" spans="1:1" x14ac:dyDescent="0.2">
      <c r="A6954" s="101"/>
    </row>
    <row r="6955" spans="1:1" x14ac:dyDescent="0.2">
      <c r="A6955" s="101"/>
    </row>
    <row r="6956" spans="1:1" x14ac:dyDescent="0.2">
      <c r="A6956" s="101"/>
    </row>
    <row r="6957" spans="1:1" x14ac:dyDescent="0.2">
      <c r="A6957" s="101"/>
    </row>
    <row r="6958" spans="1:1" x14ac:dyDescent="0.2">
      <c r="A6958" s="101"/>
    </row>
    <row r="6959" spans="1:1" x14ac:dyDescent="0.2">
      <c r="A6959" s="101"/>
    </row>
    <row r="6960" spans="1:1" x14ac:dyDescent="0.2">
      <c r="A6960" s="101"/>
    </row>
    <row r="6961" spans="1:1" x14ac:dyDescent="0.2">
      <c r="A6961" s="101"/>
    </row>
    <row r="6962" spans="1:1" x14ac:dyDescent="0.2">
      <c r="A6962" s="101"/>
    </row>
    <row r="6963" spans="1:1" x14ac:dyDescent="0.2">
      <c r="A6963" s="101"/>
    </row>
    <row r="6964" spans="1:1" x14ac:dyDescent="0.2">
      <c r="A6964" s="101"/>
    </row>
    <row r="6965" spans="1:1" x14ac:dyDescent="0.2">
      <c r="A6965" s="101"/>
    </row>
    <row r="6966" spans="1:1" x14ac:dyDescent="0.2">
      <c r="A6966" s="101"/>
    </row>
    <row r="6967" spans="1:1" x14ac:dyDescent="0.2">
      <c r="A6967" s="101"/>
    </row>
    <row r="6968" spans="1:1" x14ac:dyDescent="0.2">
      <c r="A6968" s="101"/>
    </row>
    <row r="6969" spans="1:1" x14ac:dyDescent="0.2">
      <c r="A6969" s="101"/>
    </row>
    <row r="6970" spans="1:1" x14ac:dyDescent="0.2">
      <c r="A6970" s="101"/>
    </row>
    <row r="6971" spans="1:1" x14ac:dyDescent="0.2">
      <c r="A6971" s="101"/>
    </row>
    <row r="6972" spans="1:1" x14ac:dyDescent="0.2">
      <c r="A6972" s="101"/>
    </row>
    <row r="6973" spans="1:1" x14ac:dyDescent="0.2">
      <c r="A6973" s="101"/>
    </row>
    <row r="6974" spans="1:1" x14ac:dyDescent="0.2">
      <c r="A6974" s="101"/>
    </row>
    <row r="6975" spans="1:1" x14ac:dyDescent="0.2">
      <c r="A6975" s="101"/>
    </row>
    <row r="6976" spans="1:1" x14ac:dyDescent="0.2">
      <c r="A6976" s="101"/>
    </row>
    <row r="6977" spans="1:1" x14ac:dyDescent="0.2">
      <c r="A6977" s="101"/>
    </row>
    <row r="6978" spans="1:1" x14ac:dyDescent="0.2">
      <c r="A6978" s="101"/>
    </row>
    <row r="6979" spans="1:1" x14ac:dyDescent="0.2">
      <c r="A6979" s="101"/>
    </row>
    <row r="6980" spans="1:1" x14ac:dyDescent="0.2">
      <c r="A6980" s="101"/>
    </row>
    <row r="6981" spans="1:1" x14ac:dyDescent="0.2">
      <c r="A6981" s="101"/>
    </row>
    <row r="6982" spans="1:1" x14ac:dyDescent="0.2">
      <c r="A6982" s="101"/>
    </row>
    <row r="6983" spans="1:1" x14ac:dyDescent="0.2">
      <c r="A6983" s="101"/>
    </row>
    <row r="6984" spans="1:1" x14ac:dyDescent="0.2">
      <c r="A6984" s="101"/>
    </row>
    <row r="6985" spans="1:1" x14ac:dyDescent="0.2">
      <c r="A6985" s="101"/>
    </row>
    <row r="6986" spans="1:1" x14ac:dyDescent="0.2">
      <c r="A6986" s="101"/>
    </row>
    <row r="6987" spans="1:1" x14ac:dyDescent="0.2">
      <c r="A6987" s="101"/>
    </row>
    <row r="6988" spans="1:1" x14ac:dyDescent="0.2">
      <c r="A6988" s="101"/>
    </row>
    <row r="6989" spans="1:1" x14ac:dyDescent="0.2">
      <c r="A6989" s="101"/>
    </row>
    <row r="6990" spans="1:1" x14ac:dyDescent="0.2">
      <c r="A6990" s="101"/>
    </row>
    <row r="6991" spans="1:1" x14ac:dyDescent="0.2">
      <c r="A6991" s="101"/>
    </row>
    <row r="6992" spans="1:1" x14ac:dyDescent="0.2">
      <c r="A6992" s="101"/>
    </row>
    <row r="6993" spans="1:1" x14ac:dyDescent="0.2">
      <c r="A6993" s="101"/>
    </row>
    <row r="6994" spans="1:1" x14ac:dyDescent="0.2">
      <c r="A6994" s="101"/>
    </row>
    <row r="6995" spans="1:1" x14ac:dyDescent="0.2">
      <c r="A6995" s="101"/>
    </row>
    <row r="6996" spans="1:1" x14ac:dyDescent="0.2">
      <c r="A6996" s="101"/>
    </row>
    <row r="6997" spans="1:1" x14ac:dyDescent="0.2">
      <c r="A6997" s="101"/>
    </row>
    <row r="6998" spans="1:1" x14ac:dyDescent="0.2">
      <c r="A6998" s="101"/>
    </row>
    <row r="6999" spans="1:1" x14ac:dyDescent="0.2">
      <c r="A6999" s="101"/>
    </row>
    <row r="7000" spans="1:1" x14ac:dyDescent="0.2">
      <c r="A7000" s="101"/>
    </row>
    <row r="7001" spans="1:1" x14ac:dyDescent="0.2">
      <c r="A7001" s="101"/>
    </row>
    <row r="7002" spans="1:1" x14ac:dyDescent="0.2">
      <c r="A7002" s="101"/>
    </row>
    <row r="7003" spans="1:1" x14ac:dyDescent="0.2">
      <c r="A7003" s="101"/>
    </row>
    <row r="7004" spans="1:1" x14ac:dyDescent="0.2">
      <c r="A7004" s="101"/>
    </row>
    <row r="7005" spans="1:1" x14ac:dyDescent="0.2">
      <c r="A7005" s="101"/>
    </row>
    <row r="7006" spans="1:1" x14ac:dyDescent="0.2">
      <c r="A7006" s="101"/>
    </row>
    <row r="7007" spans="1:1" x14ac:dyDescent="0.2">
      <c r="A7007" s="101"/>
    </row>
    <row r="7008" spans="1:1" x14ac:dyDescent="0.2">
      <c r="A7008" s="101"/>
    </row>
    <row r="7009" spans="1:1" x14ac:dyDescent="0.2">
      <c r="A7009" s="101"/>
    </row>
    <row r="7010" spans="1:1" x14ac:dyDescent="0.2">
      <c r="A7010" s="101"/>
    </row>
    <row r="7011" spans="1:1" x14ac:dyDescent="0.2">
      <c r="A7011" s="101"/>
    </row>
    <row r="7012" spans="1:1" x14ac:dyDescent="0.2">
      <c r="A7012" s="101"/>
    </row>
    <row r="7013" spans="1:1" x14ac:dyDescent="0.2">
      <c r="A7013" s="101"/>
    </row>
    <row r="7014" spans="1:1" x14ac:dyDescent="0.2">
      <c r="A7014" s="101"/>
    </row>
    <row r="7015" spans="1:1" x14ac:dyDescent="0.2">
      <c r="A7015" s="101"/>
    </row>
    <row r="7016" spans="1:1" x14ac:dyDescent="0.2">
      <c r="A7016" s="101"/>
    </row>
    <row r="7017" spans="1:1" x14ac:dyDescent="0.2">
      <c r="A7017" s="101"/>
    </row>
    <row r="7018" spans="1:1" x14ac:dyDescent="0.2">
      <c r="A7018" s="101"/>
    </row>
    <row r="7019" spans="1:1" x14ac:dyDescent="0.2">
      <c r="A7019" s="101"/>
    </row>
    <row r="7020" spans="1:1" x14ac:dyDescent="0.2">
      <c r="A7020" s="101"/>
    </row>
    <row r="7021" spans="1:1" x14ac:dyDescent="0.2">
      <c r="A7021" s="101"/>
    </row>
    <row r="7022" spans="1:1" x14ac:dyDescent="0.2">
      <c r="A7022" s="101"/>
    </row>
    <row r="7023" spans="1:1" x14ac:dyDescent="0.2">
      <c r="A7023" s="101"/>
    </row>
    <row r="7024" spans="1:1" x14ac:dyDescent="0.2">
      <c r="A7024" s="101"/>
    </row>
    <row r="7025" spans="1:1" x14ac:dyDescent="0.2">
      <c r="A7025" s="101"/>
    </row>
    <row r="7026" spans="1:1" x14ac:dyDescent="0.2">
      <c r="A7026" s="101"/>
    </row>
    <row r="7027" spans="1:1" x14ac:dyDescent="0.2">
      <c r="A7027" s="101"/>
    </row>
    <row r="7028" spans="1:1" x14ac:dyDescent="0.2">
      <c r="A7028" s="101"/>
    </row>
    <row r="7029" spans="1:1" x14ac:dyDescent="0.2">
      <c r="A7029" s="101"/>
    </row>
    <row r="7030" spans="1:1" x14ac:dyDescent="0.2">
      <c r="A7030" s="101"/>
    </row>
    <row r="7031" spans="1:1" x14ac:dyDescent="0.2">
      <c r="A7031" s="101"/>
    </row>
    <row r="7032" spans="1:1" x14ac:dyDescent="0.2">
      <c r="A7032" s="101"/>
    </row>
    <row r="7033" spans="1:1" x14ac:dyDescent="0.2">
      <c r="A7033" s="101"/>
    </row>
    <row r="7034" spans="1:1" x14ac:dyDescent="0.2">
      <c r="A7034" s="101"/>
    </row>
    <row r="7035" spans="1:1" x14ac:dyDescent="0.2">
      <c r="A7035" s="101"/>
    </row>
    <row r="7036" spans="1:1" x14ac:dyDescent="0.2">
      <c r="A7036" s="101"/>
    </row>
    <row r="7037" spans="1:1" x14ac:dyDescent="0.2">
      <c r="A7037" s="101"/>
    </row>
    <row r="7038" spans="1:1" x14ac:dyDescent="0.2">
      <c r="A7038" s="101"/>
    </row>
    <row r="7039" spans="1:1" x14ac:dyDescent="0.2">
      <c r="A7039" s="101"/>
    </row>
    <row r="7040" spans="1:1" x14ac:dyDescent="0.2">
      <c r="A7040" s="101"/>
    </row>
    <row r="7041" spans="1:1" x14ac:dyDescent="0.2">
      <c r="A7041" s="101"/>
    </row>
    <row r="7042" spans="1:1" x14ac:dyDescent="0.2">
      <c r="A7042" s="101"/>
    </row>
    <row r="7043" spans="1:1" x14ac:dyDescent="0.2">
      <c r="A7043" s="101"/>
    </row>
    <row r="7044" spans="1:1" x14ac:dyDescent="0.2">
      <c r="A7044" s="101"/>
    </row>
    <row r="7045" spans="1:1" x14ac:dyDescent="0.2">
      <c r="A7045" s="101"/>
    </row>
    <row r="7046" spans="1:1" x14ac:dyDescent="0.2">
      <c r="A7046" s="101"/>
    </row>
    <row r="7047" spans="1:1" x14ac:dyDescent="0.2">
      <c r="A7047" s="101"/>
    </row>
    <row r="7048" spans="1:1" x14ac:dyDescent="0.2">
      <c r="A7048" s="101"/>
    </row>
    <row r="7049" spans="1:1" x14ac:dyDescent="0.2">
      <c r="A7049" s="101"/>
    </row>
    <row r="7050" spans="1:1" x14ac:dyDescent="0.2">
      <c r="A7050" s="101"/>
    </row>
    <row r="7051" spans="1:1" x14ac:dyDescent="0.2">
      <c r="A7051" s="101"/>
    </row>
    <row r="7052" spans="1:1" x14ac:dyDescent="0.2">
      <c r="A7052" s="101"/>
    </row>
    <row r="7053" spans="1:1" x14ac:dyDescent="0.2">
      <c r="A7053" s="101"/>
    </row>
    <row r="7054" spans="1:1" x14ac:dyDescent="0.2">
      <c r="A7054" s="101"/>
    </row>
    <row r="7055" spans="1:1" x14ac:dyDescent="0.2">
      <c r="A7055" s="101"/>
    </row>
    <row r="7056" spans="1:1" x14ac:dyDescent="0.2">
      <c r="A7056" s="101"/>
    </row>
    <row r="7057" spans="1:1" x14ac:dyDescent="0.2">
      <c r="A7057" s="101"/>
    </row>
    <row r="7058" spans="1:1" x14ac:dyDescent="0.2">
      <c r="A7058" s="101"/>
    </row>
    <row r="7059" spans="1:1" x14ac:dyDescent="0.2">
      <c r="A7059" s="101"/>
    </row>
    <row r="7060" spans="1:1" x14ac:dyDescent="0.2">
      <c r="A7060" s="101"/>
    </row>
    <row r="7061" spans="1:1" x14ac:dyDescent="0.2">
      <c r="A7061" s="101"/>
    </row>
    <row r="7062" spans="1:1" x14ac:dyDescent="0.2">
      <c r="A7062" s="101"/>
    </row>
    <row r="7063" spans="1:1" x14ac:dyDescent="0.2">
      <c r="A7063" s="101"/>
    </row>
    <row r="7064" spans="1:1" x14ac:dyDescent="0.2">
      <c r="A7064" s="101"/>
    </row>
    <row r="7065" spans="1:1" x14ac:dyDescent="0.2">
      <c r="A7065" s="101"/>
    </row>
    <row r="7066" spans="1:1" x14ac:dyDescent="0.2">
      <c r="A7066" s="101"/>
    </row>
    <row r="7067" spans="1:1" x14ac:dyDescent="0.2">
      <c r="A7067" s="101"/>
    </row>
    <row r="7068" spans="1:1" x14ac:dyDescent="0.2">
      <c r="A7068" s="101"/>
    </row>
    <row r="7069" spans="1:1" x14ac:dyDescent="0.2">
      <c r="A7069" s="101"/>
    </row>
    <row r="7070" spans="1:1" x14ac:dyDescent="0.2">
      <c r="A7070" s="101"/>
    </row>
    <row r="7071" spans="1:1" x14ac:dyDescent="0.2">
      <c r="A7071" s="101"/>
    </row>
    <row r="7072" spans="1:1" x14ac:dyDescent="0.2">
      <c r="A7072" s="101"/>
    </row>
    <row r="7073" spans="1:1" x14ac:dyDescent="0.2">
      <c r="A7073" s="101"/>
    </row>
    <row r="7074" spans="1:1" x14ac:dyDescent="0.2">
      <c r="A7074" s="101"/>
    </row>
    <row r="7075" spans="1:1" x14ac:dyDescent="0.2">
      <c r="A7075" s="101"/>
    </row>
    <row r="7076" spans="1:1" x14ac:dyDescent="0.2">
      <c r="A7076" s="101"/>
    </row>
    <row r="7077" spans="1:1" x14ac:dyDescent="0.2">
      <c r="A7077" s="101"/>
    </row>
    <row r="7078" spans="1:1" x14ac:dyDescent="0.2">
      <c r="A7078" s="101"/>
    </row>
    <row r="7079" spans="1:1" x14ac:dyDescent="0.2">
      <c r="A7079" s="101"/>
    </row>
    <row r="7080" spans="1:1" x14ac:dyDescent="0.2">
      <c r="A7080" s="101"/>
    </row>
    <row r="7081" spans="1:1" x14ac:dyDescent="0.2">
      <c r="A7081" s="101"/>
    </row>
    <row r="7082" spans="1:1" x14ac:dyDescent="0.2">
      <c r="A7082" s="101"/>
    </row>
    <row r="7083" spans="1:1" x14ac:dyDescent="0.2">
      <c r="A7083" s="101"/>
    </row>
    <row r="7084" spans="1:1" x14ac:dyDescent="0.2">
      <c r="A7084" s="101"/>
    </row>
    <row r="7085" spans="1:1" x14ac:dyDescent="0.2">
      <c r="A7085" s="101"/>
    </row>
    <row r="7086" spans="1:1" x14ac:dyDescent="0.2">
      <c r="A7086" s="101"/>
    </row>
    <row r="7087" spans="1:1" x14ac:dyDescent="0.2">
      <c r="A7087" s="101"/>
    </row>
    <row r="7088" spans="1:1" x14ac:dyDescent="0.2">
      <c r="A7088" s="101"/>
    </row>
    <row r="7089" spans="1:1" x14ac:dyDescent="0.2">
      <c r="A7089" s="101"/>
    </row>
    <row r="7090" spans="1:1" x14ac:dyDescent="0.2">
      <c r="A7090" s="101"/>
    </row>
    <row r="7091" spans="1:1" x14ac:dyDescent="0.2">
      <c r="A7091" s="101"/>
    </row>
    <row r="7092" spans="1:1" x14ac:dyDescent="0.2">
      <c r="A7092" s="101"/>
    </row>
    <row r="7093" spans="1:1" x14ac:dyDescent="0.2">
      <c r="A7093" s="101"/>
    </row>
    <row r="7094" spans="1:1" x14ac:dyDescent="0.2">
      <c r="A7094" s="101"/>
    </row>
    <row r="7095" spans="1:1" x14ac:dyDescent="0.2">
      <c r="A7095" s="101"/>
    </row>
    <row r="7096" spans="1:1" x14ac:dyDescent="0.2">
      <c r="A7096" s="101"/>
    </row>
    <row r="7097" spans="1:1" x14ac:dyDescent="0.2">
      <c r="A7097" s="101"/>
    </row>
    <row r="7098" spans="1:1" x14ac:dyDescent="0.2">
      <c r="A7098" s="101"/>
    </row>
    <row r="7099" spans="1:1" x14ac:dyDescent="0.2">
      <c r="A7099" s="101"/>
    </row>
    <row r="7100" spans="1:1" x14ac:dyDescent="0.2">
      <c r="A7100" s="101"/>
    </row>
    <row r="7101" spans="1:1" x14ac:dyDescent="0.2">
      <c r="A7101" s="101"/>
    </row>
    <row r="7102" spans="1:1" x14ac:dyDescent="0.2">
      <c r="A7102" s="101"/>
    </row>
    <row r="7103" spans="1:1" x14ac:dyDescent="0.2">
      <c r="A7103" s="101"/>
    </row>
    <row r="7104" spans="1:1" x14ac:dyDescent="0.2">
      <c r="A7104" s="101"/>
    </row>
    <row r="7105" spans="1:1" x14ac:dyDescent="0.2">
      <c r="A7105" s="101"/>
    </row>
    <row r="7106" spans="1:1" x14ac:dyDescent="0.2">
      <c r="A7106" s="101"/>
    </row>
    <row r="7107" spans="1:1" x14ac:dyDescent="0.2">
      <c r="A7107" s="101"/>
    </row>
    <row r="7108" spans="1:1" x14ac:dyDescent="0.2">
      <c r="A7108" s="101"/>
    </row>
    <row r="7109" spans="1:1" x14ac:dyDescent="0.2">
      <c r="A7109" s="101"/>
    </row>
    <row r="7110" spans="1:1" x14ac:dyDescent="0.2">
      <c r="A7110" s="101"/>
    </row>
    <row r="7111" spans="1:1" x14ac:dyDescent="0.2">
      <c r="A7111" s="101"/>
    </row>
    <row r="7112" spans="1:1" x14ac:dyDescent="0.2">
      <c r="A7112" s="101"/>
    </row>
    <row r="7113" spans="1:1" x14ac:dyDescent="0.2">
      <c r="A7113" s="101"/>
    </row>
    <row r="7114" spans="1:1" x14ac:dyDescent="0.2">
      <c r="A7114" s="101"/>
    </row>
    <row r="7115" spans="1:1" x14ac:dyDescent="0.2">
      <c r="A7115" s="101"/>
    </row>
    <row r="7116" spans="1:1" x14ac:dyDescent="0.2">
      <c r="A7116" s="101"/>
    </row>
    <row r="7117" spans="1:1" x14ac:dyDescent="0.2">
      <c r="A7117" s="101"/>
    </row>
    <row r="7118" spans="1:1" x14ac:dyDescent="0.2">
      <c r="A7118" s="101"/>
    </row>
    <row r="7119" spans="1:1" x14ac:dyDescent="0.2">
      <c r="A7119" s="101"/>
    </row>
    <row r="7120" spans="1:1" x14ac:dyDescent="0.2">
      <c r="A7120" s="101"/>
    </row>
    <row r="7121" spans="1:1" x14ac:dyDescent="0.2">
      <c r="A7121" s="101"/>
    </row>
    <row r="7122" spans="1:1" x14ac:dyDescent="0.2">
      <c r="A7122" s="101"/>
    </row>
    <row r="7123" spans="1:1" x14ac:dyDescent="0.2">
      <c r="A7123" s="101"/>
    </row>
    <row r="7124" spans="1:1" x14ac:dyDescent="0.2">
      <c r="A7124" s="101"/>
    </row>
    <row r="7125" spans="1:1" x14ac:dyDescent="0.2">
      <c r="A7125" s="101"/>
    </row>
    <row r="7126" spans="1:1" x14ac:dyDescent="0.2">
      <c r="A7126" s="101"/>
    </row>
    <row r="7127" spans="1:1" x14ac:dyDescent="0.2">
      <c r="A7127" s="101"/>
    </row>
    <row r="7128" spans="1:1" x14ac:dyDescent="0.2">
      <c r="A7128" s="101"/>
    </row>
    <row r="7129" spans="1:1" x14ac:dyDescent="0.2">
      <c r="A7129" s="101"/>
    </row>
    <row r="7130" spans="1:1" x14ac:dyDescent="0.2">
      <c r="A7130" s="101"/>
    </row>
    <row r="7131" spans="1:1" x14ac:dyDescent="0.2">
      <c r="A7131" s="101"/>
    </row>
    <row r="7132" spans="1:1" x14ac:dyDescent="0.2">
      <c r="A7132" s="101"/>
    </row>
    <row r="7133" spans="1:1" x14ac:dyDescent="0.2">
      <c r="A7133" s="101"/>
    </row>
    <row r="7134" spans="1:1" x14ac:dyDescent="0.2">
      <c r="A7134" s="101"/>
    </row>
    <row r="7135" spans="1:1" x14ac:dyDescent="0.2">
      <c r="A7135" s="101"/>
    </row>
    <row r="7136" spans="1:1" x14ac:dyDescent="0.2">
      <c r="A7136" s="101"/>
    </row>
    <row r="7137" spans="1:1" x14ac:dyDescent="0.2">
      <c r="A7137" s="101"/>
    </row>
    <row r="7138" spans="1:1" x14ac:dyDescent="0.2">
      <c r="A7138" s="101"/>
    </row>
    <row r="7139" spans="1:1" x14ac:dyDescent="0.2">
      <c r="A7139" s="101"/>
    </row>
    <row r="7140" spans="1:1" x14ac:dyDescent="0.2">
      <c r="A7140" s="101"/>
    </row>
    <row r="7141" spans="1:1" x14ac:dyDescent="0.2">
      <c r="A7141" s="101"/>
    </row>
    <row r="7142" spans="1:1" x14ac:dyDescent="0.2">
      <c r="A7142" s="101"/>
    </row>
    <row r="7143" spans="1:1" x14ac:dyDescent="0.2">
      <c r="A7143" s="101"/>
    </row>
    <row r="7144" spans="1:1" x14ac:dyDescent="0.2">
      <c r="A7144" s="101"/>
    </row>
    <row r="7145" spans="1:1" x14ac:dyDescent="0.2">
      <c r="A7145" s="101"/>
    </row>
    <row r="7146" spans="1:1" x14ac:dyDescent="0.2">
      <c r="A7146" s="101"/>
    </row>
    <row r="7147" spans="1:1" x14ac:dyDescent="0.2">
      <c r="A7147" s="101"/>
    </row>
    <row r="7148" spans="1:1" x14ac:dyDescent="0.2">
      <c r="A7148" s="101"/>
    </row>
    <row r="7149" spans="1:1" x14ac:dyDescent="0.2">
      <c r="A7149" s="101"/>
    </row>
    <row r="7150" spans="1:1" x14ac:dyDescent="0.2">
      <c r="A7150" s="101"/>
    </row>
    <row r="7151" spans="1:1" x14ac:dyDescent="0.2">
      <c r="A7151" s="101"/>
    </row>
    <row r="7152" spans="1:1" x14ac:dyDescent="0.2">
      <c r="A7152" s="101"/>
    </row>
    <row r="7153" spans="1:1" x14ac:dyDescent="0.2">
      <c r="A7153" s="101"/>
    </row>
    <row r="7154" spans="1:1" x14ac:dyDescent="0.2">
      <c r="A7154" s="101"/>
    </row>
    <row r="7155" spans="1:1" x14ac:dyDescent="0.2">
      <c r="A7155" s="101"/>
    </row>
    <row r="7156" spans="1:1" x14ac:dyDescent="0.2">
      <c r="A7156" s="101"/>
    </row>
    <row r="7157" spans="1:1" x14ac:dyDescent="0.2">
      <c r="A7157" s="101"/>
    </row>
    <row r="7158" spans="1:1" x14ac:dyDescent="0.2">
      <c r="A7158" s="101"/>
    </row>
    <row r="7159" spans="1:1" x14ac:dyDescent="0.2">
      <c r="A7159" s="101"/>
    </row>
    <row r="7160" spans="1:1" x14ac:dyDescent="0.2">
      <c r="A7160" s="101"/>
    </row>
    <row r="7161" spans="1:1" x14ac:dyDescent="0.2">
      <c r="A7161" s="101"/>
    </row>
    <row r="7162" spans="1:1" x14ac:dyDescent="0.2">
      <c r="A7162" s="101"/>
    </row>
    <row r="7163" spans="1:1" x14ac:dyDescent="0.2">
      <c r="A7163" s="101"/>
    </row>
    <row r="7164" spans="1:1" x14ac:dyDescent="0.2">
      <c r="A7164" s="101"/>
    </row>
    <row r="7165" spans="1:1" x14ac:dyDescent="0.2">
      <c r="A7165" s="101"/>
    </row>
    <row r="7166" spans="1:1" x14ac:dyDescent="0.2">
      <c r="A7166" s="101"/>
    </row>
    <row r="7167" spans="1:1" x14ac:dyDescent="0.2">
      <c r="A7167" s="101"/>
    </row>
    <row r="7168" spans="1:1" x14ac:dyDescent="0.2">
      <c r="A7168" s="101"/>
    </row>
    <row r="7169" spans="1:1" x14ac:dyDescent="0.2">
      <c r="A7169" s="101"/>
    </row>
    <row r="7170" spans="1:1" x14ac:dyDescent="0.2">
      <c r="A7170" s="101"/>
    </row>
    <row r="7171" spans="1:1" x14ac:dyDescent="0.2">
      <c r="A7171" s="101"/>
    </row>
    <row r="7172" spans="1:1" x14ac:dyDescent="0.2">
      <c r="A7172" s="101"/>
    </row>
    <row r="7173" spans="1:1" x14ac:dyDescent="0.2">
      <c r="A7173" s="101"/>
    </row>
    <row r="7174" spans="1:1" x14ac:dyDescent="0.2">
      <c r="A7174" s="101"/>
    </row>
    <row r="7175" spans="1:1" x14ac:dyDescent="0.2">
      <c r="A7175" s="101"/>
    </row>
    <row r="7176" spans="1:1" x14ac:dyDescent="0.2">
      <c r="A7176" s="101"/>
    </row>
    <row r="7177" spans="1:1" x14ac:dyDescent="0.2">
      <c r="A7177" s="101"/>
    </row>
    <row r="7178" spans="1:1" x14ac:dyDescent="0.2">
      <c r="A7178" s="101"/>
    </row>
    <row r="7179" spans="1:1" x14ac:dyDescent="0.2">
      <c r="A7179" s="101"/>
    </row>
    <row r="7180" spans="1:1" x14ac:dyDescent="0.2">
      <c r="A7180" s="101"/>
    </row>
    <row r="7181" spans="1:1" x14ac:dyDescent="0.2">
      <c r="A7181" s="101"/>
    </row>
    <row r="7182" spans="1:1" x14ac:dyDescent="0.2">
      <c r="A7182" s="101"/>
    </row>
    <row r="7183" spans="1:1" x14ac:dyDescent="0.2">
      <c r="A7183" s="101"/>
    </row>
    <row r="7184" spans="1:1" x14ac:dyDescent="0.2">
      <c r="A7184" s="101"/>
    </row>
    <row r="7185" spans="1:1" x14ac:dyDescent="0.2">
      <c r="A7185" s="101"/>
    </row>
    <row r="7186" spans="1:1" x14ac:dyDescent="0.2">
      <c r="A7186" s="101"/>
    </row>
    <row r="7187" spans="1:1" x14ac:dyDescent="0.2">
      <c r="A7187" s="101"/>
    </row>
    <row r="7188" spans="1:1" x14ac:dyDescent="0.2">
      <c r="A7188" s="101"/>
    </row>
    <row r="7189" spans="1:1" x14ac:dyDescent="0.2">
      <c r="A7189" s="101"/>
    </row>
    <row r="7190" spans="1:1" x14ac:dyDescent="0.2">
      <c r="A7190" s="101"/>
    </row>
    <row r="7191" spans="1:1" x14ac:dyDescent="0.2">
      <c r="A7191" s="101"/>
    </row>
    <row r="7192" spans="1:1" x14ac:dyDescent="0.2">
      <c r="A7192" s="101"/>
    </row>
    <row r="7193" spans="1:1" x14ac:dyDescent="0.2">
      <c r="A7193" s="101"/>
    </row>
    <row r="7194" spans="1:1" x14ac:dyDescent="0.2">
      <c r="A7194" s="101"/>
    </row>
    <row r="7195" spans="1:1" x14ac:dyDescent="0.2">
      <c r="A7195" s="101"/>
    </row>
    <row r="7196" spans="1:1" x14ac:dyDescent="0.2">
      <c r="A7196" s="101"/>
    </row>
    <row r="7197" spans="1:1" x14ac:dyDescent="0.2">
      <c r="A7197" s="101"/>
    </row>
    <row r="7198" spans="1:1" x14ac:dyDescent="0.2">
      <c r="A7198" s="101"/>
    </row>
    <row r="7199" spans="1:1" x14ac:dyDescent="0.2">
      <c r="A7199" s="101"/>
    </row>
    <row r="7200" spans="1:1" x14ac:dyDescent="0.2">
      <c r="A7200" s="101"/>
    </row>
    <row r="7201" spans="1:1" x14ac:dyDescent="0.2">
      <c r="A7201" s="101"/>
    </row>
    <row r="7202" spans="1:1" x14ac:dyDescent="0.2">
      <c r="A7202" s="101"/>
    </row>
    <row r="7203" spans="1:1" x14ac:dyDescent="0.2">
      <c r="A7203" s="101"/>
    </row>
    <row r="7204" spans="1:1" x14ac:dyDescent="0.2">
      <c r="A7204" s="101"/>
    </row>
    <row r="7205" spans="1:1" x14ac:dyDescent="0.2">
      <c r="A7205" s="101"/>
    </row>
    <row r="7206" spans="1:1" x14ac:dyDescent="0.2">
      <c r="A7206" s="101"/>
    </row>
    <row r="7207" spans="1:1" x14ac:dyDescent="0.2">
      <c r="A7207" s="101"/>
    </row>
    <row r="7208" spans="1:1" x14ac:dyDescent="0.2">
      <c r="A7208" s="101"/>
    </row>
    <row r="7209" spans="1:1" x14ac:dyDescent="0.2">
      <c r="A7209" s="101"/>
    </row>
    <row r="7210" spans="1:1" x14ac:dyDescent="0.2">
      <c r="A7210" s="101"/>
    </row>
    <row r="7211" spans="1:1" x14ac:dyDescent="0.2">
      <c r="A7211" s="101"/>
    </row>
    <row r="7212" spans="1:1" x14ac:dyDescent="0.2">
      <c r="A7212" s="101"/>
    </row>
    <row r="7213" spans="1:1" x14ac:dyDescent="0.2">
      <c r="A7213" s="101"/>
    </row>
    <row r="7214" spans="1:1" x14ac:dyDescent="0.2">
      <c r="A7214" s="101"/>
    </row>
    <row r="7215" spans="1:1" x14ac:dyDescent="0.2">
      <c r="A7215" s="101"/>
    </row>
    <row r="7216" spans="1:1" x14ac:dyDescent="0.2">
      <c r="A7216" s="101"/>
    </row>
    <row r="7217" spans="1:1" x14ac:dyDescent="0.2">
      <c r="A7217" s="101"/>
    </row>
    <row r="7218" spans="1:1" x14ac:dyDescent="0.2">
      <c r="A7218" s="101"/>
    </row>
    <row r="7219" spans="1:1" x14ac:dyDescent="0.2">
      <c r="A7219" s="101"/>
    </row>
    <row r="7220" spans="1:1" x14ac:dyDescent="0.2">
      <c r="A7220" s="101"/>
    </row>
    <row r="7221" spans="1:1" x14ac:dyDescent="0.2">
      <c r="A7221" s="101"/>
    </row>
    <row r="7222" spans="1:1" x14ac:dyDescent="0.2">
      <c r="A7222" s="101"/>
    </row>
    <row r="7223" spans="1:1" x14ac:dyDescent="0.2">
      <c r="A7223" s="101"/>
    </row>
    <row r="7224" spans="1:1" x14ac:dyDescent="0.2">
      <c r="A7224" s="101"/>
    </row>
    <row r="7225" spans="1:1" x14ac:dyDescent="0.2">
      <c r="A7225" s="101"/>
    </row>
    <row r="7226" spans="1:1" x14ac:dyDescent="0.2">
      <c r="A7226" s="101"/>
    </row>
    <row r="7227" spans="1:1" x14ac:dyDescent="0.2">
      <c r="A7227" s="101"/>
    </row>
    <row r="7228" spans="1:1" x14ac:dyDescent="0.2">
      <c r="A7228" s="101"/>
    </row>
    <row r="7229" spans="1:1" x14ac:dyDescent="0.2">
      <c r="A7229" s="101"/>
    </row>
    <row r="7230" spans="1:1" x14ac:dyDescent="0.2">
      <c r="A7230" s="101"/>
    </row>
    <row r="7231" spans="1:1" x14ac:dyDescent="0.2">
      <c r="A7231" s="101"/>
    </row>
    <row r="7232" spans="1:1" x14ac:dyDescent="0.2">
      <c r="A7232" s="101"/>
    </row>
    <row r="7233" spans="1:1" x14ac:dyDescent="0.2">
      <c r="A7233" s="101"/>
    </row>
    <row r="7234" spans="1:1" x14ac:dyDescent="0.2">
      <c r="A7234" s="101"/>
    </row>
    <row r="7235" spans="1:1" x14ac:dyDescent="0.2">
      <c r="A7235" s="101"/>
    </row>
    <row r="7236" spans="1:1" x14ac:dyDescent="0.2">
      <c r="A7236" s="101"/>
    </row>
    <row r="7237" spans="1:1" x14ac:dyDescent="0.2">
      <c r="A7237" s="101"/>
    </row>
    <row r="7238" spans="1:1" x14ac:dyDescent="0.2">
      <c r="A7238" s="101"/>
    </row>
    <row r="7239" spans="1:1" x14ac:dyDescent="0.2">
      <c r="A7239" s="101"/>
    </row>
    <row r="7240" spans="1:1" x14ac:dyDescent="0.2">
      <c r="A7240" s="101"/>
    </row>
    <row r="7241" spans="1:1" x14ac:dyDescent="0.2">
      <c r="A7241" s="101"/>
    </row>
    <row r="7242" spans="1:1" x14ac:dyDescent="0.2">
      <c r="A7242" s="101"/>
    </row>
    <row r="7243" spans="1:1" x14ac:dyDescent="0.2">
      <c r="A7243" s="101"/>
    </row>
    <row r="7244" spans="1:1" x14ac:dyDescent="0.2">
      <c r="A7244" s="101"/>
    </row>
    <row r="7245" spans="1:1" x14ac:dyDescent="0.2">
      <c r="A7245" s="101"/>
    </row>
    <row r="7246" spans="1:1" x14ac:dyDescent="0.2">
      <c r="A7246" s="101"/>
    </row>
    <row r="7247" spans="1:1" x14ac:dyDescent="0.2">
      <c r="A7247" s="101"/>
    </row>
    <row r="7248" spans="1:1" x14ac:dyDescent="0.2">
      <c r="A7248" s="101"/>
    </row>
    <row r="7249" spans="1:1" x14ac:dyDescent="0.2">
      <c r="A7249" s="101"/>
    </row>
    <row r="7250" spans="1:1" x14ac:dyDescent="0.2">
      <c r="A7250" s="101"/>
    </row>
    <row r="7251" spans="1:1" x14ac:dyDescent="0.2">
      <c r="A7251" s="101"/>
    </row>
    <row r="7252" spans="1:1" x14ac:dyDescent="0.2">
      <c r="A7252" s="101"/>
    </row>
    <row r="7253" spans="1:1" x14ac:dyDescent="0.2">
      <c r="A7253" s="101"/>
    </row>
    <row r="7254" spans="1:1" x14ac:dyDescent="0.2">
      <c r="A7254" s="101"/>
    </row>
    <row r="7255" spans="1:1" x14ac:dyDescent="0.2">
      <c r="A7255" s="101"/>
    </row>
    <row r="7256" spans="1:1" x14ac:dyDescent="0.2">
      <c r="A7256" s="101"/>
    </row>
    <row r="7257" spans="1:1" x14ac:dyDescent="0.2">
      <c r="A7257" s="101"/>
    </row>
    <row r="7258" spans="1:1" x14ac:dyDescent="0.2">
      <c r="A7258" s="101"/>
    </row>
    <row r="7259" spans="1:1" x14ac:dyDescent="0.2">
      <c r="A7259" s="101"/>
    </row>
    <row r="7260" spans="1:1" x14ac:dyDescent="0.2">
      <c r="A7260" s="101"/>
    </row>
    <row r="7261" spans="1:1" x14ac:dyDescent="0.2">
      <c r="A7261" s="101"/>
    </row>
    <row r="7262" spans="1:1" x14ac:dyDescent="0.2">
      <c r="A7262" s="101"/>
    </row>
    <row r="7263" spans="1:1" x14ac:dyDescent="0.2">
      <c r="A7263" s="101"/>
    </row>
    <row r="7264" spans="1:1" x14ac:dyDescent="0.2">
      <c r="A7264" s="101"/>
    </row>
    <row r="7265" spans="1:1" x14ac:dyDescent="0.2">
      <c r="A7265" s="101"/>
    </row>
    <row r="7266" spans="1:1" x14ac:dyDescent="0.2">
      <c r="A7266" s="101"/>
    </row>
    <row r="7267" spans="1:1" x14ac:dyDescent="0.2">
      <c r="A7267" s="101"/>
    </row>
    <row r="7268" spans="1:1" x14ac:dyDescent="0.2">
      <c r="A7268" s="101"/>
    </row>
    <row r="7269" spans="1:1" x14ac:dyDescent="0.2">
      <c r="A7269" s="101"/>
    </row>
    <row r="7270" spans="1:1" x14ac:dyDescent="0.2">
      <c r="A7270" s="101"/>
    </row>
    <row r="7271" spans="1:1" x14ac:dyDescent="0.2">
      <c r="A7271" s="101"/>
    </row>
    <row r="7272" spans="1:1" x14ac:dyDescent="0.2">
      <c r="A7272" s="101"/>
    </row>
    <row r="7273" spans="1:1" x14ac:dyDescent="0.2">
      <c r="A7273" s="101"/>
    </row>
    <row r="7274" spans="1:1" x14ac:dyDescent="0.2">
      <c r="A7274" s="101"/>
    </row>
    <row r="7275" spans="1:1" x14ac:dyDescent="0.2">
      <c r="A7275" s="101"/>
    </row>
    <row r="7276" spans="1:1" x14ac:dyDescent="0.2">
      <c r="A7276" s="101"/>
    </row>
    <row r="7277" spans="1:1" x14ac:dyDescent="0.2">
      <c r="A7277" s="101"/>
    </row>
    <row r="7278" spans="1:1" x14ac:dyDescent="0.2">
      <c r="A7278" s="101"/>
    </row>
    <row r="7279" spans="1:1" x14ac:dyDescent="0.2">
      <c r="A7279" s="101"/>
    </row>
    <row r="7280" spans="1:1" x14ac:dyDescent="0.2">
      <c r="A7280" s="101"/>
    </row>
    <row r="7281" spans="1:1" x14ac:dyDescent="0.2">
      <c r="A7281" s="101"/>
    </row>
    <row r="7282" spans="1:1" x14ac:dyDescent="0.2">
      <c r="A7282" s="101"/>
    </row>
    <row r="7283" spans="1:1" x14ac:dyDescent="0.2">
      <c r="A7283" s="101"/>
    </row>
    <row r="7284" spans="1:1" x14ac:dyDescent="0.2">
      <c r="A7284" s="101"/>
    </row>
    <row r="7285" spans="1:1" x14ac:dyDescent="0.2">
      <c r="A7285" s="101"/>
    </row>
    <row r="7286" spans="1:1" x14ac:dyDescent="0.2">
      <c r="A7286" s="101"/>
    </row>
    <row r="7287" spans="1:1" x14ac:dyDescent="0.2">
      <c r="A7287" s="101"/>
    </row>
    <row r="7288" spans="1:1" x14ac:dyDescent="0.2">
      <c r="A7288" s="101"/>
    </row>
    <row r="7289" spans="1:1" x14ac:dyDescent="0.2">
      <c r="A7289" s="101"/>
    </row>
    <row r="7290" spans="1:1" x14ac:dyDescent="0.2">
      <c r="A7290" s="101"/>
    </row>
    <row r="7291" spans="1:1" x14ac:dyDescent="0.2">
      <c r="A7291" s="101"/>
    </row>
    <row r="7292" spans="1:1" x14ac:dyDescent="0.2">
      <c r="A7292" s="101"/>
    </row>
    <row r="7293" spans="1:1" x14ac:dyDescent="0.2">
      <c r="A7293" s="101"/>
    </row>
    <row r="7294" spans="1:1" x14ac:dyDescent="0.2">
      <c r="A7294" s="101"/>
    </row>
    <row r="7295" spans="1:1" x14ac:dyDescent="0.2">
      <c r="A7295" s="101"/>
    </row>
    <row r="7296" spans="1:1" x14ac:dyDescent="0.2">
      <c r="A7296" s="101"/>
    </row>
    <row r="7297" spans="1:1" x14ac:dyDescent="0.2">
      <c r="A7297" s="101"/>
    </row>
    <row r="7298" spans="1:1" x14ac:dyDescent="0.2">
      <c r="A7298" s="101"/>
    </row>
    <row r="7299" spans="1:1" x14ac:dyDescent="0.2">
      <c r="A7299" s="101"/>
    </row>
    <row r="7300" spans="1:1" x14ac:dyDescent="0.2">
      <c r="A7300" s="101"/>
    </row>
    <row r="7301" spans="1:1" x14ac:dyDescent="0.2">
      <c r="A7301" s="101"/>
    </row>
    <row r="7302" spans="1:1" x14ac:dyDescent="0.2">
      <c r="A7302" s="101"/>
    </row>
    <row r="7303" spans="1:1" x14ac:dyDescent="0.2">
      <c r="A7303" s="101"/>
    </row>
    <row r="7304" spans="1:1" x14ac:dyDescent="0.2">
      <c r="A7304" s="101"/>
    </row>
    <row r="7305" spans="1:1" x14ac:dyDescent="0.2">
      <c r="A7305" s="101"/>
    </row>
    <row r="7306" spans="1:1" x14ac:dyDescent="0.2">
      <c r="A7306" s="101"/>
    </row>
    <row r="7307" spans="1:1" x14ac:dyDescent="0.2">
      <c r="A7307" s="101"/>
    </row>
    <row r="7308" spans="1:1" x14ac:dyDescent="0.2">
      <c r="A7308" s="101"/>
    </row>
    <row r="7309" spans="1:1" x14ac:dyDescent="0.2">
      <c r="A7309" s="101"/>
    </row>
    <row r="7310" spans="1:1" x14ac:dyDescent="0.2">
      <c r="A7310" s="101"/>
    </row>
    <row r="7311" spans="1:1" x14ac:dyDescent="0.2">
      <c r="A7311" s="101"/>
    </row>
    <row r="7312" spans="1:1" x14ac:dyDescent="0.2">
      <c r="A7312" s="101"/>
    </row>
    <row r="7313" spans="1:1" x14ac:dyDescent="0.2">
      <c r="A7313" s="101"/>
    </row>
    <row r="7314" spans="1:1" x14ac:dyDescent="0.2">
      <c r="A7314" s="101"/>
    </row>
    <row r="7315" spans="1:1" x14ac:dyDescent="0.2">
      <c r="A7315" s="101"/>
    </row>
    <row r="7316" spans="1:1" x14ac:dyDescent="0.2">
      <c r="A7316" s="101"/>
    </row>
    <row r="7317" spans="1:1" x14ac:dyDescent="0.2">
      <c r="A7317" s="101"/>
    </row>
    <row r="7318" spans="1:1" x14ac:dyDescent="0.2">
      <c r="A7318" s="101"/>
    </row>
    <row r="7319" spans="1:1" x14ac:dyDescent="0.2">
      <c r="A7319" s="101"/>
    </row>
    <row r="7320" spans="1:1" x14ac:dyDescent="0.2">
      <c r="A7320" s="101"/>
    </row>
    <row r="7321" spans="1:1" x14ac:dyDescent="0.2">
      <c r="A7321" s="101"/>
    </row>
    <row r="7322" spans="1:1" x14ac:dyDescent="0.2">
      <c r="A7322" s="101"/>
    </row>
    <row r="7323" spans="1:1" x14ac:dyDescent="0.2">
      <c r="A7323" s="101"/>
    </row>
    <row r="7324" spans="1:1" x14ac:dyDescent="0.2">
      <c r="A7324" s="101"/>
    </row>
    <row r="7325" spans="1:1" x14ac:dyDescent="0.2">
      <c r="A7325" s="101"/>
    </row>
    <row r="7326" spans="1:1" x14ac:dyDescent="0.2">
      <c r="A7326" s="101"/>
    </row>
    <row r="7327" spans="1:1" x14ac:dyDescent="0.2">
      <c r="A7327" s="101"/>
    </row>
    <row r="7328" spans="1:1" x14ac:dyDescent="0.2">
      <c r="A7328" s="101"/>
    </row>
    <row r="7329" spans="1:1" x14ac:dyDescent="0.2">
      <c r="A7329" s="101"/>
    </row>
    <row r="7330" spans="1:1" x14ac:dyDescent="0.2">
      <c r="A7330" s="101"/>
    </row>
    <row r="7331" spans="1:1" x14ac:dyDescent="0.2">
      <c r="A7331" s="101"/>
    </row>
    <row r="7332" spans="1:1" x14ac:dyDescent="0.2">
      <c r="A7332" s="101"/>
    </row>
    <row r="7333" spans="1:1" x14ac:dyDescent="0.2">
      <c r="A7333" s="101"/>
    </row>
    <row r="7334" spans="1:1" x14ac:dyDescent="0.2">
      <c r="A7334" s="101"/>
    </row>
    <row r="7335" spans="1:1" x14ac:dyDescent="0.2">
      <c r="A7335" s="101"/>
    </row>
    <row r="7336" spans="1:1" x14ac:dyDescent="0.2">
      <c r="A7336" s="101"/>
    </row>
    <row r="7337" spans="1:1" x14ac:dyDescent="0.2">
      <c r="A7337" s="101"/>
    </row>
    <row r="7338" spans="1:1" x14ac:dyDescent="0.2">
      <c r="A7338" s="101"/>
    </row>
    <row r="7339" spans="1:1" x14ac:dyDescent="0.2">
      <c r="A7339" s="101"/>
    </row>
    <row r="7340" spans="1:1" x14ac:dyDescent="0.2">
      <c r="A7340" s="101"/>
    </row>
    <row r="7341" spans="1:1" x14ac:dyDescent="0.2">
      <c r="A7341" s="101"/>
    </row>
    <row r="7342" spans="1:1" x14ac:dyDescent="0.2">
      <c r="A7342" s="101"/>
    </row>
    <row r="7343" spans="1:1" x14ac:dyDescent="0.2">
      <c r="A7343" s="101"/>
    </row>
    <row r="7344" spans="1:1" x14ac:dyDescent="0.2">
      <c r="A7344" s="101"/>
    </row>
    <row r="7345" spans="1:1" x14ac:dyDescent="0.2">
      <c r="A7345" s="101"/>
    </row>
    <row r="7346" spans="1:1" x14ac:dyDescent="0.2">
      <c r="A7346" s="101"/>
    </row>
    <row r="7347" spans="1:1" x14ac:dyDescent="0.2">
      <c r="A7347" s="101"/>
    </row>
    <row r="7348" spans="1:1" x14ac:dyDescent="0.2">
      <c r="A7348" s="101"/>
    </row>
    <row r="7349" spans="1:1" x14ac:dyDescent="0.2">
      <c r="A7349" s="101"/>
    </row>
    <row r="7350" spans="1:1" x14ac:dyDescent="0.2">
      <c r="A7350" s="101"/>
    </row>
    <row r="7351" spans="1:1" x14ac:dyDescent="0.2">
      <c r="A7351" s="101"/>
    </row>
    <row r="7352" spans="1:1" x14ac:dyDescent="0.2">
      <c r="A7352" s="101"/>
    </row>
    <row r="7353" spans="1:1" x14ac:dyDescent="0.2">
      <c r="A7353" s="101"/>
    </row>
    <row r="7354" spans="1:1" x14ac:dyDescent="0.2">
      <c r="A7354" s="101"/>
    </row>
    <row r="7355" spans="1:1" x14ac:dyDescent="0.2">
      <c r="A7355" s="101"/>
    </row>
    <row r="7356" spans="1:1" x14ac:dyDescent="0.2">
      <c r="A7356" s="101"/>
    </row>
    <row r="7357" spans="1:1" x14ac:dyDescent="0.2">
      <c r="A7357" s="101"/>
    </row>
    <row r="7358" spans="1:1" x14ac:dyDescent="0.2">
      <c r="A7358" s="101"/>
    </row>
    <row r="7359" spans="1:1" x14ac:dyDescent="0.2">
      <c r="A7359" s="101"/>
    </row>
    <row r="7360" spans="1:1" x14ac:dyDescent="0.2">
      <c r="A7360" s="101"/>
    </row>
    <row r="7361" spans="1:1" x14ac:dyDescent="0.2">
      <c r="A7361" s="101"/>
    </row>
    <row r="7362" spans="1:1" x14ac:dyDescent="0.2">
      <c r="A7362" s="101"/>
    </row>
    <row r="7363" spans="1:1" x14ac:dyDescent="0.2">
      <c r="A7363" s="101"/>
    </row>
    <row r="7364" spans="1:1" x14ac:dyDescent="0.2">
      <c r="A7364" s="101"/>
    </row>
    <row r="7365" spans="1:1" x14ac:dyDescent="0.2">
      <c r="A7365" s="101"/>
    </row>
    <row r="7366" spans="1:1" x14ac:dyDescent="0.2">
      <c r="A7366" s="101"/>
    </row>
    <row r="7367" spans="1:1" x14ac:dyDescent="0.2">
      <c r="A7367" s="101"/>
    </row>
    <row r="7368" spans="1:1" x14ac:dyDescent="0.2">
      <c r="A7368" s="101"/>
    </row>
    <row r="7369" spans="1:1" x14ac:dyDescent="0.2">
      <c r="A7369" s="101"/>
    </row>
    <row r="7370" spans="1:1" x14ac:dyDescent="0.2">
      <c r="A7370" s="101"/>
    </row>
    <row r="7371" spans="1:1" x14ac:dyDescent="0.2">
      <c r="A7371" s="101"/>
    </row>
    <row r="7372" spans="1:1" x14ac:dyDescent="0.2">
      <c r="A7372" s="101"/>
    </row>
    <row r="7373" spans="1:1" x14ac:dyDescent="0.2">
      <c r="A7373" s="101"/>
    </row>
    <row r="7374" spans="1:1" x14ac:dyDescent="0.2">
      <c r="A7374" s="101"/>
    </row>
    <row r="7375" spans="1:1" x14ac:dyDescent="0.2">
      <c r="A7375" s="101"/>
    </row>
    <row r="7376" spans="1:1" x14ac:dyDescent="0.2">
      <c r="A7376" s="101"/>
    </row>
    <row r="7377" spans="1:1" x14ac:dyDescent="0.2">
      <c r="A7377" s="101"/>
    </row>
    <row r="7378" spans="1:1" x14ac:dyDescent="0.2">
      <c r="A7378" s="101"/>
    </row>
    <row r="7379" spans="1:1" x14ac:dyDescent="0.2">
      <c r="A7379" s="101"/>
    </row>
    <row r="7380" spans="1:1" x14ac:dyDescent="0.2">
      <c r="A7380" s="101"/>
    </row>
    <row r="7381" spans="1:1" x14ac:dyDescent="0.2">
      <c r="A7381" s="101"/>
    </row>
    <row r="7382" spans="1:1" x14ac:dyDescent="0.2">
      <c r="A7382" s="101"/>
    </row>
    <row r="7383" spans="1:1" x14ac:dyDescent="0.2">
      <c r="A7383" s="101"/>
    </row>
    <row r="7384" spans="1:1" x14ac:dyDescent="0.2">
      <c r="A7384" s="101"/>
    </row>
    <row r="7385" spans="1:1" x14ac:dyDescent="0.2">
      <c r="A7385" s="101"/>
    </row>
    <row r="7386" spans="1:1" x14ac:dyDescent="0.2">
      <c r="A7386" s="101"/>
    </row>
    <row r="7387" spans="1:1" x14ac:dyDescent="0.2">
      <c r="A7387" s="101"/>
    </row>
    <row r="7388" spans="1:1" x14ac:dyDescent="0.2">
      <c r="A7388" s="101"/>
    </row>
    <row r="7389" spans="1:1" x14ac:dyDescent="0.2">
      <c r="A7389" s="101"/>
    </row>
    <row r="7390" spans="1:1" x14ac:dyDescent="0.2">
      <c r="A7390" s="101"/>
    </row>
    <row r="7391" spans="1:1" x14ac:dyDescent="0.2">
      <c r="A7391" s="101"/>
    </row>
    <row r="7392" spans="1:1" x14ac:dyDescent="0.2">
      <c r="A7392" s="101"/>
    </row>
    <row r="7393" spans="1:1" x14ac:dyDescent="0.2">
      <c r="A7393" s="101"/>
    </row>
    <row r="7394" spans="1:1" x14ac:dyDescent="0.2">
      <c r="A7394" s="101"/>
    </row>
    <row r="7395" spans="1:1" x14ac:dyDescent="0.2">
      <c r="A7395" s="101"/>
    </row>
    <row r="7396" spans="1:1" x14ac:dyDescent="0.2">
      <c r="A7396" s="101"/>
    </row>
    <row r="7397" spans="1:1" x14ac:dyDescent="0.2">
      <c r="A7397" s="101"/>
    </row>
    <row r="7398" spans="1:1" x14ac:dyDescent="0.2">
      <c r="A7398" s="101"/>
    </row>
    <row r="7399" spans="1:1" x14ac:dyDescent="0.2">
      <c r="A7399" s="101"/>
    </row>
    <row r="7400" spans="1:1" x14ac:dyDescent="0.2">
      <c r="A7400" s="101"/>
    </row>
    <row r="7401" spans="1:1" x14ac:dyDescent="0.2">
      <c r="A7401" s="101"/>
    </row>
    <row r="7402" spans="1:1" x14ac:dyDescent="0.2">
      <c r="A7402" s="101"/>
    </row>
    <row r="7403" spans="1:1" x14ac:dyDescent="0.2">
      <c r="A7403" s="101"/>
    </row>
    <row r="7404" spans="1:1" x14ac:dyDescent="0.2">
      <c r="A7404" s="101"/>
    </row>
    <row r="7405" spans="1:1" x14ac:dyDescent="0.2">
      <c r="A7405" s="101"/>
    </row>
    <row r="7406" spans="1:1" x14ac:dyDescent="0.2">
      <c r="A7406" s="101"/>
    </row>
    <row r="7407" spans="1:1" x14ac:dyDescent="0.2">
      <c r="A7407" s="101"/>
    </row>
    <row r="7408" spans="1:1" x14ac:dyDescent="0.2">
      <c r="A7408" s="101"/>
    </row>
    <row r="7409" spans="1:1" x14ac:dyDescent="0.2">
      <c r="A7409" s="101"/>
    </row>
    <row r="7410" spans="1:1" x14ac:dyDescent="0.2">
      <c r="A7410" s="101"/>
    </row>
    <row r="7411" spans="1:1" x14ac:dyDescent="0.2">
      <c r="A7411" s="101"/>
    </row>
    <row r="7412" spans="1:1" x14ac:dyDescent="0.2">
      <c r="A7412" s="101"/>
    </row>
    <row r="7413" spans="1:1" x14ac:dyDescent="0.2">
      <c r="A7413" s="101"/>
    </row>
    <row r="7414" spans="1:1" x14ac:dyDescent="0.2">
      <c r="A7414" s="101"/>
    </row>
    <row r="7415" spans="1:1" x14ac:dyDescent="0.2">
      <c r="A7415" s="101"/>
    </row>
    <row r="7416" spans="1:1" x14ac:dyDescent="0.2">
      <c r="A7416" s="101"/>
    </row>
    <row r="7417" spans="1:1" x14ac:dyDescent="0.2">
      <c r="A7417" s="101"/>
    </row>
    <row r="7418" spans="1:1" x14ac:dyDescent="0.2">
      <c r="A7418" s="101"/>
    </row>
    <row r="7419" spans="1:1" x14ac:dyDescent="0.2">
      <c r="A7419" s="101"/>
    </row>
    <row r="7420" spans="1:1" x14ac:dyDescent="0.2">
      <c r="A7420" s="101"/>
    </row>
    <row r="7421" spans="1:1" x14ac:dyDescent="0.2">
      <c r="A7421" s="101"/>
    </row>
    <row r="7422" spans="1:1" x14ac:dyDescent="0.2">
      <c r="A7422" s="101"/>
    </row>
    <row r="7423" spans="1:1" x14ac:dyDescent="0.2">
      <c r="A7423" s="101"/>
    </row>
    <row r="7424" spans="1:1" x14ac:dyDescent="0.2">
      <c r="A7424" s="101"/>
    </row>
    <row r="7425" spans="1:1" x14ac:dyDescent="0.2">
      <c r="A7425" s="101"/>
    </row>
    <row r="7426" spans="1:1" x14ac:dyDescent="0.2">
      <c r="A7426" s="101"/>
    </row>
    <row r="7427" spans="1:1" x14ac:dyDescent="0.2">
      <c r="A7427" s="101"/>
    </row>
    <row r="7428" spans="1:1" x14ac:dyDescent="0.2">
      <c r="A7428" s="101"/>
    </row>
    <row r="7429" spans="1:1" x14ac:dyDescent="0.2">
      <c r="A7429" s="101"/>
    </row>
    <row r="7430" spans="1:1" x14ac:dyDescent="0.2">
      <c r="A7430" s="101"/>
    </row>
    <row r="7431" spans="1:1" x14ac:dyDescent="0.2">
      <c r="A7431" s="101"/>
    </row>
    <row r="7432" spans="1:1" x14ac:dyDescent="0.2">
      <c r="A7432" s="101"/>
    </row>
    <row r="7433" spans="1:1" x14ac:dyDescent="0.2">
      <c r="A7433" s="101"/>
    </row>
    <row r="7434" spans="1:1" x14ac:dyDescent="0.2">
      <c r="A7434" s="101"/>
    </row>
    <row r="7435" spans="1:1" x14ac:dyDescent="0.2">
      <c r="A7435" s="101"/>
    </row>
    <row r="7436" spans="1:1" x14ac:dyDescent="0.2">
      <c r="A7436" s="101"/>
    </row>
    <row r="7437" spans="1:1" x14ac:dyDescent="0.2">
      <c r="A7437" s="101"/>
    </row>
    <row r="7438" spans="1:1" x14ac:dyDescent="0.2">
      <c r="A7438" s="101"/>
    </row>
    <row r="7439" spans="1:1" x14ac:dyDescent="0.2">
      <c r="A7439" s="101"/>
    </row>
    <row r="7440" spans="1:1" x14ac:dyDescent="0.2">
      <c r="A7440" s="101"/>
    </row>
    <row r="7441" spans="1:1" x14ac:dyDescent="0.2">
      <c r="A7441" s="101"/>
    </row>
    <row r="7442" spans="1:1" x14ac:dyDescent="0.2">
      <c r="A7442" s="101"/>
    </row>
    <row r="7443" spans="1:1" x14ac:dyDescent="0.2">
      <c r="A7443" s="101"/>
    </row>
    <row r="7444" spans="1:1" x14ac:dyDescent="0.2">
      <c r="A7444" s="101"/>
    </row>
    <row r="7445" spans="1:1" x14ac:dyDescent="0.2">
      <c r="A7445" s="101"/>
    </row>
    <row r="7446" spans="1:1" x14ac:dyDescent="0.2">
      <c r="A7446" s="101"/>
    </row>
    <row r="7447" spans="1:1" x14ac:dyDescent="0.2">
      <c r="A7447" s="101"/>
    </row>
    <row r="7448" spans="1:1" x14ac:dyDescent="0.2">
      <c r="A7448" s="101"/>
    </row>
    <row r="7449" spans="1:1" x14ac:dyDescent="0.2">
      <c r="A7449" s="101"/>
    </row>
    <row r="7450" spans="1:1" x14ac:dyDescent="0.2">
      <c r="A7450" s="101"/>
    </row>
    <row r="7451" spans="1:1" x14ac:dyDescent="0.2">
      <c r="A7451" s="101"/>
    </row>
    <row r="7452" spans="1:1" x14ac:dyDescent="0.2">
      <c r="A7452" s="101"/>
    </row>
    <row r="7453" spans="1:1" x14ac:dyDescent="0.2">
      <c r="A7453" s="101"/>
    </row>
    <row r="7454" spans="1:1" x14ac:dyDescent="0.2">
      <c r="A7454" s="101"/>
    </row>
    <row r="7455" spans="1:1" x14ac:dyDescent="0.2">
      <c r="A7455" s="101"/>
    </row>
    <row r="7456" spans="1:1" x14ac:dyDescent="0.2">
      <c r="A7456" s="101"/>
    </row>
    <row r="7457" spans="1:1" x14ac:dyDescent="0.2">
      <c r="A7457" s="101"/>
    </row>
    <row r="7458" spans="1:1" x14ac:dyDescent="0.2">
      <c r="A7458" s="101"/>
    </row>
    <row r="7459" spans="1:1" x14ac:dyDescent="0.2">
      <c r="A7459" s="101"/>
    </row>
    <row r="7460" spans="1:1" x14ac:dyDescent="0.2">
      <c r="A7460" s="101"/>
    </row>
    <row r="7461" spans="1:1" x14ac:dyDescent="0.2">
      <c r="A7461" s="101"/>
    </row>
    <row r="7462" spans="1:1" x14ac:dyDescent="0.2">
      <c r="A7462" s="101"/>
    </row>
    <row r="7463" spans="1:1" x14ac:dyDescent="0.2">
      <c r="A7463" s="101"/>
    </row>
    <row r="7464" spans="1:1" x14ac:dyDescent="0.2">
      <c r="A7464" s="101"/>
    </row>
    <row r="7465" spans="1:1" x14ac:dyDescent="0.2">
      <c r="A7465" s="101"/>
    </row>
    <row r="7466" spans="1:1" x14ac:dyDescent="0.2">
      <c r="A7466" s="101"/>
    </row>
    <row r="7467" spans="1:1" x14ac:dyDescent="0.2">
      <c r="A7467" s="101"/>
    </row>
    <row r="7468" spans="1:1" x14ac:dyDescent="0.2">
      <c r="A7468" s="101"/>
    </row>
    <row r="7469" spans="1:1" x14ac:dyDescent="0.2">
      <c r="A7469" s="101"/>
    </row>
    <row r="7470" spans="1:1" x14ac:dyDescent="0.2">
      <c r="A7470" s="101"/>
    </row>
    <row r="7471" spans="1:1" x14ac:dyDescent="0.2">
      <c r="A7471" s="101"/>
    </row>
    <row r="7472" spans="1:1" x14ac:dyDescent="0.2">
      <c r="A7472" s="101"/>
    </row>
    <row r="7473" spans="1:1" x14ac:dyDescent="0.2">
      <c r="A7473" s="101"/>
    </row>
    <row r="7474" spans="1:1" x14ac:dyDescent="0.2">
      <c r="A7474" s="101"/>
    </row>
    <row r="7475" spans="1:1" x14ac:dyDescent="0.2">
      <c r="A7475" s="101"/>
    </row>
    <row r="7476" spans="1:1" x14ac:dyDescent="0.2">
      <c r="A7476" s="101"/>
    </row>
    <row r="7477" spans="1:1" x14ac:dyDescent="0.2">
      <c r="A7477" s="101"/>
    </row>
    <row r="7478" spans="1:1" x14ac:dyDescent="0.2">
      <c r="A7478" s="101"/>
    </row>
    <row r="7479" spans="1:1" x14ac:dyDescent="0.2">
      <c r="A7479" s="101"/>
    </row>
    <row r="7480" spans="1:1" x14ac:dyDescent="0.2">
      <c r="A7480" s="101"/>
    </row>
    <row r="7481" spans="1:1" x14ac:dyDescent="0.2">
      <c r="A7481" s="101"/>
    </row>
    <row r="7482" spans="1:1" x14ac:dyDescent="0.2">
      <c r="A7482" s="101"/>
    </row>
    <row r="7483" spans="1:1" x14ac:dyDescent="0.2">
      <c r="A7483" s="101"/>
    </row>
    <row r="7484" spans="1:1" x14ac:dyDescent="0.2">
      <c r="A7484" s="101"/>
    </row>
    <row r="7485" spans="1:1" x14ac:dyDescent="0.2">
      <c r="A7485" s="101"/>
    </row>
    <row r="7486" spans="1:1" x14ac:dyDescent="0.2">
      <c r="A7486" s="101"/>
    </row>
    <row r="7487" spans="1:1" x14ac:dyDescent="0.2">
      <c r="A7487" s="101"/>
    </row>
    <row r="7488" spans="1:1" x14ac:dyDescent="0.2">
      <c r="A7488" s="101"/>
    </row>
    <row r="7489" spans="1:1" x14ac:dyDescent="0.2">
      <c r="A7489" s="101"/>
    </row>
    <row r="7490" spans="1:1" x14ac:dyDescent="0.2">
      <c r="A7490" s="101"/>
    </row>
    <row r="7491" spans="1:1" x14ac:dyDescent="0.2">
      <c r="A7491" s="101"/>
    </row>
    <row r="7492" spans="1:1" x14ac:dyDescent="0.2">
      <c r="A7492" s="101"/>
    </row>
    <row r="7493" spans="1:1" x14ac:dyDescent="0.2">
      <c r="A7493" s="101"/>
    </row>
    <row r="7494" spans="1:1" x14ac:dyDescent="0.2">
      <c r="A7494" s="101"/>
    </row>
    <row r="7495" spans="1:1" x14ac:dyDescent="0.2">
      <c r="A7495" s="101"/>
    </row>
    <row r="7496" spans="1:1" x14ac:dyDescent="0.2">
      <c r="A7496" s="101"/>
    </row>
    <row r="7497" spans="1:1" x14ac:dyDescent="0.2">
      <c r="A7497" s="101"/>
    </row>
    <row r="7498" spans="1:1" x14ac:dyDescent="0.2">
      <c r="A7498" s="101"/>
    </row>
    <row r="7499" spans="1:1" x14ac:dyDescent="0.2">
      <c r="A7499" s="101"/>
    </row>
    <row r="7500" spans="1:1" x14ac:dyDescent="0.2">
      <c r="A7500" s="101"/>
    </row>
    <row r="7501" spans="1:1" x14ac:dyDescent="0.2">
      <c r="A7501" s="101"/>
    </row>
    <row r="7502" spans="1:1" x14ac:dyDescent="0.2">
      <c r="A7502" s="101"/>
    </row>
    <row r="7503" spans="1:1" x14ac:dyDescent="0.2">
      <c r="A7503" s="101"/>
    </row>
    <row r="7504" spans="1:1" x14ac:dyDescent="0.2">
      <c r="A7504" s="101"/>
    </row>
    <row r="7505" spans="1:1" x14ac:dyDescent="0.2">
      <c r="A7505" s="101"/>
    </row>
    <row r="7506" spans="1:1" x14ac:dyDescent="0.2">
      <c r="A7506" s="101"/>
    </row>
    <row r="7507" spans="1:1" x14ac:dyDescent="0.2">
      <c r="A7507" s="101"/>
    </row>
    <row r="7508" spans="1:1" x14ac:dyDescent="0.2">
      <c r="A7508" s="101"/>
    </row>
    <row r="7509" spans="1:1" x14ac:dyDescent="0.2">
      <c r="A7509" s="101"/>
    </row>
    <row r="7510" spans="1:1" x14ac:dyDescent="0.2">
      <c r="A7510" s="101"/>
    </row>
    <row r="7511" spans="1:1" x14ac:dyDescent="0.2">
      <c r="A7511" s="101"/>
    </row>
    <row r="7512" spans="1:1" x14ac:dyDescent="0.2">
      <c r="A7512" s="101"/>
    </row>
    <row r="7513" spans="1:1" x14ac:dyDescent="0.2">
      <c r="A7513" s="101"/>
    </row>
    <row r="7514" spans="1:1" x14ac:dyDescent="0.2">
      <c r="A7514" s="101"/>
    </row>
    <row r="7515" spans="1:1" x14ac:dyDescent="0.2">
      <c r="A7515" s="101"/>
    </row>
    <row r="7516" spans="1:1" x14ac:dyDescent="0.2">
      <c r="A7516" s="101"/>
    </row>
    <row r="7517" spans="1:1" x14ac:dyDescent="0.2">
      <c r="A7517" s="101"/>
    </row>
    <row r="7518" spans="1:1" x14ac:dyDescent="0.2">
      <c r="A7518" s="101"/>
    </row>
    <row r="7519" spans="1:1" x14ac:dyDescent="0.2">
      <c r="A7519" s="101"/>
    </row>
    <row r="7520" spans="1:1" x14ac:dyDescent="0.2">
      <c r="A7520" s="101"/>
    </row>
    <row r="7521" spans="1:1" x14ac:dyDescent="0.2">
      <c r="A7521" s="101"/>
    </row>
    <row r="7522" spans="1:1" x14ac:dyDescent="0.2">
      <c r="A7522" s="101"/>
    </row>
    <row r="7523" spans="1:1" x14ac:dyDescent="0.2">
      <c r="A7523" s="101"/>
    </row>
    <row r="7524" spans="1:1" x14ac:dyDescent="0.2">
      <c r="A7524" s="101"/>
    </row>
    <row r="7525" spans="1:1" x14ac:dyDescent="0.2">
      <c r="A7525" s="101"/>
    </row>
    <row r="7526" spans="1:1" x14ac:dyDescent="0.2">
      <c r="A7526" s="101"/>
    </row>
    <row r="7527" spans="1:1" x14ac:dyDescent="0.2">
      <c r="A7527" s="101"/>
    </row>
    <row r="7528" spans="1:1" x14ac:dyDescent="0.2">
      <c r="A7528" s="101"/>
    </row>
    <row r="7529" spans="1:1" x14ac:dyDescent="0.2">
      <c r="A7529" s="101"/>
    </row>
    <row r="7530" spans="1:1" x14ac:dyDescent="0.2">
      <c r="A7530" s="101"/>
    </row>
    <row r="7531" spans="1:1" x14ac:dyDescent="0.2">
      <c r="A7531" s="101"/>
    </row>
    <row r="7532" spans="1:1" x14ac:dyDescent="0.2">
      <c r="A7532" s="101"/>
    </row>
    <row r="7533" spans="1:1" x14ac:dyDescent="0.2">
      <c r="A7533" s="101"/>
    </row>
    <row r="7534" spans="1:1" x14ac:dyDescent="0.2">
      <c r="A7534" s="101"/>
    </row>
    <row r="7535" spans="1:1" x14ac:dyDescent="0.2">
      <c r="A7535" s="101"/>
    </row>
    <row r="7536" spans="1:1" x14ac:dyDescent="0.2">
      <c r="A7536" s="101"/>
    </row>
    <row r="7537" spans="1:1" x14ac:dyDescent="0.2">
      <c r="A7537" s="101"/>
    </row>
    <row r="7538" spans="1:1" x14ac:dyDescent="0.2">
      <c r="A7538" s="101"/>
    </row>
    <row r="7539" spans="1:1" x14ac:dyDescent="0.2">
      <c r="A7539" s="101"/>
    </row>
    <row r="7540" spans="1:1" x14ac:dyDescent="0.2">
      <c r="A7540" s="101"/>
    </row>
    <row r="7541" spans="1:1" x14ac:dyDescent="0.2">
      <c r="A7541" s="101"/>
    </row>
    <row r="7542" spans="1:1" x14ac:dyDescent="0.2">
      <c r="A7542" s="101"/>
    </row>
    <row r="7543" spans="1:1" x14ac:dyDescent="0.2">
      <c r="A7543" s="101"/>
    </row>
    <row r="7544" spans="1:1" x14ac:dyDescent="0.2">
      <c r="A7544" s="101"/>
    </row>
    <row r="7545" spans="1:1" x14ac:dyDescent="0.2">
      <c r="A7545" s="101"/>
    </row>
    <row r="7546" spans="1:1" x14ac:dyDescent="0.2">
      <c r="A7546" s="101"/>
    </row>
    <row r="7547" spans="1:1" x14ac:dyDescent="0.2">
      <c r="A7547" s="101"/>
    </row>
    <row r="7548" spans="1:1" x14ac:dyDescent="0.2">
      <c r="A7548" s="101"/>
    </row>
    <row r="7549" spans="1:1" x14ac:dyDescent="0.2">
      <c r="A7549" s="101"/>
    </row>
    <row r="7550" spans="1:1" x14ac:dyDescent="0.2">
      <c r="A7550" s="101"/>
    </row>
    <row r="7551" spans="1:1" x14ac:dyDescent="0.2">
      <c r="A7551" s="101"/>
    </row>
    <row r="7552" spans="1:1" x14ac:dyDescent="0.2">
      <c r="A7552" s="101"/>
    </row>
    <row r="7553" spans="1:1" x14ac:dyDescent="0.2">
      <c r="A7553" s="101"/>
    </row>
    <row r="7554" spans="1:1" x14ac:dyDescent="0.2">
      <c r="A7554" s="101"/>
    </row>
    <row r="7555" spans="1:1" x14ac:dyDescent="0.2">
      <c r="A7555" s="101"/>
    </row>
    <row r="7556" spans="1:1" x14ac:dyDescent="0.2">
      <c r="A7556" s="101"/>
    </row>
    <row r="7557" spans="1:1" x14ac:dyDescent="0.2">
      <c r="A7557" s="101"/>
    </row>
    <row r="7558" spans="1:1" x14ac:dyDescent="0.2">
      <c r="A7558" s="101"/>
    </row>
    <row r="7559" spans="1:1" x14ac:dyDescent="0.2">
      <c r="A7559" s="101"/>
    </row>
    <row r="7560" spans="1:1" x14ac:dyDescent="0.2">
      <c r="A7560" s="101"/>
    </row>
    <row r="7561" spans="1:1" x14ac:dyDescent="0.2">
      <c r="A7561" s="101"/>
    </row>
    <row r="7562" spans="1:1" x14ac:dyDescent="0.2">
      <c r="A7562" s="101"/>
    </row>
    <row r="7563" spans="1:1" x14ac:dyDescent="0.2">
      <c r="A7563" s="101"/>
    </row>
    <row r="7564" spans="1:1" x14ac:dyDescent="0.2">
      <c r="A7564" s="101"/>
    </row>
    <row r="7565" spans="1:1" x14ac:dyDescent="0.2">
      <c r="A7565" s="101"/>
    </row>
    <row r="7566" spans="1:1" x14ac:dyDescent="0.2">
      <c r="A7566" s="101"/>
    </row>
    <row r="7567" spans="1:1" x14ac:dyDescent="0.2">
      <c r="A7567" s="101"/>
    </row>
    <row r="7568" spans="1:1" x14ac:dyDescent="0.2">
      <c r="A7568" s="101"/>
    </row>
    <row r="7569" spans="1:1" x14ac:dyDescent="0.2">
      <c r="A7569" s="101"/>
    </row>
    <row r="7570" spans="1:1" x14ac:dyDescent="0.2">
      <c r="A7570" s="101"/>
    </row>
    <row r="7571" spans="1:1" x14ac:dyDescent="0.2">
      <c r="A7571" s="101"/>
    </row>
    <row r="7572" spans="1:1" x14ac:dyDescent="0.2">
      <c r="A7572" s="101"/>
    </row>
    <row r="7573" spans="1:1" x14ac:dyDescent="0.2">
      <c r="A7573" s="101"/>
    </row>
    <row r="7574" spans="1:1" x14ac:dyDescent="0.2">
      <c r="A7574" s="101"/>
    </row>
    <row r="7575" spans="1:1" x14ac:dyDescent="0.2">
      <c r="A7575" s="101"/>
    </row>
    <row r="7576" spans="1:1" x14ac:dyDescent="0.2">
      <c r="A7576" s="101"/>
    </row>
    <row r="7577" spans="1:1" x14ac:dyDescent="0.2">
      <c r="A7577" s="101"/>
    </row>
    <row r="7578" spans="1:1" x14ac:dyDescent="0.2">
      <c r="A7578" s="101"/>
    </row>
    <row r="7579" spans="1:1" x14ac:dyDescent="0.2">
      <c r="A7579" s="101"/>
    </row>
    <row r="7580" spans="1:1" x14ac:dyDescent="0.2">
      <c r="A7580" s="101"/>
    </row>
    <row r="7581" spans="1:1" x14ac:dyDescent="0.2">
      <c r="A7581" s="101"/>
    </row>
    <row r="7582" spans="1:1" x14ac:dyDescent="0.2">
      <c r="A7582" s="101"/>
    </row>
    <row r="7583" spans="1:1" x14ac:dyDescent="0.2">
      <c r="A7583" s="101"/>
    </row>
    <row r="7584" spans="1:1" x14ac:dyDescent="0.2">
      <c r="A7584" s="101"/>
    </row>
    <row r="7585" spans="1:1" x14ac:dyDescent="0.2">
      <c r="A7585" s="101"/>
    </row>
    <row r="7586" spans="1:1" x14ac:dyDescent="0.2">
      <c r="A7586" s="101"/>
    </row>
    <row r="7587" spans="1:1" x14ac:dyDescent="0.2">
      <c r="A7587" s="101"/>
    </row>
    <row r="7588" spans="1:1" x14ac:dyDescent="0.2">
      <c r="A7588" s="101"/>
    </row>
    <row r="7589" spans="1:1" x14ac:dyDescent="0.2">
      <c r="A7589" s="101"/>
    </row>
    <row r="7590" spans="1:1" x14ac:dyDescent="0.2">
      <c r="A7590" s="101"/>
    </row>
    <row r="7591" spans="1:1" x14ac:dyDescent="0.2">
      <c r="A7591" s="101"/>
    </row>
    <row r="7592" spans="1:1" x14ac:dyDescent="0.2">
      <c r="A7592" s="101"/>
    </row>
    <row r="7593" spans="1:1" x14ac:dyDescent="0.2">
      <c r="A7593" s="101"/>
    </row>
    <row r="7594" spans="1:1" x14ac:dyDescent="0.2">
      <c r="A7594" s="101"/>
    </row>
    <row r="7595" spans="1:1" x14ac:dyDescent="0.2">
      <c r="A7595" s="101"/>
    </row>
    <row r="7596" spans="1:1" x14ac:dyDescent="0.2">
      <c r="A7596" s="101"/>
    </row>
    <row r="7597" spans="1:1" x14ac:dyDescent="0.2">
      <c r="A7597" s="101"/>
    </row>
    <row r="7598" spans="1:1" x14ac:dyDescent="0.2">
      <c r="A7598" s="101"/>
    </row>
    <row r="7599" spans="1:1" x14ac:dyDescent="0.2">
      <c r="A7599" s="101"/>
    </row>
    <row r="7600" spans="1:1" x14ac:dyDescent="0.2">
      <c r="A7600" s="101"/>
    </row>
    <row r="7601" spans="1:1" x14ac:dyDescent="0.2">
      <c r="A7601" s="101"/>
    </row>
    <row r="7602" spans="1:1" x14ac:dyDescent="0.2">
      <c r="A7602" s="101"/>
    </row>
    <row r="7603" spans="1:1" x14ac:dyDescent="0.2">
      <c r="A7603" s="101"/>
    </row>
    <row r="7604" spans="1:1" x14ac:dyDescent="0.2">
      <c r="A7604" s="101"/>
    </row>
    <row r="7605" spans="1:1" x14ac:dyDescent="0.2">
      <c r="A7605" s="101"/>
    </row>
    <row r="7606" spans="1:1" x14ac:dyDescent="0.2">
      <c r="A7606" s="101"/>
    </row>
    <row r="7607" spans="1:1" x14ac:dyDescent="0.2">
      <c r="A7607" s="101"/>
    </row>
    <row r="7608" spans="1:1" x14ac:dyDescent="0.2">
      <c r="A7608" s="101"/>
    </row>
    <row r="7609" spans="1:1" x14ac:dyDescent="0.2">
      <c r="A7609" s="101"/>
    </row>
    <row r="7610" spans="1:1" x14ac:dyDescent="0.2">
      <c r="A7610" s="101"/>
    </row>
    <row r="7611" spans="1:1" x14ac:dyDescent="0.2">
      <c r="A7611" s="101"/>
    </row>
    <row r="7612" spans="1:1" x14ac:dyDescent="0.2">
      <c r="A7612" s="101"/>
    </row>
    <row r="7613" spans="1:1" x14ac:dyDescent="0.2">
      <c r="A7613" s="101"/>
    </row>
    <row r="7614" spans="1:1" x14ac:dyDescent="0.2">
      <c r="A7614" s="101"/>
    </row>
    <row r="7615" spans="1:1" x14ac:dyDescent="0.2">
      <c r="A7615" s="101"/>
    </row>
    <row r="7616" spans="1:1" x14ac:dyDescent="0.2">
      <c r="A7616" s="101"/>
    </row>
    <row r="7617" spans="1:1" x14ac:dyDescent="0.2">
      <c r="A7617" s="101"/>
    </row>
    <row r="7618" spans="1:1" x14ac:dyDescent="0.2">
      <c r="A7618" s="101"/>
    </row>
    <row r="7619" spans="1:1" x14ac:dyDescent="0.2">
      <c r="A7619" s="101"/>
    </row>
    <row r="7620" spans="1:1" x14ac:dyDescent="0.2">
      <c r="A7620" s="101"/>
    </row>
    <row r="7621" spans="1:1" x14ac:dyDescent="0.2">
      <c r="A7621" s="101"/>
    </row>
    <row r="7622" spans="1:1" x14ac:dyDescent="0.2">
      <c r="A7622" s="101"/>
    </row>
    <row r="7623" spans="1:1" x14ac:dyDescent="0.2">
      <c r="A7623" s="101"/>
    </row>
    <row r="7624" spans="1:1" x14ac:dyDescent="0.2">
      <c r="A7624" s="101"/>
    </row>
    <row r="7625" spans="1:1" x14ac:dyDescent="0.2">
      <c r="A7625" s="101"/>
    </row>
    <row r="7626" spans="1:1" x14ac:dyDescent="0.2">
      <c r="A7626" s="101"/>
    </row>
    <row r="7627" spans="1:1" x14ac:dyDescent="0.2">
      <c r="A7627" s="101"/>
    </row>
    <row r="7628" spans="1:1" x14ac:dyDescent="0.2">
      <c r="A7628" s="101"/>
    </row>
    <row r="7629" spans="1:1" x14ac:dyDescent="0.2">
      <c r="A7629" s="101"/>
    </row>
    <row r="7630" spans="1:1" x14ac:dyDescent="0.2">
      <c r="A7630" s="101"/>
    </row>
    <row r="7631" spans="1:1" x14ac:dyDescent="0.2">
      <c r="A7631" s="101"/>
    </row>
    <row r="7632" spans="1:1" x14ac:dyDescent="0.2">
      <c r="A7632" s="101"/>
    </row>
    <row r="7633" spans="1:1" x14ac:dyDescent="0.2">
      <c r="A7633" s="101"/>
    </row>
    <row r="7634" spans="1:1" x14ac:dyDescent="0.2">
      <c r="A7634" s="101"/>
    </row>
    <row r="7635" spans="1:1" x14ac:dyDescent="0.2">
      <c r="A7635" s="101"/>
    </row>
    <row r="7636" spans="1:1" x14ac:dyDescent="0.2">
      <c r="A7636" s="101"/>
    </row>
    <row r="7637" spans="1:1" x14ac:dyDescent="0.2">
      <c r="A7637" s="101"/>
    </row>
    <row r="7638" spans="1:1" x14ac:dyDescent="0.2">
      <c r="A7638" s="101"/>
    </row>
    <row r="7639" spans="1:1" x14ac:dyDescent="0.2">
      <c r="A7639" s="101"/>
    </row>
    <row r="7640" spans="1:1" x14ac:dyDescent="0.2">
      <c r="A7640" s="101"/>
    </row>
    <row r="7641" spans="1:1" x14ac:dyDescent="0.2">
      <c r="A7641" s="101"/>
    </row>
    <row r="7642" spans="1:1" x14ac:dyDescent="0.2">
      <c r="A7642" s="101"/>
    </row>
    <row r="7643" spans="1:1" x14ac:dyDescent="0.2">
      <c r="A7643" s="101"/>
    </row>
    <row r="7644" spans="1:1" x14ac:dyDescent="0.2">
      <c r="A7644" s="101"/>
    </row>
    <row r="7645" spans="1:1" x14ac:dyDescent="0.2">
      <c r="A7645" s="101"/>
    </row>
    <row r="7646" spans="1:1" x14ac:dyDescent="0.2">
      <c r="A7646" s="101"/>
    </row>
    <row r="7647" spans="1:1" x14ac:dyDescent="0.2">
      <c r="A7647" s="101"/>
    </row>
    <row r="7648" spans="1:1" x14ac:dyDescent="0.2">
      <c r="A7648" s="101"/>
    </row>
    <row r="7649" spans="1:1" x14ac:dyDescent="0.2">
      <c r="A7649" s="101"/>
    </row>
    <row r="7650" spans="1:1" x14ac:dyDescent="0.2">
      <c r="A7650" s="101"/>
    </row>
    <row r="7651" spans="1:1" x14ac:dyDescent="0.2">
      <c r="A7651" s="101"/>
    </row>
    <row r="7652" spans="1:1" x14ac:dyDescent="0.2">
      <c r="A7652" s="101"/>
    </row>
    <row r="7653" spans="1:1" x14ac:dyDescent="0.2">
      <c r="A7653" s="101"/>
    </row>
    <row r="7654" spans="1:1" x14ac:dyDescent="0.2">
      <c r="A7654" s="101"/>
    </row>
    <row r="7655" spans="1:1" x14ac:dyDescent="0.2">
      <c r="A7655" s="101"/>
    </row>
    <row r="7656" spans="1:1" x14ac:dyDescent="0.2">
      <c r="A7656" s="101"/>
    </row>
    <row r="7657" spans="1:1" x14ac:dyDescent="0.2">
      <c r="A7657" s="101"/>
    </row>
    <row r="7658" spans="1:1" x14ac:dyDescent="0.2">
      <c r="A7658" s="101"/>
    </row>
    <row r="7659" spans="1:1" x14ac:dyDescent="0.2">
      <c r="A7659" s="101"/>
    </row>
    <row r="7660" spans="1:1" x14ac:dyDescent="0.2">
      <c r="A7660" s="101"/>
    </row>
    <row r="7661" spans="1:1" x14ac:dyDescent="0.2">
      <c r="A7661" s="101"/>
    </row>
    <row r="7662" spans="1:1" x14ac:dyDescent="0.2">
      <c r="A7662" s="101"/>
    </row>
    <row r="7663" spans="1:1" x14ac:dyDescent="0.2">
      <c r="A7663" s="101"/>
    </row>
    <row r="7664" spans="1:1" x14ac:dyDescent="0.2">
      <c r="A7664" s="101"/>
    </row>
    <row r="7665" spans="1:1" x14ac:dyDescent="0.2">
      <c r="A7665" s="101"/>
    </row>
    <row r="7666" spans="1:1" x14ac:dyDescent="0.2">
      <c r="A7666" s="101"/>
    </row>
    <row r="7667" spans="1:1" x14ac:dyDescent="0.2">
      <c r="A7667" s="101"/>
    </row>
    <row r="7668" spans="1:1" x14ac:dyDescent="0.2">
      <c r="A7668" s="101"/>
    </row>
    <row r="7669" spans="1:1" x14ac:dyDescent="0.2">
      <c r="A7669" s="101"/>
    </row>
    <row r="7670" spans="1:1" x14ac:dyDescent="0.2">
      <c r="A7670" s="101"/>
    </row>
    <row r="7671" spans="1:1" x14ac:dyDescent="0.2">
      <c r="A7671" s="101"/>
    </row>
    <row r="7672" spans="1:1" x14ac:dyDescent="0.2">
      <c r="A7672" s="101"/>
    </row>
    <row r="7673" spans="1:1" x14ac:dyDescent="0.2">
      <c r="A7673" s="101"/>
    </row>
    <row r="7674" spans="1:1" x14ac:dyDescent="0.2">
      <c r="A7674" s="101"/>
    </row>
    <row r="7675" spans="1:1" x14ac:dyDescent="0.2">
      <c r="A7675" s="101"/>
    </row>
    <row r="7676" spans="1:1" x14ac:dyDescent="0.2">
      <c r="A7676" s="101"/>
    </row>
    <row r="7677" spans="1:1" x14ac:dyDescent="0.2">
      <c r="A7677" s="101"/>
    </row>
    <row r="7678" spans="1:1" x14ac:dyDescent="0.2">
      <c r="A7678" s="101"/>
    </row>
    <row r="7679" spans="1:1" x14ac:dyDescent="0.2">
      <c r="A7679" s="101"/>
    </row>
    <row r="7680" spans="1:1" x14ac:dyDescent="0.2">
      <c r="A7680" s="101"/>
    </row>
    <row r="7681" spans="1:1" x14ac:dyDescent="0.2">
      <c r="A7681" s="101"/>
    </row>
    <row r="7682" spans="1:1" x14ac:dyDescent="0.2">
      <c r="A7682" s="101"/>
    </row>
    <row r="7683" spans="1:1" x14ac:dyDescent="0.2">
      <c r="A7683" s="101"/>
    </row>
    <row r="7684" spans="1:1" x14ac:dyDescent="0.2">
      <c r="A7684" s="101"/>
    </row>
    <row r="7685" spans="1:1" x14ac:dyDescent="0.2">
      <c r="A7685" s="101"/>
    </row>
    <row r="7686" spans="1:1" x14ac:dyDescent="0.2">
      <c r="A7686" s="101"/>
    </row>
    <row r="7687" spans="1:1" x14ac:dyDescent="0.2">
      <c r="A7687" s="101"/>
    </row>
    <row r="7688" spans="1:1" x14ac:dyDescent="0.2">
      <c r="A7688" s="101"/>
    </row>
    <row r="7689" spans="1:1" x14ac:dyDescent="0.2">
      <c r="A7689" s="101"/>
    </row>
    <row r="7690" spans="1:1" x14ac:dyDescent="0.2">
      <c r="A7690" s="101"/>
    </row>
    <row r="7691" spans="1:1" x14ac:dyDescent="0.2">
      <c r="A7691" s="101"/>
    </row>
    <row r="7692" spans="1:1" x14ac:dyDescent="0.2">
      <c r="A7692" s="101"/>
    </row>
    <row r="7693" spans="1:1" x14ac:dyDescent="0.2">
      <c r="A7693" s="101"/>
    </row>
    <row r="7694" spans="1:1" x14ac:dyDescent="0.2">
      <c r="A7694" s="101"/>
    </row>
    <row r="7695" spans="1:1" x14ac:dyDescent="0.2">
      <c r="A7695" s="101"/>
    </row>
    <row r="7696" spans="1:1" x14ac:dyDescent="0.2">
      <c r="A7696" s="101"/>
    </row>
    <row r="7697" spans="1:1" x14ac:dyDescent="0.2">
      <c r="A7697" s="101"/>
    </row>
    <row r="7698" spans="1:1" x14ac:dyDescent="0.2">
      <c r="A7698" s="101"/>
    </row>
    <row r="7699" spans="1:1" x14ac:dyDescent="0.2">
      <c r="A7699" s="101"/>
    </row>
    <row r="7700" spans="1:1" x14ac:dyDescent="0.2">
      <c r="A7700" s="101"/>
    </row>
    <row r="7701" spans="1:1" x14ac:dyDescent="0.2">
      <c r="A7701" s="101"/>
    </row>
    <row r="7702" spans="1:1" x14ac:dyDescent="0.2">
      <c r="A7702" s="101"/>
    </row>
    <row r="7703" spans="1:1" x14ac:dyDescent="0.2">
      <c r="A7703" s="101"/>
    </row>
    <row r="7704" spans="1:1" x14ac:dyDescent="0.2">
      <c r="A7704" s="101"/>
    </row>
    <row r="7705" spans="1:1" x14ac:dyDescent="0.2">
      <c r="A7705" s="101"/>
    </row>
    <row r="7706" spans="1:1" x14ac:dyDescent="0.2">
      <c r="A7706" s="101"/>
    </row>
    <row r="7707" spans="1:1" x14ac:dyDescent="0.2">
      <c r="A7707" s="101"/>
    </row>
    <row r="7708" spans="1:1" x14ac:dyDescent="0.2">
      <c r="A7708" s="101"/>
    </row>
    <row r="7709" spans="1:1" x14ac:dyDescent="0.2">
      <c r="A7709" s="101"/>
    </row>
    <row r="7710" spans="1:1" x14ac:dyDescent="0.2">
      <c r="A7710" s="101"/>
    </row>
    <row r="7711" spans="1:1" x14ac:dyDescent="0.2">
      <c r="A7711" s="101"/>
    </row>
    <row r="7712" spans="1:1" x14ac:dyDescent="0.2">
      <c r="A7712" s="101"/>
    </row>
    <row r="7713" spans="1:1" x14ac:dyDescent="0.2">
      <c r="A7713" s="101"/>
    </row>
    <row r="7714" spans="1:1" x14ac:dyDescent="0.2">
      <c r="A7714" s="101"/>
    </row>
    <row r="7715" spans="1:1" x14ac:dyDescent="0.2">
      <c r="A7715" s="101"/>
    </row>
    <row r="7716" spans="1:1" x14ac:dyDescent="0.2">
      <c r="A7716" s="101"/>
    </row>
    <row r="7717" spans="1:1" x14ac:dyDescent="0.2">
      <c r="A7717" s="101"/>
    </row>
    <row r="7718" spans="1:1" x14ac:dyDescent="0.2">
      <c r="A7718" s="101"/>
    </row>
    <row r="7719" spans="1:1" x14ac:dyDescent="0.2">
      <c r="A7719" s="101"/>
    </row>
    <row r="7720" spans="1:1" x14ac:dyDescent="0.2">
      <c r="A7720" s="101"/>
    </row>
    <row r="7721" spans="1:1" x14ac:dyDescent="0.2">
      <c r="A7721" s="101"/>
    </row>
    <row r="7722" spans="1:1" x14ac:dyDescent="0.2">
      <c r="A7722" s="101"/>
    </row>
    <row r="7723" spans="1:1" x14ac:dyDescent="0.2">
      <c r="A7723" s="101"/>
    </row>
    <row r="7724" spans="1:1" x14ac:dyDescent="0.2">
      <c r="A7724" s="101"/>
    </row>
    <row r="7725" spans="1:1" x14ac:dyDescent="0.2">
      <c r="A7725" s="101"/>
    </row>
    <row r="7726" spans="1:1" x14ac:dyDescent="0.2">
      <c r="A7726" s="101"/>
    </row>
    <row r="7727" spans="1:1" x14ac:dyDescent="0.2">
      <c r="A7727" s="101"/>
    </row>
    <row r="7728" spans="1:1" x14ac:dyDescent="0.2">
      <c r="A7728" s="101"/>
    </row>
    <row r="7729" spans="1:1" x14ac:dyDescent="0.2">
      <c r="A7729" s="101"/>
    </row>
    <row r="7730" spans="1:1" x14ac:dyDescent="0.2">
      <c r="A7730" s="101"/>
    </row>
    <row r="7731" spans="1:1" x14ac:dyDescent="0.2">
      <c r="A7731" s="101"/>
    </row>
    <row r="7732" spans="1:1" x14ac:dyDescent="0.2">
      <c r="A7732" s="101"/>
    </row>
    <row r="7733" spans="1:1" x14ac:dyDescent="0.2">
      <c r="A7733" s="101"/>
    </row>
    <row r="7734" spans="1:1" x14ac:dyDescent="0.2">
      <c r="A7734" s="101"/>
    </row>
    <row r="7735" spans="1:1" x14ac:dyDescent="0.2">
      <c r="A7735" s="101"/>
    </row>
    <row r="7736" spans="1:1" x14ac:dyDescent="0.2">
      <c r="A7736" s="101"/>
    </row>
    <row r="7737" spans="1:1" x14ac:dyDescent="0.2">
      <c r="A7737" s="101"/>
    </row>
    <row r="7738" spans="1:1" x14ac:dyDescent="0.2">
      <c r="A7738" s="101"/>
    </row>
    <row r="7739" spans="1:1" x14ac:dyDescent="0.2">
      <c r="A7739" s="101"/>
    </row>
    <row r="7740" spans="1:1" x14ac:dyDescent="0.2">
      <c r="A7740" s="101"/>
    </row>
    <row r="7741" spans="1:1" x14ac:dyDescent="0.2">
      <c r="A7741" s="101"/>
    </row>
    <row r="7742" spans="1:1" x14ac:dyDescent="0.2">
      <c r="A7742" s="101"/>
    </row>
    <row r="7743" spans="1:1" x14ac:dyDescent="0.2">
      <c r="A7743" s="101"/>
    </row>
    <row r="7744" spans="1:1" x14ac:dyDescent="0.2">
      <c r="A7744" s="101"/>
    </row>
    <row r="7745" spans="1:1" x14ac:dyDescent="0.2">
      <c r="A7745" s="101"/>
    </row>
    <row r="7746" spans="1:1" x14ac:dyDescent="0.2">
      <c r="A7746" s="101"/>
    </row>
    <row r="7747" spans="1:1" x14ac:dyDescent="0.2">
      <c r="A7747" s="101"/>
    </row>
    <row r="7748" spans="1:1" x14ac:dyDescent="0.2">
      <c r="A7748" s="101"/>
    </row>
    <row r="7749" spans="1:1" x14ac:dyDescent="0.2">
      <c r="A7749" s="101"/>
    </row>
    <row r="7750" spans="1:1" x14ac:dyDescent="0.2">
      <c r="A7750" s="101"/>
    </row>
    <row r="7751" spans="1:1" x14ac:dyDescent="0.2">
      <c r="A7751" s="101"/>
    </row>
    <row r="7752" spans="1:1" x14ac:dyDescent="0.2">
      <c r="A7752" s="101"/>
    </row>
    <row r="7753" spans="1:1" x14ac:dyDescent="0.2">
      <c r="A7753" s="101"/>
    </row>
    <row r="7754" spans="1:1" x14ac:dyDescent="0.2">
      <c r="A7754" s="101"/>
    </row>
    <row r="7755" spans="1:1" x14ac:dyDescent="0.2">
      <c r="A7755" s="101"/>
    </row>
    <row r="7756" spans="1:1" x14ac:dyDescent="0.2">
      <c r="A7756" s="101"/>
    </row>
    <row r="7757" spans="1:1" x14ac:dyDescent="0.2">
      <c r="A7757" s="101"/>
    </row>
    <row r="7758" spans="1:1" x14ac:dyDescent="0.2">
      <c r="A7758" s="101"/>
    </row>
    <row r="7759" spans="1:1" x14ac:dyDescent="0.2">
      <c r="A7759" s="101"/>
    </row>
    <row r="7760" spans="1:1" x14ac:dyDescent="0.2">
      <c r="A7760" s="101"/>
    </row>
    <row r="7761" spans="1:1" x14ac:dyDescent="0.2">
      <c r="A7761" s="101"/>
    </row>
    <row r="7762" spans="1:1" x14ac:dyDescent="0.2">
      <c r="A7762" s="101"/>
    </row>
    <row r="7763" spans="1:1" x14ac:dyDescent="0.2">
      <c r="A7763" s="101"/>
    </row>
    <row r="7764" spans="1:1" x14ac:dyDescent="0.2">
      <c r="A7764" s="101"/>
    </row>
    <row r="7765" spans="1:1" x14ac:dyDescent="0.2">
      <c r="A7765" s="101"/>
    </row>
    <row r="7766" spans="1:1" x14ac:dyDescent="0.2">
      <c r="A7766" s="101"/>
    </row>
    <row r="7767" spans="1:1" x14ac:dyDescent="0.2">
      <c r="A7767" s="101"/>
    </row>
    <row r="7768" spans="1:1" x14ac:dyDescent="0.2">
      <c r="A7768" s="101"/>
    </row>
    <row r="7769" spans="1:1" x14ac:dyDescent="0.2">
      <c r="A7769" s="101"/>
    </row>
    <row r="7770" spans="1:1" x14ac:dyDescent="0.2">
      <c r="A7770" s="101"/>
    </row>
    <row r="7771" spans="1:1" x14ac:dyDescent="0.2">
      <c r="A7771" s="101"/>
    </row>
    <row r="7772" spans="1:1" x14ac:dyDescent="0.2">
      <c r="A7772" s="101"/>
    </row>
    <row r="7773" spans="1:1" x14ac:dyDescent="0.2">
      <c r="A7773" s="101"/>
    </row>
    <row r="7774" spans="1:1" x14ac:dyDescent="0.2">
      <c r="A7774" s="101"/>
    </row>
    <row r="7775" spans="1:1" x14ac:dyDescent="0.2">
      <c r="A7775" s="101"/>
    </row>
    <row r="7776" spans="1:1" x14ac:dyDescent="0.2">
      <c r="A7776" s="101"/>
    </row>
    <row r="7777" spans="1:1" x14ac:dyDescent="0.2">
      <c r="A7777" s="101"/>
    </row>
    <row r="7778" spans="1:1" x14ac:dyDescent="0.2">
      <c r="A7778" s="101"/>
    </row>
    <row r="7779" spans="1:1" x14ac:dyDescent="0.2">
      <c r="A7779" s="101"/>
    </row>
    <row r="7780" spans="1:1" x14ac:dyDescent="0.2">
      <c r="A7780" s="101"/>
    </row>
    <row r="7781" spans="1:1" x14ac:dyDescent="0.2">
      <c r="A7781" s="101"/>
    </row>
    <row r="7782" spans="1:1" x14ac:dyDescent="0.2">
      <c r="A7782" s="101"/>
    </row>
    <row r="7783" spans="1:1" x14ac:dyDescent="0.2">
      <c r="A7783" s="101"/>
    </row>
    <row r="7784" spans="1:1" x14ac:dyDescent="0.2">
      <c r="A7784" s="101"/>
    </row>
    <row r="7785" spans="1:1" x14ac:dyDescent="0.2">
      <c r="A7785" s="101"/>
    </row>
    <row r="7786" spans="1:1" x14ac:dyDescent="0.2">
      <c r="A7786" s="101"/>
    </row>
    <row r="7787" spans="1:1" x14ac:dyDescent="0.2">
      <c r="A7787" s="101"/>
    </row>
    <row r="7788" spans="1:1" x14ac:dyDescent="0.2">
      <c r="A7788" s="101"/>
    </row>
    <row r="7789" spans="1:1" x14ac:dyDescent="0.2">
      <c r="A7789" s="101"/>
    </row>
    <row r="7790" spans="1:1" x14ac:dyDescent="0.2">
      <c r="A7790" s="101"/>
    </row>
    <row r="7791" spans="1:1" x14ac:dyDescent="0.2">
      <c r="A7791" s="101"/>
    </row>
    <row r="7792" spans="1:1" x14ac:dyDescent="0.2">
      <c r="A7792" s="101"/>
    </row>
    <row r="7793" spans="1:1" x14ac:dyDescent="0.2">
      <c r="A7793" s="101"/>
    </row>
    <row r="7794" spans="1:1" x14ac:dyDescent="0.2">
      <c r="A7794" s="101"/>
    </row>
    <row r="7795" spans="1:1" x14ac:dyDescent="0.2">
      <c r="A7795" s="101"/>
    </row>
    <row r="7796" spans="1:1" x14ac:dyDescent="0.2">
      <c r="A7796" s="101"/>
    </row>
    <row r="7797" spans="1:1" x14ac:dyDescent="0.2">
      <c r="A7797" s="101"/>
    </row>
    <row r="7798" spans="1:1" x14ac:dyDescent="0.2">
      <c r="A7798" s="101"/>
    </row>
    <row r="7799" spans="1:1" x14ac:dyDescent="0.2">
      <c r="A7799" s="101"/>
    </row>
    <row r="7800" spans="1:1" x14ac:dyDescent="0.2">
      <c r="A7800" s="101"/>
    </row>
    <row r="7801" spans="1:1" x14ac:dyDescent="0.2">
      <c r="A7801" s="101"/>
    </row>
    <row r="7802" spans="1:1" x14ac:dyDescent="0.2">
      <c r="A7802" s="101"/>
    </row>
    <row r="7803" spans="1:1" x14ac:dyDescent="0.2">
      <c r="A7803" s="101"/>
    </row>
    <row r="7804" spans="1:1" x14ac:dyDescent="0.2">
      <c r="A7804" s="101"/>
    </row>
    <row r="7805" spans="1:1" x14ac:dyDescent="0.2">
      <c r="A7805" s="101"/>
    </row>
    <row r="7806" spans="1:1" x14ac:dyDescent="0.2">
      <c r="A7806" s="101"/>
    </row>
    <row r="7807" spans="1:1" x14ac:dyDescent="0.2">
      <c r="A7807" s="101"/>
    </row>
    <row r="7808" spans="1:1" x14ac:dyDescent="0.2">
      <c r="A7808" s="101"/>
    </row>
    <row r="7809" spans="1:1" x14ac:dyDescent="0.2">
      <c r="A7809" s="101"/>
    </row>
    <row r="7810" spans="1:1" x14ac:dyDescent="0.2">
      <c r="A7810" s="101"/>
    </row>
    <row r="7811" spans="1:1" x14ac:dyDescent="0.2">
      <c r="A7811" s="101"/>
    </row>
    <row r="7812" spans="1:1" x14ac:dyDescent="0.2">
      <c r="A7812" s="101"/>
    </row>
    <row r="7813" spans="1:1" x14ac:dyDescent="0.2">
      <c r="A7813" s="101"/>
    </row>
    <row r="7814" spans="1:1" x14ac:dyDescent="0.2">
      <c r="A7814" s="101"/>
    </row>
    <row r="7815" spans="1:1" x14ac:dyDescent="0.2">
      <c r="A7815" s="101"/>
    </row>
    <row r="7816" spans="1:1" x14ac:dyDescent="0.2">
      <c r="A7816" s="101"/>
    </row>
    <row r="7817" spans="1:1" x14ac:dyDescent="0.2">
      <c r="A7817" s="101"/>
    </row>
    <row r="7818" spans="1:1" x14ac:dyDescent="0.2">
      <c r="A7818" s="101"/>
    </row>
    <row r="7819" spans="1:1" x14ac:dyDescent="0.2">
      <c r="A7819" s="101"/>
    </row>
    <row r="7820" spans="1:1" x14ac:dyDescent="0.2">
      <c r="A7820" s="101"/>
    </row>
    <row r="7821" spans="1:1" x14ac:dyDescent="0.2">
      <c r="A7821" s="101"/>
    </row>
    <row r="7822" spans="1:1" x14ac:dyDescent="0.2">
      <c r="A7822" s="101"/>
    </row>
    <row r="7823" spans="1:1" x14ac:dyDescent="0.2">
      <c r="A7823" s="101"/>
    </row>
    <row r="7824" spans="1:1" x14ac:dyDescent="0.2">
      <c r="A7824" s="101"/>
    </row>
    <row r="7825" spans="1:1" x14ac:dyDescent="0.2">
      <c r="A7825" s="101"/>
    </row>
    <row r="7826" spans="1:1" x14ac:dyDescent="0.2">
      <c r="A7826" s="101"/>
    </row>
    <row r="7827" spans="1:1" x14ac:dyDescent="0.2">
      <c r="A7827" s="101"/>
    </row>
    <row r="7828" spans="1:1" x14ac:dyDescent="0.2">
      <c r="A7828" s="101"/>
    </row>
    <row r="7829" spans="1:1" x14ac:dyDescent="0.2">
      <c r="A7829" s="101"/>
    </row>
    <row r="7830" spans="1:1" x14ac:dyDescent="0.2">
      <c r="A7830" s="101"/>
    </row>
    <row r="7831" spans="1:1" x14ac:dyDescent="0.2">
      <c r="A7831" s="101"/>
    </row>
    <row r="7832" spans="1:1" x14ac:dyDescent="0.2">
      <c r="A7832" s="101"/>
    </row>
    <row r="7833" spans="1:1" x14ac:dyDescent="0.2">
      <c r="A7833" s="101"/>
    </row>
    <row r="7834" spans="1:1" x14ac:dyDescent="0.2">
      <c r="A7834" s="101"/>
    </row>
    <row r="7835" spans="1:1" x14ac:dyDescent="0.2">
      <c r="A7835" s="101"/>
    </row>
    <row r="7836" spans="1:1" x14ac:dyDescent="0.2">
      <c r="A7836" s="101"/>
    </row>
    <row r="7837" spans="1:1" x14ac:dyDescent="0.2">
      <c r="A7837" s="101"/>
    </row>
    <row r="7838" spans="1:1" x14ac:dyDescent="0.2">
      <c r="A7838" s="101"/>
    </row>
    <row r="7839" spans="1:1" x14ac:dyDescent="0.2">
      <c r="A7839" s="101"/>
    </row>
    <row r="7840" spans="1:1" x14ac:dyDescent="0.2">
      <c r="A7840" s="101"/>
    </row>
    <row r="7841" spans="1:1" x14ac:dyDescent="0.2">
      <c r="A7841" s="101"/>
    </row>
    <row r="7842" spans="1:1" x14ac:dyDescent="0.2">
      <c r="A7842" s="101"/>
    </row>
    <row r="7843" spans="1:1" x14ac:dyDescent="0.2">
      <c r="A7843" s="101"/>
    </row>
    <row r="7844" spans="1:1" x14ac:dyDescent="0.2">
      <c r="A7844" s="101"/>
    </row>
    <row r="7845" spans="1:1" x14ac:dyDescent="0.2">
      <c r="A7845" s="101"/>
    </row>
    <row r="7846" spans="1:1" x14ac:dyDescent="0.2">
      <c r="A7846" s="101"/>
    </row>
    <row r="7847" spans="1:1" x14ac:dyDescent="0.2">
      <c r="A7847" s="101"/>
    </row>
    <row r="7848" spans="1:1" x14ac:dyDescent="0.2">
      <c r="A7848" s="101"/>
    </row>
    <row r="7849" spans="1:1" x14ac:dyDescent="0.2">
      <c r="A7849" s="101"/>
    </row>
    <row r="7850" spans="1:1" x14ac:dyDescent="0.2">
      <c r="A7850" s="101"/>
    </row>
    <row r="7851" spans="1:1" x14ac:dyDescent="0.2">
      <c r="A7851" s="101"/>
    </row>
    <row r="7852" spans="1:1" x14ac:dyDescent="0.2">
      <c r="A7852" s="101"/>
    </row>
    <row r="7853" spans="1:1" x14ac:dyDescent="0.2">
      <c r="A7853" s="101"/>
    </row>
    <row r="7854" spans="1:1" x14ac:dyDescent="0.2">
      <c r="A7854" s="101"/>
    </row>
    <row r="7855" spans="1:1" x14ac:dyDescent="0.2">
      <c r="A7855" s="101"/>
    </row>
    <row r="7856" spans="1:1" x14ac:dyDescent="0.2">
      <c r="A7856" s="101"/>
    </row>
    <row r="7857" spans="1:1" x14ac:dyDescent="0.2">
      <c r="A7857" s="101"/>
    </row>
    <row r="7858" spans="1:1" x14ac:dyDescent="0.2">
      <c r="A7858" s="101"/>
    </row>
    <row r="7859" spans="1:1" x14ac:dyDescent="0.2">
      <c r="A7859" s="101"/>
    </row>
    <row r="7860" spans="1:1" x14ac:dyDescent="0.2">
      <c r="A7860" s="101"/>
    </row>
    <row r="7861" spans="1:1" x14ac:dyDescent="0.2">
      <c r="A7861" s="101"/>
    </row>
    <row r="7862" spans="1:1" x14ac:dyDescent="0.2">
      <c r="A7862" s="101"/>
    </row>
    <row r="7863" spans="1:1" x14ac:dyDescent="0.2">
      <c r="A7863" s="101"/>
    </row>
    <row r="7864" spans="1:1" x14ac:dyDescent="0.2">
      <c r="A7864" s="101"/>
    </row>
    <row r="7865" spans="1:1" x14ac:dyDescent="0.2">
      <c r="A7865" s="101"/>
    </row>
    <row r="7866" spans="1:1" x14ac:dyDescent="0.2">
      <c r="A7866" s="101"/>
    </row>
    <row r="7867" spans="1:1" x14ac:dyDescent="0.2">
      <c r="A7867" s="101"/>
    </row>
    <row r="7868" spans="1:1" x14ac:dyDescent="0.2">
      <c r="A7868" s="101"/>
    </row>
    <row r="7869" spans="1:1" x14ac:dyDescent="0.2">
      <c r="A7869" s="101"/>
    </row>
    <row r="7870" spans="1:1" x14ac:dyDescent="0.2">
      <c r="A7870" s="101"/>
    </row>
    <row r="7871" spans="1:1" x14ac:dyDescent="0.2">
      <c r="A7871" s="101"/>
    </row>
    <row r="7872" spans="1:1" x14ac:dyDescent="0.2">
      <c r="A7872" s="101"/>
    </row>
    <row r="7873" spans="1:1" x14ac:dyDescent="0.2">
      <c r="A7873" s="101"/>
    </row>
    <row r="7874" spans="1:1" x14ac:dyDescent="0.2">
      <c r="A7874" s="101"/>
    </row>
    <row r="7875" spans="1:1" x14ac:dyDescent="0.2">
      <c r="A7875" s="101"/>
    </row>
    <row r="7876" spans="1:1" x14ac:dyDescent="0.2">
      <c r="A7876" s="101"/>
    </row>
    <row r="7877" spans="1:1" x14ac:dyDescent="0.2">
      <c r="A7877" s="101"/>
    </row>
    <row r="7878" spans="1:1" x14ac:dyDescent="0.2">
      <c r="A7878" s="101"/>
    </row>
    <row r="7879" spans="1:1" x14ac:dyDescent="0.2">
      <c r="A7879" s="101"/>
    </row>
    <row r="7880" spans="1:1" x14ac:dyDescent="0.2">
      <c r="A7880" s="101"/>
    </row>
    <row r="7881" spans="1:1" x14ac:dyDescent="0.2">
      <c r="A7881" s="101"/>
    </row>
    <row r="7882" spans="1:1" x14ac:dyDescent="0.2">
      <c r="A7882" s="101"/>
    </row>
    <row r="7883" spans="1:1" x14ac:dyDescent="0.2">
      <c r="A7883" s="101"/>
    </row>
    <row r="7884" spans="1:1" x14ac:dyDescent="0.2">
      <c r="A7884" s="101"/>
    </row>
    <row r="7885" spans="1:1" x14ac:dyDescent="0.2">
      <c r="A7885" s="101"/>
    </row>
    <row r="7886" spans="1:1" x14ac:dyDescent="0.2">
      <c r="A7886" s="101"/>
    </row>
    <row r="7887" spans="1:1" x14ac:dyDescent="0.2">
      <c r="A7887" s="101"/>
    </row>
    <row r="7888" spans="1:1" x14ac:dyDescent="0.2">
      <c r="A7888" s="101"/>
    </row>
    <row r="7889" spans="1:1" x14ac:dyDescent="0.2">
      <c r="A7889" s="101"/>
    </row>
    <row r="7890" spans="1:1" x14ac:dyDescent="0.2">
      <c r="A7890" s="101"/>
    </row>
    <row r="7891" spans="1:1" x14ac:dyDescent="0.2">
      <c r="A7891" s="101"/>
    </row>
    <row r="7892" spans="1:1" x14ac:dyDescent="0.2">
      <c r="A7892" s="101"/>
    </row>
    <row r="7893" spans="1:1" x14ac:dyDescent="0.2">
      <c r="A7893" s="101"/>
    </row>
    <row r="7894" spans="1:1" x14ac:dyDescent="0.2">
      <c r="A7894" s="101"/>
    </row>
    <row r="7895" spans="1:1" x14ac:dyDescent="0.2">
      <c r="A7895" s="101"/>
    </row>
    <row r="7896" spans="1:1" x14ac:dyDescent="0.2">
      <c r="A7896" s="101"/>
    </row>
    <row r="7897" spans="1:1" x14ac:dyDescent="0.2">
      <c r="A7897" s="101"/>
    </row>
    <row r="7898" spans="1:1" x14ac:dyDescent="0.2">
      <c r="A7898" s="101"/>
    </row>
    <row r="7899" spans="1:1" x14ac:dyDescent="0.2">
      <c r="A7899" s="101"/>
    </row>
    <row r="7900" spans="1:1" x14ac:dyDescent="0.2">
      <c r="A7900" s="101"/>
    </row>
    <row r="7901" spans="1:1" x14ac:dyDescent="0.2">
      <c r="A7901" s="101"/>
    </row>
    <row r="7902" spans="1:1" x14ac:dyDescent="0.2">
      <c r="A7902" s="101"/>
    </row>
    <row r="7903" spans="1:1" x14ac:dyDescent="0.2">
      <c r="A7903" s="101"/>
    </row>
    <row r="7904" spans="1:1" x14ac:dyDescent="0.2">
      <c r="A7904" s="101"/>
    </row>
    <row r="7905" spans="1:1" x14ac:dyDescent="0.2">
      <c r="A7905" s="101"/>
    </row>
    <row r="7906" spans="1:1" x14ac:dyDescent="0.2">
      <c r="A7906" s="101"/>
    </row>
    <row r="7907" spans="1:1" x14ac:dyDescent="0.2">
      <c r="A7907" s="101"/>
    </row>
    <row r="7908" spans="1:1" x14ac:dyDescent="0.2">
      <c r="A7908" s="101"/>
    </row>
    <row r="7909" spans="1:1" x14ac:dyDescent="0.2">
      <c r="A7909" s="101"/>
    </row>
    <row r="7910" spans="1:1" x14ac:dyDescent="0.2">
      <c r="A7910" s="101"/>
    </row>
    <row r="7911" spans="1:1" x14ac:dyDescent="0.2">
      <c r="A7911" s="101"/>
    </row>
    <row r="7912" spans="1:1" x14ac:dyDescent="0.2">
      <c r="A7912" s="101"/>
    </row>
    <row r="7913" spans="1:1" x14ac:dyDescent="0.2">
      <c r="A7913" s="101"/>
    </row>
    <row r="7914" spans="1:1" x14ac:dyDescent="0.2">
      <c r="A7914" s="101"/>
    </row>
    <row r="7915" spans="1:1" x14ac:dyDescent="0.2">
      <c r="A7915" s="101"/>
    </row>
    <row r="7916" spans="1:1" x14ac:dyDescent="0.2">
      <c r="A7916" s="101"/>
    </row>
    <row r="7917" spans="1:1" x14ac:dyDescent="0.2">
      <c r="A7917" s="101"/>
    </row>
    <row r="7918" spans="1:1" x14ac:dyDescent="0.2">
      <c r="A7918" s="101"/>
    </row>
    <row r="7919" spans="1:1" x14ac:dyDescent="0.2">
      <c r="A7919" s="101"/>
    </row>
    <row r="7920" spans="1:1" x14ac:dyDescent="0.2">
      <c r="A7920" s="101"/>
    </row>
    <row r="7921" spans="1:1" x14ac:dyDescent="0.2">
      <c r="A7921" s="101"/>
    </row>
    <row r="7922" spans="1:1" x14ac:dyDescent="0.2">
      <c r="A7922" s="101"/>
    </row>
    <row r="7923" spans="1:1" x14ac:dyDescent="0.2">
      <c r="A7923" s="101"/>
    </row>
    <row r="7924" spans="1:1" x14ac:dyDescent="0.2">
      <c r="A7924" s="101"/>
    </row>
    <row r="7925" spans="1:1" x14ac:dyDescent="0.2">
      <c r="A7925" s="101"/>
    </row>
    <row r="7926" spans="1:1" x14ac:dyDescent="0.2">
      <c r="A7926" s="101"/>
    </row>
    <row r="7927" spans="1:1" x14ac:dyDescent="0.2">
      <c r="A7927" s="101"/>
    </row>
    <row r="7928" spans="1:1" x14ac:dyDescent="0.2">
      <c r="A7928" s="101"/>
    </row>
    <row r="7929" spans="1:1" x14ac:dyDescent="0.2">
      <c r="A7929" s="101"/>
    </row>
    <row r="7930" spans="1:1" x14ac:dyDescent="0.2">
      <c r="A7930" s="101"/>
    </row>
    <row r="7931" spans="1:1" x14ac:dyDescent="0.2">
      <c r="A7931" s="101"/>
    </row>
    <row r="7932" spans="1:1" x14ac:dyDescent="0.2">
      <c r="A7932" s="101"/>
    </row>
    <row r="7933" spans="1:1" x14ac:dyDescent="0.2">
      <c r="A7933" s="101"/>
    </row>
    <row r="7934" spans="1:1" x14ac:dyDescent="0.2">
      <c r="A7934" s="101"/>
    </row>
    <row r="7935" spans="1:1" x14ac:dyDescent="0.2">
      <c r="A7935" s="101"/>
    </row>
    <row r="7936" spans="1:1" x14ac:dyDescent="0.2">
      <c r="A7936" s="101"/>
    </row>
    <row r="7937" spans="1:1" x14ac:dyDescent="0.2">
      <c r="A7937" s="101"/>
    </row>
    <row r="7938" spans="1:1" x14ac:dyDescent="0.2">
      <c r="A7938" s="101"/>
    </row>
    <row r="7939" spans="1:1" x14ac:dyDescent="0.2">
      <c r="A7939" s="101"/>
    </row>
    <row r="7940" spans="1:1" x14ac:dyDescent="0.2">
      <c r="A7940" s="101"/>
    </row>
    <row r="7941" spans="1:1" x14ac:dyDescent="0.2">
      <c r="A7941" s="101"/>
    </row>
    <row r="7942" spans="1:1" x14ac:dyDescent="0.2">
      <c r="A7942" s="101"/>
    </row>
    <row r="7943" spans="1:1" x14ac:dyDescent="0.2">
      <c r="A7943" s="101"/>
    </row>
    <row r="7944" spans="1:1" x14ac:dyDescent="0.2">
      <c r="A7944" s="101"/>
    </row>
    <row r="7945" spans="1:1" x14ac:dyDescent="0.2">
      <c r="A7945" s="101"/>
    </row>
    <row r="7946" spans="1:1" x14ac:dyDescent="0.2">
      <c r="A7946" s="101"/>
    </row>
    <row r="7947" spans="1:1" x14ac:dyDescent="0.2">
      <c r="A7947" s="101"/>
    </row>
    <row r="7948" spans="1:1" x14ac:dyDescent="0.2">
      <c r="A7948" s="101"/>
    </row>
    <row r="7949" spans="1:1" x14ac:dyDescent="0.2">
      <c r="A7949" s="101"/>
    </row>
    <row r="7950" spans="1:1" x14ac:dyDescent="0.2">
      <c r="A7950" s="101"/>
    </row>
    <row r="7951" spans="1:1" x14ac:dyDescent="0.2">
      <c r="A7951" s="101"/>
    </row>
    <row r="7952" spans="1:1" x14ac:dyDescent="0.2">
      <c r="A7952" s="101"/>
    </row>
    <row r="7953" spans="1:1" x14ac:dyDescent="0.2">
      <c r="A7953" s="101"/>
    </row>
    <row r="7954" spans="1:1" x14ac:dyDescent="0.2">
      <c r="A7954" s="101"/>
    </row>
    <row r="7955" spans="1:1" x14ac:dyDescent="0.2">
      <c r="A7955" s="101"/>
    </row>
    <row r="7956" spans="1:1" x14ac:dyDescent="0.2">
      <c r="A7956" s="101"/>
    </row>
    <row r="7957" spans="1:1" x14ac:dyDescent="0.2">
      <c r="A7957" s="101"/>
    </row>
    <row r="7958" spans="1:1" x14ac:dyDescent="0.2">
      <c r="A7958" s="101"/>
    </row>
    <row r="7959" spans="1:1" x14ac:dyDescent="0.2">
      <c r="A7959" s="101"/>
    </row>
    <row r="7960" spans="1:1" x14ac:dyDescent="0.2">
      <c r="A7960" s="101"/>
    </row>
    <row r="7961" spans="1:1" x14ac:dyDescent="0.2">
      <c r="A7961" s="101"/>
    </row>
    <row r="7962" spans="1:1" x14ac:dyDescent="0.2">
      <c r="A7962" s="101"/>
    </row>
    <row r="7963" spans="1:1" x14ac:dyDescent="0.2">
      <c r="A7963" s="101"/>
    </row>
    <row r="7964" spans="1:1" x14ac:dyDescent="0.2">
      <c r="A7964" s="101"/>
    </row>
    <row r="7965" spans="1:1" x14ac:dyDescent="0.2">
      <c r="A7965" s="101"/>
    </row>
    <row r="7966" spans="1:1" x14ac:dyDescent="0.2">
      <c r="A7966" s="101"/>
    </row>
    <row r="7967" spans="1:1" x14ac:dyDescent="0.2">
      <c r="A7967" s="101"/>
    </row>
    <row r="7968" spans="1:1" x14ac:dyDescent="0.2">
      <c r="A7968" s="101"/>
    </row>
    <row r="7969" spans="1:1" x14ac:dyDescent="0.2">
      <c r="A7969" s="101"/>
    </row>
    <row r="7970" spans="1:1" x14ac:dyDescent="0.2">
      <c r="A7970" s="101"/>
    </row>
    <row r="7971" spans="1:1" x14ac:dyDescent="0.2">
      <c r="A7971" s="101"/>
    </row>
    <row r="7972" spans="1:1" x14ac:dyDescent="0.2">
      <c r="A7972" s="101"/>
    </row>
    <row r="7973" spans="1:1" x14ac:dyDescent="0.2">
      <c r="A7973" s="101"/>
    </row>
    <row r="7974" spans="1:1" x14ac:dyDescent="0.2">
      <c r="A7974" s="101"/>
    </row>
    <row r="7975" spans="1:1" x14ac:dyDescent="0.2">
      <c r="A7975" s="101"/>
    </row>
    <row r="7976" spans="1:1" x14ac:dyDescent="0.2">
      <c r="A7976" s="101"/>
    </row>
    <row r="7977" spans="1:1" x14ac:dyDescent="0.2">
      <c r="A7977" s="101"/>
    </row>
    <row r="7978" spans="1:1" x14ac:dyDescent="0.2">
      <c r="A7978" s="101"/>
    </row>
    <row r="7979" spans="1:1" x14ac:dyDescent="0.2">
      <c r="A7979" s="101"/>
    </row>
    <row r="7980" spans="1:1" x14ac:dyDescent="0.2">
      <c r="A7980" s="101"/>
    </row>
    <row r="7981" spans="1:1" x14ac:dyDescent="0.2">
      <c r="A7981" s="101"/>
    </row>
    <row r="7982" spans="1:1" x14ac:dyDescent="0.2">
      <c r="A7982" s="101"/>
    </row>
    <row r="7983" spans="1:1" x14ac:dyDescent="0.2">
      <c r="A7983" s="101"/>
    </row>
    <row r="7984" spans="1:1" x14ac:dyDescent="0.2">
      <c r="A7984" s="101"/>
    </row>
    <row r="7985" spans="1:1" x14ac:dyDescent="0.2">
      <c r="A7985" s="101"/>
    </row>
    <row r="7986" spans="1:1" x14ac:dyDescent="0.2">
      <c r="A7986" s="101"/>
    </row>
    <row r="7987" spans="1:1" x14ac:dyDescent="0.2">
      <c r="A7987" s="101"/>
    </row>
    <row r="7988" spans="1:1" x14ac:dyDescent="0.2">
      <c r="A7988" s="101"/>
    </row>
    <row r="7989" spans="1:1" x14ac:dyDescent="0.2">
      <c r="A7989" s="101"/>
    </row>
    <row r="7990" spans="1:1" x14ac:dyDescent="0.2">
      <c r="A7990" s="101"/>
    </row>
    <row r="7991" spans="1:1" x14ac:dyDescent="0.2">
      <c r="A7991" s="101"/>
    </row>
    <row r="7992" spans="1:1" x14ac:dyDescent="0.2">
      <c r="A7992" s="101"/>
    </row>
    <row r="7993" spans="1:1" x14ac:dyDescent="0.2">
      <c r="A7993" s="101"/>
    </row>
    <row r="7994" spans="1:1" x14ac:dyDescent="0.2">
      <c r="A7994" s="101"/>
    </row>
    <row r="7995" spans="1:1" x14ac:dyDescent="0.2">
      <c r="A7995" s="101"/>
    </row>
    <row r="7996" spans="1:1" x14ac:dyDescent="0.2">
      <c r="A7996" s="101"/>
    </row>
    <row r="7997" spans="1:1" x14ac:dyDescent="0.2">
      <c r="A7997" s="101"/>
    </row>
    <row r="7998" spans="1:1" x14ac:dyDescent="0.2">
      <c r="A7998" s="101"/>
    </row>
    <row r="7999" spans="1:1" x14ac:dyDescent="0.2">
      <c r="A7999" s="101"/>
    </row>
    <row r="8000" spans="1:1" x14ac:dyDescent="0.2">
      <c r="A8000" s="101"/>
    </row>
    <row r="8001" spans="1:1" x14ac:dyDescent="0.2">
      <c r="A8001" s="101"/>
    </row>
    <row r="8002" spans="1:1" x14ac:dyDescent="0.2">
      <c r="A8002" s="101"/>
    </row>
    <row r="8003" spans="1:1" x14ac:dyDescent="0.2">
      <c r="A8003" s="101"/>
    </row>
    <row r="8004" spans="1:1" x14ac:dyDescent="0.2">
      <c r="A8004" s="101"/>
    </row>
    <row r="8005" spans="1:1" x14ac:dyDescent="0.2">
      <c r="A8005" s="101"/>
    </row>
    <row r="8006" spans="1:1" x14ac:dyDescent="0.2">
      <c r="A8006" s="101"/>
    </row>
    <row r="8007" spans="1:1" x14ac:dyDescent="0.2">
      <c r="A8007" s="101"/>
    </row>
    <row r="8008" spans="1:1" x14ac:dyDescent="0.2">
      <c r="A8008" s="101"/>
    </row>
    <row r="8009" spans="1:1" x14ac:dyDescent="0.2">
      <c r="A8009" s="101"/>
    </row>
    <row r="8010" spans="1:1" x14ac:dyDescent="0.2">
      <c r="A8010" s="101"/>
    </row>
    <row r="8011" spans="1:1" x14ac:dyDescent="0.2">
      <c r="A8011" s="101"/>
    </row>
    <row r="8012" spans="1:1" x14ac:dyDescent="0.2">
      <c r="A8012" s="101"/>
    </row>
    <row r="8013" spans="1:1" x14ac:dyDescent="0.2">
      <c r="A8013" s="101"/>
    </row>
    <row r="8014" spans="1:1" x14ac:dyDescent="0.2">
      <c r="A8014" s="101"/>
    </row>
    <row r="8015" spans="1:1" x14ac:dyDescent="0.2">
      <c r="A8015" s="101"/>
    </row>
    <row r="8016" spans="1:1" x14ac:dyDescent="0.2">
      <c r="A8016" s="101"/>
    </row>
    <row r="8017" spans="1:1" x14ac:dyDescent="0.2">
      <c r="A8017" s="101"/>
    </row>
    <row r="8018" spans="1:1" x14ac:dyDescent="0.2">
      <c r="A8018" s="101"/>
    </row>
    <row r="8019" spans="1:1" x14ac:dyDescent="0.2">
      <c r="A8019" s="101"/>
    </row>
    <row r="8020" spans="1:1" x14ac:dyDescent="0.2">
      <c r="A8020" s="101"/>
    </row>
    <row r="8021" spans="1:1" x14ac:dyDescent="0.2">
      <c r="A8021" s="101"/>
    </row>
    <row r="8022" spans="1:1" x14ac:dyDescent="0.2">
      <c r="A8022" s="101"/>
    </row>
    <row r="8023" spans="1:1" x14ac:dyDescent="0.2">
      <c r="A8023" s="101"/>
    </row>
    <row r="8024" spans="1:1" x14ac:dyDescent="0.2">
      <c r="A8024" s="101"/>
    </row>
    <row r="8025" spans="1:1" x14ac:dyDescent="0.2">
      <c r="A8025" s="101"/>
    </row>
    <row r="8026" spans="1:1" x14ac:dyDescent="0.2">
      <c r="A8026" s="101"/>
    </row>
    <row r="8027" spans="1:1" x14ac:dyDescent="0.2">
      <c r="A8027" s="101"/>
    </row>
    <row r="8028" spans="1:1" x14ac:dyDescent="0.2">
      <c r="A8028" s="101"/>
    </row>
    <row r="8029" spans="1:1" x14ac:dyDescent="0.2">
      <c r="A8029" s="101"/>
    </row>
    <row r="8030" spans="1:1" x14ac:dyDescent="0.2">
      <c r="A8030" s="101"/>
    </row>
    <row r="8031" spans="1:1" x14ac:dyDescent="0.2">
      <c r="A8031" s="101"/>
    </row>
    <row r="8032" spans="1:1" x14ac:dyDescent="0.2">
      <c r="A8032" s="101"/>
    </row>
    <row r="8033" spans="1:1" x14ac:dyDescent="0.2">
      <c r="A8033" s="101"/>
    </row>
    <row r="8034" spans="1:1" x14ac:dyDescent="0.2">
      <c r="A8034" s="101"/>
    </row>
    <row r="8035" spans="1:1" x14ac:dyDescent="0.2">
      <c r="A8035" s="101"/>
    </row>
    <row r="8036" spans="1:1" x14ac:dyDescent="0.2">
      <c r="A8036" s="101"/>
    </row>
    <row r="8037" spans="1:1" x14ac:dyDescent="0.2">
      <c r="A8037" s="101"/>
    </row>
    <row r="8038" spans="1:1" x14ac:dyDescent="0.2">
      <c r="A8038" s="101"/>
    </row>
    <row r="8039" spans="1:1" x14ac:dyDescent="0.2">
      <c r="A8039" s="101"/>
    </row>
    <row r="8040" spans="1:1" x14ac:dyDescent="0.2">
      <c r="A8040" s="101"/>
    </row>
    <row r="8041" spans="1:1" x14ac:dyDescent="0.2">
      <c r="A8041" s="101"/>
    </row>
    <row r="8042" spans="1:1" x14ac:dyDescent="0.2">
      <c r="A8042" s="101"/>
    </row>
    <row r="8043" spans="1:1" x14ac:dyDescent="0.2">
      <c r="A8043" s="101"/>
    </row>
    <row r="8044" spans="1:1" x14ac:dyDescent="0.2">
      <c r="A8044" s="101"/>
    </row>
    <row r="8045" spans="1:1" x14ac:dyDescent="0.2">
      <c r="A8045" s="101"/>
    </row>
    <row r="8046" spans="1:1" x14ac:dyDescent="0.2">
      <c r="A8046" s="101"/>
    </row>
    <row r="8047" spans="1:1" x14ac:dyDescent="0.2">
      <c r="A8047" s="101"/>
    </row>
    <row r="8048" spans="1:1" x14ac:dyDescent="0.2">
      <c r="A8048" s="101"/>
    </row>
    <row r="8049" spans="1:1" x14ac:dyDescent="0.2">
      <c r="A8049" s="101"/>
    </row>
    <row r="8050" spans="1:1" x14ac:dyDescent="0.2">
      <c r="A8050" s="101"/>
    </row>
    <row r="8051" spans="1:1" x14ac:dyDescent="0.2">
      <c r="A8051" s="101"/>
    </row>
    <row r="8052" spans="1:1" x14ac:dyDescent="0.2">
      <c r="A8052" s="101"/>
    </row>
    <row r="8053" spans="1:1" x14ac:dyDescent="0.2">
      <c r="A8053" s="101"/>
    </row>
    <row r="8054" spans="1:1" x14ac:dyDescent="0.2">
      <c r="A8054" s="101"/>
    </row>
    <row r="8055" spans="1:1" x14ac:dyDescent="0.2">
      <c r="A8055" s="101"/>
    </row>
    <row r="8056" spans="1:1" x14ac:dyDescent="0.2">
      <c r="A8056" s="101"/>
    </row>
    <row r="8057" spans="1:1" x14ac:dyDescent="0.2">
      <c r="A8057" s="101"/>
    </row>
    <row r="8058" spans="1:1" x14ac:dyDescent="0.2">
      <c r="A8058" s="101"/>
    </row>
    <row r="8059" spans="1:1" x14ac:dyDescent="0.2">
      <c r="A8059" s="101"/>
    </row>
    <row r="8060" spans="1:1" x14ac:dyDescent="0.2">
      <c r="A8060" s="101"/>
    </row>
    <row r="8061" spans="1:1" x14ac:dyDescent="0.2">
      <c r="A8061" s="101"/>
    </row>
    <row r="8062" spans="1:1" x14ac:dyDescent="0.2">
      <c r="A8062" s="101"/>
    </row>
    <row r="8063" spans="1:1" x14ac:dyDescent="0.2">
      <c r="A8063" s="101"/>
    </row>
    <row r="8064" spans="1:1" x14ac:dyDescent="0.2">
      <c r="A8064" s="101"/>
    </row>
    <row r="8065" spans="1:1" x14ac:dyDescent="0.2">
      <c r="A8065" s="101"/>
    </row>
    <row r="8066" spans="1:1" x14ac:dyDescent="0.2">
      <c r="A8066" s="101"/>
    </row>
    <row r="8067" spans="1:1" x14ac:dyDescent="0.2">
      <c r="A8067" s="101"/>
    </row>
    <row r="8068" spans="1:1" x14ac:dyDescent="0.2">
      <c r="A8068" s="101"/>
    </row>
    <row r="8069" spans="1:1" x14ac:dyDescent="0.2">
      <c r="A8069" s="101"/>
    </row>
    <row r="8070" spans="1:1" x14ac:dyDescent="0.2">
      <c r="A8070" s="101"/>
    </row>
    <row r="8071" spans="1:1" x14ac:dyDescent="0.2">
      <c r="A8071" s="101"/>
    </row>
    <row r="8072" spans="1:1" x14ac:dyDescent="0.2">
      <c r="A8072" s="101"/>
    </row>
    <row r="8073" spans="1:1" x14ac:dyDescent="0.2">
      <c r="A8073" s="101"/>
    </row>
    <row r="8074" spans="1:1" x14ac:dyDescent="0.2">
      <c r="A8074" s="101"/>
    </row>
    <row r="8075" spans="1:1" x14ac:dyDescent="0.2">
      <c r="A8075" s="101"/>
    </row>
    <row r="8076" spans="1:1" x14ac:dyDescent="0.2">
      <c r="A8076" s="101"/>
    </row>
    <row r="8077" spans="1:1" x14ac:dyDescent="0.2">
      <c r="A8077" s="101"/>
    </row>
    <row r="8078" spans="1:1" x14ac:dyDescent="0.2">
      <c r="A8078" s="101"/>
    </row>
    <row r="8079" spans="1:1" x14ac:dyDescent="0.2">
      <c r="A8079" s="101"/>
    </row>
    <row r="8080" spans="1:1" x14ac:dyDescent="0.2">
      <c r="A8080" s="101"/>
    </row>
    <row r="8081" spans="1:1" x14ac:dyDescent="0.2">
      <c r="A8081" s="101"/>
    </row>
    <row r="8082" spans="1:1" x14ac:dyDescent="0.2">
      <c r="A8082" s="101"/>
    </row>
    <row r="8083" spans="1:1" x14ac:dyDescent="0.2">
      <c r="A8083" s="101"/>
    </row>
    <row r="8084" spans="1:1" x14ac:dyDescent="0.2">
      <c r="A8084" s="101"/>
    </row>
    <row r="8085" spans="1:1" x14ac:dyDescent="0.2">
      <c r="A8085" s="101"/>
    </row>
    <row r="8086" spans="1:1" x14ac:dyDescent="0.2">
      <c r="A8086" s="101"/>
    </row>
    <row r="8087" spans="1:1" x14ac:dyDescent="0.2">
      <c r="A8087" s="101"/>
    </row>
    <row r="8088" spans="1:1" x14ac:dyDescent="0.2">
      <c r="A8088" s="101"/>
    </row>
    <row r="8089" spans="1:1" x14ac:dyDescent="0.2">
      <c r="A8089" s="101"/>
    </row>
    <row r="8090" spans="1:1" x14ac:dyDescent="0.2">
      <c r="A8090" s="101"/>
    </row>
    <row r="8091" spans="1:1" x14ac:dyDescent="0.2">
      <c r="A8091" s="101"/>
    </row>
    <row r="8092" spans="1:1" x14ac:dyDescent="0.2">
      <c r="A8092" s="101"/>
    </row>
    <row r="8093" spans="1:1" x14ac:dyDescent="0.2">
      <c r="A8093" s="101"/>
    </row>
    <row r="8094" spans="1:1" x14ac:dyDescent="0.2">
      <c r="A8094" s="101"/>
    </row>
    <row r="8095" spans="1:1" x14ac:dyDescent="0.2">
      <c r="A8095" s="101"/>
    </row>
    <row r="8096" spans="1:1" x14ac:dyDescent="0.2">
      <c r="A8096" s="101"/>
    </row>
    <row r="8097" spans="1:1" x14ac:dyDescent="0.2">
      <c r="A8097" s="101"/>
    </row>
    <row r="8098" spans="1:1" x14ac:dyDescent="0.2">
      <c r="A8098" s="101"/>
    </row>
    <row r="8099" spans="1:1" x14ac:dyDescent="0.2">
      <c r="A8099" s="101"/>
    </row>
    <row r="8100" spans="1:1" x14ac:dyDescent="0.2">
      <c r="A8100" s="101"/>
    </row>
    <row r="8101" spans="1:1" x14ac:dyDescent="0.2">
      <c r="A8101" s="101"/>
    </row>
    <row r="8102" spans="1:1" x14ac:dyDescent="0.2">
      <c r="A8102" s="101"/>
    </row>
    <row r="8103" spans="1:1" x14ac:dyDescent="0.2">
      <c r="A8103" s="101"/>
    </row>
    <row r="8104" spans="1:1" x14ac:dyDescent="0.2">
      <c r="A8104" s="101"/>
    </row>
    <row r="8105" spans="1:1" x14ac:dyDescent="0.2">
      <c r="A8105" s="101"/>
    </row>
    <row r="8106" spans="1:1" x14ac:dyDescent="0.2">
      <c r="A8106" s="101"/>
    </row>
    <row r="8107" spans="1:1" x14ac:dyDescent="0.2">
      <c r="A8107" s="101"/>
    </row>
    <row r="8108" spans="1:1" x14ac:dyDescent="0.2">
      <c r="A8108" s="101"/>
    </row>
    <row r="8109" spans="1:1" x14ac:dyDescent="0.2">
      <c r="A8109" s="101"/>
    </row>
    <row r="8110" spans="1:1" x14ac:dyDescent="0.2">
      <c r="A8110" s="101"/>
    </row>
    <row r="8111" spans="1:1" x14ac:dyDescent="0.2">
      <c r="A8111" s="101"/>
    </row>
    <row r="8112" spans="1:1" x14ac:dyDescent="0.2">
      <c r="A8112" s="101"/>
    </row>
    <row r="8113" spans="1:1" x14ac:dyDescent="0.2">
      <c r="A8113" s="101"/>
    </row>
    <row r="8114" spans="1:1" x14ac:dyDescent="0.2">
      <c r="A8114" s="101"/>
    </row>
    <row r="8115" spans="1:1" x14ac:dyDescent="0.2">
      <c r="A8115" s="101"/>
    </row>
    <row r="8116" spans="1:1" x14ac:dyDescent="0.2">
      <c r="A8116" s="101"/>
    </row>
    <row r="8117" spans="1:1" x14ac:dyDescent="0.2">
      <c r="A8117" s="101"/>
    </row>
    <row r="8118" spans="1:1" x14ac:dyDescent="0.2">
      <c r="A8118" s="101"/>
    </row>
    <row r="8119" spans="1:1" x14ac:dyDescent="0.2">
      <c r="A8119" s="101"/>
    </row>
    <row r="8120" spans="1:1" x14ac:dyDescent="0.2">
      <c r="A8120" s="101"/>
    </row>
    <row r="8121" spans="1:1" x14ac:dyDescent="0.2">
      <c r="A8121" s="101"/>
    </row>
    <row r="8122" spans="1:1" x14ac:dyDescent="0.2">
      <c r="A8122" s="101"/>
    </row>
    <row r="8123" spans="1:1" x14ac:dyDescent="0.2">
      <c r="A8123" s="101"/>
    </row>
    <row r="8124" spans="1:1" x14ac:dyDescent="0.2">
      <c r="A8124" s="101"/>
    </row>
    <row r="8125" spans="1:1" x14ac:dyDescent="0.2">
      <c r="A8125" s="101"/>
    </row>
    <row r="8126" spans="1:1" x14ac:dyDescent="0.2">
      <c r="A8126" s="101"/>
    </row>
    <row r="8127" spans="1:1" x14ac:dyDescent="0.2">
      <c r="A8127" s="101"/>
    </row>
    <row r="8128" spans="1:1" x14ac:dyDescent="0.2">
      <c r="A8128" s="101"/>
    </row>
    <row r="8129" spans="1:1" x14ac:dyDescent="0.2">
      <c r="A8129" s="101"/>
    </row>
    <row r="8130" spans="1:1" x14ac:dyDescent="0.2">
      <c r="A8130" s="101"/>
    </row>
    <row r="8131" spans="1:1" x14ac:dyDescent="0.2">
      <c r="A8131" s="101"/>
    </row>
    <row r="8132" spans="1:1" x14ac:dyDescent="0.2">
      <c r="A8132" s="101"/>
    </row>
    <row r="8133" spans="1:1" x14ac:dyDescent="0.2">
      <c r="A8133" s="101"/>
    </row>
    <row r="8134" spans="1:1" x14ac:dyDescent="0.2">
      <c r="A8134" s="101"/>
    </row>
    <row r="8135" spans="1:1" x14ac:dyDescent="0.2">
      <c r="A8135" s="101"/>
    </row>
    <row r="8136" spans="1:1" x14ac:dyDescent="0.2">
      <c r="A8136" s="101"/>
    </row>
    <row r="8137" spans="1:1" x14ac:dyDescent="0.2">
      <c r="A8137" s="101"/>
    </row>
    <row r="8138" spans="1:1" x14ac:dyDescent="0.2">
      <c r="A8138" s="101"/>
    </row>
    <row r="8139" spans="1:1" x14ac:dyDescent="0.2">
      <c r="A8139" s="101"/>
    </row>
    <row r="8140" spans="1:1" x14ac:dyDescent="0.2">
      <c r="A8140" s="101"/>
    </row>
    <row r="8141" spans="1:1" x14ac:dyDescent="0.2">
      <c r="A8141" s="101"/>
    </row>
    <row r="8142" spans="1:1" x14ac:dyDescent="0.2">
      <c r="A8142" s="101"/>
    </row>
    <row r="8143" spans="1:1" x14ac:dyDescent="0.2">
      <c r="A8143" s="101"/>
    </row>
    <row r="8144" spans="1:1" x14ac:dyDescent="0.2">
      <c r="A8144" s="101"/>
    </row>
    <row r="8145" spans="1:1" x14ac:dyDescent="0.2">
      <c r="A8145" s="101"/>
    </row>
    <row r="8146" spans="1:1" x14ac:dyDescent="0.2">
      <c r="A8146" s="101"/>
    </row>
    <row r="8147" spans="1:1" x14ac:dyDescent="0.2">
      <c r="A8147" s="101"/>
    </row>
    <row r="8148" spans="1:1" x14ac:dyDescent="0.2">
      <c r="A8148" s="101"/>
    </row>
    <row r="8149" spans="1:1" x14ac:dyDescent="0.2">
      <c r="A8149" s="101"/>
    </row>
    <row r="8150" spans="1:1" x14ac:dyDescent="0.2">
      <c r="A8150" s="101"/>
    </row>
    <row r="8151" spans="1:1" x14ac:dyDescent="0.2">
      <c r="A8151" s="101"/>
    </row>
    <row r="8152" spans="1:1" x14ac:dyDescent="0.2">
      <c r="A8152" s="101"/>
    </row>
    <row r="8153" spans="1:1" x14ac:dyDescent="0.2">
      <c r="A8153" s="101"/>
    </row>
    <row r="8154" spans="1:1" x14ac:dyDescent="0.2">
      <c r="A8154" s="101"/>
    </row>
    <row r="8155" spans="1:1" x14ac:dyDescent="0.2">
      <c r="A8155" s="101"/>
    </row>
    <row r="8156" spans="1:1" x14ac:dyDescent="0.2">
      <c r="A8156" s="101"/>
    </row>
    <row r="8157" spans="1:1" x14ac:dyDescent="0.2">
      <c r="A8157" s="101"/>
    </row>
    <row r="8158" spans="1:1" x14ac:dyDescent="0.2">
      <c r="A8158" s="101"/>
    </row>
    <row r="8159" spans="1:1" x14ac:dyDescent="0.2">
      <c r="A8159" s="101"/>
    </row>
    <row r="8160" spans="1:1" x14ac:dyDescent="0.2">
      <c r="A8160" s="101"/>
    </row>
    <row r="8161" spans="1:1" x14ac:dyDescent="0.2">
      <c r="A8161" s="101"/>
    </row>
    <row r="8162" spans="1:1" x14ac:dyDescent="0.2">
      <c r="A8162" s="101"/>
    </row>
    <row r="8163" spans="1:1" x14ac:dyDescent="0.2">
      <c r="A8163" s="101"/>
    </row>
    <row r="8164" spans="1:1" x14ac:dyDescent="0.2">
      <c r="A8164" s="101"/>
    </row>
    <row r="8165" spans="1:1" x14ac:dyDescent="0.2">
      <c r="A8165" s="101"/>
    </row>
    <row r="8166" spans="1:1" x14ac:dyDescent="0.2">
      <c r="A8166" s="101"/>
    </row>
    <row r="8167" spans="1:1" x14ac:dyDescent="0.2">
      <c r="A8167" s="101"/>
    </row>
    <row r="8168" spans="1:1" x14ac:dyDescent="0.2">
      <c r="A8168" s="101"/>
    </row>
    <row r="8169" spans="1:1" x14ac:dyDescent="0.2">
      <c r="A8169" s="101"/>
    </row>
    <row r="8170" spans="1:1" x14ac:dyDescent="0.2">
      <c r="A8170" s="101"/>
    </row>
    <row r="8171" spans="1:1" x14ac:dyDescent="0.2">
      <c r="A8171" s="101"/>
    </row>
    <row r="8172" spans="1:1" x14ac:dyDescent="0.2">
      <c r="A8172" s="101"/>
    </row>
    <row r="8173" spans="1:1" x14ac:dyDescent="0.2">
      <c r="A8173" s="101"/>
    </row>
    <row r="8174" spans="1:1" x14ac:dyDescent="0.2">
      <c r="A8174" s="101"/>
    </row>
    <row r="8175" spans="1:1" x14ac:dyDescent="0.2">
      <c r="A8175" s="101"/>
    </row>
    <row r="8176" spans="1:1" x14ac:dyDescent="0.2">
      <c r="A8176" s="101"/>
    </row>
    <row r="8177" spans="1:1" x14ac:dyDescent="0.2">
      <c r="A8177" s="101"/>
    </row>
    <row r="8178" spans="1:1" x14ac:dyDescent="0.2">
      <c r="A8178" s="101"/>
    </row>
    <row r="8179" spans="1:1" x14ac:dyDescent="0.2">
      <c r="A8179" s="101"/>
    </row>
    <row r="8180" spans="1:1" x14ac:dyDescent="0.2">
      <c r="A8180" s="101"/>
    </row>
    <row r="8181" spans="1:1" x14ac:dyDescent="0.2">
      <c r="A8181" s="101"/>
    </row>
    <row r="8182" spans="1:1" x14ac:dyDescent="0.2">
      <c r="A8182" s="101"/>
    </row>
    <row r="8183" spans="1:1" x14ac:dyDescent="0.2">
      <c r="A8183" s="101"/>
    </row>
    <row r="8184" spans="1:1" x14ac:dyDescent="0.2">
      <c r="A8184" s="101"/>
    </row>
    <row r="8185" spans="1:1" x14ac:dyDescent="0.2">
      <c r="A8185" s="101"/>
    </row>
    <row r="8186" spans="1:1" x14ac:dyDescent="0.2">
      <c r="A8186" s="101"/>
    </row>
    <row r="8187" spans="1:1" x14ac:dyDescent="0.2">
      <c r="A8187" s="101"/>
    </row>
    <row r="8188" spans="1:1" x14ac:dyDescent="0.2">
      <c r="A8188" s="101"/>
    </row>
    <row r="8189" spans="1:1" x14ac:dyDescent="0.2">
      <c r="A8189" s="101"/>
    </row>
    <row r="8190" spans="1:1" x14ac:dyDescent="0.2">
      <c r="A8190" s="101"/>
    </row>
    <row r="8191" spans="1:1" x14ac:dyDescent="0.2">
      <c r="A8191" s="101"/>
    </row>
    <row r="8192" spans="1:1" x14ac:dyDescent="0.2">
      <c r="A8192" s="101"/>
    </row>
    <row r="8193" spans="1:1" x14ac:dyDescent="0.2">
      <c r="A8193" s="101"/>
    </row>
    <row r="8194" spans="1:1" x14ac:dyDescent="0.2">
      <c r="A8194" s="101"/>
    </row>
    <row r="8195" spans="1:1" x14ac:dyDescent="0.2">
      <c r="A8195" s="101"/>
    </row>
    <row r="8196" spans="1:1" x14ac:dyDescent="0.2">
      <c r="A8196" s="101"/>
    </row>
    <row r="8197" spans="1:1" x14ac:dyDescent="0.2">
      <c r="A8197" s="101"/>
    </row>
    <row r="8198" spans="1:1" x14ac:dyDescent="0.2">
      <c r="A8198" s="101"/>
    </row>
    <row r="8199" spans="1:1" x14ac:dyDescent="0.2">
      <c r="A8199" s="101"/>
    </row>
    <row r="8200" spans="1:1" x14ac:dyDescent="0.2">
      <c r="A8200" s="101"/>
    </row>
    <row r="8201" spans="1:1" x14ac:dyDescent="0.2">
      <c r="A8201" s="101"/>
    </row>
    <row r="8202" spans="1:1" x14ac:dyDescent="0.2">
      <c r="A8202" s="101"/>
    </row>
    <row r="8203" spans="1:1" x14ac:dyDescent="0.2">
      <c r="A8203" s="101"/>
    </row>
    <row r="8204" spans="1:1" x14ac:dyDescent="0.2">
      <c r="A8204" s="101"/>
    </row>
    <row r="8205" spans="1:1" x14ac:dyDescent="0.2">
      <c r="A8205" s="101"/>
    </row>
    <row r="8206" spans="1:1" x14ac:dyDescent="0.2">
      <c r="A8206" s="101"/>
    </row>
    <row r="8207" spans="1:1" x14ac:dyDescent="0.2">
      <c r="A8207" s="101"/>
    </row>
    <row r="8208" spans="1:1" x14ac:dyDescent="0.2">
      <c r="A8208" s="101"/>
    </row>
    <row r="8209" spans="1:1" x14ac:dyDescent="0.2">
      <c r="A8209" s="101"/>
    </row>
    <row r="8210" spans="1:1" x14ac:dyDescent="0.2">
      <c r="A8210" s="101"/>
    </row>
    <row r="8211" spans="1:1" x14ac:dyDescent="0.2">
      <c r="A8211" s="101"/>
    </row>
    <row r="8212" spans="1:1" x14ac:dyDescent="0.2">
      <c r="A8212" s="101"/>
    </row>
    <row r="8213" spans="1:1" x14ac:dyDescent="0.2">
      <c r="A8213" s="101"/>
    </row>
    <row r="8214" spans="1:1" x14ac:dyDescent="0.2">
      <c r="A8214" s="101"/>
    </row>
    <row r="8215" spans="1:1" x14ac:dyDescent="0.2">
      <c r="A8215" s="101"/>
    </row>
    <row r="8216" spans="1:1" x14ac:dyDescent="0.2">
      <c r="A8216" s="101"/>
    </row>
    <row r="8217" spans="1:1" x14ac:dyDescent="0.2">
      <c r="A8217" s="101"/>
    </row>
    <row r="8218" spans="1:1" x14ac:dyDescent="0.2">
      <c r="A8218" s="101"/>
    </row>
    <row r="8219" spans="1:1" x14ac:dyDescent="0.2">
      <c r="A8219" s="101"/>
    </row>
    <row r="8220" spans="1:1" x14ac:dyDescent="0.2">
      <c r="A8220" s="101"/>
    </row>
    <row r="8221" spans="1:1" x14ac:dyDescent="0.2">
      <c r="A8221" s="101"/>
    </row>
    <row r="8222" spans="1:1" x14ac:dyDescent="0.2">
      <c r="A8222" s="101"/>
    </row>
    <row r="8223" spans="1:1" x14ac:dyDescent="0.2">
      <c r="A8223" s="101"/>
    </row>
    <row r="8224" spans="1:1" x14ac:dyDescent="0.2">
      <c r="A8224" s="101"/>
    </row>
    <row r="8225" spans="1:1" x14ac:dyDescent="0.2">
      <c r="A8225" s="101"/>
    </row>
    <row r="8226" spans="1:1" x14ac:dyDescent="0.2">
      <c r="A8226" s="101"/>
    </row>
    <row r="8227" spans="1:1" x14ac:dyDescent="0.2">
      <c r="A8227" s="101"/>
    </row>
    <row r="8228" spans="1:1" x14ac:dyDescent="0.2">
      <c r="A8228" s="101"/>
    </row>
    <row r="8229" spans="1:1" x14ac:dyDescent="0.2">
      <c r="A8229" s="101"/>
    </row>
    <row r="8230" spans="1:1" x14ac:dyDescent="0.2">
      <c r="A8230" s="101"/>
    </row>
    <row r="8231" spans="1:1" x14ac:dyDescent="0.2">
      <c r="A8231" s="101"/>
    </row>
    <row r="8232" spans="1:1" x14ac:dyDescent="0.2">
      <c r="A8232" s="101"/>
    </row>
    <row r="8233" spans="1:1" x14ac:dyDescent="0.2">
      <c r="A8233" s="101"/>
    </row>
    <row r="8234" spans="1:1" x14ac:dyDescent="0.2">
      <c r="A8234" s="101"/>
    </row>
    <row r="8235" spans="1:1" x14ac:dyDescent="0.2">
      <c r="A8235" s="101"/>
    </row>
    <row r="8236" spans="1:1" x14ac:dyDescent="0.2">
      <c r="A8236" s="101"/>
    </row>
    <row r="8237" spans="1:1" x14ac:dyDescent="0.2">
      <c r="A8237" s="101"/>
    </row>
    <row r="8238" spans="1:1" x14ac:dyDescent="0.2">
      <c r="A8238" s="101"/>
    </row>
    <row r="8239" spans="1:1" x14ac:dyDescent="0.2">
      <c r="A8239" s="101"/>
    </row>
    <row r="8240" spans="1:1" x14ac:dyDescent="0.2">
      <c r="A8240" s="101"/>
    </row>
    <row r="8241" spans="1:1" x14ac:dyDescent="0.2">
      <c r="A8241" s="101"/>
    </row>
    <row r="8242" spans="1:1" x14ac:dyDescent="0.2">
      <c r="A8242" s="101"/>
    </row>
    <row r="8243" spans="1:1" x14ac:dyDescent="0.2">
      <c r="A8243" s="101"/>
    </row>
    <row r="8244" spans="1:1" x14ac:dyDescent="0.2">
      <c r="A8244" s="101"/>
    </row>
    <row r="8245" spans="1:1" x14ac:dyDescent="0.2">
      <c r="A8245" s="101"/>
    </row>
    <row r="8246" spans="1:1" x14ac:dyDescent="0.2">
      <c r="A8246" s="101"/>
    </row>
    <row r="8247" spans="1:1" x14ac:dyDescent="0.2">
      <c r="A8247" s="101"/>
    </row>
    <row r="8248" spans="1:1" x14ac:dyDescent="0.2">
      <c r="A8248" s="101"/>
    </row>
    <row r="8249" spans="1:1" x14ac:dyDescent="0.2">
      <c r="A8249" s="101"/>
    </row>
    <row r="8250" spans="1:1" x14ac:dyDescent="0.2">
      <c r="A8250" s="101"/>
    </row>
    <row r="8251" spans="1:1" x14ac:dyDescent="0.2">
      <c r="A8251" s="101"/>
    </row>
    <row r="8252" spans="1:1" x14ac:dyDescent="0.2">
      <c r="A8252" s="101"/>
    </row>
    <row r="8253" spans="1:1" x14ac:dyDescent="0.2">
      <c r="A8253" s="101"/>
    </row>
    <row r="8254" spans="1:1" x14ac:dyDescent="0.2">
      <c r="A8254" s="101"/>
    </row>
    <row r="8255" spans="1:1" x14ac:dyDescent="0.2">
      <c r="A8255" s="101"/>
    </row>
    <row r="8256" spans="1:1" x14ac:dyDescent="0.2">
      <c r="A8256" s="101"/>
    </row>
    <row r="8257" spans="1:1" x14ac:dyDescent="0.2">
      <c r="A8257" s="101"/>
    </row>
    <row r="8258" spans="1:1" x14ac:dyDescent="0.2">
      <c r="A8258" s="101"/>
    </row>
    <row r="8259" spans="1:1" x14ac:dyDescent="0.2">
      <c r="A8259" s="101"/>
    </row>
    <row r="8260" spans="1:1" x14ac:dyDescent="0.2">
      <c r="A8260" s="101"/>
    </row>
    <row r="8261" spans="1:1" x14ac:dyDescent="0.2">
      <c r="A8261" s="101"/>
    </row>
    <row r="8262" spans="1:1" x14ac:dyDescent="0.2">
      <c r="A8262" s="101"/>
    </row>
    <row r="8263" spans="1:1" x14ac:dyDescent="0.2">
      <c r="A8263" s="101"/>
    </row>
    <row r="8264" spans="1:1" x14ac:dyDescent="0.2">
      <c r="A8264" s="101"/>
    </row>
    <row r="8265" spans="1:1" x14ac:dyDescent="0.2">
      <c r="A8265" s="101"/>
    </row>
    <row r="8266" spans="1:1" x14ac:dyDescent="0.2">
      <c r="A8266" s="101"/>
    </row>
    <row r="8267" spans="1:1" x14ac:dyDescent="0.2">
      <c r="A8267" s="101"/>
    </row>
    <row r="8268" spans="1:1" x14ac:dyDescent="0.2">
      <c r="A8268" s="101"/>
    </row>
    <row r="8269" spans="1:1" x14ac:dyDescent="0.2">
      <c r="A8269" s="101"/>
    </row>
    <row r="8270" spans="1:1" x14ac:dyDescent="0.2">
      <c r="A8270" s="101"/>
    </row>
    <row r="8271" spans="1:1" x14ac:dyDescent="0.2">
      <c r="A8271" s="101"/>
    </row>
    <row r="8272" spans="1:1" x14ac:dyDescent="0.2">
      <c r="A8272" s="101"/>
    </row>
    <row r="8273" spans="1:1" x14ac:dyDescent="0.2">
      <c r="A8273" s="101"/>
    </row>
    <row r="8274" spans="1:1" x14ac:dyDescent="0.2">
      <c r="A8274" s="101"/>
    </row>
    <row r="8275" spans="1:1" x14ac:dyDescent="0.2">
      <c r="A8275" s="101"/>
    </row>
    <row r="8276" spans="1:1" x14ac:dyDescent="0.2">
      <c r="A8276" s="101"/>
    </row>
    <row r="8277" spans="1:1" x14ac:dyDescent="0.2">
      <c r="A8277" s="101"/>
    </row>
    <row r="8278" spans="1:1" x14ac:dyDescent="0.2">
      <c r="A8278" s="101"/>
    </row>
    <row r="8279" spans="1:1" x14ac:dyDescent="0.2">
      <c r="A8279" s="101"/>
    </row>
    <row r="8280" spans="1:1" x14ac:dyDescent="0.2">
      <c r="A8280" s="101"/>
    </row>
    <row r="8281" spans="1:1" x14ac:dyDescent="0.2">
      <c r="A8281" s="101"/>
    </row>
    <row r="8282" spans="1:1" x14ac:dyDescent="0.2">
      <c r="A8282" s="101"/>
    </row>
    <row r="8283" spans="1:1" x14ac:dyDescent="0.2">
      <c r="A8283" s="101"/>
    </row>
    <row r="8284" spans="1:1" x14ac:dyDescent="0.2">
      <c r="A8284" s="101"/>
    </row>
    <row r="8285" spans="1:1" x14ac:dyDescent="0.2">
      <c r="A8285" s="101"/>
    </row>
    <row r="8286" spans="1:1" x14ac:dyDescent="0.2">
      <c r="A8286" s="101"/>
    </row>
    <row r="8287" spans="1:1" x14ac:dyDescent="0.2">
      <c r="A8287" s="101"/>
    </row>
    <row r="8288" spans="1:1" x14ac:dyDescent="0.2">
      <c r="A8288" s="101"/>
    </row>
    <row r="8289" spans="1:1" x14ac:dyDescent="0.2">
      <c r="A8289" s="101"/>
    </row>
    <row r="8290" spans="1:1" x14ac:dyDescent="0.2">
      <c r="A8290" s="101"/>
    </row>
    <row r="8291" spans="1:1" x14ac:dyDescent="0.2">
      <c r="A8291" s="101"/>
    </row>
    <row r="8292" spans="1:1" x14ac:dyDescent="0.2">
      <c r="A8292" s="101"/>
    </row>
    <row r="8293" spans="1:1" x14ac:dyDescent="0.2">
      <c r="A8293" s="101"/>
    </row>
    <row r="8294" spans="1:1" x14ac:dyDescent="0.2">
      <c r="A8294" s="101"/>
    </row>
    <row r="8295" spans="1:1" x14ac:dyDescent="0.2">
      <c r="A8295" s="101"/>
    </row>
    <row r="8296" spans="1:1" x14ac:dyDescent="0.2">
      <c r="A8296" s="101"/>
    </row>
    <row r="8297" spans="1:1" x14ac:dyDescent="0.2">
      <c r="A8297" s="101"/>
    </row>
    <row r="8298" spans="1:1" x14ac:dyDescent="0.2">
      <c r="A8298" s="101"/>
    </row>
    <row r="8299" spans="1:1" x14ac:dyDescent="0.2">
      <c r="A8299" s="101"/>
    </row>
    <row r="8300" spans="1:1" x14ac:dyDescent="0.2">
      <c r="A8300" s="101"/>
    </row>
    <row r="8301" spans="1:1" x14ac:dyDescent="0.2">
      <c r="A8301" s="101"/>
    </row>
    <row r="8302" spans="1:1" x14ac:dyDescent="0.2">
      <c r="A8302" s="101"/>
    </row>
    <row r="8303" spans="1:1" x14ac:dyDescent="0.2">
      <c r="A8303" s="101"/>
    </row>
    <row r="8304" spans="1:1" x14ac:dyDescent="0.2">
      <c r="A8304" s="101"/>
    </row>
    <row r="8305" spans="1:1" x14ac:dyDescent="0.2">
      <c r="A8305" s="101"/>
    </row>
    <row r="8306" spans="1:1" x14ac:dyDescent="0.2">
      <c r="A8306" s="101"/>
    </row>
    <row r="8307" spans="1:1" x14ac:dyDescent="0.2">
      <c r="A8307" s="101"/>
    </row>
    <row r="8308" spans="1:1" x14ac:dyDescent="0.2">
      <c r="A8308" s="101"/>
    </row>
    <row r="8309" spans="1:1" x14ac:dyDescent="0.2">
      <c r="A8309" s="101"/>
    </row>
    <row r="8310" spans="1:1" x14ac:dyDescent="0.2">
      <c r="A8310" s="101"/>
    </row>
    <row r="8311" spans="1:1" x14ac:dyDescent="0.2">
      <c r="A8311" s="101"/>
    </row>
    <row r="8312" spans="1:1" x14ac:dyDescent="0.2">
      <c r="A8312" s="101"/>
    </row>
    <row r="8313" spans="1:1" x14ac:dyDescent="0.2">
      <c r="A8313" s="101"/>
    </row>
    <row r="8314" spans="1:1" x14ac:dyDescent="0.2">
      <c r="A8314" s="101"/>
    </row>
    <row r="8315" spans="1:1" x14ac:dyDescent="0.2">
      <c r="A8315" s="101"/>
    </row>
    <row r="8316" spans="1:1" x14ac:dyDescent="0.2">
      <c r="A8316" s="101"/>
    </row>
    <row r="8317" spans="1:1" x14ac:dyDescent="0.2">
      <c r="A8317" s="101"/>
    </row>
    <row r="8318" spans="1:1" x14ac:dyDescent="0.2">
      <c r="A8318" s="101"/>
    </row>
    <row r="8319" spans="1:1" x14ac:dyDescent="0.2">
      <c r="A8319" s="101"/>
    </row>
    <row r="8320" spans="1:1" x14ac:dyDescent="0.2">
      <c r="A8320" s="101"/>
    </row>
    <row r="8321" spans="1:1" x14ac:dyDescent="0.2">
      <c r="A8321" s="101"/>
    </row>
    <row r="8322" spans="1:1" x14ac:dyDescent="0.2">
      <c r="A8322" s="101"/>
    </row>
    <row r="8323" spans="1:1" x14ac:dyDescent="0.2">
      <c r="A8323" s="101"/>
    </row>
    <row r="8324" spans="1:1" x14ac:dyDescent="0.2">
      <c r="A8324" s="101"/>
    </row>
    <row r="8325" spans="1:1" x14ac:dyDescent="0.2">
      <c r="A8325" s="101"/>
    </row>
    <row r="8326" spans="1:1" x14ac:dyDescent="0.2">
      <c r="A8326" s="101"/>
    </row>
    <row r="8327" spans="1:1" x14ac:dyDescent="0.2">
      <c r="A8327" s="101"/>
    </row>
    <row r="8328" spans="1:1" x14ac:dyDescent="0.2">
      <c r="A8328" s="101"/>
    </row>
    <row r="8329" spans="1:1" x14ac:dyDescent="0.2">
      <c r="A8329" s="101"/>
    </row>
    <row r="8330" spans="1:1" x14ac:dyDescent="0.2">
      <c r="A8330" s="101"/>
    </row>
    <row r="8331" spans="1:1" x14ac:dyDescent="0.2">
      <c r="A8331" s="101"/>
    </row>
    <row r="8332" spans="1:1" x14ac:dyDescent="0.2">
      <c r="A8332" s="101"/>
    </row>
    <row r="8333" spans="1:1" x14ac:dyDescent="0.2">
      <c r="A8333" s="101"/>
    </row>
    <row r="8334" spans="1:1" x14ac:dyDescent="0.2">
      <c r="A8334" s="101"/>
    </row>
    <row r="8335" spans="1:1" x14ac:dyDescent="0.2">
      <c r="A8335" s="101"/>
    </row>
    <row r="8336" spans="1:1" x14ac:dyDescent="0.2">
      <c r="A8336" s="101"/>
    </row>
    <row r="8337" spans="1:1" x14ac:dyDescent="0.2">
      <c r="A8337" s="101"/>
    </row>
    <row r="8338" spans="1:1" x14ac:dyDescent="0.2">
      <c r="A8338" s="101"/>
    </row>
    <row r="8339" spans="1:1" x14ac:dyDescent="0.2">
      <c r="A8339" s="101"/>
    </row>
    <row r="8340" spans="1:1" x14ac:dyDescent="0.2">
      <c r="A8340" s="101"/>
    </row>
    <row r="8341" spans="1:1" x14ac:dyDescent="0.2">
      <c r="A8341" s="101"/>
    </row>
    <row r="8342" spans="1:1" x14ac:dyDescent="0.2">
      <c r="A8342" s="101"/>
    </row>
    <row r="8343" spans="1:1" x14ac:dyDescent="0.2">
      <c r="A8343" s="101"/>
    </row>
    <row r="8344" spans="1:1" x14ac:dyDescent="0.2">
      <c r="A8344" s="101"/>
    </row>
    <row r="8345" spans="1:1" x14ac:dyDescent="0.2">
      <c r="A8345" s="101"/>
    </row>
    <row r="8346" spans="1:1" x14ac:dyDescent="0.2">
      <c r="A8346" s="101"/>
    </row>
    <row r="8347" spans="1:1" x14ac:dyDescent="0.2">
      <c r="A8347" s="101"/>
    </row>
    <row r="8348" spans="1:1" x14ac:dyDescent="0.2">
      <c r="A8348" s="101"/>
    </row>
    <row r="8349" spans="1:1" x14ac:dyDescent="0.2">
      <c r="A8349" s="101"/>
    </row>
    <row r="8350" spans="1:1" x14ac:dyDescent="0.2">
      <c r="A8350" s="101"/>
    </row>
    <row r="8351" spans="1:1" x14ac:dyDescent="0.2">
      <c r="A8351" s="101"/>
    </row>
    <row r="8352" spans="1:1" x14ac:dyDescent="0.2">
      <c r="A8352" s="101"/>
    </row>
    <row r="8353" spans="1:1" x14ac:dyDescent="0.2">
      <c r="A8353" s="101"/>
    </row>
    <row r="8354" spans="1:1" x14ac:dyDescent="0.2">
      <c r="A8354" s="101"/>
    </row>
    <row r="8355" spans="1:1" x14ac:dyDescent="0.2">
      <c r="A8355" s="101"/>
    </row>
    <row r="8356" spans="1:1" x14ac:dyDescent="0.2">
      <c r="A8356" s="101"/>
    </row>
    <row r="8357" spans="1:1" x14ac:dyDescent="0.2">
      <c r="A8357" s="101"/>
    </row>
    <row r="8358" spans="1:1" x14ac:dyDescent="0.2">
      <c r="A8358" s="101"/>
    </row>
    <row r="8359" spans="1:1" x14ac:dyDescent="0.2">
      <c r="A8359" s="101"/>
    </row>
    <row r="8360" spans="1:1" x14ac:dyDescent="0.2">
      <c r="A8360" s="101"/>
    </row>
    <row r="8361" spans="1:1" x14ac:dyDescent="0.2">
      <c r="A8361" s="101"/>
    </row>
    <row r="8362" spans="1:1" x14ac:dyDescent="0.2">
      <c r="A8362" s="101"/>
    </row>
    <row r="8363" spans="1:1" x14ac:dyDescent="0.2">
      <c r="A8363" s="101"/>
    </row>
    <row r="8364" spans="1:1" x14ac:dyDescent="0.2">
      <c r="A8364" s="101"/>
    </row>
    <row r="8365" spans="1:1" x14ac:dyDescent="0.2">
      <c r="A8365" s="101"/>
    </row>
    <row r="8366" spans="1:1" x14ac:dyDescent="0.2">
      <c r="A8366" s="101"/>
    </row>
    <row r="8367" spans="1:1" x14ac:dyDescent="0.2">
      <c r="A8367" s="101"/>
    </row>
    <row r="8368" spans="1:1" x14ac:dyDescent="0.2">
      <c r="A8368" s="101"/>
    </row>
    <row r="8369" spans="1:1" x14ac:dyDescent="0.2">
      <c r="A8369" s="101"/>
    </row>
    <row r="8370" spans="1:1" x14ac:dyDescent="0.2">
      <c r="A8370" s="101"/>
    </row>
    <row r="8371" spans="1:1" x14ac:dyDescent="0.2">
      <c r="A8371" s="101"/>
    </row>
    <row r="8372" spans="1:1" x14ac:dyDescent="0.2">
      <c r="A8372" s="101"/>
    </row>
    <row r="8373" spans="1:1" x14ac:dyDescent="0.2">
      <c r="A8373" s="101"/>
    </row>
    <row r="8374" spans="1:1" x14ac:dyDescent="0.2">
      <c r="A8374" s="101"/>
    </row>
    <row r="8375" spans="1:1" x14ac:dyDescent="0.2">
      <c r="A8375" s="101"/>
    </row>
    <row r="8376" spans="1:1" x14ac:dyDescent="0.2">
      <c r="A8376" s="101"/>
    </row>
    <row r="8377" spans="1:1" x14ac:dyDescent="0.2">
      <c r="A8377" s="101"/>
    </row>
    <row r="8378" spans="1:1" x14ac:dyDescent="0.2">
      <c r="A8378" s="101"/>
    </row>
    <row r="8379" spans="1:1" x14ac:dyDescent="0.2">
      <c r="A8379" s="101"/>
    </row>
    <row r="8380" spans="1:1" x14ac:dyDescent="0.2">
      <c r="A8380" s="101"/>
    </row>
    <row r="8381" spans="1:1" x14ac:dyDescent="0.2">
      <c r="A8381" s="101"/>
    </row>
    <row r="8382" spans="1:1" x14ac:dyDescent="0.2">
      <c r="A8382" s="101"/>
    </row>
    <row r="8383" spans="1:1" x14ac:dyDescent="0.2">
      <c r="A8383" s="101"/>
    </row>
    <row r="8384" spans="1:1" x14ac:dyDescent="0.2">
      <c r="A8384" s="101"/>
    </row>
    <row r="8385" spans="1:1" x14ac:dyDescent="0.2">
      <c r="A8385" s="101"/>
    </row>
    <row r="8386" spans="1:1" x14ac:dyDescent="0.2">
      <c r="A8386" s="101"/>
    </row>
    <row r="8387" spans="1:1" x14ac:dyDescent="0.2">
      <c r="A8387" s="101"/>
    </row>
    <row r="8388" spans="1:1" x14ac:dyDescent="0.2">
      <c r="A8388" s="101"/>
    </row>
    <row r="8389" spans="1:1" x14ac:dyDescent="0.2">
      <c r="A8389" s="101"/>
    </row>
    <row r="8390" spans="1:1" x14ac:dyDescent="0.2">
      <c r="A8390" s="101"/>
    </row>
    <row r="8391" spans="1:1" x14ac:dyDescent="0.2">
      <c r="A8391" s="101"/>
    </row>
    <row r="8392" spans="1:1" x14ac:dyDescent="0.2">
      <c r="A8392" s="101"/>
    </row>
    <row r="8393" spans="1:1" x14ac:dyDescent="0.2">
      <c r="A8393" s="101"/>
    </row>
    <row r="8394" spans="1:1" x14ac:dyDescent="0.2">
      <c r="A8394" s="101"/>
    </row>
    <row r="8395" spans="1:1" x14ac:dyDescent="0.2">
      <c r="A8395" s="101"/>
    </row>
    <row r="8396" spans="1:1" x14ac:dyDescent="0.2">
      <c r="A8396" s="101"/>
    </row>
    <row r="8397" spans="1:1" x14ac:dyDescent="0.2">
      <c r="A8397" s="101"/>
    </row>
    <row r="8398" spans="1:1" x14ac:dyDescent="0.2">
      <c r="A8398" s="101"/>
    </row>
    <row r="8399" spans="1:1" x14ac:dyDescent="0.2">
      <c r="A8399" s="101"/>
    </row>
    <row r="8400" spans="1:1" x14ac:dyDescent="0.2">
      <c r="A8400" s="101"/>
    </row>
    <row r="8401" spans="1:1" x14ac:dyDescent="0.2">
      <c r="A8401" s="101"/>
    </row>
    <row r="8402" spans="1:1" x14ac:dyDescent="0.2">
      <c r="A8402" s="101"/>
    </row>
    <row r="8403" spans="1:1" x14ac:dyDescent="0.2">
      <c r="A8403" s="101"/>
    </row>
    <row r="8404" spans="1:1" x14ac:dyDescent="0.2">
      <c r="A8404" s="101"/>
    </row>
    <row r="8405" spans="1:1" x14ac:dyDescent="0.2">
      <c r="A8405" s="101"/>
    </row>
    <row r="8406" spans="1:1" x14ac:dyDescent="0.2">
      <c r="A8406" s="101"/>
    </row>
    <row r="8407" spans="1:1" x14ac:dyDescent="0.2">
      <c r="A8407" s="101"/>
    </row>
    <row r="8408" spans="1:1" x14ac:dyDescent="0.2">
      <c r="A8408" s="101"/>
    </row>
    <row r="8409" spans="1:1" x14ac:dyDescent="0.2">
      <c r="A8409" s="101"/>
    </row>
    <row r="8410" spans="1:1" x14ac:dyDescent="0.2">
      <c r="A8410" s="101"/>
    </row>
    <row r="8411" spans="1:1" x14ac:dyDescent="0.2">
      <c r="A8411" s="101"/>
    </row>
    <row r="8412" spans="1:1" x14ac:dyDescent="0.2">
      <c r="A8412" s="101"/>
    </row>
    <row r="8413" spans="1:1" x14ac:dyDescent="0.2">
      <c r="A8413" s="101"/>
    </row>
    <row r="8414" spans="1:1" x14ac:dyDescent="0.2">
      <c r="A8414" s="101"/>
    </row>
    <row r="8415" spans="1:1" x14ac:dyDescent="0.2">
      <c r="A8415" s="101"/>
    </row>
    <row r="8416" spans="1:1" x14ac:dyDescent="0.2">
      <c r="A8416" s="101"/>
    </row>
    <row r="8417" spans="1:1" x14ac:dyDescent="0.2">
      <c r="A8417" s="101"/>
    </row>
    <row r="8418" spans="1:1" x14ac:dyDescent="0.2">
      <c r="A8418" s="101"/>
    </row>
    <row r="8419" spans="1:1" x14ac:dyDescent="0.2">
      <c r="A8419" s="101"/>
    </row>
    <row r="8420" spans="1:1" x14ac:dyDescent="0.2">
      <c r="A8420" s="101"/>
    </row>
    <row r="8421" spans="1:1" x14ac:dyDescent="0.2">
      <c r="A8421" s="101"/>
    </row>
    <row r="8422" spans="1:1" x14ac:dyDescent="0.2">
      <c r="A8422" s="101"/>
    </row>
    <row r="8423" spans="1:1" x14ac:dyDescent="0.2">
      <c r="A8423" s="101"/>
    </row>
    <row r="8424" spans="1:1" x14ac:dyDescent="0.2">
      <c r="A8424" s="101"/>
    </row>
    <row r="8425" spans="1:1" x14ac:dyDescent="0.2">
      <c r="A8425" s="101"/>
    </row>
    <row r="8426" spans="1:1" x14ac:dyDescent="0.2">
      <c r="A8426" s="101"/>
    </row>
    <row r="8427" spans="1:1" x14ac:dyDescent="0.2">
      <c r="A8427" s="101"/>
    </row>
    <row r="8428" spans="1:1" x14ac:dyDescent="0.2">
      <c r="A8428" s="101"/>
    </row>
    <row r="8429" spans="1:1" x14ac:dyDescent="0.2">
      <c r="A8429" s="101"/>
    </row>
    <row r="8430" spans="1:1" x14ac:dyDescent="0.2">
      <c r="A8430" s="101"/>
    </row>
    <row r="8431" spans="1:1" x14ac:dyDescent="0.2">
      <c r="A8431" s="101"/>
    </row>
    <row r="8432" spans="1:1" x14ac:dyDescent="0.2">
      <c r="A8432" s="101"/>
    </row>
    <row r="8433" spans="1:1" x14ac:dyDescent="0.2">
      <c r="A8433" s="101"/>
    </row>
    <row r="8434" spans="1:1" x14ac:dyDescent="0.2">
      <c r="A8434" s="101"/>
    </row>
    <row r="8435" spans="1:1" x14ac:dyDescent="0.2">
      <c r="A8435" s="101"/>
    </row>
    <row r="8436" spans="1:1" x14ac:dyDescent="0.2">
      <c r="A8436" s="101"/>
    </row>
    <row r="8437" spans="1:1" x14ac:dyDescent="0.2">
      <c r="A8437" s="101"/>
    </row>
    <row r="8438" spans="1:1" x14ac:dyDescent="0.2">
      <c r="A8438" s="101"/>
    </row>
    <row r="8439" spans="1:1" x14ac:dyDescent="0.2">
      <c r="A8439" s="101"/>
    </row>
    <row r="8440" spans="1:1" x14ac:dyDescent="0.2">
      <c r="A8440" s="101"/>
    </row>
    <row r="8441" spans="1:1" x14ac:dyDescent="0.2">
      <c r="A8441" s="101"/>
    </row>
    <row r="8442" spans="1:1" x14ac:dyDescent="0.2">
      <c r="A8442" s="101"/>
    </row>
    <row r="8443" spans="1:1" x14ac:dyDescent="0.2">
      <c r="A8443" s="101"/>
    </row>
    <row r="8444" spans="1:1" x14ac:dyDescent="0.2">
      <c r="A8444" s="101"/>
    </row>
    <row r="8445" spans="1:1" x14ac:dyDescent="0.2">
      <c r="A8445" s="101"/>
    </row>
    <row r="8446" spans="1:1" x14ac:dyDescent="0.2">
      <c r="A8446" s="101"/>
    </row>
    <row r="8447" spans="1:1" x14ac:dyDescent="0.2">
      <c r="A8447" s="101"/>
    </row>
    <row r="8448" spans="1:1" x14ac:dyDescent="0.2">
      <c r="A8448" s="101"/>
    </row>
    <row r="8449" spans="1:1" x14ac:dyDescent="0.2">
      <c r="A8449" s="101"/>
    </row>
    <row r="8450" spans="1:1" x14ac:dyDescent="0.2">
      <c r="A8450" s="101"/>
    </row>
    <row r="8451" spans="1:1" x14ac:dyDescent="0.2">
      <c r="A8451" s="101"/>
    </row>
    <row r="8452" spans="1:1" x14ac:dyDescent="0.2">
      <c r="A8452" s="101"/>
    </row>
    <row r="8453" spans="1:1" x14ac:dyDescent="0.2">
      <c r="A8453" s="101"/>
    </row>
    <row r="8454" spans="1:1" x14ac:dyDescent="0.2">
      <c r="A8454" s="101"/>
    </row>
    <row r="8455" spans="1:1" x14ac:dyDescent="0.2">
      <c r="A8455" s="101"/>
    </row>
    <row r="8456" spans="1:1" x14ac:dyDescent="0.2">
      <c r="A8456" s="101"/>
    </row>
    <row r="8457" spans="1:1" x14ac:dyDescent="0.2">
      <c r="A8457" s="101"/>
    </row>
    <row r="8458" spans="1:1" x14ac:dyDescent="0.2">
      <c r="A8458" s="101"/>
    </row>
    <row r="8459" spans="1:1" x14ac:dyDescent="0.2">
      <c r="A8459" s="101"/>
    </row>
    <row r="8460" spans="1:1" x14ac:dyDescent="0.2">
      <c r="A8460" s="101"/>
    </row>
    <row r="8461" spans="1:1" x14ac:dyDescent="0.2">
      <c r="A8461" s="101"/>
    </row>
    <row r="8462" spans="1:1" x14ac:dyDescent="0.2">
      <c r="A8462" s="101"/>
    </row>
    <row r="8463" spans="1:1" x14ac:dyDescent="0.2">
      <c r="A8463" s="101"/>
    </row>
    <row r="8464" spans="1:1" x14ac:dyDescent="0.2">
      <c r="A8464" s="101"/>
    </row>
    <row r="8465" spans="1:1" x14ac:dyDescent="0.2">
      <c r="A8465" s="101"/>
    </row>
    <row r="8466" spans="1:1" x14ac:dyDescent="0.2">
      <c r="A8466" s="101"/>
    </row>
    <row r="8467" spans="1:1" x14ac:dyDescent="0.2">
      <c r="A8467" s="101"/>
    </row>
    <row r="8468" spans="1:1" x14ac:dyDescent="0.2">
      <c r="A8468" s="101"/>
    </row>
    <row r="8469" spans="1:1" x14ac:dyDescent="0.2">
      <c r="A8469" s="101"/>
    </row>
    <row r="8470" spans="1:1" x14ac:dyDescent="0.2">
      <c r="A8470" s="101"/>
    </row>
    <row r="8471" spans="1:1" x14ac:dyDescent="0.2">
      <c r="A8471" s="101"/>
    </row>
    <row r="8472" spans="1:1" x14ac:dyDescent="0.2">
      <c r="A8472" s="101"/>
    </row>
    <row r="8473" spans="1:1" x14ac:dyDescent="0.2">
      <c r="A8473" s="101"/>
    </row>
    <row r="8474" spans="1:1" x14ac:dyDescent="0.2">
      <c r="A8474" s="101"/>
    </row>
    <row r="8475" spans="1:1" x14ac:dyDescent="0.2">
      <c r="A8475" s="101"/>
    </row>
    <row r="8476" spans="1:1" x14ac:dyDescent="0.2">
      <c r="A8476" s="101"/>
    </row>
    <row r="8477" spans="1:1" x14ac:dyDescent="0.2">
      <c r="A8477" s="101"/>
    </row>
    <row r="8478" spans="1:1" x14ac:dyDescent="0.2">
      <c r="A8478" s="101"/>
    </row>
    <row r="8479" spans="1:1" x14ac:dyDescent="0.2">
      <c r="A8479" s="101"/>
    </row>
    <row r="8480" spans="1:1" x14ac:dyDescent="0.2">
      <c r="A8480" s="101"/>
    </row>
    <row r="8481" spans="1:1" x14ac:dyDescent="0.2">
      <c r="A8481" s="101"/>
    </row>
    <row r="8482" spans="1:1" x14ac:dyDescent="0.2">
      <c r="A8482" s="101"/>
    </row>
    <row r="8483" spans="1:1" x14ac:dyDescent="0.2">
      <c r="A8483" s="101"/>
    </row>
    <row r="8484" spans="1:1" x14ac:dyDescent="0.2">
      <c r="A8484" s="101"/>
    </row>
    <row r="8485" spans="1:1" x14ac:dyDescent="0.2">
      <c r="A8485" s="101"/>
    </row>
    <row r="8486" spans="1:1" x14ac:dyDescent="0.2">
      <c r="A8486" s="101"/>
    </row>
    <row r="8487" spans="1:1" x14ac:dyDescent="0.2">
      <c r="A8487" s="101"/>
    </row>
    <row r="8488" spans="1:1" x14ac:dyDescent="0.2">
      <c r="A8488" s="101"/>
    </row>
    <row r="8489" spans="1:1" x14ac:dyDescent="0.2">
      <c r="A8489" s="101"/>
    </row>
    <row r="8490" spans="1:1" x14ac:dyDescent="0.2">
      <c r="A8490" s="101"/>
    </row>
    <row r="8491" spans="1:1" x14ac:dyDescent="0.2">
      <c r="A8491" s="101"/>
    </row>
    <row r="8492" spans="1:1" x14ac:dyDescent="0.2">
      <c r="A8492" s="101"/>
    </row>
    <row r="8493" spans="1:1" x14ac:dyDescent="0.2">
      <c r="A8493" s="101"/>
    </row>
    <row r="8494" spans="1:1" x14ac:dyDescent="0.2">
      <c r="A8494" s="101"/>
    </row>
    <row r="8495" spans="1:1" x14ac:dyDescent="0.2">
      <c r="A8495" s="101"/>
    </row>
    <row r="8496" spans="1:1" x14ac:dyDescent="0.2">
      <c r="A8496" s="101"/>
    </row>
    <row r="8497" spans="1:1" x14ac:dyDescent="0.2">
      <c r="A8497" s="101"/>
    </row>
    <row r="8498" spans="1:1" x14ac:dyDescent="0.2">
      <c r="A8498" s="101"/>
    </row>
    <row r="8499" spans="1:1" x14ac:dyDescent="0.2">
      <c r="A8499" s="101"/>
    </row>
    <row r="8500" spans="1:1" x14ac:dyDescent="0.2">
      <c r="A8500" s="101"/>
    </row>
    <row r="8501" spans="1:1" x14ac:dyDescent="0.2">
      <c r="A8501" s="101"/>
    </row>
    <row r="8502" spans="1:1" x14ac:dyDescent="0.2">
      <c r="A8502" s="101"/>
    </row>
    <row r="8503" spans="1:1" x14ac:dyDescent="0.2">
      <c r="A8503" s="101"/>
    </row>
    <row r="8504" spans="1:1" x14ac:dyDescent="0.2">
      <c r="A8504" s="101"/>
    </row>
    <row r="8505" spans="1:1" x14ac:dyDescent="0.2">
      <c r="A8505" s="101"/>
    </row>
    <row r="8506" spans="1:1" x14ac:dyDescent="0.2">
      <c r="A8506" s="101"/>
    </row>
    <row r="8507" spans="1:1" x14ac:dyDescent="0.2">
      <c r="A8507" s="101"/>
    </row>
    <row r="8508" spans="1:1" x14ac:dyDescent="0.2">
      <c r="A8508" s="101"/>
    </row>
    <row r="8509" spans="1:1" x14ac:dyDescent="0.2">
      <c r="A8509" s="101"/>
    </row>
    <row r="8510" spans="1:1" x14ac:dyDescent="0.2">
      <c r="A8510" s="101"/>
    </row>
    <row r="8511" spans="1:1" x14ac:dyDescent="0.2">
      <c r="A8511" s="101"/>
    </row>
    <row r="8512" spans="1:1" x14ac:dyDescent="0.2">
      <c r="A8512" s="101"/>
    </row>
    <row r="8513" spans="1:1" x14ac:dyDescent="0.2">
      <c r="A8513" s="101"/>
    </row>
    <row r="8514" spans="1:1" x14ac:dyDescent="0.2">
      <c r="A8514" s="101"/>
    </row>
    <row r="8515" spans="1:1" x14ac:dyDescent="0.2">
      <c r="A8515" s="101"/>
    </row>
    <row r="8516" spans="1:1" x14ac:dyDescent="0.2">
      <c r="A8516" s="101"/>
    </row>
    <row r="8517" spans="1:1" x14ac:dyDescent="0.2">
      <c r="A8517" s="101"/>
    </row>
    <row r="8518" spans="1:1" x14ac:dyDescent="0.2">
      <c r="A8518" s="101"/>
    </row>
    <row r="8519" spans="1:1" x14ac:dyDescent="0.2">
      <c r="A8519" s="101"/>
    </row>
    <row r="8520" spans="1:1" x14ac:dyDescent="0.2">
      <c r="A8520" s="101"/>
    </row>
    <row r="8521" spans="1:1" x14ac:dyDescent="0.2">
      <c r="A8521" s="101"/>
    </row>
    <row r="8522" spans="1:1" x14ac:dyDescent="0.2">
      <c r="A8522" s="101"/>
    </row>
    <row r="8523" spans="1:1" x14ac:dyDescent="0.2">
      <c r="A8523" s="101"/>
    </row>
    <row r="8524" spans="1:1" x14ac:dyDescent="0.2">
      <c r="A8524" s="101"/>
    </row>
    <row r="8525" spans="1:1" x14ac:dyDescent="0.2">
      <c r="A8525" s="101"/>
    </row>
    <row r="8526" spans="1:1" x14ac:dyDescent="0.2">
      <c r="A8526" s="101"/>
    </row>
    <row r="8527" spans="1:1" x14ac:dyDescent="0.2">
      <c r="A8527" s="101"/>
    </row>
    <row r="8528" spans="1:1" x14ac:dyDescent="0.2">
      <c r="A8528" s="101"/>
    </row>
    <row r="8529" spans="1:1" x14ac:dyDescent="0.2">
      <c r="A8529" s="101"/>
    </row>
    <row r="8530" spans="1:1" x14ac:dyDescent="0.2">
      <c r="A8530" s="101"/>
    </row>
    <row r="8531" spans="1:1" x14ac:dyDescent="0.2">
      <c r="A8531" s="101"/>
    </row>
    <row r="8532" spans="1:1" x14ac:dyDescent="0.2">
      <c r="A8532" s="101"/>
    </row>
    <row r="8533" spans="1:1" x14ac:dyDescent="0.2">
      <c r="A8533" s="101"/>
    </row>
    <row r="8534" spans="1:1" x14ac:dyDescent="0.2">
      <c r="A8534" s="101"/>
    </row>
    <row r="8535" spans="1:1" x14ac:dyDescent="0.2">
      <c r="A8535" s="101"/>
    </row>
    <row r="8536" spans="1:1" x14ac:dyDescent="0.2">
      <c r="A8536" s="101"/>
    </row>
    <row r="8537" spans="1:1" x14ac:dyDescent="0.2">
      <c r="A8537" s="101"/>
    </row>
    <row r="8538" spans="1:1" x14ac:dyDescent="0.2">
      <c r="A8538" s="101"/>
    </row>
    <row r="8539" spans="1:1" x14ac:dyDescent="0.2">
      <c r="A8539" s="101"/>
    </row>
    <row r="8540" spans="1:1" x14ac:dyDescent="0.2">
      <c r="A8540" s="101"/>
    </row>
    <row r="8541" spans="1:1" x14ac:dyDescent="0.2">
      <c r="A8541" s="101"/>
    </row>
    <row r="8542" spans="1:1" x14ac:dyDescent="0.2">
      <c r="A8542" s="101"/>
    </row>
    <row r="8543" spans="1:1" x14ac:dyDescent="0.2">
      <c r="A8543" s="101"/>
    </row>
    <row r="8544" spans="1:1" x14ac:dyDescent="0.2">
      <c r="A8544" s="101"/>
    </row>
    <row r="8545" spans="1:1" x14ac:dyDescent="0.2">
      <c r="A8545" s="101"/>
    </row>
    <row r="8546" spans="1:1" x14ac:dyDescent="0.2">
      <c r="A8546" s="101"/>
    </row>
    <row r="8547" spans="1:1" x14ac:dyDescent="0.2">
      <c r="A8547" s="101"/>
    </row>
    <row r="8548" spans="1:1" x14ac:dyDescent="0.2">
      <c r="A8548" s="101"/>
    </row>
    <row r="8549" spans="1:1" x14ac:dyDescent="0.2">
      <c r="A8549" s="101"/>
    </row>
    <row r="8550" spans="1:1" x14ac:dyDescent="0.2">
      <c r="A8550" s="101"/>
    </row>
    <row r="8551" spans="1:1" x14ac:dyDescent="0.2">
      <c r="A8551" s="101"/>
    </row>
    <row r="8552" spans="1:1" x14ac:dyDescent="0.2">
      <c r="A8552" s="101"/>
    </row>
    <row r="8553" spans="1:1" x14ac:dyDescent="0.2">
      <c r="A8553" s="101"/>
    </row>
    <row r="8554" spans="1:1" x14ac:dyDescent="0.2">
      <c r="A8554" s="101"/>
    </row>
    <row r="8555" spans="1:1" x14ac:dyDescent="0.2">
      <c r="A8555" s="101"/>
    </row>
    <row r="8556" spans="1:1" x14ac:dyDescent="0.2">
      <c r="A8556" s="101"/>
    </row>
    <row r="8557" spans="1:1" x14ac:dyDescent="0.2">
      <c r="A8557" s="101"/>
    </row>
    <row r="8558" spans="1:1" x14ac:dyDescent="0.2">
      <c r="A8558" s="101"/>
    </row>
    <row r="8559" spans="1:1" x14ac:dyDescent="0.2">
      <c r="A8559" s="101"/>
    </row>
    <row r="8560" spans="1:1" x14ac:dyDescent="0.2">
      <c r="A8560" s="101"/>
    </row>
    <row r="8561" spans="1:1" x14ac:dyDescent="0.2">
      <c r="A8561" s="101"/>
    </row>
    <row r="8562" spans="1:1" x14ac:dyDescent="0.2">
      <c r="A8562" s="101"/>
    </row>
    <row r="8563" spans="1:1" x14ac:dyDescent="0.2">
      <c r="A8563" s="101"/>
    </row>
    <row r="8564" spans="1:1" x14ac:dyDescent="0.2">
      <c r="A8564" s="101"/>
    </row>
    <row r="8565" spans="1:1" x14ac:dyDescent="0.2">
      <c r="A8565" s="101"/>
    </row>
    <row r="8566" spans="1:1" x14ac:dyDescent="0.2">
      <c r="A8566" s="101"/>
    </row>
    <row r="8567" spans="1:1" x14ac:dyDescent="0.2">
      <c r="A8567" s="101"/>
    </row>
    <row r="8568" spans="1:1" x14ac:dyDescent="0.2">
      <c r="A8568" s="101"/>
    </row>
    <row r="8569" spans="1:1" x14ac:dyDescent="0.2">
      <c r="A8569" s="101"/>
    </row>
    <row r="8570" spans="1:1" x14ac:dyDescent="0.2">
      <c r="A8570" s="101"/>
    </row>
    <row r="8571" spans="1:1" x14ac:dyDescent="0.2">
      <c r="A8571" s="101"/>
    </row>
    <row r="8572" spans="1:1" x14ac:dyDescent="0.2">
      <c r="A8572" s="101"/>
    </row>
    <row r="8573" spans="1:1" x14ac:dyDescent="0.2">
      <c r="A8573" s="101"/>
    </row>
    <row r="8574" spans="1:1" x14ac:dyDescent="0.2">
      <c r="A8574" s="101"/>
    </row>
    <row r="8575" spans="1:1" x14ac:dyDescent="0.2">
      <c r="A8575" s="101"/>
    </row>
    <row r="8576" spans="1:1" x14ac:dyDescent="0.2">
      <c r="A8576" s="101"/>
    </row>
    <row r="8577" spans="1:1" x14ac:dyDescent="0.2">
      <c r="A8577" s="101"/>
    </row>
    <row r="8578" spans="1:1" x14ac:dyDescent="0.2">
      <c r="A8578" s="101"/>
    </row>
    <row r="8579" spans="1:1" x14ac:dyDescent="0.2">
      <c r="A8579" s="101"/>
    </row>
    <row r="8580" spans="1:1" x14ac:dyDescent="0.2">
      <c r="A8580" s="101"/>
    </row>
    <row r="8581" spans="1:1" x14ac:dyDescent="0.2">
      <c r="A8581" s="101"/>
    </row>
    <row r="8582" spans="1:1" x14ac:dyDescent="0.2">
      <c r="A8582" s="101"/>
    </row>
    <row r="8583" spans="1:1" x14ac:dyDescent="0.2">
      <c r="A8583" s="101"/>
    </row>
    <row r="8584" spans="1:1" x14ac:dyDescent="0.2">
      <c r="A8584" s="101"/>
    </row>
    <row r="8585" spans="1:1" x14ac:dyDescent="0.2">
      <c r="A8585" s="101"/>
    </row>
    <row r="8586" spans="1:1" x14ac:dyDescent="0.2">
      <c r="A8586" s="101"/>
    </row>
    <row r="8587" spans="1:1" x14ac:dyDescent="0.2">
      <c r="A8587" s="101"/>
    </row>
    <row r="8588" spans="1:1" x14ac:dyDescent="0.2">
      <c r="A8588" s="101"/>
    </row>
    <row r="8589" spans="1:1" x14ac:dyDescent="0.2">
      <c r="A8589" s="101"/>
    </row>
    <row r="8590" spans="1:1" x14ac:dyDescent="0.2">
      <c r="A8590" s="101"/>
    </row>
    <row r="8591" spans="1:1" x14ac:dyDescent="0.2">
      <c r="A8591" s="101"/>
    </row>
    <row r="8592" spans="1:1" x14ac:dyDescent="0.2">
      <c r="A8592" s="101"/>
    </row>
    <row r="8593" spans="1:1" x14ac:dyDescent="0.2">
      <c r="A8593" s="101"/>
    </row>
    <row r="8594" spans="1:1" x14ac:dyDescent="0.2">
      <c r="A8594" s="101"/>
    </row>
    <row r="8595" spans="1:1" x14ac:dyDescent="0.2">
      <c r="A8595" s="101"/>
    </row>
    <row r="8596" spans="1:1" x14ac:dyDescent="0.2">
      <c r="A8596" s="101"/>
    </row>
    <row r="8597" spans="1:1" x14ac:dyDescent="0.2">
      <c r="A8597" s="101"/>
    </row>
    <row r="8598" spans="1:1" x14ac:dyDescent="0.2">
      <c r="A8598" s="101"/>
    </row>
    <row r="8599" spans="1:1" x14ac:dyDescent="0.2">
      <c r="A8599" s="101"/>
    </row>
    <row r="8600" spans="1:1" x14ac:dyDescent="0.2">
      <c r="A8600" s="101"/>
    </row>
    <row r="8601" spans="1:1" x14ac:dyDescent="0.2">
      <c r="A8601" s="101"/>
    </row>
    <row r="8602" spans="1:1" x14ac:dyDescent="0.2">
      <c r="A8602" s="101"/>
    </row>
    <row r="8603" spans="1:1" x14ac:dyDescent="0.2">
      <c r="A8603" s="101"/>
    </row>
    <row r="8604" spans="1:1" x14ac:dyDescent="0.2">
      <c r="A8604" s="101"/>
    </row>
    <row r="8605" spans="1:1" x14ac:dyDescent="0.2">
      <c r="A8605" s="101"/>
    </row>
    <row r="8606" spans="1:1" x14ac:dyDescent="0.2">
      <c r="A8606" s="101"/>
    </row>
    <row r="8607" spans="1:1" x14ac:dyDescent="0.2">
      <c r="A8607" s="101"/>
    </row>
    <row r="8608" spans="1:1" x14ac:dyDescent="0.2">
      <c r="A8608" s="101"/>
    </row>
    <row r="8609" spans="1:1" x14ac:dyDescent="0.2">
      <c r="A8609" s="101"/>
    </row>
    <row r="8610" spans="1:1" x14ac:dyDescent="0.2">
      <c r="A8610" s="101"/>
    </row>
    <row r="8611" spans="1:1" x14ac:dyDescent="0.2">
      <c r="A8611" s="101"/>
    </row>
    <row r="8612" spans="1:1" x14ac:dyDescent="0.2">
      <c r="A8612" s="101"/>
    </row>
    <row r="8613" spans="1:1" x14ac:dyDescent="0.2">
      <c r="A8613" s="101"/>
    </row>
    <row r="8614" spans="1:1" x14ac:dyDescent="0.2">
      <c r="A8614" s="101"/>
    </row>
    <row r="8615" spans="1:1" x14ac:dyDescent="0.2">
      <c r="A8615" s="101"/>
    </row>
    <row r="8616" spans="1:1" x14ac:dyDescent="0.2">
      <c r="A8616" s="101"/>
    </row>
    <row r="8617" spans="1:1" x14ac:dyDescent="0.2">
      <c r="A8617" s="101"/>
    </row>
    <row r="8618" spans="1:1" x14ac:dyDescent="0.2">
      <c r="A8618" s="101"/>
    </row>
    <row r="8619" spans="1:1" x14ac:dyDescent="0.2">
      <c r="A8619" s="101"/>
    </row>
    <row r="8620" spans="1:1" x14ac:dyDescent="0.2">
      <c r="A8620" s="101"/>
    </row>
    <row r="8621" spans="1:1" x14ac:dyDescent="0.2">
      <c r="A8621" s="101"/>
    </row>
    <row r="8622" spans="1:1" x14ac:dyDescent="0.2">
      <c r="A8622" s="101"/>
    </row>
    <row r="8623" spans="1:1" x14ac:dyDescent="0.2">
      <c r="A8623" s="101"/>
    </row>
    <row r="8624" spans="1:1" x14ac:dyDescent="0.2">
      <c r="A8624" s="101"/>
    </row>
    <row r="8625" spans="1:1" x14ac:dyDescent="0.2">
      <c r="A8625" s="101"/>
    </row>
    <row r="8626" spans="1:1" x14ac:dyDescent="0.2">
      <c r="A8626" s="101"/>
    </row>
    <row r="8627" spans="1:1" x14ac:dyDescent="0.2">
      <c r="A8627" s="101"/>
    </row>
    <row r="8628" spans="1:1" x14ac:dyDescent="0.2">
      <c r="A8628" s="101"/>
    </row>
    <row r="8629" spans="1:1" x14ac:dyDescent="0.2">
      <c r="A8629" s="101"/>
    </row>
    <row r="8630" spans="1:1" x14ac:dyDescent="0.2">
      <c r="A8630" s="101"/>
    </row>
    <row r="8631" spans="1:1" x14ac:dyDescent="0.2">
      <c r="A8631" s="101"/>
    </row>
    <row r="8632" spans="1:1" x14ac:dyDescent="0.2">
      <c r="A8632" s="101"/>
    </row>
    <row r="8633" spans="1:1" x14ac:dyDescent="0.2">
      <c r="A8633" s="101"/>
    </row>
    <row r="8634" spans="1:1" x14ac:dyDescent="0.2">
      <c r="A8634" s="101"/>
    </row>
    <row r="8635" spans="1:1" x14ac:dyDescent="0.2">
      <c r="A8635" s="101"/>
    </row>
    <row r="8636" spans="1:1" x14ac:dyDescent="0.2">
      <c r="A8636" s="101"/>
    </row>
    <row r="8637" spans="1:1" x14ac:dyDescent="0.2">
      <c r="A8637" s="101"/>
    </row>
    <row r="8638" spans="1:1" x14ac:dyDescent="0.2">
      <c r="A8638" s="101"/>
    </row>
    <row r="8639" spans="1:1" x14ac:dyDescent="0.2">
      <c r="A8639" s="101"/>
    </row>
    <row r="8640" spans="1:1" x14ac:dyDescent="0.2">
      <c r="A8640" s="101"/>
    </row>
    <row r="8641" spans="1:1" x14ac:dyDescent="0.2">
      <c r="A8641" s="101"/>
    </row>
    <row r="8642" spans="1:1" x14ac:dyDescent="0.2">
      <c r="A8642" s="101"/>
    </row>
    <row r="8643" spans="1:1" x14ac:dyDescent="0.2">
      <c r="A8643" s="101"/>
    </row>
    <row r="8644" spans="1:1" x14ac:dyDescent="0.2">
      <c r="A8644" s="101"/>
    </row>
    <row r="8645" spans="1:1" x14ac:dyDescent="0.2">
      <c r="A8645" s="101"/>
    </row>
    <row r="8646" spans="1:1" x14ac:dyDescent="0.2">
      <c r="A8646" s="101"/>
    </row>
    <row r="8647" spans="1:1" x14ac:dyDescent="0.2">
      <c r="A8647" s="101"/>
    </row>
    <row r="8648" spans="1:1" x14ac:dyDescent="0.2">
      <c r="A8648" s="101"/>
    </row>
    <row r="8649" spans="1:1" x14ac:dyDescent="0.2">
      <c r="A8649" s="101"/>
    </row>
    <row r="8650" spans="1:1" x14ac:dyDescent="0.2">
      <c r="A8650" s="101"/>
    </row>
    <row r="8651" spans="1:1" x14ac:dyDescent="0.2">
      <c r="A8651" s="101"/>
    </row>
    <row r="8652" spans="1:1" x14ac:dyDescent="0.2">
      <c r="A8652" s="101"/>
    </row>
    <row r="8653" spans="1:1" x14ac:dyDescent="0.2">
      <c r="A8653" s="101"/>
    </row>
    <row r="8654" spans="1:1" x14ac:dyDescent="0.2">
      <c r="A8654" s="101"/>
    </row>
    <row r="8655" spans="1:1" x14ac:dyDescent="0.2">
      <c r="A8655" s="101"/>
    </row>
    <row r="8656" spans="1:1" x14ac:dyDescent="0.2">
      <c r="A8656" s="101"/>
    </row>
    <row r="8657" spans="1:1" x14ac:dyDescent="0.2">
      <c r="A8657" s="101"/>
    </row>
    <row r="8658" spans="1:1" x14ac:dyDescent="0.2">
      <c r="A8658" s="101"/>
    </row>
    <row r="8659" spans="1:1" x14ac:dyDescent="0.2">
      <c r="A8659" s="101"/>
    </row>
    <row r="8660" spans="1:1" x14ac:dyDescent="0.2">
      <c r="A8660" s="101"/>
    </row>
    <row r="8661" spans="1:1" x14ac:dyDescent="0.2">
      <c r="A8661" s="101"/>
    </row>
    <row r="8662" spans="1:1" x14ac:dyDescent="0.2">
      <c r="A8662" s="101"/>
    </row>
    <row r="8663" spans="1:1" x14ac:dyDescent="0.2">
      <c r="A8663" s="101"/>
    </row>
    <row r="8664" spans="1:1" x14ac:dyDescent="0.2">
      <c r="A8664" s="101"/>
    </row>
    <row r="8665" spans="1:1" x14ac:dyDescent="0.2">
      <c r="A8665" s="101"/>
    </row>
    <row r="8666" spans="1:1" x14ac:dyDescent="0.2">
      <c r="A8666" s="101"/>
    </row>
    <row r="8667" spans="1:1" x14ac:dyDescent="0.2">
      <c r="A8667" s="101"/>
    </row>
    <row r="8668" spans="1:1" x14ac:dyDescent="0.2">
      <c r="A8668" s="101"/>
    </row>
    <row r="8669" spans="1:1" x14ac:dyDescent="0.2">
      <c r="A8669" s="101"/>
    </row>
    <row r="8670" spans="1:1" x14ac:dyDescent="0.2">
      <c r="A8670" s="101"/>
    </row>
    <row r="8671" spans="1:1" x14ac:dyDescent="0.2">
      <c r="A8671" s="101"/>
    </row>
    <row r="8672" spans="1:1" x14ac:dyDescent="0.2">
      <c r="A8672" s="101"/>
    </row>
    <row r="8673" spans="1:1" x14ac:dyDescent="0.2">
      <c r="A8673" s="101"/>
    </row>
    <row r="8674" spans="1:1" x14ac:dyDescent="0.2">
      <c r="A8674" s="101"/>
    </row>
    <row r="8675" spans="1:1" x14ac:dyDescent="0.2">
      <c r="A8675" s="101"/>
    </row>
    <row r="8676" spans="1:1" x14ac:dyDescent="0.2">
      <c r="A8676" s="101"/>
    </row>
    <row r="8677" spans="1:1" x14ac:dyDescent="0.2">
      <c r="A8677" s="101"/>
    </row>
    <row r="8678" spans="1:1" x14ac:dyDescent="0.2">
      <c r="A8678" s="101"/>
    </row>
    <row r="8679" spans="1:1" x14ac:dyDescent="0.2">
      <c r="A8679" s="101"/>
    </row>
    <row r="8680" spans="1:1" x14ac:dyDescent="0.2">
      <c r="A8680" s="101"/>
    </row>
    <row r="8681" spans="1:1" x14ac:dyDescent="0.2">
      <c r="A8681" s="101"/>
    </row>
    <row r="8682" spans="1:1" x14ac:dyDescent="0.2">
      <c r="A8682" s="101"/>
    </row>
    <row r="8683" spans="1:1" x14ac:dyDescent="0.2">
      <c r="A8683" s="101"/>
    </row>
    <row r="8684" spans="1:1" x14ac:dyDescent="0.2">
      <c r="A8684" s="101"/>
    </row>
    <row r="8685" spans="1:1" x14ac:dyDescent="0.2">
      <c r="A8685" s="101"/>
    </row>
    <row r="8686" spans="1:1" x14ac:dyDescent="0.2">
      <c r="A8686" s="101"/>
    </row>
    <row r="8687" spans="1:1" x14ac:dyDescent="0.2">
      <c r="A8687" s="101"/>
    </row>
    <row r="8688" spans="1:1" x14ac:dyDescent="0.2">
      <c r="A8688" s="101"/>
    </row>
    <row r="8689" spans="1:1" x14ac:dyDescent="0.2">
      <c r="A8689" s="101"/>
    </row>
    <row r="8690" spans="1:1" x14ac:dyDescent="0.2">
      <c r="A8690" s="101"/>
    </row>
    <row r="8691" spans="1:1" x14ac:dyDescent="0.2">
      <c r="A8691" s="101"/>
    </row>
    <row r="8692" spans="1:1" x14ac:dyDescent="0.2">
      <c r="A8692" s="101"/>
    </row>
    <row r="8693" spans="1:1" x14ac:dyDescent="0.2">
      <c r="A8693" s="101"/>
    </row>
    <row r="8694" spans="1:1" x14ac:dyDescent="0.2">
      <c r="A8694" s="101"/>
    </row>
    <row r="8695" spans="1:1" x14ac:dyDescent="0.2">
      <c r="A8695" s="101"/>
    </row>
    <row r="8696" spans="1:1" x14ac:dyDescent="0.2">
      <c r="A8696" s="101"/>
    </row>
    <row r="8697" spans="1:1" x14ac:dyDescent="0.2">
      <c r="A8697" s="101"/>
    </row>
    <row r="8698" spans="1:1" x14ac:dyDescent="0.2">
      <c r="A8698" s="101"/>
    </row>
    <row r="8699" spans="1:1" x14ac:dyDescent="0.2">
      <c r="A8699" s="101"/>
    </row>
    <row r="8700" spans="1:1" x14ac:dyDescent="0.2">
      <c r="A8700" s="101"/>
    </row>
    <row r="8701" spans="1:1" x14ac:dyDescent="0.2">
      <c r="A8701" s="101"/>
    </row>
    <row r="8702" spans="1:1" x14ac:dyDescent="0.2">
      <c r="A8702" s="101"/>
    </row>
    <row r="8703" spans="1:1" x14ac:dyDescent="0.2">
      <c r="A8703" s="101"/>
    </row>
    <row r="8704" spans="1:1" x14ac:dyDescent="0.2">
      <c r="A8704" s="101"/>
    </row>
    <row r="8705" spans="1:1" x14ac:dyDescent="0.2">
      <c r="A8705" s="101"/>
    </row>
    <row r="8706" spans="1:1" x14ac:dyDescent="0.2">
      <c r="A8706" s="101"/>
    </row>
    <row r="8707" spans="1:1" x14ac:dyDescent="0.2">
      <c r="A8707" s="101"/>
    </row>
    <row r="8708" spans="1:1" x14ac:dyDescent="0.2">
      <c r="A8708" s="101"/>
    </row>
    <row r="8709" spans="1:1" x14ac:dyDescent="0.2">
      <c r="A8709" s="101"/>
    </row>
    <row r="8710" spans="1:1" x14ac:dyDescent="0.2">
      <c r="A8710" s="101"/>
    </row>
    <row r="8711" spans="1:1" x14ac:dyDescent="0.2">
      <c r="A8711" s="101"/>
    </row>
    <row r="8712" spans="1:1" x14ac:dyDescent="0.2">
      <c r="A8712" s="101"/>
    </row>
    <row r="8713" spans="1:1" x14ac:dyDescent="0.2">
      <c r="A8713" s="101"/>
    </row>
    <row r="8714" spans="1:1" x14ac:dyDescent="0.2">
      <c r="A8714" s="101"/>
    </row>
    <row r="8715" spans="1:1" x14ac:dyDescent="0.2">
      <c r="A8715" s="101"/>
    </row>
    <row r="8716" spans="1:1" x14ac:dyDescent="0.2">
      <c r="A8716" s="101"/>
    </row>
    <row r="8717" spans="1:1" x14ac:dyDescent="0.2">
      <c r="A8717" s="101"/>
    </row>
    <row r="8718" spans="1:1" x14ac:dyDescent="0.2">
      <c r="A8718" s="101"/>
    </row>
    <row r="8719" spans="1:1" x14ac:dyDescent="0.2">
      <c r="A8719" s="101"/>
    </row>
    <row r="8720" spans="1:1" x14ac:dyDescent="0.2">
      <c r="A8720" s="101"/>
    </row>
    <row r="8721" spans="1:1" x14ac:dyDescent="0.2">
      <c r="A8721" s="101"/>
    </row>
    <row r="8722" spans="1:1" x14ac:dyDescent="0.2">
      <c r="A8722" s="101"/>
    </row>
    <row r="8723" spans="1:1" x14ac:dyDescent="0.2">
      <c r="A8723" s="101"/>
    </row>
    <row r="8724" spans="1:1" x14ac:dyDescent="0.2">
      <c r="A8724" s="101"/>
    </row>
    <row r="8725" spans="1:1" x14ac:dyDescent="0.2">
      <c r="A8725" s="101"/>
    </row>
    <row r="8726" spans="1:1" x14ac:dyDescent="0.2">
      <c r="A8726" s="101"/>
    </row>
    <row r="8727" spans="1:1" x14ac:dyDescent="0.2">
      <c r="A8727" s="101"/>
    </row>
    <row r="8728" spans="1:1" x14ac:dyDescent="0.2">
      <c r="A8728" s="101"/>
    </row>
    <row r="8729" spans="1:1" x14ac:dyDescent="0.2">
      <c r="A8729" s="101"/>
    </row>
    <row r="8730" spans="1:1" x14ac:dyDescent="0.2">
      <c r="A8730" s="101"/>
    </row>
    <row r="8731" spans="1:1" x14ac:dyDescent="0.2">
      <c r="A8731" s="101"/>
    </row>
    <row r="8732" spans="1:1" x14ac:dyDescent="0.2">
      <c r="A8732" s="101"/>
    </row>
    <row r="8733" spans="1:1" x14ac:dyDescent="0.2">
      <c r="A8733" s="101"/>
    </row>
    <row r="8734" spans="1:1" x14ac:dyDescent="0.2">
      <c r="A8734" s="101"/>
    </row>
    <row r="8735" spans="1:1" x14ac:dyDescent="0.2">
      <c r="A8735" s="101"/>
    </row>
    <row r="8736" spans="1:1" x14ac:dyDescent="0.2">
      <c r="A8736" s="101"/>
    </row>
    <row r="8737" spans="1:1" x14ac:dyDescent="0.2">
      <c r="A8737" s="101"/>
    </row>
    <row r="8738" spans="1:1" x14ac:dyDescent="0.2">
      <c r="A8738" s="101"/>
    </row>
    <row r="8739" spans="1:1" x14ac:dyDescent="0.2">
      <c r="A8739" s="101"/>
    </row>
    <row r="8740" spans="1:1" x14ac:dyDescent="0.2">
      <c r="A8740" s="101"/>
    </row>
    <row r="8741" spans="1:1" x14ac:dyDescent="0.2">
      <c r="A8741" s="101"/>
    </row>
    <row r="8742" spans="1:1" x14ac:dyDescent="0.2">
      <c r="A8742" s="101"/>
    </row>
    <row r="8743" spans="1:1" x14ac:dyDescent="0.2">
      <c r="A8743" s="101"/>
    </row>
    <row r="8744" spans="1:1" x14ac:dyDescent="0.2">
      <c r="A8744" s="101"/>
    </row>
    <row r="8745" spans="1:1" x14ac:dyDescent="0.2">
      <c r="A8745" s="101"/>
    </row>
    <row r="8746" spans="1:1" x14ac:dyDescent="0.2">
      <c r="A8746" s="101"/>
    </row>
    <row r="8747" spans="1:1" x14ac:dyDescent="0.2">
      <c r="A8747" s="101"/>
    </row>
    <row r="8748" spans="1:1" x14ac:dyDescent="0.2">
      <c r="A8748" s="101"/>
    </row>
    <row r="8749" spans="1:1" x14ac:dyDescent="0.2">
      <c r="A8749" s="101"/>
    </row>
    <row r="8750" spans="1:1" x14ac:dyDescent="0.2">
      <c r="A8750" s="101"/>
    </row>
    <row r="8751" spans="1:1" x14ac:dyDescent="0.2">
      <c r="A8751" s="101"/>
    </row>
    <row r="8752" spans="1:1" x14ac:dyDescent="0.2">
      <c r="A8752" s="101"/>
    </row>
    <row r="8753" spans="1:1" x14ac:dyDescent="0.2">
      <c r="A8753" s="101"/>
    </row>
    <row r="8754" spans="1:1" x14ac:dyDescent="0.2">
      <c r="A8754" s="101"/>
    </row>
    <row r="8755" spans="1:1" x14ac:dyDescent="0.2">
      <c r="A8755" s="101"/>
    </row>
    <row r="8756" spans="1:1" x14ac:dyDescent="0.2">
      <c r="A8756" s="101"/>
    </row>
    <row r="8757" spans="1:1" x14ac:dyDescent="0.2">
      <c r="A8757" s="101"/>
    </row>
    <row r="8758" spans="1:1" x14ac:dyDescent="0.2">
      <c r="A8758" s="101"/>
    </row>
    <row r="8759" spans="1:1" x14ac:dyDescent="0.2">
      <c r="A8759" s="101"/>
    </row>
    <row r="8760" spans="1:1" x14ac:dyDescent="0.2">
      <c r="A8760" s="101"/>
    </row>
    <row r="8761" spans="1:1" x14ac:dyDescent="0.2">
      <c r="A8761" s="101"/>
    </row>
    <row r="8762" spans="1:1" x14ac:dyDescent="0.2">
      <c r="A8762" s="101"/>
    </row>
    <row r="8763" spans="1:1" x14ac:dyDescent="0.2">
      <c r="A8763" s="101"/>
    </row>
    <row r="8764" spans="1:1" x14ac:dyDescent="0.2">
      <c r="A8764" s="101"/>
    </row>
    <row r="8765" spans="1:1" x14ac:dyDescent="0.2">
      <c r="A8765" s="101"/>
    </row>
    <row r="8766" spans="1:1" x14ac:dyDescent="0.2">
      <c r="A8766" s="101"/>
    </row>
    <row r="8767" spans="1:1" x14ac:dyDescent="0.2">
      <c r="A8767" s="101"/>
    </row>
    <row r="8768" spans="1:1" x14ac:dyDescent="0.2">
      <c r="A8768" s="101"/>
    </row>
    <row r="8769" spans="1:1" x14ac:dyDescent="0.2">
      <c r="A8769" s="101"/>
    </row>
    <row r="8770" spans="1:1" x14ac:dyDescent="0.2">
      <c r="A8770" s="101"/>
    </row>
    <row r="8771" spans="1:1" x14ac:dyDescent="0.2">
      <c r="A8771" s="101"/>
    </row>
    <row r="8772" spans="1:1" x14ac:dyDescent="0.2">
      <c r="A8772" s="101"/>
    </row>
    <row r="8773" spans="1:1" x14ac:dyDescent="0.2">
      <c r="A8773" s="101"/>
    </row>
    <row r="8774" spans="1:1" x14ac:dyDescent="0.2">
      <c r="A8774" s="101"/>
    </row>
    <row r="8775" spans="1:1" x14ac:dyDescent="0.2">
      <c r="A8775" s="101"/>
    </row>
    <row r="8776" spans="1:1" x14ac:dyDescent="0.2">
      <c r="A8776" s="101"/>
    </row>
    <row r="8777" spans="1:1" x14ac:dyDescent="0.2">
      <c r="A8777" s="101"/>
    </row>
    <row r="8778" spans="1:1" x14ac:dyDescent="0.2">
      <c r="A8778" s="101"/>
    </row>
    <row r="8779" spans="1:1" x14ac:dyDescent="0.2">
      <c r="A8779" s="101"/>
    </row>
    <row r="8780" spans="1:1" x14ac:dyDescent="0.2">
      <c r="A8780" s="101"/>
    </row>
    <row r="8781" spans="1:1" x14ac:dyDescent="0.2">
      <c r="A8781" s="101"/>
    </row>
    <row r="8782" spans="1:1" x14ac:dyDescent="0.2">
      <c r="A8782" s="101"/>
    </row>
    <row r="8783" spans="1:1" x14ac:dyDescent="0.2">
      <c r="A8783" s="101"/>
    </row>
    <row r="8784" spans="1:1" x14ac:dyDescent="0.2">
      <c r="A8784" s="101"/>
    </row>
    <row r="8785" spans="1:1" x14ac:dyDescent="0.2">
      <c r="A8785" s="101"/>
    </row>
    <row r="8786" spans="1:1" x14ac:dyDescent="0.2">
      <c r="A8786" s="101"/>
    </row>
    <row r="8787" spans="1:1" x14ac:dyDescent="0.2">
      <c r="A8787" s="101"/>
    </row>
    <row r="8788" spans="1:1" x14ac:dyDescent="0.2">
      <c r="A8788" s="101"/>
    </row>
    <row r="8789" spans="1:1" x14ac:dyDescent="0.2">
      <c r="A8789" s="101"/>
    </row>
    <row r="8790" spans="1:1" x14ac:dyDescent="0.2">
      <c r="A8790" s="101"/>
    </row>
    <row r="8791" spans="1:1" x14ac:dyDescent="0.2">
      <c r="A8791" s="101"/>
    </row>
    <row r="8792" spans="1:1" x14ac:dyDescent="0.2">
      <c r="A8792" s="101"/>
    </row>
    <row r="8793" spans="1:1" x14ac:dyDescent="0.2">
      <c r="A8793" s="101"/>
    </row>
    <row r="8794" spans="1:1" x14ac:dyDescent="0.2">
      <c r="A8794" s="101"/>
    </row>
    <row r="8795" spans="1:1" x14ac:dyDescent="0.2">
      <c r="A8795" s="101"/>
    </row>
    <row r="8796" spans="1:1" x14ac:dyDescent="0.2">
      <c r="A8796" s="101"/>
    </row>
    <row r="8797" spans="1:1" x14ac:dyDescent="0.2">
      <c r="A8797" s="101"/>
    </row>
    <row r="8798" spans="1:1" x14ac:dyDescent="0.2">
      <c r="A8798" s="101"/>
    </row>
    <row r="8799" spans="1:1" x14ac:dyDescent="0.2">
      <c r="A8799" s="101"/>
    </row>
    <row r="8800" spans="1:1" x14ac:dyDescent="0.2">
      <c r="A8800" s="101"/>
    </row>
    <row r="8801" spans="1:1" x14ac:dyDescent="0.2">
      <c r="A8801" s="101"/>
    </row>
    <row r="8802" spans="1:1" x14ac:dyDescent="0.2">
      <c r="A8802" s="101"/>
    </row>
    <row r="8803" spans="1:1" x14ac:dyDescent="0.2">
      <c r="A8803" s="101"/>
    </row>
    <row r="8804" spans="1:1" x14ac:dyDescent="0.2">
      <c r="A8804" s="101"/>
    </row>
    <row r="8805" spans="1:1" x14ac:dyDescent="0.2">
      <c r="A8805" s="101"/>
    </row>
    <row r="8806" spans="1:1" x14ac:dyDescent="0.2">
      <c r="A8806" s="101"/>
    </row>
    <row r="8807" spans="1:1" x14ac:dyDescent="0.2">
      <c r="A8807" s="101"/>
    </row>
    <row r="8808" spans="1:1" x14ac:dyDescent="0.2">
      <c r="A8808" s="101"/>
    </row>
    <row r="8809" spans="1:1" x14ac:dyDescent="0.2">
      <c r="A8809" s="101"/>
    </row>
    <row r="8810" spans="1:1" x14ac:dyDescent="0.2">
      <c r="A8810" s="101"/>
    </row>
    <row r="8811" spans="1:1" x14ac:dyDescent="0.2">
      <c r="A8811" s="101"/>
    </row>
    <row r="8812" spans="1:1" x14ac:dyDescent="0.2">
      <c r="A8812" s="101"/>
    </row>
    <row r="8813" spans="1:1" x14ac:dyDescent="0.2">
      <c r="A8813" s="101"/>
    </row>
    <row r="8814" spans="1:1" x14ac:dyDescent="0.2">
      <c r="A8814" s="101"/>
    </row>
    <row r="8815" spans="1:1" x14ac:dyDescent="0.2">
      <c r="A8815" s="101"/>
    </row>
    <row r="8816" spans="1:1" x14ac:dyDescent="0.2">
      <c r="A8816" s="101"/>
    </row>
    <row r="8817" spans="1:1" x14ac:dyDescent="0.2">
      <c r="A8817" s="101"/>
    </row>
    <row r="8818" spans="1:1" x14ac:dyDescent="0.2">
      <c r="A8818" s="101"/>
    </row>
    <row r="8819" spans="1:1" x14ac:dyDescent="0.2">
      <c r="A8819" s="101"/>
    </row>
    <row r="8820" spans="1:1" x14ac:dyDescent="0.2">
      <c r="A8820" s="101"/>
    </row>
    <row r="8821" spans="1:1" x14ac:dyDescent="0.2">
      <c r="A8821" s="101"/>
    </row>
    <row r="8822" spans="1:1" x14ac:dyDescent="0.2">
      <c r="A8822" s="101"/>
    </row>
    <row r="8823" spans="1:1" x14ac:dyDescent="0.2">
      <c r="A8823" s="101"/>
    </row>
    <row r="8824" spans="1:1" x14ac:dyDescent="0.2">
      <c r="A8824" s="101"/>
    </row>
    <row r="8825" spans="1:1" x14ac:dyDescent="0.2">
      <c r="A8825" s="101"/>
    </row>
    <row r="8826" spans="1:1" x14ac:dyDescent="0.2">
      <c r="A8826" s="101"/>
    </row>
    <row r="8827" spans="1:1" x14ac:dyDescent="0.2">
      <c r="A8827" s="101"/>
    </row>
    <row r="8828" spans="1:1" x14ac:dyDescent="0.2">
      <c r="A8828" s="101"/>
    </row>
    <row r="8829" spans="1:1" x14ac:dyDescent="0.2">
      <c r="A8829" s="101"/>
    </row>
    <row r="8830" spans="1:1" x14ac:dyDescent="0.2">
      <c r="A8830" s="101"/>
    </row>
    <row r="8831" spans="1:1" x14ac:dyDescent="0.2">
      <c r="A8831" s="101"/>
    </row>
    <row r="8832" spans="1:1" x14ac:dyDescent="0.2">
      <c r="A8832" s="101"/>
    </row>
    <row r="8833" spans="1:1" x14ac:dyDescent="0.2">
      <c r="A8833" s="101"/>
    </row>
    <row r="8834" spans="1:1" x14ac:dyDescent="0.2">
      <c r="A8834" s="101"/>
    </row>
    <row r="8835" spans="1:1" x14ac:dyDescent="0.2">
      <c r="A8835" s="101"/>
    </row>
    <row r="8836" spans="1:1" x14ac:dyDescent="0.2">
      <c r="A8836" s="101"/>
    </row>
    <row r="8837" spans="1:1" x14ac:dyDescent="0.2">
      <c r="A8837" s="101"/>
    </row>
    <row r="8838" spans="1:1" x14ac:dyDescent="0.2">
      <c r="A8838" s="101"/>
    </row>
    <row r="8839" spans="1:1" x14ac:dyDescent="0.2">
      <c r="A8839" s="101"/>
    </row>
    <row r="8840" spans="1:1" x14ac:dyDescent="0.2">
      <c r="A8840" s="101"/>
    </row>
    <row r="8841" spans="1:1" x14ac:dyDescent="0.2">
      <c r="A8841" s="101"/>
    </row>
    <row r="8842" spans="1:1" x14ac:dyDescent="0.2">
      <c r="A8842" s="101"/>
    </row>
    <row r="8843" spans="1:1" x14ac:dyDescent="0.2">
      <c r="A8843" s="101"/>
    </row>
    <row r="8844" spans="1:1" x14ac:dyDescent="0.2">
      <c r="A8844" s="101"/>
    </row>
    <row r="8845" spans="1:1" x14ac:dyDescent="0.2">
      <c r="A8845" s="101"/>
    </row>
    <row r="8846" spans="1:1" x14ac:dyDescent="0.2">
      <c r="A8846" s="101"/>
    </row>
    <row r="8847" spans="1:1" x14ac:dyDescent="0.2">
      <c r="A8847" s="101"/>
    </row>
    <row r="8848" spans="1:1" x14ac:dyDescent="0.2">
      <c r="A8848" s="101"/>
    </row>
    <row r="8849" spans="1:1" x14ac:dyDescent="0.2">
      <c r="A8849" s="101"/>
    </row>
    <row r="8850" spans="1:1" x14ac:dyDescent="0.2">
      <c r="A8850" s="101"/>
    </row>
    <row r="8851" spans="1:1" x14ac:dyDescent="0.2">
      <c r="A8851" s="101"/>
    </row>
    <row r="8852" spans="1:1" x14ac:dyDescent="0.2">
      <c r="A8852" s="101"/>
    </row>
    <row r="8853" spans="1:1" x14ac:dyDescent="0.2">
      <c r="A8853" s="101"/>
    </row>
    <row r="8854" spans="1:1" x14ac:dyDescent="0.2">
      <c r="A8854" s="101"/>
    </row>
    <row r="8855" spans="1:1" x14ac:dyDescent="0.2">
      <c r="A8855" s="101"/>
    </row>
    <row r="8856" spans="1:1" x14ac:dyDescent="0.2">
      <c r="A8856" s="101"/>
    </row>
    <row r="8857" spans="1:1" x14ac:dyDescent="0.2">
      <c r="A8857" s="101"/>
    </row>
    <row r="8858" spans="1:1" x14ac:dyDescent="0.2">
      <c r="A8858" s="101"/>
    </row>
    <row r="8859" spans="1:1" x14ac:dyDescent="0.2">
      <c r="A8859" s="101"/>
    </row>
    <row r="8860" spans="1:1" x14ac:dyDescent="0.2">
      <c r="A8860" s="101"/>
    </row>
    <row r="8861" spans="1:1" x14ac:dyDescent="0.2">
      <c r="A8861" s="101"/>
    </row>
    <row r="8862" spans="1:1" x14ac:dyDescent="0.2">
      <c r="A8862" s="101"/>
    </row>
    <row r="8863" spans="1:1" x14ac:dyDescent="0.2">
      <c r="A8863" s="101"/>
    </row>
    <row r="8864" spans="1:1" x14ac:dyDescent="0.2">
      <c r="A8864" s="101"/>
    </row>
    <row r="8865" spans="1:1" x14ac:dyDescent="0.2">
      <c r="A8865" s="101"/>
    </row>
    <row r="8866" spans="1:1" x14ac:dyDescent="0.2">
      <c r="A8866" s="101"/>
    </row>
    <row r="8867" spans="1:1" x14ac:dyDescent="0.2">
      <c r="A8867" s="101"/>
    </row>
    <row r="8868" spans="1:1" x14ac:dyDescent="0.2">
      <c r="A8868" s="101"/>
    </row>
    <row r="8869" spans="1:1" x14ac:dyDescent="0.2">
      <c r="A8869" s="101"/>
    </row>
    <row r="8870" spans="1:1" x14ac:dyDescent="0.2">
      <c r="A8870" s="101"/>
    </row>
    <row r="8871" spans="1:1" x14ac:dyDescent="0.2">
      <c r="A8871" s="101"/>
    </row>
    <row r="8872" spans="1:1" x14ac:dyDescent="0.2">
      <c r="A8872" s="101"/>
    </row>
    <row r="8873" spans="1:1" x14ac:dyDescent="0.2">
      <c r="A8873" s="101"/>
    </row>
    <row r="8874" spans="1:1" x14ac:dyDescent="0.2">
      <c r="A8874" s="101"/>
    </row>
    <row r="8875" spans="1:1" x14ac:dyDescent="0.2">
      <c r="A8875" s="101"/>
    </row>
    <row r="8876" spans="1:1" x14ac:dyDescent="0.2">
      <c r="A8876" s="101"/>
    </row>
    <row r="8877" spans="1:1" x14ac:dyDescent="0.2">
      <c r="A8877" s="101"/>
    </row>
    <row r="8878" spans="1:1" x14ac:dyDescent="0.2">
      <c r="A8878" s="101"/>
    </row>
    <row r="8879" spans="1:1" x14ac:dyDescent="0.2">
      <c r="A8879" s="101"/>
    </row>
    <row r="8880" spans="1:1" x14ac:dyDescent="0.2">
      <c r="A8880" s="101"/>
    </row>
    <row r="8881" spans="1:1" x14ac:dyDescent="0.2">
      <c r="A8881" s="101"/>
    </row>
    <row r="8882" spans="1:1" x14ac:dyDescent="0.2">
      <c r="A8882" s="101"/>
    </row>
    <row r="8883" spans="1:1" x14ac:dyDescent="0.2">
      <c r="A8883" s="101"/>
    </row>
    <row r="8884" spans="1:1" x14ac:dyDescent="0.2">
      <c r="A8884" s="101"/>
    </row>
    <row r="8885" spans="1:1" x14ac:dyDescent="0.2">
      <c r="A8885" s="101"/>
    </row>
    <row r="8886" spans="1:1" x14ac:dyDescent="0.2">
      <c r="A8886" s="101"/>
    </row>
    <row r="8887" spans="1:1" x14ac:dyDescent="0.2">
      <c r="A8887" s="101"/>
    </row>
    <row r="8888" spans="1:1" x14ac:dyDescent="0.2">
      <c r="A8888" s="101"/>
    </row>
    <row r="8889" spans="1:1" x14ac:dyDescent="0.2">
      <c r="A8889" s="101"/>
    </row>
    <row r="8890" spans="1:1" x14ac:dyDescent="0.2">
      <c r="A8890" s="101"/>
    </row>
    <row r="8891" spans="1:1" x14ac:dyDescent="0.2">
      <c r="A8891" s="101"/>
    </row>
    <row r="8892" spans="1:1" x14ac:dyDescent="0.2">
      <c r="A8892" s="101"/>
    </row>
    <row r="8893" spans="1:1" x14ac:dyDescent="0.2">
      <c r="A8893" s="101"/>
    </row>
    <row r="8894" spans="1:1" x14ac:dyDescent="0.2">
      <c r="A8894" s="101"/>
    </row>
    <row r="8895" spans="1:1" x14ac:dyDescent="0.2">
      <c r="A8895" s="101"/>
    </row>
    <row r="8896" spans="1:1" x14ac:dyDescent="0.2">
      <c r="A8896" s="101"/>
    </row>
    <row r="8897" spans="1:1" x14ac:dyDescent="0.2">
      <c r="A8897" s="101"/>
    </row>
    <row r="8898" spans="1:1" x14ac:dyDescent="0.2">
      <c r="A8898" s="101"/>
    </row>
    <row r="8899" spans="1:1" x14ac:dyDescent="0.2">
      <c r="A8899" s="101"/>
    </row>
    <row r="8900" spans="1:1" x14ac:dyDescent="0.2">
      <c r="A8900" s="101"/>
    </row>
    <row r="8901" spans="1:1" x14ac:dyDescent="0.2">
      <c r="A8901" s="101"/>
    </row>
    <row r="8902" spans="1:1" x14ac:dyDescent="0.2">
      <c r="A8902" s="101"/>
    </row>
    <row r="8903" spans="1:1" x14ac:dyDescent="0.2">
      <c r="A8903" s="101"/>
    </row>
    <row r="8904" spans="1:1" x14ac:dyDescent="0.2">
      <c r="A8904" s="101"/>
    </row>
    <row r="8905" spans="1:1" x14ac:dyDescent="0.2">
      <c r="A8905" s="101"/>
    </row>
    <row r="8906" spans="1:1" x14ac:dyDescent="0.2">
      <c r="A8906" s="101"/>
    </row>
    <row r="8907" spans="1:1" x14ac:dyDescent="0.2">
      <c r="A8907" s="101"/>
    </row>
    <row r="8908" spans="1:1" x14ac:dyDescent="0.2">
      <c r="A8908" s="101"/>
    </row>
    <row r="8909" spans="1:1" x14ac:dyDescent="0.2">
      <c r="A8909" s="101"/>
    </row>
    <row r="8910" spans="1:1" x14ac:dyDescent="0.2">
      <c r="A8910" s="101"/>
    </row>
    <row r="8911" spans="1:1" x14ac:dyDescent="0.2">
      <c r="A8911" s="101"/>
    </row>
    <row r="8912" spans="1:1" x14ac:dyDescent="0.2">
      <c r="A8912" s="101"/>
    </row>
    <row r="8913" spans="1:1" x14ac:dyDescent="0.2">
      <c r="A8913" s="101"/>
    </row>
    <row r="8914" spans="1:1" x14ac:dyDescent="0.2">
      <c r="A8914" s="101"/>
    </row>
    <row r="8915" spans="1:1" x14ac:dyDescent="0.2">
      <c r="A8915" s="101"/>
    </row>
    <row r="8916" spans="1:1" x14ac:dyDescent="0.2">
      <c r="A8916" s="101"/>
    </row>
    <row r="8917" spans="1:1" x14ac:dyDescent="0.2">
      <c r="A8917" s="101"/>
    </row>
    <row r="8918" spans="1:1" x14ac:dyDescent="0.2">
      <c r="A8918" s="101"/>
    </row>
    <row r="8919" spans="1:1" x14ac:dyDescent="0.2">
      <c r="A8919" s="101"/>
    </row>
    <row r="8920" spans="1:1" x14ac:dyDescent="0.2">
      <c r="A8920" s="101"/>
    </row>
    <row r="8921" spans="1:1" x14ac:dyDescent="0.2">
      <c r="A8921" s="101"/>
    </row>
    <row r="8922" spans="1:1" x14ac:dyDescent="0.2">
      <c r="A8922" s="101"/>
    </row>
    <row r="8923" spans="1:1" x14ac:dyDescent="0.2">
      <c r="A8923" s="101"/>
    </row>
    <row r="8924" spans="1:1" x14ac:dyDescent="0.2">
      <c r="A8924" s="101"/>
    </row>
    <row r="8925" spans="1:1" x14ac:dyDescent="0.2">
      <c r="A8925" s="101"/>
    </row>
    <row r="8926" spans="1:1" x14ac:dyDescent="0.2">
      <c r="A8926" s="101"/>
    </row>
    <row r="8927" spans="1:1" x14ac:dyDescent="0.2">
      <c r="A8927" s="101"/>
    </row>
    <row r="8928" spans="1:1" x14ac:dyDescent="0.2">
      <c r="A8928" s="101"/>
    </row>
    <row r="8929" spans="1:1" x14ac:dyDescent="0.2">
      <c r="A8929" s="101"/>
    </row>
    <row r="8930" spans="1:1" x14ac:dyDescent="0.2">
      <c r="A8930" s="101"/>
    </row>
    <row r="8931" spans="1:1" x14ac:dyDescent="0.2">
      <c r="A8931" s="101"/>
    </row>
    <row r="8932" spans="1:1" x14ac:dyDescent="0.2">
      <c r="A8932" s="101"/>
    </row>
    <row r="8933" spans="1:1" x14ac:dyDescent="0.2">
      <c r="A8933" s="101"/>
    </row>
    <row r="8934" spans="1:1" x14ac:dyDescent="0.2">
      <c r="A8934" s="101"/>
    </row>
    <row r="8935" spans="1:1" x14ac:dyDescent="0.2">
      <c r="A8935" s="101"/>
    </row>
    <row r="8936" spans="1:1" x14ac:dyDescent="0.2">
      <c r="A8936" s="101"/>
    </row>
    <row r="8937" spans="1:1" x14ac:dyDescent="0.2">
      <c r="A8937" s="101"/>
    </row>
    <row r="8938" spans="1:1" x14ac:dyDescent="0.2">
      <c r="A8938" s="101"/>
    </row>
    <row r="8939" spans="1:1" x14ac:dyDescent="0.2">
      <c r="A8939" s="101"/>
    </row>
    <row r="8940" spans="1:1" x14ac:dyDescent="0.2">
      <c r="A8940" s="101"/>
    </row>
    <row r="8941" spans="1:1" x14ac:dyDescent="0.2">
      <c r="A8941" s="101"/>
    </row>
    <row r="8942" spans="1:1" x14ac:dyDescent="0.2">
      <c r="A8942" s="101"/>
    </row>
    <row r="8943" spans="1:1" x14ac:dyDescent="0.2">
      <c r="A8943" s="101"/>
    </row>
    <row r="8944" spans="1:1" x14ac:dyDescent="0.2">
      <c r="A8944" s="101"/>
    </row>
    <row r="8945" spans="1:1" x14ac:dyDescent="0.2">
      <c r="A8945" s="101"/>
    </row>
    <row r="8946" spans="1:1" x14ac:dyDescent="0.2">
      <c r="A8946" s="101"/>
    </row>
    <row r="8947" spans="1:1" x14ac:dyDescent="0.2">
      <c r="A8947" s="101"/>
    </row>
    <row r="8948" spans="1:1" x14ac:dyDescent="0.2">
      <c r="A8948" s="101"/>
    </row>
    <row r="8949" spans="1:1" x14ac:dyDescent="0.2">
      <c r="A8949" s="101"/>
    </row>
    <row r="8950" spans="1:1" x14ac:dyDescent="0.2">
      <c r="A8950" s="101"/>
    </row>
    <row r="8951" spans="1:1" x14ac:dyDescent="0.2">
      <c r="A8951" s="101"/>
    </row>
    <row r="8952" spans="1:1" x14ac:dyDescent="0.2">
      <c r="A8952" s="101"/>
    </row>
    <row r="8953" spans="1:1" x14ac:dyDescent="0.2">
      <c r="A8953" s="101"/>
    </row>
    <row r="8954" spans="1:1" x14ac:dyDescent="0.2">
      <c r="A8954" s="101"/>
    </row>
    <row r="8955" spans="1:1" x14ac:dyDescent="0.2">
      <c r="A8955" s="101"/>
    </row>
    <row r="8956" spans="1:1" x14ac:dyDescent="0.2">
      <c r="A8956" s="101"/>
    </row>
    <row r="8957" spans="1:1" x14ac:dyDescent="0.2">
      <c r="A8957" s="101"/>
    </row>
    <row r="8958" spans="1:1" x14ac:dyDescent="0.2">
      <c r="A8958" s="101"/>
    </row>
    <row r="8959" spans="1:1" x14ac:dyDescent="0.2">
      <c r="A8959" s="101"/>
    </row>
    <row r="8960" spans="1:1" x14ac:dyDescent="0.2">
      <c r="A8960" s="101"/>
    </row>
    <row r="8961" spans="1:1" x14ac:dyDescent="0.2">
      <c r="A8961" s="101"/>
    </row>
    <row r="8962" spans="1:1" x14ac:dyDescent="0.2">
      <c r="A8962" s="101"/>
    </row>
    <row r="8963" spans="1:1" x14ac:dyDescent="0.2">
      <c r="A8963" s="101"/>
    </row>
    <row r="8964" spans="1:1" x14ac:dyDescent="0.2">
      <c r="A8964" s="101"/>
    </row>
    <row r="8965" spans="1:1" x14ac:dyDescent="0.2">
      <c r="A8965" s="101"/>
    </row>
    <row r="8966" spans="1:1" x14ac:dyDescent="0.2">
      <c r="A8966" s="101"/>
    </row>
    <row r="8967" spans="1:1" x14ac:dyDescent="0.2">
      <c r="A8967" s="101"/>
    </row>
    <row r="8968" spans="1:1" x14ac:dyDescent="0.2">
      <c r="A8968" s="101"/>
    </row>
    <row r="8969" spans="1:1" x14ac:dyDescent="0.2">
      <c r="A8969" s="101"/>
    </row>
    <row r="8970" spans="1:1" x14ac:dyDescent="0.2">
      <c r="A8970" s="101"/>
    </row>
    <row r="8971" spans="1:1" x14ac:dyDescent="0.2">
      <c r="A8971" s="101"/>
    </row>
    <row r="8972" spans="1:1" x14ac:dyDescent="0.2">
      <c r="A8972" s="101"/>
    </row>
    <row r="8973" spans="1:1" x14ac:dyDescent="0.2">
      <c r="A8973" s="101"/>
    </row>
    <row r="8974" spans="1:1" x14ac:dyDescent="0.2">
      <c r="A8974" s="101"/>
    </row>
    <row r="8975" spans="1:1" x14ac:dyDescent="0.2">
      <c r="A8975" s="101"/>
    </row>
    <row r="8976" spans="1:1" x14ac:dyDescent="0.2">
      <c r="A8976" s="101"/>
    </row>
    <row r="8977" spans="1:1" x14ac:dyDescent="0.2">
      <c r="A8977" s="101"/>
    </row>
    <row r="8978" spans="1:1" x14ac:dyDescent="0.2">
      <c r="A8978" s="101"/>
    </row>
    <row r="8979" spans="1:1" x14ac:dyDescent="0.2">
      <c r="A8979" s="101"/>
    </row>
    <row r="8980" spans="1:1" x14ac:dyDescent="0.2">
      <c r="A8980" s="101"/>
    </row>
    <row r="8981" spans="1:1" x14ac:dyDescent="0.2">
      <c r="A8981" s="101"/>
    </row>
    <row r="8982" spans="1:1" x14ac:dyDescent="0.2">
      <c r="A8982" s="101"/>
    </row>
    <row r="8983" spans="1:1" x14ac:dyDescent="0.2">
      <c r="A8983" s="101"/>
    </row>
    <row r="8984" spans="1:1" x14ac:dyDescent="0.2">
      <c r="A8984" s="101"/>
    </row>
    <row r="8985" spans="1:1" x14ac:dyDescent="0.2">
      <c r="A8985" s="101"/>
    </row>
    <row r="8986" spans="1:1" x14ac:dyDescent="0.2">
      <c r="A8986" s="101"/>
    </row>
    <row r="8987" spans="1:1" x14ac:dyDescent="0.2">
      <c r="A8987" s="101"/>
    </row>
    <row r="8988" spans="1:1" x14ac:dyDescent="0.2">
      <c r="A8988" s="101"/>
    </row>
    <row r="8989" spans="1:1" x14ac:dyDescent="0.2">
      <c r="A8989" s="101"/>
    </row>
    <row r="8990" spans="1:1" x14ac:dyDescent="0.2">
      <c r="A8990" s="101"/>
    </row>
    <row r="8991" spans="1:1" x14ac:dyDescent="0.2">
      <c r="A8991" s="101"/>
    </row>
    <row r="8992" spans="1:1" x14ac:dyDescent="0.2">
      <c r="A8992" s="101"/>
    </row>
    <row r="8993" spans="1:1" x14ac:dyDescent="0.2">
      <c r="A8993" s="101"/>
    </row>
    <row r="8994" spans="1:1" x14ac:dyDescent="0.2">
      <c r="A8994" s="101"/>
    </row>
    <row r="8995" spans="1:1" x14ac:dyDescent="0.2">
      <c r="A8995" s="101"/>
    </row>
    <row r="8996" spans="1:1" x14ac:dyDescent="0.2">
      <c r="A8996" s="101"/>
    </row>
    <row r="8997" spans="1:1" x14ac:dyDescent="0.2">
      <c r="A8997" s="101"/>
    </row>
    <row r="8998" spans="1:1" x14ac:dyDescent="0.2">
      <c r="A8998" s="101"/>
    </row>
    <row r="8999" spans="1:1" x14ac:dyDescent="0.2">
      <c r="A8999" s="101"/>
    </row>
    <row r="9000" spans="1:1" x14ac:dyDescent="0.2">
      <c r="A9000" s="101"/>
    </row>
    <row r="9001" spans="1:1" x14ac:dyDescent="0.2">
      <c r="A9001" s="101"/>
    </row>
    <row r="9002" spans="1:1" x14ac:dyDescent="0.2">
      <c r="A9002" s="101"/>
    </row>
    <row r="9003" spans="1:1" x14ac:dyDescent="0.2">
      <c r="A9003" s="101"/>
    </row>
    <row r="9004" spans="1:1" x14ac:dyDescent="0.2">
      <c r="A9004" s="101"/>
    </row>
    <row r="9005" spans="1:1" x14ac:dyDescent="0.2">
      <c r="A9005" s="101"/>
    </row>
    <row r="9006" spans="1:1" x14ac:dyDescent="0.2">
      <c r="A9006" s="101"/>
    </row>
    <row r="9007" spans="1:1" x14ac:dyDescent="0.2">
      <c r="A9007" s="101"/>
    </row>
    <row r="9008" spans="1:1" x14ac:dyDescent="0.2">
      <c r="A9008" s="101"/>
    </row>
    <row r="9009" spans="1:1" x14ac:dyDescent="0.2">
      <c r="A9009" s="101"/>
    </row>
    <row r="9010" spans="1:1" x14ac:dyDescent="0.2">
      <c r="A9010" s="101"/>
    </row>
    <row r="9011" spans="1:1" x14ac:dyDescent="0.2">
      <c r="A9011" s="101"/>
    </row>
    <row r="9012" spans="1:1" x14ac:dyDescent="0.2">
      <c r="A9012" s="101"/>
    </row>
    <row r="9013" spans="1:1" x14ac:dyDescent="0.2">
      <c r="A9013" s="101"/>
    </row>
    <row r="9014" spans="1:1" x14ac:dyDescent="0.2">
      <c r="A9014" s="101"/>
    </row>
    <row r="9015" spans="1:1" x14ac:dyDescent="0.2">
      <c r="A9015" s="101"/>
    </row>
    <row r="9016" spans="1:1" x14ac:dyDescent="0.2">
      <c r="A9016" s="101"/>
    </row>
    <row r="9017" spans="1:1" x14ac:dyDescent="0.2">
      <c r="A9017" s="101"/>
    </row>
    <row r="9018" spans="1:1" x14ac:dyDescent="0.2">
      <c r="A9018" s="101"/>
    </row>
    <row r="9019" spans="1:1" x14ac:dyDescent="0.2">
      <c r="A9019" s="101"/>
    </row>
    <row r="9020" spans="1:1" x14ac:dyDescent="0.2">
      <c r="A9020" s="101"/>
    </row>
    <row r="9021" spans="1:1" x14ac:dyDescent="0.2">
      <c r="A9021" s="101"/>
    </row>
    <row r="9022" spans="1:1" x14ac:dyDescent="0.2">
      <c r="A9022" s="101"/>
    </row>
    <row r="9023" spans="1:1" x14ac:dyDescent="0.2">
      <c r="A9023" s="101"/>
    </row>
    <row r="9024" spans="1:1" x14ac:dyDescent="0.2">
      <c r="A9024" s="101"/>
    </row>
    <row r="9025" spans="1:1" x14ac:dyDescent="0.2">
      <c r="A9025" s="101"/>
    </row>
    <row r="9026" spans="1:1" x14ac:dyDescent="0.2">
      <c r="A9026" s="101"/>
    </row>
    <row r="9027" spans="1:1" x14ac:dyDescent="0.2">
      <c r="A9027" s="101"/>
    </row>
    <row r="9028" spans="1:1" x14ac:dyDescent="0.2">
      <c r="A9028" s="101"/>
    </row>
    <row r="9029" spans="1:1" x14ac:dyDescent="0.2">
      <c r="A9029" s="101"/>
    </row>
    <row r="9030" spans="1:1" x14ac:dyDescent="0.2">
      <c r="A9030" s="101"/>
    </row>
    <row r="9031" spans="1:1" x14ac:dyDescent="0.2">
      <c r="A9031" s="101"/>
    </row>
    <row r="9032" spans="1:1" x14ac:dyDescent="0.2">
      <c r="A9032" s="101"/>
    </row>
    <row r="9033" spans="1:1" x14ac:dyDescent="0.2">
      <c r="A9033" s="101"/>
    </row>
    <row r="9034" spans="1:1" x14ac:dyDescent="0.2">
      <c r="A9034" s="101"/>
    </row>
    <row r="9035" spans="1:1" x14ac:dyDescent="0.2">
      <c r="A9035" s="101"/>
    </row>
    <row r="9036" spans="1:1" x14ac:dyDescent="0.2">
      <c r="A9036" s="101"/>
    </row>
    <row r="9037" spans="1:1" x14ac:dyDescent="0.2">
      <c r="A9037" s="101"/>
    </row>
    <row r="9038" spans="1:1" x14ac:dyDescent="0.2">
      <c r="A9038" s="101"/>
    </row>
    <row r="9039" spans="1:1" x14ac:dyDescent="0.2">
      <c r="A9039" s="101"/>
    </row>
    <row r="9040" spans="1:1" x14ac:dyDescent="0.2">
      <c r="A9040" s="101"/>
    </row>
    <row r="9041" spans="1:1" x14ac:dyDescent="0.2">
      <c r="A9041" s="101"/>
    </row>
    <row r="9042" spans="1:1" x14ac:dyDescent="0.2">
      <c r="A9042" s="101"/>
    </row>
    <row r="9043" spans="1:1" x14ac:dyDescent="0.2">
      <c r="A9043" s="101"/>
    </row>
    <row r="9044" spans="1:1" x14ac:dyDescent="0.2">
      <c r="A9044" s="101"/>
    </row>
    <row r="9045" spans="1:1" x14ac:dyDescent="0.2">
      <c r="A9045" s="101"/>
    </row>
    <row r="9046" spans="1:1" x14ac:dyDescent="0.2">
      <c r="A9046" s="101"/>
    </row>
    <row r="9047" spans="1:1" x14ac:dyDescent="0.2">
      <c r="A9047" s="101"/>
    </row>
    <row r="9048" spans="1:1" x14ac:dyDescent="0.2">
      <c r="A9048" s="101"/>
    </row>
    <row r="9049" spans="1:1" x14ac:dyDescent="0.2">
      <c r="A9049" s="101"/>
    </row>
    <row r="9050" spans="1:1" x14ac:dyDescent="0.2">
      <c r="A9050" s="101"/>
    </row>
    <row r="9051" spans="1:1" x14ac:dyDescent="0.2">
      <c r="A9051" s="101"/>
    </row>
    <row r="9052" spans="1:1" x14ac:dyDescent="0.2">
      <c r="A9052" s="101"/>
    </row>
    <row r="9053" spans="1:1" x14ac:dyDescent="0.2">
      <c r="A9053" s="101"/>
    </row>
    <row r="9054" spans="1:1" x14ac:dyDescent="0.2">
      <c r="A9054" s="101"/>
    </row>
    <row r="9055" spans="1:1" x14ac:dyDescent="0.2">
      <c r="A9055" s="101"/>
    </row>
    <row r="9056" spans="1:1" x14ac:dyDescent="0.2">
      <c r="A9056" s="101"/>
    </row>
    <row r="9057" spans="1:1" x14ac:dyDescent="0.2">
      <c r="A9057" s="101"/>
    </row>
    <row r="9058" spans="1:1" x14ac:dyDescent="0.2">
      <c r="A9058" s="101"/>
    </row>
    <row r="9059" spans="1:1" x14ac:dyDescent="0.2">
      <c r="A9059" s="101"/>
    </row>
    <row r="9060" spans="1:1" x14ac:dyDescent="0.2">
      <c r="A9060" s="101"/>
    </row>
    <row r="9061" spans="1:1" x14ac:dyDescent="0.2">
      <c r="A9061" s="101"/>
    </row>
    <row r="9062" spans="1:1" x14ac:dyDescent="0.2">
      <c r="A9062" s="101"/>
    </row>
    <row r="9063" spans="1:1" x14ac:dyDescent="0.2">
      <c r="A9063" s="101"/>
    </row>
    <row r="9064" spans="1:1" x14ac:dyDescent="0.2">
      <c r="A9064" s="101"/>
    </row>
    <row r="9065" spans="1:1" x14ac:dyDescent="0.2">
      <c r="A9065" s="101"/>
    </row>
    <row r="9066" spans="1:1" x14ac:dyDescent="0.2">
      <c r="A9066" s="101"/>
    </row>
    <row r="9067" spans="1:1" x14ac:dyDescent="0.2">
      <c r="A9067" s="101"/>
    </row>
    <row r="9068" spans="1:1" x14ac:dyDescent="0.2">
      <c r="A9068" s="101"/>
    </row>
    <row r="9069" spans="1:1" x14ac:dyDescent="0.2">
      <c r="A9069" s="101"/>
    </row>
    <row r="9070" spans="1:1" x14ac:dyDescent="0.2">
      <c r="A9070" s="101"/>
    </row>
    <row r="9071" spans="1:1" x14ac:dyDescent="0.2">
      <c r="A9071" s="101"/>
    </row>
    <row r="9072" spans="1:1" x14ac:dyDescent="0.2">
      <c r="A9072" s="101"/>
    </row>
    <row r="9073" spans="1:1" x14ac:dyDescent="0.2">
      <c r="A9073" s="101"/>
    </row>
    <row r="9074" spans="1:1" x14ac:dyDescent="0.2">
      <c r="A9074" s="101"/>
    </row>
    <row r="9075" spans="1:1" x14ac:dyDescent="0.2">
      <c r="A9075" s="101"/>
    </row>
    <row r="9076" spans="1:1" x14ac:dyDescent="0.2">
      <c r="A9076" s="101"/>
    </row>
    <row r="9077" spans="1:1" x14ac:dyDescent="0.2">
      <c r="A9077" s="101"/>
    </row>
    <row r="9078" spans="1:1" x14ac:dyDescent="0.2">
      <c r="A9078" s="101"/>
    </row>
    <row r="9079" spans="1:1" x14ac:dyDescent="0.2">
      <c r="A9079" s="101"/>
    </row>
    <row r="9080" spans="1:1" x14ac:dyDescent="0.2">
      <c r="A9080" s="101"/>
    </row>
    <row r="9081" spans="1:1" x14ac:dyDescent="0.2">
      <c r="A9081" s="101"/>
    </row>
    <row r="9082" spans="1:1" x14ac:dyDescent="0.2">
      <c r="A9082" s="101"/>
    </row>
    <row r="9083" spans="1:1" x14ac:dyDescent="0.2">
      <c r="A9083" s="101"/>
    </row>
    <row r="9084" spans="1:1" x14ac:dyDescent="0.2">
      <c r="A9084" s="101"/>
    </row>
    <row r="9085" spans="1:1" x14ac:dyDescent="0.2">
      <c r="A9085" s="101"/>
    </row>
    <row r="9086" spans="1:1" x14ac:dyDescent="0.2">
      <c r="A9086" s="101"/>
    </row>
    <row r="9087" spans="1:1" x14ac:dyDescent="0.2">
      <c r="A9087" s="101"/>
    </row>
    <row r="9088" spans="1:1" x14ac:dyDescent="0.2">
      <c r="A9088" s="101"/>
    </row>
    <row r="9089" spans="1:1" x14ac:dyDescent="0.2">
      <c r="A9089" s="101"/>
    </row>
    <row r="9090" spans="1:1" x14ac:dyDescent="0.2">
      <c r="A9090" s="101"/>
    </row>
    <row r="9091" spans="1:1" x14ac:dyDescent="0.2">
      <c r="A9091" s="101"/>
    </row>
    <row r="9092" spans="1:1" x14ac:dyDescent="0.2">
      <c r="A9092" s="101"/>
    </row>
    <row r="9093" spans="1:1" x14ac:dyDescent="0.2">
      <c r="A9093" s="101"/>
    </row>
    <row r="9094" spans="1:1" x14ac:dyDescent="0.2">
      <c r="A9094" s="101"/>
    </row>
    <row r="9095" spans="1:1" x14ac:dyDescent="0.2">
      <c r="A9095" s="101"/>
    </row>
    <row r="9096" spans="1:1" x14ac:dyDescent="0.2">
      <c r="A9096" s="101"/>
    </row>
    <row r="9097" spans="1:1" x14ac:dyDescent="0.2">
      <c r="A9097" s="101"/>
    </row>
    <row r="9098" spans="1:1" x14ac:dyDescent="0.2">
      <c r="A9098" s="101"/>
    </row>
    <row r="9099" spans="1:1" x14ac:dyDescent="0.2">
      <c r="A9099" s="101"/>
    </row>
    <row r="9100" spans="1:1" x14ac:dyDescent="0.2">
      <c r="A9100" s="101"/>
    </row>
    <row r="9101" spans="1:1" x14ac:dyDescent="0.2">
      <c r="A9101" s="101"/>
    </row>
    <row r="9102" spans="1:1" x14ac:dyDescent="0.2">
      <c r="A9102" s="101"/>
    </row>
    <row r="9103" spans="1:1" x14ac:dyDescent="0.2">
      <c r="A9103" s="101"/>
    </row>
    <row r="9104" spans="1:1" x14ac:dyDescent="0.2">
      <c r="A9104" s="101"/>
    </row>
    <row r="9105" spans="1:1" x14ac:dyDescent="0.2">
      <c r="A9105" s="101"/>
    </row>
    <row r="9106" spans="1:1" x14ac:dyDescent="0.2">
      <c r="A9106" s="101"/>
    </row>
    <row r="9107" spans="1:1" x14ac:dyDescent="0.2">
      <c r="A9107" s="101"/>
    </row>
    <row r="9108" spans="1:1" x14ac:dyDescent="0.2">
      <c r="A9108" s="101"/>
    </row>
    <row r="9109" spans="1:1" x14ac:dyDescent="0.2">
      <c r="A9109" s="101"/>
    </row>
    <row r="9110" spans="1:1" x14ac:dyDescent="0.2">
      <c r="A9110" s="101"/>
    </row>
    <row r="9111" spans="1:1" x14ac:dyDescent="0.2">
      <c r="A9111" s="101"/>
    </row>
    <row r="9112" spans="1:1" x14ac:dyDescent="0.2">
      <c r="A9112" s="101"/>
    </row>
    <row r="9113" spans="1:1" x14ac:dyDescent="0.2">
      <c r="A9113" s="101"/>
    </row>
    <row r="9114" spans="1:1" x14ac:dyDescent="0.2">
      <c r="A9114" s="101"/>
    </row>
    <row r="9115" spans="1:1" x14ac:dyDescent="0.2">
      <c r="A9115" s="101"/>
    </row>
    <row r="9116" spans="1:1" x14ac:dyDescent="0.2">
      <c r="A9116" s="101"/>
    </row>
    <row r="9117" spans="1:1" x14ac:dyDescent="0.2">
      <c r="A9117" s="101"/>
    </row>
    <row r="9118" spans="1:1" x14ac:dyDescent="0.2">
      <c r="A9118" s="101"/>
    </row>
    <row r="9119" spans="1:1" x14ac:dyDescent="0.2">
      <c r="A9119" s="101"/>
    </row>
    <row r="9120" spans="1:1" x14ac:dyDescent="0.2">
      <c r="A9120" s="101"/>
    </row>
    <row r="9121" spans="1:1" x14ac:dyDescent="0.2">
      <c r="A9121" s="101"/>
    </row>
    <row r="9122" spans="1:1" x14ac:dyDescent="0.2">
      <c r="A9122" s="101"/>
    </row>
    <row r="9123" spans="1:1" x14ac:dyDescent="0.2">
      <c r="A9123" s="101"/>
    </row>
    <row r="9124" spans="1:1" x14ac:dyDescent="0.2">
      <c r="A9124" s="101"/>
    </row>
    <row r="9125" spans="1:1" x14ac:dyDescent="0.2">
      <c r="A9125" s="101"/>
    </row>
    <row r="9126" spans="1:1" x14ac:dyDescent="0.2">
      <c r="A9126" s="101"/>
    </row>
    <row r="9127" spans="1:1" x14ac:dyDescent="0.2">
      <c r="A9127" s="101"/>
    </row>
    <row r="9128" spans="1:1" x14ac:dyDescent="0.2">
      <c r="A9128" s="101"/>
    </row>
    <row r="9129" spans="1:1" x14ac:dyDescent="0.2">
      <c r="A9129" s="101"/>
    </row>
    <row r="9130" spans="1:1" x14ac:dyDescent="0.2">
      <c r="A9130" s="101"/>
    </row>
    <row r="9131" spans="1:1" x14ac:dyDescent="0.2">
      <c r="A9131" s="101"/>
    </row>
    <row r="9132" spans="1:1" x14ac:dyDescent="0.2">
      <c r="A9132" s="101"/>
    </row>
    <row r="9133" spans="1:1" x14ac:dyDescent="0.2">
      <c r="A9133" s="101"/>
    </row>
    <row r="9134" spans="1:1" x14ac:dyDescent="0.2">
      <c r="A9134" s="101"/>
    </row>
    <row r="9135" spans="1:1" x14ac:dyDescent="0.2">
      <c r="A9135" s="101"/>
    </row>
    <row r="9136" spans="1:1" x14ac:dyDescent="0.2">
      <c r="A9136" s="101"/>
    </row>
    <row r="9137" spans="1:1" x14ac:dyDescent="0.2">
      <c r="A9137" s="101"/>
    </row>
    <row r="9138" spans="1:1" x14ac:dyDescent="0.2">
      <c r="A9138" s="101"/>
    </row>
    <row r="9139" spans="1:1" x14ac:dyDescent="0.2">
      <c r="A9139" s="101"/>
    </row>
    <row r="9140" spans="1:1" x14ac:dyDescent="0.2">
      <c r="A9140" s="101"/>
    </row>
    <row r="9141" spans="1:1" x14ac:dyDescent="0.2">
      <c r="A9141" s="101"/>
    </row>
    <row r="9142" spans="1:1" x14ac:dyDescent="0.2">
      <c r="A9142" s="101"/>
    </row>
    <row r="9143" spans="1:1" x14ac:dyDescent="0.2">
      <c r="A9143" s="101"/>
    </row>
    <row r="9144" spans="1:1" x14ac:dyDescent="0.2">
      <c r="A9144" s="101"/>
    </row>
    <row r="9145" spans="1:1" x14ac:dyDescent="0.2">
      <c r="A9145" s="101"/>
    </row>
    <row r="9146" spans="1:1" x14ac:dyDescent="0.2">
      <c r="A9146" s="101"/>
    </row>
    <row r="9147" spans="1:1" x14ac:dyDescent="0.2">
      <c r="A9147" s="101"/>
    </row>
    <row r="9148" spans="1:1" x14ac:dyDescent="0.2">
      <c r="A9148" s="101"/>
    </row>
    <row r="9149" spans="1:1" x14ac:dyDescent="0.2">
      <c r="A9149" s="101"/>
    </row>
    <row r="9150" spans="1:1" x14ac:dyDescent="0.2">
      <c r="A9150" s="101"/>
    </row>
    <row r="9151" spans="1:1" x14ac:dyDescent="0.2">
      <c r="A9151" s="101"/>
    </row>
    <row r="9152" spans="1:1" x14ac:dyDescent="0.2">
      <c r="A9152" s="101"/>
    </row>
    <row r="9153" spans="1:1" x14ac:dyDescent="0.2">
      <c r="A9153" s="101"/>
    </row>
    <row r="9154" spans="1:1" x14ac:dyDescent="0.2">
      <c r="A9154" s="101"/>
    </row>
    <row r="9155" spans="1:1" x14ac:dyDescent="0.2">
      <c r="A9155" s="101"/>
    </row>
    <row r="9156" spans="1:1" x14ac:dyDescent="0.2">
      <c r="A9156" s="101"/>
    </row>
    <row r="9157" spans="1:1" x14ac:dyDescent="0.2">
      <c r="A9157" s="101"/>
    </row>
    <row r="9158" spans="1:1" x14ac:dyDescent="0.2">
      <c r="A9158" s="101"/>
    </row>
    <row r="9159" spans="1:1" x14ac:dyDescent="0.2">
      <c r="A9159" s="101"/>
    </row>
    <row r="9160" spans="1:1" x14ac:dyDescent="0.2">
      <c r="A9160" s="101"/>
    </row>
    <row r="9161" spans="1:1" x14ac:dyDescent="0.2">
      <c r="A9161" s="101"/>
    </row>
    <row r="9162" spans="1:1" x14ac:dyDescent="0.2">
      <c r="A9162" s="101"/>
    </row>
    <row r="9163" spans="1:1" x14ac:dyDescent="0.2">
      <c r="A9163" s="101"/>
    </row>
    <row r="9164" spans="1:1" x14ac:dyDescent="0.2">
      <c r="A9164" s="101"/>
    </row>
    <row r="9165" spans="1:1" x14ac:dyDescent="0.2">
      <c r="A9165" s="101"/>
    </row>
    <row r="9166" spans="1:1" x14ac:dyDescent="0.2">
      <c r="A9166" s="101"/>
    </row>
    <row r="9167" spans="1:1" x14ac:dyDescent="0.2">
      <c r="A9167" s="101"/>
    </row>
    <row r="9168" spans="1:1" x14ac:dyDescent="0.2">
      <c r="A9168" s="101"/>
    </row>
    <row r="9169" spans="1:1" x14ac:dyDescent="0.2">
      <c r="A9169" s="101"/>
    </row>
    <row r="9170" spans="1:1" x14ac:dyDescent="0.2">
      <c r="A9170" s="101"/>
    </row>
    <row r="9171" spans="1:1" x14ac:dyDescent="0.2">
      <c r="A9171" s="101"/>
    </row>
    <row r="9172" spans="1:1" x14ac:dyDescent="0.2">
      <c r="A9172" s="101"/>
    </row>
    <row r="9173" spans="1:1" x14ac:dyDescent="0.2">
      <c r="A9173" s="101"/>
    </row>
    <row r="9174" spans="1:1" x14ac:dyDescent="0.2">
      <c r="A9174" s="101"/>
    </row>
    <row r="9175" spans="1:1" x14ac:dyDescent="0.2">
      <c r="A9175" s="101"/>
    </row>
    <row r="9176" spans="1:1" x14ac:dyDescent="0.2">
      <c r="A9176" s="101"/>
    </row>
    <row r="9177" spans="1:1" x14ac:dyDescent="0.2">
      <c r="A9177" s="101"/>
    </row>
    <row r="9178" spans="1:1" x14ac:dyDescent="0.2">
      <c r="A9178" s="101"/>
    </row>
    <row r="9179" spans="1:1" x14ac:dyDescent="0.2">
      <c r="A9179" s="101"/>
    </row>
    <row r="9180" spans="1:1" x14ac:dyDescent="0.2">
      <c r="A9180" s="101"/>
    </row>
    <row r="9181" spans="1:1" x14ac:dyDescent="0.2">
      <c r="A9181" s="101"/>
    </row>
    <row r="9182" spans="1:1" x14ac:dyDescent="0.2">
      <c r="A9182" s="101"/>
    </row>
    <row r="9183" spans="1:1" x14ac:dyDescent="0.2">
      <c r="A9183" s="101"/>
    </row>
    <row r="9184" spans="1:1" x14ac:dyDescent="0.2">
      <c r="A9184" s="101"/>
    </row>
    <row r="9185" spans="1:1" x14ac:dyDescent="0.2">
      <c r="A9185" s="101"/>
    </row>
    <row r="9186" spans="1:1" x14ac:dyDescent="0.2">
      <c r="A9186" s="101"/>
    </row>
    <row r="9187" spans="1:1" x14ac:dyDescent="0.2">
      <c r="A9187" s="101"/>
    </row>
    <row r="9188" spans="1:1" x14ac:dyDescent="0.2">
      <c r="A9188" s="101"/>
    </row>
    <row r="9189" spans="1:1" x14ac:dyDescent="0.2">
      <c r="A9189" s="101"/>
    </row>
    <row r="9190" spans="1:1" x14ac:dyDescent="0.2">
      <c r="A9190" s="101"/>
    </row>
    <row r="9191" spans="1:1" x14ac:dyDescent="0.2">
      <c r="A9191" s="101"/>
    </row>
    <row r="9192" spans="1:1" x14ac:dyDescent="0.2">
      <c r="A9192" s="101"/>
    </row>
    <row r="9193" spans="1:1" x14ac:dyDescent="0.2">
      <c r="A9193" s="101"/>
    </row>
    <row r="9194" spans="1:1" x14ac:dyDescent="0.2">
      <c r="A9194" s="101"/>
    </row>
    <row r="9195" spans="1:1" x14ac:dyDescent="0.2">
      <c r="A9195" s="101"/>
    </row>
    <row r="9196" spans="1:1" x14ac:dyDescent="0.2">
      <c r="A9196" s="101"/>
    </row>
    <row r="9197" spans="1:1" x14ac:dyDescent="0.2">
      <c r="A9197" s="101"/>
    </row>
    <row r="9198" spans="1:1" x14ac:dyDescent="0.2">
      <c r="A9198" s="101"/>
    </row>
    <row r="9199" spans="1:1" x14ac:dyDescent="0.2">
      <c r="A9199" s="101"/>
    </row>
    <row r="9200" spans="1:1" x14ac:dyDescent="0.2">
      <c r="A9200" s="101"/>
    </row>
    <row r="9201" spans="1:1" x14ac:dyDescent="0.2">
      <c r="A9201" s="101"/>
    </row>
    <row r="9202" spans="1:1" x14ac:dyDescent="0.2">
      <c r="A9202" s="101"/>
    </row>
    <row r="9203" spans="1:1" x14ac:dyDescent="0.2">
      <c r="A9203" s="101"/>
    </row>
    <row r="9204" spans="1:1" x14ac:dyDescent="0.2">
      <c r="A9204" s="101"/>
    </row>
    <row r="9205" spans="1:1" x14ac:dyDescent="0.2">
      <c r="A9205" s="101"/>
    </row>
    <row r="9206" spans="1:1" x14ac:dyDescent="0.2">
      <c r="A9206" s="101"/>
    </row>
    <row r="9207" spans="1:1" x14ac:dyDescent="0.2">
      <c r="A9207" s="101"/>
    </row>
    <row r="9208" spans="1:1" x14ac:dyDescent="0.2">
      <c r="A9208" s="101"/>
    </row>
    <row r="9209" spans="1:1" x14ac:dyDescent="0.2">
      <c r="A9209" s="101"/>
    </row>
    <row r="9210" spans="1:1" x14ac:dyDescent="0.2">
      <c r="A9210" s="101"/>
    </row>
    <row r="9211" spans="1:1" x14ac:dyDescent="0.2">
      <c r="A9211" s="101"/>
    </row>
    <row r="9212" spans="1:1" x14ac:dyDescent="0.2">
      <c r="A9212" s="101"/>
    </row>
    <row r="9213" spans="1:1" x14ac:dyDescent="0.2">
      <c r="A9213" s="101"/>
    </row>
    <row r="9214" spans="1:1" x14ac:dyDescent="0.2">
      <c r="A9214" s="101"/>
    </row>
    <row r="9215" spans="1:1" x14ac:dyDescent="0.2">
      <c r="A9215" s="101"/>
    </row>
    <row r="9216" spans="1:1" x14ac:dyDescent="0.2">
      <c r="A9216" s="101"/>
    </row>
    <row r="9217" spans="1:1" x14ac:dyDescent="0.2">
      <c r="A9217" s="101"/>
    </row>
    <row r="9218" spans="1:1" x14ac:dyDescent="0.2">
      <c r="A9218" s="101"/>
    </row>
    <row r="9219" spans="1:1" x14ac:dyDescent="0.2">
      <c r="A9219" s="101"/>
    </row>
    <row r="9220" spans="1:1" x14ac:dyDescent="0.2">
      <c r="A9220" s="101"/>
    </row>
    <row r="9221" spans="1:1" x14ac:dyDescent="0.2">
      <c r="A9221" s="101"/>
    </row>
    <row r="9222" spans="1:1" x14ac:dyDescent="0.2">
      <c r="A9222" s="101"/>
    </row>
    <row r="9223" spans="1:1" x14ac:dyDescent="0.2">
      <c r="A9223" s="101"/>
    </row>
    <row r="9224" spans="1:1" x14ac:dyDescent="0.2">
      <c r="A9224" s="101"/>
    </row>
    <row r="9225" spans="1:1" x14ac:dyDescent="0.2">
      <c r="A9225" s="101"/>
    </row>
    <row r="9226" spans="1:1" x14ac:dyDescent="0.2">
      <c r="A9226" s="101"/>
    </row>
    <row r="9227" spans="1:1" x14ac:dyDescent="0.2">
      <c r="A9227" s="101"/>
    </row>
    <row r="9228" spans="1:1" x14ac:dyDescent="0.2">
      <c r="A9228" s="101"/>
    </row>
    <row r="9229" spans="1:1" x14ac:dyDescent="0.2">
      <c r="A9229" s="101"/>
    </row>
    <row r="9230" spans="1:1" x14ac:dyDescent="0.2">
      <c r="A9230" s="101"/>
    </row>
    <row r="9231" spans="1:1" x14ac:dyDescent="0.2">
      <c r="A9231" s="101"/>
    </row>
    <row r="9232" spans="1:1" x14ac:dyDescent="0.2">
      <c r="A9232" s="101"/>
    </row>
    <row r="9233" spans="1:1" x14ac:dyDescent="0.2">
      <c r="A9233" s="101"/>
    </row>
    <row r="9234" spans="1:1" x14ac:dyDescent="0.2">
      <c r="A9234" s="101"/>
    </row>
    <row r="9235" spans="1:1" x14ac:dyDescent="0.2">
      <c r="A9235" s="101"/>
    </row>
    <row r="9236" spans="1:1" x14ac:dyDescent="0.2">
      <c r="A9236" s="101"/>
    </row>
    <row r="9237" spans="1:1" x14ac:dyDescent="0.2">
      <c r="A9237" s="101"/>
    </row>
    <row r="9238" spans="1:1" x14ac:dyDescent="0.2">
      <c r="A9238" s="101"/>
    </row>
    <row r="9239" spans="1:1" x14ac:dyDescent="0.2">
      <c r="A9239" s="101"/>
    </row>
    <row r="9240" spans="1:1" x14ac:dyDescent="0.2">
      <c r="A9240" s="101"/>
    </row>
    <row r="9241" spans="1:1" x14ac:dyDescent="0.2">
      <c r="A9241" s="101"/>
    </row>
    <row r="9242" spans="1:1" x14ac:dyDescent="0.2">
      <c r="A9242" s="101"/>
    </row>
    <row r="9243" spans="1:1" x14ac:dyDescent="0.2">
      <c r="A9243" s="101"/>
    </row>
    <row r="9244" spans="1:1" x14ac:dyDescent="0.2">
      <c r="A9244" s="101"/>
    </row>
    <row r="9245" spans="1:1" x14ac:dyDescent="0.2">
      <c r="A9245" s="101"/>
    </row>
    <row r="9246" spans="1:1" x14ac:dyDescent="0.2">
      <c r="A9246" s="101"/>
    </row>
    <row r="9247" spans="1:1" x14ac:dyDescent="0.2">
      <c r="A9247" s="101"/>
    </row>
    <row r="9248" spans="1:1" x14ac:dyDescent="0.2">
      <c r="A9248" s="101"/>
    </row>
    <row r="9249" spans="1:1" x14ac:dyDescent="0.2">
      <c r="A9249" s="101"/>
    </row>
    <row r="9250" spans="1:1" x14ac:dyDescent="0.2">
      <c r="A9250" s="101"/>
    </row>
    <row r="9251" spans="1:1" x14ac:dyDescent="0.2">
      <c r="A9251" s="101"/>
    </row>
    <row r="9252" spans="1:1" x14ac:dyDescent="0.2">
      <c r="A9252" s="101"/>
    </row>
    <row r="9253" spans="1:1" x14ac:dyDescent="0.2">
      <c r="A9253" s="101"/>
    </row>
    <row r="9254" spans="1:1" x14ac:dyDescent="0.2">
      <c r="A9254" s="101"/>
    </row>
    <row r="9255" spans="1:1" x14ac:dyDescent="0.2">
      <c r="A9255" s="101"/>
    </row>
    <row r="9256" spans="1:1" x14ac:dyDescent="0.2">
      <c r="A9256" s="101"/>
    </row>
    <row r="9257" spans="1:1" x14ac:dyDescent="0.2">
      <c r="A9257" s="101"/>
    </row>
    <row r="9258" spans="1:1" x14ac:dyDescent="0.2">
      <c r="A9258" s="101"/>
    </row>
    <row r="9259" spans="1:1" x14ac:dyDescent="0.2">
      <c r="A9259" s="101"/>
    </row>
    <row r="9260" spans="1:1" x14ac:dyDescent="0.2">
      <c r="A9260" s="101"/>
    </row>
    <row r="9261" spans="1:1" x14ac:dyDescent="0.2">
      <c r="A9261" s="101"/>
    </row>
    <row r="9262" spans="1:1" x14ac:dyDescent="0.2">
      <c r="A9262" s="101"/>
    </row>
    <row r="9263" spans="1:1" x14ac:dyDescent="0.2">
      <c r="A9263" s="101"/>
    </row>
    <row r="9264" spans="1:1" x14ac:dyDescent="0.2">
      <c r="A9264" s="101"/>
    </row>
    <row r="9265" spans="1:1" x14ac:dyDescent="0.2">
      <c r="A9265" s="101"/>
    </row>
    <row r="9266" spans="1:1" x14ac:dyDescent="0.2">
      <c r="A9266" s="101"/>
    </row>
    <row r="9267" spans="1:1" x14ac:dyDescent="0.2">
      <c r="A9267" s="101"/>
    </row>
    <row r="9268" spans="1:1" x14ac:dyDescent="0.2">
      <c r="A9268" s="101"/>
    </row>
    <row r="9269" spans="1:1" x14ac:dyDescent="0.2">
      <c r="A9269" s="101"/>
    </row>
    <row r="9270" spans="1:1" x14ac:dyDescent="0.2">
      <c r="A9270" s="101"/>
    </row>
    <row r="9271" spans="1:1" x14ac:dyDescent="0.2">
      <c r="A9271" s="101"/>
    </row>
    <row r="9272" spans="1:1" x14ac:dyDescent="0.2">
      <c r="A9272" s="101"/>
    </row>
    <row r="9273" spans="1:1" x14ac:dyDescent="0.2">
      <c r="A9273" s="101"/>
    </row>
    <row r="9274" spans="1:1" x14ac:dyDescent="0.2">
      <c r="A9274" s="101"/>
    </row>
    <row r="9275" spans="1:1" x14ac:dyDescent="0.2">
      <c r="A9275" s="101"/>
    </row>
    <row r="9276" spans="1:1" x14ac:dyDescent="0.2">
      <c r="A9276" s="101"/>
    </row>
    <row r="9277" spans="1:1" x14ac:dyDescent="0.2">
      <c r="A9277" s="101"/>
    </row>
    <row r="9278" spans="1:1" x14ac:dyDescent="0.2">
      <c r="A9278" s="101"/>
    </row>
    <row r="9279" spans="1:1" x14ac:dyDescent="0.2">
      <c r="A9279" s="101"/>
    </row>
    <row r="9280" spans="1:1" x14ac:dyDescent="0.2">
      <c r="A9280" s="101"/>
    </row>
    <row r="9281" spans="1:1" x14ac:dyDescent="0.2">
      <c r="A9281" s="101"/>
    </row>
    <row r="9282" spans="1:1" x14ac:dyDescent="0.2">
      <c r="A9282" s="101"/>
    </row>
    <row r="9283" spans="1:1" x14ac:dyDescent="0.2">
      <c r="A9283" s="101"/>
    </row>
    <row r="9284" spans="1:1" x14ac:dyDescent="0.2">
      <c r="A9284" s="101"/>
    </row>
    <row r="9285" spans="1:1" x14ac:dyDescent="0.2">
      <c r="A9285" s="101"/>
    </row>
    <row r="9286" spans="1:1" x14ac:dyDescent="0.2">
      <c r="A9286" s="101"/>
    </row>
    <row r="9287" spans="1:1" x14ac:dyDescent="0.2">
      <c r="A9287" s="101"/>
    </row>
    <row r="9288" spans="1:1" x14ac:dyDescent="0.2">
      <c r="A9288" s="101"/>
    </row>
    <row r="9289" spans="1:1" x14ac:dyDescent="0.2">
      <c r="A9289" s="101"/>
    </row>
    <row r="9290" spans="1:1" x14ac:dyDescent="0.2">
      <c r="A9290" s="101"/>
    </row>
    <row r="9291" spans="1:1" x14ac:dyDescent="0.2">
      <c r="A9291" s="101"/>
    </row>
    <row r="9292" spans="1:1" x14ac:dyDescent="0.2">
      <c r="A9292" s="101"/>
    </row>
    <row r="9293" spans="1:1" x14ac:dyDescent="0.2">
      <c r="A9293" s="101"/>
    </row>
    <row r="9294" spans="1:1" x14ac:dyDescent="0.2">
      <c r="A9294" s="101"/>
    </row>
    <row r="9295" spans="1:1" x14ac:dyDescent="0.2">
      <c r="A9295" s="101"/>
    </row>
    <row r="9296" spans="1:1" x14ac:dyDescent="0.2">
      <c r="A9296" s="101"/>
    </row>
    <row r="9297" spans="1:1" x14ac:dyDescent="0.2">
      <c r="A9297" s="101"/>
    </row>
    <row r="9298" spans="1:1" x14ac:dyDescent="0.2">
      <c r="A9298" s="101"/>
    </row>
    <row r="9299" spans="1:1" x14ac:dyDescent="0.2">
      <c r="A9299" s="101"/>
    </row>
    <row r="9300" spans="1:1" x14ac:dyDescent="0.2">
      <c r="A9300" s="101"/>
    </row>
    <row r="9301" spans="1:1" x14ac:dyDescent="0.2">
      <c r="A9301" s="101"/>
    </row>
    <row r="9302" spans="1:1" x14ac:dyDescent="0.2">
      <c r="A9302" s="101"/>
    </row>
    <row r="9303" spans="1:1" x14ac:dyDescent="0.2">
      <c r="A9303" s="101"/>
    </row>
    <row r="9304" spans="1:1" x14ac:dyDescent="0.2">
      <c r="A9304" s="101"/>
    </row>
    <row r="9305" spans="1:1" x14ac:dyDescent="0.2">
      <c r="A9305" s="101"/>
    </row>
    <row r="9306" spans="1:1" x14ac:dyDescent="0.2">
      <c r="A9306" s="101"/>
    </row>
    <row r="9307" spans="1:1" x14ac:dyDescent="0.2">
      <c r="A9307" s="101"/>
    </row>
    <row r="9308" spans="1:1" x14ac:dyDescent="0.2">
      <c r="A9308" s="101"/>
    </row>
    <row r="9309" spans="1:1" x14ac:dyDescent="0.2">
      <c r="A9309" s="101"/>
    </row>
    <row r="9310" spans="1:1" x14ac:dyDescent="0.2">
      <c r="A9310" s="101"/>
    </row>
    <row r="9311" spans="1:1" x14ac:dyDescent="0.2">
      <c r="A9311" s="101"/>
    </row>
    <row r="9312" spans="1:1" x14ac:dyDescent="0.2">
      <c r="A9312" s="101"/>
    </row>
    <row r="9313" spans="1:1" x14ac:dyDescent="0.2">
      <c r="A9313" s="101"/>
    </row>
    <row r="9314" spans="1:1" x14ac:dyDescent="0.2">
      <c r="A9314" s="101"/>
    </row>
    <row r="9315" spans="1:1" x14ac:dyDescent="0.2">
      <c r="A9315" s="101"/>
    </row>
    <row r="9316" spans="1:1" x14ac:dyDescent="0.2">
      <c r="A9316" s="101"/>
    </row>
    <row r="9317" spans="1:1" x14ac:dyDescent="0.2">
      <c r="A9317" s="101"/>
    </row>
    <row r="9318" spans="1:1" x14ac:dyDescent="0.2">
      <c r="A9318" s="101"/>
    </row>
    <row r="9319" spans="1:1" x14ac:dyDescent="0.2">
      <c r="A9319" s="101"/>
    </row>
    <row r="9320" spans="1:1" x14ac:dyDescent="0.2">
      <c r="A9320" s="101"/>
    </row>
    <row r="9321" spans="1:1" x14ac:dyDescent="0.2">
      <c r="A9321" s="101"/>
    </row>
    <row r="9322" spans="1:1" x14ac:dyDescent="0.2">
      <c r="A9322" s="101"/>
    </row>
    <row r="9323" spans="1:1" x14ac:dyDescent="0.2">
      <c r="A9323" s="101"/>
    </row>
    <row r="9324" spans="1:1" x14ac:dyDescent="0.2">
      <c r="A9324" s="101"/>
    </row>
    <row r="9325" spans="1:1" x14ac:dyDescent="0.2">
      <c r="A9325" s="101"/>
    </row>
    <row r="9326" spans="1:1" x14ac:dyDescent="0.2">
      <c r="A9326" s="101"/>
    </row>
    <row r="9327" spans="1:1" x14ac:dyDescent="0.2">
      <c r="A9327" s="101"/>
    </row>
    <row r="9328" spans="1:1" x14ac:dyDescent="0.2">
      <c r="A9328" s="101"/>
    </row>
    <row r="9329" spans="1:1" x14ac:dyDescent="0.2">
      <c r="A9329" s="101"/>
    </row>
    <row r="9330" spans="1:1" x14ac:dyDescent="0.2">
      <c r="A9330" s="101"/>
    </row>
    <row r="9331" spans="1:1" x14ac:dyDescent="0.2">
      <c r="A9331" s="101"/>
    </row>
    <row r="9332" spans="1:1" x14ac:dyDescent="0.2">
      <c r="A9332" s="101"/>
    </row>
    <row r="9333" spans="1:1" x14ac:dyDescent="0.2">
      <c r="A9333" s="101"/>
    </row>
    <row r="9334" spans="1:1" x14ac:dyDescent="0.2">
      <c r="A9334" s="101"/>
    </row>
    <row r="9335" spans="1:1" x14ac:dyDescent="0.2">
      <c r="A9335" s="101"/>
    </row>
    <row r="9336" spans="1:1" x14ac:dyDescent="0.2">
      <c r="A9336" s="101"/>
    </row>
    <row r="9337" spans="1:1" x14ac:dyDescent="0.2">
      <c r="A9337" s="101"/>
    </row>
    <row r="9338" spans="1:1" x14ac:dyDescent="0.2">
      <c r="A9338" s="101"/>
    </row>
    <row r="9339" spans="1:1" x14ac:dyDescent="0.2">
      <c r="A9339" s="101"/>
    </row>
    <row r="9340" spans="1:1" x14ac:dyDescent="0.2">
      <c r="A9340" s="101"/>
    </row>
    <row r="9341" spans="1:1" x14ac:dyDescent="0.2">
      <c r="A9341" s="101"/>
    </row>
    <row r="9342" spans="1:1" x14ac:dyDescent="0.2">
      <c r="A9342" s="101"/>
    </row>
    <row r="9343" spans="1:1" x14ac:dyDescent="0.2">
      <c r="A9343" s="101"/>
    </row>
    <row r="9344" spans="1:1" x14ac:dyDescent="0.2">
      <c r="A9344" s="101"/>
    </row>
    <row r="9345" spans="1:1" x14ac:dyDescent="0.2">
      <c r="A9345" s="101"/>
    </row>
    <row r="9346" spans="1:1" x14ac:dyDescent="0.2">
      <c r="A9346" s="101"/>
    </row>
    <row r="9347" spans="1:1" x14ac:dyDescent="0.2">
      <c r="A9347" s="101"/>
    </row>
    <row r="9348" spans="1:1" x14ac:dyDescent="0.2">
      <c r="A9348" s="101"/>
    </row>
    <row r="9349" spans="1:1" x14ac:dyDescent="0.2">
      <c r="A9349" s="101"/>
    </row>
    <row r="9350" spans="1:1" x14ac:dyDescent="0.2">
      <c r="A9350" s="101"/>
    </row>
    <row r="9351" spans="1:1" x14ac:dyDescent="0.2">
      <c r="A9351" s="101"/>
    </row>
    <row r="9352" spans="1:1" x14ac:dyDescent="0.2">
      <c r="A9352" s="101"/>
    </row>
    <row r="9353" spans="1:1" x14ac:dyDescent="0.2">
      <c r="A9353" s="101"/>
    </row>
    <row r="9354" spans="1:1" x14ac:dyDescent="0.2">
      <c r="A9354" s="101"/>
    </row>
    <row r="9355" spans="1:1" x14ac:dyDescent="0.2">
      <c r="A9355" s="101"/>
    </row>
    <row r="9356" spans="1:1" x14ac:dyDescent="0.2">
      <c r="A9356" s="101"/>
    </row>
    <row r="9357" spans="1:1" x14ac:dyDescent="0.2">
      <c r="A9357" s="101"/>
    </row>
    <row r="9358" spans="1:1" x14ac:dyDescent="0.2">
      <c r="A9358" s="101"/>
    </row>
    <row r="9359" spans="1:1" x14ac:dyDescent="0.2">
      <c r="A9359" s="101"/>
    </row>
    <row r="9360" spans="1:1" x14ac:dyDescent="0.2">
      <c r="A9360" s="101"/>
    </row>
    <row r="9361" spans="1:1" x14ac:dyDescent="0.2">
      <c r="A9361" s="101"/>
    </row>
    <row r="9362" spans="1:1" x14ac:dyDescent="0.2">
      <c r="A9362" s="101"/>
    </row>
    <row r="9363" spans="1:1" x14ac:dyDescent="0.2">
      <c r="A9363" s="101"/>
    </row>
    <row r="9364" spans="1:1" x14ac:dyDescent="0.2">
      <c r="A9364" s="101"/>
    </row>
    <row r="9365" spans="1:1" x14ac:dyDescent="0.2">
      <c r="A9365" s="101"/>
    </row>
    <row r="9366" spans="1:1" x14ac:dyDescent="0.2">
      <c r="A9366" s="101"/>
    </row>
    <row r="9367" spans="1:1" x14ac:dyDescent="0.2">
      <c r="A9367" s="101"/>
    </row>
    <row r="9368" spans="1:1" x14ac:dyDescent="0.2">
      <c r="A9368" s="101"/>
    </row>
    <row r="9369" spans="1:1" x14ac:dyDescent="0.2">
      <c r="A9369" s="101"/>
    </row>
    <row r="9370" spans="1:1" x14ac:dyDescent="0.2">
      <c r="A9370" s="101"/>
    </row>
    <row r="9371" spans="1:1" x14ac:dyDescent="0.2">
      <c r="A9371" s="101"/>
    </row>
    <row r="9372" spans="1:1" x14ac:dyDescent="0.2">
      <c r="A9372" s="101"/>
    </row>
    <row r="9373" spans="1:1" x14ac:dyDescent="0.2">
      <c r="A9373" s="101"/>
    </row>
    <row r="9374" spans="1:1" x14ac:dyDescent="0.2">
      <c r="A9374" s="101"/>
    </row>
    <row r="9375" spans="1:1" x14ac:dyDescent="0.2">
      <c r="A9375" s="101"/>
    </row>
    <row r="9376" spans="1:1" x14ac:dyDescent="0.2">
      <c r="A9376" s="101"/>
    </row>
    <row r="9377" spans="1:1" x14ac:dyDescent="0.2">
      <c r="A9377" s="101"/>
    </row>
    <row r="9378" spans="1:1" x14ac:dyDescent="0.2">
      <c r="A9378" s="101"/>
    </row>
    <row r="9379" spans="1:1" x14ac:dyDescent="0.2">
      <c r="A9379" s="101"/>
    </row>
    <row r="9380" spans="1:1" x14ac:dyDescent="0.2">
      <c r="A9380" s="101"/>
    </row>
    <row r="9381" spans="1:1" x14ac:dyDescent="0.2">
      <c r="A9381" s="101"/>
    </row>
    <row r="9382" spans="1:1" x14ac:dyDescent="0.2">
      <c r="A9382" s="101"/>
    </row>
    <row r="9383" spans="1:1" x14ac:dyDescent="0.2">
      <c r="A9383" s="101"/>
    </row>
    <row r="9384" spans="1:1" x14ac:dyDescent="0.2">
      <c r="A9384" s="101"/>
    </row>
    <row r="9385" spans="1:1" x14ac:dyDescent="0.2">
      <c r="A9385" s="101"/>
    </row>
    <row r="9386" spans="1:1" x14ac:dyDescent="0.2">
      <c r="A9386" s="101"/>
    </row>
    <row r="9387" spans="1:1" x14ac:dyDescent="0.2">
      <c r="A9387" s="101"/>
    </row>
    <row r="9388" spans="1:1" x14ac:dyDescent="0.2">
      <c r="A9388" s="101"/>
    </row>
    <row r="9389" spans="1:1" x14ac:dyDescent="0.2">
      <c r="A9389" s="101"/>
    </row>
    <row r="9390" spans="1:1" x14ac:dyDescent="0.2">
      <c r="A9390" s="101"/>
    </row>
    <row r="9391" spans="1:1" x14ac:dyDescent="0.2">
      <c r="A9391" s="101"/>
    </row>
    <row r="9392" spans="1:1" x14ac:dyDescent="0.2">
      <c r="A9392" s="101"/>
    </row>
    <row r="9393" spans="1:1" x14ac:dyDescent="0.2">
      <c r="A9393" s="101"/>
    </row>
    <row r="9394" spans="1:1" x14ac:dyDescent="0.2">
      <c r="A9394" s="101"/>
    </row>
    <row r="9395" spans="1:1" x14ac:dyDescent="0.2">
      <c r="A9395" s="101"/>
    </row>
    <row r="9396" spans="1:1" x14ac:dyDescent="0.2">
      <c r="A9396" s="101"/>
    </row>
    <row r="9397" spans="1:1" x14ac:dyDescent="0.2">
      <c r="A9397" s="101"/>
    </row>
    <row r="9398" spans="1:1" x14ac:dyDescent="0.2">
      <c r="A9398" s="101"/>
    </row>
    <row r="9399" spans="1:1" x14ac:dyDescent="0.2">
      <c r="A9399" s="101"/>
    </row>
    <row r="9400" spans="1:1" x14ac:dyDescent="0.2">
      <c r="A9400" s="101"/>
    </row>
    <row r="9401" spans="1:1" x14ac:dyDescent="0.2">
      <c r="A9401" s="101"/>
    </row>
    <row r="9402" spans="1:1" x14ac:dyDescent="0.2">
      <c r="A9402" s="101"/>
    </row>
    <row r="9403" spans="1:1" x14ac:dyDescent="0.2">
      <c r="A9403" s="101"/>
    </row>
    <row r="9404" spans="1:1" x14ac:dyDescent="0.2">
      <c r="A9404" s="101"/>
    </row>
    <row r="9405" spans="1:1" x14ac:dyDescent="0.2">
      <c r="A9405" s="101"/>
    </row>
    <row r="9406" spans="1:1" x14ac:dyDescent="0.2">
      <c r="A9406" s="101"/>
    </row>
    <row r="9407" spans="1:1" x14ac:dyDescent="0.2">
      <c r="A9407" s="101"/>
    </row>
    <row r="9408" spans="1:1" x14ac:dyDescent="0.2">
      <c r="A9408" s="101"/>
    </row>
    <row r="9409" spans="1:1" x14ac:dyDescent="0.2">
      <c r="A9409" s="101"/>
    </row>
    <row r="9410" spans="1:1" x14ac:dyDescent="0.2">
      <c r="A9410" s="101"/>
    </row>
    <row r="9411" spans="1:1" x14ac:dyDescent="0.2">
      <c r="A9411" s="101"/>
    </row>
    <row r="9412" spans="1:1" x14ac:dyDescent="0.2">
      <c r="A9412" s="101"/>
    </row>
    <row r="9413" spans="1:1" x14ac:dyDescent="0.2">
      <c r="A9413" s="101"/>
    </row>
    <row r="9414" spans="1:1" x14ac:dyDescent="0.2">
      <c r="A9414" s="101"/>
    </row>
    <row r="9415" spans="1:1" x14ac:dyDescent="0.2">
      <c r="A9415" s="101"/>
    </row>
    <row r="9416" spans="1:1" x14ac:dyDescent="0.2">
      <c r="A9416" s="101"/>
    </row>
    <row r="9417" spans="1:1" x14ac:dyDescent="0.2">
      <c r="A9417" s="101"/>
    </row>
    <row r="9418" spans="1:1" x14ac:dyDescent="0.2">
      <c r="A9418" s="101"/>
    </row>
    <row r="9419" spans="1:1" x14ac:dyDescent="0.2">
      <c r="A9419" s="101"/>
    </row>
    <row r="9420" spans="1:1" x14ac:dyDescent="0.2">
      <c r="A9420" s="101"/>
    </row>
    <row r="9421" spans="1:1" x14ac:dyDescent="0.2">
      <c r="A9421" s="101"/>
    </row>
    <row r="9422" spans="1:1" x14ac:dyDescent="0.2">
      <c r="A9422" s="101"/>
    </row>
    <row r="9423" spans="1:1" x14ac:dyDescent="0.2">
      <c r="A9423" s="101"/>
    </row>
    <row r="9424" spans="1:1" x14ac:dyDescent="0.2">
      <c r="A9424" s="101"/>
    </row>
    <row r="9425" spans="1:1" x14ac:dyDescent="0.2">
      <c r="A9425" s="101"/>
    </row>
    <row r="9426" spans="1:1" x14ac:dyDescent="0.2">
      <c r="A9426" s="101"/>
    </row>
    <row r="9427" spans="1:1" x14ac:dyDescent="0.2">
      <c r="A9427" s="101"/>
    </row>
    <row r="9428" spans="1:1" x14ac:dyDescent="0.2">
      <c r="A9428" s="101"/>
    </row>
    <row r="9429" spans="1:1" x14ac:dyDescent="0.2">
      <c r="A9429" s="101"/>
    </row>
    <row r="9430" spans="1:1" x14ac:dyDescent="0.2">
      <c r="A9430" s="101"/>
    </row>
    <row r="9431" spans="1:1" x14ac:dyDescent="0.2">
      <c r="A9431" s="101"/>
    </row>
    <row r="9432" spans="1:1" x14ac:dyDescent="0.2">
      <c r="A9432" s="101"/>
    </row>
    <row r="9433" spans="1:1" x14ac:dyDescent="0.2">
      <c r="A9433" s="101"/>
    </row>
    <row r="9434" spans="1:1" x14ac:dyDescent="0.2">
      <c r="A9434" s="101"/>
    </row>
    <row r="9435" spans="1:1" x14ac:dyDescent="0.2">
      <c r="A9435" s="101"/>
    </row>
    <row r="9436" spans="1:1" x14ac:dyDescent="0.2">
      <c r="A9436" s="101"/>
    </row>
    <row r="9437" spans="1:1" x14ac:dyDescent="0.2">
      <c r="A9437" s="101"/>
    </row>
    <row r="9438" spans="1:1" x14ac:dyDescent="0.2">
      <c r="A9438" s="101"/>
    </row>
    <row r="9439" spans="1:1" x14ac:dyDescent="0.2">
      <c r="A9439" s="101"/>
    </row>
    <row r="9440" spans="1:1" x14ac:dyDescent="0.2">
      <c r="A9440" s="101"/>
    </row>
    <row r="9441" spans="1:1" x14ac:dyDescent="0.2">
      <c r="A9441" s="101"/>
    </row>
    <row r="9442" spans="1:1" x14ac:dyDescent="0.2">
      <c r="A9442" s="101"/>
    </row>
    <row r="9443" spans="1:1" x14ac:dyDescent="0.2">
      <c r="A9443" s="101"/>
    </row>
    <row r="9444" spans="1:1" x14ac:dyDescent="0.2">
      <c r="A9444" s="101"/>
    </row>
    <row r="9445" spans="1:1" x14ac:dyDescent="0.2">
      <c r="A9445" s="101"/>
    </row>
    <row r="9446" spans="1:1" x14ac:dyDescent="0.2">
      <c r="A9446" s="101"/>
    </row>
    <row r="9447" spans="1:1" x14ac:dyDescent="0.2">
      <c r="A9447" s="101"/>
    </row>
    <row r="9448" spans="1:1" x14ac:dyDescent="0.2">
      <c r="A9448" s="101"/>
    </row>
    <row r="9449" spans="1:1" x14ac:dyDescent="0.2">
      <c r="A9449" s="101"/>
    </row>
    <row r="9450" spans="1:1" x14ac:dyDescent="0.2">
      <c r="A9450" s="101"/>
    </row>
    <row r="9451" spans="1:1" x14ac:dyDescent="0.2">
      <c r="A9451" s="101"/>
    </row>
    <row r="9452" spans="1:1" x14ac:dyDescent="0.2">
      <c r="A9452" s="101"/>
    </row>
    <row r="9453" spans="1:1" x14ac:dyDescent="0.2">
      <c r="A9453" s="101"/>
    </row>
    <row r="9454" spans="1:1" x14ac:dyDescent="0.2">
      <c r="A9454" s="101"/>
    </row>
    <row r="9455" spans="1:1" x14ac:dyDescent="0.2">
      <c r="A9455" s="101"/>
    </row>
    <row r="9456" spans="1:1" x14ac:dyDescent="0.2">
      <c r="A9456" s="101"/>
    </row>
    <row r="9457" spans="1:1" x14ac:dyDescent="0.2">
      <c r="A9457" s="101"/>
    </row>
    <row r="9458" spans="1:1" x14ac:dyDescent="0.2">
      <c r="A9458" s="101"/>
    </row>
    <row r="9459" spans="1:1" x14ac:dyDescent="0.2">
      <c r="A9459" s="101"/>
    </row>
    <row r="9460" spans="1:1" x14ac:dyDescent="0.2">
      <c r="A9460" s="101"/>
    </row>
    <row r="9461" spans="1:1" x14ac:dyDescent="0.2">
      <c r="A9461" s="101"/>
    </row>
    <row r="9462" spans="1:1" x14ac:dyDescent="0.2">
      <c r="A9462" s="101"/>
    </row>
    <row r="9463" spans="1:1" x14ac:dyDescent="0.2">
      <c r="A9463" s="101"/>
    </row>
    <row r="9464" spans="1:1" x14ac:dyDescent="0.2">
      <c r="A9464" s="101"/>
    </row>
    <row r="9465" spans="1:1" x14ac:dyDescent="0.2">
      <c r="A9465" s="101"/>
    </row>
    <row r="9466" spans="1:1" x14ac:dyDescent="0.2">
      <c r="A9466" s="101"/>
    </row>
    <row r="9467" spans="1:1" x14ac:dyDescent="0.2">
      <c r="A9467" s="101"/>
    </row>
    <row r="9468" spans="1:1" x14ac:dyDescent="0.2">
      <c r="A9468" s="101"/>
    </row>
    <row r="9469" spans="1:1" x14ac:dyDescent="0.2">
      <c r="A9469" s="101"/>
    </row>
    <row r="9470" spans="1:1" x14ac:dyDescent="0.2">
      <c r="A9470" s="101"/>
    </row>
    <row r="9471" spans="1:1" x14ac:dyDescent="0.2">
      <c r="A9471" s="101"/>
    </row>
    <row r="9472" spans="1:1" x14ac:dyDescent="0.2">
      <c r="A9472" s="101"/>
    </row>
    <row r="9473" spans="1:1" x14ac:dyDescent="0.2">
      <c r="A9473" s="101"/>
    </row>
    <row r="9474" spans="1:1" x14ac:dyDescent="0.2">
      <c r="A9474" s="101"/>
    </row>
    <row r="9475" spans="1:1" x14ac:dyDescent="0.2">
      <c r="A9475" s="101"/>
    </row>
    <row r="9476" spans="1:1" x14ac:dyDescent="0.2">
      <c r="A9476" s="101"/>
    </row>
    <row r="9477" spans="1:1" x14ac:dyDescent="0.2">
      <c r="A9477" s="101"/>
    </row>
    <row r="9478" spans="1:1" x14ac:dyDescent="0.2">
      <c r="A9478" s="101"/>
    </row>
    <row r="9479" spans="1:1" x14ac:dyDescent="0.2">
      <c r="A9479" s="101"/>
    </row>
    <row r="9480" spans="1:1" x14ac:dyDescent="0.2">
      <c r="A9480" s="101"/>
    </row>
    <row r="9481" spans="1:1" x14ac:dyDescent="0.2">
      <c r="A9481" s="101"/>
    </row>
    <row r="9482" spans="1:1" x14ac:dyDescent="0.2">
      <c r="A9482" s="101"/>
    </row>
    <row r="9483" spans="1:1" x14ac:dyDescent="0.2">
      <c r="A9483" s="101"/>
    </row>
    <row r="9484" spans="1:1" x14ac:dyDescent="0.2">
      <c r="A9484" s="101"/>
    </row>
    <row r="9485" spans="1:1" x14ac:dyDescent="0.2">
      <c r="A9485" s="101"/>
    </row>
    <row r="9486" spans="1:1" x14ac:dyDescent="0.2">
      <c r="A9486" s="101"/>
    </row>
    <row r="9487" spans="1:1" x14ac:dyDescent="0.2">
      <c r="A9487" s="101"/>
    </row>
    <row r="9488" spans="1:1" x14ac:dyDescent="0.2">
      <c r="A9488" s="101"/>
    </row>
    <row r="9489" spans="1:1" x14ac:dyDescent="0.2">
      <c r="A9489" s="101"/>
    </row>
    <row r="9490" spans="1:1" x14ac:dyDescent="0.2">
      <c r="A9490" s="101"/>
    </row>
    <row r="9491" spans="1:1" x14ac:dyDescent="0.2">
      <c r="A9491" s="101"/>
    </row>
    <row r="9492" spans="1:1" x14ac:dyDescent="0.2">
      <c r="A9492" s="101"/>
    </row>
    <row r="9493" spans="1:1" x14ac:dyDescent="0.2">
      <c r="A9493" s="101"/>
    </row>
    <row r="9494" spans="1:1" x14ac:dyDescent="0.2">
      <c r="A9494" s="101"/>
    </row>
    <row r="9495" spans="1:1" x14ac:dyDescent="0.2">
      <c r="A9495" s="101"/>
    </row>
    <row r="9496" spans="1:1" x14ac:dyDescent="0.2">
      <c r="A9496" s="101"/>
    </row>
    <row r="9497" spans="1:1" x14ac:dyDescent="0.2">
      <c r="A9497" s="101"/>
    </row>
    <row r="9498" spans="1:1" x14ac:dyDescent="0.2">
      <c r="A9498" s="101"/>
    </row>
    <row r="9499" spans="1:1" x14ac:dyDescent="0.2">
      <c r="A9499" s="101"/>
    </row>
    <row r="9500" spans="1:1" x14ac:dyDescent="0.2">
      <c r="A9500" s="101"/>
    </row>
    <row r="9501" spans="1:1" x14ac:dyDescent="0.2">
      <c r="A9501" s="101"/>
    </row>
    <row r="9502" spans="1:1" x14ac:dyDescent="0.2">
      <c r="A9502" s="101"/>
    </row>
    <row r="9503" spans="1:1" x14ac:dyDescent="0.2">
      <c r="A9503" s="101"/>
    </row>
    <row r="9504" spans="1:1" x14ac:dyDescent="0.2">
      <c r="A9504" s="101"/>
    </row>
    <row r="9505" spans="1:1" x14ac:dyDescent="0.2">
      <c r="A9505" s="101"/>
    </row>
    <row r="9506" spans="1:1" x14ac:dyDescent="0.2">
      <c r="A9506" s="101"/>
    </row>
    <row r="9507" spans="1:1" x14ac:dyDescent="0.2">
      <c r="A9507" s="101"/>
    </row>
    <row r="9508" spans="1:1" x14ac:dyDescent="0.2">
      <c r="A9508" s="101"/>
    </row>
    <row r="9509" spans="1:1" x14ac:dyDescent="0.2">
      <c r="A9509" s="101"/>
    </row>
    <row r="9510" spans="1:1" x14ac:dyDescent="0.2">
      <c r="A9510" s="101"/>
    </row>
    <row r="9511" spans="1:1" x14ac:dyDescent="0.2">
      <c r="A9511" s="101"/>
    </row>
    <row r="9512" spans="1:1" x14ac:dyDescent="0.2">
      <c r="A9512" s="101"/>
    </row>
    <row r="9513" spans="1:1" x14ac:dyDescent="0.2">
      <c r="A9513" s="101"/>
    </row>
    <row r="9514" spans="1:1" x14ac:dyDescent="0.2">
      <c r="A9514" s="101"/>
    </row>
    <row r="9515" spans="1:1" x14ac:dyDescent="0.2">
      <c r="A9515" s="101"/>
    </row>
    <row r="9516" spans="1:1" x14ac:dyDescent="0.2">
      <c r="A9516" s="101"/>
    </row>
    <row r="9517" spans="1:1" x14ac:dyDescent="0.2">
      <c r="A9517" s="101"/>
    </row>
    <row r="9518" spans="1:1" x14ac:dyDescent="0.2">
      <c r="A9518" s="101"/>
    </row>
    <row r="9519" spans="1:1" x14ac:dyDescent="0.2">
      <c r="A9519" s="101"/>
    </row>
    <row r="9520" spans="1:1" x14ac:dyDescent="0.2">
      <c r="A9520" s="101"/>
    </row>
    <row r="9521" spans="1:1" x14ac:dyDescent="0.2">
      <c r="A9521" s="101"/>
    </row>
    <row r="9522" spans="1:1" x14ac:dyDescent="0.2">
      <c r="A9522" s="101"/>
    </row>
    <row r="9523" spans="1:1" x14ac:dyDescent="0.2">
      <c r="A9523" s="101"/>
    </row>
    <row r="9524" spans="1:1" x14ac:dyDescent="0.2">
      <c r="A9524" s="101"/>
    </row>
    <row r="9525" spans="1:1" x14ac:dyDescent="0.2">
      <c r="A9525" s="101"/>
    </row>
    <row r="9526" spans="1:1" x14ac:dyDescent="0.2">
      <c r="A9526" s="101"/>
    </row>
    <row r="9527" spans="1:1" x14ac:dyDescent="0.2">
      <c r="A9527" s="101"/>
    </row>
    <row r="9528" spans="1:1" x14ac:dyDescent="0.2">
      <c r="A9528" s="101"/>
    </row>
    <row r="9529" spans="1:1" x14ac:dyDescent="0.2">
      <c r="A9529" s="101"/>
    </row>
    <row r="9530" spans="1:1" x14ac:dyDescent="0.2">
      <c r="A9530" s="101"/>
    </row>
    <row r="9531" spans="1:1" x14ac:dyDescent="0.2">
      <c r="A9531" s="101"/>
    </row>
    <row r="9532" spans="1:1" x14ac:dyDescent="0.2">
      <c r="A9532" s="101"/>
    </row>
    <row r="9533" spans="1:1" x14ac:dyDescent="0.2">
      <c r="A9533" s="101"/>
    </row>
    <row r="9534" spans="1:1" x14ac:dyDescent="0.2">
      <c r="A9534" s="101"/>
    </row>
    <row r="9535" spans="1:1" x14ac:dyDescent="0.2">
      <c r="A9535" s="101"/>
    </row>
    <row r="9536" spans="1:1" x14ac:dyDescent="0.2">
      <c r="A9536" s="101"/>
    </row>
    <row r="9537" spans="1:1" x14ac:dyDescent="0.2">
      <c r="A9537" s="101"/>
    </row>
    <row r="9538" spans="1:1" x14ac:dyDescent="0.2">
      <c r="A9538" s="101"/>
    </row>
    <row r="9539" spans="1:1" x14ac:dyDescent="0.2">
      <c r="A9539" s="101"/>
    </row>
    <row r="9540" spans="1:1" x14ac:dyDescent="0.2">
      <c r="A9540" s="101"/>
    </row>
    <row r="9541" spans="1:1" x14ac:dyDescent="0.2">
      <c r="A9541" s="101"/>
    </row>
    <row r="9542" spans="1:1" x14ac:dyDescent="0.2">
      <c r="A9542" s="101"/>
    </row>
    <row r="9543" spans="1:1" x14ac:dyDescent="0.2">
      <c r="A9543" s="101"/>
    </row>
    <row r="9544" spans="1:1" x14ac:dyDescent="0.2">
      <c r="A9544" s="101"/>
    </row>
    <row r="9545" spans="1:1" x14ac:dyDescent="0.2">
      <c r="A9545" s="101"/>
    </row>
    <row r="9546" spans="1:1" x14ac:dyDescent="0.2">
      <c r="A9546" s="101"/>
    </row>
    <row r="9547" spans="1:1" x14ac:dyDescent="0.2">
      <c r="A9547" s="101"/>
    </row>
    <row r="9548" spans="1:1" x14ac:dyDescent="0.2">
      <c r="A9548" s="101"/>
    </row>
    <row r="9549" spans="1:1" x14ac:dyDescent="0.2">
      <c r="A9549" s="101"/>
    </row>
    <row r="9550" spans="1:1" x14ac:dyDescent="0.2">
      <c r="A9550" s="101"/>
    </row>
    <row r="9551" spans="1:1" x14ac:dyDescent="0.2">
      <c r="A9551" s="101"/>
    </row>
    <row r="9552" spans="1:1" x14ac:dyDescent="0.2">
      <c r="A9552" s="101"/>
    </row>
    <row r="9553" spans="1:1" x14ac:dyDescent="0.2">
      <c r="A9553" s="101"/>
    </row>
    <row r="9554" spans="1:1" x14ac:dyDescent="0.2">
      <c r="A9554" s="101"/>
    </row>
    <row r="9555" spans="1:1" x14ac:dyDescent="0.2">
      <c r="A9555" s="101"/>
    </row>
    <row r="9556" spans="1:1" x14ac:dyDescent="0.2">
      <c r="A9556" s="101"/>
    </row>
    <row r="9557" spans="1:1" x14ac:dyDescent="0.2">
      <c r="A9557" s="101"/>
    </row>
    <row r="9558" spans="1:1" x14ac:dyDescent="0.2">
      <c r="A9558" s="101"/>
    </row>
    <row r="9559" spans="1:1" x14ac:dyDescent="0.2">
      <c r="A9559" s="101"/>
    </row>
    <row r="9560" spans="1:1" x14ac:dyDescent="0.2">
      <c r="A9560" s="101"/>
    </row>
    <row r="9561" spans="1:1" x14ac:dyDescent="0.2">
      <c r="A9561" s="101"/>
    </row>
    <row r="9562" spans="1:1" x14ac:dyDescent="0.2">
      <c r="A9562" s="101"/>
    </row>
    <row r="9563" spans="1:1" x14ac:dyDescent="0.2">
      <c r="A9563" s="101"/>
    </row>
    <row r="9564" spans="1:1" x14ac:dyDescent="0.2">
      <c r="A9564" s="101"/>
    </row>
    <row r="9565" spans="1:1" x14ac:dyDescent="0.2">
      <c r="A9565" s="101"/>
    </row>
    <row r="9566" spans="1:1" x14ac:dyDescent="0.2">
      <c r="A9566" s="101"/>
    </row>
    <row r="9567" spans="1:1" x14ac:dyDescent="0.2">
      <c r="A9567" s="101"/>
    </row>
    <row r="9568" spans="1:1" x14ac:dyDescent="0.2">
      <c r="A9568" s="101"/>
    </row>
    <row r="9569" spans="1:1" x14ac:dyDescent="0.2">
      <c r="A9569" s="101"/>
    </row>
    <row r="9570" spans="1:1" x14ac:dyDescent="0.2">
      <c r="A9570" s="101"/>
    </row>
    <row r="9571" spans="1:1" x14ac:dyDescent="0.2">
      <c r="A9571" s="101"/>
    </row>
    <row r="9572" spans="1:1" x14ac:dyDescent="0.2">
      <c r="A9572" s="101"/>
    </row>
    <row r="9573" spans="1:1" x14ac:dyDescent="0.2">
      <c r="A9573" s="101"/>
    </row>
    <row r="9574" spans="1:1" x14ac:dyDescent="0.2">
      <c r="A9574" s="101"/>
    </row>
    <row r="9575" spans="1:1" x14ac:dyDescent="0.2">
      <c r="A9575" s="101"/>
    </row>
    <row r="9576" spans="1:1" x14ac:dyDescent="0.2">
      <c r="A9576" s="101"/>
    </row>
    <row r="9577" spans="1:1" x14ac:dyDescent="0.2">
      <c r="A9577" s="101"/>
    </row>
    <row r="9578" spans="1:1" x14ac:dyDescent="0.2">
      <c r="A9578" s="101"/>
    </row>
    <row r="9579" spans="1:1" x14ac:dyDescent="0.2">
      <c r="A9579" s="101"/>
    </row>
    <row r="9580" spans="1:1" x14ac:dyDescent="0.2">
      <c r="A9580" s="101"/>
    </row>
    <row r="9581" spans="1:1" x14ac:dyDescent="0.2">
      <c r="A9581" s="101"/>
    </row>
    <row r="9582" spans="1:1" x14ac:dyDescent="0.2">
      <c r="A9582" s="101"/>
    </row>
    <row r="9583" spans="1:1" x14ac:dyDescent="0.2">
      <c r="A9583" s="101"/>
    </row>
    <row r="9584" spans="1:1" x14ac:dyDescent="0.2">
      <c r="A9584" s="101"/>
    </row>
    <row r="9585" spans="1:1" x14ac:dyDescent="0.2">
      <c r="A9585" s="101"/>
    </row>
    <row r="9586" spans="1:1" x14ac:dyDescent="0.2">
      <c r="A9586" s="101"/>
    </row>
    <row r="9587" spans="1:1" x14ac:dyDescent="0.2">
      <c r="A9587" s="101"/>
    </row>
    <row r="9588" spans="1:1" x14ac:dyDescent="0.2">
      <c r="A9588" s="101"/>
    </row>
    <row r="9589" spans="1:1" x14ac:dyDescent="0.2">
      <c r="A9589" s="101"/>
    </row>
    <row r="9590" spans="1:1" x14ac:dyDescent="0.2">
      <c r="A9590" s="101"/>
    </row>
    <row r="9591" spans="1:1" x14ac:dyDescent="0.2">
      <c r="A9591" s="101"/>
    </row>
    <row r="9592" spans="1:1" x14ac:dyDescent="0.2">
      <c r="A9592" s="101"/>
    </row>
    <row r="9593" spans="1:1" x14ac:dyDescent="0.2">
      <c r="A9593" s="101"/>
    </row>
    <row r="9594" spans="1:1" x14ac:dyDescent="0.2">
      <c r="A9594" s="101"/>
    </row>
    <row r="9595" spans="1:1" x14ac:dyDescent="0.2">
      <c r="A9595" s="101"/>
    </row>
    <row r="9596" spans="1:1" x14ac:dyDescent="0.2">
      <c r="A9596" s="101"/>
    </row>
    <row r="9597" spans="1:1" x14ac:dyDescent="0.2">
      <c r="A9597" s="101"/>
    </row>
    <row r="9598" spans="1:1" x14ac:dyDescent="0.2">
      <c r="A9598" s="101"/>
    </row>
    <row r="9599" spans="1:1" x14ac:dyDescent="0.2">
      <c r="A9599" s="101"/>
    </row>
    <row r="9600" spans="1:1" x14ac:dyDescent="0.2">
      <c r="A9600" s="101"/>
    </row>
    <row r="9601" spans="1:1" x14ac:dyDescent="0.2">
      <c r="A9601" s="101"/>
    </row>
    <row r="9602" spans="1:1" x14ac:dyDescent="0.2">
      <c r="A9602" s="101"/>
    </row>
    <row r="9603" spans="1:1" x14ac:dyDescent="0.2">
      <c r="A9603" s="101"/>
    </row>
    <row r="9604" spans="1:1" x14ac:dyDescent="0.2">
      <c r="A9604" s="101"/>
    </row>
    <row r="9605" spans="1:1" x14ac:dyDescent="0.2">
      <c r="A9605" s="101"/>
    </row>
    <row r="9606" spans="1:1" x14ac:dyDescent="0.2">
      <c r="A9606" s="101"/>
    </row>
    <row r="9607" spans="1:1" x14ac:dyDescent="0.2">
      <c r="A9607" s="101"/>
    </row>
    <row r="9608" spans="1:1" x14ac:dyDescent="0.2">
      <c r="A9608" s="101"/>
    </row>
    <row r="9609" spans="1:1" x14ac:dyDescent="0.2">
      <c r="A9609" s="101"/>
    </row>
    <row r="9610" spans="1:1" x14ac:dyDescent="0.2">
      <c r="A9610" s="101"/>
    </row>
    <row r="9611" spans="1:1" x14ac:dyDescent="0.2">
      <c r="A9611" s="101"/>
    </row>
    <row r="9612" spans="1:1" x14ac:dyDescent="0.2">
      <c r="A9612" s="101"/>
    </row>
    <row r="9613" spans="1:1" x14ac:dyDescent="0.2">
      <c r="A9613" s="101"/>
    </row>
    <row r="9614" spans="1:1" x14ac:dyDescent="0.2">
      <c r="A9614" s="101"/>
    </row>
    <row r="9615" spans="1:1" x14ac:dyDescent="0.2">
      <c r="A9615" s="101"/>
    </row>
    <row r="9616" spans="1:1" x14ac:dyDescent="0.2">
      <c r="A9616" s="101"/>
    </row>
    <row r="9617" spans="1:1" x14ac:dyDescent="0.2">
      <c r="A9617" s="101"/>
    </row>
    <row r="9618" spans="1:1" x14ac:dyDescent="0.2">
      <c r="A9618" s="101"/>
    </row>
    <row r="9619" spans="1:1" x14ac:dyDescent="0.2">
      <c r="A9619" s="101"/>
    </row>
    <row r="9620" spans="1:1" x14ac:dyDescent="0.2">
      <c r="A9620" s="101"/>
    </row>
    <row r="9621" spans="1:1" x14ac:dyDescent="0.2">
      <c r="A9621" s="101"/>
    </row>
    <row r="9622" spans="1:1" x14ac:dyDescent="0.2">
      <c r="A9622" s="101"/>
    </row>
    <row r="9623" spans="1:1" x14ac:dyDescent="0.2">
      <c r="A9623" s="101"/>
    </row>
    <row r="9624" spans="1:1" x14ac:dyDescent="0.2">
      <c r="A9624" s="101"/>
    </row>
    <row r="9625" spans="1:1" x14ac:dyDescent="0.2">
      <c r="A9625" s="101"/>
    </row>
    <row r="9626" spans="1:1" x14ac:dyDescent="0.2">
      <c r="A9626" s="101"/>
    </row>
    <row r="9627" spans="1:1" x14ac:dyDescent="0.2">
      <c r="A9627" s="101"/>
    </row>
    <row r="9628" spans="1:1" x14ac:dyDescent="0.2">
      <c r="A9628" s="101"/>
    </row>
    <row r="9629" spans="1:1" x14ac:dyDescent="0.2">
      <c r="A9629" s="101"/>
    </row>
    <row r="9630" spans="1:1" x14ac:dyDescent="0.2">
      <c r="A9630" s="101"/>
    </row>
    <row r="9631" spans="1:1" x14ac:dyDescent="0.2">
      <c r="A9631" s="101"/>
    </row>
    <row r="9632" spans="1:1" x14ac:dyDescent="0.2">
      <c r="A9632" s="101"/>
    </row>
    <row r="9633" spans="1:1" x14ac:dyDescent="0.2">
      <c r="A9633" s="101"/>
    </row>
    <row r="9634" spans="1:1" x14ac:dyDescent="0.2">
      <c r="A9634" s="101"/>
    </row>
    <row r="9635" spans="1:1" x14ac:dyDescent="0.2">
      <c r="A9635" s="101"/>
    </row>
    <row r="9636" spans="1:1" x14ac:dyDescent="0.2">
      <c r="A9636" s="101"/>
    </row>
    <row r="9637" spans="1:1" x14ac:dyDescent="0.2">
      <c r="A9637" s="101"/>
    </row>
    <row r="9638" spans="1:1" x14ac:dyDescent="0.2">
      <c r="A9638" s="101"/>
    </row>
    <row r="9639" spans="1:1" x14ac:dyDescent="0.2">
      <c r="A9639" s="101"/>
    </row>
    <row r="9640" spans="1:1" x14ac:dyDescent="0.2">
      <c r="A9640" s="101"/>
    </row>
    <row r="9641" spans="1:1" x14ac:dyDescent="0.2">
      <c r="A9641" s="101"/>
    </row>
    <row r="9642" spans="1:1" x14ac:dyDescent="0.2">
      <c r="A9642" s="101"/>
    </row>
    <row r="9643" spans="1:1" x14ac:dyDescent="0.2">
      <c r="A9643" s="101"/>
    </row>
    <row r="9644" spans="1:1" x14ac:dyDescent="0.2">
      <c r="A9644" s="101"/>
    </row>
    <row r="9645" spans="1:1" x14ac:dyDescent="0.2">
      <c r="A9645" s="101"/>
    </row>
    <row r="9646" spans="1:1" x14ac:dyDescent="0.2">
      <c r="A9646" s="101"/>
    </row>
    <row r="9647" spans="1:1" x14ac:dyDescent="0.2">
      <c r="A9647" s="101"/>
    </row>
    <row r="9648" spans="1:1" x14ac:dyDescent="0.2">
      <c r="A9648" s="101"/>
    </row>
    <row r="9649" spans="1:1" x14ac:dyDescent="0.2">
      <c r="A9649" s="101"/>
    </row>
    <row r="9650" spans="1:1" x14ac:dyDescent="0.2">
      <c r="A9650" s="101"/>
    </row>
    <row r="9651" spans="1:1" x14ac:dyDescent="0.2">
      <c r="A9651" s="101"/>
    </row>
    <row r="9652" spans="1:1" x14ac:dyDescent="0.2">
      <c r="A9652" s="101"/>
    </row>
    <row r="9653" spans="1:1" x14ac:dyDescent="0.2">
      <c r="A9653" s="101"/>
    </row>
    <row r="9654" spans="1:1" x14ac:dyDescent="0.2">
      <c r="A9654" s="101"/>
    </row>
    <row r="9655" spans="1:1" x14ac:dyDescent="0.2">
      <c r="A9655" s="101"/>
    </row>
    <row r="9656" spans="1:1" x14ac:dyDescent="0.2">
      <c r="A9656" s="101"/>
    </row>
    <row r="9657" spans="1:1" x14ac:dyDescent="0.2">
      <c r="A9657" s="101"/>
    </row>
    <row r="9658" spans="1:1" x14ac:dyDescent="0.2">
      <c r="A9658" s="101"/>
    </row>
    <row r="9659" spans="1:1" x14ac:dyDescent="0.2">
      <c r="A9659" s="101"/>
    </row>
    <row r="9660" spans="1:1" x14ac:dyDescent="0.2">
      <c r="A9660" s="101"/>
    </row>
    <row r="9661" spans="1:1" x14ac:dyDescent="0.2">
      <c r="A9661" s="101"/>
    </row>
    <row r="9662" spans="1:1" x14ac:dyDescent="0.2">
      <c r="A9662" s="101"/>
    </row>
    <row r="9663" spans="1:1" x14ac:dyDescent="0.2">
      <c r="A9663" s="101"/>
    </row>
    <row r="9664" spans="1:1" x14ac:dyDescent="0.2">
      <c r="A9664" s="101"/>
    </row>
    <row r="9665" spans="1:1" x14ac:dyDescent="0.2">
      <c r="A9665" s="101"/>
    </row>
    <row r="9666" spans="1:1" x14ac:dyDescent="0.2">
      <c r="A9666" s="101"/>
    </row>
    <row r="9667" spans="1:1" x14ac:dyDescent="0.2">
      <c r="A9667" s="101"/>
    </row>
    <row r="9668" spans="1:1" x14ac:dyDescent="0.2">
      <c r="A9668" s="101"/>
    </row>
    <row r="9669" spans="1:1" x14ac:dyDescent="0.2">
      <c r="A9669" s="101"/>
    </row>
    <row r="9670" spans="1:1" x14ac:dyDescent="0.2">
      <c r="A9670" s="101"/>
    </row>
    <row r="9671" spans="1:1" x14ac:dyDescent="0.2">
      <c r="A9671" s="101"/>
    </row>
    <row r="9672" spans="1:1" x14ac:dyDescent="0.2">
      <c r="A9672" s="101"/>
    </row>
    <row r="9673" spans="1:1" x14ac:dyDescent="0.2">
      <c r="A9673" s="101"/>
    </row>
    <row r="9674" spans="1:1" x14ac:dyDescent="0.2">
      <c r="A9674" s="101"/>
    </row>
    <row r="9675" spans="1:1" x14ac:dyDescent="0.2">
      <c r="A9675" s="101"/>
    </row>
    <row r="9676" spans="1:1" x14ac:dyDescent="0.2">
      <c r="A9676" s="101"/>
    </row>
    <row r="9677" spans="1:1" x14ac:dyDescent="0.2">
      <c r="A9677" s="101"/>
    </row>
    <row r="9678" spans="1:1" x14ac:dyDescent="0.2">
      <c r="A9678" s="101"/>
    </row>
    <row r="9679" spans="1:1" x14ac:dyDescent="0.2">
      <c r="A9679" s="101"/>
    </row>
    <row r="9680" spans="1:1" x14ac:dyDescent="0.2">
      <c r="A9680" s="101"/>
    </row>
    <row r="9681" spans="1:1" x14ac:dyDescent="0.2">
      <c r="A9681" s="101"/>
    </row>
    <row r="9682" spans="1:1" x14ac:dyDescent="0.2">
      <c r="A9682" s="101"/>
    </row>
    <row r="9683" spans="1:1" x14ac:dyDescent="0.2">
      <c r="A9683" s="101"/>
    </row>
    <row r="9684" spans="1:1" x14ac:dyDescent="0.2">
      <c r="A9684" s="101"/>
    </row>
    <row r="9685" spans="1:1" x14ac:dyDescent="0.2">
      <c r="A9685" s="101"/>
    </row>
    <row r="9686" spans="1:1" x14ac:dyDescent="0.2">
      <c r="A9686" s="101"/>
    </row>
    <row r="9687" spans="1:1" x14ac:dyDescent="0.2">
      <c r="A9687" s="101"/>
    </row>
    <row r="9688" spans="1:1" x14ac:dyDescent="0.2">
      <c r="A9688" s="101"/>
    </row>
    <row r="9689" spans="1:1" x14ac:dyDescent="0.2">
      <c r="A9689" s="101"/>
    </row>
    <row r="9690" spans="1:1" x14ac:dyDescent="0.2">
      <c r="A9690" s="101"/>
    </row>
    <row r="9691" spans="1:1" x14ac:dyDescent="0.2">
      <c r="A9691" s="101"/>
    </row>
    <row r="9692" spans="1:1" x14ac:dyDescent="0.2">
      <c r="A9692" s="101"/>
    </row>
    <row r="9693" spans="1:1" x14ac:dyDescent="0.2">
      <c r="A9693" s="101"/>
    </row>
    <row r="9694" spans="1:1" x14ac:dyDescent="0.2">
      <c r="A9694" s="101"/>
    </row>
    <row r="9695" spans="1:1" x14ac:dyDescent="0.2">
      <c r="A9695" s="101"/>
    </row>
    <row r="9696" spans="1:1" x14ac:dyDescent="0.2">
      <c r="A9696" s="101"/>
    </row>
    <row r="9697" spans="1:1" x14ac:dyDescent="0.2">
      <c r="A9697" s="101"/>
    </row>
    <row r="9698" spans="1:1" x14ac:dyDescent="0.2">
      <c r="A9698" s="101"/>
    </row>
    <row r="9699" spans="1:1" x14ac:dyDescent="0.2">
      <c r="A9699" s="101"/>
    </row>
    <row r="9700" spans="1:1" x14ac:dyDescent="0.2">
      <c r="A9700" s="101"/>
    </row>
    <row r="9701" spans="1:1" x14ac:dyDescent="0.2">
      <c r="A9701" s="101"/>
    </row>
    <row r="9702" spans="1:1" x14ac:dyDescent="0.2">
      <c r="A9702" s="101"/>
    </row>
    <row r="9703" spans="1:1" x14ac:dyDescent="0.2">
      <c r="A9703" s="101"/>
    </row>
    <row r="9704" spans="1:1" x14ac:dyDescent="0.2">
      <c r="A9704" s="101"/>
    </row>
    <row r="9705" spans="1:1" x14ac:dyDescent="0.2">
      <c r="A9705" s="101"/>
    </row>
    <row r="9706" spans="1:1" x14ac:dyDescent="0.2">
      <c r="A9706" s="101"/>
    </row>
    <row r="9707" spans="1:1" x14ac:dyDescent="0.2">
      <c r="A9707" s="101"/>
    </row>
    <row r="9708" spans="1:1" x14ac:dyDescent="0.2">
      <c r="A9708" s="101"/>
    </row>
    <row r="9709" spans="1:1" x14ac:dyDescent="0.2">
      <c r="A9709" s="101"/>
    </row>
    <row r="9710" spans="1:1" x14ac:dyDescent="0.2">
      <c r="A9710" s="101"/>
    </row>
    <row r="9711" spans="1:1" x14ac:dyDescent="0.2">
      <c r="A9711" s="101"/>
    </row>
    <row r="9712" spans="1:1" x14ac:dyDescent="0.2">
      <c r="A9712" s="101"/>
    </row>
    <row r="9713" spans="1:1" x14ac:dyDescent="0.2">
      <c r="A9713" s="101"/>
    </row>
    <row r="9714" spans="1:1" x14ac:dyDescent="0.2">
      <c r="A9714" s="101"/>
    </row>
    <row r="9715" spans="1:1" x14ac:dyDescent="0.2">
      <c r="A9715" s="101"/>
    </row>
    <row r="9716" spans="1:1" x14ac:dyDescent="0.2">
      <c r="A9716" s="101"/>
    </row>
    <row r="9717" spans="1:1" x14ac:dyDescent="0.2">
      <c r="A9717" s="101"/>
    </row>
    <row r="9718" spans="1:1" x14ac:dyDescent="0.2">
      <c r="A9718" s="101"/>
    </row>
    <row r="9719" spans="1:1" x14ac:dyDescent="0.2">
      <c r="A9719" s="101"/>
    </row>
    <row r="9720" spans="1:1" x14ac:dyDescent="0.2">
      <c r="A9720" s="101"/>
    </row>
    <row r="9721" spans="1:1" x14ac:dyDescent="0.2">
      <c r="A9721" s="101"/>
    </row>
    <row r="9722" spans="1:1" x14ac:dyDescent="0.2">
      <c r="A9722" s="101"/>
    </row>
    <row r="9723" spans="1:1" x14ac:dyDescent="0.2">
      <c r="A9723" s="101"/>
    </row>
    <row r="9724" spans="1:1" x14ac:dyDescent="0.2">
      <c r="A9724" s="101"/>
    </row>
    <row r="9725" spans="1:1" x14ac:dyDescent="0.2">
      <c r="A9725" s="101"/>
    </row>
    <row r="9726" spans="1:1" x14ac:dyDescent="0.2">
      <c r="A9726" s="101"/>
    </row>
    <row r="9727" spans="1:1" x14ac:dyDescent="0.2">
      <c r="A9727" s="101"/>
    </row>
    <row r="9728" spans="1:1" x14ac:dyDescent="0.2">
      <c r="A9728" s="101"/>
    </row>
    <row r="9729" spans="1:1" x14ac:dyDescent="0.2">
      <c r="A9729" s="101"/>
    </row>
    <row r="9730" spans="1:1" x14ac:dyDescent="0.2">
      <c r="A9730" s="101"/>
    </row>
    <row r="9731" spans="1:1" x14ac:dyDescent="0.2">
      <c r="A9731" s="101"/>
    </row>
    <row r="9732" spans="1:1" x14ac:dyDescent="0.2">
      <c r="A9732" s="101"/>
    </row>
    <row r="9733" spans="1:1" x14ac:dyDescent="0.2">
      <c r="A9733" s="101"/>
    </row>
    <row r="9734" spans="1:1" x14ac:dyDescent="0.2">
      <c r="A9734" s="101"/>
    </row>
    <row r="9735" spans="1:1" x14ac:dyDescent="0.2">
      <c r="A9735" s="101"/>
    </row>
    <row r="9736" spans="1:1" x14ac:dyDescent="0.2">
      <c r="A9736" s="101"/>
    </row>
    <row r="9737" spans="1:1" x14ac:dyDescent="0.2">
      <c r="A9737" s="101"/>
    </row>
    <row r="9738" spans="1:1" x14ac:dyDescent="0.2">
      <c r="A9738" s="101"/>
    </row>
    <row r="9739" spans="1:1" x14ac:dyDescent="0.2">
      <c r="A9739" s="101"/>
    </row>
    <row r="9740" spans="1:1" x14ac:dyDescent="0.2">
      <c r="A9740" s="101"/>
    </row>
    <row r="9741" spans="1:1" x14ac:dyDescent="0.2">
      <c r="A9741" s="101"/>
    </row>
    <row r="9742" spans="1:1" x14ac:dyDescent="0.2">
      <c r="A9742" s="101"/>
    </row>
    <row r="9743" spans="1:1" x14ac:dyDescent="0.2">
      <c r="A9743" s="101"/>
    </row>
    <row r="9744" spans="1:1" x14ac:dyDescent="0.2">
      <c r="A9744" s="101"/>
    </row>
    <row r="9745" spans="1:1" x14ac:dyDescent="0.2">
      <c r="A9745" s="101"/>
    </row>
    <row r="9746" spans="1:1" x14ac:dyDescent="0.2">
      <c r="A9746" s="101"/>
    </row>
    <row r="9747" spans="1:1" x14ac:dyDescent="0.2">
      <c r="A9747" s="101"/>
    </row>
    <row r="9748" spans="1:1" x14ac:dyDescent="0.2">
      <c r="A9748" s="101"/>
    </row>
    <row r="9749" spans="1:1" x14ac:dyDescent="0.2">
      <c r="A9749" s="101"/>
    </row>
    <row r="9750" spans="1:1" x14ac:dyDescent="0.2">
      <c r="A9750" s="101"/>
    </row>
    <row r="9751" spans="1:1" x14ac:dyDescent="0.2">
      <c r="A9751" s="101"/>
    </row>
    <row r="9752" spans="1:1" x14ac:dyDescent="0.2">
      <c r="A9752" s="101"/>
    </row>
    <row r="9753" spans="1:1" x14ac:dyDescent="0.2">
      <c r="A9753" s="101"/>
    </row>
    <row r="9754" spans="1:1" x14ac:dyDescent="0.2">
      <c r="A9754" s="101"/>
    </row>
    <row r="9755" spans="1:1" x14ac:dyDescent="0.2">
      <c r="A9755" s="101"/>
    </row>
    <row r="9756" spans="1:1" x14ac:dyDescent="0.2">
      <c r="A9756" s="101"/>
    </row>
    <row r="9757" spans="1:1" x14ac:dyDescent="0.2">
      <c r="A9757" s="101"/>
    </row>
    <row r="9758" spans="1:1" x14ac:dyDescent="0.2">
      <c r="A9758" s="101"/>
    </row>
    <row r="9759" spans="1:1" x14ac:dyDescent="0.2">
      <c r="A9759" s="101"/>
    </row>
    <row r="9760" spans="1:1" x14ac:dyDescent="0.2">
      <c r="A9760" s="101"/>
    </row>
    <row r="9761" spans="1:1" x14ac:dyDescent="0.2">
      <c r="A9761" s="101"/>
    </row>
    <row r="9762" spans="1:1" x14ac:dyDescent="0.2">
      <c r="A9762" s="101"/>
    </row>
    <row r="9763" spans="1:1" x14ac:dyDescent="0.2">
      <c r="A9763" s="101"/>
    </row>
    <row r="9764" spans="1:1" x14ac:dyDescent="0.2">
      <c r="A9764" s="101"/>
    </row>
    <row r="9765" spans="1:1" x14ac:dyDescent="0.2">
      <c r="A9765" s="101"/>
    </row>
    <row r="9766" spans="1:1" x14ac:dyDescent="0.2">
      <c r="A9766" s="101"/>
    </row>
    <row r="9767" spans="1:1" x14ac:dyDescent="0.2">
      <c r="A9767" s="101"/>
    </row>
    <row r="9768" spans="1:1" x14ac:dyDescent="0.2">
      <c r="A9768" s="101"/>
    </row>
    <row r="9769" spans="1:1" x14ac:dyDescent="0.2">
      <c r="A9769" s="101"/>
    </row>
    <row r="9770" spans="1:1" x14ac:dyDescent="0.2">
      <c r="A9770" s="101"/>
    </row>
    <row r="9771" spans="1:1" x14ac:dyDescent="0.2">
      <c r="A9771" s="101"/>
    </row>
    <row r="9772" spans="1:1" x14ac:dyDescent="0.2">
      <c r="A9772" s="101"/>
    </row>
    <row r="9773" spans="1:1" x14ac:dyDescent="0.2">
      <c r="A9773" s="101"/>
    </row>
    <row r="9774" spans="1:1" x14ac:dyDescent="0.2">
      <c r="A9774" s="101"/>
    </row>
    <row r="9775" spans="1:1" x14ac:dyDescent="0.2">
      <c r="A9775" s="101"/>
    </row>
    <row r="9776" spans="1:1" x14ac:dyDescent="0.2">
      <c r="A9776" s="101"/>
    </row>
    <row r="9777" spans="1:1" x14ac:dyDescent="0.2">
      <c r="A9777" s="101"/>
    </row>
    <row r="9778" spans="1:1" x14ac:dyDescent="0.2">
      <c r="A9778" s="101"/>
    </row>
    <row r="9779" spans="1:1" x14ac:dyDescent="0.2">
      <c r="A9779" s="101"/>
    </row>
    <row r="9780" spans="1:1" x14ac:dyDescent="0.2">
      <c r="A9780" s="101"/>
    </row>
    <row r="9781" spans="1:1" x14ac:dyDescent="0.2">
      <c r="A9781" s="101"/>
    </row>
    <row r="9782" spans="1:1" x14ac:dyDescent="0.2">
      <c r="A9782" s="101"/>
    </row>
    <row r="9783" spans="1:1" x14ac:dyDescent="0.2">
      <c r="A9783" s="101"/>
    </row>
    <row r="9784" spans="1:1" x14ac:dyDescent="0.2">
      <c r="A9784" s="101"/>
    </row>
    <row r="9785" spans="1:1" x14ac:dyDescent="0.2">
      <c r="A9785" s="101"/>
    </row>
    <row r="9786" spans="1:1" x14ac:dyDescent="0.2">
      <c r="A9786" s="101"/>
    </row>
    <row r="9787" spans="1:1" x14ac:dyDescent="0.2">
      <c r="A9787" s="101"/>
    </row>
    <row r="9788" spans="1:1" x14ac:dyDescent="0.2">
      <c r="A9788" s="101"/>
    </row>
    <row r="9789" spans="1:1" x14ac:dyDescent="0.2">
      <c r="A9789" s="101"/>
    </row>
    <row r="9790" spans="1:1" x14ac:dyDescent="0.2">
      <c r="A9790" s="101"/>
    </row>
    <row r="9791" spans="1:1" x14ac:dyDescent="0.2">
      <c r="A9791" s="101"/>
    </row>
    <row r="9792" spans="1:1" x14ac:dyDescent="0.2">
      <c r="A9792" s="101"/>
    </row>
    <row r="9793" spans="1:1" x14ac:dyDescent="0.2">
      <c r="A9793" s="101"/>
    </row>
    <row r="9794" spans="1:1" x14ac:dyDescent="0.2">
      <c r="A9794" s="101"/>
    </row>
    <row r="9795" spans="1:1" x14ac:dyDescent="0.2">
      <c r="A9795" s="101"/>
    </row>
    <row r="9796" spans="1:1" x14ac:dyDescent="0.2">
      <c r="A9796" s="101"/>
    </row>
    <row r="9797" spans="1:1" x14ac:dyDescent="0.2">
      <c r="A9797" s="101"/>
    </row>
    <row r="9798" spans="1:1" x14ac:dyDescent="0.2">
      <c r="A9798" s="101"/>
    </row>
    <row r="9799" spans="1:1" x14ac:dyDescent="0.2">
      <c r="A9799" s="101"/>
    </row>
    <row r="9800" spans="1:1" x14ac:dyDescent="0.2">
      <c r="A9800" s="101"/>
    </row>
    <row r="9801" spans="1:1" x14ac:dyDescent="0.2">
      <c r="A9801" s="101"/>
    </row>
    <row r="9802" spans="1:1" x14ac:dyDescent="0.2">
      <c r="A9802" s="101"/>
    </row>
    <row r="9803" spans="1:1" x14ac:dyDescent="0.2">
      <c r="A9803" s="101"/>
    </row>
    <row r="9804" spans="1:1" x14ac:dyDescent="0.2">
      <c r="A9804" s="101"/>
    </row>
    <row r="9805" spans="1:1" x14ac:dyDescent="0.2">
      <c r="A9805" s="101"/>
    </row>
    <row r="9806" spans="1:1" x14ac:dyDescent="0.2">
      <c r="A9806" s="101"/>
    </row>
    <row r="9807" spans="1:1" x14ac:dyDescent="0.2">
      <c r="A9807" s="101"/>
    </row>
    <row r="9808" spans="1:1" x14ac:dyDescent="0.2">
      <c r="A9808" s="101"/>
    </row>
    <row r="9809" spans="1:1" x14ac:dyDescent="0.2">
      <c r="A9809" s="101"/>
    </row>
    <row r="9810" spans="1:1" x14ac:dyDescent="0.2">
      <c r="A9810" s="101"/>
    </row>
    <row r="9811" spans="1:1" x14ac:dyDescent="0.2">
      <c r="A9811" s="101"/>
    </row>
    <row r="9812" spans="1:1" x14ac:dyDescent="0.2">
      <c r="A9812" s="101"/>
    </row>
    <row r="9813" spans="1:1" x14ac:dyDescent="0.2">
      <c r="A9813" s="101"/>
    </row>
    <row r="9814" spans="1:1" x14ac:dyDescent="0.2">
      <c r="A9814" s="101"/>
    </row>
    <row r="9815" spans="1:1" x14ac:dyDescent="0.2">
      <c r="A9815" s="101"/>
    </row>
    <row r="9816" spans="1:1" x14ac:dyDescent="0.2">
      <c r="A9816" s="101"/>
    </row>
    <row r="9817" spans="1:1" x14ac:dyDescent="0.2">
      <c r="A9817" s="101"/>
    </row>
    <row r="9818" spans="1:1" x14ac:dyDescent="0.2">
      <c r="A9818" s="101"/>
    </row>
    <row r="9819" spans="1:1" x14ac:dyDescent="0.2">
      <c r="A9819" s="101"/>
    </row>
    <row r="9820" spans="1:1" x14ac:dyDescent="0.2">
      <c r="A9820" s="101"/>
    </row>
    <row r="9821" spans="1:1" x14ac:dyDescent="0.2">
      <c r="A9821" s="101"/>
    </row>
    <row r="9822" spans="1:1" x14ac:dyDescent="0.2">
      <c r="A9822" s="101"/>
    </row>
    <row r="9823" spans="1:1" x14ac:dyDescent="0.2">
      <c r="A9823" s="101"/>
    </row>
    <row r="9824" spans="1:1" x14ac:dyDescent="0.2">
      <c r="A9824" s="101"/>
    </row>
    <row r="9825" spans="1:1" x14ac:dyDescent="0.2">
      <c r="A9825" s="101"/>
    </row>
    <row r="9826" spans="1:1" x14ac:dyDescent="0.2">
      <c r="A9826" s="101"/>
    </row>
    <row r="9827" spans="1:1" x14ac:dyDescent="0.2">
      <c r="A9827" s="101"/>
    </row>
    <row r="9828" spans="1:1" x14ac:dyDescent="0.2">
      <c r="A9828" s="101"/>
    </row>
    <row r="9829" spans="1:1" x14ac:dyDescent="0.2">
      <c r="A9829" s="101"/>
    </row>
    <row r="9830" spans="1:1" x14ac:dyDescent="0.2">
      <c r="A9830" s="101"/>
    </row>
    <row r="9831" spans="1:1" x14ac:dyDescent="0.2">
      <c r="A9831" s="101"/>
    </row>
    <row r="9832" spans="1:1" x14ac:dyDescent="0.2">
      <c r="A9832" s="101"/>
    </row>
    <row r="9833" spans="1:1" x14ac:dyDescent="0.2">
      <c r="A9833" s="101"/>
    </row>
    <row r="9834" spans="1:1" x14ac:dyDescent="0.2">
      <c r="A9834" s="101"/>
    </row>
    <row r="9835" spans="1:1" x14ac:dyDescent="0.2">
      <c r="A9835" s="101"/>
    </row>
    <row r="9836" spans="1:1" x14ac:dyDescent="0.2">
      <c r="A9836" s="101"/>
    </row>
    <row r="9837" spans="1:1" x14ac:dyDescent="0.2">
      <c r="A9837" s="101"/>
    </row>
    <row r="9838" spans="1:1" x14ac:dyDescent="0.2">
      <c r="A9838" s="101"/>
    </row>
    <row r="9839" spans="1:1" x14ac:dyDescent="0.2">
      <c r="A9839" s="101"/>
    </row>
    <row r="9840" spans="1:1" x14ac:dyDescent="0.2">
      <c r="A9840" s="101"/>
    </row>
    <row r="9841" spans="1:1" x14ac:dyDescent="0.2">
      <c r="A9841" s="101"/>
    </row>
    <row r="9842" spans="1:1" x14ac:dyDescent="0.2">
      <c r="A9842" s="101"/>
    </row>
    <row r="9843" spans="1:1" x14ac:dyDescent="0.2">
      <c r="A9843" s="101"/>
    </row>
    <row r="9844" spans="1:1" x14ac:dyDescent="0.2">
      <c r="A9844" s="101"/>
    </row>
    <row r="9845" spans="1:1" x14ac:dyDescent="0.2">
      <c r="A9845" s="101"/>
    </row>
    <row r="9846" spans="1:1" x14ac:dyDescent="0.2">
      <c r="A9846" s="101"/>
    </row>
    <row r="9847" spans="1:1" x14ac:dyDescent="0.2">
      <c r="A9847" s="101"/>
    </row>
    <row r="9848" spans="1:1" x14ac:dyDescent="0.2">
      <c r="A9848" s="101"/>
    </row>
    <row r="9849" spans="1:1" x14ac:dyDescent="0.2">
      <c r="A9849" s="101"/>
    </row>
    <row r="9850" spans="1:1" x14ac:dyDescent="0.2">
      <c r="A9850" s="101"/>
    </row>
    <row r="9851" spans="1:1" x14ac:dyDescent="0.2">
      <c r="A9851" s="101"/>
    </row>
    <row r="9852" spans="1:1" x14ac:dyDescent="0.2">
      <c r="A9852" s="101"/>
    </row>
    <row r="9853" spans="1:1" x14ac:dyDescent="0.2">
      <c r="A9853" s="101"/>
    </row>
    <row r="9854" spans="1:1" x14ac:dyDescent="0.2">
      <c r="A9854" s="101"/>
    </row>
    <row r="9855" spans="1:1" x14ac:dyDescent="0.2">
      <c r="A9855" s="101"/>
    </row>
    <row r="9856" spans="1:1" x14ac:dyDescent="0.2">
      <c r="A9856" s="101"/>
    </row>
    <row r="9857" spans="1:1" x14ac:dyDescent="0.2">
      <c r="A9857" s="101"/>
    </row>
    <row r="9858" spans="1:1" x14ac:dyDescent="0.2">
      <c r="A9858" s="101"/>
    </row>
    <row r="9859" spans="1:1" x14ac:dyDescent="0.2">
      <c r="A9859" s="101"/>
    </row>
    <row r="9860" spans="1:1" x14ac:dyDescent="0.2">
      <c r="A9860" s="101"/>
    </row>
    <row r="9861" spans="1:1" x14ac:dyDescent="0.2">
      <c r="A9861" s="101"/>
    </row>
    <row r="9862" spans="1:1" x14ac:dyDescent="0.2">
      <c r="A9862" s="101"/>
    </row>
    <row r="9863" spans="1:1" x14ac:dyDescent="0.2">
      <c r="A9863" s="101"/>
    </row>
    <row r="9864" spans="1:1" x14ac:dyDescent="0.2">
      <c r="A9864" s="101"/>
    </row>
    <row r="9865" spans="1:1" x14ac:dyDescent="0.2">
      <c r="A9865" s="101"/>
    </row>
    <row r="9866" spans="1:1" x14ac:dyDescent="0.2">
      <c r="A9866" s="101"/>
    </row>
    <row r="9867" spans="1:1" x14ac:dyDescent="0.2">
      <c r="A9867" s="101"/>
    </row>
    <row r="9868" spans="1:1" x14ac:dyDescent="0.2">
      <c r="A9868" s="101"/>
    </row>
    <row r="9869" spans="1:1" x14ac:dyDescent="0.2">
      <c r="A9869" s="101"/>
    </row>
    <row r="9870" spans="1:1" x14ac:dyDescent="0.2">
      <c r="A9870" s="101"/>
    </row>
    <row r="9871" spans="1:1" x14ac:dyDescent="0.2">
      <c r="A9871" s="101"/>
    </row>
    <row r="9872" spans="1:1" x14ac:dyDescent="0.2">
      <c r="A9872" s="101"/>
    </row>
    <row r="9873" spans="1:1" x14ac:dyDescent="0.2">
      <c r="A9873" s="101"/>
    </row>
    <row r="9874" spans="1:1" x14ac:dyDescent="0.2">
      <c r="A9874" s="101"/>
    </row>
    <row r="9875" spans="1:1" x14ac:dyDescent="0.2">
      <c r="A9875" s="101"/>
    </row>
    <row r="9876" spans="1:1" x14ac:dyDescent="0.2">
      <c r="A9876" s="101"/>
    </row>
    <row r="9877" spans="1:1" x14ac:dyDescent="0.2">
      <c r="A9877" s="101"/>
    </row>
    <row r="9878" spans="1:1" x14ac:dyDescent="0.2">
      <c r="A9878" s="101"/>
    </row>
    <row r="9879" spans="1:1" x14ac:dyDescent="0.2">
      <c r="A9879" s="101"/>
    </row>
    <row r="9880" spans="1:1" x14ac:dyDescent="0.2">
      <c r="A9880" s="101"/>
    </row>
    <row r="9881" spans="1:1" x14ac:dyDescent="0.2">
      <c r="A9881" s="101"/>
    </row>
    <row r="9882" spans="1:1" x14ac:dyDescent="0.2">
      <c r="A9882" s="101"/>
    </row>
    <row r="9883" spans="1:1" x14ac:dyDescent="0.2">
      <c r="A9883" s="101"/>
    </row>
    <row r="9884" spans="1:1" x14ac:dyDescent="0.2">
      <c r="A9884" s="101"/>
    </row>
    <row r="9885" spans="1:1" x14ac:dyDescent="0.2">
      <c r="A9885" s="101"/>
    </row>
    <row r="9886" spans="1:1" x14ac:dyDescent="0.2">
      <c r="A9886" s="101"/>
    </row>
    <row r="9887" spans="1:1" x14ac:dyDescent="0.2">
      <c r="A9887" s="101"/>
    </row>
    <row r="9888" spans="1:1" x14ac:dyDescent="0.2">
      <c r="A9888" s="101"/>
    </row>
    <row r="9889" spans="1:1" x14ac:dyDescent="0.2">
      <c r="A9889" s="101"/>
    </row>
    <row r="9890" spans="1:1" x14ac:dyDescent="0.2">
      <c r="A9890" s="101"/>
    </row>
    <row r="9891" spans="1:1" x14ac:dyDescent="0.2">
      <c r="A9891" s="101"/>
    </row>
    <row r="9892" spans="1:1" x14ac:dyDescent="0.2">
      <c r="A9892" s="101"/>
    </row>
    <row r="9893" spans="1:1" x14ac:dyDescent="0.2">
      <c r="A9893" s="101"/>
    </row>
    <row r="9894" spans="1:1" x14ac:dyDescent="0.2">
      <c r="A9894" s="101"/>
    </row>
    <row r="9895" spans="1:1" x14ac:dyDescent="0.2">
      <c r="A9895" s="101"/>
    </row>
    <row r="9896" spans="1:1" x14ac:dyDescent="0.2">
      <c r="A9896" s="101"/>
    </row>
    <row r="9897" spans="1:1" x14ac:dyDescent="0.2">
      <c r="A9897" s="101"/>
    </row>
    <row r="9898" spans="1:1" x14ac:dyDescent="0.2">
      <c r="A9898" s="101"/>
    </row>
    <row r="9899" spans="1:1" x14ac:dyDescent="0.2">
      <c r="A9899" s="101"/>
    </row>
    <row r="9900" spans="1:1" x14ac:dyDescent="0.2">
      <c r="A9900" s="101"/>
    </row>
    <row r="9901" spans="1:1" x14ac:dyDescent="0.2">
      <c r="A9901" s="101"/>
    </row>
    <row r="9902" spans="1:1" x14ac:dyDescent="0.2">
      <c r="A9902" s="101"/>
    </row>
    <row r="9903" spans="1:1" x14ac:dyDescent="0.2">
      <c r="A9903" s="101"/>
    </row>
    <row r="9904" spans="1:1" x14ac:dyDescent="0.2">
      <c r="A9904" s="101"/>
    </row>
    <row r="9905" spans="1:1" x14ac:dyDescent="0.2">
      <c r="A9905" s="101"/>
    </row>
    <row r="9906" spans="1:1" x14ac:dyDescent="0.2">
      <c r="A9906" s="101"/>
    </row>
    <row r="9907" spans="1:1" x14ac:dyDescent="0.2">
      <c r="A9907" s="101"/>
    </row>
    <row r="9908" spans="1:1" x14ac:dyDescent="0.2">
      <c r="A9908" s="101"/>
    </row>
    <row r="9909" spans="1:1" x14ac:dyDescent="0.2">
      <c r="A9909" s="101"/>
    </row>
    <row r="9910" spans="1:1" x14ac:dyDescent="0.2">
      <c r="A9910" s="101"/>
    </row>
    <row r="9911" spans="1:1" x14ac:dyDescent="0.2">
      <c r="A9911" s="101"/>
    </row>
    <row r="9912" spans="1:1" x14ac:dyDescent="0.2">
      <c r="A9912" s="101"/>
    </row>
    <row r="9913" spans="1:1" x14ac:dyDescent="0.2">
      <c r="A9913" s="101"/>
    </row>
    <row r="9914" spans="1:1" x14ac:dyDescent="0.2">
      <c r="A9914" s="101"/>
    </row>
    <row r="9915" spans="1:1" x14ac:dyDescent="0.2">
      <c r="A9915" s="101"/>
    </row>
    <row r="9916" spans="1:1" x14ac:dyDescent="0.2">
      <c r="A9916" s="101"/>
    </row>
    <row r="9917" spans="1:1" x14ac:dyDescent="0.2">
      <c r="A9917" s="101"/>
    </row>
    <row r="9918" spans="1:1" x14ac:dyDescent="0.2">
      <c r="A9918" s="101"/>
    </row>
    <row r="9919" spans="1:1" x14ac:dyDescent="0.2">
      <c r="A9919" s="101"/>
    </row>
    <row r="9920" spans="1:1" x14ac:dyDescent="0.2">
      <c r="A9920" s="101"/>
    </row>
    <row r="9921" spans="1:1" x14ac:dyDescent="0.2">
      <c r="A9921" s="101"/>
    </row>
    <row r="9922" spans="1:1" x14ac:dyDescent="0.2">
      <c r="A9922" s="101"/>
    </row>
    <row r="9923" spans="1:1" x14ac:dyDescent="0.2">
      <c r="A9923" s="101"/>
    </row>
    <row r="9924" spans="1:1" x14ac:dyDescent="0.2">
      <c r="A9924" s="101"/>
    </row>
    <row r="9925" spans="1:1" x14ac:dyDescent="0.2">
      <c r="A9925" s="101"/>
    </row>
    <row r="9926" spans="1:1" x14ac:dyDescent="0.2">
      <c r="A9926" s="101"/>
    </row>
    <row r="9927" spans="1:1" x14ac:dyDescent="0.2">
      <c r="A9927" s="101"/>
    </row>
    <row r="9928" spans="1:1" x14ac:dyDescent="0.2">
      <c r="A9928" s="101"/>
    </row>
    <row r="9929" spans="1:1" x14ac:dyDescent="0.2">
      <c r="A9929" s="101"/>
    </row>
    <row r="9930" spans="1:1" x14ac:dyDescent="0.2">
      <c r="A9930" s="101"/>
    </row>
    <row r="9931" spans="1:1" x14ac:dyDescent="0.2">
      <c r="A9931" s="101"/>
    </row>
    <row r="9932" spans="1:1" x14ac:dyDescent="0.2">
      <c r="A9932" s="101"/>
    </row>
    <row r="9933" spans="1:1" x14ac:dyDescent="0.2">
      <c r="A9933" s="101"/>
    </row>
    <row r="9934" spans="1:1" x14ac:dyDescent="0.2">
      <c r="A9934" s="101"/>
    </row>
    <row r="9935" spans="1:1" x14ac:dyDescent="0.2">
      <c r="A9935" s="101"/>
    </row>
    <row r="9936" spans="1:1" x14ac:dyDescent="0.2">
      <c r="A9936" s="101"/>
    </row>
    <row r="9937" spans="1:1" x14ac:dyDescent="0.2">
      <c r="A9937" s="101"/>
    </row>
    <row r="9938" spans="1:1" x14ac:dyDescent="0.2">
      <c r="A9938" s="101"/>
    </row>
    <row r="9939" spans="1:1" x14ac:dyDescent="0.2">
      <c r="A9939" s="101"/>
    </row>
    <row r="9940" spans="1:1" x14ac:dyDescent="0.2">
      <c r="A9940" s="101"/>
    </row>
    <row r="9941" spans="1:1" x14ac:dyDescent="0.2">
      <c r="A9941" s="101"/>
    </row>
    <row r="9942" spans="1:1" x14ac:dyDescent="0.2">
      <c r="A9942" s="101"/>
    </row>
    <row r="9943" spans="1:1" x14ac:dyDescent="0.2">
      <c r="A9943" s="101"/>
    </row>
    <row r="9944" spans="1:1" x14ac:dyDescent="0.2">
      <c r="A9944" s="101"/>
    </row>
    <row r="9945" spans="1:1" x14ac:dyDescent="0.2">
      <c r="A9945" s="101"/>
    </row>
    <row r="9946" spans="1:1" x14ac:dyDescent="0.2">
      <c r="A9946" s="101"/>
    </row>
    <row r="9947" spans="1:1" x14ac:dyDescent="0.2">
      <c r="A9947" s="101"/>
    </row>
    <row r="9948" spans="1:1" x14ac:dyDescent="0.2">
      <c r="A9948" s="101"/>
    </row>
    <row r="9949" spans="1:1" x14ac:dyDescent="0.2">
      <c r="A9949" s="101"/>
    </row>
    <row r="9950" spans="1:1" x14ac:dyDescent="0.2">
      <c r="A9950" s="101"/>
    </row>
    <row r="9951" spans="1:1" x14ac:dyDescent="0.2">
      <c r="A9951" s="101"/>
    </row>
    <row r="9952" spans="1:1" x14ac:dyDescent="0.2">
      <c r="A9952" s="101"/>
    </row>
    <row r="9953" spans="1:1" x14ac:dyDescent="0.2">
      <c r="A9953" s="101"/>
    </row>
    <row r="9954" spans="1:1" x14ac:dyDescent="0.2">
      <c r="A9954" s="101"/>
    </row>
    <row r="9955" spans="1:1" x14ac:dyDescent="0.2">
      <c r="A9955" s="101"/>
    </row>
    <row r="9956" spans="1:1" x14ac:dyDescent="0.2">
      <c r="A9956" s="101"/>
    </row>
    <row r="9957" spans="1:1" x14ac:dyDescent="0.2">
      <c r="A9957" s="101"/>
    </row>
    <row r="9958" spans="1:1" x14ac:dyDescent="0.2">
      <c r="A9958" s="101"/>
    </row>
    <row r="9959" spans="1:1" x14ac:dyDescent="0.2">
      <c r="A9959" s="101"/>
    </row>
    <row r="9960" spans="1:1" x14ac:dyDescent="0.2">
      <c r="A9960" s="101"/>
    </row>
    <row r="9961" spans="1:1" x14ac:dyDescent="0.2">
      <c r="A9961" s="101"/>
    </row>
    <row r="9962" spans="1:1" x14ac:dyDescent="0.2">
      <c r="A9962" s="101"/>
    </row>
    <row r="9963" spans="1:1" x14ac:dyDescent="0.2">
      <c r="A9963" s="101"/>
    </row>
    <row r="9964" spans="1:1" x14ac:dyDescent="0.2">
      <c r="A9964" s="101"/>
    </row>
    <row r="9965" spans="1:1" x14ac:dyDescent="0.2">
      <c r="A9965" s="101"/>
    </row>
    <row r="9966" spans="1:1" x14ac:dyDescent="0.2">
      <c r="A9966" s="101"/>
    </row>
    <row r="9967" spans="1:1" x14ac:dyDescent="0.2">
      <c r="A9967" s="101"/>
    </row>
    <row r="9968" spans="1:1" x14ac:dyDescent="0.2">
      <c r="A9968" s="101"/>
    </row>
    <row r="9969" spans="1:1" x14ac:dyDescent="0.2">
      <c r="A9969" s="101"/>
    </row>
    <row r="9970" spans="1:1" x14ac:dyDescent="0.2">
      <c r="A9970" s="101"/>
    </row>
    <row r="9971" spans="1:1" x14ac:dyDescent="0.2">
      <c r="A9971" s="101"/>
    </row>
    <row r="9972" spans="1:1" x14ac:dyDescent="0.2">
      <c r="A9972" s="101"/>
    </row>
    <row r="9973" spans="1:1" x14ac:dyDescent="0.2">
      <c r="A9973" s="101"/>
    </row>
    <row r="9974" spans="1:1" x14ac:dyDescent="0.2">
      <c r="A9974" s="101"/>
    </row>
    <row r="9975" spans="1:1" x14ac:dyDescent="0.2">
      <c r="A9975" s="101"/>
    </row>
    <row r="9976" spans="1:1" x14ac:dyDescent="0.2">
      <c r="A9976" s="101"/>
    </row>
    <row r="9977" spans="1:1" x14ac:dyDescent="0.2">
      <c r="A9977" s="101"/>
    </row>
    <row r="9978" spans="1:1" x14ac:dyDescent="0.2">
      <c r="A9978" s="101"/>
    </row>
    <row r="9979" spans="1:1" x14ac:dyDescent="0.2">
      <c r="A9979" s="101"/>
    </row>
    <row r="9980" spans="1:1" x14ac:dyDescent="0.2">
      <c r="A9980" s="101"/>
    </row>
    <row r="9981" spans="1:1" x14ac:dyDescent="0.2">
      <c r="A9981" s="101"/>
    </row>
    <row r="9982" spans="1:1" x14ac:dyDescent="0.2">
      <c r="A9982" s="101"/>
    </row>
    <row r="9983" spans="1:1" x14ac:dyDescent="0.2">
      <c r="A9983" s="101"/>
    </row>
    <row r="9984" spans="1:1" x14ac:dyDescent="0.2">
      <c r="A9984" s="101"/>
    </row>
    <row r="9985" spans="1:1" x14ac:dyDescent="0.2">
      <c r="A9985" s="101"/>
    </row>
    <row r="9986" spans="1:1" x14ac:dyDescent="0.2">
      <c r="A9986" s="101"/>
    </row>
    <row r="9987" spans="1:1" x14ac:dyDescent="0.2">
      <c r="A9987" s="101"/>
    </row>
    <row r="9988" spans="1:1" x14ac:dyDescent="0.2">
      <c r="A9988" s="101"/>
    </row>
    <row r="9989" spans="1:1" x14ac:dyDescent="0.2">
      <c r="A9989" s="101"/>
    </row>
    <row r="9990" spans="1:1" x14ac:dyDescent="0.2">
      <c r="A9990" s="101"/>
    </row>
    <row r="9991" spans="1:1" x14ac:dyDescent="0.2">
      <c r="A9991" s="101"/>
    </row>
    <row r="9992" spans="1:1" x14ac:dyDescent="0.2">
      <c r="A9992" s="101"/>
    </row>
    <row r="9993" spans="1:1" x14ac:dyDescent="0.2">
      <c r="A9993" s="101"/>
    </row>
    <row r="9994" spans="1:1" x14ac:dyDescent="0.2">
      <c r="A9994" s="101"/>
    </row>
    <row r="9995" spans="1:1" x14ac:dyDescent="0.2">
      <c r="A9995" s="101"/>
    </row>
    <row r="9996" spans="1:1" x14ac:dyDescent="0.2">
      <c r="A9996" s="101"/>
    </row>
    <row r="9997" spans="1:1" x14ac:dyDescent="0.2">
      <c r="A9997" s="101"/>
    </row>
    <row r="9998" spans="1:1" x14ac:dyDescent="0.2">
      <c r="A9998" s="101"/>
    </row>
    <row r="9999" spans="1:1" x14ac:dyDescent="0.2">
      <c r="A9999" s="101"/>
    </row>
    <row r="10000" spans="1:1" x14ac:dyDescent="0.2">
      <c r="A10000" s="101"/>
    </row>
    <row r="10001" spans="1:1" x14ac:dyDescent="0.2">
      <c r="A10001" s="101"/>
    </row>
    <row r="10002" spans="1:1" x14ac:dyDescent="0.2">
      <c r="A10002" s="101"/>
    </row>
    <row r="10003" spans="1:1" x14ac:dyDescent="0.2">
      <c r="A10003" s="101"/>
    </row>
    <row r="10004" spans="1:1" x14ac:dyDescent="0.2">
      <c r="A10004" s="101"/>
    </row>
    <row r="10005" spans="1:1" x14ac:dyDescent="0.2">
      <c r="A10005" s="101"/>
    </row>
    <row r="10006" spans="1:1" x14ac:dyDescent="0.2">
      <c r="A10006" s="101"/>
    </row>
    <row r="10007" spans="1:1" x14ac:dyDescent="0.2">
      <c r="A10007" s="101"/>
    </row>
    <row r="10008" spans="1:1" x14ac:dyDescent="0.2">
      <c r="A10008" s="101"/>
    </row>
    <row r="10009" spans="1:1" x14ac:dyDescent="0.2">
      <c r="A10009" s="101"/>
    </row>
    <row r="10010" spans="1:1" x14ac:dyDescent="0.2">
      <c r="A10010" s="101"/>
    </row>
    <row r="10011" spans="1:1" x14ac:dyDescent="0.2">
      <c r="A10011" s="101"/>
    </row>
    <row r="10012" spans="1:1" x14ac:dyDescent="0.2">
      <c r="A10012" s="101"/>
    </row>
    <row r="10013" spans="1:1" x14ac:dyDescent="0.2">
      <c r="A10013" s="101"/>
    </row>
    <row r="10014" spans="1:1" x14ac:dyDescent="0.2">
      <c r="A10014" s="101"/>
    </row>
    <row r="10015" spans="1:1" x14ac:dyDescent="0.2">
      <c r="A10015" s="101"/>
    </row>
    <row r="10016" spans="1:1" x14ac:dyDescent="0.2">
      <c r="A10016" s="101"/>
    </row>
    <row r="10017" spans="1:1" x14ac:dyDescent="0.2">
      <c r="A10017" s="101"/>
    </row>
    <row r="10018" spans="1:1" x14ac:dyDescent="0.2">
      <c r="A10018" s="101"/>
    </row>
    <row r="10019" spans="1:1" x14ac:dyDescent="0.2">
      <c r="A10019" s="101"/>
    </row>
    <row r="10020" spans="1:1" x14ac:dyDescent="0.2">
      <c r="A10020" s="101"/>
    </row>
    <row r="10021" spans="1:1" x14ac:dyDescent="0.2">
      <c r="A10021" s="101"/>
    </row>
    <row r="10022" spans="1:1" x14ac:dyDescent="0.2">
      <c r="A10022" s="101"/>
    </row>
    <row r="10023" spans="1:1" x14ac:dyDescent="0.2">
      <c r="A10023" s="101"/>
    </row>
    <row r="10024" spans="1:1" x14ac:dyDescent="0.2">
      <c r="A10024" s="101"/>
    </row>
    <row r="10025" spans="1:1" x14ac:dyDescent="0.2">
      <c r="A10025" s="101"/>
    </row>
    <row r="10026" spans="1:1" x14ac:dyDescent="0.2">
      <c r="A10026" s="101"/>
    </row>
    <row r="10027" spans="1:1" x14ac:dyDescent="0.2">
      <c r="A10027" s="101"/>
    </row>
    <row r="10028" spans="1:1" x14ac:dyDescent="0.2">
      <c r="A10028" s="101"/>
    </row>
    <row r="10029" spans="1:1" x14ac:dyDescent="0.2">
      <c r="A10029" s="101"/>
    </row>
    <row r="10030" spans="1:1" x14ac:dyDescent="0.2">
      <c r="A10030" s="101"/>
    </row>
    <row r="10031" spans="1:1" x14ac:dyDescent="0.2">
      <c r="A10031" s="101"/>
    </row>
    <row r="10032" spans="1:1" x14ac:dyDescent="0.2">
      <c r="A10032" s="101"/>
    </row>
    <row r="10033" spans="1:1" x14ac:dyDescent="0.2">
      <c r="A10033" s="101"/>
    </row>
    <row r="10034" spans="1:1" x14ac:dyDescent="0.2">
      <c r="A10034" s="101"/>
    </row>
    <row r="10035" spans="1:1" x14ac:dyDescent="0.2">
      <c r="A10035" s="101"/>
    </row>
    <row r="10036" spans="1:1" x14ac:dyDescent="0.2">
      <c r="A10036" s="101"/>
    </row>
    <row r="10037" spans="1:1" x14ac:dyDescent="0.2">
      <c r="A10037" s="101"/>
    </row>
    <row r="10038" spans="1:1" x14ac:dyDescent="0.2">
      <c r="A10038" s="101"/>
    </row>
    <row r="10039" spans="1:1" x14ac:dyDescent="0.2">
      <c r="A10039" s="101"/>
    </row>
    <row r="10040" spans="1:1" x14ac:dyDescent="0.2">
      <c r="A10040" s="101"/>
    </row>
    <row r="10041" spans="1:1" x14ac:dyDescent="0.2">
      <c r="A10041" s="101"/>
    </row>
    <row r="10042" spans="1:1" x14ac:dyDescent="0.2">
      <c r="A10042" s="101"/>
    </row>
    <row r="10043" spans="1:1" x14ac:dyDescent="0.2">
      <c r="A10043" s="101"/>
    </row>
    <row r="10044" spans="1:1" x14ac:dyDescent="0.2">
      <c r="A10044" s="101"/>
    </row>
    <row r="10045" spans="1:1" x14ac:dyDescent="0.2">
      <c r="A10045" s="101"/>
    </row>
    <row r="10046" spans="1:1" x14ac:dyDescent="0.2">
      <c r="A10046" s="101"/>
    </row>
    <row r="10047" spans="1:1" x14ac:dyDescent="0.2">
      <c r="A10047" s="101"/>
    </row>
    <row r="10048" spans="1:1" x14ac:dyDescent="0.2">
      <c r="A10048" s="101"/>
    </row>
    <row r="10049" spans="1:1" x14ac:dyDescent="0.2">
      <c r="A10049" s="101"/>
    </row>
    <row r="10050" spans="1:1" x14ac:dyDescent="0.2">
      <c r="A10050" s="101"/>
    </row>
    <row r="10051" spans="1:1" x14ac:dyDescent="0.2">
      <c r="A10051" s="101"/>
    </row>
    <row r="10052" spans="1:1" x14ac:dyDescent="0.2">
      <c r="A10052" s="101"/>
    </row>
    <row r="10053" spans="1:1" x14ac:dyDescent="0.2">
      <c r="A10053" s="101"/>
    </row>
    <row r="10054" spans="1:1" x14ac:dyDescent="0.2">
      <c r="A10054" s="101"/>
    </row>
    <row r="10055" spans="1:1" x14ac:dyDescent="0.2">
      <c r="A10055" s="101"/>
    </row>
    <row r="10056" spans="1:1" x14ac:dyDescent="0.2">
      <c r="A10056" s="101"/>
    </row>
    <row r="10057" spans="1:1" x14ac:dyDescent="0.2">
      <c r="A10057" s="101"/>
    </row>
    <row r="10058" spans="1:1" x14ac:dyDescent="0.2">
      <c r="A10058" s="101"/>
    </row>
    <row r="10059" spans="1:1" x14ac:dyDescent="0.2">
      <c r="A10059" s="101"/>
    </row>
    <row r="10060" spans="1:1" x14ac:dyDescent="0.2">
      <c r="A10060" s="101"/>
    </row>
    <row r="10061" spans="1:1" x14ac:dyDescent="0.2">
      <c r="A10061" s="101"/>
    </row>
    <row r="10062" spans="1:1" x14ac:dyDescent="0.2">
      <c r="A10062" s="101"/>
    </row>
    <row r="10063" spans="1:1" x14ac:dyDescent="0.2">
      <c r="A10063" s="101"/>
    </row>
    <row r="10064" spans="1:1" x14ac:dyDescent="0.2">
      <c r="A10064" s="101"/>
    </row>
    <row r="10065" spans="1:1" x14ac:dyDescent="0.2">
      <c r="A10065" s="101"/>
    </row>
    <row r="10066" spans="1:1" x14ac:dyDescent="0.2">
      <c r="A10066" s="101"/>
    </row>
    <row r="10067" spans="1:1" x14ac:dyDescent="0.2">
      <c r="A10067" s="101"/>
    </row>
    <row r="10068" spans="1:1" x14ac:dyDescent="0.2">
      <c r="A10068" s="101"/>
    </row>
    <row r="10069" spans="1:1" x14ac:dyDescent="0.2">
      <c r="A10069" s="101"/>
    </row>
    <row r="10070" spans="1:1" x14ac:dyDescent="0.2">
      <c r="A10070" s="101"/>
    </row>
    <row r="10071" spans="1:1" x14ac:dyDescent="0.2">
      <c r="A10071" s="101"/>
    </row>
    <row r="10072" spans="1:1" x14ac:dyDescent="0.2">
      <c r="A10072" s="101"/>
    </row>
    <row r="10073" spans="1:1" x14ac:dyDescent="0.2">
      <c r="A10073" s="101"/>
    </row>
    <row r="10074" spans="1:1" x14ac:dyDescent="0.2">
      <c r="A10074" s="101"/>
    </row>
    <row r="10075" spans="1:1" x14ac:dyDescent="0.2">
      <c r="A10075" s="101"/>
    </row>
    <row r="10076" spans="1:1" x14ac:dyDescent="0.2">
      <c r="A10076" s="101"/>
    </row>
    <row r="10077" spans="1:1" x14ac:dyDescent="0.2">
      <c r="A10077" s="101"/>
    </row>
    <row r="10078" spans="1:1" x14ac:dyDescent="0.2">
      <c r="A10078" s="101"/>
    </row>
    <row r="10079" spans="1:1" x14ac:dyDescent="0.2">
      <c r="A10079" s="101"/>
    </row>
    <row r="10080" spans="1:1" x14ac:dyDescent="0.2">
      <c r="A10080" s="101"/>
    </row>
    <row r="10081" spans="1:1" x14ac:dyDescent="0.2">
      <c r="A10081" s="101"/>
    </row>
    <row r="10082" spans="1:1" x14ac:dyDescent="0.2">
      <c r="A10082" s="101"/>
    </row>
    <row r="10083" spans="1:1" x14ac:dyDescent="0.2">
      <c r="A10083" s="101"/>
    </row>
    <row r="10084" spans="1:1" x14ac:dyDescent="0.2">
      <c r="A10084" s="101"/>
    </row>
    <row r="10085" spans="1:1" x14ac:dyDescent="0.2">
      <c r="A10085" s="101"/>
    </row>
    <row r="10086" spans="1:1" x14ac:dyDescent="0.2">
      <c r="A10086" s="101"/>
    </row>
    <row r="10087" spans="1:1" x14ac:dyDescent="0.2">
      <c r="A10087" s="101"/>
    </row>
    <row r="10088" spans="1:1" x14ac:dyDescent="0.2">
      <c r="A10088" s="101"/>
    </row>
    <row r="10089" spans="1:1" x14ac:dyDescent="0.2">
      <c r="A10089" s="101"/>
    </row>
    <row r="10090" spans="1:1" x14ac:dyDescent="0.2">
      <c r="A10090" s="101"/>
    </row>
    <row r="10091" spans="1:1" x14ac:dyDescent="0.2">
      <c r="A10091" s="101"/>
    </row>
    <row r="10092" spans="1:1" x14ac:dyDescent="0.2">
      <c r="A10092" s="101"/>
    </row>
    <row r="10093" spans="1:1" x14ac:dyDescent="0.2">
      <c r="A10093" s="101"/>
    </row>
    <row r="10094" spans="1:1" x14ac:dyDescent="0.2">
      <c r="A10094" s="101"/>
    </row>
    <row r="10095" spans="1:1" x14ac:dyDescent="0.2">
      <c r="A10095" s="101"/>
    </row>
    <row r="10096" spans="1:1" x14ac:dyDescent="0.2">
      <c r="A10096" s="101"/>
    </row>
    <row r="10097" spans="1:1" x14ac:dyDescent="0.2">
      <c r="A10097" s="101"/>
    </row>
    <row r="10098" spans="1:1" x14ac:dyDescent="0.2">
      <c r="A10098" s="101"/>
    </row>
    <row r="10099" spans="1:1" x14ac:dyDescent="0.2">
      <c r="A10099" s="101"/>
    </row>
    <row r="10100" spans="1:1" x14ac:dyDescent="0.2">
      <c r="A10100" s="101"/>
    </row>
    <row r="10101" spans="1:1" x14ac:dyDescent="0.2">
      <c r="A10101" s="101"/>
    </row>
    <row r="10102" spans="1:1" x14ac:dyDescent="0.2">
      <c r="A10102" s="101"/>
    </row>
    <row r="10103" spans="1:1" x14ac:dyDescent="0.2">
      <c r="A10103" s="101"/>
    </row>
    <row r="10104" spans="1:1" x14ac:dyDescent="0.2">
      <c r="A10104" s="101"/>
    </row>
    <row r="10105" spans="1:1" x14ac:dyDescent="0.2">
      <c r="A10105" s="101"/>
    </row>
    <row r="10106" spans="1:1" x14ac:dyDescent="0.2">
      <c r="A10106" s="101"/>
    </row>
    <row r="10107" spans="1:1" x14ac:dyDescent="0.2">
      <c r="A10107" s="101"/>
    </row>
    <row r="10108" spans="1:1" x14ac:dyDescent="0.2">
      <c r="A10108" s="101"/>
    </row>
    <row r="10109" spans="1:1" x14ac:dyDescent="0.2">
      <c r="A10109" s="101"/>
    </row>
    <row r="10110" spans="1:1" x14ac:dyDescent="0.2">
      <c r="A10110" s="101"/>
    </row>
    <row r="10111" spans="1:1" x14ac:dyDescent="0.2">
      <c r="A10111" s="101"/>
    </row>
    <row r="10112" spans="1:1" x14ac:dyDescent="0.2">
      <c r="A10112" s="101"/>
    </row>
    <row r="10113" spans="1:1" x14ac:dyDescent="0.2">
      <c r="A10113" s="101"/>
    </row>
    <row r="10114" spans="1:1" x14ac:dyDescent="0.2">
      <c r="A10114" s="101"/>
    </row>
    <row r="10115" spans="1:1" x14ac:dyDescent="0.2">
      <c r="A10115" s="101"/>
    </row>
    <row r="10116" spans="1:1" x14ac:dyDescent="0.2">
      <c r="A10116" s="101"/>
    </row>
    <row r="10117" spans="1:1" x14ac:dyDescent="0.2">
      <c r="A10117" s="101"/>
    </row>
    <row r="10118" spans="1:1" x14ac:dyDescent="0.2">
      <c r="A10118" s="101"/>
    </row>
    <row r="10119" spans="1:1" x14ac:dyDescent="0.2">
      <c r="A10119" s="101"/>
    </row>
    <row r="10120" spans="1:1" x14ac:dyDescent="0.2">
      <c r="A10120" s="101"/>
    </row>
    <row r="10121" spans="1:1" x14ac:dyDescent="0.2">
      <c r="A10121" s="101"/>
    </row>
    <row r="10122" spans="1:1" x14ac:dyDescent="0.2">
      <c r="A10122" s="101"/>
    </row>
    <row r="10123" spans="1:1" x14ac:dyDescent="0.2">
      <c r="A10123" s="101"/>
    </row>
    <row r="10124" spans="1:1" x14ac:dyDescent="0.2">
      <c r="A10124" s="101"/>
    </row>
    <row r="10125" spans="1:1" x14ac:dyDescent="0.2">
      <c r="A10125" s="101"/>
    </row>
    <row r="10126" spans="1:1" x14ac:dyDescent="0.2">
      <c r="A10126" s="101"/>
    </row>
    <row r="10127" spans="1:1" x14ac:dyDescent="0.2">
      <c r="A10127" s="101"/>
    </row>
    <row r="10128" spans="1:1" x14ac:dyDescent="0.2">
      <c r="A10128" s="101"/>
    </row>
    <row r="10129" spans="1:1" x14ac:dyDescent="0.2">
      <c r="A10129" s="101"/>
    </row>
    <row r="10130" spans="1:1" x14ac:dyDescent="0.2">
      <c r="A10130" s="101"/>
    </row>
    <row r="10131" spans="1:1" x14ac:dyDescent="0.2">
      <c r="A10131" s="101"/>
    </row>
    <row r="10132" spans="1:1" x14ac:dyDescent="0.2">
      <c r="A10132" s="101"/>
    </row>
    <row r="10133" spans="1:1" x14ac:dyDescent="0.2">
      <c r="A10133" s="101"/>
    </row>
    <row r="10134" spans="1:1" x14ac:dyDescent="0.2">
      <c r="A10134" s="101"/>
    </row>
    <row r="10135" spans="1:1" x14ac:dyDescent="0.2">
      <c r="A10135" s="101"/>
    </row>
    <row r="10136" spans="1:1" x14ac:dyDescent="0.2">
      <c r="A10136" s="101"/>
    </row>
    <row r="10137" spans="1:1" x14ac:dyDescent="0.2">
      <c r="A10137" s="101"/>
    </row>
    <row r="10138" spans="1:1" x14ac:dyDescent="0.2">
      <c r="A10138" s="101"/>
    </row>
    <row r="10139" spans="1:1" x14ac:dyDescent="0.2">
      <c r="A10139" s="101"/>
    </row>
    <row r="10140" spans="1:1" x14ac:dyDescent="0.2">
      <c r="A10140" s="101"/>
    </row>
    <row r="10141" spans="1:1" x14ac:dyDescent="0.2">
      <c r="A10141" s="101"/>
    </row>
    <row r="10142" spans="1:1" x14ac:dyDescent="0.2">
      <c r="A10142" s="101"/>
    </row>
    <row r="10143" spans="1:1" x14ac:dyDescent="0.2">
      <c r="A10143" s="101"/>
    </row>
    <row r="10144" spans="1:1" x14ac:dyDescent="0.2">
      <c r="A10144" s="101"/>
    </row>
    <row r="10145" spans="1:1" x14ac:dyDescent="0.2">
      <c r="A10145" s="101"/>
    </row>
    <row r="10146" spans="1:1" x14ac:dyDescent="0.2">
      <c r="A10146" s="101"/>
    </row>
    <row r="10147" spans="1:1" x14ac:dyDescent="0.2">
      <c r="A10147" s="101"/>
    </row>
    <row r="10148" spans="1:1" x14ac:dyDescent="0.2">
      <c r="A10148" s="101"/>
    </row>
    <row r="10149" spans="1:1" x14ac:dyDescent="0.2">
      <c r="A10149" s="101"/>
    </row>
    <row r="10150" spans="1:1" x14ac:dyDescent="0.2">
      <c r="A10150" s="101"/>
    </row>
    <row r="10151" spans="1:1" x14ac:dyDescent="0.2">
      <c r="A10151" s="101"/>
    </row>
    <row r="10152" spans="1:1" x14ac:dyDescent="0.2">
      <c r="A10152" s="101"/>
    </row>
    <row r="10153" spans="1:1" x14ac:dyDescent="0.2">
      <c r="A10153" s="101"/>
    </row>
    <row r="10154" spans="1:1" x14ac:dyDescent="0.2">
      <c r="A10154" s="101"/>
    </row>
    <row r="10155" spans="1:1" x14ac:dyDescent="0.2">
      <c r="A10155" s="101"/>
    </row>
    <row r="10156" spans="1:1" x14ac:dyDescent="0.2">
      <c r="A10156" s="101"/>
    </row>
    <row r="10157" spans="1:1" x14ac:dyDescent="0.2">
      <c r="A10157" s="101"/>
    </row>
    <row r="10158" spans="1:1" x14ac:dyDescent="0.2">
      <c r="A10158" s="101"/>
    </row>
    <row r="10159" spans="1:1" x14ac:dyDescent="0.2">
      <c r="A10159" s="101"/>
    </row>
    <row r="10160" spans="1:1" x14ac:dyDescent="0.2">
      <c r="A10160" s="101"/>
    </row>
    <row r="10161" spans="1:1" x14ac:dyDescent="0.2">
      <c r="A10161" s="101"/>
    </row>
    <row r="10162" spans="1:1" x14ac:dyDescent="0.2">
      <c r="A10162" s="101"/>
    </row>
    <row r="10163" spans="1:1" x14ac:dyDescent="0.2">
      <c r="A10163" s="101"/>
    </row>
    <row r="10164" spans="1:1" x14ac:dyDescent="0.2">
      <c r="A10164" s="101"/>
    </row>
    <row r="10165" spans="1:1" x14ac:dyDescent="0.2">
      <c r="A10165" s="101"/>
    </row>
    <row r="10166" spans="1:1" x14ac:dyDescent="0.2">
      <c r="A10166" s="101"/>
    </row>
    <row r="10167" spans="1:1" x14ac:dyDescent="0.2">
      <c r="A10167" s="101"/>
    </row>
    <row r="10168" spans="1:1" x14ac:dyDescent="0.2">
      <c r="A10168" s="101"/>
    </row>
    <row r="10169" spans="1:1" x14ac:dyDescent="0.2">
      <c r="A10169" s="101"/>
    </row>
    <row r="10170" spans="1:1" x14ac:dyDescent="0.2">
      <c r="A10170" s="101"/>
    </row>
    <row r="10171" spans="1:1" x14ac:dyDescent="0.2">
      <c r="A10171" s="101"/>
    </row>
    <row r="10172" spans="1:1" x14ac:dyDescent="0.2">
      <c r="A10172" s="101"/>
    </row>
    <row r="10173" spans="1:1" x14ac:dyDescent="0.2">
      <c r="A10173" s="101"/>
    </row>
    <row r="10174" spans="1:1" x14ac:dyDescent="0.2">
      <c r="A10174" s="101"/>
    </row>
    <row r="10175" spans="1:1" x14ac:dyDescent="0.2">
      <c r="A10175" s="101"/>
    </row>
    <row r="10176" spans="1:1" x14ac:dyDescent="0.2">
      <c r="A10176" s="101"/>
    </row>
    <row r="10177" spans="1:1" x14ac:dyDescent="0.2">
      <c r="A10177" s="101"/>
    </row>
    <row r="10178" spans="1:1" x14ac:dyDescent="0.2">
      <c r="A10178" s="101"/>
    </row>
    <row r="10179" spans="1:1" x14ac:dyDescent="0.2">
      <c r="A10179" s="101"/>
    </row>
    <row r="10180" spans="1:1" x14ac:dyDescent="0.2">
      <c r="A10180" s="101"/>
    </row>
    <row r="10181" spans="1:1" x14ac:dyDescent="0.2">
      <c r="A10181" s="101"/>
    </row>
    <row r="10182" spans="1:1" x14ac:dyDescent="0.2">
      <c r="A10182" s="101"/>
    </row>
    <row r="10183" spans="1:1" x14ac:dyDescent="0.2">
      <c r="A10183" s="101"/>
    </row>
    <row r="10184" spans="1:1" x14ac:dyDescent="0.2">
      <c r="A10184" s="101"/>
    </row>
    <row r="10185" spans="1:1" x14ac:dyDescent="0.2">
      <c r="A10185" s="101"/>
    </row>
    <row r="10186" spans="1:1" x14ac:dyDescent="0.2">
      <c r="A10186" s="101"/>
    </row>
    <row r="10187" spans="1:1" x14ac:dyDescent="0.2">
      <c r="A10187" s="101"/>
    </row>
    <row r="10188" spans="1:1" x14ac:dyDescent="0.2">
      <c r="A10188" s="101"/>
    </row>
    <row r="10189" spans="1:1" x14ac:dyDescent="0.2">
      <c r="A10189" s="101"/>
    </row>
    <row r="10190" spans="1:1" x14ac:dyDescent="0.2">
      <c r="A10190" s="101"/>
    </row>
    <row r="10191" spans="1:1" x14ac:dyDescent="0.2">
      <c r="A10191" s="101"/>
    </row>
    <row r="10192" spans="1:1" x14ac:dyDescent="0.2">
      <c r="A10192" s="101"/>
    </row>
    <row r="10193" spans="1:1" x14ac:dyDescent="0.2">
      <c r="A10193" s="101"/>
    </row>
    <row r="10194" spans="1:1" x14ac:dyDescent="0.2">
      <c r="A10194" s="101"/>
    </row>
    <row r="10195" spans="1:1" x14ac:dyDescent="0.2">
      <c r="A10195" s="101"/>
    </row>
    <row r="10196" spans="1:1" x14ac:dyDescent="0.2">
      <c r="A10196" s="101"/>
    </row>
    <row r="10197" spans="1:1" x14ac:dyDescent="0.2">
      <c r="A10197" s="101"/>
    </row>
    <row r="10198" spans="1:1" x14ac:dyDescent="0.2">
      <c r="A10198" s="101"/>
    </row>
    <row r="10199" spans="1:1" x14ac:dyDescent="0.2">
      <c r="A10199" s="101"/>
    </row>
    <row r="10200" spans="1:1" x14ac:dyDescent="0.2">
      <c r="A10200" s="101"/>
    </row>
    <row r="10201" spans="1:1" x14ac:dyDescent="0.2">
      <c r="A10201" s="101"/>
    </row>
    <row r="10202" spans="1:1" x14ac:dyDescent="0.2">
      <c r="A10202" s="101"/>
    </row>
    <row r="10203" spans="1:1" x14ac:dyDescent="0.2">
      <c r="A10203" s="101"/>
    </row>
    <row r="10204" spans="1:1" x14ac:dyDescent="0.2">
      <c r="A10204" s="101"/>
    </row>
    <row r="10205" spans="1:1" x14ac:dyDescent="0.2">
      <c r="A10205" s="101"/>
    </row>
    <row r="10206" spans="1:1" x14ac:dyDescent="0.2">
      <c r="A10206" s="101"/>
    </row>
    <row r="10207" spans="1:1" x14ac:dyDescent="0.2">
      <c r="A10207" s="101"/>
    </row>
    <row r="10208" spans="1:1" x14ac:dyDescent="0.2">
      <c r="A10208" s="101"/>
    </row>
    <row r="10209" spans="1:1" x14ac:dyDescent="0.2">
      <c r="A10209" s="101"/>
    </row>
    <row r="10210" spans="1:1" x14ac:dyDescent="0.2">
      <c r="A10210" s="101"/>
    </row>
    <row r="10211" spans="1:1" x14ac:dyDescent="0.2">
      <c r="A10211" s="101"/>
    </row>
    <row r="10212" spans="1:1" x14ac:dyDescent="0.2">
      <c r="A10212" s="101"/>
    </row>
    <row r="10213" spans="1:1" x14ac:dyDescent="0.2">
      <c r="A10213" s="101"/>
    </row>
    <row r="10214" spans="1:1" x14ac:dyDescent="0.2">
      <c r="A10214" s="101"/>
    </row>
    <row r="10215" spans="1:1" x14ac:dyDescent="0.2">
      <c r="A10215" s="101"/>
    </row>
    <row r="10216" spans="1:1" x14ac:dyDescent="0.2">
      <c r="A10216" s="101"/>
    </row>
    <row r="10217" spans="1:1" x14ac:dyDescent="0.2">
      <c r="A10217" s="101"/>
    </row>
    <row r="10218" spans="1:1" x14ac:dyDescent="0.2">
      <c r="A10218" s="101"/>
    </row>
    <row r="10219" spans="1:1" x14ac:dyDescent="0.2">
      <c r="A10219" s="101"/>
    </row>
    <row r="10220" spans="1:1" x14ac:dyDescent="0.2">
      <c r="A10220" s="101"/>
    </row>
    <row r="10221" spans="1:1" x14ac:dyDescent="0.2">
      <c r="A10221" s="101"/>
    </row>
    <row r="10222" spans="1:1" x14ac:dyDescent="0.2">
      <c r="A10222" s="101"/>
    </row>
    <row r="10223" spans="1:1" x14ac:dyDescent="0.2">
      <c r="A10223" s="101"/>
    </row>
    <row r="10224" spans="1:1" x14ac:dyDescent="0.2">
      <c r="A10224" s="101"/>
    </row>
    <row r="10225" spans="1:1" x14ac:dyDescent="0.2">
      <c r="A10225" s="101"/>
    </row>
    <row r="10226" spans="1:1" x14ac:dyDescent="0.2">
      <c r="A10226" s="101"/>
    </row>
    <row r="10227" spans="1:1" x14ac:dyDescent="0.2">
      <c r="A10227" s="101"/>
    </row>
    <row r="10228" spans="1:1" x14ac:dyDescent="0.2">
      <c r="A10228" s="101"/>
    </row>
    <row r="10229" spans="1:1" x14ac:dyDescent="0.2">
      <c r="A10229" s="101"/>
    </row>
    <row r="10230" spans="1:1" x14ac:dyDescent="0.2">
      <c r="A10230" s="101"/>
    </row>
    <row r="10231" spans="1:1" x14ac:dyDescent="0.2">
      <c r="A10231" s="101"/>
    </row>
    <row r="10232" spans="1:1" x14ac:dyDescent="0.2">
      <c r="A10232" s="101"/>
    </row>
    <row r="10233" spans="1:1" x14ac:dyDescent="0.2">
      <c r="A10233" s="101"/>
    </row>
    <row r="10234" spans="1:1" x14ac:dyDescent="0.2">
      <c r="A10234" s="101"/>
    </row>
    <row r="10235" spans="1:1" x14ac:dyDescent="0.2">
      <c r="A10235" s="101"/>
    </row>
    <row r="10236" spans="1:1" x14ac:dyDescent="0.2">
      <c r="A10236" s="101"/>
    </row>
    <row r="10237" spans="1:1" x14ac:dyDescent="0.2">
      <c r="A10237" s="101"/>
    </row>
    <row r="10238" spans="1:1" x14ac:dyDescent="0.2">
      <c r="A10238" s="101"/>
    </row>
    <row r="10239" spans="1:1" x14ac:dyDescent="0.2">
      <c r="A10239" s="101"/>
    </row>
    <row r="10240" spans="1:1" x14ac:dyDescent="0.2">
      <c r="A10240" s="101"/>
    </row>
    <row r="10241" spans="1:1" x14ac:dyDescent="0.2">
      <c r="A10241" s="101"/>
    </row>
    <row r="10242" spans="1:1" x14ac:dyDescent="0.2">
      <c r="A10242" s="101"/>
    </row>
    <row r="10243" spans="1:1" x14ac:dyDescent="0.2">
      <c r="A10243" s="101"/>
    </row>
    <row r="10244" spans="1:1" x14ac:dyDescent="0.2">
      <c r="A10244" s="101"/>
    </row>
    <row r="10245" spans="1:1" x14ac:dyDescent="0.2">
      <c r="A10245" s="101"/>
    </row>
    <row r="10246" spans="1:1" x14ac:dyDescent="0.2">
      <c r="A10246" s="101"/>
    </row>
    <row r="10247" spans="1:1" x14ac:dyDescent="0.2">
      <c r="A10247" s="101"/>
    </row>
    <row r="10248" spans="1:1" x14ac:dyDescent="0.2">
      <c r="A10248" s="101"/>
    </row>
    <row r="10249" spans="1:1" x14ac:dyDescent="0.2">
      <c r="A10249" s="101"/>
    </row>
    <row r="10250" spans="1:1" x14ac:dyDescent="0.2">
      <c r="A10250" s="101"/>
    </row>
    <row r="10251" spans="1:1" x14ac:dyDescent="0.2">
      <c r="A10251" s="101"/>
    </row>
    <row r="10252" spans="1:1" x14ac:dyDescent="0.2">
      <c r="A10252" s="101"/>
    </row>
    <row r="10253" spans="1:1" x14ac:dyDescent="0.2">
      <c r="A10253" s="101"/>
    </row>
    <row r="10254" spans="1:1" x14ac:dyDescent="0.2">
      <c r="A10254" s="101"/>
    </row>
    <row r="10255" spans="1:1" x14ac:dyDescent="0.2">
      <c r="A10255" s="101"/>
    </row>
    <row r="10256" spans="1:1" x14ac:dyDescent="0.2">
      <c r="A10256" s="101"/>
    </row>
    <row r="10257" spans="1:1" x14ac:dyDescent="0.2">
      <c r="A10257" s="101"/>
    </row>
    <row r="10258" spans="1:1" x14ac:dyDescent="0.2">
      <c r="A10258" s="101"/>
    </row>
    <row r="10259" spans="1:1" x14ac:dyDescent="0.2">
      <c r="A10259" s="101"/>
    </row>
    <row r="10260" spans="1:1" x14ac:dyDescent="0.2">
      <c r="A10260" s="101"/>
    </row>
    <row r="10261" spans="1:1" x14ac:dyDescent="0.2">
      <c r="A10261" s="101"/>
    </row>
    <row r="10262" spans="1:1" x14ac:dyDescent="0.2">
      <c r="A10262" s="101"/>
    </row>
    <row r="10263" spans="1:1" x14ac:dyDescent="0.2">
      <c r="A10263" s="101"/>
    </row>
    <row r="10264" spans="1:1" x14ac:dyDescent="0.2">
      <c r="A10264" s="101"/>
    </row>
    <row r="10265" spans="1:1" x14ac:dyDescent="0.2">
      <c r="A10265" s="101"/>
    </row>
    <row r="10266" spans="1:1" x14ac:dyDescent="0.2">
      <c r="A10266" s="101"/>
    </row>
    <row r="10267" spans="1:1" x14ac:dyDescent="0.2">
      <c r="A10267" s="101"/>
    </row>
    <row r="10268" spans="1:1" x14ac:dyDescent="0.2">
      <c r="A10268" s="101"/>
    </row>
    <row r="10269" spans="1:1" x14ac:dyDescent="0.2">
      <c r="A10269" s="101"/>
    </row>
    <row r="10270" spans="1:1" x14ac:dyDescent="0.2">
      <c r="A10270" s="101"/>
    </row>
    <row r="10271" spans="1:1" x14ac:dyDescent="0.2">
      <c r="A10271" s="101"/>
    </row>
    <row r="10272" spans="1:1" x14ac:dyDescent="0.2">
      <c r="A10272" s="101"/>
    </row>
    <row r="10273" spans="1:1" x14ac:dyDescent="0.2">
      <c r="A10273" s="101"/>
    </row>
    <row r="10274" spans="1:1" x14ac:dyDescent="0.2">
      <c r="A10274" s="101"/>
    </row>
    <row r="10275" spans="1:1" x14ac:dyDescent="0.2">
      <c r="A10275" s="101"/>
    </row>
    <row r="10276" spans="1:1" x14ac:dyDescent="0.2">
      <c r="A10276" s="101"/>
    </row>
    <row r="10277" spans="1:1" x14ac:dyDescent="0.2">
      <c r="A10277" s="101"/>
    </row>
    <row r="10278" spans="1:1" x14ac:dyDescent="0.2">
      <c r="A10278" s="101"/>
    </row>
    <row r="10279" spans="1:1" x14ac:dyDescent="0.2">
      <c r="A10279" s="101"/>
    </row>
    <row r="10280" spans="1:1" x14ac:dyDescent="0.2">
      <c r="A10280" s="101"/>
    </row>
    <row r="10281" spans="1:1" x14ac:dyDescent="0.2">
      <c r="A10281" s="101"/>
    </row>
    <row r="10282" spans="1:1" x14ac:dyDescent="0.2">
      <c r="A10282" s="101"/>
    </row>
    <row r="10283" spans="1:1" x14ac:dyDescent="0.2">
      <c r="A10283" s="101"/>
    </row>
    <row r="10284" spans="1:1" x14ac:dyDescent="0.2">
      <c r="A10284" s="101"/>
    </row>
    <row r="10285" spans="1:1" x14ac:dyDescent="0.2">
      <c r="A10285" s="101"/>
    </row>
    <row r="10286" spans="1:1" x14ac:dyDescent="0.2">
      <c r="A10286" s="101"/>
    </row>
    <row r="10287" spans="1:1" x14ac:dyDescent="0.2">
      <c r="A10287" s="101"/>
    </row>
    <row r="10288" spans="1:1" x14ac:dyDescent="0.2">
      <c r="A10288" s="101"/>
    </row>
    <row r="10289" spans="1:1" x14ac:dyDescent="0.2">
      <c r="A10289" s="101"/>
    </row>
    <row r="10290" spans="1:1" x14ac:dyDescent="0.2">
      <c r="A10290" s="101"/>
    </row>
    <row r="10291" spans="1:1" x14ac:dyDescent="0.2">
      <c r="A10291" s="101"/>
    </row>
    <row r="10292" spans="1:1" x14ac:dyDescent="0.2">
      <c r="A10292" s="101"/>
    </row>
    <row r="10293" spans="1:1" x14ac:dyDescent="0.2">
      <c r="A10293" s="101"/>
    </row>
    <row r="10294" spans="1:1" x14ac:dyDescent="0.2">
      <c r="A10294" s="101"/>
    </row>
    <row r="10295" spans="1:1" x14ac:dyDescent="0.2">
      <c r="A10295" s="101"/>
    </row>
    <row r="10296" spans="1:1" x14ac:dyDescent="0.2">
      <c r="A10296" s="101"/>
    </row>
    <row r="10297" spans="1:1" x14ac:dyDescent="0.2">
      <c r="A10297" s="101"/>
    </row>
    <row r="10298" spans="1:1" x14ac:dyDescent="0.2">
      <c r="A10298" s="101"/>
    </row>
    <row r="10299" spans="1:1" x14ac:dyDescent="0.2">
      <c r="A10299" s="101"/>
    </row>
    <row r="10300" spans="1:1" x14ac:dyDescent="0.2">
      <c r="A10300" s="101"/>
    </row>
    <row r="10301" spans="1:1" x14ac:dyDescent="0.2">
      <c r="A10301" s="101"/>
    </row>
    <row r="10302" spans="1:1" x14ac:dyDescent="0.2">
      <c r="A10302" s="101"/>
    </row>
    <row r="10303" spans="1:1" x14ac:dyDescent="0.2">
      <c r="A10303" s="101"/>
    </row>
    <row r="10304" spans="1:1" x14ac:dyDescent="0.2">
      <c r="A10304" s="101"/>
    </row>
    <row r="10305" spans="1:1" x14ac:dyDescent="0.2">
      <c r="A10305" s="101"/>
    </row>
    <row r="10306" spans="1:1" x14ac:dyDescent="0.2">
      <c r="A10306" s="101"/>
    </row>
    <row r="10307" spans="1:1" x14ac:dyDescent="0.2">
      <c r="A10307" s="101"/>
    </row>
    <row r="10308" spans="1:1" x14ac:dyDescent="0.2">
      <c r="A10308" s="101"/>
    </row>
    <row r="10309" spans="1:1" x14ac:dyDescent="0.2">
      <c r="A10309" s="101"/>
    </row>
    <row r="10310" spans="1:1" x14ac:dyDescent="0.2">
      <c r="A10310" s="101"/>
    </row>
    <row r="10311" spans="1:1" x14ac:dyDescent="0.2">
      <c r="A10311" s="101"/>
    </row>
    <row r="10312" spans="1:1" x14ac:dyDescent="0.2">
      <c r="A10312" s="101"/>
    </row>
    <row r="10313" spans="1:1" x14ac:dyDescent="0.2">
      <c r="A10313" s="101"/>
    </row>
    <row r="10314" spans="1:1" x14ac:dyDescent="0.2">
      <c r="A10314" s="101"/>
    </row>
    <row r="10315" spans="1:1" x14ac:dyDescent="0.2">
      <c r="A10315" s="101"/>
    </row>
    <row r="10316" spans="1:1" x14ac:dyDescent="0.2">
      <c r="A10316" s="101"/>
    </row>
    <row r="10317" spans="1:1" x14ac:dyDescent="0.2">
      <c r="A10317" s="101"/>
    </row>
    <row r="10318" spans="1:1" x14ac:dyDescent="0.2">
      <c r="A10318" s="101"/>
    </row>
    <row r="10319" spans="1:1" x14ac:dyDescent="0.2">
      <c r="A10319" s="101"/>
    </row>
    <row r="10320" spans="1:1" x14ac:dyDescent="0.2">
      <c r="A10320" s="101"/>
    </row>
    <row r="10321" spans="1:1" x14ac:dyDescent="0.2">
      <c r="A10321" s="101"/>
    </row>
    <row r="10322" spans="1:1" x14ac:dyDescent="0.2">
      <c r="A10322" s="101"/>
    </row>
    <row r="10323" spans="1:1" x14ac:dyDescent="0.2">
      <c r="A10323" s="101"/>
    </row>
    <row r="10324" spans="1:1" x14ac:dyDescent="0.2">
      <c r="A10324" s="101"/>
    </row>
    <row r="10325" spans="1:1" x14ac:dyDescent="0.2">
      <c r="A10325" s="101"/>
    </row>
    <row r="10326" spans="1:1" x14ac:dyDescent="0.2">
      <c r="A10326" s="101"/>
    </row>
    <row r="10327" spans="1:1" x14ac:dyDescent="0.2">
      <c r="A10327" s="101"/>
    </row>
    <row r="10328" spans="1:1" x14ac:dyDescent="0.2">
      <c r="A10328" s="101"/>
    </row>
    <row r="10329" spans="1:1" x14ac:dyDescent="0.2">
      <c r="A10329" s="101"/>
    </row>
    <row r="10330" spans="1:1" x14ac:dyDescent="0.2">
      <c r="A10330" s="101"/>
    </row>
    <row r="10331" spans="1:1" x14ac:dyDescent="0.2">
      <c r="A10331" s="101"/>
    </row>
    <row r="10332" spans="1:1" x14ac:dyDescent="0.2">
      <c r="A10332" s="101"/>
    </row>
    <row r="10333" spans="1:1" x14ac:dyDescent="0.2">
      <c r="A10333" s="101"/>
    </row>
    <row r="10334" spans="1:1" x14ac:dyDescent="0.2">
      <c r="A10334" s="101"/>
    </row>
    <row r="10335" spans="1:1" x14ac:dyDescent="0.2">
      <c r="A10335" s="101"/>
    </row>
    <row r="10336" spans="1:1" x14ac:dyDescent="0.2">
      <c r="A10336" s="101"/>
    </row>
    <row r="10337" spans="1:1" x14ac:dyDescent="0.2">
      <c r="A10337" s="101"/>
    </row>
    <row r="10338" spans="1:1" x14ac:dyDescent="0.2">
      <c r="A10338" s="101"/>
    </row>
    <row r="10339" spans="1:1" x14ac:dyDescent="0.2">
      <c r="A10339" s="101"/>
    </row>
    <row r="10340" spans="1:1" x14ac:dyDescent="0.2">
      <c r="A10340" s="101"/>
    </row>
    <row r="10341" spans="1:1" x14ac:dyDescent="0.2">
      <c r="A10341" s="101"/>
    </row>
    <row r="10342" spans="1:1" x14ac:dyDescent="0.2">
      <c r="A10342" s="101"/>
    </row>
    <row r="10343" spans="1:1" x14ac:dyDescent="0.2">
      <c r="A10343" s="101"/>
    </row>
    <row r="10344" spans="1:1" x14ac:dyDescent="0.2">
      <c r="A10344" s="101"/>
    </row>
    <row r="10345" spans="1:1" x14ac:dyDescent="0.2">
      <c r="A10345" s="101"/>
    </row>
    <row r="10346" spans="1:1" x14ac:dyDescent="0.2">
      <c r="A10346" s="101"/>
    </row>
    <row r="10347" spans="1:1" x14ac:dyDescent="0.2">
      <c r="A10347" s="101"/>
    </row>
    <row r="10348" spans="1:1" x14ac:dyDescent="0.2">
      <c r="A10348" s="101"/>
    </row>
    <row r="10349" spans="1:1" x14ac:dyDescent="0.2">
      <c r="A10349" s="101"/>
    </row>
    <row r="10350" spans="1:1" x14ac:dyDescent="0.2">
      <c r="A10350" s="101"/>
    </row>
    <row r="10351" spans="1:1" x14ac:dyDescent="0.2">
      <c r="A10351" s="101"/>
    </row>
    <row r="10352" spans="1:1" x14ac:dyDescent="0.2">
      <c r="A10352" s="101"/>
    </row>
    <row r="10353" spans="1:1" x14ac:dyDescent="0.2">
      <c r="A10353" s="101"/>
    </row>
    <row r="10354" spans="1:1" x14ac:dyDescent="0.2">
      <c r="A10354" s="101"/>
    </row>
    <row r="10355" spans="1:1" x14ac:dyDescent="0.2">
      <c r="A10355" s="101"/>
    </row>
    <row r="10356" spans="1:1" x14ac:dyDescent="0.2">
      <c r="A10356" s="101"/>
    </row>
    <row r="10357" spans="1:1" x14ac:dyDescent="0.2">
      <c r="A10357" s="101"/>
    </row>
    <row r="10358" spans="1:1" x14ac:dyDescent="0.2">
      <c r="A10358" s="101"/>
    </row>
    <row r="10359" spans="1:1" x14ac:dyDescent="0.2">
      <c r="A10359" s="101"/>
    </row>
    <row r="10360" spans="1:1" x14ac:dyDescent="0.2">
      <c r="A10360" s="101"/>
    </row>
    <row r="10361" spans="1:1" x14ac:dyDescent="0.2">
      <c r="A10361" s="101"/>
    </row>
    <row r="10362" spans="1:1" x14ac:dyDescent="0.2">
      <c r="A10362" s="101"/>
    </row>
    <row r="10363" spans="1:1" x14ac:dyDescent="0.2">
      <c r="A10363" s="101"/>
    </row>
    <row r="10364" spans="1:1" x14ac:dyDescent="0.2">
      <c r="A10364" s="101"/>
    </row>
    <row r="10365" spans="1:1" x14ac:dyDescent="0.2">
      <c r="A10365" s="101"/>
    </row>
    <row r="10366" spans="1:1" x14ac:dyDescent="0.2">
      <c r="A10366" s="101"/>
    </row>
    <row r="10367" spans="1:1" x14ac:dyDescent="0.2">
      <c r="A10367" s="101"/>
    </row>
    <row r="10368" spans="1:1" x14ac:dyDescent="0.2">
      <c r="A10368" s="101"/>
    </row>
    <row r="10369" spans="1:1" x14ac:dyDescent="0.2">
      <c r="A10369" s="101"/>
    </row>
    <row r="10370" spans="1:1" x14ac:dyDescent="0.2">
      <c r="A10370" s="101"/>
    </row>
    <row r="10371" spans="1:1" x14ac:dyDescent="0.2">
      <c r="A10371" s="101"/>
    </row>
    <row r="10372" spans="1:1" x14ac:dyDescent="0.2">
      <c r="A10372" s="101"/>
    </row>
    <row r="10373" spans="1:1" x14ac:dyDescent="0.2">
      <c r="A10373" s="101"/>
    </row>
    <row r="10374" spans="1:1" x14ac:dyDescent="0.2">
      <c r="A10374" s="101"/>
    </row>
    <row r="10375" spans="1:1" x14ac:dyDescent="0.2">
      <c r="A10375" s="101"/>
    </row>
    <row r="10376" spans="1:1" x14ac:dyDescent="0.2">
      <c r="A10376" s="101"/>
    </row>
    <row r="10377" spans="1:1" x14ac:dyDescent="0.2">
      <c r="A10377" s="101"/>
    </row>
    <row r="10378" spans="1:1" x14ac:dyDescent="0.2">
      <c r="A10378" s="101"/>
    </row>
    <row r="10379" spans="1:1" x14ac:dyDescent="0.2">
      <c r="A10379" s="101"/>
    </row>
    <row r="10380" spans="1:1" x14ac:dyDescent="0.2">
      <c r="A10380" s="101"/>
    </row>
    <row r="10381" spans="1:1" x14ac:dyDescent="0.2">
      <c r="A10381" s="101"/>
    </row>
    <row r="10382" spans="1:1" x14ac:dyDescent="0.2">
      <c r="A10382" s="101"/>
    </row>
    <row r="10383" spans="1:1" x14ac:dyDescent="0.2">
      <c r="A10383" s="101"/>
    </row>
    <row r="10384" spans="1:1" x14ac:dyDescent="0.2">
      <c r="A10384" s="101"/>
    </row>
    <row r="10385" spans="1:1" x14ac:dyDescent="0.2">
      <c r="A10385" s="101"/>
    </row>
    <row r="10386" spans="1:1" x14ac:dyDescent="0.2">
      <c r="A10386" s="101"/>
    </row>
    <row r="10387" spans="1:1" x14ac:dyDescent="0.2">
      <c r="A10387" s="101"/>
    </row>
    <row r="10388" spans="1:1" x14ac:dyDescent="0.2">
      <c r="A10388" s="101"/>
    </row>
    <row r="10389" spans="1:1" x14ac:dyDescent="0.2">
      <c r="A10389" s="101"/>
    </row>
    <row r="10390" spans="1:1" x14ac:dyDescent="0.2">
      <c r="A10390" s="101"/>
    </row>
    <row r="10391" spans="1:1" x14ac:dyDescent="0.2">
      <c r="A10391" s="101"/>
    </row>
    <row r="10392" spans="1:1" x14ac:dyDescent="0.2">
      <c r="A10392" s="101"/>
    </row>
    <row r="10393" spans="1:1" x14ac:dyDescent="0.2">
      <c r="A10393" s="101"/>
    </row>
    <row r="10394" spans="1:1" x14ac:dyDescent="0.2">
      <c r="A10394" s="101"/>
    </row>
    <row r="10395" spans="1:1" x14ac:dyDescent="0.2">
      <c r="A10395" s="101"/>
    </row>
    <row r="10396" spans="1:1" x14ac:dyDescent="0.2">
      <c r="A10396" s="101"/>
    </row>
    <row r="10397" spans="1:1" x14ac:dyDescent="0.2">
      <c r="A10397" s="101"/>
    </row>
    <row r="10398" spans="1:1" x14ac:dyDescent="0.2">
      <c r="A10398" s="101"/>
    </row>
    <row r="10399" spans="1:1" x14ac:dyDescent="0.2">
      <c r="A10399" s="101"/>
    </row>
    <row r="10400" spans="1:1" x14ac:dyDescent="0.2">
      <c r="A10400" s="101"/>
    </row>
    <row r="10401" spans="1:1" x14ac:dyDescent="0.2">
      <c r="A10401" s="101"/>
    </row>
    <row r="10402" spans="1:1" x14ac:dyDescent="0.2">
      <c r="A10402" s="101"/>
    </row>
    <row r="10403" spans="1:1" x14ac:dyDescent="0.2">
      <c r="A10403" s="101"/>
    </row>
    <row r="10404" spans="1:1" x14ac:dyDescent="0.2">
      <c r="A10404" s="101"/>
    </row>
    <row r="10405" spans="1:1" x14ac:dyDescent="0.2">
      <c r="A10405" s="101"/>
    </row>
    <row r="10406" spans="1:1" x14ac:dyDescent="0.2">
      <c r="A10406" s="101"/>
    </row>
    <row r="10407" spans="1:1" x14ac:dyDescent="0.2">
      <c r="A10407" s="101"/>
    </row>
    <row r="10408" spans="1:1" x14ac:dyDescent="0.2">
      <c r="A10408" s="101"/>
    </row>
    <row r="10409" spans="1:1" x14ac:dyDescent="0.2">
      <c r="A10409" s="101"/>
    </row>
    <row r="10410" spans="1:1" x14ac:dyDescent="0.2">
      <c r="A10410" s="101"/>
    </row>
    <row r="10411" spans="1:1" x14ac:dyDescent="0.2">
      <c r="A10411" s="101"/>
    </row>
    <row r="10412" spans="1:1" x14ac:dyDescent="0.2">
      <c r="A10412" s="101"/>
    </row>
    <row r="10413" spans="1:1" x14ac:dyDescent="0.2">
      <c r="A10413" s="101"/>
    </row>
    <row r="10414" spans="1:1" x14ac:dyDescent="0.2">
      <c r="A10414" s="101"/>
    </row>
    <row r="10415" spans="1:1" x14ac:dyDescent="0.2">
      <c r="A10415" s="101"/>
    </row>
    <row r="10416" spans="1:1" x14ac:dyDescent="0.2">
      <c r="A10416" s="101"/>
    </row>
    <row r="10417" spans="1:1" x14ac:dyDescent="0.2">
      <c r="A10417" s="101"/>
    </row>
    <row r="10418" spans="1:1" x14ac:dyDescent="0.2">
      <c r="A10418" s="101"/>
    </row>
    <row r="10419" spans="1:1" x14ac:dyDescent="0.2">
      <c r="A10419" s="101"/>
    </row>
    <row r="10420" spans="1:1" x14ac:dyDescent="0.2">
      <c r="A10420" s="101"/>
    </row>
    <row r="10421" spans="1:1" x14ac:dyDescent="0.2">
      <c r="A10421" s="101"/>
    </row>
    <row r="10422" spans="1:1" x14ac:dyDescent="0.2">
      <c r="A10422" s="101"/>
    </row>
    <row r="10423" spans="1:1" x14ac:dyDescent="0.2">
      <c r="A10423" s="101"/>
    </row>
    <row r="10424" spans="1:1" x14ac:dyDescent="0.2">
      <c r="A10424" s="101"/>
    </row>
    <row r="10425" spans="1:1" x14ac:dyDescent="0.2">
      <c r="A10425" s="101"/>
    </row>
    <row r="10426" spans="1:1" x14ac:dyDescent="0.2">
      <c r="A10426" s="101"/>
    </row>
    <row r="10427" spans="1:1" x14ac:dyDescent="0.2">
      <c r="A10427" s="101"/>
    </row>
    <row r="10428" spans="1:1" x14ac:dyDescent="0.2">
      <c r="A10428" s="101"/>
    </row>
    <row r="10429" spans="1:1" x14ac:dyDescent="0.2">
      <c r="A10429" s="101"/>
    </row>
    <row r="10430" spans="1:1" x14ac:dyDescent="0.2">
      <c r="A10430" s="101"/>
    </row>
    <row r="10431" spans="1:1" x14ac:dyDescent="0.2">
      <c r="A10431" s="101"/>
    </row>
    <row r="10432" spans="1:1" x14ac:dyDescent="0.2">
      <c r="A10432" s="101"/>
    </row>
    <row r="10433" spans="1:1" x14ac:dyDescent="0.2">
      <c r="A10433" s="101"/>
    </row>
    <row r="10434" spans="1:1" x14ac:dyDescent="0.2">
      <c r="A10434" s="101"/>
    </row>
    <row r="10435" spans="1:1" x14ac:dyDescent="0.2">
      <c r="A10435" s="101"/>
    </row>
    <row r="10436" spans="1:1" x14ac:dyDescent="0.2">
      <c r="A10436" s="101"/>
    </row>
    <row r="10437" spans="1:1" x14ac:dyDescent="0.2">
      <c r="A10437" s="101"/>
    </row>
    <row r="10438" spans="1:1" x14ac:dyDescent="0.2">
      <c r="A10438" s="101"/>
    </row>
    <row r="10439" spans="1:1" x14ac:dyDescent="0.2">
      <c r="A10439" s="101"/>
    </row>
    <row r="10440" spans="1:1" x14ac:dyDescent="0.2">
      <c r="A10440" s="101"/>
    </row>
    <row r="10441" spans="1:1" x14ac:dyDescent="0.2">
      <c r="A10441" s="101"/>
    </row>
    <row r="10442" spans="1:1" x14ac:dyDescent="0.2">
      <c r="A10442" s="101"/>
    </row>
    <row r="10443" spans="1:1" x14ac:dyDescent="0.2">
      <c r="A10443" s="101"/>
    </row>
    <row r="10444" spans="1:1" x14ac:dyDescent="0.2">
      <c r="A10444" s="101"/>
    </row>
    <row r="10445" spans="1:1" x14ac:dyDescent="0.2">
      <c r="A10445" s="101"/>
    </row>
    <row r="10446" spans="1:1" x14ac:dyDescent="0.2">
      <c r="A10446" s="101"/>
    </row>
    <row r="10447" spans="1:1" x14ac:dyDescent="0.2">
      <c r="A10447" s="101"/>
    </row>
    <row r="10448" spans="1:1" x14ac:dyDescent="0.2">
      <c r="A10448" s="101"/>
    </row>
    <row r="10449" spans="1:1" x14ac:dyDescent="0.2">
      <c r="A10449" s="101"/>
    </row>
    <row r="10450" spans="1:1" x14ac:dyDescent="0.2">
      <c r="A10450" s="101"/>
    </row>
    <row r="10451" spans="1:1" x14ac:dyDescent="0.2">
      <c r="A10451" s="101"/>
    </row>
    <row r="10452" spans="1:1" x14ac:dyDescent="0.2">
      <c r="A10452" s="101"/>
    </row>
    <row r="10453" spans="1:1" x14ac:dyDescent="0.2">
      <c r="A10453" s="101"/>
    </row>
    <row r="10454" spans="1:1" x14ac:dyDescent="0.2">
      <c r="A10454" s="101"/>
    </row>
    <row r="10455" spans="1:1" x14ac:dyDescent="0.2">
      <c r="A10455" s="101"/>
    </row>
    <row r="10456" spans="1:1" x14ac:dyDescent="0.2">
      <c r="A10456" s="101"/>
    </row>
    <row r="10457" spans="1:1" x14ac:dyDescent="0.2">
      <c r="A10457" s="101"/>
    </row>
    <row r="10458" spans="1:1" x14ac:dyDescent="0.2">
      <c r="A10458" s="101"/>
    </row>
    <row r="10459" spans="1:1" x14ac:dyDescent="0.2">
      <c r="A10459" s="101"/>
    </row>
    <row r="10460" spans="1:1" x14ac:dyDescent="0.2">
      <c r="A10460" s="101"/>
    </row>
    <row r="10461" spans="1:1" x14ac:dyDescent="0.2">
      <c r="A10461" s="101"/>
    </row>
    <row r="10462" spans="1:1" x14ac:dyDescent="0.2">
      <c r="A10462" s="101"/>
    </row>
    <row r="10463" spans="1:1" x14ac:dyDescent="0.2">
      <c r="A10463" s="101"/>
    </row>
    <row r="10464" spans="1:1" x14ac:dyDescent="0.2">
      <c r="A10464" s="101"/>
    </row>
    <row r="10465" spans="1:1" x14ac:dyDescent="0.2">
      <c r="A10465" s="101"/>
    </row>
    <row r="10466" spans="1:1" x14ac:dyDescent="0.2">
      <c r="A10466" s="101"/>
    </row>
    <row r="10467" spans="1:1" x14ac:dyDescent="0.2">
      <c r="A10467" s="101"/>
    </row>
    <row r="10468" spans="1:1" x14ac:dyDescent="0.2">
      <c r="A10468" s="101"/>
    </row>
    <row r="10469" spans="1:1" x14ac:dyDescent="0.2">
      <c r="A10469" s="101"/>
    </row>
    <row r="10470" spans="1:1" x14ac:dyDescent="0.2">
      <c r="A10470" s="101"/>
    </row>
    <row r="10471" spans="1:1" x14ac:dyDescent="0.2">
      <c r="A10471" s="101"/>
    </row>
    <row r="10472" spans="1:1" x14ac:dyDescent="0.2">
      <c r="A10472" s="101"/>
    </row>
    <row r="10473" spans="1:1" x14ac:dyDescent="0.2">
      <c r="A10473" s="101"/>
    </row>
    <row r="10474" spans="1:1" x14ac:dyDescent="0.2">
      <c r="A10474" s="101"/>
    </row>
    <row r="10475" spans="1:1" x14ac:dyDescent="0.2">
      <c r="A10475" s="101"/>
    </row>
    <row r="10476" spans="1:1" x14ac:dyDescent="0.2">
      <c r="A10476" s="101"/>
    </row>
    <row r="10477" spans="1:1" x14ac:dyDescent="0.2">
      <c r="A10477" s="101"/>
    </row>
    <row r="10478" spans="1:1" x14ac:dyDescent="0.2">
      <c r="A10478" s="101"/>
    </row>
    <row r="10479" spans="1:1" x14ac:dyDescent="0.2">
      <c r="A10479" s="101"/>
    </row>
    <row r="10480" spans="1:1" x14ac:dyDescent="0.2">
      <c r="A10480" s="101"/>
    </row>
    <row r="10481" spans="1:1" x14ac:dyDescent="0.2">
      <c r="A10481" s="101"/>
    </row>
    <row r="10482" spans="1:1" x14ac:dyDescent="0.2">
      <c r="A10482" s="101"/>
    </row>
    <row r="10483" spans="1:1" x14ac:dyDescent="0.2">
      <c r="A10483" s="101"/>
    </row>
    <row r="10484" spans="1:1" x14ac:dyDescent="0.2">
      <c r="A10484" s="101"/>
    </row>
    <row r="10485" spans="1:1" x14ac:dyDescent="0.2">
      <c r="A10485" s="101"/>
    </row>
    <row r="10486" spans="1:1" x14ac:dyDescent="0.2">
      <c r="A10486" s="101"/>
    </row>
    <row r="10487" spans="1:1" x14ac:dyDescent="0.2">
      <c r="A10487" s="101"/>
    </row>
    <row r="10488" spans="1:1" x14ac:dyDescent="0.2">
      <c r="A10488" s="101"/>
    </row>
    <row r="10489" spans="1:1" x14ac:dyDescent="0.2">
      <c r="A10489" s="101"/>
    </row>
    <row r="10490" spans="1:1" x14ac:dyDescent="0.2">
      <c r="A10490" s="101"/>
    </row>
    <row r="10491" spans="1:1" x14ac:dyDescent="0.2">
      <c r="A10491" s="101"/>
    </row>
    <row r="10492" spans="1:1" x14ac:dyDescent="0.2">
      <c r="A10492" s="101"/>
    </row>
    <row r="10493" spans="1:1" x14ac:dyDescent="0.2">
      <c r="A10493" s="101"/>
    </row>
    <row r="10494" spans="1:1" x14ac:dyDescent="0.2">
      <c r="A10494" s="101"/>
    </row>
    <row r="10495" spans="1:1" x14ac:dyDescent="0.2">
      <c r="A10495" s="101"/>
    </row>
    <row r="10496" spans="1:1" x14ac:dyDescent="0.2">
      <c r="A10496" s="101"/>
    </row>
    <row r="10497" spans="1:1" x14ac:dyDescent="0.2">
      <c r="A10497" s="101"/>
    </row>
    <row r="10498" spans="1:1" x14ac:dyDescent="0.2">
      <c r="A10498" s="101"/>
    </row>
    <row r="10499" spans="1:1" x14ac:dyDescent="0.2">
      <c r="A10499" s="101"/>
    </row>
    <row r="10500" spans="1:1" x14ac:dyDescent="0.2">
      <c r="A10500" s="101"/>
    </row>
    <row r="10501" spans="1:1" x14ac:dyDescent="0.2">
      <c r="A10501" s="101"/>
    </row>
    <row r="10502" spans="1:1" x14ac:dyDescent="0.2">
      <c r="A10502" s="101"/>
    </row>
    <row r="10503" spans="1:1" x14ac:dyDescent="0.2">
      <c r="A10503" s="101"/>
    </row>
    <row r="10504" spans="1:1" x14ac:dyDescent="0.2">
      <c r="A10504" s="101"/>
    </row>
    <row r="10505" spans="1:1" x14ac:dyDescent="0.2">
      <c r="A10505" s="101"/>
    </row>
    <row r="10506" spans="1:1" x14ac:dyDescent="0.2">
      <c r="A10506" s="101"/>
    </row>
    <row r="10507" spans="1:1" x14ac:dyDescent="0.2">
      <c r="A10507" s="101"/>
    </row>
    <row r="10508" spans="1:1" x14ac:dyDescent="0.2">
      <c r="A10508" s="101"/>
    </row>
    <row r="10509" spans="1:1" x14ac:dyDescent="0.2">
      <c r="A10509" s="101"/>
    </row>
    <row r="10510" spans="1:1" x14ac:dyDescent="0.2">
      <c r="A10510" s="101"/>
    </row>
    <row r="10511" spans="1:1" x14ac:dyDescent="0.2">
      <c r="A10511" s="101"/>
    </row>
    <row r="10512" spans="1:1" x14ac:dyDescent="0.2">
      <c r="A10512" s="101"/>
    </row>
    <row r="10513" spans="1:1" x14ac:dyDescent="0.2">
      <c r="A10513" s="101"/>
    </row>
    <row r="10514" spans="1:1" x14ac:dyDescent="0.2">
      <c r="A10514" s="101"/>
    </row>
    <row r="10515" spans="1:1" x14ac:dyDescent="0.2">
      <c r="A10515" s="101"/>
    </row>
    <row r="10516" spans="1:1" x14ac:dyDescent="0.2">
      <c r="A10516" s="101"/>
    </row>
    <row r="10517" spans="1:1" x14ac:dyDescent="0.2">
      <c r="A10517" s="101"/>
    </row>
    <row r="10518" spans="1:1" x14ac:dyDescent="0.2">
      <c r="A10518" s="101"/>
    </row>
    <row r="10519" spans="1:1" x14ac:dyDescent="0.2">
      <c r="A10519" s="101"/>
    </row>
    <row r="10520" spans="1:1" x14ac:dyDescent="0.2">
      <c r="A10520" s="101"/>
    </row>
    <row r="10521" spans="1:1" x14ac:dyDescent="0.2">
      <c r="A10521" s="101"/>
    </row>
    <row r="10522" spans="1:1" x14ac:dyDescent="0.2">
      <c r="A10522" s="101"/>
    </row>
    <row r="10523" spans="1:1" x14ac:dyDescent="0.2">
      <c r="A10523" s="101"/>
    </row>
    <row r="10524" spans="1:1" x14ac:dyDescent="0.2">
      <c r="A10524" s="101"/>
    </row>
    <row r="10525" spans="1:1" x14ac:dyDescent="0.2">
      <c r="A10525" s="101"/>
    </row>
    <row r="10526" spans="1:1" x14ac:dyDescent="0.2">
      <c r="A10526" s="101"/>
    </row>
    <row r="10527" spans="1:1" x14ac:dyDescent="0.2">
      <c r="A10527" s="101"/>
    </row>
    <row r="10528" spans="1:1" x14ac:dyDescent="0.2">
      <c r="A10528" s="101"/>
    </row>
    <row r="10529" spans="1:1" x14ac:dyDescent="0.2">
      <c r="A10529" s="101"/>
    </row>
    <row r="10530" spans="1:1" x14ac:dyDescent="0.2">
      <c r="A10530" s="101"/>
    </row>
    <row r="10531" spans="1:1" x14ac:dyDescent="0.2">
      <c r="A10531" s="101"/>
    </row>
    <row r="10532" spans="1:1" x14ac:dyDescent="0.2">
      <c r="A10532" s="101"/>
    </row>
    <row r="10533" spans="1:1" x14ac:dyDescent="0.2">
      <c r="A10533" s="101"/>
    </row>
    <row r="10534" spans="1:1" x14ac:dyDescent="0.2">
      <c r="A10534" s="101"/>
    </row>
    <row r="10535" spans="1:1" x14ac:dyDescent="0.2">
      <c r="A10535" s="101"/>
    </row>
    <row r="10536" spans="1:1" x14ac:dyDescent="0.2">
      <c r="A10536" s="101"/>
    </row>
    <row r="10537" spans="1:1" x14ac:dyDescent="0.2">
      <c r="A10537" s="101"/>
    </row>
    <row r="10538" spans="1:1" x14ac:dyDescent="0.2">
      <c r="A10538" s="101"/>
    </row>
    <row r="10539" spans="1:1" x14ac:dyDescent="0.2">
      <c r="A10539" s="101"/>
    </row>
    <row r="10540" spans="1:1" x14ac:dyDescent="0.2">
      <c r="A10540" s="101"/>
    </row>
    <row r="10541" spans="1:1" x14ac:dyDescent="0.2">
      <c r="A10541" s="101"/>
    </row>
    <row r="10542" spans="1:1" x14ac:dyDescent="0.2">
      <c r="A10542" s="101"/>
    </row>
    <row r="10543" spans="1:1" x14ac:dyDescent="0.2">
      <c r="A10543" s="101"/>
    </row>
    <row r="10544" spans="1:1" x14ac:dyDescent="0.2">
      <c r="A10544" s="101"/>
    </row>
    <row r="10545" spans="1:1" x14ac:dyDescent="0.2">
      <c r="A10545" s="101"/>
    </row>
    <row r="10546" spans="1:1" x14ac:dyDescent="0.2">
      <c r="A10546" s="101"/>
    </row>
    <row r="10547" spans="1:1" x14ac:dyDescent="0.2">
      <c r="A10547" s="101"/>
    </row>
    <row r="10548" spans="1:1" x14ac:dyDescent="0.2">
      <c r="A10548" s="101"/>
    </row>
    <row r="10549" spans="1:1" x14ac:dyDescent="0.2">
      <c r="A10549" s="101"/>
    </row>
    <row r="10550" spans="1:1" x14ac:dyDescent="0.2">
      <c r="A10550" s="101"/>
    </row>
    <row r="10551" spans="1:1" x14ac:dyDescent="0.2">
      <c r="A10551" s="101"/>
    </row>
    <row r="10552" spans="1:1" x14ac:dyDescent="0.2">
      <c r="A10552" s="101"/>
    </row>
    <row r="10553" spans="1:1" x14ac:dyDescent="0.2">
      <c r="A10553" s="101"/>
    </row>
    <row r="10554" spans="1:1" x14ac:dyDescent="0.2">
      <c r="A10554" s="101"/>
    </row>
    <row r="10555" spans="1:1" x14ac:dyDescent="0.2">
      <c r="A10555" s="101"/>
    </row>
    <row r="10556" spans="1:1" x14ac:dyDescent="0.2">
      <c r="A10556" s="101"/>
    </row>
    <row r="10557" spans="1:1" x14ac:dyDescent="0.2">
      <c r="A10557" s="101"/>
    </row>
    <row r="10558" spans="1:1" x14ac:dyDescent="0.2">
      <c r="A10558" s="101"/>
    </row>
    <row r="10559" spans="1:1" x14ac:dyDescent="0.2">
      <c r="A10559" s="101"/>
    </row>
    <row r="10560" spans="1:1" x14ac:dyDescent="0.2">
      <c r="A10560" s="101"/>
    </row>
    <row r="10561" spans="1:1" x14ac:dyDescent="0.2">
      <c r="A10561" s="101"/>
    </row>
    <row r="10562" spans="1:1" x14ac:dyDescent="0.2">
      <c r="A10562" s="101"/>
    </row>
    <row r="10563" spans="1:1" x14ac:dyDescent="0.2">
      <c r="A10563" s="101"/>
    </row>
    <row r="10564" spans="1:1" x14ac:dyDescent="0.2">
      <c r="A10564" s="101"/>
    </row>
    <row r="10565" spans="1:1" x14ac:dyDescent="0.2">
      <c r="A10565" s="101"/>
    </row>
    <row r="10566" spans="1:1" x14ac:dyDescent="0.2">
      <c r="A10566" s="101"/>
    </row>
    <row r="10567" spans="1:1" x14ac:dyDescent="0.2">
      <c r="A10567" s="101"/>
    </row>
    <row r="10568" spans="1:1" x14ac:dyDescent="0.2">
      <c r="A10568" s="101"/>
    </row>
    <row r="10569" spans="1:1" x14ac:dyDescent="0.2">
      <c r="A10569" s="101"/>
    </row>
    <row r="10570" spans="1:1" x14ac:dyDescent="0.2">
      <c r="A10570" s="101"/>
    </row>
    <row r="10571" spans="1:1" x14ac:dyDescent="0.2">
      <c r="A10571" s="101"/>
    </row>
    <row r="10572" spans="1:1" x14ac:dyDescent="0.2">
      <c r="A10572" s="101"/>
    </row>
    <row r="10573" spans="1:1" x14ac:dyDescent="0.2">
      <c r="A10573" s="101"/>
    </row>
    <row r="10574" spans="1:1" x14ac:dyDescent="0.2">
      <c r="A10574" s="101"/>
    </row>
    <row r="10575" spans="1:1" x14ac:dyDescent="0.2">
      <c r="A10575" s="101"/>
    </row>
    <row r="10576" spans="1:1" x14ac:dyDescent="0.2">
      <c r="A10576" s="101"/>
    </row>
    <row r="10577" spans="1:1" x14ac:dyDescent="0.2">
      <c r="A10577" s="101"/>
    </row>
    <row r="10578" spans="1:1" x14ac:dyDescent="0.2">
      <c r="A10578" s="101"/>
    </row>
    <row r="10579" spans="1:1" x14ac:dyDescent="0.2">
      <c r="A10579" s="101"/>
    </row>
    <row r="10580" spans="1:1" x14ac:dyDescent="0.2">
      <c r="A10580" s="101"/>
    </row>
    <row r="10581" spans="1:1" x14ac:dyDescent="0.2">
      <c r="A10581" s="101"/>
    </row>
    <row r="10582" spans="1:1" x14ac:dyDescent="0.2">
      <c r="A10582" s="101"/>
    </row>
    <row r="10583" spans="1:1" x14ac:dyDescent="0.2">
      <c r="A10583" s="101"/>
    </row>
    <row r="10584" spans="1:1" x14ac:dyDescent="0.2">
      <c r="A10584" s="101"/>
    </row>
    <row r="10585" spans="1:1" x14ac:dyDescent="0.2">
      <c r="A10585" s="101"/>
    </row>
    <row r="10586" spans="1:1" x14ac:dyDescent="0.2">
      <c r="A10586" s="101"/>
    </row>
    <row r="10587" spans="1:1" x14ac:dyDescent="0.2">
      <c r="A10587" s="101"/>
    </row>
    <row r="10588" spans="1:1" x14ac:dyDescent="0.2">
      <c r="A10588" s="101"/>
    </row>
    <row r="10589" spans="1:1" x14ac:dyDescent="0.2">
      <c r="A10589" s="101"/>
    </row>
    <row r="10590" spans="1:1" x14ac:dyDescent="0.2">
      <c r="A10590" s="101"/>
    </row>
    <row r="10591" spans="1:1" x14ac:dyDescent="0.2">
      <c r="A10591" s="101"/>
    </row>
    <row r="10592" spans="1:1" x14ac:dyDescent="0.2">
      <c r="A10592" s="101"/>
    </row>
    <row r="10593" spans="1:1" x14ac:dyDescent="0.2">
      <c r="A10593" s="101"/>
    </row>
    <row r="10594" spans="1:1" x14ac:dyDescent="0.2">
      <c r="A10594" s="101"/>
    </row>
    <row r="10595" spans="1:1" x14ac:dyDescent="0.2">
      <c r="A10595" s="101"/>
    </row>
    <row r="10596" spans="1:1" x14ac:dyDescent="0.2">
      <c r="A10596" s="101"/>
    </row>
    <row r="10597" spans="1:1" x14ac:dyDescent="0.2">
      <c r="A10597" s="101"/>
    </row>
    <row r="10598" spans="1:1" x14ac:dyDescent="0.2">
      <c r="A10598" s="101"/>
    </row>
    <row r="10599" spans="1:1" x14ac:dyDescent="0.2">
      <c r="A10599" s="101"/>
    </row>
    <row r="10600" spans="1:1" x14ac:dyDescent="0.2">
      <c r="A10600" s="101"/>
    </row>
    <row r="10601" spans="1:1" x14ac:dyDescent="0.2">
      <c r="A10601" s="101"/>
    </row>
    <row r="10602" spans="1:1" x14ac:dyDescent="0.2">
      <c r="A10602" s="101"/>
    </row>
    <row r="10603" spans="1:1" x14ac:dyDescent="0.2">
      <c r="A10603" s="101"/>
    </row>
    <row r="10604" spans="1:1" x14ac:dyDescent="0.2">
      <c r="A10604" s="101"/>
    </row>
    <row r="10605" spans="1:1" x14ac:dyDescent="0.2">
      <c r="A10605" s="101"/>
    </row>
    <row r="10606" spans="1:1" x14ac:dyDescent="0.2">
      <c r="A10606" s="101"/>
    </row>
    <row r="10607" spans="1:1" x14ac:dyDescent="0.2">
      <c r="A10607" s="101"/>
    </row>
    <row r="10608" spans="1:1" x14ac:dyDescent="0.2">
      <c r="A10608" s="101"/>
    </row>
    <row r="10609" spans="1:1" x14ac:dyDescent="0.2">
      <c r="A10609" s="101"/>
    </row>
    <row r="10610" spans="1:1" x14ac:dyDescent="0.2">
      <c r="A10610" s="101"/>
    </row>
    <row r="10611" spans="1:1" x14ac:dyDescent="0.2">
      <c r="A10611" s="101"/>
    </row>
    <row r="10612" spans="1:1" x14ac:dyDescent="0.2">
      <c r="A10612" s="101"/>
    </row>
    <row r="10613" spans="1:1" x14ac:dyDescent="0.2">
      <c r="A10613" s="101"/>
    </row>
    <row r="10614" spans="1:1" x14ac:dyDescent="0.2">
      <c r="A10614" s="101"/>
    </row>
    <row r="10615" spans="1:1" x14ac:dyDescent="0.2">
      <c r="A10615" s="101"/>
    </row>
    <row r="10616" spans="1:1" x14ac:dyDescent="0.2">
      <c r="A10616" s="101"/>
    </row>
    <row r="10617" spans="1:1" x14ac:dyDescent="0.2">
      <c r="A10617" s="101"/>
    </row>
    <row r="10618" spans="1:1" x14ac:dyDescent="0.2">
      <c r="A10618" s="101"/>
    </row>
    <row r="10619" spans="1:1" x14ac:dyDescent="0.2">
      <c r="A10619" s="101"/>
    </row>
    <row r="10620" spans="1:1" x14ac:dyDescent="0.2">
      <c r="A10620" s="101"/>
    </row>
    <row r="10621" spans="1:1" x14ac:dyDescent="0.2">
      <c r="A10621" s="101"/>
    </row>
    <row r="10622" spans="1:1" x14ac:dyDescent="0.2">
      <c r="A10622" s="101"/>
    </row>
    <row r="10623" spans="1:1" x14ac:dyDescent="0.2">
      <c r="A10623" s="101"/>
    </row>
    <row r="10624" spans="1:1" x14ac:dyDescent="0.2">
      <c r="A10624" s="101"/>
    </row>
    <row r="10625" spans="1:1" x14ac:dyDescent="0.2">
      <c r="A10625" s="101"/>
    </row>
    <row r="10626" spans="1:1" x14ac:dyDescent="0.2">
      <c r="A10626" s="101"/>
    </row>
    <row r="10627" spans="1:1" x14ac:dyDescent="0.2">
      <c r="A10627" s="101"/>
    </row>
    <row r="10628" spans="1:1" x14ac:dyDescent="0.2">
      <c r="A10628" s="101"/>
    </row>
    <row r="10629" spans="1:1" x14ac:dyDescent="0.2">
      <c r="A10629" s="101"/>
    </row>
    <row r="10630" spans="1:1" x14ac:dyDescent="0.2">
      <c r="A10630" s="101"/>
    </row>
    <row r="10631" spans="1:1" x14ac:dyDescent="0.2">
      <c r="A10631" s="101"/>
    </row>
    <row r="10632" spans="1:1" x14ac:dyDescent="0.2">
      <c r="A10632" s="101"/>
    </row>
    <row r="10633" spans="1:1" x14ac:dyDescent="0.2">
      <c r="A10633" s="101"/>
    </row>
    <row r="10634" spans="1:1" x14ac:dyDescent="0.2">
      <c r="A10634" s="101"/>
    </row>
    <row r="10635" spans="1:1" x14ac:dyDescent="0.2">
      <c r="A10635" s="101"/>
    </row>
    <row r="10636" spans="1:1" x14ac:dyDescent="0.2">
      <c r="A10636" s="101"/>
    </row>
    <row r="10637" spans="1:1" x14ac:dyDescent="0.2">
      <c r="A10637" s="101"/>
    </row>
    <row r="10638" spans="1:1" x14ac:dyDescent="0.2">
      <c r="A10638" s="101"/>
    </row>
    <row r="10639" spans="1:1" x14ac:dyDescent="0.2">
      <c r="A10639" s="101"/>
    </row>
    <row r="10640" spans="1:1" x14ac:dyDescent="0.2">
      <c r="A10640" s="101"/>
    </row>
    <row r="10641" spans="1:1" x14ac:dyDescent="0.2">
      <c r="A10641" s="101"/>
    </row>
    <row r="10642" spans="1:1" x14ac:dyDescent="0.2">
      <c r="A10642" s="101"/>
    </row>
    <row r="10643" spans="1:1" x14ac:dyDescent="0.2">
      <c r="A10643" s="101"/>
    </row>
    <row r="10644" spans="1:1" x14ac:dyDescent="0.2">
      <c r="A10644" s="101"/>
    </row>
    <row r="10645" spans="1:1" x14ac:dyDescent="0.2">
      <c r="A10645" s="101"/>
    </row>
    <row r="10646" spans="1:1" x14ac:dyDescent="0.2">
      <c r="A10646" s="101"/>
    </row>
    <row r="10647" spans="1:1" x14ac:dyDescent="0.2">
      <c r="A10647" s="101"/>
    </row>
    <row r="10648" spans="1:1" x14ac:dyDescent="0.2">
      <c r="A10648" s="101"/>
    </row>
    <row r="10649" spans="1:1" x14ac:dyDescent="0.2">
      <c r="A10649" s="101"/>
    </row>
    <row r="10650" spans="1:1" x14ac:dyDescent="0.2">
      <c r="A10650" s="101"/>
    </row>
    <row r="10651" spans="1:1" x14ac:dyDescent="0.2">
      <c r="A10651" s="101"/>
    </row>
    <row r="10652" spans="1:1" x14ac:dyDescent="0.2">
      <c r="A10652" s="101"/>
    </row>
    <row r="10653" spans="1:1" x14ac:dyDescent="0.2">
      <c r="A10653" s="101"/>
    </row>
    <row r="10654" spans="1:1" x14ac:dyDescent="0.2">
      <c r="A10654" s="101"/>
    </row>
    <row r="10655" spans="1:1" x14ac:dyDescent="0.2">
      <c r="A10655" s="101"/>
    </row>
    <row r="10656" spans="1:1" x14ac:dyDescent="0.2">
      <c r="A10656" s="101"/>
    </row>
    <row r="10657" spans="1:1" x14ac:dyDescent="0.2">
      <c r="A10657" s="101"/>
    </row>
    <row r="10658" spans="1:1" x14ac:dyDescent="0.2">
      <c r="A10658" s="101"/>
    </row>
    <row r="10659" spans="1:1" x14ac:dyDescent="0.2">
      <c r="A10659" s="101"/>
    </row>
    <row r="10660" spans="1:1" x14ac:dyDescent="0.2">
      <c r="A10660" s="101"/>
    </row>
    <row r="10661" spans="1:1" x14ac:dyDescent="0.2">
      <c r="A10661" s="101"/>
    </row>
    <row r="10662" spans="1:1" x14ac:dyDescent="0.2">
      <c r="A10662" s="101"/>
    </row>
    <row r="10663" spans="1:1" x14ac:dyDescent="0.2">
      <c r="A10663" s="101"/>
    </row>
    <row r="10664" spans="1:1" x14ac:dyDescent="0.2">
      <c r="A10664" s="101"/>
    </row>
    <row r="10665" spans="1:1" x14ac:dyDescent="0.2">
      <c r="A10665" s="101"/>
    </row>
    <row r="10666" spans="1:1" x14ac:dyDescent="0.2">
      <c r="A10666" s="101"/>
    </row>
    <row r="10667" spans="1:1" x14ac:dyDescent="0.2">
      <c r="A10667" s="101"/>
    </row>
    <row r="10668" spans="1:1" x14ac:dyDescent="0.2">
      <c r="A10668" s="101"/>
    </row>
    <row r="10669" spans="1:1" x14ac:dyDescent="0.2">
      <c r="A10669" s="101"/>
    </row>
    <row r="10670" spans="1:1" x14ac:dyDescent="0.2">
      <c r="A10670" s="101"/>
    </row>
    <row r="10671" spans="1:1" x14ac:dyDescent="0.2">
      <c r="A10671" s="101"/>
    </row>
    <row r="10672" spans="1:1" x14ac:dyDescent="0.2">
      <c r="A10672" s="101"/>
    </row>
    <row r="10673" spans="1:1" x14ac:dyDescent="0.2">
      <c r="A10673" s="101"/>
    </row>
    <row r="10674" spans="1:1" x14ac:dyDescent="0.2">
      <c r="A10674" s="101"/>
    </row>
    <row r="10675" spans="1:1" x14ac:dyDescent="0.2">
      <c r="A10675" s="101"/>
    </row>
    <row r="10676" spans="1:1" x14ac:dyDescent="0.2">
      <c r="A10676" s="101"/>
    </row>
    <row r="10677" spans="1:1" x14ac:dyDescent="0.2">
      <c r="A10677" s="101"/>
    </row>
    <row r="10678" spans="1:1" x14ac:dyDescent="0.2">
      <c r="A10678" s="101"/>
    </row>
    <row r="10679" spans="1:1" x14ac:dyDescent="0.2">
      <c r="A10679" s="101"/>
    </row>
    <row r="10680" spans="1:1" x14ac:dyDescent="0.2">
      <c r="A10680" s="101"/>
    </row>
    <row r="10681" spans="1:1" x14ac:dyDescent="0.2">
      <c r="A10681" s="101"/>
    </row>
    <row r="10682" spans="1:1" x14ac:dyDescent="0.2">
      <c r="A10682" s="101"/>
    </row>
    <row r="10683" spans="1:1" x14ac:dyDescent="0.2">
      <c r="A10683" s="101"/>
    </row>
    <row r="10684" spans="1:1" x14ac:dyDescent="0.2">
      <c r="A10684" s="101"/>
    </row>
    <row r="10685" spans="1:1" x14ac:dyDescent="0.2">
      <c r="A10685" s="101"/>
    </row>
    <row r="10686" spans="1:1" x14ac:dyDescent="0.2">
      <c r="A10686" s="101"/>
    </row>
    <row r="10687" spans="1:1" x14ac:dyDescent="0.2">
      <c r="A10687" s="101"/>
    </row>
    <row r="10688" spans="1:1" x14ac:dyDescent="0.2">
      <c r="A10688" s="101"/>
    </row>
    <row r="10689" spans="1:1" x14ac:dyDescent="0.2">
      <c r="A10689" s="101"/>
    </row>
    <row r="10690" spans="1:1" x14ac:dyDescent="0.2">
      <c r="A10690" s="101"/>
    </row>
    <row r="10691" spans="1:1" x14ac:dyDescent="0.2">
      <c r="A10691" s="101"/>
    </row>
    <row r="10692" spans="1:1" x14ac:dyDescent="0.2">
      <c r="A10692" s="101"/>
    </row>
    <row r="10693" spans="1:1" x14ac:dyDescent="0.2">
      <c r="A10693" s="101"/>
    </row>
    <row r="10694" spans="1:1" x14ac:dyDescent="0.2">
      <c r="A10694" s="101"/>
    </row>
    <row r="10695" spans="1:1" x14ac:dyDescent="0.2">
      <c r="A10695" s="101"/>
    </row>
    <row r="10696" spans="1:1" x14ac:dyDescent="0.2">
      <c r="A10696" s="101"/>
    </row>
    <row r="10697" spans="1:1" x14ac:dyDescent="0.2">
      <c r="A10697" s="101"/>
    </row>
    <row r="10698" spans="1:1" x14ac:dyDescent="0.2">
      <c r="A10698" s="101"/>
    </row>
    <row r="10699" spans="1:1" x14ac:dyDescent="0.2">
      <c r="A10699" s="101"/>
    </row>
    <row r="10700" spans="1:1" x14ac:dyDescent="0.2">
      <c r="A10700" s="101"/>
    </row>
    <row r="10701" spans="1:1" x14ac:dyDescent="0.2">
      <c r="A10701" s="101"/>
    </row>
    <row r="10702" spans="1:1" x14ac:dyDescent="0.2">
      <c r="A10702" s="101"/>
    </row>
    <row r="10703" spans="1:1" x14ac:dyDescent="0.2">
      <c r="A10703" s="101"/>
    </row>
    <row r="10704" spans="1:1" x14ac:dyDescent="0.2">
      <c r="A10704" s="101"/>
    </row>
    <row r="10705" spans="1:1" x14ac:dyDescent="0.2">
      <c r="A10705" s="101"/>
    </row>
    <row r="10706" spans="1:1" x14ac:dyDescent="0.2">
      <c r="A10706" s="101"/>
    </row>
    <row r="10707" spans="1:1" x14ac:dyDescent="0.2">
      <c r="A10707" s="101"/>
    </row>
    <row r="10708" spans="1:1" x14ac:dyDescent="0.2">
      <c r="A10708" s="101"/>
    </row>
    <row r="10709" spans="1:1" x14ac:dyDescent="0.2">
      <c r="A10709" s="101"/>
    </row>
    <row r="10710" spans="1:1" x14ac:dyDescent="0.2">
      <c r="A10710" s="101"/>
    </row>
    <row r="10711" spans="1:1" x14ac:dyDescent="0.2">
      <c r="A10711" s="101"/>
    </row>
    <row r="10712" spans="1:1" x14ac:dyDescent="0.2">
      <c r="A10712" s="101"/>
    </row>
    <row r="10713" spans="1:1" x14ac:dyDescent="0.2">
      <c r="A10713" s="101"/>
    </row>
    <row r="10714" spans="1:1" x14ac:dyDescent="0.2">
      <c r="A10714" s="101"/>
    </row>
    <row r="10715" spans="1:1" x14ac:dyDescent="0.2">
      <c r="A10715" s="101"/>
    </row>
    <row r="10716" spans="1:1" x14ac:dyDescent="0.2">
      <c r="A10716" s="101"/>
    </row>
    <row r="10717" spans="1:1" x14ac:dyDescent="0.2">
      <c r="A10717" s="101"/>
    </row>
    <row r="10718" spans="1:1" x14ac:dyDescent="0.2">
      <c r="A10718" s="101"/>
    </row>
    <row r="10719" spans="1:1" x14ac:dyDescent="0.2">
      <c r="A10719" s="101"/>
    </row>
    <row r="10720" spans="1:1" x14ac:dyDescent="0.2">
      <c r="A10720" s="101"/>
    </row>
    <row r="10721" spans="1:1" x14ac:dyDescent="0.2">
      <c r="A10721" s="101"/>
    </row>
    <row r="10722" spans="1:1" x14ac:dyDescent="0.2">
      <c r="A10722" s="101"/>
    </row>
    <row r="10723" spans="1:1" x14ac:dyDescent="0.2">
      <c r="A10723" s="101"/>
    </row>
    <row r="10724" spans="1:1" x14ac:dyDescent="0.2">
      <c r="A10724" s="101"/>
    </row>
    <row r="10725" spans="1:1" x14ac:dyDescent="0.2">
      <c r="A10725" s="101"/>
    </row>
    <row r="10726" spans="1:1" x14ac:dyDescent="0.2">
      <c r="A10726" s="101"/>
    </row>
    <row r="10727" spans="1:1" x14ac:dyDescent="0.2">
      <c r="A10727" s="101"/>
    </row>
    <row r="10728" spans="1:1" x14ac:dyDescent="0.2">
      <c r="A10728" s="101"/>
    </row>
    <row r="10729" spans="1:1" x14ac:dyDescent="0.2">
      <c r="A10729" s="101"/>
    </row>
    <row r="10730" spans="1:1" x14ac:dyDescent="0.2">
      <c r="A10730" s="101"/>
    </row>
    <row r="10731" spans="1:1" x14ac:dyDescent="0.2">
      <c r="A10731" s="101"/>
    </row>
    <row r="10732" spans="1:1" x14ac:dyDescent="0.2">
      <c r="A10732" s="101"/>
    </row>
    <row r="10733" spans="1:1" x14ac:dyDescent="0.2">
      <c r="A10733" s="101"/>
    </row>
    <row r="10734" spans="1:1" x14ac:dyDescent="0.2">
      <c r="A10734" s="101"/>
    </row>
    <row r="10735" spans="1:1" x14ac:dyDescent="0.2">
      <c r="A10735" s="101"/>
    </row>
    <row r="10736" spans="1:1" x14ac:dyDescent="0.2">
      <c r="A10736" s="101"/>
    </row>
    <row r="10737" spans="1:1" x14ac:dyDescent="0.2">
      <c r="A10737" s="101"/>
    </row>
    <row r="10738" spans="1:1" x14ac:dyDescent="0.2">
      <c r="A10738" s="101"/>
    </row>
    <row r="10739" spans="1:1" x14ac:dyDescent="0.2">
      <c r="A10739" s="101"/>
    </row>
    <row r="10740" spans="1:1" x14ac:dyDescent="0.2">
      <c r="A10740" s="101"/>
    </row>
    <row r="10741" spans="1:1" x14ac:dyDescent="0.2">
      <c r="A10741" s="101"/>
    </row>
    <row r="10742" spans="1:1" x14ac:dyDescent="0.2">
      <c r="A10742" s="101"/>
    </row>
    <row r="10743" spans="1:1" x14ac:dyDescent="0.2">
      <c r="A10743" s="101"/>
    </row>
    <row r="10744" spans="1:1" x14ac:dyDescent="0.2">
      <c r="A10744" s="101"/>
    </row>
    <row r="10745" spans="1:1" x14ac:dyDescent="0.2">
      <c r="A10745" s="101"/>
    </row>
    <row r="10746" spans="1:1" x14ac:dyDescent="0.2">
      <c r="A10746" s="101"/>
    </row>
    <row r="10747" spans="1:1" x14ac:dyDescent="0.2">
      <c r="A10747" s="101"/>
    </row>
    <row r="10748" spans="1:1" x14ac:dyDescent="0.2">
      <c r="A10748" s="101"/>
    </row>
    <row r="10749" spans="1:1" x14ac:dyDescent="0.2">
      <c r="A10749" s="101"/>
    </row>
    <row r="10750" spans="1:1" x14ac:dyDescent="0.2">
      <c r="A10750" s="101"/>
    </row>
    <row r="10751" spans="1:1" x14ac:dyDescent="0.2">
      <c r="A10751" s="101"/>
    </row>
    <row r="10752" spans="1:1" x14ac:dyDescent="0.2">
      <c r="A10752" s="101"/>
    </row>
    <row r="10753" spans="1:1" x14ac:dyDescent="0.2">
      <c r="A10753" s="101"/>
    </row>
    <row r="10754" spans="1:1" x14ac:dyDescent="0.2">
      <c r="A10754" s="101"/>
    </row>
    <row r="10755" spans="1:1" x14ac:dyDescent="0.2">
      <c r="A10755" s="101"/>
    </row>
    <row r="10756" spans="1:1" x14ac:dyDescent="0.2">
      <c r="A10756" s="101"/>
    </row>
    <row r="10757" spans="1:1" x14ac:dyDescent="0.2">
      <c r="A10757" s="101"/>
    </row>
    <row r="10758" spans="1:1" x14ac:dyDescent="0.2">
      <c r="A10758" s="101"/>
    </row>
    <row r="10759" spans="1:1" x14ac:dyDescent="0.2">
      <c r="A10759" s="101"/>
    </row>
    <row r="10760" spans="1:1" x14ac:dyDescent="0.2">
      <c r="A10760" s="101"/>
    </row>
    <row r="10761" spans="1:1" x14ac:dyDescent="0.2">
      <c r="A10761" s="101"/>
    </row>
    <row r="10762" spans="1:1" x14ac:dyDescent="0.2">
      <c r="A10762" s="101"/>
    </row>
    <row r="10763" spans="1:1" x14ac:dyDescent="0.2">
      <c r="A10763" s="101"/>
    </row>
    <row r="10764" spans="1:1" x14ac:dyDescent="0.2">
      <c r="A10764" s="101"/>
    </row>
    <row r="10765" spans="1:1" x14ac:dyDescent="0.2">
      <c r="A10765" s="101"/>
    </row>
    <row r="10766" spans="1:1" x14ac:dyDescent="0.2">
      <c r="A10766" s="101"/>
    </row>
    <row r="10767" spans="1:1" x14ac:dyDescent="0.2">
      <c r="A10767" s="101"/>
    </row>
    <row r="10768" spans="1:1" x14ac:dyDescent="0.2">
      <c r="A10768" s="101"/>
    </row>
    <row r="10769" spans="1:1" x14ac:dyDescent="0.2">
      <c r="A10769" s="101"/>
    </row>
    <row r="10770" spans="1:1" x14ac:dyDescent="0.2">
      <c r="A10770" s="101"/>
    </row>
    <row r="10771" spans="1:1" x14ac:dyDescent="0.2">
      <c r="A10771" s="101"/>
    </row>
    <row r="10772" spans="1:1" x14ac:dyDescent="0.2">
      <c r="A10772" s="101"/>
    </row>
    <row r="10773" spans="1:1" x14ac:dyDescent="0.2">
      <c r="A10773" s="101"/>
    </row>
    <row r="10774" spans="1:1" x14ac:dyDescent="0.2">
      <c r="A10774" s="101"/>
    </row>
    <row r="10775" spans="1:1" x14ac:dyDescent="0.2">
      <c r="A10775" s="101"/>
    </row>
    <row r="10776" spans="1:1" x14ac:dyDescent="0.2">
      <c r="A10776" s="101"/>
    </row>
    <row r="10777" spans="1:1" x14ac:dyDescent="0.2">
      <c r="A10777" s="101"/>
    </row>
    <row r="10778" spans="1:1" x14ac:dyDescent="0.2">
      <c r="A10778" s="101"/>
    </row>
    <row r="10779" spans="1:1" x14ac:dyDescent="0.2">
      <c r="A10779" s="101"/>
    </row>
    <row r="10780" spans="1:1" x14ac:dyDescent="0.2">
      <c r="A10780" s="101"/>
    </row>
    <row r="10781" spans="1:1" x14ac:dyDescent="0.2">
      <c r="A10781" s="101"/>
    </row>
    <row r="10782" spans="1:1" x14ac:dyDescent="0.2">
      <c r="A10782" s="101"/>
    </row>
    <row r="10783" spans="1:1" x14ac:dyDescent="0.2">
      <c r="A10783" s="101"/>
    </row>
    <row r="10784" spans="1:1" x14ac:dyDescent="0.2">
      <c r="A10784" s="101"/>
    </row>
    <row r="10785" spans="1:1" x14ac:dyDescent="0.2">
      <c r="A10785" s="101"/>
    </row>
    <row r="10786" spans="1:1" x14ac:dyDescent="0.2">
      <c r="A10786" s="101"/>
    </row>
    <row r="10787" spans="1:1" x14ac:dyDescent="0.2">
      <c r="A10787" s="101"/>
    </row>
    <row r="10788" spans="1:1" x14ac:dyDescent="0.2">
      <c r="A10788" s="101"/>
    </row>
    <row r="10789" spans="1:1" x14ac:dyDescent="0.2">
      <c r="A10789" s="101"/>
    </row>
    <row r="10790" spans="1:1" x14ac:dyDescent="0.2">
      <c r="A10790" s="101"/>
    </row>
    <row r="10791" spans="1:1" x14ac:dyDescent="0.2">
      <c r="A10791" s="101"/>
    </row>
    <row r="10792" spans="1:1" x14ac:dyDescent="0.2">
      <c r="A10792" s="101"/>
    </row>
    <row r="10793" spans="1:1" x14ac:dyDescent="0.2">
      <c r="A10793" s="101"/>
    </row>
    <row r="10794" spans="1:1" x14ac:dyDescent="0.2">
      <c r="A10794" s="101"/>
    </row>
    <row r="10795" spans="1:1" x14ac:dyDescent="0.2">
      <c r="A10795" s="101"/>
    </row>
    <row r="10796" spans="1:1" x14ac:dyDescent="0.2">
      <c r="A10796" s="101"/>
    </row>
    <row r="10797" spans="1:1" x14ac:dyDescent="0.2">
      <c r="A10797" s="101"/>
    </row>
    <row r="10798" spans="1:1" x14ac:dyDescent="0.2">
      <c r="A10798" s="101"/>
    </row>
    <row r="10799" spans="1:1" x14ac:dyDescent="0.2">
      <c r="A10799" s="101"/>
    </row>
    <row r="10800" spans="1:1" x14ac:dyDescent="0.2">
      <c r="A10800" s="101"/>
    </row>
    <row r="10801" spans="1:1" x14ac:dyDescent="0.2">
      <c r="A10801" s="101"/>
    </row>
    <row r="10802" spans="1:1" x14ac:dyDescent="0.2">
      <c r="A10802" s="101"/>
    </row>
    <row r="10803" spans="1:1" x14ac:dyDescent="0.2">
      <c r="A10803" s="101"/>
    </row>
    <row r="10804" spans="1:1" x14ac:dyDescent="0.2">
      <c r="A10804" s="101"/>
    </row>
    <row r="10805" spans="1:1" x14ac:dyDescent="0.2">
      <c r="A10805" s="101"/>
    </row>
    <row r="10806" spans="1:1" x14ac:dyDescent="0.2">
      <c r="A10806" s="101"/>
    </row>
    <row r="10807" spans="1:1" x14ac:dyDescent="0.2">
      <c r="A10807" s="101"/>
    </row>
    <row r="10808" spans="1:1" x14ac:dyDescent="0.2">
      <c r="A10808" s="101"/>
    </row>
    <row r="10809" spans="1:1" x14ac:dyDescent="0.2">
      <c r="A10809" s="101"/>
    </row>
    <row r="10810" spans="1:1" x14ac:dyDescent="0.2">
      <c r="A10810" s="101"/>
    </row>
    <row r="10811" spans="1:1" x14ac:dyDescent="0.2">
      <c r="A10811" s="101"/>
    </row>
    <row r="10812" spans="1:1" x14ac:dyDescent="0.2">
      <c r="A10812" s="101"/>
    </row>
    <row r="10813" spans="1:1" x14ac:dyDescent="0.2">
      <c r="A10813" s="101"/>
    </row>
    <row r="10814" spans="1:1" x14ac:dyDescent="0.2">
      <c r="A10814" s="101"/>
    </row>
    <row r="10815" spans="1:1" x14ac:dyDescent="0.2">
      <c r="A10815" s="101"/>
    </row>
    <row r="10816" spans="1:1" x14ac:dyDescent="0.2">
      <c r="A10816" s="101"/>
    </row>
    <row r="10817" spans="1:1" x14ac:dyDescent="0.2">
      <c r="A10817" s="101"/>
    </row>
    <row r="10818" spans="1:1" x14ac:dyDescent="0.2">
      <c r="A10818" s="101"/>
    </row>
    <row r="10819" spans="1:1" x14ac:dyDescent="0.2">
      <c r="A10819" s="101"/>
    </row>
    <row r="10820" spans="1:1" x14ac:dyDescent="0.2">
      <c r="A10820" s="101"/>
    </row>
    <row r="10821" spans="1:1" x14ac:dyDescent="0.2">
      <c r="A10821" s="101"/>
    </row>
    <row r="10822" spans="1:1" x14ac:dyDescent="0.2">
      <c r="A10822" s="101"/>
    </row>
    <row r="10823" spans="1:1" x14ac:dyDescent="0.2">
      <c r="A10823" s="101"/>
    </row>
    <row r="10824" spans="1:1" x14ac:dyDescent="0.2">
      <c r="A10824" s="101"/>
    </row>
    <row r="10825" spans="1:1" x14ac:dyDescent="0.2">
      <c r="A10825" s="101"/>
    </row>
    <row r="10826" spans="1:1" x14ac:dyDescent="0.2">
      <c r="A10826" s="101"/>
    </row>
    <row r="10827" spans="1:1" x14ac:dyDescent="0.2">
      <c r="A10827" s="101"/>
    </row>
    <row r="10828" spans="1:1" x14ac:dyDescent="0.2">
      <c r="A10828" s="101"/>
    </row>
    <row r="10829" spans="1:1" x14ac:dyDescent="0.2">
      <c r="A10829" s="101"/>
    </row>
    <row r="10830" spans="1:1" x14ac:dyDescent="0.2">
      <c r="A10830" s="101"/>
    </row>
    <row r="10831" spans="1:1" x14ac:dyDescent="0.2">
      <c r="A10831" s="101"/>
    </row>
    <row r="10832" spans="1:1" x14ac:dyDescent="0.2">
      <c r="A10832" s="101"/>
    </row>
    <row r="10833" spans="1:1" x14ac:dyDescent="0.2">
      <c r="A10833" s="101"/>
    </row>
    <row r="10834" spans="1:1" x14ac:dyDescent="0.2">
      <c r="A10834" s="101"/>
    </row>
    <row r="10835" spans="1:1" x14ac:dyDescent="0.2">
      <c r="A10835" s="101"/>
    </row>
    <row r="10836" spans="1:1" x14ac:dyDescent="0.2">
      <c r="A10836" s="101"/>
    </row>
    <row r="10837" spans="1:1" x14ac:dyDescent="0.2">
      <c r="A10837" s="101"/>
    </row>
    <row r="10838" spans="1:1" x14ac:dyDescent="0.2">
      <c r="A10838" s="101"/>
    </row>
    <row r="10839" spans="1:1" x14ac:dyDescent="0.2">
      <c r="A10839" s="101"/>
    </row>
    <row r="10840" spans="1:1" x14ac:dyDescent="0.2">
      <c r="A10840" s="101"/>
    </row>
    <row r="10841" spans="1:1" x14ac:dyDescent="0.2">
      <c r="A10841" s="101"/>
    </row>
    <row r="10842" spans="1:1" x14ac:dyDescent="0.2">
      <c r="A10842" s="101"/>
    </row>
    <row r="10843" spans="1:1" x14ac:dyDescent="0.2">
      <c r="A10843" s="101"/>
    </row>
    <row r="10844" spans="1:1" x14ac:dyDescent="0.2">
      <c r="A10844" s="101"/>
    </row>
    <row r="10845" spans="1:1" x14ac:dyDescent="0.2">
      <c r="A10845" s="101"/>
    </row>
    <row r="10846" spans="1:1" x14ac:dyDescent="0.2">
      <c r="A10846" s="101"/>
    </row>
    <row r="10847" spans="1:1" x14ac:dyDescent="0.2">
      <c r="A10847" s="101"/>
    </row>
    <row r="10848" spans="1:1" x14ac:dyDescent="0.2">
      <c r="A10848" s="101"/>
    </row>
    <row r="10849" spans="1:1" x14ac:dyDescent="0.2">
      <c r="A10849" s="101"/>
    </row>
    <row r="10850" spans="1:1" x14ac:dyDescent="0.2">
      <c r="A10850" s="101"/>
    </row>
    <row r="10851" spans="1:1" x14ac:dyDescent="0.2">
      <c r="A10851" s="101"/>
    </row>
    <row r="10852" spans="1:1" x14ac:dyDescent="0.2">
      <c r="A10852" s="101"/>
    </row>
    <row r="10853" spans="1:1" x14ac:dyDescent="0.2">
      <c r="A10853" s="101"/>
    </row>
    <row r="10854" spans="1:1" x14ac:dyDescent="0.2">
      <c r="A10854" s="101"/>
    </row>
    <row r="10855" spans="1:1" x14ac:dyDescent="0.2">
      <c r="A10855" s="101"/>
    </row>
    <row r="10856" spans="1:1" x14ac:dyDescent="0.2">
      <c r="A10856" s="101"/>
    </row>
    <row r="10857" spans="1:1" x14ac:dyDescent="0.2">
      <c r="A10857" s="101"/>
    </row>
    <row r="10858" spans="1:1" x14ac:dyDescent="0.2">
      <c r="A10858" s="101"/>
    </row>
    <row r="10859" spans="1:1" x14ac:dyDescent="0.2">
      <c r="A10859" s="101"/>
    </row>
    <row r="10860" spans="1:1" x14ac:dyDescent="0.2">
      <c r="A10860" s="101"/>
    </row>
    <row r="10861" spans="1:1" x14ac:dyDescent="0.2">
      <c r="A10861" s="101"/>
    </row>
    <row r="10862" spans="1:1" x14ac:dyDescent="0.2">
      <c r="A10862" s="101"/>
    </row>
    <row r="10863" spans="1:1" x14ac:dyDescent="0.2">
      <c r="A10863" s="101"/>
    </row>
    <row r="10864" spans="1:1" x14ac:dyDescent="0.2">
      <c r="A10864" s="101"/>
    </row>
    <row r="10865" spans="1:1" x14ac:dyDescent="0.2">
      <c r="A10865" s="101"/>
    </row>
    <row r="10866" spans="1:1" x14ac:dyDescent="0.2">
      <c r="A10866" s="101"/>
    </row>
    <row r="10867" spans="1:1" x14ac:dyDescent="0.2">
      <c r="A10867" s="101"/>
    </row>
    <row r="10868" spans="1:1" x14ac:dyDescent="0.2">
      <c r="A10868" s="101"/>
    </row>
    <row r="10869" spans="1:1" x14ac:dyDescent="0.2">
      <c r="A10869" s="101"/>
    </row>
    <row r="10870" spans="1:1" x14ac:dyDescent="0.2">
      <c r="A10870" s="101"/>
    </row>
    <row r="10871" spans="1:1" x14ac:dyDescent="0.2">
      <c r="A10871" s="101"/>
    </row>
    <row r="10872" spans="1:1" x14ac:dyDescent="0.2">
      <c r="A10872" s="101"/>
    </row>
    <row r="10873" spans="1:1" x14ac:dyDescent="0.2">
      <c r="A10873" s="101"/>
    </row>
    <row r="10874" spans="1:1" x14ac:dyDescent="0.2">
      <c r="A10874" s="101"/>
    </row>
    <row r="10875" spans="1:1" x14ac:dyDescent="0.2">
      <c r="A10875" s="101"/>
    </row>
    <row r="10876" spans="1:1" x14ac:dyDescent="0.2">
      <c r="A10876" s="101"/>
    </row>
    <row r="10877" spans="1:1" x14ac:dyDescent="0.2">
      <c r="A10877" s="101"/>
    </row>
    <row r="10878" spans="1:1" x14ac:dyDescent="0.2">
      <c r="A10878" s="101"/>
    </row>
    <row r="10879" spans="1:1" x14ac:dyDescent="0.2">
      <c r="A10879" s="101"/>
    </row>
    <row r="10880" spans="1:1" x14ac:dyDescent="0.2">
      <c r="A10880" s="101"/>
    </row>
    <row r="10881" spans="1:1" x14ac:dyDescent="0.2">
      <c r="A10881" s="101"/>
    </row>
    <row r="10882" spans="1:1" x14ac:dyDescent="0.2">
      <c r="A10882" s="101"/>
    </row>
    <row r="10883" spans="1:1" x14ac:dyDescent="0.2">
      <c r="A10883" s="101"/>
    </row>
    <row r="10884" spans="1:1" x14ac:dyDescent="0.2">
      <c r="A10884" s="101"/>
    </row>
    <row r="10885" spans="1:1" x14ac:dyDescent="0.2">
      <c r="A10885" s="101"/>
    </row>
    <row r="10886" spans="1:1" x14ac:dyDescent="0.2">
      <c r="A10886" s="101"/>
    </row>
    <row r="10887" spans="1:1" x14ac:dyDescent="0.2">
      <c r="A10887" s="101"/>
    </row>
    <row r="10888" spans="1:1" x14ac:dyDescent="0.2">
      <c r="A10888" s="101"/>
    </row>
    <row r="10889" spans="1:1" x14ac:dyDescent="0.2">
      <c r="A10889" s="101"/>
    </row>
    <row r="10890" spans="1:1" x14ac:dyDescent="0.2">
      <c r="A10890" s="101"/>
    </row>
    <row r="10891" spans="1:1" x14ac:dyDescent="0.2">
      <c r="A10891" s="101"/>
    </row>
    <row r="10892" spans="1:1" x14ac:dyDescent="0.2">
      <c r="A10892" s="101"/>
    </row>
    <row r="10893" spans="1:1" x14ac:dyDescent="0.2">
      <c r="A10893" s="101"/>
    </row>
    <row r="10894" spans="1:1" x14ac:dyDescent="0.2">
      <c r="A10894" s="101"/>
    </row>
    <row r="10895" spans="1:1" x14ac:dyDescent="0.2">
      <c r="A10895" s="101"/>
    </row>
    <row r="10896" spans="1:1" x14ac:dyDescent="0.2">
      <c r="A10896" s="101"/>
    </row>
    <row r="10897" spans="1:1" x14ac:dyDescent="0.2">
      <c r="A10897" s="101"/>
    </row>
    <row r="10898" spans="1:1" x14ac:dyDescent="0.2">
      <c r="A10898" s="101"/>
    </row>
    <row r="10899" spans="1:1" x14ac:dyDescent="0.2">
      <c r="A10899" s="101"/>
    </row>
    <row r="10900" spans="1:1" x14ac:dyDescent="0.2">
      <c r="A10900" s="101"/>
    </row>
    <row r="10901" spans="1:1" x14ac:dyDescent="0.2">
      <c r="A10901" s="101"/>
    </row>
    <row r="10902" spans="1:1" x14ac:dyDescent="0.2">
      <c r="A10902" s="101"/>
    </row>
    <row r="10903" spans="1:1" x14ac:dyDescent="0.2">
      <c r="A10903" s="101"/>
    </row>
    <row r="10904" spans="1:1" x14ac:dyDescent="0.2">
      <c r="A10904" s="101"/>
    </row>
    <row r="10905" spans="1:1" x14ac:dyDescent="0.2">
      <c r="A10905" s="101"/>
    </row>
    <row r="10906" spans="1:1" x14ac:dyDescent="0.2">
      <c r="A10906" s="101"/>
    </row>
    <row r="10907" spans="1:1" x14ac:dyDescent="0.2">
      <c r="A10907" s="101"/>
    </row>
    <row r="10908" spans="1:1" x14ac:dyDescent="0.2">
      <c r="A10908" s="101"/>
    </row>
    <row r="10909" spans="1:1" x14ac:dyDescent="0.2">
      <c r="A10909" s="101"/>
    </row>
    <row r="10910" spans="1:1" x14ac:dyDescent="0.2">
      <c r="A10910" s="101"/>
    </row>
    <row r="10911" spans="1:1" x14ac:dyDescent="0.2">
      <c r="A10911" s="101"/>
    </row>
    <row r="10912" spans="1:1" x14ac:dyDescent="0.2">
      <c r="A10912" s="101"/>
    </row>
    <row r="10913" spans="1:1" x14ac:dyDescent="0.2">
      <c r="A10913" s="101"/>
    </row>
    <row r="10914" spans="1:1" x14ac:dyDescent="0.2">
      <c r="A10914" s="101"/>
    </row>
    <row r="10915" spans="1:1" x14ac:dyDescent="0.2">
      <c r="A10915" s="101"/>
    </row>
    <row r="10916" spans="1:1" x14ac:dyDescent="0.2">
      <c r="A10916" s="101"/>
    </row>
    <row r="10917" spans="1:1" x14ac:dyDescent="0.2">
      <c r="A10917" s="101"/>
    </row>
    <row r="10918" spans="1:1" x14ac:dyDescent="0.2">
      <c r="A10918" s="101"/>
    </row>
    <row r="10919" spans="1:1" x14ac:dyDescent="0.2">
      <c r="A10919" s="101"/>
    </row>
    <row r="10920" spans="1:1" x14ac:dyDescent="0.2">
      <c r="A10920" s="101"/>
    </row>
    <row r="10921" spans="1:1" x14ac:dyDescent="0.2">
      <c r="A10921" s="101"/>
    </row>
    <row r="10922" spans="1:1" x14ac:dyDescent="0.2">
      <c r="A10922" s="101"/>
    </row>
    <row r="10923" spans="1:1" x14ac:dyDescent="0.2">
      <c r="A10923" s="101"/>
    </row>
    <row r="10924" spans="1:1" x14ac:dyDescent="0.2">
      <c r="A10924" s="101"/>
    </row>
    <row r="10925" spans="1:1" x14ac:dyDescent="0.2">
      <c r="A10925" s="101"/>
    </row>
    <row r="10926" spans="1:1" x14ac:dyDescent="0.2">
      <c r="A10926" s="101"/>
    </row>
    <row r="10927" spans="1:1" x14ac:dyDescent="0.2">
      <c r="A10927" s="101"/>
    </row>
    <row r="10928" spans="1:1" x14ac:dyDescent="0.2">
      <c r="A10928" s="101"/>
    </row>
    <row r="10929" spans="1:1" x14ac:dyDescent="0.2">
      <c r="A10929" s="101"/>
    </row>
    <row r="10930" spans="1:1" x14ac:dyDescent="0.2">
      <c r="A10930" s="101"/>
    </row>
    <row r="10931" spans="1:1" x14ac:dyDescent="0.2">
      <c r="A10931" s="101"/>
    </row>
    <row r="10932" spans="1:1" x14ac:dyDescent="0.2">
      <c r="A10932" s="101"/>
    </row>
    <row r="10933" spans="1:1" x14ac:dyDescent="0.2">
      <c r="A10933" s="101"/>
    </row>
    <row r="10934" spans="1:1" x14ac:dyDescent="0.2">
      <c r="A10934" s="101"/>
    </row>
    <row r="10935" spans="1:1" x14ac:dyDescent="0.2">
      <c r="A10935" s="101"/>
    </row>
    <row r="10936" spans="1:1" x14ac:dyDescent="0.2">
      <c r="A10936" s="101"/>
    </row>
    <row r="10937" spans="1:1" x14ac:dyDescent="0.2">
      <c r="A10937" s="101"/>
    </row>
    <row r="10938" spans="1:1" x14ac:dyDescent="0.2">
      <c r="A10938" s="101"/>
    </row>
    <row r="10939" spans="1:1" x14ac:dyDescent="0.2">
      <c r="A10939" s="101"/>
    </row>
    <row r="10940" spans="1:1" x14ac:dyDescent="0.2">
      <c r="A10940" s="101"/>
    </row>
    <row r="10941" spans="1:1" x14ac:dyDescent="0.2">
      <c r="A10941" s="101"/>
    </row>
    <row r="10942" spans="1:1" x14ac:dyDescent="0.2">
      <c r="A10942" s="101"/>
    </row>
    <row r="10943" spans="1:1" x14ac:dyDescent="0.2">
      <c r="A10943" s="101"/>
    </row>
    <row r="10944" spans="1:1" x14ac:dyDescent="0.2">
      <c r="A10944" s="101"/>
    </row>
    <row r="10945" spans="1:1" x14ac:dyDescent="0.2">
      <c r="A10945" s="101"/>
    </row>
    <row r="10946" spans="1:1" x14ac:dyDescent="0.2">
      <c r="A10946" s="101"/>
    </row>
    <row r="10947" spans="1:1" x14ac:dyDescent="0.2">
      <c r="A10947" s="101"/>
    </row>
    <row r="10948" spans="1:1" x14ac:dyDescent="0.2">
      <c r="A10948" s="101"/>
    </row>
    <row r="10949" spans="1:1" x14ac:dyDescent="0.2">
      <c r="A10949" s="101"/>
    </row>
    <row r="10950" spans="1:1" x14ac:dyDescent="0.2">
      <c r="A10950" s="101"/>
    </row>
    <row r="10951" spans="1:1" x14ac:dyDescent="0.2">
      <c r="A10951" s="101"/>
    </row>
    <row r="10952" spans="1:1" x14ac:dyDescent="0.2">
      <c r="A10952" s="101"/>
    </row>
    <row r="10953" spans="1:1" x14ac:dyDescent="0.2">
      <c r="A10953" s="101"/>
    </row>
    <row r="10954" spans="1:1" x14ac:dyDescent="0.2">
      <c r="A10954" s="101"/>
    </row>
    <row r="10955" spans="1:1" x14ac:dyDescent="0.2">
      <c r="A10955" s="101"/>
    </row>
    <row r="10956" spans="1:1" x14ac:dyDescent="0.2">
      <c r="A10956" s="101"/>
    </row>
    <row r="10957" spans="1:1" x14ac:dyDescent="0.2">
      <c r="A10957" s="101"/>
    </row>
    <row r="10958" spans="1:1" x14ac:dyDescent="0.2">
      <c r="A10958" s="101"/>
    </row>
    <row r="10959" spans="1:1" x14ac:dyDescent="0.2">
      <c r="A10959" s="101"/>
    </row>
    <row r="10960" spans="1:1" x14ac:dyDescent="0.2">
      <c r="A10960" s="101"/>
    </row>
    <row r="10961" spans="1:1" x14ac:dyDescent="0.2">
      <c r="A10961" s="101"/>
    </row>
    <row r="10962" spans="1:1" x14ac:dyDescent="0.2">
      <c r="A10962" s="101"/>
    </row>
    <row r="10963" spans="1:1" x14ac:dyDescent="0.2">
      <c r="A10963" s="101"/>
    </row>
    <row r="10964" spans="1:1" x14ac:dyDescent="0.2">
      <c r="A10964" s="101"/>
    </row>
    <row r="10965" spans="1:1" x14ac:dyDescent="0.2">
      <c r="A10965" s="101"/>
    </row>
    <row r="10966" spans="1:1" x14ac:dyDescent="0.2">
      <c r="A10966" s="101"/>
    </row>
    <row r="10967" spans="1:1" x14ac:dyDescent="0.2">
      <c r="A10967" s="101"/>
    </row>
    <row r="10968" spans="1:1" x14ac:dyDescent="0.2">
      <c r="A10968" s="101"/>
    </row>
    <row r="10969" spans="1:1" x14ac:dyDescent="0.2">
      <c r="A10969" s="101"/>
    </row>
    <row r="10970" spans="1:1" x14ac:dyDescent="0.2">
      <c r="A10970" s="101"/>
    </row>
    <row r="10971" spans="1:1" x14ac:dyDescent="0.2">
      <c r="A10971" s="101"/>
    </row>
    <row r="10972" spans="1:1" x14ac:dyDescent="0.2">
      <c r="A10972" s="101"/>
    </row>
    <row r="10973" spans="1:1" x14ac:dyDescent="0.2">
      <c r="A10973" s="101"/>
    </row>
    <row r="10974" spans="1:1" x14ac:dyDescent="0.2">
      <c r="A10974" s="101"/>
    </row>
    <row r="10975" spans="1:1" x14ac:dyDescent="0.2">
      <c r="A10975" s="101"/>
    </row>
    <row r="10976" spans="1:1" x14ac:dyDescent="0.2">
      <c r="A10976" s="101"/>
    </row>
    <row r="10977" spans="1:1" x14ac:dyDescent="0.2">
      <c r="A10977" s="101"/>
    </row>
    <row r="10978" spans="1:1" x14ac:dyDescent="0.2">
      <c r="A10978" s="101"/>
    </row>
    <row r="10979" spans="1:1" x14ac:dyDescent="0.2">
      <c r="A10979" s="101"/>
    </row>
    <row r="10980" spans="1:1" x14ac:dyDescent="0.2">
      <c r="A10980" s="101"/>
    </row>
    <row r="10981" spans="1:1" x14ac:dyDescent="0.2">
      <c r="A10981" s="101"/>
    </row>
    <row r="10982" spans="1:1" x14ac:dyDescent="0.2">
      <c r="A10982" s="101"/>
    </row>
    <row r="10983" spans="1:1" x14ac:dyDescent="0.2">
      <c r="A10983" s="101"/>
    </row>
    <row r="10984" spans="1:1" x14ac:dyDescent="0.2">
      <c r="A10984" s="101"/>
    </row>
    <row r="10985" spans="1:1" x14ac:dyDescent="0.2">
      <c r="A10985" s="101"/>
    </row>
    <row r="10986" spans="1:1" x14ac:dyDescent="0.2">
      <c r="A10986" s="101"/>
    </row>
    <row r="10987" spans="1:1" x14ac:dyDescent="0.2">
      <c r="A10987" s="101"/>
    </row>
    <row r="10988" spans="1:1" x14ac:dyDescent="0.2">
      <c r="A10988" s="101"/>
    </row>
    <row r="10989" spans="1:1" x14ac:dyDescent="0.2">
      <c r="A10989" s="101"/>
    </row>
    <row r="10990" spans="1:1" x14ac:dyDescent="0.2">
      <c r="A10990" s="101"/>
    </row>
    <row r="10991" spans="1:1" x14ac:dyDescent="0.2">
      <c r="A10991" s="101"/>
    </row>
    <row r="10992" spans="1:1" x14ac:dyDescent="0.2">
      <c r="A10992" s="101"/>
    </row>
    <row r="10993" spans="1:1" x14ac:dyDescent="0.2">
      <c r="A10993" s="101"/>
    </row>
    <row r="10994" spans="1:1" x14ac:dyDescent="0.2">
      <c r="A10994" s="101"/>
    </row>
    <row r="10995" spans="1:1" x14ac:dyDescent="0.2">
      <c r="A10995" s="101"/>
    </row>
    <row r="10996" spans="1:1" x14ac:dyDescent="0.2">
      <c r="A10996" s="101"/>
    </row>
    <row r="10997" spans="1:1" x14ac:dyDescent="0.2">
      <c r="A10997" s="101"/>
    </row>
    <row r="10998" spans="1:1" x14ac:dyDescent="0.2">
      <c r="A10998" s="101"/>
    </row>
    <row r="10999" spans="1:1" x14ac:dyDescent="0.2">
      <c r="A10999" s="101"/>
    </row>
    <row r="11000" spans="1:1" x14ac:dyDescent="0.2">
      <c r="A11000" s="101"/>
    </row>
    <row r="11001" spans="1:1" x14ac:dyDescent="0.2">
      <c r="A11001" s="101"/>
    </row>
    <row r="11002" spans="1:1" x14ac:dyDescent="0.2">
      <c r="A11002" s="101"/>
    </row>
    <row r="11003" spans="1:1" x14ac:dyDescent="0.2">
      <c r="A11003" s="101"/>
    </row>
    <row r="11004" spans="1:1" x14ac:dyDescent="0.2">
      <c r="A11004" s="101"/>
    </row>
    <row r="11005" spans="1:1" x14ac:dyDescent="0.2">
      <c r="A11005" s="101"/>
    </row>
    <row r="11006" spans="1:1" x14ac:dyDescent="0.2">
      <c r="A11006" s="101"/>
    </row>
    <row r="11007" spans="1:1" x14ac:dyDescent="0.2">
      <c r="A11007" s="101"/>
    </row>
    <row r="11008" spans="1:1" x14ac:dyDescent="0.2">
      <c r="A11008" s="101"/>
    </row>
    <row r="11009" spans="1:1" x14ac:dyDescent="0.2">
      <c r="A11009" s="101"/>
    </row>
    <row r="11010" spans="1:1" x14ac:dyDescent="0.2">
      <c r="A11010" s="101"/>
    </row>
    <row r="11011" spans="1:1" x14ac:dyDescent="0.2">
      <c r="A11011" s="101"/>
    </row>
    <row r="11012" spans="1:1" x14ac:dyDescent="0.2">
      <c r="A11012" s="101"/>
    </row>
    <row r="11013" spans="1:1" x14ac:dyDescent="0.2">
      <c r="A11013" s="101"/>
    </row>
    <row r="11014" spans="1:1" x14ac:dyDescent="0.2">
      <c r="A11014" s="101"/>
    </row>
    <row r="11015" spans="1:1" x14ac:dyDescent="0.2">
      <c r="A11015" s="101"/>
    </row>
    <row r="11016" spans="1:1" x14ac:dyDescent="0.2">
      <c r="A11016" s="101"/>
    </row>
    <row r="11017" spans="1:1" x14ac:dyDescent="0.2">
      <c r="A11017" s="101"/>
    </row>
    <row r="11018" spans="1:1" x14ac:dyDescent="0.2">
      <c r="A11018" s="101"/>
    </row>
    <row r="11019" spans="1:1" x14ac:dyDescent="0.2">
      <c r="A11019" s="101"/>
    </row>
    <row r="11020" spans="1:1" x14ac:dyDescent="0.2">
      <c r="A11020" s="101"/>
    </row>
    <row r="11021" spans="1:1" x14ac:dyDescent="0.2">
      <c r="A11021" s="101"/>
    </row>
    <row r="11022" spans="1:1" x14ac:dyDescent="0.2">
      <c r="A11022" s="101"/>
    </row>
    <row r="11023" spans="1:1" x14ac:dyDescent="0.2">
      <c r="A11023" s="101"/>
    </row>
    <row r="11024" spans="1:1" x14ac:dyDescent="0.2">
      <c r="A11024" s="101"/>
    </row>
    <row r="11025" spans="1:1" x14ac:dyDescent="0.2">
      <c r="A11025" s="101"/>
    </row>
    <row r="11026" spans="1:1" x14ac:dyDescent="0.2">
      <c r="A11026" s="101"/>
    </row>
    <row r="11027" spans="1:1" x14ac:dyDescent="0.2">
      <c r="A11027" s="101"/>
    </row>
    <row r="11028" spans="1:1" x14ac:dyDescent="0.2">
      <c r="A11028" s="101"/>
    </row>
    <row r="11029" spans="1:1" x14ac:dyDescent="0.2">
      <c r="A11029" s="101"/>
    </row>
    <row r="11030" spans="1:1" x14ac:dyDescent="0.2">
      <c r="A11030" s="101"/>
    </row>
    <row r="11031" spans="1:1" x14ac:dyDescent="0.2">
      <c r="A11031" s="101"/>
    </row>
    <row r="11032" spans="1:1" x14ac:dyDescent="0.2">
      <c r="A11032" s="101"/>
    </row>
    <row r="11033" spans="1:1" x14ac:dyDescent="0.2">
      <c r="A11033" s="101"/>
    </row>
    <row r="11034" spans="1:1" x14ac:dyDescent="0.2">
      <c r="A11034" s="101"/>
    </row>
    <row r="11035" spans="1:1" x14ac:dyDescent="0.2">
      <c r="A11035" s="101"/>
    </row>
    <row r="11036" spans="1:1" x14ac:dyDescent="0.2">
      <c r="A11036" s="101"/>
    </row>
    <row r="11037" spans="1:1" x14ac:dyDescent="0.2">
      <c r="A11037" s="101"/>
    </row>
    <row r="11038" spans="1:1" x14ac:dyDescent="0.2">
      <c r="A11038" s="101"/>
    </row>
    <row r="11039" spans="1:1" x14ac:dyDescent="0.2">
      <c r="A11039" s="101"/>
    </row>
    <row r="11040" spans="1:1" x14ac:dyDescent="0.2">
      <c r="A11040" s="101"/>
    </row>
    <row r="11041" spans="1:1" x14ac:dyDescent="0.2">
      <c r="A11041" s="101"/>
    </row>
    <row r="11042" spans="1:1" x14ac:dyDescent="0.2">
      <c r="A11042" s="101"/>
    </row>
    <row r="11043" spans="1:1" x14ac:dyDescent="0.2">
      <c r="A11043" s="101"/>
    </row>
    <row r="11044" spans="1:1" x14ac:dyDescent="0.2">
      <c r="A11044" s="101"/>
    </row>
    <row r="11045" spans="1:1" x14ac:dyDescent="0.2">
      <c r="A11045" s="101"/>
    </row>
    <row r="11046" spans="1:1" x14ac:dyDescent="0.2">
      <c r="A11046" s="101"/>
    </row>
    <row r="11047" spans="1:1" x14ac:dyDescent="0.2">
      <c r="A11047" s="101"/>
    </row>
    <row r="11048" spans="1:1" x14ac:dyDescent="0.2">
      <c r="A11048" s="101"/>
    </row>
    <row r="11049" spans="1:1" x14ac:dyDescent="0.2">
      <c r="A11049" s="101"/>
    </row>
    <row r="11050" spans="1:1" x14ac:dyDescent="0.2">
      <c r="A11050" s="101"/>
    </row>
    <row r="11051" spans="1:1" x14ac:dyDescent="0.2">
      <c r="A11051" s="101"/>
    </row>
    <row r="11052" spans="1:1" x14ac:dyDescent="0.2">
      <c r="A11052" s="101"/>
    </row>
    <row r="11053" spans="1:1" x14ac:dyDescent="0.2">
      <c r="A11053" s="101"/>
    </row>
    <row r="11054" spans="1:1" x14ac:dyDescent="0.2">
      <c r="A11054" s="101"/>
    </row>
    <row r="11055" spans="1:1" x14ac:dyDescent="0.2">
      <c r="A11055" s="101"/>
    </row>
    <row r="11056" spans="1:1" x14ac:dyDescent="0.2">
      <c r="A11056" s="101"/>
    </row>
    <row r="11057" spans="1:1" x14ac:dyDescent="0.2">
      <c r="A11057" s="101"/>
    </row>
    <row r="11058" spans="1:1" x14ac:dyDescent="0.2">
      <c r="A11058" s="101"/>
    </row>
    <row r="11059" spans="1:1" x14ac:dyDescent="0.2">
      <c r="A11059" s="101"/>
    </row>
    <row r="11060" spans="1:1" x14ac:dyDescent="0.2">
      <c r="A11060" s="101"/>
    </row>
    <row r="11061" spans="1:1" x14ac:dyDescent="0.2">
      <c r="A11061" s="101"/>
    </row>
    <row r="11062" spans="1:1" x14ac:dyDescent="0.2">
      <c r="A11062" s="101"/>
    </row>
    <row r="11063" spans="1:1" x14ac:dyDescent="0.2">
      <c r="A11063" s="101"/>
    </row>
    <row r="11064" spans="1:1" x14ac:dyDescent="0.2">
      <c r="A11064" s="101"/>
    </row>
    <row r="11065" spans="1:1" x14ac:dyDescent="0.2">
      <c r="A11065" s="101"/>
    </row>
    <row r="11066" spans="1:1" x14ac:dyDescent="0.2">
      <c r="A11066" s="101"/>
    </row>
    <row r="11067" spans="1:1" x14ac:dyDescent="0.2">
      <c r="A11067" s="101"/>
    </row>
    <row r="11068" spans="1:1" x14ac:dyDescent="0.2">
      <c r="A11068" s="101"/>
    </row>
    <row r="11069" spans="1:1" x14ac:dyDescent="0.2">
      <c r="A11069" s="101"/>
    </row>
    <row r="11070" spans="1:1" x14ac:dyDescent="0.2">
      <c r="A11070" s="101"/>
    </row>
    <row r="11071" spans="1:1" x14ac:dyDescent="0.2">
      <c r="A11071" s="101"/>
    </row>
    <row r="11072" spans="1:1" x14ac:dyDescent="0.2">
      <c r="A11072" s="101"/>
    </row>
    <row r="11073" spans="1:1" x14ac:dyDescent="0.2">
      <c r="A11073" s="101"/>
    </row>
    <row r="11074" spans="1:1" x14ac:dyDescent="0.2">
      <c r="A11074" s="101"/>
    </row>
    <row r="11075" spans="1:1" x14ac:dyDescent="0.2">
      <c r="A11075" s="101"/>
    </row>
    <row r="11076" spans="1:1" x14ac:dyDescent="0.2">
      <c r="A11076" s="101"/>
    </row>
    <row r="11077" spans="1:1" x14ac:dyDescent="0.2">
      <c r="A11077" s="101"/>
    </row>
    <row r="11078" spans="1:1" x14ac:dyDescent="0.2">
      <c r="A11078" s="101"/>
    </row>
    <row r="11079" spans="1:1" x14ac:dyDescent="0.2">
      <c r="A11079" s="101"/>
    </row>
    <row r="11080" spans="1:1" x14ac:dyDescent="0.2">
      <c r="A11080" s="101"/>
    </row>
    <row r="11081" spans="1:1" x14ac:dyDescent="0.2">
      <c r="A11081" s="101"/>
    </row>
    <row r="11082" spans="1:1" x14ac:dyDescent="0.2">
      <c r="A11082" s="101"/>
    </row>
    <row r="11083" spans="1:1" x14ac:dyDescent="0.2">
      <c r="A11083" s="101"/>
    </row>
    <row r="11084" spans="1:1" x14ac:dyDescent="0.2">
      <c r="A11084" s="101"/>
    </row>
    <row r="11085" spans="1:1" x14ac:dyDescent="0.2">
      <c r="A11085" s="101"/>
    </row>
    <row r="11086" spans="1:1" x14ac:dyDescent="0.2">
      <c r="A11086" s="101"/>
    </row>
    <row r="11087" spans="1:1" x14ac:dyDescent="0.2">
      <c r="A11087" s="101"/>
    </row>
    <row r="11088" spans="1:1" x14ac:dyDescent="0.2">
      <c r="A11088" s="101"/>
    </row>
    <row r="11089" spans="1:1" x14ac:dyDescent="0.2">
      <c r="A11089" s="101"/>
    </row>
    <row r="11090" spans="1:1" x14ac:dyDescent="0.2">
      <c r="A11090" s="101"/>
    </row>
    <row r="11091" spans="1:1" x14ac:dyDescent="0.2">
      <c r="A11091" s="101"/>
    </row>
    <row r="11092" spans="1:1" x14ac:dyDescent="0.2">
      <c r="A11092" s="101"/>
    </row>
    <row r="11093" spans="1:1" x14ac:dyDescent="0.2">
      <c r="A11093" s="101"/>
    </row>
    <row r="11094" spans="1:1" x14ac:dyDescent="0.2">
      <c r="A11094" s="101"/>
    </row>
    <row r="11095" spans="1:1" x14ac:dyDescent="0.2">
      <c r="A11095" s="101"/>
    </row>
    <row r="11096" spans="1:1" x14ac:dyDescent="0.2">
      <c r="A11096" s="101"/>
    </row>
    <row r="11097" spans="1:1" x14ac:dyDescent="0.2">
      <c r="A11097" s="101"/>
    </row>
    <row r="11098" spans="1:1" x14ac:dyDescent="0.2">
      <c r="A11098" s="101"/>
    </row>
    <row r="11099" spans="1:1" x14ac:dyDescent="0.2">
      <c r="A11099" s="101"/>
    </row>
    <row r="11100" spans="1:1" x14ac:dyDescent="0.2">
      <c r="A11100" s="101"/>
    </row>
    <row r="11101" spans="1:1" x14ac:dyDescent="0.2">
      <c r="A11101" s="101"/>
    </row>
    <row r="11102" spans="1:1" x14ac:dyDescent="0.2">
      <c r="A11102" s="101"/>
    </row>
    <row r="11103" spans="1:1" x14ac:dyDescent="0.2">
      <c r="A11103" s="101"/>
    </row>
    <row r="11104" spans="1:1" x14ac:dyDescent="0.2">
      <c r="A11104" s="101"/>
    </row>
    <row r="11105" spans="1:1" x14ac:dyDescent="0.2">
      <c r="A11105" s="101"/>
    </row>
    <row r="11106" spans="1:1" x14ac:dyDescent="0.2">
      <c r="A11106" s="101"/>
    </row>
    <row r="11107" spans="1:1" x14ac:dyDescent="0.2">
      <c r="A11107" s="101"/>
    </row>
    <row r="11108" spans="1:1" x14ac:dyDescent="0.2">
      <c r="A11108" s="101"/>
    </row>
    <row r="11109" spans="1:1" x14ac:dyDescent="0.2">
      <c r="A11109" s="101"/>
    </row>
    <row r="11110" spans="1:1" x14ac:dyDescent="0.2">
      <c r="A11110" s="101"/>
    </row>
    <row r="11111" spans="1:1" x14ac:dyDescent="0.2">
      <c r="A11111" s="101"/>
    </row>
    <row r="11112" spans="1:1" x14ac:dyDescent="0.2">
      <c r="A11112" s="101"/>
    </row>
    <row r="11113" spans="1:1" x14ac:dyDescent="0.2">
      <c r="A11113" s="101"/>
    </row>
    <row r="11114" spans="1:1" x14ac:dyDescent="0.2">
      <c r="A11114" s="101"/>
    </row>
    <row r="11115" spans="1:1" x14ac:dyDescent="0.2">
      <c r="A11115" s="101"/>
    </row>
    <row r="11116" spans="1:1" x14ac:dyDescent="0.2">
      <c r="A11116" s="101"/>
    </row>
    <row r="11117" spans="1:1" x14ac:dyDescent="0.2">
      <c r="A11117" s="101"/>
    </row>
    <row r="11118" spans="1:1" x14ac:dyDescent="0.2">
      <c r="A11118" s="101"/>
    </row>
    <row r="11119" spans="1:1" x14ac:dyDescent="0.2">
      <c r="A11119" s="101"/>
    </row>
    <row r="11120" spans="1:1" x14ac:dyDescent="0.2">
      <c r="A11120" s="101"/>
    </row>
    <row r="11121" spans="1:1" x14ac:dyDescent="0.2">
      <c r="A11121" s="101"/>
    </row>
    <row r="11122" spans="1:1" x14ac:dyDescent="0.2">
      <c r="A11122" s="101"/>
    </row>
    <row r="11123" spans="1:1" x14ac:dyDescent="0.2">
      <c r="A11123" s="101"/>
    </row>
    <row r="11124" spans="1:1" x14ac:dyDescent="0.2">
      <c r="A11124" s="101"/>
    </row>
    <row r="11125" spans="1:1" x14ac:dyDescent="0.2">
      <c r="A11125" s="101"/>
    </row>
    <row r="11126" spans="1:1" x14ac:dyDescent="0.2">
      <c r="A11126" s="101"/>
    </row>
    <row r="11127" spans="1:1" x14ac:dyDescent="0.2">
      <c r="A11127" s="101"/>
    </row>
    <row r="11128" spans="1:1" x14ac:dyDescent="0.2">
      <c r="A11128" s="101"/>
    </row>
    <row r="11129" spans="1:1" x14ac:dyDescent="0.2">
      <c r="A11129" s="101"/>
    </row>
    <row r="11130" spans="1:1" x14ac:dyDescent="0.2">
      <c r="A11130" s="101"/>
    </row>
    <row r="11131" spans="1:1" x14ac:dyDescent="0.2">
      <c r="A11131" s="101"/>
    </row>
    <row r="11132" spans="1:1" x14ac:dyDescent="0.2">
      <c r="A11132" s="101"/>
    </row>
    <row r="11133" spans="1:1" x14ac:dyDescent="0.2">
      <c r="A11133" s="101"/>
    </row>
    <row r="11134" spans="1:1" x14ac:dyDescent="0.2">
      <c r="A11134" s="101"/>
    </row>
    <row r="11135" spans="1:1" x14ac:dyDescent="0.2">
      <c r="A11135" s="101"/>
    </row>
    <row r="11136" spans="1:1" x14ac:dyDescent="0.2">
      <c r="A11136" s="101"/>
    </row>
    <row r="11137" spans="1:1" x14ac:dyDescent="0.2">
      <c r="A11137" s="101"/>
    </row>
    <row r="11138" spans="1:1" x14ac:dyDescent="0.2">
      <c r="A11138" s="101"/>
    </row>
    <row r="11139" spans="1:1" x14ac:dyDescent="0.2">
      <c r="A11139" s="101"/>
    </row>
    <row r="11140" spans="1:1" x14ac:dyDescent="0.2">
      <c r="A11140" s="101"/>
    </row>
    <row r="11141" spans="1:1" x14ac:dyDescent="0.2">
      <c r="A11141" s="101"/>
    </row>
    <row r="11142" spans="1:1" x14ac:dyDescent="0.2">
      <c r="A11142" s="101"/>
    </row>
    <row r="11143" spans="1:1" x14ac:dyDescent="0.2">
      <c r="A11143" s="101"/>
    </row>
    <row r="11144" spans="1:1" x14ac:dyDescent="0.2">
      <c r="A11144" s="101"/>
    </row>
    <row r="11145" spans="1:1" x14ac:dyDescent="0.2">
      <c r="A11145" s="101"/>
    </row>
    <row r="11146" spans="1:1" x14ac:dyDescent="0.2">
      <c r="A11146" s="101"/>
    </row>
    <row r="11147" spans="1:1" x14ac:dyDescent="0.2">
      <c r="A11147" s="101"/>
    </row>
    <row r="11148" spans="1:1" x14ac:dyDescent="0.2">
      <c r="A11148" s="101"/>
    </row>
    <row r="11149" spans="1:1" x14ac:dyDescent="0.2">
      <c r="A11149" s="101"/>
    </row>
    <row r="11150" spans="1:1" x14ac:dyDescent="0.2">
      <c r="A11150" s="101"/>
    </row>
    <row r="11151" spans="1:1" x14ac:dyDescent="0.2">
      <c r="A11151" s="101"/>
    </row>
    <row r="11152" spans="1:1" x14ac:dyDescent="0.2">
      <c r="A11152" s="101"/>
    </row>
    <row r="11153" spans="1:1" x14ac:dyDescent="0.2">
      <c r="A11153" s="101"/>
    </row>
    <row r="11154" spans="1:1" x14ac:dyDescent="0.2">
      <c r="A11154" s="101"/>
    </row>
    <row r="11155" spans="1:1" x14ac:dyDescent="0.2">
      <c r="A11155" s="101"/>
    </row>
    <row r="11156" spans="1:1" x14ac:dyDescent="0.2">
      <c r="A11156" s="101"/>
    </row>
    <row r="11157" spans="1:1" x14ac:dyDescent="0.2">
      <c r="A11157" s="101"/>
    </row>
    <row r="11158" spans="1:1" x14ac:dyDescent="0.2">
      <c r="A11158" s="101"/>
    </row>
    <row r="11159" spans="1:1" x14ac:dyDescent="0.2">
      <c r="A11159" s="101"/>
    </row>
    <row r="11160" spans="1:1" x14ac:dyDescent="0.2">
      <c r="A11160" s="101"/>
    </row>
    <row r="11161" spans="1:1" x14ac:dyDescent="0.2">
      <c r="A11161" s="101"/>
    </row>
    <row r="11162" spans="1:1" x14ac:dyDescent="0.2">
      <c r="A11162" s="101"/>
    </row>
    <row r="11163" spans="1:1" x14ac:dyDescent="0.2">
      <c r="A11163" s="101"/>
    </row>
    <row r="11164" spans="1:1" x14ac:dyDescent="0.2">
      <c r="A11164" s="101"/>
    </row>
    <row r="11165" spans="1:1" x14ac:dyDescent="0.2">
      <c r="A11165" s="101"/>
    </row>
    <row r="11166" spans="1:1" x14ac:dyDescent="0.2">
      <c r="A11166" s="101"/>
    </row>
    <row r="11167" spans="1:1" x14ac:dyDescent="0.2">
      <c r="A11167" s="101"/>
    </row>
    <row r="11168" spans="1:1" x14ac:dyDescent="0.2">
      <c r="A11168" s="101"/>
    </row>
    <row r="11169" spans="1:1" x14ac:dyDescent="0.2">
      <c r="A11169" s="101"/>
    </row>
    <row r="11170" spans="1:1" x14ac:dyDescent="0.2">
      <c r="A11170" s="101"/>
    </row>
    <row r="11171" spans="1:1" x14ac:dyDescent="0.2">
      <c r="A11171" s="101"/>
    </row>
    <row r="11172" spans="1:1" x14ac:dyDescent="0.2">
      <c r="A11172" s="101"/>
    </row>
    <row r="11173" spans="1:1" x14ac:dyDescent="0.2">
      <c r="A11173" s="101"/>
    </row>
    <row r="11174" spans="1:1" x14ac:dyDescent="0.2">
      <c r="A11174" s="101"/>
    </row>
    <row r="11175" spans="1:1" x14ac:dyDescent="0.2">
      <c r="A11175" s="101"/>
    </row>
    <row r="11176" spans="1:1" x14ac:dyDescent="0.2">
      <c r="A11176" s="101"/>
    </row>
    <row r="11177" spans="1:1" x14ac:dyDescent="0.2">
      <c r="A11177" s="101"/>
    </row>
    <row r="11178" spans="1:1" x14ac:dyDescent="0.2">
      <c r="A11178" s="101"/>
    </row>
    <row r="11179" spans="1:1" x14ac:dyDescent="0.2">
      <c r="A11179" s="101"/>
    </row>
    <row r="11180" spans="1:1" x14ac:dyDescent="0.2">
      <c r="A11180" s="101"/>
    </row>
    <row r="11181" spans="1:1" x14ac:dyDescent="0.2">
      <c r="A11181" s="101"/>
    </row>
    <row r="11182" spans="1:1" x14ac:dyDescent="0.2">
      <c r="A11182" s="101"/>
    </row>
    <row r="11183" spans="1:1" x14ac:dyDescent="0.2">
      <c r="A11183" s="101"/>
    </row>
    <row r="11184" spans="1:1" x14ac:dyDescent="0.2">
      <c r="A11184" s="101"/>
    </row>
    <row r="11185" spans="1:1" x14ac:dyDescent="0.2">
      <c r="A11185" s="101"/>
    </row>
    <row r="11186" spans="1:1" x14ac:dyDescent="0.2">
      <c r="A11186" s="101"/>
    </row>
    <row r="11187" spans="1:1" x14ac:dyDescent="0.2">
      <c r="A11187" s="101"/>
    </row>
    <row r="11188" spans="1:1" x14ac:dyDescent="0.2">
      <c r="A11188" s="101"/>
    </row>
    <row r="11189" spans="1:1" x14ac:dyDescent="0.2">
      <c r="A11189" s="101"/>
    </row>
    <row r="11190" spans="1:1" x14ac:dyDescent="0.2">
      <c r="A11190" s="101"/>
    </row>
    <row r="11191" spans="1:1" x14ac:dyDescent="0.2">
      <c r="A11191" s="101"/>
    </row>
    <row r="11192" spans="1:1" x14ac:dyDescent="0.2">
      <c r="A11192" s="101"/>
    </row>
    <row r="11193" spans="1:1" x14ac:dyDescent="0.2">
      <c r="A11193" s="101"/>
    </row>
    <row r="11194" spans="1:1" x14ac:dyDescent="0.2">
      <c r="A11194" s="101"/>
    </row>
    <row r="11195" spans="1:1" x14ac:dyDescent="0.2">
      <c r="A11195" s="101"/>
    </row>
    <row r="11196" spans="1:1" x14ac:dyDescent="0.2">
      <c r="A11196" s="101"/>
    </row>
    <row r="11197" spans="1:1" x14ac:dyDescent="0.2">
      <c r="A11197" s="101"/>
    </row>
    <row r="11198" spans="1:1" x14ac:dyDescent="0.2">
      <c r="A11198" s="101"/>
    </row>
    <row r="11199" spans="1:1" x14ac:dyDescent="0.2">
      <c r="A11199" s="101"/>
    </row>
    <row r="11200" spans="1:1" x14ac:dyDescent="0.2">
      <c r="A11200" s="101"/>
    </row>
    <row r="11201" spans="1:1" x14ac:dyDescent="0.2">
      <c r="A11201" s="101"/>
    </row>
    <row r="11202" spans="1:1" x14ac:dyDescent="0.2">
      <c r="A11202" s="101"/>
    </row>
    <row r="11203" spans="1:1" x14ac:dyDescent="0.2">
      <c r="A11203" s="101"/>
    </row>
    <row r="11204" spans="1:1" x14ac:dyDescent="0.2">
      <c r="A11204" s="101"/>
    </row>
    <row r="11205" spans="1:1" x14ac:dyDescent="0.2">
      <c r="A11205" s="101"/>
    </row>
    <row r="11206" spans="1:1" x14ac:dyDescent="0.2">
      <c r="A11206" s="101"/>
    </row>
    <row r="11207" spans="1:1" x14ac:dyDescent="0.2">
      <c r="A11207" s="101"/>
    </row>
    <row r="11208" spans="1:1" x14ac:dyDescent="0.2">
      <c r="A11208" s="101"/>
    </row>
    <row r="11209" spans="1:1" x14ac:dyDescent="0.2">
      <c r="A11209" s="101"/>
    </row>
    <row r="11210" spans="1:1" x14ac:dyDescent="0.2">
      <c r="A11210" s="101"/>
    </row>
    <row r="11211" spans="1:1" x14ac:dyDescent="0.2">
      <c r="A11211" s="101"/>
    </row>
    <row r="11212" spans="1:1" x14ac:dyDescent="0.2">
      <c r="A11212" s="101"/>
    </row>
    <row r="11213" spans="1:1" x14ac:dyDescent="0.2">
      <c r="A11213" s="101"/>
    </row>
    <row r="11214" spans="1:1" x14ac:dyDescent="0.2">
      <c r="A11214" s="101"/>
    </row>
    <row r="11215" spans="1:1" x14ac:dyDescent="0.2">
      <c r="A11215" s="101"/>
    </row>
    <row r="11216" spans="1:1" x14ac:dyDescent="0.2">
      <c r="A11216" s="101"/>
    </row>
    <row r="11217" spans="1:1" x14ac:dyDescent="0.2">
      <c r="A11217" s="101"/>
    </row>
    <row r="11218" spans="1:1" x14ac:dyDescent="0.2">
      <c r="A11218" s="101"/>
    </row>
    <row r="11219" spans="1:1" x14ac:dyDescent="0.2">
      <c r="A11219" s="101"/>
    </row>
    <row r="11220" spans="1:1" x14ac:dyDescent="0.2">
      <c r="A11220" s="101"/>
    </row>
    <row r="11221" spans="1:1" x14ac:dyDescent="0.2">
      <c r="A11221" s="101"/>
    </row>
    <row r="11222" spans="1:1" x14ac:dyDescent="0.2">
      <c r="A11222" s="101"/>
    </row>
    <row r="11223" spans="1:1" x14ac:dyDescent="0.2">
      <c r="A11223" s="101"/>
    </row>
    <row r="11224" spans="1:1" x14ac:dyDescent="0.2">
      <c r="A11224" s="101"/>
    </row>
    <row r="11225" spans="1:1" x14ac:dyDescent="0.2">
      <c r="A11225" s="101"/>
    </row>
    <row r="11226" spans="1:1" x14ac:dyDescent="0.2">
      <c r="A11226" s="101"/>
    </row>
    <row r="11227" spans="1:1" x14ac:dyDescent="0.2">
      <c r="A11227" s="101"/>
    </row>
    <row r="11228" spans="1:1" x14ac:dyDescent="0.2">
      <c r="A11228" s="101"/>
    </row>
    <row r="11229" spans="1:1" x14ac:dyDescent="0.2">
      <c r="A11229" s="101"/>
    </row>
    <row r="11230" spans="1:1" x14ac:dyDescent="0.2">
      <c r="A11230" s="101"/>
    </row>
    <row r="11231" spans="1:1" x14ac:dyDescent="0.2">
      <c r="A11231" s="101"/>
    </row>
    <row r="11232" spans="1:1" x14ac:dyDescent="0.2">
      <c r="A11232" s="101"/>
    </row>
    <row r="11233" spans="1:1" x14ac:dyDescent="0.2">
      <c r="A11233" s="101"/>
    </row>
    <row r="11234" spans="1:1" x14ac:dyDescent="0.2">
      <c r="A11234" s="101"/>
    </row>
    <row r="11235" spans="1:1" x14ac:dyDescent="0.2">
      <c r="A11235" s="101"/>
    </row>
    <row r="11236" spans="1:1" x14ac:dyDescent="0.2">
      <c r="A11236" s="101"/>
    </row>
    <row r="11237" spans="1:1" x14ac:dyDescent="0.2">
      <c r="A11237" s="101"/>
    </row>
    <row r="11238" spans="1:1" x14ac:dyDescent="0.2">
      <c r="A11238" s="101"/>
    </row>
    <row r="11239" spans="1:1" x14ac:dyDescent="0.2">
      <c r="A11239" s="101"/>
    </row>
    <row r="11240" spans="1:1" x14ac:dyDescent="0.2">
      <c r="A11240" s="101"/>
    </row>
    <row r="11241" spans="1:1" x14ac:dyDescent="0.2">
      <c r="A11241" s="101"/>
    </row>
    <row r="11242" spans="1:1" x14ac:dyDescent="0.2">
      <c r="A11242" s="101"/>
    </row>
    <row r="11243" spans="1:1" x14ac:dyDescent="0.2">
      <c r="A11243" s="101"/>
    </row>
    <row r="11244" spans="1:1" x14ac:dyDescent="0.2">
      <c r="A11244" s="101"/>
    </row>
    <row r="11245" spans="1:1" x14ac:dyDescent="0.2">
      <c r="A11245" s="101"/>
    </row>
    <row r="11246" spans="1:1" x14ac:dyDescent="0.2">
      <c r="A11246" s="101"/>
    </row>
    <row r="11247" spans="1:1" x14ac:dyDescent="0.2">
      <c r="A11247" s="101"/>
    </row>
    <row r="11248" spans="1:1" x14ac:dyDescent="0.2">
      <c r="A11248" s="101"/>
    </row>
    <row r="11249" spans="1:1" x14ac:dyDescent="0.2">
      <c r="A11249" s="101"/>
    </row>
    <row r="11250" spans="1:1" x14ac:dyDescent="0.2">
      <c r="A11250" s="101"/>
    </row>
    <row r="11251" spans="1:1" x14ac:dyDescent="0.2">
      <c r="A11251" s="101"/>
    </row>
    <row r="11252" spans="1:1" x14ac:dyDescent="0.2">
      <c r="A11252" s="101"/>
    </row>
    <row r="11253" spans="1:1" x14ac:dyDescent="0.2">
      <c r="A11253" s="101"/>
    </row>
    <row r="11254" spans="1:1" x14ac:dyDescent="0.2">
      <c r="A11254" s="101"/>
    </row>
    <row r="11255" spans="1:1" x14ac:dyDescent="0.2">
      <c r="A11255" s="101"/>
    </row>
    <row r="11256" spans="1:1" x14ac:dyDescent="0.2">
      <c r="A11256" s="101"/>
    </row>
    <row r="11257" spans="1:1" x14ac:dyDescent="0.2">
      <c r="A11257" s="101"/>
    </row>
    <row r="11258" spans="1:1" x14ac:dyDescent="0.2">
      <c r="A11258" s="101"/>
    </row>
    <row r="11259" spans="1:1" x14ac:dyDescent="0.2">
      <c r="A11259" s="101"/>
    </row>
    <row r="11260" spans="1:1" x14ac:dyDescent="0.2">
      <c r="A11260" s="101"/>
    </row>
    <row r="11261" spans="1:1" x14ac:dyDescent="0.2">
      <c r="A11261" s="101"/>
    </row>
    <row r="11262" spans="1:1" x14ac:dyDescent="0.2">
      <c r="A11262" s="101"/>
    </row>
    <row r="11263" spans="1:1" x14ac:dyDescent="0.2">
      <c r="A11263" s="101"/>
    </row>
    <row r="11264" spans="1:1" x14ac:dyDescent="0.2">
      <c r="A11264" s="101"/>
    </row>
    <row r="11265" spans="1:1" x14ac:dyDescent="0.2">
      <c r="A11265" s="101"/>
    </row>
    <row r="11266" spans="1:1" x14ac:dyDescent="0.2">
      <c r="A11266" s="101"/>
    </row>
    <row r="11267" spans="1:1" x14ac:dyDescent="0.2">
      <c r="A11267" s="101"/>
    </row>
    <row r="11268" spans="1:1" x14ac:dyDescent="0.2">
      <c r="A11268" s="101"/>
    </row>
    <row r="11269" spans="1:1" x14ac:dyDescent="0.2">
      <c r="A11269" s="101"/>
    </row>
    <row r="11270" spans="1:1" x14ac:dyDescent="0.2">
      <c r="A11270" s="101"/>
    </row>
    <row r="11271" spans="1:1" x14ac:dyDescent="0.2">
      <c r="A11271" s="101"/>
    </row>
    <row r="11272" spans="1:1" x14ac:dyDescent="0.2">
      <c r="A11272" s="101"/>
    </row>
    <row r="11273" spans="1:1" x14ac:dyDescent="0.2">
      <c r="A11273" s="101"/>
    </row>
    <row r="11274" spans="1:1" x14ac:dyDescent="0.2">
      <c r="A11274" s="101"/>
    </row>
    <row r="11275" spans="1:1" x14ac:dyDescent="0.2">
      <c r="A11275" s="101"/>
    </row>
    <row r="11276" spans="1:1" x14ac:dyDescent="0.2">
      <c r="A11276" s="101"/>
    </row>
    <row r="11277" spans="1:1" x14ac:dyDescent="0.2">
      <c r="A11277" s="101"/>
    </row>
    <row r="11278" spans="1:1" x14ac:dyDescent="0.2">
      <c r="A11278" s="101"/>
    </row>
    <row r="11279" spans="1:1" x14ac:dyDescent="0.2">
      <c r="A11279" s="101"/>
    </row>
    <row r="11280" spans="1:1" x14ac:dyDescent="0.2">
      <c r="A11280" s="101"/>
    </row>
    <row r="11281" spans="1:1" x14ac:dyDescent="0.2">
      <c r="A11281" s="101"/>
    </row>
    <row r="11282" spans="1:1" x14ac:dyDescent="0.2">
      <c r="A11282" s="101"/>
    </row>
    <row r="11283" spans="1:1" x14ac:dyDescent="0.2">
      <c r="A11283" s="101"/>
    </row>
    <row r="11284" spans="1:1" x14ac:dyDescent="0.2">
      <c r="A11284" s="101"/>
    </row>
    <row r="11285" spans="1:1" x14ac:dyDescent="0.2">
      <c r="A11285" s="101"/>
    </row>
    <row r="11286" spans="1:1" x14ac:dyDescent="0.2">
      <c r="A11286" s="101"/>
    </row>
    <row r="11287" spans="1:1" x14ac:dyDescent="0.2">
      <c r="A11287" s="101"/>
    </row>
    <row r="11288" spans="1:1" x14ac:dyDescent="0.2">
      <c r="A11288" s="101"/>
    </row>
    <row r="11289" spans="1:1" x14ac:dyDescent="0.2">
      <c r="A11289" s="101"/>
    </row>
    <row r="11290" spans="1:1" x14ac:dyDescent="0.2">
      <c r="A11290" s="101"/>
    </row>
    <row r="11291" spans="1:1" x14ac:dyDescent="0.2">
      <c r="A11291" s="101"/>
    </row>
    <row r="11292" spans="1:1" x14ac:dyDescent="0.2">
      <c r="A11292" s="101"/>
    </row>
    <row r="11293" spans="1:1" x14ac:dyDescent="0.2">
      <c r="A11293" s="101"/>
    </row>
    <row r="11294" spans="1:1" x14ac:dyDescent="0.2">
      <c r="A11294" s="101"/>
    </row>
    <row r="11295" spans="1:1" x14ac:dyDescent="0.2">
      <c r="A11295" s="101"/>
    </row>
    <row r="11296" spans="1:1" x14ac:dyDescent="0.2">
      <c r="A11296" s="101"/>
    </row>
    <row r="11297" spans="1:1" x14ac:dyDescent="0.2">
      <c r="A11297" s="101"/>
    </row>
    <row r="11298" spans="1:1" x14ac:dyDescent="0.2">
      <c r="A11298" s="101"/>
    </row>
    <row r="11299" spans="1:1" x14ac:dyDescent="0.2">
      <c r="A11299" s="101"/>
    </row>
    <row r="11300" spans="1:1" x14ac:dyDescent="0.2">
      <c r="A11300" s="101"/>
    </row>
    <row r="11301" spans="1:1" x14ac:dyDescent="0.2">
      <c r="A11301" s="101"/>
    </row>
    <row r="11302" spans="1:1" x14ac:dyDescent="0.2">
      <c r="A11302" s="101"/>
    </row>
    <row r="11303" spans="1:1" x14ac:dyDescent="0.2">
      <c r="A11303" s="101"/>
    </row>
    <row r="11304" spans="1:1" x14ac:dyDescent="0.2">
      <c r="A11304" s="101"/>
    </row>
    <row r="11305" spans="1:1" x14ac:dyDescent="0.2">
      <c r="A11305" s="101"/>
    </row>
    <row r="11306" spans="1:1" x14ac:dyDescent="0.2">
      <c r="A11306" s="101"/>
    </row>
    <row r="11307" spans="1:1" x14ac:dyDescent="0.2">
      <c r="A11307" s="101"/>
    </row>
    <row r="11308" spans="1:1" x14ac:dyDescent="0.2">
      <c r="A11308" s="101"/>
    </row>
    <row r="11309" spans="1:1" x14ac:dyDescent="0.2">
      <c r="A11309" s="101"/>
    </row>
    <row r="11310" spans="1:1" x14ac:dyDescent="0.2">
      <c r="A11310" s="101"/>
    </row>
    <row r="11311" spans="1:1" x14ac:dyDescent="0.2">
      <c r="A11311" s="101"/>
    </row>
    <row r="11312" spans="1:1" x14ac:dyDescent="0.2">
      <c r="A11312" s="101"/>
    </row>
    <row r="11313" spans="1:1" x14ac:dyDescent="0.2">
      <c r="A11313" s="101"/>
    </row>
    <row r="11314" spans="1:1" x14ac:dyDescent="0.2">
      <c r="A11314" s="101"/>
    </row>
    <row r="11315" spans="1:1" x14ac:dyDescent="0.2">
      <c r="A11315" s="101"/>
    </row>
    <row r="11316" spans="1:1" x14ac:dyDescent="0.2">
      <c r="A11316" s="101"/>
    </row>
    <row r="11317" spans="1:1" x14ac:dyDescent="0.2">
      <c r="A11317" s="101"/>
    </row>
    <row r="11318" spans="1:1" x14ac:dyDescent="0.2">
      <c r="A11318" s="101"/>
    </row>
    <row r="11319" spans="1:1" x14ac:dyDescent="0.2">
      <c r="A11319" s="101"/>
    </row>
    <row r="11320" spans="1:1" x14ac:dyDescent="0.2">
      <c r="A11320" s="101"/>
    </row>
    <row r="11321" spans="1:1" x14ac:dyDescent="0.2">
      <c r="A11321" s="101"/>
    </row>
    <row r="11322" spans="1:1" x14ac:dyDescent="0.2">
      <c r="A11322" s="101"/>
    </row>
    <row r="11323" spans="1:1" x14ac:dyDescent="0.2">
      <c r="A11323" s="101"/>
    </row>
    <row r="11324" spans="1:1" x14ac:dyDescent="0.2">
      <c r="A11324" s="101"/>
    </row>
    <row r="11325" spans="1:1" x14ac:dyDescent="0.2">
      <c r="A11325" s="101"/>
    </row>
    <row r="11326" spans="1:1" x14ac:dyDescent="0.2">
      <c r="A11326" s="101"/>
    </row>
    <row r="11327" spans="1:1" x14ac:dyDescent="0.2">
      <c r="A11327" s="101"/>
    </row>
    <row r="11328" spans="1:1" x14ac:dyDescent="0.2">
      <c r="A11328" s="101"/>
    </row>
    <row r="11329" spans="1:1" x14ac:dyDescent="0.2">
      <c r="A11329" s="101"/>
    </row>
    <row r="11330" spans="1:1" x14ac:dyDescent="0.2">
      <c r="A11330" s="101"/>
    </row>
    <row r="11331" spans="1:1" x14ac:dyDescent="0.2">
      <c r="A11331" s="101"/>
    </row>
    <row r="11332" spans="1:1" x14ac:dyDescent="0.2">
      <c r="A11332" s="101"/>
    </row>
    <row r="11333" spans="1:1" x14ac:dyDescent="0.2">
      <c r="A11333" s="101"/>
    </row>
    <row r="11334" spans="1:1" x14ac:dyDescent="0.2">
      <c r="A11334" s="101"/>
    </row>
    <row r="11335" spans="1:1" x14ac:dyDescent="0.2">
      <c r="A11335" s="101"/>
    </row>
    <row r="11336" spans="1:1" x14ac:dyDescent="0.2">
      <c r="A11336" s="101"/>
    </row>
    <row r="11337" spans="1:1" x14ac:dyDescent="0.2">
      <c r="A11337" s="101"/>
    </row>
    <row r="11338" spans="1:1" x14ac:dyDescent="0.2">
      <c r="A11338" s="101"/>
    </row>
    <row r="11339" spans="1:1" x14ac:dyDescent="0.2">
      <c r="A11339" s="101"/>
    </row>
    <row r="11340" spans="1:1" x14ac:dyDescent="0.2">
      <c r="A11340" s="101"/>
    </row>
    <row r="11341" spans="1:1" x14ac:dyDescent="0.2">
      <c r="A11341" s="101"/>
    </row>
    <row r="11342" spans="1:1" x14ac:dyDescent="0.2">
      <c r="A11342" s="101"/>
    </row>
    <row r="11343" spans="1:1" x14ac:dyDescent="0.2">
      <c r="A11343" s="101"/>
    </row>
    <row r="11344" spans="1:1" x14ac:dyDescent="0.2">
      <c r="A11344" s="101"/>
    </row>
    <row r="11345" spans="1:1" x14ac:dyDescent="0.2">
      <c r="A11345" s="101"/>
    </row>
    <row r="11346" spans="1:1" x14ac:dyDescent="0.2">
      <c r="A11346" s="101"/>
    </row>
    <row r="11347" spans="1:1" x14ac:dyDescent="0.2">
      <c r="A11347" s="101"/>
    </row>
    <row r="11348" spans="1:1" x14ac:dyDescent="0.2">
      <c r="A11348" s="101"/>
    </row>
    <row r="11349" spans="1:1" x14ac:dyDescent="0.2">
      <c r="A11349" s="101"/>
    </row>
    <row r="11350" spans="1:1" x14ac:dyDescent="0.2">
      <c r="A11350" s="101"/>
    </row>
    <row r="11351" spans="1:1" x14ac:dyDescent="0.2">
      <c r="A11351" s="101"/>
    </row>
    <row r="11352" spans="1:1" x14ac:dyDescent="0.2">
      <c r="A11352" s="101"/>
    </row>
    <row r="11353" spans="1:1" x14ac:dyDescent="0.2">
      <c r="A11353" s="101"/>
    </row>
    <row r="11354" spans="1:1" x14ac:dyDescent="0.2">
      <c r="A11354" s="101"/>
    </row>
    <row r="11355" spans="1:1" x14ac:dyDescent="0.2">
      <c r="A11355" s="101"/>
    </row>
    <row r="11356" spans="1:1" x14ac:dyDescent="0.2">
      <c r="A11356" s="101"/>
    </row>
    <row r="11357" spans="1:1" x14ac:dyDescent="0.2">
      <c r="A11357" s="101"/>
    </row>
    <row r="11358" spans="1:1" x14ac:dyDescent="0.2">
      <c r="A11358" s="101"/>
    </row>
    <row r="11359" spans="1:1" x14ac:dyDescent="0.2">
      <c r="A11359" s="101"/>
    </row>
    <row r="11360" spans="1:1" x14ac:dyDescent="0.2">
      <c r="A11360" s="101"/>
    </row>
    <row r="11361" spans="1:1" x14ac:dyDescent="0.2">
      <c r="A11361" s="101"/>
    </row>
    <row r="11362" spans="1:1" x14ac:dyDescent="0.2">
      <c r="A11362" s="101"/>
    </row>
    <row r="11363" spans="1:1" x14ac:dyDescent="0.2">
      <c r="A11363" s="101"/>
    </row>
    <row r="11364" spans="1:1" x14ac:dyDescent="0.2">
      <c r="A11364" s="101"/>
    </row>
    <row r="11365" spans="1:1" x14ac:dyDescent="0.2">
      <c r="A11365" s="101"/>
    </row>
    <row r="11366" spans="1:1" x14ac:dyDescent="0.2">
      <c r="A11366" s="101"/>
    </row>
    <row r="11367" spans="1:1" x14ac:dyDescent="0.2">
      <c r="A11367" s="101"/>
    </row>
    <row r="11368" spans="1:1" x14ac:dyDescent="0.2">
      <c r="A11368" s="101"/>
    </row>
    <row r="11369" spans="1:1" x14ac:dyDescent="0.2">
      <c r="A11369" s="101"/>
    </row>
    <row r="11370" spans="1:1" x14ac:dyDescent="0.2">
      <c r="A11370" s="101"/>
    </row>
    <row r="11371" spans="1:1" x14ac:dyDescent="0.2">
      <c r="A11371" s="101"/>
    </row>
    <row r="11372" spans="1:1" x14ac:dyDescent="0.2">
      <c r="A11372" s="101"/>
    </row>
    <row r="11373" spans="1:1" x14ac:dyDescent="0.2">
      <c r="A11373" s="101"/>
    </row>
    <row r="11374" spans="1:1" x14ac:dyDescent="0.2">
      <c r="A11374" s="101"/>
    </row>
    <row r="11375" spans="1:1" x14ac:dyDescent="0.2">
      <c r="A11375" s="101"/>
    </row>
    <row r="11376" spans="1:1" x14ac:dyDescent="0.2">
      <c r="A11376" s="101"/>
    </row>
    <row r="11377" spans="1:1" x14ac:dyDescent="0.2">
      <c r="A11377" s="101"/>
    </row>
    <row r="11378" spans="1:1" x14ac:dyDescent="0.2">
      <c r="A11378" s="101"/>
    </row>
    <row r="11379" spans="1:1" x14ac:dyDescent="0.2">
      <c r="A11379" s="101"/>
    </row>
    <row r="11380" spans="1:1" x14ac:dyDescent="0.2">
      <c r="A11380" s="101"/>
    </row>
    <row r="11381" spans="1:1" x14ac:dyDescent="0.2">
      <c r="A11381" s="101"/>
    </row>
    <row r="11382" spans="1:1" x14ac:dyDescent="0.2">
      <c r="A11382" s="101"/>
    </row>
    <row r="11383" spans="1:1" x14ac:dyDescent="0.2">
      <c r="A11383" s="101"/>
    </row>
    <row r="11384" spans="1:1" x14ac:dyDescent="0.2">
      <c r="A11384" s="101"/>
    </row>
    <row r="11385" spans="1:1" x14ac:dyDescent="0.2">
      <c r="A11385" s="101"/>
    </row>
    <row r="11386" spans="1:1" x14ac:dyDescent="0.2">
      <c r="A11386" s="101"/>
    </row>
    <row r="11387" spans="1:1" x14ac:dyDescent="0.2">
      <c r="A11387" s="101"/>
    </row>
    <row r="11388" spans="1:1" x14ac:dyDescent="0.2">
      <c r="A11388" s="101"/>
    </row>
    <row r="11389" spans="1:1" x14ac:dyDescent="0.2">
      <c r="A11389" s="101"/>
    </row>
    <row r="11390" spans="1:1" x14ac:dyDescent="0.2">
      <c r="A11390" s="101"/>
    </row>
    <row r="11391" spans="1:1" x14ac:dyDescent="0.2">
      <c r="A11391" s="101"/>
    </row>
    <row r="11392" spans="1:1" x14ac:dyDescent="0.2">
      <c r="A11392" s="101"/>
    </row>
    <row r="11393" spans="1:1" x14ac:dyDescent="0.2">
      <c r="A11393" s="101"/>
    </row>
    <row r="11394" spans="1:1" x14ac:dyDescent="0.2">
      <c r="A11394" s="101"/>
    </row>
    <row r="11395" spans="1:1" x14ac:dyDescent="0.2">
      <c r="A11395" s="101"/>
    </row>
    <row r="11396" spans="1:1" x14ac:dyDescent="0.2">
      <c r="A11396" s="101"/>
    </row>
    <row r="11397" spans="1:1" x14ac:dyDescent="0.2">
      <c r="A11397" s="101"/>
    </row>
    <row r="11398" spans="1:1" x14ac:dyDescent="0.2">
      <c r="A11398" s="101"/>
    </row>
    <row r="11399" spans="1:1" x14ac:dyDescent="0.2">
      <c r="A11399" s="101"/>
    </row>
    <row r="11400" spans="1:1" x14ac:dyDescent="0.2">
      <c r="A11400" s="101"/>
    </row>
    <row r="11401" spans="1:1" x14ac:dyDescent="0.2">
      <c r="A11401" s="101"/>
    </row>
    <row r="11402" spans="1:1" x14ac:dyDescent="0.2">
      <c r="A11402" s="101"/>
    </row>
    <row r="11403" spans="1:1" x14ac:dyDescent="0.2">
      <c r="A11403" s="101"/>
    </row>
    <row r="11404" spans="1:1" x14ac:dyDescent="0.2">
      <c r="A11404" s="101"/>
    </row>
    <row r="11405" spans="1:1" x14ac:dyDescent="0.2">
      <c r="A11405" s="101"/>
    </row>
    <row r="11406" spans="1:1" x14ac:dyDescent="0.2">
      <c r="A11406" s="101"/>
    </row>
    <row r="11407" spans="1:1" x14ac:dyDescent="0.2">
      <c r="A11407" s="101"/>
    </row>
    <row r="11408" spans="1:1" x14ac:dyDescent="0.2">
      <c r="A11408" s="101"/>
    </row>
    <row r="11409" spans="1:1" x14ac:dyDescent="0.2">
      <c r="A11409" s="101"/>
    </row>
    <row r="11410" spans="1:1" x14ac:dyDescent="0.2">
      <c r="A11410" s="101"/>
    </row>
    <row r="11411" spans="1:1" x14ac:dyDescent="0.2">
      <c r="A11411" s="101"/>
    </row>
    <row r="11412" spans="1:1" x14ac:dyDescent="0.2">
      <c r="A11412" s="101"/>
    </row>
    <row r="11413" spans="1:1" x14ac:dyDescent="0.2">
      <c r="A11413" s="101"/>
    </row>
    <row r="11414" spans="1:1" x14ac:dyDescent="0.2">
      <c r="A11414" s="101"/>
    </row>
    <row r="11415" spans="1:1" x14ac:dyDescent="0.2">
      <c r="A11415" s="101"/>
    </row>
    <row r="11416" spans="1:1" x14ac:dyDescent="0.2">
      <c r="A11416" s="101"/>
    </row>
    <row r="11417" spans="1:1" x14ac:dyDescent="0.2">
      <c r="A11417" s="101"/>
    </row>
    <row r="11418" spans="1:1" x14ac:dyDescent="0.2">
      <c r="A11418" s="101"/>
    </row>
    <row r="11419" spans="1:1" x14ac:dyDescent="0.2">
      <c r="A11419" s="101"/>
    </row>
    <row r="11420" spans="1:1" x14ac:dyDescent="0.2">
      <c r="A11420" s="101"/>
    </row>
    <row r="11421" spans="1:1" x14ac:dyDescent="0.2">
      <c r="A11421" s="101"/>
    </row>
    <row r="11422" spans="1:1" x14ac:dyDescent="0.2">
      <c r="A11422" s="101"/>
    </row>
    <row r="11423" spans="1:1" x14ac:dyDescent="0.2">
      <c r="A11423" s="101"/>
    </row>
    <row r="11424" spans="1:1" x14ac:dyDescent="0.2">
      <c r="A11424" s="101"/>
    </row>
    <row r="11425" spans="1:1" x14ac:dyDescent="0.2">
      <c r="A11425" s="101"/>
    </row>
    <row r="11426" spans="1:1" x14ac:dyDescent="0.2">
      <c r="A11426" s="101"/>
    </row>
    <row r="11427" spans="1:1" x14ac:dyDescent="0.2">
      <c r="A11427" s="101"/>
    </row>
    <row r="11428" spans="1:1" x14ac:dyDescent="0.2">
      <c r="A11428" s="101"/>
    </row>
    <row r="11429" spans="1:1" x14ac:dyDescent="0.2">
      <c r="A11429" s="101"/>
    </row>
    <row r="11430" spans="1:1" x14ac:dyDescent="0.2">
      <c r="A11430" s="101"/>
    </row>
    <row r="11431" spans="1:1" x14ac:dyDescent="0.2">
      <c r="A11431" s="101"/>
    </row>
    <row r="11432" spans="1:1" x14ac:dyDescent="0.2">
      <c r="A11432" s="101"/>
    </row>
    <row r="11433" spans="1:1" x14ac:dyDescent="0.2">
      <c r="A11433" s="101"/>
    </row>
    <row r="11434" spans="1:1" x14ac:dyDescent="0.2">
      <c r="A11434" s="101"/>
    </row>
    <row r="11435" spans="1:1" x14ac:dyDescent="0.2">
      <c r="A11435" s="101"/>
    </row>
    <row r="11436" spans="1:1" x14ac:dyDescent="0.2">
      <c r="A11436" s="101"/>
    </row>
    <row r="11437" spans="1:1" x14ac:dyDescent="0.2">
      <c r="A11437" s="101"/>
    </row>
    <row r="11438" spans="1:1" x14ac:dyDescent="0.2">
      <c r="A11438" s="101"/>
    </row>
    <row r="11439" spans="1:1" x14ac:dyDescent="0.2">
      <c r="A11439" s="101"/>
    </row>
    <row r="11440" spans="1:1" x14ac:dyDescent="0.2">
      <c r="A11440" s="101"/>
    </row>
    <row r="11441" spans="1:1" x14ac:dyDescent="0.2">
      <c r="A11441" s="101"/>
    </row>
    <row r="11442" spans="1:1" x14ac:dyDescent="0.2">
      <c r="A11442" s="101"/>
    </row>
    <row r="11443" spans="1:1" x14ac:dyDescent="0.2">
      <c r="A11443" s="101"/>
    </row>
    <row r="11444" spans="1:1" x14ac:dyDescent="0.2">
      <c r="A11444" s="101"/>
    </row>
    <row r="11445" spans="1:1" x14ac:dyDescent="0.2">
      <c r="A11445" s="101"/>
    </row>
    <row r="11446" spans="1:1" x14ac:dyDescent="0.2">
      <c r="A11446" s="101"/>
    </row>
    <row r="11447" spans="1:1" x14ac:dyDescent="0.2">
      <c r="A11447" s="101"/>
    </row>
    <row r="11448" spans="1:1" x14ac:dyDescent="0.2">
      <c r="A11448" s="101"/>
    </row>
    <row r="11449" spans="1:1" x14ac:dyDescent="0.2">
      <c r="A11449" s="101"/>
    </row>
    <row r="11450" spans="1:1" x14ac:dyDescent="0.2">
      <c r="A11450" s="101"/>
    </row>
    <row r="11451" spans="1:1" x14ac:dyDescent="0.2">
      <c r="A11451" s="101"/>
    </row>
    <row r="11452" spans="1:1" x14ac:dyDescent="0.2">
      <c r="A11452" s="101"/>
    </row>
    <row r="11453" spans="1:1" x14ac:dyDescent="0.2">
      <c r="A11453" s="101"/>
    </row>
    <row r="11454" spans="1:1" x14ac:dyDescent="0.2">
      <c r="A11454" s="101"/>
    </row>
    <row r="11455" spans="1:1" x14ac:dyDescent="0.2">
      <c r="A11455" s="101"/>
    </row>
    <row r="11456" spans="1:1" x14ac:dyDescent="0.2">
      <c r="A11456" s="101"/>
    </row>
    <row r="11457" spans="1:1" x14ac:dyDescent="0.2">
      <c r="A11457" s="101"/>
    </row>
    <row r="11458" spans="1:1" x14ac:dyDescent="0.2">
      <c r="A11458" s="101"/>
    </row>
    <row r="11459" spans="1:1" x14ac:dyDescent="0.2">
      <c r="A11459" s="101"/>
    </row>
    <row r="11460" spans="1:1" x14ac:dyDescent="0.2">
      <c r="A11460" s="101"/>
    </row>
    <row r="11461" spans="1:1" x14ac:dyDescent="0.2">
      <c r="A11461" s="101"/>
    </row>
    <row r="11462" spans="1:1" x14ac:dyDescent="0.2">
      <c r="A11462" s="101"/>
    </row>
    <row r="11463" spans="1:1" x14ac:dyDescent="0.2">
      <c r="A11463" s="101"/>
    </row>
    <row r="11464" spans="1:1" x14ac:dyDescent="0.2">
      <c r="A11464" s="101"/>
    </row>
    <row r="11465" spans="1:1" x14ac:dyDescent="0.2">
      <c r="A11465" s="101"/>
    </row>
    <row r="11466" spans="1:1" x14ac:dyDescent="0.2">
      <c r="A11466" s="101"/>
    </row>
    <row r="11467" spans="1:1" x14ac:dyDescent="0.2">
      <c r="A11467" s="101"/>
    </row>
    <row r="11468" spans="1:1" x14ac:dyDescent="0.2">
      <c r="A11468" s="101"/>
    </row>
    <row r="11469" spans="1:1" x14ac:dyDescent="0.2">
      <c r="A11469" s="101"/>
    </row>
    <row r="11470" spans="1:1" x14ac:dyDescent="0.2">
      <c r="A11470" s="101"/>
    </row>
    <row r="11471" spans="1:1" x14ac:dyDescent="0.2">
      <c r="A11471" s="101"/>
    </row>
    <row r="11472" spans="1:1" x14ac:dyDescent="0.2">
      <c r="A11472" s="101"/>
    </row>
    <row r="11473" spans="1:1" x14ac:dyDescent="0.2">
      <c r="A11473" s="101"/>
    </row>
    <row r="11474" spans="1:1" x14ac:dyDescent="0.2">
      <c r="A11474" s="101"/>
    </row>
    <row r="11475" spans="1:1" x14ac:dyDescent="0.2">
      <c r="A11475" s="101"/>
    </row>
    <row r="11476" spans="1:1" x14ac:dyDescent="0.2">
      <c r="A11476" s="101"/>
    </row>
    <row r="11477" spans="1:1" x14ac:dyDescent="0.2">
      <c r="A11477" s="101"/>
    </row>
    <row r="11478" spans="1:1" x14ac:dyDescent="0.2">
      <c r="A11478" s="101"/>
    </row>
    <row r="11479" spans="1:1" x14ac:dyDescent="0.2">
      <c r="A11479" s="101"/>
    </row>
    <row r="11480" spans="1:1" x14ac:dyDescent="0.2">
      <c r="A11480" s="101"/>
    </row>
    <row r="11481" spans="1:1" x14ac:dyDescent="0.2">
      <c r="A11481" s="101"/>
    </row>
    <row r="11482" spans="1:1" x14ac:dyDescent="0.2">
      <c r="A11482" s="101"/>
    </row>
    <row r="11483" spans="1:1" x14ac:dyDescent="0.2">
      <c r="A11483" s="101"/>
    </row>
    <row r="11484" spans="1:1" x14ac:dyDescent="0.2">
      <c r="A11484" s="101"/>
    </row>
    <row r="11485" spans="1:1" x14ac:dyDescent="0.2">
      <c r="A11485" s="101"/>
    </row>
    <row r="11486" spans="1:1" x14ac:dyDescent="0.2">
      <c r="A11486" s="101"/>
    </row>
    <row r="11487" spans="1:1" x14ac:dyDescent="0.2">
      <c r="A11487" s="101"/>
    </row>
    <row r="11488" spans="1:1" x14ac:dyDescent="0.2">
      <c r="A11488" s="101"/>
    </row>
    <row r="11489" spans="1:1" x14ac:dyDescent="0.2">
      <c r="A11489" s="101"/>
    </row>
    <row r="11490" spans="1:1" x14ac:dyDescent="0.2">
      <c r="A11490" s="101"/>
    </row>
    <row r="11491" spans="1:1" x14ac:dyDescent="0.2">
      <c r="A11491" s="101"/>
    </row>
    <row r="11492" spans="1:1" x14ac:dyDescent="0.2">
      <c r="A11492" s="101"/>
    </row>
    <row r="11493" spans="1:1" x14ac:dyDescent="0.2">
      <c r="A11493" s="101"/>
    </row>
    <row r="11494" spans="1:1" x14ac:dyDescent="0.2">
      <c r="A11494" s="101"/>
    </row>
    <row r="11495" spans="1:1" x14ac:dyDescent="0.2">
      <c r="A11495" s="101"/>
    </row>
    <row r="11496" spans="1:1" x14ac:dyDescent="0.2">
      <c r="A11496" s="101"/>
    </row>
    <row r="11497" spans="1:1" x14ac:dyDescent="0.2">
      <c r="A11497" s="101"/>
    </row>
    <row r="11498" spans="1:1" x14ac:dyDescent="0.2">
      <c r="A11498" s="101"/>
    </row>
    <row r="11499" spans="1:1" x14ac:dyDescent="0.2">
      <c r="A11499" s="101"/>
    </row>
    <row r="11500" spans="1:1" x14ac:dyDescent="0.2">
      <c r="A11500" s="101"/>
    </row>
    <row r="11501" spans="1:1" x14ac:dyDescent="0.2">
      <c r="A11501" s="101"/>
    </row>
    <row r="11502" spans="1:1" x14ac:dyDescent="0.2">
      <c r="A11502" s="101"/>
    </row>
    <row r="11503" spans="1:1" x14ac:dyDescent="0.2">
      <c r="A11503" s="101"/>
    </row>
    <row r="11504" spans="1:1" x14ac:dyDescent="0.2">
      <c r="A11504" s="101"/>
    </row>
    <row r="11505" spans="1:1" x14ac:dyDescent="0.2">
      <c r="A11505" s="101"/>
    </row>
    <row r="11506" spans="1:1" x14ac:dyDescent="0.2">
      <c r="A11506" s="101"/>
    </row>
    <row r="11507" spans="1:1" x14ac:dyDescent="0.2">
      <c r="A11507" s="101"/>
    </row>
    <row r="11508" spans="1:1" x14ac:dyDescent="0.2">
      <c r="A11508" s="101"/>
    </row>
    <row r="11509" spans="1:1" x14ac:dyDescent="0.2">
      <c r="A11509" s="101"/>
    </row>
    <row r="11510" spans="1:1" x14ac:dyDescent="0.2">
      <c r="A11510" s="101"/>
    </row>
    <row r="11511" spans="1:1" x14ac:dyDescent="0.2">
      <c r="A11511" s="101"/>
    </row>
    <row r="11512" spans="1:1" x14ac:dyDescent="0.2">
      <c r="A11512" s="101"/>
    </row>
    <row r="11513" spans="1:1" x14ac:dyDescent="0.2">
      <c r="A11513" s="101"/>
    </row>
    <row r="11514" spans="1:1" x14ac:dyDescent="0.2">
      <c r="A11514" s="101"/>
    </row>
    <row r="11515" spans="1:1" x14ac:dyDescent="0.2">
      <c r="A11515" s="101"/>
    </row>
    <row r="11516" spans="1:1" x14ac:dyDescent="0.2">
      <c r="A11516" s="101"/>
    </row>
    <row r="11517" spans="1:1" x14ac:dyDescent="0.2">
      <c r="A11517" s="101"/>
    </row>
    <row r="11518" spans="1:1" x14ac:dyDescent="0.2">
      <c r="A11518" s="101"/>
    </row>
    <row r="11519" spans="1:1" x14ac:dyDescent="0.2">
      <c r="A11519" s="101"/>
    </row>
    <row r="11520" spans="1:1" x14ac:dyDescent="0.2">
      <c r="A11520" s="101"/>
    </row>
    <row r="11521" spans="1:1" x14ac:dyDescent="0.2">
      <c r="A11521" s="101"/>
    </row>
    <row r="11522" spans="1:1" x14ac:dyDescent="0.2">
      <c r="A11522" s="101"/>
    </row>
    <row r="11523" spans="1:1" x14ac:dyDescent="0.2">
      <c r="A11523" s="101"/>
    </row>
    <row r="11524" spans="1:1" x14ac:dyDescent="0.2">
      <c r="A11524" s="101"/>
    </row>
    <row r="11525" spans="1:1" x14ac:dyDescent="0.2">
      <c r="A11525" s="101"/>
    </row>
    <row r="11526" spans="1:1" x14ac:dyDescent="0.2">
      <c r="A11526" s="101"/>
    </row>
    <row r="11527" spans="1:1" x14ac:dyDescent="0.2">
      <c r="A11527" s="101"/>
    </row>
    <row r="11528" spans="1:1" x14ac:dyDescent="0.2">
      <c r="A11528" s="101"/>
    </row>
    <row r="11529" spans="1:1" x14ac:dyDescent="0.2">
      <c r="A11529" s="101"/>
    </row>
    <row r="11530" spans="1:1" x14ac:dyDescent="0.2">
      <c r="A11530" s="101"/>
    </row>
    <row r="11531" spans="1:1" x14ac:dyDescent="0.2">
      <c r="A11531" s="101"/>
    </row>
    <row r="11532" spans="1:1" x14ac:dyDescent="0.2">
      <c r="A11532" s="101"/>
    </row>
    <row r="11533" spans="1:1" x14ac:dyDescent="0.2">
      <c r="A11533" s="101"/>
    </row>
    <row r="11534" spans="1:1" x14ac:dyDescent="0.2">
      <c r="A11534" s="101"/>
    </row>
    <row r="11535" spans="1:1" x14ac:dyDescent="0.2">
      <c r="A11535" s="101"/>
    </row>
    <row r="11536" spans="1:1" x14ac:dyDescent="0.2">
      <c r="A11536" s="101"/>
    </row>
    <row r="11537" spans="1:1" x14ac:dyDescent="0.2">
      <c r="A11537" s="101"/>
    </row>
    <row r="11538" spans="1:1" x14ac:dyDescent="0.2">
      <c r="A11538" s="101"/>
    </row>
    <row r="11539" spans="1:1" x14ac:dyDescent="0.2">
      <c r="A11539" s="101"/>
    </row>
    <row r="11540" spans="1:1" x14ac:dyDescent="0.2">
      <c r="A11540" s="101"/>
    </row>
    <row r="11541" spans="1:1" x14ac:dyDescent="0.2">
      <c r="A11541" s="101"/>
    </row>
    <row r="11542" spans="1:1" x14ac:dyDescent="0.2">
      <c r="A11542" s="101"/>
    </row>
    <row r="11543" spans="1:1" x14ac:dyDescent="0.2">
      <c r="A11543" s="101"/>
    </row>
    <row r="11544" spans="1:1" x14ac:dyDescent="0.2">
      <c r="A11544" s="101"/>
    </row>
    <row r="11545" spans="1:1" x14ac:dyDescent="0.2">
      <c r="A11545" s="101"/>
    </row>
    <row r="11546" spans="1:1" x14ac:dyDescent="0.2">
      <c r="A11546" s="101"/>
    </row>
    <row r="11547" spans="1:1" x14ac:dyDescent="0.2">
      <c r="A11547" s="101"/>
    </row>
    <row r="11548" spans="1:1" x14ac:dyDescent="0.2">
      <c r="A11548" s="101"/>
    </row>
    <row r="11549" spans="1:1" x14ac:dyDescent="0.2">
      <c r="A11549" s="101"/>
    </row>
    <row r="11550" spans="1:1" x14ac:dyDescent="0.2">
      <c r="A11550" s="101"/>
    </row>
    <row r="11551" spans="1:1" x14ac:dyDescent="0.2">
      <c r="A11551" s="101"/>
    </row>
    <row r="11552" spans="1:1" x14ac:dyDescent="0.2">
      <c r="A11552" s="101"/>
    </row>
    <row r="11553" spans="1:1" x14ac:dyDescent="0.2">
      <c r="A11553" s="101"/>
    </row>
    <row r="11554" spans="1:1" x14ac:dyDescent="0.2">
      <c r="A11554" s="101"/>
    </row>
    <row r="11555" spans="1:1" x14ac:dyDescent="0.2">
      <c r="A11555" s="101"/>
    </row>
    <row r="11556" spans="1:1" x14ac:dyDescent="0.2">
      <c r="A11556" s="101"/>
    </row>
    <row r="11557" spans="1:1" x14ac:dyDescent="0.2">
      <c r="A11557" s="101"/>
    </row>
    <row r="11558" spans="1:1" x14ac:dyDescent="0.2">
      <c r="A11558" s="101"/>
    </row>
    <row r="11559" spans="1:1" x14ac:dyDescent="0.2">
      <c r="A11559" s="101"/>
    </row>
    <row r="11560" spans="1:1" x14ac:dyDescent="0.2">
      <c r="A11560" s="101"/>
    </row>
    <row r="11561" spans="1:1" x14ac:dyDescent="0.2">
      <c r="A11561" s="101"/>
    </row>
    <row r="11562" spans="1:1" x14ac:dyDescent="0.2">
      <c r="A11562" s="101"/>
    </row>
    <row r="11563" spans="1:1" x14ac:dyDescent="0.2">
      <c r="A11563" s="101"/>
    </row>
    <row r="11564" spans="1:1" x14ac:dyDescent="0.2">
      <c r="A11564" s="101"/>
    </row>
    <row r="11565" spans="1:1" x14ac:dyDescent="0.2">
      <c r="A11565" s="101"/>
    </row>
    <row r="11566" spans="1:1" x14ac:dyDescent="0.2">
      <c r="A11566" s="101"/>
    </row>
    <row r="11567" spans="1:1" x14ac:dyDescent="0.2">
      <c r="A11567" s="101"/>
    </row>
    <row r="11568" spans="1:1" x14ac:dyDescent="0.2">
      <c r="A11568" s="101"/>
    </row>
    <row r="11569" spans="1:1" x14ac:dyDescent="0.2">
      <c r="A11569" s="101"/>
    </row>
    <row r="11570" spans="1:1" x14ac:dyDescent="0.2">
      <c r="A11570" s="101"/>
    </row>
    <row r="11571" spans="1:1" x14ac:dyDescent="0.2">
      <c r="A11571" s="101"/>
    </row>
    <row r="11572" spans="1:1" x14ac:dyDescent="0.2">
      <c r="A11572" s="101"/>
    </row>
    <row r="11573" spans="1:1" x14ac:dyDescent="0.2">
      <c r="A11573" s="101"/>
    </row>
    <row r="11574" spans="1:1" x14ac:dyDescent="0.2">
      <c r="A11574" s="101"/>
    </row>
    <row r="11575" spans="1:1" x14ac:dyDescent="0.2">
      <c r="A11575" s="101"/>
    </row>
    <row r="11576" spans="1:1" x14ac:dyDescent="0.2">
      <c r="A11576" s="101"/>
    </row>
    <row r="11577" spans="1:1" x14ac:dyDescent="0.2">
      <c r="A11577" s="101"/>
    </row>
    <row r="11578" spans="1:1" x14ac:dyDescent="0.2">
      <c r="A11578" s="101"/>
    </row>
    <row r="11579" spans="1:1" x14ac:dyDescent="0.2">
      <c r="A11579" s="101"/>
    </row>
    <row r="11580" spans="1:1" x14ac:dyDescent="0.2">
      <c r="A11580" s="101"/>
    </row>
    <row r="11581" spans="1:1" x14ac:dyDescent="0.2">
      <c r="A11581" s="101"/>
    </row>
    <row r="11582" spans="1:1" x14ac:dyDescent="0.2">
      <c r="A11582" s="101"/>
    </row>
    <row r="11583" spans="1:1" x14ac:dyDescent="0.2">
      <c r="A11583" s="101"/>
    </row>
    <row r="11584" spans="1:1" x14ac:dyDescent="0.2">
      <c r="A11584" s="101"/>
    </row>
    <row r="11585" spans="1:1" x14ac:dyDescent="0.2">
      <c r="A11585" s="101"/>
    </row>
    <row r="11586" spans="1:1" x14ac:dyDescent="0.2">
      <c r="A11586" s="101"/>
    </row>
    <row r="11587" spans="1:1" x14ac:dyDescent="0.2">
      <c r="A11587" s="101"/>
    </row>
    <row r="11588" spans="1:1" x14ac:dyDescent="0.2">
      <c r="A11588" s="101"/>
    </row>
    <row r="11589" spans="1:1" x14ac:dyDescent="0.2">
      <c r="A11589" s="101"/>
    </row>
    <row r="11590" spans="1:1" x14ac:dyDescent="0.2">
      <c r="A11590" s="101"/>
    </row>
    <row r="11591" spans="1:1" x14ac:dyDescent="0.2">
      <c r="A11591" s="101"/>
    </row>
    <row r="11592" spans="1:1" x14ac:dyDescent="0.2">
      <c r="A11592" s="101"/>
    </row>
    <row r="11593" spans="1:1" x14ac:dyDescent="0.2">
      <c r="A11593" s="101"/>
    </row>
    <row r="11594" spans="1:1" x14ac:dyDescent="0.2">
      <c r="A11594" s="101"/>
    </row>
    <row r="11595" spans="1:1" x14ac:dyDescent="0.2">
      <c r="A11595" s="101"/>
    </row>
    <row r="11596" spans="1:1" x14ac:dyDescent="0.2">
      <c r="A11596" s="101"/>
    </row>
    <row r="11597" spans="1:1" x14ac:dyDescent="0.2">
      <c r="A11597" s="101"/>
    </row>
    <row r="11598" spans="1:1" x14ac:dyDescent="0.2">
      <c r="A11598" s="101"/>
    </row>
    <row r="11599" spans="1:1" x14ac:dyDescent="0.2">
      <c r="A11599" s="101"/>
    </row>
    <row r="11600" spans="1:1" x14ac:dyDescent="0.2">
      <c r="A11600" s="101"/>
    </row>
    <row r="11601" spans="1:1" x14ac:dyDescent="0.2">
      <c r="A11601" s="101"/>
    </row>
    <row r="11602" spans="1:1" x14ac:dyDescent="0.2">
      <c r="A11602" s="101"/>
    </row>
    <row r="11603" spans="1:1" x14ac:dyDescent="0.2">
      <c r="A11603" s="101"/>
    </row>
    <row r="11604" spans="1:1" x14ac:dyDescent="0.2">
      <c r="A11604" s="101"/>
    </row>
    <row r="11605" spans="1:1" x14ac:dyDescent="0.2">
      <c r="A11605" s="101"/>
    </row>
    <row r="11606" spans="1:1" x14ac:dyDescent="0.2">
      <c r="A11606" s="101"/>
    </row>
    <row r="11607" spans="1:1" x14ac:dyDescent="0.2">
      <c r="A11607" s="101"/>
    </row>
    <row r="11608" spans="1:1" x14ac:dyDescent="0.2">
      <c r="A11608" s="101"/>
    </row>
    <row r="11609" spans="1:1" x14ac:dyDescent="0.2">
      <c r="A11609" s="101"/>
    </row>
    <row r="11610" spans="1:1" x14ac:dyDescent="0.2">
      <c r="A11610" s="101"/>
    </row>
    <row r="11611" spans="1:1" x14ac:dyDescent="0.2">
      <c r="A11611" s="101"/>
    </row>
    <row r="11612" spans="1:1" x14ac:dyDescent="0.2">
      <c r="A11612" s="101"/>
    </row>
    <row r="11613" spans="1:1" x14ac:dyDescent="0.2">
      <c r="A11613" s="101"/>
    </row>
    <row r="11614" spans="1:1" x14ac:dyDescent="0.2">
      <c r="A11614" s="101"/>
    </row>
    <row r="11615" spans="1:1" x14ac:dyDescent="0.2">
      <c r="A11615" s="101"/>
    </row>
    <row r="11616" spans="1:1" x14ac:dyDescent="0.2">
      <c r="A11616" s="101"/>
    </row>
    <row r="11617" spans="1:1" x14ac:dyDescent="0.2">
      <c r="A11617" s="101"/>
    </row>
    <row r="11618" spans="1:1" x14ac:dyDescent="0.2">
      <c r="A11618" s="101"/>
    </row>
    <row r="11619" spans="1:1" x14ac:dyDescent="0.2">
      <c r="A11619" s="101"/>
    </row>
    <row r="11620" spans="1:1" x14ac:dyDescent="0.2">
      <c r="A11620" s="101"/>
    </row>
    <row r="11621" spans="1:1" x14ac:dyDescent="0.2">
      <c r="A11621" s="101"/>
    </row>
    <row r="11622" spans="1:1" x14ac:dyDescent="0.2">
      <c r="A11622" s="101"/>
    </row>
    <row r="11623" spans="1:1" x14ac:dyDescent="0.2">
      <c r="A11623" s="101"/>
    </row>
    <row r="11624" spans="1:1" x14ac:dyDescent="0.2">
      <c r="A11624" s="101"/>
    </row>
    <row r="11625" spans="1:1" x14ac:dyDescent="0.2">
      <c r="A11625" s="101"/>
    </row>
    <row r="11626" spans="1:1" x14ac:dyDescent="0.2">
      <c r="A11626" s="101"/>
    </row>
    <row r="11627" spans="1:1" x14ac:dyDescent="0.2">
      <c r="A11627" s="101"/>
    </row>
    <row r="11628" spans="1:1" x14ac:dyDescent="0.2">
      <c r="A11628" s="101"/>
    </row>
    <row r="11629" spans="1:1" x14ac:dyDescent="0.2">
      <c r="A11629" s="101"/>
    </row>
    <row r="11630" spans="1:1" x14ac:dyDescent="0.2">
      <c r="A11630" s="101"/>
    </row>
    <row r="11631" spans="1:1" x14ac:dyDescent="0.2">
      <c r="A11631" s="101"/>
    </row>
    <row r="11632" spans="1:1" x14ac:dyDescent="0.2">
      <c r="A11632" s="101"/>
    </row>
    <row r="11633" spans="1:1" x14ac:dyDescent="0.2">
      <c r="A11633" s="101"/>
    </row>
    <row r="11634" spans="1:1" x14ac:dyDescent="0.2">
      <c r="A11634" s="101"/>
    </row>
    <row r="11635" spans="1:1" x14ac:dyDescent="0.2">
      <c r="A11635" s="101"/>
    </row>
    <row r="11636" spans="1:1" x14ac:dyDescent="0.2">
      <c r="A11636" s="101"/>
    </row>
    <row r="11637" spans="1:1" x14ac:dyDescent="0.2">
      <c r="A11637" s="101"/>
    </row>
    <row r="11638" spans="1:1" x14ac:dyDescent="0.2">
      <c r="A11638" s="101"/>
    </row>
    <row r="11639" spans="1:1" x14ac:dyDescent="0.2">
      <c r="A11639" s="101"/>
    </row>
    <row r="11640" spans="1:1" x14ac:dyDescent="0.2">
      <c r="A11640" s="101"/>
    </row>
    <row r="11641" spans="1:1" x14ac:dyDescent="0.2">
      <c r="A11641" s="101"/>
    </row>
    <row r="11642" spans="1:1" x14ac:dyDescent="0.2">
      <c r="A11642" s="101"/>
    </row>
    <row r="11643" spans="1:1" x14ac:dyDescent="0.2">
      <c r="A11643" s="101"/>
    </row>
    <row r="11644" spans="1:1" x14ac:dyDescent="0.2">
      <c r="A11644" s="101"/>
    </row>
    <row r="11645" spans="1:1" x14ac:dyDescent="0.2">
      <c r="A11645" s="101"/>
    </row>
    <row r="11646" spans="1:1" x14ac:dyDescent="0.2">
      <c r="A11646" s="101"/>
    </row>
    <row r="11647" spans="1:1" x14ac:dyDescent="0.2">
      <c r="A11647" s="101"/>
    </row>
    <row r="11648" spans="1:1" x14ac:dyDescent="0.2">
      <c r="A11648" s="101"/>
    </row>
    <row r="11649" spans="1:1" x14ac:dyDescent="0.2">
      <c r="A11649" s="101"/>
    </row>
    <row r="11650" spans="1:1" x14ac:dyDescent="0.2">
      <c r="A11650" s="101"/>
    </row>
    <row r="11651" spans="1:1" x14ac:dyDescent="0.2">
      <c r="A11651" s="101"/>
    </row>
    <row r="11652" spans="1:1" x14ac:dyDescent="0.2">
      <c r="A11652" s="101"/>
    </row>
    <row r="11653" spans="1:1" x14ac:dyDescent="0.2">
      <c r="A11653" s="101"/>
    </row>
    <row r="11654" spans="1:1" x14ac:dyDescent="0.2">
      <c r="A11654" s="101"/>
    </row>
    <row r="11655" spans="1:1" x14ac:dyDescent="0.2">
      <c r="A11655" s="101"/>
    </row>
    <row r="11656" spans="1:1" x14ac:dyDescent="0.2">
      <c r="A11656" s="101"/>
    </row>
    <row r="11657" spans="1:1" x14ac:dyDescent="0.2">
      <c r="A11657" s="101"/>
    </row>
    <row r="11658" spans="1:1" x14ac:dyDescent="0.2">
      <c r="A11658" s="101"/>
    </row>
    <row r="11659" spans="1:1" x14ac:dyDescent="0.2">
      <c r="A11659" s="101"/>
    </row>
    <row r="11660" spans="1:1" x14ac:dyDescent="0.2">
      <c r="A11660" s="101"/>
    </row>
    <row r="11661" spans="1:1" x14ac:dyDescent="0.2">
      <c r="A11661" s="101"/>
    </row>
    <row r="11662" spans="1:1" x14ac:dyDescent="0.2">
      <c r="A11662" s="101"/>
    </row>
    <row r="11663" spans="1:1" x14ac:dyDescent="0.2">
      <c r="A11663" s="101"/>
    </row>
    <row r="11664" spans="1:1" x14ac:dyDescent="0.2">
      <c r="A11664" s="101"/>
    </row>
    <row r="11665" spans="1:1" x14ac:dyDescent="0.2">
      <c r="A11665" s="101"/>
    </row>
    <row r="11666" spans="1:1" x14ac:dyDescent="0.2">
      <c r="A11666" s="101"/>
    </row>
    <row r="11667" spans="1:1" x14ac:dyDescent="0.2">
      <c r="A11667" s="101"/>
    </row>
    <row r="11668" spans="1:1" x14ac:dyDescent="0.2">
      <c r="A11668" s="101"/>
    </row>
    <row r="11669" spans="1:1" x14ac:dyDescent="0.2">
      <c r="A11669" s="101"/>
    </row>
    <row r="11670" spans="1:1" x14ac:dyDescent="0.2">
      <c r="A11670" s="101"/>
    </row>
    <row r="11671" spans="1:1" x14ac:dyDescent="0.2">
      <c r="A11671" s="101"/>
    </row>
    <row r="11672" spans="1:1" x14ac:dyDescent="0.2">
      <c r="A11672" s="101"/>
    </row>
    <row r="11673" spans="1:1" x14ac:dyDescent="0.2">
      <c r="A11673" s="101"/>
    </row>
    <row r="11674" spans="1:1" x14ac:dyDescent="0.2">
      <c r="A11674" s="101"/>
    </row>
    <row r="11675" spans="1:1" x14ac:dyDescent="0.2">
      <c r="A11675" s="101"/>
    </row>
    <row r="11676" spans="1:1" x14ac:dyDescent="0.2">
      <c r="A11676" s="101"/>
    </row>
    <row r="11677" spans="1:1" x14ac:dyDescent="0.2">
      <c r="A11677" s="101"/>
    </row>
    <row r="11678" spans="1:1" x14ac:dyDescent="0.2">
      <c r="A11678" s="101"/>
    </row>
    <row r="11679" spans="1:1" x14ac:dyDescent="0.2">
      <c r="A11679" s="101"/>
    </row>
    <row r="11680" spans="1:1" x14ac:dyDescent="0.2">
      <c r="A11680" s="101"/>
    </row>
    <row r="11681" spans="1:1" x14ac:dyDescent="0.2">
      <c r="A11681" s="101"/>
    </row>
    <row r="11682" spans="1:1" x14ac:dyDescent="0.2">
      <c r="A11682" s="101"/>
    </row>
    <row r="11683" spans="1:1" x14ac:dyDescent="0.2">
      <c r="A11683" s="101"/>
    </row>
    <row r="11684" spans="1:1" x14ac:dyDescent="0.2">
      <c r="A11684" s="101"/>
    </row>
    <row r="11685" spans="1:1" x14ac:dyDescent="0.2">
      <c r="A11685" s="101"/>
    </row>
    <row r="11686" spans="1:1" x14ac:dyDescent="0.2">
      <c r="A11686" s="101"/>
    </row>
    <row r="11687" spans="1:1" x14ac:dyDescent="0.2">
      <c r="A11687" s="101"/>
    </row>
    <row r="11688" spans="1:1" x14ac:dyDescent="0.2">
      <c r="A11688" s="101"/>
    </row>
    <row r="11689" spans="1:1" x14ac:dyDescent="0.2">
      <c r="A11689" s="101"/>
    </row>
    <row r="11690" spans="1:1" x14ac:dyDescent="0.2">
      <c r="A11690" s="101"/>
    </row>
    <row r="11691" spans="1:1" x14ac:dyDescent="0.2">
      <c r="A11691" s="101"/>
    </row>
    <row r="11692" spans="1:1" x14ac:dyDescent="0.2">
      <c r="A11692" s="101"/>
    </row>
    <row r="11693" spans="1:1" x14ac:dyDescent="0.2">
      <c r="A11693" s="101"/>
    </row>
    <row r="11694" spans="1:1" x14ac:dyDescent="0.2">
      <c r="A11694" s="101"/>
    </row>
    <row r="11695" spans="1:1" x14ac:dyDescent="0.2">
      <c r="A11695" s="101"/>
    </row>
    <row r="11696" spans="1:1" x14ac:dyDescent="0.2">
      <c r="A11696" s="101"/>
    </row>
    <row r="11697" spans="1:1" x14ac:dyDescent="0.2">
      <c r="A11697" s="101"/>
    </row>
    <row r="11698" spans="1:1" x14ac:dyDescent="0.2">
      <c r="A11698" s="101"/>
    </row>
    <row r="11699" spans="1:1" x14ac:dyDescent="0.2">
      <c r="A11699" s="101"/>
    </row>
    <row r="11700" spans="1:1" x14ac:dyDescent="0.2">
      <c r="A11700" s="101"/>
    </row>
    <row r="11701" spans="1:1" x14ac:dyDescent="0.2">
      <c r="A11701" s="101"/>
    </row>
    <row r="11702" spans="1:1" x14ac:dyDescent="0.2">
      <c r="A11702" s="101"/>
    </row>
    <row r="11703" spans="1:1" x14ac:dyDescent="0.2">
      <c r="A11703" s="101"/>
    </row>
    <row r="11704" spans="1:1" x14ac:dyDescent="0.2">
      <c r="A11704" s="101"/>
    </row>
    <row r="11705" spans="1:1" x14ac:dyDescent="0.2">
      <c r="A11705" s="101"/>
    </row>
    <row r="11706" spans="1:1" x14ac:dyDescent="0.2">
      <c r="A11706" s="101"/>
    </row>
    <row r="11707" spans="1:1" x14ac:dyDescent="0.2">
      <c r="A11707" s="101"/>
    </row>
    <row r="11708" spans="1:1" x14ac:dyDescent="0.2">
      <c r="A11708" s="101"/>
    </row>
    <row r="11709" spans="1:1" x14ac:dyDescent="0.2">
      <c r="A11709" s="101"/>
    </row>
    <row r="11710" spans="1:1" x14ac:dyDescent="0.2">
      <c r="A11710" s="101"/>
    </row>
    <row r="11711" spans="1:1" x14ac:dyDescent="0.2">
      <c r="A11711" s="101"/>
    </row>
    <row r="11712" spans="1:1" x14ac:dyDescent="0.2">
      <c r="A11712" s="101"/>
    </row>
    <row r="11713" spans="1:1" x14ac:dyDescent="0.2">
      <c r="A11713" s="101"/>
    </row>
    <row r="11714" spans="1:1" x14ac:dyDescent="0.2">
      <c r="A11714" s="101"/>
    </row>
    <row r="11715" spans="1:1" x14ac:dyDescent="0.2">
      <c r="A11715" s="101"/>
    </row>
    <row r="11716" spans="1:1" x14ac:dyDescent="0.2">
      <c r="A11716" s="101"/>
    </row>
    <row r="11717" spans="1:1" x14ac:dyDescent="0.2">
      <c r="A11717" s="101"/>
    </row>
    <row r="11718" spans="1:1" x14ac:dyDescent="0.2">
      <c r="A11718" s="101"/>
    </row>
    <row r="11719" spans="1:1" x14ac:dyDescent="0.2">
      <c r="A11719" s="101"/>
    </row>
    <row r="11720" spans="1:1" x14ac:dyDescent="0.2">
      <c r="A11720" s="101"/>
    </row>
    <row r="11721" spans="1:1" x14ac:dyDescent="0.2">
      <c r="A11721" s="101"/>
    </row>
    <row r="11722" spans="1:1" x14ac:dyDescent="0.2">
      <c r="A11722" s="101"/>
    </row>
    <row r="11723" spans="1:1" x14ac:dyDescent="0.2">
      <c r="A11723" s="101"/>
    </row>
    <row r="11724" spans="1:1" x14ac:dyDescent="0.2">
      <c r="A11724" s="101"/>
    </row>
    <row r="11725" spans="1:1" x14ac:dyDescent="0.2">
      <c r="A11725" s="101"/>
    </row>
    <row r="11726" spans="1:1" x14ac:dyDescent="0.2">
      <c r="A11726" s="101"/>
    </row>
    <row r="11727" spans="1:1" x14ac:dyDescent="0.2">
      <c r="A11727" s="101"/>
    </row>
    <row r="11728" spans="1:1" x14ac:dyDescent="0.2">
      <c r="A11728" s="101"/>
    </row>
    <row r="11729" spans="1:1" x14ac:dyDescent="0.2">
      <c r="A11729" s="101"/>
    </row>
    <row r="11730" spans="1:1" x14ac:dyDescent="0.2">
      <c r="A11730" s="101"/>
    </row>
    <row r="11731" spans="1:1" x14ac:dyDescent="0.2">
      <c r="A11731" s="101"/>
    </row>
    <row r="11732" spans="1:1" x14ac:dyDescent="0.2">
      <c r="A11732" s="101"/>
    </row>
    <row r="11733" spans="1:1" x14ac:dyDescent="0.2">
      <c r="A11733" s="101"/>
    </row>
    <row r="11734" spans="1:1" x14ac:dyDescent="0.2">
      <c r="A11734" s="101"/>
    </row>
    <row r="11735" spans="1:1" x14ac:dyDescent="0.2">
      <c r="A11735" s="101"/>
    </row>
    <row r="11736" spans="1:1" x14ac:dyDescent="0.2">
      <c r="A11736" s="101"/>
    </row>
    <row r="11737" spans="1:1" x14ac:dyDescent="0.2">
      <c r="A11737" s="101"/>
    </row>
    <row r="11738" spans="1:1" x14ac:dyDescent="0.2">
      <c r="A11738" s="101"/>
    </row>
    <row r="11739" spans="1:1" x14ac:dyDescent="0.2">
      <c r="A11739" s="101"/>
    </row>
    <row r="11740" spans="1:1" x14ac:dyDescent="0.2">
      <c r="A11740" s="101"/>
    </row>
    <row r="11741" spans="1:1" x14ac:dyDescent="0.2">
      <c r="A11741" s="101"/>
    </row>
    <row r="11742" spans="1:1" x14ac:dyDescent="0.2">
      <c r="A11742" s="101"/>
    </row>
    <row r="11743" spans="1:1" x14ac:dyDescent="0.2">
      <c r="A11743" s="101"/>
    </row>
    <row r="11744" spans="1:1" x14ac:dyDescent="0.2">
      <c r="A11744" s="101"/>
    </row>
    <row r="11745" spans="1:1" x14ac:dyDescent="0.2">
      <c r="A11745" s="101"/>
    </row>
    <row r="11746" spans="1:1" x14ac:dyDescent="0.2">
      <c r="A11746" s="101"/>
    </row>
    <row r="11747" spans="1:1" x14ac:dyDescent="0.2">
      <c r="A11747" s="101"/>
    </row>
    <row r="11748" spans="1:1" x14ac:dyDescent="0.2">
      <c r="A11748" s="101"/>
    </row>
    <row r="11749" spans="1:1" x14ac:dyDescent="0.2">
      <c r="A11749" s="101"/>
    </row>
    <row r="11750" spans="1:1" x14ac:dyDescent="0.2">
      <c r="A11750" s="101"/>
    </row>
    <row r="11751" spans="1:1" x14ac:dyDescent="0.2">
      <c r="A11751" s="101"/>
    </row>
    <row r="11752" spans="1:1" x14ac:dyDescent="0.2">
      <c r="A11752" s="101"/>
    </row>
    <row r="11753" spans="1:1" x14ac:dyDescent="0.2">
      <c r="A11753" s="101"/>
    </row>
    <row r="11754" spans="1:1" x14ac:dyDescent="0.2">
      <c r="A11754" s="101"/>
    </row>
    <row r="11755" spans="1:1" x14ac:dyDescent="0.2">
      <c r="A11755" s="101"/>
    </row>
    <row r="11756" spans="1:1" x14ac:dyDescent="0.2">
      <c r="A11756" s="101"/>
    </row>
    <row r="11757" spans="1:1" x14ac:dyDescent="0.2">
      <c r="A11757" s="101"/>
    </row>
    <row r="11758" spans="1:1" x14ac:dyDescent="0.2">
      <c r="A11758" s="101"/>
    </row>
    <row r="11759" spans="1:1" x14ac:dyDescent="0.2">
      <c r="A11759" s="101"/>
    </row>
    <row r="11760" spans="1:1" x14ac:dyDescent="0.2">
      <c r="A11760" s="101"/>
    </row>
    <row r="11761" spans="1:1" x14ac:dyDescent="0.2">
      <c r="A11761" s="101"/>
    </row>
    <row r="11762" spans="1:1" x14ac:dyDescent="0.2">
      <c r="A11762" s="101"/>
    </row>
    <row r="11763" spans="1:1" x14ac:dyDescent="0.2">
      <c r="A11763" s="101"/>
    </row>
    <row r="11764" spans="1:1" x14ac:dyDescent="0.2">
      <c r="A11764" s="101"/>
    </row>
    <row r="11765" spans="1:1" x14ac:dyDescent="0.2">
      <c r="A11765" s="101"/>
    </row>
    <row r="11766" spans="1:1" x14ac:dyDescent="0.2">
      <c r="A11766" s="101"/>
    </row>
    <row r="11767" spans="1:1" x14ac:dyDescent="0.2">
      <c r="A11767" s="101"/>
    </row>
    <row r="11768" spans="1:1" x14ac:dyDescent="0.2">
      <c r="A11768" s="101"/>
    </row>
    <row r="11769" spans="1:1" x14ac:dyDescent="0.2">
      <c r="A11769" s="101"/>
    </row>
    <row r="11770" spans="1:1" x14ac:dyDescent="0.2">
      <c r="A11770" s="101"/>
    </row>
    <row r="11771" spans="1:1" x14ac:dyDescent="0.2">
      <c r="A11771" s="101"/>
    </row>
    <row r="11772" spans="1:1" x14ac:dyDescent="0.2">
      <c r="A11772" s="101"/>
    </row>
    <row r="11773" spans="1:1" x14ac:dyDescent="0.2">
      <c r="A11773" s="101"/>
    </row>
    <row r="11774" spans="1:1" x14ac:dyDescent="0.2">
      <c r="A11774" s="101"/>
    </row>
    <row r="11775" spans="1:1" x14ac:dyDescent="0.2">
      <c r="A11775" s="101"/>
    </row>
    <row r="11776" spans="1:1" x14ac:dyDescent="0.2">
      <c r="A11776" s="101"/>
    </row>
    <row r="11777" spans="1:1" x14ac:dyDescent="0.2">
      <c r="A11777" s="101"/>
    </row>
    <row r="11778" spans="1:1" x14ac:dyDescent="0.2">
      <c r="A11778" s="101"/>
    </row>
    <row r="11779" spans="1:1" x14ac:dyDescent="0.2">
      <c r="A11779" s="101"/>
    </row>
    <row r="11780" spans="1:1" x14ac:dyDescent="0.2">
      <c r="A11780" s="101"/>
    </row>
    <row r="11781" spans="1:1" x14ac:dyDescent="0.2">
      <c r="A11781" s="101"/>
    </row>
    <row r="11782" spans="1:1" x14ac:dyDescent="0.2">
      <c r="A11782" s="101"/>
    </row>
    <row r="11783" spans="1:1" x14ac:dyDescent="0.2">
      <c r="A11783" s="101"/>
    </row>
    <row r="11784" spans="1:1" x14ac:dyDescent="0.2">
      <c r="A11784" s="101"/>
    </row>
    <row r="11785" spans="1:1" x14ac:dyDescent="0.2">
      <c r="A11785" s="101"/>
    </row>
    <row r="11786" spans="1:1" x14ac:dyDescent="0.2">
      <c r="A11786" s="101"/>
    </row>
    <row r="11787" spans="1:1" x14ac:dyDescent="0.2">
      <c r="A11787" s="101"/>
    </row>
    <row r="11788" spans="1:1" x14ac:dyDescent="0.2">
      <c r="A11788" s="101"/>
    </row>
    <row r="11789" spans="1:1" x14ac:dyDescent="0.2">
      <c r="A11789" s="101"/>
    </row>
    <row r="11790" spans="1:1" x14ac:dyDescent="0.2">
      <c r="A11790" s="101"/>
    </row>
    <row r="11791" spans="1:1" x14ac:dyDescent="0.2">
      <c r="A11791" s="101"/>
    </row>
    <row r="11792" spans="1:1" x14ac:dyDescent="0.2">
      <c r="A11792" s="101"/>
    </row>
    <row r="11793" spans="1:1" x14ac:dyDescent="0.2">
      <c r="A11793" s="101"/>
    </row>
    <row r="11794" spans="1:1" x14ac:dyDescent="0.2">
      <c r="A11794" s="101"/>
    </row>
    <row r="11795" spans="1:1" x14ac:dyDescent="0.2">
      <c r="A11795" s="101"/>
    </row>
    <row r="11796" spans="1:1" x14ac:dyDescent="0.2">
      <c r="A11796" s="101"/>
    </row>
    <row r="11797" spans="1:1" x14ac:dyDescent="0.2">
      <c r="A11797" s="101"/>
    </row>
    <row r="11798" spans="1:1" x14ac:dyDescent="0.2">
      <c r="A11798" s="101"/>
    </row>
    <row r="11799" spans="1:1" x14ac:dyDescent="0.2">
      <c r="A11799" s="101"/>
    </row>
    <row r="11800" spans="1:1" x14ac:dyDescent="0.2">
      <c r="A11800" s="101"/>
    </row>
    <row r="11801" spans="1:1" x14ac:dyDescent="0.2">
      <c r="A11801" s="101"/>
    </row>
    <row r="11802" spans="1:1" x14ac:dyDescent="0.2">
      <c r="A11802" s="101"/>
    </row>
    <row r="11803" spans="1:1" x14ac:dyDescent="0.2">
      <c r="A11803" s="101"/>
    </row>
    <row r="11804" spans="1:1" x14ac:dyDescent="0.2">
      <c r="A11804" s="101"/>
    </row>
    <row r="11805" spans="1:1" x14ac:dyDescent="0.2">
      <c r="A11805" s="101"/>
    </row>
    <row r="11806" spans="1:1" x14ac:dyDescent="0.2">
      <c r="A11806" s="101"/>
    </row>
    <row r="11807" spans="1:1" x14ac:dyDescent="0.2">
      <c r="A11807" s="101"/>
    </row>
    <row r="11808" spans="1:1" x14ac:dyDescent="0.2">
      <c r="A11808" s="101"/>
    </row>
    <row r="11809" spans="1:1" x14ac:dyDescent="0.2">
      <c r="A11809" s="101"/>
    </row>
    <row r="11810" spans="1:1" x14ac:dyDescent="0.2">
      <c r="A11810" s="101"/>
    </row>
    <row r="11811" spans="1:1" x14ac:dyDescent="0.2">
      <c r="A11811" s="101"/>
    </row>
    <row r="11812" spans="1:1" x14ac:dyDescent="0.2">
      <c r="A11812" s="101"/>
    </row>
    <row r="11813" spans="1:1" x14ac:dyDescent="0.2">
      <c r="A11813" s="101"/>
    </row>
    <row r="11814" spans="1:1" x14ac:dyDescent="0.2">
      <c r="A11814" s="101"/>
    </row>
    <row r="11815" spans="1:1" x14ac:dyDescent="0.2">
      <c r="A11815" s="101"/>
    </row>
    <row r="11816" spans="1:1" x14ac:dyDescent="0.2">
      <c r="A11816" s="101"/>
    </row>
    <row r="11817" spans="1:1" x14ac:dyDescent="0.2">
      <c r="A11817" s="101"/>
    </row>
    <row r="11818" spans="1:1" x14ac:dyDescent="0.2">
      <c r="A11818" s="101"/>
    </row>
    <row r="11819" spans="1:1" x14ac:dyDescent="0.2">
      <c r="A11819" s="101"/>
    </row>
    <row r="11820" spans="1:1" x14ac:dyDescent="0.2">
      <c r="A11820" s="101"/>
    </row>
    <row r="11821" spans="1:1" x14ac:dyDescent="0.2">
      <c r="A11821" s="101"/>
    </row>
    <row r="11822" spans="1:1" x14ac:dyDescent="0.2">
      <c r="A11822" s="101"/>
    </row>
    <row r="11823" spans="1:1" x14ac:dyDescent="0.2">
      <c r="A11823" s="101"/>
    </row>
    <row r="11824" spans="1:1" x14ac:dyDescent="0.2">
      <c r="A11824" s="101"/>
    </row>
    <row r="11825" spans="1:1" x14ac:dyDescent="0.2">
      <c r="A11825" s="101"/>
    </row>
    <row r="11826" spans="1:1" x14ac:dyDescent="0.2">
      <c r="A11826" s="101"/>
    </row>
    <row r="11827" spans="1:1" x14ac:dyDescent="0.2">
      <c r="A11827" s="101"/>
    </row>
    <row r="11828" spans="1:1" x14ac:dyDescent="0.2">
      <c r="A11828" s="101"/>
    </row>
    <row r="11829" spans="1:1" x14ac:dyDescent="0.2">
      <c r="A11829" s="101"/>
    </row>
    <row r="11830" spans="1:1" x14ac:dyDescent="0.2">
      <c r="A11830" s="101"/>
    </row>
    <row r="11831" spans="1:1" x14ac:dyDescent="0.2">
      <c r="A11831" s="101"/>
    </row>
    <row r="11832" spans="1:1" x14ac:dyDescent="0.2">
      <c r="A11832" s="101"/>
    </row>
    <row r="11833" spans="1:1" x14ac:dyDescent="0.2">
      <c r="A11833" s="101"/>
    </row>
    <row r="11834" spans="1:1" x14ac:dyDescent="0.2">
      <c r="A11834" s="101"/>
    </row>
    <row r="11835" spans="1:1" x14ac:dyDescent="0.2">
      <c r="A11835" s="101"/>
    </row>
    <row r="11836" spans="1:1" x14ac:dyDescent="0.2">
      <c r="A11836" s="101"/>
    </row>
    <row r="11837" spans="1:1" x14ac:dyDescent="0.2">
      <c r="A11837" s="101"/>
    </row>
    <row r="11838" spans="1:1" x14ac:dyDescent="0.2">
      <c r="A11838" s="101"/>
    </row>
    <row r="11839" spans="1:1" x14ac:dyDescent="0.2">
      <c r="A11839" s="101"/>
    </row>
    <row r="11840" spans="1:1" x14ac:dyDescent="0.2">
      <c r="A11840" s="101"/>
    </row>
    <row r="11841" spans="1:1" x14ac:dyDescent="0.2">
      <c r="A11841" s="101"/>
    </row>
    <row r="11842" spans="1:1" x14ac:dyDescent="0.2">
      <c r="A11842" s="101"/>
    </row>
    <row r="11843" spans="1:1" x14ac:dyDescent="0.2">
      <c r="A11843" s="101"/>
    </row>
    <row r="11844" spans="1:1" x14ac:dyDescent="0.2">
      <c r="A11844" s="101"/>
    </row>
    <row r="11845" spans="1:1" x14ac:dyDescent="0.2">
      <c r="A11845" s="101"/>
    </row>
    <row r="11846" spans="1:1" x14ac:dyDescent="0.2">
      <c r="A11846" s="101"/>
    </row>
    <row r="11847" spans="1:1" x14ac:dyDescent="0.2">
      <c r="A11847" s="101"/>
    </row>
    <row r="11848" spans="1:1" x14ac:dyDescent="0.2">
      <c r="A11848" s="101"/>
    </row>
    <row r="11849" spans="1:1" x14ac:dyDescent="0.2">
      <c r="A11849" s="101"/>
    </row>
    <row r="11850" spans="1:1" x14ac:dyDescent="0.2">
      <c r="A11850" s="101"/>
    </row>
    <row r="11851" spans="1:1" x14ac:dyDescent="0.2">
      <c r="A11851" s="101"/>
    </row>
    <row r="11852" spans="1:1" x14ac:dyDescent="0.2">
      <c r="A11852" s="101"/>
    </row>
    <row r="11853" spans="1:1" x14ac:dyDescent="0.2">
      <c r="A11853" s="101"/>
    </row>
    <row r="11854" spans="1:1" x14ac:dyDescent="0.2">
      <c r="A11854" s="101"/>
    </row>
    <row r="11855" spans="1:1" x14ac:dyDescent="0.2">
      <c r="A11855" s="101"/>
    </row>
    <row r="11856" spans="1:1" x14ac:dyDescent="0.2">
      <c r="A11856" s="101"/>
    </row>
    <row r="11857" spans="1:1" x14ac:dyDescent="0.2">
      <c r="A11857" s="101"/>
    </row>
    <row r="11858" spans="1:1" x14ac:dyDescent="0.2">
      <c r="A11858" s="101"/>
    </row>
    <row r="11859" spans="1:1" x14ac:dyDescent="0.2">
      <c r="A11859" s="101"/>
    </row>
    <row r="11860" spans="1:1" x14ac:dyDescent="0.2">
      <c r="A11860" s="101"/>
    </row>
    <row r="11861" spans="1:1" x14ac:dyDescent="0.2">
      <c r="A11861" s="101"/>
    </row>
    <row r="11862" spans="1:1" x14ac:dyDescent="0.2">
      <c r="A11862" s="101"/>
    </row>
    <row r="11863" spans="1:1" x14ac:dyDescent="0.2">
      <c r="A11863" s="101"/>
    </row>
    <row r="11864" spans="1:1" x14ac:dyDescent="0.2">
      <c r="A11864" s="101"/>
    </row>
    <row r="11865" spans="1:1" x14ac:dyDescent="0.2">
      <c r="A11865" s="101"/>
    </row>
    <row r="11866" spans="1:1" x14ac:dyDescent="0.2">
      <c r="A11866" s="101"/>
    </row>
    <row r="11867" spans="1:1" x14ac:dyDescent="0.2">
      <c r="A11867" s="101"/>
    </row>
    <row r="11868" spans="1:1" x14ac:dyDescent="0.2">
      <c r="A11868" s="101"/>
    </row>
    <row r="11869" spans="1:1" x14ac:dyDescent="0.2">
      <c r="A11869" s="101"/>
    </row>
    <row r="11870" spans="1:1" x14ac:dyDescent="0.2">
      <c r="A11870" s="101"/>
    </row>
    <row r="11871" spans="1:1" x14ac:dyDescent="0.2">
      <c r="A11871" s="101"/>
    </row>
    <row r="11872" spans="1:1" x14ac:dyDescent="0.2">
      <c r="A11872" s="101"/>
    </row>
    <row r="11873" spans="1:1" x14ac:dyDescent="0.2">
      <c r="A11873" s="101"/>
    </row>
    <row r="11874" spans="1:1" x14ac:dyDescent="0.2">
      <c r="A11874" s="101"/>
    </row>
    <row r="11875" spans="1:1" x14ac:dyDescent="0.2">
      <c r="A11875" s="101"/>
    </row>
    <row r="11876" spans="1:1" x14ac:dyDescent="0.2">
      <c r="A11876" s="101"/>
    </row>
    <row r="11877" spans="1:1" x14ac:dyDescent="0.2">
      <c r="A11877" s="101"/>
    </row>
    <row r="11878" spans="1:1" x14ac:dyDescent="0.2">
      <c r="A11878" s="101"/>
    </row>
    <row r="11879" spans="1:1" x14ac:dyDescent="0.2">
      <c r="A11879" s="101"/>
    </row>
    <row r="11880" spans="1:1" x14ac:dyDescent="0.2">
      <c r="A11880" s="101"/>
    </row>
    <row r="11881" spans="1:1" x14ac:dyDescent="0.2">
      <c r="A11881" s="101"/>
    </row>
    <row r="11882" spans="1:1" x14ac:dyDescent="0.2">
      <c r="A11882" s="101"/>
    </row>
    <row r="11883" spans="1:1" x14ac:dyDescent="0.2">
      <c r="A11883" s="101"/>
    </row>
    <row r="11884" spans="1:1" x14ac:dyDescent="0.2">
      <c r="A11884" s="101"/>
    </row>
    <row r="11885" spans="1:1" x14ac:dyDescent="0.2">
      <c r="A11885" s="101"/>
    </row>
    <row r="11886" spans="1:1" x14ac:dyDescent="0.2">
      <c r="A11886" s="101"/>
    </row>
    <row r="11887" spans="1:1" x14ac:dyDescent="0.2">
      <c r="A11887" s="101"/>
    </row>
    <row r="11888" spans="1:1" x14ac:dyDescent="0.2">
      <c r="A11888" s="101"/>
    </row>
    <row r="11889" spans="1:1" x14ac:dyDescent="0.2">
      <c r="A11889" s="101"/>
    </row>
    <row r="11890" spans="1:1" x14ac:dyDescent="0.2">
      <c r="A11890" s="101"/>
    </row>
    <row r="11891" spans="1:1" x14ac:dyDescent="0.2">
      <c r="A11891" s="101"/>
    </row>
    <row r="11892" spans="1:1" x14ac:dyDescent="0.2">
      <c r="A11892" s="101"/>
    </row>
    <row r="11893" spans="1:1" x14ac:dyDescent="0.2">
      <c r="A11893" s="101"/>
    </row>
    <row r="11894" spans="1:1" x14ac:dyDescent="0.2">
      <c r="A11894" s="101"/>
    </row>
    <row r="11895" spans="1:1" x14ac:dyDescent="0.2">
      <c r="A11895" s="101"/>
    </row>
    <row r="11896" spans="1:1" x14ac:dyDescent="0.2">
      <c r="A11896" s="101"/>
    </row>
    <row r="11897" spans="1:1" x14ac:dyDescent="0.2">
      <c r="A11897" s="101"/>
    </row>
    <row r="11898" spans="1:1" x14ac:dyDescent="0.2">
      <c r="A11898" s="101"/>
    </row>
    <row r="11899" spans="1:1" x14ac:dyDescent="0.2">
      <c r="A11899" s="101"/>
    </row>
    <row r="11900" spans="1:1" x14ac:dyDescent="0.2">
      <c r="A11900" s="101"/>
    </row>
    <row r="11901" spans="1:1" x14ac:dyDescent="0.2">
      <c r="A11901" s="101"/>
    </row>
    <row r="11902" spans="1:1" x14ac:dyDescent="0.2">
      <c r="A11902" s="101"/>
    </row>
    <row r="11903" spans="1:1" x14ac:dyDescent="0.2">
      <c r="A11903" s="101"/>
    </row>
    <row r="11904" spans="1:1" x14ac:dyDescent="0.2">
      <c r="A11904" s="101"/>
    </row>
    <row r="11905" spans="1:1" x14ac:dyDescent="0.2">
      <c r="A11905" s="101"/>
    </row>
    <row r="11906" spans="1:1" x14ac:dyDescent="0.2">
      <c r="A11906" s="101"/>
    </row>
    <row r="11907" spans="1:1" x14ac:dyDescent="0.2">
      <c r="A11907" s="101"/>
    </row>
    <row r="11908" spans="1:1" x14ac:dyDescent="0.2">
      <c r="A11908" s="101"/>
    </row>
    <row r="11909" spans="1:1" x14ac:dyDescent="0.2">
      <c r="A11909" s="101"/>
    </row>
    <row r="11910" spans="1:1" x14ac:dyDescent="0.2">
      <c r="A11910" s="101"/>
    </row>
    <row r="11911" spans="1:1" x14ac:dyDescent="0.2">
      <c r="A11911" s="101"/>
    </row>
    <row r="11912" spans="1:1" x14ac:dyDescent="0.2">
      <c r="A11912" s="101"/>
    </row>
    <row r="11913" spans="1:1" x14ac:dyDescent="0.2">
      <c r="A11913" s="101"/>
    </row>
    <row r="11914" spans="1:1" x14ac:dyDescent="0.2">
      <c r="A11914" s="101"/>
    </row>
    <row r="11915" spans="1:1" x14ac:dyDescent="0.2">
      <c r="A11915" s="101"/>
    </row>
    <row r="11916" spans="1:1" x14ac:dyDescent="0.2">
      <c r="A11916" s="101"/>
    </row>
    <row r="11917" spans="1:1" x14ac:dyDescent="0.2">
      <c r="A11917" s="101"/>
    </row>
    <row r="11918" spans="1:1" x14ac:dyDescent="0.2">
      <c r="A11918" s="101"/>
    </row>
    <row r="11919" spans="1:1" x14ac:dyDescent="0.2">
      <c r="A11919" s="101"/>
    </row>
    <row r="11920" spans="1:1" x14ac:dyDescent="0.2">
      <c r="A11920" s="101"/>
    </row>
    <row r="11921" spans="1:1" x14ac:dyDescent="0.2">
      <c r="A11921" s="101"/>
    </row>
    <row r="11922" spans="1:1" x14ac:dyDescent="0.2">
      <c r="A11922" s="101"/>
    </row>
    <row r="11923" spans="1:1" x14ac:dyDescent="0.2">
      <c r="A11923" s="101"/>
    </row>
    <row r="11924" spans="1:1" x14ac:dyDescent="0.2">
      <c r="A11924" s="101"/>
    </row>
    <row r="11925" spans="1:1" x14ac:dyDescent="0.2">
      <c r="A11925" s="101"/>
    </row>
    <row r="11926" spans="1:1" x14ac:dyDescent="0.2">
      <c r="A11926" s="101"/>
    </row>
    <row r="11927" spans="1:1" x14ac:dyDescent="0.2">
      <c r="A11927" s="101"/>
    </row>
    <row r="11928" spans="1:1" x14ac:dyDescent="0.2">
      <c r="A11928" s="101"/>
    </row>
    <row r="11929" spans="1:1" x14ac:dyDescent="0.2">
      <c r="A11929" s="101"/>
    </row>
    <row r="11930" spans="1:1" x14ac:dyDescent="0.2">
      <c r="A11930" s="101"/>
    </row>
    <row r="11931" spans="1:1" x14ac:dyDescent="0.2">
      <c r="A11931" s="101"/>
    </row>
    <row r="11932" spans="1:1" x14ac:dyDescent="0.2">
      <c r="A11932" s="101"/>
    </row>
    <row r="11933" spans="1:1" x14ac:dyDescent="0.2">
      <c r="A11933" s="101"/>
    </row>
    <row r="11934" spans="1:1" x14ac:dyDescent="0.2">
      <c r="A11934" s="101"/>
    </row>
    <row r="11935" spans="1:1" x14ac:dyDescent="0.2">
      <c r="A11935" s="101"/>
    </row>
    <row r="11936" spans="1:1" x14ac:dyDescent="0.2">
      <c r="A11936" s="101"/>
    </row>
    <row r="11937" spans="1:1" x14ac:dyDescent="0.2">
      <c r="A11937" s="101"/>
    </row>
    <row r="11938" spans="1:1" x14ac:dyDescent="0.2">
      <c r="A11938" s="101"/>
    </row>
    <row r="11939" spans="1:1" x14ac:dyDescent="0.2">
      <c r="A11939" s="101"/>
    </row>
    <row r="11940" spans="1:1" x14ac:dyDescent="0.2">
      <c r="A11940" s="101"/>
    </row>
    <row r="11941" spans="1:1" x14ac:dyDescent="0.2">
      <c r="A11941" s="101"/>
    </row>
    <row r="11942" spans="1:1" x14ac:dyDescent="0.2">
      <c r="A11942" s="101"/>
    </row>
    <row r="11943" spans="1:1" x14ac:dyDescent="0.2">
      <c r="A11943" s="101"/>
    </row>
    <row r="11944" spans="1:1" x14ac:dyDescent="0.2">
      <c r="A11944" s="101"/>
    </row>
    <row r="11945" spans="1:1" x14ac:dyDescent="0.2">
      <c r="A11945" s="101"/>
    </row>
    <row r="11946" spans="1:1" x14ac:dyDescent="0.2">
      <c r="A11946" s="101"/>
    </row>
    <row r="11947" spans="1:1" x14ac:dyDescent="0.2">
      <c r="A11947" s="101"/>
    </row>
    <row r="11948" spans="1:1" x14ac:dyDescent="0.2">
      <c r="A11948" s="101"/>
    </row>
    <row r="11949" spans="1:1" x14ac:dyDescent="0.2">
      <c r="A11949" s="101"/>
    </row>
    <row r="11950" spans="1:1" x14ac:dyDescent="0.2">
      <c r="A11950" s="101"/>
    </row>
    <row r="11951" spans="1:1" x14ac:dyDescent="0.2">
      <c r="A11951" s="101"/>
    </row>
    <row r="11952" spans="1:1" x14ac:dyDescent="0.2">
      <c r="A11952" s="101"/>
    </row>
    <row r="11953" spans="1:1" x14ac:dyDescent="0.2">
      <c r="A11953" s="101"/>
    </row>
    <row r="11954" spans="1:1" x14ac:dyDescent="0.2">
      <c r="A11954" s="101"/>
    </row>
    <row r="11955" spans="1:1" x14ac:dyDescent="0.2">
      <c r="A11955" s="101"/>
    </row>
    <row r="11956" spans="1:1" x14ac:dyDescent="0.2">
      <c r="A11956" s="101"/>
    </row>
    <row r="11957" spans="1:1" x14ac:dyDescent="0.2">
      <c r="A11957" s="101"/>
    </row>
    <row r="11958" spans="1:1" x14ac:dyDescent="0.2">
      <c r="A11958" s="101"/>
    </row>
    <row r="11959" spans="1:1" x14ac:dyDescent="0.2">
      <c r="A11959" s="101"/>
    </row>
    <row r="11960" spans="1:1" x14ac:dyDescent="0.2">
      <c r="A11960" s="101"/>
    </row>
    <row r="11961" spans="1:1" x14ac:dyDescent="0.2">
      <c r="A11961" s="101"/>
    </row>
    <row r="11962" spans="1:1" x14ac:dyDescent="0.2">
      <c r="A11962" s="101"/>
    </row>
    <row r="11963" spans="1:1" x14ac:dyDescent="0.2">
      <c r="A11963" s="101"/>
    </row>
    <row r="11964" spans="1:1" x14ac:dyDescent="0.2">
      <c r="A11964" s="101"/>
    </row>
    <row r="11965" spans="1:1" x14ac:dyDescent="0.2">
      <c r="A11965" s="101"/>
    </row>
    <row r="11966" spans="1:1" x14ac:dyDescent="0.2">
      <c r="A11966" s="101"/>
    </row>
    <row r="11967" spans="1:1" x14ac:dyDescent="0.2">
      <c r="A11967" s="101"/>
    </row>
    <row r="11968" spans="1:1" x14ac:dyDescent="0.2">
      <c r="A11968" s="101"/>
    </row>
    <row r="11969" spans="1:1" x14ac:dyDescent="0.2">
      <c r="A11969" s="101"/>
    </row>
    <row r="11970" spans="1:1" x14ac:dyDescent="0.2">
      <c r="A11970" s="101"/>
    </row>
    <row r="11971" spans="1:1" x14ac:dyDescent="0.2">
      <c r="A11971" s="101"/>
    </row>
    <row r="11972" spans="1:1" x14ac:dyDescent="0.2">
      <c r="A11972" s="101"/>
    </row>
    <row r="11973" spans="1:1" x14ac:dyDescent="0.2">
      <c r="A11973" s="101"/>
    </row>
    <row r="11974" spans="1:1" x14ac:dyDescent="0.2">
      <c r="A11974" s="101"/>
    </row>
    <row r="11975" spans="1:1" x14ac:dyDescent="0.2">
      <c r="A11975" s="101"/>
    </row>
    <row r="11976" spans="1:1" x14ac:dyDescent="0.2">
      <c r="A11976" s="101"/>
    </row>
    <row r="11977" spans="1:1" x14ac:dyDescent="0.2">
      <c r="A11977" s="101"/>
    </row>
    <row r="11978" spans="1:1" x14ac:dyDescent="0.2">
      <c r="A11978" s="101"/>
    </row>
    <row r="11979" spans="1:1" x14ac:dyDescent="0.2">
      <c r="A11979" s="101"/>
    </row>
    <row r="11980" spans="1:1" x14ac:dyDescent="0.2">
      <c r="A11980" s="101"/>
    </row>
    <row r="11981" spans="1:1" x14ac:dyDescent="0.2">
      <c r="A11981" s="101"/>
    </row>
    <row r="11982" spans="1:1" x14ac:dyDescent="0.2">
      <c r="A11982" s="101"/>
    </row>
    <row r="11983" spans="1:1" x14ac:dyDescent="0.2">
      <c r="A11983" s="101"/>
    </row>
    <row r="11984" spans="1:1" x14ac:dyDescent="0.2">
      <c r="A11984" s="101"/>
    </row>
    <row r="11985" spans="1:1" x14ac:dyDescent="0.2">
      <c r="A11985" s="101"/>
    </row>
    <row r="11986" spans="1:1" x14ac:dyDescent="0.2">
      <c r="A11986" s="101"/>
    </row>
    <row r="11987" spans="1:1" x14ac:dyDescent="0.2">
      <c r="A11987" s="101"/>
    </row>
    <row r="11988" spans="1:1" x14ac:dyDescent="0.2">
      <c r="A11988" s="101"/>
    </row>
    <row r="11989" spans="1:1" x14ac:dyDescent="0.2">
      <c r="A11989" s="101"/>
    </row>
    <row r="11990" spans="1:1" x14ac:dyDescent="0.2">
      <c r="A11990" s="101"/>
    </row>
    <row r="11991" spans="1:1" x14ac:dyDescent="0.2">
      <c r="A11991" s="101"/>
    </row>
    <row r="11992" spans="1:1" x14ac:dyDescent="0.2">
      <c r="A11992" s="101"/>
    </row>
    <row r="11993" spans="1:1" x14ac:dyDescent="0.2">
      <c r="A11993" s="101"/>
    </row>
    <row r="11994" spans="1:1" x14ac:dyDescent="0.2">
      <c r="A11994" s="101"/>
    </row>
    <row r="11995" spans="1:1" x14ac:dyDescent="0.2">
      <c r="A11995" s="101"/>
    </row>
    <row r="11996" spans="1:1" x14ac:dyDescent="0.2">
      <c r="A11996" s="101"/>
    </row>
    <row r="11997" spans="1:1" x14ac:dyDescent="0.2">
      <c r="A11997" s="101"/>
    </row>
    <row r="11998" spans="1:1" x14ac:dyDescent="0.2">
      <c r="A11998" s="101"/>
    </row>
    <row r="11999" spans="1:1" x14ac:dyDescent="0.2">
      <c r="A11999" s="101"/>
    </row>
    <row r="12000" spans="1:1" x14ac:dyDescent="0.2">
      <c r="A12000" s="101"/>
    </row>
    <row r="12001" spans="1:1" x14ac:dyDescent="0.2">
      <c r="A12001" s="101"/>
    </row>
    <row r="12002" spans="1:1" x14ac:dyDescent="0.2">
      <c r="A12002" s="101"/>
    </row>
    <row r="12003" spans="1:1" x14ac:dyDescent="0.2">
      <c r="A12003" s="101"/>
    </row>
    <row r="12004" spans="1:1" x14ac:dyDescent="0.2">
      <c r="A12004" s="101"/>
    </row>
    <row r="12005" spans="1:1" x14ac:dyDescent="0.2">
      <c r="A12005" s="101"/>
    </row>
    <row r="12006" spans="1:1" x14ac:dyDescent="0.2">
      <c r="A12006" s="101"/>
    </row>
    <row r="12007" spans="1:1" x14ac:dyDescent="0.2">
      <c r="A12007" s="101"/>
    </row>
    <row r="12008" spans="1:1" x14ac:dyDescent="0.2">
      <c r="A12008" s="101"/>
    </row>
    <row r="12009" spans="1:1" x14ac:dyDescent="0.2">
      <c r="A12009" s="101"/>
    </row>
    <row r="12010" spans="1:1" x14ac:dyDescent="0.2">
      <c r="A12010" s="101"/>
    </row>
    <row r="12011" spans="1:1" x14ac:dyDescent="0.2">
      <c r="A12011" s="101"/>
    </row>
    <row r="12012" spans="1:1" x14ac:dyDescent="0.2">
      <c r="A12012" s="101"/>
    </row>
    <row r="12013" spans="1:1" x14ac:dyDescent="0.2">
      <c r="A12013" s="101"/>
    </row>
    <row r="12014" spans="1:1" x14ac:dyDescent="0.2">
      <c r="A12014" s="101"/>
    </row>
    <row r="12015" spans="1:1" x14ac:dyDescent="0.2">
      <c r="A12015" s="101"/>
    </row>
    <row r="12016" spans="1:1" x14ac:dyDescent="0.2">
      <c r="A12016" s="101"/>
    </row>
    <row r="12017" spans="1:1" x14ac:dyDescent="0.2">
      <c r="A12017" s="101"/>
    </row>
    <row r="12018" spans="1:1" x14ac:dyDescent="0.2">
      <c r="A12018" s="101"/>
    </row>
    <row r="12019" spans="1:1" x14ac:dyDescent="0.2">
      <c r="A12019" s="101"/>
    </row>
    <row r="12020" spans="1:1" x14ac:dyDescent="0.2">
      <c r="A12020" s="101"/>
    </row>
    <row r="12021" spans="1:1" x14ac:dyDescent="0.2">
      <c r="A12021" s="101"/>
    </row>
    <row r="12022" spans="1:1" x14ac:dyDescent="0.2">
      <c r="A12022" s="101"/>
    </row>
    <row r="12023" spans="1:1" x14ac:dyDescent="0.2">
      <c r="A12023" s="101"/>
    </row>
    <row r="12024" spans="1:1" x14ac:dyDescent="0.2">
      <c r="A12024" s="101"/>
    </row>
    <row r="12025" spans="1:1" x14ac:dyDescent="0.2">
      <c r="A12025" s="101"/>
    </row>
    <row r="12026" spans="1:1" x14ac:dyDescent="0.2">
      <c r="A12026" s="101"/>
    </row>
    <row r="12027" spans="1:1" x14ac:dyDescent="0.2">
      <c r="A12027" s="101"/>
    </row>
    <row r="12028" spans="1:1" x14ac:dyDescent="0.2">
      <c r="A12028" s="101"/>
    </row>
    <row r="12029" spans="1:1" x14ac:dyDescent="0.2">
      <c r="A12029" s="101"/>
    </row>
    <row r="12030" spans="1:1" x14ac:dyDescent="0.2">
      <c r="A12030" s="101"/>
    </row>
    <row r="12031" spans="1:1" x14ac:dyDescent="0.2">
      <c r="A12031" s="101"/>
    </row>
    <row r="12032" spans="1:1" x14ac:dyDescent="0.2">
      <c r="A12032" s="101"/>
    </row>
    <row r="12033" spans="1:1" x14ac:dyDescent="0.2">
      <c r="A12033" s="101"/>
    </row>
    <row r="12034" spans="1:1" x14ac:dyDescent="0.2">
      <c r="A12034" s="101"/>
    </row>
    <row r="12035" spans="1:1" x14ac:dyDescent="0.2">
      <c r="A12035" s="101"/>
    </row>
    <row r="12036" spans="1:1" x14ac:dyDescent="0.2">
      <c r="A12036" s="101"/>
    </row>
    <row r="12037" spans="1:1" x14ac:dyDescent="0.2">
      <c r="A12037" s="101"/>
    </row>
    <row r="12038" spans="1:1" x14ac:dyDescent="0.2">
      <c r="A12038" s="101"/>
    </row>
    <row r="12039" spans="1:1" x14ac:dyDescent="0.2">
      <c r="A12039" s="101"/>
    </row>
    <row r="12040" spans="1:1" x14ac:dyDescent="0.2">
      <c r="A12040" s="101"/>
    </row>
    <row r="12041" spans="1:1" x14ac:dyDescent="0.2">
      <c r="A12041" s="101"/>
    </row>
    <row r="12042" spans="1:1" x14ac:dyDescent="0.2">
      <c r="A12042" s="101"/>
    </row>
    <row r="12043" spans="1:1" x14ac:dyDescent="0.2">
      <c r="A12043" s="101"/>
    </row>
    <row r="12044" spans="1:1" x14ac:dyDescent="0.2">
      <c r="A12044" s="101"/>
    </row>
    <row r="12045" spans="1:1" x14ac:dyDescent="0.2">
      <c r="A12045" s="101"/>
    </row>
    <row r="12046" spans="1:1" x14ac:dyDescent="0.2">
      <c r="A12046" s="101"/>
    </row>
    <row r="12047" spans="1:1" x14ac:dyDescent="0.2">
      <c r="A12047" s="101"/>
    </row>
    <row r="12048" spans="1:1" x14ac:dyDescent="0.2">
      <c r="A12048" s="101"/>
    </row>
    <row r="12049" spans="1:1" x14ac:dyDescent="0.2">
      <c r="A12049" s="101"/>
    </row>
    <row r="12050" spans="1:1" x14ac:dyDescent="0.2">
      <c r="A12050" s="101"/>
    </row>
    <row r="12051" spans="1:1" x14ac:dyDescent="0.2">
      <c r="A12051" s="101"/>
    </row>
    <row r="12052" spans="1:1" x14ac:dyDescent="0.2">
      <c r="A12052" s="101"/>
    </row>
    <row r="12053" spans="1:1" x14ac:dyDescent="0.2">
      <c r="A12053" s="101"/>
    </row>
    <row r="12054" spans="1:1" x14ac:dyDescent="0.2">
      <c r="A12054" s="101"/>
    </row>
    <row r="12055" spans="1:1" x14ac:dyDescent="0.2">
      <c r="A12055" s="101"/>
    </row>
    <row r="12056" spans="1:1" x14ac:dyDescent="0.2">
      <c r="A12056" s="101"/>
    </row>
    <row r="12057" spans="1:1" x14ac:dyDescent="0.2">
      <c r="A12057" s="101"/>
    </row>
    <row r="12058" spans="1:1" x14ac:dyDescent="0.2">
      <c r="A12058" s="101"/>
    </row>
    <row r="12059" spans="1:1" x14ac:dyDescent="0.2">
      <c r="A12059" s="101"/>
    </row>
    <row r="12060" spans="1:1" x14ac:dyDescent="0.2">
      <c r="A12060" s="101"/>
    </row>
    <row r="12061" spans="1:1" x14ac:dyDescent="0.2">
      <c r="A12061" s="101"/>
    </row>
    <row r="12062" spans="1:1" x14ac:dyDescent="0.2">
      <c r="A12062" s="101"/>
    </row>
    <row r="12063" spans="1:1" x14ac:dyDescent="0.2">
      <c r="A12063" s="101"/>
    </row>
    <row r="12064" spans="1:1" x14ac:dyDescent="0.2">
      <c r="A12064" s="101"/>
    </row>
    <row r="12065" spans="1:1" x14ac:dyDescent="0.2">
      <c r="A12065" s="101"/>
    </row>
    <row r="12066" spans="1:1" x14ac:dyDescent="0.2">
      <c r="A12066" s="101"/>
    </row>
    <row r="12067" spans="1:1" x14ac:dyDescent="0.2">
      <c r="A12067" s="101"/>
    </row>
    <row r="12068" spans="1:1" x14ac:dyDescent="0.2">
      <c r="A12068" s="101"/>
    </row>
    <row r="12069" spans="1:1" x14ac:dyDescent="0.2">
      <c r="A12069" s="101"/>
    </row>
    <row r="12070" spans="1:1" x14ac:dyDescent="0.2">
      <c r="A12070" s="101"/>
    </row>
    <row r="12071" spans="1:1" x14ac:dyDescent="0.2">
      <c r="A12071" s="101"/>
    </row>
    <row r="12072" spans="1:1" x14ac:dyDescent="0.2">
      <c r="A12072" s="101"/>
    </row>
    <row r="12073" spans="1:1" x14ac:dyDescent="0.2">
      <c r="A12073" s="101"/>
    </row>
    <row r="12074" spans="1:1" x14ac:dyDescent="0.2">
      <c r="A12074" s="101"/>
    </row>
    <row r="12075" spans="1:1" x14ac:dyDescent="0.2">
      <c r="A12075" s="101"/>
    </row>
    <row r="12076" spans="1:1" x14ac:dyDescent="0.2">
      <c r="A12076" s="101"/>
    </row>
    <row r="12077" spans="1:1" x14ac:dyDescent="0.2">
      <c r="A12077" s="101"/>
    </row>
    <row r="12078" spans="1:1" x14ac:dyDescent="0.2">
      <c r="A12078" s="101"/>
    </row>
    <row r="12079" spans="1:1" x14ac:dyDescent="0.2">
      <c r="A12079" s="101"/>
    </row>
    <row r="12080" spans="1:1" x14ac:dyDescent="0.2">
      <c r="A12080" s="101"/>
    </row>
    <row r="12081" spans="1:1" x14ac:dyDescent="0.2">
      <c r="A12081" s="101"/>
    </row>
    <row r="12082" spans="1:1" x14ac:dyDescent="0.2">
      <c r="A12082" s="101"/>
    </row>
    <row r="12083" spans="1:1" x14ac:dyDescent="0.2">
      <c r="A12083" s="101"/>
    </row>
    <row r="12084" spans="1:1" x14ac:dyDescent="0.2">
      <c r="A12084" s="101"/>
    </row>
    <row r="12085" spans="1:1" x14ac:dyDescent="0.2">
      <c r="A12085" s="101"/>
    </row>
    <row r="12086" spans="1:1" x14ac:dyDescent="0.2">
      <c r="A12086" s="101"/>
    </row>
    <row r="12087" spans="1:1" x14ac:dyDescent="0.2">
      <c r="A12087" s="101"/>
    </row>
    <row r="12088" spans="1:1" x14ac:dyDescent="0.2">
      <c r="A12088" s="101"/>
    </row>
    <row r="12089" spans="1:1" x14ac:dyDescent="0.2">
      <c r="A12089" s="101"/>
    </row>
    <row r="12090" spans="1:1" x14ac:dyDescent="0.2">
      <c r="A12090" s="101"/>
    </row>
    <row r="12091" spans="1:1" x14ac:dyDescent="0.2">
      <c r="A12091" s="101"/>
    </row>
    <row r="12092" spans="1:1" x14ac:dyDescent="0.2">
      <c r="A12092" s="101"/>
    </row>
    <row r="12093" spans="1:1" x14ac:dyDescent="0.2">
      <c r="A12093" s="101"/>
    </row>
    <row r="12094" spans="1:1" x14ac:dyDescent="0.2">
      <c r="A12094" s="101"/>
    </row>
    <row r="12095" spans="1:1" x14ac:dyDescent="0.2">
      <c r="A12095" s="101"/>
    </row>
    <row r="12096" spans="1:1" x14ac:dyDescent="0.2">
      <c r="A12096" s="101"/>
    </row>
    <row r="12097" spans="1:1" x14ac:dyDescent="0.2">
      <c r="A12097" s="101"/>
    </row>
    <row r="12098" spans="1:1" x14ac:dyDescent="0.2">
      <c r="A12098" s="101"/>
    </row>
    <row r="12099" spans="1:1" x14ac:dyDescent="0.2">
      <c r="A12099" s="101"/>
    </row>
    <row r="12100" spans="1:1" x14ac:dyDescent="0.2">
      <c r="A12100" s="101"/>
    </row>
    <row r="12101" spans="1:1" x14ac:dyDescent="0.2">
      <c r="A12101" s="101"/>
    </row>
    <row r="12102" spans="1:1" x14ac:dyDescent="0.2">
      <c r="A12102" s="101"/>
    </row>
    <row r="12103" spans="1:1" x14ac:dyDescent="0.2">
      <c r="A12103" s="101"/>
    </row>
    <row r="12104" spans="1:1" x14ac:dyDescent="0.2">
      <c r="A12104" s="101"/>
    </row>
    <row r="12105" spans="1:1" x14ac:dyDescent="0.2">
      <c r="A12105" s="101"/>
    </row>
    <row r="12106" spans="1:1" x14ac:dyDescent="0.2">
      <c r="A12106" s="101"/>
    </row>
    <row r="12107" spans="1:1" x14ac:dyDescent="0.2">
      <c r="A12107" s="101"/>
    </row>
    <row r="12108" spans="1:1" x14ac:dyDescent="0.2">
      <c r="A12108" s="101"/>
    </row>
    <row r="12109" spans="1:1" x14ac:dyDescent="0.2">
      <c r="A12109" s="101"/>
    </row>
    <row r="12110" spans="1:1" x14ac:dyDescent="0.2">
      <c r="A12110" s="101"/>
    </row>
    <row r="12111" spans="1:1" x14ac:dyDescent="0.2">
      <c r="A12111" s="101"/>
    </row>
    <row r="12112" spans="1:1" x14ac:dyDescent="0.2">
      <c r="A12112" s="101"/>
    </row>
    <row r="12113" spans="1:1" x14ac:dyDescent="0.2">
      <c r="A12113" s="101"/>
    </row>
    <row r="12114" spans="1:1" x14ac:dyDescent="0.2">
      <c r="A12114" s="101"/>
    </row>
    <row r="12115" spans="1:1" x14ac:dyDescent="0.2">
      <c r="A12115" s="101"/>
    </row>
    <row r="12116" spans="1:1" x14ac:dyDescent="0.2">
      <c r="A12116" s="101"/>
    </row>
    <row r="12117" spans="1:1" x14ac:dyDescent="0.2">
      <c r="A12117" s="101"/>
    </row>
    <row r="12118" spans="1:1" x14ac:dyDescent="0.2">
      <c r="A12118" s="101"/>
    </row>
    <row r="12119" spans="1:1" x14ac:dyDescent="0.2">
      <c r="A12119" s="101"/>
    </row>
    <row r="12120" spans="1:1" x14ac:dyDescent="0.2">
      <c r="A12120" s="101"/>
    </row>
    <row r="12121" spans="1:1" x14ac:dyDescent="0.2">
      <c r="A12121" s="101"/>
    </row>
    <row r="12122" spans="1:1" x14ac:dyDescent="0.2">
      <c r="A12122" s="101"/>
    </row>
    <row r="12123" spans="1:1" x14ac:dyDescent="0.2">
      <c r="A12123" s="101"/>
    </row>
    <row r="12124" spans="1:1" x14ac:dyDescent="0.2">
      <c r="A12124" s="101"/>
    </row>
    <row r="12125" spans="1:1" x14ac:dyDescent="0.2">
      <c r="A12125" s="101"/>
    </row>
    <row r="12126" spans="1:1" x14ac:dyDescent="0.2">
      <c r="A12126" s="101"/>
    </row>
    <row r="12127" spans="1:1" x14ac:dyDescent="0.2">
      <c r="A12127" s="101"/>
    </row>
    <row r="12128" spans="1:1" x14ac:dyDescent="0.2">
      <c r="A12128" s="101"/>
    </row>
    <row r="12129" spans="1:1" x14ac:dyDescent="0.2">
      <c r="A12129" s="101"/>
    </row>
    <row r="12130" spans="1:1" x14ac:dyDescent="0.2">
      <c r="A12130" s="101"/>
    </row>
    <row r="12131" spans="1:1" x14ac:dyDescent="0.2">
      <c r="A12131" s="101"/>
    </row>
    <row r="12132" spans="1:1" x14ac:dyDescent="0.2">
      <c r="A12132" s="101"/>
    </row>
    <row r="12133" spans="1:1" x14ac:dyDescent="0.2">
      <c r="A12133" s="101"/>
    </row>
    <row r="12134" spans="1:1" x14ac:dyDescent="0.2">
      <c r="A12134" s="101"/>
    </row>
    <row r="12135" spans="1:1" x14ac:dyDescent="0.2">
      <c r="A12135" s="101"/>
    </row>
    <row r="12136" spans="1:1" x14ac:dyDescent="0.2">
      <c r="A12136" s="101"/>
    </row>
    <row r="12137" spans="1:1" x14ac:dyDescent="0.2">
      <c r="A12137" s="101"/>
    </row>
    <row r="12138" spans="1:1" x14ac:dyDescent="0.2">
      <c r="A12138" s="101"/>
    </row>
    <row r="12139" spans="1:1" x14ac:dyDescent="0.2">
      <c r="A12139" s="101"/>
    </row>
    <row r="12140" spans="1:1" x14ac:dyDescent="0.2">
      <c r="A12140" s="101"/>
    </row>
    <row r="12141" spans="1:1" x14ac:dyDescent="0.2">
      <c r="A12141" s="101"/>
    </row>
    <row r="12142" spans="1:1" x14ac:dyDescent="0.2">
      <c r="A12142" s="101"/>
    </row>
    <row r="12143" spans="1:1" x14ac:dyDescent="0.2">
      <c r="A12143" s="101"/>
    </row>
    <row r="12144" spans="1:1" x14ac:dyDescent="0.2">
      <c r="A12144" s="101"/>
    </row>
    <row r="12145" spans="1:1" x14ac:dyDescent="0.2">
      <c r="A12145" s="101"/>
    </row>
    <row r="12146" spans="1:1" x14ac:dyDescent="0.2">
      <c r="A12146" s="101"/>
    </row>
    <row r="12147" spans="1:1" x14ac:dyDescent="0.2">
      <c r="A12147" s="101"/>
    </row>
    <row r="12148" spans="1:1" x14ac:dyDescent="0.2">
      <c r="A12148" s="101"/>
    </row>
    <row r="12149" spans="1:1" x14ac:dyDescent="0.2">
      <c r="A12149" s="101"/>
    </row>
    <row r="12150" spans="1:1" x14ac:dyDescent="0.2">
      <c r="A12150" s="101"/>
    </row>
    <row r="12151" spans="1:1" x14ac:dyDescent="0.2">
      <c r="A12151" s="101"/>
    </row>
    <row r="12152" spans="1:1" x14ac:dyDescent="0.2">
      <c r="A12152" s="101"/>
    </row>
    <row r="12153" spans="1:1" x14ac:dyDescent="0.2">
      <c r="A12153" s="101"/>
    </row>
    <row r="12154" spans="1:1" x14ac:dyDescent="0.2">
      <c r="A12154" s="101"/>
    </row>
    <row r="12155" spans="1:1" x14ac:dyDescent="0.2">
      <c r="A12155" s="101"/>
    </row>
    <row r="12156" spans="1:1" x14ac:dyDescent="0.2">
      <c r="A12156" s="101"/>
    </row>
    <row r="12157" spans="1:1" x14ac:dyDescent="0.2">
      <c r="A12157" s="101"/>
    </row>
    <row r="12158" spans="1:1" x14ac:dyDescent="0.2">
      <c r="A12158" s="101"/>
    </row>
    <row r="12159" spans="1:1" x14ac:dyDescent="0.2">
      <c r="A12159" s="101"/>
    </row>
    <row r="12160" spans="1:1" x14ac:dyDescent="0.2">
      <c r="A12160" s="101"/>
    </row>
    <row r="12161" spans="1:1" x14ac:dyDescent="0.2">
      <c r="A12161" s="101"/>
    </row>
    <row r="12162" spans="1:1" x14ac:dyDescent="0.2">
      <c r="A12162" s="101"/>
    </row>
    <row r="12163" spans="1:1" x14ac:dyDescent="0.2">
      <c r="A12163" s="101"/>
    </row>
    <row r="12164" spans="1:1" x14ac:dyDescent="0.2">
      <c r="A12164" s="101"/>
    </row>
    <row r="12165" spans="1:1" x14ac:dyDescent="0.2">
      <c r="A12165" s="101"/>
    </row>
    <row r="12166" spans="1:1" x14ac:dyDescent="0.2">
      <c r="A12166" s="101"/>
    </row>
    <row r="12167" spans="1:1" x14ac:dyDescent="0.2">
      <c r="A12167" s="101"/>
    </row>
    <row r="12168" spans="1:1" x14ac:dyDescent="0.2">
      <c r="A12168" s="101"/>
    </row>
    <row r="12169" spans="1:1" x14ac:dyDescent="0.2">
      <c r="A12169" s="101"/>
    </row>
    <row r="12170" spans="1:1" x14ac:dyDescent="0.2">
      <c r="A12170" s="101"/>
    </row>
    <row r="12171" spans="1:1" x14ac:dyDescent="0.2">
      <c r="A12171" s="101"/>
    </row>
    <row r="12172" spans="1:1" x14ac:dyDescent="0.2">
      <c r="A12172" s="101"/>
    </row>
    <row r="12173" spans="1:1" x14ac:dyDescent="0.2">
      <c r="A12173" s="101"/>
    </row>
    <row r="12174" spans="1:1" x14ac:dyDescent="0.2">
      <c r="A12174" s="101"/>
    </row>
    <row r="12175" spans="1:1" x14ac:dyDescent="0.2">
      <c r="A12175" s="101"/>
    </row>
    <row r="12176" spans="1:1" x14ac:dyDescent="0.2">
      <c r="A12176" s="101"/>
    </row>
    <row r="12177" spans="1:1" x14ac:dyDescent="0.2">
      <c r="A12177" s="101"/>
    </row>
    <row r="12178" spans="1:1" x14ac:dyDescent="0.2">
      <c r="A12178" s="101"/>
    </row>
    <row r="12179" spans="1:1" x14ac:dyDescent="0.2">
      <c r="A12179" s="101"/>
    </row>
    <row r="12180" spans="1:1" x14ac:dyDescent="0.2">
      <c r="A12180" s="101"/>
    </row>
    <row r="12181" spans="1:1" x14ac:dyDescent="0.2">
      <c r="A12181" s="101"/>
    </row>
    <row r="12182" spans="1:1" x14ac:dyDescent="0.2">
      <c r="A12182" s="101"/>
    </row>
    <row r="12183" spans="1:1" x14ac:dyDescent="0.2">
      <c r="A12183" s="101"/>
    </row>
    <row r="12184" spans="1:1" x14ac:dyDescent="0.2">
      <c r="A12184" s="101"/>
    </row>
    <row r="12185" spans="1:1" x14ac:dyDescent="0.2">
      <c r="A12185" s="101"/>
    </row>
    <row r="12186" spans="1:1" x14ac:dyDescent="0.2">
      <c r="A12186" s="101"/>
    </row>
    <row r="12187" spans="1:1" x14ac:dyDescent="0.2">
      <c r="A12187" s="101"/>
    </row>
    <row r="12188" spans="1:1" x14ac:dyDescent="0.2">
      <c r="A12188" s="101"/>
    </row>
    <row r="12189" spans="1:1" x14ac:dyDescent="0.2">
      <c r="A12189" s="101"/>
    </row>
    <row r="12190" spans="1:1" x14ac:dyDescent="0.2">
      <c r="A12190" s="101"/>
    </row>
    <row r="12191" spans="1:1" x14ac:dyDescent="0.2">
      <c r="A12191" s="101"/>
    </row>
    <row r="12192" spans="1:1" x14ac:dyDescent="0.2">
      <c r="A12192" s="101"/>
    </row>
    <row r="12193" spans="1:1" x14ac:dyDescent="0.2">
      <c r="A12193" s="101"/>
    </row>
    <row r="12194" spans="1:1" x14ac:dyDescent="0.2">
      <c r="A12194" s="101"/>
    </row>
    <row r="12195" spans="1:1" x14ac:dyDescent="0.2">
      <c r="A12195" s="101"/>
    </row>
    <row r="12196" spans="1:1" x14ac:dyDescent="0.2">
      <c r="A12196" s="101"/>
    </row>
    <row r="12197" spans="1:1" x14ac:dyDescent="0.2">
      <c r="A12197" s="101"/>
    </row>
    <row r="12198" spans="1:1" x14ac:dyDescent="0.2">
      <c r="A12198" s="101"/>
    </row>
    <row r="12199" spans="1:1" x14ac:dyDescent="0.2">
      <c r="A12199" s="101"/>
    </row>
    <row r="12200" spans="1:1" x14ac:dyDescent="0.2">
      <c r="A12200" s="101"/>
    </row>
    <row r="12201" spans="1:1" x14ac:dyDescent="0.2">
      <c r="A12201" s="101"/>
    </row>
    <row r="12202" spans="1:1" x14ac:dyDescent="0.2">
      <c r="A12202" s="101"/>
    </row>
    <row r="12203" spans="1:1" x14ac:dyDescent="0.2">
      <c r="A12203" s="101"/>
    </row>
    <row r="12204" spans="1:1" x14ac:dyDescent="0.2">
      <c r="A12204" s="101"/>
    </row>
    <row r="12205" spans="1:1" x14ac:dyDescent="0.2">
      <c r="A12205" s="101"/>
    </row>
    <row r="12206" spans="1:1" x14ac:dyDescent="0.2">
      <c r="A12206" s="101"/>
    </row>
    <row r="12207" spans="1:1" x14ac:dyDescent="0.2">
      <c r="A12207" s="101"/>
    </row>
    <row r="12208" spans="1:1" x14ac:dyDescent="0.2">
      <c r="A12208" s="101"/>
    </row>
    <row r="12209" spans="1:1" x14ac:dyDescent="0.2">
      <c r="A12209" s="101"/>
    </row>
    <row r="12210" spans="1:1" x14ac:dyDescent="0.2">
      <c r="A12210" s="101"/>
    </row>
    <row r="12211" spans="1:1" x14ac:dyDescent="0.2">
      <c r="A12211" s="101"/>
    </row>
    <row r="12212" spans="1:1" x14ac:dyDescent="0.2">
      <c r="A12212" s="101"/>
    </row>
    <row r="12213" spans="1:1" x14ac:dyDescent="0.2">
      <c r="A12213" s="101"/>
    </row>
    <row r="12214" spans="1:1" x14ac:dyDescent="0.2">
      <c r="A12214" s="101"/>
    </row>
    <row r="12215" spans="1:1" x14ac:dyDescent="0.2">
      <c r="A12215" s="101"/>
    </row>
    <row r="12216" spans="1:1" x14ac:dyDescent="0.2">
      <c r="A12216" s="101"/>
    </row>
    <row r="12217" spans="1:1" x14ac:dyDescent="0.2">
      <c r="A12217" s="101"/>
    </row>
    <row r="12218" spans="1:1" x14ac:dyDescent="0.2">
      <c r="A12218" s="101"/>
    </row>
    <row r="12219" spans="1:1" x14ac:dyDescent="0.2">
      <c r="A12219" s="101"/>
    </row>
    <row r="12220" spans="1:1" x14ac:dyDescent="0.2">
      <c r="A12220" s="101"/>
    </row>
    <row r="12221" spans="1:1" x14ac:dyDescent="0.2">
      <c r="A12221" s="101"/>
    </row>
    <row r="12222" spans="1:1" x14ac:dyDescent="0.2">
      <c r="A12222" s="101"/>
    </row>
    <row r="12223" spans="1:1" x14ac:dyDescent="0.2">
      <c r="A12223" s="101"/>
    </row>
    <row r="12224" spans="1:1" x14ac:dyDescent="0.2">
      <c r="A12224" s="101"/>
    </row>
    <row r="12225" spans="1:1" x14ac:dyDescent="0.2">
      <c r="A12225" s="101"/>
    </row>
    <row r="12226" spans="1:1" x14ac:dyDescent="0.2">
      <c r="A12226" s="101"/>
    </row>
    <row r="12227" spans="1:1" x14ac:dyDescent="0.2">
      <c r="A12227" s="101"/>
    </row>
    <row r="12228" spans="1:1" x14ac:dyDescent="0.2">
      <c r="A12228" s="101"/>
    </row>
    <row r="12229" spans="1:1" x14ac:dyDescent="0.2">
      <c r="A12229" s="101"/>
    </row>
    <row r="12230" spans="1:1" x14ac:dyDescent="0.2">
      <c r="A12230" s="101"/>
    </row>
    <row r="12231" spans="1:1" x14ac:dyDescent="0.2">
      <c r="A12231" s="101"/>
    </row>
    <row r="12232" spans="1:1" x14ac:dyDescent="0.2">
      <c r="A12232" s="101"/>
    </row>
    <row r="12233" spans="1:1" x14ac:dyDescent="0.2">
      <c r="A12233" s="101"/>
    </row>
    <row r="12234" spans="1:1" x14ac:dyDescent="0.2">
      <c r="A12234" s="101"/>
    </row>
    <row r="12235" spans="1:1" x14ac:dyDescent="0.2">
      <c r="A12235" s="101"/>
    </row>
    <row r="12236" spans="1:1" x14ac:dyDescent="0.2">
      <c r="A12236" s="101"/>
    </row>
    <row r="12237" spans="1:1" x14ac:dyDescent="0.2">
      <c r="A12237" s="101"/>
    </row>
    <row r="12238" spans="1:1" x14ac:dyDescent="0.2">
      <c r="A12238" s="101"/>
    </row>
    <row r="12239" spans="1:1" x14ac:dyDescent="0.2">
      <c r="A12239" s="101"/>
    </row>
    <row r="12240" spans="1:1" x14ac:dyDescent="0.2">
      <c r="A12240" s="101"/>
    </row>
    <row r="12241" spans="1:1" x14ac:dyDescent="0.2">
      <c r="A12241" s="101"/>
    </row>
    <row r="12242" spans="1:1" x14ac:dyDescent="0.2">
      <c r="A12242" s="101"/>
    </row>
    <row r="12243" spans="1:1" x14ac:dyDescent="0.2">
      <c r="A12243" s="101"/>
    </row>
    <row r="12244" spans="1:1" x14ac:dyDescent="0.2">
      <c r="A12244" s="101"/>
    </row>
    <row r="12245" spans="1:1" x14ac:dyDescent="0.2">
      <c r="A12245" s="101"/>
    </row>
    <row r="12246" spans="1:1" x14ac:dyDescent="0.2">
      <c r="A12246" s="101"/>
    </row>
    <row r="12247" spans="1:1" x14ac:dyDescent="0.2">
      <c r="A12247" s="101"/>
    </row>
    <row r="12248" spans="1:1" x14ac:dyDescent="0.2">
      <c r="A12248" s="101"/>
    </row>
    <row r="12249" spans="1:1" x14ac:dyDescent="0.2">
      <c r="A12249" s="101"/>
    </row>
    <row r="12250" spans="1:1" x14ac:dyDescent="0.2">
      <c r="A12250" s="101"/>
    </row>
    <row r="12251" spans="1:1" x14ac:dyDescent="0.2">
      <c r="A12251" s="101"/>
    </row>
    <row r="12252" spans="1:1" x14ac:dyDescent="0.2">
      <c r="A12252" s="101"/>
    </row>
    <row r="12253" spans="1:1" x14ac:dyDescent="0.2">
      <c r="A12253" s="101"/>
    </row>
    <row r="12254" spans="1:1" x14ac:dyDescent="0.2">
      <c r="A12254" s="101"/>
    </row>
    <row r="12255" spans="1:1" x14ac:dyDescent="0.2">
      <c r="A12255" s="101"/>
    </row>
    <row r="12256" spans="1:1" x14ac:dyDescent="0.2">
      <c r="A12256" s="101"/>
    </row>
    <row r="12257" spans="1:1" x14ac:dyDescent="0.2">
      <c r="A12257" s="101"/>
    </row>
    <row r="12258" spans="1:1" x14ac:dyDescent="0.2">
      <c r="A12258" s="101"/>
    </row>
    <row r="12259" spans="1:1" x14ac:dyDescent="0.2">
      <c r="A12259" s="101"/>
    </row>
    <row r="12260" spans="1:1" x14ac:dyDescent="0.2">
      <c r="A12260" s="101"/>
    </row>
    <row r="12261" spans="1:1" x14ac:dyDescent="0.2">
      <c r="A12261" s="101"/>
    </row>
    <row r="12262" spans="1:1" x14ac:dyDescent="0.2">
      <c r="A12262" s="101"/>
    </row>
    <row r="12263" spans="1:1" x14ac:dyDescent="0.2">
      <c r="A12263" s="101"/>
    </row>
    <row r="12264" spans="1:1" x14ac:dyDescent="0.2">
      <c r="A12264" s="101"/>
    </row>
    <row r="12265" spans="1:1" x14ac:dyDescent="0.2">
      <c r="A12265" s="101"/>
    </row>
    <row r="12266" spans="1:1" x14ac:dyDescent="0.2">
      <c r="A12266" s="101"/>
    </row>
    <row r="12267" spans="1:1" x14ac:dyDescent="0.2">
      <c r="A12267" s="101"/>
    </row>
    <row r="12268" spans="1:1" x14ac:dyDescent="0.2">
      <c r="A12268" s="101"/>
    </row>
    <row r="12269" spans="1:1" x14ac:dyDescent="0.2">
      <c r="A12269" s="101"/>
    </row>
    <row r="12270" spans="1:1" x14ac:dyDescent="0.2">
      <c r="A12270" s="101"/>
    </row>
    <row r="12271" spans="1:1" x14ac:dyDescent="0.2">
      <c r="A12271" s="101"/>
    </row>
    <row r="12272" spans="1:1" x14ac:dyDescent="0.2">
      <c r="A12272" s="101"/>
    </row>
    <row r="12273" spans="1:1" x14ac:dyDescent="0.2">
      <c r="A12273" s="101"/>
    </row>
    <row r="12274" spans="1:1" x14ac:dyDescent="0.2">
      <c r="A12274" s="101"/>
    </row>
    <row r="12275" spans="1:1" x14ac:dyDescent="0.2">
      <c r="A12275" s="101"/>
    </row>
    <row r="12276" spans="1:1" x14ac:dyDescent="0.2">
      <c r="A12276" s="101"/>
    </row>
    <row r="12277" spans="1:1" x14ac:dyDescent="0.2">
      <c r="A12277" s="101"/>
    </row>
    <row r="12278" spans="1:1" x14ac:dyDescent="0.2">
      <c r="A12278" s="101"/>
    </row>
    <row r="12279" spans="1:1" x14ac:dyDescent="0.2">
      <c r="A12279" s="101"/>
    </row>
    <row r="12280" spans="1:1" x14ac:dyDescent="0.2">
      <c r="A12280" s="101"/>
    </row>
    <row r="12281" spans="1:1" x14ac:dyDescent="0.2">
      <c r="A12281" s="101"/>
    </row>
    <row r="12282" spans="1:1" x14ac:dyDescent="0.2">
      <c r="A12282" s="101"/>
    </row>
    <row r="12283" spans="1:1" x14ac:dyDescent="0.2">
      <c r="A12283" s="101"/>
    </row>
    <row r="12284" spans="1:1" x14ac:dyDescent="0.2">
      <c r="A12284" s="101"/>
    </row>
    <row r="12285" spans="1:1" x14ac:dyDescent="0.2">
      <c r="A12285" s="101"/>
    </row>
    <row r="12286" spans="1:1" x14ac:dyDescent="0.2">
      <c r="A12286" s="101"/>
    </row>
    <row r="12287" spans="1:1" x14ac:dyDescent="0.2">
      <c r="A12287" s="101"/>
    </row>
    <row r="12288" spans="1:1" x14ac:dyDescent="0.2">
      <c r="A12288" s="101"/>
    </row>
    <row r="12289" spans="1:1" x14ac:dyDescent="0.2">
      <c r="A12289" s="101"/>
    </row>
    <row r="12290" spans="1:1" x14ac:dyDescent="0.2">
      <c r="A12290" s="101"/>
    </row>
    <row r="12291" spans="1:1" x14ac:dyDescent="0.2">
      <c r="A12291" s="101"/>
    </row>
    <row r="12292" spans="1:1" x14ac:dyDescent="0.2">
      <c r="A12292" s="101"/>
    </row>
    <row r="12293" spans="1:1" x14ac:dyDescent="0.2">
      <c r="A12293" s="101"/>
    </row>
    <row r="12294" spans="1:1" x14ac:dyDescent="0.2">
      <c r="A12294" s="101"/>
    </row>
    <row r="12295" spans="1:1" x14ac:dyDescent="0.2">
      <c r="A12295" s="101"/>
    </row>
    <row r="12296" spans="1:1" x14ac:dyDescent="0.2">
      <c r="A12296" s="101"/>
    </row>
    <row r="12297" spans="1:1" x14ac:dyDescent="0.2">
      <c r="A12297" s="101"/>
    </row>
    <row r="12298" spans="1:1" x14ac:dyDescent="0.2">
      <c r="A12298" s="101"/>
    </row>
    <row r="12299" spans="1:1" x14ac:dyDescent="0.2">
      <c r="A12299" s="101"/>
    </row>
    <row r="12300" spans="1:1" x14ac:dyDescent="0.2">
      <c r="A12300" s="101"/>
    </row>
    <row r="12301" spans="1:1" x14ac:dyDescent="0.2">
      <c r="A12301" s="101"/>
    </row>
    <row r="12302" spans="1:1" x14ac:dyDescent="0.2">
      <c r="A12302" s="101"/>
    </row>
    <row r="12303" spans="1:1" x14ac:dyDescent="0.2">
      <c r="A12303" s="101"/>
    </row>
    <row r="12304" spans="1:1" x14ac:dyDescent="0.2">
      <c r="A12304" s="101"/>
    </row>
    <row r="12305" spans="1:1" x14ac:dyDescent="0.2">
      <c r="A12305" s="101"/>
    </row>
    <row r="12306" spans="1:1" x14ac:dyDescent="0.2">
      <c r="A12306" s="101"/>
    </row>
    <row r="12307" spans="1:1" x14ac:dyDescent="0.2">
      <c r="A12307" s="101"/>
    </row>
    <row r="12308" spans="1:1" x14ac:dyDescent="0.2">
      <c r="A12308" s="101"/>
    </row>
    <row r="12309" spans="1:1" x14ac:dyDescent="0.2">
      <c r="A12309" s="101"/>
    </row>
    <row r="12310" spans="1:1" x14ac:dyDescent="0.2">
      <c r="A12310" s="101"/>
    </row>
    <row r="12311" spans="1:1" x14ac:dyDescent="0.2">
      <c r="A12311" s="101"/>
    </row>
    <row r="12312" spans="1:1" x14ac:dyDescent="0.2">
      <c r="A12312" s="101"/>
    </row>
    <row r="12313" spans="1:1" x14ac:dyDescent="0.2">
      <c r="A12313" s="101"/>
    </row>
    <row r="12314" spans="1:1" x14ac:dyDescent="0.2">
      <c r="A12314" s="101"/>
    </row>
    <row r="12315" spans="1:1" x14ac:dyDescent="0.2">
      <c r="A12315" s="101"/>
    </row>
    <row r="12316" spans="1:1" x14ac:dyDescent="0.2">
      <c r="A12316" s="101"/>
    </row>
    <row r="12317" spans="1:1" x14ac:dyDescent="0.2">
      <c r="A12317" s="101"/>
    </row>
    <row r="12318" spans="1:1" x14ac:dyDescent="0.2">
      <c r="A12318" s="101"/>
    </row>
    <row r="12319" spans="1:1" x14ac:dyDescent="0.2">
      <c r="A12319" s="101"/>
    </row>
    <row r="12320" spans="1:1" x14ac:dyDescent="0.2">
      <c r="A12320" s="101"/>
    </row>
    <row r="12321" spans="1:1" x14ac:dyDescent="0.2">
      <c r="A12321" s="101"/>
    </row>
    <row r="12322" spans="1:1" x14ac:dyDescent="0.2">
      <c r="A12322" s="101"/>
    </row>
    <row r="12323" spans="1:1" x14ac:dyDescent="0.2">
      <c r="A12323" s="101"/>
    </row>
    <row r="12324" spans="1:1" x14ac:dyDescent="0.2">
      <c r="A12324" s="101"/>
    </row>
    <row r="12325" spans="1:1" x14ac:dyDescent="0.2">
      <c r="A12325" s="101"/>
    </row>
    <row r="12326" spans="1:1" x14ac:dyDescent="0.2">
      <c r="A12326" s="101"/>
    </row>
    <row r="12327" spans="1:1" x14ac:dyDescent="0.2">
      <c r="A12327" s="101"/>
    </row>
    <row r="12328" spans="1:1" x14ac:dyDescent="0.2">
      <c r="A12328" s="101"/>
    </row>
    <row r="12329" spans="1:1" x14ac:dyDescent="0.2">
      <c r="A12329" s="101"/>
    </row>
    <row r="12330" spans="1:1" x14ac:dyDescent="0.2">
      <c r="A12330" s="101"/>
    </row>
    <row r="12331" spans="1:1" x14ac:dyDescent="0.2">
      <c r="A12331" s="101"/>
    </row>
    <row r="12332" spans="1:1" x14ac:dyDescent="0.2">
      <c r="A12332" s="101"/>
    </row>
    <row r="12333" spans="1:1" x14ac:dyDescent="0.2">
      <c r="A12333" s="101"/>
    </row>
    <row r="12334" spans="1:1" x14ac:dyDescent="0.2">
      <c r="A12334" s="101"/>
    </row>
    <row r="12335" spans="1:1" x14ac:dyDescent="0.2">
      <c r="A12335" s="101"/>
    </row>
    <row r="12336" spans="1:1" x14ac:dyDescent="0.2">
      <c r="A12336" s="101"/>
    </row>
    <row r="12337" spans="1:1" x14ac:dyDescent="0.2">
      <c r="A12337" s="101"/>
    </row>
    <row r="12338" spans="1:1" x14ac:dyDescent="0.2">
      <c r="A12338" s="101"/>
    </row>
    <row r="12339" spans="1:1" x14ac:dyDescent="0.2">
      <c r="A12339" s="101"/>
    </row>
    <row r="12340" spans="1:1" x14ac:dyDescent="0.2">
      <c r="A12340" s="101"/>
    </row>
    <row r="12341" spans="1:1" x14ac:dyDescent="0.2">
      <c r="A12341" s="101"/>
    </row>
    <row r="12342" spans="1:1" x14ac:dyDescent="0.2">
      <c r="A12342" s="101"/>
    </row>
    <row r="12343" spans="1:1" x14ac:dyDescent="0.2">
      <c r="A12343" s="101"/>
    </row>
    <row r="12344" spans="1:1" x14ac:dyDescent="0.2">
      <c r="A12344" s="101"/>
    </row>
    <row r="12345" spans="1:1" x14ac:dyDescent="0.2">
      <c r="A12345" s="101"/>
    </row>
    <row r="12346" spans="1:1" x14ac:dyDescent="0.2">
      <c r="A12346" s="101"/>
    </row>
    <row r="12347" spans="1:1" x14ac:dyDescent="0.2">
      <c r="A12347" s="101"/>
    </row>
    <row r="12348" spans="1:1" x14ac:dyDescent="0.2">
      <c r="A12348" s="101"/>
    </row>
    <row r="12349" spans="1:1" x14ac:dyDescent="0.2">
      <c r="A12349" s="101"/>
    </row>
    <row r="12350" spans="1:1" x14ac:dyDescent="0.2">
      <c r="A12350" s="101"/>
    </row>
    <row r="12351" spans="1:1" x14ac:dyDescent="0.2">
      <c r="A12351" s="101"/>
    </row>
    <row r="12352" spans="1:1" x14ac:dyDescent="0.2">
      <c r="A12352" s="101"/>
    </row>
    <row r="12353" spans="1:1" x14ac:dyDescent="0.2">
      <c r="A12353" s="101"/>
    </row>
    <row r="12354" spans="1:1" x14ac:dyDescent="0.2">
      <c r="A12354" s="101"/>
    </row>
    <row r="12355" spans="1:1" x14ac:dyDescent="0.2">
      <c r="A12355" s="101"/>
    </row>
    <row r="12356" spans="1:1" x14ac:dyDescent="0.2">
      <c r="A12356" s="101"/>
    </row>
    <row r="12357" spans="1:1" x14ac:dyDescent="0.2">
      <c r="A12357" s="101"/>
    </row>
    <row r="12358" spans="1:1" x14ac:dyDescent="0.2">
      <c r="A12358" s="101"/>
    </row>
    <row r="12359" spans="1:1" x14ac:dyDescent="0.2">
      <c r="A12359" s="101"/>
    </row>
    <row r="12360" spans="1:1" x14ac:dyDescent="0.2">
      <c r="A12360" s="101"/>
    </row>
    <row r="12361" spans="1:1" x14ac:dyDescent="0.2">
      <c r="A12361" s="101"/>
    </row>
    <row r="12362" spans="1:1" x14ac:dyDescent="0.2">
      <c r="A12362" s="101"/>
    </row>
    <row r="12363" spans="1:1" x14ac:dyDescent="0.2">
      <c r="A12363" s="101"/>
    </row>
    <row r="12364" spans="1:1" x14ac:dyDescent="0.2">
      <c r="A12364" s="101"/>
    </row>
    <row r="12365" spans="1:1" x14ac:dyDescent="0.2">
      <c r="A12365" s="101"/>
    </row>
    <row r="12366" spans="1:1" x14ac:dyDescent="0.2">
      <c r="A12366" s="101"/>
    </row>
    <row r="12367" spans="1:1" x14ac:dyDescent="0.2">
      <c r="A12367" s="101"/>
    </row>
    <row r="12368" spans="1:1" x14ac:dyDescent="0.2">
      <c r="A12368" s="101"/>
    </row>
    <row r="12369" spans="1:1" x14ac:dyDescent="0.2">
      <c r="A12369" s="101"/>
    </row>
    <row r="12370" spans="1:1" x14ac:dyDescent="0.2">
      <c r="A12370" s="101"/>
    </row>
    <row r="12371" spans="1:1" x14ac:dyDescent="0.2">
      <c r="A12371" s="101"/>
    </row>
    <row r="12372" spans="1:1" x14ac:dyDescent="0.2">
      <c r="A12372" s="101"/>
    </row>
    <row r="12373" spans="1:1" x14ac:dyDescent="0.2">
      <c r="A12373" s="101"/>
    </row>
    <row r="12374" spans="1:1" x14ac:dyDescent="0.2">
      <c r="A12374" s="101"/>
    </row>
    <row r="12375" spans="1:1" x14ac:dyDescent="0.2">
      <c r="A12375" s="101"/>
    </row>
    <row r="12376" spans="1:1" x14ac:dyDescent="0.2">
      <c r="A12376" s="101"/>
    </row>
    <row r="12377" spans="1:1" x14ac:dyDescent="0.2">
      <c r="A12377" s="101"/>
    </row>
    <row r="12378" spans="1:1" x14ac:dyDescent="0.2">
      <c r="A12378" s="101"/>
    </row>
    <row r="12379" spans="1:1" x14ac:dyDescent="0.2">
      <c r="A12379" s="101"/>
    </row>
    <row r="12380" spans="1:1" x14ac:dyDescent="0.2">
      <c r="A12380" s="101"/>
    </row>
    <row r="12381" spans="1:1" x14ac:dyDescent="0.2">
      <c r="A12381" s="101"/>
    </row>
    <row r="12382" spans="1:1" x14ac:dyDescent="0.2">
      <c r="A12382" s="101"/>
    </row>
    <row r="12383" spans="1:1" x14ac:dyDescent="0.2">
      <c r="A12383" s="101"/>
    </row>
    <row r="12384" spans="1:1" x14ac:dyDescent="0.2">
      <c r="A12384" s="101"/>
    </row>
    <row r="12385" spans="1:1" x14ac:dyDescent="0.2">
      <c r="A12385" s="101"/>
    </row>
    <row r="12386" spans="1:1" x14ac:dyDescent="0.2">
      <c r="A12386" s="101"/>
    </row>
    <row r="12387" spans="1:1" x14ac:dyDescent="0.2">
      <c r="A12387" s="101"/>
    </row>
    <row r="12388" spans="1:1" x14ac:dyDescent="0.2">
      <c r="A12388" s="101"/>
    </row>
    <row r="12389" spans="1:1" x14ac:dyDescent="0.2">
      <c r="A12389" s="101"/>
    </row>
    <row r="12390" spans="1:1" x14ac:dyDescent="0.2">
      <c r="A12390" s="101"/>
    </row>
    <row r="12391" spans="1:1" x14ac:dyDescent="0.2">
      <c r="A12391" s="101"/>
    </row>
    <row r="12392" spans="1:1" x14ac:dyDescent="0.2">
      <c r="A12392" s="101"/>
    </row>
    <row r="12393" spans="1:1" x14ac:dyDescent="0.2">
      <c r="A12393" s="101"/>
    </row>
    <row r="12394" spans="1:1" x14ac:dyDescent="0.2">
      <c r="A12394" s="101"/>
    </row>
    <row r="12395" spans="1:1" x14ac:dyDescent="0.2">
      <c r="A12395" s="101"/>
    </row>
    <row r="12396" spans="1:1" x14ac:dyDescent="0.2">
      <c r="A12396" s="101"/>
    </row>
    <row r="12397" spans="1:1" x14ac:dyDescent="0.2">
      <c r="A12397" s="101"/>
    </row>
    <row r="12398" spans="1:1" x14ac:dyDescent="0.2">
      <c r="A12398" s="101"/>
    </row>
    <row r="12399" spans="1:1" x14ac:dyDescent="0.2">
      <c r="A12399" s="101"/>
    </row>
    <row r="12400" spans="1:1" x14ac:dyDescent="0.2">
      <c r="A12400" s="101"/>
    </row>
    <row r="12401" spans="1:1" x14ac:dyDescent="0.2">
      <c r="A12401" s="101"/>
    </row>
    <row r="12402" spans="1:1" x14ac:dyDescent="0.2">
      <c r="A12402" s="101"/>
    </row>
    <row r="12403" spans="1:1" x14ac:dyDescent="0.2">
      <c r="A12403" s="101"/>
    </row>
    <row r="12404" spans="1:1" x14ac:dyDescent="0.2">
      <c r="A12404" s="101"/>
    </row>
    <row r="12405" spans="1:1" x14ac:dyDescent="0.2">
      <c r="A12405" s="101"/>
    </row>
    <row r="12406" spans="1:1" x14ac:dyDescent="0.2">
      <c r="A12406" s="101"/>
    </row>
    <row r="12407" spans="1:1" x14ac:dyDescent="0.2">
      <c r="A12407" s="101"/>
    </row>
    <row r="12408" spans="1:1" x14ac:dyDescent="0.2">
      <c r="A12408" s="101"/>
    </row>
    <row r="12409" spans="1:1" x14ac:dyDescent="0.2">
      <c r="A12409" s="101"/>
    </row>
    <row r="12410" spans="1:1" x14ac:dyDescent="0.2">
      <c r="A12410" s="101"/>
    </row>
    <row r="12411" spans="1:1" x14ac:dyDescent="0.2">
      <c r="A12411" s="101"/>
    </row>
    <row r="12412" spans="1:1" x14ac:dyDescent="0.2">
      <c r="A12412" s="101"/>
    </row>
    <row r="12413" spans="1:1" x14ac:dyDescent="0.2">
      <c r="A12413" s="101"/>
    </row>
    <row r="12414" spans="1:1" x14ac:dyDescent="0.2">
      <c r="A12414" s="101"/>
    </row>
    <row r="12415" spans="1:1" x14ac:dyDescent="0.2">
      <c r="A12415" s="101"/>
    </row>
    <row r="12416" spans="1:1" x14ac:dyDescent="0.2">
      <c r="A12416" s="101"/>
    </row>
    <row r="12417" spans="1:1" x14ac:dyDescent="0.2">
      <c r="A12417" s="101"/>
    </row>
    <row r="12418" spans="1:1" x14ac:dyDescent="0.2">
      <c r="A12418" s="101"/>
    </row>
    <row r="12419" spans="1:1" x14ac:dyDescent="0.2">
      <c r="A12419" s="101"/>
    </row>
    <row r="12420" spans="1:1" x14ac:dyDescent="0.2">
      <c r="A12420" s="101"/>
    </row>
    <row r="12421" spans="1:1" x14ac:dyDescent="0.2">
      <c r="A12421" s="101"/>
    </row>
    <row r="12422" spans="1:1" x14ac:dyDescent="0.2">
      <c r="A12422" s="101"/>
    </row>
    <row r="12423" spans="1:1" x14ac:dyDescent="0.2">
      <c r="A12423" s="101"/>
    </row>
    <row r="12424" spans="1:1" x14ac:dyDescent="0.2">
      <c r="A12424" s="101"/>
    </row>
    <row r="12425" spans="1:1" x14ac:dyDescent="0.2">
      <c r="A12425" s="101"/>
    </row>
    <row r="12426" spans="1:1" x14ac:dyDescent="0.2">
      <c r="A12426" s="101"/>
    </row>
    <row r="12427" spans="1:1" x14ac:dyDescent="0.2">
      <c r="A12427" s="101"/>
    </row>
    <row r="12428" spans="1:1" x14ac:dyDescent="0.2">
      <c r="A12428" s="101"/>
    </row>
    <row r="12429" spans="1:1" x14ac:dyDescent="0.2">
      <c r="A12429" s="101"/>
    </row>
    <row r="12430" spans="1:1" x14ac:dyDescent="0.2">
      <c r="A12430" s="101"/>
    </row>
    <row r="12431" spans="1:1" x14ac:dyDescent="0.2">
      <c r="A12431" s="101"/>
    </row>
    <row r="12432" spans="1:1" x14ac:dyDescent="0.2">
      <c r="A12432" s="101"/>
    </row>
    <row r="12433" spans="1:1" x14ac:dyDescent="0.2">
      <c r="A12433" s="101"/>
    </row>
    <row r="12434" spans="1:1" x14ac:dyDescent="0.2">
      <c r="A12434" s="101"/>
    </row>
    <row r="12435" spans="1:1" x14ac:dyDescent="0.2">
      <c r="A12435" s="101"/>
    </row>
    <row r="12436" spans="1:1" x14ac:dyDescent="0.2">
      <c r="A12436" s="101"/>
    </row>
    <row r="12437" spans="1:1" x14ac:dyDescent="0.2">
      <c r="A12437" s="101"/>
    </row>
    <row r="12438" spans="1:1" x14ac:dyDescent="0.2">
      <c r="A12438" s="101"/>
    </row>
    <row r="12439" spans="1:1" x14ac:dyDescent="0.2">
      <c r="A12439" s="101"/>
    </row>
    <row r="12440" spans="1:1" x14ac:dyDescent="0.2">
      <c r="A12440" s="101"/>
    </row>
    <row r="12441" spans="1:1" x14ac:dyDescent="0.2">
      <c r="A12441" s="101"/>
    </row>
    <row r="12442" spans="1:1" x14ac:dyDescent="0.2">
      <c r="A12442" s="101"/>
    </row>
    <row r="12443" spans="1:1" x14ac:dyDescent="0.2">
      <c r="A12443" s="101"/>
    </row>
    <row r="12444" spans="1:1" x14ac:dyDescent="0.2">
      <c r="A12444" s="101"/>
    </row>
    <row r="12445" spans="1:1" x14ac:dyDescent="0.2">
      <c r="A12445" s="101"/>
    </row>
    <row r="12446" spans="1:1" x14ac:dyDescent="0.2">
      <c r="A12446" s="101"/>
    </row>
    <row r="12447" spans="1:1" x14ac:dyDescent="0.2">
      <c r="A12447" s="101"/>
    </row>
    <row r="12448" spans="1:1" x14ac:dyDescent="0.2">
      <c r="A12448" s="101"/>
    </row>
    <row r="12449" spans="1:1" x14ac:dyDescent="0.2">
      <c r="A12449" s="101"/>
    </row>
    <row r="12450" spans="1:1" x14ac:dyDescent="0.2">
      <c r="A12450" s="101"/>
    </row>
    <row r="12451" spans="1:1" x14ac:dyDescent="0.2">
      <c r="A12451" s="101"/>
    </row>
    <row r="12452" spans="1:1" x14ac:dyDescent="0.2">
      <c r="A12452" s="101"/>
    </row>
    <row r="12453" spans="1:1" x14ac:dyDescent="0.2">
      <c r="A12453" s="101"/>
    </row>
    <row r="12454" spans="1:1" x14ac:dyDescent="0.2">
      <c r="A12454" s="101"/>
    </row>
    <row r="12455" spans="1:1" x14ac:dyDescent="0.2">
      <c r="A12455" s="101"/>
    </row>
    <row r="12456" spans="1:1" x14ac:dyDescent="0.2">
      <c r="A12456" s="101"/>
    </row>
    <row r="12457" spans="1:1" x14ac:dyDescent="0.2">
      <c r="A12457" s="101"/>
    </row>
    <row r="12458" spans="1:1" x14ac:dyDescent="0.2">
      <c r="A12458" s="101"/>
    </row>
    <row r="12459" spans="1:1" x14ac:dyDescent="0.2">
      <c r="A12459" s="101"/>
    </row>
    <row r="12460" spans="1:1" x14ac:dyDescent="0.2">
      <c r="A12460" s="101"/>
    </row>
    <row r="12461" spans="1:1" x14ac:dyDescent="0.2">
      <c r="A12461" s="101"/>
    </row>
    <row r="12462" spans="1:1" x14ac:dyDescent="0.2">
      <c r="A12462" s="101"/>
    </row>
    <row r="12463" spans="1:1" x14ac:dyDescent="0.2">
      <c r="A12463" s="101"/>
    </row>
    <row r="12464" spans="1:1" x14ac:dyDescent="0.2">
      <c r="A12464" s="101"/>
    </row>
    <row r="12465" spans="1:1" x14ac:dyDescent="0.2">
      <c r="A12465" s="101"/>
    </row>
    <row r="12466" spans="1:1" x14ac:dyDescent="0.2">
      <c r="A12466" s="101"/>
    </row>
    <row r="12467" spans="1:1" x14ac:dyDescent="0.2">
      <c r="A12467" s="101"/>
    </row>
    <row r="12468" spans="1:1" x14ac:dyDescent="0.2">
      <c r="A12468" s="101"/>
    </row>
    <row r="12469" spans="1:1" x14ac:dyDescent="0.2">
      <c r="A12469" s="101"/>
    </row>
    <row r="12470" spans="1:1" x14ac:dyDescent="0.2">
      <c r="A12470" s="101"/>
    </row>
    <row r="12471" spans="1:1" x14ac:dyDescent="0.2">
      <c r="A12471" s="101"/>
    </row>
    <row r="12472" spans="1:1" x14ac:dyDescent="0.2">
      <c r="A12472" s="101"/>
    </row>
    <row r="12473" spans="1:1" x14ac:dyDescent="0.2">
      <c r="A12473" s="101"/>
    </row>
    <row r="12474" spans="1:1" x14ac:dyDescent="0.2">
      <c r="A12474" s="101"/>
    </row>
    <row r="12475" spans="1:1" x14ac:dyDescent="0.2">
      <c r="A12475" s="101"/>
    </row>
    <row r="12476" spans="1:1" x14ac:dyDescent="0.2">
      <c r="A12476" s="101"/>
    </row>
    <row r="12477" spans="1:1" x14ac:dyDescent="0.2">
      <c r="A12477" s="101"/>
    </row>
    <row r="12478" spans="1:1" x14ac:dyDescent="0.2">
      <c r="A12478" s="101"/>
    </row>
    <row r="12479" spans="1:1" x14ac:dyDescent="0.2">
      <c r="A12479" s="101"/>
    </row>
    <row r="12480" spans="1:1" x14ac:dyDescent="0.2">
      <c r="A12480" s="101"/>
    </row>
    <row r="12481" spans="1:1" x14ac:dyDescent="0.2">
      <c r="A12481" s="101"/>
    </row>
    <row r="12482" spans="1:1" x14ac:dyDescent="0.2">
      <c r="A12482" s="101"/>
    </row>
    <row r="12483" spans="1:1" x14ac:dyDescent="0.2">
      <c r="A12483" s="101"/>
    </row>
    <row r="12484" spans="1:1" x14ac:dyDescent="0.2">
      <c r="A12484" s="101"/>
    </row>
    <row r="12485" spans="1:1" x14ac:dyDescent="0.2">
      <c r="A12485" s="101"/>
    </row>
    <row r="12486" spans="1:1" x14ac:dyDescent="0.2">
      <c r="A12486" s="101"/>
    </row>
    <row r="12487" spans="1:1" x14ac:dyDescent="0.2">
      <c r="A12487" s="101"/>
    </row>
    <row r="12488" spans="1:1" x14ac:dyDescent="0.2">
      <c r="A12488" s="101"/>
    </row>
    <row r="12489" spans="1:1" x14ac:dyDescent="0.2">
      <c r="A12489" s="101"/>
    </row>
    <row r="12490" spans="1:1" x14ac:dyDescent="0.2">
      <c r="A12490" s="101"/>
    </row>
    <row r="12491" spans="1:1" x14ac:dyDescent="0.2">
      <c r="A12491" s="101"/>
    </row>
    <row r="12492" spans="1:1" x14ac:dyDescent="0.2">
      <c r="A12492" s="101"/>
    </row>
    <row r="12493" spans="1:1" x14ac:dyDescent="0.2">
      <c r="A12493" s="101"/>
    </row>
    <row r="12494" spans="1:1" x14ac:dyDescent="0.2">
      <c r="A12494" s="101"/>
    </row>
    <row r="12495" spans="1:1" x14ac:dyDescent="0.2">
      <c r="A12495" s="101"/>
    </row>
    <row r="12496" spans="1:1" x14ac:dyDescent="0.2">
      <c r="A12496" s="101"/>
    </row>
    <row r="12497" spans="1:1" x14ac:dyDescent="0.2">
      <c r="A12497" s="101"/>
    </row>
    <row r="12498" spans="1:1" x14ac:dyDescent="0.2">
      <c r="A12498" s="101"/>
    </row>
    <row r="12499" spans="1:1" x14ac:dyDescent="0.2">
      <c r="A12499" s="101"/>
    </row>
    <row r="12500" spans="1:1" x14ac:dyDescent="0.2">
      <c r="A12500" s="101"/>
    </row>
    <row r="12501" spans="1:1" x14ac:dyDescent="0.2">
      <c r="A12501" s="101"/>
    </row>
    <row r="12502" spans="1:1" x14ac:dyDescent="0.2">
      <c r="A12502" s="101"/>
    </row>
    <row r="12503" spans="1:1" x14ac:dyDescent="0.2">
      <c r="A12503" s="101"/>
    </row>
    <row r="12504" spans="1:1" x14ac:dyDescent="0.2">
      <c r="A12504" s="101"/>
    </row>
    <row r="12505" spans="1:1" x14ac:dyDescent="0.2">
      <c r="A12505" s="101"/>
    </row>
    <row r="12506" spans="1:1" x14ac:dyDescent="0.2">
      <c r="A12506" s="101"/>
    </row>
    <row r="12507" spans="1:1" x14ac:dyDescent="0.2">
      <c r="A12507" s="101"/>
    </row>
    <row r="12508" spans="1:1" x14ac:dyDescent="0.2">
      <c r="A12508" s="101"/>
    </row>
    <row r="12509" spans="1:1" x14ac:dyDescent="0.2">
      <c r="A12509" s="101"/>
    </row>
    <row r="12510" spans="1:1" x14ac:dyDescent="0.2">
      <c r="A12510" s="101"/>
    </row>
    <row r="12511" spans="1:1" x14ac:dyDescent="0.2">
      <c r="A12511" s="101"/>
    </row>
    <row r="12512" spans="1:1" x14ac:dyDescent="0.2">
      <c r="A12512" s="101"/>
    </row>
    <row r="12513" spans="1:1" x14ac:dyDescent="0.2">
      <c r="A12513" s="101"/>
    </row>
    <row r="12514" spans="1:1" x14ac:dyDescent="0.2">
      <c r="A12514" s="101"/>
    </row>
    <row r="12515" spans="1:1" x14ac:dyDescent="0.2">
      <c r="A12515" s="101"/>
    </row>
    <row r="12516" spans="1:1" x14ac:dyDescent="0.2">
      <c r="A12516" s="101"/>
    </row>
    <row r="12517" spans="1:1" x14ac:dyDescent="0.2">
      <c r="A12517" s="101"/>
    </row>
    <row r="12518" spans="1:1" x14ac:dyDescent="0.2">
      <c r="A12518" s="101"/>
    </row>
    <row r="12519" spans="1:1" x14ac:dyDescent="0.2">
      <c r="A12519" s="101"/>
    </row>
    <row r="12520" spans="1:1" x14ac:dyDescent="0.2">
      <c r="A12520" s="101"/>
    </row>
    <row r="12521" spans="1:1" x14ac:dyDescent="0.2">
      <c r="A12521" s="101"/>
    </row>
    <row r="12522" spans="1:1" x14ac:dyDescent="0.2">
      <c r="A12522" s="101"/>
    </row>
    <row r="12523" spans="1:1" x14ac:dyDescent="0.2">
      <c r="A12523" s="101"/>
    </row>
    <row r="12524" spans="1:1" x14ac:dyDescent="0.2">
      <c r="A12524" s="101"/>
    </row>
    <row r="12525" spans="1:1" x14ac:dyDescent="0.2">
      <c r="A12525" s="101"/>
    </row>
    <row r="12526" spans="1:1" x14ac:dyDescent="0.2">
      <c r="A12526" s="101"/>
    </row>
    <row r="12527" spans="1:1" x14ac:dyDescent="0.2">
      <c r="A12527" s="101"/>
    </row>
    <row r="12528" spans="1:1" x14ac:dyDescent="0.2">
      <c r="A12528" s="101"/>
    </row>
    <row r="12529" spans="1:1" x14ac:dyDescent="0.2">
      <c r="A12529" s="101"/>
    </row>
    <row r="12530" spans="1:1" x14ac:dyDescent="0.2">
      <c r="A12530" s="101"/>
    </row>
    <row r="12531" spans="1:1" x14ac:dyDescent="0.2">
      <c r="A12531" s="101"/>
    </row>
    <row r="12532" spans="1:1" x14ac:dyDescent="0.2">
      <c r="A12532" s="101"/>
    </row>
    <row r="12533" spans="1:1" x14ac:dyDescent="0.2">
      <c r="A12533" s="101"/>
    </row>
    <row r="12534" spans="1:1" x14ac:dyDescent="0.2">
      <c r="A12534" s="101"/>
    </row>
    <row r="12535" spans="1:1" x14ac:dyDescent="0.2">
      <c r="A12535" s="101"/>
    </row>
    <row r="12536" spans="1:1" x14ac:dyDescent="0.2">
      <c r="A12536" s="101"/>
    </row>
    <row r="12537" spans="1:1" x14ac:dyDescent="0.2">
      <c r="A12537" s="101"/>
    </row>
    <row r="12538" spans="1:1" x14ac:dyDescent="0.2">
      <c r="A12538" s="101"/>
    </row>
    <row r="12539" spans="1:1" x14ac:dyDescent="0.2">
      <c r="A12539" s="101"/>
    </row>
    <row r="12540" spans="1:1" x14ac:dyDescent="0.2">
      <c r="A12540" s="101"/>
    </row>
    <row r="12541" spans="1:1" x14ac:dyDescent="0.2">
      <c r="A12541" s="101"/>
    </row>
    <row r="12542" spans="1:1" x14ac:dyDescent="0.2">
      <c r="A12542" s="101"/>
    </row>
    <row r="12543" spans="1:1" x14ac:dyDescent="0.2">
      <c r="A12543" s="101"/>
    </row>
    <row r="12544" spans="1:1" x14ac:dyDescent="0.2">
      <c r="A12544" s="101"/>
    </row>
    <row r="12545" spans="1:1" x14ac:dyDescent="0.2">
      <c r="A12545" s="101"/>
    </row>
    <row r="12546" spans="1:1" x14ac:dyDescent="0.2">
      <c r="A12546" s="101"/>
    </row>
    <row r="12547" spans="1:1" x14ac:dyDescent="0.2">
      <c r="A12547" s="101"/>
    </row>
    <row r="12548" spans="1:1" x14ac:dyDescent="0.2">
      <c r="A12548" s="101"/>
    </row>
    <row r="12549" spans="1:1" x14ac:dyDescent="0.2">
      <c r="A12549" s="101"/>
    </row>
    <row r="12550" spans="1:1" x14ac:dyDescent="0.2">
      <c r="A12550" s="101"/>
    </row>
    <row r="12551" spans="1:1" x14ac:dyDescent="0.2">
      <c r="A12551" s="101"/>
    </row>
    <row r="12552" spans="1:1" x14ac:dyDescent="0.2">
      <c r="A12552" s="101"/>
    </row>
    <row r="12553" spans="1:1" x14ac:dyDescent="0.2">
      <c r="A12553" s="101"/>
    </row>
    <row r="12554" spans="1:1" x14ac:dyDescent="0.2">
      <c r="A12554" s="101"/>
    </row>
    <row r="12555" spans="1:1" x14ac:dyDescent="0.2">
      <c r="A12555" s="101"/>
    </row>
    <row r="12556" spans="1:1" x14ac:dyDescent="0.2">
      <c r="A12556" s="101"/>
    </row>
    <row r="12557" spans="1:1" x14ac:dyDescent="0.2">
      <c r="A12557" s="101"/>
    </row>
    <row r="12558" spans="1:1" x14ac:dyDescent="0.2">
      <c r="A12558" s="101"/>
    </row>
    <row r="12559" spans="1:1" x14ac:dyDescent="0.2">
      <c r="A12559" s="101"/>
    </row>
    <row r="12560" spans="1:1" x14ac:dyDescent="0.2">
      <c r="A12560" s="101"/>
    </row>
    <row r="12561" spans="1:1" x14ac:dyDescent="0.2">
      <c r="A12561" s="101"/>
    </row>
    <row r="12562" spans="1:1" x14ac:dyDescent="0.2">
      <c r="A12562" s="101"/>
    </row>
    <row r="12563" spans="1:1" x14ac:dyDescent="0.2">
      <c r="A12563" s="101"/>
    </row>
    <row r="12564" spans="1:1" x14ac:dyDescent="0.2">
      <c r="A12564" s="101"/>
    </row>
    <row r="12565" spans="1:1" x14ac:dyDescent="0.2">
      <c r="A12565" s="101"/>
    </row>
    <row r="12566" spans="1:1" x14ac:dyDescent="0.2">
      <c r="A12566" s="101"/>
    </row>
    <row r="12567" spans="1:1" x14ac:dyDescent="0.2">
      <c r="A12567" s="101"/>
    </row>
    <row r="12568" spans="1:1" x14ac:dyDescent="0.2">
      <c r="A12568" s="101"/>
    </row>
    <row r="12569" spans="1:1" x14ac:dyDescent="0.2">
      <c r="A12569" s="101"/>
    </row>
    <row r="12570" spans="1:1" x14ac:dyDescent="0.2">
      <c r="A12570" s="101"/>
    </row>
    <row r="12571" spans="1:1" x14ac:dyDescent="0.2">
      <c r="A12571" s="101"/>
    </row>
    <row r="12572" spans="1:1" x14ac:dyDescent="0.2">
      <c r="A12572" s="101"/>
    </row>
    <row r="12573" spans="1:1" x14ac:dyDescent="0.2">
      <c r="A12573" s="101"/>
    </row>
    <row r="12574" spans="1:1" x14ac:dyDescent="0.2">
      <c r="A12574" s="101"/>
    </row>
    <row r="12575" spans="1:1" x14ac:dyDescent="0.2">
      <c r="A12575" s="101"/>
    </row>
    <row r="12576" spans="1:1" x14ac:dyDescent="0.2">
      <c r="A12576" s="101"/>
    </row>
    <row r="12577" spans="1:1" x14ac:dyDescent="0.2">
      <c r="A12577" s="101"/>
    </row>
    <row r="12578" spans="1:1" x14ac:dyDescent="0.2">
      <c r="A12578" s="101"/>
    </row>
    <row r="12579" spans="1:1" x14ac:dyDescent="0.2">
      <c r="A12579" s="101"/>
    </row>
    <row r="12580" spans="1:1" x14ac:dyDescent="0.2">
      <c r="A12580" s="101"/>
    </row>
    <row r="12581" spans="1:1" x14ac:dyDescent="0.2">
      <c r="A12581" s="101"/>
    </row>
    <row r="12582" spans="1:1" x14ac:dyDescent="0.2">
      <c r="A12582" s="101"/>
    </row>
    <row r="12583" spans="1:1" x14ac:dyDescent="0.2">
      <c r="A12583" s="101"/>
    </row>
    <row r="12584" spans="1:1" x14ac:dyDescent="0.2">
      <c r="A12584" s="101"/>
    </row>
    <row r="12585" spans="1:1" x14ac:dyDescent="0.2">
      <c r="A12585" s="101"/>
    </row>
    <row r="12586" spans="1:1" x14ac:dyDescent="0.2">
      <c r="A12586" s="101"/>
    </row>
    <row r="12587" spans="1:1" x14ac:dyDescent="0.2">
      <c r="A12587" s="101"/>
    </row>
    <row r="12588" spans="1:1" x14ac:dyDescent="0.2">
      <c r="A12588" s="101"/>
    </row>
    <row r="12589" spans="1:1" x14ac:dyDescent="0.2">
      <c r="A12589" s="101"/>
    </row>
    <row r="12590" spans="1:1" x14ac:dyDescent="0.2">
      <c r="A12590" s="101"/>
    </row>
    <row r="12591" spans="1:1" x14ac:dyDescent="0.2">
      <c r="A12591" s="101"/>
    </row>
    <row r="12592" spans="1:1" x14ac:dyDescent="0.2">
      <c r="A12592" s="101"/>
    </row>
    <row r="12593" spans="1:1" x14ac:dyDescent="0.2">
      <c r="A12593" s="101"/>
    </row>
    <row r="12594" spans="1:1" x14ac:dyDescent="0.2">
      <c r="A12594" s="101"/>
    </row>
    <row r="12595" spans="1:1" x14ac:dyDescent="0.2">
      <c r="A12595" s="101"/>
    </row>
    <row r="12596" spans="1:1" x14ac:dyDescent="0.2">
      <c r="A12596" s="101"/>
    </row>
    <row r="12597" spans="1:1" x14ac:dyDescent="0.2">
      <c r="A12597" s="101"/>
    </row>
    <row r="12598" spans="1:1" x14ac:dyDescent="0.2">
      <c r="A12598" s="101"/>
    </row>
    <row r="12599" spans="1:1" x14ac:dyDescent="0.2">
      <c r="A12599" s="101"/>
    </row>
    <row r="12600" spans="1:1" x14ac:dyDescent="0.2">
      <c r="A12600" s="101"/>
    </row>
    <row r="12601" spans="1:1" x14ac:dyDescent="0.2">
      <c r="A12601" s="101"/>
    </row>
    <row r="12602" spans="1:1" x14ac:dyDescent="0.2">
      <c r="A12602" s="101"/>
    </row>
    <row r="12603" spans="1:1" x14ac:dyDescent="0.2">
      <c r="A12603" s="101"/>
    </row>
    <row r="12604" spans="1:1" x14ac:dyDescent="0.2">
      <c r="A12604" s="101"/>
    </row>
    <row r="12605" spans="1:1" x14ac:dyDescent="0.2">
      <c r="A12605" s="101"/>
    </row>
    <row r="12606" spans="1:1" x14ac:dyDescent="0.2">
      <c r="A12606" s="101"/>
    </row>
    <row r="12607" spans="1:1" x14ac:dyDescent="0.2">
      <c r="A12607" s="101"/>
    </row>
    <row r="12608" spans="1:1" x14ac:dyDescent="0.2">
      <c r="A12608" s="101"/>
    </row>
    <row r="12609" spans="1:1" x14ac:dyDescent="0.2">
      <c r="A12609" s="101"/>
    </row>
    <row r="12610" spans="1:1" x14ac:dyDescent="0.2">
      <c r="A12610" s="101"/>
    </row>
    <row r="12611" spans="1:1" x14ac:dyDescent="0.2">
      <c r="A12611" s="101"/>
    </row>
    <row r="12612" spans="1:1" x14ac:dyDescent="0.2">
      <c r="A12612" s="101"/>
    </row>
    <row r="12613" spans="1:1" x14ac:dyDescent="0.2">
      <c r="A12613" s="101"/>
    </row>
    <row r="12614" spans="1:1" x14ac:dyDescent="0.2">
      <c r="A12614" s="101"/>
    </row>
    <row r="12615" spans="1:1" x14ac:dyDescent="0.2">
      <c r="A12615" s="101"/>
    </row>
    <row r="12616" spans="1:1" x14ac:dyDescent="0.2">
      <c r="A12616" s="101"/>
    </row>
    <row r="12617" spans="1:1" x14ac:dyDescent="0.2">
      <c r="A12617" s="101"/>
    </row>
    <row r="12618" spans="1:1" x14ac:dyDescent="0.2">
      <c r="A12618" s="101"/>
    </row>
    <row r="12619" spans="1:1" x14ac:dyDescent="0.2">
      <c r="A12619" s="101"/>
    </row>
    <row r="12620" spans="1:1" x14ac:dyDescent="0.2">
      <c r="A12620" s="101"/>
    </row>
    <row r="12621" spans="1:1" x14ac:dyDescent="0.2">
      <c r="A12621" s="101"/>
    </row>
    <row r="12622" spans="1:1" x14ac:dyDescent="0.2">
      <c r="A12622" s="101"/>
    </row>
    <row r="12623" spans="1:1" x14ac:dyDescent="0.2">
      <c r="A12623" s="101"/>
    </row>
    <row r="12624" spans="1:1" x14ac:dyDescent="0.2">
      <c r="A12624" s="101"/>
    </row>
    <row r="12625" spans="1:1" x14ac:dyDescent="0.2">
      <c r="A12625" s="101"/>
    </row>
    <row r="12626" spans="1:1" x14ac:dyDescent="0.2">
      <c r="A12626" s="101"/>
    </row>
    <row r="12627" spans="1:1" x14ac:dyDescent="0.2">
      <c r="A12627" s="101"/>
    </row>
    <row r="12628" spans="1:1" x14ac:dyDescent="0.2">
      <c r="A12628" s="101"/>
    </row>
    <row r="12629" spans="1:1" x14ac:dyDescent="0.2">
      <c r="A12629" s="101"/>
    </row>
    <row r="12630" spans="1:1" x14ac:dyDescent="0.2">
      <c r="A12630" s="101"/>
    </row>
    <row r="12631" spans="1:1" x14ac:dyDescent="0.2">
      <c r="A12631" s="101"/>
    </row>
    <row r="12632" spans="1:1" x14ac:dyDescent="0.2">
      <c r="A12632" s="101"/>
    </row>
    <row r="12633" spans="1:1" x14ac:dyDescent="0.2">
      <c r="A12633" s="101"/>
    </row>
    <row r="12634" spans="1:1" x14ac:dyDescent="0.2">
      <c r="A12634" s="101"/>
    </row>
    <row r="12635" spans="1:1" x14ac:dyDescent="0.2">
      <c r="A12635" s="101"/>
    </row>
    <row r="12636" spans="1:1" x14ac:dyDescent="0.2">
      <c r="A12636" s="101"/>
    </row>
    <row r="12637" spans="1:1" x14ac:dyDescent="0.2">
      <c r="A12637" s="101"/>
    </row>
    <row r="12638" spans="1:1" x14ac:dyDescent="0.2">
      <c r="A12638" s="101"/>
    </row>
    <row r="12639" spans="1:1" x14ac:dyDescent="0.2">
      <c r="A12639" s="101"/>
    </row>
    <row r="12640" spans="1:1" x14ac:dyDescent="0.2">
      <c r="A12640" s="101"/>
    </row>
    <row r="12641" spans="1:1" x14ac:dyDescent="0.2">
      <c r="A12641" s="101"/>
    </row>
    <row r="12642" spans="1:1" x14ac:dyDescent="0.2">
      <c r="A12642" s="101"/>
    </row>
    <row r="12643" spans="1:1" x14ac:dyDescent="0.2">
      <c r="A12643" s="101"/>
    </row>
    <row r="12644" spans="1:1" x14ac:dyDescent="0.2">
      <c r="A12644" s="101"/>
    </row>
    <row r="12645" spans="1:1" x14ac:dyDescent="0.2">
      <c r="A12645" s="101"/>
    </row>
    <row r="12646" spans="1:1" x14ac:dyDescent="0.2">
      <c r="A12646" s="101"/>
    </row>
    <row r="12647" spans="1:1" x14ac:dyDescent="0.2">
      <c r="A12647" s="101"/>
    </row>
    <row r="12648" spans="1:1" x14ac:dyDescent="0.2">
      <c r="A12648" s="101"/>
    </row>
    <row r="12649" spans="1:1" x14ac:dyDescent="0.2">
      <c r="A12649" s="101"/>
    </row>
    <row r="12650" spans="1:1" x14ac:dyDescent="0.2">
      <c r="A12650" s="101"/>
    </row>
    <row r="12651" spans="1:1" x14ac:dyDescent="0.2">
      <c r="A12651" s="101"/>
    </row>
    <row r="12652" spans="1:1" x14ac:dyDescent="0.2">
      <c r="A12652" s="101"/>
    </row>
    <row r="12653" spans="1:1" x14ac:dyDescent="0.2">
      <c r="A12653" s="101"/>
    </row>
    <row r="12654" spans="1:1" x14ac:dyDescent="0.2">
      <c r="A12654" s="101"/>
    </row>
    <row r="12655" spans="1:1" x14ac:dyDescent="0.2">
      <c r="A12655" s="101"/>
    </row>
    <row r="12656" spans="1:1" x14ac:dyDescent="0.2">
      <c r="A12656" s="101"/>
    </row>
    <row r="12657" spans="1:1" x14ac:dyDescent="0.2">
      <c r="A12657" s="101"/>
    </row>
    <row r="12658" spans="1:1" x14ac:dyDescent="0.2">
      <c r="A12658" s="101"/>
    </row>
    <row r="12659" spans="1:1" x14ac:dyDescent="0.2">
      <c r="A12659" s="101"/>
    </row>
    <row r="12660" spans="1:1" x14ac:dyDescent="0.2">
      <c r="A12660" s="101"/>
    </row>
    <row r="12661" spans="1:1" x14ac:dyDescent="0.2">
      <c r="A12661" s="101"/>
    </row>
    <row r="12662" spans="1:1" x14ac:dyDescent="0.2">
      <c r="A12662" s="101"/>
    </row>
    <row r="12663" spans="1:1" x14ac:dyDescent="0.2">
      <c r="A12663" s="101"/>
    </row>
    <row r="12664" spans="1:1" x14ac:dyDescent="0.2">
      <c r="A12664" s="101"/>
    </row>
    <row r="12665" spans="1:1" x14ac:dyDescent="0.2">
      <c r="A12665" s="101"/>
    </row>
    <row r="12666" spans="1:1" x14ac:dyDescent="0.2">
      <c r="A12666" s="101"/>
    </row>
    <row r="12667" spans="1:1" x14ac:dyDescent="0.2">
      <c r="A12667" s="101"/>
    </row>
    <row r="12668" spans="1:1" x14ac:dyDescent="0.2">
      <c r="A12668" s="101"/>
    </row>
    <row r="12669" spans="1:1" x14ac:dyDescent="0.2">
      <c r="A12669" s="101"/>
    </row>
    <row r="12670" spans="1:1" x14ac:dyDescent="0.2">
      <c r="A12670" s="101"/>
    </row>
    <row r="12671" spans="1:1" x14ac:dyDescent="0.2">
      <c r="A12671" s="101"/>
    </row>
    <row r="12672" spans="1:1" x14ac:dyDescent="0.2">
      <c r="A12672" s="101"/>
    </row>
    <row r="12673" spans="1:1" x14ac:dyDescent="0.2">
      <c r="A12673" s="101"/>
    </row>
    <row r="12674" spans="1:1" x14ac:dyDescent="0.2">
      <c r="A12674" s="101"/>
    </row>
    <row r="12675" spans="1:1" x14ac:dyDescent="0.2">
      <c r="A12675" s="101"/>
    </row>
    <row r="12676" spans="1:1" x14ac:dyDescent="0.2">
      <c r="A12676" s="101"/>
    </row>
    <row r="12677" spans="1:1" x14ac:dyDescent="0.2">
      <c r="A12677" s="101"/>
    </row>
    <row r="12678" spans="1:1" x14ac:dyDescent="0.2">
      <c r="A12678" s="101"/>
    </row>
    <row r="12679" spans="1:1" x14ac:dyDescent="0.2">
      <c r="A12679" s="101"/>
    </row>
    <row r="12680" spans="1:1" x14ac:dyDescent="0.2">
      <c r="A12680" s="101"/>
    </row>
    <row r="12681" spans="1:1" x14ac:dyDescent="0.2">
      <c r="A12681" s="101"/>
    </row>
    <row r="12682" spans="1:1" x14ac:dyDescent="0.2">
      <c r="A12682" s="101"/>
    </row>
    <row r="12683" spans="1:1" x14ac:dyDescent="0.2">
      <c r="A12683" s="101"/>
    </row>
    <row r="12684" spans="1:1" x14ac:dyDescent="0.2">
      <c r="A12684" s="101"/>
    </row>
    <row r="12685" spans="1:1" x14ac:dyDescent="0.2">
      <c r="A12685" s="101"/>
    </row>
    <row r="12686" spans="1:1" x14ac:dyDescent="0.2">
      <c r="A12686" s="101"/>
    </row>
    <row r="12687" spans="1:1" x14ac:dyDescent="0.2">
      <c r="A12687" s="101"/>
    </row>
    <row r="12688" spans="1:1" x14ac:dyDescent="0.2">
      <c r="A12688" s="101"/>
    </row>
    <row r="12689" spans="1:1" x14ac:dyDescent="0.2">
      <c r="A12689" s="101"/>
    </row>
    <row r="12690" spans="1:1" x14ac:dyDescent="0.2">
      <c r="A12690" s="101"/>
    </row>
    <row r="12691" spans="1:1" x14ac:dyDescent="0.2">
      <c r="A12691" s="101"/>
    </row>
    <row r="12692" spans="1:1" x14ac:dyDescent="0.2">
      <c r="A12692" s="101"/>
    </row>
    <row r="12693" spans="1:1" x14ac:dyDescent="0.2">
      <c r="A12693" s="101"/>
    </row>
    <row r="12694" spans="1:1" x14ac:dyDescent="0.2">
      <c r="A12694" s="101"/>
    </row>
    <row r="12695" spans="1:1" x14ac:dyDescent="0.2">
      <c r="A12695" s="101"/>
    </row>
    <row r="12696" spans="1:1" x14ac:dyDescent="0.2">
      <c r="A12696" s="101"/>
    </row>
    <row r="12697" spans="1:1" x14ac:dyDescent="0.2">
      <c r="A12697" s="101"/>
    </row>
    <row r="12698" spans="1:1" x14ac:dyDescent="0.2">
      <c r="A12698" s="101"/>
    </row>
    <row r="12699" spans="1:1" x14ac:dyDescent="0.2">
      <c r="A12699" s="101"/>
    </row>
    <row r="12700" spans="1:1" x14ac:dyDescent="0.2">
      <c r="A12700" s="101"/>
    </row>
    <row r="12701" spans="1:1" x14ac:dyDescent="0.2">
      <c r="A12701" s="101"/>
    </row>
    <row r="12702" spans="1:1" x14ac:dyDescent="0.2">
      <c r="A12702" s="101"/>
    </row>
    <row r="12703" spans="1:1" x14ac:dyDescent="0.2">
      <c r="A12703" s="101"/>
    </row>
    <row r="12704" spans="1:1" x14ac:dyDescent="0.2">
      <c r="A12704" s="101"/>
    </row>
    <row r="12705" spans="1:1" x14ac:dyDescent="0.2">
      <c r="A12705" s="101"/>
    </row>
    <row r="12706" spans="1:1" x14ac:dyDescent="0.2">
      <c r="A12706" s="101"/>
    </row>
    <row r="12707" spans="1:1" x14ac:dyDescent="0.2">
      <c r="A12707" s="101"/>
    </row>
    <row r="12708" spans="1:1" x14ac:dyDescent="0.2">
      <c r="A12708" s="101"/>
    </row>
    <row r="12709" spans="1:1" x14ac:dyDescent="0.2">
      <c r="A12709" s="101"/>
    </row>
    <row r="12710" spans="1:1" x14ac:dyDescent="0.2">
      <c r="A12710" s="101"/>
    </row>
    <row r="12711" spans="1:1" x14ac:dyDescent="0.2">
      <c r="A12711" s="101"/>
    </row>
    <row r="12712" spans="1:1" x14ac:dyDescent="0.2">
      <c r="A12712" s="101"/>
    </row>
    <row r="12713" spans="1:1" x14ac:dyDescent="0.2">
      <c r="A12713" s="101"/>
    </row>
    <row r="12714" spans="1:1" x14ac:dyDescent="0.2">
      <c r="A12714" s="101"/>
    </row>
    <row r="12715" spans="1:1" x14ac:dyDescent="0.2">
      <c r="A12715" s="101"/>
    </row>
    <row r="12716" spans="1:1" x14ac:dyDescent="0.2">
      <c r="A12716" s="101"/>
    </row>
    <row r="12717" spans="1:1" x14ac:dyDescent="0.2">
      <c r="A12717" s="101"/>
    </row>
    <row r="12718" spans="1:1" x14ac:dyDescent="0.2">
      <c r="A12718" s="101"/>
    </row>
    <row r="12719" spans="1:1" x14ac:dyDescent="0.2">
      <c r="A12719" s="101"/>
    </row>
    <row r="12720" spans="1:1" x14ac:dyDescent="0.2">
      <c r="A12720" s="101"/>
    </row>
    <row r="12721" spans="1:1" x14ac:dyDescent="0.2">
      <c r="A12721" s="101"/>
    </row>
    <row r="12722" spans="1:1" x14ac:dyDescent="0.2">
      <c r="A12722" s="101"/>
    </row>
    <row r="12723" spans="1:1" x14ac:dyDescent="0.2">
      <c r="A12723" s="101"/>
    </row>
    <row r="12724" spans="1:1" x14ac:dyDescent="0.2">
      <c r="A12724" s="101"/>
    </row>
    <row r="12725" spans="1:1" x14ac:dyDescent="0.2">
      <c r="A12725" s="101"/>
    </row>
    <row r="12726" spans="1:1" x14ac:dyDescent="0.2">
      <c r="A12726" s="101"/>
    </row>
    <row r="12727" spans="1:1" x14ac:dyDescent="0.2">
      <c r="A12727" s="101"/>
    </row>
    <row r="12728" spans="1:1" x14ac:dyDescent="0.2">
      <c r="A12728" s="101"/>
    </row>
    <row r="12729" spans="1:1" x14ac:dyDescent="0.2">
      <c r="A12729" s="101"/>
    </row>
    <row r="12730" spans="1:1" x14ac:dyDescent="0.2">
      <c r="A12730" s="101"/>
    </row>
    <row r="12731" spans="1:1" x14ac:dyDescent="0.2">
      <c r="A12731" s="101"/>
    </row>
    <row r="12732" spans="1:1" x14ac:dyDescent="0.2">
      <c r="A12732" s="101"/>
    </row>
    <row r="12733" spans="1:1" x14ac:dyDescent="0.2">
      <c r="A12733" s="101"/>
    </row>
    <row r="12734" spans="1:1" x14ac:dyDescent="0.2">
      <c r="A12734" s="101"/>
    </row>
    <row r="12735" spans="1:1" x14ac:dyDescent="0.2">
      <c r="A12735" s="101"/>
    </row>
    <row r="12736" spans="1:1" x14ac:dyDescent="0.2">
      <c r="A12736" s="101"/>
    </row>
    <row r="12737" spans="1:1" x14ac:dyDescent="0.2">
      <c r="A12737" s="101"/>
    </row>
    <row r="12738" spans="1:1" x14ac:dyDescent="0.2">
      <c r="A12738" s="101"/>
    </row>
    <row r="12739" spans="1:1" x14ac:dyDescent="0.2">
      <c r="A12739" s="101"/>
    </row>
    <row r="12740" spans="1:1" x14ac:dyDescent="0.2">
      <c r="A12740" s="101"/>
    </row>
    <row r="12741" spans="1:1" x14ac:dyDescent="0.2">
      <c r="A12741" s="101"/>
    </row>
    <row r="12742" spans="1:1" x14ac:dyDescent="0.2">
      <c r="A12742" s="101"/>
    </row>
    <row r="12743" spans="1:1" x14ac:dyDescent="0.2">
      <c r="A12743" s="101"/>
    </row>
    <row r="12744" spans="1:1" x14ac:dyDescent="0.2">
      <c r="A12744" s="101"/>
    </row>
    <row r="12745" spans="1:1" x14ac:dyDescent="0.2">
      <c r="A12745" s="101"/>
    </row>
    <row r="12746" spans="1:1" x14ac:dyDescent="0.2">
      <c r="A12746" s="101"/>
    </row>
    <row r="12747" spans="1:1" x14ac:dyDescent="0.2">
      <c r="A12747" s="101"/>
    </row>
    <row r="12748" spans="1:1" x14ac:dyDescent="0.2">
      <c r="A12748" s="101"/>
    </row>
    <row r="12749" spans="1:1" x14ac:dyDescent="0.2">
      <c r="A12749" s="101"/>
    </row>
    <row r="12750" spans="1:1" x14ac:dyDescent="0.2">
      <c r="A12750" s="101"/>
    </row>
    <row r="12751" spans="1:1" x14ac:dyDescent="0.2">
      <c r="A12751" s="101"/>
    </row>
    <row r="12752" spans="1:1" x14ac:dyDescent="0.2">
      <c r="A12752" s="101"/>
    </row>
    <row r="12753" spans="1:1" x14ac:dyDescent="0.2">
      <c r="A12753" s="101"/>
    </row>
    <row r="12754" spans="1:1" x14ac:dyDescent="0.2">
      <c r="A12754" s="101"/>
    </row>
    <row r="12755" spans="1:1" x14ac:dyDescent="0.2">
      <c r="A12755" s="101"/>
    </row>
    <row r="12756" spans="1:1" x14ac:dyDescent="0.2">
      <c r="A12756" s="101"/>
    </row>
    <row r="12757" spans="1:1" x14ac:dyDescent="0.2">
      <c r="A12757" s="101"/>
    </row>
    <row r="12758" spans="1:1" x14ac:dyDescent="0.2">
      <c r="A12758" s="101"/>
    </row>
    <row r="12759" spans="1:1" x14ac:dyDescent="0.2">
      <c r="A12759" s="101"/>
    </row>
    <row r="12760" spans="1:1" x14ac:dyDescent="0.2">
      <c r="A12760" s="101"/>
    </row>
    <row r="12761" spans="1:1" x14ac:dyDescent="0.2">
      <c r="A12761" s="101"/>
    </row>
    <row r="12762" spans="1:1" x14ac:dyDescent="0.2">
      <c r="A12762" s="101"/>
    </row>
    <row r="12763" spans="1:1" x14ac:dyDescent="0.2">
      <c r="A12763" s="101"/>
    </row>
    <row r="12764" spans="1:1" x14ac:dyDescent="0.2">
      <c r="A12764" s="101"/>
    </row>
    <row r="12765" spans="1:1" x14ac:dyDescent="0.2">
      <c r="A12765" s="101"/>
    </row>
    <row r="12766" spans="1:1" x14ac:dyDescent="0.2">
      <c r="A12766" s="101"/>
    </row>
    <row r="12767" spans="1:1" x14ac:dyDescent="0.2">
      <c r="A12767" s="101"/>
    </row>
    <row r="12768" spans="1:1" x14ac:dyDescent="0.2">
      <c r="A12768" s="101"/>
    </row>
    <row r="12769" spans="1:1" x14ac:dyDescent="0.2">
      <c r="A12769" s="101"/>
    </row>
    <row r="12770" spans="1:1" x14ac:dyDescent="0.2">
      <c r="A12770" s="101"/>
    </row>
    <row r="12771" spans="1:1" x14ac:dyDescent="0.2">
      <c r="A12771" s="101"/>
    </row>
    <row r="12772" spans="1:1" x14ac:dyDescent="0.2">
      <c r="A12772" s="101"/>
    </row>
    <row r="12773" spans="1:1" x14ac:dyDescent="0.2">
      <c r="A12773" s="101"/>
    </row>
    <row r="12774" spans="1:1" x14ac:dyDescent="0.2">
      <c r="A12774" s="101"/>
    </row>
    <row r="12775" spans="1:1" x14ac:dyDescent="0.2">
      <c r="A12775" s="101"/>
    </row>
    <row r="12776" spans="1:1" x14ac:dyDescent="0.2">
      <c r="A12776" s="101"/>
    </row>
    <row r="12777" spans="1:1" x14ac:dyDescent="0.2">
      <c r="A12777" s="101"/>
    </row>
    <row r="12778" spans="1:1" x14ac:dyDescent="0.2">
      <c r="A12778" s="101"/>
    </row>
    <row r="12779" spans="1:1" x14ac:dyDescent="0.2">
      <c r="A12779" s="101"/>
    </row>
    <row r="12780" spans="1:1" x14ac:dyDescent="0.2">
      <c r="A12780" s="101"/>
    </row>
    <row r="12781" spans="1:1" x14ac:dyDescent="0.2">
      <c r="A12781" s="101"/>
    </row>
    <row r="12782" spans="1:1" x14ac:dyDescent="0.2">
      <c r="A12782" s="101"/>
    </row>
    <row r="12783" spans="1:1" x14ac:dyDescent="0.2">
      <c r="A12783" s="101"/>
    </row>
    <row r="12784" spans="1:1" x14ac:dyDescent="0.2">
      <c r="A12784" s="101"/>
    </row>
    <row r="12785" spans="1:1" x14ac:dyDescent="0.2">
      <c r="A12785" s="101"/>
    </row>
    <row r="12786" spans="1:1" x14ac:dyDescent="0.2">
      <c r="A12786" s="101"/>
    </row>
    <row r="12787" spans="1:1" x14ac:dyDescent="0.2">
      <c r="A12787" s="101"/>
    </row>
    <row r="12788" spans="1:1" x14ac:dyDescent="0.2">
      <c r="A12788" s="101"/>
    </row>
    <row r="12789" spans="1:1" x14ac:dyDescent="0.2">
      <c r="A12789" s="101"/>
    </row>
    <row r="12790" spans="1:1" x14ac:dyDescent="0.2">
      <c r="A12790" s="101"/>
    </row>
    <row r="12791" spans="1:1" x14ac:dyDescent="0.2">
      <c r="A12791" s="101"/>
    </row>
    <row r="12792" spans="1:1" x14ac:dyDescent="0.2">
      <c r="A12792" s="101"/>
    </row>
    <row r="12793" spans="1:1" x14ac:dyDescent="0.2">
      <c r="A12793" s="101"/>
    </row>
    <row r="12794" spans="1:1" x14ac:dyDescent="0.2">
      <c r="A12794" s="101"/>
    </row>
    <row r="12795" spans="1:1" x14ac:dyDescent="0.2">
      <c r="A12795" s="101"/>
    </row>
    <row r="12796" spans="1:1" x14ac:dyDescent="0.2">
      <c r="A12796" s="101"/>
    </row>
    <row r="12797" spans="1:1" x14ac:dyDescent="0.2">
      <c r="A12797" s="101"/>
    </row>
    <row r="12798" spans="1:1" x14ac:dyDescent="0.2">
      <c r="A12798" s="101"/>
    </row>
    <row r="12799" spans="1:1" x14ac:dyDescent="0.2">
      <c r="A12799" s="101"/>
    </row>
    <row r="12800" spans="1:1" x14ac:dyDescent="0.2">
      <c r="A12800" s="101"/>
    </row>
    <row r="12801" spans="1:1" x14ac:dyDescent="0.2">
      <c r="A12801" s="101"/>
    </row>
    <row r="12802" spans="1:1" x14ac:dyDescent="0.2">
      <c r="A12802" s="101"/>
    </row>
    <row r="12803" spans="1:1" x14ac:dyDescent="0.2">
      <c r="A12803" s="101"/>
    </row>
    <row r="12804" spans="1:1" x14ac:dyDescent="0.2">
      <c r="A12804" s="101"/>
    </row>
    <row r="12805" spans="1:1" x14ac:dyDescent="0.2">
      <c r="A12805" s="101"/>
    </row>
    <row r="12806" spans="1:1" x14ac:dyDescent="0.2">
      <c r="A12806" s="101"/>
    </row>
    <row r="12807" spans="1:1" x14ac:dyDescent="0.2">
      <c r="A12807" s="101"/>
    </row>
    <row r="12808" spans="1:1" x14ac:dyDescent="0.2">
      <c r="A12808" s="101"/>
    </row>
    <row r="12809" spans="1:1" x14ac:dyDescent="0.2">
      <c r="A12809" s="101"/>
    </row>
    <row r="12810" spans="1:1" x14ac:dyDescent="0.2">
      <c r="A12810" s="101"/>
    </row>
    <row r="12811" spans="1:1" x14ac:dyDescent="0.2">
      <c r="A12811" s="101"/>
    </row>
    <row r="12812" spans="1:1" x14ac:dyDescent="0.2">
      <c r="A12812" s="101"/>
    </row>
    <row r="12813" spans="1:1" x14ac:dyDescent="0.2">
      <c r="A12813" s="101"/>
    </row>
    <row r="12814" spans="1:1" x14ac:dyDescent="0.2">
      <c r="A12814" s="101"/>
    </row>
    <row r="12815" spans="1:1" x14ac:dyDescent="0.2">
      <c r="A12815" s="101"/>
    </row>
    <row r="12816" spans="1:1" x14ac:dyDescent="0.2">
      <c r="A12816" s="101"/>
    </row>
    <row r="12817" spans="1:1" x14ac:dyDescent="0.2">
      <c r="A12817" s="101"/>
    </row>
    <row r="12818" spans="1:1" x14ac:dyDescent="0.2">
      <c r="A12818" s="101"/>
    </row>
    <row r="12819" spans="1:1" x14ac:dyDescent="0.2">
      <c r="A12819" s="101"/>
    </row>
    <row r="12820" spans="1:1" x14ac:dyDescent="0.2">
      <c r="A12820" s="101"/>
    </row>
    <row r="12821" spans="1:1" x14ac:dyDescent="0.2">
      <c r="A12821" s="101"/>
    </row>
    <row r="12822" spans="1:1" x14ac:dyDescent="0.2">
      <c r="A12822" s="101"/>
    </row>
    <row r="12823" spans="1:1" x14ac:dyDescent="0.2">
      <c r="A12823" s="101"/>
    </row>
    <row r="12824" spans="1:1" x14ac:dyDescent="0.2">
      <c r="A12824" s="101"/>
    </row>
    <row r="12825" spans="1:1" x14ac:dyDescent="0.2">
      <c r="A12825" s="101"/>
    </row>
    <row r="12826" spans="1:1" x14ac:dyDescent="0.2">
      <c r="A12826" s="101"/>
    </row>
    <row r="12827" spans="1:1" x14ac:dyDescent="0.2">
      <c r="A12827" s="101"/>
    </row>
    <row r="12828" spans="1:1" x14ac:dyDescent="0.2">
      <c r="A12828" s="101"/>
    </row>
    <row r="12829" spans="1:1" x14ac:dyDescent="0.2">
      <c r="A12829" s="101"/>
    </row>
    <row r="12830" spans="1:1" x14ac:dyDescent="0.2">
      <c r="A12830" s="101"/>
    </row>
    <row r="12831" spans="1:1" x14ac:dyDescent="0.2">
      <c r="A12831" s="101"/>
    </row>
    <row r="12832" spans="1:1" x14ac:dyDescent="0.2">
      <c r="A12832" s="101"/>
    </row>
    <row r="12833" spans="1:1" x14ac:dyDescent="0.2">
      <c r="A12833" s="101"/>
    </row>
    <row r="12834" spans="1:1" x14ac:dyDescent="0.2">
      <c r="A12834" s="101"/>
    </row>
    <row r="12835" spans="1:1" x14ac:dyDescent="0.2">
      <c r="A12835" s="101"/>
    </row>
    <row r="12836" spans="1:1" x14ac:dyDescent="0.2">
      <c r="A12836" s="101"/>
    </row>
    <row r="12837" spans="1:1" x14ac:dyDescent="0.2">
      <c r="A12837" s="101"/>
    </row>
    <row r="12838" spans="1:1" x14ac:dyDescent="0.2">
      <c r="A12838" s="101"/>
    </row>
    <row r="12839" spans="1:1" x14ac:dyDescent="0.2">
      <c r="A12839" s="101"/>
    </row>
    <row r="12840" spans="1:1" x14ac:dyDescent="0.2">
      <c r="A12840" s="101"/>
    </row>
    <row r="12841" spans="1:1" x14ac:dyDescent="0.2">
      <c r="A12841" s="101"/>
    </row>
    <row r="12842" spans="1:1" x14ac:dyDescent="0.2">
      <c r="A12842" s="101"/>
    </row>
    <row r="12843" spans="1:1" x14ac:dyDescent="0.2">
      <c r="A12843" s="101"/>
    </row>
    <row r="12844" spans="1:1" x14ac:dyDescent="0.2">
      <c r="A12844" s="101"/>
    </row>
    <row r="12845" spans="1:1" x14ac:dyDescent="0.2">
      <c r="A12845" s="101"/>
    </row>
    <row r="12846" spans="1:1" x14ac:dyDescent="0.2">
      <c r="A12846" s="101"/>
    </row>
    <row r="12847" spans="1:1" x14ac:dyDescent="0.2">
      <c r="A12847" s="101"/>
    </row>
    <row r="12848" spans="1:1" x14ac:dyDescent="0.2">
      <c r="A12848" s="101"/>
    </row>
    <row r="12849" spans="1:1" x14ac:dyDescent="0.2">
      <c r="A12849" s="101"/>
    </row>
    <row r="12850" spans="1:1" x14ac:dyDescent="0.2">
      <c r="A12850" s="101"/>
    </row>
    <row r="12851" spans="1:1" x14ac:dyDescent="0.2">
      <c r="A12851" s="101"/>
    </row>
    <row r="12852" spans="1:1" x14ac:dyDescent="0.2">
      <c r="A12852" s="101"/>
    </row>
    <row r="12853" spans="1:1" x14ac:dyDescent="0.2">
      <c r="A12853" s="101"/>
    </row>
    <row r="12854" spans="1:1" x14ac:dyDescent="0.2">
      <c r="A12854" s="101"/>
    </row>
    <row r="12855" spans="1:1" x14ac:dyDescent="0.2">
      <c r="A12855" s="101"/>
    </row>
    <row r="12856" spans="1:1" x14ac:dyDescent="0.2">
      <c r="A12856" s="101"/>
    </row>
    <row r="12857" spans="1:1" x14ac:dyDescent="0.2">
      <c r="A12857" s="101"/>
    </row>
    <row r="12858" spans="1:1" x14ac:dyDescent="0.2">
      <c r="A12858" s="101"/>
    </row>
    <row r="12859" spans="1:1" x14ac:dyDescent="0.2">
      <c r="A12859" s="101"/>
    </row>
    <row r="12860" spans="1:1" x14ac:dyDescent="0.2">
      <c r="A12860" s="101"/>
    </row>
    <row r="12861" spans="1:1" x14ac:dyDescent="0.2">
      <c r="A12861" s="101"/>
    </row>
    <row r="12862" spans="1:1" x14ac:dyDescent="0.2">
      <c r="A12862" s="101"/>
    </row>
    <row r="12863" spans="1:1" x14ac:dyDescent="0.2">
      <c r="A12863" s="101"/>
    </row>
    <row r="12864" spans="1:1" x14ac:dyDescent="0.2">
      <c r="A12864" s="101"/>
    </row>
    <row r="12865" spans="1:1" x14ac:dyDescent="0.2">
      <c r="A12865" s="101"/>
    </row>
    <row r="12866" spans="1:1" x14ac:dyDescent="0.2">
      <c r="A12866" s="101"/>
    </row>
    <row r="12867" spans="1:1" x14ac:dyDescent="0.2">
      <c r="A12867" s="101"/>
    </row>
    <row r="12868" spans="1:1" x14ac:dyDescent="0.2">
      <c r="A12868" s="101"/>
    </row>
    <row r="12869" spans="1:1" x14ac:dyDescent="0.2">
      <c r="A12869" s="101"/>
    </row>
    <row r="12870" spans="1:1" x14ac:dyDescent="0.2">
      <c r="A12870" s="101"/>
    </row>
    <row r="12871" spans="1:1" x14ac:dyDescent="0.2">
      <c r="A12871" s="101"/>
    </row>
    <row r="12872" spans="1:1" x14ac:dyDescent="0.2">
      <c r="A12872" s="101"/>
    </row>
    <row r="12873" spans="1:1" x14ac:dyDescent="0.2">
      <c r="A12873" s="101"/>
    </row>
    <row r="12874" spans="1:1" x14ac:dyDescent="0.2">
      <c r="A12874" s="101"/>
    </row>
    <row r="12875" spans="1:1" x14ac:dyDescent="0.2">
      <c r="A12875" s="101"/>
    </row>
    <row r="12876" spans="1:1" x14ac:dyDescent="0.2">
      <c r="A12876" s="101"/>
    </row>
    <row r="12877" spans="1:1" x14ac:dyDescent="0.2">
      <c r="A12877" s="101"/>
    </row>
    <row r="12878" spans="1:1" x14ac:dyDescent="0.2">
      <c r="A12878" s="101"/>
    </row>
    <row r="12879" spans="1:1" x14ac:dyDescent="0.2">
      <c r="A12879" s="101"/>
    </row>
    <row r="12880" spans="1:1" x14ac:dyDescent="0.2">
      <c r="A12880" s="101"/>
    </row>
    <row r="12881" spans="1:1" x14ac:dyDescent="0.2">
      <c r="A12881" s="101"/>
    </row>
    <row r="12882" spans="1:1" x14ac:dyDescent="0.2">
      <c r="A12882" s="101"/>
    </row>
    <row r="12883" spans="1:1" x14ac:dyDescent="0.2">
      <c r="A12883" s="101"/>
    </row>
    <row r="12884" spans="1:1" x14ac:dyDescent="0.2">
      <c r="A12884" s="101"/>
    </row>
    <row r="12885" spans="1:1" x14ac:dyDescent="0.2">
      <c r="A12885" s="101"/>
    </row>
    <row r="12886" spans="1:1" x14ac:dyDescent="0.2">
      <c r="A12886" s="101"/>
    </row>
    <row r="12887" spans="1:1" x14ac:dyDescent="0.2">
      <c r="A12887" s="101"/>
    </row>
    <row r="12888" spans="1:1" x14ac:dyDescent="0.2">
      <c r="A12888" s="101"/>
    </row>
    <row r="12889" spans="1:1" x14ac:dyDescent="0.2">
      <c r="A12889" s="101"/>
    </row>
    <row r="12890" spans="1:1" x14ac:dyDescent="0.2">
      <c r="A12890" s="101"/>
    </row>
    <row r="12891" spans="1:1" x14ac:dyDescent="0.2">
      <c r="A12891" s="101"/>
    </row>
    <row r="12892" spans="1:1" x14ac:dyDescent="0.2">
      <c r="A12892" s="101"/>
    </row>
    <row r="12893" spans="1:1" x14ac:dyDescent="0.2">
      <c r="A12893" s="101"/>
    </row>
    <row r="12894" spans="1:1" x14ac:dyDescent="0.2">
      <c r="A12894" s="101"/>
    </row>
    <row r="12895" spans="1:1" x14ac:dyDescent="0.2">
      <c r="A12895" s="101"/>
    </row>
    <row r="12896" spans="1:1" x14ac:dyDescent="0.2">
      <c r="A12896" s="101"/>
    </row>
    <row r="12897" spans="1:1" x14ac:dyDescent="0.2">
      <c r="A12897" s="101"/>
    </row>
    <row r="12898" spans="1:1" x14ac:dyDescent="0.2">
      <c r="A12898" s="101"/>
    </row>
    <row r="12899" spans="1:1" x14ac:dyDescent="0.2">
      <c r="A12899" s="101"/>
    </row>
    <row r="12900" spans="1:1" x14ac:dyDescent="0.2">
      <c r="A12900" s="101"/>
    </row>
    <row r="12901" spans="1:1" x14ac:dyDescent="0.2">
      <c r="A12901" s="101"/>
    </row>
    <row r="12902" spans="1:1" x14ac:dyDescent="0.2">
      <c r="A12902" s="101"/>
    </row>
    <row r="12903" spans="1:1" x14ac:dyDescent="0.2">
      <c r="A12903" s="101"/>
    </row>
    <row r="12904" spans="1:1" x14ac:dyDescent="0.2">
      <c r="A12904" s="101"/>
    </row>
    <row r="12905" spans="1:1" x14ac:dyDescent="0.2">
      <c r="A12905" s="101"/>
    </row>
    <row r="12906" spans="1:1" x14ac:dyDescent="0.2">
      <c r="A12906" s="101"/>
    </row>
    <row r="12907" spans="1:1" x14ac:dyDescent="0.2">
      <c r="A12907" s="101"/>
    </row>
    <row r="12908" spans="1:1" x14ac:dyDescent="0.2">
      <c r="A12908" s="101"/>
    </row>
    <row r="12909" spans="1:1" x14ac:dyDescent="0.2">
      <c r="A12909" s="101"/>
    </row>
    <row r="12910" spans="1:1" x14ac:dyDescent="0.2">
      <c r="A12910" s="101"/>
    </row>
    <row r="12911" spans="1:1" x14ac:dyDescent="0.2">
      <c r="A12911" s="101"/>
    </row>
    <row r="12912" spans="1:1" x14ac:dyDescent="0.2">
      <c r="A12912" s="101"/>
    </row>
    <row r="12913" spans="1:1" x14ac:dyDescent="0.2">
      <c r="A12913" s="101"/>
    </row>
    <row r="12914" spans="1:1" x14ac:dyDescent="0.2">
      <c r="A12914" s="101"/>
    </row>
    <row r="12915" spans="1:1" x14ac:dyDescent="0.2">
      <c r="A12915" s="101"/>
    </row>
    <row r="12916" spans="1:1" x14ac:dyDescent="0.2">
      <c r="A12916" s="101"/>
    </row>
    <row r="12917" spans="1:1" x14ac:dyDescent="0.2">
      <c r="A12917" s="101"/>
    </row>
    <row r="12918" spans="1:1" x14ac:dyDescent="0.2">
      <c r="A12918" s="101"/>
    </row>
    <row r="12919" spans="1:1" x14ac:dyDescent="0.2">
      <c r="A12919" s="101"/>
    </row>
    <row r="12920" spans="1:1" x14ac:dyDescent="0.2">
      <c r="A12920" s="101"/>
    </row>
    <row r="12921" spans="1:1" x14ac:dyDescent="0.2">
      <c r="A12921" s="101"/>
    </row>
    <row r="12922" spans="1:1" x14ac:dyDescent="0.2">
      <c r="A12922" s="101"/>
    </row>
    <row r="12923" spans="1:1" x14ac:dyDescent="0.2">
      <c r="A12923" s="101"/>
    </row>
    <row r="12924" spans="1:1" x14ac:dyDescent="0.2">
      <c r="A12924" s="101"/>
    </row>
    <row r="12925" spans="1:1" x14ac:dyDescent="0.2">
      <c r="A12925" s="101"/>
    </row>
    <row r="12926" spans="1:1" x14ac:dyDescent="0.2">
      <c r="A12926" s="101"/>
    </row>
    <row r="12927" spans="1:1" x14ac:dyDescent="0.2">
      <c r="A12927" s="101"/>
    </row>
    <row r="12928" spans="1:1" x14ac:dyDescent="0.2">
      <c r="A12928" s="101"/>
    </row>
    <row r="12929" spans="1:1" x14ac:dyDescent="0.2">
      <c r="A12929" s="101"/>
    </row>
    <row r="12930" spans="1:1" x14ac:dyDescent="0.2">
      <c r="A12930" s="101"/>
    </row>
    <row r="12931" spans="1:1" x14ac:dyDescent="0.2">
      <c r="A12931" s="101"/>
    </row>
    <row r="12932" spans="1:1" x14ac:dyDescent="0.2">
      <c r="A12932" s="101"/>
    </row>
    <row r="12933" spans="1:1" x14ac:dyDescent="0.2">
      <c r="A12933" s="101"/>
    </row>
    <row r="12934" spans="1:1" x14ac:dyDescent="0.2">
      <c r="A12934" s="101"/>
    </row>
    <row r="12935" spans="1:1" x14ac:dyDescent="0.2">
      <c r="A12935" s="101"/>
    </row>
    <row r="12936" spans="1:1" x14ac:dyDescent="0.2">
      <c r="A12936" s="101"/>
    </row>
    <row r="12937" spans="1:1" x14ac:dyDescent="0.2">
      <c r="A12937" s="101"/>
    </row>
    <row r="12938" spans="1:1" x14ac:dyDescent="0.2">
      <c r="A12938" s="101"/>
    </row>
    <row r="12939" spans="1:1" x14ac:dyDescent="0.2">
      <c r="A12939" s="101"/>
    </row>
    <row r="12940" spans="1:1" x14ac:dyDescent="0.2">
      <c r="A12940" s="101"/>
    </row>
    <row r="12941" spans="1:1" x14ac:dyDescent="0.2">
      <c r="A12941" s="101"/>
    </row>
    <row r="12942" spans="1:1" x14ac:dyDescent="0.2">
      <c r="A12942" s="101"/>
    </row>
    <row r="12943" spans="1:1" x14ac:dyDescent="0.2">
      <c r="A12943" s="101"/>
    </row>
    <row r="12944" spans="1:1" x14ac:dyDescent="0.2">
      <c r="A12944" s="101"/>
    </row>
    <row r="12945" spans="1:1" x14ac:dyDescent="0.2">
      <c r="A12945" s="101"/>
    </row>
    <row r="12946" spans="1:1" x14ac:dyDescent="0.2">
      <c r="A12946" s="101"/>
    </row>
    <row r="12947" spans="1:1" x14ac:dyDescent="0.2">
      <c r="A12947" s="101"/>
    </row>
    <row r="12948" spans="1:1" x14ac:dyDescent="0.2">
      <c r="A12948" s="101"/>
    </row>
    <row r="12949" spans="1:1" x14ac:dyDescent="0.2">
      <c r="A12949" s="101"/>
    </row>
    <row r="12950" spans="1:1" x14ac:dyDescent="0.2">
      <c r="A12950" s="101"/>
    </row>
    <row r="12951" spans="1:1" x14ac:dyDescent="0.2">
      <c r="A12951" s="101"/>
    </row>
    <row r="12952" spans="1:1" x14ac:dyDescent="0.2">
      <c r="A12952" s="101"/>
    </row>
    <row r="12953" spans="1:1" x14ac:dyDescent="0.2">
      <c r="A12953" s="101"/>
    </row>
    <row r="12954" spans="1:1" x14ac:dyDescent="0.2">
      <c r="A12954" s="101"/>
    </row>
    <row r="12955" spans="1:1" x14ac:dyDescent="0.2">
      <c r="A12955" s="101"/>
    </row>
    <row r="12956" spans="1:1" x14ac:dyDescent="0.2">
      <c r="A12956" s="101"/>
    </row>
    <row r="12957" spans="1:1" x14ac:dyDescent="0.2">
      <c r="A12957" s="101"/>
    </row>
    <row r="12958" spans="1:1" x14ac:dyDescent="0.2">
      <c r="A12958" s="101"/>
    </row>
    <row r="12959" spans="1:1" x14ac:dyDescent="0.2">
      <c r="A12959" s="101"/>
    </row>
    <row r="12960" spans="1:1" x14ac:dyDescent="0.2">
      <c r="A12960" s="101"/>
    </row>
    <row r="12961" spans="1:1" x14ac:dyDescent="0.2">
      <c r="A12961" s="101"/>
    </row>
    <row r="12962" spans="1:1" x14ac:dyDescent="0.2">
      <c r="A12962" s="101"/>
    </row>
    <row r="12963" spans="1:1" x14ac:dyDescent="0.2">
      <c r="A12963" s="101"/>
    </row>
    <row r="12964" spans="1:1" x14ac:dyDescent="0.2">
      <c r="A12964" s="101"/>
    </row>
    <row r="12965" spans="1:1" x14ac:dyDescent="0.2">
      <c r="A12965" s="101"/>
    </row>
    <row r="12966" spans="1:1" x14ac:dyDescent="0.2">
      <c r="A12966" s="101"/>
    </row>
    <row r="12967" spans="1:1" x14ac:dyDescent="0.2">
      <c r="A12967" s="101"/>
    </row>
    <row r="12968" spans="1:1" x14ac:dyDescent="0.2">
      <c r="A12968" s="101"/>
    </row>
    <row r="12969" spans="1:1" x14ac:dyDescent="0.2">
      <c r="A12969" s="101"/>
    </row>
    <row r="12970" spans="1:1" x14ac:dyDescent="0.2">
      <c r="A12970" s="101"/>
    </row>
    <row r="12971" spans="1:1" x14ac:dyDescent="0.2">
      <c r="A12971" s="101"/>
    </row>
    <row r="12972" spans="1:1" x14ac:dyDescent="0.2">
      <c r="A12972" s="101"/>
    </row>
    <row r="12973" spans="1:1" x14ac:dyDescent="0.2">
      <c r="A12973" s="101"/>
    </row>
    <row r="12974" spans="1:1" x14ac:dyDescent="0.2">
      <c r="A12974" s="101"/>
    </row>
    <row r="12975" spans="1:1" x14ac:dyDescent="0.2">
      <c r="A12975" s="101"/>
    </row>
    <row r="12976" spans="1:1" x14ac:dyDescent="0.2">
      <c r="A12976" s="101"/>
    </row>
    <row r="12977" spans="1:1" x14ac:dyDescent="0.2">
      <c r="A12977" s="101"/>
    </row>
    <row r="12978" spans="1:1" x14ac:dyDescent="0.2">
      <c r="A12978" s="101"/>
    </row>
    <row r="12979" spans="1:1" x14ac:dyDescent="0.2">
      <c r="A12979" s="101"/>
    </row>
    <row r="12980" spans="1:1" x14ac:dyDescent="0.2">
      <c r="A12980" s="101"/>
    </row>
    <row r="12981" spans="1:1" x14ac:dyDescent="0.2">
      <c r="A12981" s="101"/>
    </row>
    <row r="12982" spans="1:1" x14ac:dyDescent="0.2">
      <c r="A12982" s="101"/>
    </row>
    <row r="12983" spans="1:1" x14ac:dyDescent="0.2">
      <c r="A12983" s="101"/>
    </row>
    <row r="12984" spans="1:1" x14ac:dyDescent="0.2">
      <c r="A12984" s="101"/>
    </row>
    <row r="12985" spans="1:1" x14ac:dyDescent="0.2">
      <c r="A12985" s="101"/>
    </row>
    <row r="12986" spans="1:1" x14ac:dyDescent="0.2">
      <c r="A12986" s="101"/>
    </row>
    <row r="12987" spans="1:1" x14ac:dyDescent="0.2">
      <c r="A12987" s="101"/>
    </row>
    <row r="12988" spans="1:1" x14ac:dyDescent="0.2">
      <c r="A12988" s="101"/>
    </row>
    <row r="12989" spans="1:1" x14ac:dyDescent="0.2">
      <c r="A12989" s="101"/>
    </row>
    <row r="12990" spans="1:1" x14ac:dyDescent="0.2">
      <c r="A12990" s="101"/>
    </row>
    <row r="12991" spans="1:1" x14ac:dyDescent="0.2">
      <c r="A12991" s="101"/>
    </row>
    <row r="12992" spans="1:1" x14ac:dyDescent="0.2">
      <c r="A12992" s="101"/>
    </row>
    <row r="12993" spans="1:1" x14ac:dyDescent="0.2">
      <c r="A12993" s="101"/>
    </row>
    <row r="12994" spans="1:1" x14ac:dyDescent="0.2">
      <c r="A12994" s="101"/>
    </row>
    <row r="12995" spans="1:1" x14ac:dyDescent="0.2">
      <c r="A12995" s="101"/>
    </row>
    <row r="12996" spans="1:1" x14ac:dyDescent="0.2">
      <c r="A12996" s="101"/>
    </row>
    <row r="12997" spans="1:1" x14ac:dyDescent="0.2">
      <c r="A12997" s="101"/>
    </row>
    <row r="12998" spans="1:1" x14ac:dyDescent="0.2">
      <c r="A12998" s="101"/>
    </row>
    <row r="12999" spans="1:1" x14ac:dyDescent="0.2">
      <c r="A12999" s="101"/>
    </row>
    <row r="13000" spans="1:1" x14ac:dyDescent="0.2">
      <c r="A13000" s="101"/>
    </row>
    <row r="13001" spans="1:1" x14ac:dyDescent="0.2">
      <c r="A13001" s="101"/>
    </row>
    <row r="13002" spans="1:1" x14ac:dyDescent="0.2">
      <c r="A13002" s="101"/>
    </row>
    <row r="13003" spans="1:1" x14ac:dyDescent="0.2">
      <c r="A13003" s="101"/>
    </row>
    <row r="13004" spans="1:1" x14ac:dyDescent="0.2">
      <c r="A13004" s="101"/>
    </row>
    <row r="13005" spans="1:1" x14ac:dyDescent="0.2">
      <c r="A13005" s="101"/>
    </row>
    <row r="13006" spans="1:1" x14ac:dyDescent="0.2">
      <c r="A13006" s="101"/>
    </row>
    <row r="13007" spans="1:1" x14ac:dyDescent="0.2">
      <c r="A13007" s="101"/>
    </row>
    <row r="13008" spans="1:1" x14ac:dyDescent="0.2">
      <c r="A13008" s="101"/>
    </row>
    <row r="13009" spans="1:1" x14ac:dyDescent="0.2">
      <c r="A13009" s="101"/>
    </row>
    <row r="13010" spans="1:1" x14ac:dyDescent="0.2">
      <c r="A13010" s="101"/>
    </row>
    <row r="13011" spans="1:1" x14ac:dyDescent="0.2">
      <c r="A13011" s="101"/>
    </row>
    <row r="13012" spans="1:1" x14ac:dyDescent="0.2">
      <c r="A13012" s="101"/>
    </row>
    <row r="13013" spans="1:1" x14ac:dyDescent="0.2">
      <c r="A13013" s="101"/>
    </row>
    <row r="13014" spans="1:1" x14ac:dyDescent="0.2">
      <c r="A13014" s="101"/>
    </row>
    <row r="13015" spans="1:1" x14ac:dyDescent="0.2">
      <c r="A13015" s="101"/>
    </row>
    <row r="13016" spans="1:1" x14ac:dyDescent="0.2">
      <c r="A13016" s="101"/>
    </row>
    <row r="13017" spans="1:1" x14ac:dyDescent="0.2">
      <c r="A13017" s="101"/>
    </row>
    <row r="13018" spans="1:1" x14ac:dyDescent="0.2">
      <c r="A13018" s="101"/>
    </row>
    <row r="13019" spans="1:1" x14ac:dyDescent="0.2">
      <c r="A13019" s="101"/>
    </row>
    <row r="13020" spans="1:1" x14ac:dyDescent="0.2">
      <c r="A13020" s="101"/>
    </row>
    <row r="13021" spans="1:1" x14ac:dyDescent="0.2">
      <c r="A13021" s="101"/>
    </row>
    <row r="13022" spans="1:1" x14ac:dyDescent="0.2">
      <c r="A13022" s="101"/>
    </row>
    <row r="13023" spans="1:1" x14ac:dyDescent="0.2">
      <c r="A13023" s="101"/>
    </row>
    <row r="13024" spans="1:1" x14ac:dyDescent="0.2">
      <c r="A13024" s="101"/>
    </row>
    <row r="13025" spans="1:1" x14ac:dyDescent="0.2">
      <c r="A13025" s="101"/>
    </row>
    <row r="13026" spans="1:1" x14ac:dyDescent="0.2">
      <c r="A13026" s="101"/>
    </row>
    <row r="13027" spans="1:1" x14ac:dyDescent="0.2">
      <c r="A13027" s="101"/>
    </row>
    <row r="13028" spans="1:1" x14ac:dyDescent="0.2">
      <c r="A13028" s="101"/>
    </row>
    <row r="13029" spans="1:1" x14ac:dyDescent="0.2">
      <c r="A13029" s="101"/>
    </row>
    <row r="13030" spans="1:1" x14ac:dyDescent="0.2">
      <c r="A13030" s="101"/>
    </row>
    <row r="13031" spans="1:1" x14ac:dyDescent="0.2">
      <c r="A13031" s="101"/>
    </row>
    <row r="13032" spans="1:1" x14ac:dyDescent="0.2">
      <c r="A13032" s="101"/>
    </row>
    <row r="13033" spans="1:1" x14ac:dyDescent="0.2">
      <c r="A13033" s="101"/>
    </row>
    <row r="13034" spans="1:1" x14ac:dyDescent="0.2">
      <c r="A13034" s="101"/>
    </row>
    <row r="13035" spans="1:1" x14ac:dyDescent="0.2">
      <c r="A13035" s="101"/>
    </row>
    <row r="13036" spans="1:1" x14ac:dyDescent="0.2">
      <c r="A13036" s="101"/>
    </row>
    <row r="13037" spans="1:1" x14ac:dyDescent="0.2">
      <c r="A13037" s="101"/>
    </row>
    <row r="13038" spans="1:1" x14ac:dyDescent="0.2">
      <c r="A13038" s="101"/>
    </row>
    <row r="13039" spans="1:1" x14ac:dyDescent="0.2">
      <c r="A13039" s="101"/>
    </row>
    <row r="13040" spans="1:1" x14ac:dyDescent="0.2">
      <c r="A13040" s="101"/>
    </row>
    <row r="13041" spans="1:1" x14ac:dyDescent="0.2">
      <c r="A13041" s="101"/>
    </row>
    <row r="13042" spans="1:1" x14ac:dyDescent="0.2">
      <c r="A13042" s="101"/>
    </row>
    <row r="13043" spans="1:1" x14ac:dyDescent="0.2">
      <c r="A13043" s="101"/>
    </row>
    <row r="13044" spans="1:1" x14ac:dyDescent="0.2">
      <c r="A13044" s="101"/>
    </row>
    <row r="13045" spans="1:1" x14ac:dyDescent="0.2">
      <c r="A13045" s="101"/>
    </row>
    <row r="13046" spans="1:1" x14ac:dyDescent="0.2">
      <c r="A13046" s="101"/>
    </row>
    <row r="13047" spans="1:1" x14ac:dyDescent="0.2">
      <c r="A13047" s="101"/>
    </row>
    <row r="13048" spans="1:1" x14ac:dyDescent="0.2">
      <c r="A13048" s="101"/>
    </row>
    <row r="13049" spans="1:1" x14ac:dyDescent="0.2">
      <c r="A13049" s="101"/>
    </row>
    <row r="13050" spans="1:1" x14ac:dyDescent="0.2">
      <c r="A13050" s="101"/>
    </row>
    <row r="13051" spans="1:1" x14ac:dyDescent="0.2">
      <c r="A13051" s="101"/>
    </row>
    <row r="13052" spans="1:1" x14ac:dyDescent="0.2">
      <c r="A13052" s="101"/>
    </row>
    <row r="13053" spans="1:1" x14ac:dyDescent="0.2">
      <c r="A13053" s="101"/>
    </row>
    <row r="13054" spans="1:1" x14ac:dyDescent="0.2">
      <c r="A13054" s="101"/>
    </row>
    <row r="13055" spans="1:1" x14ac:dyDescent="0.2">
      <c r="A13055" s="101"/>
    </row>
    <row r="13056" spans="1:1" x14ac:dyDescent="0.2">
      <c r="A13056" s="101"/>
    </row>
    <row r="13057" spans="1:1" x14ac:dyDescent="0.2">
      <c r="A13057" s="101"/>
    </row>
    <row r="13058" spans="1:1" x14ac:dyDescent="0.2">
      <c r="A13058" s="101"/>
    </row>
    <row r="13059" spans="1:1" x14ac:dyDescent="0.2">
      <c r="A13059" s="101"/>
    </row>
    <row r="13060" spans="1:1" x14ac:dyDescent="0.2">
      <c r="A13060" s="101"/>
    </row>
    <row r="13061" spans="1:1" x14ac:dyDescent="0.2">
      <c r="A13061" s="101"/>
    </row>
    <row r="13062" spans="1:1" x14ac:dyDescent="0.2">
      <c r="A13062" s="101"/>
    </row>
    <row r="13063" spans="1:1" x14ac:dyDescent="0.2">
      <c r="A13063" s="101"/>
    </row>
    <row r="13064" spans="1:1" x14ac:dyDescent="0.2">
      <c r="A13064" s="101"/>
    </row>
    <row r="13065" spans="1:1" x14ac:dyDescent="0.2">
      <c r="A13065" s="101"/>
    </row>
    <row r="13066" spans="1:1" x14ac:dyDescent="0.2">
      <c r="A13066" s="101"/>
    </row>
    <row r="13067" spans="1:1" x14ac:dyDescent="0.2">
      <c r="A13067" s="101"/>
    </row>
    <row r="13068" spans="1:1" x14ac:dyDescent="0.2">
      <c r="A13068" s="101"/>
    </row>
    <row r="13069" spans="1:1" x14ac:dyDescent="0.2">
      <c r="A13069" s="101"/>
    </row>
    <row r="13070" spans="1:1" x14ac:dyDescent="0.2">
      <c r="A13070" s="101"/>
    </row>
    <row r="13071" spans="1:1" x14ac:dyDescent="0.2">
      <c r="A13071" s="101"/>
    </row>
    <row r="13072" spans="1:1" x14ac:dyDescent="0.2">
      <c r="A13072" s="101"/>
    </row>
    <row r="13073" spans="1:1" x14ac:dyDescent="0.2">
      <c r="A13073" s="101"/>
    </row>
    <row r="13074" spans="1:1" x14ac:dyDescent="0.2">
      <c r="A13074" s="101"/>
    </row>
    <row r="13075" spans="1:1" x14ac:dyDescent="0.2">
      <c r="A13075" s="101"/>
    </row>
    <row r="13076" spans="1:1" x14ac:dyDescent="0.2">
      <c r="A13076" s="101"/>
    </row>
    <row r="13077" spans="1:1" x14ac:dyDescent="0.2">
      <c r="A13077" s="101"/>
    </row>
    <row r="13078" spans="1:1" x14ac:dyDescent="0.2">
      <c r="A13078" s="101"/>
    </row>
    <row r="13079" spans="1:1" x14ac:dyDescent="0.2">
      <c r="A13079" s="101"/>
    </row>
    <row r="13080" spans="1:1" x14ac:dyDescent="0.2">
      <c r="A13080" s="101"/>
    </row>
    <row r="13081" spans="1:1" x14ac:dyDescent="0.2">
      <c r="A13081" s="101"/>
    </row>
    <row r="13082" spans="1:1" x14ac:dyDescent="0.2">
      <c r="A13082" s="101"/>
    </row>
    <row r="13083" spans="1:1" x14ac:dyDescent="0.2">
      <c r="A13083" s="101"/>
    </row>
    <row r="13084" spans="1:1" x14ac:dyDescent="0.2">
      <c r="A13084" s="101"/>
    </row>
    <row r="13085" spans="1:1" x14ac:dyDescent="0.2">
      <c r="A13085" s="101"/>
    </row>
    <row r="13086" spans="1:1" x14ac:dyDescent="0.2">
      <c r="A13086" s="101"/>
    </row>
    <row r="13087" spans="1:1" x14ac:dyDescent="0.2">
      <c r="A13087" s="101"/>
    </row>
    <row r="13088" spans="1:1" x14ac:dyDescent="0.2">
      <c r="A13088" s="101"/>
    </row>
    <row r="13089" spans="1:1" x14ac:dyDescent="0.2">
      <c r="A13089" s="101"/>
    </row>
    <row r="13090" spans="1:1" x14ac:dyDescent="0.2">
      <c r="A13090" s="101"/>
    </row>
    <row r="13091" spans="1:1" x14ac:dyDescent="0.2">
      <c r="A13091" s="101"/>
    </row>
    <row r="13092" spans="1:1" x14ac:dyDescent="0.2">
      <c r="A13092" s="101"/>
    </row>
    <row r="13093" spans="1:1" x14ac:dyDescent="0.2">
      <c r="A13093" s="101"/>
    </row>
    <row r="13094" spans="1:1" x14ac:dyDescent="0.2">
      <c r="A13094" s="101"/>
    </row>
    <row r="13095" spans="1:1" x14ac:dyDescent="0.2">
      <c r="A13095" s="101"/>
    </row>
    <row r="13096" spans="1:1" x14ac:dyDescent="0.2">
      <c r="A13096" s="101"/>
    </row>
    <row r="13097" spans="1:1" x14ac:dyDescent="0.2">
      <c r="A13097" s="101"/>
    </row>
    <row r="13098" spans="1:1" x14ac:dyDescent="0.2">
      <c r="A13098" s="101"/>
    </row>
    <row r="13099" spans="1:1" x14ac:dyDescent="0.2">
      <c r="A13099" s="101"/>
    </row>
    <row r="13100" spans="1:1" x14ac:dyDescent="0.2">
      <c r="A13100" s="101"/>
    </row>
    <row r="13101" spans="1:1" x14ac:dyDescent="0.2">
      <c r="A13101" s="101"/>
    </row>
    <row r="13102" spans="1:1" x14ac:dyDescent="0.2">
      <c r="A13102" s="101"/>
    </row>
    <row r="13103" spans="1:1" x14ac:dyDescent="0.2">
      <c r="A13103" s="101"/>
    </row>
    <row r="13104" spans="1:1" x14ac:dyDescent="0.2">
      <c r="A13104" s="101"/>
    </row>
    <row r="13105" spans="1:1" x14ac:dyDescent="0.2">
      <c r="A13105" s="101"/>
    </row>
    <row r="13106" spans="1:1" x14ac:dyDescent="0.2">
      <c r="A13106" s="101"/>
    </row>
    <row r="13107" spans="1:1" x14ac:dyDescent="0.2">
      <c r="A13107" s="101"/>
    </row>
    <row r="13108" spans="1:1" x14ac:dyDescent="0.2">
      <c r="A13108" s="101"/>
    </row>
    <row r="13109" spans="1:1" x14ac:dyDescent="0.2">
      <c r="A13109" s="101"/>
    </row>
    <row r="13110" spans="1:1" x14ac:dyDescent="0.2">
      <c r="A13110" s="101"/>
    </row>
    <row r="13111" spans="1:1" x14ac:dyDescent="0.2">
      <c r="A13111" s="101"/>
    </row>
    <row r="13112" spans="1:1" x14ac:dyDescent="0.2">
      <c r="A13112" s="101"/>
    </row>
    <row r="13113" spans="1:1" x14ac:dyDescent="0.2">
      <c r="A13113" s="101"/>
    </row>
    <row r="13114" spans="1:1" x14ac:dyDescent="0.2">
      <c r="A13114" s="101"/>
    </row>
    <row r="13115" spans="1:1" x14ac:dyDescent="0.2">
      <c r="A13115" s="101"/>
    </row>
    <row r="13116" spans="1:1" x14ac:dyDescent="0.2">
      <c r="A13116" s="101"/>
    </row>
    <row r="13117" spans="1:1" x14ac:dyDescent="0.2">
      <c r="A13117" s="101"/>
    </row>
    <row r="13118" spans="1:1" x14ac:dyDescent="0.2">
      <c r="A13118" s="101"/>
    </row>
    <row r="13119" spans="1:1" x14ac:dyDescent="0.2">
      <c r="A13119" s="101"/>
    </row>
    <row r="13120" spans="1:1" x14ac:dyDescent="0.2">
      <c r="A13120" s="101"/>
    </row>
    <row r="13121" spans="1:1" x14ac:dyDescent="0.2">
      <c r="A13121" s="101"/>
    </row>
    <row r="13122" spans="1:1" x14ac:dyDescent="0.2">
      <c r="A13122" s="101"/>
    </row>
    <row r="13123" spans="1:1" x14ac:dyDescent="0.2">
      <c r="A13123" s="101"/>
    </row>
    <row r="13124" spans="1:1" x14ac:dyDescent="0.2">
      <c r="A13124" s="101"/>
    </row>
    <row r="13125" spans="1:1" x14ac:dyDescent="0.2">
      <c r="A13125" s="101"/>
    </row>
    <row r="13126" spans="1:1" x14ac:dyDescent="0.2">
      <c r="A13126" s="101"/>
    </row>
    <row r="13127" spans="1:1" x14ac:dyDescent="0.2">
      <c r="A13127" s="101"/>
    </row>
    <row r="13128" spans="1:1" x14ac:dyDescent="0.2">
      <c r="A13128" s="101"/>
    </row>
    <row r="13129" spans="1:1" x14ac:dyDescent="0.2">
      <c r="A13129" s="101"/>
    </row>
    <row r="13130" spans="1:1" x14ac:dyDescent="0.2">
      <c r="A13130" s="101"/>
    </row>
    <row r="13131" spans="1:1" x14ac:dyDescent="0.2">
      <c r="A13131" s="101"/>
    </row>
    <row r="13132" spans="1:1" x14ac:dyDescent="0.2">
      <c r="A13132" s="101"/>
    </row>
    <row r="13133" spans="1:1" x14ac:dyDescent="0.2">
      <c r="A13133" s="101"/>
    </row>
    <row r="13134" spans="1:1" x14ac:dyDescent="0.2">
      <c r="A13134" s="101"/>
    </row>
    <row r="13135" spans="1:1" x14ac:dyDescent="0.2">
      <c r="A13135" s="101"/>
    </row>
    <row r="13136" spans="1:1" x14ac:dyDescent="0.2">
      <c r="A13136" s="101"/>
    </row>
    <row r="13137" spans="1:1" x14ac:dyDescent="0.2">
      <c r="A13137" s="101"/>
    </row>
    <row r="13138" spans="1:1" x14ac:dyDescent="0.2">
      <c r="A13138" s="101"/>
    </row>
    <row r="13139" spans="1:1" x14ac:dyDescent="0.2">
      <c r="A13139" s="101"/>
    </row>
    <row r="13140" spans="1:1" x14ac:dyDescent="0.2">
      <c r="A13140" s="101"/>
    </row>
    <row r="13141" spans="1:1" x14ac:dyDescent="0.2">
      <c r="A13141" s="101"/>
    </row>
    <row r="13142" spans="1:1" x14ac:dyDescent="0.2">
      <c r="A13142" s="101"/>
    </row>
    <row r="13143" spans="1:1" x14ac:dyDescent="0.2">
      <c r="A13143" s="101"/>
    </row>
    <row r="13144" spans="1:1" x14ac:dyDescent="0.2">
      <c r="A13144" s="101"/>
    </row>
    <row r="13145" spans="1:1" x14ac:dyDescent="0.2">
      <c r="A13145" s="101"/>
    </row>
    <row r="13146" spans="1:1" x14ac:dyDescent="0.2">
      <c r="A13146" s="101"/>
    </row>
    <row r="13147" spans="1:1" x14ac:dyDescent="0.2">
      <c r="A13147" s="101"/>
    </row>
    <row r="13148" spans="1:1" x14ac:dyDescent="0.2">
      <c r="A13148" s="101"/>
    </row>
    <row r="13149" spans="1:1" x14ac:dyDescent="0.2">
      <c r="A13149" s="101"/>
    </row>
    <row r="13150" spans="1:1" x14ac:dyDescent="0.2">
      <c r="A13150" s="101"/>
    </row>
    <row r="13151" spans="1:1" x14ac:dyDescent="0.2">
      <c r="A13151" s="101"/>
    </row>
    <row r="13152" spans="1:1" x14ac:dyDescent="0.2">
      <c r="A13152" s="101"/>
    </row>
    <row r="13153" spans="1:1" x14ac:dyDescent="0.2">
      <c r="A13153" s="101"/>
    </row>
    <row r="13154" spans="1:1" x14ac:dyDescent="0.2">
      <c r="A13154" s="101"/>
    </row>
    <row r="13155" spans="1:1" x14ac:dyDescent="0.2">
      <c r="A13155" s="101"/>
    </row>
    <row r="13156" spans="1:1" x14ac:dyDescent="0.2">
      <c r="A13156" s="101"/>
    </row>
    <row r="13157" spans="1:1" x14ac:dyDescent="0.2">
      <c r="A13157" s="101"/>
    </row>
    <row r="13158" spans="1:1" x14ac:dyDescent="0.2">
      <c r="A13158" s="101"/>
    </row>
    <row r="13159" spans="1:1" x14ac:dyDescent="0.2">
      <c r="A13159" s="101"/>
    </row>
    <row r="13160" spans="1:1" x14ac:dyDescent="0.2">
      <c r="A13160" s="101"/>
    </row>
    <row r="13161" spans="1:1" x14ac:dyDescent="0.2">
      <c r="A13161" s="101"/>
    </row>
    <row r="13162" spans="1:1" x14ac:dyDescent="0.2">
      <c r="A13162" s="101"/>
    </row>
    <row r="13163" spans="1:1" x14ac:dyDescent="0.2">
      <c r="A13163" s="101"/>
    </row>
    <row r="13164" spans="1:1" x14ac:dyDescent="0.2">
      <c r="A13164" s="101"/>
    </row>
    <row r="13165" spans="1:1" x14ac:dyDescent="0.2">
      <c r="A13165" s="101"/>
    </row>
    <row r="13166" spans="1:1" x14ac:dyDescent="0.2">
      <c r="A13166" s="101"/>
    </row>
    <row r="13167" spans="1:1" x14ac:dyDescent="0.2">
      <c r="A13167" s="101"/>
    </row>
    <row r="13168" spans="1:1" x14ac:dyDescent="0.2">
      <c r="A13168" s="101"/>
    </row>
    <row r="13169" spans="1:1" x14ac:dyDescent="0.2">
      <c r="A13169" s="101"/>
    </row>
    <row r="13170" spans="1:1" x14ac:dyDescent="0.2">
      <c r="A13170" s="101"/>
    </row>
    <row r="13171" spans="1:1" x14ac:dyDescent="0.2">
      <c r="A13171" s="101"/>
    </row>
    <row r="13172" spans="1:1" x14ac:dyDescent="0.2">
      <c r="A13172" s="101"/>
    </row>
    <row r="13173" spans="1:1" x14ac:dyDescent="0.2">
      <c r="A13173" s="101"/>
    </row>
    <row r="13174" spans="1:1" x14ac:dyDescent="0.2">
      <c r="A13174" s="101"/>
    </row>
    <row r="13175" spans="1:1" x14ac:dyDescent="0.2">
      <c r="A13175" s="101"/>
    </row>
    <row r="13176" spans="1:1" x14ac:dyDescent="0.2">
      <c r="A13176" s="101"/>
    </row>
    <row r="13177" spans="1:1" x14ac:dyDescent="0.2">
      <c r="A13177" s="101"/>
    </row>
    <row r="13178" spans="1:1" x14ac:dyDescent="0.2">
      <c r="A13178" s="101"/>
    </row>
    <row r="13179" spans="1:1" x14ac:dyDescent="0.2">
      <c r="A13179" s="101"/>
    </row>
    <row r="13180" spans="1:1" x14ac:dyDescent="0.2">
      <c r="A13180" s="101"/>
    </row>
    <row r="13181" spans="1:1" x14ac:dyDescent="0.2">
      <c r="A13181" s="101"/>
    </row>
    <row r="13182" spans="1:1" x14ac:dyDescent="0.2">
      <c r="A13182" s="101"/>
    </row>
    <row r="13183" spans="1:1" x14ac:dyDescent="0.2">
      <c r="A13183" s="101"/>
    </row>
    <row r="13184" spans="1:1" x14ac:dyDescent="0.2">
      <c r="A13184" s="101"/>
    </row>
    <row r="13185" spans="1:1" x14ac:dyDescent="0.2">
      <c r="A13185" s="101"/>
    </row>
    <row r="13186" spans="1:1" x14ac:dyDescent="0.2">
      <c r="A13186" s="101"/>
    </row>
    <row r="13187" spans="1:1" x14ac:dyDescent="0.2">
      <c r="A13187" s="101"/>
    </row>
    <row r="13188" spans="1:1" x14ac:dyDescent="0.2">
      <c r="A13188" s="101"/>
    </row>
    <row r="13189" spans="1:1" x14ac:dyDescent="0.2">
      <c r="A13189" s="101"/>
    </row>
    <row r="13190" spans="1:1" x14ac:dyDescent="0.2">
      <c r="A13190" s="101"/>
    </row>
    <row r="13191" spans="1:1" x14ac:dyDescent="0.2">
      <c r="A13191" s="101"/>
    </row>
    <row r="13192" spans="1:1" x14ac:dyDescent="0.2">
      <c r="A13192" s="101"/>
    </row>
    <row r="13193" spans="1:1" x14ac:dyDescent="0.2">
      <c r="A13193" s="101"/>
    </row>
    <row r="13194" spans="1:1" x14ac:dyDescent="0.2">
      <c r="A13194" s="101"/>
    </row>
    <row r="13195" spans="1:1" x14ac:dyDescent="0.2">
      <c r="A13195" s="101"/>
    </row>
    <row r="13196" spans="1:1" x14ac:dyDescent="0.2">
      <c r="A13196" s="101"/>
    </row>
    <row r="13197" spans="1:1" x14ac:dyDescent="0.2">
      <c r="A13197" s="101"/>
    </row>
    <row r="13198" spans="1:1" x14ac:dyDescent="0.2">
      <c r="A13198" s="101"/>
    </row>
    <row r="13199" spans="1:1" x14ac:dyDescent="0.2">
      <c r="A13199" s="101"/>
    </row>
    <row r="13200" spans="1:1" x14ac:dyDescent="0.2">
      <c r="A13200" s="101"/>
    </row>
    <row r="13201" spans="1:1" x14ac:dyDescent="0.2">
      <c r="A13201" s="101"/>
    </row>
    <row r="13202" spans="1:1" x14ac:dyDescent="0.2">
      <c r="A13202" s="101"/>
    </row>
    <row r="13203" spans="1:1" x14ac:dyDescent="0.2">
      <c r="A13203" s="101"/>
    </row>
    <row r="13204" spans="1:1" x14ac:dyDescent="0.2">
      <c r="A13204" s="101"/>
    </row>
    <row r="13205" spans="1:1" x14ac:dyDescent="0.2">
      <c r="A13205" s="101"/>
    </row>
    <row r="13206" spans="1:1" x14ac:dyDescent="0.2">
      <c r="A13206" s="101"/>
    </row>
    <row r="13207" spans="1:1" x14ac:dyDescent="0.2">
      <c r="A13207" s="101"/>
    </row>
    <row r="13208" spans="1:1" x14ac:dyDescent="0.2">
      <c r="A13208" s="101"/>
    </row>
    <row r="13209" spans="1:1" x14ac:dyDescent="0.2">
      <c r="A13209" s="101"/>
    </row>
    <row r="13210" spans="1:1" x14ac:dyDescent="0.2">
      <c r="A13210" s="101"/>
    </row>
    <row r="13211" spans="1:1" x14ac:dyDescent="0.2">
      <c r="A13211" s="101"/>
    </row>
    <row r="13212" spans="1:1" x14ac:dyDescent="0.2">
      <c r="A13212" s="101"/>
    </row>
    <row r="13213" spans="1:1" x14ac:dyDescent="0.2">
      <c r="A13213" s="101"/>
    </row>
    <row r="13214" spans="1:1" x14ac:dyDescent="0.2">
      <c r="A13214" s="101"/>
    </row>
    <row r="13215" spans="1:1" x14ac:dyDescent="0.2">
      <c r="A13215" s="101"/>
    </row>
    <row r="13216" spans="1:1" x14ac:dyDescent="0.2">
      <c r="A13216" s="101"/>
    </row>
    <row r="13217" spans="1:1" x14ac:dyDescent="0.2">
      <c r="A13217" s="101"/>
    </row>
    <row r="13218" spans="1:1" x14ac:dyDescent="0.2">
      <c r="A13218" s="101"/>
    </row>
    <row r="13219" spans="1:1" x14ac:dyDescent="0.2">
      <c r="A13219" s="101"/>
    </row>
    <row r="13220" spans="1:1" x14ac:dyDescent="0.2">
      <c r="A13220" s="101"/>
    </row>
    <row r="13221" spans="1:1" x14ac:dyDescent="0.2">
      <c r="A13221" s="101"/>
    </row>
    <row r="13222" spans="1:1" x14ac:dyDescent="0.2">
      <c r="A13222" s="101"/>
    </row>
    <row r="13223" spans="1:1" x14ac:dyDescent="0.2">
      <c r="A13223" s="101"/>
    </row>
    <row r="13224" spans="1:1" x14ac:dyDescent="0.2">
      <c r="A13224" s="101"/>
    </row>
    <row r="13225" spans="1:1" x14ac:dyDescent="0.2">
      <c r="A13225" s="101"/>
    </row>
    <row r="13226" spans="1:1" x14ac:dyDescent="0.2">
      <c r="A13226" s="101"/>
    </row>
    <row r="13227" spans="1:1" x14ac:dyDescent="0.2">
      <c r="A13227" s="101"/>
    </row>
    <row r="13228" spans="1:1" x14ac:dyDescent="0.2">
      <c r="A13228" s="101"/>
    </row>
    <row r="13229" spans="1:1" x14ac:dyDescent="0.2">
      <c r="A13229" s="101"/>
    </row>
    <row r="13230" spans="1:1" x14ac:dyDescent="0.2">
      <c r="A13230" s="101"/>
    </row>
    <row r="13231" spans="1:1" x14ac:dyDescent="0.2">
      <c r="A13231" s="101"/>
    </row>
    <row r="13232" spans="1:1" x14ac:dyDescent="0.2">
      <c r="A13232" s="101"/>
    </row>
    <row r="13233" spans="1:1" x14ac:dyDescent="0.2">
      <c r="A13233" s="101"/>
    </row>
    <row r="13234" spans="1:1" x14ac:dyDescent="0.2">
      <c r="A13234" s="101"/>
    </row>
    <row r="13235" spans="1:1" x14ac:dyDescent="0.2">
      <c r="A13235" s="101"/>
    </row>
    <row r="13236" spans="1:1" x14ac:dyDescent="0.2">
      <c r="A13236" s="101"/>
    </row>
    <row r="13237" spans="1:1" x14ac:dyDescent="0.2">
      <c r="A13237" s="101"/>
    </row>
    <row r="13238" spans="1:1" x14ac:dyDescent="0.2">
      <c r="A13238" s="101"/>
    </row>
    <row r="13239" spans="1:1" x14ac:dyDescent="0.2">
      <c r="A13239" s="101"/>
    </row>
    <row r="13240" spans="1:1" x14ac:dyDescent="0.2">
      <c r="A13240" s="101"/>
    </row>
    <row r="13241" spans="1:1" x14ac:dyDescent="0.2">
      <c r="A13241" s="101"/>
    </row>
    <row r="13242" spans="1:1" x14ac:dyDescent="0.2">
      <c r="A13242" s="101"/>
    </row>
    <row r="13243" spans="1:1" x14ac:dyDescent="0.2">
      <c r="A13243" s="101"/>
    </row>
    <row r="13244" spans="1:1" x14ac:dyDescent="0.2">
      <c r="A13244" s="101"/>
    </row>
    <row r="13245" spans="1:1" x14ac:dyDescent="0.2">
      <c r="A13245" s="101"/>
    </row>
    <row r="13246" spans="1:1" x14ac:dyDescent="0.2">
      <c r="A13246" s="101"/>
    </row>
    <row r="13247" spans="1:1" x14ac:dyDescent="0.2">
      <c r="A13247" s="101"/>
    </row>
    <row r="13248" spans="1:1" x14ac:dyDescent="0.2">
      <c r="A13248" s="101"/>
    </row>
    <row r="13249" spans="1:1" x14ac:dyDescent="0.2">
      <c r="A13249" s="101"/>
    </row>
    <row r="13250" spans="1:1" x14ac:dyDescent="0.2">
      <c r="A13250" s="101"/>
    </row>
    <row r="13251" spans="1:1" x14ac:dyDescent="0.2">
      <c r="A13251" s="101"/>
    </row>
    <row r="13252" spans="1:1" x14ac:dyDescent="0.2">
      <c r="A13252" s="101"/>
    </row>
    <row r="13253" spans="1:1" x14ac:dyDescent="0.2">
      <c r="A13253" s="101"/>
    </row>
    <row r="13254" spans="1:1" x14ac:dyDescent="0.2">
      <c r="A13254" s="101"/>
    </row>
    <row r="13255" spans="1:1" x14ac:dyDescent="0.2">
      <c r="A13255" s="101"/>
    </row>
    <row r="13256" spans="1:1" x14ac:dyDescent="0.2">
      <c r="A13256" s="101"/>
    </row>
    <row r="13257" spans="1:1" x14ac:dyDescent="0.2">
      <c r="A13257" s="101"/>
    </row>
    <row r="13258" spans="1:1" x14ac:dyDescent="0.2">
      <c r="A13258" s="101"/>
    </row>
    <row r="13259" spans="1:1" x14ac:dyDescent="0.2">
      <c r="A13259" s="101"/>
    </row>
    <row r="13260" spans="1:1" x14ac:dyDescent="0.2">
      <c r="A13260" s="101"/>
    </row>
    <row r="13261" spans="1:1" x14ac:dyDescent="0.2">
      <c r="A13261" s="101"/>
    </row>
    <row r="13262" spans="1:1" x14ac:dyDescent="0.2">
      <c r="A13262" s="101"/>
    </row>
    <row r="13263" spans="1:1" x14ac:dyDescent="0.2">
      <c r="A13263" s="101"/>
    </row>
    <row r="13264" spans="1:1" x14ac:dyDescent="0.2">
      <c r="A13264" s="101"/>
    </row>
    <row r="13265" spans="1:1" x14ac:dyDescent="0.2">
      <c r="A13265" s="101"/>
    </row>
    <row r="13266" spans="1:1" x14ac:dyDescent="0.2">
      <c r="A13266" s="101"/>
    </row>
    <row r="13267" spans="1:1" x14ac:dyDescent="0.2">
      <c r="A13267" s="101"/>
    </row>
    <row r="13268" spans="1:1" x14ac:dyDescent="0.2">
      <c r="A13268" s="101"/>
    </row>
    <row r="13269" spans="1:1" x14ac:dyDescent="0.2">
      <c r="A13269" s="101"/>
    </row>
    <row r="13270" spans="1:1" x14ac:dyDescent="0.2">
      <c r="A13270" s="101"/>
    </row>
    <row r="13271" spans="1:1" x14ac:dyDescent="0.2">
      <c r="A13271" s="101"/>
    </row>
    <row r="13272" spans="1:1" x14ac:dyDescent="0.2">
      <c r="A13272" s="101"/>
    </row>
    <row r="13273" spans="1:1" x14ac:dyDescent="0.2">
      <c r="A13273" s="101"/>
    </row>
    <row r="13274" spans="1:1" x14ac:dyDescent="0.2">
      <c r="A13274" s="101"/>
    </row>
    <row r="13275" spans="1:1" x14ac:dyDescent="0.2">
      <c r="A13275" s="101"/>
    </row>
    <row r="13276" spans="1:1" x14ac:dyDescent="0.2">
      <c r="A13276" s="101"/>
    </row>
    <row r="13277" spans="1:1" x14ac:dyDescent="0.2">
      <c r="A13277" s="101"/>
    </row>
    <row r="13278" spans="1:1" x14ac:dyDescent="0.2">
      <c r="A13278" s="101"/>
    </row>
    <row r="13279" spans="1:1" x14ac:dyDescent="0.2">
      <c r="A13279" s="101"/>
    </row>
    <row r="13280" spans="1:1" x14ac:dyDescent="0.2">
      <c r="A13280" s="101"/>
    </row>
    <row r="13281" spans="1:1" x14ac:dyDescent="0.2">
      <c r="A13281" s="101"/>
    </row>
    <row r="13282" spans="1:1" x14ac:dyDescent="0.2">
      <c r="A13282" s="101"/>
    </row>
    <row r="13283" spans="1:1" x14ac:dyDescent="0.2">
      <c r="A13283" s="101"/>
    </row>
    <row r="13284" spans="1:1" x14ac:dyDescent="0.2">
      <c r="A13284" s="101"/>
    </row>
    <row r="13285" spans="1:1" x14ac:dyDescent="0.2">
      <c r="A13285" s="101"/>
    </row>
    <row r="13286" spans="1:1" x14ac:dyDescent="0.2">
      <c r="A13286" s="101"/>
    </row>
    <row r="13287" spans="1:1" x14ac:dyDescent="0.2">
      <c r="A13287" s="101"/>
    </row>
    <row r="13288" spans="1:1" x14ac:dyDescent="0.2">
      <c r="A13288" s="101"/>
    </row>
    <row r="13289" spans="1:1" x14ac:dyDescent="0.2">
      <c r="A13289" s="101"/>
    </row>
    <row r="13290" spans="1:1" x14ac:dyDescent="0.2">
      <c r="A13290" s="101"/>
    </row>
    <row r="13291" spans="1:1" x14ac:dyDescent="0.2">
      <c r="A13291" s="101"/>
    </row>
    <row r="13292" spans="1:1" x14ac:dyDescent="0.2">
      <c r="A13292" s="101"/>
    </row>
    <row r="13293" spans="1:1" x14ac:dyDescent="0.2">
      <c r="A13293" s="101"/>
    </row>
    <row r="13294" spans="1:1" x14ac:dyDescent="0.2">
      <c r="A13294" s="101"/>
    </row>
    <row r="13295" spans="1:1" x14ac:dyDescent="0.2">
      <c r="A13295" s="101"/>
    </row>
    <row r="13296" spans="1:1" x14ac:dyDescent="0.2">
      <c r="A13296" s="101"/>
    </row>
    <row r="13297" spans="1:1" x14ac:dyDescent="0.2">
      <c r="A13297" s="101"/>
    </row>
    <row r="13298" spans="1:1" x14ac:dyDescent="0.2">
      <c r="A13298" s="101"/>
    </row>
    <row r="13299" spans="1:1" x14ac:dyDescent="0.2">
      <c r="A13299" s="101"/>
    </row>
    <row r="13300" spans="1:1" x14ac:dyDescent="0.2">
      <c r="A13300" s="101"/>
    </row>
    <row r="13301" spans="1:1" x14ac:dyDescent="0.2">
      <c r="A13301" s="101"/>
    </row>
    <row r="13302" spans="1:1" x14ac:dyDescent="0.2">
      <c r="A13302" s="101"/>
    </row>
    <row r="13303" spans="1:1" x14ac:dyDescent="0.2">
      <c r="A13303" s="101"/>
    </row>
    <row r="13304" spans="1:1" x14ac:dyDescent="0.2">
      <c r="A13304" s="101"/>
    </row>
    <row r="13305" spans="1:1" x14ac:dyDescent="0.2">
      <c r="A13305" s="101"/>
    </row>
    <row r="13306" spans="1:1" x14ac:dyDescent="0.2">
      <c r="A13306" s="101"/>
    </row>
    <row r="13307" spans="1:1" x14ac:dyDescent="0.2">
      <c r="A13307" s="101"/>
    </row>
    <row r="13308" spans="1:1" x14ac:dyDescent="0.2">
      <c r="A13308" s="101"/>
    </row>
    <row r="13309" spans="1:1" x14ac:dyDescent="0.2">
      <c r="A13309" s="101"/>
    </row>
    <row r="13310" spans="1:1" x14ac:dyDescent="0.2">
      <c r="A13310" s="101"/>
    </row>
    <row r="13311" spans="1:1" x14ac:dyDescent="0.2">
      <c r="A13311" s="101"/>
    </row>
    <row r="13312" spans="1:1" x14ac:dyDescent="0.2">
      <c r="A13312" s="101"/>
    </row>
    <row r="13313" spans="1:1" x14ac:dyDescent="0.2">
      <c r="A13313" s="101"/>
    </row>
    <row r="13314" spans="1:1" x14ac:dyDescent="0.2">
      <c r="A13314" s="101"/>
    </row>
    <row r="13315" spans="1:1" x14ac:dyDescent="0.2">
      <c r="A13315" s="101"/>
    </row>
    <row r="13316" spans="1:1" x14ac:dyDescent="0.2">
      <c r="A13316" s="101"/>
    </row>
    <row r="13317" spans="1:1" x14ac:dyDescent="0.2">
      <c r="A13317" s="101"/>
    </row>
    <row r="13318" spans="1:1" x14ac:dyDescent="0.2">
      <c r="A13318" s="101"/>
    </row>
    <row r="13319" spans="1:1" x14ac:dyDescent="0.2">
      <c r="A13319" s="101"/>
    </row>
    <row r="13320" spans="1:1" x14ac:dyDescent="0.2">
      <c r="A13320" s="101"/>
    </row>
    <row r="13321" spans="1:1" x14ac:dyDescent="0.2">
      <c r="A13321" s="101"/>
    </row>
    <row r="13322" spans="1:1" x14ac:dyDescent="0.2">
      <c r="A13322" s="101"/>
    </row>
    <row r="13323" spans="1:1" x14ac:dyDescent="0.2">
      <c r="A13323" s="101"/>
    </row>
    <row r="13324" spans="1:1" x14ac:dyDescent="0.2">
      <c r="A13324" s="101"/>
    </row>
    <row r="13325" spans="1:1" x14ac:dyDescent="0.2">
      <c r="A13325" s="101"/>
    </row>
    <row r="13326" spans="1:1" x14ac:dyDescent="0.2">
      <c r="A13326" s="101"/>
    </row>
    <row r="13327" spans="1:1" x14ac:dyDescent="0.2">
      <c r="A13327" s="101"/>
    </row>
    <row r="13328" spans="1:1" x14ac:dyDescent="0.2">
      <c r="A13328" s="101"/>
    </row>
    <row r="13329" spans="1:1" x14ac:dyDescent="0.2">
      <c r="A13329" s="101"/>
    </row>
    <row r="13330" spans="1:1" x14ac:dyDescent="0.2">
      <c r="A13330" s="101"/>
    </row>
    <row r="13331" spans="1:1" x14ac:dyDescent="0.2">
      <c r="A13331" s="101"/>
    </row>
    <row r="13332" spans="1:1" x14ac:dyDescent="0.2">
      <c r="A13332" s="101"/>
    </row>
    <row r="13333" spans="1:1" x14ac:dyDescent="0.2">
      <c r="A13333" s="101"/>
    </row>
    <row r="13334" spans="1:1" x14ac:dyDescent="0.2">
      <c r="A13334" s="101"/>
    </row>
    <row r="13335" spans="1:1" x14ac:dyDescent="0.2">
      <c r="A13335" s="101"/>
    </row>
    <row r="13336" spans="1:1" x14ac:dyDescent="0.2">
      <c r="A13336" s="101"/>
    </row>
    <row r="13337" spans="1:1" x14ac:dyDescent="0.2">
      <c r="A13337" s="101"/>
    </row>
    <row r="13338" spans="1:1" x14ac:dyDescent="0.2">
      <c r="A13338" s="101"/>
    </row>
    <row r="13339" spans="1:1" x14ac:dyDescent="0.2">
      <c r="A13339" s="101"/>
    </row>
    <row r="13340" spans="1:1" x14ac:dyDescent="0.2">
      <c r="A13340" s="101"/>
    </row>
    <row r="13341" spans="1:1" x14ac:dyDescent="0.2">
      <c r="A13341" s="101"/>
    </row>
    <row r="13342" spans="1:1" x14ac:dyDescent="0.2">
      <c r="A13342" s="101"/>
    </row>
    <row r="13343" spans="1:1" x14ac:dyDescent="0.2">
      <c r="A13343" s="101"/>
    </row>
    <row r="13344" spans="1:1" x14ac:dyDescent="0.2">
      <c r="A13344" s="101"/>
    </row>
    <row r="13345" spans="1:1" x14ac:dyDescent="0.2">
      <c r="A13345" s="101"/>
    </row>
    <row r="13346" spans="1:1" x14ac:dyDescent="0.2">
      <c r="A13346" s="101"/>
    </row>
    <row r="13347" spans="1:1" x14ac:dyDescent="0.2">
      <c r="A13347" s="101"/>
    </row>
    <row r="13348" spans="1:1" x14ac:dyDescent="0.2">
      <c r="A13348" s="101"/>
    </row>
    <row r="13349" spans="1:1" x14ac:dyDescent="0.2">
      <c r="A13349" s="101"/>
    </row>
    <row r="13350" spans="1:1" x14ac:dyDescent="0.2">
      <c r="A13350" s="101"/>
    </row>
    <row r="13351" spans="1:1" x14ac:dyDescent="0.2">
      <c r="A13351" s="101"/>
    </row>
    <row r="13352" spans="1:1" x14ac:dyDescent="0.2">
      <c r="A13352" s="101"/>
    </row>
    <row r="13353" spans="1:1" x14ac:dyDescent="0.2">
      <c r="A13353" s="101"/>
    </row>
    <row r="13354" spans="1:1" x14ac:dyDescent="0.2">
      <c r="A13354" s="101"/>
    </row>
    <row r="13355" spans="1:1" x14ac:dyDescent="0.2">
      <c r="A13355" s="101"/>
    </row>
    <row r="13356" spans="1:1" x14ac:dyDescent="0.2">
      <c r="A13356" s="101"/>
    </row>
    <row r="13357" spans="1:1" x14ac:dyDescent="0.2">
      <c r="A13357" s="101"/>
    </row>
    <row r="13358" spans="1:1" x14ac:dyDescent="0.2">
      <c r="A13358" s="101"/>
    </row>
    <row r="13359" spans="1:1" x14ac:dyDescent="0.2">
      <c r="A13359" s="101"/>
    </row>
    <row r="13360" spans="1:1" x14ac:dyDescent="0.2">
      <c r="A13360" s="101"/>
    </row>
    <row r="13361" spans="1:1" x14ac:dyDescent="0.2">
      <c r="A13361" s="101"/>
    </row>
    <row r="13362" spans="1:1" x14ac:dyDescent="0.2">
      <c r="A13362" s="101"/>
    </row>
    <row r="13363" spans="1:1" x14ac:dyDescent="0.2">
      <c r="A13363" s="101"/>
    </row>
    <row r="13364" spans="1:1" x14ac:dyDescent="0.2">
      <c r="A13364" s="101"/>
    </row>
    <row r="13365" spans="1:1" x14ac:dyDescent="0.2">
      <c r="A13365" s="101"/>
    </row>
    <row r="13366" spans="1:1" x14ac:dyDescent="0.2">
      <c r="A13366" s="101"/>
    </row>
    <row r="13367" spans="1:1" x14ac:dyDescent="0.2">
      <c r="A13367" s="101"/>
    </row>
    <row r="13368" spans="1:1" x14ac:dyDescent="0.2">
      <c r="A13368" s="101"/>
    </row>
    <row r="13369" spans="1:1" x14ac:dyDescent="0.2">
      <c r="A13369" s="101"/>
    </row>
    <row r="13370" spans="1:1" x14ac:dyDescent="0.2">
      <c r="A13370" s="101"/>
    </row>
    <row r="13371" spans="1:1" x14ac:dyDescent="0.2">
      <c r="A13371" s="101"/>
    </row>
    <row r="13372" spans="1:1" x14ac:dyDescent="0.2">
      <c r="A13372" s="101"/>
    </row>
    <row r="13373" spans="1:1" x14ac:dyDescent="0.2">
      <c r="A13373" s="101"/>
    </row>
    <row r="13374" spans="1:1" x14ac:dyDescent="0.2">
      <c r="A13374" s="101"/>
    </row>
    <row r="13375" spans="1:1" x14ac:dyDescent="0.2">
      <c r="A13375" s="101"/>
    </row>
    <row r="13376" spans="1:1" x14ac:dyDescent="0.2">
      <c r="A13376" s="101"/>
    </row>
    <row r="13377" spans="1:1" x14ac:dyDescent="0.2">
      <c r="A13377" s="101"/>
    </row>
    <row r="13378" spans="1:1" x14ac:dyDescent="0.2">
      <c r="A13378" s="101"/>
    </row>
    <row r="13379" spans="1:1" x14ac:dyDescent="0.2">
      <c r="A13379" s="101"/>
    </row>
    <row r="13380" spans="1:1" x14ac:dyDescent="0.2">
      <c r="A13380" s="101"/>
    </row>
    <row r="13381" spans="1:1" x14ac:dyDescent="0.2">
      <c r="A13381" s="101"/>
    </row>
    <row r="13382" spans="1:1" x14ac:dyDescent="0.2">
      <c r="A13382" s="101"/>
    </row>
    <row r="13383" spans="1:1" x14ac:dyDescent="0.2">
      <c r="A13383" s="101"/>
    </row>
    <row r="13384" spans="1:1" x14ac:dyDescent="0.2">
      <c r="A13384" s="101"/>
    </row>
    <row r="13385" spans="1:1" x14ac:dyDescent="0.2">
      <c r="A13385" s="101"/>
    </row>
    <row r="13386" spans="1:1" x14ac:dyDescent="0.2">
      <c r="A13386" s="101"/>
    </row>
    <row r="13387" spans="1:1" x14ac:dyDescent="0.2">
      <c r="A13387" s="101"/>
    </row>
    <row r="13388" spans="1:1" x14ac:dyDescent="0.2">
      <c r="A13388" s="101"/>
    </row>
    <row r="13389" spans="1:1" x14ac:dyDescent="0.2">
      <c r="A13389" s="101"/>
    </row>
    <row r="13390" spans="1:1" x14ac:dyDescent="0.2">
      <c r="A13390" s="101"/>
    </row>
    <row r="13391" spans="1:1" x14ac:dyDescent="0.2">
      <c r="A13391" s="101"/>
    </row>
    <row r="13392" spans="1:1" x14ac:dyDescent="0.2">
      <c r="A13392" s="101"/>
    </row>
    <row r="13393" spans="1:1" x14ac:dyDescent="0.2">
      <c r="A13393" s="101"/>
    </row>
    <row r="13394" spans="1:1" x14ac:dyDescent="0.2">
      <c r="A13394" s="101"/>
    </row>
    <row r="13395" spans="1:1" x14ac:dyDescent="0.2">
      <c r="A13395" s="101"/>
    </row>
    <row r="13396" spans="1:1" x14ac:dyDescent="0.2">
      <c r="A13396" s="101"/>
    </row>
    <row r="13397" spans="1:1" x14ac:dyDescent="0.2">
      <c r="A13397" s="101"/>
    </row>
    <row r="13398" spans="1:1" x14ac:dyDescent="0.2">
      <c r="A13398" s="101"/>
    </row>
    <row r="13399" spans="1:1" x14ac:dyDescent="0.2">
      <c r="A13399" s="101"/>
    </row>
    <row r="13400" spans="1:1" x14ac:dyDescent="0.2">
      <c r="A13400" s="101"/>
    </row>
    <row r="13401" spans="1:1" x14ac:dyDescent="0.2">
      <c r="A13401" s="101"/>
    </row>
    <row r="13402" spans="1:1" x14ac:dyDescent="0.2">
      <c r="A13402" s="101"/>
    </row>
    <row r="13403" spans="1:1" x14ac:dyDescent="0.2">
      <c r="A13403" s="101"/>
    </row>
    <row r="13404" spans="1:1" x14ac:dyDescent="0.2">
      <c r="A13404" s="101"/>
    </row>
    <row r="13405" spans="1:1" x14ac:dyDescent="0.2">
      <c r="A13405" s="101"/>
    </row>
    <row r="13406" spans="1:1" x14ac:dyDescent="0.2">
      <c r="A13406" s="101"/>
    </row>
    <row r="13407" spans="1:1" x14ac:dyDescent="0.2">
      <c r="A13407" s="101"/>
    </row>
    <row r="13408" spans="1:1" x14ac:dyDescent="0.2">
      <c r="A13408" s="101"/>
    </row>
    <row r="13409" spans="1:1" x14ac:dyDescent="0.2">
      <c r="A13409" s="101"/>
    </row>
    <row r="13410" spans="1:1" x14ac:dyDescent="0.2">
      <c r="A13410" s="101"/>
    </row>
    <row r="13411" spans="1:1" x14ac:dyDescent="0.2">
      <c r="A13411" s="101"/>
    </row>
    <row r="13412" spans="1:1" x14ac:dyDescent="0.2">
      <c r="A13412" s="101"/>
    </row>
    <row r="13413" spans="1:1" x14ac:dyDescent="0.2">
      <c r="A13413" s="101"/>
    </row>
    <row r="13414" spans="1:1" x14ac:dyDescent="0.2">
      <c r="A13414" s="101"/>
    </row>
    <row r="13415" spans="1:1" x14ac:dyDescent="0.2">
      <c r="A13415" s="101"/>
    </row>
    <row r="13416" spans="1:1" x14ac:dyDescent="0.2">
      <c r="A13416" s="101"/>
    </row>
    <row r="13417" spans="1:1" x14ac:dyDescent="0.2">
      <c r="A13417" s="101"/>
    </row>
    <row r="13418" spans="1:1" x14ac:dyDescent="0.2">
      <c r="A13418" s="101"/>
    </row>
    <row r="13419" spans="1:1" x14ac:dyDescent="0.2">
      <c r="A13419" s="101"/>
    </row>
    <row r="13420" spans="1:1" x14ac:dyDescent="0.2">
      <c r="A13420" s="101"/>
    </row>
    <row r="13421" spans="1:1" x14ac:dyDescent="0.2">
      <c r="A13421" s="101"/>
    </row>
    <row r="13422" spans="1:1" x14ac:dyDescent="0.2">
      <c r="A13422" s="101"/>
    </row>
    <row r="13423" spans="1:1" x14ac:dyDescent="0.2">
      <c r="A13423" s="101"/>
    </row>
    <row r="13424" spans="1:1" x14ac:dyDescent="0.2">
      <c r="A13424" s="101"/>
    </row>
    <row r="13425" spans="1:1" x14ac:dyDescent="0.2">
      <c r="A13425" s="101"/>
    </row>
    <row r="13426" spans="1:1" x14ac:dyDescent="0.2">
      <c r="A13426" s="101"/>
    </row>
    <row r="13427" spans="1:1" x14ac:dyDescent="0.2">
      <c r="A13427" s="101"/>
    </row>
    <row r="13428" spans="1:1" x14ac:dyDescent="0.2">
      <c r="A13428" s="101"/>
    </row>
    <row r="13429" spans="1:1" x14ac:dyDescent="0.2">
      <c r="A13429" s="101"/>
    </row>
    <row r="13430" spans="1:1" x14ac:dyDescent="0.2">
      <c r="A13430" s="101"/>
    </row>
    <row r="13431" spans="1:1" x14ac:dyDescent="0.2">
      <c r="A13431" s="101"/>
    </row>
    <row r="13432" spans="1:1" x14ac:dyDescent="0.2">
      <c r="A13432" s="101"/>
    </row>
    <row r="13433" spans="1:1" x14ac:dyDescent="0.2">
      <c r="A13433" s="101"/>
    </row>
    <row r="13434" spans="1:1" x14ac:dyDescent="0.2">
      <c r="A13434" s="101"/>
    </row>
    <row r="13435" spans="1:1" x14ac:dyDescent="0.2">
      <c r="A13435" s="101"/>
    </row>
    <row r="13436" spans="1:1" x14ac:dyDescent="0.2">
      <c r="A13436" s="101"/>
    </row>
    <row r="13437" spans="1:1" x14ac:dyDescent="0.2">
      <c r="A13437" s="101"/>
    </row>
    <row r="13438" spans="1:1" x14ac:dyDescent="0.2">
      <c r="A13438" s="101"/>
    </row>
    <row r="13439" spans="1:1" x14ac:dyDescent="0.2">
      <c r="A13439" s="101"/>
    </row>
    <row r="13440" spans="1:1" x14ac:dyDescent="0.2">
      <c r="A13440" s="101"/>
    </row>
    <row r="13441" spans="1:1" x14ac:dyDescent="0.2">
      <c r="A13441" s="101"/>
    </row>
    <row r="13442" spans="1:1" x14ac:dyDescent="0.2">
      <c r="A13442" s="101"/>
    </row>
    <row r="13443" spans="1:1" x14ac:dyDescent="0.2">
      <c r="A13443" s="101"/>
    </row>
    <row r="13444" spans="1:1" x14ac:dyDescent="0.2">
      <c r="A13444" s="101"/>
    </row>
    <row r="13445" spans="1:1" x14ac:dyDescent="0.2">
      <c r="A13445" s="101"/>
    </row>
    <row r="13446" spans="1:1" x14ac:dyDescent="0.2">
      <c r="A13446" s="101"/>
    </row>
    <row r="13447" spans="1:1" x14ac:dyDescent="0.2">
      <c r="A13447" s="101"/>
    </row>
    <row r="13448" spans="1:1" x14ac:dyDescent="0.2">
      <c r="A13448" s="101"/>
    </row>
    <row r="13449" spans="1:1" x14ac:dyDescent="0.2">
      <c r="A13449" s="101"/>
    </row>
    <row r="13450" spans="1:1" x14ac:dyDescent="0.2">
      <c r="A13450" s="101"/>
    </row>
    <row r="13451" spans="1:1" x14ac:dyDescent="0.2">
      <c r="A13451" s="101"/>
    </row>
    <row r="13452" spans="1:1" x14ac:dyDescent="0.2">
      <c r="A13452" s="101"/>
    </row>
    <row r="13453" spans="1:1" x14ac:dyDescent="0.2">
      <c r="A13453" s="101"/>
    </row>
    <row r="13454" spans="1:1" x14ac:dyDescent="0.2">
      <c r="A13454" s="101"/>
    </row>
    <row r="13455" spans="1:1" x14ac:dyDescent="0.2">
      <c r="A13455" s="101"/>
    </row>
    <row r="13456" spans="1:1" x14ac:dyDescent="0.2">
      <c r="A13456" s="101"/>
    </row>
    <row r="13457" spans="1:1" x14ac:dyDescent="0.2">
      <c r="A13457" s="101"/>
    </row>
    <row r="13458" spans="1:1" x14ac:dyDescent="0.2">
      <c r="A13458" s="101"/>
    </row>
    <row r="13459" spans="1:1" x14ac:dyDescent="0.2">
      <c r="A13459" s="101"/>
    </row>
    <row r="13460" spans="1:1" x14ac:dyDescent="0.2">
      <c r="A13460" s="101"/>
    </row>
    <row r="13461" spans="1:1" x14ac:dyDescent="0.2">
      <c r="A13461" s="101"/>
    </row>
    <row r="13462" spans="1:1" x14ac:dyDescent="0.2">
      <c r="A13462" s="101"/>
    </row>
    <row r="13463" spans="1:1" x14ac:dyDescent="0.2">
      <c r="A13463" s="101"/>
    </row>
    <row r="13464" spans="1:1" x14ac:dyDescent="0.2">
      <c r="A13464" s="101"/>
    </row>
    <row r="13465" spans="1:1" x14ac:dyDescent="0.2">
      <c r="A13465" s="101"/>
    </row>
    <row r="13466" spans="1:1" x14ac:dyDescent="0.2">
      <c r="A13466" s="101"/>
    </row>
    <row r="13467" spans="1:1" x14ac:dyDescent="0.2">
      <c r="A13467" s="101"/>
    </row>
    <row r="13468" spans="1:1" x14ac:dyDescent="0.2">
      <c r="A13468" s="101"/>
    </row>
    <row r="13469" spans="1:1" x14ac:dyDescent="0.2">
      <c r="A13469" s="101"/>
    </row>
    <row r="13470" spans="1:1" x14ac:dyDescent="0.2">
      <c r="A13470" s="101"/>
    </row>
    <row r="13471" spans="1:1" x14ac:dyDescent="0.2">
      <c r="A13471" s="101"/>
    </row>
    <row r="13472" spans="1:1" x14ac:dyDescent="0.2">
      <c r="A13472" s="101"/>
    </row>
    <row r="13473" spans="1:1" x14ac:dyDescent="0.2">
      <c r="A13473" s="101"/>
    </row>
    <row r="13474" spans="1:1" x14ac:dyDescent="0.2">
      <c r="A13474" s="101"/>
    </row>
    <row r="13475" spans="1:1" x14ac:dyDescent="0.2">
      <c r="A13475" s="101"/>
    </row>
    <row r="13476" spans="1:1" x14ac:dyDescent="0.2">
      <c r="A13476" s="101"/>
    </row>
    <row r="13477" spans="1:1" x14ac:dyDescent="0.2">
      <c r="A13477" s="101"/>
    </row>
    <row r="13478" spans="1:1" x14ac:dyDescent="0.2">
      <c r="A13478" s="101"/>
    </row>
    <row r="13479" spans="1:1" x14ac:dyDescent="0.2">
      <c r="A13479" s="101"/>
    </row>
    <row r="13480" spans="1:1" x14ac:dyDescent="0.2">
      <c r="A13480" s="101"/>
    </row>
    <row r="13481" spans="1:1" x14ac:dyDescent="0.2">
      <c r="A13481" s="101"/>
    </row>
    <row r="13482" spans="1:1" x14ac:dyDescent="0.2">
      <c r="A13482" s="101"/>
    </row>
    <row r="13483" spans="1:1" x14ac:dyDescent="0.2">
      <c r="A13483" s="101"/>
    </row>
    <row r="13484" spans="1:1" x14ac:dyDescent="0.2">
      <c r="A13484" s="101"/>
    </row>
    <row r="13485" spans="1:1" x14ac:dyDescent="0.2">
      <c r="A13485" s="101"/>
    </row>
    <row r="13486" spans="1:1" x14ac:dyDescent="0.2">
      <c r="A13486" s="101"/>
    </row>
    <row r="13487" spans="1:1" x14ac:dyDescent="0.2">
      <c r="A13487" s="101"/>
    </row>
    <row r="13488" spans="1:1" x14ac:dyDescent="0.2">
      <c r="A13488" s="101"/>
    </row>
    <row r="13489" spans="1:1" x14ac:dyDescent="0.2">
      <c r="A13489" s="101"/>
    </row>
    <row r="13490" spans="1:1" x14ac:dyDescent="0.2">
      <c r="A13490" s="101"/>
    </row>
    <row r="13491" spans="1:1" x14ac:dyDescent="0.2">
      <c r="A13491" s="101"/>
    </row>
    <row r="13492" spans="1:1" x14ac:dyDescent="0.2">
      <c r="A13492" s="101"/>
    </row>
    <row r="13493" spans="1:1" x14ac:dyDescent="0.2">
      <c r="A13493" s="101"/>
    </row>
    <row r="13494" spans="1:1" x14ac:dyDescent="0.2">
      <c r="A13494" s="101"/>
    </row>
    <row r="13495" spans="1:1" x14ac:dyDescent="0.2">
      <c r="A13495" s="101"/>
    </row>
    <row r="13496" spans="1:1" x14ac:dyDescent="0.2">
      <c r="A13496" s="101"/>
    </row>
    <row r="13497" spans="1:1" x14ac:dyDescent="0.2">
      <c r="A13497" s="101"/>
    </row>
    <row r="13498" spans="1:1" x14ac:dyDescent="0.2">
      <c r="A13498" s="101"/>
    </row>
    <row r="13499" spans="1:1" x14ac:dyDescent="0.2">
      <c r="A13499" s="101"/>
    </row>
    <row r="13500" spans="1:1" x14ac:dyDescent="0.2">
      <c r="A13500" s="101"/>
    </row>
    <row r="13501" spans="1:1" x14ac:dyDescent="0.2">
      <c r="A13501" s="101"/>
    </row>
    <row r="13502" spans="1:1" x14ac:dyDescent="0.2">
      <c r="A13502" s="101"/>
    </row>
    <row r="13503" spans="1:1" x14ac:dyDescent="0.2">
      <c r="A13503" s="101"/>
    </row>
    <row r="13504" spans="1:1" x14ac:dyDescent="0.2">
      <c r="A13504" s="101"/>
    </row>
    <row r="13505" spans="1:1" x14ac:dyDescent="0.2">
      <c r="A13505" s="101"/>
    </row>
    <row r="13506" spans="1:1" x14ac:dyDescent="0.2">
      <c r="A13506" s="101"/>
    </row>
    <row r="13507" spans="1:1" x14ac:dyDescent="0.2">
      <c r="A13507" s="101"/>
    </row>
    <row r="13508" spans="1:1" x14ac:dyDescent="0.2">
      <c r="A13508" s="101"/>
    </row>
    <row r="13509" spans="1:1" x14ac:dyDescent="0.2">
      <c r="A13509" s="101"/>
    </row>
    <row r="13510" spans="1:1" x14ac:dyDescent="0.2">
      <c r="A13510" s="101"/>
    </row>
    <row r="13511" spans="1:1" x14ac:dyDescent="0.2">
      <c r="A13511" s="101"/>
    </row>
    <row r="13512" spans="1:1" x14ac:dyDescent="0.2">
      <c r="A13512" s="101"/>
    </row>
    <row r="13513" spans="1:1" x14ac:dyDescent="0.2">
      <c r="A13513" s="101"/>
    </row>
    <row r="13514" spans="1:1" x14ac:dyDescent="0.2">
      <c r="A13514" s="101"/>
    </row>
    <row r="13515" spans="1:1" x14ac:dyDescent="0.2">
      <c r="A13515" s="101"/>
    </row>
    <row r="13516" spans="1:1" x14ac:dyDescent="0.2">
      <c r="A13516" s="101"/>
    </row>
    <row r="13517" spans="1:1" x14ac:dyDescent="0.2">
      <c r="A13517" s="101"/>
    </row>
    <row r="13518" spans="1:1" x14ac:dyDescent="0.2">
      <c r="A13518" s="101"/>
    </row>
    <row r="13519" spans="1:1" x14ac:dyDescent="0.2">
      <c r="A13519" s="101"/>
    </row>
    <row r="13520" spans="1:1" x14ac:dyDescent="0.2">
      <c r="A13520" s="101"/>
    </row>
    <row r="13521" spans="1:1" x14ac:dyDescent="0.2">
      <c r="A13521" s="101"/>
    </row>
    <row r="13522" spans="1:1" x14ac:dyDescent="0.2">
      <c r="A13522" s="101"/>
    </row>
    <row r="13523" spans="1:1" x14ac:dyDescent="0.2">
      <c r="A13523" s="101"/>
    </row>
    <row r="13524" spans="1:1" x14ac:dyDescent="0.2">
      <c r="A13524" s="101"/>
    </row>
    <row r="13525" spans="1:1" x14ac:dyDescent="0.2">
      <c r="A13525" s="101"/>
    </row>
    <row r="13526" spans="1:1" x14ac:dyDescent="0.2">
      <c r="A13526" s="101"/>
    </row>
    <row r="13527" spans="1:1" x14ac:dyDescent="0.2">
      <c r="A13527" s="101"/>
    </row>
    <row r="13528" spans="1:1" x14ac:dyDescent="0.2">
      <c r="A13528" s="101"/>
    </row>
    <row r="13529" spans="1:1" x14ac:dyDescent="0.2">
      <c r="A13529" s="101"/>
    </row>
    <row r="13530" spans="1:1" x14ac:dyDescent="0.2">
      <c r="A13530" s="101"/>
    </row>
    <row r="13531" spans="1:1" x14ac:dyDescent="0.2">
      <c r="A13531" s="101"/>
    </row>
    <row r="13532" spans="1:1" x14ac:dyDescent="0.2">
      <c r="A13532" s="101"/>
    </row>
    <row r="13533" spans="1:1" x14ac:dyDescent="0.2">
      <c r="A13533" s="101"/>
    </row>
    <row r="13534" spans="1:1" x14ac:dyDescent="0.2">
      <c r="A13534" s="101"/>
    </row>
    <row r="13535" spans="1:1" x14ac:dyDescent="0.2">
      <c r="A13535" s="101"/>
    </row>
    <row r="13536" spans="1:1" x14ac:dyDescent="0.2">
      <c r="A13536" s="101"/>
    </row>
    <row r="13537" spans="1:1" x14ac:dyDescent="0.2">
      <c r="A13537" s="101"/>
    </row>
    <row r="13538" spans="1:1" x14ac:dyDescent="0.2">
      <c r="A13538" s="101"/>
    </row>
    <row r="13539" spans="1:1" x14ac:dyDescent="0.2">
      <c r="A13539" s="101"/>
    </row>
    <row r="13540" spans="1:1" x14ac:dyDescent="0.2">
      <c r="A13540" s="101"/>
    </row>
    <row r="13541" spans="1:1" x14ac:dyDescent="0.2">
      <c r="A13541" s="101"/>
    </row>
    <row r="13542" spans="1:1" x14ac:dyDescent="0.2">
      <c r="A13542" s="101"/>
    </row>
    <row r="13543" spans="1:1" x14ac:dyDescent="0.2">
      <c r="A13543" s="101"/>
    </row>
    <row r="13544" spans="1:1" x14ac:dyDescent="0.2">
      <c r="A13544" s="101"/>
    </row>
    <row r="13545" spans="1:1" x14ac:dyDescent="0.2">
      <c r="A13545" s="101"/>
    </row>
    <row r="13546" spans="1:1" x14ac:dyDescent="0.2">
      <c r="A13546" s="101"/>
    </row>
    <row r="13547" spans="1:1" x14ac:dyDescent="0.2">
      <c r="A13547" s="101"/>
    </row>
    <row r="13548" spans="1:1" x14ac:dyDescent="0.2">
      <c r="A13548" s="101"/>
    </row>
    <row r="13549" spans="1:1" x14ac:dyDescent="0.2">
      <c r="A13549" s="101"/>
    </row>
    <row r="13550" spans="1:1" x14ac:dyDescent="0.2">
      <c r="A13550" s="101"/>
    </row>
    <row r="13551" spans="1:1" x14ac:dyDescent="0.2">
      <c r="A13551" s="101"/>
    </row>
    <row r="13552" spans="1:1" x14ac:dyDescent="0.2">
      <c r="A13552" s="101"/>
    </row>
    <row r="13553" spans="1:1" x14ac:dyDescent="0.2">
      <c r="A13553" s="101"/>
    </row>
    <row r="13554" spans="1:1" x14ac:dyDescent="0.2">
      <c r="A13554" s="101"/>
    </row>
    <row r="13555" spans="1:1" x14ac:dyDescent="0.2">
      <c r="A13555" s="101"/>
    </row>
    <row r="13556" spans="1:1" x14ac:dyDescent="0.2">
      <c r="A13556" s="101"/>
    </row>
    <row r="13557" spans="1:1" x14ac:dyDescent="0.2">
      <c r="A13557" s="101"/>
    </row>
    <row r="13558" spans="1:1" x14ac:dyDescent="0.2">
      <c r="A13558" s="101"/>
    </row>
    <row r="13559" spans="1:1" x14ac:dyDescent="0.2">
      <c r="A13559" s="101"/>
    </row>
    <row r="13560" spans="1:1" x14ac:dyDescent="0.2">
      <c r="A13560" s="101"/>
    </row>
    <row r="13561" spans="1:1" x14ac:dyDescent="0.2">
      <c r="A13561" s="101"/>
    </row>
    <row r="13562" spans="1:1" x14ac:dyDescent="0.2">
      <c r="A13562" s="101"/>
    </row>
    <row r="13563" spans="1:1" x14ac:dyDescent="0.2">
      <c r="A13563" s="101"/>
    </row>
    <row r="13564" spans="1:1" x14ac:dyDescent="0.2">
      <c r="A13564" s="101"/>
    </row>
    <row r="13565" spans="1:1" x14ac:dyDescent="0.2">
      <c r="A13565" s="101"/>
    </row>
    <row r="13566" spans="1:1" x14ac:dyDescent="0.2">
      <c r="A13566" s="101"/>
    </row>
    <row r="13567" spans="1:1" x14ac:dyDescent="0.2">
      <c r="A13567" s="101"/>
    </row>
    <row r="13568" spans="1:1" x14ac:dyDescent="0.2">
      <c r="A13568" s="101"/>
    </row>
    <row r="13569" spans="1:1" x14ac:dyDescent="0.2">
      <c r="A13569" s="101"/>
    </row>
    <row r="13570" spans="1:1" x14ac:dyDescent="0.2">
      <c r="A13570" s="101"/>
    </row>
    <row r="13571" spans="1:1" x14ac:dyDescent="0.2">
      <c r="A13571" s="101"/>
    </row>
    <row r="13572" spans="1:1" x14ac:dyDescent="0.2">
      <c r="A13572" s="101"/>
    </row>
    <row r="13573" spans="1:1" x14ac:dyDescent="0.2">
      <c r="A13573" s="101"/>
    </row>
    <row r="13574" spans="1:1" x14ac:dyDescent="0.2">
      <c r="A13574" s="101"/>
    </row>
    <row r="13575" spans="1:1" x14ac:dyDescent="0.2">
      <c r="A13575" s="101"/>
    </row>
    <row r="13576" spans="1:1" x14ac:dyDescent="0.2">
      <c r="A13576" s="101"/>
    </row>
    <row r="13577" spans="1:1" x14ac:dyDescent="0.2">
      <c r="A13577" s="101"/>
    </row>
    <row r="13578" spans="1:1" x14ac:dyDescent="0.2">
      <c r="A13578" s="101"/>
    </row>
    <row r="13579" spans="1:1" x14ac:dyDescent="0.2">
      <c r="A13579" s="101"/>
    </row>
    <row r="13580" spans="1:1" x14ac:dyDescent="0.2">
      <c r="A13580" s="101"/>
    </row>
    <row r="13581" spans="1:1" x14ac:dyDescent="0.2">
      <c r="A13581" s="101"/>
    </row>
    <row r="13582" spans="1:1" x14ac:dyDescent="0.2">
      <c r="A13582" s="101"/>
    </row>
    <row r="13583" spans="1:1" x14ac:dyDescent="0.2">
      <c r="A13583" s="101"/>
    </row>
    <row r="13584" spans="1:1" x14ac:dyDescent="0.2">
      <c r="A13584" s="101"/>
    </row>
    <row r="13585" spans="1:1" x14ac:dyDescent="0.2">
      <c r="A13585" s="101"/>
    </row>
    <row r="13586" spans="1:1" x14ac:dyDescent="0.2">
      <c r="A13586" s="101"/>
    </row>
    <row r="13587" spans="1:1" x14ac:dyDescent="0.2">
      <c r="A13587" s="101"/>
    </row>
    <row r="13588" spans="1:1" x14ac:dyDescent="0.2">
      <c r="A13588" s="101"/>
    </row>
    <row r="13589" spans="1:1" x14ac:dyDescent="0.2">
      <c r="A13589" s="101"/>
    </row>
    <row r="13590" spans="1:1" x14ac:dyDescent="0.2">
      <c r="A13590" s="101"/>
    </row>
    <row r="13591" spans="1:1" x14ac:dyDescent="0.2">
      <c r="A13591" s="101"/>
    </row>
    <row r="13592" spans="1:1" x14ac:dyDescent="0.2">
      <c r="A13592" s="101"/>
    </row>
    <row r="13593" spans="1:1" x14ac:dyDescent="0.2">
      <c r="A13593" s="101"/>
    </row>
    <row r="13594" spans="1:1" x14ac:dyDescent="0.2">
      <c r="A13594" s="101"/>
    </row>
    <row r="13595" spans="1:1" x14ac:dyDescent="0.2">
      <c r="A13595" s="101"/>
    </row>
    <row r="13596" spans="1:1" x14ac:dyDescent="0.2">
      <c r="A13596" s="101"/>
    </row>
    <row r="13597" spans="1:1" x14ac:dyDescent="0.2">
      <c r="A13597" s="101"/>
    </row>
    <row r="13598" spans="1:1" x14ac:dyDescent="0.2">
      <c r="A13598" s="101"/>
    </row>
    <row r="13599" spans="1:1" x14ac:dyDescent="0.2">
      <c r="A13599" s="101"/>
    </row>
    <row r="13600" spans="1:1" x14ac:dyDescent="0.2">
      <c r="A13600" s="101"/>
    </row>
    <row r="13601" spans="1:1" x14ac:dyDescent="0.2">
      <c r="A13601" s="101"/>
    </row>
    <row r="13602" spans="1:1" x14ac:dyDescent="0.2">
      <c r="A13602" s="101"/>
    </row>
    <row r="13603" spans="1:1" x14ac:dyDescent="0.2">
      <c r="A13603" s="101"/>
    </row>
    <row r="13604" spans="1:1" x14ac:dyDescent="0.2">
      <c r="A13604" s="101"/>
    </row>
    <row r="13605" spans="1:1" x14ac:dyDescent="0.2">
      <c r="A13605" s="101"/>
    </row>
    <row r="13606" spans="1:1" x14ac:dyDescent="0.2">
      <c r="A13606" s="101"/>
    </row>
    <row r="13607" spans="1:1" x14ac:dyDescent="0.2">
      <c r="A13607" s="101"/>
    </row>
    <row r="13608" spans="1:1" x14ac:dyDescent="0.2">
      <c r="A13608" s="101"/>
    </row>
    <row r="13609" spans="1:1" x14ac:dyDescent="0.2">
      <c r="A13609" s="101"/>
    </row>
    <row r="13610" spans="1:1" x14ac:dyDescent="0.2">
      <c r="A13610" s="101"/>
    </row>
    <row r="13611" spans="1:1" x14ac:dyDescent="0.2">
      <c r="A13611" s="101"/>
    </row>
    <row r="13612" spans="1:1" x14ac:dyDescent="0.2">
      <c r="A13612" s="101"/>
    </row>
    <row r="13613" spans="1:1" x14ac:dyDescent="0.2">
      <c r="A13613" s="101"/>
    </row>
    <row r="13614" spans="1:1" x14ac:dyDescent="0.2">
      <c r="A13614" s="101"/>
    </row>
    <row r="13615" spans="1:1" x14ac:dyDescent="0.2">
      <c r="A13615" s="101"/>
    </row>
    <row r="13616" spans="1:1" x14ac:dyDescent="0.2">
      <c r="A13616" s="101"/>
    </row>
    <row r="13617" spans="1:1" x14ac:dyDescent="0.2">
      <c r="A13617" s="101"/>
    </row>
    <row r="13618" spans="1:1" x14ac:dyDescent="0.2">
      <c r="A13618" s="101"/>
    </row>
    <row r="13619" spans="1:1" x14ac:dyDescent="0.2">
      <c r="A13619" s="101"/>
    </row>
    <row r="13620" spans="1:1" x14ac:dyDescent="0.2">
      <c r="A13620" s="101"/>
    </row>
    <row r="13621" spans="1:1" x14ac:dyDescent="0.2">
      <c r="A13621" s="101"/>
    </row>
    <row r="13622" spans="1:1" x14ac:dyDescent="0.2">
      <c r="A13622" s="101"/>
    </row>
    <row r="13623" spans="1:1" x14ac:dyDescent="0.2">
      <c r="A13623" s="101"/>
    </row>
    <row r="13624" spans="1:1" x14ac:dyDescent="0.2">
      <c r="A13624" s="101"/>
    </row>
    <row r="13625" spans="1:1" x14ac:dyDescent="0.2">
      <c r="A13625" s="101"/>
    </row>
    <row r="13626" spans="1:1" x14ac:dyDescent="0.2">
      <c r="A13626" s="101"/>
    </row>
    <row r="13627" spans="1:1" x14ac:dyDescent="0.2">
      <c r="A13627" s="101"/>
    </row>
    <row r="13628" spans="1:1" x14ac:dyDescent="0.2">
      <c r="A13628" s="101"/>
    </row>
    <row r="13629" spans="1:1" x14ac:dyDescent="0.2">
      <c r="A13629" s="101"/>
    </row>
    <row r="13630" spans="1:1" x14ac:dyDescent="0.2">
      <c r="A13630" s="101"/>
    </row>
    <row r="13631" spans="1:1" x14ac:dyDescent="0.2">
      <c r="A13631" s="101"/>
    </row>
    <row r="13632" spans="1:1" x14ac:dyDescent="0.2">
      <c r="A13632" s="101"/>
    </row>
    <row r="13633" spans="1:1" x14ac:dyDescent="0.2">
      <c r="A13633" s="101"/>
    </row>
    <row r="13634" spans="1:1" x14ac:dyDescent="0.2">
      <c r="A13634" s="101"/>
    </row>
    <row r="13635" spans="1:1" x14ac:dyDescent="0.2">
      <c r="A13635" s="101"/>
    </row>
    <row r="13636" spans="1:1" x14ac:dyDescent="0.2">
      <c r="A13636" s="101"/>
    </row>
    <row r="13637" spans="1:1" x14ac:dyDescent="0.2">
      <c r="A13637" s="101"/>
    </row>
    <row r="13638" spans="1:1" x14ac:dyDescent="0.2">
      <c r="A13638" s="101"/>
    </row>
    <row r="13639" spans="1:1" x14ac:dyDescent="0.2">
      <c r="A13639" s="101"/>
    </row>
    <row r="13640" spans="1:1" x14ac:dyDescent="0.2">
      <c r="A13640" s="101"/>
    </row>
    <row r="13641" spans="1:1" x14ac:dyDescent="0.2">
      <c r="A13641" s="101"/>
    </row>
    <row r="13642" spans="1:1" x14ac:dyDescent="0.2">
      <c r="A13642" s="101"/>
    </row>
    <row r="13643" spans="1:1" x14ac:dyDescent="0.2">
      <c r="A13643" s="101"/>
    </row>
    <row r="13644" spans="1:1" x14ac:dyDescent="0.2">
      <c r="A13644" s="101"/>
    </row>
    <row r="13645" spans="1:1" x14ac:dyDescent="0.2">
      <c r="A13645" s="101"/>
    </row>
    <row r="13646" spans="1:1" x14ac:dyDescent="0.2">
      <c r="A13646" s="101"/>
    </row>
    <row r="13647" spans="1:1" x14ac:dyDescent="0.2">
      <c r="A13647" s="101"/>
    </row>
    <row r="13648" spans="1:1" x14ac:dyDescent="0.2">
      <c r="A13648" s="101"/>
    </row>
    <row r="13649" spans="1:1" x14ac:dyDescent="0.2">
      <c r="A13649" s="101"/>
    </row>
    <row r="13650" spans="1:1" x14ac:dyDescent="0.2">
      <c r="A13650" s="101"/>
    </row>
    <row r="13651" spans="1:1" x14ac:dyDescent="0.2">
      <c r="A13651" s="101"/>
    </row>
    <row r="13652" spans="1:1" x14ac:dyDescent="0.2">
      <c r="A13652" s="101"/>
    </row>
    <row r="13653" spans="1:1" x14ac:dyDescent="0.2">
      <c r="A13653" s="101"/>
    </row>
    <row r="13654" spans="1:1" x14ac:dyDescent="0.2">
      <c r="A13654" s="101"/>
    </row>
    <row r="13655" spans="1:1" x14ac:dyDescent="0.2">
      <c r="A13655" s="101"/>
    </row>
    <row r="13656" spans="1:1" x14ac:dyDescent="0.2">
      <c r="A13656" s="101"/>
    </row>
    <row r="13657" spans="1:1" x14ac:dyDescent="0.2">
      <c r="A13657" s="101"/>
    </row>
    <row r="13658" spans="1:1" x14ac:dyDescent="0.2">
      <c r="A13658" s="101"/>
    </row>
    <row r="13659" spans="1:1" x14ac:dyDescent="0.2">
      <c r="A13659" s="101"/>
    </row>
    <row r="13660" spans="1:1" x14ac:dyDescent="0.2">
      <c r="A13660" s="101"/>
    </row>
    <row r="13661" spans="1:1" x14ac:dyDescent="0.2">
      <c r="A13661" s="101"/>
    </row>
    <row r="13662" spans="1:1" x14ac:dyDescent="0.2">
      <c r="A13662" s="101"/>
    </row>
    <row r="13663" spans="1:1" x14ac:dyDescent="0.2">
      <c r="A13663" s="101"/>
    </row>
    <row r="13664" spans="1:1" x14ac:dyDescent="0.2">
      <c r="A13664" s="101"/>
    </row>
    <row r="13665" spans="1:1" x14ac:dyDescent="0.2">
      <c r="A13665" s="101"/>
    </row>
    <row r="13666" spans="1:1" x14ac:dyDescent="0.2">
      <c r="A13666" s="101"/>
    </row>
    <row r="13667" spans="1:1" x14ac:dyDescent="0.2">
      <c r="A13667" s="101"/>
    </row>
    <row r="13668" spans="1:1" x14ac:dyDescent="0.2">
      <c r="A13668" s="101"/>
    </row>
    <row r="13669" spans="1:1" x14ac:dyDescent="0.2">
      <c r="A13669" s="101"/>
    </row>
    <row r="13670" spans="1:1" x14ac:dyDescent="0.2">
      <c r="A13670" s="101"/>
    </row>
    <row r="13671" spans="1:1" x14ac:dyDescent="0.2">
      <c r="A13671" s="101"/>
    </row>
    <row r="13672" spans="1:1" x14ac:dyDescent="0.2">
      <c r="A13672" s="101"/>
    </row>
    <row r="13673" spans="1:1" x14ac:dyDescent="0.2">
      <c r="A13673" s="101"/>
    </row>
    <row r="13674" spans="1:1" x14ac:dyDescent="0.2">
      <c r="A13674" s="101"/>
    </row>
    <row r="13675" spans="1:1" x14ac:dyDescent="0.2">
      <c r="A13675" s="101"/>
    </row>
    <row r="13676" spans="1:1" x14ac:dyDescent="0.2">
      <c r="A13676" s="101"/>
    </row>
    <row r="13677" spans="1:1" x14ac:dyDescent="0.2">
      <c r="A13677" s="101"/>
    </row>
    <row r="13678" spans="1:1" x14ac:dyDescent="0.2">
      <c r="A13678" s="101"/>
    </row>
    <row r="13679" spans="1:1" x14ac:dyDescent="0.2">
      <c r="A13679" s="101"/>
    </row>
    <row r="13680" spans="1:1" x14ac:dyDescent="0.2">
      <c r="A13680" s="101"/>
    </row>
    <row r="13681" spans="1:1" x14ac:dyDescent="0.2">
      <c r="A13681" s="101"/>
    </row>
    <row r="13682" spans="1:1" x14ac:dyDescent="0.2">
      <c r="A13682" s="101"/>
    </row>
    <row r="13683" spans="1:1" x14ac:dyDescent="0.2">
      <c r="A13683" s="101"/>
    </row>
    <row r="13684" spans="1:1" x14ac:dyDescent="0.2">
      <c r="A13684" s="101"/>
    </row>
    <row r="13685" spans="1:1" x14ac:dyDescent="0.2">
      <c r="A13685" s="101"/>
    </row>
    <row r="13686" spans="1:1" x14ac:dyDescent="0.2">
      <c r="A13686" s="101"/>
    </row>
    <row r="13687" spans="1:1" x14ac:dyDescent="0.2">
      <c r="A13687" s="101"/>
    </row>
    <row r="13688" spans="1:1" x14ac:dyDescent="0.2">
      <c r="A13688" s="101"/>
    </row>
    <row r="13689" spans="1:1" x14ac:dyDescent="0.2">
      <c r="A13689" s="101"/>
    </row>
    <row r="13690" spans="1:1" x14ac:dyDescent="0.2">
      <c r="A13690" s="101"/>
    </row>
    <row r="13691" spans="1:1" x14ac:dyDescent="0.2">
      <c r="A13691" s="101"/>
    </row>
    <row r="13692" spans="1:1" x14ac:dyDescent="0.2">
      <c r="A13692" s="101"/>
    </row>
    <row r="13693" spans="1:1" x14ac:dyDescent="0.2">
      <c r="A13693" s="101"/>
    </row>
    <row r="13694" spans="1:1" x14ac:dyDescent="0.2">
      <c r="A13694" s="101"/>
    </row>
    <row r="13695" spans="1:1" x14ac:dyDescent="0.2">
      <c r="A13695" s="101"/>
    </row>
    <row r="13696" spans="1:1" x14ac:dyDescent="0.2">
      <c r="A13696" s="101"/>
    </row>
    <row r="13697" spans="1:1" x14ac:dyDescent="0.2">
      <c r="A13697" s="101"/>
    </row>
    <row r="13698" spans="1:1" x14ac:dyDescent="0.2">
      <c r="A13698" s="101"/>
    </row>
    <row r="13699" spans="1:1" x14ac:dyDescent="0.2">
      <c r="A13699" s="101"/>
    </row>
    <row r="13700" spans="1:1" x14ac:dyDescent="0.2">
      <c r="A13700" s="101"/>
    </row>
    <row r="13701" spans="1:1" x14ac:dyDescent="0.2">
      <c r="A13701" s="101"/>
    </row>
    <row r="13702" spans="1:1" x14ac:dyDescent="0.2">
      <c r="A13702" s="101"/>
    </row>
    <row r="13703" spans="1:1" x14ac:dyDescent="0.2">
      <c r="A13703" s="101"/>
    </row>
    <row r="13704" spans="1:1" x14ac:dyDescent="0.2">
      <c r="A13704" s="101"/>
    </row>
    <row r="13705" spans="1:1" x14ac:dyDescent="0.2">
      <c r="A13705" s="101"/>
    </row>
    <row r="13706" spans="1:1" x14ac:dyDescent="0.2">
      <c r="A13706" s="101"/>
    </row>
    <row r="13707" spans="1:1" x14ac:dyDescent="0.2">
      <c r="A13707" s="101"/>
    </row>
    <row r="13708" spans="1:1" x14ac:dyDescent="0.2">
      <c r="A13708" s="101"/>
    </row>
    <row r="13709" spans="1:1" x14ac:dyDescent="0.2">
      <c r="A13709" s="101"/>
    </row>
    <row r="13710" spans="1:1" x14ac:dyDescent="0.2">
      <c r="A13710" s="101"/>
    </row>
    <row r="13711" spans="1:1" x14ac:dyDescent="0.2">
      <c r="A13711" s="101"/>
    </row>
    <row r="13712" spans="1:1" x14ac:dyDescent="0.2">
      <c r="A13712" s="101"/>
    </row>
    <row r="13713" spans="1:1" x14ac:dyDescent="0.2">
      <c r="A13713" s="101"/>
    </row>
    <row r="13714" spans="1:1" x14ac:dyDescent="0.2">
      <c r="A13714" s="101"/>
    </row>
    <row r="13715" spans="1:1" x14ac:dyDescent="0.2">
      <c r="A13715" s="101"/>
    </row>
    <row r="13716" spans="1:1" x14ac:dyDescent="0.2">
      <c r="A13716" s="101"/>
    </row>
    <row r="13717" spans="1:1" x14ac:dyDescent="0.2">
      <c r="A13717" s="101"/>
    </row>
    <row r="13718" spans="1:1" x14ac:dyDescent="0.2">
      <c r="A13718" s="101"/>
    </row>
    <row r="13719" spans="1:1" x14ac:dyDescent="0.2">
      <c r="A13719" s="101"/>
    </row>
    <row r="13720" spans="1:1" x14ac:dyDescent="0.2">
      <c r="A13720" s="101"/>
    </row>
    <row r="13721" spans="1:1" x14ac:dyDescent="0.2">
      <c r="A13721" s="101"/>
    </row>
    <row r="13722" spans="1:1" x14ac:dyDescent="0.2">
      <c r="A13722" s="101"/>
    </row>
    <row r="13723" spans="1:1" x14ac:dyDescent="0.2">
      <c r="A13723" s="101"/>
    </row>
    <row r="13724" spans="1:1" x14ac:dyDescent="0.2">
      <c r="A13724" s="101"/>
    </row>
    <row r="13725" spans="1:1" x14ac:dyDescent="0.2">
      <c r="A13725" s="101"/>
    </row>
    <row r="13726" spans="1:1" x14ac:dyDescent="0.2">
      <c r="A13726" s="101"/>
    </row>
    <row r="13727" spans="1:1" x14ac:dyDescent="0.2">
      <c r="A13727" s="101"/>
    </row>
    <row r="13728" spans="1:1" x14ac:dyDescent="0.2">
      <c r="A13728" s="101"/>
    </row>
    <row r="13729" spans="1:1" x14ac:dyDescent="0.2">
      <c r="A13729" s="101"/>
    </row>
    <row r="13730" spans="1:1" x14ac:dyDescent="0.2">
      <c r="A13730" s="101"/>
    </row>
    <row r="13731" spans="1:1" x14ac:dyDescent="0.2">
      <c r="A13731" s="101"/>
    </row>
    <row r="13732" spans="1:1" x14ac:dyDescent="0.2">
      <c r="A13732" s="101"/>
    </row>
    <row r="13733" spans="1:1" x14ac:dyDescent="0.2">
      <c r="A13733" s="101"/>
    </row>
    <row r="13734" spans="1:1" x14ac:dyDescent="0.2">
      <c r="A13734" s="101"/>
    </row>
    <row r="13735" spans="1:1" x14ac:dyDescent="0.2">
      <c r="A13735" s="101"/>
    </row>
    <row r="13736" spans="1:1" x14ac:dyDescent="0.2">
      <c r="A13736" s="101"/>
    </row>
    <row r="13737" spans="1:1" x14ac:dyDescent="0.2">
      <c r="A13737" s="101"/>
    </row>
    <row r="13738" spans="1:1" x14ac:dyDescent="0.2">
      <c r="A13738" s="101"/>
    </row>
    <row r="13739" spans="1:1" x14ac:dyDescent="0.2">
      <c r="A13739" s="101"/>
    </row>
    <row r="13740" spans="1:1" x14ac:dyDescent="0.2">
      <c r="A13740" s="101"/>
    </row>
    <row r="13741" spans="1:1" x14ac:dyDescent="0.2">
      <c r="A13741" s="101"/>
    </row>
    <row r="13742" spans="1:1" x14ac:dyDescent="0.2">
      <c r="A13742" s="101"/>
    </row>
    <row r="13743" spans="1:1" x14ac:dyDescent="0.2">
      <c r="A13743" s="101"/>
    </row>
    <row r="13744" spans="1:1" x14ac:dyDescent="0.2">
      <c r="A13744" s="101"/>
    </row>
    <row r="13745" spans="1:1" x14ac:dyDescent="0.2">
      <c r="A13745" s="101"/>
    </row>
    <row r="13746" spans="1:1" x14ac:dyDescent="0.2">
      <c r="A13746" s="101"/>
    </row>
    <row r="13747" spans="1:1" x14ac:dyDescent="0.2">
      <c r="A13747" s="101"/>
    </row>
    <row r="13748" spans="1:1" x14ac:dyDescent="0.2">
      <c r="A13748" s="101"/>
    </row>
    <row r="13749" spans="1:1" x14ac:dyDescent="0.2">
      <c r="A13749" s="101"/>
    </row>
    <row r="13750" spans="1:1" x14ac:dyDescent="0.2">
      <c r="A13750" s="101"/>
    </row>
    <row r="13751" spans="1:1" x14ac:dyDescent="0.2">
      <c r="A13751" s="101"/>
    </row>
    <row r="13752" spans="1:1" x14ac:dyDescent="0.2">
      <c r="A13752" s="101"/>
    </row>
    <row r="13753" spans="1:1" x14ac:dyDescent="0.2">
      <c r="A13753" s="101"/>
    </row>
    <row r="13754" spans="1:1" x14ac:dyDescent="0.2">
      <c r="A13754" s="101"/>
    </row>
    <row r="13755" spans="1:1" x14ac:dyDescent="0.2">
      <c r="A13755" s="101"/>
    </row>
    <row r="13756" spans="1:1" x14ac:dyDescent="0.2">
      <c r="A13756" s="101"/>
    </row>
    <row r="13757" spans="1:1" x14ac:dyDescent="0.2">
      <c r="A13757" s="101"/>
    </row>
    <row r="13758" spans="1:1" x14ac:dyDescent="0.2">
      <c r="A13758" s="101"/>
    </row>
    <row r="13759" spans="1:1" x14ac:dyDescent="0.2">
      <c r="A13759" s="101"/>
    </row>
    <row r="13760" spans="1:1" x14ac:dyDescent="0.2">
      <c r="A13760" s="101"/>
    </row>
    <row r="13761" spans="1:1" x14ac:dyDescent="0.2">
      <c r="A13761" s="101"/>
    </row>
    <row r="13762" spans="1:1" x14ac:dyDescent="0.2">
      <c r="A13762" s="101"/>
    </row>
    <row r="13763" spans="1:1" x14ac:dyDescent="0.2">
      <c r="A13763" s="101"/>
    </row>
    <row r="13764" spans="1:1" x14ac:dyDescent="0.2">
      <c r="A13764" s="101"/>
    </row>
    <row r="13765" spans="1:1" x14ac:dyDescent="0.2">
      <c r="A13765" s="101"/>
    </row>
    <row r="13766" spans="1:1" x14ac:dyDescent="0.2">
      <c r="A13766" s="101"/>
    </row>
    <row r="13767" spans="1:1" x14ac:dyDescent="0.2">
      <c r="A13767" s="101"/>
    </row>
    <row r="13768" spans="1:1" x14ac:dyDescent="0.2">
      <c r="A13768" s="101"/>
    </row>
    <row r="13769" spans="1:1" x14ac:dyDescent="0.2">
      <c r="A13769" s="101"/>
    </row>
    <row r="13770" spans="1:1" x14ac:dyDescent="0.2">
      <c r="A13770" s="101"/>
    </row>
    <row r="13771" spans="1:1" x14ac:dyDescent="0.2">
      <c r="A13771" s="101"/>
    </row>
    <row r="13772" spans="1:1" x14ac:dyDescent="0.2">
      <c r="A13772" s="101"/>
    </row>
    <row r="13773" spans="1:1" x14ac:dyDescent="0.2">
      <c r="A13773" s="101"/>
    </row>
    <row r="13774" spans="1:1" x14ac:dyDescent="0.2">
      <c r="A13774" s="101"/>
    </row>
    <row r="13775" spans="1:1" x14ac:dyDescent="0.2">
      <c r="A13775" s="101"/>
    </row>
    <row r="13776" spans="1:1" x14ac:dyDescent="0.2">
      <c r="A13776" s="101"/>
    </row>
    <row r="13777" spans="1:1" x14ac:dyDescent="0.2">
      <c r="A13777" s="101"/>
    </row>
    <row r="13778" spans="1:1" x14ac:dyDescent="0.2">
      <c r="A13778" s="101"/>
    </row>
    <row r="13779" spans="1:1" x14ac:dyDescent="0.2">
      <c r="A13779" s="101"/>
    </row>
    <row r="13780" spans="1:1" x14ac:dyDescent="0.2">
      <c r="A13780" s="101"/>
    </row>
    <row r="13781" spans="1:1" x14ac:dyDescent="0.2">
      <c r="A13781" s="101"/>
    </row>
    <row r="13782" spans="1:1" x14ac:dyDescent="0.2">
      <c r="A13782" s="101"/>
    </row>
    <row r="13783" spans="1:1" x14ac:dyDescent="0.2">
      <c r="A13783" s="101"/>
    </row>
    <row r="13784" spans="1:1" x14ac:dyDescent="0.2">
      <c r="A13784" s="101"/>
    </row>
    <row r="13785" spans="1:1" x14ac:dyDescent="0.2">
      <c r="A13785" s="101"/>
    </row>
    <row r="13786" spans="1:1" x14ac:dyDescent="0.2">
      <c r="A13786" s="101"/>
    </row>
    <row r="13787" spans="1:1" x14ac:dyDescent="0.2">
      <c r="A13787" s="101"/>
    </row>
    <row r="13788" spans="1:1" x14ac:dyDescent="0.2">
      <c r="A13788" s="101"/>
    </row>
    <row r="13789" spans="1:1" x14ac:dyDescent="0.2">
      <c r="A13789" s="101"/>
    </row>
    <row r="13790" spans="1:1" x14ac:dyDescent="0.2">
      <c r="A13790" s="101"/>
    </row>
    <row r="13791" spans="1:1" x14ac:dyDescent="0.2">
      <c r="A13791" s="101"/>
    </row>
    <row r="13792" spans="1:1" x14ac:dyDescent="0.2">
      <c r="A13792" s="101"/>
    </row>
    <row r="13793" spans="1:1" x14ac:dyDescent="0.2">
      <c r="A13793" s="101"/>
    </row>
    <row r="13794" spans="1:1" x14ac:dyDescent="0.2">
      <c r="A13794" s="101"/>
    </row>
    <row r="13795" spans="1:1" x14ac:dyDescent="0.2">
      <c r="A13795" s="101"/>
    </row>
    <row r="13796" spans="1:1" x14ac:dyDescent="0.2">
      <c r="A13796" s="101"/>
    </row>
    <row r="13797" spans="1:1" x14ac:dyDescent="0.2">
      <c r="A13797" s="101"/>
    </row>
    <row r="13798" spans="1:1" x14ac:dyDescent="0.2">
      <c r="A13798" s="101"/>
    </row>
    <row r="13799" spans="1:1" x14ac:dyDescent="0.2">
      <c r="A13799" s="101"/>
    </row>
    <row r="13800" spans="1:1" x14ac:dyDescent="0.2">
      <c r="A13800" s="101"/>
    </row>
    <row r="13801" spans="1:1" x14ac:dyDescent="0.2">
      <c r="A13801" s="101"/>
    </row>
    <row r="13802" spans="1:1" x14ac:dyDescent="0.2">
      <c r="A13802" s="101"/>
    </row>
    <row r="13803" spans="1:1" x14ac:dyDescent="0.2">
      <c r="A13803" s="101"/>
    </row>
    <row r="13804" spans="1:1" x14ac:dyDescent="0.2">
      <c r="A13804" s="101"/>
    </row>
    <row r="13805" spans="1:1" x14ac:dyDescent="0.2">
      <c r="A13805" s="101"/>
    </row>
    <row r="13806" spans="1:1" x14ac:dyDescent="0.2">
      <c r="A13806" s="101"/>
    </row>
    <row r="13807" spans="1:1" x14ac:dyDescent="0.2">
      <c r="A13807" s="101"/>
    </row>
    <row r="13808" spans="1:1" x14ac:dyDescent="0.2">
      <c r="A13808" s="101"/>
    </row>
    <row r="13809" spans="1:1" x14ac:dyDescent="0.2">
      <c r="A13809" s="101"/>
    </row>
    <row r="13810" spans="1:1" x14ac:dyDescent="0.2">
      <c r="A13810" s="101"/>
    </row>
    <row r="13811" spans="1:1" x14ac:dyDescent="0.2">
      <c r="A13811" s="101"/>
    </row>
    <row r="13812" spans="1:1" x14ac:dyDescent="0.2">
      <c r="A13812" s="101"/>
    </row>
    <row r="13813" spans="1:1" x14ac:dyDescent="0.2">
      <c r="A13813" s="101"/>
    </row>
    <row r="13814" spans="1:1" x14ac:dyDescent="0.2">
      <c r="A13814" s="101"/>
    </row>
    <row r="13815" spans="1:1" x14ac:dyDescent="0.2">
      <c r="A13815" s="101"/>
    </row>
    <row r="13816" spans="1:1" x14ac:dyDescent="0.2">
      <c r="A13816" s="101"/>
    </row>
    <row r="13817" spans="1:1" x14ac:dyDescent="0.2">
      <c r="A13817" s="101"/>
    </row>
    <row r="13818" spans="1:1" x14ac:dyDescent="0.2">
      <c r="A13818" s="101"/>
    </row>
    <row r="13819" spans="1:1" x14ac:dyDescent="0.2">
      <c r="A13819" s="101"/>
    </row>
    <row r="13820" spans="1:1" x14ac:dyDescent="0.2">
      <c r="A13820" s="101"/>
    </row>
    <row r="13821" spans="1:1" x14ac:dyDescent="0.2">
      <c r="A13821" s="101"/>
    </row>
    <row r="13822" spans="1:1" x14ac:dyDescent="0.2">
      <c r="A13822" s="101"/>
    </row>
    <row r="13823" spans="1:1" x14ac:dyDescent="0.2">
      <c r="A13823" s="101"/>
    </row>
    <row r="13824" spans="1:1" x14ac:dyDescent="0.2">
      <c r="A13824" s="101"/>
    </row>
    <row r="13825" spans="1:1" x14ac:dyDescent="0.2">
      <c r="A13825" s="101"/>
    </row>
    <row r="13826" spans="1:1" x14ac:dyDescent="0.2">
      <c r="A13826" s="101"/>
    </row>
    <row r="13827" spans="1:1" x14ac:dyDescent="0.2">
      <c r="A13827" s="101"/>
    </row>
    <row r="13828" spans="1:1" x14ac:dyDescent="0.2">
      <c r="A13828" s="101"/>
    </row>
    <row r="13829" spans="1:1" x14ac:dyDescent="0.2">
      <c r="A13829" s="101"/>
    </row>
    <row r="13830" spans="1:1" x14ac:dyDescent="0.2">
      <c r="A13830" s="101"/>
    </row>
    <row r="13831" spans="1:1" x14ac:dyDescent="0.2">
      <c r="A13831" s="101"/>
    </row>
    <row r="13832" spans="1:1" x14ac:dyDescent="0.2">
      <c r="A13832" s="101"/>
    </row>
    <row r="13833" spans="1:1" x14ac:dyDescent="0.2">
      <c r="A13833" s="101"/>
    </row>
    <row r="13834" spans="1:1" x14ac:dyDescent="0.2">
      <c r="A13834" s="101"/>
    </row>
    <row r="13835" spans="1:1" x14ac:dyDescent="0.2">
      <c r="A13835" s="101"/>
    </row>
    <row r="13836" spans="1:1" x14ac:dyDescent="0.2">
      <c r="A13836" s="101"/>
    </row>
    <row r="13837" spans="1:1" x14ac:dyDescent="0.2">
      <c r="A13837" s="101"/>
    </row>
    <row r="13838" spans="1:1" x14ac:dyDescent="0.2">
      <c r="A13838" s="101"/>
    </row>
    <row r="13839" spans="1:1" x14ac:dyDescent="0.2">
      <c r="A13839" s="101"/>
    </row>
    <row r="13840" spans="1:1" x14ac:dyDescent="0.2">
      <c r="A13840" s="101"/>
    </row>
    <row r="13841" spans="1:1" x14ac:dyDescent="0.2">
      <c r="A13841" s="101"/>
    </row>
    <row r="13842" spans="1:1" x14ac:dyDescent="0.2">
      <c r="A13842" s="101"/>
    </row>
    <row r="13843" spans="1:1" x14ac:dyDescent="0.2">
      <c r="A13843" s="101"/>
    </row>
    <row r="13844" spans="1:1" x14ac:dyDescent="0.2">
      <c r="A13844" s="101"/>
    </row>
    <row r="13845" spans="1:1" x14ac:dyDescent="0.2">
      <c r="A13845" s="101"/>
    </row>
    <row r="13846" spans="1:1" x14ac:dyDescent="0.2">
      <c r="A13846" s="101"/>
    </row>
    <row r="13847" spans="1:1" x14ac:dyDescent="0.2">
      <c r="A13847" s="101"/>
    </row>
    <row r="13848" spans="1:1" x14ac:dyDescent="0.2">
      <c r="A13848" s="101"/>
    </row>
    <row r="13849" spans="1:1" x14ac:dyDescent="0.2">
      <c r="A13849" s="101"/>
    </row>
    <row r="13850" spans="1:1" x14ac:dyDescent="0.2">
      <c r="A13850" s="101"/>
    </row>
    <row r="13851" spans="1:1" x14ac:dyDescent="0.2">
      <c r="A13851" s="101"/>
    </row>
    <row r="13852" spans="1:1" x14ac:dyDescent="0.2">
      <c r="A13852" s="101"/>
    </row>
    <row r="13853" spans="1:1" x14ac:dyDescent="0.2">
      <c r="A13853" s="101"/>
    </row>
    <row r="13854" spans="1:1" x14ac:dyDescent="0.2">
      <c r="A13854" s="101"/>
    </row>
    <row r="13855" spans="1:1" x14ac:dyDescent="0.2">
      <c r="A13855" s="101"/>
    </row>
    <row r="13856" spans="1:1" x14ac:dyDescent="0.2">
      <c r="A13856" s="101"/>
    </row>
    <row r="13857" spans="1:1" x14ac:dyDescent="0.2">
      <c r="A13857" s="101"/>
    </row>
    <row r="13858" spans="1:1" x14ac:dyDescent="0.2">
      <c r="A13858" s="101"/>
    </row>
    <row r="13859" spans="1:1" x14ac:dyDescent="0.2">
      <c r="A13859" s="101"/>
    </row>
    <row r="13860" spans="1:1" x14ac:dyDescent="0.2">
      <c r="A13860" s="101"/>
    </row>
    <row r="13861" spans="1:1" x14ac:dyDescent="0.2">
      <c r="A13861" s="101"/>
    </row>
    <row r="13862" spans="1:1" x14ac:dyDescent="0.2">
      <c r="A13862" s="101"/>
    </row>
    <row r="13863" spans="1:1" x14ac:dyDescent="0.2">
      <c r="A13863" s="101"/>
    </row>
    <row r="13864" spans="1:1" x14ac:dyDescent="0.2">
      <c r="A13864" s="101"/>
    </row>
    <row r="13865" spans="1:1" x14ac:dyDescent="0.2">
      <c r="A13865" s="101"/>
    </row>
    <row r="13866" spans="1:1" x14ac:dyDescent="0.2">
      <c r="A13866" s="101"/>
    </row>
    <row r="13867" spans="1:1" x14ac:dyDescent="0.2">
      <c r="A13867" s="101"/>
    </row>
    <row r="13868" spans="1:1" x14ac:dyDescent="0.2">
      <c r="A13868" s="101"/>
    </row>
    <row r="13869" spans="1:1" x14ac:dyDescent="0.2">
      <c r="A13869" s="101"/>
    </row>
    <row r="13870" spans="1:1" x14ac:dyDescent="0.2">
      <c r="A13870" s="101"/>
    </row>
    <row r="13871" spans="1:1" x14ac:dyDescent="0.2">
      <c r="A13871" s="101"/>
    </row>
    <row r="13872" spans="1:1" x14ac:dyDescent="0.2">
      <c r="A13872" s="101"/>
    </row>
    <row r="13873" spans="1:1" x14ac:dyDescent="0.2">
      <c r="A13873" s="101"/>
    </row>
    <row r="13874" spans="1:1" x14ac:dyDescent="0.2">
      <c r="A13874" s="101"/>
    </row>
    <row r="13875" spans="1:1" x14ac:dyDescent="0.2">
      <c r="A13875" s="101"/>
    </row>
    <row r="13876" spans="1:1" x14ac:dyDescent="0.2">
      <c r="A13876" s="101"/>
    </row>
    <row r="13877" spans="1:1" x14ac:dyDescent="0.2">
      <c r="A13877" s="101"/>
    </row>
    <row r="13878" spans="1:1" x14ac:dyDescent="0.2">
      <c r="A13878" s="101"/>
    </row>
    <row r="13879" spans="1:1" x14ac:dyDescent="0.2">
      <c r="A13879" s="101"/>
    </row>
    <row r="13880" spans="1:1" x14ac:dyDescent="0.2">
      <c r="A13880" s="101"/>
    </row>
    <row r="13881" spans="1:1" x14ac:dyDescent="0.2">
      <c r="A13881" s="101"/>
    </row>
    <row r="13882" spans="1:1" x14ac:dyDescent="0.2">
      <c r="A13882" s="101"/>
    </row>
    <row r="13883" spans="1:1" x14ac:dyDescent="0.2">
      <c r="A13883" s="101"/>
    </row>
    <row r="13884" spans="1:1" x14ac:dyDescent="0.2">
      <c r="A13884" s="101"/>
    </row>
    <row r="13885" spans="1:1" x14ac:dyDescent="0.2">
      <c r="A13885" s="101"/>
    </row>
    <row r="13886" spans="1:1" x14ac:dyDescent="0.2">
      <c r="A13886" s="101"/>
    </row>
    <row r="13887" spans="1:1" x14ac:dyDescent="0.2">
      <c r="A13887" s="101"/>
    </row>
    <row r="13888" spans="1:1" x14ac:dyDescent="0.2">
      <c r="A13888" s="101"/>
    </row>
    <row r="13889" spans="1:1" x14ac:dyDescent="0.2">
      <c r="A13889" s="101"/>
    </row>
    <row r="13890" spans="1:1" x14ac:dyDescent="0.2">
      <c r="A13890" s="101"/>
    </row>
    <row r="13891" spans="1:1" x14ac:dyDescent="0.2">
      <c r="A13891" s="101"/>
    </row>
    <row r="13892" spans="1:1" x14ac:dyDescent="0.2">
      <c r="A13892" s="101"/>
    </row>
    <row r="13893" spans="1:1" x14ac:dyDescent="0.2">
      <c r="A13893" s="101"/>
    </row>
    <row r="13894" spans="1:1" x14ac:dyDescent="0.2">
      <c r="A13894" s="101"/>
    </row>
    <row r="13895" spans="1:1" x14ac:dyDescent="0.2">
      <c r="A13895" s="101"/>
    </row>
    <row r="13896" spans="1:1" x14ac:dyDescent="0.2">
      <c r="A13896" s="101"/>
    </row>
    <row r="13897" spans="1:1" x14ac:dyDescent="0.2">
      <c r="A13897" s="101"/>
    </row>
    <row r="13898" spans="1:1" x14ac:dyDescent="0.2">
      <c r="A13898" s="101"/>
    </row>
    <row r="13899" spans="1:1" x14ac:dyDescent="0.2">
      <c r="A13899" s="101"/>
    </row>
    <row r="13900" spans="1:1" x14ac:dyDescent="0.2">
      <c r="A13900" s="101"/>
    </row>
    <row r="13901" spans="1:1" x14ac:dyDescent="0.2">
      <c r="A13901" s="101"/>
    </row>
    <row r="13902" spans="1:1" x14ac:dyDescent="0.2">
      <c r="A13902" s="101"/>
    </row>
    <row r="13903" spans="1:1" x14ac:dyDescent="0.2">
      <c r="A13903" s="101"/>
    </row>
    <row r="13904" spans="1:1" x14ac:dyDescent="0.2">
      <c r="A13904" s="101"/>
    </row>
    <row r="13905" spans="1:1" x14ac:dyDescent="0.2">
      <c r="A13905" s="101"/>
    </row>
    <row r="13906" spans="1:1" x14ac:dyDescent="0.2">
      <c r="A13906" s="101"/>
    </row>
    <row r="13907" spans="1:1" x14ac:dyDescent="0.2">
      <c r="A13907" s="101"/>
    </row>
    <row r="13908" spans="1:1" x14ac:dyDescent="0.2">
      <c r="A13908" s="101"/>
    </row>
    <row r="13909" spans="1:1" x14ac:dyDescent="0.2">
      <c r="A13909" s="101"/>
    </row>
    <row r="13910" spans="1:1" x14ac:dyDescent="0.2">
      <c r="A13910" s="101"/>
    </row>
    <row r="13911" spans="1:1" x14ac:dyDescent="0.2">
      <c r="A13911" s="101"/>
    </row>
    <row r="13912" spans="1:1" x14ac:dyDescent="0.2">
      <c r="A13912" s="101"/>
    </row>
    <row r="13913" spans="1:1" x14ac:dyDescent="0.2">
      <c r="A13913" s="101"/>
    </row>
    <row r="13914" spans="1:1" x14ac:dyDescent="0.2">
      <c r="A13914" s="101"/>
    </row>
    <row r="13915" spans="1:1" x14ac:dyDescent="0.2">
      <c r="A13915" s="101"/>
    </row>
    <row r="13916" spans="1:1" x14ac:dyDescent="0.2">
      <c r="A13916" s="101"/>
    </row>
    <row r="13917" spans="1:1" x14ac:dyDescent="0.2">
      <c r="A13917" s="101"/>
    </row>
    <row r="13918" spans="1:1" x14ac:dyDescent="0.2">
      <c r="A13918" s="101"/>
    </row>
    <row r="13919" spans="1:1" x14ac:dyDescent="0.2">
      <c r="A13919" s="101"/>
    </row>
    <row r="13920" spans="1:1" x14ac:dyDescent="0.2">
      <c r="A13920" s="101"/>
    </row>
    <row r="13921" spans="1:1" x14ac:dyDescent="0.2">
      <c r="A13921" s="101"/>
    </row>
    <row r="13922" spans="1:1" x14ac:dyDescent="0.2">
      <c r="A13922" s="101"/>
    </row>
    <row r="13923" spans="1:1" x14ac:dyDescent="0.2">
      <c r="A13923" s="101"/>
    </row>
    <row r="13924" spans="1:1" x14ac:dyDescent="0.2">
      <c r="A13924" s="101"/>
    </row>
    <row r="13925" spans="1:1" x14ac:dyDescent="0.2">
      <c r="A13925" s="101"/>
    </row>
    <row r="13926" spans="1:1" x14ac:dyDescent="0.2">
      <c r="A13926" s="101"/>
    </row>
    <row r="13927" spans="1:1" x14ac:dyDescent="0.2">
      <c r="A13927" s="101"/>
    </row>
    <row r="13928" spans="1:1" x14ac:dyDescent="0.2">
      <c r="A13928" s="101"/>
    </row>
    <row r="13929" spans="1:1" x14ac:dyDescent="0.2">
      <c r="A13929" s="101"/>
    </row>
    <row r="13930" spans="1:1" x14ac:dyDescent="0.2">
      <c r="A13930" s="101"/>
    </row>
    <row r="13931" spans="1:1" x14ac:dyDescent="0.2">
      <c r="A13931" s="101"/>
    </row>
    <row r="13932" spans="1:1" x14ac:dyDescent="0.2">
      <c r="A13932" s="101"/>
    </row>
    <row r="13933" spans="1:1" x14ac:dyDescent="0.2">
      <c r="A13933" s="101"/>
    </row>
    <row r="13934" spans="1:1" x14ac:dyDescent="0.2">
      <c r="A13934" s="101"/>
    </row>
    <row r="13935" spans="1:1" x14ac:dyDescent="0.2">
      <c r="A13935" s="101"/>
    </row>
    <row r="13936" spans="1:1" x14ac:dyDescent="0.2">
      <c r="A13936" s="101"/>
    </row>
    <row r="13937" spans="1:1" x14ac:dyDescent="0.2">
      <c r="A13937" s="101"/>
    </row>
    <row r="13938" spans="1:1" x14ac:dyDescent="0.2">
      <c r="A13938" s="101"/>
    </row>
    <row r="13939" spans="1:1" x14ac:dyDescent="0.2">
      <c r="A13939" s="101"/>
    </row>
    <row r="13940" spans="1:1" x14ac:dyDescent="0.2">
      <c r="A13940" s="101"/>
    </row>
    <row r="13941" spans="1:1" x14ac:dyDescent="0.2">
      <c r="A13941" s="101"/>
    </row>
    <row r="13942" spans="1:1" x14ac:dyDescent="0.2">
      <c r="A13942" s="101"/>
    </row>
    <row r="13943" spans="1:1" x14ac:dyDescent="0.2">
      <c r="A13943" s="101"/>
    </row>
    <row r="13944" spans="1:1" x14ac:dyDescent="0.2">
      <c r="A13944" s="101"/>
    </row>
    <row r="13945" spans="1:1" x14ac:dyDescent="0.2">
      <c r="A13945" s="101"/>
    </row>
    <row r="13946" spans="1:1" x14ac:dyDescent="0.2">
      <c r="A13946" s="101"/>
    </row>
    <row r="13947" spans="1:1" x14ac:dyDescent="0.2">
      <c r="A13947" s="101"/>
    </row>
    <row r="13948" spans="1:1" x14ac:dyDescent="0.2">
      <c r="A13948" s="101"/>
    </row>
    <row r="13949" spans="1:1" x14ac:dyDescent="0.2">
      <c r="A13949" s="101"/>
    </row>
    <row r="13950" spans="1:1" x14ac:dyDescent="0.2">
      <c r="A13950" s="101"/>
    </row>
    <row r="13951" spans="1:1" x14ac:dyDescent="0.2">
      <c r="A13951" s="101"/>
    </row>
    <row r="13952" spans="1:1" x14ac:dyDescent="0.2">
      <c r="A13952" s="101"/>
    </row>
    <row r="13953" spans="1:1" x14ac:dyDescent="0.2">
      <c r="A13953" s="101"/>
    </row>
    <row r="13954" spans="1:1" x14ac:dyDescent="0.2">
      <c r="A13954" s="101"/>
    </row>
    <row r="13955" spans="1:1" x14ac:dyDescent="0.2">
      <c r="A13955" s="101"/>
    </row>
    <row r="13956" spans="1:1" x14ac:dyDescent="0.2">
      <c r="A13956" s="101"/>
    </row>
    <row r="13957" spans="1:1" x14ac:dyDescent="0.2">
      <c r="A13957" s="101"/>
    </row>
    <row r="13958" spans="1:1" x14ac:dyDescent="0.2">
      <c r="A13958" s="101"/>
    </row>
    <row r="13959" spans="1:1" x14ac:dyDescent="0.2">
      <c r="A13959" s="101"/>
    </row>
    <row r="13960" spans="1:1" x14ac:dyDescent="0.2">
      <c r="A13960" s="101"/>
    </row>
    <row r="13961" spans="1:1" x14ac:dyDescent="0.2">
      <c r="A13961" s="101"/>
    </row>
    <row r="13962" spans="1:1" x14ac:dyDescent="0.2">
      <c r="A13962" s="101"/>
    </row>
    <row r="13963" spans="1:1" x14ac:dyDescent="0.2">
      <c r="A13963" s="101"/>
    </row>
    <row r="13964" spans="1:1" x14ac:dyDescent="0.2">
      <c r="A13964" s="101"/>
    </row>
    <row r="13965" spans="1:1" x14ac:dyDescent="0.2">
      <c r="A13965" s="101"/>
    </row>
    <row r="13966" spans="1:1" x14ac:dyDescent="0.2">
      <c r="A13966" s="101"/>
    </row>
    <row r="13967" spans="1:1" x14ac:dyDescent="0.2">
      <c r="A13967" s="101"/>
    </row>
    <row r="13968" spans="1:1" x14ac:dyDescent="0.2">
      <c r="A13968" s="101"/>
    </row>
    <row r="13969" spans="1:1" x14ac:dyDescent="0.2">
      <c r="A13969" s="101"/>
    </row>
    <row r="13970" spans="1:1" x14ac:dyDescent="0.2">
      <c r="A13970" s="101"/>
    </row>
    <row r="13971" spans="1:1" x14ac:dyDescent="0.2">
      <c r="A13971" s="101"/>
    </row>
    <row r="13972" spans="1:1" x14ac:dyDescent="0.2">
      <c r="A13972" s="101"/>
    </row>
    <row r="13973" spans="1:1" x14ac:dyDescent="0.2">
      <c r="A13973" s="101"/>
    </row>
    <row r="13974" spans="1:1" x14ac:dyDescent="0.2">
      <c r="A13974" s="101"/>
    </row>
    <row r="13975" spans="1:1" x14ac:dyDescent="0.2">
      <c r="A13975" s="101"/>
    </row>
    <row r="13976" spans="1:1" x14ac:dyDescent="0.2">
      <c r="A13976" s="101"/>
    </row>
    <row r="13977" spans="1:1" x14ac:dyDescent="0.2">
      <c r="A13977" s="101"/>
    </row>
    <row r="13978" spans="1:1" x14ac:dyDescent="0.2">
      <c r="A13978" s="101"/>
    </row>
    <row r="13979" spans="1:1" x14ac:dyDescent="0.2">
      <c r="A13979" s="101"/>
    </row>
    <row r="13980" spans="1:1" x14ac:dyDescent="0.2">
      <c r="A13980" s="101"/>
    </row>
    <row r="13981" spans="1:1" x14ac:dyDescent="0.2">
      <c r="A13981" s="101"/>
    </row>
    <row r="13982" spans="1:1" x14ac:dyDescent="0.2">
      <c r="A13982" s="101"/>
    </row>
    <row r="13983" spans="1:1" x14ac:dyDescent="0.2">
      <c r="A13983" s="101"/>
    </row>
    <row r="13984" spans="1:1" x14ac:dyDescent="0.2">
      <c r="A13984" s="101"/>
    </row>
    <row r="13985" spans="1:1" x14ac:dyDescent="0.2">
      <c r="A13985" s="101"/>
    </row>
    <row r="13986" spans="1:1" x14ac:dyDescent="0.2">
      <c r="A13986" s="101"/>
    </row>
    <row r="13987" spans="1:1" x14ac:dyDescent="0.2">
      <c r="A13987" s="101"/>
    </row>
    <row r="13988" spans="1:1" x14ac:dyDescent="0.2">
      <c r="A13988" s="101"/>
    </row>
    <row r="13989" spans="1:1" x14ac:dyDescent="0.2">
      <c r="A13989" s="101"/>
    </row>
    <row r="13990" spans="1:1" x14ac:dyDescent="0.2">
      <c r="A13990" s="101"/>
    </row>
    <row r="13991" spans="1:1" x14ac:dyDescent="0.2">
      <c r="A13991" s="101"/>
    </row>
    <row r="13992" spans="1:1" x14ac:dyDescent="0.2">
      <c r="A13992" s="101"/>
    </row>
    <row r="13993" spans="1:1" x14ac:dyDescent="0.2">
      <c r="A13993" s="101"/>
    </row>
    <row r="13994" spans="1:1" x14ac:dyDescent="0.2">
      <c r="A13994" s="101"/>
    </row>
    <row r="13995" spans="1:1" x14ac:dyDescent="0.2">
      <c r="A13995" s="101"/>
    </row>
    <row r="13996" spans="1:1" x14ac:dyDescent="0.2">
      <c r="A13996" s="101"/>
    </row>
    <row r="13997" spans="1:1" x14ac:dyDescent="0.2">
      <c r="A13997" s="101"/>
    </row>
    <row r="13998" spans="1:1" x14ac:dyDescent="0.2">
      <c r="A13998" s="101"/>
    </row>
    <row r="13999" spans="1:1" x14ac:dyDescent="0.2">
      <c r="A13999" s="101"/>
    </row>
    <row r="14000" spans="1:1" x14ac:dyDescent="0.2">
      <c r="A14000" s="101"/>
    </row>
    <row r="14001" spans="1:1" x14ac:dyDescent="0.2">
      <c r="A14001" s="101"/>
    </row>
    <row r="14002" spans="1:1" x14ac:dyDescent="0.2">
      <c r="A14002" s="101"/>
    </row>
    <row r="14003" spans="1:1" x14ac:dyDescent="0.2">
      <c r="A14003" s="101"/>
    </row>
    <row r="14004" spans="1:1" x14ac:dyDescent="0.2">
      <c r="A14004" s="101"/>
    </row>
    <row r="14005" spans="1:1" x14ac:dyDescent="0.2">
      <c r="A14005" s="101"/>
    </row>
    <row r="14006" spans="1:1" x14ac:dyDescent="0.2">
      <c r="A14006" s="101"/>
    </row>
    <row r="14007" spans="1:1" x14ac:dyDescent="0.2">
      <c r="A14007" s="101"/>
    </row>
    <row r="14008" spans="1:1" x14ac:dyDescent="0.2">
      <c r="A14008" s="101"/>
    </row>
    <row r="14009" spans="1:1" x14ac:dyDescent="0.2">
      <c r="A14009" s="101"/>
    </row>
    <row r="14010" spans="1:1" x14ac:dyDescent="0.2">
      <c r="A14010" s="101"/>
    </row>
    <row r="14011" spans="1:1" x14ac:dyDescent="0.2">
      <c r="A14011" s="101"/>
    </row>
    <row r="14012" spans="1:1" x14ac:dyDescent="0.2">
      <c r="A14012" s="101"/>
    </row>
    <row r="14013" spans="1:1" x14ac:dyDescent="0.2">
      <c r="A14013" s="101"/>
    </row>
    <row r="14014" spans="1:1" x14ac:dyDescent="0.2">
      <c r="A14014" s="101"/>
    </row>
    <row r="14015" spans="1:1" x14ac:dyDescent="0.2">
      <c r="A14015" s="101"/>
    </row>
    <row r="14016" spans="1:1" x14ac:dyDescent="0.2">
      <c r="A14016" s="101"/>
    </row>
    <row r="14017" spans="1:1" x14ac:dyDescent="0.2">
      <c r="A14017" s="101"/>
    </row>
    <row r="14018" spans="1:1" x14ac:dyDescent="0.2">
      <c r="A14018" s="101"/>
    </row>
    <row r="14019" spans="1:1" x14ac:dyDescent="0.2">
      <c r="A14019" s="101"/>
    </row>
    <row r="14020" spans="1:1" x14ac:dyDescent="0.2">
      <c r="A14020" s="101"/>
    </row>
    <row r="14021" spans="1:1" x14ac:dyDescent="0.2">
      <c r="A14021" s="101"/>
    </row>
    <row r="14022" spans="1:1" x14ac:dyDescent="0.2">
      <c r="A14022" s="101"/>
    </row>
    <row r="14023" spans="1:1" x14ac:dyDescent="0.2">
      <c r="A14023" s="101"/>
    </row>
    <row r="14024" spans="1:1" x14ac:dyDescent="0.2">
      <c r="A14024" s="101"/>
    </row>
    <row r="14025" spans="1:1" x14ac:dyDescent="0.2">
      <c r="A14025" s="101"/>
    </row>
    <row r="14026" spans="1:1" x14ac:dyDescent="0.2">
      <c r="A14026" s="101"/>
    </row>
    <row r="14027" spans="1:1" x14ac:dyDescent="0.2">
      <c r="A14027" s="101"/>
    </row>
    <row r="14028" spans="1:1" x14ac:dyDescent="0.2">
      <c r="A14028" s="101"/>
    </row>
    <row r="14029" spans="1:1" x14ac:dyDescent="0.2">
      <c r="A14029" s="101"/>
    </row>
    <row r="14030" spans="1:1" x14ac:dyDescent="0.2">
      <c r="A14030" s="101"/>
    </row>
    <row r="14031" spans="1:1" x14ac:dyDescent="0.2">
      <c r="A14031" s="101"/>
    </row>
    <row r="14032" spans="1:1" x14ac:dyDescent="0.2">
      <c r="A14032" s="101"/>
    </row>
    <row r="14033" spans="1:1" x14ac:dyDescent="0.2">
      <c r="A14033" s="101"/>
    </row>
    <row r="14034" spans="1:1" x14ac:dyDescent="0.2">
      <c r="A14034" s="101"/>
    </row>
    <row r="14035" spans="1:1" x14ac:dyDescent="0.2">
      <c r="A14035" s="101"/>
    </row>
    <row r="14036" spans="1:1" x14ac:dyDescent="0.2">
      <c r="A14036" s="101"/>
    </row>
    <row r="14037" spans="1:1" x14ac:dyDescent="0.2">
      <c r="A14037" s="101"/>
    </row>
    <row r="14038" spans="1:1" x14ac:dyDescent="0.2">
      <c r="A14038" s="101"/>
    </row>
    <row r="14039" spans="1:1" x14ac:dyDescent="0.2">
      <c r="A14039" s="101"/>
    </row>
    <row r="14040" spans="1:1" x14ac:dyDescent="0.2">
      <c r="A14040" s="101"/>
    </row>
    <row r="14041" spans="1:1" x14ac:dyDescent="0.2">
      <c r="A14041" s="101"/>
    </row>
    <row r="14042" spans="1:1" x14ac:dyDescent="0.2">
      <c r="A14042" s="101"/>
    </row>
    <row r="14043" spans="1:1" x14ac:dyDescent="0.2">
      <c r="A14043" s="101"/>
    </row>
    <row r="14044" spans="1:1" x14ac:dyDescent="0.2">
      <c r="A14044" s="101"/>
    </row>
    <row r="14045" spans="1:1" x14ac:dyDescent="0.2">
      <c r="A14045" s="101"/>
    </row>
    <row r="14046" spans="1:1" x14ac:dyDescent="0.2">
      <c r="A14046" s="101"/>
    </row>
    <row r="14047" spans="1:1" x14ac:dyDescent="0.2">
      <c r="A14047" s="101"/>
    </row>
    <row r="14048" spans="1:1" x14ac:dyDescent="0.2">
      <c r="A14048" s="101"/>
    </row>
    <row r="14049" spans="1:1" x14ac:dyDescent="0.2">
      <c r="A14049" s="101"/>
    </row>
    <row r="14050" spans="1:1" x14ac:dyDescent="0.2">
      <c r="A14050" s="101"/>
    </row>
    <row r="14051" spans="1:1" x14ac:dyDescent="0.2">
      <c r="A14051" s="101"/>
    </row>
    <row r="14052" spans="1:1" x14ac:dyDescent="0.2">
      <c r="A14052" s="101"/>
    </row>
    <row r="14053" spans="1:1" x14ac:dyDescent="0.2">
      <c r="A14053" s="101"/>
    </row>
    <row r="14054" spans="1:1" x14ac:dyDescent="0.2">
      <c r="A14054" s="101"/>
    </row>
    <row r="14055" spans="1:1" x14ac:dyDescent="0.2">
      <c r="A14055" s="101"/>
    </row>
    <row r="14056" spans="1:1" x14ac:dyDescent="0.2">
      <c r="A14056" s="101"/>
    </row>
    <row r="14057" spans="1:1" x14ac:dyDescent="0.2">
      <c r="A14057" s="101"/>
    </row>
    <row r="14058" spans="1:1" x14ac:dyDescent="0.2">
      <c r="A14058" s="101"/>
    </row>
    <row r="14059" spans="1:1" x14ac:dyDescent="0.2">
      <c r="A14059" s="101"/>
    </row>
    <row r="14060" spans="1:1" x14ac:dyDescent="0.2">
      <c r="A14060" s="101"/>
    </row>
    <row r="14061" spans="1:1" x14ac:dyDescent="0.2">
      <c r="A14061" s="101"/>
    </row>
    <row r="14062" spans="1:1" x14ac:dyDescent="0.2">
      <c r="A14062" s="101"/>
    </row>
    <row r="14063" spans="1:1" x14ac:dyDescent="0.2">
      <c r="A14063" s="101"/>
    </row>
    <row r="14064" spans="1:1" x14ac:dyDescent="0.2">
      <c r="A14064" s="101"/>
    </row>
    <row r="14065" spans="1:1" x14ac:dyDescent="0.2">
      <c r="A14065" s="101"/>
    </row>
    <row r="14066" spans="1:1" x14ac:dyDescent="0.2">
      <c r="A14066" s="101"/>
    </row>
    <row r="14067" spans="1:1" x14ac:dyDescent="0.2">
      <c r="A14067" s="101"/>
    </row>
    <row r="14068" spans="1:1" x14ac:dyDescent="0.2">
      <c r="A14068" s="101"/>
    </row>
    <row r="14069" spans="1:1" x14ac:dyDescent="0.2">
      <c r="A14069" s="101"/>
    </row>
    <row r="14070" spans="1:1" x14ac:dyDescent="0.2">
      <c r="A14070" s="101"/>
    </row>
    <row r="14071" spans="1:1" x14ac:dyDescent="0.2">
      <c r="A14071" s="101"/>
    </row>
    <row r="14072" spans="1:1" x14ac:dyDescent="0.2">
      <c r="A14072" s="101"/>
    </row>
    <row r="14073" spans="1:1" x14ac:dyDescent="0.2">
      <c r="A14073" s="101"/>
    </row>
    <row r="14074" spans="1:1" x14ac:dyDescent="0.2">
      <c r="A14074" s="101"/>
    </row>
    <row r="14075" spans="1:1" x14ac:dyDescent="0.2">
      <c r="A14075" s="101"/>
    </row>
    <row r="14076" spans="1:1" x14ac:dyDescent="0.2">
      <c r="A14076" s="101"/>
    </row>
    <row r="14077" spans="1:1" x14ac:dyDescent="0.2">
      <c r="A14077" s="101"/>
    </row>
    <row r="14078" spans="1:1" x14ac:dyDescent="0.2">
      <c r="A14078" s="101"/>
    </row>
    <row r="14079" spans="1:1" x14ac:dyDescent="0.2">
      <c r="A14079" s="101"/>
    </row>
    <row r="14080" spans="1:1" x14ac:dyDescent="0.2">
      <c r="A14080" s="101"/>
    </row>
    <row r="14081" spans="1:1" x14ac:dyDescent="0.2">
      <c r="A14081" s="101"/>
    </row>
    <row r="14082" spans="1:1" x14ac:dyDescent="0.2">
      <c r="A14082" s="101"/>
    </row>
    <row r="14083" spans="1:1" x14ac:dyDescent="0.2">
      <c r="A14083" s="101"/>
    </row>
    <row r="14084" spans="1:1" x14ac:dyDescent="0.2">
      <c r="A14084" s="101"/>
    </row>
    <row r="14085" spans="1:1" x14ac:dyDescent="0.2">
      <c r="A14085" s="101"/>
    </row>
    <row r="14086" spans="1:1" x14ac:dyDescent="0.2">
      <c r="A14086" s="101"/>
    </row>
    <row r="14087" spans="1:1" x14ac:dyDescent="0.2">
      <c r="A14087" s="101"/>
    </row>
    <row r="14088" spans="1:1" x14ac:dyDescent="0.2">
      <c r="A14088" s="101"/>
    </row>
    <row r="14089" spans="1:1" x14ac:dyDescent="0.2">
      <c r="A14089" s="101"/>
    </row>
    <row r="14090" spans="1:1" x14ac:dyDescent="0.2">
      <c r="A14090" s="101"/>
    </row>
    <row r="14091" spans="1:1" x14ac:dyDescent="0.2">
      <c r="A14091" s="101"/>
    </row>
    <row r="14092" spans="1:1" x14ac:dyDescent="0.2">
      <c r="A14092" s="101"/>
    </row>
    <row r="14093" spans="1:1" x14ac:dyDescent="0.2">
      <c r="A14093" s="101"/>
    </row>
    <row r="14094" spans="1:1" x14ac:dyDescent="0.2">
      <c r="A14094" s="101"/>
    </row>
    <row r="14095" spans="1:1" x14ac:dyDescent="0.2">
      <c r="A14095" s="101"/>
    </row>
    <row r="14096" spans="1:1" x14ac:dyDescent="0.2">
      <c r="A14096" s="101"/>
    </row>
    <row r="14097" spans="1:1" x14ac:dyDescent="0.2">
      <c r="A14097" s="101"/>
    </row>
    <row r="14098" spans="1:1" x14ac:dyDescent="0.2">
      <c r="A14098" s="101"/>
    </row>
    <row r="14099" spans="1:1" x14ac:dyDescent="0.2">
      <c r="A14099" s="101"/>
    </row>
    <row r="14100" spans="1:1" x14ac:dyDescent="0.2">
      <c r="A14100" s="101"/>
    </row>
    <row r="14101" spans="1:1" x14ac:dyDescent="0.2">
      <c r="A14101" s="101"/>
    </row>
    <row r="14102" spans="1:1" x14ac:dyDescent="0.2">
      <c r="A14102" s="101"/>
    </row>
    <row r="14103" spans="1:1" x14ac:dyDescent="0.2">
      <c r="A14103" s="101"/>
    </row>
    <row r="14104" spans="1:1" x14ac:dyDescent="0.2">
      <c r="A14104" s="101"/>
    </row>
    <row r="14105" spans="1:1" x14ac:dyDescent="0.2">
      <c r="A14105" s="101"/>
    </row>
    <row r="14106" spans="1:1" x14ac:dyDescent="0.2">
      <c r="A14106" s="101"/>
    </row>
    <row r="14107" spans="1:1" x14ac:dyDescent="0.2">
      <c r="A14107" s="101"/>
    </row>
    <row r="14108" spans="1:1" x14ac:dyDescent="0.2">
      <c r="A14108" s="101"/>
    </row>
    <row r="14109" spans="1:1" x14ac:dyDescent="0.2">
      <c r="A14109" s="101"/>
    </row>
    <row r="14110" spans="1:1" x14ac:dyDescent="0.2">
      <c r="A14110" s="101"/>
    </row>
    <row r="14111" spans="1:1" x14ac:dyDescent="0.2">
      <c r="A14111" s="101"/>
    </row>
    <row r="14112" spans="1:1" x14ac:dyDescent="0.2">
      <c r="A14112" s="101"/>
    </row>
    <row r="14113" spans="1:1" x14ac:dyDescent="0.2">
      <c r="A14113" s="101"/>
    </row>
    <row r="14114" spans="1:1" x14ac:dyDescent="0.2">
      <c r="A14114" s="101"/>
    </row>
    <row r="14115" spans="1:1" x14ac:dyDescent="0.2">
      <c r="A14115" s="101"/>
    </row>
    <row r="14116" spans="1:1" x14ac:dyDescent="0.2">
      <c r="A14116" s="101"/>
    </row>
    <row r="14117" spans="1:1" x14ac:dyDescent="0.2">
      <c r="A14117" s="101"/>
    </row>
    <row r="14118" spans="1:1" x14ac:dyDescent="0.2">
      <c r="A14118" s="101"/>
    </row>
    <row r="14119" spans="1:1" x14ac:dyDescent="0.2">
      <c r="A14119" s="101"/>
    </row>
    <row r="14120" spans="1:1" x14ac:dyDescent="0.2">
      <c r="A14120" s="101"/>
    </row>
    <row r="14121" spans="1:1" x14ac:dyDescent="0.2">
      <c r="A14121" s="101"/>
    </row>
    <row r="14122" spans="1:1" x14ac:dyDescent="0.2">
      <c r="A14122" s="101"/>
    </row>
    <row r="14123" spans="1:1" x14ac:dyDescent="0.2">
      <c r="A14123" s="101"/>
    </row>
    <row r="14124" spans="1:1" x14ac:dyDescent="0.2">
      <c r="A14124" s="101"/>
    </row>
    <row r="14125" spans="1:1" x14ac:dyDescent="0.2">
      <c r="A14125" s="101"/>
    </row>
    <row r="14126" spans="1:1" x14ac:dyDescent="0.2">
      <c r="A14126" s="101"/>
    </row>
    <row r="14127" spans="1:1" x14ac:dyDescent="0.2">
      <c r="A14127" s="101"/>
    </row>
    <row r="14128" spans="1:1" x14ac:dyDescent="0.2">
      <c r="A14128" s="101"/>
    </row>
    <row r="14129" spans="1:1" x14ac:dyDescent="0.2">
      <c r="A14129" s="101"/>
    </row>
    <row r="14130" spans="1:1" x14ac:dyDescent="0.2">
      <c r="A14130" s="101"/>
    </row>
    <row r="14131" spans="1:1" x14ac:dyDescent="0.2">
      <c r="A14131" s="101"/>
    </row>
    <row r="14132" spans="1:1" x14ac:dyDescent="0.2">
      <c r="A14132" s="101"/>
    </row>
    <row r="14133" spans="1:1" x14ac:dyDescent="0.2">
      <c r="A14133" s="101"/>
    </row>
    <row r="14134" spans="1:1" x14ac:dyDescent="0.2">
      <c r="A14134" s="101"/>
    </row>
    <row r="14135" spans="1:1" x14ac:dyDescent="0.2">
      <c r="A14135" s="101"/>
    </row>
    <row r="14136" spans="1:1" x14ac:dyDescent="0.2">
      <c r="A14136" s="101"/>
    </row>
    <row r="14137" spans="1:1" x14ac:dyDescent="0.2">
      <c r="A14137" s="101"/>
    </row>
    <row r="14138" spans="1:1" x14ac:dyDescent="0.2">
      <c r="A14138" s="101"/>
    </row>
    <row r="14139" spans="1:1" x14ac:dyDescent="0.2">
      <c r="A14139" s="101"/>
    </row>
    <row r="14140" spans="1:1" x14ac:dyDescent="0.2">
      <c r="A14140" s="101"/>
    </row>
    <row r="14141" spans="1:1" x14ac:dyDescent="0.2">
      <c r="A14141" s="101"/>
    </row>
    <row r="14142" spans="1:1" x14ac:dyDescent="0.2">
      <c r="A14142" s="101"/>
    </row>
    <row r="14143" spans="1:1" x14ac:dyDescent="0.2">
      <c r="A14143" s="101"/>
    </row>
    <row r="14144" spans="1:1" x14ac:dyDescent="0.2">
      <c r="A14144" s="101"/>
    </row>
    <row r="14145" spans="1:1" x14ac:dyDescent="0.2">
      <c r="A14145" s="101"/>
    </row>
    <row r="14146" spans="1:1" x14ac:dyDescent="0.2">
      <c r="A14146" s="101"/>
    </row>
    <row r="14147" spans="1:1" x14ac:dyDescent="0.2">
      <c r="A14147" s="101"/>
    </row>
    <row r="14148" spans="1:1" x14ac:dyDescent="0.2">
      <c r="A14148" s="101"/>
    </row>
    <row r="14149" spans="1:1" x14ac:dyDescent="0.2">
      <c r="A14149" s="101"/>
    </row>
    <row r="14150" spans="1:1" x14ac:dyDescent="0.2">
      <c r="A14150" s="101"/>
    </row>
    <row r="14151" spans="1:1" x14ac:dyDescent="0.2">
      <c r="A14151" s="101"/>
    </row>
    <row r="14152" spans="1:1" x14ac:dyDescent="0.2">
      <c r="A14152" s="101"/>
    </row>
    <row r="14153" spans="1:1" x14ac:dyDescent="0.2">
      <c r="A14153" s="101"/>
    </row>
    <row r="14154" spans="1:1" x14ac:dyDescent="0.2">
      <c r="A14154" s="101"/>
    </row>
    <row r="14155" spans="1:1" x14ac:dyDescent="0.2">
      <c r="A14155" s="101"/>
    </row>
    <row r="14156" spans="1:1" x14ac:dyDescent="0.2">
      <c r="A14156" s="101"/>
    </row>
    <row r="14157" spans="1:1" x14ac:dyDescent="0.2">
      <c r="A14157" s="101"/>
    </row>
    <row r="14158" spans="1:1" x14ac:dyDescent="0.2">
      <c r="A14158" s="101"/>
    </row>
    <row r="14159" spans="1:1" x14ac:dyDescent="0.2">
      <c r="A14159" s="101"/>
    </row>
    <row r="14160" spans="1:1" x14ac:dyDescent="0.2">
      <c r="A14160" s="101"/>
    </row>
    <row r="14161" spans="1:1" x14ac:dyDescent="0.2">
      <c r="A14161" s="101"/>
    </row>
    <row r="14162" spans="1:1" x14ac:dyDescent="0.2">
      <c r="A14162" s="101"/>
    </row>
    <row r="14163" spans="1:1" x14ac:dyDescent="0.2">
      <c r="A14163" s="101"/>
    </row>
    <row r="14164" spans="1:1" x14ac:dyDescent="0.2">
      <c r="A14164" s="101"/>
    </row>
    <row r="14165" spans="1:1" x14ac:dyDescent="0.2">
      <c r="A14165" s="101"/>
    </row>
    <row r="14166" spans="1:1" x14ac:dyDescent="0.2">
      <c r="A14166" s="101"/>
    </row>
    <row r="14167" spans="1:1" x14ac:dyDescent="0.2">
      <c r="A14167" s="101"/>
    </row>
    <row r="14168" spans="1:1" x14ac:dyDescent="0.2">
      <c r="A14168" s="101"/>
    </row>
    <row r="14169" spans="1:1" x14ac:dyDescent="0.2">
      <c r="A14169" s="101"/>
    </row>
    <row r="14170" spans="1:1" x14ac:dyDescent="0.2">
      <c r="A14170" s="101"/>
    </row>
    <row r="14171" spans="1:1" x14ac:dyDescent="0.2">
      <c r="A14171" s="101"/>
    </row>
    <row r="14172" spans="1:1" x14ac:dyDescent="0.2">
      <c r="A14172" s="101"/>
    </row>
    <row r="14173" spans="1:1" x14ac:dyDescent="0.2">
      <c r="A14173" s="101"/>
    </row>
    <row r="14174" spans="1:1" x14ac:dyDescent="0.2">
      <c r="A14174" s="101"/>
    </row>
    <row r="14175" spans="1:1" x14ac:dyDescent="0.2">
      <c r="A14175" s="101"/>
    </row>
    <row r="14176" spans="1:1" x14ac:dyDescent="0.2">
      <c r="A14176" s="101"/>
    </row>
    <row r="14177" spans="1:1" x14ac:dyDescent="0.2">
      <c r="A14177" s="101"/>
    </row>
    <row r="14178" spans="1:1" x14ac:dyDescent="0.2">
      <c r="A14178" s="101"/>
    </row>
    <row r="14179" spans="1:1" x14ac:dyDescent="0.2">
      <c r="A14179" s="101"/>
    </row>
    <row r="14180" spans="1:1" x14ac:dyDescent="0.2">
      <c r="A14180" s="101"/>
    </row>
    <row r="14181" spans="1:1" x14ac:dyDescent="0.2">
      <c r="A14181" s="101"/>
    </row>
    <row r="14182" spans="1:1" x14ac:dyDescent="0.2">
      <c r="A14182" s="101"/>
    </row>
    <row r="14183" spans="1:1" x14ac:dyDescent="0.2">
      <c r="A14183" s="101"/>
    </row>
    <row r="14184" spans="1:1" x14ac:dyDescent="0.2">
      <c r="A14184" s="101"/>
    </row>
    <row r="14185" spans="1:1" x14ac:dyDescent="0.2">
      <c r="A14185" s="101"/>
    </row>
    <row r="14186" spans="1:1" x14ac:dyDescent="0.2">
      <c r="A14186" s="101"/>
    </row>
    <row r="14187" spans="1:1" x14ac:dyDescent="0.2">
      <c r="A14187" s="101"/>
    </row>
    <row r="14188" spans="1:1" x14ac:dyDescent="0.2">
      <c r="A14188" s="101"/>
    </row>
    <row r="14189" spans="1:1" x14ac:dyDescent="0.2">
      <c r="A14189" s="101"/>
    </row>
    <row r="14190" spans="1:1" x14ac:dyDescent="0.2">
      <c r="A14190" s="101"/>
    </row>
    <row r="14191" spans="1:1" x14ac:dyDescent="0.2">
      <c r="A14191" s="101"/>
    </row>
    <row r="14192" spans="1:1" x14ac:dyDescent="0.2">
      <c r="A14192" s="101"/>
    </row>
    <row r="14193" spans="1:1" x14ac:dyDescent="0.2">
      <c r="A14193" s="101"/>
    </row>
    <row r="14194" spans="1:1" x14ac:dyDescent="0.2">
      <c r="A14194" s="101"/>
    </row>
    <row r="14195" spans="1:1" x14ac:dyDescent="0.2">
      <c r="A14195" s="101"/>
    </row>
    <row r="14196" spans="1:1" x14ac:dyDescent="0.2">
      <c r="A14196" s="101"/>
    </row>
    <row r="14197" spans="1:1" x14ac:dyDescent="0.2">
      <c r="A14197" s="101"/>
    </row>
    <row r="14198" spans="1:1" x14ac:dyDescent="0.2">
      <c r="A14198" s="101"/>
    </row>
    <row r="14199" spans="1:1" x14ac:dyDescent="0.2">
      <c r="A14199" s="101"/>
    </row>
    <row r="14200" spans="1:1" x14ac:dyDescent="0.2">
      <c r="A14200" s="101"/>
    </row>
    <row r="14201" spans="1:1" x14ac:dyDescent="0.2">
      <c r="A14201" s="101"/>
    </row>
    <row r="14202" spans="1:1" x14ac:dyDescent="0.2">
      <c r="A14202" s="101"/>
    </row>
    <row r="14203" spans="1:1" x14ac:dyDescent="0.2">
      <c r="A14203" s="101"/>
    </row>
    <row r="14204" spans="1:1" x14ac:dyDescent="0.2">
      <c r="A14204" s="101"/>
    </row>
    <row r="14205" spans="1:1" x14ac:dyDescent="0.2">
      <c r="A14205" s="101"/>
    </row>
    <row r="14206" spans="1:1" x14ac:dyDescent="0.2">
      <c r="A14206" s="101"/>
    </row>
    <row r="14207" spans="1:1" x14ac:dyDescent="0.2">
      <c r="A14207" s="101"/>
    </row>
    <row r="14208" spans="1:1" x14ac:dyDescent="0.2">
      <c r="A14208" s="101"/>
    </row>
    <row r="14209" spans="1:1" x14ac:dyDescent="0.2">
      <c r="A14209" s="101"/>
    </row>
    <row r="14210" spans="1:1" x14ac:dyDescent="0.2">
      <c r="A14210" s="101"/>
    </row>
    <row r="14211" spans="1:1" x14ac:dyDescent="0.2">
      <c r="A14211" s="101"/>
    </row>
    <row r="14212" spans="1:1" x14ac:dyDescent="0.2">
      <c r="A14212" s="101"/>
    </row>
    <row r="14213" spans="1:1" x14ac:dyDescent="0.2">
      <c r="A14213" s="101"/>
    </row>
    <row r="14214" spans="1:1" x14ac:dyDescent="0.2">
      <c r="A14214" s="101"/>
    </row>
    <row r="14215" spans="1:1" x14ac:dyDescent="0.2">
      <c r="A14215" s="101"/>
    </row>
    <row r="14216" spans="1:1" x14ac:dyDescent="0.2">
      <c r="A14216" s="101"/>
    </row>
    <row r="14217" spans="1:1" x14ac:dyDescent="0.2">
      <c r="A14217" s="101"/>
    </row>
    <row r="14218" spans="1:1" x14ac:dyDescent="0.2">
      <c r="A14218" s="101"/>
    </row>
    <row r="14219" spans="1:1" x14ac:dyDescent="0.2">
      <c r="A14219" s="101"/>
    </row>
    <row r="14220" spans="1:1" x14ac:dyDescent="0.2">
      <c r="A14220" s="101"/>
    </row>
    <row r="14221" spans="1:1" x14ac:dyDescent="0.2">
      <c r="A14221" s="101"/>
    </row>
    <row r="14222" spans="1:1" x14ac:dyDescent="0.2">
      <c r="A14222" s="101"/>
    </row>
    <row r="14223" spans="1:1" x14ac:dyDescent="0.2">
      <c r="A14223" s="101"/>
    </row>
    <row r="14224" spans="1:1" x14ac:dyDescent="0.2">
      <c r="A14224" s="101"/>
    </row>
    <row r="14225" spans="1:1" x14ac:dyDescent="0.2">
      <c r="A14225" s="101"/>
    </row>
    <row r="14226" spans="1:1" x14ac:dyDescent="0.2">
      <c r="A14226" s="101"/>
    </row>
    <row r="14227" spans="1:1" x14ac:dyDescent="0.2">
      <c r="A14227" s="101"/>
    </row>
    <row r="14228" spans="1:1" x14ac:dyDescent="0.2">
      <c r="A14228" s="101"/>
    </row>
    <row r="14229" spans="1:1" x14ac:dyDescent="0.2">
      <c r="A14229" s="101"/>
    </row>
    <row r="14230" spans="1:1" x14ac:dyDescent="0.2">
      <c r="A14230" s="101"/>
    </row>
    <row r="14231" spans="1:1" x14ac:dyDescent="0.2">
      <c r="A14231" s="101"/>
    </row>
    <row r="14232" spans="1:1" x14ac:dyDescent="0.2">
      <c r="A14232" s="101"/>
    </row>
    <row r="14233" spans="1:1" x14ac:dyDescent="0.2">
      <c r="A14233" s="101"/>
    </row>
    <row r="14234" spans="1:1" x14ac:dyDescent="0.2">
      <c r="A14234" s="101"/>
    </row>
    <row r="14235" spans="1:1" x14ac:dyDescent="0.2">
      <c r="A14235" s="101"/>
    </row>
    <row r="14236" spans="1:1" x14ac:dyDescent="0.2">
      <c r="A14236" s="101"/>
    </row>
    <row r="14237" spans="1:1" x14ac:dyDescent="0.2">
      <c r="A14237" s="101"/>
    </row>
    <row r="14238" spans="1:1" x14ac:dyDescent="0.2">
      <c r="A14238" s="101"/>
    </row>
    <row r="14239" spans="1:1" x14ac:dyDescent="0.2">
      <c r="A14239" s="101"/>
    </row>
    <row r="14240" spans="1:1" x14ac:dyDescent="0.2">
      <c r="A14240" s="101"/>
    </row>
    <row r="14241" spans="1:1" x14ac:dyDescent="0.2">
      <c r="A14241" s="101"/>
    </row>
    <row r="14242" spans="1:1" x14ac:dyDescent="0.2">
      <c r="A14242" s="101"/>
    </row>
    <row r="14243" spans="1:1" x14ac:dyDescent="0.2">
      <c r="A14243" s="101"/>
    </row>
    <row r="14244" spans="1:1" x14ac:dyDescent="0.2">
      <c r="A14244" s="101"/>
    </row>
    <row r="14245" spans="1:1" x14ac:dyDescent="0.2">
      <c r="A14245" s="101"/>
    </row>
    <row r="14246" spans="1:1" x14ac:dyDescent="0.2">
      <c r="A14246" s="101"/>
    </row>
    <row r="14247" spans="1:1" x14ac:dyDescent="0.2">
      <c r="A14247" s="101"/>
    </row>
    <row r="14248" spans="1:1" x14ac:dyDescent="0.2">
      <c r="A14248" s="101"/>
    </row>
    <row r="14249" spans="1:1" x14ac:dyDescent="0.2">
      <c r="A14249" s="101"/>
    </row>
    <row r="14250" spans="1:1" x14ac:dyDescent="0.2">
      <c r="A14250" s="101"/>
    </row>
    <row r="14251" spans="1:1" x14ac:dyDescent="0.2">
      <c r="A14251" s="101"/>
    </row>
    <row r="14252" spans="1:1" x14ac:dyDescent="0.2">
      <c r="A14252" s="101"/>
    </row>
    <row r="14253" spans="1:1" x14ac:dyDescent="0.2">
      <c r="A14253" s="101"/>
    </row>
    <row r="14254" spans="1:1" x14ac:dyDescent="0.2">
      <c r="A14254" s="101"/>
    </row>
    <row r="14255" spans="1:1" x14ac:dyDescent="0.2">
      <c r="A14255" s="101"/>
    </row>
    <row r="14256" spans="1:1" x14ac:dyDescent="0.2">
      <c r="A14256" s="101"/>
    </row>
    <row r="14257" spans="1:1" x14ac:dyDescent="0.2">
      <c r="A14257" s="101"/>
    </row>
    <row r="14258" spans="1:1" x14ac:dyDescent="0.2">
      <c r="A14258" s="101"/>
    </row>
    <row r="14259" spans="1:1" x14ac:dyDescent="0.2">
      <c r="A14259" s="101"/>
    </row>
    <row r="14260" spans="1:1" x14ac:dyDescent="0.2">
      <c r="A14260" s="101"/>
    </row>
    <row r="14261" spans="1:1" x14ac:dyDescent="0.2">
      <c r="A14261" s="101"/>
    </row>
    <row r="14262" spans="1:1" x14ac:dyDescent="0.2">
      <c r="A14262" s="101"/>
    </row>
    <row r="14263" spans="1:1" x14ac:dyDescent="0.2">
      <c r="A14263" s="101"/>
    </row>
    <row r="14264" spans="1:1" x14ac:dyDescent="0.2">
      <c r="A14264" s="101"/>
    </row>
    <row r="14265" spans="1:1" x14ac:dyDescent="0.2">
      <c r="A14265" s="101"/>
    </row>
    <row r="14266" spans="1:1" x14ac:dyDescent="0.2">
      <c r="A14266" s="101"/>
    </row>
    <row r="14267" spans="1:1" x14ac:dyDescent="0.2">
      <c r="A14267" s="101"/>
    </row>
    <row r="14268" spans="1:1" x14ac:dyDescent="0.2">
      <c r="A14268" s="101"/>
    </row>
    <row r="14269" spans="1:1" x14ac:dyDescent="0.2">
      <c r="A14269" s="101"/>
    </row>
    <row r="14270" spans="1:1" x14ac:dyDescent="0.2">
      <c r="A14270" s="101"/>
    </row>
    <row r="14271" spans="1:1" x14ac:dyDescent="0.2">
      <c r="A14271" s="101"/>
    </row>
    <row r="14272" spans="1:1" x14ac:dyDescent="0.2">
      <c r="A14272" s="101"/>
    </row>
    <row r="14273" spans="1:1" x14ac:dyDescent="0.2">
      <c r="A14273" s="101"/>
    </row>
    <row r="14274" spans="1:1" x14ac:dyDescent="0.2">
      <c r="A14274" s="101"/>
    </row>
    <row r="14275" spans="1:1" x14ac:dyDescent="0.2">
      <c r="A14275" s="101"/>
    </row>
    <row r="14276" spans="1:1" x14ac:dyDescent="0.2">
      <c r="A14276" s="101"/>
    </row>
    <row r="14277" spans="1:1" x14ac:dyDescent="0.2">
      <c r="A14277" s="101"/>
    </row>
    <row r="14278" spans="1:1" x14ac:dyDescent="0.2">
      <c r="A14278" s="101"/>
    </row>
    <row r="14279" spans="1:1" x14ac:dyDescent="0.2">
      <c r="A14279" s="101"/>
    </row>
    <row r="14280" spans="1:1" x14ac:dyDescent="0.2">
      <c r="A14280" s="101"/>
    </row>
    <row r="14281" spans="1:1" x14ac:dyDescent="0.2">
      <c r="A14281" s="101"/>
    </row>
    <row r="14282" spans="1:1" x14ac:dyDescent="0.2">
      <c r="A14282" s="101"/>
    </row>
    <row r="14283" spans="1:1" x14ac:dyDescent="0.2">
      <c r="A14283" s="101"/>
    </row>
    <row r="14284" spans="1:1" x14ac:dyDescent="0.2">
      <c r="A14284" s="101"/>
    </row>
    <row r="14285" spans="1:1" x14ac:dyDescent="0.2">
      <c r="A14285" s="101"/>
    </row>
    <row r="14286" spans="1:1" x14ac:dyDescent="0.2">
      <c r="A14286" s="101"/>
    </row>
    <row r="14287" spans="1:1" x14ac:dyDescent="0.2">
      <c r="A14287" s="101"/>
    </row>
    <row r="14288" spans="1:1" x14ac:dyDescent="0.2">
      <c r="A14288" s="101"/>
    </row>
    <row r="14289" spans="1:1" x14ac:dyDescent="0.2">
      <c r="A14289" s="101"/>
    </row>
    <row r="14290" spans="1:1" x14ac:dyDescent="0.2">
      <c r="A14290" s="101"/>
    </row>
    <row r="14291" spans="1:1" x14ac:dyDescent="0.2">
      <c r="A14291" s="101"/>
    </row>
    <row r="14292" spans="1:1" x14ac:dyDescent="0.2">
      <c r="A14292" s="101"/>
    </row>
    <row r="14293" spans="1:1" x14ac:dyDescent="0.2">
      <c r="A14293" s="101"/>
    </row>
    <row r="14294" spans="1:1" x14ac:dyDescent="0.2">
      <c r="A14294" s="101"/>
    </row>
    <row r="14295" spans="1:1" x14ac:dyDescent="0.2">
      <c r="A14295" s="101"/>
    </row>
    <row r="14296" spans="1:1" x14ac:dyDescent="0.2">
      <c r="A14296" s="101"/>
    </row>
    <row r="14297" spans="1:1" x14ac:dyDescent="0.2">
      <c r="A14297" s="101"/>
    </row>
    <row r="14298" spans="1:1" x14ac:dyDescent="0.2">
      <c r="A14298" s="101"/>
    </row>
    <row r="14299" spans="1:1" x14ac:dyDescent="0.2">
      <c r="A14299" s="101"/>
    </row>
    <row r="14300" spans="1:1" x14ac:dyDescent="0.2">
      <c r="A14300" s="101"/>
    </row>
    <row r="14301" spans="1:1" x14ac:dyDescent="0.2">
      <c r="A14301" s="101"/>
    </row>
    <row r="14302" spans="1:1" x14ac:dyDescent="0.2">
      <c r="A14302" s="101"/>
    </row>
    <row r="14303" spans="1:1" x14ac:dyDescent="0.2">
      <c r="A14303" s="101"/>
    </row>
    <row r="14304" spans="1:1" x14ac:dyDescent="0.2">
      <c r="A14304" s="101"/>
    </row>
    <row r="14305" spans="1:1" x14ac:dyDescent="0.2">
      <c r="A14305" s="101"/>
    </row>
    <row r="14306" spans="1:1" x14ac:dyDescent="0.2">
      <c r="A14306" s="101"/>
    </row>
    <row r="14307" spans="1:1" x14ac:dyDescent="0.2">
      <c r="A14307" s="101"/>
    </row>
    <row r="14308" spans="1:1" x14ac:dyDescent="0.2">
      <c r="A14308" s="101"/>
    </row>
    <row r="14309" spans="1:1" x14ac:dyDescent="0.2">
      <c r="A14309" s="101"/>
    </row>
    <row r="14310" spans="1:1" x14ac:dyDescent="0.2">
      <c r="A14310" s="101"/>
    </row>
    <row r="14311" spans="1:1" x14ac:dyDescent="0.2">
      <c r="A14311" s="101"/>
    </row>
    <row r="14312" spans="1:1" x14ac:dyDescent="0.2">
      <c r="A14312" s="101"/>
    </row>
    <row r="14313" spans="1:1" x14ac:dyDescent="0.2">
      <c r="A14313" s="101"/>
    </row>
    <row r="14314" spans="1:1" x14ac:dyDescent="0.2">
      <c r="A14314" s="101"/>
    </row>
    <row r="14315" spans="1:1" x14ac:dyDescent="0.2">
      <c r="A14315" s="101"/>
    </row>
    <row r="14316" spans="1:1" x14ac:dyDescent="0.2">
      <c r="A14316" s="101"/>
    </row>
    <row r="14317" spans="1:1" x14ac:dyDescent="0.2">
      <c r="A14317" s="101"/>
    </row>
    <row r="14318" spans="1:1" x14ac:dyDescent="0.2">
      <c r="A14318" s="101"/>
    </row>
    <row r="14319" spans="1:1" x14ac:dyDescent="0.2">
      <c r="A14319" s="101"/>
    </row>
    <row r="14320" spans="1:1" x14ac:dyDescent="0.2">
      <c r="A14320" s="101"/>
    </row>
    <row r="14321" spans="1:1" x14ac:dyDescent="0.2">
      <c r="A14321" s="101"/>
    </row>
    <row r="14322" spans="1:1" x14ac:dyDescent="0.2">
      <c r="A14322" s="101"/>
    </row>
    <row r="14323" spans="1:1" x14ac:dyDescent="0.2">
      <c r="A14323" s="101"/>
    </row>
    <row r="14324" spans="1:1" x14ac:dyDescent="0.2">
      <c r="A14324" s="101"/>
    </row>
    <row r="14325" spans="1:1" x14ac:dyDescent="0.2">
      <c r="A14325" s="101"/>
    </row>
    <row r="14326" spans="1:1" x14ac:dyDescent="0.2">
      <c r="A14326" s="101"/>
    </row>
    <row r="14327" spans="1:1" x14ac:dyDescent="0.2">
      <c r="A14327" s="101"/>
    </row>
    <row r="14328" spans="1:1" x14ac:dyDescent="0.2">
      <c r="A14328" s="101"/>
    </row>
    <row r="14329" spans="1:1" x14ac:dyDescent="0.2">
      <c r="A14329" s="101"/>
    </row>
    <row r="14330" spans="1:1" x14ac:dyDescent="0.2">
      <c r="A14330" s="101"/>
    </row>
    <row r="14331" spans="1:1" x14ac:dyDescent="0.2">
      <c r="A14331" s="101"/>
    </row>
    <row r="14332" spans="1:1" x14ac:dyDescent="0.2">
      <c r="A14332" s="101"/>
    </row>
    <row r="14333" spans="1:1" x14ac:dyDescent="0.2">
      <c r="A14333" s="101"/>
    </row>
    <row r="14334" spans="1:1" x14ac:dyDescent="0.2">
      <c r="A14334" s="101"/>
    </row>
    <row r="14335" spans="1:1" x14ac:dyDescent="0.2">
      <c r="A14335" s="101"/>
    </row>
    <row r="14336" spans="1:1" x14ac:dyDescent="0.2">
      <c r="A14336" s="101"/>
    </row>
    <row r="14337" spans="1:1" x14ac:dyDescent="0.2">
      <c r="A14337" s="101"/>
    </row>
    <row r="14338" spans="1:1" x14ac:dyDescent="0.2">
      <c r="A14338" s="101"/>
    </row>
    <row r="14339" spans="1:1" x14ac:dyDescent="0.2">
      <c r="A14339" s="101"/>
    </row>
    <row r="14340" spans="1:1" x14ac:dyDescent="0.2">
      <c r="A14340" s="101"/>
    </row>
    <row r="14341" spans="1:1" x14ac:dyDescent="0.2">
      <c r="A14341" s="101"/>
    </row>
    <row r="14342" spans="1:1" x14ac:dyDescent="0.2">
      <c r="A14342" s="101"/>
    </row>
    <row r="14343" spans="1:1" x14ac:dyDescent="0.2">
      <c r="A14343" s="101"/>
    </row>
    <row r="14344" spans="1:1" x14ac:dyDescent="0.2">
      <c r="A14344" s="101"/>
    </row>
    <row r="14345" spans="1:1" x14ac:dyDescent="0.2">
      <c r="A14345" s="101"/>
    </row>
    <row r="14346" spans="1:1" x14ac:dyDescent="0.2">
      <c r="A14346" s="101"/>
    </row>
    <row r="14347" spans="1:1" x14ac:dyDescent="0.2">
      <c r="A14347" s="101"/>
    </row>
    <row r="14348" spans="1:1" x14ac:dyDescent="0.2">
      <c r="A14348" s="101"/>
    </row>
    <row r="14349" spans="1:1" x14ac:dyDescent="0.2">
      <c r="A14349" s="101"/>
    </row>
    <row r="14350" spans="1:1" x14ac:dyDescent="0.2">
      <c r="A14350" s="101"/>
    </row>
    <row r="14351" spans="1:1" x14ac:dyDescent="0.2">
      <c r="A14351" s="101"/>
    </row>
    <row r="14352" spans="1:1" x14ac:dyDescent="0.2">
      <c r="A14352" s="101"/>
    </row>
    <row r="14353" spans="1:1" x14ac:dyDescent="0.2">
      <c r="A14353" s="101"/>
    </row>
    <row r="14354" spans="1:1" x14ac:dyDescent="0.2">
      <c r="A14354" s="101"/>
    </row>
    <row r="14355" spans="1:1" x14ac:dyDescent="0.2">
      <c r="A14355" s="101"/>
    </row>
    <row r="14356" spans="1:1" x14ac:dyDescent="0.2">
      <c r="A14356" s="101"/>
    </row>
    <row r="14357" spans="1:1" x14ac:dyDescent="0.2">
      <c r="A14357" s="101"/>
    </row>
    <row r="14358" spans="1:1" x14ac:dyDescent="0.2">
      <c r="A14358" s="101"/>
    </row>
    <row r="14359" spans="1:1" x14ac:dyDescent="0.2">
      <c r="A14359" s="101"/>
    </row>
    <row r="14360" spans="1:1" x14ac:dyDescent="0.2">
      <c r="A14360" s="101"/>
    </row>
    <row r="14361" spans="1:1" x14ac:dyDescent="0.2">
      <c r="A14361" s="101"/>
    </row>
    <row r="14362" spans="1:1" x14ac:dyDescent="0.2">
      <c r="A14362" s="101"/>
    </row>
    <row r="14363" spans="1:1" x14ac:dyDescent="0.2">
      <c r="A14363" s="101"/>
    </row>
    <row r="14364" spans="1:1" x14ac:dyDescent="0.2">
      <c r="A14364" s="101"/>
    </row>
    <row r="14365" spans="1:1" x14ac:dyDescent="0.2">
      <c r="A14365" s="101"/>
    </row>
    <row r="14366" spans="1:1" x14ac:dyDescent="0.2">
      <c r="A14366" s="101"/>
    </row>
    <row r="14367" spans="1:1" x14ac:dyDescent="0.2">
      <c r="A14367" s="101"/>
    </row>
    <row r="14368" spans="1:1" x14ac:dyDescent="0.2">
      <c r="A14368" s="101"/>
    </row>
    <row r="14369" spans="1:1" x14ac:dyDescent="0.2">
      <c r="A14369" s="101"/>
    </row>
    <row r="14370" spans="1:1" x14ac:dyDescent="0.2">
      <c r="A14370" s="101"/>
    </row>
    <row r="14371" spans="1:1" x14ac:dyDescent="0.2">
      <c r="A14371" s="101"/>
    </row>
    <row r="14372" spans="1:1" x14ac:dyDescent="0.2">
      <c r="A14372" s="101"/>
    </row>
    <row r="14373" spans="1:1" x14ac:dyDescent="0.2">
      <c r="A14373" s="101"/>
    </row>
    <row r="14374" spans="1:1" x14ac:dyDescent="0.2">
      <c r="A14374" s="101"/>
    </row>
    <row r="14375" spans="1:1" x14ac:dyDescent="0.2">
      <c r="A14375" s="101"/>
    </row>
    <row r="14376" spans="1:1" x14ac:dyDescent="0.2">
      <c r="A14376" s="101"/>
    </row>
    <row r="14377" spans="1:1" x14ac:dyDescent="0.2">
      <c r="A14377" s="101"/>
    </row>
    <row r="14378" spans="1:1" x14ac:dyDescent="0.2">
      <c r="A14378" s="101"/>
    </row>
    <row r="14379" spans="1:1" x14ac:dyDescent="0.2">
      <c r="A14379" s="101"/>
    </row>
    <row r="14380" spans="1:1" x14ac:dyDescent="0.2">
      <c r="A14380" s="101"/>
    </row>
    <row r="14381" spans="1:1" x14ac:dyDescent="0.2">
      <c r="A14381" s="101"/>
    </row>
    <row r="14382" spans="1:1" x14ac:dyDescent="0.2">
      <c r="A14382" s="101"/>
    </row>
    <row r="14383" spans="1:1" x14ac:dyDescent="0.2">
      <c r="A14383" s="101"/>
    </row>
    <row r="14384" spans="1:1" x14ac:dyDescent="0.2">
      <c r="A14384" s="101"/>
    </row>
    <row r="14385" spans="1:1" x14ac:dyDescent="0.2">
      <c r="A14385" s="101"/>
    </row>
    <row r="14386" spans="1:1" x14ac:dyDescent="0.2">
      <c r="A14386" s="101"/>
    </row>
    <row r="14387" spans="1:1" x14ac:dyDescent="0.2">
      <c r="A14387" s="101"/>
    </row>
    <row r="14388" spans="1:1" x14ac:dyDescent="0.2">
      <c r="A14388" s="101"/>
    </row>
    <row r="14389" spans="1:1" x14ac:dyDescent="0.2">
      <c r="A14389" s="101"/>
    </row>
    <row r="14390" spans="1:1" x14ac:dyDescent="0.2">
      <c r="A14390" s="101"/>
    </row>
    <row r="14391" spans="1:1" x14ac:dyDescent="0.2">
      <c r="A14391" s="101"/>
    </row>
    <row r="14392" spans="1:1" x14ac:dyDescent="0.2">
      <c r="A14392" s="101"/>
    </row>
    <row r="14393" spans="1:1" x14ac:dyDescent="0.2">
      <c r="A14393" s="101"/>
    </row>
    <row r="14394" spans="1:1" x14ac:dyDescent="0.2">
      <c r="A14394" s="101"/>
    </row>
    <row r="14395" spans="1:1" x14ac:dyDescent="0.2">
      <c r="A14395" s="101"/>
    </row>
    <row r="14396" spans="1:1" x14ac:dyDescent="0.2">
      <c r="A14396" s="101"/>
    </row>
    <row r="14397" spans="1:1" x14ac:dyDescent="0.2">
      <c r="A14397" s="101"/>
    </row>
    <row r="14398" spans="1:1" x14ac:dyDescent="0.2">
      <c r="A14398" s="101"/>
    </row>
    <row r="14399" spans="1:1" x14ac:dyDescent="0.2">
      <c r="A14399" s="101"/>
    </row>
    <row r="14400" spans="1:1" x14ac:dyDescent="0.2">
      <c r="A14400" s="101"/>
    </row>
    <row r="14401" spans="1:1" x14ac:dyDescent="0.2">
      <c r="A14401" s="101"/>
    </row>
    <row r="14402" spans="1:1" x14ac:dyDescent="0.2">
      <c r="A14402" s="101"/>
    </row>
    <row r="14403" spans="1:1" x14ac:dyDescent="0.2">
      <c r="A14403" s="101"/>
    </row>
    <row r="14404" spans="1:1" x14ac:dyDescent="0.2">
      <c r="A14404" s="101"/>
    </row>
    <row r="14405" spans="1:1" x14ac:dyDescent="0.2">
      <c r="A14405" s="101"/>
    </row>
    <row r="14406" spans="1:1" x14ac:dyDescent="0.2">
      <c r="A14406" s="101"/>
    </row>
    <row r="14407" spans="1:1" x14ac:dyDescent="0.2">
      <c r="A14407" s="101"/>
    </row>
    <row r="14408" spans="1:1" x14ac:dyDescent="0.2">
      <c r="A14408" s="101"/>
    </row>
    <row r="14409" spans="1:1" x14ac:dyDescent="0.2">
      <c r="A14409" s="101"/>
    </row>
    <row r="14410" spans="1:1" x14ac:dyDescent="0.2">
      <c r="A14410" s="101"/>
    </row>
    <row r="14411" spans="1:1" x14ac:dyDescent="0.2">
      <c r="A14411" s="101"/>
    </row>
    <row r="14412" spans="1:1" x14ac:dyDescent="0.2">
      <c r="A14412" s="101"/>
    </row>
    <row r="14413" spans="1:1" x14ac:dyDescent="0.2">
      <c r="A14413" s="101"/>
    </row>
    <row r="14414" spans="1:1" x14ac:dyDescent="0.2">
      <c r="A14414" s="101"/>
    </row>
    <row r="14415" spans="1:1" x14ac:dyDescent="0.2">
      <c r="A14415" s="101"/>
    </row>
    <row r="14416" spans="1:1" x14ac:dyDescent="0.2">
      <c r="A14416" s="101"/>
    </row>
    <row r="14417" spans="1:1" x14ac:dyDescent="0.2">
      <c r="A14417" s="101"/>
    </row>
    <row r="14418" spans="1:1" x14ac:dyDescent="0.2">
      <c r="A14418" s="101"/>
    </row>
    <row r="14419" spans="1:1" x14ac:dyDescent="0.2">
      <c r="A14419" s="101"/>
    </row>
    <row r="14420" spans="1:1" x14ac:dyDescent="0.2">
      <c r="A14420" s="101"/>
    </row>
    <row r="14421" spans="1:1" x14ac:dyDescent="0.2">
      <c r="A14421" s="101"/>
    </row>
    <row r="14422" spans="1:1" x14ac:dyDescent="0.2">
      <c r="A14422" s="101"/>
    </row>
    <row r="14423" spans="1:1" x14ac:dyDescent="0.2">
      <c r="A14423" s="101"/>
    </row>
    <row r="14424" spans="1:1" x14ac:dyDescent="0.2">
      <c r="A14424" s="101"/>
    </row>
    <row r="14425" spans="1:1" x14ac:dyDescent="0.2">
      <c r="A14425" s="101"/>
    </row>
    <row r="14426" spans="1:1" x14ac:dyDescent="0.2">
      <c r="A14426" s="101"/>
    </row>
    <row r="14427" spans="1:1" x14ac:dyDescent="0.2">
      <c r="A14427" s="101"/>
    </row>
    <row r="14428" spans="1:1" x14ac:dyDescent="0.2">
      <c r="A14428" s="101"/>
    </row>
    <row r="14429" spans="1:1" x14ac:dyDescent="0.2">
      <c r="A14429" s="101"/>
    </row>
    <row r="14430" spans="1:1" x14ac:dyDescent="0.2">
      <c r="A14430" s="101"/>
    </row>
    <row r="14431" spans="1:1" x14ac:dyDescent="0.2">
      <c r="A14431" s="101"/>
    </row>
    <row r="14432" spans="1:1" x14ac:dyDescent="0.2">
      <c r="A14432" s="101"/>
    </row>
    <row r="14433" spans="1:1" x14ac:dyDescent="0.2">
      <c r="A14433" s="101"/>
    </row>
    <row r="14434" spans="1:1" x14ac:dyDescent="0.2">
      <c r="A14434" s="101"/>
    </row>
    <row r="14435" spans="1:1" x14ac:dyDescent="0.2">
      <c r="A14435" s="101"/>
    </row>
    <row r="14436" spans="1:1" x14ac:dyDescent="0.2">
      <c r="A14436" s="101"/>
    </row>
    <row r="14437" spans="1:1" x14ac:dyDescent="0.2">
      <c r="A14437" s="101"/>
    </row>
    <row r="14438" spans="1:1" x14ac:dyDescent="0.2">
      <c r="A14438" s="101"/>
    </row>
    <row r="14439" spans="1:1" x14ac:dyDescent="0.2">
      <c r="A14439" s="101"/>
    </row>
    <row r="14440" spans="1:1" x14ac:dyDescent="0.2">
      <c r="A14440" s="101"/>
    </row>
    <row r="14441" spans="1:1" x14ac:dyDescent="0.2">
      <c r="A14441" s="101"/>
    </row>
    <row r="14442" spans="1:1" x14ac:dyDescent="0.2">
      <c r="A14442" s="101"/>
    </row>
    <row r="14443" spans="1:1" x14ac:dyDescent="0.2">
      <c r="A14443" s="101"/>
    </row>
    <row r="14444" spans="1:1" x14ac:dyDescent="0.2">
      <c r="A14444" s="101"/>
    </row>
    <row r="14445" spans="1:1" x14ac:dyDescent="0.2">
      <c r="A14445" s="101"/>
    </row>
    <row r="14446" spans="1:1" x14ac:dyDescent="0.2">
      <c r="A14446" s="101"/>
    </row>
    <row r="14447" spans="1:1" x14ac:dyDescent="0.2">
      <c r="A14447" s="101"/>
    </row>
    <row r="14448" spans="1:1" x14ac:dyDescent="0.2">
      <c r="A14448" s="101"/>
    </row>
    <row r="14449" spans="1:1" x14ac:dyDescent="0.2">
      <c r="A14449" s="101"/>
    </row>
    <row r="14450" spans="1:1" x14ac:dyDescent="0.2">
      <c r="A14450" s="101"/>
    </row>
    <row r="14451" spans="1:1" x14ac:dyDescent="0.2">
      <c r="A14451" s="101"/>
    </row>
    <row r="14452" spans="1:1" x14ac:dyDescent="0.2">
      <c r="A14452" s="101"/>
    </row>
    <row r="14453" spans="1:1" x14ac:dyDescent="0.2">
      <c r="A14453" s="101"/>
    </row>
    <row r="14454" spans="1:1" x14ac:dyDescent="0.2">
      <c r="A14454" s="101"/>
    </row>
    <row r="14455" spans="1:1" x14ac:dyDescent="0.2">
      <c r="A14455" s="101"/>
    </row>
    <row r="14456" spans="1:1" x14ac:dyDescent="0.2">
      <c r="A14456" s="101"/>
    </row>
    <row r="14457" spans="1:1" x14ac:dyDescent="0.2">
      <c r="A14457" s="101"/>
    </row>
    <row r="14458" spans="1:1" x14ac:dyDescent="0.2">
      <c r="A14458" s="101"/>
    </row>
    <row r="14459" spans="1:1" x14ac:dyDescent="0.2">
      <c r="A14459" s="101"/>
    </row>
    <row r="14460" spans="1:1" x14ac:dyDescent="0.2">
      <c r="A14460" s="101"/>
    </row>
    <row r="14461" spans="1:1" x14ac:dyDescent="0.2">
      <c r="A14461" s="101"/>
    </row>
    <row r="14462" spans="1:1" x14ac:dyDescent="0.2">
      <c r="A14462" s="101"/>
    </row>
    <row r="14463" spans="1:1" x14ac:dyDescent="0.2">
      <c r="A14463" s="101"/>
    </row>
    <row r="14464" spans="1:1" x14ac:dyDescent="0.2">
      <c r="A14464" s="101"/>
    </row>
    <row r="14465" spans="1:1" x14ac:dyDescent="0.2">
      <c r="A14465" s="101"/>
    </row>
    <row r="14466" spans="1:1" x14ac:dyDescent="0.2">
      <c r="A14466" s="101"/>
    </row>
    <row r="14467" spans="1:1" x14ac:dyDescent="0.2">
      <c r="A14467" s="101"/>
    </row>
    <row r="14468" spans="1:1" x14ac:dyDescent="0.2">
      <c r="A14468" s="101"/>
    </row>
    <row r="14469" spans="1:1" x14ac:dyDescent="0.2">
      <c r="A14469" s="101"/>
    </row>
    <row r="14470" spans="1:1" x14ac:dyDescent="0.2">
      <c r="A14470" s="101"/>
    </row>
    <row r="14471" spans="1:1" x14ac:dyDescent="0.2">
      <c r="A14471" s="101"/>
    </row>
    <row r="14472" spans="1:1" x14ac:dyDescent="0.2">
      <c r="A14472" s="101"/>
    </row>
    <row r="14473" spans="1:1" x14ac:dyDescent="0.2">
      <c r="A14473" s="101"/>
    </row>
    <row r="14474" spans="1:1" x14ac:dyDescent="0.2">
      <c r="A14474" s="101"/>
    </row>
    <row r="14475" spans="1:1" x14ac:dyDescent="0.2">
      <c r="A14475" s="101"/>
    </row>
    <row r="14476" spans="1:1" x14ac:dyDescent="0.2">
      <c r="A14476" s="101"/>
    </row>
    <row r="14477" spans="1:1" x14ac:dyDescent="0.2">
      <c r="A14477" s="101"/>
    </row>
    <row r="14478" spans="1:1" x14ac:dyDescent="0.2">
      <c r="A14478" s="101"/>
    </row>
    <row r="14479" spans="1:1" x14ac:dyDescent="0.2">
      <c r="A14479" s="101"/>
    </row>
    <row r="14480" spans="1:1" x14ac:dyDescent="0.2">
      <c r="A14480" s="101"/>
    </row>
    <row r="14481" spans="1:1" x14ac:dyDescent="0.2">
      <c r="A14481" s="101"/>
    </row>
    <row r="14482" spans="1:1" x14ac:dyDescent="0.2">
      <c r="A14482" s="101"/>
    </row>
    <row r="14483" spans="1:1" x14ac:dyDescent="0.2">
      <c r="A14483" s="101"/>
    </row>
    <row r="14484" spans="1:1" x14ac:dyDescent="0.2">
      <c r="A14484" s="101"/>
    </row>
    <row r="14485" spans="1:1" x14ac:dyDescent="0.2">
      <c r="A14485" s="101"/>
    </row>
    <row r="14486" spans="1:1" x14ac:dyDescent="0.2">
      <c r="A14486" s="101"/>
    </row>
    <row r="14487" spans="1:1" x14ac:dyDescent="0.2">
      <c r="A14487" s="101"/>
    </row>
    <row r="14488" spans="1:1" x14ac:dyDescent="0.2">
      <c r="A14488" s="101"/>
    </row>
    <row r="14489" spans="1:1" x14ac:dyDescent="0.2">
      <c r="A14489" s="101"/>
    </row>
    <row r="14490" spans="1:1" x14ac:dyDescent="0.2">
      <c r="A14490" s="101"/>
    </row>
    <row r="14491" spans="1:1" x14ac:dyDescent="0.2">
      <c r="A14491" s="101"/>
    </row>
    <row r="14492" spans="1:1" x14ac:dyDescent="0.2">
      <c r="A14492" s="101"/>
    </row>
    <row r="14493" spans="1:1" x14ac:dyDescent="0.2">
      <c r="A14493" s="101"/>
    </row>
    <row r="14494" spans="1:1" x14ac:dyDescent="0.2">
      <c r="A14494" s="101"/>
    </row>
    <row r="14495" spans="1:1" x14ac:dyDescent="0.2">
      <c r="A14495" s="101"/>
    </row>
    <row r="14496" spans="1:1" x14ac:dyDescent="0.2">
      <c r="A14496" s="101"/>
    </row>
    <row r="14497" spans="1:1" x14ac:dyDescent="0.2">
      <c r="A14497" s="101"/>
    </row>
    <row r="14498" spans="1:1" x14ac:dyDescent="0.2">
      <c r="A14498" s="101"/>
    </row>
    <row r="14499" spans="1:1" x14ac:dyDescent="0.2">
      <c r="A14499" s="101"/>
    </row>
    <row r="14500" spans="1:1" x14ac:dyDescent="0.2">
      <c r="A14500" s="101"/>
    </row>
    <row r="14501" spans="1:1" x14ac:dyDescent="0.2">
      <c r="A14501" s="101"/>
    </row>
    <row r="14502" spans="1:1" x14ac:dyDescent="0.2">
      <c r="A14502" s="101"/>
    </row>
    <row r="14503" spans="1:1" x14ac:dyDescent="0.2">
      <c r="A14503" s="101"/>
    </row>
    <row r="14504" spans="1:1" x14ac:dyDescent="0.2">
      <c r="A14504" s="101"/>
    </row>
    <row r="14505" spans="1:1" x14ac:dyDescent="0.2">
      <c r="A14505" s="101"/>
    </row>
    <row r="14506" spans="1:1" x14ac:dyDescent="0.2">
      <c r="A14506" s="101"/>
    </row>
    <row r="14507" spans="1:1" x14ac:dyDescent="0.2">
      <c r="A14507" s="101"/>
    </row>
    <row r="14508" spans="1:1" x14ac:dyDescent="0.2">
      <c r="A14508" s="101"/>
    </row>
    <row r="14509" spans="1:1" x14ac:dyDescent="0.2">
      <c r="A14509" s="101"/>
    </row>
    <row r="14510" spans="1:1" x14ac:dyDescent="0.2">
      <c r="A14510" s="101"/>
    </row>
    <row r="14511" spans="1:1" x14ac:dyDescent="0.2">
      <c r="A14511" s="101"/>
    </row>
    <row r="14512" spans="1:1" x14ac:dyDescent="0.2">
      <c r="A14512" s="101"/>
    </row>
    <row r="14513" spans="1:1" x14ac:dyDescent="0.2">
      <c r="A14513" s="101"/>
    </row>
    <row r="14514" spans="1:1" x14ac:dyDescent="0.2">
      <c r="A14514" s="101"/>
    </row>
    <row r="14515" spans="1:1" x14ac:dyDescent="0.2">
      <c r="A14515" s="101"/>
    </row>
    <row r="14516" spans="1:1" x14ac:dyDescent="0.2">
      <c r="A14516" s="101"/>
    </row>
    <row r="14517" spans="1:1" x14ac:dyDescent="0.2">
      <c r="A14517" s="101"/>
    </row>
    <row r="14518" spans="1:1" x14ac:dyDescent="0.2">
      <c r="A14518" s="101"/>
    </row>
    <row r="14519" spans="1:1" x14ac:dyDescent="0.2">
      <c r="A14519" s="101"/>
    </row>
    <row r="14520" spans="1:1" x14ac:dyDescent="0.2">
      <c r="A14520" s="101"/>
    </row>
    <row r="14521" spans="1:1" x14ac:dyDescent="0.2">
      <c r="A14521" s="101"/>
    </row>
    <row r="14522" spans="1:1" x14ac:dyDescent="0.2">
      <c r="A14522" s="101"/>
    </row>
    <row r="14523" spans="1:1" x14ac:dyDescent="0.2">
      <c r="A14523" s="101"/>
    </row>
    <row r="14524" spans="1:1" x14ac:dyDescent="0.2">
      <c r="A14524" s="101"/>
    </row>
    <row r="14525" spans="1:1" x14ac:dyDescent="0.2">
      <c r="A14525" s="101"/>
    </row>
    <row r="14526" spans="1:1" x14ac:dyDescent="0.2">
      <c r="A14526" s="101"/>
    </row>
    <row r="14527" spans="1:1" x14ac:dyDescent="0.2">
      <c r="A14527" s="101"/>
    </row>
    <row r="14528" spans="1:1" x14ac:dyDescent="0.2">
      <c r="A14528" s="101"/>
    </row>
    <row r="14529" spans="1:1" x14ac:dyDescent="0.2">
      <c r="A14529" s="101"/>
    </row>
    <row r="14530" spans="1:1" x14ac:dyDescent="0.2">
      <c r="A14530" s="101"/>
    </row>
    <row r="14531" spans="1:1" x14ac:dyDescent="0.2">
      <c r="A14531" s="101"/>
    </row>
    <row r="14532" spans="1:1" x14ac:dyDescent="0.2">
      <c r="A14532" s="101"/>
    </row>
    <row r="14533" spans="1:1" x14ac:dyDescent="0.2">
      <c r="A14533" s="101"/>
    </row>
    <row r="14534" spans="1:1" x14ac:dyDescent="0.2">
      <c r="A14534" s="101"/>
    </row>
    <row r="14535" spans="1:1" x14ac:dyDescent="0.2">
      <c r="A14535" s="101"/>
    </row>
    <row r="14536" spans="1:1" x14ac:dyDescent="0.2">
      <c r="A14536" s="101"/>
    </row>
    <row r="14537" spans="1:1" x14ac:dyDescent="0.2">
      <c r="A14537" s="101"/>
    </row>
    <row r="14538" spans="1:1" x14ac:dyDescent="0.2">
      <c r="A14538" s="101"/>
    </row>
    <row r="14539" spans="1:1" x14ac:dyDescent="0.2">
      <c r="A14539" s="101"/>
    </row>
    <row r="14540" spans="1:1" x14ac:dyDescent="0.2">
      <c r="A14540" s="101"/>
    </row>
    <row r="14541" spans="1:1" x14ac:dyDescent="0.2">
      <c r="A14541" s="101"/>
    </row>
    <row r="14542" spans="1:1" x14ac:dyDescent="0.2">
      <c r="A14542" s="101"/>
    </row>
    <row r="14543" spans="1:1" x14ac:dyDescent="0.2">
      <c r="A14543" s="101"/>
    </row>
    <row r="14544" spans="1:1" x14ac:dyDescent="0.2">
      <c r="A14544" s="101"/>
    </row>
    <row r="14545" spans="1:1" x14ac:dyDescent="0.2">
      <c r="A14545" s="101"/>
    </row>
    <row r="14546" spans="1:1" x14ac:dyDescent="0.2">
      <c r="A14546" s="101"/>
    </row>
    <row r="14547" spans="1:1" x14ac:dyDescent="0.2">
      <c r="A14547" s="101"/>
    </row>
    <row r="14548" spans="1:1" x14ac:dyDescent="0.2">
      <c r="A14548" s="101"/>
    </row>
    <row r="14549" spans="1:1" x14ac:dyDescent="0.2">
      <c r="A14549" s="101"/>
    </row>
    <row r="14550" spans="1:1" x14ac:dyDescent="0.2">
      <c r="A14550" s="101"/>
    </row>
    <row r="14551" spans="1:1" x14ac:dyDescent="0.2">
      <c r="A14551" s="101"/>
    </row>
    <row r="14552" spans="1:1" x14ac:dyDescent="0.2">
      <c r="A14552" s="101"/>
    </row>
    <row r="14553" spans="1:1" x14ac:dyDescent="0.2">
      <c r="A14553" s="101"/>
    </row>
    <row r="14554" spans="1:1" x14ac:dyDescent="0.2">
      <c r="A14554" s="101"/>
    </row>
    <row r="14555" spans="1:1" x14ac:dyDescent="0.2">
      <c r="A14555" s="101"/>
    </row>
    <row r="14556" spans="1:1" x14ac:dyDescent="0.2">
      <c r="A14556" s="101"/>
    </row>
    <row r="14557" spans="1:1" x14ac:dyDescent="0.2">
      <c r="A14557" s="101"/>
    </row>
    <row r="14558" spans="1:1" x14ac:dyDescent="0.2">
      <c r="A14558" s="101"/>
    </row>
    <row r="14559" spans="1:1" x14ac:dyDescent="0.2">
      <c r="A14559" s="101"/>
    </row>
    <row r="14560" spans="1:1" x14ac:dyDescent="0.2">
      <c r="A14560" s="101"/>
    </row>
    <row r="14561" spans="1:1" x14ac:dyDescent="0.2">
      <c r="A14561" s="101"/>
    </row>
    <row r="14562" spans="1:1" x14ac:dyDescent="0.2">
      <c r="A14562" s="101"/>
    </row>
    <row r="14563" spans="1:1" x14ac:dyDescent="0.2">
      <c r="A14563" s="101"/>
    </row>
    <row r="14564" spans="1:1" x14ac:dyDescent="0.2">
      <c r="A14564" s="101"/>
    </row>
    <row r="14565" spans="1:1" x14ac:dyDescent="0.2">
      <c r="A14565" s="101"/>
    </row>
    <row r="14566" spans="1:1" x14ac:dyDescent="0.2">
      <c r="A14566" s="101"/>
    </row>
    <row r="14567" spans="1:1" x14ac:dyDescent="0.2">
      <c r="A14567" s="101"/>
    </row>
    <row r="14568" spans="1:1" x14ac:dyDescent="0.2">
      <c r="A14568" s="101"/>
    </row>
    <row r="14569" spans="1:1" x14ac:dyDescent="0.2">
      <c r="A14569" s="101"/>
    </row>
    <row r="14570" spans="1:1" x14ac:dyDescent="0.2">
      <c r="A14570" s="101"/>
    </row>
    <row r="14571" spans="1:1" x14ac:dyDescent="0.2">
      <c r="A14571" s="101"/>
    </row>
    <row r="14572" spans="1:1" x14ac:dyDescent="0.2">
      <c r="A14572" s="101"/>
    </row>
    <row r="14573" spans="1:1" x14ac:dyDescent="0.2">
      <c r="A14573" s="101"/>
    </row>
    <row r="14574" spans="1:1" x14ac:dyDescent="0.2">
      <c r="A14574" s="101"/>
    </row>
    <row r="14575" spans="1:1" x14ac:dyDescent="0.2">
      <c r="A14575" s="101"/>
    </row>
    <row r="14576" spans="1:1" x14ac:dyDescent="0.2">
      <c r="A14576" s="101"/>
    </row>
    <row r="14577" spans="1:1" x14ac:dyDescent="0.2">
      <c r="A14577" s="101"/>
    </row>
    <row r="14578" spans="1:1" x14ac:dyDescent="0.2">
      <c r="A14578" s="101"/>
    </row>
    <row r="14579" spans="1:1" x14ac:dyDescent="0.2">
      <c r="A14579" s="101"/>
    </row>
    <row r="14580" spans="1:1" x14ac:dyDescent="0.2">
      <c r="A14580" s="101"/>
    </row>
    <row r="14581" spans="1:1" x14ac:dyDescent="0.2">
      <c r="A14581" s="101"/>
    </row>
    <row r="14582" spans="1:1" x14ac:dyDescent="0.2">
      <c r="A14582" s="101"/>
    </row>
    <row r="14583" spans="1:1" x14ac:dyDescent="0.2">
      <c r="A14583" s="101"/>
    </row>
    <row r="14584" spans="1:1" x14ac:dyDescent="0.2">
      <c r="A14584" s="101"/>
    </row>
    <row r="14585" spans="1:1" x14ac:dyDescent="0.2">
      <c r="A14585" s="101"/>
    </row>
    <row r="14586" spans="1:1" x14ac:dyDescent="0.2">
      <c r="A14586" s="101"/>
    </row>
    <row r="14587" spans="1:1" x14ac:dyDescent="0.2">
      <c r="A14587" s="101"/>
    </row>
    <row r="14588" spans="1:1" x14ac:dyDescent="0.2">
      <c r="A14588" s="101"/>
    </row>
    <row r="14589" spans="1:1" x14ac:dyDescent="0.2">
      <c r="A14589" s="101"/>
    </row>
    <row r="14590" spans="1:1" x14ac:dyDescent="0.2">
      <c r="A14590" s="101"/>
    </row>
    <row r="14591" spans="1:1" x14ac:dyDescent="0.2">
      <c r="A14591" s="101"/>
    </row>
    <row r="14592" spans="1:1" x14ac:dyDescent="0.2">
      <c r="A14592" s="101"/>
    </row>
    <row r="14593" spans="1:1" x14ac:dyDescent="0.2">
      <c r="A14593" s="101"/>
    </row>
    <row r="14594" spans="1:1" x14ac:dyDescent="0.2">
      <c r="A14594" s="101"/>
    </row>
    <row r="14595" spans="1:1" x14ac:dyDescent="0.2">
      <c r="A14595" s="101"/>
    </row>
    <row r="14596" spans="1:1" x14ac:dyDescent="0.2">
      <c r="A14596" s="101"/>
    </row>
    <row r="14597" spans="1:1" x14ac:dyDescent="0.2">
      <c r="A14597" s="101"/>
    </row>
    <row r="14598" spans="1:1" x14ac:dyDescent="0.2">
      <c r="A14598" s="101"/>
    </row>
    <row r="14599" spans="1:1" x14ac:dyDescent="0.2">
      <c r="A14599" s="101"/>
    </row>
    <row r="14600" spans="1:1" x14ac:dyDescent="0.2">
      <c r="A14600" s="101"/>
    </row>
    <row r="14601" spans="1:1" x14ac:dyDescent="0.2">
      <c r="A14601" s="101"/>
    </row>
    <row r="14602" spans="1:1" x14ac:dyDescent="0.2">
      <c r="A14602" s="101"/>
    </row>
    <row r="14603" spans="1:1" x14ac:dyDescent="0.2">
      <c r="A14603" s="101"/>
    </row>
    <row r="14604" spans="1:1" x14ac:dyDescent="0.2">
      <c r="A14604" s="101"/>
    </row>
    <row r="14605" spans="1:1" x14ac:dyDescent="0.2">
      <c r="A14605" s="101"/>
    </row>
    <row r="14606" spans="1:1" x14ac:dyDescent="0.2">
      <c r="A14606" s="101"/>
    </row>
    <row r="14607" spans="1:1" x14ac:dyDescent="0.2">
      <c r="A14607" s="101"/>
    </row>
    <row r="14608" spans="1:1" x14ac:dyDescent="0.2">
      <c r="A14608" s="101"/>
    </row>
    <row r="14609" spans="1:1" x14ac:dyDescent="0.2">
      <c r="A14609" s="101"/>
    </row>
    <row r="14610" spans="1:1" x14ac:dyDescent="0.2">
      <c r="A14610" s="101"/>
    </row>
    <row r="14611" spans="1:1" x14ac:dyDescent="0.2">
      <c r="A14611" s="101"/>
    </row>
    <row r="14612" spans="1:1" x14ac:dyDescent="0.2">
      <c r="A14612" s="101"/>
    </row>
    <row r="14613" spans="1:1" x14ac:dyDescent="0.2">
      <c r="A14613" s="101"/>
    </row>
    <row r="14614" spans="1:1" x14ac:dyDescent="0.2">
      <c r="A14614" s="101"/>
    </row>
    <row r="14615" spans="1:1" x14ac:dyDescent="0.2">
      <c r="A14615" s="101"/>
    </row>
    <row r="14616" spans="1:1" x14ac:dyDescent="0.2">
      <c r="A14616" s="101"/>
    </row>
    <row r="14617" spans="1:1" x14ac:dyDescent="0.2">
      <c r="A14617" s="101"/>
    </row>
    <row r="14618" spans="1:1" x14ac:dyDescent="0.2">
      <c r="A14618" s="101"/>
    </row>
    <row r="14619" spans="1:1" x14ac:dyDescent="0.2">
      <c r="A14619" s="101"/>
    </row>
    <row r="14620" spans="1:1" x14ac:dyDescent="0.2">
      <c r="A14620" s="101"/>
    </row>
    <row r="14621" spans="1:1" x14ac:dyDescent="0.2">
      <c r="A14621" s="101"/>
    </row>
    <row r="14622" spans="1:1" x14ac:dyDescent="0.2">
      <c r="A14622" s="101"/>
    </row>
    <row r="14623" spans="1:1" x14ac:dyDescent="0.2">
      <c r="A14623" s="101"/>
    </row>
    <row r="14624" spans="1:1" x14ac:dyDescent="0.2">
      <c r="A14624" s="101"/>
    </row>
    <row r="14625" spans="1:1" x14ac:dyDescent="0.2">
      <c r="A14625" s="101"/>
    </row>
    <row r="14626" spans="1:1" x14ac:dyDescent="0.2">
      <c r="A14626" s="101"/>
    </row>
    <row r="14627" spans="1:1" x14ac:dyDescent="0.2">
      <c r="A14627" s="101"/>
    </row>
    <row r="14628" spans="1:1" x14ac:dyDescent="0.2">
      <c r="A14628" s="101"/>
    </row>
    <row r="14629" spans="1:1" x14ac:dyDescent="0.2">
      <c r="A14629" s="101"/>
    </row>
    <row r="14630" spans="1:1" x14ac:dyDescent="0.2">
      <c r="A14630" s="101"/>
    </row>
    <row r="14631" spans="1:1" x14ac:dyDescent="0.2">
      <c r="A14631" s="101"/>
    </row>
    <row r="14632" spans="1:1" x14ac:dyDescent="0.2">
      <c r="A14632" s="101"/>
    </row>
    <row r="14633" spans="1:1" x14ac:dyDescent="0.2">
      <c r="A14633" s="101"/>
    </row>
    <row r="14634" spans="1:1" x14ac:dyDescent="0.2">
      <c r="A14634" s="101"/>
    </row>
    <row r="14635" spans="1:1" x14ac:dyDescent="0.2">
      <c r="A14635" s="101"/>
    </row>
    <row r="14636" spans="1:1" x14ac:dyDescent="0.2">
      <c r="A14636" s="101"/>
    </row>
    <row r="14637" spans="1:1" x14ac:dyDescent="0.2">
      <c r="A14637" s="101"/>
    </row>
    <row r="14638" spans="1:1" x14ac:dyDescent="0.2">
      <c r="A14638" s="101"/>
    </row>
    <row r="14639" spans="1:1" x14ac:dyDescent="0.2">
      <c r="A14639" s="101"/>
    </row>
    <row r="14640" spans="1:1" x14ac:dyDescent="0.2">
      <c r="A14640" s="101"/>
    </row>
    <row r="14641" spans="1:1" x14ac:dyDescent="0.2">
      <c r="A14641" s="101"/>
    </row>
    <row r="14642" spans="1:1" x14ac:dyDescent="0.2">
      <c r="A14642" s="101"/>
    </row>
    <row r="14643" spans="1:1" x14ac:dyDescent="0.2">
      <c r="A14643" s="101"/>
    </row>
    <row r="14644" spans="1:1" x14ac:dyDescent="0.2">
      <c r="A14644" s="101"/>
    </row>
    <row r="14645" spans="1:1" x14ac:dyDescent="0.2">
      <c r="A14645" s="101"/>
    </row>
    <row r="14646" spans="1:1" x14ac:dyDescent="0.2">
      <c r="A14646" s="101"/>
    </row>
    <row r="14647" spans="1:1" x14ac:dyDescent="0.2">
      <c r="A14647" s="101"/>
    </row>
    <row r="14648" spans="1:1" x14ac:dyDescent="0.2">
      <c r="A14648" s="101"/>
    </row>
    <row r="14649" spans="1:1" x14ac:dyDescent="0.2">
      <c r="A14649" s="101"/>
    </row>
    <row r="14650" spans="1:1" x14ac:dyDescent="0.2">
      <c r="A14650" s="101"/>
    </row>
    <row r="14651" spans="1:1" x14ac:dyDescent="0.2">
      <c r="A14651" s="101"/>
    </row>
    <row r="14652" spans="1:1" x14ac:dyDescent="0.2">
      <c r="A14652" s="101"/>
    </row>
    <row r="14653" spans="1:1" x14ac:dyDescent="0.2">
      <c r="A14653" s="101"/>
    </row>
    <row r="14654" spans="1:1" x14ac:dyDescent="0.2">
      <c r="A14654" s="101"/>
    </row>
    <row r="14655" spans="1:1" x14ac:dyDescent="0.2">
      <c r="A14655" s="101"/>
    </row>
    <row r="14656" spans="1:1" x14ac:dyDescent="0.2">
      <c r="A14656" s="101"/>
    </row>
    <row r="14657" spans="1:1" x14ac:dyDescent="0.2">
      <c r="A14657" s="101"/>
    </row>
    <row r="14658" spans="1:1" x14ac:dyDescent="0.2">
      <c r="A14658" s="101"/>
    </row>
    <row r="14659" spans="1:1" x14ac:dyDescent="0.2">
      <c r="A14659" s="101"/>
    </row>
    <row r="14660" spans="1:1" x14ac:dyDescent="0.2">
      <c r="A14660" s="101"/>
    </row>
    <row r="14661" spans="1:1" x14ac:dyDescent="0.2">
      <c r="A14661" s="101"/>
    </row>
    <row r="14662" spans="1:1" x14ac:dyDescent="0.2">
      <c r="A14662" s="101"/>
    </row>
    <row r="14663" spans="1:1" x14ac:dyDescent="0.2">
      <c r="A14663" s="101"/>
    </row>
    <row r="14664" spans="1:1" x14ac:dyDescent="0.2">
      <c r="A14664" s="101"/>
    </row>
    <row r="14665" spans="1:1" x14ac:dyDescent="0.2">
      <c r="A14665" s="101"/>
    </row>
    <row r="14666" spans="1:1" x14ac:dyDescent="0.2">
      <c r="A14666" s="101"/>
    </row>
    <row r="14667" spans="1:1" x14ac:dyDescent="0.2">
      <c r="A14667" s="101"/>
    </row>
    <row r="14668" spans="1:1" x14ac:dyDescent="0.2">
      <c r="A14668" s="101"/>
    </row>
    <row r="14669" spans="1:1" x14ac:dyDescent="0.2">
      <c r="A14669" s="101"/>
    </row>
    <row r="14670" spans="1:1" x14ac:dyDescent="0.2">
      <c r="A14670" s="101"/>
    </row>
    <row r="14671" spans="1:1" x14ac:dyDescent="0.2">
      <c r="A14671" s="101"/>
    </row>
    <row r="14672" spans="1:1" x14ac:dyDescent="0.2">
      <c r="A14672" s="101"/>
    </row>
    <row r="14673" spans="1:1" x14ac:dyDescent="0.2">
      <c r="A14673" s="101"/>
    </row>
    <row r="14674" spans="1:1" x14ac:dyDescent="0.2">
      <c r="A14674" s="101"/>
    </row>
    <row r="14675" spans="1:1" x14ac:dyDescent="0.2">
      <c r="A14675" s="101"/>
    </row>
    <row r="14676" spans="1:1" x14ac:dyDescent="0.2">
      <c r="A14676" s="101"/>
    </row>
    <row r="14677" spans="1:1" x14ac:dyDescent="0.2">
      <c r="A14677" s="101"/>
    </row>
    <row r="14678" spans="1:1" x14ac:dyDescent="0.2">
      <c r="A14678" s="101"/>
    </row>
    <row r="14679" spans="1:1" x14ac:dyDescent="0.2">
      <c r="A14679" s="101"/>
    </row>
    <row r="14680" spans="1:1" x14ac:dyDescent="0.2">
      <c r="A14680" s="101"/>
    </row>
    <row r="14681" spans="1:1" x14ac:dyDescent="0.2">
      <c r="A14681" s="101"/>
    </row>
    <row r="14682" spans="1:1" x14ac:dyDescent="0.2">
      <c r="A14682" s="101"/>
    </row>
    <row r="14683" spans="1:1" x14ac:dyDescent="0.2">
      <c r="A14683" s="101"/>
    </row>
    <row r="14684" spans="1:1" x14ac:dyDescent="0.2">
      <c r="A14684" s="101"/>
    </row>
    <row r="14685" spans="1:1" x14ac:dyDescent="0.2">
      <c r="A14685" s="101"/>
    </row>
    <row r="14686" spans="1:1" x14ac:dyDescent="0.2">
      <c r="A14686" s="101"/>
    </row>
    <row r="14687" spans="1:1" x14ac:dyDescent="0.2">
      <c r="A14687" s="101"/>
    </row>
    <row r="14688" spans="1:1" x14ac:dyDescent="0.2">
      <c r="A14688" s="101"/>
    </row>
    <row r="14689" spans="1:1" x14ac:dyDescent="0.2">
      <c r="A14689" s="101"/>
    </row>
    <row r="14690" spans="1:1" x14ac:dyDescent="0.2">
      <c r="A14690" s="101"/>
    </row>
    <row r="14691" spans="1:1" x14ac:dyDescent="0.2">
      <c r="A14691" s="101"/>
    </row>
    <row r="14692" spans="1:1" x14ac:dyDescent="0.2">
      <c r="A14692" s="101"/>
    </row>
    <row r="14693" spans="1:1" x14ac:dyDescent="0.2">
      <c r="A14693" s="101"/>
    </row>
    <row r="14694" spans="1:1" x14ac:dyDescent="0.2">
      <c r="A14694" s="101"/>
    </row>
    <row r="14695" spans="1:1" x14ac:dyDescent="0.2">
      <c r="A14695" s="101"/>
    </row>
    <row r="14696" spans="1:1" x14ac:dyDescent="0.2">
      <c r="A14696" s="101"/>
    </row>
    <row r="14697" spans="1:1" x14ac:dyDescent="0.2">
      <c r="A14697" s="101"/>
    </row>
    <row r="14698" spans="1:1" x14ac:dyDescent="0.2">
      <c r="A14698" s="101"/>
    </row>
    <row r="14699" spans="1:1" x14ac:dyDescent="0.2">
      <c r="A14699" s="101"/>
    </row>
    <row r="14700" spans="1:1" x14ac:dyDescent="0.2">
      <c r="A14700" s="101"/>
    </row>
    <row r="14701" spans="1:1" x14ac:dyDescent="0.2">
      <c r="A14701" s="101"/>
    </row>
    <row r="14702" spans="1:1" x14ac:dyDescent="0.2">
      <c r="A14702" s="101"/>
    </row>
    <row r="14703" spans="1:1" x14ac:dyDescent="0.2">
      <c r="A14703" s="101"/>
    </row>
    <row r="14704" spans="1:1" x14ac:dyDescent="0.2">
      <c r="A14704" s="101"/>
    </row>
    <row r="14705" spans="1:1" x14ac:dyDescent="0.2">
      <c r="A14705" s="101"/>
    </row>
    <row r="14706" spans="1:1" x14ac:dyDescent="0.2">
      <c r="A14706" s="101"/>
    </row>
    <row r="14707" spans="1:1" x14ac:dyDescent="0.2">
      <c r="A14707" s="101"/>
    </row>
    <row r="14708" spans="1:1" x14ac:dyDescent="0.2">
      <c r="A14708" s="101"/>
    </row>
    <row r="14709" spans="1:1" x14ac:dyDescent="0.2">
      <c r="A14709" s="101"/>
    </row>
    <row r="14710" spans="1:1" x14ac:dyDescent="0.2">
      <c r="A14710" s="101"/>
    </row>
    <row r="14711" spans="1:1" x14ac:dyDescent="0.2">
      <c r="A14711" s="101"/>
    </row>
    <row r="14712" spans="1:1" x14ac:dyDescent="0.2">
      <c r="A14712" s="101"/>
    </row>
    <row r="14713" spans="1:1" x14ac:dyDescent="0.2">
      <c r="A14713" s="101"/>
    </row>
    <row r="14714" spans="1:1" x14ac:dyDescent="0.2">
      <c r="A14714" s="101"/>
    </row>
    <row r="14715" spans="1:1" x14ac:dyDescent="0.2">
      <c r="A14715" s="101"/>
    </row>
    <row r="14716" spans="1:1" x14ac:dyDescent="0.2">
      <c r="A14716" s="101"/>
    </row>
    <row r="14717" spans="1:1" x14ac:dyDescent="0.2">
      <c r="A14717" s="101"/>
    </row>
    <row r="14718" spans="1:1" x14ac:dyDescent="0.2">
      <c r="A14718" s="101"/>
    </row>
    <row r="14719" spans="1:1" x14ac:dyDescent="0.2">
      <c r="A14719" s="101"/>
    </row>
    <row r="14720" spans="1:1" x14ac:dyDescent="0.2">
      <c r="A14720" s="101"/>
    </row>
    <row r="14721" spans="1:1" x14ac:dyDescent="0.2">
      <c r="A14721" s="101"/>
    </row>
    <row r="14722" spans="1:1" x14ac:dyDescent="0.2">
      <c r="A14722" s="101"/>
    </row>
    <row r="14723" spans="1:1" x14ac:dyDescent="0.2">
      <c r="A14723" s="101"/>
    </row>
    <row r="14724" spans="1:1" x14ac:dyDescent="0.2">
      <c r="A14724" s="101"/>
    </row>
    <row r="14725" spans="1:1" x14ac:dyDescent="0.2">
      <c r="A14725" s="101"/>
    </row>
    <row r="14726" spans="1:1" x14ac:dyDescent="0.2">
      <c r="A14726" s="101"/>
    </row>
    <row r="14727" spans="1:1" x14ac:dyDescent="0.2">
      <c r="A14727" s="101"/>
    </row>
    <row r="14728" spans="1:1" x14ac:dyDescent="0.2">
      <c r="A14728" s="101"/>
    </row>
    <row r="14729" spans="1:1" x14ac:dyDescent="0.2">
      <c r="A14729" s="101"/>
    </row>
    <row r="14730" spans="1:1" x14ac:dyDescent="0.2">
      <c r="A14730" s="101"/>
    </row>
    <row r="14731" spans="1:1" x14ac:dyDescent="0.2">
      <c r="A14731" s="101"/>
    </row>
    <row r="14732" spans="1:1" x14ac:dyDescent="0.2">
      <c r="A14732" s="101"/>
    </row>
    <row r="14733" spans="1:1" x14ac:dyDescent="0.2">
      <c r="A14733" s="101"/>
    </row>
    <row r="14734" spans="1:1" x14ac:dyDescent="0.2">
      <c r="A14734" s="101"/>
    </row>
    <row r="14735" spans="1:1" x14ac:dyDescent="0.2">
      <c r="A14735" s="101"/>
    </row>
    <row r="14736" spans="1:1" x14ac:dyDescent="0.2">
      <c r="A14736" s="101"/>
    </row>
    <row r="14737" spans="1:1" x14ac:dyDescent="0.2">
      <c r="A14737" s="101"/>
    </row>
    <row r="14738" spans="1:1" x14ac:dyDescent="0.2">
      <c r="A14738" s="101"/>
    </row>
    <row r="14739" spans="1:1" x14ac:dyDescent="0.2">
      <c r="A14739" s="101"/>
    </row>
    <row r="14740" spans="1:1" x14ac:dyDescent="0.2">
      <c r="A14740" s="101"/>
    </row>
    <row r="14741" spans="1:1" x14ac:dyDescent="0.2">
      <c r="A14741" s="101"/>
    </row>
    <row r="14742" spans="1:1" x14ac:dyDescent="0.2">
      <c r="A14742" s="101"/>
    </row>
    <row r="14743" spans="1:1" x14ac:dyDescent="0.2">
      <c r="A14743" s="101"/>
    </row>
    <row r="14744" spans="1:1" x14ac:dyDescent="0.2">
      <c r="A14744" s="101"/>
    </row>
    <row r="14745" spans="1:1" x14ac:dyDescent="0.2">
      <c r="A14745" s="101"/>
    </row>
    <row r="14746" spans="1:1" x14ac:dyDescent="0.2">
      <c r="A14746" s="101"/>
    </row>
    <row r="14747" spans="1:1" x14ac:dyDescent="0.2">
      <c r="A14747" s="101"/>
    </row>
    <row r="14748" spans="1:1" x14ac:dyDescent="0.2">
      <c r="A14748" s="101"/>
    </row>
    <row r="14749" spans="1:1" x14ac:dyDescent="0.2">
      <c r="A14749" s="101"/>
    </row>
    <row r="14750" spans="1:1" x14ac:dyDescent="0.2">
      <c r="A14750" s="101"/>
    </row>
    <row r="14751" spans="1:1" x14ac:dyDescent="0.2">
      <c r="A14751" s="101"/>
    </row>
    <row r="14752" spans="1:1" x14ac:dyDescent="0.2">
      <c r="A14752" s="101"/>
    </row>
    <row r="14753" spans="1:1" x14ac:dyDescent="0.2">
      <c r="A14753" s="101"/>
    </row>
    <row r="14754" spans="1:1" x14ac:dyDescent="0.2">
      <c r="A14754" s="101"/>
    </row>
    <row r="14755" spans="1:1" x14ac:dyDescent="0.2">
      <c r="A14755" s="101"/>
    </row>
    <row r="14756" spans="1:1" x14ac:dyDescent="0.2">
      <c r="A14756" s="101"/>
    </row>
    <row r="14757" spans="1:1" x14ac:dyDescent="0.2">
      <c r="A14757" s="101"/>
    </row>
    <row r="14758" spans="1:1" x14ac:dyDescent="0.2">
      <c r="A14758" s="101"/>
    </row>
    <row r="14759" spans="1:1" x14ac:dyDescent="0.2">
      <c r="A14759" s="101"/>
    </row>
    <row r="14760" spans="1:1" x14ac:dyDescent="0.2">
      <c r="A14760" s="101"/>
    </row>
    <row r="14761" spans="1:1" x14ac:dyDescent="0.2">
      <c r="A14761" s="101"/>
    </row>
    <row r="14762" spans="1:1" x14ac:dyDescent="0.2">
      <c r="A14762" s="101"/>
    </row>
    <row r="14763" spans="1:1" x14ac:dyDescent="0.2">
      <c r="A14763" s="101"/>
    </row>
    <row r="14764" spans="1:1" x14ac:dyDescent="0.2">
      <c r="A14764" s="101"/>
    </row>
    <row r="14765" spans="1:1" x14ac:dyDescent="0.2">
      <c r="A14765" s="101"/>
    </row>
    <row r="14766" spans="1:1" x14ac:dyDescent="0.2">
      <c r="A14766" s="101"/>
    </row>
    <row r="14767" spans="1:1" x14ac:dyDescent="0.2">
      <c r="A14767" s="101"/>
    </row>
    <row r="14768" spans="1:1" x14ac:dyDescent="0.2">
      <c r="A14768" s="101"/>
    </row>
    <row r="14769" spans="1:1" x14ac:dyDescent="0.2">
      <c r="A14769" s="101"/>
    </row>
    <row r="14770" spans="1:1" x14ac:dyDescent="0.2">
      <c r="A14770" s="101"/>
    </row>
    <row r="14771" spans="1:1" x14ac:dyDescent="0.2">
      <c r="A14771" s="101"/>
    </row>
    <row r="14772" spans="1:1" x14ac:dyDescent="0.2">
      <c r="A14772" s="101"/>
    </row>
    <row r="14773" spans="1:1" x14ac:dyDescent="0.2">
      <c r="A14773" s="101"/>
    </row>
    <row r="14774" spans="1:1" x14ac:dyDescent="0.2">
      <c r="A14774" s="101"/>
    </row>
    <row r="14775" spans="1:1" x14ac:dyDescent="0.2">
      <c r="A14775" s="101"/>
    </row>
    <row r="14776" spans="1:1" x14ac:dyDescent="0.2">
      <c r="A14776" s="101"/>
    </row>
    <row r="14777" spans="1:1" x14ac:dyDescent="0.2">
      <c r="A14777" s="101"/>
    </row>
    <row r="14778" spans="1:1" x14ac:dyDescent="0.2">
      <c r="A14778" s="101"/>
    </row>
    <row r="14779" spans="1:1" x14ac:dyDescent="0.2">
      <c r="A14779" s="101"/>
    </row>
    <row r="14780" spans="1:1" x14ac:dyDescent="0.2">
      <c r="A14780" s="101"/>
    </row>
    <row r="14781" spans="1:1" x14ac:dyDescent="0.2">
      <c r="A14781" s="101"/>
    </row>
    <row r="14782" spans="1:1" x14ac:dyDescent="0.2">
      <c r="A14782" s="101"/>
    </row>
    <row r="14783" spans="1:1" x14ac:dyDescent="0.2">
      <c r="A14783" s="101"/>
    </row>
    <row r="14784" spans="1:1" x14ac:dyDescent="0.2">
      <c r="A14784" s="101"/>
    </row>
    <row r="14785" spans="1:1" x14ac:dyDescent="0.2">
      <c r="A14785" s="101"/>
    </row>
    <row r="14786" spans="1:1" x14ac:dyDescent="0.2">
      <c r="A14786" s="101"/>
    </row>
    <row r="14787" spans="1:1" x14ac:dyDescent="0.2">
      <c r="A14787" s="101"/>
    </row>
    <row r="14788" spans="1:1" x14ac:dyDescent="0.2">
      <c r="A14788" s="101"/>
    </row>
    <row r="14789" spans="1:1" x14ac:dyDescent="0.2">
      <c r="A14789" s="101"/>
    </row>
    <row r="14790" spans="1:1" x14ac:dyDescent="0.2">
      <c r="A14790" s="101"/>
    </row>
    <row r="14791" spans="1:1" x14ac:dyDescent="0.2">
      <c r="A14791" s="101"/>
    </row>
    <row r="14792" spans="1:1" x14ac:dyDescent="0.2">
      <c r="A14792" s="101"/>
    </row>
    <row r="14793" spans="1:1" x14ac:dyDescent="0.2">
      <c r="A14793" s="101"/>
    </row>
    <row r="14794" spans="1:1" x14ac:dyDescent="0.2">
      <c r="A14794" s="101"/>
    </row>
    <row r="14795" spans="1:1" x14ac:dyDescent="0.2">
      <c r="A14795" s="101"/>
    </row>
    <row r="14796" spans="1:1" x14ac:dyDescent="0.2">
      <c r="A14796" s="101"/>
    </row>
    <row r="14797" spans="1:1" x14ac:dyDescent="0.2">
      <c r="A14797" s="101"/>
    </row>
    <row r="14798" spans="1:1" x14ac:dyDescent="0.2">
      <c r="A14798" s="101"/>
    </row>
    <row r="14799" spans="1:1" x14ac:dyDescent="0.2">
      <c r="A14799" s="101"/>
    </row>
    <row r="14800" spans="1:1" x14ac:dyDescent="0.2">
      <c r="A14800" s="101"/>
    </row>
    <row r="14801" spans="1:1" x14ac:dyDescent="0.2">
      <c r="A14801" s="101"/>
    </row>
    <row r="14802" spans="1:1" x14ac:dyDescent="0.2">
      <c r="A14802" s="101"/>
    </row>
    <row r="14803" spans="1:1" x14ac:dyDescent="0.2">
      <c r="A14803" s="101"/>
    </row>
    <row r="14804" spans="1:1" x14ac:dyDescent="0.2">
      <c r="A14804" s="101"/>
    </row>
    <row r="14805" spans="1:1" x14ac:dyDescent="0.2">
      <c r="A14805" s="101"/>
    </row>
    <row r="14806" spans="1:1" x14ac:dyDescent="0.2">
      <c r="A14806" s="101"/>
    </row>
    <row r="14807" spans="1:1" x14ac:dyDescent="0.2">
      <c r="A14807" s="101"/>
    </row>
    <row r="14808" spans="1:1" x14ac:dyDescent="0.2">
      <c r="A14808" s="101"/>
    </row>
    <row r="14809" spans="1:1" x14ac:dyDescent="0.2">
      <c r="A14809" s="101"/>
    </row>
    <row r="14810" spans="1:1" x14ac:dyDescent="0.2">
      <c r="A14810" s="101"/>
    </row>
    <row r="14811" spans="1:1" x14ac:dyDescent="0.2">
      <c r="A14811" s="101"/>
    </row>
    <row r="14812" spans="1:1" x14ac:dyDescent="0.2">
      <c r="A14812" s="101"/>
    </row>
    <row r="14813" spans="1:1" x14ac:dyDescent="0.2">
      <c r="A14813" s="101"/>
    </row>
    <row r="14814" spans="1:1" x14ac:dyDescent="0.2">
      <c r="A14814" s="101"/>
    </row>
    <row r="14815" spans="1:1" x14ac:dyDescent="0.2">
      <c r="A14815" s="101"/>
    </row>
    <row r="14816" spans="1:1" x14ac:dyDescent="0.2">
      <c r="A14816" s="101"/>
    </row>
    <row r="14817" spans="1:1" x14ac:dyDescent="0.2">
      <c r="A14817" s="101"/>
    </row>
    <row r="14818" spans="1:1" x14ac:dyDescent="0.2">
      <c r="A14818" s="101"/>
    </row>
    <row r="14819" spans="1:1" x14ac:dyDescent="0.2">
      <c r="A14819" s="101"/>
    </row>
    <row r="14820" spans="1:1" x14ac:dyDescent="0.2">
      <c r="A14820" s="101"/>
    </row>
    <row r="14821" spans="1:1" x14ac:dyDescent="0.2">
      <c r="A14821" s="101"/>
    </row>
    <row r="14822" spans="1:1" x14ac:dyDescent="0.2">
      <c r="A14822" s="101"/>
    </row>
    <row r="14823" spans="1:1" x14ac:dyDescent="0.2">
      <c r="A14823" s="101"/>
    </row>
    <row r="14824" spans="1:1" x14ac:dyDescent="0.2">
      <c r="A14824" s="101"/>
    </row>
    <row r="14825" spans="1:1" x14ac:dyDescent="0.2">
      <c r="A14825" s="101"/>
    </row>
    <row r="14826" spans="1:1" x14ac:dyDescent="0.2">
      <c r="A14826" s="101"/>
    </row>
    <row r="14827" spans="1:1" x14ac:dyDescent="0.2">
      <c r="A14827" s="101"/>
    </row>
    <row r="14828" spans="1:1" x14ac:dyDescent="0.2">
      <c r="A14828" s="101"/>
    </row>
    <row r="14829" spans="1:1" x14ac:dyDescent="0.2">
      <c r="A14829" s="101"/>
    </row>
    <row r="14830" spans="1:1" x14ac:dyDescent="0.2">
      <c r="A14830" s="101"/>
    </row>
    <row r="14831" spans="1:1" x14ac:dyDescent="0.2">
      <c r="A14831" s="101"/>
    </row>
    <row r="14832" spans="1:1" x14ac:dyDescent="0.2">
      <c r="A14832" s="101"/>
    </row>
    <row r="14833" spans="1:1" x14ac:dyDescent="0.2">
      <c r="A14833" s="101"/>
    </row>
    <row r="14834" spans="1:1" x14ac:dyDescent="0.2">
      <c r="A14834" s="101"/>
    </row>
    <row r="14835" spans="1:1" x14ac:dyDescent="0.2">
      <c r="A14835" s="101"/>
    </row>
    <row r="14836" spans="1:1" x14ac:dyDescent="0.2">
      <c r="A14836" s="101"/>
    </row>
    <row r="14837" spans="1:1" x14ac:dyDescent="0.2">
      <c r="A14837" s="101"/>
    </row>
    <row r="14838" spans="1:1" x14ac:dyDescent="0.2">
      <c r="A14838" s="101"/>
    </row>
    <row r="14839" spans="1:1" x14ac:dyDescent="0.2">
      <c r="A14839" s="101"/>
    </row>
    <row r="14840" spans="1:1" x14ac:dyDescent="0.2">
      <c r="A14840" s="101"/>
    </row>
    <row r="14841" spans="1:1" x14ac:dyDescent="0.2">
      <c r="A14841" s="101"/>
    </row>
    <row r="14842" spans="1:1" x14ac:dyDescent="0.2">
      <c r="A14842" s="101"/>
    </row>
    <row r="14843" spans="1:1" x14ac:dyDescent="0.2">
      <c r="A14843" s="101"/>
    </row>
    <row r="14844" spans="1:1" x14ac:dyDescent="0.2">
      <c r="A14844" s="101"/>
    </row>
    <row r="14845" spans="1:1" x14ac:dyDescent="0.2">
      <c r="A14845" s="101"/>
    </row>
    <row r="14846" spans="1:1" x14ac:dyDescent="0.2">
      <c r="A14846" s="101"/>
    </row>
    <row r="14847" spans="1:1" x14ac:dyDescent="0.2">
      <c r="A14847" s="101"/>
    </row>
    <row r="14848" spans="1:1" x14ac:dyDescent="0.2">
      <c r="A14848" s="101"/>
    </row>
    <row r="14849" spans="1:1" x14ac:dyDescent="0.2">
      <c r="A14849" s="101"/>
    </row>
    <row r="14850" spans="1:1" x14ac:dyDescent="0.2">
      <c r="A14850" s="101"/>
    </row>
    <row r="14851" spans="1:1" x14ac:dyDescent="0.2">
      <c r="A14851" s="101"/>
    </row>
    <row r="14852" spans="1:1" x14ac:dyDescent="0.2">
      <c r="A14852" s="101"/>
    </row>
    <row r="14853" spans="1:1" x14ac:dyDescent="0.2">
      <c r="A14853" s="101"/>
    </row>
    <row r="14854" spans="1:1" x14ac:dyDescent="0.2">
      <c r="A14854" s="101"/>
    </row>
    <row r="14855" spans="1:1" x14ac:dyDescent="0.2">
      <c r="A14855" s="101"/>
    </row>
    <row r="14856" spans="1:1" x14ac:dyDescent="0.2">
      <c r="A14856" s="101"/>
    </row>
    <row r="14857" spans="1:1" x14ac:dyDescent="0.2">
      <c r="A14857" s="101"/>
    </row>
    <row r="14858" spans="1:1" x14ac:dyDescent="0.2">
      <c r="A14858" s="101"/>
    </row>
    <row r="14859" spans="1:1" x14ac:dyDescent="0.2">
      <c r="A14859" s="101"/>
    </row>
    <row r="14860" spans="1:1" x14ac:dyDescent="0.2">
      <c r="A14860" s="101"/>
    </row>
    <row r="14861" spans="1:1" x14ac:dyDescent="0.2">
      <c r="A14861" s="101"/>
    </row>
    <row r="14862" spans="1:1" x14ac:dyDescent="0.2">
      <c r="A14862" s="101"/>
    </row>
    <row r="14863" spans="1:1" x14ac:dyDescent="0.2">
      <c r="A14863" s="101"/>
    </row>
    <row r="14864" spans="1:1" x14ac:dyDescent="0.2">
      <c r="A14864" s="101"/>
    </row>
    <row r="14865" spans="1:1" x14ac:dyDescent="0.2">
      <c r="A14865" s="101"/>
    </row>
    <row r="14866" spans="1:1" x14ac:dyDescent="0.2">
      <c r="A14866" s="101"/>
    </row>
    <row r="14867" spans="1:1" x14ac:dyDescent="0.2">
      <c r="A14867" s="101"/>
    </row>
    <row r="14868" spans="1:1" x14ac:dyDescent="0.2">
      <c r="A14868" s="101"/>
    </row>
    <row r="14869" spans="1:1" x14ac:dyDescent="0.2">
      <c r="A14869" s="101"/>
    </row>
    <row r="14870" spans="1:1" x14ac:dyDescent="0.2">
      <c r="A14870" s="101"/>
    </row>
    <row r="14871" spans="1:1" x14ac:dyDescent="0.2">
      <c r="A14871" s="101"/>
    </row>
    <row r="14872" spans="1:1" x14ac:dyDescent="0.2">
      <c r="A14872" s="101"/>
    </row>
    <row r="14873" spans="1:1" x14ac:dyDescent="0.2">
      <c r="A14873" s="101"/>
    </row>
    <row r="14874" spans="1:1" x14ac:dyDescent="0.2">
      <c r="A14874" s="101"/>
    </row>
    <row r="14875" spans="1:1" x14ac:dyDescent="0.2">
      <c r="A14875" s="101"/>
    </row>
    <row r="14876" spans="1:1" x14ac:dyDescent="0.2">
      <c r="A14876" s="101"/>
    </row>
    <row r="14877" spans="1:1" x14ac:dyDescent="0.2">
      <c r="A14877" s="101"/>
    </row>
    <row r="14878" spans="1:1" x14ac:dyDescent="0.2">
      <c r="A14878" s="101"/>
    </row>
    <row r="14879" spans="1:1" x14ac:dyDescent="0.2">
      <c r="A14879" s="101"/>
    </row>
    <row r="14880" spans="1:1" x14ac:dyDescent="0.2">
      <c r="A14880" s="101"/>
    </row>
    <row r="14881" spans="1:1" x14ac:dyDescent="0.2">
      <c r="A14881" s="101"/>
    </row>
    <row r="14882" spans="1:1" x14ac:dyDescent="0.2">
      <c r="A14882" s="101"/>
    </row>
    <row r="14883" spans="1:1" x14ac:dyDescent="0.2">
      <c r="A14883" s="101"/>
    </row>
    <row r="14884" spans="1:1" x14ac:dyDescent="0.2">
      <c r="A14884" s="101"/>
    </row>
    <row r="14885" spans="1:1" x14ac:dyDescent="0.2">
      <c r="A14885" s="101"/>
    </row>
    <row r="14886" spans="1:1" x14ac:dyDescent="0.2">
      <c r="A14886" s="101"/>
    </row>
    <row r="14887" spans="1:1" x14ac:dyDescent="0.2">
      <c r="A14887" s="101"/>
    </row>
    <row r="14888" spans="1:1" x14ac:dyDescent="0.2">
      <c r="A14888" s="101"/>
    </row>
    <row r="14889" spans="1:1" x14ac:dyDescent="0.2">
      <c r="A14889" s="101"/>
    </row>
    <row r="14890" spans="1:1" x14ac:dyDescent="0.2">
      <c r="A14890" s="101"/>
    </row>
    <row r="14891" spans="1:1" x14ac:dyDescent="0.2">
      <c r="A14891" s="101"/>
    </row>
    <row r="14892" spans="1:1" x14ac:dyDescent="0.2">
      <c r="A14892" s="101"/>
    </row>
    <row r="14893" spans="1:1" x14ac:dyDescent="0.2">
      <c r="A14893" s="101"/>
    </row>
    <row r="14894" spans="1:1" x14ac:dyDescent="0.2">
      <c r="A14894" s="101"/>
    </row>
    <row r="14895" spans="1:1" x14ac:dyDescent="0.2">
      <c r="A14895" s="101"/>
    </row>
    <row r="14896" spans="1:1" x14ac:dyDescent="0.2">
      <c r="A14896" s="101"/>
    </row>
    <row r="14897" spans="1:1" x14ac:dyDescent="0.2">
      <c r="A14897" s="101"/>
    </row>
    <row r="14898" spans="1:1" x14ac:dyDescent="0.2">
      <c r="A14898" s="101"/>
    </row>
    <row r="14899" spans="1:1" x14ac:dyDescent="0.2">
      <c r="A14899" s="101"/>
    </row>
    <row r="14900" spans="1:1" x14ac:dyDescent="0.2">
      <c r="A14900" s="101"/>
    </row>
    <row r="14901" spans="1:1" x14ac:dyDescent="0.2">
      <c r="A14901" s="101"/>
    </row>
    <row r="14902" spans="1:1" x14ac:dyDescent="0.2">
      <c r="A14902" s="101"/>
    </row>
    <row r="14903" spans="1:1" x14ac:dyDescent="0.2">
      <c r="A14903" s="101"/>
    </row>
    <row r="14904" spans="1:1" x14ac:dyDescent="0.2">
      <c r="A14904" s="101"/>
    </row>
    <row r="14905" spans="1:1" x14ac:dyDescent="0.2">
      <c r="A14905" s="101"/>
    </row>
    <row r="14906" spans="1:1" x14ac:dyDescent="0.2">
      <c r="A14906" s="101"/>
    </row>
    <row r="14907" spans="1:1" x14ac:dyDescent="0.2">
      <c r="A14907" s="101"/>
    </row>
    <row r="14908" spans="1:1" x14ac:dyDescent="0.2">
      <c r="A14908" s="101"/>
    </row>
    <row r="14909" spans="1:1" x14ac:dyDescent="0.2">
      <c r="A14909" s="101"/>
    </row>
    <row r="14910" spans="1:1" x14ac:dyDescent="0.2">
      <c r="A14910" s="101"/>
    </row>
    <row r="14911" spans="1:1" x14ac:dyDescent="0.2">
      <c r="A14911" s="101"/>
    </row>
    <row r="14912" spans="1:1" x14ac:dyDescent="0.2">
      <c r="A14912" s="101"/>
    </row>
    <row r="14913" spans="1:1" x14ac:dyDescent="0.2">
      <c r="A14913" s="101"/>
    </row>
    <row r="14914" spans="1:1" x14ac:dyDescent="0.2">
      <c r="A14914" s="101"/>
    </row>
    <row r="14915" spans="1:1" x14ac:dyDescent="0.2">
      <c r="A14915" s="101"/>
    </row>
    <row r="14916" spans="1:1" x14ac:dyDescent="0.2">
      <c r="A14916" s="101"/>
    </row>
    <row r="14917" spans="1:1" x14ac:dyDescent="0.2">
      <c r="A14917" s="101"/>
    </row>
    <row r="14918" spans="1:1" x14ac:dyDescent="0.2">
      <c r="A14918" s="101"/>
    </row>
    <row r="14919" spans="1:1" x14ac:dyDescent="0.2">
      <c r="A14919" s="101"/>
    </row>
    <row r="14920" spans="1:1" x14ac:dyDescent="0.2">
      <c r="A14920" s="101"/>
    </row>
    <row r="14921" spans="1:1" x14ac:dyDescent="0.2">
      <c r="A14921" s="101"/>
    </row>
    <row r="14922" spans="1:1" x14ac:dyDescent="0.2">
      <c r="A14922" s="101"/>
    </row>
    <row r="14923" spans="1:1" x14ac:dyDescent="0.2">
      <c r="A14923" s="101"/>
    </row>
    <row r="14924" spans="1:1" x14ac:dyDescent="0.2">
      <c r="A14924" s="101"/>
    </row>
    <row r="14925" spans="1:1" x14ac:dyDescent="0.2">
      <c r="A14925" s="101"/>
    </row>
    <row r="14926" spans="1:1" x14ac:dyDescent="0.2">
      <c r="A14926" s="101"/>
    </row>
    <row r="14927" spans="1:1" x14ac:dyDescent="0.2">
      <c r="A14927" s="101"/>
    </row>
    <row r="14928" spans="1:1" x14ac:dyDescent="0.2">
      <c r="A14928" s="101"/>
    </row>
    <row r="14929" spans="1:1" x14ac:dyDescent="0.2">
      <c r="A14929" s="101"/>
    </row>
    <row r="14930" spans="1:1" x14ac:dyDescent="0.2">
      <c r="A14930" s="101"/>
    </row>
    <row r="14931" spans="1:1" x14ac:dyDescent="0.2">
      <c r="A14931" s="101"/>
    </row>
    <row r="14932" spans="1:1" x14ac:dyDescent="0.2">
      <c r="A14932" s="101"/>
    </row>
    <row r="14933" spans="1:1" x14ac:dyDescent="0.2">
      <c r="A14933" s="101"/>
    </row>
    <row r="14934" spans="1:1" x14ac:dyDescent="0.2">
      <c r="A14934" s="101"/>
    </row>
    <row r="14935" spans="1:1" x14ac:dyDescent="0.2">
      <c r="A14935" s="101"/>
    </row>
    <row r="14936" spans="1:1" x14ac:dyDescent="0.2">
      <c r="A14936" s="101"/>
    </row>
    <row r="14937" spans="1:1" x14ac:dyDescent="0.2">
      <c r="A14937" s="101"/>
    </row>
    <row r="14938" spans="1:1" x14ac:dyDescent="0.2">
      <c r="A14938" s="101"/>
    </row>
    <row r="14939" spans="1:1" x14ac:dyDescent="0.2">
      <c r="A14939" s="101"/>
    </row>
    <row r="14940" spans="1:1" x14ac:dyDescent="0.2">
      <c r="A14940" s="101"/>
    </row>
    <row r="14941" spans="1:1" x14ac:dyDescent="0.2">
      <c r="A14941" s="101"/>
    </row>
    <row r="14942" spans="1:1" x14ac:dyDescent="0.2">
      <c r="A14942" s="101"/>
    </row>
    <row r="14943" spans="1:1" x14ac:dyDescent="0.2">
      <c r="A14943" s="101"/>
    </row>
    <row r="14944" spans="1:1" x14ac:dyDescent="0.2">
      <c r="A14944" s="101"/>
    </row>
    <row r="14945" spans="1:1" x14ac:dyDescent="0.2">
      <c r="A14945" s="101"/>
    </row>
    <row r="14946" spans="1:1" x14ac:dyDescent="0.2">
      <c r="A14946" s="101"/>
    </row>
    <row r="14947" spans="1:1" x14ac:dyDescent="0.2">
      <c r="A14947" s="101"/>
    </row>
    <row r="14948" spans="1:1" x14ac:dyDescent="0.2">
      <c r="A14948" s="101"/>
    </row>
    <row r="14949" spans="1:1" x14ac:dyDescent="0.2">
      <c r="A14949" s="101"/>
    </row>
    <row r="14950" spans="1:1" x14ac:dyDescent="0.2">
      <c r="A14950" s="101"/>
    </row>
    <row r="14951" spans="1:1" x14ac:dyDescent="0.2">
      <c r="A14951" s="101"/>
    </row>
    <row r="14952" spans="1:1" x14ac:dyDescent="0.2">
      <c r="A14952" s="101"/>
    </row>
    <row r="14953" spans="1:1" x14ac:dyDescent="0.2">
      <c r="A14953" s="101"/>
    </row>
    <row r="14954" spans="1:1" x14ac:dyDescent="0.2">
      <c r="A14954" s="101"/>
    </row>
    <row r="14955" spans="1:1" x14ac:dyDescent="0.2">
      <c r="A14955" s="101"/>
    </row>
    <row r="14956" spans="1:1" x14ac:dyDescent="0.2">
      <c r="A14956" s="101"/>
    </row>
    <row r="14957" spans="1:1" x14ac:dyDescent="0.2">
      <c r="A14957" s="101"/>
    </row>
    <row r="14958" spans="1:1" x14ac:dyDescent="0.2">
      <c r="A14958" s="101"/>
    </row>
    <row r="14959" spans="1:1" x14ac:dyDescent="0.2">
      <c r="A14959" s="101"/>
    </row>
    <row r="14960" spans="1:1" x14ac:dyDescent="0.2">
      <c r="A14960" s="101"/>
    </row>
    <row r="14961" spans="1:1" x14ac:dyDescent="0.2">
      <c r="A14961" s="101"/>
    </row>
    <row r="14962" spans="1:1" x14ac:dyDescent="0.2">
      <c r="A14962" s="101"/>
    </row>
    <row r="14963" spans="1:1" x14ac:dyDescent="0.2">
      <c r="A14963" s="101"/>
    </row>
    <row r="14964" spans="1:1" x14ac:dyDescent="0.2">
      <c r="A14964" s="101"/>
    </row>
    <row r="14965" spans="1:1" x14ac:dyDescent="0.2">
      <c r="A14965" s="101"/>
    </row>
    <row r="14966" spans="1:1" x14ac:dyDescent="0.2">
      <c r="A14966" s="101"/>
    </row>
    <row r="14967" spans="1:1" x14ac:dyDescent="0.2">
      <c r="A14967" s="101"/>
    </row>
    <row r="14968" spans="1:1" x14ac:dyDescent="0.2">
      <c r="A14968" s="101"/>
    </row>
    <row r="14969" spans="1:1" x14ac:dyDescent="0.2">
      <c r="A14969" s="101"/>
    </row>
    <row r="14970" spans="1:1" x14ac:dyDescent="0.2">
      <c r="A14970" s="101"/>
    </row>
    <row r="14971" spans="1:1" x14ac:dyDescent="0.2">
      <c r="A14971" s="101"/>
    </row>
    <row r="14972" spans="1:1" x14ac:dyDescent="0.2">
      <c r="A14972" s="101"/>
    </row>
    <row r="14973" spans="1:1" x14ac:dyDescent="0.2">
      <c r="A14973" s="101"/>
    </row>
    <row r="14974" spans="1:1" x14ac:dyDescent="0.2">
      <c r="A14974" s="101"/>
    </row>
    <row r="14975" spans="1:1" x14ac:dyDescent="0.2">
      <c r="A14975" s="101"/>
    </row>
    <row r="14976" spans="1:1" x14ac:dyDescent="0.2">
      <c r="A14976" s="101"/>
    </row>
    <row r="14977" spans="1:1" x14ac:dyDescent="0.2">
      <c r="A14977" s="101"/>
    </row>
    <row r="14978" spans="1:1" x14ac:dyDescent="0.2">
      <c r="A14978" s="101"/>
    </row>
    <row r="14979" spans="1:1" x14ac:dyDescent="0.2">
      <c r="A14979" s="101"/>
    </row>
    <row r="14980" spans="1:1" x14ac:dyDescent="0.2">
      <c r="A14980" s="101"/>
    </row>
    <row r="14981" spans="1:1" x14ac:dyDescent="0.2">
      <c r="A14981" s="101"/>
    </row>
    <row r="14982" spans="1:1" x14ac:dyDescent="0.2">
      <c r="A14982" s="101"/>
    </row>
    <row r="14983" spans="1:1" x14ac:dyDescent="0.2">
      <c r="A14983" s="101"/>
    </row>
    <row r="14984" spans="1:1" x14ac:dyDescent="0.2">
      <c r="A14984" s="101"/>
    </row>
    <row r="14985" spans="1:1" x14ac:dyDescent="0.2">
      <c r="A14985" s="101"/>
    </row>
    <row r="14986" spans="1:1" x14ac:dyDescent="0.2">
      <c r="A14986" s="101"/>
    </row>
    <row r="14987" spans="1:1" x14ac:dyDescent="0.2">
      <c r="A14987" s="101"/>
    </row>
    <row r="14988" spans="1:1" x14ac:dyDescent="0.2">
      <c r="A14988" s="101"/>
    </row>
    <row r="14989" spans="1:1" x14ac:dyDescent="0.2">
      <c r="A14989" s="101"/>
    </row>
    <row r="14990" spans="1:1" x14ac:dyDescent="0.2">
      <c r="A14990" s="101"/>
    </row>
    <row r="14991" spans="1:1" x14ac:dyDescent="0.2">
      <c r="A14991" s="101"/>
    </row>
    <row r="14992" spans="1:1" x14ac:dyDescent="0.2">
      <c r="A14992" s="101"/>
    </row>
    <row r="14993" spans="1:1" x14ac:dyDescent="0.2">
      <c r="A14993" s="101"/>
    </row>
    <row r="14994" spans="1:1" x14ac:dyDescent="0.2">
      <c r="A14994" s="101"/>
    </row>
    <row r="14995" spans="1:1" x14ac:dyDescent="0.2">
      <c r="A14995" s="101"/>
    </row>
    <row r="14996" spans="1:1" x14ac:dyDescent="0.2">
      <c r="A14996" s="101"/>
    </row>
    <row r="14997" spans="1:1" x14ac:dyDescent="0.2">
      <c r="A14997" s="101"/>
    </row>
    <row r="14998" spans="1:1" x14ac:dyDescent="0.2">
      <c r="A14998" s="101"/>
    </row>
    <row r="14999" spans="1:1" x14ac:dyDescent="0.2">
      <c r="A14999" s="101"/>
    </row>
    <row r="15000" spans="1:1" x14ac:dyDescent="0.2">
      <c r="A15000" s="101"/>
    </row>
    <row r="15001" spans="1:1" x14ac:dyDescent="0.2">
      <c r="A15001" s="101"/>
    </row>
    <row r="15002" spans="1:1" x14ac:dyDescent="0.2">
      <c r="A15002" s="101"/>
    </row>
    <row r="15003" spans="1:1" x14ac:dyDescent="0.2">
      <c r="A15003" s="101"/>
    </row>
    <row r="15004" spans="1:1" x14ac:dyDescent="0.2">
      <c r="A15004" s="101"/>
    </row>
    <row r="15005" spans="1:1" x14ac:dyDescent="0.2">
      <c r="A15005" s="101"/>
    </row>
    <row r="15006" spans="1:1" x14ac:dyDescent="0.2">
      <c r="A15006" s="101"/>
    </row>
    <row r="15007" spans="1:1" x14ac:dyDescent="0.2">
      <c r="A15007" s="101"/>
    </row>
    <row r="15008" spans="1:1" x14ac:dyDescent="0.2">
      <c r="A15008" s="101"/>
    </row>
    <row r="15009" spans="1:1" x14ac:dyDescent="0.2">
      <c r="A15009" s="101"/>
    </row>
    <row r="15010" spans="1:1" x14ac:dyDescent="0.2">
      <c r="A15010" s="101"/>
    </row>
    <row r="15011" spans="1:1" x14ac:dyDescent="0.2">
      <c r="A15011" s="101"/>
    </row>
    <row r="15012" spans="1:1" x14ac:dyDescent="0.2">
      <c r="A15012" s="101"/>
    </row>
    <row r="15013" spans="1:1" x14ac:dyDescent="0.2">
      <c r="A15013" s="101"/>
    </row>
    <row r="15014" spans="1:1" x14ac:dyDescent="0.2">
      <c r="A15014" s="101"/>
    </row>
    <row r="15015" spans="1:1" x14ac:dyDescent="0.2">
      <c r="A15015" s="101"/>
    </row>
    <row r="15016" spans="1:1" x14ac:dyDescent="0.2">
      <c r="A15016" s="101"/>
    </row>
    <row r="15017" spans="1:1" x14ac:dyDescent="0.2">
      <c r="A15017" s="101"/>
    </row>
    <row r="15018" spans="1:1" x14ac:dyDescent="0.2">
      <c r="A15018" s="101"/>
    </row>
    <row r="15019" spans="1:1" x14ac:dyDescent="0.2">
      <c r="A15019" s="101"/>
    </row>
    <row r="15020" spans="1:1" x14ac:dyDescent="0.2">
      <c r="A15020" s="101"/>
    </row>
    <row r="15021" spans="1:1" x14ac:dyDescent="0.2">
      <c r="A15021" s="101"/>
    </row>
    <row r="15022" spans="1:1" x14ac:dyDescent="0.2">
      <c r="A15022" s="101"/>
    </row>
    <row r="15023" spans="1:1" x14ac:dyDescent="0.2">
      <c r="A15023" s="101"/>
    </row>
    <row r="15024" spans="1:1" x14ac:dyDescent="0.2">
      <c r="A15024" s="101"/>
    </row>
    <row r="15025" spans="1:1" x14ac:dyDescent="0.2">
      <c r="A15025" s="101"/>
    </row>
    <row r="15026" spans="1:1" x14ac:dyDescent="0.2">
      <c r="A15026" s="101"/>
    </row>
    <row r="15027" spans="1:1" x14ac:dyDescent="0.2">
      <c r="A15027" s="101"/>
    </row>
    <row r="15028" spans="1:1" x14ac:dyDescent="0.2">
      <c r="A15028" s="101"/>
    </row>
    <row r="15029" spans="1:1" x14ac:dyDescent="0.2">
      <c r="A15029" s="101"/>
    </row>
    <row r="15030" spans="1:1" x14ac:dyDescent="0.2">
      <c r="A15030" s="101"/>
    </row>
    <row r="15031" spans="1:1" x14ac:dyDescent="0.2">
      <c r="A15031" s="101"/>
    </row>
    <row r="15032" spans="1:1" x14ac:dyDescent="0.2">
      <c r="A15032" s="101"/>
    </row>
    <row r="15033" spans="1:1" x14ac:dyDescent="0.2">
      <c r="A15033" s="101"/>
    </row>
    <row r="15034" spans="1:1" x14ac:dyDescent="0.2">
      <c r="A15034" s="101"/>
    </row>
    <row r="15035" spans="1:1" x14ac:dyDescent="0.2">
      <c r="A15035" s="101"/>
    </row>
    <row r="15036" spans="1:1" x14ac:dyDescent="0.2">
      <c r="A15036" s="101"/>
    </row>
    <row r="15037" spans="1:1" x14ac:dyDescent="0.2">
      <c r="A15037" s="101"/>
    </row>
    <row r="15038" spans="1:1" x14ac:dyDescent="0.2">
      <c r="A15038" s="101"/>
    </row>
    <row r="15039" spans="1:1" x14ac:dyDescent="0.2">
      <c r="A15039" s="101"/>
    </row>
    <row r="15040" spans="1:1" x14ac:dyDescent="0.2">
      <c r="A15040" s="101"/>
    </row>
    <row r="15041" spans="1:1" x14ac:dyDescent="0.2">
      <c r="A15041" s="101"/>
    </row>
    <row r="15042" spans="1:1" x14ac:dyDescent="0.2">
      <c r="A15042" s="101"/>
    </row>
    <row r="15043" spans="1:1" x14ac:dyDescent="0.2">
      <c r="A15043" s="101"/>
    </row>
    <row r="15044" spans="1:1" x14ac:dyDescent="0.2">
      <c r="A15044" s="101"/>
    </row>
    <row r="15045" spans="1:1" x14ac:dyDescent="0.2">
      <c r="A15045" s="101"/>
    </row>
    <row r="15046" spans="1:1" x14ac:dyDescent="0.2">
      <c r="A15046" s="101"/>
    </row>
    <row r="15047" spans="1:1" x14ac:dyDescent="0.2">
      <c r="A15047" s="101"/>
    </row>
    <row r="15048" spans="1:1" x14ac:dyDescent="0.2">
      <c r="A15048" s="101"/>
    </row>
    <row r="15049" spans="1:1" x14ac:dyDescent="0.2">
      <c r="A15049" s="101"/>
    </row>
    <row r="15050" spans="1:1" x14ac:dyDescent="0.2">
      <c r="A15050" s="101"/>
    </row>
    <row r="15051" spans="1:1" x14ac:dyDescent="0.2">
      <c r="A15051" s="101"/>
    </row>
    <row r="15052" spans="1:1" x14ac:dyDescent="0.2">
      <c r="A15052" s="101"/>
    </row>
    <row r="15053" spans="1:1" x14ac:dyDescent="0.2">
      <c r="A15053" s="101"/>
    </row>
    <row r="15054" spans="1:1" x14ac:dyDescent="0.2">
      <c r="A15054" s="101"/>
    </row>
    <row r="15055" spans="1:1" x14ac:dyDescent="0.2">
      <c r="A15055" s="101"/>
    </row>
    <row r="15056" spans="1:1" x14ac:dyDescent="0.2">
      <c r="A15056" s="101"/>
    </row>
    <row r="15057" spans="1:1" x14ac:dyDescent="0.2">
      <c r="A15057" s="101"/>
    </row>
    <row r="15058" spans="1:1" x14ac:dyDescent="0.2">
      <c r="A15058" s="101"/>
    </row>
    <row r="15059" spans="1:1" x14ac:dyDescent="0.2">
      <c r="A15059" s="101"/>
    </row>
    <row r="15060" spans="1:1" x14ac:dyDescent="0.2">
      <c r="A15060" s="101"/>
    </row>
    <row r="15061" spans="1:1" x14ac:dyDescent="0.2">
      <c r="A15061" s="101"/>
    </row>
    <row r="15062" spans="1:1" x14ac:dyDescent="0.2">
      <c r="A15062" s="101"/>
    </row>
    <row r="15063" spans="1:1" x14ac:dyDescent="0.2">
      <c r="A15063" s="101"/>
    </row>
    <row r="15064" spans="1:1" x14ac:dyDescent="0.2">
      <c r="A15064" s="101"/>
    </row>
    <row r="15065" spans="1:1" x14ac:dyDescent="0.2">
      <c r="A15065" s="101"/>
    </row>
    <row r="15066" spans="1:1" x14ac:dyDescent="0.2">
      <c r="A15066" s="101"/>
    </row>
    <row r="15067" spans="1:1" x14ac:dyDescent="0.2">
      <c r="A15067" s="101"/>
    </row>
    <row r="15068" spans="1:1" x14ac:dyDescent="0.2">
      <c r="A15068" s="101"/>
    </row>
    <row r="15069" spans="1:1" x14ac:dyDescent="0.2">
      <c r="A15069" s="101"/>
    </row>
    <row r="15070" spans="1:1" x14ac:dyDescent="0.2">
      <c r="A15070" s="101"/>
    </row>
    <row r="15071" spans="1:1" x14ac:dyDescent="0.2">
      <c r="A15071" s="101"/>
    </row>
    <row r="15072" spans="1:1" x14ac:dyDescent="0.2">
      <c r="A15072" s="101"/>
    </row>
    <row r="15073" spans="1:1" x14ac:dyDescent="0.2">
      <c r="A15073" s="101"/>
    </row>
    <row r="15074" spans="1:1" x14ac:dyDescent="0.2">
      <c r="A15074" s="101"/>
    </row>
    <row r="15075" spans="1:1" x14ac:dyDescent="0.2">
      <c r="A15075" s="101"/>
    </row>
    <row r="15076" spans="1:1" x14ac:dyDescent="0.2">
      <c r="A15076" s="101"/>
    </row>
    <row r="15077" spans="1:1" x14ac:dyDescent="0.2">
      <c r="A15077" s="101"/>
    </row>
    <row r="15078" spans="1:1" x14ac:dyDescent="0.2">
      <c r="A15078" s="101"/>
    </row>
    <row r="15079" spans="1:1" x14ac:dyDescent="0.2">
      <c r="A15079" s="101"/>
    </row>
    <row r="15080" spans="1:1" x14ac:dyDescent="0.2">
      <c r="A15080" s="101"/>
    </row>
    <row r="15081" spans="1:1" x14ac:dyDescent="0.2">
      <c r="A15081" s="101"/>
    </row>
    <row r="15082" spans="1:1" x14ac:dyDescent="0.2">
      <c r="A15082" s="101"/>
    </row>
    <row r="15083" spans="1:1" x14ac:dyDescent="0.2">
      <c r="A15083" s="101"/>
    </row>
    <row r="15084" spans="1:1" x14ac:dyDescent="0.2">
      <c r="A15084" s="101"/>
    </row>
    <row r="15085" spans="1:1" x14ac:dyDescent="0.2">
      <c r="A15085" s="101"/>
    </row>
    <row r="15086" spans="1:1" x14ac:dyDescent="0.2">
      <c r="A15086" s="101"/>
    </row>
    <row r="15087" spans="1:1" x14ac:dyDescent="0.2">
      <c r="A15087" s="101"/>
    </row>
    <row r="15088" spans="1:1" x14ac:dyDescent="0.2">
      <c r="A15088" s="101"/>
    </row>
    <row r="15089" spans="1:1" x14ac:dyDescent="0.2">
      <c r="A15089" s="101"/>
    </row>
    <row r="15090" spans="1:1" x14ac:dyDescent="0.2">
      <c r="A15090" s="101"/>
    </row>
    <row r="15091" spans="1:1" x14ac:dyDescent="0.2">
      <c r="A15091" s="101"/>
    </row>
    <row r="15092" spans="1:1" x14ac:dyDescent="0.2">
      <c r="A15092" s="101"/>
    </row>
    <row r="15093" spans="1:1" x14ac:dyDescent="0.2">
      <c r="A15093" s="101"/>
    </row>
    <row r="15094" spans="1:1" x14ac:dyDescent="0.2">
      <c r="A15094" s="101"/>
    </row>
    <row r="15095" spans="1:1" x14ac:dyDescent="0.2">
      <c r="A15095" s="101"/>
    </row>
    <row r="15096" spans="1:1" x14ac:dyDescent="0.2">
      <c r="A15096" s="101"/>
    </row>
    <row r="15097" spans="1:1" x14ac:dyDescent="0.2">
      <c r="A15097" s="101"/>
    </row>
    <row r="15098" spans="1:1" x14ac:dyDescent="0.2">
      <c r="A15098" s="101"/>
    </row>
    <row r="15099" spans="1:1" x14ac:dyDescent="0.2">
      <c r="A15099" s="101"/>
    </row>
    <row r="15100" spans="1:1" x14ac:dyDescent="0.2">
      <c r="A15100" s="101"/>
    </row>
    <row r="15101" spans="1:1" x14ac:dyDescent="0.2">
      <c r="A15101" s="101"/>
    </row>
    <row r="15102" spans="1:1" x14ac:dyDescent="0.2">
      <c r="A15102" s="101"/>
    </row>
    <row r="15103" spans="1:1" x14ac:dyDescent="0.2">
      <c r="A15103" s="101"/>
    </row>
    <row r="15104" spans="1:1" x14ac:dyDescent="0.2">
      <c r="A15104" s="101"/>
    </row>
    <row r="15105" spans="1:1" x14ac:dyDescent="0.2">
      <c r="A15105" s="101"/>
    </row>
    <row r="15106" spans="1:1" x14ac:dyDescent="0.2">
      <c r="A15106" s="101"/>
    </row>
    <row r="15107" spans="1:1" x14ac:dyDescent="0.2">
      <c r="A15107" s="101"/>
    </row>
    <row r="15108" spans="1:1" x14ac:dyDescent="0.2">
      <c r="A15108" s="101"/>
    </row>
    <row r="15109" spans="1:1" x14ac:dyDescent="0.2">
      <c r="A15109" s="101"/>
    </row>
    <row r="15110" spans="1:1" x14ac:dyDescent="0.2">
      <c r="A15110" s="101"/>
    </row>
    <row r="15111" spans="1:1" x14ac:dyDescent="0.2">
      <c r="A15111" s="101"/>
    </row>
    <row r="15112" spans="1:1" x14ac:dyDescent="0.2">
      <c r="A15112" s="101"/>
    </row>
    <row r="15113" spans="1:1" x14ac:dyDescent="0.2">
      <c r="A15113" s="101"/>
    </row>
    <row r="15114" spans="1:1" x14ac:dyDescent="0.2">
      <c r="A15114" s="101"/>
    </row>
    <row r="15115" spans="1:1" x14ac:dyDescent="0.2">
      <c r="A15115" s="101"/>
    </row>
    <row r="15116" spans="1:1" x14ac:dyDescent="0.2">
      <c r="A15116" s="101"/>
    </row>
    <row r="15117" spans="1:1" x14ac:dyDescent="0.2">
      <c r="A15117" s="101"/>
    </row>
    <row r="15118" spans="1:1" x14ac:dyDescent="0.2">
      <c r="A15118" s="101"/>
    </row>
    <row r="15119" spans="1:1" x14ac:dyDescent="0.2">
      <c r="A15119" s="101"/>
    </row>
    <row r="15120" spans="1:1" x14ac:dyDescent="0.2">
      <c r="A15120" s="101"/>
    </row>
    <row r="15121" spans="1:1" x14ac:dyDescent="0.2">
      <c r="A15121" s="101"/>
    </row>
    <row r="15122" spans="1:1" x14ac:dyDescent="0.2">
      <c r="A15122" s="101"/>
    </row>
    <row r="15123" spans="1:1" x14ac:dyDescent="0.2">
      <c r="A15123" s="101"/>
    </row>
    <row r="15124" spans="1:1" x14ac:dyDescent="0.2">
      <c r="A15124" s="101"/>
    </row>
    <row r="15125" spans="1:1" x14ac:dyDescent="0.2">
      <c r="A15125" s="101"/>
    </row>
    <row r="15126" spans="1:1" x14ac:dyDescent="0.2">
      <c r="A15126" s="101"/>
    </row>
    <row r="15127" spans="1:1" x14ac:dyDescent="0.2">
      <c r="A15127" s="101"/>
    </row>
    <row r="15128" spans="1:1" x14ac:dyDescent="0.2">
      <c r="A15128" s="101"/>
    </row>
    <row r="15129" spans="1:1" x14ac:dyDescent="0.2">
      <c r="A15129" s="101"/>
    </row>
    <row r="15130" spans="1:1" x14ac:dyDescent="0.2">
      <c r="A15130" s="101"/>
    </row>
    <row r="15131" spans="1:1" x14ac:dyDescent="0.2">
      <c r="A15131" s="101"/>
    </row>
    <row r="15132" spans="1:1" x14ac:dyDescent="0.2">
      <c r="A15132" s="101"/>
    </row>
    <row r="15133" spans="1:1" x14ac:dyDescent="0.2">
      <c r="A15133" s="101"/>
    </row>
    <row r="15134" spans="1:1" x14ac:dyDescent="0.2">
      <c r="A15134" s="101"/>
    </row>
    <row r="15135" spans="1:1" x14ac:dyDescent="0.2">
      <c r="A15135" s="101"/>
    </row>
    <row r="15136" spans="1:1" x14ac:dyDescent="0.2">
      <c r="A15136" s="101"/>
    </row>
    <row r="15137" spans="1:1" x14ac:dyDescent="0.2">
      <c r="A15137" s="101"/>
    </row>
    <row r="15138" spans="1:1" x14ac:dyDescent="0.2">
      <c r="A15138" s="101"/>
    </row>
    <row r="15139" spans="1:1" x14ac:dyDescent="0.2">
      <c r="A15139" s="101"/>
    </row>
    <row r="15140" spans="1:1" x14ac:dyDescent="0.2">
      <c r="A15140" s="101"/>
    </row>
    <row r="15141" spans="1:1" x14ac:dyDescent="0.2">
      <c r="A15141" s="101"/>
    </row>
    <row r="15142" spans="1:1" x14ac:dyDescent="0.2">
      <c r="A15142" s="101"/>
    </row>
    <row r="15143" spans="1:1" x14ac:dyDescent="0.2">
      <c r="A15143" s="101"/>
    </row>
    <row r="15144" spans="1:1" x14ac:dyDescent="0.2">
      <c r="A15144" s="101"/>
    </row>
    <row r="15145" spans="1:1" x14ac:dyDescent="0.2">
      <c r="A15145" s="101"/>
    </row>
    <row r="15146" spans="1:1" x14ac:dyDescent="0.2">
      <c r="A15146" s="101"/>
    </row>
    <row r="15147" spans="1:1" x14ac:dyDescent="0.2">
      <c r="A15147" s="101"/>
    </row>
    <row r="15148" spans="1:1" x14ac:dyDescent="0.2">
      <c r="A15148" s="101"/>
    </row>
    <row r="15149" spans="1:1" x14ac:dyDescent="0.2">
      <c r="A15149" s="101"/>
    </row>
    <row r="15150" spans="1:1" x14ac:dyDescent="0.2">
      <c r="A15150" s="101"/>
    </row>
    <row r="15151" spans="1:1" x14ac:dyDescent="0.2">
      <c r="A15151" s="101"/>
    </row>
    <row r="15152" spans="1:1" x14ac:dyDescent="0.2">
      <c r="A15152" s="101"/>
    </row>
    <row r="15153" spans="1:1" x14ac:dyDescent="0.2">
      <c r="A15153" s="101"/>
    </row>
    <row r="15154" spans="1:1" x14ac:dyDescent="0.2">
      <c r="A15154" s="101"/>
    </row>
    <row r="15155" spans="1:1" x14ac:dyDescent="0.2">
      <c r="A15155" s="101"/>
    </row>
    <row r="15156" spans="1:1" x14ac:dyDescent="0.2">
      <c r="A15156" s="101"/>
    </row>
    <row r="15157" spans="1:1" x14ac:dyDescent="0.2">
      <c r="A15157" s="101"/>
    </row>
    <row r="15158" spans="1:1" x14ac:dyDescent="0.2">
      <c r="A15158" s="101"/>
    </row>
    <row r="15159" spans="1:1" x14ac:dyDescent="0.2">
      <c r="A15159" s="101"/>
    </row>
    <row r="15160" spans="1:1" x14ac:dyDescent="0.2">
      <c r="A15160" s="101"/>
    </row>
    <row r="15161" spans="1:1" x14ac:dyDescent="0.2">
      <c r="A15161" s="101"/>
    </row>
    <row r="15162" spans="1:1" x14ac:dyDescent="0.2">
      <c r="A15162" s="101"/>
    </row>
    <row r="15163" spans="1:1" x14ac:dyDescent="0.2">
      <c r="A15163" s="101"/>
    </row>
    <row r="15164" spans="1:1" x14ac:dyDescent="0.2">
      <c r="A15164" s="101"/>
    </row>
    <row r="15165" spans="1:1" x14ac:dyDescent="0.2">
      <c r="A15165" s="101"/>
    </row>
    <row r="15166" spans="1:1" x14ac:dyDescent="0.2">
      <c r="A15166" s="101"/>
    </row>
    <row r="15167" spans="1:1" x14ac:dyDescent="0.2">
      <c r="A15167" s="101"/>
    </row>
    <row r="15168" spans="1:1" x14ac:dyDescent="0.2">
      <c r="A15168" s="101"/>
    </row>
    <row r="15169" spans="1:1" x14ac:dyDescent="0.2">
      <c r="A15169" s="101"/>
    </row>
    <row r="15170" spans="1:1" x14ac:dyDescent="0.2">
      <c r="A15170" s="101"/>
    </row>
    <row r="15171" spans="1:1" x14ac:dyDescent="0.2">
      <c r="A15171" s="101"/>
    </row>
    <row r="15172" spans="1:1" x14ac:dyDescent="0.2">
      <c r="A15172" s="101"/>
    </row>
    <row r="15173" spans="1:1" x14ac:dyDescent="0.2">
      <c r="A15173" s="101"/>
    </row>
    <row r="15174" spans="1:1" x14ac:dyDescent="0.2">
      <c r="A15174" s="101"/>
    </row>
    <row r="15175" spans="1:1" x14ac:dyDescent="0.2">
      <c r="A15175" s="101"/>
    </row>
    <row r="15176" spans="1:1" x14ac:dyDescent="0.2">
      <c r="A15176" s="101"/>
    </row>
    <row r="15177" spans="1:1" x14ac:dyDescent="0.2">
      <c r="A15177" s="101"/>
    </row>
    <row r="15178" spans="1:1" x14ac:dyDescent="0.2">
      <c r="A15178" s="101"/>
    </row>
    <row r="15179" spans="1:1" x14ac:dyDescent="0.2">
      <c r="A15179" s="101"/>
    </row>
    <row r="15180" spans="1:1" x14ac:dyDescent="0.2">
      <c r="A15180" s="101"/>
    </row>
    <row r="15181" spans="1:1" x14ac:dyDescent="0.2">
      <c r="A15181" s="101"/>
    </row>
    <row r="15182" spans="1:1" x14ac:dyDescent="0.2">
      <c r="A15182" s="101"/>
    </row>
    <row r="15183" spans="1:1" x14ac:dyDescent="0.2">
      <c r="A15183" s="101"/>
    </row>
    <row r="15184" spans="1:1" x14ac:dyDescent="0.2">
      <c r="A15184" s="101"/>
    </row>
    <row r="15185" spans="1:1" x14ac:dyDescent="0.2">
      <c r="A15185" s="101"/>
    </row>
    <row r="15186" spans="1:1" x14ac:dyDescent="0.2">
      <c r="A15186" s="101"/>
    </row>
    <row r="15187" spans="1:1" x14ac:dyDescent="0.2">
      <c r="A15187" s="101"/>
    </row>
    <row r="15188" spans="1:1" x14ac:dyDescent="0.2">
      <c r="A15188" s="101"/>
    </row>
    <row r="15189" spans="1:1" x14ac:dyDescent="0.2">
      <c r="A15189" s="101"/>
    </row>
    <row r="15190" spans="1:1" x14ac:dyDescent="0.2">
      <c r="A15190" s="101"/>
    </row>
    <row r="15191" spans="1:1" x14ac:dyDescent="0.2">
      <c r="A15191" s="101"/>
    </row>
    <row r="15192" spans="1:1" x14ac:dyDescent="0.2">
      <c r="A15192" s="101"/>
    </row>
    <row r="15193" spans="1:1" x14ac:dyDescent="0.2">
      <c r="A15193" s="101"/>
    </row>
    <row r="15194" spans="1:1" x14ac:dyDescent="0.2">
      <c r="A15194" s="101"/>
    </row>
    <row r="15195" spans="1:1" x14ac:dyDescent="0.2">
      <c r="A15195" s="101"/>
    </row>
    <row r="15196" spans="1:1" x14ac:dyDescent="0.2">
      <c r="A15196" s="101"/>
    </row>
    <row r="15197" spans="1:1" x14ac:dyDescent="0.2">
      <c r="A15197" s="101"/>
    </row>
    <row r="15198" spans="1:1" x14ac:dyDescent="0.2">
      <c r="A15198" s="101"/>
    </row>
    <row r="15199" spans="1:1" x14ac:dyDescent="0.2">
      <c r="A15199" s="101"/>
    </row>
    <row r="15200" spans="1:1" x14ac:dyDescent="0.2">
      <c r="A15200" s="101"/>
    </row>
    <row r="15201" spans="1:1" x14ac:dyDescent="0.2">
      <c r="A15201" s="101"/>
    </row>
    <row r="15202" spans="1:1" x14ac:dyDescent="0.2">
      <c r="A15202" s="101"/>
    </row>
    <row r="15203" spans="1:1" x14ac:dyDescent="0.2">
      <c r="A15203" s="101"/>
    </row>
    <row r="15204" spans="1:1" x14ac:dyDescent="0.2">
      <c r="A15204" s="101"/>
    </row>
    <row r="15205" spans="1:1" x14ac:dyDescent="0.2">
      <c r="A15205" s="101"/>
    </row>
    <row r="15206" spans="1:1" x14ac:dyDescent="0.2">
      <c r="A15206" s="101"/>
    </row>
    <row r="15207" spans="1:1" x14ac:dyDescent="0.2">
      <c r="A15207" s="101"/>
    </row>
    <row r="15208" spans="1:1" x14ac:dyDescent="0.2">
      <c r="A15208" s="101"/>
    </row>
    <row r="15209" spans="1:1" x14ac:dyDescent="0.2">
      <c r="A15209" s="101"/>
    </row>
    <row r="15210" spans="1:1" x14ac:dyDescent="0.2">
      <c r="A15210" s="101"/>
    </row>
    <row r="15211" spans="1:1" x14ac:dyDescent="0.2">
      <c r="A15211" s="101"/>
    </row>
    <row r="15212" spans="1:1" x14ac:dyDescent="0.2">
      <c r="A15212" s="101"/>
    </row>
    <row r="15213" spans="1:1" x14ac:dyDescent="0.2">
      <c r="A15213" s="101"/>
    </row>
    <row r="15214" spans="1:1" x14ac:dyDescent="0.2">
      <c r="A15214" s="101"/>
    </row>
    <row r="15215" spans="1:1" x14ac:dyDescent="0.2">
      <c r="A15215" s="101"/>
    </row>
    <row r="15216" spans="1:1" x14ac:dyDescent="0.2">
      <c r="A15216" s="101"/>
    </row>
    <row r="15217" spans="1:1" x14ac:dyDescent="0.2">
      <c r="A15217" s="101"/>
    </row>
    <row r="15218" spans="1:1" x14ac:dyDescent="0.2">
      <c r="A15218" s="101"/>
    </row>
    <row r="15219" spans="1:1" x14ac:dyDescent="0.2">
      <c r="A15219" s="101"/>
    </row>
    <row r="15220" spans="1:1" x14ac:dyDescent="0.2">
      <c r="A15220" s="101"/>
    </row>
    <row r="15221" spans="1:1" x14ac:dyDescent="0.2">
      <c r="A15221" s="101"/>
    </row>
    <row r="15222" spans="1:1" x14ac:dyDescent="0.2">
      <c r="A15222" s="101"/>
    </row>
    <row r="15223" spans="1:1" x14ac:dyDescent="0.2">
      <c r="A15223" s="101"/>
    </row>
    <row r="15224" spans="1:1" x14ac:dyDescent="0.2">
      <c r="A15224" s="101"/>
    </row>
    <row r="15225" spans="1:1" x14ac:dyDescent="0.2">
      <c r="A15225" s="101"/>
    </row>
    <row r="15226" spans="1:1" x14ac:dyDescent="0.2">
      <c r="A15226" s="101"/>
    </row>
    <row r="15227" spans="1:1" x14ac:dyDescent="0.2">
      <c r="A15227" s="101"/>
    </row>
    <row r="15228" spans="1:1" x14ac:dyDescent="0.2">
      <c r="A15228" s="101"/>
    </row>
    <row r="15229" spans="1:1" x14ac:dyDescent="0.2">
      <c r="A15229" s="101"/>
    </row>
    <row r="15230" spans="1:1" x14ac:dyDescent="0.2">
      <c r="A15230" s="101"/>
    </row>
    <row r="15231" spans="1:1" x14ac:dyDescent="0.2">
      <c r="A15231" s="101"/>
    </row>
    <row r="15232" spans="1:1" x14ac:dyDescent="0.2">
      <c r="A15232" s="101"/>
    </row>
    <row r="15233" spans="1:1" x14ac:dyDescent="0.2">
      <c r="A15233" s="101"/>
    </row>
    <row r="15234" spans="1:1" x14ac:dyDescent="0.2">
      <c r="A15234" s="101"/>
    </row>
    <row r="15235" spans="1:1" x14ac:dyDescent="0.2">
      <c r="A15235" s="101"/>
    </row>
    <row r="15236" spans="1:1" x14ac:dyDescent="0.2">
      <c r="A15236" s="101"/>
    </row>
    <row r="15237" spans="1:1" x14ac:dyDescent="0.2">
      <c r="A15237" s="101"/>
    </row>
    <row r="15238" spans="1:1" x14ac:dyDescent="0.2">
      <c r="A15238" s="101"/>
    </row>
    <row r="15239" spans="1:1" x14ac:dyDescent="0.2">
      <c r="A15239" s="101"/>
    </row>
    <row r="15240" spans="1:1" x14ac:dyDescent="0.2">
      <c r="A15240" s="101"/>
    </row>
    <row r="15241" spans="1:1" x14ac:dyDescent="0.2">
      <c r="A15241" s="101"/>
    </row>
    <row r="15242" spans="1:1" x14ac:dyDescent="0.2">
      <c r="A15242" s="101"/>
    </row>
    <row r="15243" spans="1:1" x14ac:dyDescent="0.2">
      <c r="A15243" s="101"/>
    </row>
    <row r="15244" spans="1:1" x14ac:dyDescent="0.2">
      <c r="A15244" s="101"/>
    </row>
    <row r="15245" spans="1:1" x14ac:dyDescent="0.2">
      <c r="A15245" s="101"/>
    </row>
    <row r="15246" spans="1:1" x14ac:dyDescent="0.2">
      <c r="A15246" s="101"/>
    </row>
    <row r="15247" spans="1:1" x14ac:dyDescent="0.2">
      <c r="A15247" s="101"/>
    </row>
    <row r="15248" spans="1:1" x14ac:dyDescent="0.2">
      <c r="A15248" s="101"/>
    </row>
    <row r="15249" spans="1:1" x14ac:dyDescent="0.2">
      <c r="A15249" s="101"/>
    </row>
    <row r="15250" spans="1:1" x14ac:dyDescent="0.2">
      <c r="A15250" s="101"/>
    </row>
    <row r="15251" spans="1:1" x14ac:dyDescent="0.2">
      <c r="A15251" s="101"/>
    </row>
    <row r="15252" spans="1:1" x14ac:dyDescent="0.2">
      <c r="A15252" s="101"/>
    </row>
    <row r="15253" spans="1:1" x14ac:dyDescent="0.2">
      <c r="A15253" s="101"/>
    </row>
    <row r="15254" spans="1:1" x14ac:dyDescent="0.2">
      <c r="A15254" s="101"/>
    </row>
    <row r="15255" spans="1:1" x14ac:dyDescent="0.2">
      <c r="A15255" s="101"/>
    </row>
    <row r="15256" spans="1:1" x14ac:dyDescent="0.2">
      <c r="A15256" s="101"/>
    </row>
    <row r="15257" spans="1:1" x14ac:dyDescent="0.2">
      <c r="A15257" s="101"/>
    </row>
    <row r="15258" spans="1:1" x14ac:dyDescent="0.2">
      <c r="A15258" s="101"/>
    </row>
    <row r="15259" spans="1:1" x14ac:dyDescent="0.2">
      <c r="A15259" s="101"/>
    </row>
    <row r="15260" spans="1:1" x14ac:dyDescent="0.2">
      <c r="A15260" s="101"/>
    </row>
    <row r="15261" spans="1:1" x14ac:dyDescent="0.2">
      <c r="A15261" s="101"/>
    </row>
    <row r="15262" spans="1:1" x14ac:dyDescent="0.2">
      <c r="A15262" s="101"/>
    </row>
    <row r="15263" spans="1:1" x14ac:dyDescent="0.2">
      <c r="A15263" s="101"/>
    </row>
    <row r="15264" spans="1:1" x14ac:dyDescent="0.2">
      <c r="A15264" s="101"/>
    </row>
    <row r="15265" spans="1:1" x14ac:dyDescent="0.2">
      <c r="A15265" s="101"/>
    </row>
    <row r="15266" spans="1:1" x14ac:dyDescent="0.2">
      <c r="A15266" s="101"/>
    </row>
    <row r="15267" spans="1:1" x14ac:dyDescent="0.2">
      <c r="A15267" s="101"/>
    </row>
    <row r="15268" spans="1:1" x14ac:dyDescent="0.2">
      <c r="A15268" s="101"/>
    </row>
    <row r="15269" spans="1:1" x14ac:dyDescent="0.2">
      <c r="A15269" s="101"/>
    </row>
    <row r="15270" spans="1:1" x14ac:dyDescent="0.2">
      <c r="A15270" s="101"/>
    </row>
    <row r="15271" spans="1:1" x14ac:dyDescent="0.2">
      <c r="A15271" s="101"/>
    </row>
    <row r="15272" spans="1:1" x14ac:dyDescent="0.2">
      <c r="A15272" s="101"/>
    </row>
    <row r="15273" spans="1:1" x14ac:dyDescent="0.2">
      <c r="A15273" s="101"/>
    </row>
    <row r="15274" spans="1:1" x14ac:dyDescent="0.2">
      <c r="A15274" s="101"/>
    </row>
    <row r="15275" spans="1:1" x14ac:dyDescent="0.2">
      <c r="A15275" s="101"/>
    </row>
    <row r="15276" spans="1:1" x14ac:dyDescent="0.2">
      <c r="A15276" s="101"/>
    </row>
    <row r="15277" spans="1:1" x14ac:dyDescent="0.2">
      <c r="A15277" s="101"/>
    </row>
    <row r="15278" spans="1:1" x14ac:dyDescent="0.2">
      <c r="A15278" s="101"/>
    </row>
    <row r="15279" spans="1:1" x14ac:dyDescent="0.2">
      <c r="A15279" s="101"/>
    </row>
    <row r="15280" spans="1:1" x14ac:dyDescent="0.2">
      <c r="A15280" s="101"/>
    </row>
    <row r="15281" spans="1:1" x14ac:dyDescent="0.2">
      <c r="A15281" s="101"/>
    </row>
    <row r="15282" spans="1:1" x14ac:dyDescent="0.2">
      <c r="A15282" s="101"/>
    </row>
    <row r="15283" spans="1:1" x14ac:dyDescent="0.2">
      <c r="A15283" s="101"/>
    </row>
    <row r="15284" spans="1:1" x14ac:dyDescent="0.2">
      <c r="A15284" s="101"/>
    </row>
    <row r="15285" spans="1:1" x14ac:dyDescent="0.2">
      <c r="A15285" s="101"/>
    </row>
    <row r="15286" spans="1:1" x14ac:dyDescent="0.2">
      <c r="A15286" s="101"/>
    </row>
    <row r="15287" spans="1:1" x14ac:dyDescent="0.2">
      <c r="A15287" s="101"/>
    </row>
    <row r="15288" spans="1:1" x14ac:dyDescent="0.2">
      <c r="A15288" s="101"/>
    </row>
    <row r="15289" spans="1:1" x14ac:dyDescent="0.2">
      <c r="A15289" s="101"/>
    </row>
    <row r="15290" spans="1:1" x14ac:dyDescent="0.2">
      <c r="A15290" s="101"/>
    </row>
    <row r="15291" spans="1:1" x14ac:dyDescent="0.2">
      <c r="A15291" s="101"/>
    </row>
    <row r="15292" spans="1:1" x14ac:dyDescent="0.2">
      <c r="A15292" s="101"/>
    </row>
    <row r="15293" spans="1:1" x14ac:dyDescent="0.2">
      <c r="A15293" s="101"/>
    </row>
    <row r="15294" spans="1:1" x14ac:dyDescent="0.2">
      <c r="A15294" s="101"/>
    </row>
    <row r="15295" spans="1:1" x14ac:dyDescent="0.2">
      <c r="A15295" s="101"/>
    </row>
    <row r="15296" spans="1:1" x14ac:dyDescent="0.2">
      <c r="A15296" s="101"/>
    </row>
    <row r="15297" spans="1:1" x14ac:dyDescent="0.2">
      <c r="A15297" s="101"/>
    </row>
    <row r="15298" spans="1:1" x14ac:dyDescent="0.2">
      <c r="A15298" s="101"/>
    </row>
    <row r="15299" spans="1:1" x14ac:dyDescent="0.2">
      <c r="A15299" s="101"/>
    </row>
    <row r="15300" spans="1:1" x14ac:dyDescent="0.2">
      <c r="A15300" s="101"/>
    </row>
    <row r="15301" spans="1:1" x14ac:dyDescent="0.2">
      <c r="A15301" s="101"/>
    </row>
    <row r="15302" spans="1:1" x14ac:dyDescent="0.2">
      <c r="A15302" s="101"/>
    </row>
    <row r="15303" spans="1:1" x14ac:dyDescent="0.2">
      <c r="A15303" s="101"/>
    </row>
    <row r="15304" spans="1:1" x14ac:dyDescent="0.2">
      <c r="A15304" s="101"/>
    </row>
    <row r="15305" spans="1:1" x14ac:dyDescent="0.2">
      <c r="A15305" s="101"/>
    </row>
    <row r="15306" spans="1:1" x14ac:dyDescent="0.2">
      <c r="A15306" s="101"/>
    </row>
    <row r="15307" spans="1:1" x14ac:dyDescent="0.2">
      <c r="A15307" s="101"/>
    </row>
    <row r="15308" spans="1:1" x14ac:dyDescent="0.2">
      <c r="A15308" s="101"/>
    </row>
    <row r="15309" spans="1:1" x14ac:dyDescent="0.2">
      <c r="A15309" s="101"/>
    </row>
    <row r="15310" spans="1:1" x14ac:dyDescent="0.2">
      <c r="A15310" s="101"/>
    </row>
    <row r="15311" spans="1:1" x14ac:dyDescent="0.2">
      <c r="A15311" s="101"/>
    </row>
    <row r="15312" spans="1:1" x14ac:dyDescent="0.2">
      <c r="A15312" s="101"/>
    </row>
    <row r="15313" spans="1:1" x14ac:dyDescent="0.2">
      <c r="A15313" s="101"/>
    </row>
    <row r="15314" spans="1:1" x14ac:dyDescent="0.2">
      <c r="A15314" s="101"/>
    </row>
    <row r="15315" spans="1:1" x14ac:dyDescent="0.2">
      <c r="A15315" s="101"/>
    </row>
    <row r="15316" spans="1:1" x14ac:dyDescent="0.2">
      <c r="A15316" s="101"/>
    </row>
    <row r="15317" spans="1:1" x14ac:dyDescent="0.2">
      <c r="A15317" s="101"/>
    </row>
    <row r="15318" spans="1:1" x14ac:dyDescent="0.2">
      <c r="A15318" s="101"/>
    </row>
    <row r="15319" spans="1:1" x14ac:dyDescent="0.2">
      <c r="A15319" s="101"/>
    </row>
    <row r="15320" spans="1:1" x14ac:dyDescent="0.2">
      <c r="A15320" s="101"/>
    </row>
    <row r="15321" spans="1:1" x14ac:dyDescent="0.2">
      <c r="A15321" s="101"/>
    </row>
    <row r="15322" spans="1:1" x14ac:dyDescent="0.2">
      <c r="A15322" s="101"/>
    </row>
    <row r="15323" spans="1:1" x14ac:dyDescent="0.2">
      <c r="A15323" s="101"/>
    </row>
    <row r="15324" spans="1:1" x14ac:dyDescent="0.2">
      <c r="A15324" s="101"/>
    </row>
    <row r="15325" spans="1:1" x14ac:dyDescent="0.2">
      <c r="A15325" s="101"/>
    </row>
    <row r="15326" spans="1:1" x14ac:dyDescent="0.2">
      <c r="A15326" s="101"/>
    </row>
    <row r="15327" spans="1:1" x14ac:dyDescent="0.2">
      <c r="A15327" s="101"/>
    </row>
    <row r="15328" spans="1:1" x14ac:dyDescent="0.2">
      <c r="A15328" s="101"/>
    </row>
    <row r="15329" spans="1:1" x14ac:dyDescent="0.2">
      <c r="A15329" s="101"/>
    </row>
    <row r="15330" spans="1:1" x14ac:dyDescent="0.2">
      <c r="A15330" s="101"/>
    </row>
    <row r="15331" spans="1:1" x14ac:dyDescent="0.2">
      <c r="A15331" s="101"/>
    </row>
    <row r="15332" spans="1:1" x14ac:dyDescent="0.2">
      <c r="A15332" s="101"/>
    </row>
    <row r="15333" spans="1:1" x14ac:dyDescent="0.2">
      <c r="A15333" s="101"/>
    </row>
    <row r="15334" spans="1:1" x14ac:dyDescent="0.2">
      <c r="A15334" s="101"/>
    </row>
    <row r="15335" spans="1:1" x14ac:dyDescent="0.2">
      <c r="A15335" s="101"/>
    </row>
    <row r="15336" spans="1:1" x14ac:dyDescent="0.2">
      <c r="A15336" s="101"/>
    </row>
    <row r="15337" spans="1:1" x14ac:dyDescent="0.2">
      <c r="A15337" s="101"/>
    </row>
    <row r="15338" spans="1:1" x14ac:dyDescent="0.2">
      <c r="A15338" s="101"/>
    </row>
    <row r="15339" spans="1:1" x14ac:dyDescent="0.2">
      <c r="A15339" s="101"/>
    </row>
    <row r="15340" spans="1:1" x14ac:dyDescent="0.2">
      <c r="A15340" s="101"/>
    </row>
    <row r="15341" spans="1:1" x14ac:dyDescent="0.2">
      <c r="A15341" s="101"/>
    </row>
    <row r="15342" spans="1:1" x14ac:dyDescent="0.2">
      <c r="A15342" s="101"/>
    </row>
    <row r="15343" spans="1:1" x14ac:dyDescent="0.2">
      <c r="A15343" s="101"/>
    </row>
    <row r="15344" spans="1:1" x14ac:dyDescent="0.2">
      <c r="A15344" s="101"/>
    </row>
    <row r="15345" spans="1:1" x14ac:dyDescent="0.2">
      <c r="A15345" s="101"/>
    </row>
    <row r="15346" spans="1:1" x14ac:dyDescent="0.2">
      <c r="A15346" s="101"/>
    </row>
    <row r="15347" spans="1:1" x14ac:dyDescent="0.2">
      <c r="A15347" s="101"/>
    </row>
    <row r="15348" spans="1:1" x14ac:dyDescent="0.2">
      <c r="A15348" s="101"/>
    </row>
    <row r="15349" spans="1:1" x14ac:dyDescent="0.2">
      <c r="A15349" s="101"/>
    </row>
    <row r="15350" spans="1:1" x14ac:dyDescent="0.2">
      <c r="A15350" s="101"/>
    </row>
    <row r="15351" spans="1:1" x14ac:dyDescent="0.2">
      <c r="A15351" s="101"/>
    </row>
    <row r="15352" spans="1:1" x14ac:dyDescent="0.2">
      <c r="A15352" s="101"/>
    </row>
    <row r="15353" spans="1:1" x14ac:dyDescent="0.2">
      <c r="A15353" s="101"/>
    </row>
    <row r="15354" spans="1:1" x14ac:dyDescent="0.2">
      <c r="A15354" s="101"/>
    </row>
    <row r="15355" spans="1:1" x14ac:dyDescent="0.2">
      <c r="A15355" s="101"/>
    </row>
    <row r="15356" spans="1:1" x14ac:dyDescent="0.2">
      <c r="A15356" s="101"/>
    </row>
    <row r="15357" spans="1:1" x14ac:dyDescent="0.2">
      <c r="A15357" s="101"/>
    </row>
    <row r="15358" spans="1:1" x14ac:dyDescent="0.2">
      <c r="A15358" s="101"/>
    </row>
    <row r="15359" spans="1:1" x14ac:dyDescent="0.2">
      <c r="A15359" s="101"/>
    </row>
    <row r="15360" spans="1:1" x14ac:dyDescent="0.2">
      <c r="A15360" s="101"/>
    </row>
    <row r="15361" spans="1:1" x14ac:dyDescent="0.2">
      <c r="A15361" s="101"/>
    </row>
    <row r="15362" spans="1:1" x14ac:dyDescent="0.2">
      <c r="A15362" s="101"/>
    </row>
    <row r="15363" spans="1:1" x14ac:dyDescent="0.2">
      <c r="A15363" s="101"/>
    </row>
    <row r="15364" spans="1:1" x14ac:dyDescent="0.2">
      <c r="A15364" s="101"/>
    </row>
    <row r="15365" spans="1:1" x14ac:dyDescent="0.2">
      <c r="A15365" s="101"/>
    </row>
    <row r="15366" spans="1:1" x14ac:dyDescent="0.2">
      <c r="A15366" s="101"/>
    </row>
    <row r="15367" spans="1:1" x14ac:dyDescent="0.2">
      <c r="A15367" s="101"/>
    </row>
    <row r="15368" spans="1:1" x14ac:dyDescent="0.2">
      <c r="A15368" s="101"/>
    </row>
    <row r="15369" spans="1:1" x14ac:dyDescent="0.2">
      <c r="A15369" s="101"/>
    </row>
    <row r="15370" spans="1:1" x14ac:dyDescent="0.2">
      <c r="A15370" s="101"/>
    </row>
    <row r="15371" spans="1:1" x14ac:dyDescent="0.2">
      <c r="A15371" s="101"/>
    </row>
    <row r="15372" spans="1:1" x14ac:dyDescent="0.2">
      <c r="A15372" s="101"/>
    </row>
    <row r="15373" spans="1:1" x14ac:dyDescent="0.2">
      <c r="A15373" s="101"/>
    </row>
    <row r="15374" spans="1:1" x14ac:dyDescent="0.2">
      <c r="A15374" s="101"/>
    </row>
    <row r="15375" spans="1:1" x14ac:dyDescent="0.2">
      <c r="A15375" s="101"/>
    </row>
    <row r="15376" spans="1:1" x14ac:dyDescent="0.2">
      <c r="A15376" s="101"/>
    </row>
    <row r="15377" spans="1:1" x14ac:dyDescent="0.2">
      <c r="A15377" s="101"/>
    </row>
    <row r="15378" spans="1:1" x14ac:dyDescent="0.2">
      <c r="A15378" s="101"/>
    </row>
    <row r="15379" spans="1:1" x14ac:dyDescent="0.2">
      <c r="A15379" s="101"/>
    </row>
    <row r="15380" spans="1:1" x14ac:dyDescent="0.2">
      <c r="A15380" s="101"/>
    </row>
    <row r="15381" spans="1:1" x14ac:dyDescent="0.2">
      <c r="A15381" s="101"/>
    </row>
    <row r="15382" spans="1:1" x14ac:dyDescent="0.2">
      <c r="A15382" s="101"/>
    </row>
    <row r="15383" spans="1:1" x14ac:dyDescent="0.2">
      <c r="A15383" s="101"/>
    </row>
    <row r="15384" spans="1:1" x14ac:dyDescent="0.2">
      <c r="A15384" s="101"/>
    </row>
    <row r="15385" spans="1:1" x14ac:dyDescent="0.2">
      <c r="A15385" s="101"/>
    </row>
    <row r="15386" spans="1:1" x14ac:dyDescent="0.2">
      <c r="A15386" s="101"/>
    </row>
    <row r="15387" spans="1:1" x14ac:dyDescent="0.2">
      <c r="A15387" s="101"/>
    </row>
    <row r="15388" spans="1:1" x14ac:dyDescent="0.2">
      <c r="A15388" s="101"/>
    </row>
    <row r="15389" spans="1:1" x14ac:dyDescent="0.2">
      <c r="A15389" s="101"/>
    </row>
    <row r="15390" spans="1:1" x14ac:dyDescent="0.2">
      <c r="A15390" s="101"/>
    </row>
    <row r="15391" spans="1:1" x14ac:dyDescent="0.2">
      <c r="A15391" s="101"/>
    </row>
    <row r="15392" spans="1:1" x14ac:dyDescent="0.2">
      <c r="A15392" s="101"/>
    </row>
    <row r="15393" spans="1:1" x14ac:dyDescent="0.2">
      <c r="A15393" s="101"/>
    </row>
    <row r="15394" spans="1:1" x14ac:dyDescent="0.2">
      <c r="A15394" s="101"/>
    </row>
    <row r="15395" spans="1:1" x14ac:dyDescent="0.2">
      <c r="A15395" s="101"/>
    </row>
    <row r="15396" spans="1:1" x14ac:dyDescent="0.2">
      <c r="A15396" s="101"/>
    </row>
    <row r="15397" spans="1:1" x14ac:dyDescent="0.2">
      <c r="A15397" s="101"/>
    </row>
    <row r="15398" spans="1:1" x14ac:dyDescent="0.2">
      <c r="A15398" s="101"/>
    </row>
    <row r="15399" spans="1:1" x14ac:dyDescent="0.2">
      <c r="A15399" s="101"/>
    </row>
    <row r="15400" spans="1:1" x14ac:dyDescent="0.2">
      <c r="A15400" s="101"/>
    </row>
    <row r="15401" spans="1:1" x14ac:dyDescent="0.2">
      <c r="A15401" s="101"/>
    </row>
    <row r="15402" spans="1:1" x14ac:dyDescent="0.2">
      <c r="A15402" s="101"/>
    </row>
    <row r="15403" spans="1:1" x14ac:dyDescent="0.2">
      <c r="A15403" s="101"/>
    </row>
    <row r="15404" spans="1:1" x14ac:dyDescent="0.2">
      <c r="A15404" s="101"/>
    </row>
    <row r="15405" spans="1:1" x14ac:dyDescent="0.2">
      <c r="A15405" s="101"/>
    </row>
    <row r="15406" spans="1:1" x14ac:dyDescent="0.2">
      <c r="A15406" s="101"/>
    </row>
    <row r="15407" spans="1:1" x14ac:dyDescent="0.2">
      <c r="A15407" s="101"/>
    </row>
    <row r="15408" spans="1:1" x14ac:dyDescent="0.2">
      <c r="A15408" s="101"/>
    </row>
    <row r="15409" spans="1:1" x14ac:dyDescent="0.2">
      <c r="A15409" s="101"/>
    </row>
    <row r="15410" spans="1:1" x14ac:dyDescent="0.2">
      <c r="A15410" s="101"/>
    </row>
    <row r="15411" spans="1:1" x14ac:dyDescent="0.2">
      <c r="A15411" s="101"/>
    </row>
    <row r="15412" spans="1:1" x14ac:dyDescent="0.2">
      <c r="A15412" s="101"/>
    </row>
    <row r="15413" spans="1:1" x14ac:dyDescent="0.2">
      <c r="A15413" s="101"/>
    </row>
    <row r="15414" spans="1:1" x14ac:dyDescent="0.2">
      <c r="A15414" s="101"/>
    </row>
    <row r="15415" spans="1:1" x14ac:dyDescent="0.2">
      <c r="A15415" s="101"/>
    </row>
    <row r="15416" spans="1:1" x14ac:dyDescent="0.2">
      <c r="A15416" s="101"/>
    </row>
    <row r="15417" spans="1:1" x14ac:dyDescent="0.2">
      <c r="A15417" s="101"/>
    </row>
    <row r="15418" spans="1:1" x14ac:dyDescent="0.2">
      <c r="A15418" s="101"/>
    </row>
    <row r="15419" spans="1:1" x14ac:dyDescent="0.2">
      <c r="A15419" s="101"/>
    </row>
    <row r="15420" spans="1:1" x14ac:dyDescent="0.2">
      <c r="A15420" s="101"/>
    </row>
    <row r="15421" spans="1:1" x14ac:dyDescent="0.2">
      <c r="A15421" s="101"/>
    </row>
    <row r="15422" spans="1:1" x14ac:dyDescent="0.2">
      <c r="A15422" s="101"/>
    </row>
    <row r="15423" spans="1:1" x14ac:dyDescent="0.2">
      <c r="A15423" s="101"/>
    </row>
    <row r="15424" spans="1:1" x14ac:dyDescent="0.2">
      <c r="A15424" s="101"/>
    </row>
    <row r="15425" spans="1:1" x14ac:dyDescent="0.2">
      <c r="A15425" s="101"/>
    </row>
    <row r="15426" spans="1:1" x14ac:dyDescent="0.2">
      <c r="A15426" s="101"/>
    </row>
    <row r="15427" spans="1:1" x14ac:dyDescent="0.2">
      <c r="A15427" s="101"/>
    </row>
    <row r="15428" spans="1:1" x14ac:dyDescent="0.2">
      <c r="A15428" s="101"/>
    </row>
    <row r="15429" spans="1:1" x14ac:dyDescent="0.2">
      <c r="A15429" s="101"/>
    </row>
    <row r="15430" spans="1:1" x14ac:dyDescent="0.2">
      <c r="A15430" s="101"/>
    </row>
    <row r="15431" spans="1:1" x14ac:dyDescent="0.2">
      <c r="A15431" s="101"/>
    </row>
    <row r="15432" spans="1:1" x14ac:dyDescent="0.2">
      <c r="A15432" s="101"/>
    </row>
    <row r="15433" spans="1:1" x14ac:dyDescent="0.2">
      <c r="A15433" s="101"/>
    </row>
    <row r="15434" spans="1:1" x14ac:dyDescent="0.2">
      <c r="A15434" s="101"/>
    </row>
    <row r="15435" spans="1:1" x14ac:dyDescent="0.2">
      <c r="A15435" s="101"/>
    </row>
    <row r="15436" spans="1:1" x14ac:dyDescent="0.2">
      <c r="A15436" s="101"/>
    </row>
    <row r="15437" spans="1:1" x14ac:dyDescent="0.2">
      <c r="A15437" s="101"/>
    </row>
    <row r="15438" spans="1:1" x14ac:dyDescent="0.2">
      <c r="A15438" s="101"/>
    </row>
    <row r="15439" spans="1:1" x14ac:dyDescent="0.2">
      <c r="A15439" s="101"/>
    </row>
    <row r="15440" spans="1:1" x14ac:dyDescent="0.2">
      <c r="A15440" s="101"/>
    </row>
    <row r="15441" spans="1:1" x14ac:dyDescent="0.2">
      <c r="A15441" s="101"/>
    </row>
    <row r="15442" spans="1:1" x14ac:dyDescent="0.2">
      <c r="A15442" s="101"/>
    </row>
    <row r="15443" spans="1:1" x14ac:dyDescent="0.2">
      <c r="A15443" s="101"/>
    </row>
    <row r="15444" spans="1:1" x14ac:dyDescent="0.2">
      <c r="A15444" s="101"/>
    </row>
    <row r="15445" spans="1:1" x14ac:dyDescent="0.2">
      <c r="A15445" s="101"/>
    </row>
    <row r="15446" spans="1:1" x14ac:dyDescent="0.2">
      <c r="A15446" s="101"/>
    </row>
    <row r="15447" spans="1:1" x14ac:dyDescent="0.2">
      <c r="A15447" s="101"/>
    </row>
    <row r="15448" spans="1:1" x14ac:dyDescent="0.2">
      <c r="A15448" s="101"/>
    </row>
    <row r="15449" spans="1:1" x14ac:dyDescent="0.2">
      <c r="A15449" s="101"/>
    </row>
    <row r="15450" spans="1:1" x14ac:dyDescent="0.2">
      <c r="A15450" s="101"/>
    </row>
    <row r="15451" spans="1:1" x14ac:dyDescent="0.2">
      <c r="A15451" s="101"/>
    </row>
    <row r="15452" spans="1:1" x14ac:dyDescent="0.2">
      <c r="A15452" s="101"/>
    </row>
    <row r="15453" spans="1:1" x14ac:dyDescent="0.2">
      <c r="A15453" s="101"/>
    </row>
    <row r="15454" spans="1:1" x14ac:dyDescent="0.2">
      <c r="A15454" s="101"/>
    </row>
    <row r="15455" spans="1:1" x14ac:dyDescent="0.2">
      <c r="A15455" s="101"/>
    </row>
    <row r="15456" spans="1:1" x14ac:dyDescent="0.2">
      <c r="A15456" s="101"/>
    </row>
    <row r="15457" spans="1:1" x14ac:dyDescent="0.2">
      <c r="A15457" s="101"/>
    </row>
    <row r="15458" spans="1:1" x14ac:dyDescent="0.2">
      <c r="A15458" s="101"/>
    </row>
    <row r="15459" spans="1:1" x14ac:dyDescent="0.2">
      <c r="A15459" s="101"/>
    </row>
    <row r="15460" spans="1:1" x14ac:dyDescent="0.2">
      <c r="A15460" s="101"/>
    </row>
    <row r="15461" spans="1:1" x14ac:dyDescent="0.2">
      <c r="A15461" s="101"/>
    </row>
    <row r="15462" spans="1:1" x14ac:dyDescent="0.2">
      <c r="A15462" s="101"/>
    </row>
    <row r="15463" spans="1:1" x14ac:dyDescent="0.2">
      <c r="A15463" s="101"/>
    </row>
    <row r="15464" spans="1:1" x14ac:dyDescent="0.2">
      <c r="A15464" s="101"/>
    </row>
    <row r="15465" spans="1:1" x14ac:dyDescent="0.2">
      <c r="A15465" s="101"/>
    </row>
    <row r="15466" spans="1:1" x14ac:dyDescent="0.2">
      <c r="A15466" s="101"/>
    </row>
    <row r="15467" spans="1:1" x14ac:dyDescent="0.2">
      <c r="A15467" s="101"/>
    </row>
    <row r="15468" spans="1:1" x14ac:dyDescent="0.2">
      <c r="A15468" s="101"/>
    </row>
    <row r="15469" spans="1:1" x14ac:dyDescent="0.2">
      <c r="A15469" s="101"/>
    </row>
    <row r="15470" spans="1:1" x14ac:dyDescent="0.2">
      <c r="A15470" s="101"/>
    </row>
    <row r="15471" spans="1:1" x14ac:dyDescent="0.2">
      <c r="A15471" s="101"/>
    </row>
    <row r="15472" spans="1:1" x14ac:dyDescent="0.2">
      <c r="A15472" s="101"/>
    </row>
    <row r="15473" spans="1:1" x14ac:dyDescent="0.2">
      <c r="A15473" s="101"/>
    </row>
    <row r="15474" spans="1:1" x14ac:dyDescent="0.2">
      <c r="A15474" s="101"/>
    </row>
    <row r="15475" spans="1:1" x14ac:dyDescent="0.2">
      <c r="A15475" s="101"/>
    </row>
    <row r="15476" spans="1:1" x14ac:dyDescent="0.2">
      <c r="A15476" s="101"/>
    </row>
    <row r="15477" spans="1:1" x14ac:dyDescent="0.2">
      <c r="A15477" s="101"/>
    </row>
    <row r="15478" spans="1:1" x14ac:dyDescent="0.2">
      <c r="A15478" s="101"/>
    </row>
    <row r="15479" spans="1:1" x14ac:dyDescent="0.2">
      <c r="A15479" s="101"/>
    </row>
    <row r="15480" spans="1:1" x14ac:dyDescent="0.2">
      <c r="A15480" s="101"/>
    </row>
    <row r="15481" spans="1:1" x14ac:dyDescent="0.2">
      <c r="A15481" s="101"/>
    </row>
    <row r="15482" spans="1:1" x14ac:dyDescent="0.2">
      <c r="A15482" s="101"/>
    </row>
    <row r="15483" spans="1:1" x14ac:dyDescent="0.2">
      <c r="A15483" s="101"/>
    </row>
    <row r="15484" spans="1:1" x14ac:dyDescent="0.2">
      <c r="A15484" s="101"/>
    </row>
    <row r="15485" spans="1:1" x14ac:dyDescent="0.2">
      <c r="A15485" s="101"/>
    </row>
    <row r="15486" spans="1:1" x14ac:dyDescent="0.2">
      <c r="A15486" s="101"/>
    </row>
    <row r="15487" spans="1:1" x14ac:dyDescent="0.2">
      <c r="A15487" s="101"/>
    </row>
    <row r="15488" spans="1:1" x14ac:dyDescent="0.2">
      <c r="A15488" s="101"/>
    </row>
    <row r="15489" spans="1:1" x14ac:dyDescent="0.2">
      <c r="A15489" s="101"/>
    </row>
    <row r="15490" spans="1:1" x14ac:dyDescent="0.2">
      <c r="A15490" s="101"/>
    </row>
    <row r="15491" spans="1:1" x14ac:dyDescent="0.2">
      <c r="A15491" s="101"/>
    </row>
    <row r="15492" spans="1:1" x14ac:dyDescent="0.2">
      <c r="A15492" s="101"/>
    </row>
    <row r="15493" spans="1:1" x14ac:dyDescent="0.2">
      <c r="A15493" s="101"/>
    </row>
    <row r="15494" spans="1:1" x14ac:dyDescent="0.2">
      <c r="A15494" s="101"/>
    </row>
    <row r="15495" spans="1:1" x14ac:dyDescent="0.2">
      <c r="A15495" s="101"/>
    </row>
    <row r="15496" spans="1:1" x14ac:dyDescent="0.2">
      <c r="A15496" s="101"/>
    </row>
    <row r="15497" spans="1:1" x14ac:dyDescent="0.2">
      <c r="A15497" s="101"/>
    </row>
    <row r="15498" spans="1:1" x14ac:dyDescent="0.2">
      <c r="A15498" s="101"/>
    </row>
    <row r="15499" spans="1:1" x14ac:dyDescent="0.2">
      <c r="A15499" s="101"/>
    </row>
    <row r="15500" spans="1:1" x14ac:dyDescent="0.2">
      <c r="A15500" s="101"/>
    </row>
    <row r="15501" spans="1:1" x14ac:dyDescent="0.2">
      <c r="A15501" s="101"/>
    </row>
    <row r="15502" spans="1:1" x14ac:dyDescent="0.2">
      <c r="A15502" s="101"/>
    </row>
    <row r="15503" spans="1:1" x14ac:dyDescent="0.2">
      <c r="A15503" s="101"/>
    </row>
    <row r="15504" spans="1:1" x14ac:dyDescent="0.2">
      <c r="A15504" s="101"/>
    </row>
    <row r="15505" spans="1:1" x14ac:dyDescent="0.2">
      <c r="A15505" s="101"/>
    </row>
    <row r="15506" spans="1:1" x14ac:dyDescent="0.2">
      <c r="A15506" s="101"/>
    </row>
    <row r="15507" spans="1:1" x14ac:dyDescent="0.2">
      <c r="A15507" s="101"/>
    </row>
    <row r="15508" spans="1:1" x14ac:dyDescent="0.2">
      <c r="A15508" s="101"/>
    </row>
    <row r="15509" spans="1:1" x14ac:dyDescent="0.2">
      <c r="A15509" s="101"/>
    </row>
    <row r="15510" spans="1:1" x14ac:dyDescent="0.2">
      <c r="A15510" s="101"/>
    </row>
    <row r="15511" spans="1:1" x14ac:dyDescent="0.2">
      <c r="A15511" s="101"/>
    </row>
    <row r="15512" spans="1:1" x14ac:dyDescent="0.2">
      <c r="A15512" s="101"/>
    </row>
    <row r="15513" spans="1:1" x14ac:dyDescent="0.2">
      <c r="A15513" s="101"/>
    </row>
    <row r="15514" spans="1:1" x14ac:dyDescent="0.2">
      <c r="A15514" s="101"/>
    </row>
    <row r="15515" spans="1:1" x14ac:dyDescent="0.2">
      <c r="A15515" s="101"/>
    </row>
    <row r="15516" spans="1:1" x14ac:dyDescent="0.2">
      <c r="A15516" s="101"/>
    </row>
    <row r="15517" spans="1:1" x14ac:dyDescent="0.2">
      <c r="A15517" s="101"/>
    </row>
    <row r="15518" spans="1:1" x14ac:dyDescent="0.2">
      <c r="A15518" s="101"/>
    </row>
    <row r="15519" spans="1:1" x14ac:dyDescent="0.2">
      <c r="A15519" s="101"/>
    </row>
    <row r="15520" spans="1:1" x14ac:dyDescent="0.2">
      <c r="A15520" s="101"/>
    </row>
    <row r="15521" spans="1:1" x14ac:dyDescent="0.2">
      <c r="A15521" s="101"/>
    </row>
    <row r="15522" spans="1:1" x14ac:dyDescent="0.2">
      <c r="A15522" s="101"/>
    </row>
    <row r="15523" spans="1:1" x14ac:dyDescent="0.2">
      <c r="A15523" s="101"/>
    </row>
    <row r="15524" spans="1:1" x14ac:dyDescent="0.2">
      <c r="A15524" s="101"/>
    </row>
    <row r="15525" spans="1:1" x14ac:dyDescent="0.2">
      <c r="A15525" s="101"/>
    </row>
    <row r="15526" spans="1:1" x14ac:dyDescent="0.2">
      <c r="A15526" s="101"/>
    </row>
    <row r="15527" spans="1:1" x14ac:dyDescent="0.2">
      <c r="A15527" s="101"/>
    </row>
    <row r="15528" spans="1:1" x14ac:dyDescent="0.2">
      <c r="A15528" s="101"/>
    </row>
    <row r="15529" spans="1:1" x14ac:dyDescent="0.2">
      <c r="A15529" s="101"/>
    </row>
    <row r="15530" spans="1:1" x14ac:dyDescent="0.2">
      <c r="A15530" s="101"/>
    </row>
    <row r="15531" spans="1:1" x14ac:dyDescent="0.2">
      <c r="A15531" s="101"/>
    </row>
    <row r="15532" spans="1:1" x14ac:dyDescent="0.2">
      <c r="A15532" s="101"/>
    </row>
    <row r="15533" spans="1:1" x14ac:dyDescent="0.2">
      <c r="A15533" s="101"/>
    </row>
    <row r="15534" spans="1:1" x14ac:dyDescent="0.2">
      <c r="A15534" s="101"/>
    </row>
    <row r="15535" spans="1:1" x14ac:dyDescent="0.2">
      <c r="A15535" s="101"/>
    </row>
    <row r="15536" spans="1:1" x14ac:dyDescent="0.2">
      <c r="A15536" s="101"/>
    </row>
    <row r="15537" spans="1:1" x14ac:dyDescent="0.2">
      <c r="A15537" s="101"/>
    </row>
    <row r="15538" spans="1:1" x14ac:dyDescent="0.2">
      <c r="A15538" s="101"/>
    </row>
    <row r="15539" spans="1:1" x14ac:dyDescent="0.2">
      <c r="A15539" s="101"/>
    </row>
    <row r="15540" spans="1:1" x14ac:dyDescent="0.2">
      <c r="A15540" s="101"/>
    </row>
    <row r="15541" spans="1:1" x14ac:dyDescent="0.2">
      <c r="A15541" s="101"/>
    </row>
    <row r="15542" spans="1:1" x14ac:dyDescent="0.2">
      <c r="A15542" s="101"/>
    </row>
    <row r="15543" spans="1:1" x14ac:dyDescent="0.2">
      <c r="A15543" s="101"/>
    </row>
    <row r="15544" spans="1:1" x14ac:dyDescent="0.2">
      <c r="A15544" s="101"/>
    </row>
    <row r="15545" spans="1:1" x14ac:dyDescent="0.2">
      <c r="A15545" s="101"/>
    </row>
    <row r="15546" spans="1:1" x14ac:dyDescent="0.2">
      <c r="A15546" s="101"/>
    </row>
    <row r="15547" spans="1:1" x14ac:dyDescent="0.2">
      <c r="A15547" s="101"/>
    </row>
    <row r="15548" spans="1:1" x14ac:dyDescent="0.2">
      <c r="A15548" s="101"/>
    </row>
    <row r="15549" spans="1:1" x14ac:dyDescent="0.2">
      <c r="A15549" s="101"/>
    </row>
    <row r="15550" spans="1:1" x14ac:dyDescent="0.2">
      <c r="A15550" s="101"/>
    </row>
    <row r="15551" spans="1:1" x14ac:dyDescent="0.2">
      <c r="A15551" s="101"/>
    </row>
    <row r="15552" spans="1:1" x14ac:dyDescent="0.2">
      <c r="A15552" s="101"/>
    </row>
    <row r="15553" spans="1:1" x14ac:dyDescent="0.2">
      <c r="A15553" s="101"/>
    </row>
    <row r="15554" spans="1:1" x14ac:dyDescent="0.2">
      <c r="A15554" s="101"/>
    </row>
    <row r="15555" spans="1:1" x14ac:dyDescent="0.2">
      <c r="A15555" s="101"/>
    </row>
    <row r="15556" spans="1:1" x14ac:dyDescent="0.2">
      <c r="A15556" s="101"/>
    </row>
    <row r="15557" spans="1:1" x14ac:dyDescent="0.2">
      <c r="A15557" s="101"/>
    </row>
    <row r="15558" spans="1:1" x14ac:dyDescent="0.2">
      <c r="A15558" s="101"/>
    </row>
    <row r="15559" spans="1:1" x14ac:dyDescent="0.2">
      <c r="A15559" s="101"/>
    </row>
    <row r="15560" spans="1:1" x14ac:dyDescent="0.2">
      <c r="A15560" s="101"/>
    </row>
    <row r="15561" spans="1:1" x14ac:dyDescent="0.2">
      <c r="A15561" s="101"/>
    </row>
    <row r="15562" spans="1:1" x14ac:dyDescent="0.2">
      <c r="A15562" s="101"/>
    </row>
    <row r="15563" spans="1:1" x14ac:dyDescent="0.2">
      <c r="A15563" s="101"/>
    </row>
    <row r="15564" spans="1:1" x14ac:dyDescent="0.2">
      <c r="A15564" s="101"/>
    </row>
    <row r="15565" spans="1:1" x14ac:dyDescent="0.2">
      <c r="A15565" s="101"/>
    </row>
    <row r="15566" spans="1:1" x14ac:dyDescent="0.2">
      <c r="A15566" s="101"/>
    </row>
    <row r="15567" spans="1:1" x14ac:dyDescent="0.2">
      <c r="A15567" s="101"/>
    </row>
    <row r="15568" spans="1:1" x14ac:dyDescent="0.2">
      <c r="A15568" s="101"/>
    </row>
    <row r="15569" spans="1:1" x14ac:dyDescent="0.2">
      <c r="A15569" s="101"/>
    </row>
    <row r="15570" spans="1:1" x14ac:dyDescent="0.2">
      <c r="A15570" s="101"/>
    </row>
    <row r="15571" spans="1:1" x14ac:dyDescent="0.2">
      <c r="A15571" s="101"/>
    </row>
    <row r="15572" spans="1:1" x14ac:dyDescent="0.2">
      <c r="A15572" s="101"/>
    </row>
    <row r="15573" spans="1:1" x14ac:dyDescent="0.2">
      <c r="A15573" s="101"/>
    </row>
    <row r="15574" spans="1:1" x14ac:dyDescent="0.2">
      <c r="A15574" s="101"/>
    </row>
    <row r="15575" spans="1:1" x14ac:dyDescent="0.2">
      <c r="A15575" s="101"/>
    </row>
    <row r="15576" spans="1:1" x14ac:dyDescent="0.2">
      <c r="A15576" s="101"/>
    </row>
    <row r="15577" spans="1:1" x14ac:dyDescent="0.2">
      <c r="A15577" s="101"/>
    </row>
    <row r="15578" spans="1:1" x14ac:dyDescent="0.2">
      <c r="A15578" s="101"/>
    </row>
    <row r="15579" spans="1:1" x14ac:dyDescent="0.2">
      <c r="A15579" s="101"/>
    </row>
    <row r="15580" spans="1:1" x14ac:dyDescent="0.2">
      <c r="A15580" s="101"/>
    </row>
    <row r="15581" spans="1:1" x14ac:dyDescent="0.2">
      <c r="A15581" s="101"/>
    </row>
    <row r="15582" spans="1:1" x14ac:dyDescent="0.2">
      <c r="A15582" s="101"/>
    </row>
    <row r="15583" spans="1:1" x14ac:dyDescent="0.2">
      <c r="A15583" s="101"/>
    </row>
    <row r="15584" spans="1:1" x14ac:dyDescent="0.2">
      <c r="A15584" s="101"/>
    </row>
    <row r="15585" spans="1:1" x14ac:dyDescent="0.2">
      <c r="A15585" s="101"/>
    </row>
    <row r="15586" spans="1:1" x14ac:dyDescent="0.2">
      <c r="A15586" s="101"/>
    </row>
    <row r="15587" spans="1:1" x14ac:dyDescent="0.2">
      <c r="A15587" s="101"/>
    </row>
    <row r="15588" spans="1:1" x14ac:dyDescent="0.2">
      <c r="A15588" s="101"/>
    </row>
    <row r="15589" spans="1:1" x14ac:dyDescent="0.2">
      <c r="A15589" s="101"/>
    </row>
    <row r="15590" spans="1:1" x14ac:dyDescent="0.2">
      <c r="A15590" s="101"/>
    </row>
    <row r="15591" spans="1:1" x14ac:dyDescent="0.2">
      <c r="A15591" s="101"/>
    </row>
    <row r="15592" spans="1:1" x14ac:dyDescent="0.2">
      <c r="A15592" s="101"/>
    </row>
    <row r="15593" spans="1:1" x14ac:dyDescent="0.2">
      <c r="A15593" s="101"/>
    </row>
    <row r="15594" spans="1:1" x14ac:dyDescent="0.2">
      <c r="A15594" s="101"/>
    </row>
    <row r="15595" spans="1:1" x14ac:dyDescent="0.2">
      <c r="A15595" s="101"/>
    </row>
    <row r="15596" spans="1:1" x14ac:dyDescent="0.2">
      <c r="A15596" s="101"/>
    </row>
    <row r="15597" spans="1:1" x14ac:dyDescent="0.2">
      <c r="A15597" s="101"/>
    </row>
    <row r="15598" spans="1:1" x14ac:dyDescent="0.2">
      <c r="A15598" s="101"/>
    </row>
    <row r="15599" spans="1:1" x14ac:dyDescent="0.2">
      <c r="A15599" s="101"/>
    </row>
    <row r="15600" spans="1:1" x14ac:dyDescent="0.2">
      <c r="A15600" s="101"/>
    </row>
    <row r="15601" spans="1:1" x14ac:dyDescent="0.2">
      <c r="A15601" s="101"/>
    </row>
    <row r="15602" spans="1:1" x14ac:dyDescent="0.2">
      <c r="A15602" s="101"/>
    </row>
    <row r="15603" spans="1:1" x14ac:dyDescent="0.2">
      <c r="A15603" s="101"/>
    </row>
    <row r="15604" spans="1:1" x14ac:dyDescent="0.2">
      <c r="A15604" s="101"/>
    </row>
    <row r="15605" spans="1:1" x14ac:dyDescent="0.2">
      <c r="A15605" s="101"/>
    </row>
    <row r="15606" spans="1:1" x14ac:dyDescent="0.2">
      <c r="A15606" s="101"/>
    </row>
    <row r="15607" spans="1:1" x14ac:dyDescent="0.2">
      <c r="A15607" s="101"/>
    </row>
    <row r="15608" spans="1:1" x14ac:dyDescent="0.2">
      <c r="A15608" s="101"/>
    </row>
    <row r="15609" spans="1:1" x14ac:dyDescent="0.2">
      <c r="A15609" s="101"/>
    </row>
    <row r="15610" spans="1:1" x14ac:dyDescent="0.2">
      <c r="A15610" s="101"/>
    </row>
    <row r="15611" spans="1:1" x14ac:dyDescent="0.2">
      <c r="A15611" s="101"/>
    </row>
    <row r="15612" spans="1:1" x14ac:dyDescent="0.2">
      <c r="A15612" s="101"/>
    </row>
    <row r="15613" spans="1:1" x14ac:dyDescent="0.2">
      <c r="A15613" s="101"/>
    </row>
    <row r="15614" spans="1:1" x14ac:dyDescent="0.2">
      <c r="A15614" s="101"/>
    </row>
    <row r="15615" spans="1:1" x14ac:dyDescent="0.2">
      <c r="A15615" s="101"/>
    </row>
    <row r="15616" spans="1:1" x14ac:dyDescent="0.2">
      <c r="A15616" s="101"/>
    </row>
    <row r="15617" spans="1:1" x14ac:dyDescent="0.2">
      <c r="A15617" s="101"/>
    </row>
    <row r="15618" spans="1:1" x14ac:dyDescent="0.2">
      <c r="A15618" s="101"/>
    </row>
    <row r="15619" spans="1:1" x14ac:dyDescent="0.2">
      <c r="A15619" s="101"/>
    </row>
    <row r="15620" spans="1:1" x14ac:dyDescent="0.2">
      <c r="A15620" s="101"/>
    </row>
    <row r="15621" spans="1:1" x14ac:dyDescent="0.2">
      <c r="A15621" s="101"/>
    </row>
    <row r="15622" spans="1:1" x14ac:dyDescent="0.2">
      <c r="A15622" s="101"/>
    </row>
    <row r="15623" spans="1:1" x14ac:dyDescent="0.2">
      <c r="A15623" s="101"/>
    </row>
    <row r="15624" spans="1:1" x14ac:dyDescent="0.2">
      <c r="A15624" s="101"/>
    </row>
    <row r="15625" spans="1:1" x14ac:dyDescent="0.2">
      <c r="A15625" s="101"/>
    </row>
    <row r="15626" spans="1:1" x14ac:dyDescent="0.2">
      <c r="A15626" s="101"/>
    </row>
    <row r="15627" spans="1:1" x14ac:dyDescent="0.2">
      <c r="A15627" s="101"/>
    </row>
    <row r="15628" spans="1:1" x14ac:dyDescent="0.2">
      <c r="A15628" s="101"/>
    </row>
    <row r="15629" spans="1:1" x14ac:dyDescent="0.2">
      <c r="A15629" s="101"/>
    </row>
    <row r="15630" spans="1:1" x14ac:dyDescent="0.2">
      <c r="A15630" s="101"/>
    </row>
    <row r="15631" spans="1:1" x14ac:dyDescent="0.2">
      <c r="A15631" s="101"/>
    </row>
    <row r="15632" spans="1:1" x14ac:dyDescent="0.2">
      <c r="A15632" s="101"/>
    </row>
    <row r="15633" spans="1:1" x14ac:dyDescent="0.2">
      <c r="A15633" s="101"/>
    </row>
    <row r="15634" spans="1:1" x14ac:dyDescent="0.2">
      <c r="A15634" s="101"/>
    </row>
    <row r="15635" spans="1:1" x14ac:dyDescent="0.2">
      <c r="A15635" s="101"/>
    </row>
    <row r="15636" spans="1:1" x14ac:dyDescent="0.2">
      <c r="A15636" s="101"/>
    </row>
    <row r="15637" spans="1:1" x14ac:dyDescent="0.2">
      <c r="A15637" s="101"/>
    </row>
    <row r="15638" spans="1:1" x14ac:dyDescent="0.2">
      <c r="A15638" s="101"/>
    </row>
    <row r="15639" spans="1:1" x14ac:dyDescent="0.2">
      <c r="A15639" s="101"/>
    </row>
    <row r="15640" spans="1:1" x14ac:dyDescent="0.2">
      <c r="A15640" s="101"/>
    </row>
    <row r="15641" spans="1:1" x14ac:dyDescent="0.2">
      <c r="A15641" s="101"/>
    </row>
    <row r="15642" spans="1:1" x14ac:dyDescent="0.2">
      <c r="A15642" s="101"/>
    </row>
    <row r="15643" spans="1:1" x14ac:dyDescent="0.2">
      <c r="A15643" s="101"/>
    </row>
    <row r="15644" spans="1:1" x14ac:dyDescent="0.2">
      <c r="A15644" s="101"/>
    </row>
    <row r="15645" spans="1:1" x14ac:dyDescent="0.2">
      <c r="A15645" s="101"/>
    </row>
    <row r="15646" spans="1:1" x14ac:dyDescent="0.2">
      <c r="A15646" s="101"/>
    </row>
    <row r="15647" spans="1:1" x14ac:dyDescent="0.2">
      <c r="A15647" s="101"/>
    </row>
    <row r="15648" spans="1:1" x14ac:dyDescent="0.2">
      <c r="A15648" s="101"/>
    </row>
    <row r="15649" spans="1:1" x14ac:dyDescent="0.2">
      <c r="A15649" s="101"/>
    </row>
    <row r="15650" spans="1:1" x14ac:dyDescent="0.2">
      <c r="A15650" s="101"/>
    </row>
    <row r="15651" spans="1:1" x14ac:dyDescent="0.2">
      <c r="A15651" s="101"/>
    </row>
    <row r="15652" spans="1:1" x14ac:dyDescent="0.2">
      <c r="A15652" s="101"/>
    </row>
    <row r="15653" spans="1:1" x14ac:dyDescent="0.2">
      <c r="A15653" s="101"/>
    </row>
    <row r="15654" spans="1:1" x14ac:dyDescent="0.2">
      <c r="A15654" s="101"/>
    </row>
    <row r="15655" spans="1:1" x14ac:dyDescent="0.2">
      <c r="A15655" s="101"/>
    </row>
    <row r="15656" spans="1:1" x14ac:dyDescent="0.2">
      <c r="A15656" s="101"/>
    </row>
    <row r="15657" spans="1:1" x14ac:dyDescent="0.2">
      <c r="A15657" s="101"/>
    </row>
    <row r="15658" spans="1:1" x14ac:dyDescent="0.2">
      <c r="A15658" s="101"/>
    </row>
    <row r="15659" spans="1:1" x14ac:dyDescent="0.2">
      <c r="A15659" s="101"/>
    </row>
    <row r="15660" spans="1:1" x14ac:dyDescent="0.2">
      <c r="A15660" s="101"/>
    </row>
    <row r="15661" spans="1:1" x14ac:dyDescent="0.2">
      <c r="A15661" s="101"/>
    </row>
    <row r="15662" spans="1:1" x14ac:dyDescent="0.2">
      <c r="A15662" s="101"/>
    </row>
    <row r="15663" spans="1:1" x14ac:dyDescent="0.2">
      <c r="A15663" s="101"/>
    </row>
    <row r="15664" spans="1:1" x14ac:dyDescent="0.2">
      <c r="A15664" s="101"/>
    </row>
    <row r="15665" spans="1:1" x14ac:dyDescent="0.2">
      <c r="A15665" s="101"/>
    </row>
    <row r="15666" spans="1:1" x14ac:dyDescent="0.2">
      <c r="A15666" s="101"/>
    </row>
    <row r="15667" spans="1:1" x14ac:dyDescent="0.2">
      <c r="A15667" s="101"/>
    </row>
    <row r="15668" spans="1:1" x14ac:dyDescent="0.2">
      <c r="A15668" s="101"/>
    </row>
    <row r="15669" spans="1:1" x14ac:dyDescent="0.2">
      <c r="A15669" s="101"/>
    </row>
    <row r="15670" spans="1:1" x14ac:dyDescent="0.2">
      <c r="A15670" s="101"/>
    </row>
    <row r="15671" spans="1:1" x14ac:dyDescent="0.2">
      <c r="A15671" s="101"/>
    </row>
    <row r="15672" spans="1:1" x14ac:dyDescent="0.2">
      <c r="A15672" s="101"/>
    </row>
    <row r="15673" spans="1:1" x14ac:dyDescent="0.2">
      <c r="A15673" s="101"/>
    </row>
    <row r="15674" spans="1:1" x14ac:dyDescent="0.2">
      <c r="A15674" s="101"/>
    </row>
    <row r="15675" spans="1:1" x14ac:dyDescent="0.2">
      <c r="A15675" s="101"/>
    </row>
    <row r="15676" spans="1:1" x14ac:dyDescent="0.2">
      <c r="A15676" s="101"/>
    </row>
    <row r="15677" spans="1:1" x14ac:dyDescent="0.2">
      <c r="A15677" s="101"/>
    </row>
    <row r="15678" spans="1:1" x14ac:dyDescent="0.2">
      <c r="A15678" s="101"/>
    </row>
    <row r="15679" spans="1:1" x14ac:dyDescent="0.2">
      <c r="A15679" s="101"/>
    </row>
    <row r="15680" spans="1:1" x14ac:dyDescent="0.2">
      <c r="A15680" s="101"/>
    </row>
    <row r="15681" spans="1:1" x14ac:dyDescent="0.2">
      <c r="A15681" s="101"/>
    </row>
    <row r="15682" spans="1:1" x14ac:dyDescent="0.2">
      <c r="A15682" s="101"/>
    </row>
    <row r="15683" spans="1:1" x14ac:dyDescent="0.2">
      <c r="A15683" s="101"/>
    </row>
    <row r="15684" spans="1:1" x14ac:dyDescent="0.2">
      <c r="A15684" s="101"/>
    </row>
    <row r="15685" spans="1:1" x14ac:dyDescent="0.2">
      <c r="A15685" s="101"/>
    </row>
    <row r="15686" spans="1:1" x14ac:dyDescent="0.2">
      <c r="A15686" s="101"/>
    </row>
    <row r="15687" spans="1:1" x14ac:dyDescent="0.2">
      <c r="A15687" s="101"/>
    </row>
    <row r="15688" spans="1:1" x14ac:dyDescent="0.2">
      <c r="A15688" s="101"/>
    </row>
    <row r="15689" spans="1:1" x14ac:dyDescent="0.2">
      <c r="A15689" s="101"/>
    </row>
    <row r="15690" spans="1:1" x14ac:dyDescent="0.2">
      <c r="A15690" s="101"/>
    </row>
    <row r="15691" spans="1:1" x14ac:dyDescent="0.2">
      <c r="A15691" s="101"/>
    </row>
    <row r="15692" spans="1:1" x14ac:dyDescent="0.2">
      <c r="A15692" s="101"/>
    </row>
    <row r="15693" spans="1:1" x14ac:dyDescent="0.2">
      <c r="A15693" s="101"/>
    </row>
    <row r="15694" spans="1:1" x14ac:dyDescent="0.2">
      <c r="A15694" s="101"/>
    </row>
    <row r="15695" spans="1:1" x14ac:dyDescent="0.2">
      <c r="A15695" s="101"/>
    </row>
    <row r="15696" spans="1:1" x14ac:dyDescent="0.2">
      <c r="A15696" s="101"/>
    </row>
    <row r="15697" spans="1:1" x14ac:dyDescent="0.2">
      <c r="A15697" s="101"/>
    </row>
    <row r="15698" spans="1:1" x14ac:dyDescent="0.2">
      <c r="A15698" s="101"/>
    </row>
    <row r="15699" spans="1:1" x14ac:dyDescent="0.2">
      <c r="A15699" s="101"/>
    </row>
    <row r="15700" spans="1:1" x14ac:dyDescent="0.2">
      <c r="A15700" s="101"/>
    </row>
    <row r="15701" spans="1:1" x14ac:dyDescent="0.2">
      <c r="A15701" s="101"/>
    </row>
    <row r="15702" spans="1:1" x14ac:dyDescent="0.2">
      <c r="A15702" s="101"/>
    </row>
    <row r="15703" spans="1:1" x14ac:dyDescent="0.2">
      <c r="A15703" s="101"/>
    </row>
    <row r="15704" spans="1:1" x14ac:dyDescent="0.2">
      <c r="A15704" s="101"/>
    </row>
    <row r="15705" spans="1:1" x14ac:dyDescent="0.2">
      <c r="A15705" s="101"/>
    </row>
    <row r="15706" spans="1:1" x14ac:dyDescent="0.2">
      <c r="A15706" s="101"/>
    </row>
    <row r="15707" spans="1:1" x14ac:dyDescent="0.2">
      <c r="A15707" s="101"/>
    </row>
    <row r="15708" spans="1:1" x14ac:dyDescent="0.2">
      <c r="A15708" s="101"/>
    </row>
    <row r="15709" spans="1:1" x14ac:dyDescent="0.2">
      <c r="A15709" s="101"/>
    </row>
    <row r="15710" spans="1:1" x14ac:dyDescent="0.2">
      <c r="A15710" s="101"/>
    </row>
    <row r="15711" spans="1:1" x14ac:dyDescent="0.2">
      <c r="A15711" s="101"/>
    </row>
    <row r="15712" spans="1:1" x14ac:dyDescent="0.2">
      <c r="A15712" s="101"/>
    </row>
    <row r="15713" spans="1:1" x14ac:dyDescent="0.2">
      <c r="A15713" s="101"/>
    </row>
    <row r="15714" spans="1:1" x14ac:dyDescent="0.2">
      <c r="A15714" s="101"/>
    </row>
    <row r="15715" spans="1:1" x14ac:dyDescent="0.2">
      <c r="A15715" s="101"/>
    </row>
    <row r="15716" spans="1:1" x14ac:dyDescent="0.2">
      <c r="A15716" s="101"/>
    </row>
    <row r="15717" spans="1:1" x14ac:dyDescent="0.2">
      <c r="A15717" s="101"/>
    </row>
    <row r="15718" spans="1:1" x14ac:dyDescent="0.2">
      <c r="A15718" s="101"/>
    </row>
    <row r="15719" spans="1:1" x14ac:dyDescent="0.2">
      <c r="A15719" s="101"/>
    </row>
    <row r="15720" spans="1:1" x14ac:dyDescent="0.2">
      <c r="A15720" s="101"/>
    </row>
    <row r="15721" spans="1:1" x14ac:dyDescent="0.2">
      <c r="A15721" s="101"/>
    </row>
    <row r="15722" spans="1:1" x14ac:dyDescent="0.2">
      <c r="A15722" s="101"/>
    </row>
    <row r="15723" spans="1:1" x14ac:dyDescent="0.2">
      <c r="A15723" s="101"/>
    </row>
    <row r="15724" spans="1:1" x14ac:dyDescent="0.2">
      <c r="A15724" s="101"/>
    </row>
    <row r="15725" spans="1:1" x14ac:dyDescent="0.2">
      <c r="A15725" s="101"/>
    </row>
    <row r="15726" spans="1:1" x14ac:dyDescent="0.2">
      <c r="A15726" s="101"/>
    </row>
    <row r="15727" spans="1:1" x14ac:dyDescent="0.2">
      <c r="A15727" s="101"/>
    </row>
    <row r="15728" spans="1:1" x14ac:dyDescent="0.2">
      <c r="A15728" s="101"/>
    </row>
    <row r="15729" spans="1:1" x14ac:dyDescent="0.2">
      <c r="A15729" s="101"/>
    </row>
    <row r="15730" spans="1:1" x14ac:dyDescent="0.2">
      <c r="A15730" s="101"/>
    </row>
    <row r="15731" spans="1:1" x14ac:dyDescent="0.2">
      <c r="A15731" s="101"/>
    </row>
    <row r="15732" spans="1:1" x14ac:dyDescent="0.2">
      <c r="A15732" s="101"/>
    </row>
    <row r="15733" spans="1:1" x14ac:dyDescent="0.2">
      <c r="A15733" s="101"/>
    </row>
    <row r="15734" spans="1:1" x14ac:dyDescent="0.2">
      <c r="A15734" s="101"/>
    </row>
    <row r="15735" spans="1:1" x14ac:dyDescent="0.2">
      <c r="A15735" s="101"/>
    </row>
    <row r="15736" spans="1:1" x14ac:dyDescent="0.2">
      <c r="A15736" s="101"/>
    </row>
    <row r="15737" spans="1:1" x14ac:dyDescent="0.2">
      <c r="A15737" s="101"/>
    </row>
    <row r="15738" spans="1:1" x14ac:dyDescent="0.2">
      <c r="A15738" s="101"/>
    </row>
    <row r="15739" spans="1:1" x14ac:dyDescent="0.2">
      <c r="A15739" s="101"/>
    </row>
    <row r="15740" spans="1:1" x14ac:dyDescent="0.2">
      <c r="A15740" s="101"/>
    </row>
    <row r="15741" spans="1:1" x14ac:dyDescent="0.2">
      <c r="A15741" s="101"/>
    </row>
    <row r="15742" spans="1:1" x14ac:dyDescent="0.2">
      <c r="A15742" s="101"/>
    </row>
    <row r="15743" spans="1:1" x14ac:dyDescent="0.2">
      <c r="A15743" s="101"/>
    </row>
    <row r="15744" spans="1:1" x14ac:dyDescent="0.2">
      <c r="A15744" s="101"/>
    </row>
    <row r="15745" spans="1:1" x14ac:dyDescent="0.2">
      <c r="A15745" s="101"/>
    </row>
    <row r="15746" spans="1:1" x14ac:dyDescent="0.2">
      <c r="A15746" s="101"/>
    </row>
    <row r="15747" spans="1:1" x14ac:dyDescent="0.2">
      <c r="A15747" s="101"/>
    </row>
    <row r="15748" spans="1:1" x14ac:dyDescent="0.2">
      <c r="A15748" s="101"/>
    </row>
    <row r="15749" spans="1:1" x14ac:dyDescent="0.2">
      <c r="A15749" s="101"/>
    </row>
    <row r="15750" spans="1:1" x14ac:dyDescent="0.2">
      <c r="A15750" s="101"/>
    </row>
    <row r="15751" spans="1:1" x14ac:dyDescent="0.2">
      <c r="A15751" s="101"/>
    </row>
    <row r="15752" spans="1:1" x14ac:dyDescent="0.2">
      <c r="A15752" s="101"/>
    </row>
    <row r="15753" spans="1:1" x14ac:dyDescent="0.2">
      <c r="A15753" s="101"/>
    </row>
    <row r="15754" spans="1:1" x14ac:dyDescent="0.2">
      <c r="A15754" s="101"/>
    </row>
    <row r="15755" spans="1:1" x14ac:dyDescent="0.2">
      <c r="A15755" s="101"/>
    </row>
    <row r="15756" spans="1:1" x14ac:dyDescent="0.2">
      <c r="A15756" s="101"/>
    </row>
    <row r="15757" spans="1:1" x14ac:dyDescent="0.2">
      <c r="A15757" s="101"/>
    </row>
    <row r="15758" spans="1:1" x14ac:dyDescent="0.2">
      <c r="A15758" s="101"/>
    </row>
    <row r="15759" spans="1:1" x14ac:dyDescent="0.2">
      <c r="A15759" s="101"/>
    </row>
    <row r="15760" spans="1:1" x14ac:dyDescent="0.2">
      <c r="A15760" s="101"/>
    </row>
    <row r="15761" spans="1:1" x14ac:dyDescent="0.2">
      <c r="A15761" s="101"/>
    </row>
    <row r="15762" spans="1:1" x14ac:dyDescent="0.2">
      <c r="A15762" s="101"/>
    </row>
    <row r="15763" spans="1:1" x14ac:dyDescent="0.2">
      <c r="A15763" s="101"/>
    </row>
    <row r="15764" spans="1:1" x14ac:dyDescent="0.2">
      <c r="A15764" s="101"/>
    </row>
    <row r="15765" spans="1:1" x14ac:dyDescent="0.2">
      <c r="A15765" s="101"/>
    </row>
    <row r="15766" spans="1:1" x14ac:dyDescent="0.2">
      <c r="A15766" s="101"/>
    </row>
    <row r="15767" spans="1:1" x14ac:dyDescent="0.2">
      <c r="A15767" s="101"/>
    </row>
    <row r="15768" spans="1:1" x14ac:dyDescent="0.2">
      <c r="A15768" s="101"/>
    </row>
    <row r="15769" spans="1:1" x14ac:dyDescent="0.2">
      <c r="A15769" s="101"/>
    </row>
    <row r="15770" spans="1:1" x14ac:dyDescent="0.2">
      <c r="A15770" s="101"/>
    </row>
    <row r="15771" spans="1:1" x14ac:dyDescent="0.2">
      <c r="A15771" s="101"/>
    </row>
    <row r="15772" spans="1:1" x14ac:dyDescent="0.2">
      <c r="A15772" s="101"/>
    </row>
    <row r="15773" spans="1:1" x14ac:dyDescent="0.2">
      <c r="A15773" s="101"/>
    </row>
    <row r="15774" spans="1:1" x14ac:dyDescent="0.2">
      <c r="A15774" s="101"/>
    </row>
    <row r="15775" spans="1:1" x14ac:dyDescent="0.2">
      <c r="A15775" s="101"/>
    </row>
    <row r="15776" spans="1:1" x14ac:dyDescent="0.2">
      <c r="A15776" s="101"/>
    </row>
    <row r="15777" spans="1:1" x14ac:dyDescent="0.2">
      <c r="A15777" s="101"/>
    </row>
    <row r="15778" spans="1:1" x14ac:dyDescent="0.2">
      <c r="A15778" s="101"/>
    </row>
    <row r="15779" spans="1:1" x14ac:dyDescent="0.2">
      <c r="A15779" s="101"/>
    </row>
    <row r="15780" spans="1:1" x14ac:dyDescent="0.2">
      <c r="A15780" s="101"/>
    </row>
    <row r="15781" spans="1:1" x14ac:dyDescent="0.2">
      <c r="A15781" s="101"/>
    </row>
    <row r="15782" spans="1:1" x14ac:dyDescent="0.2">
      <c r="A15782" s="101"/>
    </row>
    <row r="15783" spans="1:1" x14ac:dyDescent="0.2">
      <c r="A15783" s="101"/>
    </row>
    <row r="15784" spans="1:1" x14ac:dyDescent="0.2">
      <c r="A15784" s="101"/>
    </row>
    <row r="15785" spans="1:1" x14ac:dyDescent="0.2">
      <c r="A15785" s="101"/>
    </row>
    <row r="15786" spans="1:1" x14ac:dyDescent="0.2">
      <c r="A15786" s="101"/>
    </row>
    <row r="15787" spans="1:1" x14ac:dyDescent="0.2">
      <c r="A15787" s="101"/>
    </row>
    <row r="15788" spans="1:1" x14ac:dyDescent="0.2">
      <c r="A15788" s="101"/>
    </row>
    <row r="15789" spans="1:1" x14ac:dyDescent="0.2">
      <c r="A15789" s="101"/>
    </row>
    <row r="15790" spans="1:1" x14ac:dyDescent="0.2">
      <c r="A15790" s="101"/>
    </row>
    <row r="15791" spans="1:1" x14ac:dyDescent="0.2">
      <c r="A15791" s="101"/>
    </row>
    <row r="15792" spans="1:1" x14ac:dyDescent="0.2">
      <c r="A15792" s="101"/>
    </row>
    <row r="15793" spans="1:1" x14ac:dyDescent="0.2">
      <c r="A15793" s="101"/>
    </row>
    <row r="15794" spans="1:1" x14ac:dyDescent="0.2">
      <c r="A15794" s="101"/>
    </row>
    <row r="15795" spans="1:1" x14ac:dyDescent="0.2">
      <c r="A15795" s="101"/>
    </row>
    <row r="15796" spans="1:1" x14ac:dyDescent="0.2">
      <c r="A15796" s="101"/>
    </row>
    <row r="15797" spans="1:1" x14ac:dyDescent="0.2">
      <c r="A15797" s="101"/>
    </row>
    <row r="15798" spans="1:1" x14ac:dyDescent="0.2">
      <c r="A15798" s="101"/>
    </row>
    <row r="15799" spans="1:1" x14ac:dyDescent="0.2">
      <c r="A15799" s="101"/>
    </row>
    <row r="15800" spans="1:1" x14ac:dyDescent="0.2">
      <c r="A15800" s="101"/>
    </row>
    <row r="15801" spans="1:1" x14ac:dyDescent="0.2">
      <c r="A15801" s="101"/>
    </row>
    <row r="15802" spans="1:1" x14ac:dyDescent="0.2">
      <c r="A15802" s="101"/>
    </row>
    <row r="15803" spans="1:1" x14ac:dyDescent="0.2">
      <c r="A15803" s="101"/>
    </row>
    <row r="15804" spans="1:1" x14ac:dyDescent="0.2">
      <c r="A15804" s="101"/>
    </row>
    <row r="15805" spans="1:1" x14ac:dyDescent="0.2">
      <c r="A15805" s="101"/>
    </row>
    <row r="15806" spans="1:1" x14ac:dyDescent="0.2">
      <c r="A15806" s="101"/>
    </row>
    <row r="15807" spans="1:1" x14ac:dyDescent="0.2">
      <c r="A15807" s="101"/>
    </row>
    <row r="15808" spans="1:1" x14ac:dyDescent="0.2">
      <c r="A15808" s="101"/>
    </row>
    <row r="15809" spans="1:1" x14ac:dyDescent="0.2">
      <c r="A15809" s="101"/>
    </row>
    <row r="15810" spans="1:1" x14ac:dyDescent="0.2">
      <c r="A15810" s="101"/>
    </row>
    <row r="15811" spans="1:1" x14ac:dyDescent="0.2">
      <c r="A15811" s="101"/>
    </row>
    <row r="15812" spans="1:1" x14ac:dyDescent="0.2">
      <c r="A15812" s="101"/>
    </row>
    <row r="15813" spans="1:1" x14ac:dyDescent="0.2">
      <c r="A15813" s="101"/>
    </row>
    <row r="15814" spans="1:1" x14ac:dyDescent="0.2">
      <c r="A15814" s="101"/>
    </row>
    <row r="15815" spans="1:1" x14ac:dyDescent="0.2">
      <c r="A15815" s="101"/>
    </row>
    <row r="15816" spans="1:1" x14ac:dyDescent="0.2">
      <c r="A15816" s="101"/>
    </row>
    <row r="15817" spans="1:1" x14ac:dyDescent="0.2">
      <c r="A15817" s="101"/>
    </row>
    <row r="15818" spans="1:1" x14ac:dyDescent="0.2">
      <c r="A15818" s="101"/>
    </row>
    <row r="15819" spans="1:1" x14ac:dyDescent="0.2">
      <c r="A15819" s="101"/>
    </row>
    <row r="15820" spans="1:1" x14ac:dyDescent="0.2">
      <c r="A15820" s="101"/>
    </row>
    <row r="15821" spans="1:1" x14ac:dyDescent="0.2">
      <c r="A15821" s="101"/>
    </row>
    <row r="15822" spans="1:1" x14ac:dyDescent="0.2">
      <c r="A15822" s="101"/>
    </row>
    <row r="15823" spans="1:1" x14ac:dyDescent="0.2">
      <c r="A15823" s="101"/>
    </row>
    <row r="15824" spans="1:1" x14ac:dyDescent="0.2">
      <c r="A15824" s="101"/>
    </row>
    <row r="15825" spans="1:1" x14ac:dyDescent="0.2">
      <c r="A15825" s="101"/>
    </row>
    <row r="15826" spans="1:1" x14ac:dyDescent="0.2">
      <c r="A15826" s="101"/>
    </row>
    <row r="15827" spans="1:1" x14ac:dyDescent="0.2">
      <c r="A15827" s="101"/>
    </row>
    <row r="15828" spans="1:1" x14ac:dyDescent="0.2">
      <c r="A15828" s="101"/>
    </row>
    <row r="15829" spans="1:1" x14ac:dyDescent="0.2">
      <c r="A15829" s="101"/>
    </row>
    <row r="15830" spans="1:1" x14ac:dyDescent="0.2">
      <c r="A15830" s="101"/>
    </row>
    <row r="15831" spans="1:1" x14ac:dyDescent="0.2">
      <c r="A15831" s="101"/>
    </row>
    <row r="15832" spans="1:1" x14ac:dyDescent="0.2">
      <c r="A15832" s="101"/>
    </row>
    <row r="15833" spans="1:1" x14ac:dyDescent="0.2">
      <c r="A15833" s="101"/>
    </row>
    <row r="15834" spans="1:1" x14ac:dyDescent="0.2">
      <c r="A15834" s="101"/>
    </row>
    <row r="15835" spans="1:1" x14ac:dyDescent="0.2">
      <c r="A15835" s="101"/>
    </row>
    <row r="15836" spans="1:1" x14ac:dyDescent="0.2">
      <c r="A15836" s="101"/>
    </row>
    <row r="15837" spans="1:1" x14ac:dyDescent="0.2">
      <c r="A15837" s="101"/>
    </row>
    <row r="15838" spans="1:1" x14ac:dyDescent="0.2">
      <c r="A15838" s="101"/>
    </row>
    <row r="15839" spans="1:1" x14ac:dyDescent="0.2">
      <c r="A15839" s="101"/>
    </row>
    <row r="15840" spans="1:1" x14ac:dyDescent="0.2">
      <c r="A15840" s="101"/>
    </row>
    <row r="15841" spans="1:1" x14ac:dyDescent="0.2">
      <c r="A15841" s="101"/>
    </row>
    <row r="15842" spans="1:1" x14ac:dyDescent="0.2">
      <c r="A15842" s="101"/>
    </row>
    <row r="15843" spans="1:1" x14ac:dyDescent="0.2">
      <c r="A15843" s="101"/>
    </row>
    <row r="15844" spans="1:1" x14ac:dyDescent="0.2">
      <c r="A15844" s="101"/>
    </row>
    <row r="15845" spans="1:1" x14ac:dyDescent="0.2">
      <c r="A15845" s="101"/>
    </row>
    <row r="15846" spans="1:1" x14ac:dyDescent="0.2">
      <c r="A15846" s="101"/>
    </row>
    <row r="15847" spans="1:1" x14ac:dyDescent="0.2">
      <c r="A15847" s="101"/>
    </row>
    <row r="15848" spans="1:1" x14ac:dyDescent="0.2">
      <c r="A15848" s="101"/>
    </row>
    <row r="15849" spans="1:1" x14ac:dyDescent="0.2">
      <c r="A15849" s="101"/>
    </row>
    <row r="15850" spans="1:1" x14ac:dyDescent="0.2">
      <c r="A15850" s="101"/>
    </row>
    <row r="15851" spans="1:1" x14ac:dyDescent="0.2">
      <c r="A15851" s="101"/>
    </row>
    <row r="15852" spans="1:1" x14ac:dyDescent="0.2">
      <c r="A15852" s="101"/>
    </row>
    <row r="15853" spans="1:1" x14ac:dyDescent="0.2">
      <c r="A15853" s="101"/>
    </row>
    <row r="15854" spans="1:1" x14ac:dyDescent="0.2">
      <c r="A15854" s="101"/>
    </row>
    <row r="15855" spans="1:1" x14ac:dyDescent="0.2">
      <c r="A15855" s="101"/>
    </row>
    <row r="15856" spans="1:1" x14ac:dyDescent="0.2">
      <c r="A15856" s="101"/>
    </row>
    <row r="15857" spans="1:1" x14ac:dyDescent="0.2">
      <c r="A15857" s="101"/>
    </row>
    <row r="15858" spans="1:1" x14ac:dyDescent="0.2">
      <c r="A15858" s="101"/>
    </row>
    <row r="15859" spans="1:1" x14ac:dyDescent="0.2">
      <c r="A15859" s="101"/>
    </row>
    <row r="15860" spans="1:1" x14ac:dyDescent="0.2">
      <c r="A15860" s="101"/>
    </row>
    <row r="15861" spans="1:1" x14ac:dyDescent="0.2">
      <c r="A15861" s="101"/>
    </row>
    <row r="15862" spans="1:1" x14ac:dyDescent="0.2">
      <c r="A15862" s="101"/>
    </row>
    <row r="15863" spans="1:1" x14ac:dyDescent="0.2">
      <c r="A15863" s="101"/>
    </row>
    <row r="15864" spans="1:1" x14ac:dyDescent="0.2">
      <c r="A15864" s="101"/>
    </row>
    <row r="15865" spans="1:1" x14ac:dyDescent="0.2">
      <c r="A15865" s="101"/>
    </row>
    <row r="15866" spans="1:1" x14ac:dyDescent="0.2">
      <c r="A15866" s="101"/>
    </row>
    <row r="15867" spans="1:1" x14ac:dyDescent="0.2">
      <c r="A15867" s="101"/>
    </row>
    <row r="15868" spans="1:1" x14ac:dyDescent="0.2">
      <c r="A15868" s="101"/>
    </row>
    <row r="15869" spans="1:1" x14ac:dyDescent="0.2">
      <c r="A15869" s="101"/>
    </row>
    <row r="15870" spans="1:1" x14ac:dyDescent="0.2">
      <c r="A15870" s="101"/>
    </row>
    <row r="15871" spans="1:1" x14ac:dyDescent="0.2">
      <c r="A15871" s="101"/>
    </row>
    <row r="15872" spans="1:1" x14ac:dyDescent="0.2">
      <c r="A15872" s="101"/>
    </row>
    <row r="15873" spans="1:1" x14ac:dyDescent="0.2">
      <c r="A15873" s="101"/>
    </row>
    <row r="15874" spans="1:1" x14ac:dyDescent="0.2">
      <c r="A15874" s="101"/>
    </row>
    <row r="15875" spans="1:1" x14ac:dyDescent="0.2">
      <c r="A15875" s="101"/>
    </row>
    <row r="15876" spans="1:1" x14ac:dyDescent="0.2">
      <c r="A15876" s="101"/>
    </row>
    <row r="15877" spans="1:1" x14ac:dyDescent="0.2">
      <c r="A15877" s="101"/>
    </row>
    <row r="15878" spans="1:1" x14ac:dyDescent="0.2">
      <c r="A15878" s="101"/>
    </row>
    <row r="15879" spans="1:1" x14ac:dyDescent="0.2">
      <c r="A15879" s="101"/>
    </row>
    <row r="15880" spans="1:1" x14ac:dyDescent="0.2">
      <c r="A15880" s="101"/>
    </row>
    <row r="15881" spans="1:1" x14ac:dyDescent="0.2">
      <c r="A15881" s="101"/>
    </row>
    <row r="15882" spans="1:1" x14ac:dyDescent="0.2">
      <c r="A15882" s="101"/>
    </row>
    <row r="15883" spans="1:1" x14ac:dyDescent="0.2">
      <c r="A15883" s="101"/>
    </row>
    <row r="15884" spans="1:1" x14ac:dyDescent="0.2">
      <c r="A15884" s="101"/>
    </row>
    <row r="15885" spans="1:1" x14ac:dyDescent="0.2">
      <c r="A15885" s="101"/>
    </row>
    <row r="15886" spans="1:1" x14ac:dyDescent="0.2">
      <c r="A15886" s="101"/>
    </row>
    <row r="15887" spans="1:1" x14ac:dyDescent="0.2">
      <c r="A15887" s="101"/>
    </row>
    <row r="15888" spans="1:1" x14ac:dyDescent="0.2">
      <c r="A15888" s="101"/>
    </row>
    <row r="15889" spans="1:1" x14ac:dyDescent="0.2">
      <c r="A15889" s="101"/>
    </row>
    <row r="15890" spans="1:1" x14ac:dyDescent="0.2">
      <c r="A15890" s="101"/>
    </row>
    <row r="15891" spans="1:1" x14ac:dyDescent="0.2">
      <c r="A15891" s="101"/>
    </row>
    <row r="15892" spans="1:1" x14ac:dyDescent="0.2">
      <c r="A15892" s="101"/>
    </row>
    <row r="15893" spans="1:1" x14ac:dyDescent="0.2">
      <c r="A15893" s="101"/>
    </row>
    <row r="15894" spans="1:1" x14ac:dyDescent="0.2">
      <c r="A15894" s="101"/>
    </row>
    <row r="15895" spans="1:1" x14ac:dyDescent="0.2">
      <c r="A15895" s="101"/>
    </row>
    <row r="15896" spans="1:1" x14ac:dyDescent="0.2">
      <c r="A15896" s="101"/>
    </row>
    <row r="15897" spans="1:1" x14ac:dyDescent="0.2">
      <c r="A15897" s="101"/>
    </row>
    <row r="15898" spans="1:1" x14ac:dyDescent="0.2">
      <c r="A15898" s="101"/>
    </row>
    <row r="15899" spans="1:1" x14ac:dyDescent="0.2">
      <c r="A15899" s="101"/>
    </row>
    <row r="15900" spans="1:1" x14ac:dyDescent="0.2">
      <c r="A15900" s="101"/>
    </row>
    <row r="15901" spans="1:1" x14ac:dyDescent="0.2">
      <c r="A15901" s="101"/>
    </row>
    <row r="15902" spans="1:1" x14ac:dyDescent="0.2">
      <c r="A15902" s="101"/>
    </row>
    <row r="15903" spans="1:1" x14ac:dyDescent="0.2">
      <c r="A15903" s="101"/>
    </row>
    <row r="15904" spans="1:1" x14ac:dyDescent="0.2">
      <c r="A15904" s="101"/>
    </row>
    <row r="15905" spans="1:1" x14ac:dyDescent="0.2">
      <c r="A15905" s="101"/>
    </row>
    <row r="15906" spans="1:1" x14ac:dyDescent="0.2">
      <c r="A15906" s="101"/>
    </row>
    <row r="15907" spans="1:1" x14ac:dyDescent="0.2">
      <c r="A15907" s="101"/>
    </row>
    <row r="15908" spans="1:1" x14ac:dyDescent="0.2">
      <c r="A15908" s="101"/>
    </row>
    <row r="15909" spans="1:1" x14ac:dyDescent="0.2">
      <c r="A15909" s="101"/>
    </row>
    <row r="15910" spans="1:1" x14ac:dyDescent="0.2">
      <c r="A15910" s="101"/>
    </row>
    <row r="15911" spans="1:1" x14ac:dyDescent="0.2">
      <c r="A15911" s="101"/>
    </row>
    <row r="15912" spans="1:1" x14ac:dyDescent="0.2">
      <c r="A15912" s="101"/>
    </row>
    <row r="15913" spans="1:1" x14ac:dyDescent="0.2">
      <c r="A15913" s="101"/>
    </row>
    <row r="15914" spans="1:1" x14ac:dyDescent="0.2">
      <c r="A15914" s="101"/>
    </row>
    <row r="15915" spans="1:1" x14ac:dyDescent="0.2">
      <c r="A15915" s="101"/>
    </row>
    <row r="15916" spans="1:1" x14ac:dyDescent="0.2">
      <c r="A15916" s="101"/>
    </row>
    <row r="15917" spans="1:1" x14ac:dyDescent="0.2">
      <c r="A15917" s="101"/>
    </row>
    <row r="15918" spans="1:1" x14ac:dyDescent="0.2">
      <c r="A15918" s="101"/>
    </row>
    <row r="15919" spans="1:1" x14ac:dyDescent="0.2">
      <c r="A15919" s="101"/>
    </row>
    <row r="15920" spans="1:1" x14ac:dyDescent="0.2">
      <c r="A15920" s="101"/>
    </row>
    <row r="15921" spans="1:1" x14ac:dyDescent="0.2">
      <c r="A15921" s="101"/>
    </row>
    <row r="15922" spans="1:1" x14ac:dyDescent="0.2">
      <c r="A15922" s="101"/>
    </row>
    <row r="15923" spans="1:1" x14ac:dyDescent="0.2">
      <c r="A15923" s="101"/>
    </row>
    <row r="15924" spans="1:1" x14ac:dyDescent="0.2">
      <c r="A15924" s="101"/>
    </row>
    <row r="15925" spans="1:1" x14ac:dyDescent="0.2">
      <c r="A15925" s="101"/>
    </row>
    <row r="15926" spans="1:1" x14ac:dyDescent="0.2">
      <c r="A15926" s="101"/>
    </row>
    <row r="15927" spans="1:1" x14ac:dyDescent="0.2">
      <c r="A15927" s="101"/>
    </row>
    <row r="15928" spans="1:1" x14ac:dyDescent="0.2">
      <c r="A15928" s="101"/>
    </row>
    <row r="15929" spans="1:1" x14ac:dyDescent="0.2">
      <c r="A15929" s="101"/>
    </row>
    <row r="15930" spans="1:1" x14ac:dyDescent="0.2">
      <c r="A15930" s="101"/>
    </row>
    <row r="15931" spans="1:1" x14ac:dyDescent="0.2">
      <c r="A15931" s="101"/>
    </row>
    <row r="15932" spans="1:1" x14ac:dyDescent="0.2">
      <c r="A15932" s="101"/>
    </row>
    <row r="15933" spans="1:1" x14ac:dyDescent="0.2">
      <c r="A15933" s="101"/>
    </row>
    <row r="15934" spans="1:1" x14ac:dyDescent="0.2">
      <c r="A15934" s="101"/>
    </row>
    <row r="15935" spans="1:1" x14ac:dyDescent="0.2">
      <c r="A15935" s="101"/>
    </row>
    <row r="15936" spans="1:1" x14ac:dyDescent="0.2">
      <c r="A15936" s="101"/>
    </row>
    <row r="15937" spans="1:1" x14ac:dyDescent="0.2">
      <c r="A15937" s="101"/>
    </row>
    <row r="15938" spans="1:1" x14ac:dyDescent="0.2">
      <c r="A15938" s="101"/>
    </row>
    <row r="15939" spans="1:1" x14ac:dyDescent="0.2">
      <c r="A15939" s="101"/>
    </row>
    <row r="15940" spans="1:1" x14ac:dyDescent="0.2">
      <c r="A15940" s="101"/>
    </row>
    <row r="15941" spans="1:1" x14ac:dyDescent="0.2">
      <c r="A15941" s="101"/>
    </row>
    <row r="15942" spans="1:1" x14ac:dyDescent="0.2">
      <c r="A15942" s="101"/>
    </row>
    <row r="15943" spans="1:1" x14ac:dyDescent="0.2">
      <c r="A15943" s="101"/>
    </row>
    <row r="15944" spans="1:1" x14ac:dyDescent="0.2">
      <c r="A15944" s="101"/>
    </row>
    <row r="15945" spans="1:1" x14ac:dyDescent="0.2">
      <c r="A15945" s="101"/>
    </row>
    <row r="15946" spans="1:1" x14ac:dyDescent="0.2">
      <c r="A15946" s="101"/>
    </row>
    <row r="15947" spans="1:1" x14ac:dyDescent="0.2">
      <c r="A15947" s="101"/>
    </row>
    <row r="15948" spans="1:1" x14ac:dyDescent="0.2">
      <c r="A15948" s="101"/>
    </row>
    <row r="15949" spans="1:1" x14ac:dyDescent="0.2">
      <c r="A15949" s="101"/>
    </row>
    <row r="15950" spans="1:1" x14ac:dyDescent="0.2">
      <c r="A15950" s="101"/>
    </row>
    <row r="15951" spans="1:1" x14ac:dyDescent="0.2">
      <c r="A15951" s="101"/>
    </row>
    <row r="15952" spans="1:1" x14ac:dyDescent="0.2">
      <c r="A15952" s="101"/>
    </row>
    <row r="15953" spans="1:1" x14ac:dyDescent="0.2">
      <c r="A15953" s="101"/>
    </row>
    <row r="15954" spans="1:1" x14ac:dyDescent="0.2">
      <c r="A15954" s="101"/>
    </row>
    <row r="15955" spans="1:1" x14ac:dyDescent="0.2">
      <c r="A15955" s="101"/>
    </row>
    <row r="15956" spans="1:1" x14ac:dyDescent="0.2">
      <c r="A15956" s="101"/>
    </row>
    <row r="15957" spans="1:1" x14ac:dyDescent="0.2">
      <c r="A15957" s="101"/>
    </row>
    <row r="15958" spans="1:1" x14ac:dyDescent="0.2">
      <c r="A15958" s="101"/>
    </row>
    <row r="15959" spans="1:1" x14ac:dyDescent="0.2">
      <c r="A15959" s="101"/>
    </row>
    <row r="15960" spans="1:1" x14ac:dyDescent="0.2">
      <c r="A15960" s="101"/>
    </row>
    <row r="15961" spans="1:1" x14ac:dyDescent="0.2">
      <c r="A15961" s="101"/>
    </row>
    <row r="15962" spans="1:1" x14ac:dyDescent="0.2">
      <c r="A15962" s="101"/>
    </row>
    <row r="15963" spans="1:1" x14ac:dyDescent="0.2">
      <c r="A15963" s="101"/>
    </row>
    <row r="15964" spans="1:1" x14ac:dyDescent="0.2">
      <c r="A15964" s="101"/>
    </row>
    <row r="15965" spans="1:1" x14ac:dyDescent="0.2">
      <c r="A15965" s="101"/>
    </row>
    <row r="15966" spans="1:1" x14ac:dyDescent="0.2">
      <c r="A15966" s="101"/>
    </row>
    <row r="15967" spans="1:1" x14ac:dyDescent="0.2">
      <c r="A15967" s="101"/>
    </row>
    <row r="15968" spans="1:1" x14ac:dyDescent="0.2">
      <c r="A15968" s="101"/>
    </row>
    <row r="15969" spans="1:1" x14ac:dyDescent="0.2">
      <c r="A15969" s="101"/>
    </row>
    <row r="15970" spans="1:1" x14ac:dyDescent="0.2">
      <c r="A15970" s="101"/>
    </row>
    <row r="15971" spans="1:1" x14ac:dyDescent="0.2">
      <c r="A15971" s="101"/>
    </row>
    <row r="15972" spans="1:1" x14ac:dyDescent="0.2">
      <c r="A15972" s="101"/>
    </row>
    <row r="15973" spans="1:1" x14ac:dyDescent="0.2">
      <c r="A15973" s="101"/>
    </row>
    <row r="15974" spans="1:1" x14ac:dyDescent="0.2">
      <c r="A15974" s="101"/>
    </row>
    <row r="15975" spans="1:1" x14ac:dyDescent="0.2">
      <c r="A15975" s="101"/>
    </row>
    <row r="15976" spans="1:1" x14ac:dyDescent="0.2">
      <c r="A15976" s="101"/>
    </row>
    <row r="15977" spans="1:1" x14ac:dyDescent="0.2">
      <c r="A15977" s="101"/>
    </row>
    <row r="15978" spans="1:1" x14ac:dyDescent="0.2">
      <c r="A15978" s="101"/>
    </row>
    <row r="15979" spans="1:1" x14ac:dyDescent="0.2">
      <c r="A15979" s="101"/>
    </row>
    <row r="15980" spans="1:1" x14ac:dyDescent="0.2">
      <c r="A15980" s="101"/>
    </row>
    <row r="15981" spans="1:1" x14ac:dyDescent="0.2">
      <c r="A15981" s="101"/>
    </row>
    <row r="15982" spans="1:1" x14ac:dyDescent="0.2">
      <c r="A15982" s="101"/>
    </row>
    <row r="15983" spans="1:1" x14ac:dyDescent="0.2">
      <c r="A15983" s="101"/>
    </row>
    <row r="15984" spans="1:1" x14ac:dyDescent="0.2">
      <c r="A15984" s="101"/>
    </row>
    <row r="15985" spans="1:1" x14ac:dyDescent="0.2">
      <c r="A15985" s="101"/>
    </row>
    <row r="15986" spans="1:1" x14ac:dyDescent="0.2">
      <c r="A15986" s="101"/>
    </row>
    <row r="15987" spans="1:1" x14ac:dyDescent="0.2">
      <c r="A15987" s="101"/>
    </row>
    <row r="15988" spans="1:1" x14ac:dyDescent="0.2">
      <c r="A15988" s="101"/>
    </row>
    <row r="15989" spans="1:1" x14ac:dyDescent="0.2">
      <c r="A15989" s="101"/>
    </row>
    <row r="15990" spans="1:1" x14ac:dyDescent="0.2">
      <c r="A15990" s="101"/>
    </row>
    <row r="15991" spans="1:1" x14ac:dyDescent="0.2">
      <c r="A15991" s="101"/>
    </row>
    <row r="15992" spans="1:1" x14ac:dyDescent="0.2">
      <c r="A15992" s="101"/>
    </row>
    <row r="15993" spans="1:1" x14ac:dyDescent="0.2">
      <c r="A15993" s="101"/>
    </row>
    <row r="15994" spans="1:1" x14ac:dyDescent="0.2">
      <c r="A15994" s="101"/>
    </row>
    <row r="15995" spans="1:1" x14ac:dyDescent="0.2">
      <c r="A15995" s="101"/>
    </row>
    <row r="15996" spans="1:1" x14ac:dyDescent="0.2">
      <c r="A15996" s="101"/>
    </row>
    <row r="15997" spans="1:1" x14ac:dyDescent="0.2">
      <c r="A15997" s="101"/>
    </row>
    <row r="15998" spans="1:1" x14ac:dyDescent="0.2">
      <c r="A15998" s="101"/>
    </row>
    <row r="15999" spans="1:1" x14ac:dyDescent="0.2">
      <c r="A15999" s="101"/>
    </row>
    <row r="16000" spans="1:1" x14ac:dyDescent="0.2">
      <c r="A16000" s="101"/>
    </row>
    <row r="16001" spans="1:1" x14ac:dyDescent="0.2">
      <c r="A16001" s="101"/>
    </row>
    <row r="16002" spans="1:1" x14ac:dyDescent="0.2">
      <c r="A16002" s="101"/>
    </row>
    <row r="16003" spans="1:1" x14ac:dyDescent="0.2">
      <c r="A16003" s="101"/>
    </row>
    <row r="16004" spans="1:1" x14ac:dyDescent="0.2">
      <c r="A16004" s="101"/>
    </row>
    <row r="16005" spans="1:1" x14ac:dyDescent="0.2">
      <c r="A16005" s="101"/>
    </row>
    <row r="16006" spans="1:1" x14ac:dyDescent="0.2">
      <c r="A16006" s="101"/>
    </row>
    <row r="16007" spans="1:1" x14ac:dyDescent="0.2">
      <c r="A16007" s="101"/>
    </row>
    <row r="16008" spans="1:1" x14ac:dyDescent="0.2">
      <c r="A16008" s="101"/>
    </row>
    <row r="16009" spans="1:1" x14ac:dyDescent="0.2">
      <c r="A16009" s="101"/>
    </row>
    <row r="16010" spans="1:1" x14ac:dyDescent="0.2">
      <c r="A16010" s="101"/>
    </row>
    <row r="16011" spans="1:1" x14ac:dyDescent="0.2">
      <c r="A16011" s="101"/>
    </row>
    <row r="16012" spans="1:1" x14ac:dyDescent="0.2">
      <c r="A16012" s="101"/>
    </row>
    <row r="16013" spans="1:1" x14ac:dyDescent="0.2">
      <c r="A16013" s="101"/>
    </row>
    <row r="16014" spans="1:1" x14ac:dyDescent="0.2">
      <c r="A16014" s="101"/>
    </row>
    <row r="16015" spans="1:1" x14ac:dyDescent="0.2">
      <c r="A16015" s="101"/>
    </row>
    <row r="16016" spans="1:1" x14ac:dyDescent="0.2">
      <c r="A16016" s="101"/>
    </row>
    <row r="16017" spans="1:1" x14ac:dyDescent="0.2">
      <c r="A16017" s="101"/>
    </row>
    <row r="16018" spans="1:1" x14ac:dyDescent="0.2">
      <c r="A16018" s="101"/>
    </row>
    <row r="16019" spans="1:1" x14ac:dyDescent="0.2">
      <c r="A16019" s="101"/>
    </row>
    <row r="16020" spans="1:1" x14ac:dyDescent="0.2">
      <c r="A16020" s="101"/>
    </row>
    <row r="16021" spans="1:1" x14ac:dyDescent="0.2">
      <c r="A16021" s="101"/>
    </row>
    <row r="16022" spans="1:1" x14ac:dyDescent="0.2">
      <c r="A16022" s="101"/>
    </row>
    <row r="16023" spans="1:1" x14ac:dyDescent="0.2">
      <c r="A16023" s="101"/>
    </row>
    <row r="16024" spans="1:1" x14ac:dyDescent="0.2">
      <c r="A16024" s="101"/>
    </row>
    <row r="16025" spans="1:1" x14ac:dyDescent="0.2">
      <c r="A16025" s="101"/>
    </row>
    <row r="16026" spans="1:1" x14ac:dyDescent="0.2">
      <c r="A16026" s="101"/>
    </row>
    <row r="16027" spans="1:1" x14ac:dyDescent="0.2">
      <c r="A16027" s="101"/>
    </row>
    <row r="16028" spans="1:1" x14ac:dyDescent="0.2">
      <c r="A16028" s="101"/>
    </row>
    <row r="16029" spans="1:1" x14ac:dyDescent="0.2">
      <c r="A16029" s="101"/>
    </row>
    <row r="16030" spans="1:1" x14ac:dyDescent="0.2">
      <c r="A16030" s="101"/>
    </row>
    <row r="16031" spans="1:1" x14ac:dyDescent="0.2">
      <c r="A16031" s="101"/>
    </row>
    <row r="16032" spans="1:1" x14ac:dyDescent="0.2">
      <c r="A16032" s="101"/>
    </row>
    <row r="16033" spans="1:1" x14ac:dyDescent="0.2">
      <c r="A16033" s="101"/>
    </row>
    <row r="16034" spans="1:1" x14ac:dyDescent="0.2">
      <c r="A16034" s="101"/>
    </row>
    <row r="16035" spans="1:1" x14ac:dyDescent="0.2">
      <c r="A16035" s="101"/>
    </row>
    <row r="16036" spans="1:1" x14ac:dyDescent="0.2">
      <c r="A16036" s="101"/>
    </row>
    <row r="16037" spans="1:1" x14ac:dyDescent="0.2">
      <c r="A16037" s="101"/>
    </row>
    <row r="16038" spans="1:1" x14ac:dyDescent="0.2">
      <c r="A16038" s="101"/>
    </row>
    <row r="16039" spans="1:1" x14ac:dyDescent="0.2">
      <c r="A16039" s="101"/>
    </row>
    <row r="16040" spans="1:1" x14ac:dyDescent="0.2">
      <c r="A16040" s="101"/>
    </row>
    <row r="16041" spans="1:1" x14ac:dyDescent="0.2">
      <c r="A16041" s="101"/>
    </row>
    <row r="16042" spans="1:1" x14ac:dyDescent="0.2">
      <c r="A16042" s="101"/>
    </row>
    <row r="16043" spans="1:1" x14ac:dyDescent="0.2">
      <c r="A16043" s="101"/>
    </row>
    <row r="16044" spans="1:1" x14ac:dyDescent="0.2">
      <c r="A16044" s="101"/>
    </row>
    <row r="16045" spans="1:1" x14ac:dyDescent="0.2">
      <c r="A16045" s="101"/>
    </row>
    <row r="16046" spans="1:1" x14ac:dyDescent="0.2">
      <c r="A16046" s="101"/>
    </row>
    <row r="16047" spans="1:1" x14ac:dyDescent="0.2">
      <c r="A16047" s="101"/>
    </row>
    <row r="16048" spans="1:1" x14ac:dyDescent="0.2">
      <c r="A16048" s="101"/>
    </row>
    <row r="16049" spans="1:1" x14ac:dyDescent="0.2">
      <c r="A16049" s="101"/>
    </row>
    <row r="16050" spans="1:1" x14ac:dyDescent="0.2">
      <c r="A16050" s="101"/>
    </row>
    <row r="16051" spans="1:1" x14ac:dyDescent="0.2">
      <c r="A16051" s="101"/>
    </row>
    <row r="16052" spans="1:1" x14ac:dyDescent="0.2">
      <c r="A16052" s="101"/>
    </row>
    <row r="16053" spans="1:1" x14ac:dyDescent="0.2">
      <c r="A16053" s="101"/>
    </row>
    <row r="16054" spans="1:1" x14ac:dyDescent="0.2">
      <c r="A16054" s="101"/>
    </row>
    <row r="16055" spans="1:1" x14ac:dyDescent="0.2">
      <c r="A16055" s="101"/>
    </row>
    <row r="16056" spans="1:1" x14ac:dyDescent="0.2">
      <c r="A16056" s="101"/>
    </row>
    <row r="16057" spans="1:1" x14ac:dyDescent="0.2">
      <c r="A16057" s="101"/>
    </row>
    <row r="16058" spans="1:1" x14ac:dyDescent="0.2">
      <c r="A16058" s="101"/>
    </row>
    <row r="16059" spans="1:1" x14ac:dyDescent="0.2">
      <c r="A16059" s="101"/>
    </row>
    <row r="16060" spans="1:1" x14ac:dyDescent="0.2">
      <c r="A16060" s="101"/>
    </row>
    <row r="16061" spans="1:1" x14ac:dyDescent="0.2">
      <c r="A16061" s="101"/>
    </row>
    <row r="16062" spans="1:1" x14ac:dyDescent="0.2">
      <c r="A16062" s="101"/>
    </row>
    <row r="16063" spans="1:1" x14ac:dyDescent="0.2">
      <c r="A16063" s="101"/>
    </row>
    <row r="16064" spans="1:1" x14ac:dyDescent="0.2">
      <c r="A16064" s="101"/>
    </row>
    <row r="16065" spans="1:1" x14ac:dyDescent="0.2">
      <c r="A16065" s="101"/>
    </row>
    <row r="16066" spans="1:1" x14ac:dyDescent="0.2">
      <c r="A16066" s="101"/>
    </row>
    <row r="16067" spans="1:1" x14ac:dyDescent="0.2">
      <c r="A16067" s="101"/>
    </row>
    <row r="16068" spans="1:1" x14ac:dyDescent="0.2">
      <c r="A16068" s="101"/>
    </row>
    <row r="16069" spans="1:1" x14ac:dyDescent="0.2">
      <c r="A16069" s="101"/>
    </row>
    <row r="16070" spans="1:1" x14ac:dyDescent="0.2">
      <c r="A16070" s="101"/>
    </row>
    <row r="16071" spans="1:1" x14ac:dyDescent="0.2">
      <c r="A16071" s="101"/>
    </row>
    <row r="16072" spans="1:1" x14ac:dyDescent="0.2">
      <c r="A16072" s="101"/>
    </row>
    <row r="16073" spans="1:1" x14ac:dyDescent="0.2">
      <c r="A16073" s="101"/>
    </row>
    <row r="16074" spans="1:1" x14ac:dyDescent="0.2">
      <c r="A16074" s="101"/>
    </row>
    <row r="16075" spans="1:1" x14ac:dyDescent="0.2">
      <c r="A16075" s="101"/>
    </row>
    <row r="16076" spans="1:1" x14ac:dyDescent="0.2">
      <c r="A16076" s="101"/>
    </row>
    <row r="16077" spans="1:1" x14ac:dyDescent="0.2">
      <c r="A16077" s="101"/>
    </row>
    <row r="16078" spans="1:1" x14ac:dyDescent="0.2">
      <c r="A16078" s="101"/>
    </row>
    <row r="16079" spans="1:1" x14ac:dyDescent="0.2">
      <c r="A16079" s="101"/>
    </row>
    <row r="16080" spans="1:1" x14ac:dyDescent="0.2">
      <c r="A16080" s="101"/>
    </row>
    <row r="16081" spans="1:1" x14ac:dyDescent="0.2">
      <c r="A16081" s="101"/>
    </row>
    <row r="16082" spans="1:1" x14ac:dyDescent="0.2">
      <c r="A16082" s="101"/>
    </row>
    <row r="16083" spans="1:1" x14ac:dyDescent="0.2">
      <c r="A16083" s="101"/>
    </row>
    <row r="16084" spans="1:1" x14ac:dyDescent="0.2">
      <c r="A16084" s="101"/>
    </row>
    <row r="16085" spans="1:1" x14ac:dyDescent="0.2">
      <c r="A16085" s="101"/>
    </row>
    <row r="16086" spans="1:1" x14ac:dyDescent="0.2">
      <c r="A16086" s="101"/>
    </row>
    <row r="16087" spans="1:1" x14ac:dyDescent="0.2">
      <c r="A16087" s="101"/>
    </row>
    <row r="16088" spans="1:1" x14ac:dyDescent="0.2">
      <c r="A16088" s="101"/>
    </row>
    <row r="16089" spans="1:1" x14ac:dyDescent="0.2">
      <c r="A16089" s="101"/>
    </row>
    <row r="16090" spans="1:1" x14ac:dyDescent="0.2">
      <c r="A16090" s="101"/>
    </row>
    <row r="16091" spans="1:1" x14ac:dyDescent="0.2">
      <c r="A16091" s="101"/>
    </row>
    <row r="16092" spans="1:1" x14ac:dyDescent="0.2">
      <c r="A16092" s="101"/>
    </row>
    <row r="16093" spans="1:1" x14ac:dyDescent="0.2">
      <c r="A16093" s="101"/>
    </row>
    <row r="16094" spans="1:1" x14ac:dyDescent="0.2">
      <c r="A16094" s="101"/>
    </row>
    <row r="16095" spans="1:1" x14ac:dyDescent="0.2">
      <c r="A16095" s="101"/>
    </row>
    <row r="16096" spans="1:1" x14ac:dyDescent="0.2">
      <c r="A16096" s="101"/>
    </row>
    <row r="16097" spans="1:1" x14ac:dyDescent="0.2">
      <c r="A16097" s="101"/>
    </row>
    <row r="16098" spans="1:1" x14ac:dyDescent="0.2">
      <c r="A16098" s="101"/>
    </row>
    <row r="16099" spans="1:1" x14ac:dyDescent="0.2">
      <c r="A16099" s="101"/>
    </row>
    <row r="16100" spans="1:1" x14ac:dyDescent="0.2">
      <c r="A16100" s="101"/>
    </row>
    <row r="16101" spans="1:1" x14ac:dyDescent="0.2">
      <c r="A16101" s="101"/>
    </row>
    <row r="16102" spans="1:1" x14ac:dyDescent="0.2">
      <c r="A16102" s="101"/>
    </row>
    <row r="16103" spans="1:1" x14ac:dyDescent="0.2">
      <c r="A16103" s="101"/>
    </row>
    <row r="16104" spans="1:1" x14ac:dyDescent="0.2">
      <c r="A16104" s="101"/>
    </row>
    <row r="16105" spans="1:1" x14ac:dyDescent="0.2">
      <c r="A16105" s="101"/>
    </row>
    <row r="16106" spans="1:1" x14ac:dyDescent="0.2">
      <c r="A16106" s="101"/>
    </row>
    <row r="16107" spans="1:1" x14ac:dyDescent="0.2">
      <c r="A16107" s="101"/>
    </row>
    <row r="16108" spans="1:1" x14ac:dyDescent="0.2">
      <c r="A16108" s="101"/>
    </row>
    <row r="16109" spans="1:1" x14ac:dyDescent="0.2">
      <c r="A16109" s="101"/>
    </row>
    <row r="16110" spans="1:1" x14ac:dyDescent="0.2">
      <c r="A16110" s="101"/>
    </row>
    <row r="16111" spans="1:1" x14ac:dyDescent="0.2">
      <c r="A16111" s="101"/>
    </row>
    <row r="16112" spans="1:1" x14ac:dyDescent="0.2">
      <c r="A16112" s="101"/>
    </row>
    <row r="16113" spans="1:1" x14ac:dyDescent="0.2">
      <c r="A16113" s="101"/>
    </row>
    <row r="16114" spans="1:1" x14ac:dyDescent="0.2">
      <c r="A16114" s="101"/>
    </row>
    <row r="16115" spans="1:1" x14ac:dyDescent="0.2">
      <c r="A16115" s="101"/>
    </row>
    <row r="16116" spans="1:1" x14ac:dyDescent="0.2">
      <c r="A16116" s="101"/>
    </row>
    <row r="16117" spans="1:1" x14ac:dyDescent="0.2">
      <c r="A16117" s="101"/>
    </row>
    <row r="16118" spans="1:1" x14ac:dyDescent="0.2">
      <c r="A16118" s="101"/>
    </row>
    <row r="16119" spans="1:1" x14ac:dyDescent="0.2">
      <c r="A16119" s="101"/>
    </row>
    <row r="16120" spans="1:1" x14ac:dyDescent="0.2">
      <c r="A16120" s="101"/>
    </row>
    <row r="16121" spans="1:1" x14ac:dyDescent="0.2">
      <c r="A16121" s="101"/>
    </row>
    <row r="16122" spans="1:1" x14ac:dyDescent="0.2">
      <c r="A16122" s="101"/>
    </row>
    <row r="16123" spans="1:1" x14ac:dyDescent="0.2">
      <c r="A16123" s="101"/>
    </row>
    <row r="16124" spans="1:1" x14ac:dyDescent="0.2">
      <c r="A16124" s="101"/>
    </row>
    <row r="16125" spans="1:1" x14ac:dyDescent="0.2">
      <c r="A16125" s="101"/>
    </row>
    <row r="16126" spans="1:1" x14ac:dyDescent="0.2">
      <c r="A16126" s="101"/>
    </row>
    <row r="16127" spans="1:1" x14ac:dyDescent="0.2">
      <c r="A16127" s="101"/>
    </row>
    <row r="16128" spans="1:1" x14ac:dyDescent="0.2">
      <c r="A16128" s="101"/>
    </row>
    <row r="16129" spans="1:1" x14ac:dyDescent="0.2">
      <c r="A16129" s="101"/>
    </row>
    <row r="16130" spans="1:1" x14ac:dyDescent="0.2">
      <c r="A16130" s="101"/>
    </row>
    <row r="16131" spans="1:1" x14ac:dyDescent="0.2">
      <c r="A16131" s="101"/>
    </row>
    <row r="16132" spans="1:1" x14ac:dyDescent="0.2">
      <c r="A16132" s="101"/>
    </row>
    <row r="16133" spans="1:1" x14ac:dyDescent="0.2">
      <c r="A16133" s="101"/>
    </row>
    <row r="16134" spans="1:1" x14ac:dyDescent="0.2">
      <c r="A16134" s="101"/>
    </row>
    <row r="16135" spans="1:1" x14ac:dyDescent="0.2">
      <c r="A16135" s="101"/>
    </row>
    <row r="16136" spans="1:1" x14ac:dyDescent="0.2">
      <c r="A16136" s="101"/>
    </row>
    <row r="16137" spans="1:1" x14ac:dyDescent="0.2">
      <c r="A16137" s="101"/>
    </row>
    <row r="16138" spans="1:1" x14ac:dyDescent="0.2">
      <c r="A16138" s="101"/>
    </row>
    <row r="16139" spans="1:1" x14ac:dyDescent="0.2">
      <c r="A16139" s="101"/>
    </row>
    <row r="16140" spans="1:1" x14ac:dyDescent="0.2">
      <c r="A16140" s="101"/>
    </row>
    <row r="16141" spans="1:1" x14ac:dyDescent="0.2">
      <c r="A16141" s="101"/>
    </row>
    <row r="16142" spans="1:1" x14ac:dyDescent="0.2">
      <c r="A16142" s="101"/>
    </row>
    <row r="16143" spans="1:1" x14ac:dyDescent="0.2">
      <c r="A16143" s="101"/>
    </row>
    <row r="16144" spans="1:1" x14ac:dyDescent="0.2">
      <c r="A16144" s="101"/>
    </row>
    <row r="16145" spans="1:1" x14ac:dyDescent="0.2">
      <c r="A16145" s="101"/>
    </row>
    <row r="16146" spans="1:1" x14ac:dyDescent="0.2">
      <c r="A16146" s="101"/>
    </row>
    <row r="16147" spans="1:1" x14ac:dyDescent="0.2">
      <c r="A16147" s="101"/>
    </row>
    <row r="16148" spans="1:1" x14ac:dyDescent="0.2">
      <c r="A16148" s="101"/>
    </row>
    <row r="16149" spans="1:1" x14ac:dyDescent="0.2">
      <c r="A16149" s="101"/>
    </row>
    <row r="16150" spans="1:1" x14ac:dyDescent="0.2">
      <c r="A16150" s="101"/>
    </row>
    <row r="16151" spans="1:1" x14ac:dyDescent="0.2">
      <c r="A16151" s="101"/>
    </row>
    <row r="16152" spans="1:1" x14ac:dyDescent="0.2">
      <c r="A16152" s="101"/>
    </row>
    <row r="16153" spans="1:1" x14ac:dyDescent="0.2">
      <c r="A16153" s="101"/>
    </row>
    <row r="16154" spans="1:1" x14ac:dyDescent="0.2">
      <c r="A16154" s="101"/>
    </row>
    <row r="16155" spans="1:1" x14ac:dyDescent="0.2">
      <c r="A16155" s="101"/>
    </row>
    <row r="16156" spans="1:1" x14ac:dyDescent="0.2">
      <c r="A16156" s="101"/>
    </row>
    <row r="16157" spans="1:1" x14ac:dyDescent="0.2">
      <c r="A16157" s="101"/>
    </row>
    <row r="16158" spans="1:1" x14ac:dyDescent="0.2">
      <c r="A16158" s="101"/>
    </row>
    <row r="16159" spans="1:1" x14ac:dyDescent="0.2">
      <c r="A16159" s="101"/>
    </row>
    <row r="16160" spans="1:1" x14ac:dyDescent="0.2">
      <c r="A16160" s="101"/>
    </row>
    <row r="16161" spans="1:1" x14ac:dyDescent="0.2">
      <c r="A16161" s="101"/>
    </row>
    <row r="16162" spans="1:1" x14ac:dyDescent="0.2">
      <c r="A16162" s="101"/>
    </row>
    <row r="16163" spans="1:1" x14ac:dyDescent="0.2">
      <c r="A16163" s="101"/>
    </row>
    <row r="16164" spans="1:1" x14ac:dyDescent="0.2">
      <c r="A16164" s="101"/>
    </row>
    <row r="16165" spans="1:1" x14ac:dyDescent="0.2">
      <c r="A16165" s="101"/>
    </row>
    <row r="16166" spans="1:1" x14ac:dyDescent="0.2">
      <c r="A16166" s="101"/>
    </row>
    <row r="16167" spans="1:1" x14ac:dyDescent="0.2">
      <c r="A16167" s="101"/>
    </row>
    <row r="16168" spans="1:1" x14ac:dyDescent="0.2">
      <c r="A16168" s="101"/>
    </row>
    <row r="16169" spans="1:1" x14ac:dyDescent="0.2">
      <c r="A16169" s="101"/>
    </row>
    <row r="16170" spans="1:1" x14ac:dyDescent="0.2">
      <c r="A16170" s="101"/>
    </row>
    <row r="16171" spans="1:1" x14ac:dyDescent="0.2">
      <c r="A16171" s="101"/>
    </row>
    <row r="16172" spans="1:1" x14ac:dyDescent="0.2">
      <c r="A16172" s="101"/>
    </row>
    <row r="16173" spans="1:1" x14ac:dyDescent="0.2">
      <c r="A16173" s="101"/>
    </row>
    <row r="16174" spans="1:1" x14ac:dyDescent="0.2">
      <c r="A16174" s="101"/>
    </row>
    <row r="16175" spans="1:1" x14ac:dyDescent="0.2">
      <c r="A16175" s="101"/>
    </row>
    <row r="16176" spans="1:1" x14ac:dyDescent="0.2">
      <c r="A16176" s="101"/>
    </row>
    <row r="16177" spans="1:1" x14ac:dyDescent="0.2">
      <c r="A16177" s="101"/>
    </row>
    <row r="16178" spans="1:1" x14ac:dyDescent="0.2">
      <c r="A16178" s="101"/>
    </row>
    <row r="16179" spans="1:1" x14ac:dyDescent="0.2">
      <c r="A16179" s="101"/>
    </row>
    <row r="16180" spans="1:1" x14ac:dyDescent="0.2">
      <c r="A16180" s="101"/>
    </row>
    <row r="16181" spans="1:1" x14ac:dyDescent="0.2">
      <c r="A16181" s="101"/>
    </row>
    <row r="16182" spans="1:1" x14ac:dyDescent="0.2">
      <c r="A16182" s="101"/>
    </row>
    <row r="16183" spans="1:1" x14ac:dyDescent="0.2">
      <c r="A16183" s="101"/>
    </row>
    <row r="16184" spans="1:1" x14ac:dyDescent="0.2">
      <c r="A16184" s="101"/>
    </row>
    <row r="16185" spans="1:1" x14ac:dyDescent="0.2">
      <c r="A16185" s="101"/>
    </row>
    <row r="16186" spans="1:1" x14ac:dyDescent="0.2">
      <c r="A16186" s="101"/>
    </row>
    <row r="16187" spans="1:1" x14ac:dyDescent="0.2">
      <c r="A16187" s="101"/>
    </row>
    <row r="16188" spans="1:1" x14ac:dyDescent="0.2">
      <c r="A16188" s="101"/>
    </row>
    <row r="16189" spans="1:1" x14ac:dyDescent="0.2">
      <c r="A16189" s="101"/>
    </row>
    <row r="16190" spans="1:1" x14ac:dyDescent="0.2">
      <c r="A16190" s="101"/>
    </row>
    <row r="16191" spans="1:1" x14ac:dyDescent="0.2">
      <c r="A16191" s="101"/>
    </row>
    <row r="16192" spans="1:1" x14ac:dyDescent="0.2">
      <c r="A16192" s="101"/>
    </row>
    <row r="16193" spans="1:1" x14ac:dyDescent="0.2">
      <c r="A16193" s="101"/>
    </row>
    <row r="16194" spans="1:1" x14ac:dyDescent="0.2">
      <c r="A16194" s="101"/>
    </row>
    <row r="16195" spans="1:1" x14ac:dyDescent="0.2">
      <c r="A16195" s="101"/>
    </row>
    <row r="16196" spans="1:1" x14ac:dyDescent="0.2">
      <c r="A16196" s="101"/>
    </row>
    <row r="16197" spans="1:1" x14ac:dyDescent="0.2">
      <c r="A16197" s="101"/>
    </row>
    <row r="16198" spans="1:1" x14ac:dyDescent="0.2">
      <c r="A16198" s="101"/>
    </row>
    <row r="16199" spans="1:1" x14ac:dyDescent="0.2">
      <c r="A16199" s="101"/>
    </row>
    <row r="16200" spans="1:1" x14ac:dyDescent="0.2">
      <c r="A16200" s="101"/>
    </row>
    <row r="16201" spans="1:1" x14ac:dyDescent="0.2">
      <c r="A16201" s="101"/>
    </row>
    <row r="16202" spans="1:1" x14ac:dyDescent="0.2">
      <c r="A16202" s="101"/>
    </row>
    <row r="16203" spans="1:1" x14ac:dyDescent="0.2">
      <c r="A16203" s="101"/>
    </row>
    <row r="16204" spans="1:1" x14ac:dyDescent="0.2">
      <c r="A16204" s="101"/>
    </row>
    <row r="16205" spans="1:1" x14ac:dyDescent="0.2">
      <c r="A16205" s="101"/>
    </row>
    <row r="16206" spans="1:1" x14ac:dyDescent="0.2">
      <c r="A16206" s="101"/>
    </row>
    <row r="16207" spans="1:1" x14ac:dyDescent="0.2">
      <c r="A16207" s="101"/>
    </row>
    <row r="16208" spans="1:1" x14ac:dyDescent="0.2">
      <c r="A16208" s="101"/>
    </row>
    <row r="16209" spans="1:1" x14ac:dyDescent="0.2">
      <c r="A16209" s="101"/>
    </row>
    <row r="16210" spans="1:1" x14ac:dyDescent="0.2">
      <c r="A16210" s="101"/>
    </row>
    <row r="16211" spans="1:1" x14ac:dyDescent="0.2">
      <c r="A16211" s="101"/>
    </row>
    <row r="16212" spans="1:1" x14ac:dyDescent="0.2">
      <c r="A16212" s="101"/>
    </row>
    <row r="16213" spans="1:1" x14ac:dyDescent="0.2">
      <c r="A16213" s="101"/>
    </row>
    <row r="16214" spans="1:1" x14ac:dyDescent="0.2">
      <c r="A16214" s="101"/>
    </row>
    <row r="16215" spans="1:1" x14ac:dyDescent="0.2">
      <c r="A16215" s="101"/>
    </row>
    <row r="16216" spans="1:1" x14ac:dyDescent="0.2">
      <c r="A16216" s="101"/>
    </row>
    <row r="16217" spans="1:1" x14ac:dyDescent="0.2">
      <c r="A16217" s="101"/>
    </row>
    <row r="16218" spans="1:1" x14ac:dyDescent="0.2">
      <c r="A16218" s="101"/>
    </row>
    <row r="16219" spans="1:1" x14ac:dyDescent="0.2">
      <c r="A16219" s="101"/>
    </row>
    <row r="16220" spans="1:1" x14ac:dyDescent="0.2">
      <c r="A16220" s="101"/>
    </row>
    <row r="16221" spans="1:1" x14ac:dyDescent="0.2">
      <c r="A16221" s="101"/>
    </row>
    <row r="16222" spans="1:1" x14ac:dyDescent="0.2">
      <c r="A16222" s="101"/>
    </row>
    <row r="16223" spans="1:1" x14ac:dyDescent="0.2">
      <c r="A16223" s="101"/>
    </row>
    <row r="16224" spans="1:1" x14ac:dyDescent="0.2">
      <c r="A16224" s="101"/>
    </row>
    <row r="16225" spans="1:1" x14ac:dyDescent="0.2">
      <c r="A16225" s="101"/>
    </row>
    <row r="16226" spans="1:1" x14ac:dyDescent="0.2">
      <c r="A16226" s="101"/>
    </row>
    <row r="16227" spans="1:1" x14ac:dyDescent="0.2">
      <c r="A16227" s="101"/>
    </row>
    <row r="16228" spans="1:1" x14ac:dyDescent="0.2">
      <c r="A16228" s="101"/>
    </row>
    <row r="16229" spans="1:1" x14ac:dyDescent="0.2">
      <c r="A16229" s="101"/>
    </row>
    <row r="16230" spans="1:1" x14ac:dyDescent="0.2">
      <c r="A16230" s="101"/>
    </row>
    <row r="16231" spans="1:1" x14ac:dyDescent="0.2">
      <c r="A16231" s="101"/>
    </row>
    <row r="16232" spans="1:1" x14ac:dyDescent="0.2">
      <c r="A16232" s="101"/>
    </row>
    <row r="16233" spans="1:1" x14ac:dyDescent="0.2">
      <c r="A16233" s="101"/>
    </row>
    <row r="16234" spans="1:1" x14ac:dyDescent="0.2">
      <c r="A16234" s="101"/>
    </row>
    <row r="16235" spans="1:1" x14ac:dyDescent="0.2">
      <c r="A16235" s="101"/>
    </row>
    <row r="16236" spans="1:1" x14ac:dyDescent="0.2">
      <c r="A16236" s="101"/>
    </row>
    <row r="16237" spans="1:1" x14ac:dyDescent="0.2">
      <c r="A16237" s="101"/>
    </row>
    <row r="16238" spans="1:1" x14ac:dyDescent="0.2">
      <c r="A16238" s="101"/>
    </row>
    <row r="16239" spans="1:1" x14ac:dyDescent="0.2">
      <c r="A16239" s="101"/>
    </row>
    <row r="16240" spans="1:1" x14ac:dyDescent="0.2">
      <c r="A16240" s="101"/>
    </row>
    <row r="16241" spans="1:1" x14ac:dyDescent="0.2">
      <c r="A16241" s="101"/>
    </row>
    <row r="16242" spans="1:1" x14ac:dyDescent="0.2">
      <c r="A16242" s="101"/>
    </row>
    <row r="16243" spans="1:1" x14ac:dyDescent="0.2">
      <c r="A16243" s="101"/>
    </row>
    <row r="16244" spans="1:1" x14ac:dyDescent="0.2">
      <c r="A16244" s="101"/>
    </row>
    <row r="16245" spans="1:1" x14ac:dyDescent="0.2">
      <c r="A16245" s="101"/>
    </row>
    <row r="16246" spans="1:1" x14ac:dyDescent="0.2">
      <c r="A16246" s="101"/>
    </row>
    <row r="16247" spans="1:1" x14ac:dyDescent="0.2">
      <c r="A16247" s="101"/>
    </row>
    <row r="16248" spans="1:1" x14ac:dyDescent="0.2">
      <c r="A16248" s="101"/>
    </row>
    <row r="16249" spans="1:1" x14ac:dyDescent="0.2">
      <c r="A16249" s="101"/>
    </row>
    <row r="16250" spans="1:1" x14ac:dyDescent="0.2">
      <c r="A16250" s="101"/>
    </row>
    <row r="16251" spans="1:1" x14ac:dyDescent="0.2">
      <c r="A16251" s="101"/>
    </row>
    <row r="16252" spans="1:1" x14ac:dyDescent="0.2">
      <c r="A16252" s="101"/>
    </row>
    <row r="16253" spans="1:1" x14ac:dyDescent="0.2">
      <c r="A16253" s="101"/>
    </row>
    <row r="16254" spans="1:1" x14ac:dyDescent="0.2">
      <c r="A16254" s="101"/>
    </row>
    <row r="16255" spans="1:1" x14ac:dyDescent="0.2">
      <c r="A16255" s="101"/>
    </row>
    <row r="16256" spans="1:1" x14ac:dyDescent="0.2">
      <c r="A16256" s="101"/>
    </row>
    <row r="16257" spans="1:1" x14ac:dyDescent="0.2">
      <c r="A16257" s="101"/>
    </row>
    <row r="16258" spans="1:1" x14ac:dyDescent="0.2">
      <c r="A16258" s="101"/>
    </row>
    <row r="16259" spans="1:1" x14ac:dyDescent="0.2">
      <c r="A16259" s="101"/>
    </row>
    <row r="16260" spans="1:1" x14ac:dyDescent="0.2">
      <c r="A16260" s="101"/>
    </row>
    <row r="16261" spans="1:1" x14ac:dyDescent="0.2">
      <c r="A16261" s="101"/>
    </row>
    <row r="16262" spans="1:1" x14ac:dyDescent="0.2">
      <c r="A16262" s="101"/>
    </row>
    <row r="16263" spans="1:1" x14ac:dyDescent="0.2">
      <c r="A16263" s="101"/>
    </row>
    <row r="16264" spans="1:1" x14ac:dyDescent="0.2">
      <c r="A16264" s="101"/>
    </row>
    <row r="16265" spans="1:1" x14ac:dyDescent="0.2">
      <c r="A16265" s="101"/>
    </row>
    <row r="16266" spans="1:1" x14ac:dyDescent="0.2">
      <c r="A16266" s="101"/>
    </row>
    <row r="16267" spans="1:1" x14ac:dyDescent="0.2">
      <c r="A16267" s="101"/>
    </row>
    <row r="16268" spans="1:1" x14ac:dyDescent="0.2">
      <c r="A16268" s="101"/>
    </row>
    <row r="16269" spans="1:1" x14ac:dyDescent="0.2">
      <c r="A16269" s="101"/>
    </row>
    <row r="16270" spans="1:1" x14ac:dyDescent="0.2">
      <c r="A16270" s="101"/>
    </row>
    <row r="16271" spans="1:1" x14ac:dyDescent="0.2">
      <c r="A16271" s="101"/>
    </row>
    <row r="16272" spans="1:1" x14ac:dyDescent="0.2">
      <c r="A16272" s="101"/>
    </row>
    <row r="16273" spans="1:1" x14ac:dyDescent="0.2">
      <c r="A16273" s="101"/>
    </row>
    <row r="16274" spans="1:1" x14ac:dyDescent="0.2">
      <c r="A16274" s="101"/>
    </row>
    <row r="16275" spans="1:1" x14ac:dyDescent="0.2">
      <c r="A16275" s="101"/>
    </row>
    <row r="16276" spans="1:1" x14ac:dyDescent="0.2">
      <c r="A16276" s="101"/>
    </row>
    <row r="16277" spans="1:1" x14ac:dyDescent="0.2">
      <c r="A16277" s="101"/>
    </row>
    <row r="16278" spans="1:1" x14ac:dyDescent="0.2">
      <c r="A16278" s="101"/>
    </row>
    <row r="16279" spans="1:1" x14ac:dyDescent="0.2">
      <c r="A16279" s="101"/>
    </row>
    <row r="16280" spans="1:1" x14ac:dyDescent="0.2">
      <c r="A16280" s="101"/>
    </row>
    <row r="16281" spans="1:1" x14ac:dyDescent="0.2">
      <c r="A16281" s="101"/>
    </row>
    <row r="16282" spans="1:1" x14ac:dyDescent="0.2">
      <c r="A16282" s="101"/>
    </row>
    <row r="16283" spans="1:1" x14ac:dyDescent="0.2">
      <c r="A16283" s="101"/>
    </row>
    <row r="16284" spans="1:1" x14ac:dyDescent="0.2">
      <c r="A16284" s="101"/>
    </row>
    <row r="16285" spans="1:1" x14ac:dyDescent="0.2">
      <c r="A16285" s="101"/>
    </row>
    <row r="16286" spans="1:1" x14ac:dyDescent="0.2">
      <c r="A16286" s="101"/>
    </row>
    <row r="16287" spans="1:1" x14ac:dyDescent="0.2">
      <c r="A16287" s="101"/>
    </row>
    <row r="16288" spans="1:1" x14ac:dyDescent="0.2">
      <c r="A16288" s="101"/>
    </row>
    <row r="16289" spans="1:1" x14ac:dyDescent="0.2">
      <c r="A16289" s="101"/>
    </row>
    <row r="16290" spans="1:1" x14ac:dyDescent="0.2">
      <c r="A16290" s="101"/>
    </row>
    <row r="16291" spans="1:1" x14ac:dyDescent="0.2">
      <c r="A16291" s="101"/>
    </row>
    <row r="16292" spans="1:1" x14ac:dyDescent="0.2">
      <c r="A16292" s="101"/>
    </row>
    <row r="16293" spans="1:1" x14ac:dyDescent="0.2">
      <c r="A16293" s="101"/>
    </row>
    <row r="16294" spans="1:1" x14ac:dyDescent="0.2">
      <c r="A16294" s="101"/>
    </row>
    <row r="16295" spans="1:1" x14ac:dyDescent="0.2">
      <c r="A16295" s="101"/>
    </row>
    <row r="16296" spans="1:1" x14ac:dyDescent="0.2">
      <c r="A16296" s="101"/>
    </row>
    <row r="16297" spans="1:1" x14ac:dyDescent="0.2">
      <c r="A16297" s="101"/>
    </row>
    <row r="16298" spans="1:1" x14ac:dyDescent="0.2">
      <c r="A16298" s="101"/>
    </row>
    <row r="16299" spans="1:1" x14ac:dyDescent="0.2">
      <c r="A16299" s="101"/>
    </row>
    <row r="16300" spans="1:1" x14ac:dyDescent="0.2">
      <c r="A16300" s="101"/>
    </row>
    <row r="16301" spans="1:1" x14ac:dyDescent="0.2">
      <c r="A16301" s="101"/>
    </row>
    <row r="16302" spans="1:1" x14ac:dyDescent="0.2">
      <c r="A16302" s="101"/>
    </row>
    <row r="16303" spans="1:1" x14ac:dyDescent="0.2">
      <c r="A16303" s="101"/>
    </row>
    <row r="16304" spans="1:1" x14ac:dyDescent="0.2">
      <c r="A16304" s="101"/>
    </row>
    <row r="16305" spans="1:1" x14ac:dyDescent="0.2">
      <c r="A16305" s="101"/>
    </row>
    <row r="16306" spans="1:1" x14ac:dyDescent="0.2">
      <c r="A16306" s="101"/>
    </row>
    <row r="16307" spans="1:1" x14ac:dyDescent="0.2">
      <c r="A16307" s="101"/>
    </row>
    <row r="16308" spans="1:1" x14ac:dyDescent="0.2">
      <c r="A16308" s="101"/>
    </row>
    <row r="16309" spans="1:1" x14ac:dyDescent="0.2">
      <c r="A16309" s="101"/>
    </row>
    <row r="16310" spans="1:1" x14ac:dyDescent="0.2">
      <c r="A16310" s="101"/>
    </row>
    <row r="16311" spans="1:1" x14ac:dyDescent="0.2">
      <c r="A16311" s="101"/>
    </row>
    <row r="16312" spans="1:1" x14ac:dyDescent="0.2">
      <c r="A16312" s="101"/>
    </row>
    <row r="16313" spans="1:1" x14ac:dyDescent="0.2">
      <c r="A16313" s="101"/>
    </row>
    <row r="16314" spans="1:1" x14ac:dyDescent="0.2">
      <c r="A16314" s="101"/>
    </row>
    <row r="16315" spans="1:1" x14ac:dyDescent="0.2">
      <c r="A16315" s="101"/>
    </row>
    <row r="16316" spans="1:1" x14ac:dyDescent="0.2">
      <c r="A16316" s="101"/>
    </row>
    <row r="16317" spans="1:1" x14ac:dyDescent="0.2">
      <c r="A16317" s="101"/>
    </row>
    <row r="16318" spans="1:1" x14ac:dyDescent="0.2">
      <c r="A16318" s="101"/>
    </row>
    <row r="16319" spans="1:1" x14ac:dyDescent="0.2">
      <c r="A16319" s="101"/>
    </row>
    <row r="16320" spans="1:1" x14ac:dyDescent="0.2">
      <c r="A16320" s="101"/>
    </row>
    <row r="16321" spans="1:1" x14ac:dyDescent="0.2">
      <c r="A16321" s="101"/>
    </row>
    <row r="16322" spans="1:1" x14ac:dyDescent="0.2">
      <c r="A16322" s="101"/>
    </row>
    <row r="16323" spans="1:1" x14ac:dyDescent="0.2">
      <c r="A16323" s="101"/>
    </row>
    <row r="16324" spans="1:1" x14ac:dyDescent="0.2">
      <c r="A16324" s="101"/>
    </row>
    <row r="16325" spans="1:1" x14ac:dyDescent="0.2">
      <c r="A16325" s="101"/>
    </row>
    <row r="16326" spans="1:1" x14ac:dyDescent="0.2">
      <c r="A16326" s="101"/>
    </row>
    <row r="16327" spans="1:1" x14ac:dyDescent="0.2">
      <c r="A16327" s="101"/>
    </row>
    <row r="16328" spans="1:1" x14ac:dyDescent="0.2">
      <c r="A16328" s="101"/>
    </row>
    <row r="16329" spans="1:1" x14ac:dyDescent="0.2">
      <c r="A16329" s="101"/>
    </row>
    <row r="16330" spans="1:1" x14ac:dyDescent="0.2">
      <c r="A16330" s="101"/>
    </row>
    <row r="16331" spans="1:1" x14ac:dyDescent="0.2">
      <c r="A16331" s="101"/>
    </row>
    <row r="16332" spans="1:1" x14ac:dyDescent="0.2">
      <c r="A16332" s="101"/>
    </row>
    <row r="16333" spans="1:1" x14ac:dyDescent="0.2">
      <c r="A16333" s="101"/>
    </row>
    <row r="16334" spans="1:1" x14ac:dyDescent="0.2">
      <c r="A16334" s="101"/>
    </row>
    <row r="16335" spans="1:1" x14ac:dyDescent="0.2">
      <c r="A16335" s="101"/>
    </row>
    <row r="16336" spans="1:1" x14ac:dyDescent="0.2">
      <c r="A16336" s="101"/>
    </row>
    <row r="16337" spans="1:1" x14ac:dyDescent="0.2">
      <c r="A16337" s="101"/>
    </row>
    <row r="16338" spans="1:1" x14ac:dyDescent="0.2">
      <c r="A16338" s="101"/>
    </row>
    <row r="16339" spans="1:1" x14ac:dyDescent="0.2">
      <c r="A16339" s="101"/>
    </row>
    <row r="16340" spans="1:1" x14ac:dyDescent="0.2">
      <c r="A16340" s="101"/>
    </row>
    <row r="16341" spans="1:1" x14ac:dyDescent="0.2">
      <c r="A16341" s="101"/>
    </row>
    <row r="16342" spans="1:1" x14ac:dyDescent="0.2">
      <c r="A16342" s="101"/>
    </row>
    <row r="16343" spans="1:1" x14ac:dyDescent="0.2">
      <c r="A16343" s="101"/>
    </row>
    <row r="16344" spans="1:1" x14ac:dyDescent="0.2">
      <c r="A16344" s="101"/>
    </row>
    <row r="16345" spans="1:1" x14ac:dyDescent="0.2">
      <c r="A16345" s="101"/>
    </row>
    <row r="16346" spans="1:1" x14ac:dyDescent="0.2">
      <c r="A16346" s="101"/>
    </row>
    <row r="16347" spans="1:1" x14ac:dyDescent="0.2">
      <c r="A16347" s="101"/>
    </row>
    <row r="16348" spans="1:1" x14ac:dyDescent="0.2">
      <c r="A16348" s="101"/>
    </row>
    <row r="16349" spans="1:1" x14ac:dyDescent="0.2">
      <c r="A16349" s="101"/>
    </row>
    <row r="16350" spans="1:1" x14ac:dyDescent="0.2">
      <c r="A16350" s="101"/>
    </row>
    <row r="16351" spans="1:1" x14ac:dyDescent="0.2">
      <c r="A16351" s="101"/>
    </row>
    <row r="16352" spans="1:1" x14ac:dyDescent="0.2">
      <c r="A16352" s="101"/>
    </row>
    <row r="16353" spans="1:1" x14ac:dyDescent="0.2">
      <c r="A16353" s="101"/>
    </row>
    <row r="16354" spans="1:1" x14ac:dyDescent="0.2">
      <c r="A16354" s="101"/>
    </row>
    <row r="16355" spans="1:1" x14ac:dyDescent="0.2">
      <c r="A16355" s="101"/>
    </row>
    <row r="16356" spans="1:1" x14ac:dyDescent="0.2">
      <c r="A16356" s="101"/>
    </row>
    <row r="16357" spans="1:1" x14ac:dyDescent="0.2">
      <c r="A16357" s="101"/>
    </row>
    <row r="16358" spans="1:1" x14ac:dyDescent="0.2">
      <c r="A16358" s="101"/>
    </row>
    <row r="16359" spans="1:1" x14ac:dyDescent="0.2">
      <c r="A16359" s="101"/>
    </row>
    <row r="16360" spans="1:1" x14ac:dyDescent="0.2">
      <c r="A16360" s="101"/>
    </row>
    <row r="16361" spans="1:1" x14ac:dyDescent="0.2">
      <c r="A16361" s="101"/>
    </row>
    <row r="16362" spans="1:1" x14ac:dyDescent="0.2">
      <c r="A16362" s="101"/>
    </row>
    <row r="16363" spans="1:1" x14ac:dyDescent="0.2">
      <c r="A16363" s="101"/>
    </row>
    <row r="16364" spans="1:1" x14ac:dyDescent="0.2">
      <c r="A16364" s="101"/>
    </row>
    <row r="16365" spans="1:1" x14ac:dyDescent="0.2">
      <c r="A16365" s="101"/>
    </row>
    <row r="16366" spans="1:1" x14ac:dyDescent="0.2">
      <c r="A16366" s="101"/>
    </row>
    <row r="16367" spans="1:1" x14ac:dyDescent="0.2">
      <c r="A16367" s="101"/>
    </row>
    <row r="16368" spans="1:1" x14ac:dyDescent="0.2">
      <c r="A16368" s="101"/>
    </row>
    <row r="16369" spans="1:1" x14ac:dyDescent="0.2">
      <c r="A16369" s="101"/>
    </row>
    <row r="16370" spans="1:1" x14ac:dyDescent="0.2">
      <c r="A16370" s="101"/>
    </row>
    <row r="16371" spans="1:1" x14ac:dyDescent="0.2">
      <c r="A16371" s="101"/>
    </row>
    <row r="16372" spans="1:1" x14ac:dyDescent="0.2">
      <c r="A16372" s="101"/>
    </row>
    <row r="16373" spans="1:1" x14ac:dyDescent="0.2">
      <c r="A16373" s="101"/>
    </row>
    <row r="16374" spans="1:1" x14ac:dyDescent="0.2">
      <c r="A16374" s="101"/>
    </row>
    <row r="16375" spans="1:1" x14ac:dyDescent="0.2">
      <c r="A16375" s="101"/>
    </row>
    <row r="16376" spans="1:1" x14ac:dyDescent="0.2">
      <c r="A16376" s="101"/>
    </row>
    <row r="16377" spans="1:1" x14ac:dyDescent="0.2">
      <c r="A16377" s="101"/>
    </row>
    <row r="16378" spans="1:1" x14ac:dyDescent="0.2">
      <c r="A16378" s="101"/>
    </row>
    <row r="16379" spans="1:1" x14ac:dyDescent="0.2">
      <c r="A16379" s="101"/>
    </row>
    <row r="16380" spans="1:1" x14ac:dyDescent="0.2">
      <c r="A16380" s="101"/>
    </row>
    <row r="16381" spans="1:1" x14ac:dyDescent="0.2">
      <c r="A16381" s="101"/>
    </row>
    <row r="16382" spans="1:1" x14ac:dyDescent="0.2">
      <c r="A16382" s="101"/>
    </row>
    <row r="16383" spans="1:1" x14ac:dyDescent="0.2">
      <c r="A16383" s="101"/>
    </row>
    <row r="16384" spans="1:1" x14ac:dyDescent="0.2">
      <c r="A16384" s="101"/>
    </row>
    <row r="16385" spans="1:1" x14ac:dyDescent="0.2">
      <c r="A16385" s="101"/>
    </row>
    <row r="16386" spans="1:1" x14ac:dyDescent="0.2">
      <c r="A16386" s="101"/>
    </row>
    <row r="16387" spans="1:1" x14ac:dyDescent="0.2">
      <c r="A16387" s="101"/>
    </row>
  </sheetData>
  <conditionalFormatting sqref="A21">
    <cfRule type="colorScale" priority="1">
      <colorScale>
        <cfvo type="min"/>
        <cfvo type="percentile" val="50"/>
        <cfvo type="max"/>
        <color rgb="FF5A8AC6"/>
        <color rgb="FFFCFCFF"/>
        <color rgb="FFF8696B"/>
      </colorScale>
    </cfRule>
    <cfRule type="colorScale" priority="2">
      <colorScale>
        <cfvo type="min"/>
        <cfvo type="max"/>
        <color rgb="FF63BE7B"/>
        <color rgb="FFFFEF9C"/>
      </colorScale>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2016-2017 master</vt:lpstr>
      <vt:lpstr>explinations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Budischak</dc:creator>
  <cp:lastModifiedBy>Microsoft Office User</cp:lastModifiedBy>
  <dcterms:created xsi:type="dcterms:W3CDTF">2018-04-06T16:19:10Z</dcterms:created>
  <dcterms:modified xsi:type="dcterms:W3CDTF">2019-03-16T00:02:28Z</dcterms:modified>
</cp:coreProperties>
</file>